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heme/themeOverride1.xml" ContentType="application/vnd.openxmlformats-officedocument.themeOverride+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charts/chart13.xml" ContentType="application/vnd.openxmlformats-officedocument.drawingml.chart+xml"/>
  <Override PartName="/xl/theme/themeOverride4.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21.xml" ContentType="application/vnd.openxmlformats-officedocument.drawingml.chart+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theme/themeOverride5.xml" ContentType="application/vnd.openxmlformats-officedocument.themeOverride+xml"/>
  <Override PartName="/xl/charts/chart30.xml" ContentType="application/vnd.openxmlformats-officedocument.drawingml.chart+xml"/>
  <Override PartName="/xl/theme/themeOverride6.xml" ContentType="application/vnd.openxmlformats-officedocument.themeOverride+xml"/>
  <Override PartName="/xl/charts/chart31.xml" ContentType="application/vnd.openxmlformats-officedocument.drawingml.chart+xml"/>
  <Override PartName="/xl/theme/themeOverride7.xml" ContentType="application/vnd.openxmlformats-officedocument.themeOverride+xml"/>
  <Override PartName="/xl/charts/chart32.xml" ContentType="application/vnd.openxmlformats-officedocument.drawingml.chart+xml"/>
  <Override PartName="/xl/theme/themeOverride8.xml" ContentType="application/vnd.openxmlformats-officedocument.themeOverrid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tables/table8.xml" ContentType="application/vnd.openxmlformats-officedocument.spreadsheetml.table+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charts/chart44.xml" ContentType="application/vnd.openxmlformats-officedocument.drawingml.chart+xml"/>
  <Override PartName="/xl/charts/style22.xml" ContentType="application/vnd.ms-office.chartstyle+xml"/>
  <Override PartName="/xl/charts/colors22.xml" ContentType="application/vnd.ms-office.chartcolorstyle+xml"/>
  <Override PartName="/xl/charts/chart45.xml" ContentType="application/vnd.openxmlformats-officedocument.drawingml.chart+xml"/>
  <Override PartName="/xl/charts/style23.xml" ContentType="application/vnd.ms-office.chartstyle+xml"/>
  <Override PartName="/xl/charts/colors23.xml" ContentType="application/vnd.ms-office.chartcolorstyle+xml"/>
  <Override PartName="/xl/charts/chart46.xml" ContentType="application/vnd.openxmlformats-officedocument.drawingml.chart+xml"/>
  <Override PartName="/xl/drawings/drawing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theme/themeOverride9.xml" ContentType="application/vnd.openxmlformats-officedocument.themeOverride+xml"/>
  <Override PartName="/xl/charts/chart49.xml" ContentType="application/vnd.openxmlformats-officedocument.drawingml.chart+xml"/>
  <Override PartName="/xl/charts/style24.xml" ContentType="application/vnd.ms-office.chartstyle+xml"/>
  <Override PartName="/xl/charts/colors24.xml" ContentType="application/vnd.ms-office.chartcolorstyle+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7.xml" ContentType="application/vnd.openxmlformats-officedocument.drawing+xml"/>
  <Override PartName="/xl/tables/table20.xml" ContentType="application/vnd.openxmlformats-officedocument.spreadsheetml.table+xml"/>
  <Override PartName="/xl/charts/chart51.xml" ContentType="application/vnd.openxmlformats-officedocument.drawingml.chart+xml"/>
  <Override PartName="/xl/charts/style26.xml" ContentType="application/vnd.ms-office.chartstyle+xml"/>
  <Override PartName="/xl/charts/colors26.xml" ContentType="application/vnd.ms-office.chartcolorstyle+xml"/>
  <Override PartName="/xl/charts/chart52.xml" ContentType="application/vnd.openxmlformats-officedocument.drawingml.chart+xml"/>
  <Override PartName="/xl/charts/style27.xml" ContentType="application/vnd.ms-office.chartstyle+xml"/>
  <Override PartName="/xl/charts/colors27.xml" ContentType="application/vnd.ms-office.chartcolorstyle+xml"/>
  <Override PartName="/xl/charts/chart53.xml" ContentType="application/vnd.openxmlformats-officedocument.drawingml.chart+xml"/>
  <Override PartName="/xl/charts/style28.xml" ContentType="application/vnd.ms-office.chartstyle+xml"/>
  <Override PartName="/xl/charts/colors28.xml" ContentType="application/vnd.ms-office.chartcolorstyle+xml"/>
  <Override PartName="/xl/charts/chart54.xml" ContentType="application/vnd.openxmlformats-officedocument.drawingml.chart+xml"/>
  <Override PartName="/xl/charts/style29.xml" ContentType="application/vnd.ms-office.chartstyle+xml"/>
  <Override PartName="/xl/charts/colors29.xml" ContentType="application/vnd.ms-office.chartcolorstyle+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10.xml" ContentType="application/vnd.openxmlformats-officedocument.spreadsheetml.pivotTable+xml"/>
  <Override PartName="/xl/tables/table21.xml" ContentType="application/vnd.openxmlformats-officedocument.spreadsheetml.table+xml"/>
  <Override PartName="/xl/queryTables/queryTable2.xml" ContentType="application/vnd.openxmlformats-officedocument.spreadsheetml.query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queryTables/queryTable3.xml" ContentType="application/vnd.openxmlformats-officedocument.spreadsheetml.queryTable+xml"/>
  <Override PartName="/xl/tables/table25.xml" ContentType="application/vnd.openxmlformats-officedocument.spreadsheetml.table+xml"/>
  <Override PartName="/xl/queryTables/queryTable4.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66925"/>
  <mc:AlternateContent xmlns:mc="http://schemas.openxmlformats.org/markup-compatibility/2006">
    <mc:Choice Requires="x15">
      <x15ac:absPath xmlns:x15ac="http://schemas.microsoft.com/office/spreadsheetml/2010/11/ac" url="https://iomint-my.sharepoint.com/personal/izong-naba_iom_int/Documents/Data/CMR/Round 26/"/>
    </mc:Choice>
  </mc:AlternateContent>
  <xr:revisionPtr revIDLastSave="40" documentId="8_{B340EBE7-2A68-47F1-86D2-F1B53A5C4FD7}" xr6:coauthVersionLast="47" xr6:coauthVersionMax="47" xr10:uidLastSave="{DE167366-8A4E-419C-A2A9-110EB1F67BCE}"/>
  <bookViews>
    <workbookView xWindow="57540" yWindow="-32724" windowWidth="29016" windowHeight="15816" tabRatio="814" xr2:uid="{00000000-000D-0000-FFFF-FFFF00000000}"/>
  </bookViews>
  <sheets>
    <sheet name="Data_Basic figures" sheetId="37" r:id="rId1"/>
    <sheet name="A Lire !!!!!!!!" sheetId="75" r:id="rId2"/>
    <sheet name="Analyse localités" sheetId="78" r:id="rId3"/>
    <sheet name="Displacement &amp; Returns" sheetId="34" r:id="rId4"/>
    <sheet name="Settlement" sheetId="42" r:id="rId5"/>
    <sheet name="Displacement Reasons" sheetId="35" r:id="rId6"/>
    <sheet name="Focus Retournees" sheetId="49" r:id="rId7"/>
    <sheet name="Displacement Between Admin3" sheetId="48" r:id="rId8"/>
    <sheet name="Evolution_by_Category" sheetId="36" r:id="rId9"/>
    <sheet name="Change from Round5 to Round26" sheetId="46" r:id="rId10"/>
    <sheet name="Evolution_by_Departments" sheetId="72" r:id="rId11"/>
    <sheet name="Nouveaux déplacements" sheetId="73" r:id="rId12"/>
    <sheet name="Data_Displacement_Periods" sheetId="29" r:id="rId13"/>
    <sheet name="New Locations and Sites" sheetId="47" r:id="rId14"/>
    <sheet name="Data_Sommaire" sheetId="12" r:id="rId15"/>
    <sheet name="OCHA_GIS" sheetId="80" r:id="rId16"/>
    <sheet name="Others_data_ok" sheetId="39" r:id="rId17"/>
  </sheets>
  <externalReferences>
    <externalReference r:id="rId18"/>
  </externalReferences>
  <definedNames>
    <definedName name="_xlnm._FilterDatabase" localSheetId="9" hidden="1">'Change from Round5 to Round26'!$A$55:$F$203</definedName>
    <definedName name="_xlnm._FilterDatabase" localSheetId="14" hidden="1">Data_Sommaire!#REF!</definedName>
    <definedName name="_xlnm._FilterDatabase" localSheetId="3" hidden="1">'Displacement &amp; Returns'!$I$23:$M$29</definedName>
    <definedName name="_xlnm._FilterDatabase" localSheetId="7" hidden="1">'Displacement Between Admin3'!$B$48:$M$61</definedName>
    <definedName name="_xlnm._FilterDatabase" localSheetId="6" hidden="1">'Focus Retournees'!#REF!</definedName>
    <definedName name="_xlnm._FilterDatabase" localSheetId="13" hidden="1">'New Locations and Sites'!$B$2:$M$79</definedName>
    <definedName name="DonnéesExternes_1" localSheetId="0" hidden="1">'Data_Basic figures'!$A$1:$R$1265</definedName>
    <definedName name="DonnéesExternes_1" localSheetId="12" hidden="1">Data_Displacement_Periods!$A$1:$X$3024</definedName>
    <definedName name="DonnéesExternes_1" localSheetId="16" hidden="1">Others_data_ok!#REF!</definedName>
    <definedName name="DonnéesExternes_2" localSheetId="16" hidden="1">Others_data_ok!#REF!</definedName>
    <definedName name="DonnéesExternes_4" localSheetId="16" hidden="1">Others_data_ok!$A$2:$M$632</definedName>
    <definedName name="DonnéesExternes_5" localSheetId="16" hidden="1">Others_data_ok!$O$2:$AI$1193</definedName>
    <definedName name="ExternalData_1" localSheetId="16" hidden="1">Others_data_ok!#REF!</definedName>
    <definedName name="Organisations" localSheetId="2">#REF!</definedName>
    <definedName name="Organisations" localSheetId="9">#REF!</definedName>
    <definedName name="Organisations" localSheetId="7">#REF!</definedName>
    <definedName name="Organisations" localSheetId="6">#REF!</definedName>
    <definedName name="Organisations" localSheetId="13">#REF!</definedName>
    <definedName name="Organisations" localSheetId="4">#REF!</definedName>
    <definedName name="Organisations">#REF!</definedName>
    <definedName name="_xlnm.Print_Area" localSheetId="1">'A Lire !!!!!!!!'!$B$1:$C$13</definedName>
    <definedName name="_xlnm.Print_Area" localSheetId="6">'Focus Retournees'!$B$1:$AJ$57</definedName>
    <definedName name="_xlnm.Print_Area" localSheetId="4">Settlement!$A$1:$AN$172</definedName>
  </definedNames>
  <calcPr calcId="191028"/>
  <pivotCaches>
    <pivotCache cacheId="0" r:id="rId19"/>
    <pivotCache cacheId="1" r:id="rId20"/>
    <pivotCache cacheId="2"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3" i="78" l="1"/>
  <c r="D104" i="78"/>
  <c r="D105" i="78"/>
  <c r="D106" i="78"/>
  <c r="D107" i="78"/>
  <c r="D102" i="78"/>
  <c r="E103" i="78"/>
  <c r="E104" i="78"/>
  <c r="E105" i="78"/>
  <c r="E106" i="78"/>
  <c r="E107" i="78"/>
  <c r="E102" i="78"/>
  <c r="C92" i="78"/>
  <c r="C93" i="78"/>
  <c r="C94" i="78"/>
  <c r="C95" i="78"/>
  <c r="C96" i="78"/>
  <c r="E92" i="78"/>
  <c r="E93" i="78"/>
  <c r="E94" i="78"/>
  <c r="E95" i="78"/>
  <c r="E96" i="78"/>
  <c r="E91" i="78"/>
  <c r="D92" i="78"/>
  <c r="D93" i="78"/>
  <c r="D94" i="78"/>
  <c r="D95" i="78"/>
  <c r="D96" i="78"/>
  <c r="D91" i="78"/>
  <c r="C91" i="78"/>
  <c r="CI1264" i="12"/>
  <c r="CH1264" i="12"/>
  <c r="CG1264" i="12"/>
  <c r="CF1264" i="12"/>
  <c r="CI1263" i="12"/>
  <c r="CH1263" i="12"/>
  <c r="CG1263" i="12"/>
  <c r="CF1263" i="12"/>
  <c r="CI1262" i="12"/>
  <c r="CH1262" i="12"/>
  <c r="CG1262" i="12"/>
  <c r="CF1262" i="12"/>
  <c r="CI1261" i="12"/>
  <c r="CH1261" i="12"/>
  <c r="CG1261" i="12"/>
  <c r="CF1261" i="12"/>
  <c r="CI1260" i="12"/>
  <c r="CH1260" i="12"/>
  <c r="CG1260" i="12"/>
  <c r="CF1260" i="12"/>
  <c r="CI1259" i="12"/>
  <c r="CH1259" i="12"/>
  <c r="CG1259" i="12"/>
  <c r="CF1259" i="12"/>
  <c r="CI1258" i="12"/>
  <c r="CH1258" i="12"/>
  <c r="CG1258" i="12"/>
  <c r="CF1258" i="12"/>
  <c r="CI1257" i="12"/>
  <c r="CH1257" i="12"/>
  <c r="CG1257" i="12"/>
  <c r="CF1257" i="12"/>
  <c r="CI1256" i="12"/>
  <c r="CH1256" i="12"/>
  <c r="CG1256" i="12"/>
  <c r="CF1256" i="12"/>
  <c r="CI1255" i="12"/>
  <c r="CH1255" i="12"/>
  <c r="CG1255" i="12"/>
  <c r="CF1255" i="12"/>
  <c r="CI1254" i="12"/>
  <c r="CH1254" i="12"/>
  <c r="CG1254" i="12"/>
  <c r="CF1254" i="12"/>
  <c r="CI1253" i="12"/>
  <c r="CH1253" i="12"/>
  <c r="CG1253" i="12"/>
  <c r="CF1253" i="12"/>
  <c r="CI1252" i="12"/>
  <c r="CH1252" i="12"/>
  <c r="CG1252" i="12"/>
  <c r="CF1252" i="12"/>
  <c r="CI1251" i="12"/>
  <c r="CH1251" i="12"/>
  <c r="CG1251" i="12"/>
  <c r="CF1251" i="12"/>
  <c r="CI1250" i="12"/>
  <c r="CH1250" i="12"/>
  <c r="CG1250" i="12"/>
  <c r="CF1250" i="12"/>
  <c r="CI1249" i="12"/>
  <c r="CH1249" i="12"/>
  <c r="CG1249" i="12"/>
  <c r="CF1249" i="12"/>
  <c r="CI1248" i="12"/>
  <c r="CH1248" i="12"/>
  <c r="CG1248" i="12"/>
  <c r="CF1248" i="12"/>
  <c r="CI1247" i="12"/>
  <c r="CH1247" i="12"/>
  <c r="CG1247" i="12"/>
  <c r="CF1247" i="12"/>
  <c r="CI1246" i="12"/>
  <c r="CH1246" i="12"/>
  <c r="CG1246" i="12"/>
  <c r="CF1246" i="12"/>
  <c r="CI1245" i="12"/>
  <c r="CH1245" i="12"/>
  <c r="CG1245" i="12"/>
  <c r="CF1245" i="12"/>
  <c r="CI1244" i="12"/>
  <c r="CH1244" i="12"/>
  <c r="CG1244" i="12"/>
  <c r="CF1244" i="12"/>
  <c r="CI1243" i="12"/>
  <c r="CH1243" i="12"/>
  <c r="CG1243" i="12"/>
  <c r="CF1243" i="12"/>
  <c r="CI1242" i="12"/>
  <c r="CH1242" i="12"/>
  <c r="CG1242" i="12"/>
  <c r="CF1242" i="12"/>
  <c r="CI1241" i="12"/>
  <c r="CH1241" i="12"/>
  <c r="CG1241" i="12"/>
  <c r="CF1241" i="12"/>
  <c r="CI1240" i="12"/>
  <c r="CH1240" i="12"/>
  <c r="CG1240" i="12"/>
  <c r="CF1240" i="12"/>
  <c r="CI1239" i="12"/>
  <c r="CH1239" i="12"/>
  <c r="CG1239" i="12"/>
  <c r="CF1239" i="12"/>
  <c r="CI1238" i="12"/>
  <c r="CH1238" i="12"/>
  <c r="CG1238" i="12"/>
  <c r="CF1238" i="12"/>
  <c r="CI1237" i="12"/>
  <c r="CH1237" i="12"/>
  <c r="CG1237" i="12"/>
  <c r="CF1237" i="12"/>
  <c r="CI1236" i="12"/>
  <c r="CH1236" i="12"/>
  <c r="CG1236" i="12"/>
  <c r="CF1236" i="12"/>
  <c r="CI1235" i="12"/>
  <c r="CH1235" i="12"/>
  <c r="CG1235" i="12"/>
  <c r="CF1235" i="12"/>
  <c r="CI1234" i="12"/>
  <c r="CH1234" i="12"/>
  <c r="CG1234" i="12"/>
  <c r="CF1234" i="12"/>
  <c r="CI1233" i="12"/>
  <c r="CH1233" i="12"/>
  <c r="CG1233" i="12"/>
  <c r="CF1233" i="12"/>
  <c r="CI1232" i="12"/>
  <c r="CH1232" i="12"/>
  <c r="CG1232" i="12"/>
  <c r="CF1232" i="12"/>
  <c r="CI1231" i="12"/>
  <c r="CH1231" i="12"/>
  <c r="CG1231" i="12"/>
  <c r="CF1231" i="12"/>
  <c r="CI1230" i="12"/>
  <c r="CH1230" i="12"/>
  <c r="CG1230" i="12"/>
  <c r="CF1230" i="12"/>
  <c r="CI1229" i="12"/>
  <c r="CH1229" i="12"/>
  <c r="CG1229" i="12"/>
  <c r="CF1229" i="12"/>
  <c r="CI1228" i="12"/>
  <c r="CH1228" i="12"/>
  <c r="CG1228" i="12"/>
  <c r="CF1228" i="12"/>
  <c r="CI1227" i="12"/>
  <c r="CH1227" i="12"/>
  <c r="CG1227" i="12"/>
  <c r="CF1227" i="12"/>
  <c r="CI1226" i="12"/>
  <c r="CH1226" i="12"/>
  <c r="CG1226" i="12"/>
  <c r="CF1226" i="12"/>
  <c r="CI1225" i="12"/>
  <c r="CH1225" i="12"/>
  <c r="CG1225" i="12"/>
  <c r="CF1225" i="12"/>
  <c r="CI1224" i="12"/>
  <c r="CH1224" i="12"/>
  <c r="CG1224" i="12"/>
  <c r="CF1224" i="12"/>
  <c r="CI1223" i="12"/>
  <c r="CH1223" i="12"/>
  <c r="CG1223" i="12"/>
  <c r="CF1223" i="12"/>
  <c r="CI1222" i="12"/>
  <c r="CH1222" i="12"/>
  <c r="CG1222" i="12"/>
  <c r="CF1222" i="12"/>
  <c r="CI1221" i="12"/>
  <c r="CH1221" i="12"/>
  <c r="CG1221" i="12"/>
  <c r="CF1221" i="12"/>
  <c r="CI1220" i="12"/>
  <c r="CH1220" i="12"/>
  <c r="CG1220" i="12"/>
  <c r="CF1220" i="12"/>
  <c r="CI1219" i="12"/>
  <c r="CH1219" i="12"/>
  <c r="CG1219" i="12"/>
  <c r="CF1219" i="12"/>
  <c r="CI1218" i="12"/>
  <c r="CH1218" i="12"/>
  <c r="CG1218" i="12"/>
  <c r="CF1218" i="12"/>
  <c r="CI1217" i="12"/>
  <c r="CH1217" i="12"/>
  <c r="CG1217" i="12"/>
  <c r="CF1217" i="12"/>
  <c r="CI1216" i="12"/>
  <c r="CH1216" i="12"/>
  <c r="CG1216" i="12"/>
  <c r="CF1216" i="12"/>
  <c r="CI1215" i="12"/>
  <c r="CH1215" i="12"/>
  <c r="CG1215" i="12"/>
  <c r="CF1215" i="12"/>
  <c r="CI1214" i="12"/>
  <c r="CH1214" i="12"/>
  <c r="CG1214" i="12"/>
  <c r="CF1214" i="12"/>
  <c r="CI1213" i="12"/>
  <c r="CH1213" i="12"/>
  <c r="CG1213" i="12"/>
  <c r="CF1213" i="12"/>
  <c r="CI1212" i="12"/>
  <c r="CH1212" i="12"/>
  <c r="CG1212" i="12"/>
  <c r="CF1212" i="12"/>
  <c r="CI1211" i="12"/>
  <c r="CH1211" i="12"/>
  <c r="CG1211" i="12"/>
  <c r="CF1211" i="12"/>
  <c r="CI1210" i="12"/>
  <c r="CH1210" i="12"/>
  <c r="CG1210" i="12"/>
  <c r="CF1210" i="12"/>
  <c r="CI1209" i="12"/>
  <c r="CH1209" i="12"/>
  <c r="CG1209" i="12"/>
  <c r="CF1209" i="12"/>
  <c r="CI1208" i="12"/>
  <c r="CH1208" i="12"/>
  <c r="CG1208" i="12"/>
  <c r="CF1208" i="12"/>
  <c r="CI1207" i="12"/>
  <c r="CH1207" i="12"/>
  <c r="CG1207" i="12"/>
  <c r="CF1207" i="12"/>
  <c r="CI1206" i="12"/>
  <c r="CH1206" i="12"/>
  <c r="CG1206" i="12"/>
  <c r="CF1206" i="12"/>
  <c r="CI1205" i="12"/>
  <c r="CH1205" i="12"/>
  <c r="CG1205" i="12"/>
  <c r="CF1205" i="12"/>
  <c r="CI1204" i="12"/>
  <c r="CH1204" i="12"/>
  <c r="CG1204" i="12"/>
  <c r="CF1204" i="12"/>
  <c r="CI1203" i="12"/>
  <c r="CH1203" i="12"/>
  <c r="CG1203" i="12"/>
  <c r="CF1203" i="12"/>
  <c r="CI1202" i="12"/>
  <c r="CH1202" i="12"/>
  <c r="CG1202" i="12"/>
  <c r="CF1202" i="12"/>
  <c r="CI1201" i="12"/>
  <c r="CH1201" i="12"/>
  <c r="CG1201" i="12"/>
  <c r="CF1201" i="12"/>
  <c r="CI1200" i="12"/>
  <c r="CH1200" i="12"/>
  <c r="CG1200" i="12"/>
  <c r="CF1200" i="12"/>
  <c r="CI1199" i="12"/>
  <c r="CH1199" i="12"/>
  <c r="CG1199" i="12"/>
  <c r="CF1199" i="12"/>
  <c r="CI1198" i="12"/>
  <c r="CH1198" i="12"/>
  <c r="CG1198" i="12"/>
  <c r="CF1198" i="12"/>
  <c r="CI1197" i="12"/>
  <c r="CH1197" i="12"/>
  <c r="CG1197" i="12"/>
  <c r="CF1197" i="12"/>
  <c r="CI1196" i="12"/>
  <c r="CH1196" i="12"/>
  <c r="CG1196" i="12"/>
  <c r="CF1196" i="12"/>
  <c r="CI1195" i="12"/>
  <c r="CH1195" i="12"/>
  <c r="CG1195" i="12"/>
  <c r="CF1195" i="12"/>
  <c r="CI1194" i="12"/>
  <c r="CH1194" i="12"/>
  <c r="CG1194" i="12"/>
  <c r="CF1194" i="12"/>
  <c r="CI1193" i="12"/>
  <c r="CH1193" i="12"/>
  <c r="CG1193" i="12"/>
  <c r="CF1193" i="12"/>
  <c r="CI1192" i="12"/>
  <c r="CH1192" i="12"/>
  <c r="CG1192" i="12"/>
  <c r="CF1192" i="12"/>
  <c r="CI1191" i="12"/>
  <c r="CH1191" i="12"/>
  <c r="CG1191" i="12"/>
  <c r="CF1191" i="12"/>
  <c r="CI1190" i="12"/>
  <c r="CH1190" i="12"/>
  <c r="CG1190" i="12"/>
  <c r="CF1190" i="12"/>
  <c r="CI1189" i="12"/>
  <c r="CH1189" i="12"/>
  <c r="CG1189" i="12"/>
  <c r="CF1189" i="12"/>
  <c r="CI1188" i="12"/>
  <c r="CH1188" i="12"/>
  <c r="CG1188" i="12"/>
  <c r="CF1188" i="12"/>
  <c r="CI1187" i="12"/>
  <c r="CH1187" i="12"/>
  <c r="CG1187" i="12"/>
  <c r="CF1187" i="12"/>
  <c r="CI1186" i="12"/>
  <c r="CH1186" i="12"/>
  <c r="CG1186" i="12"/>
  <c r="CF1186" i="12"/>
  <c r="CI1185" i="12"/>
  <c r="CH1185" i="12"/>
  <c r="CG1185" i="12"/>
  <c r="CF1185" i="12"/>
  <c r="CI1184" i="12"/>
  <c r="CH1184" i="12"/>
  <c r="CG1184" i="12"/>
  <c r="CF1184" i="12"/>
  <c r="CI1183" i="12"/>
  <c r="CH1183" i="12"/>
  <c r="CG1183" i="12"/>
  <c r="CF1183" i="12"/>
  <c r="CI1182" i="12"/>
  <c r="CH1182" i="12"/>
  <c r="CG1182" i="12"/>
  <c r="CF1182" i="12"/>
  <c r="CI1181" i="12"/>
  <c r="CH1181" i="12"/>
  <c r="CG1181" i="12"/>
  <c r="CF1181" i="12"/>
  <c r="CI1180" i="12"/>
  <c r="CH1180" i="12"/>
  <c r="CG1180" i="12"/>
  <c r="CF1180" i="12"/>
  <c r="CI1179" i="12"/>
  <c r="CH1179" i="12"/>
  <c r="CG1179" i="12"/>
  <c r="CF1179" i="12"/>
  <c r="CI1178" i="12"/>
  <c r="CH1178" i="12"/>
  <c r="CG1178" i="12"/>
  <c r="CF1178" i="12"/>
  <c r="CI1177" i="12"/>
  <c r="CH1177" i="12"/>
  <c r="CG1177" i="12"/>
  <c r="CF1177" i="12"/>
  <c r="CI1176" i="12"/>
  <c r="CH1176" i="12"/>
  <c r="CG1176" i="12"/>
  <c r="CF1176" i="12"/>
  <c r="CI1175" i="12"/>
  <c r="CH1175" i="12"/>
  <c r="CG1175" i="12"/>
  <c r="CF1175" i="12"/>
  <c r="CI1174" i="12"/>
  <c r="CH1174" i="12"/>
  <c r="CG1174" i="12"/>
  <c r="CF1174" i="12"/>
  <c r="CI1173" i="12"/>
  <c r="CH1173" i="12"/>
  <c r="CG1173" i="12"/>
  <c r="CF1173" i="12"/>
  <c r="CI1172" i="12"/>
  <c r="CH1172" i="12"/>
  <c r="CG1172" i="12"/>
  <c r="CF1172" i="12"/>
  <c r="CI1171" i="12"/>
  <c r="CH1171" i="12"/>
  <c r="CG1171" i="12"/>
  <c r="CF1171" i="12"/>
  <c r="CI1170" i="12"/>
  <c r="CH1170" i="12"/>
  <c r="CG1170" i="12"/>
  <c r="CF1170" i="12"/>
  <c r="CI1169" i="12"/>
  <c r="CH1169" i="12"/>
  <c r="CG1169" i="12"/>
  <c r="CF1169" i="12"/>
  <c r="CI1168" i="12"/>
  <c r="CH1168" i="12"/>
  <c r="CG1168" i="12"/>
  <c r="CF1168" i="12"/>
  <c r="CI1167" i="12"/>
  <c r="CH1167" i="12"/>
  <c r="CG1167" i="12"/>
  <c r="CF1167" i="12"/>
  <c r="CI1166" i="12"/>
  <c r="CH1166" i="12"/>
  <c r="CG1166" i="12"/>
  <c r="CF1166" i="12"/>
  <c r="CI1165" i="12"/>
  <c r="CH1165" i="12"/>
  <c r="CG1165" i="12"/>
  <c r="CF1165" i="12"/>
  <c r="CI1164" i="12"/>
  <c r="CH1164" i="12"/>
  <c r="CG1164" i="12"/>
  <c r="CF1164" i="12"/>
  <c r="CI1163" i="12"/>
  <c r="CH1163" i="12"/>
  <c r="CG1163" i="12"/>
  <c r="CF1163" i="12"/>
  <c r="CI1162" i="12"/>
  <c r="CH1162" i="12"/>
  <c r="CG1162" i="12"/>
  <c r="CF1162" i="12"/>
  <c r="CI1161" i="12"/>
  <c r="CH1161" i="12"/>
  <c r="CG1161" i="12"/>
  <c r="CF1161" i="12"/>
  <c r="CI1160" i="12"/>
  <c r="CH1160" i="12"/>
  <c r="CG1160" i="12"/>
  <c r="CF1160" i="12"/>
  <c r="CI1159" i="12"/>
  <c r="CH1159" i="12"/>
  <c r="CG1159" i="12"/>
  <c r="CF1159" i="12"/>
  <c r="CI1158" i="12"/>
  <c r="CH1158" i="12"/>
  <c r="CG1158" i="12"/>
  <c r="CF1158" i="12"/>
  <c r="CI1157" i="12"/>
  <c r="CH1157" i="12"/>
  <c r="CG1157" i="12"/>
  <c r="CF1157" i="12"/>
  <c r="CI1156" i="12"/>
  <c r="CH1156" i="12"/>
  <c r="CG1156" i="12"/>
  <c r="CF1156" i="12"/>
  <c r="CI1155" i="12"/>
  <c r="CH1155" i="12"/>
  <c r="CG1155" i="12"/>
  <c r="CF1155" i="12"/>
  <c r="CI1154" i="12"/>
  <c r="CH1154" i="12"/>
  <c r="CG1154" i="12"/>
  <c r="CF1154" i="12"/>
  <c r="CI1153" i="12"/>
  <c r="CH1153" i="12"/>
  <c r="CG1153" i="12"/>
  <c r="CF1153" i="12"/>
  <c r="CI1152" i="12"/>
  <c r="CH1152" i="12"/>
  <c r="CG1152" i="12"/>
  <c r="CF1152" i="12"/>
  <c r="CI1151" i="12"/>
  <c r="CH1151" i="12"/>
  <c r="CG1151" i="12"/>
  <c r="CF1151" i="12"/>
  <c r="CI1150" i="12"/>
  <c r="CH1150" i="12"/>
  <c r="CG1150" i="12"/>
  <c r="CF1150" i="12"/>
  <c r="CI1149" i="12"/>
  <c r="CH1149" i="12"/>
  <c r="CG1149" i="12"/>
  <c r="CF1149" i="12"/>
  <c r="CI1148" i="12"/>
  <c r="CH1148" i="12"/>
  <c r="CG1148" i="12"/>
  <c r="CF1148" i="12"/>
  <c r="CI1147" i="12"/>
  <c r="CH1147" i="12"/>
  <c r="CG1147" i="12"/>
  <c r="CF1147" i="12"/>
  <c r="CI1146" i="12"/>
  <c r="CH1146" i="12"/>
  <c r="CG1146" i="12"/>
  <c r="CF1146" i="12"/>
  <c r="CI1145" i="12"/>
  <c r="CH1145" i="12"/>
  <c r="CG1145" i="12"/>
  <c r="CF1145" i="12"/>
  <c r="CI1144" i="12"/>
  <c r="CH1144" i="12"/>
  <c r="CG1144" i="12"/>
  <c r="CF1144" i="12"/>
  <c r="CI1143" i="12"/>
  <c r="CH1143" i="12"/>
  <c r="CG1143" i="12"/>
  <c r="CF1143" i="12"/>
  <c r="CI1142" i="12"/>
  <c r="CH1142" i="12"/>
  <c r="CG1142" i="12"/>
  <c r="CF1142" i="12"/>
  <c r="CI1141" i="12"/>
  <c r="CH1141" i="12"/>
  <c r="CG1141" i="12"/>
  <c r="CF1141" i="12"/>
  <c r="CI1140" i="12"/>
  <c r="CH1140" i="12"/>
  <c r="CG1140" i="12"/>
  <c r="CF1140" i="12"/>
  <c r="CI1139" i="12"/>
  <c r="CH1139" i="12"/>
  <c r="CG1139" i="12"/>
  <c r="CF1139" i="12"/>
  <c r="CI1138" i="12"/>
  <c r="CH1138" i="12"/>
  <c r="CG1138" i="12"/>
  <c r="CF1138" i="12"/>
  <c r="CI1137" i="12"/>
  <c r="CH1137" i="12"/>
  <c r="CG1137" i="12"/>
  <c r="CF1137" i="12"/>
  <c r="CI1136" i="12"/>
  <c r="CH1136" i="12"/>
  <c r="CG1136" i="12"/>
  <c r="CF1136" i="12"/>
  <c r="CI1135" i="12"/>
  <c r="CH1135" i="12"/>
  <c r="CG1135" i="12"/>
  <c r="CF1135" i="12"/>
  <c r="CI1134" i="12"/>
  <c r="CH1134" i="12"/>
  <c r="CG1134" i="12"/>
  <c r="CF1134" i="12"/>
  <c r="CI1133" i="12"/>
  <c r="CH1133" i="12"/>
  <c r="CG1133" i="12"/>
  <c r="CF1133" i="12"/>
  <c r="CI1132" i="12"/>
  <c r="CH1132" i="12"/>
  <c r="CG1132" i="12"/>
  <c r="CF1132" i="12"/>
  <c r="CI1131" i="12"/>
  <c r="CH1131" i="12"/>
  <c r="CG1131" i="12"/>
  <c r="CF1131" i="12"/>
  <c r="CI1130" i="12"/>
  <c r="CH1130" i="12"/>
  <c r="CG1130" i="12"/>
  <c r="CF1130" i="12"/>
  <c r="CI1129" i="12"/>
  <c r="CH1129" i="12"/>
  <c r="CG1129" i="12"/>
  <c r="CF1129" i="12"/>
  <c r="CI1128" i="12"/>
  <c r="CH1128" i="12"/>
  <c r="CG1128" i="12"/>
  <c r="CF1128" i="12"/>
  <c r="CI1127" i="12"/>
  <c r="CH1127" i="12"/>
  <c r="CG1127" i="12"/>
  <c r="CF1127" i="12"/>
  <c r="CI1126" i="12"/>
  <c r="CH1126" i="12"/>
  <c r="CG1126" i="12"/>
  <c r="CF1126" i="12"/>
  <c r="CI1125" i="12"/>
  <c r="CH1125" i="12"/>
  <c r="CG1125" i="12"/>
  <c r="CF1125" i="12"/>
  <c r="CI1124" i="12"/>
  <c r="CH1124" i="12"/>
  <c r="CG1124" i="12"/>
  <c r="CF1124" i="12"/>
  <c r="CI1123" i="12"/>
  <c r="CH1123" i="12"/>
  <c r="CG1123" i="12"/>
  <c r="CF1123" i="12"/>
  <c r="CI1122" i="12"/>
  <c r="CH1122" i="12"/>
  <c r="CG1122" i="12"/>
  <c r="CF1122" i="12"/>
  <c r="CI1121" i="12"/>
  <c r="CH1121" i="12"/>
  <c r="CG1121" i="12"/>
  <c r="CF1121" i="12"/>
  <c r="CI1120" i="12"/>
  <c r="CH1120" i="12"/>
  <c r="CG1120" i="12"/>
  <c r="CF1120" i="12"/>
  <c r="CI1119" i="12"/>
  <c r="CH1119" i="12"/>
  <c r="CG1119" i="12"/>
  <c r="CF1119" i="12"/>
  <c r="CI1118" i="12"/>
  <c r="CH1118" i="12"/>
  <c r="CG1118" i="12"/>
  <c r="CF1118" i="12"/>
  <c r="CI1117" i="12"/>
  <c r="CH1117" i="12"/>
  <c r="CG1117" i="12"/>
  <c r="CF1117" i="12"/>
  <c r="CI1116" i="12"/>
  <c r="CH1116" i="12"/>
  <c r="CG1116" i="12"/>
  <c r="CF1116" i="12"/>
  <c r="CI1115" i="12"/>
  <c r="CH1115" i="12"/>
  <c r="CG1115" i="12"/>
  <c r="CF1115" i="12"/>
  <c r="CI1114" i="12"/>
  <c r="CH1114" i="12"/>
  <c r="CG1114" i="12"/>
  <c r="CF1114" i="12"/>
  <c r="CI1113" i="12"/>
  <c r="CH1113" i="12"/>
  <c r="CG1113" i="12"/>
  <c r="CF1113" i="12"/>
  <c r="CI1112" i="12"/>
  <c r="CH1112" i="12"/>
  <c r="CG1112" i="12"/>
  <c r="CF1112" i="12"/>
  <c r="CI1111" i="12"/>
  <c r="CH1111" i="12"/>
  <c r="CG1111" i="12"/>
  <c r="CF1111" i="12"/>
  <c r="CI1110" i="12"/>
  <c r="CH1110" i="12"/>
  <c r="CG1110" i="12"/>
  <c r="CF1110" i="12"/>
  <c r="CI1109" i="12"/>
  <c r="CH1109" i="12"/>
  <c r="CG1109" i="12"/>
  <c r="CF1109" i="12"/>
  <c r="CI1108" i="12"/>
  <c r="CH1108" i="12"/>
  <c r="CG1108" i="12"/>
  <c r="CF1108" i="12"/>
  <c r="CI1107" i="12"/>
  <c r="CH1107" i="12"/>
  <c r="CG1107" i="12"/>
  <c r="CF1107" i="12"/>
  <c r="CI1106" i="12"/>
  <c r="CH1106" i="12"/>
  <c r="CG1106" i="12"/>
  <c r="CF1106" i="12"/>
  <c r="CI1105" i="12"/>
  <c r="CH1105" i="12"/>
  <c r="CG1105" i="12"/>
  <c r="CF1105" i="12"/>
  <c r="CI1104" i="12"/>
  <c r="CH1104" i="12"/>
  <c r="CG1104" i="12"/>
  <c r="CF1104" i="12"/>
  <c r="CI1103" i="12"/>
  <c r="CH1103" i="12"/>
  <c r="CG1103" i="12"/>
  <c r="CF1103" i="12"/>
  <c r="CI1102" i="12"/>
  <c r="CH1102" i="12"/>
  <c r="CG1102" i="12"/>
  <c r="CF1102" i="12"/>
  <c r="CI1101" i="12"/>
  <c r="CH1101" i="12"/>
  <c r="CG1101" i="12"/>
  <c r="CF1101" i="12"/>
  <c r="CI1100" i="12"/>
  <c r="CH1100" i="12"/>
  <c r="CG1100" i="12"/>
  <c r="CF1100" i="12"/>
  <c r="CI1099" i="12"/>
  <c r="CH1099" i="12"/>
  <c r="CG1099" i="12"/>
  <c r="CF1099" i="12"/>
  <c r="CI1098" i="12"/>
  <c r="CH1098" i="12"/>
  <c r="CG1098" i="12"/>
  <c r="CF1098" i="12"/>
  <c r="CI1097" i="12"/>
  <c r="CH1097" i="12"/>
  <c r="CG1097" i="12"/>
  <c r="CF1097" i="12"/>
  <c r="CI1096" i="12"/>
  <c r="CH1096" i="12"/>
  <c r="CG1096" i="12"/>
  <c r="CF1096" i="12"/>
  <c r="CI1095" i="12"/>
  <c r="CH1095" i="12"/>
  <c r="CG1095" i="12"/>
  <c r="CF1095" i="12"/>
  <c r="CI1094" i="12"/>
  <c r="CH1094" i="12"/>
  <c r="CG1094" i="12"/>
  <c r="CF1094" i="12"/>
  <c r="CI1093" i="12"/>
  <c r="CH1093" i="12"/>
  <c r="CG1093" i="12"/>
  <c r="CF1093" i="12"/>
  <c r="CI1092" i="12"/>
  <c r="CH1092" i="12"/>
  <c r="CG1092" i="12"/>
  <c r="CF1092" i="12"/>
  <c r="CI1091" i="12"/>
  <c r="CH1091" i="12"/>
  <c r="CG1091" i="12"/>
  <c r="CF1091" i="12"/>
  <c r="CI1090" i="12"/>
  <c r="CH1090" i="12"/>
  <c r="CG1090" i="12"/>
  <c r="CF1090" i="12"/>
  <c r="CI1089" i="12"/>
  <c r="CH1089" i="12"/>
  <c r="CG1089" i="12"/>
  <c r="CF1089" i="12"/>
  <c r="CI1088" i="12"/>
  <c r="CH1088" i="12"/>
  <c r="CG1088" i="12"/>
  <c r="CF1088" i="12"/>
  <c r="CI1087" i="12"/>
  <c r="CH1087" i="12"/>
  <c r="CG1087" i="12"/>
  <c r="CF1087" i="12"/>
  <c r="CI1086" i="12"/>
  <c r="CH1086" i="12"/>
  <c r="CG1086" i="12"/>
  <c r="CF1086" i="12"/>
  <c r="CI1085" i="12"/>
  <c r="CH1085" i="12"/>
  <c r="CG1085" i="12"/>
  <c r="CF1085" i="12"/>
  <c r="CI1084" i="12"/>
  <c r="CH1084" i="12"/>
  <c r="CG1084" i="12"/>
  <c r="CF1084" i="12"/>
  <c r="CI1083" i="12"/>
  <c r="CH1083" i="12"/>
  <c r="CG1083" i="12"/>
  <c r="CF1083" i="12"/>
  <c r="CI1082" i="12"/>
  <c r="CH1082" i="12"/>
  <c r="CG1082" i="12"/>
  <c r="CF1082" i="12"/>
  <c r="CI1081" i="12"/>
  <c r="CH1081" i="12"/>
  <c r="CG1081" i="12"/>
  <c r="CF1081" i="12"/>
  <c r="CI1080" i="12"/>
  <c r="CH1080" i="12"/>
  <c r="CG1080" i="12"/>
  <c r="CF1080" i="12"/>
  <c r="CI1079" i="12"/>
  <c r="CH1079" i="12"/>
  <c r="CG1079" i="12"/>
  <c r="CF1079" i="12"/>
  <c r="CI1078" i="12"/>
  <c r="CH1078" i="12"/>
  <c r="CG1078" i="12"/>
  <c r="CF1078" i="12"/>
  <c r="CI1077" i="12"/>
  <c r="CH1077" i="12"/>
  <c r="CG1077" i="12"/>
  <c r="CF1077" i="12"/>
  <c r="CI1076" i="12"/>
  <c r="CH1076" i="12"/>
  <c r="CG1076" i="12"/>
  <c r="CF1076" i="12"/>
  <c r="CI1075" i="12"/>
  <c r="CH1075" i="12"/>
  <c r="CG1075" i="12"/>
  <c r="CF1075" i="12"/>
  <c r="CI1074" i="12"/>
  <c r="CH1074" i="12"/>
  <c r="CG1074" i="12"/>
  <c r="CF1074" i="12"/>
  <c r="CI1073" i="12"/>
  <c r="CH1073" i="12"/>
  <c r="CG1073" i="12"/>
  <c r="CF1073" i="12"/>
  <c r="CI1072" i="12"/>
  <c r="CH1072" i="12"/>
  <c r="CG1072" i="12"/>
  <c r="CF1072" i="12"/>
  <c r="CI1071" i="12"/>
  <c r="CH1071" i="12"/>
  <c r="CG1071" i="12"/>
  <c r="CF1071" i="12"/>
  <c r="CI1070" i="12"/>
  <c r="CH1070" i="12"/>
  <c r="CG1070" i="12"/>
  <c r="CF1070" i="12"/>
  <c r="CI1069" i="12"/>
  <c r="CH1069" i="12"/>
  <c r="CG1069" i="12"/>
  <c r="CF1069" i="12"/>
  <c r="CI1068" i="12"/>
  <c r="CH1068" i="12"/>
  <c r="CG1068" i="12"/>
  <c r="CF1068" i="12"/>
  <c r="CI1067" i="12"/>
  <c r="CH1067" i="12"/>
  <c r="CG1067" i="12"/>
  <c r="CF1067" i="12"/>
  <c r="CI1066" i="12"/>
  <c r="CH1066" i="12"/>
  <c r="CG1066" i="12"/>
  <c r="CF1066" i="12"/>
  <c r="CI1065" i="12"/>
  <c r="CH1065" i="12"/>
  <c r="CG1065" i="12"/>
  <c r="CF1065" i="12"/>
  <c r="CI1064" i="12"/>
  <c r="CH1064" i="12"/>
  <c r="CG1064" i="12"/>
  <c r="CF1064" i="12"/>
  <c r="CI1063" i="12"/>
  <c r="CH1063" i="12"/>
  <c r="CG1063" i="12"/>
  <c r="CF1063" i="12"/>
  <c r="CI1062" i="12"/>
  <c r="CH1062" i="12"/>
  <c r="CG1062" i="12"/>
  <c r="CF1062" i="12"/>
  <c r="CI1061" i="12"/>
  <c r="CH1061" i="12"/>
  <c r="CG1061" i="12"/>
  <c r="CF1061" i="12"/>
  <c r="CI1060" i="12"/>
  <c r="CH1060" i="12"/>
  <c r="CG1060" i="12"/>
  <c r="CF1060" i="12"/>
  <c r="CI1059" i="12"/>
  <c r="CH1059" i="12"/>
  <c r="CG1059" i="12"/>
  <c r="CF1059" i="12"/>
  <c r="CI1058" i="12"/>
  <c r="CH1058" i="12"/>
  <c r="CG1058" i="12"/>
  <c r="CF1058" i="12"/>
  <c r="CI1057" i="12"/>
  <c r="CH1057" i="12"/>
  <c r="CG1057" i="12"/>
  <c r="CF1057" i="12"/>
  <c r="CI1056" i="12"/>
  <c r="CH1056" i="12"/>
  <c r="CG1056" i="12"/>
  <c r="CF1056" i="12"/>
  <c r="CI1055" i="12"/>
  <c r="CH1055" i="12"/>
  <c r="CG1055" i="12"/>
  <c r="CF1055" i="12"/>
  <c r="CI1054" i="12"/>
  <c r="CH1054" i="12"/>
  <c r="CG1054" i="12"/>
  <c r="CF1054" i="12"/>
  <c r="CI1053" i="12"/>
  <c r="CH1053" i="12"/>
  <c r="CG1053" i="12"/>
  <c r="CF1053" i="12"/>
  <c r="CI1052" i="12"/>
  <c r="CH1052" i="12"/>
  <c r="CG1052" i="12"/>
  <c r="CF1052" i="12"/>
  <c r="CI1051" i="12"/>
  <c r="CH1051" i="12"/>
  <c r="CG1051" i="12"/>
  <c r="CF1051" i="12"/>
  <c r="CI1050" i="12"/>
  <c r="CH1050" i="12"/>
  <c r="CG1050" i="12"/>
  <c r="CF1050" i="12"/>
  <c r="CI1049" i="12"/>
  <c r="CH1049" i="12"/>
  <c r="CG1049" i="12"/>
  <c r="CF1049" i="12"/>
  <c r="CI1048" i="12"/>
  <c r="CH1048" i="12"/>
  <c r="CG1048" i="12"/>
  <c r="CF1048" i="12"/>
  <c r="CI1047" i="12"/>
  <c r="CH1047" i="12"/>
  <c r="CG1047" i="12"/>
  <c r="CF1047" i="12"/>
  <c r="CI1046" i="12"/>
  <c r="CH1046" i="12"/>
  <c r="CG1046" i="12"/>
  <c r="CF1046" i="12"/>
  <c r="CI1045" i="12"/>
  <c r="CH1045" i="12"/>
  <c r="CG1045" i="12"/>
  <c r="CF1045" i="12"/>
  <c r="CI1044" i="12"/>
  <c r="CH1044" i="12"/>
  <c r="CG1044" i="12"/>
  <c r="CF1044" i="12"/>
  <c r="CI1043" i="12"/>
  <c r="CH1043" i="12"/>
  <c r="CG1043" i="12"/>
  <c r="CF1043" i="12"/>
  <c r="CI1042" i="12"/>
  <c r="CH1042" i="12"/>
  <c r="CG1042" i="12"/>
  <c r="CF1042" i="12"/>
  <c r="CI1041" i="12"/>
  <c r="CH1041" i="12"/>
  <c r="CG1041" i="12"/>
  <c r="CF1041" i="12"/>
  <c r="CI1040" i="12"/>
  <c r="CH1040" i="12"/>
  <c r="CG1040" i="12"/>
  <c r="CF1040" i="12"/>
  <c r="CI1039" i="12"/>
  <c r="CH1039" i="12"/>
  <c r="CG1039" i="12"/>
  <c r="CF1039" i="12"/>
  <c r="CI1038" i="12"/>
  <c r="CH1038" i="12"/>
  <c r="CG1038" i="12"/>
  <c r="CF1038" i="12"/>
  <c r="CI1037" i="12"/>
  <c r="CH1037" i="12"/>
  <c r="CG1037" i="12"/>
  <c r="CF1037" i="12"/>
  <c r="CI1036" i="12"/>
  <c r="CH1036" i="12"/>
  <c r="CG1036" i="12"/>
  <c r="CF1036" i="12"/>
  <c r="CI1035" i="12"/>
  <c r="CH1035" i="12"/>
  <c r="CG1035" i="12"/>
  <c r="CF1035" i="12"/>
  <c r="CI1034" i="12"/>
  <c r="CH1034" i="12"/>
  <c r="CG1034" i="12"/>
  <c r="CF1034" i="12"/>
  <c r="CI1033" i="12"/>
  <c r="CH1033" i="12"/>
  <c r="CG1033" i="12"/>
  <c r="CF1033" i="12"/>
  <c r="CI1032" i="12"/>
  <c r="CH1032" i="12"/>
  <c r="CG1032" i="12"/>
  <c r="CF1032" i="12"/>
  <c r="CI1031" i="12"/>
  <c r="CH1031" i="12"/>
  <c r="CG1031" i="12"/>
  <c r="CF1031" i="12"/>
  <c r="CI1030" i="12"/>
  <c r="CH1030" i="12"/>
  <c r="CG1030" i="12"/>
  <c r="CF1030" i="12"/>
  <c r="CI1029" i="12"/>
  <c r="CH1029" i="12"/>
  <c r="CG1029" i="12"/>
  <c r="CF1029" i="12"/>
  <c r="CI1028" i="12"/>
  <c r="CH1028" i="12"/>
  <c r="CG1028" i="12"/>
  <c r="CF1028" i="12"/>
  <c r="CI1027" i="12"/>
  <c r="CH1027" i="12"/>
  <c r="CG1027" i="12"/>
  <c r="CF1027" i="12"/>
  <c r="CI1026" i="12"/>
  <c r="CH1026" i="12"/>
  <c r="CG1026" i="12"/>
  <c r="CF1026" i="12"/>
  <c r="CI1025" i="12"/>
  <c r="CH1025" i="12"/>
  <c r="CG1025" i="12"/>
  <c r="CF1025" i="12"/>
  <c r="CI1024" i="12"/>
  <c r="CH1024" i="12"/>
  <c r="CG1024" i="12"/>
  <c r="CF1024" i="12"/>
  <c r="CI1023" i="12"/>
  <c r="CH1023" i="12"/>
  <c r="CG1023" i="12"/>
  <c r="CF1023" i="12"/>
  <c r="CI1022" i="12"/>
  <c r="CH1022" i="12"/>
  <c r="CG1022" i="12"/>
  <c r="CF1022" i="12"/>
  <c r="CI1021" i="12"/>
  <c r="CH1021" i="12"/>
  <c r="CG1021" i="12"/>
  <c r="CF1021" i="12"/>
  <c r="CI1020" i="12"/>
  <c r="CH1020" i="12"/>
  <c r="CG1020" i="12"/>
  <c r="CF1020" i="12"/>
  <c r="CI1019" i="12"/>
  <c r="CH1019" i="12"/>
  <c r="CG1019" i="12"/>
  <c r="CF1019" i="12"/>
  <c r="CI1018" i="12"/>
  <c r="CH1018" i="12"/>
  <c r="CG1018" i="12"/>
  <c r="CF1018" i="12"/>
  <c r="CI1017" i="12"/>
  <c r="CH1017" i="12"/>
  <c r="CG1017" i="12"/>
  <c r="CF1017" i="12"/>
  <c r="CI1016" i="12"/>
  <c r="CH1016" i="12"/>
  <c r="CG1016" i="12"/>
  <c r="CF1016" i="12"/>
  <c r="CI1015" i="12"/>
  <c r="CH1015" i="12"/>
  <c r="CG1015" i="12"/>
  <c r="CF1015" i="12"/>
  <c r="CI1014" i="12"/>
  <c r="CH1014" i="12"/>
  <c r="CG1014" i="12"/>
  <c r="CF1014" i="12"/>
  <c r="CI1013" i="12"/>
  <c r="CH1013" i="12"/>
  <c r="CG1013" i="12"/>
  <c r="CF1013" i="12"/>
  <c r="CI1012" i="12"/>
  <c r="CH1012" i="12"/>
  <c r="CG1012" i="12"/>
  <c r="CF1012" i="12"/>
  <c r="CI1011" i="12"/>
  <c r="CH1011" i="12"/>
  <c r="CG1011" i="12"/>
  <c r="CF1011" i="12"/>
  <c r="CI1010" i="12"/>
  <c r="CH1010" i="12"/>
  <c r="CG1010" i="12"/>
  <c r="CF1010" i="12"/>
  <c r="CI1009" i="12"/>
  <c r="CH1009" i="12"/>
  <c r="CG1009" i="12"/>
  <c r="CF1009" i="12"/>
  <c r="CI1008" i="12"/>
  <c r="CH1008" i="12"/>
  <c r="CG1008" i="12"/>
  <c r="CF1008" i="12"/>
  <c r="CI1007" i="12"/>
  <c r="CH1007" i="12"/>
  <c r="CG1007" i="12"/>
  <c r="CF1007" i="12"/>
  <c r="CI1006" i="12"/>
  <c r="CH1006" i="12"/>
  <c r="CG1006" i="12"/>
  <c r="CF1006" i="12"/>
  <c r="CI1005" i="12"/>
  <c r="CH1005" i="12"/>
  <c r="CG1005" i="12"/>
  <c r="CF1005" i="12"/>
  <c r="CI1004" i="12"/>
  <c r="CH1004" i="12"/>
  <c r="CG1004" i="12"/>
  <c r="CF1004" i="12"/>
  <c r="CI1003" i="12"/>
  <c r="CH1003" i="12"/>
  <c r="CG1003" i="12"/>
  <c r="CF1003" i="12"/>
  <c r="CI1002" i="12"/>
  <c r="CH1002" i="12"/>
  <c r="CG1002" i="12"/>
  <c r="CF1002" i="12"/>
  <c r="CI1001" i="12"/>
  <c r="CH1001" i="12"/>
  <c r="CG1001" i="12"/>
  <c r="CF1001" i="12"/>
  <c r="CI1000" i="12"/>
  <c r="CH1000" i="12"/>
  <c r="CG1000" i="12"/>
  <c r="CF1000" i="12"/>
  <c r="CI999" i="12"/>
  <c r="CH999" i="12"/>
  <c r="CG999" i="12"/>
  <c r="CF999" i="12"/>
  <c r="CI998" i="12"/>
  <c r="CH998" i="12"/>
  <c r="CG998" i="12"/>
  <c r="CF998" i="12"/>
  <c r="CI997" i="12"/>
  <c r="CH997" i="12"/>
  <c r="CG997" i="12"/>
  <c r="CF997" i="12"/>
  <c r="CI996" i="12"/>
  <c r="CH996" i="12"/>
  <c r="CG996" i="12"/>
  <c r="CF996" i="12"/>
  <c r="CI995" i="12"/>
  <c r="CH995" i="12"/>
  <c r="CG995" i="12"/>
  <c r="CF995" i="12"/>
  <c r="CI994" i="12"/>
  <c r="CH994" i="12"/>
  <c r="CG994" i="12"/>
  <c r="CF994" i="12"/>
  <c r="CI993" i="12"/>
  <c r="CH993" i="12"/>
  <c r="CG993" i="12"/>
  <c r="CF993" i="12"/>
  <c r="CI992" i="12"/>
  <c r="CH992" i="12"/>
  <c r="CG992" i="12"/>
  <c r="CF992" i="12"/>
  <c r="CI991" i="12"/>
  <c r="CH991" i="12"/>
  <c r="CG991" i="12"/>
  <c r="CF991" i="12"/>
  <c r="CI990" i="12"/>
  <c r="CH990" i="12"/>
  <c r="CG990" i="12"/>
  <c r="CF990" i="12"/>
  <c r="CI989" i="12"/>
  <c r="CH989" i="12"/>
  <c r="CG989" i="12"/>
  <c r="CF989" i="12"/>
  <c r="CI988" i="12"/>
  <c r="CH988" i="12"/>
  <c r="CG988" i="12"/>
  <c r="CF988" i="12"/>
  <c r="CI987" i="12"/>
  <c r="CH987" i="12"/>
  <c r="CG987" i="12"/>
  <c r="CF987" i="12"/>
  <c r="CI986" i="12"/>
  <c r="CH986" i="12"/>
  <c r="CG986" i="12"/>
  <c r="CF986" i="12"/>
  <c r="CI985" i="12"/>
  <c r="CH985" i="12"/>
  <c r="CG985" i="12"/>
  <c r="CF985" i="12"/>
  <c r="CI984" i="12"/>
  <c r="CH984" i="12"/>
  <c r="CG984" i="12"/>
  <c r="CF984" i="12"/>
  <c r="CI983" i="12"/>
  <c r="CH983" i="12"/>
  <c r="CG983" i="12"/>
  <c r="CF983" i="12"/>
  <c r="CI982" i="12"/>
  <c r="CH982" i="12"/>
  <c r="CG982" i="12"/>
  <c r="CF982" i="12"/>
  <c r="CI981" i="12"/>
  <c r="CH981" i="12"/>
  <c r="CG981" i="12"/>
  <c r="CF981" i="12"/>
  <c r="CI980" i="12"/>
  <c r="CH980" i="12"/>
  <c r="CG980" i="12"/>
  <c r="CF980" i="12"/>
  <c r="CI979" i="12"/>
  <c r="CH979" i="12"/>
  <c r="CG979" i="12"/>
  <c r="CF979" i="12"/>
  <c r="CI978" i="12"/>
  <c r="CH978" i="12"/>
  <c r="CG978" i="12"/>
  <c r="CF978" i="12"/>
  <c r="CI977" i="12"/>
  <c r="CH977" i="12"/>
  <c r="CG977" i="12"/>
  <c r="CF977" i="12"/>
  <c r="CI976" i="12"/>
  <c r="CH976" i="12"/>
  <c r="CG976" i="12"/>
  <c r="CF976" i="12"/>
  <c r="CI975" i="12"/>
  <c r="CH975" i="12"/>
  <c r="CG975" i="12"/>
  <c r="CF975" i="12"/>
  <c r="CI974" i="12"/>
  <c r="CH974" i="12"/>
  <c r="CG974" i="12"/>
  <c r="CF974" i="12"/>
  <c r="CI973" i="12"/>
  <c r="CH973" i="12"/>
  <c r="CG973" i="12"/>
  <c r="CF973" i="12"/>
  <c r="CI972" i="12"/>
  <c r="CH972" i="12"/>
  <c r="CG972" i="12"/>
  <c r="CF972" i="12"/>
  <c r="CI971" i="12"/>
  <c r="CH971" i="12"/>
  <c r="CG971" i="12"/>
  <c r="CF971" i="12"/>
  <c r="CI970" i="12"/>
  <c r="CH970" i="12"/>
  <c r="CG970" i="12"/>
  <c r="CF970" i="12"/>
  <c r="CI969" i="12"/>
  <c r="CH969" i="12"/>
  <c r="CG969" i="12"/>
  <c r="CF969" i="12"/>
  <c r="CI968" i="12"/>
  <c r="CH968" i="12"/>
  <c r="CG968" i="12"/>
  <c r="CF968" i="12"/>
  <c r="CI967" i="12"/>
  <c r="CH967" i="12"/>
  <c r="CG967" i="12"/>
  <c r="CF967" i="12"/>
  <c r="CI966" i="12"/>
  <c r="CH966" i="12"/>
  <c r="CG966" i="12"/>
  <c r="CF966" i="12"/>
  <c r="CI965" i="12"/>
  <c r="CH965" i="12"/>
  <c r="CG965" i="12"/>
  <c r="CF965" i="12"/>
  <c r="CI964" i="12"/>
  <c r="CH964" i="12"/>
  <c r="CG964" i="12"/>
  <c r="CF964" i="12"/>
  <c r="CI963" i="12"/>
  <c r="CH963" i="12"/>
  <c r="CG963" i="12"/>
  <c r="CF963" i="12"/>
  <c r="CI962" i="12"/>
  <c r="CH962" i="12"/>
  <c r="CG962" i="12"/>
  <c r="CF962" i="12"/>
  <c r="CI961" i="12"/>
  <c r="CH961" i="12"/>
  <c r="CG961" i="12"/>
  <c r="CF961" i="12"/>
  <c r="CI960" i="12"/>
  <c r="CH960" i="12"/>
  <c r="CG960" i="12"/>
  <c r="CF960" i="12"/>
  <c r="CI959" i="12"/>
  <c r="CH959" i="12"/>
  <c r="CG959" i="12"/>
  <c r="CF959" i="12"/>
  <c r="CI958" i="12"/>
  <c r="CH958" i="12"/>
  <c r="CG958" i="12"/>
  <c r="CF958" i="12"/>
  <c r="CI957" i="12"/>
  <c r="CH957" i="12"/>
  <c r="CG957" i="12"/>
  <c r="CF957" i="12"/>
  <c r="CI956" i="12"/>
  <c r="CH956" i="12"/>
  <c r="CG956" i="12"/>
  <c r="CF956" i="12"/>
  <c r="CI955" i="12"/>
  <c r="CH955" i="12"/>
  <c r="CG955" i="12"/>
  <c r="CF955" i="12"/>
  <c r="CI954" i="12"/>
  <c r="CH954" i="12"/>
  <c r="CG954" i="12"/>
  <c r="CF954" i="12"/>
  <c r="CI953" i="12"/>
  <c r="CH953" i="12"/>
  <c r="CG953" i="12"/>
  <c r="CF953" i="12"/>
  <c r="CI952" i="12"/>
  <c r="CH952" i="12"/>
  <c r="CG952" i="12"/>
  <c r="CF952" i="12"/>
  <c r="CI951" i="12"/>
  <c r="CH951" i="12"/>
  <c r="CG951" i="12"/>
  <c r="CF951" i="12"/>
  <c r="CI950" i="12"/>
  <c r="CH950" i="12"/>
  <c r="CG950" i="12"/>
  <c r="CF950" i="12"/>
  <c r="CI949" i="12"/>
  <c r="CH949" i="12"/>
  <c r="CG949" i="12"/>
  <c r="CF949" i="12"/>
  <c r="CI948" i="12"/>
  <c r="CH948" i="12"/>
  <c r="CG948" i="12"/>
  <c r="CF948" i="12"/>
  <c r="CI947" i="12"/>
  <c r="CH947" i="12"/>
  <c r="CG947" i="12"/>
  <c r="CF947" i="12"/>
  <c r="CI946" i="12"/>
  <c r="CH946" i="12"/>
  <c r="CG946" i="12"/>
  <c r="CF946" i="12"/>
  <c r="CI945" i="12"/>
  <c r="CH945" i="12"/>
  <c r="CG945" i="12"/>
  <c r="CF945" i="12"/>
  <c r="CI944" i="12"/>
  <c r="CH944" i="12"/>
  <c r="CG944" i="12"/>
  <c r="CF944" i="12"/>
  <c r="CI943" i="12"/>
  <c r="CH943" i="12"/>
  <c r="CG943" i="12"/>
  <c r="CF943" i="12"/>
  <c r="CI942" i="12"/>
  <c r="CH942" i="12"/>
  <c r="CG942" i="12"/>
  <c r="CF942" i="12"/>
  <c r="CI941" i="12"/>
  <c r="CH941" i="12"/>
  <c r="CG941" i="12"/>
  <c r="CF941" i="12"/>
  <c r="CI940" i="12"/>
  <c r="CH940" i="12"/>
  <c r="CG940" i="12"/>
  <c r="CF940" i="12"/>
  <c r="CI939" i="12"/>
  <c r="CH939" i="12"/>
  <c r="CG939" i="12"/>
  <c r="CF939" i="12"/>
  <c r="CI938" i="12"/>
  <c r="CH938" i="12"/>
  <c r="CG938" i="12"/>
  <c r="CF938" i="12"/>
  <c r="CI937" i="12"/>
  <c r="CH937" i="12"/>
  <c r="CG937" i="12"/>
  <c r="CF937" i="12"/>
  <c r="CI936" i="12"/>
  <c r="CH936" i="12"/>
  <c r="CG936" i="12"/>
  <c r="CF936" i="12"/>
  <c r="CI935" i="12"/>
  <c r="CH935" i="12"/>
  <c r="CG935" i="12"/>
  <c r="CF935" i="12"/>
  <c r="CI934" i="12"/>
  <c r="CH934" i="12"/>
  <c r="CG934" i="12"/>
  <c r="CF934" i="12"/>
  <c r="CI933" i="12"/>
  <c r="CH933" i="12"/>
  <c r="CG933" i="12"/>
  <c r="CF933" i="12"/>
  <c r="CI932" i="12"/>
  <c r="CH932" i="12"/>
  <c r="CG932" i="12"/>
  <c r="CF932" i="12"/>
  <c r="CI931" i="12"/>
  <c r="CH931" i="12"/>
  <c r="CG931" i="12"/>
  <c r="CF931" i="12"/>
  <c r="CI930" i="12"/>
  <c r="CH930" i="12"/>
  <c r="CG930" i="12"/>
  <c r="CF930" i="12"/>
  <c r="CI929" i="12"/>
  <c r="CH929" i="12"/>
  <c r="CG929" i="12"/>
  <c r="CF929" i="12"/>
  <c r="CI928" i="12"/>
  <c r="CH928" i="12"/>
  <c r="CG928" i="12"/>
  <c r="CF928" i="12"/>
  <c r="CI927" i="12"/>
  <c r="CH927" i="12"/>
  <c r="CG927" i="12"/>
  <c r="CF927" i="12"/>
  <c r="CI926" i="12"/>
  <c r="CH926" i="12"/>
  <c r="CG926" i="12"/>
  <c r="CF926" i="12"/>
  <c r="CI925" i="12"/>
  <c r="CH925" i="12"/>
  <c r="CG925" i="12"/>
  <c r="CF925" i="12"/>
  <c r="CI924" i="12"/>
  <c r="CH924" i="12"/>
  <c r="CG924" i="12"/>
  <c r="CF924" i="12"/>
  <c r="CI923" i="12"/>
  <c r="CH923" i="12"/>
  <c r="CG923" i="12"/>
  <c r="CF923" i="12"/>
  <c r="CI922" i="12"/>
  <c r="CH922" i="12"/>
  <c r="CG922" i="12"/>
  <c r="CF922" i="12"/>
  <c r="CI921" i="12"/>
  <c r="CH921" i="12"/>
  <c r="CG921" i="12"/>
  <c r="CF921" i="12"/>
  <c r="CI920" i="12"/>
  <c r="CH920" i="12"/>
  <c r="CG920" i="12"/>
  <c r="CF920" i="12"/>
  <c r="CI919" i="12"/>
  <c r="CH919" i="12"/>
  <c r="CG919" i="12"/>
  <c r="CF919" i="12"/>
  <c r="CI918" i="12"/>
  <c r="CH918" i="12"/>
  <c r="CG918" i="12"/>
  <c r="CF918" i="12"/>
  <c r="CI917" i="12"/>
  <c r="CH917" i="12"/>
  <c r="CG917" i="12"/>
  <c r="CF917" i="12"/>
  <c r="CI916" i="12"/>
  <c r="CH916" i="12"/>
  <c r="CG916" i="12"/>
  <c r="CF916" i="12"/>
  <c r="CI915" i="12"/>
  <c r="CH915" i="12"/>
  <c r="CG915" i="12"/>
  <c r="CF915" i="12"/>
  <c r="CI914" i="12"/>
  <c r="CH914" i="12"/>
  <c r="CG914" i="12"/>
  <c r="CF914" i="12"/>
  <c r="CI913" i="12"/>
  <c r="CH913" i="12"/>
  <c r="CG913" i="12"/>
  <c r="CF913" i="12"/>
  <c r="CI912" i="12"/>
  <c r="CH912" i="12"/>
  <c r="CG912" i="12"/>
  <c r="CF912" i="12"/>
  <c r="CI911" i="12"/>
  <c r="CH911" i="12"/>
  <c r="CG911" i="12"/>
  <c r="CF911" i="12"/>
  <c r="CI910" i="12"/>
  <c r="CH910" i="12"/>
  <c r="CG910" i="12"/>
  <c r="CF910" i="12"/>
  <c r="CI909" i="12"/>
  <c r="CH909" i="12"/>
  <c r="CG909" i="12"/>
  <c r="CF909" i="12"/>
  <c r="CI908" i="12"/>
  <c r="CH908" i="12"/>
  <c r="CG908" i="12"/>
  <c r="CF908" i="12"/>
  <c r="CI907" i="12"/>
  <c r="CH907" i="12"/>
  <c r="CG907" i="12"/>
  <c r="CF907" i="12"/>
  <c r="CI906" i="12"/>
  <c r="CH906" i="12"/>
  <c r="CG906" i="12"/>
  <c r="CF906" i="12"/>
  <c r="CI905" i="12"/>
  <c r="CH905" i="12"/>
  <c r="CG905" i="12"/>
  <c r="CF905" i="12"/>
  <c r="CI904" i="12"/>
  <c r="CH904" i="12"/>
  <c r="CG904" i="12"/>
  <c r="CF904" i="12"/>
  <c r="CI903" i="12"/>
  <c r="CH903" i="12"/>
  <c r="CG903" i="12"/>
  <c r="CF903" i="12"/>
  <c r="CI902" i="12"/>
  <c r="CH902" i="12"/>
  <c r="CG902" i="12"/>
  <c r="CF902" i="12"/>
  <c r="CI901" i="12"/>
  <c r="CH901" i="12"/>
  <c r="CG901" i="12"/>
  <c r="CF901" i="12"/>
  <c r="CI900" i="12"/>
  <c r="CH900" i="12"/>
  <c r="CG900" i="12"/>
  <c r="CF900" i="12"/>
  <c r="CI899" i="12"/>
  <c r="CH899" i="12"/>
  <c r="CG899" i="12"/>
  <c r="CF899" i="12"/>
  <c r="CI898" i="12"/>
  <c r="CH898" i="12"/>
  <c r="CG898" i="12"/>
  <c r="CF898" i="12"/>
  <c r="CI897" i="12"/>
  <c r="CH897" i="12"/>
  <c r="CG897" i="12"/>
  <c r="CF897" i="12"/>
  <c r="CI896" i="12"/>
  <c r="CH896" i="12"/>
  <c r="CG896" i="12"/>
  <c r="CF896" i="12"/>
  <c r="CI895" i="12"/>
  <c r="CH895" i="12"/>
  <c r="CG895" i="12"/>
  <c r="CF895" i="12"/>
  <c r="CI894" i="12"/>
  <c r="CH894" i="12"/>
  <c r="CG894" i="12"/>
  <c r="CF894" i="12"/>
  <c r="CI893" i="12"/>
  <c r="CH893" i="12"/>
  <c r="CG893" i="12"/>
  <c r="CF893" i="12"/>
  <c r="CI892" i="12"/>
  <c r="CH892" i="12"/>
  <c r="CG892" i="12"/>
  <c r="CF892" i="12"/>
  <c r="CI891" i="12"/>
  <c r="CH891" i="12"/>
  <c r="CG891" i="12"/>
  <c r="CF891" i="12"/>
  <c r="CI890" i="12"/>
  <c r="CH890" i="12"/>
  <c r="CG890" i="12"/>
  <c r="CF890" i="12"/>
  <c r="CI889" i="12"/>
  <c r="CH889" i="12"/>
  <c r="CG889" i="12"/>
  <c r="CF889" i="12"/>
  <c r="CI888" i="12"/>
  <c r="CH888" i="12"/>
  <c r="CG888" i="12"/>
  <c r="CF888" i="12"/>
  <c r="CI887" i="12"/>
  <c r="CH887" i="12"/>
  <c r="CG887" i="12"/>
  <c r="CF887" i="12"/>
  <c r="CI886" i="12"/>
  <c r="CH886" i="12"/>
  <c r="CG886" i="12"/>
  <c r="CF886" i="12"/>
  <c r="CI885" i="12"/>
  <c r="CH885" i="12"/>
  <c r="CG885" i="12"/>
  <c r="CF885" i="12"/>
  <c r="CI884" i="12"/>
  <c r="CH884" i="12"/>
  <c r="CG884" i="12"/>
  <c r="CF884" i="12"/>
  <c r="CI883" i="12"/>
  <c r="CH883" i="12"/>
  <c r="CG883" i="12"/>
  <c r="CF883" i="12"/>
  <c r="CI882" i="12"/>
  <c r="CH882" i="12"/>
  <c r="CG882" i="12"/>
  <c r="CF882" i="12"/>
  <c r="CI881" i="12"/>
  <c r="CH881" i="12"/>
  <c r="CG881" i="12"/>
  <c r="CF881" i="12"/>
  <c r="CI880" i="12"/>
  <c r="CH880" i="12"/>
  <c r="CG880" i="12"/>
  <c r="CF880" i="12"/>
  <c r="CI879" i="12"/>
  <c r="CH879" i="12"/>
  <c r="CG879" i="12"/>
  <c r="CF879" i="12"/>
  <c r="CI878" i="12"/>
  <c r="CH878" i="12"/>
  <c r="CG878" i="12"/>
  <c r="CF878" i="12"/>
  <c r="CI877" i="12"/>
  <c r="CH877" i="12"/>
  <c r="CG877" i="12"/>
  <c r="CF877" i="12"/>
  <c r="CI876" i="12"/>
  <c r="CH876" i="12"/>
  <c r="CG876" i="12"/>
  <c r="CF876" i="12"/>
  <c r="CI875" i="12"/>
  <c r="CH875" i="12"/>
  <c r="CG875" i="12"/>
  <c r="CF875" i="12"/>
  <c r="CI874" i="12"/>
  <c r="CH874" i="12"/>
  <c r="CG874" i="12"/>
  <c r="CF874" i="12"/>
  <c r="CI873" i="12"/>
  <c r="CH873" i="12"/>
  <c r="CG873" i="12"/>
  <c r="CF873" i="12"/>
  <c r="CI872" i="12"/>
  <c r="CH872" i="12"/>
  <c r="CG872" i="12"/>
  <c r="CF872" i="12"/>
  <c r="CI871" i="12"/>
  <c r="CH871" i="12"/>
  <c r="CG871" i="12"/>
  <c r="CF871" i="12"/>
  <c r="CI870" i="12"/>
  <c r="CH870" i="12"/>
  <c r="CG870" i="12"/>
  <c r="CF870" i="12"/>
  <c r="CI869" i="12"/>
  <c r="CH869" i="12"/>
  <c r="CG869" i="12"/>
  <c r="CF869" i="12"/>
  <c r="CI868" i="12"/>
  <c r="CH868" i="12"/>
  <c r="CG868" i="12"/>
  <c r="CF868" i="12"/>
  <c r="CI867" i="12"/>
  <c r="CH867" i="12"/>
  <c r="CG867" i="12"/>
  <c r="CF867" i="12"/>
  <c r="CI866" i="12"/>
  <c r="CH866" i="12"/>
  <c r="CG866" i="12"/>
  <c r="CF866" i="12"/>
  <c r="CI865" i="12"/>
  <c r="CH865" i="12"/>
  <c r="CG865" i="12"/>
  <c r="CF865" i="12"/>
  <c r="CI864" i="12"/>
  <c r="CH864" i="12"/>
  <c r="CG864" i="12"/>
  <c r="CF864" i="12"/>
  <c r="CI863" i="12"/>
  <c r="CH863" i="12"/>
  <c r="CG863" i="12"/>
  <c r="CF863" i="12"/>
  <c r="CI862" i="12"/>
  <c r="CH862" i="12"/>
  <c r="CG862" i="12"/>
  <c r="CF862" i="12"/>
  <c r="CI861" i="12"/>
  <c r="CH861" i="12"/>
  <c r="CG861" i="12"/>
  <c r="CF861" i="12"/>
  <c r="CI860" i="12"/>
  <c r="CH860" i="12"/>
  <c r="CG860" i="12"/>
  <c r="CF860" i="12"/>
  <c r="CI859" i="12"/>
  <c r="CH859" i="12"/>
  <c r="CG859" i="12"/>
  <c r="CF859" i="12"/>
  <c r="CI858" i="12"/>
  <c r="CH858" i="12"/>
  <c r="CG858" i="12"/>
  <c r="CF858" i="12"/>
  <c r="CI857" i="12"/>
  <c r="CH857" i="12"/>
  <c r="CG857" i="12"/>
  <c r="CF857" i="12"/>
  <c r="CI856" i="12"/>
  <c r="CH856" i="12"/>
  <c r="CG856" i="12"/>
  <c r="CF856" i="12"/>
  <c r="CI855" i="12"/>
  <c r="CH855" i="12"/>
  <c r="CG855" i="12"/>
  <c r="CF855" i="12"/>
  <c r="CI854" i="12"/>
  <c r="CH854" i="12"/>
  <c r="CG854" i="12"/>
  <c r="CF854" i="12"/>
  <c r="CI853" i="12"/>
  <c r="CH853" i="12"/>
  <c r="CG853" i="12"/>
  <c r="CF853" i="12"/>
  <c r="CI852" i="12"/>
  <c r="CH852" i="12"/>
  <c r="CG852" i="12"/>
  <c r="CF852" i="12"/>
  <c r="CI851" i="12"/>
  <c r="CH851" i="12"/>
  <c r="CG851" i="12"/>
  <c r="CF851" i="12"/>
  <c r="CI850" i="12"/>
  <c r="CH850" i="12"/>
  <c r="CG850" i="12"/>
  <c r="CF850" i="12"/>
  <c r="CI849" i="12"/>
  <c r="CH849" i="12"/>
  <c r="CG849" i="12"/>
  <c r="CF849" i="12"/>
  <c r="CI848" i="12"/>
  <c r="CH848" i="12"/>
  <c r="CG848" i="12"/>
  <c r="CF848" i="12"/>
  <c r="CI847" i="12"/>
  <c r="CH847" i="12"/>
  <c r="CG847" i="12"/>
  <c r="CF847" i="12"/>
  <c r="CI846" i="12"/>
  <c r="CH846" i="12"/>
  <c r="CG846" i="12"/>
  <c r="CF846" i="12"/>
  <c r="CI845" i="12"/>
  <c r="CH845" i="12"/>
  <c r="CG845" i="12"/>
  <c r="CF845" i="12"/>
  <c r="CI844" i="12"/>
  <c r="CH844" i="12"/>
  <c r="CG844" i="12"/>
  <c r="CF844" i="12"/>
  <c r="CI843" i="12"/>
  <c r="CH843" i="12"/>
  <c r="CG843" i="12"/>
  <c r="CF843" i="12"/>
  <c r="CI842" i="12"/>
  <c r="CH842" i="12"/>
  <c r="CG842" i="12"/>
  <c r="CF842" i="12"/>
  <c r="CI841" i="12"/>
  <c r="CH841" i="12"/>
  <c r="CG841" i="12"/>
  <c r="CF841" i="12"/>
  <c r="CI840" i="12"/>
  <c r="CH840" i="12"/>
  <c r="CG840" i="12"/>
  <c r="CF840" i="12"/>
  <c r="CI839" i="12"/>
  <c r="CH839" i="12"/>
  <c r="CG839" i="12"/>
  <c r="CF839" i="12"/>
  <c r="CI838" i="12"/>
  <c r="CH838" i="12"/>
  <c r="CG838" i="12"/>
  <c r="CF838" i="12"/>
  <c r="CI837" i="12"/>
  <c r="CH837" i="12"/>
  <c r="CG837" i="12"/>
  <c r="CF837" i="12"/>
  <c r="CI836" i="12"/>
  <c r="CH836" i="12"/>
  <c r="CG836" i="12"/>
  <c r="CF836" i="12"/>
  <c r="CI835" i="12"/>
  <c r="CH835" i="12"/>
  <c r="CG835" i="12"/>
  <c r="CF835" i="12"/>
  <c r="CI834" i="12"/>
  <c r="CH834" i="12"/>
  <c r="CG834" i="12"/>
  <c r="CF834" i="12"/>
  <c r="CI833" i="12"/>
  <c r="CH833" i="12"/>
  <c r="CG833" i="12"/>
  <c r="CF833" i="12"/>
  <c r="CI832" i="12"/>
  <c r="CH832" i="12"/>
  <c r="CG832" i="12"/>
  <c r="CF832" i="12"/>
  <c r="CI831" i="12"/>
  <c r="CH831" i="12"/>
  <c r="CG831" i="12"/>
  <c r="CF831" i="12"/>
  <c r="CI830" i="12"/>
  <c r="CH830" i="12"/>
  <c r="CG830" i="12"/>
  <c r="CF830" i="12"/>
  <c r="CI829" i="12"/>
  <c r="CH829" i="12"/>
  <c r="CG829" i="12"/>
  <c r="CF829" i="12"/>
  <c r="CI828" i="12"/>
  <c r="CH828" i="12"/>
  <c r="CG828" i="12"/>
  <c r="CF828" i="12"/>
  <c r="CI827" i="12"/>
  <c r="CH827" i="12"/>
  <c r="CG827" i="12"/>
  <c r="CF827" i="12"/>
  <c r="CI826" i="12"/>
  <c r="CH826" i="12"/>
  <c r="CG826" i="12"/>
  <c r="CF826" i="12"/>
  <c r="CI825" i="12"/>
  <c r="CH825" i="12"/>
  <c r="CG825" i="12"/>
  <c r="CF825" i="12"/>
  <c r="CI824" i="12"/>
  <c r="CH824" i="12"/>
  <c r="CG824" i="12"/>
  <c r="CF824" i="12"/>
  <c r="CI823" i="12"/>
  <c r="CH823" i="12"/>
  <c r="CG823" i="12"/>
  <c r="CF823" i="12"/>
  <c r="CI822" i="12"/>
  <c r="CH822" i="12"/>
  <c r="CG822" i="12"/>
  <c r="CF822" i="12"/>
  <c r="CI821" i="12"/>
  <c r="CH821" i="12"/>
  <c r="CG821" i="12"/>
  <c r="CF821" i="12"/>
  <c r="CI820" i="12"/>
  <c r="CH820" i="12"/>
  <c r="CG820" i="12"/>
  <c r="CF820" i="12"/>
  <c r="CI819" i="12"/>
  <c r="CH819" i="12"/>
  <c r="CG819" i="12"/>
  <c r="CF819" i="12"/>
  <c r="CI818" i="12"/>
  <c r="CH818" i="12"/>
  <c r="CG818" i="12"/>
  <c r="CF818" i="12"/>
  <c r="CI817" i="12"/>
  <c r="CH817" i="12"/>
  <c r="CG817" i="12"/>
  <c r="CF817" i="12"/>
  <c r="CI816" i="12"/>
  <c r="CH816" i="12"/>
  <c r="CG816" i="12"/>
  <c r="CF816" i="12"/>
  <c r="CI815" i="12"/>
  <c r="CH815" i="12"/>
  <c r="CG815" i="12"/>
  <c r="CF815" i="12"/>
  <c r="CI814" i="12"/>
  <c r="CH814" i="12"/>
  <c r="CG814" i="12"/>
  <c r="CF814" i="12"/>
  <c r="CI813" i="12"/>
  <c r="CH813" i="12"/>
  <c r="CG813" i="12"/>
  <c r="CF813" i="12"/>
  <c r="CI812" i="12"/>
  <c r="CH812" i="12"/>
  <c r="CG812" i="12"/>
  <c r="CF812" i="12"/>
  <c r="CI811" i="12"/>
  <c r="CH811" i="12"/>
  <c r="CG811" i="12"/>
  <c r="CF811" i="12"/>
  <c r="CI810" i="12"/>
  <c r="CH810" i="12"/>
  <c r="CG810" i="12"/>
  <c r="CF810" i="12"/>
  <c r="CI809" i="12"/>
  <c r="CH809" i="12"/>
  <c r="CG809" i="12"/>
  <c r="CF809" i="12"/>
  <c r="CI808" i="12"/>
  <c r="CH808" i="12"/>
  <c r="CG808" i="12"/>
  <c r="CF808" i="12"/>
  <c r="CI807" i="12"/>
  <c r="CH807" i="12"/>
  <c r="CG807" i="12"/>
  <c r="CF807" i="12"/>
  <c r="CI806" i="12"/>
  <c r="CH806" i="12"/>
  <c r="CG806" i="12"/>
  <c r="CF806" i="12"/>
  <c r="CI805" i="12"/>
  <c r="CH805" i="12"/>
  <c r="CG805" i="12"/>
  <c r="CF805" i="12"/>
  <c r="CI804" i="12"/>
  <c r="CH804" i="12"/>
  <c r="CG804" i="12"/>
  <c r="CF804" i="12"/>
  <c r="CI803" i="12"/>
  <c r="CH803" i="12"/>
  <c r="CG803" i="12"/>
  <c r="CF803" i="12"/>
  <c r="CI802" i="12"/>
  <c r="CH802" i="12"/>
  <c r="CG802" i="12"/>
  <c r="CF802" i="12"/>
  <c r="CI801" i="12"/>
  <c r="CH801" i="12"/>
  <c r="CG801" i="12"/>
  <c r="CF801" i="12"/>
  <c r="CI800" i="12"/>
  <c r="CH800" i="12"/>
  <c r="CG800" i="12"/>
  <c r="CF800" i="12"/>
  <c r="CI799" i="12"/>
  <c r="CH799" i="12"/>
  <c r="CG799" i="12"/>
  <c r="CF799" i="12"/>
  <c r="CI798" i="12"/>
  <c r="CH798" i="12"/>
  <c r="CG798" i="12"/>
  <c r="CF798" i="12"/>
  <c r="CI797" i="12"/>
  <c r="CH797" i="12"/>
  <c r="CG797" i="12"/>
  <c r="CF797" i="12"/>
  <c r="CI796" i="12"/>
  <c r="CH796" i="12"/>
  <c r="CG796" i="12"/>
  <c r="CF796" i="12"/>
  <c r="CI795" i="12"/>
  <c r="CH795" i="12"/>
  <c r="CG795" i="12"/>
  <c r="CF795" i="12"/>
  <c r="CI794" i="12"/>
  <c r="CH794" i="12"/>
  <c r="CG794" i="12"/>
  <c r="CF794" i="12"/>
  <c r="CI793" i="12"/>
  <c r="CH793" i="12"/>
  <c r="CG793" i="12"/>
  <c r="CF793" i="12"/>
  <c r="CI792" i="12"/>
  <c r="CH792" i="12"/>
  <c r="CG792" i="12"/>
  <c r="CF792" i="12"/>
  <c r="CI791" i="12"/>
  <c r="CH791" i="12"/>
  <c r="CG791" i="12"/>
  <c r="CF791" i="12"/>
  <c r="CI790" i="12"/>
  <c r="CH790" i="12"/>
  <c r="CG790" i="12"/>
  <c r="CF790" i="12"/>
  <c r="CI789" i="12"/>
  <c r="CH789" i="12"/>
  <c r="CG789" i="12"/>
  <c r="CF789" i="12"/>
  <c r="CI788" i="12"/>
  <c r="CH788" i="12"/>
  <c r="CG788" i="12"/>
  <c r="CF788" i="12"/>
  <c r="CI787" i="12"/>
  <c r="CH787" i="12"/>
  <c r="CG787" i="12"/>
  <c r="CF787" i="12"/>
  <c r="CI786" i="12"/>
  <c r="CH786" i="12"/>
  <c r="CG786" i="12"/>
  <c r="CF786" i="12"/>
  <c r="CI785" i="12"/>
  <c r="CH785" i="12"/>
  <c r="CG785" i="12"/>
  <c r="CF785" i="12"/>
  <c r="CI784" i="12"/>
  <c r="CH784" i="12"/>
  <c r="CG784" i="12"/>
  <c r="CF784" i="12"/>
  <c r="CI783" i="12"/>
  <c r="CH783" i="12"/>
  <c r="CG783" i="12"/>
  <c r="CF783" i="12"/>
  <c r="CI782" i="12"/>
  <c r="CH782" i="12"/>
  <c r="CG782" i="12"/>
  <c r="CF782" i="12"/>
  <c r="CI781" i="12"/>
  <c r="CH781" i="12"/>
  <c r="CG781" i="12"/>
  <c r="CF781" i="12"/>
  <c r="CI780" i="12"/>
  <c r="CH780" i="12"/>
  <c r="CG780" i="12"/>
  <c r="CF780" i="12"/>
  <c r="CI779" i="12"/>
  <c r="CH779" i="12"/>
  <c r="CG779" i="12"/>
  <c r="CF779" i="12"/>
  <c r="CI778" i="12"/>
  <c r="CH778" i="12"/>
  <c r="CG778" i="12"/>
  <c r="CF778" i="12"/>
  <c r="CI777" i="12"/>
  <c r="CH777" i="12"/>
  <c r="CG777" i="12"/>
  <c r="CF777" i="12"/>
  <c r="CI776" i="12"/>
  <c r="CH776" i="12"/>
  <c r="CG776" i="12"/>
  <c r="CF776" i="12"/>
  <c r="CI775" i="12"/>
  <c r="CH775" i="12"/>
  <c r="CG775" i="12"/>
  <c r="CF775" i="12"/>
  <c r="CI774" i="12"/>
  <c r="CH774" i="12"/>
  <c r="CG774" i="12"/>
  <c r="CF774" i="12"/>
  <c r="CI773" i="12"/>
  <c r="CH773" i="12"/>
  <c r="CG773" i="12"/>
  <c r="CF773" i="12"/>
  <c r="CI772" i="12"/>
  <c r="CH772" i="12"/>
  <c r="CG772" i="12"/>
  <c r="CF772" i="12"/>
  <c r="CI771" i="12"/>
  <c r="CH771" i="12"/>
  <c r="CG771" i="12"/>
  <c r="CF771" i="12"/>
  <c r="CI770" i="12"/>
  <c r="CH770" i="12"/>
  <c r="CG770" i="12"/>
  <c r="CF770" i="12"/>
  <c r="CI769" i="12"/>
  <c r="CH769" i="12"/>
  <c r="CG769" i="12"/>
  <c r="CF769" i="12"/>
  <c r="CI768" i="12"/>
  <c r="CH768" i="12"/>
  <c r="CG768" i="12"/>
  <c r="CF768" i="12"/>
  <c r="CI767" i="12"/>
  <c r="CH767" i="12"/>
  <c r="CG767" i="12"/>
  <c r="CF767" i="12"/>
  <c r="CI766" i="12"/>
  <c r="CH766" i="12"/>
  <c r="CG766" i="12"/>
  <c r="CF766" i="12"/>
  <c r="CI765" i="12"/>
  <c r="CH765" i="12"/>
  <c r="CG765" i="12"/>
  <c r="CF765" i="12"/>
  <c r="CI764" i="12"/>
  <c r="CH764" i="12"/>
  <c r="CG764" i="12"/>
  <c r="CF764" i="12"/>
  <c r="CI763" i="12"/>
  <c r="CH763" i="12"/>
  <c r="CG763" i="12"/>
  <c r="CF763" i="12"/>
  <c r="CI762" i="12"/>
  <c r="CH762" i="12"/>
  <c r="CG762" i="12"/>
  <c r="CF762" i="12"/>
  <c r="CI761" i="12"/>
  <c r="CH761" i="12"/>
  <c r="CG761" i="12"/>
  <c r="CF761" i="12"/>
  <c r="CI760" i="12"/>
  <c r="CH760" i="12"/>
  <c r="CG760" i="12"/>
  <c r="CF760" i="12"/>
  <c r="CI759" i="12"/>
  <c r="CH759" i="12"/>
  <c r="CG759" i="12"/>
  <c r="CF759" i="12"/>
  <c r="CI758" i="12"/>
  <c r="CH758" i="12"/>
  <c r="CG758" i="12"/>
  <c r="CF758" i="12"/>
  <c r="CI757" i="12"/>
  <c r="CH757" i="12"/>
  <c r="CG757" i="12"/>
  <c r="CF757" i="12"/>
  <c r="CI756" i="12"/>
  <c r="CH756" i="12"/>
  <c r="CG756" i="12"/>
  <c r="CF756" i="12"/>
  <c r="CI755" i="12"/>
  <c r="CH755" i="12"/>
  <c r="CG755" i="12"/>
  <c r="CF755" i="12"/>
  <c r="CI754" i="12"/>
  <c r="CH754" i="12"/>
  <c r="CG754" i="12"/>
  <c r="CF754" i="12"/>
  <c r="CI753" i="12"/>
  <c r="CH753" i="12"/>
  <c r="CG753" i="12"/>
  <c r="CF753" i="12"/>
  <c r="CI752" i="12"/>
  <c r="CH752" i="12"/>
  <c r="CG752" i="12"/>
  <c r="CF752" i="12"/>
  <c r="CI751" i="12"/>
  <c r="CH751" i="12"/>
  <c r="CG751" i="12"/>
  <c r="CF751" i="12"/>
  <c r="CI750" i="12"/>
  <c r="CH750" i="12"/>
  <c r="CG750" i="12"/>
  <c r="CF750" i="12"/>
  <c r="CI749" i="12"/>
  <c r="CH749" i="12"/>
  <c r="CG749" i="12"/>
  <c r="CF749" i="12"/>
  <c r="CI748" i="12"/>
  <c r="CH748" i="12"/>
  <c r="CG748" i="12"/>
  <c r="CF748" i="12"/>
  <c r="CI747" i="12"/>
  <c r="CH747" i="12"/>
  <c r="CG747" i="12"/>
  <c r="CF747" i="12"/>
  <c r="CI746" i="12"/>
  <c r="CH746" i="12"/>
  <c r="CG746" i="12"/>
  <c r="CF746" i="12"/>
  <c r="CI745" i="12"/>
  <c r="CH745" i="12"/>
  <c r="CG745" i="12"/>
  <c r="CF745" i="12"/>
  <c r="CI744" i="12"/>
  <c r="CH744" i="12"/>
  <c r="CG744" i="12"/>
  <c r="CF744" i="12"/>
  <c r="CI743" i="12"/>
  <c r="CH743" i="12"/>
  <c r="CG743" i="12"/>
  <c r="CF743" i="12"/>
  <c r="CI742" i="12"/>
  <c r="CH742" i="12"/>
  <c r="CG742" i="12"/>
  <c r="CF742" i="12"/>
  <c r="CI741" i="12"/>
  <c r="CH741" i="12"/>
  <c r="CG741" i="12"/>
  <c r="CF741" i="12"/>
  <c r="CI740" i="12"/>
  <c r="CH740" i="12"/>
  <c r="CG740" i="12"/>
  <c r="CF740" i="12"/>
  <c r="CI739" i="12"/>
  <c r="CH739" i="12"/>
  <c r="CG739" i="12"/>
  <c r="CF739" i="12"/>
  <c r="CI738" i="12"/>
  <c r="CH738" i="12"/>
  <c r="CG738" i="12"/>
  <c r="CF738" i="12"/>
  <c r="CI737" i="12"/>
  <c r="CH737" i="12"/>
  <c r="CG737" i="12"/>
  <c r="CF737" i="12"/>
  <c r="CI736" i="12"/>
  <c r="CH736" i="12"/>
  <c r="CG736" i="12"/>
  <c r="CF736" i="12"/>
  <c r="CI735" i="12"/>
  <c r="CH735" i="12"/>
  <c r="CG735" i="12"/>
  <c r="CF735" i="12"/>
  <c r="CI734" i="12"/>
  <c r="CH734" i="12"/>
  <c r="CG734" i="12"/>
  <c r="CF734" i="12"/>
  <c r="CI733" i="12"/>
  <c r="CH733" i="12"/>
  <c r="CG733" i="12"/>
  <c r="CF733" i="12"/>
  <c r="CI732" i="12"/>
  <c r="CH732" i="12"/>
  <c r="CG732" i="12"/>
  <c r="CF732" i="12"/>
  <c r="CI731" i="12"/>
  <c r="CH731" i="12"/>
  <c r="CG731" i="12"/>
  <c r="CF731" i="12"/>
  <c r="CI730" i="12"/>
  <c r="CH730" i="12"/>
  <c r="CG730" i="12"/>
  <c r="CF730" i="12"/>
  <c r="CI729" i="12"/>
  <c r="CH729" i="12"/>
  <c r="CG729" i="12"/>
  <c r="CF729" i="12"/>
  <c r="CI728" i="12"/>
  <c r="CH728" i="12"/>
  <c r="CG728" i="12"/>
  <c r="CF728" i="12"/>
  <c r="CI727" i="12"/>
  <c r="CH727" i="12"/>
  <c r="CG727" i="12"/>
  <c r="CF727" i="12"/>
  <c r="CI726" i="12"/>
  <c r="CH726" i="12"/>
  <c r="CG726" i="12"/>
  <c r="CF726" i="12"/>
  <c r="CI725" i="12"/>
  <c r="CH725" i="12"/>
  <c r="CG725" i="12"/>
  <c r="CF725" i="12"/>
  <c r="CI724" i="12"/>
  <c r="CH724" i="12"/>
  <c r="CG724" i="12"/>
  <c r="CF724" i="12"/>
  <c r="CI723" i="12"/>
  <c r="CH723" i="12"/>
  <c r="CG723" i="12"/>
  <c r="CF723" i="12"/>
  <c r="CI722" i="12"/>
  <c r="CH722" i="12"/>
  <c r="CG722" i="12"/>
  <c r="CF722" i="12"/>
  <c r="CI721" i="12"/>
  <c r="CH721" i="12"/>
  <c r="CG721" i="12"/>
  <c r="CF721" i="12"/>
  <c r="CI720" i="12"/>
  <c r="CH720" i="12"/>
  <c r="CG720" i="12"/>
  <c r="CF720" i="12"/>
  <c r="CI719" i="12"/>
  <c r="CH719" i="12"/>
  <c r="CG719" i="12"/>
  <c r="CF719" i="12"/>
  <c r="CI718" i="12"/>
  <c r="CH718" i="12"/>
  <c r="CG718" i="12"/>
  <c r="CF718" i="12"/>
  <c r="CI717" i="12"/>
  <c r="CH717" i="12"/>
  <c r="CG717" i="12"/>
  <c r="CF717" i="12"/>
  <c r="CI716" i="12"/>
  <c r="CH716" i="12"/>
  <c r="CG716" i="12"/>
  <c r="CF716" i="12"/>
  <c r="CI715" i="12"/>
  <c r="CH715" i="12"/>
  <c r="CG715" i="12"/>
  <c r="CF715" i="12"/>
  <c r="CI714" i="12"/>
  <c r="CH714" i="12"/>
  <c r="CG714" i="12"/>
  <c r="CF714" i="12"/>
  <c r="CI713" i="12"/>
  <c r="CH713" i="12"/>
  <c r="CG713" i="12"/>
  <c r="CF713" i="12"/>
  <c r="CI712" i="12"/>
  <c r="CH712" i="12"/>
  <c r="CG712" i="12"/>
  <c r="CF712" i="12"/>
  <c r="CI711" i="12"/>
  <c r="CH711" i="12"/>
  <c r="CG711" i="12"/>
  <c r="CF711" i="12"/>
  <c r="CI710" i="12"/>
  <c r="CH710" i="12"/>
  <c r="CG710" i="12"/>
  <c r="CF710" i="12"/>
  <c r="CI709" i="12"/>
  <c r="CH709" i="12"/>
  <c r="CG709" i="12"/>
  <c r="CF709" i="12"/>
  <c r="CI708" i="12"/>
  <c r="CH708" i="12"/>
  <c r="CG708" i="12"/>
  <c r="CF708" i="12"/>
  <c r="CI707" i="12"/>
  <c r="CH707" i="12"/>
  <c r="CG707" i="12"/>
  <c r="CF707" i="12"/>
  <c r="CI706" i="12"/>
  <c r="CH706" i="12"/>
  <c r="CG706" i="12"/>
  <c r="CF706" i="12"/>
  <c r="CI705" i="12"/>
  <c r="CH705" i="12"/>
  <c r="CG705" i="12"/>
  <c r="CF705" i="12"/>
  <c r="CI704" i="12"/>
  <c r="CH704" i="12"/>
  <c r="CG704" i="12"/>
  <c r="CF704" i="12"/>
  <c r="CI703" i="12"/>
  <c r="CH703" i="12"/>
  <c r="CG703" i="12"/>
  <c r="CF703" i="12"/>
  <c r="CI702" i="12"/>
  <c r="CH702" i="12"/>
  <c r="CG702" i="12"/>
  <c r="CF702" i="12"/>
  <c r="CI701" i="12"/>
  <c r="CH701" i="12"/>
  <c r="CG701" i="12"/>
  <c r="CF701" i="12"/>
  <c r="CI700" i="12"/>
  <c r="CH700" i="12"/>
  <c r="CG700" i="12"/>
  <c r="CF700" i="12"/>
  <c r="CI699" i="12"/>
  <c r="CH699" i="12"/>
  <c r="CG699" i="12"/>
  <c r="CF699" i="12"/>
  <c r="CI698" i="12"/>
  <c r="CH698" i="12"/>
  <c r="CG698" i="12"/>
  <c r="CF698" i="12"/>
  <c r="CI697" i="12"/>
  <c r="CH697" i="12"/>
  <c r="CG697" i="12"/>
  <c r="CF697" i="12"/>
  <c r="CI696" i="12"/>
  <c r="CH696" i="12"/>
  <c r="CG696" i="12"/>
  <c r="CF696" i="12"/>
  <c r="CI695" i="12"/>
  <c r="CH695" i="12"/>
  <c r="CG695" i="12"/>
  <c r="CF695" i="12"/>
  <c r="CI694" i="12"/>
  <c r="CH694" i="12"/>
  <c r="CG694" i="12"/>
  <c r="CF694" i="12"/>
  <c r="CI693" i="12"/>
  <c r="CH693" i="12"/>
  <c r="CG693" i="12"/>
  <c r="CF693" i="12"/>
  <c r="CI692" i="12"/>
  <c r="CH692" i="12"/>
  <c r="CG692" i="12"/>
  <c r="CF692" i="12"/>
  <c r="CI691" i="12"/>
  <c r="CH691" i="12"/>
  <c r="CG691" i="12"/>
  <c r="CF691" i="12"/>
  <c r="CI690" i="12"/>
  <c r="CH690" i="12"/>
  <c r="CG690" i="12"/>
  <c r="CF690" i="12"/>
  <c r="CI689" i="12"/>
  <c r="CH689" i="12"/>
  <c r="CG689" i="12"/>
  <c r="CF689" i="12"/>
  <c r="CI688" i="12"/>
  <c r="CH688" i="12"/>
  <c r="CG688" i="12"/>
  <c r="CF688" i="12"/>
  <c r="CI687" i="12"/>
  <c r="CH687" i="12"/>
  <c r="CG687" i="12"/>
  <c r="CF687" i="12"/>
  <c r="CI686" i="12"/>
  <c r="CH686" i="12"/>
  <c r="CG686" i="12"/>
  <c r="CF686" i="12"/>
  <c r="CI685" i="12"/>
  <c r="CH685" i="12"/>
  <c r="CG685" i="12"/>
  <c r="CF685" i="12"/>
  <c r="CI684" i="12"/>
  <c r="CH684" i="12"/>
  <c r="CG684" i="12"/>
  <c r="CF684" i="12"/>
  <c r="CI683" i="12"/>
  <c r="CH683" i="12"/>
  <c r="CG683" i="12"/>
  <c r="CF683" i="12"/>
  <c r="CI682" i="12"/>
  <c r="CH682" i="12"/>
  <c r="CG682" i="12"/>
  <c r="CF682" i="12"/>
  <c r="CI681" i="12"/>
  <c r="CH681" i="12"/>
  <c r="CG681" i="12"/>
  <c r="CF681" i="12"/>
  <c r="CI680" i="12"/>
  <c r="CH680" i="12"/>
  <c r="CG680" i="12"/>
  <c r="CF680" i="12"/>
  <c r="CI679" i="12"/>
  <c r="CH679" i="12"/>
  <c r="CG679" i="12"/>
  <c r="CF679" i="12"/>
  <c r="CI678" i="12"/>
  <c r="CH678" i="12"/>
  <c r="CG678" i="12"/>
  <c r="CF678" i="12"/>
  <c r="CI677" i="12"/>
  <c r="CH677" i="12"/>
  <c r="CG677" i="12"/>
  <c r="CF677" i="12"/>
  <c r="CI676" i="12"/>
  <c r="CH676" i="12"/>
  <c r="CG676" i="12"/>
  <c r="CF676" i="12"/>
  <c r="CI675" i="12"/>
  <c r="CH675" i="12"/>
  <c r="CG675" i="12"/>
  <c r="CF675" i="12"/>
  <c r="CI674" i="12"/>
  <c r="CH674" i="12"/>
  <c r="CG674" i="12"/>
  <c r="CF674" i="12"/>
  <c r="CI673" i="12"/>
  <c r="CH673" i="12"/>
  <c r="CG673" i="12"/>
  <c r="CF673" i="12"/>
  <c r="CI672" i="12"/>
  <c r="CH672" i="12"/>
  <c r="CG672" i="12"/>
  <c r="CF672" i="12"/>
  <c r="CI671" i="12"/>
  <c r="CH671" i="12"/>
  <c r="CG671" i="12"/>
  <c r="CF671" i="12"/>
  <c r="CI670" i="12"/>
  <c r="CH670" i="12"/>
  <c r="CG670" i="12"/>
  <c r="CF670" i="12"/>
  <c r="CI669" i="12"/>
  <c r="CH669" i="12"/>
  <c r="CG669" i="12"/>
  <c r="CF669" i="12"/>
  <c r="CI668" i="12"/>
  <c r="CH668" i="12"/>
  <c r="CG668" i="12"/>
  <c r="CF668" i="12"/>
  <c r="CI667" i="12"/>
  <c r="CH667" i="12"/>
  <c r="CG667" i="12"/>
  <c r="CF667" i="12"/>
  <c r="CI666" i="12"/>
  <c r="CH666" i="12"/>
  <c r="CG666" i="12"/>
  <c r="CF666" i="12"/>
  <c r="CI665" i="12"/>
  <c r="CH665" i="12"/>
  <c r="CG665" i="12"/>
  <c r="CF665" i="12"/>
  <c r="CI664" i="12"/>
  <c r="CH664" i="12"/>
  <c r="CG664" i="12"/>
  <c r="CF664" i="12"/>
  <c r="CI663" i="12"/>
  <c r="CH663" i="12"/>
  <c r="CG663" i="12"/>
  <c r="CF663" i="12"/>
  <c r="CI662" i="12"/>
  <c r="CH662" i="12"/>
  <c r="CG662" i="12"/>
  <c r="CF662" i="12"/>
  <c r="CI661" i="12"/>
  <c r="CH661" i="12"/>
  <c r="CG661" i="12"/>
  <c r="CF661" i="12"/>
  <c r="CI660" i="12"/>
  <c r="CH660" i="12"/>
  <c r="CG660" i="12"/>
  <c r="CF660" i="12"/>
  <c r="CI659" i="12"/>
  <c r="CH659" i="12"/>
  <c r="CG659" i="12"/>
  <c r="CF659" i="12"/>
  <c r="CI658" i="12"/>
  <c r="CH658" i="12"/>
  <c r="CG658" i="12"/>
  <c r="CF658" i="12"/>
  <c r="CI657" i="12"/>
  <c r="CH657" i="12"/>
  <c r="CG657" i="12"/>
  <c r="CF657" i="12"/>
  <c r="CI656" i="12"/>
  <c r="CH656" i="12"/>
  <c r="CG656" i="12"/>
  <c r="CF656" i="12"/>
  <c r="CI655" i="12"/>
  <c r="CH655" i="12"/>
  <c r="CG655" i="12"/>
  <c r="CF655" i="12"/>
  <c r="CI654" i="12"/>
  <c r="CH654" i="12"/>
  <c r="CG654" i="12"/>
  <c r="CF654" i="12"/>
  <c r="CI653" i="12"/>
  <c r="CH653" i="12"/>
  <c r="CG653" i="12"/>
  <c r="CF653" i="12"/>
  <c r="CI652" i="12"/>
  <c r="CH652" i="12"/>
  <c r="CG652" i="12"/>
  <c r="CF652" i="12"/>
  <c r="CI651" i="12"/>
  <c r="CH651" i="12"/>
  <c r="CG651" i="12"/>
  <c r="CF651" i="12"/>
  <c r="CI650" i="12"/>
  <c r="CH650" i="12"/>
  <c r="CG650" i="12"/>
  <c r="CF650" i="12"/>
  <c r="CI649" i="12"/>
  <c r="CH649" i="12"/>
  <c r="CG649" i="12"/>
  <c r="CF649" i="12"/>
  <c r="CI648" i="12"/>
  <c r="CH648" i="12"/>
  <c r="CG648" i="12"/>
  <c r="CF648" i="12"/>
  <c r="CI647" i="12"/>
  <c r="CH647" i="12"/>
  <c r="CG647" i="12"/>
  <c r="CF647" i="12"/>
  <c r="CI646" i="12"/>
  <c r="CH646" i="12"/>
  <c r="CG646" i="12"/>
  <c r="CF646" i="12"/>
  <c r="CI645" i="12"/>
  <c r="CH645" i="12"/>
  <c r="CG645" i="12"/>
  <c r="CF645" i="12"/>
  <c r="CI644" i="12"/>
  <c r="CH644" i="12"/>
  <c r="CG644" i="12"/>
  <c r="CF644" i="12"/>
  <c r="CI643" i="12"/>
  <c r="CH643" i="12"/>
  <c r="CG643" i="12"/>
  <c r="CF643" i="12"/>
  <c r="CI642" i="12"/>
  <c r="CH642" i="12"/>
  <c r="CG642" i="12"/>
  <c r="CF642" i="12"/>
  <c r="CI641" i="12"/>
  <c r="CH641" i="12"/>
  <c r="CG641" i="12"/>
  <c r="CF641" i="12"/>
  <c r="CI640" i="12"/>
  <c r="CH640" i="12"/>
  <c r="CG640" i="12"/>
  <c r="CF640" i="12"/>
  <c r="CI639" i="12"/>
  <c r="CH639" i="12"/>
  <c r="CG639" i="12"/>
  <c r="CF639" i="12"/>
  <c r="CI638" i="12"/>
  <c r="CH638" i="12"/>
  <c r="CG638" i="12"/>
  <c r="CF638" i="12"/>
  <c r="CI637" i="12"/>
  <c r="CH637" i="12"/>
  <c r="CG637" i="12"/>
  <c r="CF637" i="12"/>
  <c r="CI636" i="12"/>
  <c r="CH636" i="12"/>
  <c r="CG636" i="12"/>
  <c r="CF636" i="12"/>
  <c r="CI635" i="12"/>
  <c r="CH635" i="12"/>
  <c r="CG635" i="12"/>
  <c r="CF635" i="12"/>
  <c r="CI634" i="12"/>
  <c r="CH634" i="12"/>
  <c r="CG634" i="12"/>
  <c r="CF634" i="12"/>
  <c r="CI633" i="12"/>
  <c r="CH633" i="12"/>
  <c r="CG633" i="12"/>
  <c r="CF633" i="12"/>
  <c r="CI632" i="12"/>
  <c r="CH632" i="12"/>
  <c r="CG632" i="12"/>
  <c r="CF632" i="12"/>
  <c r="CI631" i="12"/>
  <c r="CH631" i="12"/>
  <c r="CG631" i="12"/>
  <c r="CF631" i="12"/>
  <c r="CI630" i="12"/>
  <c r="CH630" i="12"/>
  <c r="CG630" i="12"/>
  <c r="CF630" i="12"/>
  <c r="CI629" i="12"/>
  <c r="CH629" i="12"/>
  <c r="CG629" i="12"/>
  <c r="CF629" i="12"/>
  <c r="CI628" i="12"/>
  <c r="CH628" i="12"/>
  <c r="CG628" i="12"/>
  <c r="CF628" i="12"/>
  <c r="CI627" i="12"/>
  <c r="CH627" i="12"/>
  <c r="CG627" i="12"/>
  <c r="CF627" i="12"/>
  <c r="CI626" i="12"/>
  <c r="CH626" i="12"/>
  <c r="CG626" i="12"/>
  <c r="CF626" i="12"/>
  <c r="CI625" i="12"/>
  <c r="CH625" i="12"/>
  <c r="CG625" i="12"/>
  <c r="CF625" i="12"/>
  <c r="CI624" i="12"/>
  <c r="CH624" i="12"/>
  <c r="CG624" i="12"/>
  <c r="CF624" i="12"/>
  <c r="CI623" i="12"/>
  <c r="CH623" i="12"/>
  <c r="CG623" i="12"/>
  <c r="CF623" i="12"/>
  <c r="CI622" i="12"/>
  <c r="CH622" i="12"/>
  <c r="CG622" i="12"/>
  <c r="CF622" i="12"/>
  <c r="CI621" i="12"/>
  <c r="CH621" i="12"/>
  <c r="CG621" i="12"/>
  <c r="CF621" i="12"/>
  <c r="CI620" i="12"/>
  <c r="CH620" i="12"/>
  <c r="CG620" i="12"/>
  <c r="CF620" i="12"/>
  <c r="CI619" i="12"/>
  <c r="CH619" i="12"/>
  <c r="CG619" i="12"/>
  <c r="CF619" i="12"/>
  <c r="CI618" i="12"/>
  <c r="CH618" i="12"/>
  <c r="CG618" i="12"/>
  <c r="CF618" i="12"/>
  <c r="CI617" i="12"/>
  <c r="CH617" i="12"/>
  <c r="CG617" i="12"/>
  <c r="CF617" i="12"/>
  <c r="CI616" i="12"/>
  <c r="CH616" i="12"/>
  <c r="CG616" i="12"/>
  <c r="CF616" i="12"/>
  <c r="CI615" i="12"/>
  <c r="CH615" i="12"/>
  <c r="CG615" i="12"/>
  <c r="CF615" i="12"/>
  <c r="CI614" i="12"/>
  <c r="CH614" i="12"/>
  <c r="CG614" i="12"/>
  <c r="CF614" i="12"/>
  <c r="CI613" i="12"/>
  <c r="CH613" i="12"/>
  <c r="CG613" i="12"/>
  <c r="CF613" i="12"/>
  <c r="CI612" i="12"/>
  <c r="CH612" i="12"/>
  <c r="CG612" i="12"/>
  <c r="CF612" i="12"/>
  <c r="CI611" i="12"/>
  <c r="CH611" i="12"/>
  <c r="CG611" i="12"/>
  <c r="CF611" i="12"/>
  <c r="CI610" i="12"/>
  <c r="CH610" i="12"/>
  <c r="CG610" i="12"/>
  <c r="CF610" i="12"/>
  <c r="CI609" i="12"/>
  <c r="CH609" i="12"/>
  <c r="CG609" i="12"/>
  <c r="CF609" i="12"/>
  <c r="CI608" i="12"/>
  <c r="CH608" i="12"/>
  <c r="CG608" i="12"/>
  <c r="CF608" i="12"/>
  <c r="CI607" i="12"/>
  <c r="CH607" i="12"/>
  <c r="CG607" i="12"/>
  <c r="CF607" i="12"/>
  <c r="CI606" i="12"/>
  <c r="CH606" i="12"/>
  <c r="CG606" i="12"/>
  <c r="CF606" i="12"/>
  <c r="CI605" i="12"/>
  <c r="CH605" i="12"/>
  <c r="CG605" i="12"/>
  <c r="CF605" i="12"/>
  <c r="CI604" i="12"/>
  <c r="CH604" i="12"/>
  <c r="CG604" i="12"/>
  <c r="CF604" i="12"/>
  <c r="CI603" i="12"/>
  <c r="CH603" i="12"/>
  <c r="CG603" i="12"/>
  <c r="CF603" i="12"/>
  <c r="CI602" i="12"/>
  <c r="CH602" i="12"/>
  <c r="CG602" i="12"/>
  <c r="CF602" i="12"/>
  <c r="CI601" i="12"/>
  <c r="CH601" i="12"/>
  <c r="CG601" i="12"/>
  <c r="CF601" i="12"/>
  <c r="CI600" i="12"/>
  <c r="CH600" i="12"/>
  <c r="CG600" i="12"/>
  <c r="CF600" i="12"/>
  <c r="CI599" i="12"/>
  <c r="CH599" i="12"/>
  <c r="CG599" i="12"/>
  <c r="CF599" i="12"/>
  <c r="CI598" i="12"/>
  <c r="CH598" i="12"/>
  <c r="CG598" i="12"/>
  <c r="CF598" i="12"/>
  <c r="CI597" i="12"/>
  <c r="CH597" i="12"/>
  <c r="CG597" i="12"/>
  <c r="CF597" i="12"/>
  <c r="CI596" i="12"/>
  <c r="CH596" i="12"/>
  <c r="CG596" i="12"/>
  <c r="CF596" i="12"/>
  <c r="CI595" i="12"/>
  <c r="CH595" i="12"/>
  <c r="CG595" i="12"/>
  <c r="CF595" i="12"/>
  <c r="CI594" i="12"/>
  <c r="CH594" i="12"/>
  <c r="CG594" i="12"/>
  <c r="CF594" i="12"/>
  <c r="CI593" i="12"/>
  <c r="CH593" i="12"/>
  <c r="CG593" i="12"/>
  <c r="CF593" i="12"/>
  <c r="CI592" i="12"/>
  <c r="CH592" i="12"/>
  <c r="CG592" i="12"/>
  <c r="CF592" i="12"/>
  <c r="CI591" i="12"/>
  <c r="CH591" i="12"/>
  <c r="CG591" i="12"/>
  <c r="CF591" i="12"/>
  <c r="CI590" i="12"/>
  <c r="CH590" i="12"/>
  <c r="CG590" i="12"/>
  <c r="CF590" i="12"/>
  <c r="CI589" i="12"/>
  <c r="CH589" i="12"/>
  <c r="CG589" i="12"/>
  <c r="CF589" i="12"/>
  <c r="CI588" i="12"/>
  <c r="CH588" i="12"/>
  <c r="CG588" i="12"/>
  <c r="CF588" i="12"/>
  <c r="CI587" i="12"/>
  <c r="CH587" i="12"/>
  <c r="CG587" i="12"/>
  <c r="CF587" i="12"/>
  <c r="CI586" i="12"/>
  <c r="CH586" i="12"/>
  <c r="CG586" i="12"/>
  <c r="CF586" i="12"/>
  <c r="CI585" i="12"/>
  <c r="CH585" i="12"/>
  <c r="CG585" i="12"/>
  <c r="CF585" i="12"/>
  <c r="CI584" i="12"/>
  <c r="CH584" i="12"/>
  <c r="CG584" i="12"/>
  <c r="CF584" i="12"/>
  <c r="CI583" i="12"/>
  <c r="CH583" i="12"/>
  <c r="CG583" i="12"/>
  <c r="CF583" i="12"/>
  <c r="CI582" i="12"/>
  <c r="CH582" i="12"/>
  <c r="CG582" i="12"/>
  <c r="CF582" i="12"/>
  <c r="CI581" i="12"/>
  <c r="CH581" i="12"/>
  <c r="CG581" i="12"/>
  <c r="CF581" i="12"/>
  <c r="CI580" i="12"/>
  <c r="CH580" i="12"/>
  <c r="CG580" i="12"/>
  <c r="CF580" i="12"/>
  <c r="CI579" i="12"/>
  <c r="CH579" i="12"/>
  <c r="CG579" i="12"/>
  <c r="CF579" i="12"/>
  <c r="CI578" i="12"/>
  <c r="CH578" i="12"/>
  <c r="CG578" i="12"/>
  <c r="CF578" i="12"/>
  <c r="CI577" i="12"/>
  <c r="CH577" i="12"/>
  <c r="CG577" i="12"/>
  <c r="CF577" i="12"/>
  <c r="CI576" i="12"/>
  <c r="CH576" i="12"/>
  <c r="CG576" i="12"/>
  <c r="CF576" i="12"/>
  <c r="CI575" i="12"/>
  <c r="CH575" i="12"/>
  <c r="CG575" i="12"/>
  <c r="CF575" i="12"/>
  <c r="CI574" i="12"/>
  <c r="CH574" i="12"/>
  <c r="CG574" i="12"/>
  <c r="CF574" i="12"/>
  <c r="CI573" i="12"/>
  <c r="CH573" i="12"/>
  <c r="CG573" i="12"/>
  <c r="CF573" i="12"/>
  <c r="CI572" i="12"/>
  <c r="CH572" i="12"/>
  <c r="CG572" i="12"/>
  <c r="CF572" i="12"/>
  <c r="CI571" i="12"/>
  <c r="CH571" i="12"/>
  <c r="CG571" i="12"/>
  <c r="CF571" i="12"/>
  <c r="CI570" i="12"/>
  <c r="CH570" i="12"/>
  <c r="CG570" i="12"/>
  <c r="CF570" i="12"/>
  <c r="CI569" i="12"/>
  <c r="CH569" i="12"/>
  <c r="CG569" i="12"/>
  <c r="CF569" i="12"/>
  <c r="CI568" i="12"/>
  <c r="CH568" i="12"/>
  <c r="CG568" i="12"/>
  <c r="CF568" i="12"/>
  <c r="CI567" i="12"/>
  <c r="CH567" i="12"/>
  <c r="CG567" i="12"/>
  <c r="CF567" i="12"/>
  <c r="CI566" i="12"/>
  <c r="CH566" i="12"/>
  <c r="CG566" i="12"/>
  <c r="CF566" i="12"/>
  <c r="CI565" i="12"/>
  <c r="CH565" i="12"/>
  <c r="CG565" i="12"/>
  <c r="CF565" i="12"/>
  <c r="CI564" i="12"/>
  <c r="CH564" i="12"/>
  <c r="CG564" i="12"/>
  <c r="CF564" i="12"/>
  <c r="CI563" i="12"/>
  <c r="CH563" i="12"/>
  <c r="CG563" i="12"/>
  <c r="CF563" i="12"/>
  <c r="CI562" i="12"/>
  <c r="CH562" i="12"/>
  <c r="CG562" i="12"/>
  <c r="CF562" i="12"/>
  <c r="CI561" i="12"/>
  <c r="CH561" i="12"/>
  <c r="CG561" i="12"/>
  <c r="CF561" i="12"/>
  <c r="CI560" i="12"/>
  <c r="CH560" i="12"/>
  <c r="CG560" i="12"/>
  <c r="CF560" i="12"/>
  <c r="CI559" i="12"/>
  <c r="CH559" i="12"/>
  <c r="CG559" i="12"/>
  <c r="CF559" i="12"/>
  <c r="CI558" i="12"/>
  <c r="CH558" i="12"/>
  <c r="CG558" i="12"/>
  <c r="CF558" i="12"/>
  <c r="CI557" i="12"/>
  <c r="CH557" i="12"/>
  <c r="CG557" i="12"/>
  <c r="CF557" i="12"/>
  <c r="CI556" i="12"/>
  <c r="CH556" i="12"/>
  <c r="CG556" i="12"/>
  <c r="CF556" i="12"/>
  <c r="CI555" i="12"/>
  <c r="CH555" i="12"/>
  <c r="CG555" i="12"/>
  <c r="CF555" i="12"/>
  <c r="CI554" i="12"/>
  <c r="CH554" i="12"/>
  <c r="CG554" i="12"/>
  <c r="CF554" i="12"/>
  <c r="CI553" i="12"/>
  <c r="CH553" i="12"/>
  <c r="CG553" i="12"/>
  <c r="CF553" i="12"/>
  <c r="CI552" i="12"/>
  <c r="CH552" i="12"/>
  <c r="CG552" i="12"/>
  <c r="CF552" i="12"/>
  <c r="CI551" i="12"/>
  <c r="CH551" i="12"/>
  <c r="CG551" i="12"/>
  <c r="CF551" i="12"/>
  <c r="CI550" i="12"/>
  <c r="CH550" i="12"/>
  <c r="CG550" i="12"/>
  <c r="CF550" i="12"/>
  <c r="CI549" i="12"/>
  <c r="CH549" i="12"/>
  <c r="CG549" i="12"/>
  <c r="CF549" i="12"/>
  <c r="CI548" i="12"/>
  <c r="CH548" i="12"/>
  <c r="CG548" i="12"/>
  <c r="CF548" i="12"/>
  <c r="CI547" i="12"/>
  <c r="CH547" i="12"/>
  <c r="CG547" i="12"/>
  <c r="CF547" i="12"/>
  <c r="CI546" i="12"/>
  <c r="CH546" i="12"/>
  <c r="CG546" i="12"/>
  <c r="CF546" i="12"/>
  <c r="CI545" i="12"/>
  <c r="CH545" i="12"/>
  <c r="CG545" i="12"/>
  <c r="CF545" i="12"/>
  <c r="CI544" i="12"/>
  <c r="CH544" i="12"/>
  <c r="CG544" i="12"/>
  <c r="CF544" i="12"/>
  <c r="CI543" i="12"/>
  <c r="CH543" i="12"/>
  <c r="CG543" i="12"/>
  <c r="CF543" i="12"/>
  <c r="CI542" i="12"/>
  <c r="CH542" i="12"/>
  <c r="CG542" i="12"/>
  <c r="CF542" i="12"/>
  <c r="CI541" i="12"/>
  <c r="CH541" i="12"/>
  <c r="CG541" i="12"/>
  <c r="CF541" i="12"/>
  <c r="CI540" i="12"/>
  <c r="CH540" i="12"/>
  <c r="CG540" i="12"/>
  <c r="CF540" i="12"/>
  <c r="CI539" i="12"/>
  <c r="CH539" i="12"/>
  <c r="CG539" i="12"/>
  <c r="CF539" i="12"/>
  <c r="CI538" i="12"/>
  <c r="CH538" i="12"/>
  <c r="CG538" i="12"/>
  <c r="CF538" i="12"/>
  <c r="CI537" i="12"/>
  <c r="CH537" i="12"/>
  <c r="CG537" i="12"/>
  <c r="CF537" i="12"/>
  <c r="CI536" i="12"/>
  <c r="CH536" i="12"/>
  <c r="CG536" i="12"/>
  <c r="CF536" i="12"/>
  <c r="CI535" i="12"/>
  <c r="CH535" i="12"/>
  <c r="CG535" i="12"/>
  <c r="CF535" i="12"/>
  <c r="CI534" i="12"/>
  <c r="CH534" i="12"/>
  <c r="CG534" i="12"/>
  <c r="CF534" i="12"/>
  <c r="CI533" i="12"/>
  <c r="CH533" i="12"/>
  <c r="CG533" i="12"/>
  <c r="CF533" i="12"/>
  <c r="CI532" i="12"/>
  <c r="CH532" i="12"/>
  <c r="CG532" i="12"/>
  <c r="CF532" i="12"/>
  <c r="CI531" i="12"/>
  <c r="CH531" i="12"/>
  <c r="CG531" i="12"/>
  <c r="CF531" i="12"/>
  <c r="CI530" i="12"/>
  <c r="CH530" i="12"/>
  <c r="CG530" i="12"/>
  <c r="CF530" i="12"/>
  <c r="CI529" i="12"/>
  <c r="CH529" i="12"/>
  <c r="CG529" i="12"/>
  <c r="CF529" i="12"/>
  <c r="CI528" i="12"/>
  <c r="CH528" i="12"/>
  <c r="CG528" i="12"/>
  <c r="CF528" i="12"/>
  <c r="CI527" i="12"/>
  <c r="CH527" i="12"/>
  <c r="CG527" i="12"/>
  <c r="CF527" i="12"/>
  <c r="CI526" i="12"/>
  <c r="CH526" i="12"/>
  <c r="CG526" i="12"/>
  <c r="CF526" i="12"/>
  <c r="CI525" i="12"/>
  <c r="CH525" i="12"/>
  <c r="CG525" i="12"/>
  <c r="CF525" i="12"/>
  <c r="CI524" i="12"/>
  <c r="CH524" i="12"/>
  <c r="CG524" i="12"/>
  <c r="CF524" i="12"/>
  <c r="CI523" i="12"/>
  <c r="CH523" i="12"/>
  <c r="CG523" i="12"/>
  <c r="CF523" i="12"/>
  <c r="CI522" i="12"/>
  <c r="CH522" i="12"/>
  <c r="CG522" i="12"/>
  <c r="CF522" i="12"/>
  <c r="CI521" i="12"/>
  <c r="CH521" i="12"/>
  <c r="CG521" i="12"/>
  <c r="CF521" i="12"/>
  <c r="CI520" i="12"/>
  <c r="CH520" i="12"/>
  <c r="CG520" i="12"/>
  <c r="CF520" i="12"/>
  <c r="CI519" i="12"/>
  <c r="CH519" i="12"/>
  <c r="CG519" i="12"/>
  <c r="CF519" i="12"/>
  <c r="CI518" i="12"/>
  <c r="CH518" i="12"/>
  <c r="CG518" i="12"/>
  <c r="CF518" i="12"/>
  <c r="CI517" i="12"/>
  <c r="CH517" i="12"/>
  <c r="CG517" i="12"/>
  <c r="CF517" i="12"/>
  <c r="CI516" i="12"/>
  <c r="CH516" i="12"/>
  <c r="CG516" i="12"/>
  <c r="CF516" i="12"/>
  <c r="CI515" i="12"/>
  <c r="CH515" i="12"/>
  <c r="CG515" i="12"/>
  <c r="CF515" i="12"/>
  <c r="CI514" i="12"/>
  <c r="CH514" i="12"/>
  <c r="CG514" i="12"/>
  <c r="CF514" i="12"/>
  <c r="CI513" i="12"/>
  <c r="CH513" i="12"/>
  <c r="CG513" i="12"/>
  <c r="CF513" i="12"/>
  <c r="CI512" i="12"/>
  <c r="CH512" i="12"/>
  <c r="CG512" i="12"/>
  <c r="CF512" i="12"/>
  <c r="CI511" i="12"/>
  <c r="CH511" i="12"/>
  <c r="CG511" i="12"/>
  <c r="CF511" i="12"/>
  <c r="CI510" i="12"/>
  <c r="CH510" i="12"/>
  <c r="CG510" i="12"/>
  <c r="CF510" i="12"/>
  <c r="CI509" i="12"/>
  <c r="CH509" i="12"/>
  <c r="CG509" i="12"/>
  <c r="CF509" i="12"/>
  <c r="CI508" i="12"/>
  <c r="CH508" i="12"/>
  <c r="CG508" i="12"/>
  <c r="CF508" i="12"/>
  <c r="CI507" i="12"/>
  <c r="CH507" i="12"/>
  <c r="CG507" i="12"/>
  <c r="CF507" i="12"/>
  <c r="CI506" i="12"/>
  <c r="CH506" i="12"/>
  <c r="CG506" i="12"/>
  <c r="CF506" i="12"/>
  <c r="CI505" i="12"/>
  <c r="CH505" i="12"/>
  <c r="CG505" i="12"/>
  <c r="CF505" i="12"/>
  <c r="CI504" i="12"/>
  <c r="CH504" i="12"/>
  <c r="CG504" i="12"/>
  <c r="CF504" i="12"/>
  <c r="CI503" i="12"/>
  <c r="CH503" i="12"/>
  <c r="CG503" i="12"/>
  <c r="CF503" i="12"/>
  <c r="CI502" i="12"/>
  <c r="CH502" i="12"/>
  <c r="CG502" i="12"/>
  <c r="CF502" i="12"/>
  <c r="CI501" i="12"/>
  <c r="CH501" i="12"/>
  <c r="CG501" i="12"/>
  <c r="CF501" i="12"/>
  <c r="CI500" i="12"/>
  <c r="CH500" i="12"/>
  <c r="CG500" i="12"/>
  <c r="CF500" i="12"/>
  <c r="CI499" i="12"/>
  <c r="CH499" i="12"/>
  <c r="CG499" i="12"/>
  <c r="CF499" i="12"/>
  <c r="CI498" i="12"/>
  <c r="CH498" i="12"/>
  <c r="CG498" i="12"/>
  <c r="CF498" i="12"/>
  <c r="CI497" i="12"/>
  <c r="CH497" i="12"/>
  <c r="CG497" i="12"/>
  <c r="CF497" i="12"/>
  <c r="CI496" i="12"/>
  <c r="CH496" i="12"/>
  <c r="CG496" i="12"/>
  <c r="CF496" i="12"/>
  <c r="CI495" i="12"/>
  <c r="CH495" i="12"/>
  <c r="CG495" i="12"/>
  <c r="CF495" i="12"/>
  <c r="CI494" i="12"/>
  <c r="CH494" i="12"/>
  <c r="CG494" i="12"/>
  <c r="CF494" i="12"/>
  <c r="CI493" i="12"/>
  <c r="CH493" i="12"/>
  <c r="CG493" i="12"/>
  <c r="CF493" i="12"/>
  <c r="CI492" i="12"/>
  <c r="CH492" i="12"/>
  <c r="CG492" i="12"/>
  <c r="CF492" i="12"/>
  <c r="CI491" i="12"/>
  <c r="CH491" i="12"/>
  <c r="CG491" i="12"/>
  <c r="CF491" i="12"/>
  <c r="CI490" i="12"/>
  <c r="CH490" i="12"/>
  <c r="CG490" i="12"/>
  <c r="CF490" i="12"/>
  <c r="CI489" i="12"/>
  <c r="CH489" i="12"/>
  <c r="CG489" i="12"/>
  <c r="CF489" i="12"/>
  <c r="CI488" i="12"/>
  <c r="CH488" i="12"/>
  <c r="CG488" i="12"/>
  <c r="CF488" i="12"/>
  <c r="CI487" i="12"/>
  <c r="CH487" i="12"/>
  <c r="CG487" i="12"/>
  <c r="CF487" i="12"/>
  <c r="CI486" i="12"/>
  <c r="CH486" i="12"/>
  <c r="CG486" i="12"/>
  <c r="CF486" i="12"/>
  <c r="CI485" i="12"/>
  <c r="CH485" i="12"/>
  <c r="CG485" i="12"/>
  <c r="CF485" i="12"/>
  <c r="CI484" i="12"/>
  <c r="CH484" i="12"/>
  <c r="CG484" i="12"/>
  <c r="CF484" i="12"/>
  <c r="CI483" i="12"/>
  <c r="CH483" i="12"/>
  <c r="CG483" i="12"/>
  <c r="CF483" i="12"/>
  <c r="CI482" i="12"/>
  <c r="CH482" i="12"/>
  <c r="CG482" i="12"/>
  <c r="CF482" i="12"/>
  <c r="CI481" i="12"/>
  <c r="CH481" i="12"/>
  <c r="CG481" i="12"/>
  <c r="CF481" i="12"/>
  <c r="CI480" i="12"/>
  <c r="CH480" i="12"/>
  <c r="CG480" i="12"/>
  <c r="CF480" i="12"/>
  <c r="CI479" i="12"/>
  <c r="CH479" i="12"/>
  <c r="CG479" i="12"/>
  <c r="CF479" i="12"/>
  <c r="CI478" i="12"/>
  <c r="CH478" i="12"/>
  <c r="CG478" i="12"/>
  <c r="CF478" i="12"/>
  <c r="CI477" i="12"/>
  <c r="CH477" i="12"/>
  <c r="CG477" i="12"/>
  <c r="CF477" i="12"/>
  <c r="CI476" i="12"/>
  <c r="CH476" i="12"/>
  <c r="CG476" i="12"/>
  <c r="CF476" i="12"/>
  <c r="CI475" i="12"/>
  <c r="CH475" i="12"/>
  <c r="CG475" i="12"/>
  <c r="CF475" i="12"/>
  <c r="CI474" i="12"/>
  <c r="CH474" i="12"/>
  <c r="CG474" i="12"/>
  <c r="CF474" i="12"/>
  <c r="CI473" i="12"/>
  <c r="CH473" i="12"/>
  <c r="CG473" i="12"/>
  <c r="CF473" i="12"/>
  <c r="CI472" i="12"/>
  <c r="CH472" i="12"/>
  <c r="CG472" i="12"/>
  <c r="CF472" i="12"/>
  <c r="CI471" i="12"/>
  <c r="CH471" i="12"/>
  <c r="CG471" i="12"/>
  <c r="CF471" i="12"/>
  <c r="CI470" i="12"/>
  <c r="CH470" i="12"/>
  <c r="CG470" i="12"/>
  <c r="CF470" i="12"/>
  <c r="CI469" i="12"/>
  <c r="CH469" i="12"/>
  <c r="CG469" i="12"/>
  <c r="CF469" i="12"/>
  <c r="CI468" i="12"/>
  <c r="CH468" i="12"/>
  <c r="CG468" i="12"/>
  <c r="CF468" i="12"/>
  <c r="CI467" i="12"/>
  <c r="CH467" i="12"/>
  <c r="CG467" i="12"/>
  <c r="CF467" i="12"/>
  <c r="CI466" i="12"/>
  <c r="CH466" i="12"/>
  <c r="CG466" i="12"/>
  <c r="CF466" i="12"/>
  <c r="CI465" i="12"/>
  <c r="CH465" i="12"/>
  <c r="CG465" i="12"/>
  <c r="CF465" i="12"/>
  <c r="CI464" i="12"/>
  <c r="CH464" i="12"/>
  <c r="CG464" i="12"/>
  <c r="CF464" i="12"/>
  <c r="CI463" i="12"/>
  <c r="CH463" i="12"/>
  <c r="CG463" i="12"/>
  <c r="CF463" i="12"/>
  <c r="CI462" i="12"/>
  <c r="CH462" i="12"/>
  <c r="CG462" i="12"/>
  <c r="CF462" i="12"/>
  <c r="CI461" i="12"/>
  <c r="CH461" i="12"/>
  <c r="CG461" i="12"/>
  <c r="CF461" i="12"/>
  <c r="CI460" i="12"/>
  <c r="CH460" i="12"/>
  <c r="CG460" i="12"/>
  <c r="CF460" i="12"/>
  <c r="CI459" i="12"/>
  <c r="CH459" i="12"/>
  <c r="CG459" i="12"/>
  <c r="CF459" i="12"/>
  <c r="CI458" i="12"/>
  <c r="CH458" i="12"/>
  <c r="CG458" i="12"/>
  <c r="CF458" i="12"/>
  <c r="CI457" i="12"/>
  <c r="CH457" i="12"/>
  <c r="CG457" i="12"/>
  <c r="CF457" i="12"/>
  <c r="CI456" i="12"/>
  <c r="CH456" i="12"/>
  <c r="CG456" i="12"/>
  <c r="CF456" i="12"/>
  <c r="CI455" i="12"/>
  <c r="CH455" i="12"/>
  <c r="CG455" i="12"/>
  <c r="CF455" i="12"/>
  <c r="CI454" i="12"/>
  <c r="CH454" i="12"/>
  <c r="CG454" i="12"/>
  <c r="CF454" i="12"/>
  <c r="CI453" i="12"/>
  <c r="CH453" i="12"/>
  <c r="CG453" i="12"/>
  <c r="CF453" i="12"/>
  <c r="CI452" i="12"/>
  <c r="CH452" i="12"/>
  <c r="CG452" i="12"/>
  <c r="CF452" i="12"/>
  <c r="CI451" i="12"/>
  <c r="CH451" i="12"/>
  <c r="CG451" i="12"/>
  <c r="CF451" i="12"/>
  <c r="CI450" i="12"/>
  <c r="CH450" i="12"/>
  <c r="CG450" i="12"/>
  <c r="CF450" i="12"/>
  <c r="CI449" i="12"/>
  <c r="CH449" i="12"/>
  <c r="CG449" i="12"/>
  <c r="CF449" i="12"/>
  <c r="CI448" i="12"/>
  <c r="CH448" i="12"/>
  <c r="CG448" i="12"/>
  <c r="CF448" i="12"/>
  <c r="CI447" i="12"/>
  <c r="CH447" i="12"/>
  <c r="CG447" i="12"/>
  <c r="CF447" i="12"/>
  <c r="CI446" i="12"/>
  <c r="CH446" i="12"/>
  <c r="CG446" i="12"/>
  <c r="CF446" i="12"/>
  <c r="CI445" i="12"/>
  <c r="CH445" i="12"/>
  <c r="CG445" i="12"/>
  <c r="CF445" i="12"/>
  <c r="CI444" i="12"/>
  <c r="CH444" i="12"/>
  <c r="CG444" i="12"/>
  <c r="CF444" i="12"/>
  <c r="CI443" i="12"/>
  <c r="CH443" i="12"/>
  <c r="CG443" i="12"/>
  <c r="CF443" i="12"/>
  <c r="CI442" i="12"/>
  <c r="CH442" i="12"/>
  <c r="CG442" i="12"/>
  <c r="CF442" i="12"/>
  <c r="CI441" i="12"/>
  <c r="CH441" i="12"/>
  <c r="CG441" i="12"/>
  <c r="CF441" i="12"/>
  <c r="CI440" i="12"/>
  <c r="CH440" i="12"/>
  <c r="CG440" i="12"/>
  <c r="CF440" i="12"/>
  <c r="CI439" i="12"/>
  <c r="CH439" i="12"/>
  <c r="CG439" i="12"/>
  <c r="CF439" i="12"/>
  <c r="CI438" i="12"/>
  <c r="CH438" i="12"/>
  <c r="CG438" i="12"/>
  <c r="CF438" i="12"/>
  <c r="CI437" i="12"/>
  <c r="CH437" i="12"/>
  <c r="CG437" i="12"/>
  <c r="CF437" i="12"/>
  <c r="CI436" i="12"/>
  <c r="CH436" i="12"/>
  <c r="CG436" i="12"/>
  <c r="CF436" i="12"/>
  <c r="CI435" i="12"/>
  <c r="CH435" i="12"/>
  <c r="CG435" i="12"/>
  <c r="CF435" i="12"/>
  <c r="CI434" i="12"/>
  <c r="CH434" i="12"/>
  <c r="CG434" i="12"/>
  <c r="CF434" i="12"/>
  <c r="CI433" i="12"/>
  <c r="CH433" i="12"/>
  <c r="CG433" i="12"/>
  <c r="CF433" i="12"/>
  <c r="CI432" i="12"/>
  <c r="CH432" i="12"/>
  <c r="CG432" i="12"/>
  <c r="CF432" i="12"/>
  <c r="CI431" i="12"/>
  <c r="CH431" i="12"/>
  <c r="CG431" i="12"/>
  <c r="CF431" i="12"/>
  <c r="CI430" i="12"/>
  <c r="CH430" i="12"/>
  <c r="CG430" i="12"/>
  <c r="CF430" i="12"/>
  <c r="CI429" i="12"/>
  <c r="CH429" i="12"/>
  <c r="CG429" i="12"/>
  <c r="CF429" i="12"/>
  <c r="CI428" i="12"/>
  <c r="CH428" i="12"/>
  <c r="CG428" i="12"/>
  <c r="CF428" i="12"/>
  <c r="CI427" i="12"/>
  <c r="CH427" i="12"/>
  <c r="CG427" i="12"/>
  <c r="CF427" i="12"/>
  <c r="CI426" i="12"/>
  <c r="CH426" i="12"/>
  <c r="CG426" i="12"/>
  <c r="CF426" i="12"/>
  <c r="CI425" i="12"/>
  <c r="CH425" i="12"/>
  <c r="CG425" i="12"/>
  <c r="CF425" i="12"/>
  <c r="CI424" i="12"/>
  <c r="CH424" i="12"/>
  <c r="CG424" i="12"/>
  <c r="CF424" i="12"/>
  <c r="CI423" i="12"/>
  <c r="CH423" i="12"/>
  <c r="CG423" i="12"/>
  <c r="CF423" i="12"/>
  <c r="CI422" i="12"/>
  <c r="CH422" i="12"/>
  <c r="CG422" i="12"/>
  <c r="CF422" i="12"/>
  <c r="CI421" i="12"/>
  <c r="CH421" i="12"/>
  <c r="CG421" i="12"/>
  <c r="CF421" i="12"/>
  <c r="CI420" i="12"/>
  <c r="CH420" i="12"/>
  <c r="CG420" i="12"/>
  <c r="CF420" i="12"/>
  <c r="CI419" i="12"/>
  <c r="CH419" i="12"/>
  <c r="CG419" i="12"/>
  <c r="CF419" i="12"/>
  <c r="CI418" i="12"/>
  <c r="CH418" i="12"/>
  <c r="CG418" i="12"/>
  <c r="CF418" i="12"/>
  <c r="CI417" i="12"/>
  <c r="CH417" i="12"/>
  <c r="CG417" i="12"/>
  <c r="CF417" i="12"/>
  <c r="CI416" i="12"/>
  <c r="CH416" i="12"/>
  <c r="CG416" i="12"/>
  <c r="CF416" i="12"/>
  <c r="CI415" i="12"/>
  <c r="CH415" i="12"/>
  <c r="CG415" i="12"/>
  <c r="CF415" i="12"/>
  <c r="CI414" i="12"/>
  <c r="CH414" i="12"/>
  <c r="CG414" i="12"/>
  <c r="CF414" i="12"/>
  <c r="CI413" i="12"/>
  <c r="CH413" i="12"/>
  <c r="CG413" i="12"/>
  <c r="CF413" i="12"/>
  <c r="CI412" i="12"/>
  <c r="CH412" i="12"/>
  <c r="CG412" i="12"/>
  <c r="CF412" i="12"/>
  <c r="CI411" i="12"/>
  <c r="CH411" i="12"/>
  <c r="CG411" i="12"/>
  <c r="CF411" i="12"/>
  <c r="CI410" i="12"/>
  <c r="CH410" i="12"/>
  <c r="CG410" i="12"/>
  <c r="CF410" i="12"/>
  <c r="CI409" i="12"/>
  <c r="CH409" i="12"/>
  <c r="CG409" i="12"/>
  <c r="CF409" i="12"/>
  <c r="CI408" i="12"/>
  <c r="CH408" i="12"/>
  <c r="CG408" i="12"/>
  <c r="CF408" i="12"/>
  <c r="CI407" i="12"/>
  <c r="CH407" i="12"/>
  <c r="CG407" i="12"/>
  <c r="CF407" i="12"/>
  <c r="CI406" i="12"/>
  <c r="CH406" i="12"/>
  <c r="CG406" i="12"/>
  <c r="CF406" i="12"/>
  <c r="CI405" i="12"/>
  <c r="CH405" i="12"/>
  <c r="CG405" i="12"/>
  <c r="CF405" i="12"/>
  <c r="CI404" i="12"/>
  <c r="CH404" i="12"/>
  <c r="CG404" i="12"/>
  <c r="CF404" i="12"/>
  <c r="CI403" i="12"/>
  <c r="CH403" i="12"/>
  <c r="CG403" i="12"/>
  <c r="CF403" i="12"/>
  <c r="CI402" i="12"/>
  <c r="CH402" i="12"/>
  <c r="CG402" i="12"/>
  <c r="CF402" i="12"/>
  <c r="CI401" i="12"/>
  <c r="CH401" i="12"/>
  <c r="CG401" i="12"/>
  <c r="CF401" i="12"/>
  <c r="CI400" i="12"/>
  <c r="CH400" i="12"/>
  <c r="CG400" i="12"/>
  <c r="CF400" i="12"/>
  <c r="CI399" i="12"/>
  <c r="CH399" i="12"/>
  <c r="CG399" i="12"/>
  <c r="CF399" i="12"/>
  <c r="CI398" i="12"/>
  <c r="CH398" i="12"/>
  <c r="CG398" i="12"/>
  <c r="CF398" i="12"/>
  <c r="CI397" i="12"/>
  <c r="CH397" i="12"/>
  <c r="CG397" i="12"/>
  <c r="CF397" i="12"/>
  <c r="CI396" i="12"/>
  <c r="CH396" i="12"/>
  <c r="CG396" i="12"/>
  <c r="CF396" i="12"/>
  <c r="CI395" i="12"/>
  <c r="CH395" i="12"/>
  <c r="CG395" i="12"/>
  <c r="CF395" i="12"/>
  <c r="CI394" i="12"/>
  <c r="CH394" i="12"/>
  <c r="CG394" i="12"/>
  <c r="CF394" i="12"/>
  <c r="CI393" i="12"/>
  <c r="CH393" i="12"/>
  <c r="CG393" i="12"/>
  <c r="CF393" i="12"/>
  <c r="CI392" i="12"/>
  <c r="CH392" i="12"/>
  <c r="CG392" i="12"/>
  <c r="CF392" i="12"/>
  <c r="CI391" i="12"/>
  <c r="CH391" i="12"/>
  <c r="CG391" i="12"/>
  <c r="CF391" i="12"/>
  <c r="CI390" i="12"/>
  <c r="CH390" i="12"/>
  <c r="CG390" i="12"/>
  <c r="CF390" i="12"/>
  <c r="CI389" i="12"/>
  <c r="CH389" i="12"/>
  <c r="CG389" i="12"/>
  <c r="CF389" i="12"/>
  <c r="CI388" i="12"/>
  <c r="CH388" i="12"/>
  <c r="CG388" i="12"/>
  <c r="CF388" i="12"/>
  <c r="CI387" i="12"/>
  <c r="CH387" i="12"/>
  <c r="CG387" i="12"/>
  <c r="CF387" i="12"/>
  <c r="CI386" i="12"/>
  <c r="CH386" i="12"/>
  <c r="CG386" i="12"/>
  <c r="CF386" i="12"/>
  <c r="CI385" i="12"/>
  <c r="CH385" i="12"/>
  <c r="CG385" i="12"/>
  <c r="CF385" i="12"/>
  <c r="CI384" i="12"/>
  <c r="CH384" i="12"/>
  <c r="CG384" i="12"/>
  <c r="CF384" i="12"/>
  <c r="CI383" i="12"/>
  <c r="CH383" i="12"/>
  <c r="CG383" i="12"/>
  <c r="CF383" i="12"/>
  <c r="CI382" i="12"/>
  <c r="CH382" i="12"/>
  <c r="CG382" i="12"/>
  <c r="CF382" i="12"/>
  <c r="CI381" i="12"/>
  <c r="CH381" i="12"/>
  <c r="CG381" i="12"/>
  <c r="CF381" i="12"/>
  <c r="CI380" i="12"/>
  <c r="CH380" i="12"/>
  <c r="CG380" i="12"/>
  <c r="CF380" i="12"/>
  <c r="CI379" i="12"/>
  <c r="CH379" i="12"/>
  <c r="CG379" i="12"/>
  <c r="CF379" i="12"/>
  <c r="CI378" i="12"/>
  <c r="CH378" i="12"/>
  <c r="CG378" i="12"/>
  <c r="CF378" i="12"/>
  <c r="CI377" i="12"/>
  <c r="CH377" i="12"/>
  <c r="CG377" i="12"/>
  <c r="CF377" i="12"/>
  <c r="CI376" i="12"/>
  <c r="CH376" i="12"/>
  <c r="CG376" i="12"/>
  <c r="CF376" i="12"/>
  <c r="CI375" i="12"/>
  <c r="CH375" i="12"/>
  <c r="CG375" i="12"/>
  <c r="CF375" i="12"/>
  <c r="CI374" i="12"/>
  <c r="CH374" i="12"/>
  <c r="CG374" i="12"/>
  <c r="CF374" i="12"/>
  <c r="CI373" i="12"/>
  <c r="CH373" i="12"/>
  <c r="CG373" i="12"/>
  <c r="CF373" i="12"/>
  <c r="CI372" i="12"/>
  <c r="CH372" i="12"/>
  <c r="CG372" i="12"/>
  <c r="CF372" i="12"/>
  <c r="CI371" i="12"/>
  <c r="CH371" i="12"/>
  <c r="CG371" i="12"/>
  <c r="CF371" i="12"/>
  <c r="CI370" i="12"/>
  <c r="CH370" i="12"/>
  <c r="CG370" i="12"/>
  <c r="CF370" i="12"/>
  <c r="CI369" i="12"/>
  <c r="CH369" i="12"/>
  <c r="CG369" i="12"/>
  <c r="CF369" i="12"/>
  <c r="CI368" i="12"/>
  <c r="CH368" i="12"/>
  <c r="CG368" i="12"/>
  <c r="CF368" i="12"/>
  <c r="CI367" i="12"/>
  <c r="CH367" i="12"/>
  <c r="CG367" i="12"/>
  <c r="CF367" i="12"/>
  <c r="CI366" i="12"/>
  <c r="CH366" i="12"/>
  <c r="CG366" i="12"/>
  <c r="CF366" i="12"/>
  <c r="CI365" i="12"/>
  <c r="CH365" i="12"/>
  <c r="CG365" i="12"/>
  <c r="CF365" i="12"/>
  <c r="CI364" i="12"/>
  <c r="CH364" i="12"/>
  <c r="CG364" i="12"/>
  <c r="CF364" i="12"/>
  <c r="CI363" i="12"/>
  <c r="CH363" i="12"/>
  <c r="CG363" i="12"/>
  <c r="CF363" i="12"/>
  <c r="CI362" i="12"/>
  <c r="CH362" i="12"/>
  <c r="CG362" i="12"/>
  <c r="CF362" i="12"/>
  <c r="CI361" i="12"/>
  <c r="CH361" i="12"/>
  <c r="CG361" i="12"/>
  <c r="CF361" i="12"/>
  <c r="CI360" i="12"/>
  <c r="CH360" i="12"/>
  <c r="CG360" i="12"/>
  <c r="CF360" i="12"/>
  <c r="CI359" i="12"/>
  <c r="CH359" i="12"/>
  <c r="CG359" i="12"/>
  <c r="CF359" i="12"/>
  <c r="CI358" i="12"/>
  <c r="CH358" i="12"/>
  <c r="CG358" i="12"/>
  <c r="CF358" i="12"/>
  <c r="CI357" i="12"/>
  <c r="CH357" i="12"/>
  <c r="CG357" i="12"/>
  <c r="CF357" i="12"/>
  <c r="CI356" i="12"/>
  <c r="CH356" i="12"/>
  <c r="CG356" i="12"/>
  <c r="CF356" i="12"/>
  <c r="CI355" i="12"/>
  <c r="CH355" i="12"/>
  <c r="CG355" i="12"/>
  <c r="CF355" i="12"/>
  <c r="CI354" i="12"/>
  <c r="CH354" i="12"/>
  <c r="CG354" i="12"/>
  <c r="CF354" i="12"/>
  <c r="CI353" i="12"/>
  <c r="CH353" i="12"/>
  <c r="CG353" i="12"/>
  <c r="CF353" i="12"/>
  <c r="CI352" i="12"/>
  <c r="CH352" i="12"/>
  <c r="CG352" i="12"/>
  <c r="CF352" i="12"/>
  <c r="CI351" i="12"/>
  <c r="CH351" i="12"/>
  <c r="CG351" i="12"/>
  <c r="CF351" i="12"/>
  <c r="CI350" i="12"/>
  <c r="CH350" i="12"/>
  <c r="CG350" i="12"/>
  <c r="CF350" i="12"/>
  <c r="CI349" i="12"/>
  <c r="CH349" i="12"/>
  <c r="CG349" i="12"/>
  <c r="CF349" i="12"/>
  <c r="CI348" i="12"/>
  <c r="CH348" i="12"/>
  <c r="CG348" i="12"/>
  <c r="CF348" i="12"/>
  <c r="CI347" i="12"/>
  <c r="CH347" i="12"/>
  <c r="CG347" i="12"/>
  <c r="CF347" i="12"/>
  <c r="CI346" i="12"/>
  <c r="CH346" i="12"/>
  <c r="CG346" i="12"/>
  <c r="CF346" i="12"/>
  <c r="CI345" i="12"/>
  <c r="CH345" i="12"/>
  <c r="CG345" i="12"/>
  <c r="CF345" i="12"/>
  <c r="CI344" i="12"/>
  <c r="CH344" i="12"/>
  <c r="CG344" i="12"/>
  <c r="CF344" i="12"/>
  <c r="CI343" i="12"/>
  <c r="CH343" i="12"/>
  <c r="CG343" i="12"/>
  <c r="CF343" i="12"/>
  <c r="CI342" i="12"/>
  <c r="CH342" i="12"/>
  <c r="CG342" i="12"/>
  <c r="CF342" i="12"/>
  <c r="CI341" i="12"/>
  <c r="CH341" i="12"/>
  <c r="CG341" i="12"/>
  <c r="CF341" i="12"/>
  <c r="CI340" i="12"/>
  <c r="CH340" i="12"/>
  <c r="CG340" i="12"/>
  <c r="CF340" i="12"/>
  <c r="CI339" i="12"/>
  <c r="CH339" i="12"/>
  <c r="CG339" i="12"/>
  <c r="CF339" i="12"/>
  <c r="CI338" i="12"/>
  <c r="CH338" i="12"/>
  <c r="CG338" i="12"/>
  <c r="CF338" i="12"/>
  <c r="CI337" i="12"/>
  <c r="CH337" i="12"/>
  <c r="CG337" i="12"/>
  <c r="CF337" i="12"/>
  <c r="CI336" i="12"/>
  <c r="CH336" i="12"/>
  <c r="CG336" i="12"/>
  <c r="CF336" i="12"/>
  <c r="CI335" i="12"/>
  <c r="CH335" i="12"/>
  <c r="CG335" i="12"/>
  <c r="CF335" i="12"/>
  <c r="CI334" i="12"/>
  <c r="CH334" i="12"/>
  <c r="CG334" i="12"/>
  <c r="CF334" i="12"/>
  <c r="CI333" i="12"/>
  <c r="CH333" i="12"/>
  <c r="CG333" i="12"/>
  <c r="CF333" i="12"/>
  <c r="CI332" i="12"/>
  <c r="CH332" i="12"/>
  <c r="CG332" i="12"/>
  <c r="CF332" i="12"/>
  <c r="CI331" i="12"/>
  <c r="CH331" i="12"/>
  <c r="CG331" i="12"/>
  <c r="CF331" i="12"/>
  <c r="CI330" i="12"/>
  <c r="CH330" i="12"/>
  <c r="CG330" i="12"/>
  <c r="CF330" i="12"/>
  <c r="CI329" i="12"/>
  <c r="CH329" i="12"/>
  <c r="CG329" i="12"/>
  <c r="CF329" i="12"/>
  <c r="CI328" i="12"/>
  <c r="CH328" i="12"/>
  <c r="CG328" i="12"/>
  <c r="CF328" i="12"/>
  <c r="CI327" i="12"/>
  <c r="CH327" i="12"/>
  <c r="CG327" i="12"/>
  <c r="CF327" i="12"/>
  <c r="CI326" i="12"/>
  <c r="CH326" i="12"/>
  <c r="CG326" i="12"/>
  <c r="CF326" i="12"/>
  <c r="CI325" i="12"/>
  <c r="CH325" i="12"/>
  <c r="CG325" i="12"/>
  <c r="CF325" i="12"/>
  <c r="CI324" i="12"/>
  <c r="CH324" i="12"/>
  <c r="CG324" i="12"/>
  <c r="CF324" i="12"/>
  <c r="CI323" i="12"/>
  <c r="CH323" i="12"/>
  <c r="CG323" i="12"/>
  <c r="CF323" i="12"/>
  <c r="CI322" i="12"/>
  <c r="CH322" i="12"/>
  <c r="CG322" i="12"/>
  <c r="CF322" i="12"/>
  <c r="CI321" i="12"/>
  <c r="CH321" i="12"/>
  <c r="CG321" i="12"/>
  <c r="CF321" i="12"/>
  <c r="CI320" i="12"/>
  <c r="CH320" i="12"/>
  <c r="CG320" i="12"/>
  <c r="CF320" i="12"/>
  <c r="CI319" i="12"/>
  <c r="CH319" i="12"/>
  <c r="CG319" i="12"/>
  <c r="CF319" i="12"/>
  <c r="CI318" i="12"/>
  <c r="CH318" i="12"/>
  <c r="CG318" i="12"/>
  <c r="CF318" i="12"/>
  <c r="CI317" i="12"/>
  <c r="CH317" i="12"/>
  <c r="CG317" i="12"/>
  <c r="CF317" i="12"/>
  <c r="CI316" i="12"/>
  <c r="CH316" i="12"/>
  <c r="CG316" i="12"/>
  <c r="CF316" i="12"/>
  <c r="CI315" i="12"/>
  <c r="CH315" i="12"/>
  <c r="CG315" i="12"/>
  <c r="CF315" i="12"/>
  <c r="CI314" i="12"/>
  <c r="CH314" i="12"/>
  <c r="CG314" i="12"/>
  <c r="CF314" i="12"/>
  <c r="CI313" i="12"/>
  <c r="CH313" i="12"/>
  <c r="CG313" i="12"/>
  <c r="CF313" i="12"/>
  <c r="CI312" i="12"/>
  <c r="CH312" i="12"/>
  <c r="CG312" i="12"/>
  <c r="CF312" i="12"/>
  <c r="CI311" i="12"/>
  <c r="CH311" i="12"/>
  <c r="CG311" i="12"/>
  <c r="CF311" i="12"/>
  <c r="CI310" i="12"/>
  <c r="CH310" i="12"/>
  <c r="CG310" i="12"/>
  <c r="CF310" i="12"/>
  <c r="CI309" i="12"/>
  <c r="CH309" i="12"/>
  <c r="CG309" i="12"/>
  <c r="CF309" i="12"/>
  <c r="CI308" i="12"/>
  <c r="CH308" i="12"/>
  <c r="CG308" i="12"/>
  <c r="CF308" i="12"/>
  <c r="CI307" i="12"/>
  <c r="CH307" i="12"/>
  <c r="CG307" i="12"/>
  <c r="CF307" i="12"/>
  <c r="CI306" i="12"/>
  <c r="CH306" i="12"/>
  <c r="CG306" i="12"/>
  <c r="CF306" i="12"/>
  <c r="CI305" i="12"/>
  <c r="CH305" i="12"/>
  <c r="CG305" i="12"/>
  <c r="CF305" i="12"/>
  <c r="CI304" i="12"/>
  <c r="CH304" i="12"/>
  <c r="CG304" i="12"/>
  <c r="CF304" i="12"/>
  <c r="CI303" i="12"/>
  <c r="CH303" i="12"/>
  <c r="CG303" i="12"/>
  <c r="CF303" i="12"/>
  <c r="CI302" i="12"/>
  <c r="CH302" i="12"/>
  <c r="CG302" i="12"/>
  <c r="CF302" i="12"/>
  <c r="CI301" i="12"/>
  <c r="CH301" i="12"/>
  <c r="CG301" i="12"/>
  <c r="CF301" i="12"/>
  <c r="CI300" i="12"/>
  <c r="CH300" i="12"/>
  <c r="CG300" i="12"/>
  <c r="CF300" i="12"/>
  <c r="CI299" i="12"/>
  <c r="CH299" i="12"/>
  <c r="CG299" i="12"/>
  <c r="CF299" i="12"/>
  <c r="CI298" i="12"/>
  <c r="CH298" i="12"/>
  <c r="CG298" i="12"/>
  <c r="CF298" i="12"/>
  <c r="CI297" i="12"/>
  <c r="CH297" i="12"/>
  <c r="CG297" i="12"/>
  <c r="CF297" i="12"/>
  <c r="CI296" i="12"/>
  <c r="CH296" i="12"/>
  <c r="CG296" i="12"/>
  <c r="CF296" i="12"/>
  <c r="CI295" i="12"/>
  <c r="CH295" i="12"/>
  <c r="CG295" i="12"/>
  <c r="CF295" i="12"/>
  <c r="CI294" i="12"/>
  <c r="CH294" i="12"/>
  <c r="CG294" i="12"/>
  <c r="CF294" i="12"/>
  <c r="CI293" i="12"/>
  <c r="CH293" i="12"/>
  <c r="CG293" i="12"/>
  <c r="CF293" i="12"/>
  <c r="CI292" i="12"/>
  <c r="CH292" i="12"/>
  <c r="CG292" i="12"/>
  <c r="CF292" i="12"/>
  <c r="CI291" i="12"/>
  <c r="CH291" i="12"/>
  <c r="CG291" i="12"/>
  <c r="CF291" i="12"/>
  <c r="CI290" i="12"/>
  <c r="CH290" i="12"/>
  <c r="CG290" i="12"/>
  <c r="CF290" i="12"/>
  <c r="CI289" i="12"/>
  <c r="CH289" i="12"/>
  <c r="CG289" i="12"/>
  <c r="CF289" i="12"/>
  <c r="CI288" i="12"/>
  <c r="CH288" i="12"/>
  <c r="CG288" i="12"/>
  <c r="CF288" i="12"/>
  <c r="CI287" i="12"/>
  <c r="CH287" i="12"/>
  <c r="CG287" i="12"/>
  <c r="CF287" i="12"/>
  <c r="CI286" i="12"/>
  <c r="CH286" i="12"/>
  <c r="CG286" i="12"/>
  <c r="CF286" i="12"/>
  <c r="CI285" i="12"/>
  <c r="CH285" i="12"/>
  <c r="CG285" i="12"/>
  <c r="CF285" i="12"/>
  <c r="CI284" i="12"/>
  <c r="CH284" i="12"/>
  <c r="CG284" i="12"/>
  <c r="CF284" i="12"/>
  <c r="CI283" i="12"/>
  <c r="CH283" i="12"/>
  <c r="CG283" i="12"/>
  <c r="CF283" i="12"/>
  <c r="CI282" i="12"/>
  <c r="CH282" i="12"/>
  <c r="CG282" i="12"/>
  <c r="CF282" i="12"/>
  <c r="CI281" i="12"/>
  <c r="CH281" i="12"/>
  <c r="CG281" i="12"/>
  <c r="CF281" i="12"/>
  <c r="CI280" i="12"/>
  <c r="CH280" i="12"/>
  <c r="CG280" i="12"/>
  <c r="CF280" i="12"/>
  <c r="CI279" i="12"/>
  <c r="CH279" i="12"/>
  <c r="CG279" i="12"/>
  <c r="CF279" i="12"/>
  <c r="CI278" i="12"/>
  <c r="CH278" i="12"/>
  <c r="CG278" i="12"/>
  <c r="CF278" i="12"/>
  <c r="CI277" i="12"/>
  <c r="CH277" i="12"/>
  <c r="CG277" i="12"/>
  <c r="CF277" i="12"/>
  <c r="CI276" i="12"/>
  <c r="CH276" i="12"/>
  <c r="CG276" i="12"/>
  <c r="CF276" i="12"/>
  <c r="CI275" i="12"/>
  <c r="CH275" i="12"/>
  <c r="CG275" i="12"/>
  <c r="CF275" i="12"/>
  <c r="CI274" i="12"/>
  <c r="CH274" i="12"/>
  <c r="CG274" i="12"/>
  <c r="CF274" i="12"/>
  <c r="CI273" i="12"/>
  <c r="CH273" i="12"/>
  <c r="CG273" i="12"/>
  <c r="CF273" i="12"/>
  <c r="CI272" i="12"/>
  <c r="CH272" i="12"/>
  <c r="CG272" i="12"/>
  <c r="CF272" i="12"/>
  <c r="CI271" i="12"/>
  <c r="CH271" i="12"/>
  <c r="CG271" i="12"/>
  <c r="CF271" i="12"/>
  <c r="CI270" i="12"/>
  <c r="CH270" i="12"/>
  <c r="CG270" i="12"/>
  <c r="CF270" i="12"/>
  <c r="CI269" i="12"/>
  <c r="CH269" i="12"/>
  <c r="CG269" i="12"/>
  <c r="CF269" i="12"/>
  <c r="CI268" i="12"/>
  <c r="CH268" i="12"/>
  <c r="CG268" i="12"/>
  <c r="CF268" i="12"/>
  <c r="CI267" i="12"/>
  <c r="CH267" i="12"/>
  <c r="CG267" i="12"/>
  <c r="CF267" i="12"/>
  <c r="CI266" i="12"/>
  <c r="CH266" i="12"/>
  <c r="CG266" i="12"/>
  <c r="CF266" i="12"/>
  <c r="CI265" i="12"/>
  <c r="CH265" i="12"/>
  <c r="CG265" i="12"/>
  <c r="CF265" i="12"/>
  <c r="CI264" i="12"/>
  <c r="CH264" i="12"/>
  <c r="CG264" i="12"/>
  <c r="CF264" i="12"/>
  <c r="CI263" i="12"/>
  <c r="CH263" i="12"/>
  <c r="CG263" i="12"/>
  <c r="CF263" i="12"/>
  <c r="CI262" i="12"/>
  <c r="CH262" i="12"/>
  <c r="CG262" i="12"/>
  <c r="CF262" i="12"/>
  <c r="CI261" i="12"/>
  <c r="CH261" i="12"/>
  <c r="CG261" i="12"/>
  <c r="CF261" i="12"/>
  <c r="CI260" i="12"/>
  <c r="CH260" i="12"/>
  <c r="CG260" i="12"/>
  <c r="CF260" i="12"/>
  <c r="CI259" i="12"/>
  <c r="CH259" i="12"/>
  <c r="CG259" i="12"/>
  <c r="CF259" i="12"/>
  <c r="CI258" i="12"/>
  <c r="CH258" i="12"/>
  <c r="CG258" i="12"/>
  <c r="CF258" i="12"/>
  <c r="CI257" i="12"/>
  <c r="CH257" i="12"/>
  <c r="CG257" i="12"/>
  <c r="CF257" i="12"/>
  <c r="CI256" i="12"/>
  <c r="CH256" i="12"/>
  <c r="CG256" i="12"/>
  <c r="CF256" i="12"/>
  <c r="CI255" i="12"/>
  <c r="CH255" i="12"/>
  <c r="CG255" i="12"/>
  <c r="CF255" i="12"/>
  <c r="CI254" i="12"/>
  <c r="CH254" i="12"/>
  <c r="CG254" i="12"/>
  <c r="CF254" i="12"/>
  <c r="CI253" i="12"/>
  <c r="CH253" i="12"/>
  <c r="CG253" i="12"/>
  <c r="CF253" i="12"/>
  <c r="CI252" i="12"/>
  <c r="CH252" i="12"/>
  <c r="CG252" i="12"/>
  <c r="CF252" i="12"/>
  <c r="CI251" i="12"/>
  <c r="CH251" i="12"/>
  <c r="CG251" i="12"/>
  <c r="CF251" i="12"/>
  <c r="CI250" i="12"/>
  <c r="CH250" i="12"/>
  <c r="CG250" i="12"/>
  <c r="CF250" i="12"/>
  <c r="CI249" i="12"/>
  <c r="CH249" i="12"/>
  <c r="CG249" i="12"/>
  <c r="CF249" i="12"/>
  <c r="CI248" i="12"/>
  <c r="CH248" i="12"/>
  <c r="CG248" i="12"/>
  <c r="CF248" i="12"/>
  <c r="CI247" i="12"/>
  <c r="CH247" i="12"/>
  <c r="CG247" i="12"/>
  <c r="CF247" i="12"/>
  <c r="CI246" i="12"/>
  <c r="CH246" i="12"/>
  <c r="CG246" i="12"/>
  <c r="CF246" i="12"/>
  <c r="CI245" i="12"/>
  <c r="CH245" i="12"/>
  <c r="CG245" i="12"/>
  <c r="CF245" i="12"/>
  <c r="CI244" i="12"/>
  <c r="CH244" i="12"/>
  <c r="CG244" i="12"/>
  <c r="CF244" i="12"/>
  <c r="CI243" i="12"/>
  <c r="CH243" i="12"/>
  <c r="CG243" i="12"/>
  <c r="CF243" i="12"/>
  <c r="CI242" i="12"/>
  <c r="CH242" i="12"/>
  <c r="CG242" i="12"/>
  <c r="CF242" i="12"/>
  <c r="CI241" i="12"/>
  <c r="CH241" i="12"/>
  <c r="CG241" i="12"/>
  <c r="CF241" i="12"/>
  <c r="CI240" i="12"/>
  <c r="CH240" i="12"/>
  <c r="CG240" i="12"/>
  <c r="CF240" i="12"/>
  <c r="CI239" i="12"/>
  <c r="CH239" i="12"/>
  <c r="CG239" i="12"/>
  <c r="CF239" i="12"/>
  <c r="CI238" i="12"/>
  <c r="CH238" i="12"/>
  <c r="CG238" i="12"/>
  <c r="CF238" i="12"/>
  <c r="CI237" i="12"/>
  <c r="CH237" i="12"/>
  <c r="CG237" i="12"/>
  <c r="CF237" i="12"/>
  <c r="CI236" i="12"/>
  <c r="CH236" i="12"/>
  <c r="CG236" i="12"/>
  <c r="CF236" i="12"/>
  <c r="CI235" i="12"/>
  <c r="CH235" i="12"/>
  <c r="CG235" i="12"/>
  <c r="CF235" i="12"/>
  <c r="CI234" i="12"/>
  <c r="CH234" i="12"/>
  <c r="CG234" i="12"/>
  <c r="CF234" i="12"/>
  <c r="CI233" i="12"/>
  <c r="CH233" i="12"/>
  <c r="CG233" i="12"/>
  <c r="CF233" i="12"/>
  <c r="CI232" i="12"/>
  <c r="CH232" i="12"/>
  <c r="CG232" i="12"/>
  <c r="CF232" i="12"/>
  <c r="CI231" i="12"/>
  <c r="CH231" i="12"/>
  <c r="CG231" i="12"/>
  <c r="CF231" i="12"/>
  <c r="CI230" i="12"/>
  <c r="CH230" i="12"/>
  <c r="CG230" i="12"/>
  <c r="CF230" i="12"/>
  <c r="CI229" i="12"/>
  <c r="CH229" i="12"/>
  <c r="CG229" i="12"/>
  <c r="CF229" i="12"/>
  <c r="CI228" i="12"/>
  <c r="CH228" i="12"/>
  <c r="CG228" i="12"/>
  <c r="CF228" i="12"/>
  <c r="CI227" i="12"/>
  <c r="CH227" i="12"/>
  <c r="CG227" i="12"/>
  <c r="CF227" i="12"/>
  <c r="CI226" i="12"/>
  <c r="CH226" i="12"/>
  <c r="CG226" i="12"/>
  <c r="CF226" i="12"/>
  <c r="CI225" i="12"/>
  <c r="CH225" i="12"/>
  <c r="CG225" i="12"/>
  <c r="CF225" i="12"/>
  <c r="CI224" i="12"/>
  <c r="CH224" i="12"/>
  <c r="CG224" i="12"/>
  <c r="CF224" i="12"/>
  <c r="CI223" i="12"/>
  <c r="CH223" i="12"/>
  <c r="CG223" i="12"/>
  <c r="CF223" i="12"/>
  <c r="CI222" i="12"/>
  <c r="CH222" i="12"/>
  <c r="CG222" i="12"/>
  <c r="CF222" i="12"/>
  <c r="CI221" i="12"/>
  <c r="CH221" i="12"/>
  <c r="CG221" i="12"/>
  <c r="CF221" i="12"/>
  <c r="CI220" i="12"/>
  <c r="CH220" i="12"/>
  <c r="CG220" i="12"/>
  <c r="CF220" i="12"/>
  <c r="CI219" i="12"/>
  <c r="CH219" i="12"/>
  <c r="CG219" i="12"/>
  <c r="CF219" i="12"/>
  <c r="CI218" i="12"/>
  <c r="CH218" i="12"/>
  <c r="CG218" i="12"/>
  <c r="CF218" i="12"/>
  <c r="CI217" i="12"/>
  <c r="CH217" i="12"/>
  <c r="CG217" i="12"/>
  <c r="CF217" i="12"/>
  <c r="CI216" i="12"/>
  <c r="CH216" i="12"/>
  <c r="CG216" i="12"/>
  <c r="CF216" i="12"/>
  <c r="CI215" i="12"/>
  <c r="CH215" i="12"/>
  <c r="CG215" i="12"/>
  <c r="CF215" i="12"/>
  <c r="CI214" i="12"/>
  <c r="CH214" i="12"/>
  <c r="CG214" i="12"/>
  <c r="CF214" i="12"/>
  <c r="CI213" i="12"/>
  <c r="CH213" i="12"/>
  <c r="CG213" i="12"/>
  <c r="CF213" i="12"/>
  <c r="CI212" i="12"/>
  <c r="CH212" i="12"/>
  <c r="CG212" i="12"/>
  <c r="CF212" i="12"/>
  <c r="CI211" i="12"/>
  <c r="CH211" i="12"/>
  <c r="CG211" i="12"/>
  <c r="CF211" i="12"/>
  <c r="CI210" i="12"/>
  <c r="CH210" i="12"/>
  <c r="CG210" i="12"/>
  <c r="CF210" i="12"/>
  <c r="CI209" i="12"/>
  <c r="CH209" i="12"/>
  <c r="CG209" i="12"/>
  <c r="CF209" i="12"/>
  <c r="CI208" i="12"/>
  <c r="CH208" i="12"/>
  <c r="CG208" i="12"/>
  <c r="CF208" i="12"/>
  <c r="CI207" i="12"/>
  <c r="CH207" i="12"/>
  <c r="CG207" i="12"/>
  <c r="CF207" i="12"/>
  <c r="CI206" i="12"/>
  <c r="CH206" i="12"/>
  <c r="CG206" i="12"/>
  <c r="CF206" i="12"/>
  <c r="CI205" i="12"/>
  <c r="CH205" i="12"/>
  <c r="CG205" i="12"/>
  <c r="CF205" i="12"/>
  <c r="CI204" i="12"/>
  <c r="CH204" i="12"/>
  <c r="CG204" i="12"/>
  <c r="CF204" i="12"/>
  <c r="CI203" i="12"/>
  <c r="CH203" i="12"/>
  <c r="CG203" i="12"/>
  <c r="CF203" i="12"/>
  <c r="CI202" i="12"/>
  <c r="CH202" i="12"/>
  <c r="CG202" i="12"/>
  <c r="CF202" i="12"/>
  <c r="CI201" i="12"/>
  <c r="CH201" i="12"/>
  <c r="CG201" i="12"/>
  <c r="CF201" i="12"/>
  <c r="CI200" i="12"/>
  <c r="CH200" i="12"/>
  <c r="CG200" i="12"/>
  <c r="CF200" i="12"/>
  <c r="CI199" i="12"/>
  <c r="CH199" i="12"/>
  <c r="CG199" i="12"/>
  <c r="CF199" i="12"/>
  <c r="CI198" i="12"/>
  <c r="CH198" i="12"/>
  <c r="CG198" i="12"/>
  <c r="CF198" i="12"/>
  <c r="CI197" i="12"/>
  <c r="CH197" i="12"/>
  <c r="CG197" i="12"/>
  <c r="CF197" i="12"/>
  <c r="CI196" i="12"/>
  <c r="CH196" i="12"/>
  <c r="CG196" i="12"/>
  <c r="CF196" i="12"/>
  <c r="CI195" i="12"/>
  <c r="CH195" i="12"/>
  <c r="CG195" i="12"/>
  <c r="CF195" i="12"/>
  <c r="CI194" i="12"/>
  <c r="CH194" i="12"/>
  <c r="CG194" i="12"/>
  <c r="CF194" i="12"/>
  <c r="CI193" i="12"/>
  <c r="CH193" i="12"/>
  <c r="CG193" i="12"/>
  <c r="CF193" i="12"/>
  <c r="CI192" i="12"/>
  <c r="CH192" i="12"/>
  <c r="CG192" i="12"/>
  <c r="CF192" i="12"/>
  <c r="CI191" i="12"/>
  <c r="CH191" i="12"/>
  <c r="CG191" i="12"/>
  <c r="CF191" i="12"/>
  <c r="CI190" i="12"/>
  <c r="CH190" i="12"/>
  <c r="CG190" i="12"/>
  <c r="CF190" i="12"/>
  <c r="CI189" i="12"/>
  <c r="CH189" i="12"/>
  <c r="CG189" i="12"/>
  <c r="CF189" i="12"/>
  <c r="CI188" i="12"/>
  <c r="CH188" i="12"/>
  <c r="CG188" i="12"/>
  <c r="CF188" i="12"/>
  <c r="CI187" i="12"/>
  <c r="CH187" i="12"/>
  <c r="CG187" i="12"/>
  <c r="CF187" i="12"/>
  <c r="CI186" i="12"/>
  <c r="CH186" i="12"/>
  <c r="CG186" i="12"/>
  <c r="CF186" i="12"/>
  <c r="CI185" i="12"/>
  <c r="CH185" i="12"/>
  <c r="CG185" i="12"/>
  <c r="CF185" i="12"/>
  <c r="CI184" i="12"/>
  <c r="CH184" i="12"/>
  <c r="CG184" i="12"/>
  <c r="CF184" i="12"/>
  <c r="CI183" i="12"/>
  <c r="CH183" i="12"/>
  <c r="CG183" i="12"/>
  <c r="CF183" i="12"/>
  <c r="CI182" i="12"/>
  <c r="CH182" i="12"/>
  <c r="CG182" i="12"/>
  <c r="CF182" i="12"/>
  <c r="CI181" i="12"/>
  <c r="CH181" i="12"/>
  <c r="CG181" i="12"/>
  <c r="CF181" i="12"/>
  <c r="CI180" i="12"/>
  <c r="CH180" i="12"/>
  <c r="CG180" i="12"/>
  <c r="CF180" i="12"/>
  <c r="CI179" i="12"/>
  <c r="CH179" i="12"/>
  <c r="CG179" i="12"/>
  <c r="CF179" i="12"/>
  <c r="CI178" i="12"/>
  <c r="CH178" i="12"/>
  <c r="CG178" i="12"/>
  <c r="CF178" i="12"/>
  <c r="CI177" i="12"/>
  <c r="CH177" i="12"/>
  <c r="CG177" i="12"/>
  <c r="CF177" i="12"/>
  <c r="CI176" i="12"/>
  <c r="CH176" i="12"/>
  <c r="CG176" i="12"/>
  <c r="CF176" i="12"/>
  <c r="CI175" i="12"/>
  <c r="CH175" i="12"/>
  <c r="CG175" i="12"/>
  <c r="CF175" i="12"/>
  <c r="CI174" i="12"/>
  <c r="CH174" i="12"/>
  <c r="CG174" i="12"/>
  <c r="CF174" i="12"/>
  <c r="CI173" i="12"/>
  <c r="CH173" i="12"/>
  <c r="CG173" i="12"/>
  <c r="CF173" i="12"/>
  <c r="CI172" i="12"/>
  <c r="CH172" i="12"/>
  <c r="CG172" i="12"/>
  <c r="CF172" i="12"/>
  <c r="CI171" i="12"/>
  <c r="CH171" i="12"/>
  <c r="CG171" i="12"/>
  <c r="CF171" i="12"/>
  <c r="CI170" i="12"/>
  <c r="CH170" i="12"/>
  <c r="CG170" i="12"/>
  <c r="CF170" i="12"/>
  <c r="CI169" i="12"/>
  <c r="CH169" i="12"/>
  <c r="CG169" i="12"/>
  <c r="CF169" i="12"/>
  <c r="CI168" i="12"/>
  <c r="CH168" i="12"/>
  <c r="CG168" i="12"/>
  <c r="CF168" i="12"/>
  <c r="CI167" i="12"/>
  <c r="CH167" i="12"/>
  <c r="CG167" i="12"/>
  <c r="CF167" i="12"/>
  <c r="CI166" i="12"/>
  <c r="CH166" i="12"/>
  <c r="CG166" i="12"/>
  <c r="CF166" i="12"/>
  <c r="CI165" i="12"/>
  <c r="CH165" i="12"/>
  <c r="CG165" i="12"/>
  <c r="CF165" i="12"/>
  <c r="CI164" i="12"/>
  <c r="CH164" i="12"/>
  <c r="CG164" i="12"/>
  <c r="CF164" i="12"/>
  <c r="CI163" i="12"/>
  <c r="CH163" i="12"/>
  <c r="CG163" i="12"/>
  <c r="CF163" i="12"/>
  <c r="CI162" i="12"/>
  <c r="CH162" i="12"/>
  <c r="CG162" i="12"/>
  <c r="CF162" i="12"/>
  <c r="CI161" i="12"/>
  <c r="CH161" i="12"/>
  <c r="CG161" i="12"/>
  <c r="CF161" i="12"/>
  <c r="CI160" i="12"/>
  <c r="CH160" i="12"/>
  <c r="CG160" i="12"/>
  <c r="CF160" i="12"/>
  <c r="CI159" i="12"/>
  <c r="CH159" i="12"/>
  <c r="CG159" i="12"/>
  <c r="CF159" i="12"/>
  <c r="CI158" i="12"/>
  <c r="CH158" i="12"/>
  <c r="CG158" i="12"/>
  <c r="CF158" i="12"/>
  <c r="CI157" i="12"/>
  <c r="CH157" i="12"/>
  <c r="CG157" i="12"/>
  <c r="CF157" i="12"/>
  <c r="CI156" i="12"/>
  <c r="CH156" i="12"/>
  <c r="CG156" i="12"/>
  <c r="CF156" i="12"/>
  <c r="CI155" i="12"/>
  <c r="CH155" i="12"/>
  <c r="CG155" i="12"/>
  <c r="CF155" i="12"/>
  <c r="CI154" i="12"/>
  <c r="CH154" i="12"/>
  <c r="CG154" i="12"/>
  <c r="CF154" i="12"/>
  <c r="CI153" i="12"/>
  <c r="CH153" i="12"/>
  <c r="CG153" i="12"/>
  <c r="CF153" i="12"/>
  <c r="CI152" i="12"/>
  <c r="CH152" i="12"/>
  <c r="CG152" i="12"/>
  <c r="CF152" i="12"/>
  <c r="CI151" i="12"/>
  <c r="CH151" i="12"/>
  <c r="CG151" i="12"/>
  <c r="CF151" i="12"/>
  <c r="CI150" i="12"/>
  <c r="CH150" i="12"/>
  <c r="CG150" i="12"/>
  <c r="CF150" i="12"/>
  <c r="CI149" i="12"/>
  <c r="CH149" i="12"/>
  <c r="CG149" i="12"/>
  <c r="CF149" i="12"/>
  <c r="CI148" i="12"/>
  <c r="CH148" i="12"/>
  <c r="CG148" i="12"/>
  <c r="CF148" i="12"/>
  <c r="CI147" i="12"/>
  <c r="CH147" i="12"/>
  <c r="CG147" i="12"/>
  <c r="CF147" i="12"/>
  <c r="CI146" i="12"/>
  <c r="CH146" i="12"/>
  <c r="CG146" i="12"/>
  <c r="CF146" i="12"/>
  <c r="CI145" i="12"/>
  <c r="CH145" i="12"/>
  <c r="CG145" i="12"/>
  <c r="CF145" i="12"/>
  <c r="CI144" i="12"/>
  <c r="CH144" i="12"/>
  <c r="CG144" i="12"/>
  <c r="CF144" i="12"/>
  <c r="CI143" i="12"/>
  <c r="CH143" i="12"/>
  <c r="CG143" i="12"/>
  <c r="CF143" i="12"/>
  <c r="CI142" i="12"/>
  <c r="CH142" i="12"/>
  <c r="CG142" i="12"/>
  <c r="CF142" i="12"/>
  <c r="CI141" i="12"/>
  <c r="CH141" i="12"/>
  <c r="CG141" i="12"/>
  <c r="CF141" i="12"/>
  <c r="CI140" i="12"/>
  <c r="CH140" i="12"/>
  <c r="CG140" i="12"/>
  <c r="CF140" i="12"/>
  <c r="CI139" i="12"/>
  <c r="CH139" i="12"/>
  <c r="CG139" i="12"/>
  <c r="CF139" i="12"/>
  <c r="CI138" i="12"/>
  <c r="CH138" i="12"/>
  <c r="CG138" i="12"/>
  <c r="CF138" i="12"/>
  <c r="CI137" i="12"/>
  <c r="CH137" i="12"/>
  <c r="CG137" i="12"/>
  <c r="CF137" i="12"/>
  <c r="CI136" i="12"/>
  <c r="CH136" i="12"/>
  <c r="CG136" i="12"/>
  <c r="CF136" i="12"/>
  <c r="CI135" i="12"/>
  <c r="CH135" i="12"/>
  <c r="CG135" i="12"/>
  <c r="CF135" i="12"/>
  <c r="CI134" i="12"/>
  <c r="CH134" i="12"/>
  <c r="CG134" i="12"/>
  <c r="CF134" i="12"/>
  <c r="CI133" i="12"/>
  <c r="CH133" i="12"/>
  <c r="CG133" i="12"/>
  <c r="CF133" i="12"/>
  <c r="CI132" i="12"/>
  <c r="CH132" i="12"/>
  <c r="CG132" i="12"/>
  <c r="CF132" i="12"/>
  <c r="CI131" i="12"/>
  <c r="CH131" i="12"/>
  <c r="CG131" i="12"/>
  <c r="CF131" i="12"/>
  <c r="CI130" i="12"/>
  <c r="CH130" i="12"/>
  <c r="CG130" i="12"/>
  <c r="CF130" i="12"/>
  <c r="CI129" i="12"/>
  <c r="CH129" i="12"/>
  <c r="CG129" i="12"/>
  <c r="CF129" i="12"/>
  <c r="CI128" i="12"/>
  <c r="CH128" i="12"/>
  <c r="CG128" i="12"/>
  <c r="CF128" i="12"/>
  <c r="CI127" i="12"/>
  <c r="CH127" i="12"/>
  <c r="CG127" i="12"/>
  <c r="CF127" i="12"/>
  <c r="CI126" i="12"/>
  <c r="CH126" i="12"/>
  <c r="CG126" i="12"/>
  <c r="CF126" i="12"/>
  <c r="CI125" i="12"/>
  <c r="CH125" i="12"/>
  <c r="CG125" i="12"/>
  <c r="CF125" i="12"/>
  <c r="CI124" i="12"/>
  <c r="CH124" i="12"/>
  <c r="CG124" i="12"/>
  <c r="CF124" i="12"/>
  <c r="CI123" i="12"/>
  <c r="CH123" i="12"/>
  <c r="CG123" i="12"/>
  <c r="CF123" i="12"/>
  <c r="CI122" i="12"/>
  <c r="CH122" i="12"/>
  <c r="CG122" i="12"/>
  <c r="CF122" i="12"/>
  <c r="CI121" i="12"/>
  <c r="CH121" i="12"/>
  <c r="CG121" i="12"/>
  <c r="CF121" i="12"/>
  <c r="CI120" i="12"/>
  <c r="CH120" i="12"/>
  <c r="CG120" i="12"/>
  <c r="CF120" i="12"/>
  <c r="CI119" i="12"/>
  <c r="CH119" i="12"/>
  <c r="CG119" i="12"/>
  <c r="CF119" i="12"/>
  <c r="CI118" i="12"/>
  <c r="CH118" i="12"/>
  <c r="CG118" i="12"/>
  <c r="CF118" i="12"/>
  <c r="CI117" i="12"/>
  <c r="CH117" i="12"/>
  <c r="CG117" i="12"/>
  <c r="CF117" i="12"/>
  <c r="CI116" i="12"/>
  <c r="CH116" i="12"/>
  <c r="CG116" i="12"/>
  <c r="CF116" i="12"/>
  <c r="CI115" i="12"/>
  <c r="CH115" i="12"/>
  <c r="CG115" i="12"/>
  <c r="CF115" i="12"/>
  <c r="CI114" i="12"/>
  <c r="CH114" i="12"/>
  <c r="CG114" i="12"/>
  <c r="CF114" i="12"/>
  <c r="CI113" i="12"/>
  <c r="CH113" i="12"/>
  <c r="CG113" i="12"/>
  <c r="CF113" i="12"/>
  <c r="CI112" i="12"/>
  <c r="CH112" i="12"/>
  <c r="CG112" i="12"/>
  <c r="CF112" i="12"/>
  <c r="CI111" i="12"/>
  <c r="CH111" i="12"/>
  <c r="CG111" i="12"/>
  <c r="CF111" i="12"/>
  <c r="CI110" i="12"/>
  <c r="CH110" i="12"/>
  <c r="CG110" i="12"/>
  <c r="CF110" i="12"/>
  <c r="CI109" i="12"/>
  <c r="CH109" i="12"/>
  <c r="CG109" i="12"/>
  <c r="CF109" i="12"/>
  <c r="CI108" i="12"/>
  <c r="CH108" i="12"/>
  <c r="CG108" i="12"/>
  <c r="CF108" i="12"/>
  <c r="CI107" i="12"/>
  <c r="CH107" i="12"/>
  <c r="CG107" i="12"/>
  <c r="CF107" i="12"/>
  <c r="CI106" i="12"/>
  <c r="CH106" i="12"/>
  <c r="CG106" i="12"/>
  <c r="CF106" i="12"/>
  <c r="CI105" i="12"/>
  <c r="CH105" i="12"/>
  <c r="CG105" i="12"/>
  <c r="CF105" i="12"/>
  <c r="CI104" i="12"/>
  <c r="CH104" i="12"/>
  <c r="CG104" i="12"/>
  <c r="CF104" i="12"/>
  <c r="CI103" i="12"/>
  <c r="CH103" i="12"/>
  <c r="CG103" i="12"/>
  <c r="CF103" i="12"/>
  <c r="CI102" i="12"/>
  <c r="CH102" i="12"/>
  <c r="CG102" i="12"/>
  <c r="CF102" i="12"/>
  <c r="CI101" i="12"/>
  <c r="CH101" i="12"/>
  <c r="CG101" i="12"/>
  <c r="CF101" i="12"/>
  <c r="CI100" i="12"/>
  <c r="CH100" i="12"/>
  <c r="CG100" i="12"/>
  <c r="CF100" i="12"/>
  <c r="CI99" i="12"/>
  <c r="CH99" i="12"/>
  <c r="CG99" i="12"/>
  <c r="CF99" i="12"/>
  <c r="CI98" i="12"/>
  <c r="CH98" i="12"/>
  <c r="CG98" i="12"/>
  <c r="CF98" i="12"/>
  <c r="CI97" i="12"/>
  <c r="CH97" i="12"/>
  <c r="CG97" i="12"/>
  <c r="CF97" i="12"/>
  <c r="CI96" i="12"/>
  <c r="CH96" i="12"/>
  <c r="CG96" i="12"/>
  <c r="CF96" i="12"/>
  <c r="CI95" i="12"/>
  <c r="CH95" i="12"/>
  <c r="CG95" i="12"/>
  <c r="CF95" i="12"/>
  <c r="CI94" i="12"/>
  <c r="CH94" i="12"/>
  <c r="CG94" i="12"/>
  <c r="CF94" i="12"/>
  <c r="CI93" i="12"/>
  <c r="CH93" i="12"/>
  <c r="CG93" i="12"/>
  <c r="CF93" i="12"/>
  <c r="CI92" i="12"/>
  <c r="CH92" i="12"/>
  <c r="CG92" i="12"/>
  <c r="CF92" i="12"/>
  <c r="CI91" i="12"/>
  <c r="CH91" i="12"/>
  <c r="CG91" i="12"/>
  <c r="CF91" i="12"/>
  <c r="CI90" i="12"/>
  <c r="CH90" i="12"/>
  <c r="CG90" i="12"/>
  <c r="CF90" i="12"/>
  <c r="CI89" i="12"/>
  <c r="CH89" i="12"/>
  <c r="CG89" i="12"/>
  <c r="CF89" i="12"/>
  <c r="CI88" i="12"/>
  <c r="CH88" i="12"/>
  <c r="CG88" i="12"/>
  <c r="CF88" i="12"/>
  <c r="CI87" i="12"/>
  <c r="CH87" i="12"/>
  <c r="CG87" i="12"/>
  <c r="CF87" i="12"/>
  <c r="CI86" i="12"/>
  <c r="CH86" i="12"/>
  <c r="CG86" i="12"/>
  <c r="CF86" i="12"/>
  <c r="CI85" i="12"/>
  <c r="CH85" i="12"/>
  <c r="CG85" i="12"/>
  <c r="CF85" i="12"/>
  <c r="CI84" i="12"/>
  <c r="CH84" i="12"/>
  <c r="CG84" i="12"/>
  <c r="CF84" i="12"/>
  <c r="CI83" i="12"/>
  <c r="CH83" i="12"/>
  <c r="CG83" i="12"/>
  <c r="CF83" i="12"/>
  <c r="CI82" i="12"/>
  <c r="CH82" i="12"/>
  <c r="CG82" i="12"/>
  <c r="CF82" i="12"/>
  <c r="CI81" i="12"/>
  <c r="CH81" i="12"/>
  <c r="CG81" i="12"/>
  <c r="CF81" i="12"/>
  <c r="CI80" i="12"/>
  <c r="CH80" i="12"/>
  <c r="CG80" i="12"/>
  <c r="CF80" i="12"/>
  <c r="CI79" i="12"/>
  <c r="CH79" i="12"/>
  <c r="CG79" i="12"/>
  <c r="CF79" i="12"/>
  <c r="CI78" i="12"/>
  <c r="CH78" i="12"/>
  <c r="CG78" i="12"/>
  <c r="CF78" i="12"/>
  <c r="CI77" i="12"/>
  <c r="CH77" i="12"/>
  <c r="CG77" i="12"/>
  <c r="CF77" i="12"/>
  <c r="CI76" i="12"/>
  <c r="CH76" i="12"/>
  <c r="CG76" i="12"/>
  <c r="CF76" i="12"/>
  <c r="CI75" i="12"/>
  <c r="CH75" i="12"/>
  <c r="CG75" i="12"/>
  <c r="CF75" i="12"/>
  <c r="CI74" i="12"/>
  <c r="CH74" i="12"/>
  <c r="CG74" i="12"/>
  <c r="CF74" i="12"/>
  <c r="CI73" i="12"/>
  <c r="CH73" i="12"/>
  <c r="CG73" i="12"/>
  <c r="CF73" i="12"/>
  <c r="CI72" i="12"/>
  <c r="CH72" i="12"/>
  <c r="CG72" i="12"/>
  <c r="CF72" i="12"/>
  <c r="CI71" i="12"/>
  <c r="CH71" i="12"/>
  <c r="CG71" i="12"/>
  <c r="CF71" i="12"/>
  <c r="CI70" i="12"/>
  <c r="CH70" i="12"/>
  <c r="CG70" i="12"/>
  <c r="CF70" i="12"/>
  <c r="CI69" i="12"/>
  <c r="CH69" i="12"/>
  <c r="CG69" i="12"/>
  <c r="CF69" i="12"/>
  <c r="CI68" i="12"/>
  <c r="CH68" i="12"/>
  <c r="CG68" i="12"/>
  <c r="CF68" i="12"/>
  <c r="CI67" i="12"/>
  <c r="CH67" i="12"/>
  <c r="CG67" i="12"/>
  <c r="CF67" i="12"/>
  <c r="CI66" i="12"/>
  <c r="CH66" i="12"/>
  <c r="CG66" i="12"/>
  <c r="CF66" i="12"/>
  <c r="CI65" i="12"/>
  <c r="CH65" i="12"/>
  <c r="CG65" i="12"/>
  <c r="CF65" i="12"/>
  <c r="CI64" i="12"/>
  <c r="CH64" i="12"/>
  <c r="CG64" i="12"/>
  <c r="CF64" i="12"/>
  <c r="CI63" i="12"/>
  <c r="CH63" i="12"/>
  <c r="CG63" i="12"/>
  <c r="CF63" i="12"/>
  <c r="CI62" i="12"/>
  <c r="CH62" i="12"/>
  <c r="CG62" i="12"/>
  <c r="CF62" i="12"/>
  <c r="CI61" i="12"/>
  <c r="CH61" i="12"/>
  <c r="CG61" i="12"/>
  <c r="CF61" i="12"/>
  <c r="CI60" i="12"/>
  <c r="CH60" i="12"/>
  <c r="CG60" i="12"/>
  <c r="CF60" i="12"/>
  <c r="CI59" i="12"/>
  <c r="CH59" i="12"/>
  <c r="CG59" i="12"/>
  <c r="CF59" i="12"/>
  <c r="CI58" i="12"/>
  <c r="CH58" i="12"/>
  <c r="CG58" i="12"/>
  <c r="CF58" i="12"/>
  <c r="CI57" i="12"/>
  <c r="CH57" i="12"/>
  <c r="CG57" i="12"/>
  <c r="CF57" i="12"/>
  <c r="CI56" i="12"/>
  <c r="CH56" i="12"/>
  <c r="CG56" i="12"/>
  <c r="CF56" i="12"/>
  <c r="CI55" i="12"/>
  <c r="CH55" i="12"/>
  <c r="CG55" i="12"/>
  <c r="CF55" i="12"/>
  <c r="CI54" i="12"/>
  <c r="CH54" i="12"/>
  <c r="CG54" i="12"/>
  <c r="CF54" i="12"/>
  <c r="CI53" i="12"/>
  <c r="CH53" i="12"/>
  <c r="CG53" i="12"/>
  <c r="CF53" i="12"/>
  <c r="CI52" i="12"/>
  <c r="CH52" i="12"/>
  <c r="CG52" i="12"/>
  <c r="CF52" i="12"/>
  <c r="CI51" i="12"/>
  <c r="CH51" i="12"/>
  <c r="CG51" i="12"/>
  <c r="CF51" i="12"/>
  <c r="CI50" i="12"/>
  <c r="CH50" i="12"/>
  <c r="CG50" i="12"/>
  <c r="CF50" i="12"/>
  <c r="CI49" i="12"/>
  <c r="CH49" i="12"/>
  <c r="CG49" i="12"/>
  <c r="CF49" i="12"/>
  <c r="CI48" i="12"/>
  <c r="CH48" i="12"/>
  <c r="CG48" i="12"/>
  <c r="CF48" i="12"/>
  <c r="CI47" i="12"/>
  <c r="CH47" i="12"/>
  <c r="CG47" i="12"/>
  <c r="CF47" i="12"/>
  <c r="CI46" i="12"/>
  <c r="CH46" i="12"/>
  <c r="CG46" i="12"/>
  <c r="CF46" i="12"/>
  <c r="CI45" i="12"/>
  <c r="CH45" i="12"/>
  <c r="CG45" i="12"/>
  <c r="CF45" i="12"/>
  <c r="CI44" i="12"/>
  <c r="CH44" i="12"/>
  <c r="CG44" i="12"/>
  <c r="CF44" i="12"/>
  <c r="CI43" i="12"/>
  <c r="CH43" i="12"/>
  <c r="CG43" i="12"/>
  <c r="CF43" i="12"/>
  <c r="CI42" i="12"/>
  <c r="CH42" i="12"/>
  <c r="CG42" i="12"/>
  <c r="CF42" i="12"/>
  <c r="CI41" i="12"/>
  <c r="CH41" i="12"/>
  <c r="CG41" i="12"/>
  <c r="CF41" i="12"/>
  <c r="CI40" i="12"/>
  <c r="CH40" i="12"/>
  <c r="CG40" i="12"/>
  <c r="CF40" i="12"/>
  <c r="CI39" i="12"/>
  <c r="CH39" i="12"/>
  <c r="CG39" i="12"/>
  <c r="CF39" i="12"/>
  <c r="CI38" i="12"/>
  <c r="CH38" i="12"/>
  <c r="CG38" i="12"/>
  <c r="CF38" i="12"/>
  <c r="CI37" i="12"/>
  <c r="CH37" i="12"/>
  <c r="CG37" i="12"/>
  <c r="CF37" i="12"/>
  <c r="CI36" i="12"/>
  <c r="CH36" i="12"/>
  <c r="CG36" i="12"/>
  <c r="CF36" i="12"/>
  <c r="CI35" i="12"/>
  <c r="CH35" i="12"/>
  <c r="CG35" i="12"/>
  <c r="CF35" i="12"/>
  <c r="CI34" i="12"/>
  <c r="CH34" i="12"/>
  <c r="CG34" i="12"/>
  <c r="CF34" i="12"/>
  <c r="CI33" i="12"/>
  <c r="CH33" i="12"/>
  <c r="CG33" i="12"/>
  <c r="CF33" i="12"/>
  <c r="CI32" i="12"/>
  <c r="CH32" i="12"/>
  <c r="CG32" i="12"/>
  <c r="CF32" i="12"/>
  <c r="CI31" i="12"/>
  <c r="CH31" i="12"/>
  <c r="CG31" i="12"/>
  <c r="CF31" i="12"/>
  <c r="CI30" i="12"/>
  <c r="CH30" i="12"/>
  <c r="CG30" i="12"/>
  <c r="CF30" i="12"/>
  <c r="CI29" i="12"/>
  <c r="CH29" i="12"/>
  <c r="CG29" i="12"/>
  <c r="CF29" i="12"/>
  <c r="CI28" i="12"/>
  <c r="CH28" i="12"/>
  <c r="CG28" i="12"/>
  <c r="CF28" i="12"/>
  <c r="CI27" i="12"/>
  <c r="CH27" i="12"/>
  <c r="CG27" i="12"/>
  <c r="CF27" i="12"/>
  <c r="CI26" i="12"/>
  <c r="CH26" i="12"/>
  <c r="CG26" i="12"/>
  <c r="CF26" i="12"/>
  <c r="CI25" i="12"/>
  <c r="CH25" i="12"/>
  <c r="CG25" i="12"/>
  <c r="CF25" i="12"/>
  <c r="CI24" i="12"/>
  <c r="CH24" i="12"/>
  <c r="CG24" i="12"/>
  <c r="CF24" i="12"/>
  <c r="CI23" i="12"/>
  <c r="CH23" i="12"/>
  <c r="CG23" i="12"/>
  <c r="CF23" i="12"/>
  <c r="CI22" i="12"/>
  <c r="CH22" i="12"/>
  <c r="CG22" i="12"/>
  <c r="CF22" i="12"/>
  <c r="CI21" i="12"/>
  <c r="CH21" i="12"/>
  <c r="CG21" i="12"/>
  <c r="CF21" i="12"/>
  <c r="CI20" i="12"/>
  <c r="CH20" i="12"/>
  <c r="CG20" i="12"/>
  <c r="CF20" i="12"/>
  <c r="CI19" i="12"/>
  <c r="CH19" i="12"/>
  <c r="CG19" i="12"/>
  <c r="CF19" i="12"/>
  <c r="CI18" i="12"/>
  <c r="CH18" i="12"/>
  <c r="CG18" i="12"/>
  <c r="CF18" i="12"/>
  <c r="CI17" i="12"/>
  <c r="CH17" i="12"/>
  <c r="CG17" i="12"/>
  <c r="CF17" i="12"/>
  <c r="CI16" i="12"/>
  <c r="CH16" i="12"/>
  <c r="CG16" i="12"/>
  <c r="CF16" i="12"/>
  <c r="CI15" i="12"/>
  <c r="CH15" i="12"/>
  <c r="CG15" i="12"/>
  <c r="CF15" i="12"/>
  <c r="CI14" i="12"/>
  <c r="CH14" i="12"/>
  <c r="CG14" i="12"/>
  <c r="CF14" i="12"/>
  <c r="CI13" i="12"/>
  <c r="CH13" i="12"/>
  <c r="CG13" i="12"/>
  <c r="CF13" i="12"/>
  <c r="CI12" i="12"/>
  <c r="CH12" i="12"/>
  <c r="CG12" i="12"/>
  <c r="CF12" i="12"/>
  <c r="CI11" i="12"/>
  <c r="CH11" i="12"/>
  <c r="CG11" i="12"/>
  <c r="CF11" i="12"/>
  <c r="CI10" i="12"/>
  <c r="CH10" i="12"/>
  <c r="CG10" i="12"/>
  <c r="CF10" i="12"/>
  <c r="CI9" i="12"/>
  <c r="CH9" i="12"/>
  <c r="CG9" i="12"/>
  <c r="CF9" i="12"/>
  <c r="CI8" i="12"/>
  <c r="CH8" i="12"/>
  <c r="CG8" i="12"/>
  <c r="CF8" i="12"/>
  <c r="CI7" i="12"/>
  <c r="CH7" i="12"/>
  <c r="CG7" i="12"/>
  <c r="CF7" i="12"/>
  <c r="CI6" i="12"/>
  <c r="CH6" i="12"/>
  <c r="CG6" i="12"/>
  <c r="CF6" i="12"/>
  <c r="CI5" i="12"/>
  <c r="CH5" i="12"/>
  <c r="CG5" i="12"/>
  <c r="CF5" i="12"/>
  <c r="CI4" i="12"/>
  <c r="CH4" i="12"/>
  <c r="CG4" i="12"/>
  <c r="CF4" i="12"/>
  <c r="CI3" i="12"/>
  <c r="CH3" i="12"/>
  <c r="CG3" i="12"/>
  <c r="CF3" i="12"/>
  <c r="CI2" i="12"/>
  <c r="CH2" i="12"/>
  <c r="CG2" i="12"/>
  <c r="CF2" i="12"/>
  <c r="I2" i="12" l="1"/>
  <c r="I3"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O13" i="36"/>
  <c r="G13" i="36"/>
  <c r="K56" i="34" l="1"/>
  <c r="O94" i="34"/>
  <c r="O95" i="34"/>
  <c r="O96" i="34"/>
  <c r="O97" i="34"/>
  <c r="O98" i="34"/>
  <c r="O93" i="34"/>
  <c r="N94" i="34"/>
  <c r="N95" i="34"/>
  <c r="N96" i="34"/>
  <c r="N97" i="34"/>
  <c r="N98" i="34"/>
  <c r="N93" i="34"/>
  <c r="M94" i="34"/>
  <c r="M95" i="34"/>
  <c r="M96" i="34"/>
  <c r="M97" i="34"/>
  <c r="M98" i="34"/>
  <c r="M93" i="34"/>
  <c r="N81" i="34"/>
  <c r="M81" i="34"/>
  <c r="K49" i="49"/>
  <c r="J49" i="49"/>
  <c r="I49" i="49"/>
  <c r="H49" i="49"/>
  <c r="G49" i="49"/>
  <c r="W49" i="49"/>
  <c r="V49" i="49"/>
  <c r="U49" i="49"/>
  <c r="T49" i="49"/>
  <c r="S49" i="49"/>
  <c r="D387" i="34"/>
  <c r="D386" i="34"/>
  <c r="D385" i="34"/>
  <c r="D384" i="34"/>
  <c r="D383" i="34"/>
  <c r="D378" i="34"/>
  <c r="D377" i="34"/>
  <c r="D376" i="34"/>
  <c r="D375" i="34"/>
  <c r="D374" i="34"/>
  <c r="D341" i="34"/>
  <c r="D340" i="34"/>
  <c r="D339" i="34"/>
  <c r="D338" i="34"/>
  <c r="D337" i="34"/>
  <c r="D331" i="34"/>
  <c r="D330" i="34"/>
  <c r="D329" i="34"/>
  <c r="D328" i="34"/>
  <c r="D327" i="34"/>
  <c r="D319" i="34"/>
  <c r="D318" i="34"/>
  <c r="D317" i="34"/>
  <c r="D316" i="34"/>
  <c r="D315" i="34"/>
  <c r="D304" i="34"/>
  <c r="D303" i="34"/>
  <c r="D302" i="34"/>
  <c r="D301" i="34"/>
  <c r="D300" i="34"/>
  <c r="D295" i="34"/>
  <c r="D294" i="34"/>
  <c r="D293" i="34"/>
  <c r="D292" i="34"/>
  <c r="D291" i="34"/>
  <c r="D153" i="34"/>
  <c r="D152" i="34"/>
  <c r="D151" i="34"/>
  <c r="D150" i="34"/>
  <c r="D149" i="34"/>
  <c r="W387" i="34"/>
  <c r="W386" i="34"/>
  <c r="W385" i="34"/>
  <c r="W384" i="34"/>
  <c r="W383" i="34"/>
  <c r="W378" i="34"/>
  <c r="W377" i="34"/>
  <c r="W376" i="34"/>
  <c r="W375" i="34"/>
  <c r="W374" i="34"/>
  <c r="W341" i="34"/>
  <c r="W340" i="34"/>
  <c r="W339" i="34"/>
  <c r="W338" i="34"/>
  <c r="W337" i="34"/>
  <c r="W331" i="34"/>
  <c r="W330" i="34"/>
  <c r="W329" i="34"/>
  <c r="W328" i="34"/>
  <c r="W327" i="34"/>
  <c r="W319" i="34"/>
  <c r="W318" i="34"/>
  <c r="W317" i="34"/>
  <c r="W316" i="34"/>
  <c r="W315" i="34"/>
  <c r="W304" i="34"/>
  <c r="W303" i="34"/>
  <c r="W302" i="34"/>
  <c r="W301" i="34"/>
  <c r="W300" i="34"/>
  <c r="W295" i="34"/>
  <c r="W294" i="34"/>
  <c r="W293" i="34"/>
  <c r="W292" i="34"/>
  <c r="W291" i="34"/>
  <c r="W153" i="34"/>
  <c r="W152" i="34"/>
  <c r="W151" i="34"/>
  <c r="W150" i="34"/>
  <c r="W149" i="34"/>
  <c r="W144" i="34"/>
  <c r="W143" i="34"/>
  <c r="W142" i="34"/>
  <c r="W141" i="34"/>
  <c r="W140" i="34"/>
  <c r="W135" i="34"/>
  <c r="W134" i="34"/>
  <c r="W133" i="34"/>
  <c r="W132" i="34"/>
  <c r="W131" i="34"/>
  <c r="D140" i="34"/>
  <c r="D144" i="34"/>
  <c r="D143" i="34"/>
  <c r="D142" i="34"/>
  <c r="D141" i="34"/>
  <c r="D135" i="34"/>
  <c r="D134" i="34"/>
  <c r="D133" i="34"/>
  <c r="D132" i="34"/>
  <c r="D131" i="34"/>
  <c r="L15" i="48" l="1"/>
  <c r="L10" i="48"/>
  <c r="L11" i="48"/>
  <c r="L12" i="48"/>
  <c r="L13" i="48"/>
  <c r="L14" i="48"/>
  <c r="L9" i="48"/>
  <c r="T11" i="36"/>
  <c r="T10" i="36"/>
  <c r="T9" i="36"/>
  <c r="T8" i="36"/>
  <c r="T7" i="36"/>
  <c r="T6" i="36"/>
  <c r="L11" i="36"/>
  <c r="L10" i="36"/>
  <c r="L9" i="36"/>
  <c r="L8" i="36"/>
  <c r="L7" i="36"/>
  <c r="L6" i="36"/>
  <c r="I6" i="35"/>
  <c r="W213" i="34"/>
  <c r="X213" i="34"/>
  <c r="Y213" i="34"/>
  <c r="Z213" i="34"/>
  <c r="W214" i="34"/>
  <c r="X214" i="34"/>
  <c r="Y214" i="34"/>
  <c r="Z214" i="34"/>
  <c r="W215" i="34"/>
  <c r="X215" i="34"/>
  <c r="Y215" i="34"/>
  <c r="Z215" i="34"/>
  <c r="W216" i="34"/>
  <c r="X216" i="34"/>
  <c r="Y216" i="34"/>
  <c r="Z216" i="34"/>
  <c r="W217" i="34"/>
  <c r="X217" i="34"/>
  <c r="Y217" i="34"/>
  <c r="Z217" i="34"/>
  <c r="W218" i="34"/>
  <c r="X218" i="34"/>
  <c r="Y218" i="34"/>
  <c r="Z218" i="34"/>
  <c r="W219" i="34"/>
  <c r="X219" i="34"/>
  <c r="Y219" i="34"/>
  <c r="Z219" i="34"/>
  <c r="W220" i="34"/>
  <c r="X220" i="34"/>
  <c r="Y220" i="34"/>
  <c r="Z220" i="34"/>
  <c r="W221" i="34"/>
  <c r="X221" i="34"/>
  <c r="Y221" i="34"/>
  <c r="Z221" i="34"/>
  <c r="W222" i="34"/>
  <c r="X222" i="34"/>
  <c r="Y222" i="34"/>
  <c r="Z222" i="34"/>
  <c r="W223" i="34"/>
  <c r="X223" i="34"/>
  <c r="Y223" i="34"/>
  <c r="Z223" i="34"/>
  <c r="W224" i="34"/>
  <c r="X224" i="34"/>
  <c r="Y224" i="34"/>
  <c r="Z224" i="34"/>
  <c r="W225" i="34"/>
  <c r="X225" i="34"/>
  <c r="Y225" i="34"/>
  <c r="Z225" i="34"/>
  <c r="W226" i="34"/>
  <c r="X226" i="34"/>
  <c r="Y226" i="34"/>
  <c r="Z226" i="34"/>
  <c r="W227" i="34"/>
  <c r="X227" i="34"/>
  <c r="Y227" i="34"/>
  <c r="Z227" i="34"/>
  <c r="W228" i="34"/>
  <c r="X228" i="34"/>
  <c r="Y228" i="34"/>
  <c r="Z228" i="34"/>
  <c r="W229" i="34"/>
  <c r="X229" i="34"/>
  <c r="Y229" i="34"/>
  <c r="Z229" i="34"/>
  <c r="W230" i="34"/>
  <c r="X230" i="34"/>
  <c r="Y230" i="34"/>
  <c r="Z230" i="34"/>
  <c r="W231" i="34"/>
  <c r="X231" i="34"/>
  <c r="Y231" i="34"/>
  <c r="Z231" i="34"/>
  <c r="W232" i="34"/>
  <c r="X232" i="34"/>
  <c r="Y232" i="34"/>
  <c r="Z232" i="34"/>
  <c r="W233" i="34"/>
  <c r="X233" i="34"/>
  <c r="Y233" i="34"/>
  <c r="Z233" i="34"/>
  <c r="W234" i="34"/>
  <c r="X234" i="34"/>
  <c r="Y234" i="34"/>
  <c r="Z234" i="34"/>
  <c r="W235" i="34"/>
  <c r="X235" i="34"/>
  <c r="Y235" i="34"/>
  <c r="Z235" i="34"/>
  <c r="AA235" i="34"/>
  <c r="W236" i="34"/>
  <c r="X236" i="34"/>
  <c r="Y236" i="34"/>
  <c r="Z236" i="34"/>
  <c r="AA236" i="34"/>
  <c r="W237" i="34"/>
  <c r="X237" i="34"/>
  <c r="Y237" i="34"/>
  <c r="Z237" i="34"/>
  <c r="AA237" i="34"/>
  <c r="X212" i="34"/>
  <c r="Y212" i="34"/>
  <c r="Z212" i="34"/>
  <c r="W212" i="34"/>
  <c r="AI845" i="39"/>
  <c r="AH848" i="39"/>
  <c r="AI851" i="39"/>
  <c r="AG865" i="39"/>
  <c r="AH878" i="39"/>
  <c r="AG889" i="39"/>
  <c r="AH902" i="39"/>
  <c r="AI905" i="39"/>
  <c r="AG909" i="39"/>
  <c r="AG919" i="39"/>
  <c r="AG929" i="39"/>
  <c r="AG932" i="39"/>
  <c r="AH932" i="39"/>
  <c r="AH935" i="39"/>
  <c r="AG939" i="39"/>
  <c r="AI942" i="39"/>
  <c r="AG943" i="39"/>
  <c r="AH946" i="39"/>
  <c r="AH949" i="39"/>
  <c r="AG953" i="39"/>
  <c r="AI954" i="39"/>
  <c r="AH957" i="39"/>
  <c r="AH961" i="39"/>
  <c r="AI961" i="39"/>
  <c r="AG965" i="39"/>
  <c r="AG969" i="39"/>
  <c r="AI970" i="39"/>
  <c r="AG973" i="39"/>
  <c r="AH976" i="39"/>
  <c r="AG980" i="39"/>
  <c r="AH980" i="39"/>
  <c r="AG984" i="39"/>
  <c r="AG988" i="39"/>
  <c r="AG990" i="39"/>
  <c r="AH992" i="39"/>
  <c r="AI995" i="39"/>
  <c r="AH997" i="39"/>
  <c r="AH999" i="39"/>
  <c r="AG1003" i="39"/>
  <c r="AG1006" i="39"/>
  <c r="AH1007" i="39"/>
  <c r="AI1011" i="39"/>
  <c r="AH1013" i="39"/>
  <c r="AG1016" i="39"/>
  <c r="AH1019" i="39"/>
  <c r="AI1020" i="39"/>
  <c r="AH1025" i="39"/>
  <c r="AG1026" i="39"/>
  <c r="AG1030" i="39"/>
  <c r="AI1031" i="39"/>
  <c r="AH1035" i="39"/>
  <c r="AH1037" i="39"/>
  <c r="AH1040" i="39"/>
  <c r="AI1040" i="39"/>
  <c r="AG1043" i="39"/>
  <c r="AH1043" i="39"/>
  <c r="AG1045" i="39"/>
  <c r="AI1045" i="39"/>
  <c r="AG1046" i="39"/>
  <c r="AH1047" i="39"/>
  <c r="AI1048" i="39"/>
  <c r="AG1050" i="39"/>
  <c r="AH1050" i="39"/>
  <c r="AI1050" i="39"/>
  <c r="AI1051" i="39"/>
  <c r="AG1052" i="39"/>
  <c r="AH1052" i="39"/>
  <c r="AI1052" i="39"/>
  <c r="AG1054" i="39"/>
  <c r="AH1054" i="39"/>
  <c r="AI1054" i="39"/>
  <c r="AG1055" i="39"/>
  <c r="AH1056" i="39"/>
  <c r="AI1056" i="39"/>
  <c r="AG1057" i="39"/>
  <c r="AH1057" i="39"/>
  <c r="AI1057" i="39"/>
  <c r="AG1058" i="39"/>
  <c r="AG1059" i="39"/>
  <c r="AH1059" i="39"/>
  <c r="AI1059" i="39"/>
  <c r="AG1060" i="39"/>
  <c r="AH1060" i="39"/>
  <c r="AI1060" i="39"/>
  <c r="AI1061" i="39"/>
  <c r="AG1062" i="39"/>
  <c r="AH1062" i="39"/>
  <c r="AI1062" i="39"/>
  <c r="AH1063" i="39"/>
  <c r="AG1064" i="39"/>
  <c r="AH1064" i="39"/>
  <c r="AI1064" i="39"/>
  <c r="AG1065" i="39"/>
  <c r="AH1065" i="39"/>
  <c r="AI1065" i="39"/>
  <c r="AG1067" i="39"/>
  <c r="AH1067" i="39"/>
  <c r="AI1067" i="39"/>
  <c r="AG1068" i="39"/>
  <c r="AI1068" i="39"/>
  <c r="AI1069" i="39"/>
  <c r="AG1070" i="39"/>
  <c r="AH1070" i="39"/>
  <c r="AI1070" i="39"/>
  <c r="AG1071" i="39"/>
  <c r="AH1072" i="39"/>
  <c r="AI1072" i="39"/>
  <c r="AG1073" i="39"/>
  <c r="AH1073" i="39"/>
  <c r="AG1074" i="39"/>
  <c r="AH1074" i="39"/>
  <c r="AG1075" i="39"/>
  <c r="AH1075" i="39"/>
  <c r="AI1075" i="39"/>
  <c r="AG1076" i="39"/>
  <c r="AH1076" i="39"/>
  <c r="AH1077" i="39"/>
  <c r="AI1077" i="39"/>
  <c r="AG1078" i="39"/>
  <c r="AH1078" i="39"/>
  <c r="AI1078" i="39"/>
  <c r="AH1080" i="39"/>
  <c r="AI1080" i="39"/>
  <c r="AG1081" i="39"/>
  <c r="AH1081" i="39"/>
  <c r="AG1083" i="39"/>
  <c r="AH1083" i="39"/>
  <c r="AI1083" i="39"/>
  <c r="AG1084" i="39"/>
  <c r="AH1084" i="39"/>
  <c r="AI1085" i="39"/>
  <c r="AG1086" i="39"/>
  <c r="AH1086" i="39"/>
  <c r="AI1086" i="39"/>
  <c r="AG1087" i="39"/>
  <c r="AH1088" i="39"/>
  <c r="AI1088" i="39"/>
  <c r="AG1089" i="39"/>
  <c r="AH1089" i="39"/>
  <c r="AI1089" i="39"/>
  <c r="AG1091" i="39"/>
  <c r="AH1091" i="39"/>
  <c r="AI1091" i="39"/>
  <c r="AG1092" i="39"/>
  <c r="AG1093" i="39"/>
  <c r="AI1093" i="39"/>
  <c r="AG1094" i="39"/>
  <c r="AH1094" i="39"/>
  <c r="AI1094" i="39"/>
  <c r="AG1096" i="39"/>
  <c r="AH1096" i="39"/>
  <c r="AI1096" i="39"/>
  <c r="AG1097" i="39"/>
  <c r="AH1097" i="39"/>
  <c r="AG1099" i="39"/>
  <c r="AH1099" i="39"/>
  <c r="AI1099" i="39"/>
  <c r="AG1100" i="39"/>
  <c r="AH1100" i="39"/>
  <c r="AI1101" i="39"/>
  <c r="AG1102" i="39"/>
  <c r="AH1102" i="39"/>
  <c r="AI1102" i="39"/>
  <c r="AH1104" i="39"/>
  <c r="AI1104" i="39"/>
  <c r="AG1105" i="39"/>
  <c r="AH1105" i="39"/>
  <c r="AI1105" i="39"/>
  <c r="AG1107" i="39"/>
  <c r="AH1107" i="39"/>
  <c r="AI1107" i="39"/>
  <c r="AG1108" i="39"/>
  <c r="AH1108" i="39"/>
  <c r="AI1109" i="39"/>
  <c r="AG1110" i="39"/>
  <c r="AH1110" i="39"/>
  <c r="AI1110" i="39"/>
  <c r="AG1111" i="39"/>
  <c r="AH1112" i="39"/>
  <c r="AI1112" i="39"/>
  <c r="AG1113" i="39"/>
  <c r="AH1113" i="39"/>
  <c r="AG1114" i="39"/>
  <c r="AG1115" i="39"/>
  <c r="AH1115" i="39"/>
  <c r="AI1115" i="39"/>
  <c r="AG1116" i="39"/>
  <c r="AH1116" i="39"/>
  <c r="AH1117" i="39"/>
  <c r="AI1117" i="39"/>
  <c r="AG1118" i="39"/>
  <c r="AH1118" i="39"/>
  <c r="AI1118" i="39"/>
  <c r="AH1119" i="39"/>
  <c r="AG1120" i="39"/>
  <c r="AH1120" i="39"/>
  <c r="AI1120" i="39"/>
  <c r="AG1121" i="39"/>
  <c r="AH1121" i="39"/>
  <c r="AG1123" i="39"/>
  <c r="AH1123" i="39"/>
  <c r="AI1123" i="39"/>
  <c r="AG1124" i="39"/>
  <c r="AI1124" i="39"/>
  <c r="AI1125" i="39"/>
  <c r="AG1126" i="39"/>
  <c r="AH1126" i="39"/>
  <c r="AI1126" i="39"/>
  <c r="AH1128" i="39"/>
  <c r="AI1128" i="39"/>
  <c r="AG1129" i="39"/>
  <c r="AH1129" i="39"/>
  <c r="AI1129" i="39"/>
  <c r="AG1130" i="39"/>
  <c r="AG1131" i="39"/>
  <c r="AH1131" i="39"/>
  <c r="AI1131" i="39"/>
  <c r="AG1132" i="39"/>
  <c r="AI1132" i="39"/>
  <c r="AI1133" i="39"/>
  <c r="AG1134" i="39"/>
  <c r="AH1134" i="39"/>
  <c r="AI1134" i="39"/>
  <c r="AG1136" i="39"/>
  <c r="AH1136" i="39"/>
  <c r="AI1136" i="39"/>
  <c r="AG1137" i="39"/>
  <c r="AH1137" i="39"/>
  <c r="AI1137" i="39"/>
  <c r="AG1139" i="39"/>
  <c r="AH1139" i="39"/>
  <c r="AI1139" i="39"/>
  <c r="AG1140" i="39"/>
  <c r="AH1140" i="39"/>
  <c r="AG1141" i="39"/>
  <c r="AI1141" i="39"/>
  <c r="AG1142" i="39"/>
  <c r="AH1142" i="39"/>
  <c r="AI1142" i="39"/>
  <c r="AH1143" i="39"/>
  <c r="AH1144" i="39"/>
  <c r="AI1144" i="39"/>
  <c r="AG1145" i="39"/>
  <c r="AH1145" i="39"/>
  <c r="AI1145" i="39"/>
  <c r="AG1146" i="39"/>
  <c r="AG1147" i="39"/>
  <c r="AH1147" i="39"/>
  <c r="AI1147" i="39"/>
  <c r="AG1148" i="39"/>
  <c r="AI1148" i="39"/>
  <c r="AG1149" i="39"/>
  <c r="AI1149" i="39"/>
  <c r="AG1150" i="39"/>
  <c r="AH1150" i="39"/>
  <c r="AI1150" i="39"/>
  <c r="AH1151" i="39"/>
  <c r="AG1152" i="39"/>
  <c r="AH1152" i="39"/>
  <c r="AI1152" i="39"/>
  <c r="AG1153" i="39"/>
  <c r="AH1153" i="39"/>
  <c r="AI1153" i="39"/>
  <c r="AG1154" i="39"/>
  <c r="AG1155" i="39"/>
  <c r="AH1155" i="39"/>
  <c r="AI1155" i="39"/>
  <c r="AG1156" i="39"/>
  <c r="AH1156" i="39"/>
  <c r="AI1156" i="39"/>
  <c r="AI1157" i="39"/>
  <c r="AG1158" i="39"/>
  <c r="AH1158" i="39"/>
  <c r="AI1158" i="39"/>
  <c r="AG1159" i="39"/>
  <c r="AH1159" i="39"/>
  <c r="AI1159" i="39"/>
  <c r="AH1160" i="39"/>
  <c r="AI1160" i="39"/>
  <c r="AG1161" i="39"/>
  <c r="AH1161" i="39"/>
  <c r="AG1162" i="39"/>
  <c r="AI1162" i="39"/>
  <c r="AG1163" i="39"/>
  <c r="AH1163" i="39"/>
  <c r="AI1163" i="39"/>
  <c r="AG1164" i="39"/>
  <c r="AH1164" i="39"/>
  <c r="AI1164" i="39"/>
  <c r="AI1165" i="39"/>
  <c r="AG1166" i="39"/>
  <c r="AI1166" i="39"/>
  <c r="AG1167" i="39"/>
  <c r="AH1167" i="39"/>
  <c r="AH1168" i="39"/>
  <c r="AI1168" i="39"/>
  <c r="AG1169" i="39"/>
  <c r="AG1170" i="39"/>
  <c r="AH1170" i="39"/>
  <c r="AG1171" i="39"/>
  <c r="AH1171" i="39"/>
  <c r="AI1171" i="39"/>
  <c r="AG1172" i="39"/>
  <c r="AI1172" i="39"/>
  <c r="AH1173" i="39"/>
  <c r="AI1173" i="39"/>
  <c r="AG1174" i="39"/>
  <c r="AH1174" i="39"/>
  <c r="AI1174" i="39"/>
  <c r="AG1175" i="39"/>
  <c r="AH1175" i="39"/>
  <c r="AH1176" i="39"/>
  <c r="AI1176" i="39"/>
  <c r="AG1177" i="39"/>
  <c r="AH1177" i="39"/>
  <c r="AI1177" i="39"/>
  <c r="AG1178" i="39"/>
  <c r="AG1179" i="39"/>
  <c r="AH1179" i="39"/>
  <c r="AI1179" i="39"/>
  <c r="AG1180" i="39"/>
  <c r="AH1180" i="39"/>
  <c r="AI1180" i="39"/>
  <c r="AG1181" i="39"/>
  <c r="AI1181" i="39"/>
  <c r="AG1182" i="39"/>
  <c r="AH1182" i="39"/>
  <c r="AI1182" i="39"/>
  <c r="AH1183" i="39"/>
  <c r="AG1184" i="39"/>
  <c r="AH1184" i="39"/>
  <c r="AI1184" i="39"/>
  <c r="AH1185" i="39"/>
  <c r="AI1185" i="39"/>
  <c r="AG1186" i="39"/>
  <c r="AG1187" i="39"/>
  <c r="AH1187" i="39"/>
  <c r="AH1188" i="39"/>
  <c r="AI1188" i="39"/>
  <c r="AI1189" i="39"/>
  <c r="AG1190" i="39"/>
  <c r="AH1190" i="39"/>
  <c r="AH1191" i="39"/>
  <c r="AI1191" i="39"/>
  <c r="AH1192" i="39"/>
  <c r="AI1192" i="39"/>
  <c r="AG1193" i="39"/>
  <c r="AH1193" i="39"/>
  <c r="AI3" i="39"/>
  <c r="AH3" i="39"/>
  <c r="AG3" i="39"/>
  <c r="AI60" i="39"/>
  <c r="AI64" i="39"/>
  <c r="AH69" i="39"/>
  <c r="AI76" i="39"/>
  <c r="AG82" i="39"/>
  <c r="AI93" i="39"/>
  <c r="AI109" i="39"/>
  <c r="AG115" i="39"/>
  <c r="AG131" i="39"/>
  <c r="AG164" i="39"/>
  <c r="AH184" i="39"/>
  <c r="AI211" i="39"/>
  <c r="AH220" i="39"/>
  <c r="AG316" i="39"/>
  <c r="AH319" i="39"/>
  <c r="AG346" i="39"/>
  <c r="AH356" i="39"/>
  <c r="AG360" i="39"/>
  <c r="AG363" i="39"/>
  <c r="AG364" i="39"/>
  <c r="AG368" i="39"/>
  <c r="AI372" i="39"/>
  <c r="AI373" i="39"/>
  <c r="AG379" i="39"/>
  <c r="AH391" i="39"/>
  <c r="AI391" i="39"/>
  <c r="AI393" i="39"/>
  <c r="AH394" i="39"/>
  <c r="AG411" i="39"/>
  <c r="AI416" i="39"/>
  <c r="AH417" i="39"/>
  <c r="AI421" i="39"/>
  <c r="AI425" i="39"/>
  <c r="AG445" i="39"/>
  <c r="AI452" i="39"/>
  <c r="AH464" i="39"/>
  <c r="AG470" i="39"/>
  <c r="AI470" i="39"/>
  <c r="AI483" i="39"/>
  <c r="AH487" i="39"/>
  <c r="AG498" i="39"/>
  <c r="AG529" i="39"/>
  <c r="AG530" i="39"/>
  <c r="AG533" i="39"/>
  <c r="AH534" i="39"/>
  <c r="AI539" i="39"/>
  <c r="AH540" i="39"/>
  <c r="AI553" i="39"/>
  <c r="AI558" i="39"/>
  <c r="AG561" i="39"/>
  <c r="AG562" i="39"/>
  <c r="AG564" i="39"/>
  <c r="AH580" i="39"/>
  <c r="AI586" i="39"/>
  <c r="AI590" i="39"/>
  <c r="AG597" i="39"/>
  <c r="AI601" i="39"/>
  <c r="AI603" i="39"/>
  <c r="AH612" i="39"/>
  <c r="AI619" i="39"/>
  <c r="AH622" i="39"/>
  <c r="AG625" i="39"/>
  <c r="AG633" i="39"/>
  <c r="AG641" i="39"/>
  <c r="AI651" i="39"/>
  <c r="AG655" i="39"/>
  <c r="AI659" i="39"/>
  <c r="AG669" i="39"/>
  <c r="AH670" i="39"/>
  <c r="AH698" i="39"/>
  <c r="AI711" i="39"/>
  <c r="AH728" i="39"/>
  <c r="AG733" i="39"/>
  <c r="AI733" i="39"/>
  <c r="AH738" i="39"/>
  <c r="AI743" i="39"/>
  <c r="AH752" i="39"/>
  <c r="AH760" i="39"/>
  <c r="AG763" i="39"/>
  <c r="AH771" i="39"/>
  <c r="AH787" i="39"/>
  <c r="AI792" i="39"/>
  <c r="AG798" i="39"/>
  <c r="AI808" i="39"/>
  <c r="AG814" i="39"/>
  <c r="AH819" i="39"/>
  <c r="AH821" i="39"/>
  <c r="AG828" i="39"/>
  <c r="AG832" i="39"/>
  <c r="AH835" i="39"/>
  <c r="AI838" i="39"/>
  <c r="AI840" i="39"/>
  <c r="AI848" i="39"/>
  <c r="AH851" i="39"/>
  <c r="AG852" i="39"/>
  <c r="AG854" i="39"/>
  <c r="AI856" i="39"/>
  <c r="AI858" i="39"/>
  <c r="AH859" i="39"/>
  <c r="AG862" i="39"/>
  <c r="AG864" i="39"/>
  <c r="AI864" i="39"/>
  <c r="AH867" i="39"/>
  <c r="AH869" i="39"/>
  <c r="AG870" i="39"/>
  <c r="AI872" i="39"/>
  <c r="AH873" i="39"/>
  <c r="AH875" i="39"/>
  <c r="AG876" i="39"/>
  <c r="AG878" i="39"/>
  <c r="AI878" i="39"/>
  <c r="AI880" i="39"/>
  <c r="AH881" i="39"/>
  <c r="AH883" i="39"/>
  <c r="AH885" i="39"/>
  <c r="AG886" i="39"/>
  <c r="AI886" i="39"/>
  <c r="AI888" i="39"/>
  <c r="AI890" i="39"/>
  <c r="AH891" i="39"/>
  <c r="AG894" i="39"/>
  <c r="AI894" i="39"/>
  <c r="AI896" i="39"/>
  <c r="AH899" i="39"/>
  <c r="AG900" i="39"/>
  <c r="AG902" i="39"/>
  <c r="AI904" i="39"/>
  <c r="AH905" i="39"/>
  <c r="AH907" i="39"/>
  <c r="AG908" i="39"/>
  <c r="AG910" i="39"/>
  <c r="AI912" i="39"/>
  <c r="AH915" i="39"/>
  <c r="AG916" i="39"/>
  <c r="AG918" i="39"/>
  <c r="AI918" i="39"/>
  <c r="AI920" i="39"/>
  <c r="AH923" i="39"/>
  <c r="AG924" i="39"/>
  <c r="AG926" i="39"/>
  <c r="AG928" i="39"/>
  <c r="AI928" i="39"/>
  <c r="AH931" i="39"/>
  <c r="AG934" i="39"/>
  <c r="AH937" i="39"/>
  <c r="AG938" i="39"/>
  <c r="AI938" i="39"/>
  <c r="AH939" i="39"/>
  <c r="AG940" i="39"/>
  <c r="AG942" i="39"/>
  <c r="AG944" i="39"/>
  <c r="AI944" i="39"/>
  <c r="AG948" i="39"/>
  <c r="AG950" i="39"/>
  <c r="AI950" i="39"/>
  <c r="AI952" i="39"/>
  <c r="AH953" i="39"/>
  <c r="AH955" i="39"/>
  <c r="AG956" i="39"/>
  <c r="AH956" i="39"/>
  <c r="AG958" i="39"/>
  <c r="AI958" i="39"/>
  <c r="AG960" i="39"/>
  <c r="AI960" i="39"/>
  <c r="AH963" i="39"/>
  <c r="AG964" i="39"/>
  <c r="AH965" i="39"/>
  <c r="AG966" i="39"/>
  <c r="AI966" i="39"/>
  <c r="AI968" i="39"/>
  <c r="AH969" i="39"/>
  <c r="AH971" i="39"/>
  <c r="AG972" i="39"/>
  <c r="AG974" i="39"/>
  <c r="AI974" i="39"/>
  <c r="AI976" i="39"/>
  <c r="AH977" i="39"/>
  <c r="AH979" i="39"/>
  <c r="AH981" i="39"/>
  <c r="AG982" i="39"/>
  <c r="AI982" i="39"/>
  <c r="AI984" i="39"/>
  <c r="AG985" i="39"/>
  <c r="AI986" i="39"/>
  <c r="AH987" i="39"/>
  <c r="AI990" i="39"/>
  <c r="AG991" i="39"/>
  <c r="AI991" i="39"/>
  <c r="AG992" i="39"/>
  <c r="AI992" i="39"/>
  <c r="AH995" i="39"/>
  <c r="AG996" i="39"/>
  <c r="AG998" i="39"/>
  <c r="AI1000" i="39"/>
  <c r="AH1001" i="39"/>
  <c r="AI1002" i="39"/>
  <c r="AH1003" i="39"/>
  <c r="AG1004" i="39"/>
  <c r="AH1004" i="39"/>
  <c r="AI1006" i="39"/>
  <c r="AG1008" i="39"/>
  <c r="AI1008" i="39"/>
  <c r="AH1009" i="39"/>
  <c r="AI1009" i="39"/>
  <c r="AH1011" i="39"/>
  <c r="AG1012" i="39"/>
  <c r="AG1014" i="39"/>
  <c r="AI1014" i="39"/>
  <c r="AG1015" i="39"/>
  <c r="AI1016" i="39"/>
  <c r="AH1017" i="39"/>
  <c r="AI1017" i="39"/>
  <c r="AG1019" i="39"/>
  <c r="AG1020" i="39"/>
  <c r="AI1021" i="39"/>
  <c r="AG1022" i="39"/>
  <c r="AI1022" i="39"/>
  <c r="AG1023" i="39"/>
  <c r="AH1024" i="39"/>
  <c r="AI1024" i="39"/>
  <c r="AI1025" i="39"/>
  <c r="AH1026" i="39"/>
  <c r="AH1027" i="39"/>
  <c r="AG1028" i="39"/>
  <c r="AH1028" i="39"/>
  <c r="AH1029" i="39"/>
  <c r="AI1029" i="39"/>
  <c r="AI1030" i="39"/>
  <c r="AH1031" i="39"/>
  <c r="AH1032" i="39"/>
  <c r="AI1032" i="39"/>
  <c r="AH1033" i="39"/>
  <c r="AG1034" i="39"/>
  <c r="AI1034" i="39"/>
  <c r="AG1036" i="39"/>
  <c r="AH1036" i="39"/>
  <c r="AI1036" i="39"/>
  <c r="AG1038" i="39"/>
  <c r="AI1038" i="39"/>
  <c r="AH1039" i="39"/>
  <c r="AG1040" i="39"/>
  <c r="AH1041" i="39"/>
  <c r="AI1041" i="39"/>
  <c r="AG1042" i="39"/>
  <c r="AI1042" i="39"/>
  <c r="AG1044" i="39"/>
  <c r="AI1044" i="39"/>
  <c r="AI1046" i="39"/>
  <c r="AI1047" i="39"/>
  <c r="AG1048" i="39"/>
  <c r="AG1049" i="39"/>
  <c r="AH1049" i="39"/>
  <c r="AH1051" i="39"/>
  <c r="AG1053" i="39"/>
  <c r="AH1053" i="39"/>
  <c r="AI1053" i="39"/>
  <c r="AH1055" i="39"/>
  <c r="AI1055" i="39"/>
  <c r="AG1056" i="39"/>
  <c r="AH1058" i="39"/>
  <c r="AI1058" i="39"/>
  <c r="AH1061" i="39"/>
  <c r="AG1063" i="39"/>
  <c r="AI1063" i="39"/>
  <c r="AG1066" i="39"/>
  <c r="AH1066" i="39"/>
  <c r="AI1066" i="39"/>
  <c r="AH1068" i="39"/>
  <c r="AG1069" i="39"/>
  <c r="AH1069" i="39"/>
  <c r="AH1071" i="39"/>
  <c r="AI1071" i="39"/>
  <c r="AG1072" i="39"/>
  <c r="AI1074" i="39"/>
  <c r="AI1076" i="39"/>
  <c r="AG1077" i="39"/>
  <c r="AH1079" i="39"/>
  <c r="AI1079" i="39"/>
  <c r="AG1080" i="39"/>
  <c r="AG1082" i="39"/>
  <c r="AH1082" i="39"/>
  <c r="AI1082" i="39"/>
  <c r="AI1084" i="39"/>
  <c r="AG1085" i="39"/>
  <c r="AH1085" i="39"/>
  <c r="AH1087" i="39"/>
  <c r="AI1087" i="39"/>
  <c r="AG1088" i="39"/>
  <c r="AG1090" i="39"/>
  <c r="AH1090" i="39"/>
  <c r="AI1090" i="39"/>
  <c r="AI1092" i="39"/>
  <c r="AH1093" i="39"/>
  <c r="AH1095" i="39"/>
  <c r="AI1095" i="39"/>
  <c r="AI1097" i="39"/>
  <c r="AG1098" i="39"/>
  <c r="AH1098" i="39"/>
  <c r="AI1098" i="39"/>
  <c r="AI1100" i="39"/>
  <c r="AG1101" i="39"/>
  <c r="AH1101" i="39"/>
  <c r="AH1103" i="39"/>
  <c r="AI1103" i="39"/>
  <c r="AG1104" i="39"/>
  <c r="AG1106" i="39"/>
  <c r="AH1106" i="39"/>
  <c r="AI1106" i="39"/>
  <c r="AI1108" i="39"/>
  <c r="AG1109" i="39"/>
  <c r="AH1109" i="39"/>
  <c r="AH1111" i="39"/>
  <c r="AI1111" i="39"/>
  <c r="AG1112" i="39"/>
  <c r="AI1113" i="39"/>
  <c r="AH1114" i="39"/>
  <c r="AI1114" i="39"/>
  <c r="AI1116" i="39"/>
  <c r="AG1117" i="39"/>
  <c r="AG1119" i="39"/>
  <c r="AI1119" i="39"/>
  <c r="AG1122" i="39"/>
  <c r="AH1122" i="39"/>
  <c r="AI1122" i="39"/>
  <c r="AH1124" i="39"/>
  <c r="AG1125" i="39"/>
  <c r="AH1125" i="39"/>
  <c r="AG1127" i="39"/>
  <c r="AH1127" i="39"/>
  <c r="AG1128" i="39"/>
  <c r="AH1130" i="39"/>
  <c r="AI1130" i="39"/>
  <c r="AH1132" i="39"/>
  <c r="AG1133" i="39"/>
  <c r="AH1133" i="39"/>
  <c r="AH1135" i="39"/>
  <c r="AI1135" i="39"/>
  <c r="AG1138" i="39"/>
  <c r="AH1138" i="39"/>
  <c r="AI1138" i="39"/>
  <c r="AI1140" i="39"/>
  <c r="AH1141" i="39"/>
  <c r="AI1143" i="39"/>
  <c r="AG1144" i="39"/>
  <c r="AH1146" i="39"/>
  <c r="AI1146" i="39"/>
  <c r="AH1148" i="39"/>
  <c r="AH1149" i="39"/>
  <c r="AG1151" i="39"/>
  <c r="AI1151" i="39"/>
  <c r="AH1154" i="39"/>
  <c r="AI1154" i="39"/>
  <c r="AG1157" i="39"/>
  <c r="AH1157" i="39"/>
  <c r="AG1160" i="39"/>
  <c r="AI1161" i="39"/>
  <c r="AH1162" i="39"/>
  <c r="AG1165" i="39"/>
  <c r="AH1165" i="39"/>
  <c r="AH1166" i="39"/>
  <c r="AI1167" i="39"/>
  <c r="AG1168" i="39"/>
  <c r="AH1169" i="39"/>
  <c r="AI1169" i="39"/>
  <c r="AI1170" i="39"/>
  <c r="AH1172" i="39"/>
  <c r="AG1173" i="39"/>
  <c r="AI1175" i="39"/>
  <c r="AG1176" i="39"/>
  <c r="AH1178" i="39"/>
  <c r="AI1178" i="39"/>
  <c r="AH1181" i="39"/>
  <c r="AG1183" i="39"/>
  <c r="AI1183" i="39"/>
  <c r="AG1185" i="39"/>
  <c r="AH1186" i="39"/>
  <c r="AI1186" i="39"/>
  <c r="AI1187" i="39"/>
  <c r="AG1188" i="39"/>
  <c r="AG1189" i="39"/>
  <c r="AH1189" i="39"/>
  <c r="AI1190" i="39"/>
  <c r="AG1191" i="39"/>
  <c r="AG1192" i="39"/>
  <c r="AI1193" i="39"/>
  <c r="AH633" i="39"/>
  <c r="AI633" i="39"/>
  <c r="AG634" i="39"/>
  <c r="AH634" i="39"/>
  <c r="AI634" i="39"/>
  <c r="AG635" i="39"/>
  <c r="AH635" i="39"/>
  <c r="AI635" i="39"/>
  <c r="AG636" i="39"/>
  <c r="AH636" i="39"/>
  <c r="AI636" i="39"/>
  <c r="AG637" i="39"/>
  <c r="AH637" i="39"/>
  <c r="AI637" i="39"/>
  <c r="AG638" i="39"/>
  <c r="AH638" i="39"/>
  <c r="AI638" i="39"/>
  <c r="AG639" i="39"/>
  <c r="AH639" i="39"/>
  <c r="AI639" i="39"/>
  <c r="AG640" i="39"/>
  <c r="AH640" i="39"/>
  <c r="AI640" i="39"/>
  <c r="AH641" i="39"/>
  <c r="AI641" i="39"/>
  <c r="AG642" i="39"/>
  <c r="AH642" i="39"/>
  <c r="AI642" i="39"/>
  <c r="AG643" i="39"/>
  <c r="AH643" i="39"/>
  <c r="AI643" i="39"/>
  <c r="AG644" i="39"/>
  <c r="AH644" i="39"/>
  <c r="AI644" i="39"/>
  <c r="AG645" i="39"/>
  <c r="AH645" i="39"/>
  <c r="AI645" i="39"/>
  <c r="AG646" i="39"/>
  <c r="AH646" i="39"/>
  <c r="AI646" i="39"/>
  <c r="AG647" i="39"/>
  <c r="AH647" i="39"/>
  <c r="AI647" i="39"/>
  <c r="AG648" i="39"/>
  <c r="AH648" i="39"/>
  <c r="AI648" i="39"/>
  <c r="AG649" i="39"/>
  <c r="AH649" i="39"/>
  <c r="AI649" i="39"/>
  <c r="AG650" i="39"/>
  <c r="AH650" i="39"/>
  <c r="AI650" i="39"/>
  <c r="AG651" i="39"/>
  <c r="AH651" i="39"/>
  <c r="AG652" i="39"/>
  <c r="AH652" i="39"/>
  <c r="AI652" i="39"/>
  <c r="AG653" i="39"/>
  <c r="AH653" i="39"/>
  <c r="AI653" i="39"/>
  <c r="AG654" i="39"/>
  <c r="AH654" i="39"/>
  <c r="AI654" i="39"/>
  <c r="AH655" i="39"/>
  <c r="AI655" i="39"/>
  <c r="AG656" i="39"/>
  <c r="AH656" i="39"/>
  <c r="AI656" i="39"/>
  <c r="AG657" i="39"/>
  <c r="AH657" i="39"/>
  <c r="AI657" i="39"/>
  <c r="AG658" i="39"/>
  <c r="AH658" i="39"/>
  <c r="AI658" i="39"/>
  <c r="AG659" i="39"/>
  <c r="AH659" i="39"/>
  <c r="AG660" i="39"/>
  <c r="AH660" i="39"/>
  <c r="AI660" i="39"/>
  <c r="AG661" i="39"/>
  <c r="AH661" i="39"/>
  <c r="AI661" i="39"/>
  <c r="AG662" i="39"/>
  <c r="AH662" i="39"/>
  <c r="AI662" i="39"/>
  <c r="AG663" i="39"/>
  <c r="AH663" i="39"/>
  <c r="AI663" i="39"/>
  <c r="AG664" i="39"/>
  <c r="AH664" i="39"/>
  <c r="AI664" i="39"/>
  <c r="AG665" i="39"/>
  <c r="AH665" i="39"/>
  <c r="AI665" i="39"/>
  <c r="AG666" i="39"/>
  <c r="AH666" i="39"/>
  <c r="AI666" i="39"/>
  <c r="AG667" i="39"/>
  <c r="AH667" i="39"/>
  <c r="AI667" i="39"/>
  <c r="AG668" i="39"/>
  <c r="AH668" i="39"/>
  <c r="AI668" i="39"/>
  <c r="AH669" i="39"/>
  <c r="AI669" i="39"/>
  <c r="AG670" i="39"/>
  <c r="AI670" i="39"/>
  <c r="AG671" i="39"/>
  <c r="AH671" i="39"/>
  <c r="AI671" i="39"/>
  <c r="AG672" i="39"/>
  <c r="AH672" i="39"/>
  <c r="AI672" i="39"/>
  <c r="AG673" i="39"/>
  <c r="AH673" i="39"/>
  <c r="AI673" i="39"/>
  <c r="AG674" i="39"/>
  <c r="AH674" i="39"/>
  <c r="AI674" i="39"/>
  <c r="AG675" i="39"/>
  <c r="AH675" i="39"/>
  <c r="AI675" i="39"/>
  <c r="AG676" i="39"/>
  <c r="AH676" i="39"/>
  <c r="AI676" i="39"/>
  <c r="AG677" i="39"/>
  <c r="AH677" i="39"/>
  <c r="AI677" i="39"/>
  <c r="AG678" i="39"/>
  <c r="AH678" i="39"/>
  <c r="AI678" i="39"/>
  <c r="AG679" i="39"/>
  <c r="AH679" i="39"/>
  <c r="AI679" i="39"/>
  <c r="AG680" i="39"/>
  <c r="AH680" i="39"/>
  <c r="AI680" i="39"/>
  <c r="AG681" i="39"/>
  <c r="AH681" i="39"/>
  <c r="AI681" i="39"/>
  <c r="AG682" i="39"/>
  <c r="AH682" i="39"/>
  <c r="AI682" i="39"/>
  <c r="AG683" i="39"/>
  <c r="AH683" i="39"/>
  <c r="AI683" i="39"/>
  <c r="AG684" i="39"/>
  <c r="AH684" i="39"/>
  <c r="AI684" i="39"/>
  <c r="AG685" i="39"/>
  <c r="AH685" i="39"/>
  <c r="AI685" i="39"/>
  <c r="AG686" i="39"/>
  <c r="AH686" i="39"/>
  <c r="AI686" i="39"/>
  <c r="AG687" i="39"/>
  <c r="AH687" i="39"/>
  <c r="AI687" i="39"/>
  <c r="AG688" i="39"/>
  <c r="AH688" i="39"/>
  <c r="AI688" i="39"/>
  <c r="AG689" i="39"/>
  <c r="AH689" i="39"/>
  <c r="AI689" i="39"/>
  <c r="AG690" i="39"/>
  <c r="AH690" i="39"/>
  <c r="AI690" i="39"/>
  <c r="AG691" i="39"/>
  <c r="AH691" i="39"/>
  <c r="AI691" i="39"/>
  <c r="AG692" i="39"/>
  <c r="AH692" i="39"/>
  <c r="AI692" i="39"/>
  <c r="AG693" i="39"/>
  <c r="AH693" i="39"/>
  <c r="AI693" i="39"/>
  <c r="AG694" i="39"/>
  <c r="AH694" i="39"/>
  <c r="AI694" i="39"/>
  <c r="AG695" i="39"/>
  <c r="AH695" i="39"/>
  <c r="AI695" i="39"/>
  <c r="AG696" i="39"/>
  <c r="AH696" i="39"/>
  <c r="AI696" i="39"/>
  <c r="AG697" i="39"/>
  <c r="AH697" i="39"/>
  <c r="AI697" i="39"/>
  <c r="AG698" i="39"/>
  <c r="AI698" i="39"/>
  <c r="AG699" i="39"/>
  <c r="AH699" i="39"/>
  <c r="AI699" i="39"/>
  <c r="AG700" i="39"/>
  <c r="AH700" i="39"/>
  <c r="AI700" i="39"/>
  <c r="AG701" i="39"/>
  <c r="AH701" i="39"/>
  <c r="AI701" i="39"/>
  <c r="AG702" i="39"/>
  <c r="AH702" i="39"/>
  <c r="AI702" i="39"/>
  <c r="AG703" i="39"/>
  <c r="AH703" i="39"/>
  <c r="AI703" i="39"/>
  <c r="AG704" i="39"/>
  <c r="AH704" i="39"/>
  <c r="AI704" i="39"/>
  <c r="AG705" i="39"/>
  <c r="AH705" i="39"/>
  <c r="AI705" i="39"/>
  <c r="AG706" i="39"/>
  <c r="AH706" i="39"/>
  <c r="AI706" i="39"/>
  <c r="AG707" i="39"/>
  <c r="AH707" i="39"/>
  <c r="AI707" i="39"/>
  <c r="AG708" i="39"/>
  <c r="AH708" i="39"/>
  <c r="AI708" i="39"/>
  <c r="AG709" i="39"/>
  <c r="AH709" i="39"/>
  <c r="AI709" i="39"/>
  <c r="AG710" i="39"/>
  <c r="AH710" i="39"/>
  <c r="AI710" i="39"/>
  <c r="AG711" i="39"/>
  <c r="AH711" i="39"/>
  <c r="AG712" i="39"/>
  <c r="AH712" i="39"/>
  <c r="AI712" i="39"/>
  <c r="AG713" i="39"/>
  <c r="AH713" i="39"/>
  <c r="AI713" i="39"/>
  <c r="AG714" i="39"/>
  <c r="AH714" i="39"/>
  <c r="AI714" i="39"/>
  <c r="AG715" i="39"/>
  <c r="AH715" i="39"/>
  <c r="AI715" i="39"/>
  <c r="AG716" i="39"/>
  <c r="AH716" i="39"/>
  <c r="AI716" i="39"/>
  <c r="AG717" i="39"/>
  <c r="AH717" i="39"/>
  <c r="AI717" i="39"/>
  <c r="AG718" i="39"/>
  <c r="AH718" i="39"/>
  <c r="AI718" i="39"/>
  <c r="AG719" i="39"/>
  <c r="AH719" i="39"/>
  <c r="AI719" i="39"/>
  <c r="AG720" i="39"/>
  <c r="AH720" i="39"/>
  <c r="AI720" i="39"/>
  <c r="AG721" i="39"/>
  <c r="AH721" i="39"/>
  <c r="AI721" i="39"/>
  <c r="AG722" i="39"/>
  <c r="AH722" i="39"/>
  <c r="AI722" i="39"/>
  <c r="AG723" i="39"/>
  <c r="AH723" i="39"/>
  <c r="AI723" i="39"/>
  <c r="AG724" i="39"/>
  <c r="AH724" i="39"/>
  <c r="AI724" i="39"/>
  <c r="AG725" i="39"/>
  <c r="AH725" i="39"/>
  <c r="AI725" i="39"/>
  <c r="AG726" i="39"/>
  <c r="AH726" i="39"/>
  <c r="AI726" i="39"/>
  <c r="AG727" i="39"/>
  <c r="AH727" i="39"/>
  <c r="AI727" i="39"/>
  <c r="AG728" i="39"/>
  <c r="AI728" i="39"/>
  <c r="AG729" i="39"/>
  <c r="AH729" i="39"/>
  <c r="AI729" i="39"/>
  <c r="AG730" i="39"/>
  <c r="AH730" i="39"/>
  <c r="AI730" i="39"/>
  <c r="AG731" i="39"/>
  <c r="AH731" i="39"/>
  <c r="AI731" i="39"/>
  <c r="AG732" i="39"/>
  <c r="AH732" i="39"/>
  <c r="AI732" i="39"/>
  <c r="AH733" i="39"/>
  <c r="AG734" i="39"/>
  <c r="AH734" i="39"/>
  <c r="AI734" i="39"/>
  <c r="AG735" i="39"/>
  <c r="AH735" i="39"/>
  <c r="AI735" i="39"/>
  <c r="AG736" i="39"/>
  <c r="AH736" i="39"/>
  <c r="AI736" i="39"/>
  <c r="AG737" i="39"/>
  <c r="AH737" i="39"/>
  <c r="AI737" i="39"/>
  <c r="AG738" i="39"/>
  <c r="AI738" i="39"/>
  <c r="AG739" i="39"/>
  <c r="AH739" i="39"/>
  <c r="AI739" i="39"/>
  <c r="AG740" i="39"/>
  <c r="AH740" i="39"/>
  <c r="AI740" i="39"/>
  <c r="AG741" i="39"/>
  <c r="AH741" i="39"/>
  <c r="AI741" i="39"/>
  <c r="AG742" i="39"/>
  <c r="AH742" i="39"/>
  <c r="AI742" i="39"/>
  <c r="AG743" i="39"/>
  <c r="AH743" i="39"/>
  <c r="AG744" i="39"/>
  <c r="AH744" i="39"/>
  <c r="AI744" i="39"/>
  <c r="AG745" i="39"/>
  <c r="AH745" i="39"/>
  <c r="AI745" i="39"/>
  <c r="AG746" i="39"/>
  <c r="AH746" i="39"/>
  <c r="AI746" i="39"/>
  <c r="AG747" i="39"/>
  <c r="AH747" i="39"/>
  <c r="AI747" i="39"/>
  <c r="AG748" i="39"/>
  <c r="AH748" i="39"/>
  <c r="AI748" i="39"/>
  <c r="AG749" i="39"/>
  <c r="AH749" i="39"/>
  <c r="AI749" i="39"/>
  <c r="AG750" i="39"/>
  <c r="AH750" i="39"/>
  <c r="AI750" i="39"/>
  <c r="AG751" i="39"/>
  <c r="AH751" i="39"/>
  <c r="AI751" i="39"/>
  <c r="AG752" i="39"/>
  <c r="AI752" i="39"/>
  <c r="AG753" i="39"/>
  <c r="AH753" i="39"/>
  <c r="AI753" i="39"/>
  <c r="AG754" i="39"/>
  <c r="AH754" i="39"/>
  <c r="AI754" i="39"/>
  <c r="AG755" i="39"/>
  <c r="AH755" i="39"/>
  <c r="AI755" i="39"/>
  <c r="AG756" i="39"/>
  <c r="AH756" i="39"/>
  <c r="AI756" i="39"/>
  <c r="AG757" i="39"/>
  <c r="AH757" i="39"/>
  <c r="AI757" i="39"/>
  <c r="AG758" i="39"/>
  <c r="AH758" i="39"/>
  <c r="AI758" i="39"/>
  <c r="AG759" i="39"/>
  <c r="AH759" i="39"/>
  <c r="AI759" i="39"/>
  <c r="AG760" i="39"/>
  <c r="AI760" i="39"/>
  <c r="AG761" i="39"/>
  <c r="AH761" i="39"/>
  <c r="AI761" i="39"/>
  <c r="AG762" i="39"/>
  <c r="AH762" i="39"/>
  <c r="AI762" i="39"/>
  <c r="AH763" i="39"/>
  <c r="AI763" i="39"/>
  <c r="AG764" i="39"/>
  <c r="AH764" i="39"/>
  <c r="AI764" i="39"/>
  <c r="AG765" i="39"/>
  <c r="AH765" i="39"/>
  <c r="AI765" i="39"/>
  <c r="AG766" i="39"/>
  <c r="AH766" i="39"/>
  <c r="AI766" i="39"/>
  <c r="AG767" i="39"/>
  <c r="AH767" i="39"/>
  <c r="AI767" i="39"/>
  <c r="AG768" i="39"/>
  <c r="AH768" i="39"/>
  <c r="AI768" i="39"/>
  <c r="AG769" i="39"/>
  <c r="AH769" i="39"/>
  <c r="AI769" i="39"/>
  <c r="AG770" i="39"/>
  <c r="AH770" i="39"/>
  <c r="AI770" i="39"/>
  <c r="AG771" i="39"/>
  <c r="AI771" i="39"/>
  <c r="AG772" i="39"/>
  <c r="AH772" i="39"/>
  <c r="AI772" i="39"/>
  <c r="AG773" i="39"/>
  <c r="AH773" i="39"/>
  <c r="AI773" i="39"/>
  <c r="AG774" i="39"/>
  <c r="AH774" i="39"/>
  <c r="AI774" i="39"/>
  <c r="AG775" i="39"/>
  <c r="AH775" i="39"/>
  <c r="AI775" i="39"/>
  <c r="AG776" i="39"/>
  <c r="AH776" i="39"/>
  <c r="AI776" i="39"/>
  <c r="AG777" i="39"/>
  <c r="AH777" i="39"/>
  <c r="AI777" i="39"/>
  <c r="AG778" i="39"/>
  <c r="AH778" i="39"/>
  <c r="AI778" i="39"/>
  <c r="AG779" i="39"/>
  <c r="AH779" i="39"/>
  <c r="AI779" i="39"/>
  <c r="AG780" i="39"/>
  <c r="AH780" i="39"/>
  <c r="AI780" i="39"/>
  <c r="AG781" i="39"/>
  <c r="AH781" i="39"/>
  <c r="AI781" i="39"/>
  <c r="AG782" i="39"/>
  <c r="AH782" i="39"/>
  <c r="AI782" i="39"/>
  <c r="AG783" i="39"/>
  <c r="AH783" i="39"/>
  <c r="AI783" i="39"/>
  <c r="AG784" i="39"/>
  <c r="AH784" i="39"/>
  <c r="AI784" i="39"/>
  <c r="AG785" i="39"/>
  <c r="AH785" i="39"/>
  <c r="AI785" i="39"/>
  <c r="AG786" i="39"/>
  <c r="AH786" i="39"/>
  <c r="AI786" i="39"/>
  <c r="AG787" i="39"/>
  <c r="AI787" i="39"/>
  <c r="AG788" i="39"/>
  <c r="AH788" i="39"/>
  <c r="AI788" i="39"/>
  <c r="AG789" i="39"/>
  <c r="AH789" i="39"/>
  <c r="AI789" i="39"/>
  <c r="AG790" i="39"/>
  <c r="AH790" i="39"/>
  <c r="AI790" i="39"/>
  <c r="AG791" i="39"/>
  <c r="AH791" i="39"/>
  <c r="AI791" i="39"/>
  <c r="AG792" i="39"/>
  <c r="AH792" i="39"/>
  <c r="AG793" i="39"/>
  <c r="AH793" i="39"/>
  <c r="AI793" i="39"/>
  <c r="AG794" i="39"/>
  <c r="AH794" i="39"/>
  <c r="AI794" i="39"/>
  <c r="AG795" i="39"/>
  <c r="AH795" i="39"/>
  <c r="AI795" i="39"/>
  <c r="AG796" i="39"/>
  <c r="AH796" i="39"/>
  <c r="AI796" i="39"/>
  <c r="AG797" i="39"/>
  <c r="AH797" i="39"/>
  <c r="AI797" i="39"/>
  <c r="AH798" i="39"/>
  <c r="AI798" i="39"/>
  <c r="AG799" i="39"/>
  <c r="AH799" i="39"/>
  <c r="AI799" i="39"/>
  <c r="AG800" i="39"/>
  <c r="AH800" i="39"/>
  <c r="AI800" i="39"/>
  <c r="AG801" i="39"/>
  <c r="AH801" i="39"/>
  <c r="AI801" i="39"/>
  <c r="AG802" i="39"/>
  <c r="AH802" i="39"/>
  <c r="AI802" i="39"/>
  <c r="AG803" i="39"/>
  <c r="AH803" i="39"/>
  <c r="AI803" i="39"/>
  <c r="AG804" i="39"/>
  <c r="AH804" i="39"/>
  <c r="AI804" i="39"/>
  <c r="AG805" i="39"/>
  <c r="AH805" i="39"/>
  <c r="AI805" i="39"/>
  <c r="AG806" i="39"/>
  <c r="AH806" i="39"/>
  <c r="AI806" i="39"/>
  <c r="AG807" i="39"/>
  <c r="AH807" i="39"/>
  <c r="AI807" i="39"/>
  <c r="AG808" i="39"/>
  <c r="AH808" i="39"/>
  <c r="AG809" i="39"/>
  <c r="AH809" i="39"/>
  <c r="AI809" i="39"/>
  <c r="AG810" i="39"/>
  <c r="AH810" i="39"/>
  <c r="AI810" i="39"/>
  <c r="AG811" i="39"/>
  <c r="AH811" i="39"/>
  <c r="AI811" i="39"/>
  <c r="AG812" i="39"/>
  <c r="AH812" i="39"/>
  <c r="AI812" i="39"/>
  <c r="AG813" i="39"/>
  <c r="AH813" i="39"/>
  <c r="AI813" i="39"/>
  <c r="AH814" i="39"/>
  <c r="AI814" i="39"/>
  <c r="AG815" i="39"/>
  <c r="AH815" i="39"/>
  <c r="AI815" i="39"/>
  <c r="AG816" i="39"/>
  <c r="AH816" i="39"/>
  <c r="AI816" i="39"/>
  <c r="AG817" i="39"/>
  <c r="AH817" i="39"/>
  <c r="AI817" i="39"/>
  <c r="AG818" i="39"/>
  <c r="AH818" i="39"/>
  <c r="AI818" i="39"/>
  <c r="AG819" i="39"/>
  <c r="AI819" i="39"/>
  <c r="AG820" i="39"/>
  <c r="AH820" i="39"/>
  <c r="AI820" i="39"/>
  <c r="AG821" i="39"/>
  <c r="AI821" i="39"/>
  <c r="AG822" i="39"/>
  <c r="AH822" i="39"/>
  <c r="AI822" i="39"/>
  <c r="AG823" i="39"/>
  <c r="AH823" i="39"/>
  <c r="AI823" i="39"/>
  <c r="AG824" i="39"/>
  <c r="AH824" i="39"/>
  <c r="AI824" i="39"/>
  <c r="AG825" i="39"/>
  <c r="AH825" i="39"/>
  <c r="AI825" i="39"/>
  <c r="AG826" i="39"/>
  <c r="AH826" i="39"/>
  <c r="AI826" i="39"/>
  <c r="AG827" i="39"/>
  <c r="AH827" i="39"/>
  <c r="AI827" i="39"/>
  <c r="AH828" i="39"/>
  <c r="AI828" i="39"/>
  <c r="AG829" i="39"/>
  <c r="AH829" i="39"/>
  <c r="AI829" i="39"/>
  <c r="AG830" i="39"/>
  <c r="AH830" i="39"/>
  <c r="AI830" i="39"/>
  <c r="AG831" i="39"/>
  <c r="AH831" i="39"/>
  <c r="AI831" i="39"/>
  <c r="AH832" i="39"/>
  <c r="AI832" i="39"/>
  <c r="AG833" i="39"/>
  <c r="AH833" i="39"/>
  <c r="AI833" i="39"/>
  <c r="AG834" i="39"/>
  <c r="AH834" i="39"/>
  <c r="AI834" i="39"/>
  <c r="AG835" i="39"/>
  <c r="AI835" i="39"/>
  <c r="AG836" i="39"/>
  <c r="AH836" i="39"/>
  <c r="AI836" i="39"/>
  <c r="AG837" i="39"/>
  <c r="AH837" i="39"/>
  <c r="AI837" i="39"/>
  <c r="AG838" i="39"/>
  <c r="AH838" i="39"/>
  <c r="AG839" i="39"/>
  <c r="AH839" i="39"/>
  <c r="AI839" i="39"/>
  <c r="AG840" i="39"/>
  <c r="AH840" i="39"/>
  <c r="AG841" i="39"/>
  <c r="AH841" i="39"/>
  <c r="AI841" i="39"/>
  <c r="AG842" i="39"/>
  <c r="AH842" i="39"/>
  <c r="AI842" i="39"/>
  <c r="AG843" i="39"/>
  <c r="AH843" i="39"/>
  <c r="AI843" i="39"/>
  <c r="AG844" i="39"/>
  <c r="AH844" i="39"/>
  <c r="AI844" i="39"/>
  <c r="AG845" i="39"/>
  <c r="AH845" i="39"/>
  <c r="AG846" i="39"/>
  <c r="AH846" i="39"/>
  <c r="AI846" i="39"/>
  <c r="AG847" i="39"/>
  <c r="AH847" i="39"/>
  <c r="AI847" i="39"/>
  <c r="AG848" i="39"/>
  <c r="AG849" i="39"/>
  <c r="AH849" i="39"/>
  <c r="AI849" i="39"/>
  <c r="AG850" i="39"/>
  <c r="AH850" i="39"/>
  <c r="AI850" i="39"/>
  <c r="AG851" i="39"/>
  <c r="AH852" i="39"/>
  <c r="AI852" i="39"/>
  <c r="AG853" i="39"/>
  <c r="AH853" i="39"/>
  <c r="AI853" i="39"/>
  <c r="AH854" i="39"/>
  <c r="AI854" i="39"/>
  <c r="AG855" i="39"/>
  <c r="AH855" i="39"/>
  <c r="AI855" i="39"/>
  <c r="AG856" i="39"/>
  <c r="AH856" i="39"/>
  <c r="AG857" i="39"/>
  <c r="AH857" i="39"/>
  <c r="AI857" i="39"/>
  <c r="AG858" i="39"/>
  <c r="AH858" i="39"/>
  <c r="AG859" i="39"/>
  <c r="AI859" i="39"/>
  <c r="AG860" i="39"/>
  <c r="AH860" i="39"/>
  <c r="AI860" i="39"/>
  <c r="AG861" i="39"/>
  <c r="AH861" i="39"/>
  <c r="AI861" i="39"/>
  <c r="AH862" i="39"/>
  <c r="AI862" i="39"/>
  <c r="AG863" i="39"/>
  <c r="AH863" i="39"/>
  <c r="AI863" i="39"/>
  <c r="AH864" i="39"/>
  <c r="AH865" i="39"/>
  <c r="AI865" i="39"/>
  <c r="AG866" i="39"/>
  <c r="AH866" i="39"/>
  <c r="AI866" i="39"/>
  <c r="AG867" i="39"/>
  <c r="AI867" i="39"/>
  <c r="AG868" i="39"/>
  <c r="AH868" i="39"/>
  <c r="AI868" i="39"/>
  <c r="AG869" i="39"/>
  <c r="AI869" i="39"/>
  <c r="AH870" i="39"/>
  <c r="AI870" i="39"/>
  <c r="AG871" i="39"/>
  <c r="AH871" i="39"/>
  <c r="AI871" i="39"/>
  <c r="AG872" i="39"/>
  <c r="AH872" i="39"/>
  <c r="AG873" i="39"/>
  <c r="AI873" i="39"/>
  <c r="AG874" i="39"/>
  <c r="AH874" i="39"/>
  <c r="AI874" i="39"/>
  <c r="AG875" i="39"/>
  <c r="AI875" i="39"/>
  <c r="AH876" i="39"/>
  <c r="AI876" i="39"/>
  <c r="AG877" i="39"/>
  <c r="AH877" i="39"/>
  <c r="AI877" i="39"/>
  <c r="AG879" i="39"/>
  <c r="AH879" i="39"/>
  <c r="AI879" i="39"/>
  <c r="AG880" i="39"/>
  <c r="AH880" i="39"/>
  <c r="AG881" i="39"/>
  <c r="AI881" i="39"/>
  <c r="AG882" i="39"/>
  <c r="AH882" i="39"/>
  <c r="AI882" i="39"/>
  <c r="AG883" i="39"/>
  <c r="AI883" i="39"/>
  <c r="AG884" i="39"/>
  <c r="AH884" i="39"/>
  <c r="AI884" i="39"/>
  <c r="AG885" i="39"/>
  <c r="AI885" i="39"/>
  <c r="AH886" i="39"/>
  <c r="AG887" i="39"/>
  <c r="AH887" i="39"/>
  <c r="AI887" i="39"/>
  <c r="AG888" i="39"/>
  <c r="AH888" i="39"/>
  <c r="AH889" i="39"/>
  <c r="AI889" i="39"/>
  <c r="AG890" i="39"/>
  <c r="AH890" i="39"/>
  <c r="AG891" i="39"/>
  <c r="AI891" i="39"/>
  <c r="AG892" i="39"/>
  <c r="AH892" i="39"/>
  <c r="AI892" i="39"/>
  <c r="AG893" i="39"/>
  <c r="AH893" i="39"/>
  <c r="AI893" i="39"/>
  <c r="AH894" i="39"/>
  <c r="AG895" i="39"/>
  <c r="AH895" i="39"/>
  <c r="AI895" i="39"/>
  <c r="AG896" i="39"/>
  <c r="AH896" i="39"/>
  <c r="AG897" i="39"/>
  <c r="AH897" i="39"/>
  <c r="AI897" i="39"/>
  <c r="AG898" i="39"/>
  <c r="AH898" i="39"/>
  <c r="AI898" i="39"/>
  <c r="AG899" i="39"/>
  <c r="AI899" i="39"/>
  <c r="AH900" i="39"/>
  <c r="AI900" i="39"/>
  <c r="AG901" i="39"/>
  <c r="AH901" i="39"/>
  <c r="AI901" i="39"/>
  <c r="AI902" i="39"/>
  <c r="AG903" i="39"/>
  <c r="AH903" i="39"/>
  <c r="AI903" i="39"/>
  <c r="AG904" i="39"/>
  <c r="AH904" i="39"/>
  <c r="AG905" i="39"/>
  <c r="AG906" i="39"/>
  <c r="AH906" i="39"/>
  <c r="AI906" i="39"/>
  <c r="AG907" i="39"/>
  <c r="AI907" i="39"/>
  <c r="AH908" i="39"/>
  <c r="AI908" i="39"/>
  <c r="AH909" i="39"/>
  <c r="AI909" i="39"/>
  <c r="AH910" i="39"/>
  <c r="AI910" i="39"/>
  <c r="AG911" i="39"/>
  <c r="AH911" i="39"/>
  <c r="AI911" i="39"/>
  <c r="AG912" i="39"/>
  <c r="AH912" i="39"/>
  <c r="AG913" i="39"/>
  <c r="AH913" i="39"/>
  <c r="AI913" i="39"/>
  <c r="AG914" i="39"/>
  <c r="AH914" i="39"/>
  <c r="AI914" i="39"/>
  <c r="AG915" i="39"/>
  <c r="AI915" i="39"/>
  <c r="AH916" i="39"/>
  <c r="AI916" i="39"/>
  <c r="AG917" i="39"/>
  <c r="AH917" i="39"/>
  <c r="AI917" i="39"/>
  <c r="AH918" i="39"/>
  <c r="AH919" i="39"/>
  <c r="AI919" i="39"/>
  <c r="AG920" i="39"/>
  <c r="AH920" i="39"/>
  <c r="AG921" i="39"/>
  <c r="AH921" i="39"/>
  <c r="AI921" i="39"/>
  <c r="AG922" i="39"/>
  <c r="AH922" i="39"/>
  <c r="AI922" i="39"/>
  <c r="AG923" i="39"/>
  <c r="AI923" i="39"/>
  <c r="AH924" i="39"/>
  <c r="AI924" i="39"/>
  <c r="AG925" i="39"/>
  <c r="AH925" i="39"/>
  <c r="AI925" i="39"/>
  <c r="AH926" i="39"/>
  <c r="AI926" i="39"/>
  <c r="AG927" i="39"/>
  <c r="AH927" i="39"/>
  <c r="AI927" i="39"/>
  <c r="AH928" i="39"/>
  <c r="AH929" i="39"/>
  <c r="AI929" i="39"/>
  <c r="AG930" i="39"/>
  <c r="AH930" i="39"/>
  <c r="AI930" i="39"/>
  <c r="AG931" i="39"/>
  <c r="AI931" i="39"/>
  <c r="AI932" i="39"/>
  <c r="AG933" i="39"/>
  <c r="AH933" i="39"/>
  <c r="AI933" i="39"/>
  <c r="AH934" i="39"/>
  <c r="AI934" i="39"/>
  <c r="AG935" i="39"/>
  <c r="AI935" i="39"/>
  <c r="AG936" i="39"/>
  <c r="AH936" i="39"/>
  <c r="AI936" i="39"/>
  <c r="AG937" i="39"/>
  <c r="AI937" i="39"/>
  <c r="AH938" i="39"/>
  <c r="AI939" i="39"/>
  <c r="AH940" i="39"/>
  <c r="AI940" i="39"/>
  <c r="AG941" i="39"/>
  <c r="AH941" i="39"/>
  <c r="AI941" i="39"/>
  <c r="AH942" i="39"/>
  <c r="AH943" i="39"/>
  <c r="AI943" i="39"/>
  <c r="AH944" i="39"/>
  <c r="AG945" i="39"/>
  <c r="AH945" i="39"/>
  <c r="AI945" i="39"/>
  <c r="AG946" i="39"/>
  <c r="AI946" i="39"/>
  <c r="AG947" i="39"/>
  <c r="AH947" i="39"/>
  <c r="AI947" i="39"/>
  <c r="AH948" i="39"/>
  <c r="AI948" i="39"/>
  <c r="AG949" i="39"/>
  <c r="AI949" i="39"/>
  <c r="AH950" i="39"/>
  <c r="AG951" i="39"/>
  <c r="AH951" i="39"/>
  <c r="AI951" i="39"/>
  <c r="AG952" i="39"/>
  <c r="AH952" i="39"/>
  <c r="AI953" i="39"/>
  <c r="AG954" i="39"/>
  <c r="AH954" i="39"/>
  <c r="AG955" i="39"/>
  <c r="AI955" i="39"/>
  <c r="AI956" i="39"/>
  <c r="AG957" i="39"/>
  <c r="AI957" i="39"/>
  <c r="AH958" i="39"/>
  <c r="AG959" i="39"/>
  <c r="AH959" i="39"/>
  <c r="AI959" i="39"/>
  <c r="AH960" i="39"/>
  <c r="AG961" i="39"/>
  <c r="AG962" i="39"/>
  <c r="AH962" i="39"/>
  <c r="AI962" i="39"/>
  <c r="AG963" i="39"/>
  <c r="AI963" i="39"/>
  <c r="AH964" i="39"/>
  <c r="AI964" i="39"/>
  <c r="AI965" i="39"/>
  <c r="AH966" i="39"/>
  <c r="AG967" i="39"/>
  <c r="AH967" i="39"/>
  <c r="AI967" i="39"/>
  <c r="AG968" i="39"/>
  <c r="AH968" i="39"/>
  <c r="AI969" i="39"/>
  <c r="AG970" i="39"/>
  <c r="AH970" i="39"/>
  <c r="AG971" i="39"/>
  <c r="AI971" i="39"/>
  <c r="AH972" i="39"/>
  <c r="AI972" i="39"/>
  <c r="AH973" i="39"/>
  <c r="AI973" i="39"/>
  <c r="AH974" i="39"/>
  <c r="AG975" i="39"/>
  <c r="AH975" i="39"/>
  <c r="AI975" i="39"/>
  <c r="AG976" i="39"/>
  <c r="AG977" i="39"/>
  <c r="AI977" i="39"/>
  <c r="AG978" i="39"/>
  <c r="AH978" i="39"/>
  <c r="AI978" i="39"/>
  <c r="AG979" i="39"/>
  <c r="AI979" i="39"/>
  <c r="AI980" i="39"/>
  <c r="AG981" i="39"/>
  <c r="AI981" i="39"/>
  <c r="AH982" i="39"/>
  <c r="AG983" i="39"/>
  <c r="AH983" i="39"/>
  <c r="AI983" i="39"/>
  <c r="AH984" i="39"/>
  <c r="AH985" i="39"/>
  <c r="AI985" i="39"/>
  <c r="AG986" i="39"/>
  <c r="AH986" i="39"/>
  <c r="AG987" i="39"/>
  <c r="AI987" i="39"/>
  <c r="AH988" i="39"/>
  <c r="AI988" i="39"/>
  <c r="AG989" i="39"/>
  <c r="AH989" i="39"/>
  <c r="AI989" i="39"/>
  <c r="AH990" i="39"/>
  <c r="AH991" i="39"/>
  <c r="AG993" i="39"/>
  <c r="AH993" i="39"/>
  <c r="AI993" i="39"/>
  <c r="AG994" i="39"/>
  <c r="AH994" i="39"/>
  <c r="AI994" i="39"/>
  <c r="AG995" i="39"/>
  <c r="AH996" i="39"/>
  <c r="AI996" i="39"/>
  <c r="AG997" i="39"/>
  <c r="AI997" i="39"/>
  <c r="AH998" i="39"/>
  <c r="AI998" i="39"/>
  <c r="AG999" i="39"/>
  <c r="AI999" i="39"/>
  <c r="AG1000" i="39"/>
  <c r="AH1000" i="39"/>
  <c r="AG1001" i="39"/>
  <c r="AI1001" i="39"/>
  <c r="AG1002" i="39"/>
  <c r="AH1002" i="39"/>
  <c r="AI1003" i="39"/>
  <c r="AI1004" i="39"/>
  <c r="AG1005" i="39"/>
  <c r="AH1005" i="39"/>
  <c r="AI1005" i="39"/>
  <c r="AH1006" i="39"/>
  <c r="AG1007" i="39"/>
  <c r="AI1007" i="39"/>
  <c r="AH1008" i="39"/>
  <c r="AG1009" i="39"/>
  <c r="AG1010" i="39"/>
  <c r="AH1010" i="39"/>
  <c r="AI1010" i="39"/>
  <c r="AG1011" i="39"/>
  <c r="AH1012" i="39"/>
  <c r="AI1012" i="39"/>
  <c r="AG1013" i="39"/>
  <c r="AI1013" i="39"/>
  <c r="AH1014" i="39"/>
  <c r="AH1015" i="39"/>
  <c r="AI1015" i="39"/>
  <c r="AH1016" i="39"/>
  <c r="AG1017" i="39"/>
  <c r="AG1018" i="39"/>
  <c r="AH1018" i="39"/>
  <c r="AI1018" i="39"/>
  <c r="AI1019" i="39"/>
  <c r="AH1020" i="39"/>
  <c r="AG1021" i="39"/>
  <c r="AH1021" i="39"/>
  <c r="AH1022" i="39"/>
  <c r="AH1023" i="39"/>
  <c r="AI1023" i="39"/>
  <c r="AG1024" i="39"/>
  <c r="AG1025" i="39"/>
  <c r="AI1026" i="39"/>
  <c r="AG1027" i="39"/>
  <c r="AI1027" i="39"/>
  <c r="AI1028" i="39"/>
  <c r="AG1029" i="39"/>
  <c r="AH1030" i="39"/>
  <c r="AG1031" i="39"/>
  <c r="AG1032" i="39"/>
  <c r="AG1033" i="39"/>
  <c r="AI1033" i="39"/>
  <c r="AH1034" i="39"/>
  <c r="AG1035" i="39"/>
  <c r="AI1035" i="39"/>
  <c r="AG1037" i="39"/>
  <c r="AI1037" i="39"/>
  <c r="AH1038" i="39"/>
  <c r="AG1039" i="39"/>
  <c r="AI1039" i="39"/>
  <c r="AG1041" i="39"/>
  <c r="AH1042" i="39"/>
  <c r="AI1043" i="39"/>
  <c r="AH1044" i="39"/>
  <c r="AH1045" i="39"/>
  <c r="AH1046" i="39"/>
  <c r="AG1047" i="39"/>
  <c r="AH1048" i="39"/>
  <c r="AI1049" i="39"/>
  <c r="AG1051" i="39"/>
  <c r="AG1061" i="39"/>
  <c r="AI1073" i="39"/>
  <c r="AG1079" i="39"/>
  <c r="AI1081" i="39"/>
  <c r="AH1092" i="39"/>
  <c r="AG1095" i="39"/>
  <c r="AG1103" i="39"/>
  <c r="AI1121" i="39"/>
  <c r="AI1127" i="39"/>
  <c r="AG1135" i="39"/>
  <c r="AG1143" i="39"/>
  <c r="AG4" i="39"/>
  <c r="AH4" i="39"/>
  <c r="AI4" i="39"/>
  <c r="AG5" i="39"/>
  <c r="AH5" i="39"/>
  <c r="AI5" i="39"/>
  <c r="AG6" i="39"/>
  <c r="AH6" i="39"/>
  <c r="AI6" i="39"/>
  <c r="AG7" i="39"/>
  <c r="AH7" i="39"/>
  <c r="AI7" i="39"/>
  <c r="AG8" i="39"/>
  <c r="AH8" i="39"/>
  <c r="AI8" i="39"/>
  <c r="AG9" i="39"/>
  <c r="AH9" i="39"/>
  <c r="AI9" i="39"/>
  <c r="AG10" i="39"/>
  <c r="AH10" i="39"/>
  <c r="AI10" i="39"/>
  <c r="AG11" i="39"/>
  <c r="AH11" i="39"/>
  <c r="AI11" i="39"/>
  <c r="AG12" i="39"/>
  <c r="AH12" i="39"/>
  <c r="AI12" i="39"/>
  <c r="AG13" i="39"/>
  <c r="AH13" i="39"/>
  <c r="AI13" i="39"/>
  <c r="AG14" i="39"/>
  <c r="AH14" i="39"/>
  <c r="AI14" i="39"/>
  <c r="AG15" i="39"/>
  <c r="AH15" i="39"/>
  <c r="AI15" i="39"/>
  <c r="AG16" i="39"/>
  <c r="AH16" i="39"/>
  <c r="AI16" i="39"/>
  <c r="AG17" i="39"/>
  <c r="AH17" i="39"/>
  <c r="AI17" i="39"/>
  <c r="AG18" i="39"/>
  <c r="AH18" i="39"/>
  <c r="AI18" i="39"/>
  <c r="AG19" i="39"/>
  <c r="AH19" i="39"/>
  <c r="AI19" i="39"/>
  <c r="AG20" i="39"/>
  <c r="AH20" i="39"/>
  <c r="AI20" i="39"/>
  <c r="AG21" i="39"/>
  <c r="AH21" i="39"/>
  <c r="AI21" i="39"/>
  <c r="AG22" i="39"/>
  <c r="AH22" i="39"/>
  <c r="AI22" i="39"/>
  <c r="AG23" i="39"/>
  <c r="AH23" i="39"/>
  <c r="AI23" i="39"/>
  <c r="AG24" i="39"/>
  <c r="AH24" i="39"/>
  <c r="AI24" i="39"/>
  <c r="AG25" i="39"/>
  <c r="AH25" i="39"/>
  <c r="AI25" i="39"/>
  <c r="AG26" i="39"/>
  <c r="AH26" i="39"/>
  <c r="AI26" i="39"/>
  <c r="AG27" i="39"/>
  <c r="AH27" i="39"/>
  <c r="AI27" i="39"/>
  <c r="AG28" i="39"/>
  <c r="AH28" i="39"/>
  <c r="AI28" i="39"/>
  <c r="AG29" i="39"/>
  <c r="AH29" i="39"/>
  <c r="AI29" i="39"/>
  <c r="AG30" i="39"/>
  <c r="AH30" i="39"/>
  <c r="AI30" i="39"/>
  <c r="AG31" i="39"/>
  <c r="AH31" i="39"/>
  <c r="AI31" i="39"/>
  <c r="AG32" i="39"/>
  <c r="AH32" i="39"/>
  <c r="AI32" i="39"/>
  <c r="AG33" i="39"/>
  <c r="AH33" i="39"/>
  <c r="AI33" i="39"/>
  <c r="AG34" i="39"/>
  <c r="AH34" i="39"/>
  <c r="AI34" i="39"/>
  <c r="AG35" i="39"/>
  <c r="AH35" i="39"/>
  <c r="AI35" i="39"/>
  <c r="AG36" i="39"/>
  <c r="AH36" i="39"/>
  <c r="AI36" i="39"/>
  <c r="AG37" i="39"/>
  <c r="AH37" i="39"/>
  <c r="AI37" i="39"/>
  <c r="AG38" i="39"/>
  <c r="AH38" i="39"/>
  <c r="AI38" i="39"/>
  <c r="AG39" i="39"/>
  <c r="AH39" i="39"/>
  <c r="AI39" i="39"/>
  <c r="AG40" i="39"/>
  <c r="AH40" i="39"/>
  <c r="AI40" i="39"/>
  <c r="AG41" i="39"/>
  <c r="AH41" i="39"/>
  <c r="AI41" i="39"/>
  <c r="AG42" i="39"/>
  <c r="AH42" i="39"/>
  <c r="AI42" i="39"/>
  <c r="AG43" i="39"/>
  <c r="AH43" i="39"/>
  <c r="AI43" i="39"/>
  <c r="AG44" i="39"/>
  <c r="AH44" i="39"/>
  <c r="AI44" i="39"/>
  <c r="AG45" i="39"/>
  <c r="AH45" i="39"/>
  <c r="AI45" i="39"/>
  <c r="AG46" i="39"/>
  <c r="AH46" i="39"/>
  <c r="AI46" i="39"/>
  <c r="AG47" i="39"/>
  <c r="AH47" i="39"/>
  <c r="AI47" i="39"/>
  <c r="AG48" i="39"/>
  <c r="AH48" i="39"/>
  <c r="AI48" i="39"/>
  <c r="AG49" i="39"/>
  <c r="AH49" i="39"/>
  <c r="AI49" i="39"/>
  <c r="AG50" i="39"/>
  <c r="AH50" i="39"/>
  <c r="AI50" i="39"/>
  <c r="AG51" i="39"/>
  <c r="AH51" i="39"/>
  <c r="AI51" i="39"/>
  <c r="AG52" i="39"/>
  <c r="AH52" i="39"/>
  <c r="AI52" i="39"/>
  <c r="AG53" i="39"/>
  <c r="AH53" i="39"/>
  <c r="AI53" i="39"/>
  <c r="AG54" i="39"/>
  <c r="AH54" i="39"/>
  <c r="AI54" i="39"/>
  <c r="AG55" i="39"/>
  <c r="AH55" i="39"/>
  <c r="AI55" i="39"/>
  <c r="AG56" i="39"/>
  <c r="AH56" i="39"/>
  <c r="AI56" i="39"/>
  <c r="AG57" i="39"/>
  <c r="AH57" i="39"/>
  <c r="AI57" i="39"/>
  <c r="AG58" i="39"/>
  <c r="AH58" i="39"/>
  <c r="AI58" i="39"/>
  <c r="AG59" i="39"/>
  <c r="AH59" i="39"/>
  <c r="AI59" i="39"/>
  <c r="AG60" i="39"/>
  <c r="AH60" i="39"/>
  <c r="AG61" i="39"/>
  <c r="AH61" i="39"/>
  <c r="AI61" i="39"/>
  <c r="AG62" i="39"/>
  <c r="AH62" i="39"/>
  <c r="AI62" i="39"/>
  <c r="AG63" i="39"/>
  <c r="AH63" i="39"/>
  <c r="AI63" i="39"/>
  <c r="AG64" i="39"/>
  <c r="AH64" i="39"/>
  <c r="AG65" i="39"/>
  <c r="AH65" i="39"/>
  <c r="AI65" i="39"/>
  <c r="AG66" i="39"/>
  <c r="AH66" i="39"/>
  <c r="AI66" i="39"/>
  <c r="AG67" i="39"/>
  <c r="AH67" i="39"/>
  <c r="AI67" i="39"/>
  <c r="AG68" i="39"/>
  <c r="AH68" i="39"/>
  <c r="AI68" i="39"/>
  <c r="AG69" i="39"/>
  <c r="AI69" i="39"/>
  <c r="AG70" i="39"/>
  <c r="AH70" i="39"/>
  <c r="AI70" i="39"/>
  <c r="AG71" i="39"/>
  <c r="AH71" i="39"/>
  <c r="AI71" i="39"/>
  <c r="AG72" i="39"/>
  <c r="AH72" i="39"/>
  <c r="AI72" i="39"/>
  <c r="AG73" i="39"/>
  <c r="AH73" i="39"/>
  <c r="AI73" i="39"/>
  <c r="AG74" i="39"/>
  <c r="AH74" i="39"/>
  <c r="AI74" i="39"/>
  <c r="AG75" i="39"/>
  <c r="AH75" i="39"/>
  <c r="AI75" i="39"/>
  <c r="AG76" i="39"/>
  <c r="AH76" i="39"/>
  <c r="AG77" i="39"/>
  <c r="AH77" i="39"/>
  <c r="AI77" i="39"/>
  <c r="AG78" i="39"/>
  <c r="AH78" i="39"/>
  <c r="AI78" i="39"/>
  <c r="AG79" i="39"/>
  <c r="AH79" i="39"/>
  <c r="AI79" i="39"/>
  <c r="AG80" i="39"/>
  <c r="AH80" i="39"/>
  <c r="AI80" i="39"/>
  <c r="AG81" i="39"/>
  <c r="AH81" i="39"/>
  <c r="AI81" i="39"/>
  <c r="AH82" i="39"/>
  <c r="AI82" i="39"/>
  <c r="AG83" i="39"/>
  <c r="AH83" i="39"/>
  <c r="AI83" i="39"/>
  <c r="AG84" i="39"/>
  <c r="AH84" i="39"/>
  <c r="AI84" i="39"/>
  <c r="AG85" i="39"/>
  <c r="AH85" i="39"/>
  <c r="AI85" i="39"/>
  <c r="AG86" i="39"/>
  <c r="AH86" i="39"/>
  <c r="AI86" i="39"/>
  <c r="AG87" i="39"/>
  <c r="AH87" i="39"/>
  <c r="AI87" i="39"/>
  <c r="AG88" i="39"/>
  <c r="AH88" i="39"/>
  <c r="AI88" i="39"/>
  <c r="AG89" i="39"/>
  <c r="AH89" i="39"/>
  <c r="AI89" i="39"/>
  <c r="AG90" i="39"/>
  <c r="AH90" i="39"/>
  <c r="AI90" i="39"/>
  <c r="AG91" i="39"/>
  <c r="AH91" i="39"/>
  <c r="AI91" i="39"/>
  <c r="AG92" i="39"/>
  <c r="AH92" i="39"/>
  <c r="AI92" i="39"/>
  <c r="AG93" i="39"/>
  <c r="AH93" i="39"/>
  <c r="AG94" i="39"/>
  <c r="AH94" i="39"/>
  <c r="AI94" i="39"/>
  <c r="AG95" i="39"/>
  <c r="AH95" i="39"/>
  <c r="AI95" i="39"/>
  <c r="AG96" i="39"/>
  <c r="AH96" i="39"/>
  <c r="AI96" i="39"/>
  <c r="AG97" i="39"/>
  <c r="AH97" i="39"/>
  <c r="AI97" i="39"/>
  <c r="AG98" i="39"/>
  <c r="AH98" i="39"/>
  <c r="AI98" i="39"/>
  <c r="AG99" i="39"/>
  <c r="AH99" i="39"/>
  <c r="AI99" i="39"/>
  <c r="AG100" i="39"/>
  <c r="AH100" i="39"/>
  <c r="AI100" i="39"/>
  <c r="AG101" i="39"/>
  <c r="AH101" i="39"/>
  <c r="AI101" i="39"/>
  <c r="AG102" i="39"/>
  <c r="AH102" i="39"/>
  <c r="AI102" i="39"/>
  <c r="AG103" i="39"/>
  <c r="AH103" i="39"/>
  <c r="AI103" i="39"/>
  <c r="AG104" i="39"/>
  <c r="AH104" i="39"/>
  <c r="AI104" i="39"/>
  <c r="AG105" i="39"/>
  <c r="AH105" i="39"/>
  <c r="AI105" i="39"/>
  <c r="AG106" i="39"/>
  <c r="AH106" i="39"/>
  <c r="AI106" i="39"/>
  <c r="AG107" i="39"/>
  <c r="AH107" i="39"/>
  <c r="AI107" i="39"/>
  <c r="AG108" i="39"/>
  <c r="AH108" i="39"/>
  <c r="AI108" i="39"/>
  <c r="AG109" i="39"/>
  <c r="AH109" i="39"/>
  <c r="AG110" i="39"/>
  <c r="AH110" i="39"/>
  <c r="AI110" i="39"/>
  <c r="AG111" i="39"/>
  <c r="AH111" i="39"/>
  <c r="AI111" i="39"/>
  <c r="AG112" i="39"/>
  <c r="AH112" i="39"/>
  <c r="AI112" i="39"/>
  <c r="AG113" i="39"/>
  <c r="AH113" i="39"/>
  <c r="AI113" i="39"/>
  <c r="AG114" i="39"/>
  <c r="AH114" i="39"/>
  <c r="AI114" i="39"/>
  <c r="AH115" i="39"/>
  <c r="AI115" i="39"/>
  <c r="AG116" i="39"/>
  <c r="AH116" i="39"/>
  <c r="AI116" i="39"/>
  <c r="AG117" i="39"/>
  <c r="AH117" i="39"/>
  <c r="AI117" i="39"/>
  <c r="AG118" i="39"/>
  <c r="AH118" i="39"/>
  <c r="AI118" i="39"/>
  <c r="AG119" i="39"/>
  <c r="AH119" i="39"/>
  <c r="AI119" i="39"/>
  <c r="AG120" i="39"/>
  <c r="AH120" i="39"/>
  <c r="AI120" i="39"/>
  <c r="AG121" i="39"/>
  <c r="AH121" i="39"/>
  <c r="AI121" i="39"/>
  <c r="AG122" i="39"/>
  <c r="AH122" i="39"/>
  <c r="AI122" i="39"/>
  <c r="AG123" i="39"/>
  <c r="AH123" i="39"/>
  <c r="AI123" i="39"/>
  <c r="AG124" i="39"/>
  <c r="AH124" i="39"/>
  <c r="AI124" i="39"/>
  <c r="AG125" i="39"/>
  <c r="AH125" i="39"/>
  <c r="AI125" i="39"/>
  <c r="AG126" i="39"/>
  <c r="AH126" i="39"/>
  <c r="AI126" i="39"/>
  <c r="AG127" i="39"/>
  <c r="AH127" i="39"/>
  <c r="AI127" i="39"/>
  <c r="AG128" i="39"/>
  <c r="AH128" i="39"/>
  <c r="AI128" i="39"/>
  <c r="AG129" i="39"/>
  <c r="AH129" i="39"/>
  <c r="AI129" i="39"/>
  <c r="AG130" i="39"/>
  <c r="AH130" i="39"/>
  <c r="AI130" i="39"/>
  <c r="AH131" i="39"/>
  <c r="AI131" i="39"/>
  <c r="AG132" i="39"/>
  <c r="AH132" i="39"/>
  <c r="AI132" i="39"/>
  <c r="AG133" i="39"/>
  <c r="AH133" i="39"/>
  <c r="AI133" i="39"/>
  <c r="AG134" i="39"/>
  <c r="AH134" i="39"/>
  <c r="AI134" i="39"/>
  <c r="AG135" i="39"/>
  <c r="AH135" i="39"/>
  <c r="AI135" i="39"/>
  <c r="AG136" i="39"/>
  <c r="AH136" i="39"/>
  <c r="AI136" i="39"/>
  <c r="AG137" i="39"/>
  <c r="AH137" i="39"/>
  <c r="AI137" i="39"/>
  <c r="AG138" i="39"/>
  <c r="AH138" i="39"/>
  <c r="AI138" i="39"/>
  <c r="AG139" i="39"/>
  <c r="AH139" i="39"/>
  <c r="AI139" i="39"/>
  <c r="AG140" i="39"/>
  <c r="AH140" i="39"/>
  <c r="AI140" i="39"/>
  <c r="AG141" i="39"/>
  <c r="AH141" i="39"/>
  <c r="AI141" i="39"/>
  <c r="AG142" i="39"/>
  <c r="AH142" i="39"/>
  <c r="AI142" i="39"/>
  <c r="AG143" i="39"/>
  <c r="AH143" i="39"/>
  <c r="AI143" i="39"/>
  <c r="AG144" i="39"/>
  <c r="AH144" i="39"/>
  <c r="AI144" i="39"/>
  <c r="AG145" i="39"/>
  <c r="AH145" i="39"/>
  <c r="AI145" i="39"/>
  <c r="AG146" i="39"/>
  <c r="AH146" i="39"/>
  <c r="AI146" i="39"/>
  <c r="AG147" i="39"/>
  <c r="AH147" i="39"/>
  <c r="AI147" i="39"/>
  <c r="AG148" i="39"/>
  <c r="AH148" i="39"/>
  <c r="AI148" i="39"/>
  <c r="AG149" i="39"/>
  <c r="AH149" i="39"/>
  <c r="AI149" i="39"/>
  <c r="AG150" i="39"/>
  <c r="AH150" i="39"/>
  <c r="AI150" i="39"/>
  <c r="AG151" i="39"/>
  <c r="AH151" i="39"/>
  <c r="AI151" i="39"/>
  <c r="AG152" i="39"/>
  <c r="AH152" i="39"/>
  <c r="AI152" i="39"/>
  <c r="AG153" i="39"/>
  <c r="AH153" i="39"/>
  <c r="AI153" i="39"/>
  <c r="AG154" i="39"/>
  <c r="AH154" i="39"/>
  <c r="AI154" i="39"/>
  <c r="AG155" i="39"/>
  <c r="AH155" i="39"/>
  <c r="AI155" i="39"/>
  <c r="AG156" i="39"/>
  <c r="AH156" i="39"/>
  <c r="AI156" i="39"/>
  <c r="AG157" i="39"/>
  <c r="AH157" i="39"/>
  <c r="AI157" i="39"/>
  <c r="AG158" i="39"/>
  <c r="AH158" i="39"/>
  <c r="AI158" i="39"/>
  <c r="AG159" i="39"/>
  <c r="AH159" i="39"/>
  <c r="AI159" i="39"/>
  <c r="AG160" i="39"/>
  <c r="AH160" i="39"/>
  <c r="AI160" i="39"/>
  <c r="AG161" i="39"/>
  <c r="AH161" i="39"/>
  <c r="AI161" i="39"/>
  <c r="AG162" i="39"/>
  <c r="AH162" i="39"/>
  <c r="AI162" i="39"/>
  <c r="AG163" i="39"/>
  <c r="AH163" i="39"/>
  <c r="AI163" i="39"/>
  <c r="AH164" i="39"/>
  <c r="AI164" i="39"/>
  <c r="AG165" i="39"/>
  <c r="AH165" i="39"/>
  <c r="AI165" i="39"/>
  <c r="AG166" i="39"/>
  <c r="AH166" i="39"/>
  <c r="AI166" i="39"/>
  <c r="AG167" i="39"/>
  <c r="AH167" i="39"/>
  <c r="AI167" i="39"/>
  <c r="AG168" i="39"/>
  <c r="AH168" i="39"/>
  <c r="AI168" i="39"/>
  <c r="AG169" i="39"/>
  <c r="AH169" i="39"/>
  <c r="AI169" i="39"/>
  <c r="AG170" i="39"/>
  <c r="AH170" i="39"/>
  <c r="AI170" i="39"/>
  <c r="AG171" i="39"/>
  <c r="AH171" i="39"/>
  <c r="AI171" i="39"/>
  <c r="AG172" i="39"/>
  <c r="AH172" i="39"/>
  <c r="AI172" i="39"/>
  <c r="AG173" i="39"/>
  <c r="AH173" i="39"/>
  <c r="AI173" i="39"/>
  <c r="AG174" i="39"/>
  <c r="AH174" i="39"/>
  <c r="AI174" i="39"/>
  <c r="AG175" i="39"/>
  <c r="AH175" i="39"/>
  <c r="AI175" i="39"/>
  <c r="AG176" i="39"/>
  <c r="AH176" i="39"/>
  <c r="AI176" i="39"/>
  <c r="AG177" i="39"/>
  <c r="AH177" i="39"/>
  <c r="AI177" i="39"/>
  <c r="AG178" i="39"/>
  <c r="AH178" i="39"/>
  <c r="AI178" i="39"/>
  <c r="AG179" i="39"/>
  <c r="AH179" i="39"/>
  <c r="AI179" i="39"/>
  <c r="AG180" i="39"/>
  <c r="AH180" i="39"/>
  <c r="AI180" i="39"/>
  <c r="AG181" i="39"/>
  <c r="AH181" i="39"/>
  <c r="AI181" i="39"/>
  <c r="AG182" i="39"/>
  <c r="AH182" i="39"/>
  <c r="AI182" i="39"/>
  <c r="AG183" i="39"/>
  <c r="AH183" i="39"/>
  <c r="AI183" i="39"/>
  <c r="AG184" i="39"/>
  <c r="AI184" i="39"/>
  <c r="AG185" i="39"/>
  <c r="AH185" i="39"/>
  <c r="AI185" i="39"/>
  <c r="AG186" i="39"/>
  <c r="AH186" i="39"/>
  <c r="AI186" i="39"/>
  <c r="AG187" i="39"/>
  <c r="AH187" i="39"/>
  <c r="AI187" i="39"/>
  <c r="AG188" i="39"/>
  <c r="AH188" i="39"/>
  <c r="AI188" i="39"/>
  <c r="AG189" i="39"/>
  <c r="AH189" i="39"/>
  <c r="AI189" i="39"/>
  <c r="AG190" i="39"/>
  <c r="AH190" i="39"/>
  <c r="AI190" i="39"/>
  <c r="AG191" i="39"/>
  <c r="AH191" i="39"/>
  <c r="AI191" i="39"/>
  <c r="AG192" i="39"/>
  <c r="AH192" i="39"/>
  <c r="AI192" i="39"/>
  <c r="AG193" i="39"/>
  <c r="AH193" i="39"/>
  <c r="AI193" i="39"/>
  <c r="AG194" i="39"/>
  <c r="AH194" i="39"/>
  <c r="AI194" i="39"/>
  <c r="AG195" i="39"/>
  <c r="AH195" i="39"/>
  <c r="AI195" i="39"/>
  <c r="AG196" i="39"/>
  <c r="AH196" i="39"/>
  <c r="AI196" i="39"/>
  <c r="AG197" i="39"/>
  <c r="AH197" i="39"/>
  <c r="AI197" i="39"/>
  <c r="AG198" i="39"/>
  <c r="AH198" i="39"/>
  <c r="AI198" i="39"/>
  <c r="AG199" i="39"/>
  <c r="AH199" i="39"/>
  <c r="AI199" i="39"/>
  <c r="AG200" i="39"/>
  <c r="AH200" i="39"/>
  <c r="AI200" i="39"/>
  <c r="AG201" i="39"/>
  <c r="AH201" i="39"/>
  <c r="AI201" i="39"/>
  <c r="AG202" i="39"/>
  <c r="AH202" i="39"/>
  <c r="AI202" i="39"/>
  <c r="AG203" i="39"/>
  <c r="AH203" i="39"/>
  <c r="AI203" i="39"/>
  <c r="AG204" i="39"/>
  <c r="AH204" i="39"/>
  <c r="AI204" i="39"/>
  <c r="AG205" i="39"/>
  <c r="AH205" i="39"/>
  <c r="AI205" i="39"/>
  <c r="AG206" i="39"/>
  <c r="AH206" i="39"/>
  <c r="AI206" i="39"/>
  <c r="AG207" i="39"/>
  <c r="AH207" i="39"/>
  <c r="AI207" i="39"/>
  <c r="AG208" i="39"/>
  <c r="AH208" i="39"/>
  <c r="AI208" i="39"/>
  <c r="AG209" i="39"/>
  <c r="AH209" i="39"/>
  <c r="AI209" i="39"/>
  <c r="AG210" i="39"/>
  <c r="AH210" i="39"/>
  <c r="AI210" i="39"/>
  <c r="AG211" i="39"/>
  <c r="AH211" i="39"/>
  <c r="AG212" i="39"/>
  <c r="AH212" i="39"/>
  <c r="AI212" i="39"/>
  <c r="AG213" i="39"/>
  <c r="AH213" i="39"/>
  <c r="AI213" i="39"/>
  <c r="AG214" i="39"/>
  <c r="AH214" i="39"/>
  <c r="AI214" i="39"/>
  <c r="AG215" i="39"/>
  <c r="AH215" i="39"/>
  <c r="AI215" i="39"/>
  <c r="AG216" i="39"/>
  <c r="AH216" i="39"/>
  <c r="AI216" i="39"/>
  <c r="AG217" i="39"/>
  <c r="AH217" i="39"/>
  <c r="AI217" i="39"/>
  <c r="AG218" i="39"/>
  <c r="AH218" i="39"/>
  <c r="AI218" i="39"/>
  <c r="AG219" i="39"/>
  <c r="AH219" i="39"/>
  <c r="AI219" i="39"/>
  <c r="AG220" i="39"/>
  <c r="AI220" i="39"/>
  <c r="AG221" i="39"/>
  <c r="AH221" i="39"/>
  <c r="AI221" i="39"/>
  <c r="AG222" i="39"/>
  <c r="AH222" i="39"/>
  <c r="AI222" i="39"/>
  <c r="AG223" i="39"/>
  <c r="AH223" i="39"/>
  <c r="AI223" i="39"/>
  <c r="AG224" i="39"/>
  <c r="AH224" i="39"/>
  <c r="AI224" i="39"/>
  <c r="AG225" i="39"/>
  <c r="AH225" i="39"/>
  <c r="AI225" i="39"/>
  <c r="AG226" i="39"/>
  <c r="AH226" i="39"/>
  <c r="AI226" i="39"/>
  <c r="AG227" i="39"/>
  <c r="AH227" i="39"/>
  <c r="AI227" i="39"/>
  <c r="AG228" i="39"/>
  <c r="AH228" i="39"/>
  <c r="AI228" i="39"/>
  <c r="AG229" i="39"/>
  <c r="AH229" i="39"/>
  <c r="AI229" i="39"/>
  <c r="AG230" i="39"/>
  <c r="AH230" i="39"/>
  <c r="AI230" i="39"/>
  <c r="AG231" i="39"/>
  <c r="AH231" i="39"/>
  <c r="AI231" i="39"/>
  <c r="AG232" i="39"/>
  <c r="AH232" i="39"/>
  <c r="AI232" i="39"/>
  <c r="AG233" i="39"/>
  <c r="AH233" i="39"/>
  <c r="AI233" i="39"/>
  <c r="AG234" i="39"/>
  <c r="AH234" i="39"/>
  <c r="AI234" i="39"/>
  <c r="AG235" i="39"/>
  <c r="AH235" i="39"/>
  <c r="AI235" i="39"/>
  <c r="AG236" i="39"/>
  <c r="AH236" i="39"/>
  <c r="AI236" i="39"/>
  <c r="AG237" i="39"/>
  <c r="AH237" i="39"/>
  <c r="AI237" i="39"/>
  <c r="AG238" i="39"/>
  <c r="AH238" i="39"/>
  <c r="AI238" i="39"/>
  <c r="AG239" i="39"/>
  <c r="AH239" i="39"/>
  <c r="AI239" i="39"/>
  <c r="AG240" i="39"/>
  <c r="AH240" i="39"/>
  <c r="AI240" i="39"/>
  <c r="AG241" i="39"/>
  <c r="AH241" i="39"/>
  <c r="AI241" i="39"/>
  <c r="AG242" i="39"/>
  <c r="AH242" i="39"/>
  <c r="AI242" i="39"/>
  <c r="AG243" i="39"/>
  <c r="AH243" i="39"/>
  <c r="AI243" i="39"/>
  <c r="AG244" i="39"/>
  <c r="AH244" i="39"/>
  <c r="AI244" i="39"/>
  <c r="AG245" i="39"/>
  <c r="AH245" i="39"/>
  <c r="AI245" i="39"/>
  <c r="AG246" i="39"/>
  <c r="AH246" i="39"/>
  <c r="AI246" i="39"/>
  <c r="AG247" i="39"/>
  <c r="AH247" i="39"/>
  <c r="AI247" i="39"/>
  <c r="AG248" i="39"/>
  <c r="AH248" i="39"/>
  <c r="AI248" i="39"/>
  <c r="AG249" i="39"/>
  <c r="AH249" i="39"/>
  <c r="AI249" i="39"/>
  <c r="AG250" i="39"/>
  <c r="AH250" i="39"/>
  <c r="AI250" i="39"/>
  <c r="AG251" i="39"/>
  <c r="AH251" i="39"/>
  <c r="AI251" i="39"/>
  <c r="AG252" i="39"/>
  <c r="AH252" i="39"/>
  <c r="AI252" i="39"/>
  <c r="AG253" i="39"/>
  <c r="AH253" i="39"/>
  <c r="AI253" i="39"/>
  <c r="AG254" i="39"/>
  <c r="AH254" i="39"/>
  <c r="AI254" i="39"/>
  <c r="AG255" i="39"/>
  <c r="AH255" i="39"/>
  <c r="AI255" i="39"/>
  <c r="AG256" i="39"/>
  <c r="AH256" i="39"/>
  <c r="AI256" i="39"/>
  <c r="AG257" i="39"/>
  <c r="AH257" i="39"/>
  <c r="AI257" i="39"/>
  <c r="AG258" i="39"/>
  <c r="AH258" i="39"/>
  <c r="AI258" i="39"/>
  <c r="AG259" i="39"/>
  <c r="AH259" i="39"/>
  <c r="AI259" i="39"/>
  <c r="AG260" i="39"/>
  <c r="AH260" i="39"/>
  <c r="AI260" i="39"/>
  <c r="AG261" i="39"/>
  <c r="AH261" i="39"/>
  <c r="AI261" i="39"/>
  <c r="AG262" i="39"/>
  <c r="AH262" i="39"/>
  <c r="AI262" i="39"/>
  <c r="AG263" i="39"/>
  <c r="AH263" i="39"/>
  <c r="AI263" i="39"/>
  <c r="AG264" i="39"/>
  <c r="AH264" i="39"/>
  <c r="AI264" i="39"/>
  <c r="AG265" i="39"/>
  <c r="AH265" i="39"/>
  <c r="AI265" i="39"/>
  <c r="AG266" i="39"/>
  <c r="AH266" i="39"/>
  <c r="AI266" i="39"/>
  <c r="AG267" i="39"/>
  <c r="AH267" i="39"/>
  <c r="AI267" i="39"/>
  <c r="AG268" i="39"/>
  <c r="AH268" i="39"/>
  <c r="AI268" i="39"/>
  <c r="AG269" i="39"/>
  <c r="AH269" i="39"/>
  <c r="AI269" i="39"/>
  <c r="AG270" i="39"/>
  <c r="AH270" i="39"/>
  <c r="AI270" i="39"/>
  <c r="AG271" i="39"/>
  <c r="AH271" i="39"/>
  <c r="AI271" i="39"/>
  <c r="AG272" i="39"/>
  <c r="AH272" i="39"/>
  <c r="AI272" i="39"/>
  <c r="AG273" i="39"/>
  <c r="AH273" i="39"/>
  <c r="AI273" i="39"/>
  <c r="AG274" i="39"/>
  <c r="AH274" i="39"/>
  <c r="AI274" i="39"/>
  <c r="AG275" i="39"/>
  <c r="AH275" i="39"/>
  <c r="AI275" i="39"/>
  <c r="AG276" i="39"/>
  <c r="AH276" i="39"/>
  <c r="AI276" i="39"/>
  <c r="AG277" i="39"/>
  <c r="AH277" i="39"/>
  <c r="AI277" i="39"/>
  <c r="AG278" i="39"/>
  <c r="AH278" i="39"/>
  <c r="AI278" i="39"/>
  <c r="AG279" i="39"/>
  <c r="AH279" i="39"/>
  <c r="AI279" i="39"/>
  <c r="AG280" i="39"/>
  <c r="AH280" i="39"/>
  <c r="AI280" i="39"/>
  <c r="AG281" i="39"/>
  <c r="AH281" i="39"/>
  <c r="AI281" i="39"/>
  <c r="AG282" i="39"/>
  <c r="AH282" i="39"/>
  <c r="AI282" i="39"/>
  <c r="AG283" i="39"/>
  <c r="AH283" i="39"/>
  <c r="AI283" i="39"/>
  <c r="AG284" i="39"/>
  <c r="AH284" i="39"/>
  <c r="AI284" i="39"/>
  <c r="AG285" i="39"/>
  <c r="AH285" i="39"/>
  <c r="AI285" i="39"/>
  <c r="AG286" i="39"/>
  <c r="AH286" i="39"/>
  <c r="AI286" i="39"/>
  <c r="AG287" i="39"/>
  <c r="AH287" i="39"/>
  <c r="AI287" i="39"/>
  <c r="AG288" i="39"/>
  <c r="AH288" i="39"/>
  <c r="AI288" i="39"/>
  <c r="AG289" i="39"/>
  <c r="AH289" i="39"/>
  <c r="AI289" i="39"/>
  <c r="AG290" i="39"/>
  <c r="AH290" i="39"/>
  <c r="AI290" i="39"/>
  <c r="AG291" i="39"/>
  <c r="AH291" i="39"/>
  <c r="AI291" i="39"/>
  <c r="AG292" i="39"/>
  <c r="AH292" i="39"/>
  <c r="AI292" i="39"/>
  <c r="AG293" i="39"/>
  <c r="AH293" i="39"/>
  <c r="AI293" i="39"/>
  <c r="AG294" i="39"/>
  <c r="AH294" i="39"/>
  <c r="AI294" i="39"/>
  <c r="AG295" i="39"/>
  <c r="AH295" i="39"/>
  <c r="AI295" i="39"/>
  <c r="AG296" i="39"/>
  <c r="AH296" i="39"/>
  <c r="AI296" i="39"/>
  <c r="AG297" i="39"/>
  <c r="AH297" i="39"/>
  <c r="AI297" i="39"/>
  <c r="AG298" i="39"/>
  <c r="AH298" i="39"/>
  <c r="AI298" i="39"/>
  <c r="AG299" i="39"/>
  <c r="AH299" i="39"/>
  <c r="AI299" i="39"/>
  <c r="AG300" i="39"/>
  <c r="AH300" i="39"/>
  <c r="AI300" i="39"/>
  <c r="AG301" i="39"/>
  <c r="AH301" i="39"/>
  <c r="AI301" i="39"/>
  <c r="AG302" i="39"/>
  <c r="AH302" i="39"/>
  <c r="AI302" i="39"/>
  <c r="AG303" i="39"/>
  <c r="AH303" i="39"/>
  <c r="AI303" i="39"/>
  <c r="AG304" i="39"/>
  <c r="AH304" i="39"/>
  <c r="AI304" i="39"/>
  <c r="AG305" i="39"/>
  <c r="AH305" i="39"/>
  <c r="AI305" i="39"/>
  <c r="AG306" i="39"/>
  <c r="AH306" i="39"/>
  <c r="AI306" i="39"/>
  <c r="AG307" i="39"/>
  <c r="AH307" i="39"/>
  <c r="AI307" i="39"/>
  <c r="AG308" i="39"/>
  <c r="AH308" i="39"/>
  <c r="AI308" i="39"/>
  <c r="AG309" i="39"/>
  <c r="AH309" i="39"/>
  <c r="AI309" i="39"/>
  <c r="AG310" i="39"/>
  <c r="AH310" i="39"/>
  <c r="AI310" i="39"/>
  <c r="AG311" i="39"/>
  <c r="AH311" i="39"/>
  <c r="AI311" i="39"/>
  <c r="AG312" i="39"/>
  <c r="AH312" i="39"/>
  <c r="AI312" i="39"/>
  <c r="AG313" i="39"/>
  <c r="AH313" i="39"/>
  <c r="AI313" i="39"/>
  <c r="AG314" i="39"/>
  <c r="AH314" i="39"/>
  <c r="AI314" i="39"/>
  <c r="AG315" i="39"/>
  <c r="AH315" i="39"/>
  <c r="AI315" i="39"/>
  <c r="AH316" i="39"/>
  <c r="AI316" i="39"/>
  <c r="AG317" i="39"/>
  <c r="AH317" i="39"/>
  <c r="AI317" i="39"/>
  <c r="AG318" i="39"/>
  <c r="AH318" i="39"/>
  <c r="AI318" i="39"/>
  <c r="AG319" i="39"/>
  <c r="AI319" i="39"/>
  <c r="AG320" i="39"/>
  <c r="AH320" i="39"/>
  <c r="AI320" i="39"/>
  <c r="AG321" i="39"/>
  <c r="AH321" i="39"/>
  <c r="AI321" i="39"/>
  <c r="AG322" i="39"/>
  <c r="AH322" i="39"/>
  <c r="AI322" i="39"/>
  <c r="AG323" i="39"/>
  <c r="AH323" i="39"/>
  <c r="AI323" i="39"/>
  <c r="AG324" i="39"/>
  <c r="AH324" i="39"/>
  <c r="AI324" i="39"/>
  <c r="AG325" i="39"/>
  <c r="AH325" i="39"/>
  <c r="AI325" i="39"/>
  <c r="AG326" i="39"/>
  <c r="AH326" i="39"/>
  <c r="AI326" i="39"/>
  <c r="AG327" i="39"/>
  <c r="AH327" i="39"/>
  <c r="AI327" i="39"/>
  <c r="AG328" i="39"/>
  <c r="AH328" i="39"/>
  <c r="AI328" i="39"/>
  <c r="AG329" i="39"/>
  <c r="AH329" i="39"/>
  <c r="AI329" i="39"/>
  <c r="AG330" i="39"/>
  <c r="AH330" i="39"/>
  <c r="AI330" i="39"/>
  <c r="AG331" i="39"/>
  <c r="AH331" i="39"/>
  <c r="AI331" i="39"/>
  <c r="AG332" i="39"/>
  <c r="AH332" i="39"/>
  <c r="AI332" i="39"/>
  <c r="AG333" i="39"/>
  <c r="AH333" i="39"/>
  <c r="AI333" i="39"/>
  <c r="AG334" i="39"/>
  <c r="AH334" i="39"/>
  <c r="AI334" i="39"/>
  <c r="AG335" i="39"/>
  <c r="AH335" i="39"/>
  <c r="AI335" i="39"/>
  <c r="AG336" i="39"/>
  <c r="AH336" i="39"/>
  <c r="AI336" i="39"/>
  <c r="AG337" i="39"/>
  <c r="AH337" i="39"/>
  <c r="AI337" i="39"/>
  <c r="AG338" i="39"/>
  <c r="AH338" i="39"/>
  <c r="AI338" i="39"/>
  <c r="AG339" i="39"/>
  <c r="AH339" i="39"/>
  <c r="AI339" i="39"/>
  <c r="AG340" i="39"/>
  <c r="AH340" i="39"/>
  <c r="AI340" i="39"/>
  <c r="AG341" i="39"/>
  <c r="AH341" i="39"/>
  <c r="AI341" i="39"/>
  <c r="AG342" i="39"/>
  <c r="AH342" i="39"/>
  <c r="AI342" i="39"/>
  <c r="AG343" i="39"/>
  <c r="AH343" i="39"/>
  <c r="AI343" i="39"/>
  <c r="AG344" i="39"/>
  <c r="AH344" i="39"/>
  <c r="AI344" i="39"/>
  <c r="AG345" i="39"/>
  <c r="AH345" i="39"/>
  <c r="AI345" i="39"/>
  <c r="AH346" i="39"/>
  <c r="AI346" i="39"/>
  <c r="AG347" i="39"/>
  <c r="AH347" i="39"/>
  <c r="AI347" i="39"/>
  <c r="AG348" i="39"/>
  <c r="AH348" i="39"/>
  <c r="AI348" i="39"/>
  <c r="AG349" i="39"/>
  <c r="AH349" i="39"/>
  <c r="AI349" i="39"/>
  <c r="AG350" i="39"/>
  <c r="AH350" i="39"/>
  <c r="AI350" i="39"/>
  <c r="AG351" i="39"/>
  <c r="AH351" i="39"/>
  <c r="AI351" i="39"/>
  <c r="AG352" i="39"/>
  <c r="AH352" i="39"/>
  <c r="AI352" i="39"/>
  <c r="AG353" i="39"/>
  <c r="AH353" i="39"/>
  <c r="AI353" i="39"/>
  <c r="AG354" i="39"/>
  <c r="AH354" i="39"/>
  <c r="AI354" i="39"/>
  <c r="AG355" i="39"/>
  <c r="AH355" i="39"/>
  <c r="AI355" i="39"/>
  <c r="AG356" i="39"/>
  <c r="AI356" i="39"/>
  <c r="AG357" i="39"/>
  <c r="AH357" i="39"/>
  <c r="AI357" i="39"/>
  <c r="AG358" i="39"/>
  <c r="AH358" i="39"/>
  <c r="AI358" i="39"/>
  <c r="AG359" i="39"/>
  <c r="AH359" i="39"/>
  <c r="AI359" i="39"/>
  <c r="AH360" i="39"/>
  <c r="AI360" i="39"/>
  <c r="AG361" i="39"/>
  <c r="AH361" i="39"/>
  <c r="AI361" i="39"/>
  <c r="AG362" i="39"/>
  <c r="AH362" i="39"/>
  <c r="AI362" i="39"/>
  <c r="AH363" i="39"/>
  <c r="AI363" i="39"/>
  <c r="AH364" i="39"/>
  <c r="AI364" i="39"/>
  <c r="AG365" i="39"/>
  <c r="AH365" i="39"/>
  <c r="AI365" i="39"/>
  <c r="AG366" i="39"/>
  <c r="AH366" i="39"/>
  <c r="AI366" i="39"/>
  <c r="AG367" i="39"/>
  <c r="AH367" i="39"/>
  <c r="AI367" i="39"/>
  <c r="AH368" i="39"/>
  <c r="AI368" i="39"/>
  <c r="AG369" i="39"/>
  <c r="AH369" i="39"/>
  <c r="AI369" i="39"/>
  <c r="AG370" i="39"/>
  <c r="AH370" i="39"/>
  <c r="AI370" i="39"/>
  <c r="AG371" i="39"/>
  <c r="AH371" i="39"/>
  <c r="AI371" i="39"/>
  <c r="AG372" i="39"/>
  <c r="AH372" i="39"/>
  <c r="AG373" i="39"/>
  <c r="AH373" i="39"/>
  <c r="AG374" i="39"/>
  <c r="AH374" i="39"/>
  <c r="AI374" i="39"/>
  <c r="AG375" i="39"/>
  <c r="AH375" i="39"/>
  <c r="AI375" i="39"/>
  <c r="AG376" i="39"/>
  <c r="AH376" i="39"/>
  <c r="AI376" i="39"/>
  <c r="AG377" i="39"/>
  <c r="AH377" i="39"/>
  <c r="AI377" i="39"/>
  <c r="AG378" i="39"/>
  <c r="AH378" i="39"/>
  <c r="AI378" i="39"/>
  <c r="AH379" i="39"/>
  <c r="AI379" i="39"/>
  <c r="AG380" i="39"/>
  <c r="AH380" i="39"/>
  <c r="AI380" i="39"/>
  <c r="AG381" i="39"/>
  <c r="AH381" i="39"/>
  <c r="AI381" i="39"/>
  <c r="AG382" i="39"/>
  <c r="AH382" i="39"/>
  <c r="AI382" i="39"/>
  <c r="AG383" i="39"/>
  <c r="AH383" i="39"/>
  <c r="AI383" i="39"/>
  <c r="AG384" i="39"/>
  <c r="AH384" i="39"/>
  <c r="AI384" i="39"/>
  <c r="AG385" i="39"/>
  <c r="AH385" i="39"/>
  <c r="AI385" i="39"/>
  <c r="AG386" i="39"/>
  <c r="AH386" i="39"/>
  <c r="AI386" i="39"/>
  <c r="AG387" i="39"/>
  <c r="AH387" i="39"/>
  <c r="AI387" i="39"/>
  <c r="AG388" i="39"/>
  <c r="AH388" i="39"/>
  <c r="AI388" i="39"/>
  <c r="AG389" i="39"/>
  <c r="AH389" i="39"/>
  <c r="AI389" i="39"/>
  <c r="AG390" i="39"/>
  <c r="AH390" i="39"/>
  <c r="AI390" i="39"/>
  <c r="AG391" i="39"/>
  <c r="AG392" i="39"/>
  <c r="AH392" i="39"/>
  <c r="AI392" i="39"/>
  <c r="AG393" i="39"/>
  <c r="AH393" i="39"/>
  <c r="AG394" i="39"/>
  <c r="AI394" i="39"/>
  <c r="AG395" i="39"/>
  <c r="AH395" i="39"/>
  <c r="AI395" i="39"/>
  <c r="AG396" i="39"/>
  <c r="AH396" i="39"/>
  <c r="AI396" i="39"/>
  <c r="AG397" i="39"/>
  <c r="AH397" i="39"/>
  <c r="AI397" i="39"/>
  <c r="AG398" i="39"/>
  <c r="AH398" i="39"/>
  <c r="AI398" i="39"/>
  <c r="AG399" i="39"/>
  <c r="AH399" i="39"/>
  <c r="AI399" i="39"/>
  <c r="AG400" i="39"/>
  <c r="AH400" i="39"/>
  <c r="AI400" i="39"/>
  <c r="AG401" i="39"/>
  <c r="AH401" i="39"/>
  <c r="AI401" i="39"/>
  <c r="AG402" i="39"/>
  <c r="AH402" i="39"/>
  <c r="AI402" i="39"/>
  <c r="AG403" i="39"/>
  <c r="AH403" i="39"/>
  <c r="AI403" i="39"/>
  <c r="AG404" i="39"/>
  <c r="AH404" i="39"/>
  <c r="AI404" i="39"/>
  <c r="AG405" i="39"/>
  <c r="AH405" i="39"/>
  <c r="AI405" i="39"/>
  <c r="AG406" i="39"/>
  <c r="AH406" i="39"/>
  <c r="AI406" i="39"/>
  <c r="AG407" i="39"/>
  <c r="AH407" i="39"/>
  <c r="AI407" i="39"/>
  <c r="AG408" i="39"/>
  <c r="AH408" i="39"/>
  <c r="AI408" i="39"/>
  <c r="AG409" i="39"/>
  <c r="AH409" i="39"/>
  <c r="AI409" i="39"/>
  <c r="AG410" i="39"/>
  <c r="AH410" i="39"/>
  <c r="AI410" i="39"/>
  <c r="AH411" i="39"/>
  <c r="AI411" i="39"/>
  <c r="AG412" i="39"/>
  <c r="AH412" i="39"/>
  <c r="AI412" i="39"/>
  <c r="AG413" i="39"/>
  <c r="AH413" i="39"/>
  <c r="AI413" i="39"/>
  <c r="AG414" i="39"/>
  <c r="AH414" i="39"/>
  <c r="AI414" i="39"/>
  <c r="AG415" i="39"/>
  <c r="AH415" i="39"/>
  <c r="AI415" i="39"/>
  <c r="AG416" i="39"/>
  <c r="AH416" i="39"/>
  <c r="AG417" i="39"/>
  <c r="AI417" i="39"/>
  <c r="AG418" i="39"/>
  <c r="AH418" i="39"/>
  <c r="AI418" i="39"/>
  <c r="AG419" i="39"/>
  <c r="AH419" i="39"/>
  <c r="AI419" i="39"/>
  <c r="AG420" i="39"/>
  <c r="AH420" i="39"/>
  <c r="AI420" i="39"/>
  <c r="AG421" i="39"/>
  <c r="AH421" i="39"/>
  <c r="AG422" i="39"/>
  <c r="AH422" i="39"/>
  <c r="AI422" i="39"/>
  <c r="AG423" i="39"/>
  <c r="AH423" i="39"/>
  <c r="AI423" i="39"/>
  <c r="AG424" i="39"/>
  <c r="AH424" i="39"/>
  <c r="AI424" i="39"/>
  <c r="AG425" i="39"/>
  <c r="AH425" i="39"/>
  <c r="AG426" i="39"/>
  <c r="AH426" i="39"/>
  <c r="AI426" i="39"/>
  <c r="AG427" i="39"/>
  <c r="AH427" i="39"/>
  <c r="AI427" i="39"/>
  <c r="AG428" i="39"/>
  <c r="AH428" i="39"/>
  <c r="AI428" i="39"/>
  <c r="AG429" i="39"/>
  <c r="AH429" i="39"/>
  <c r="AI429" i="39"/>
  <c r="AG430" i="39"/>
  <c r="AH430" i="39"/>
  <c r="AI430" i="39"/>
  <c r="AG431" i="39"/>
  <c r="AH431" i="39"/>
  <c r="AI431" i="39"/>
  <c r="AG432" i="39"/>
  <c r="AH432" i="39"/>
  <c r="AI432" i="39"/>
  <c r="AG433" i="39"/>
  <c r="AH433" i="39"/>
  <c r="AI433" i="39"/>
  <c r="AG434" i="39"/>
  <c r="AH434" i="39"/>
  <c r="AI434" i="39"/>
  <c r="AG435" i="39"/>
  <c r="AH435" i="39"/>
  <c r="AI435" i="39"/>
  <c r="AG436" i="39"/>
  <c r="AH436" i="39"/>
  <c r="AI436" i="39"/>
  <c r="AG437" i="39"/>
  <c r="AH437" i="39"/>
  <c r="AI437" i="39"/>
  <c r="AG438" i="39"/>
  <c r="AH438" i="39"/>
  <c r="AI438" i="39"/>
  <c r="AG439" i="39"/>
  <c r="AH439" i="39"/>
  <c r="AI439" i="39"/>
  <c r="AG440" i="39"/>
  <c r="AH440" i="39"/>
  <c r="AI440" i="39"/>
  <c r="AG441" i="39"/>
  <c r="AH441" i="39"/>
  <c r="AI441" i="39"/>
  <c r="AG442" i="39"/>
  <c r="AH442" i="39"/>
  <c r="AI442" i="39"/>
  <c r="AG443" i="39"/>
  <c r="AH443" i="39"/>
  <c r="AI443" i="39"/>
  <c r="AG444" i="39"/>
  <c r="AH444" i="39"/>
  <c r="AI444" i="39"/>
  <c r="AH445" i="39"/>
  <c r="AI445" i="39"/>
  <c r="AG446" i="39"/>
  <c r="AH446" i="39"/>
  <c r="AI446" i="39"/>
  <c r="AG447" i="39"/>
  <c r="AH447" i="39"/>
  <c r="AI447" i="39"/>
  <c r="AG448" i="39"/>
  <c r="AH448" i="39"/>
  <c r="AI448" i="39"/>
  <c r="AG449" i="39"/>
  <c r="AH449" i="39"/>
  <c r="AI449" i="39"/>
  <c r="AG450" i="39"/>
  <c r="AH450" i="39"/>
  <c r="AI450" i="39"/>
  <c r="AG451" i="39"/>
  <c r="AH451" i="39"/>
  <c r="AI451" i="39"/>
  <c r="AG452" i="39"/>
  <c r="AH452" i="39"/>
  <c r="AG453" i="39"/>
  <c r="AH453" i="39"/>
  <c r="AI453" i="39"/>
  <c r="AG454" i="39"/>
  <c r="AH454" i="39"/>
  <c r="AI454" i="39"/>
  <c r="AG455" i="39"/>
  <c r="AH455" i="39"/>
  <c r="AI455" i="39"/>
  <c r="AG456" i="39"/>
  <c r="AH456" i="39"/>
  <c r="AI456" i="39"/>
  <c r="AG457" i="39"/>
  <c r="AH457" i="39"/>
  <c r="AI457" i="39"/>
  <c r="AG458" i="39"/>
  <c r="AH458" i="39"/>
  <c r="AI458" i="39"/>
  <c r="AG459" i="39"/>
  <c r="AH459" i="39"/>
  <c r="AI459" i="39"/>
  <c r="AG460" i="39"/>
  <c r="AH460" i="39"/>
  <c r="AI460" i="39"/>
  <c r="AG461" i="39"/>
  <c r="AH461" i="39"/>
  <c r="AI461" i="39"/>
  <c r="AG462" i="39"/>
  <c r="AH462" i="39"/>
  <c r="AI462" i="39"/>
  <c r="AG463" i="39"/>
  <c r="AH463" i="39"/>
  <c r="AI463" i="39"/>
  <c r="AG464" i="39"/>
  <c r="AI464" i="39"/>
  <c r="AG465" i="39"/>
  <c r="AH465" i="39"/>
  <c r="AI465" i="39"/>
  <c r="AG466" i="39"/>
  <c r="AH466" i="39"/>
  <c r="AI466" i="39"/>
  <c r="AG467" i="39"/>
  <c r="AH467" i="39"/>
  <c r="AI467" i="39"/>
  <c r="AG468" i="39"/>
  <c r="AH468" i="39"/>
  <c r="AI468" i="39"/>
  <c r="AG469" i="39"/>
  <c r="AH469" i="39"/>
  <c r="AI469" i="39"/>
  <c r="AH470" i="39"/>
  <c r="AG471" i="39"/>
  <c r="AH471" i="39"/>
  <c r="AI471" i="39"/>
  <c r="AG472" i="39"/>
  <c r="AH472" i="39"/>
  <c r="AI472" i="39"/>
  <c r="AG473" i="39"/>
  <c r="AH473" i="39"/>
  <c r="AI473" i="39"/>
  <c r="AG474" i="39"/>
  <c r="AH474" i="39"/>
  <c r="AI474" i="39"/>
  <c r="AG475" i="39"/>
  <c r="AH475" i="39"/>
  <c r="AI475" i="39"/>
  <c r="AG476" i="39"/>
  <c r="AH476" i="39"/>
  <c r="AI476" i="39"/>
  <c r="AG477" i="39"/>
  <c r="AH477" i="39"/>
  <c r="AI477" i="39"/>
  <c r="AG478" i="39"/>
  <c r="AH478" i="39"/>
  <c r="AI478" i="39"/>
  <c r="AG479" i="39"/>
  <c r="AH479" i="39"/>
  <c r="AI479" i="39"/>
  <c r="AG480" i="39"/>
  <c r="AH480" i="39"/>
  <c r="AI480" i="39"/>
  <c r="AG481" i="39"/>
  <c r="AH481" i="39"/>
  <c r="AI481" i="39"/>
  <c r="AG482" i="39"/>
  <c r="AH482" i="39"/>
  <c r="AI482" i="39"/>
  <c r="AG483" i="39"/>
  <c r="AH483" i="39"/>
  <c r="AG484" i="39"/>
  <c r="AH484" i="39"/>
  <c r="AI484" i="39"/>
  <c r="AG485" i="39"/>
  <c r="AH485" i="39"/>
  <c r="AI485" i="39"/>
  <c r="AG486" i="39"/>
  <c r="AH486" i="39"/>
  <c r="AI486" i="39"/>
  <c r="AG487" i="39"/>
  <c r="AI487" i="39"/>
  <c r="AG488" i="39"/>
  <c r="AH488" i="39"/>
  <c r="AI488" i="39"/>
  <c r="AG489" i="39"/>
  <c r="AH489" i="39"/>
  <c r="AI489" i="39"/>
  <c r="AG490" i="39"/>
  <c r="AH490" i="39"/>
  <c r="AI490" i="39"/>
  <c r="AG491" i="39"/>
  <c r="AH491" i="39"/>
  <c r="AI491" i="39"/>
  <c r="AG492" i="39"/>
  <c r="AH492" i="39"/>
  <c r="AI492" i="39"/>
  <c r="AG493" i="39"/>
  <c r="AH493" i="39"/>
  <c r="AI493" i="39"/>
  <c r="AG494" i="39"/>
  <c r="AH494" i="39"/>
  <c r="AI494" i="39"/>
  <c r="AG495" i="39"/>
  <c r="AH495" i="39"/>
  <c r="AI495" i="39"/>
  <c r="AG496" i="39"/>
  <c r="AH496" i="39"/>
  <c r="AI496" i="39"/>
  <c r="AG497" i="39"/>
  <c r="AH497" i="39"/>
  <c r="AI497" i="39"/>
  <c r="AH498" i="39"/>
  <c r="AI498" i="39"/>
  <c r="AG499" i="39"/>
  <c r="AH499" i="39"/>
  <c r="AI499" i="39"/>
  <c r="AG500" i="39"/>
  <c r="AH500" i="39"/>
  <c r="AI500" i="39"/>
  <c r="AG501" i="39"/>
  <c r="AH501" i="39"/>
  <c r="AI501" i="39"/>
  <c r="AG502" i="39"/>
  <c r="AH502" i="39"/>
  <c r="AI502" i="39"/>
  <c r="AG503" i="39"/>
  <c r="AH503" i="39"/>
  <c r="AI503" i="39"/>
  <c r="AG504" i="39"/>
  <c r="AH504" i="39"/>
  <c r="AI504" i="39"/>
  <c r="AG505" i="39"/>
  <c r="AH505" i="39"/>
  <c r="AI505" i="39"/>
  <c r="AG506" i="39"/>
  <c r="AH506" i="39"/>
  <c r="AI506" i="39"/>
  <c r="AG507" i="39"/>
  <c r="AH507" i="39"/>
  <c r="AI507" i="39"/>
  <c r="AG508" i="39"/>
  <c r="AH508" i="39"/>
  <c r="AI508" i="39"/>
  <c r="AG509" i="39"/>
  <c r="AH509" i="39"/>
  <c r="AI509" i="39"/>
  <c r="AG510" i="39"/>
  <c r="AH510" i="39"/>
  <c r="AI510" i="39"/>
  <c r="AG511" i="39"/>
  <c r="AH511" i="39"/>
  <c r="AI511" i="39"/>
  <c r="AG512" i="39"/>
  <c r="AH512" i="39"/>
  <c r="AI512" i="39"/>
  <c r="AG513" i="39"/>
  <c r="AH513" i="39"/>
  <c r="AI513" i="39"/>
  <c r="AG514" i="39"/>
  <c r="AH514" i="39"/>
  <c r="AI514" i="39"/>
  <c r="AG515" i="39"/>
  <c r="AH515" i="39"/>
  <c r="AI515" i="39"/>
  <c r="AG516" i="39"/>
  <c r="AH516" i="39"/>
  <c r="AI516" i="39"/>
  <c r="AG517" i="39"/>
  <c r="AH517" i="39"/>
  <c r="AI517" i="39"/>
  <c r="AG518" i="39"/>
  <c r="AH518" i="39"/>
  <c r="AI518" i="39"/>
  <c r="AG519" i="39"/>
  <c r="AH519" i="39"/>
  <c r="AI519" i="39"/>
  <c r="AG520" i="39"/>
  <c r="AH520" i="39"/>
  <c r="AI520" i="39"/>
  <c r="AG521" i="39"/>
  <c r="AH521" i="39"/>
  <c r="AI521" i="39"/>
  <c r="AG522" i="39"/>
  <c r="AH522" i="39"/>
  <c r="AI522" i="39"/>
  <c r="AG523" i="39"/>
  <c r="AH523" i="39"/>
  <c r="AI523" i="39"/>
  <c r="AG524" i="39"/>
  <c r="AH524" i="39"/>
  <c r="AI524" i="39"/>
  <c r="AG525" i="39"/>
  <c r="AH525" i="39"/>
  <c r="AI525" i="39"/>
  <c r="AG526" i="39"/>
  <c r="AH526" i="39"/>
  <c r="AI526" i="39"/>
  <c r="AG527" i="39"/>
  <c r="AH527" i="39"/>
  <c r="AI527" i="39"/>
  <c r="AG528" i="39"/>
  <c r="AH528" i="39"/>
  <c r="AI528" i="39"/>
  <c r="AH529" i="39"/>
  <c r="AI529" i="39"/>
  <c r="AH530" i="39"/>
  <c r="AI530" i="39"/>
  <c r="AG531" i="39"/>
  <c r="AH531" i="39"/>
  <c r="AI531" i="39"/>
  <c r="AG532" i="39"/>
  <c r="AH532" i="39"/>
  <c r="AI532" i="39"/>
  <c r="AH533" i="39"/>
  <c r="AI533" i="39"/>
  <c r="AG534" i="39"/>
  <c r="AI534" i="39"/>
  <c r="AG535" i="39"/>
  <c r="AH535" i="39"/>
  <c r="AI535" i="39"/>
  <c r="AG536" i="39"/>
  <c r="AH536" i="39"/>
  <c r="AI536" i="39"/>
  <c r="AG537" i="39"/>
  <c r="AH537" i="39"/>
  <c r="AI537" i="39"/>
  <c r="AG538" i="39"/>
  <c r="AH538" i="39"/>
  <c r="AI538" i="39"/>
  <c r="AG539" i="39"/>
  <c r="AH539" i="39"/>
  <c r="AG540" i="39"/>
  <c r="AI540" i="39"/>
  <c r="AG541" i="39"/>
  <c r="AH541" i="39"/>
  <c r="AI541" i="39"/>
  <c r="AG542" i="39"/>
  <c r="AH542" i="39"/>
  <c r="AI542" i="39"/>
  <c r="AG543" i="39"/>
  <c r="AH543" i="39"/>
  <c r="AI543" i="39"/>
  <c r="AG544" i="39"/>
  <c r="AH544" i="39"/>
  <c r="AI544" i="39"/>
  <c r="AG545" i="39"/>
  <c r="AH545" i="39"/>
  <c r="AI545" i="39"/>
  <c r="AG546" i="39"/>
  <c r="AH546" i="39"/>
  <c r="AI546" i="39"/>
  <c r="AG547" i="39"/>
  <c r="AH547" i="39"/>
  <c r="AI547" i="39"/>
  <c r="AG548" i="39"/>
  <c r="AH548" i="39"/>
  <c r="AI548" i="39"/>
  <c r="AG549" i="39"/>
  <c r="AH549" i="39"/>
  <c r="AI549" i="39"/>
  <c r="AG550" i="39"/>
  <c r="AH550" i="39"/>
  <c r="AI550" i="39"/>
  <c r="AG551" i="39"/>
  <c r="AH551" i="39"/>
  <c r="AI551" i="39"/>
  <c r="AG552" i="39"/>
  <c r="AH552" i="39"/>
  <c r="AI552" i="39"/>
  <c r="AG553" i="39"/>
  <c r="AH553" i="39"/>
  <c r="AG554" i="39"/>
  <c r="AH554" i="39"/>
  <c r="AI554" i="39"/>
  <c r="AG555" i="39"/>
  <c r="AH555" i="39"/>
  <c r="AI555" i="39"/>
  <c r="AG556" i="39"/>
  <c r="AH556" i="39"/>
  <c r="AI556" i="39"/>
  <c r="AG557" i="39"/>
  <c r="AH557" i="39"/>
  <c r="AI557" i="39"/>
  <c r="AG558" i="39"/>
  <c r="AH558" i="39"/>
  <c r="AG559" i="39"/>
  <c r="AH559" i="39"/>
  <c r="AI559" i="39"/>
  <c r="AG560" i="39"/>
  <c r="AH560" i="39"/>
  <c r="AI560" i="39"/>
  <c r="AH561" i="39"/>
  <c r="AI561" i="39"/>
  <c r="AH562" i="39"/>
  <c r="AI562" i="39"/>
  <c r="AG563" i="39"/>
  <c r="AH563" i="39"/>
  <c r="AI563" i="39"/>
  <c r="AH564" i="39"/>
  <c r="AI564" i="39"/>
  <c r="AG565" i="39"/>
  <c r="AH565" i="39"/>
  <c r="AI565" i="39"/>
  <c r="AG566" i="39"/>
  <c r="AH566" i="39"/>
  <c r="AI566" i="39"/>
  <c r="AG567" i="39"/>
  <c r="AH567" i="39"/>
  <c r="AI567" i="39"/>
  <c r="AG568" i="39"/>
  <c r="AH568" i="39"/>
  <c r="AI568" i="39"/>
  <c r="AG569" i="39"/>
  <c r="AH569" i="39"/>
  <c r="AI569" i="39"/>
  <c r="AG570" i="39"/>
  <c r="AH570" i="39"/>
  <c r="AI570" i="39"/>
  <c r="AG571" i="39"/>
  <c r="AH571" i="39"/>
  <c r="AI571" i="39"/>
  <c r="AG572" i="39"/>
  <c r="AH572" i="39"/>
  <c r="AI572" i="39"/>
  <c r="AG573" i="39"/>
  <c r="AH573" i="39"/>
  <c r="AI573" i="39"/>
  <c r="AG574" i="39"/>
  <c r="AH574" i="39"/>
  <c r="AI574" i="39"/>
  <c r="AG575" i="39"/>
  <c r="AH575" i="39"/>
  <c r="AI575" i="39"/>
  <c r="AG576" i="39"/>
  <c r="AH576" i="39"/>
  <c r="AI576" i="39"/>
  <c r="AG577" i="39"/>
  <c r="AH577" i="39"/>
  <c r="AI577" i="39"/>
  <c r="AG578" i="39"/>
  <c r="AH578" i="39"/>
  <c r="AI578" i="39"/>
  <c r="AG579" i="39"/>
  <c r="AH579" i="39"/>
  <c r="AI579" i="39"/>
  <c r="AG580" i="39"/>
  <c r="AI580" i="39"/>
  <c r="AG581" i="39"/>
  <c r="AH581" i="39"/>
  <c r="AI581" i="39"/>
  <c r="AG582" i="39"/>
  <c r="AH582" i="39"/>
  <c r="AI582" i="39"/>
  <c r="AG583" i="39"/>
  <c r="AH583" i="39"/>
  <c r="AI583" i="39"/>
  <c r="AG584" i="39"/>
  <c r="AH584" i="39"/>
  <c r="AI584" i="39"/>
  <c r="AG585" i="39"/>
  <c r="AH585" i="39"/>
  <c r="AI585" i="39"/>
  <c r="AG586" i="39"/>
  <c r="AH586" i="39"/>
  <c r="AG587" i="39"/>
  <c r="AH587" i="39"/>
  <c r="AI587" i="39"/>
  <c r="AG588" i="39"/>
  <c r="AH588" i="39"/>
  <c r="AI588" i="39"/>
  <c r="AG589" i="39"/>
  <c r="AH589" i="39"/>
  <c r="AI589" i="39"/>
  <c r="AG590" i="39"/>
  <c r="AH590" i="39"/>
  <c r="AG591" i="39"/>
  <c r="AH591" i="39"/>
  <c r="AI591" i="39"/>
  <c r="AG592" i="39"/>
  <c r="AH592" i="39"/>
  <c r="AI592" i="39"/>
  <c r="AG593" i="39"/>
  <c r="AH593" i="39"/>
  <c r="AI593" i="39"/>
  <c r="AG594" i="39"/>
  <c r="AH594" i="39"/>
  <c r="AI594" i="39"/>
  <c r="AG595" i="39"/>
  <c r="AH595" i="39"/>
  <c r="AI595" i="39"/>
  <c r="AG596" i="39"/>
  <c r="AH596" i="39"/>
  <c r="AI596" i="39"/>
  <c r="AH597" i="39"/>
  <c r="AI597" i="39"/>
  <c r="AG598" i="39"/>
  <c r="AH598" i="39"/>
  <c r="AI598" i="39"/>
  <c r="AG599" i="39"/>
  <c r="AH599" i="39"/>
  <c r="AI599" i="39"/>
  <c r="AG600" i="39"/>
  <c r="AH600" i="39"/>
  <c r="AI600" i="39"/>
  <c r="AG601" i="39"/>
  <c r="AH601" i="39"/>
  <c r="AG602" i="39"/>
  <c r="AH602" i="39"/>
  <c r="AI602" i="39"/>
  <c r="AG603" i="39"/>
  <c r="AH603" i="39"/>
  <c r="AG604" i="39"/>
  <c r="AH604" i="39"/>
  <c r="AI604" i="39"/>
  <c r="AG605" i="39"/>
  <c r="AH605" i="39"/>
  <c r="AI605" i="39"/>
  <c r="AG606" i="39"/>
  <c r="AH606" i="39"/>
  <c r="AI606" i="39"/>
  <c r="AG607" i="39"/>
  <c r="AH607" i="39"/>
  <c r="AI607" i="39"/>
  <c r="AG608" i="39"/>
  <c r="AH608" i="39"/>
  <c r="AI608" i="39"/>
  <c r="AG609" i="39"/>
  <c r="AH609" i="39"/>
  <c r="AI609" i="39"/>
  <c r="AG610" i="39"/>
  <c r="AH610" i="39"/>
  <c r="AI610" i="39"/>
  <c r="AG611" i="39"/>
  <c r="AH611" i="39"/>
  <c r="AI611" i="39"/>
  <c r="AG612" i="39"/>
  <c r="AI612" i="39"/>
  <c r="AG613" i="39"/>
  <c r="AH613" i="39"/>
  <c r="AI613" i="39"/>
  <c r="AG614" i="39"/>
  <c r="AH614" i="39"/>
  <c r="AI614" i="39"/>
  <c r="AG615" i="39"/>
  <c r="AH615" i="39"/>
  <c r="AI615" i="39"/>
  <c r="AG616" i="39"/>
  <c r="AH616" i="39"/>
  <c r="AI616" i="39"/>
  <c r="AG617" i="39"/>
  <c r="AH617" i="39"/>
  <c r="AI617" i="39"/>
  <c r="AG618" i="39"/>
  <c r="AH618" i="39"/>
  <c r="AI618" i="39"/>
  <c r="AG619" i="39"/>
  <c r="AH619" i="39"/>
  <c r="AG620" i="39"/>
  <c r="AH620" i="39"/>
  <c r="AI620" i="39"/>
  <c r="AG621" i="39"/>
  <c r="AH621" i="39"/>
  <c r="AI621" i="39"/>
  <c r="AG622" i="39"/>
  <c r="AI622" i="39"/>
  <c r="AG623" i="39"/>
  <c r="AH623" i="39"/>
  <c r="AI623" i="39"/>
  <c r="AG624" i="39"/>
  <c r="AH624" i="39"/>
  <c r="AI624" i="39"/>
  <c r="AH625" i="39"/>
  <c r="AI625" i="39"/>
  <c r="AG626" i="39"/>
  <c r="AH626" i="39"/>
  <c r="AI626" i="39"/>
  <c r="AG627" i="39"/>
  <c r="AH627" i="39"/>
  <c r="AI627" i="39"/>
  <c r="AG628" i="39"/>
  <c r="AH628" i="39"/>
  <c r="AI628" i="39"/>
  <c r="AG629" i="39"/>
  <c r="AH629" i="39"/>
  <c r="AI629" i="39"/>
  <c r="AG630" i="39"/>
  <c r="AH630" i="39"/>
  <c r="AI630" i="39"/>
  <c r="AG631" i="39"/>
  <c r="AH631" i="39"/>
  <c r="AI631" i="39"/>
  <c r="AG632" i="39"/>
  <c r="AH632" i="39"/>
  <c r="AI632" i="39"/>
  <c r="EA5" i="46"/>
  <c r="T12" i="36" l="1"/>
  <c r="T19" i="36" s="1"/>
  <c r="S1194" i="37" l="1"/>
  <c r="S1195" i="37"/>
  <c r="S1196" i="37"/>
  <c r="S1197" i="37"/>
  <c r="S1198" i="37"/>
  <c r="S1199" i="37"/>
  <c r="S1200" i="37"/>
  <c r="S1201" i="37"/>
  <c r="S1202" i="37"/>
  <c r="S1203" i="37"/>
  <c r="S1204" i="37"/>
  <c r="S1205" i="37"/>
  <c r="S1206" i="37"/>
  <c r="S1207" i="37"/>
  <c r="S1208" i="37"/>
  <c r="S1209" i="37"/>
  <c r="S1210" i="37"/>
  <c r="S1211" i="37"/>
  <c r="S1212" i="37"/>
  <c r="S1213" i="37"/>
  <c r="S1214" i="37"/>
  <c r="S1215" i="37"/>
  <c r="S1216" i="37"/>
  <c r="S1217" i="37"/>
  <c r="S1218" i="37"/>
  <c r="S1219" i="37"/>
  <c r="S1220" i="37"/>
  <c r="S1221" i="37"/>
  <c r="S1222" i="37"/>
  <c r="S1223" i="37"/>
  <c r="S1224" i="37"/>
  <c r="S1225" i="37"/>
  <c r="S1226" i="37"/>
  <c r="S1227" i="37"/>
  <c r="S1228" i="37"/>
  <c r="S1229" i="37"/>
  <c r="S1230" i="37"/>
  <c r="S1231" i="37"/>
  <c r="S1232" i="37"/>
  <c r="S1233" i="37"/>
  <c r="S1234" i="37"/>
  <c r="S1235" i="37"/>
  <c r="S1236" i="37"/>
  <c r="S1237" i="37"/>
  <c r="S1238" i="37"/>
  <c r="S1239" i="37"/>
  <c r="S1240" i="37"/>
  <c r="S1241" i="37"/>
  <c r="S1242" i="37"/>
  <c r="S1243" i="37"/>
  <c r="S1244" i="37"/>
  <c r="S1245" i="37"/>
  <c r="S1246" i="37"/>
  <c r="S1247" i="37"/>
  <c r="S1248" i="37"/>
  <c r="S1249" i="37"/>
  <c r="S1250" i="37"/>
  <c r="S1251" i="37"/>
  <c r="S1252" i="37"/>
  <c r="S1253" i="37"/>
  <c r="S1254" i="37"/>
  <c r="S1255" i="37"/>
  <c r="S1256" i="37"/>
  <c r="S1257" i="37"/>
  <c r="S1258" i="37"/>
  <c r="S1259" i="37"/>
  <c r="S1260" i="37"/>
  <c r="S1261" i="37"/>
  <c r="S1262" i="37"/>
  <c r="S1263" i="37"/>
  <c r="S1264" i="37"/>
  <c r="S1265" i="37"/>
  <c r="K102" i="78" l="1"/>
  <c r="R69" i="34"/>
  <c r="R70" i="34"/>
  <c r="R71" i="34"/>
  <c r="R72" i="34"/>
  <c r="R73" i="34"/>
  <c r="R68" i="34"/>
  <c r="R74" i="34" l="1"/>
  <c r="O29" i="34"/>
  <c r="O30" i="34"/>
  <c r="O31" i="34"/>
  <c r="O32" i="34"/>
  <c r="O33" i="34"/>
  <c r="O28" i="34"/>
  <c r="N29" i="34"/>
  <c r="N30" i="34"/>
  <c r="N31" i="34"/>
  <c r="N32" i="34"/>
  <c r="N33" i="34"/>
  <c r="N28" i="34"/>
  <c r="M29" i="34"/>
  <c r="M30" i="34"/>
  <c r="M31" i="34"/>
  <c r="M32" i="34"/>
  <c r="M33" i="34"/>
  <c r="M28" i="34"/>
  <c r="L29" i="34"/>
  <c r="L30" i="34"/>
  <c r="L31" i="34"/>
  <c r="L32" i="34"/>
  <c r="L33" i="34"/>
  <c r="L28" i="34"/>
  <c r="K29" i="34"/>
  <c r="K30" i="34"/>
  <c r="K31" i="34"/>
  <c r="K32" i="34"/>
  <c r="K33" i="34"/>
  <c r="K28" i="34"/>
  <c r="J29" i="34"/>
  <c r="J30" i="34"/>
  <c r="J31" i="34"/>
  <c r="J32" i="34"/>
  <c r="J33" i="34"/>
  <c r="J28" i="34"/>
  <c r="K34" i="34" l="1"/>
  <c r="K40" i="34" s="1"/>
  <c r="M34" i="34"/>
  <c r="M40" i="34" s="1"/>
  <c r="L34" i="34"/>
  <c r="L43" i="34" s="1"/>
  <c r="J34" i="34"/>
  <c r="O34" i="34"/>
  <c r="N34" i="34"/>
  <c r="Q32" i="34"/>
  <c r="P33" i="34"/>
  <c r="P29" i="34"/>
  <c r="Q31" i="34"/>
  <c r="Q30" i="34"/>
  <c r="Q29" i="34"/>
  <c r="Q33" i="34"/>
  <c r="Q28" i="34"/>
  <c r="P32" i="34"/>
  <c r="P31" i="34"/>
  <c r="P30" i="34"/>
  <c r="P28" i="34"/>
  <c r="L40" i="34" l="1"/>
  <c r="K42" i="34"/>
  <c r="L39" i="34"/>
  <c r="K39" i="34"/>
  <c r="M44" i="34"/>
  <c r="K43" i="34"/>
  <c r="M43" i="34"/>
  <c r="M39" i="34"/>
  <c r="M45" i="34"/>
  <c r="N43" i="34"/>
  <c r="N45" i="34"/>
  <c r="O41" i="34"/>
  <c r="O45" i="34"/>
  <c r="J43" i="34"/>
  <c r="J45" i="34"/>
  <c r="O40" i="34"/>
  <c r="L42" i="34"/>
  <c r="L45" i="34"/>
  <c r="J42" i="34"/>
  <c r="K41" i="34"/>
  <c r="K45" i="34"/>
  <c r="L44" i="34"/>
  <c r="N41" i="34"/>
  <c r="K44" i="34"/>
  <c r="N42" i="34"/>
  <c r="L41" i="34"/>
  <c r="J40" i="34"/>
  <c r="M42" i="34"/>
  <c r="J39" i="34"/>
  <c r="O44" i="34"/>
  <c r="M41" i="34"/>
  <c r="J44" i="34"/>
  <c r="J41" i="34"/>
  <c r="O43" i="34"/>
  <c r="O39" i="34"/>
  <c r="O42" i="34"/>
  <c r="N39" i="34"/>
  <c r="P34" i="34"/>
  <c r="N44" i="34"/>
  <c r="N40" i="34"/>
  <c r="Q34" i="34"/>
  <c r="Q43" i="34" s="1"/>
  <c r="I79" i="47"/>
  <c r="J79" i="47"/>
  <c r="K79" i="47"/>
  <c r="L79" i="47"/>
  <c r="M79" i="47"/>
  <c r="H79" i="47"/>
  <c r="P45" i="34" l="1"/>
  <c r="R45" i="34" s="1"/>
  <c r="P44" i="34"/>
  <c r="R44" i="34" s="1"/>
  <c r="Q41" i="34"/>
  <c r="P41" i="34"/>
  <c r="R41" i="34" s="1"/>
  <c r="P39" i="34"/>
  <c r="R39" i="34" s="1"/>
  <c r="P42" i="34"/>
  <c r="R42" i="34" s="1"/>
  <c r="Q45" i="34"/>
  <c r="Q44" i="34"/>
  <c r="Q42" i="34"/>
  <c r="Q40" i="34"/>
  <c r="P40" i="34"/>
  <c r="R40" i="34" s="1"/>
  <c r="Q39" i="34"/>
  <c r="P43" i="34"/>
  <c r="R43" i="34" s="1"/>
  <c r="S3" i="37"/>
  <c r="S4" i="37"/>
  <c r="S5" i="37"/>
  <c r="S6" i="37"/>
  <c r="S7" i="37"/>
  <c r="S8" i="37"/>
  <c r="S9" i="37"/>
  <c r="S10" i="37"/>
  <c r="S11" i="37"/>
  <c r="S12" i="37"/>
  <c r="S13" i="37"/>
  <c r="S14" i="37"/>
  <c r="S15" i="37"/>
  <c r="S16" i="37"/>
  <c r="S17" i="37"/>
  <c r="S18" i="37"/>
  <c r="S19" i="37"/>
  <c r="S20" i="37"/>
  <c r="S21" i="37"/>
  <c r="S22" i="37"/>
  <c r="S23" i="37"/>
  <c r="S24" i="37"/>
  <c r="S25" i="37"/>
  <c r="S26" i="37"/>
  <c r="S27" i="37"/>
  <c r="S28" i="37"/>
  <c r="S29" i="37"/>
  <c r="S30" i="37"/>
  <c r="S31"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60" i="37"/>
  <c r="S61" i="37"/>
  <c r="S62" i="37"/>
  <c r="S63" i="37"/>
  <c r="S64" i="37"/>
  <c r="S65" i="37"/>
  <c r="S66" i="37"/>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116" i="37"/>
  <c r="S117" i="37"/>
  <c r="S118" i="37"/>
  <c r="S119" i="37"/>
  <c r="S120" i="37"/>
  <c r="S121" i="37"/>
  <c r="S122" i="37"/>
  <c r="S123" i="37"/>
  <c r="S124" i="37"/>
  <c r="S125" i="37"/>
  <c r="S126" i="37"/>
  <c r="S127" i="37"/>
  <c r="S128" i="37"/>
  <c r="S129" i="37"/>
  <c r="S130" i="37"/>
  <c r="S131" i="37"/>
  <c r="S132" i="37"/>
  <c r="S133" i="37"/>
  <c r="S134" i="37"/>
  <c r="S135" i="37"/>
  <c r="S136" i="37"/>
  <c r="S137" i="37"/>
  <c r="S138" i="37"/>
  <c r="S139" i="37"/>
  <c r="S140" i="37"/>
  <c r="S141" i="37"/>
  <c r="S142" i="37"/>
  <c r="S143" i="37"/>
  <c r="S144" i="37"/>
  <c r="S145" i="37"/>
  <c r="S146" i="37"/>
  <c r="S147" i="37"/>
  <c r="S148" i="37"/>
  <c r="S149" i="37"/>
  <c r="S150" i="37"/>
  <c r="S151" i="37"/>
  <c r="S152" i="37"/>
  <c r="S153" i="37"/>
  <c r="S154" i="37"/>
  <c r="S155" i="37"/>
  <c r="S156" i="37"/>
  <c r="S157" i="37"/>
  <c r="S158" i="37"/>
  <c r="S159" i="37"/>
  <c r="S160" i="37"/>
  <c r="S161" i="37"/>
  <c r="S162" i="37"/>
  <c r="S163" i="37"/>
  <c r="S164" i="37"/>
  <c r="S165" i="37"/>
  <c r="S166" i="37"/>
  <c r="S167" i="37"/>
  <c r="S168" i="37"/>
  <c r="S169" i="37"/>
  <c r="S170" i="37"/>
  <c r="S171" i="37"/>
  <c r="S172" i="37"/>
  <c r="S173" i="37"/>
  <c r="S174" i="37"/>
  <c r="S175" i="37"/>
  <c r="S176" i="37"/>
  <c r="S177" i="37"/>
  <c r="S178" i="37"/>
  <c r="S179" i="37"/>
  <c r="S180" i="37"/>
  <c r="S181" i="37"/>
  <c r="S182" i="37"/>
  <c r="S183" i="37"/>
  <c r="S184" i="37"/>
  <c r="S185" i="37"/>
  <c r="S186" i="37"/>
  <c r="S187" i="37"/>
  <c r="S188" i="37"/>
  <c r="S189" i="37"/>
  <c r="S190" i="37"/>
  <c r="S191" i="37"/>
  <c r="S192" i="37"/>
  <c r="S193" i="37"/>
  <c r="S194" i="37"/>
  <c r="S195" i="37"/>
  <c r="S196" i="37"/>
  <c r="S197" i="37"/>
  <c r="S198" i="37"/>
  <c r="S199" i="37"/>
  <c r="S200" i="37"/>
  <c r="S201" i="37"/>
  <c r="S202" i="37"/>
  <c r="S203" i="37"/>
  <c r="S204" i="37"/>
  <c r="S205" i="37"/>
  <c r="S206" i="37"/>
  <c r="S207" i="37"/>
  <c r="S208" i="37"/>
  <c r="S209" i="37"/>
  <c r="S210" i="37"/>
  <c r="S211" i="37"/>
  <c r="S212" i="37"/>
  <c r="S213" i="37"/>
  <c r="S214" i="37"/>
  <c r="S215" i="37"/>
  <c r="S216" i="37"/>
  <c r="S217" i="37"/>
  <c r="S218" i="37"/>
  <c r="S219" i="37"/>
  <c r="S220" i="37"/>
  <c r="S221" i="37"/>
  <c r="S222" i="37"/>
  <c r="S223" i="37"/>
  <c r="S224" i="37"/>
  <c r="S225" i="37"/>
  <c r="S226" i="37"/>
  <c r="S227" i="37"/>
  <c r="S228" i="37"/>
  <c r="S229" i="37"/>
  <c r="S230" i="37"/>
  <c r="S231" i="37"/>
  <c r="S232" i="37"/>
  <c r="S233" i="37"/>
  <c r="S234" i="37"/>
  <c r="S235" i="37"/>
  <c r="S236" i="37"/>
  <c r="S237" i="37"/>
  <c r="S238" i="37"/>
  <c r="S239" i="37"/>
  <c r="S240" i="37"/>
  <c r="S241" i="37"/>
  <c r="S242" i="37"/>
  <c r="S243" i="37"/>
  <c r="S244" i="37"/>
  <c r="S245" i="37"/>
  <c r="S246" i="37"/>
  <c r="S247" i="37"/>
  <c r="S248" i="37"/>
  <c r="S249" i="37"/>
  <c r="S250" i="37"/>
  <c r="S251" i="37"/>
  <c r="S252" i="37"/>
  <c r="S253" i="37"/>
  <c r="S254" i="37"/>
  <c r="S255" i="37"/>
  <c r="S256" i="37"/>
  <c r="S257" i="37"/>
  <c r="S258" i="37"/>
  <c r="S259" i="37"/>
  <c r="S260" i="37"/>
  <c r="S261" i="37"/>
  <c r="S262" i="37"/>
  <c r="S263" i="37"/>
  <c r="S264" i="37"/>
  <c r="S265" i="37"/>
  <c r="S266" i="37"/>
  <c r="S267" i="37"/>
  <c r="S268" i="37"/>
  <c r="S269" i="37"/>
  <c r="S270" i="37"/>
  <c r="S271" i="37"/>
  <c r="S272" i="37"/>
  <c r="S273" i="37"/>
  <c r="S274" i="37"/>
  <c r="S275" i="37"/>
  <c r="S276" i="37"/>
  <c r="S277" i="37"/>
  <c r="S278" i="37"/>
  <c r="S279" i="37"/>
  <c r="S280" i="37"/>
  <c r="S281" i="37"/>
  <c r="S282" i="37"/>
  <c r="S283" i="37"/>
  <c r="S284" i="37"/>
  <c r="S285" i="37"/>
  <c r="S286" i="37"/>
  <c r="S287" i="37"/>
  <c r="S288" i="37"/>
  <c r="S289" i="37"/>
  <c r="S290" i="37"/>
  <c r="S291" i="37"/>
  <c r="S292" i="37"/>
  <c r="S293" i="37"/>
  <c r="S294" i="37"/>
  <c r="S295" i="37"/>
  <c r="S296" i="37"/>
  <c r="S297" i="37"/>
  <c r="S298" i="37"/>
  <c r="S299" i="37"/>
  <c r="S300" i="37"/>
  <c r="S301" i="37"/>
  <c r="S302" i="37"/>
  <c r="S303" i="37"/>
  <c r="S304" i="37"/>
  <c r="S305" i="37"/>
  <c r="S306" i="37"/>
  <c r="S307" i="37"/>
  <c r="S308" i="37"/>
  <c r="S309" i="37"/>
  <c r="S310" i="37"/>
  <c r="S311" i="37"/>
  <c r="S312" i="37"/>
  <c r="S313" i="37"/>
  <c r="S314" i="37"/>
  <c r="S315" i="37"/>
  <c r="S316" i="37"/>
  <c r="S317" i="37"/>
  <c r="S318" i="37"/>
  <c r="S319" i="37"/>
  <c r="S320" i="37"/>
  <c r="S321" i="37"/>
  <c r="S322" i="37"/>
  <c r="S323" i="37"/>
  <c r="S324" i="37"/>
  <c r="S325" i="37"/>
  <c r="S326" i="37"/>
  <c r="S327" i="37"/>
  <c r="S328" i="37"/>
  <c r="S329" i="37"/>
  <c r="S330" i="37"/>
  <c r="S331" i="37"/>
  <c r="S332" i="37"/>
  <c r="S333" i="37"/>
  <c r="S334" i="37"/>
  <c r="S335" i="37"/>
  <c r="S336" i="37"/>
  <c r="S337" i="37"/>
  <c r="S338" i="37"/>
  <c r="S339" i="37"/>
  <c r="S340" i="37"/>
  <c r="S341" i="37"/>
  <c r="S342" i="37"/>
  <c r="S343" i="37"/>
  <c r="S344" i="37"/>
  <c r="S345" i="37"/>
  <c r="S346" i="37"/>
  <c r="S347" i="37"/>
  <c r="S348" i="37"/>
  <c r="S349" i="37"/>
  <c r="S350" i="37"/>
  <c r="S351" i="37"/>
  <c r="S352" i="37"/>
  <c r="S353" i="37"/>
  <c r="S354" i="37"/>
  <c r="S355" i="37"/>
  <c r="S356" i="37"/>
  <c r="S357" i="37"/>
  <c r="S358" i="37"/>
  <c r="S359" i="37"/>
  <c r="S360" i="37"/>
  <c r="S361" i="37"/>
  <c r="S362" i="37"/>
  <c r="S363" i="37"/>
  <c r="S364" i="37"/>
  <c r="S365" i="37"/>
  <c r="S366" i="37"/>
  <c r="S367" i="37"/>
  <c r="S368" i="37"/>
  <c r="S369" i="37"/>
  <c r="S370" i="37"/>
  <c r="S371" i="37"/>
  <c r="S372" i="37"/>
  <c r="S373" i="37"/>
  <c r="S374" i="37"/>
  <c r="S375" i="37"/>
  <c r="S376" i="37"/>
  <c r="S377" i="37"/>
  <c r="S378" i="37"/>
  <c r="S379" i="37"/>
  <c r="S380" i="37"/>
  <c r="S381" i="37"/>
  <c r="S382" i="37"/>
  <c r="S383" i="37"/>
  <c r="S384" i="37"/>
  <c r="S385" i="37"/>
  <c r="S386" i="37"/>
  <c r="S387" i="37"/>
  <c r="S388" i="37"/>
  <c r="S389" i="37"/>
  <c r="S390" i="37"/>
  <c r="S391" i="37"/>
  <c r="S392" i="37"/>
  <c r="S393" i="37"/>
  <c r="S394" i="37"/>
  <c r="S395" i="37"/>
  <c r="S396" i="37"/>
  <c r="S397" i="37"/>
  <c r="S398" i="37"/>
  <c r="S399" i="37"/>
  <c r="S400" i="37"/>
  <c r="S401" i="37"/>
  <c r="S402" i="37"/>
  <c r="S403" i="37"/>
  <c r="S404" i="37"/>
  <c r="S405" i="37"/>
  <c r="S406" i="37"/>
  <c r="S407" i="37"/>
  <c r="S408" i="37"/>
  <c r="S409" i="37"/>
  <c r="S410" i="37"/>
  <c r="S411" i="37"/>
  <c r="S412" i="37"/>
  <c r="S413" i="37"/>
  <c r="S414" i="37"/>
  <c r="S415" i="37"/>
  <c r="S416" i="37"/>
  <c r="S417" i="37"/>
  <c r="S418" i="37"/>
  <c r="S419" i="37"/>
  <c r="S420" i="37"/>
  <c r="S421" i="37"/>
  <c r="S422" i="37"/>
  <c r="S423" i="37"/>
  <c r="S424" i="37"/>
  <c r="S425" i="37"/>
  <c r="S426" i="37"/>
  <c r="S427" i="37"/>
  <c r="S428" i="37"/>
  <c r="S429" i="37"/>
  <c r="S430" i="37"/>
  <c r="S431" i="37"/>
  <c r="S432" i="37"/>
  <c r="S433" i="37"/>
  <c r="S434" i="37"/>
  <c r="S435" i="37"/>
  <c r="S436" i="37"/>
  <c r="S437" i="37"/>
  <c r="S438" i="37"/>
  <c r="S439" i="37"/>
  <c r="S440" i="37"/>
  <c r="S441" i="37"/>
  <c r="S442" i="37"/>
  <c r="S443" i="37"/>
  <c r="S444" i="37"/>
  <c r="S445" i="37"/>
  <c r="S446" i="37"/>
  <c r="S447" i="37"/>
  <c r="S448" i="37"/>
  <c r="S449" i="37"/>
  <c r="S450" i="37"/>
  <c r="S451" i="37"/>
  <c r="S452" i="37"/>
  <c r="S453" i="37"/>
  <c r="S454" i="37"/>
  <c r="S455" i="37"/>
  <c r="S456" i="37"/>
  <c r="S457" i="37"/>
  <c r="S458" i="37"/>
  <c r="S459" i="37"/>
  <c r="S460" i="37"/>
  <c r="S461" i="37"/>
  <c r="S462" i="37"/>
  <c r="S463" i="37"/>
  <c r="S464" i="37"/>
  <c r="S465" i="37"/>
  <c r="S466" i="37"/>
  <c r="S467" i="37"/>
  <c r="S468" i="37"/>
  <c r="S469" i="37"/>
  <c r="S470" i="37"/>
  <c r="S471" i="37"/>
  <c r="S472" i="37"/>
  <c r="S473" i="37"/>
  <c r="S474" i="37"/>
  <c r="S475" i="37"/>
  <c r="S476" i="37"/>
  <c r="S477" i="37"/>
  <c r="S478" i="37"/>
  <c r="S479" i="37"/>
  <c r="S480" i="37"/>
  <c r="S481" i="37"/>
  <c r="S482" i="37"/>
  <c r="S483" i="37"/>
  <c r="S484" i="37"/>
  <c r="S485" i="37"/>
  <c r="S486" i="37"/>
  <c r="S487" i="37"/>
  <c r="S488" i="37"/>
  <c r="S489" i="37"/>
  <c r="S490" i="37"/>
  <c r="S491" i="37"/>
  <c r="S492" i="37"/>
  <c r="S493" i="37"/>
  <c r="S494" i="37"/>
  <c r="S495" i="37"/>
  <c r="S496" i="37"/>
  <c r="S497" i="37"/>
  <c r="S498" i="37"/>
  <c r="S499" i="37"/>
  <c r="S500" i="37"/>
  <c r="S501" i="37"/>
  <c r="S502" i="37"/>
  <c r="S503" i="37"/>
  <c r="S504" i="37"/>
  <c r="S505" i="37"/>
  <c r="S506" i="37"/>
  <c r="S507" i="37"/>
  <c r="S508" i="37"/>
  <c r="S509" i="37"/>
  <c r="S510" i="37"/>
  <c r="S511" i="37"/>
  <c r="S512" i="37"/>
  <c r="S513" i="37"/>
  <c r="S514" i="37"/>
  <c r="S515" i="37"/>
  <c r="S516" i="37"/>
  <c r="S517" i="37"/>
  <c r="S518" i="37"/>
  <c r="S519" i="37"/>
  <c r="S520" i="37"/>
  <c r="S521" i="37"/>
  <c r="S522" i="37"/>
  <c r="S523" i="37"/>
  <c r="S524" i="37"/>
  <c r="S525" i="37"/>
  <c r="S526" i="37"/>
  <c r="S527" i="37"/>
  <c r="S528" i="37"/>
  <c r="S529" i="37"/>
  <c r="S530" i="37"/>
  <c r="S531" i="37"/>
  <c r="S532" i="37"/>
  <c r="S533" i="37"/>
  <c r="S534" i="37"/>
  <c r="S535" i="37"/>
  <c r="S536" i="37"/>
  <c r="S537" i="37"/>
  <c r="S538" i="37"/>
  <c r="S539" i="37"/>
  <c r="S540" i="37"/>
  <c r="S541" i="37"/>
  <c r="S542" i="37"/>
  <c r="S543" i="37"/>
  <c r="S544" i="37"/>
  <c r="S545" i="37"/>
  <c r="S546" i="37"/>
  <c r="S547" i="37"/>
  <c r="S548" i="37"/>
  <c r="S549" i="37"/>
  <c r="S550" i="37"/>
  <c r="S551" i="37"/>
  <c r="S552" i="37"/>
  <c r="S553" i="37"/>
  <c r="S554" i="37"/>
  <c r="S555" i="37"/>
  <c r="S556" i="37"/>
  <c r="S557" i="37"/>
  <c r="S558" i="37"/>
  <c r="S559" i="37"/>
  <c r="S560" i="37"/>
  <c r="S561" i="37"/>
  <c r="S562" i="37"/>
  <c r="S563" i="37"/>
  <c r="S564" i="37"/>
  <c r="S565" i="37"/>
  <c r="S566" i="37"/>
  <c r="S567" i="37"/>
  <c r="S568" i="37"/>
  <c r="S569" i="37"/>
  <c r="S570" i="37"/>
  <c r="S571" i="37"/>
  <c r="S572" i="37"/>
  <c r="S573" i="37"/>
  <c r="S574" i="37"/>
  <c r="S575" i="37"/>
  <c r="S576" i="37"/>
  <c r="S577" i="37"/>
  <c r="S578" i="37"/>
  <c r="S579" i="37"/>
  <c r="S580" i="37"/>
  <c r="S581" i="37"/>
  <c r="S582" i="37"/>
  <c r="S583" i="37"/>
  <c r="S584" i="37"/>
  <c r="S585" i="37"/>
  <c r="S586" i="37"/>
  <c r="S587" i="37"/>
  <c r="S588" i="37"/>
  <c r="S589" i="37"/>
  <c r="S590" i="37"/>
  <c r="S591" i="37"/>
  <c r="S592" i="37"/>
  <c r="S593" i="37"/>
  <c r="S594" i="37"/>
  <c r="S595" i="37"/>
  <c r="S596" i="37"/>
  <c r="S597" i="37"/>
  <c r="S598" i="37"/>
  <c r="S599" i="37"/>
  <c r="S600" i="37"/>
  <c r="S601" i="37"/>
  <c r="S602" i="37"/>
  <c r="S603" i="37"/>
  <c r="S604" i="37"/>
  <c r="S605" i="37"/>
  <c r="S606" i="37"/>
  <c r="S607" i="37"/>
  <c r="S608" i="37"/>
  <c r="S609" i="37"/>
  <c r="S610" i="37"/>
  <c r="S611" i="37"/>
  <c r="S612" i="37"/>
  <c r="S613" i="37"/>
  <c r="S614" i="37"/>
  <c r="S615" i="37"/>
  <c r="S616" i="37"/>
  <c r="S617" i="37"/>
  <c r="S618" i="37"/>
  <c r="S619" i="37"/>
  <c r="S620" i="37"/>
  <c r="S621" i="37"/>
  <c r="S622" i="37"/>
  <c r="S623" i="37"/>
  <c r="S624" i="37"/>
  <c r="S625" i="37"/>
  <c r="S626" i="37"/>
  <c r="S627" i="37"/>
  <c r="S628" i="37"/>
  <c r="S629" i="37"/>
  <c r="S630" i="37"/>
  <c r="S631" i="37"/>
  <c r="S632" i="37"/>
  <c r="S633" i="37"/>
  <c r="S634" i="37"/>
  <c r="S635" i="37"/>
  <c r="S636" i="37"/>
  <c r="S637" i="37"/>
  <c r="S638" i="37"/>
  <c r="S639" i="37"/>
  <c r="S640" i="37"/>
  <c r="S641" i="37"/>
  <c r="S642" i="37"/>
  <c r="S643" i="37"/>
  <c r="S644" i="37"/>
  <c r="S645" i="37"/>
  <c r="S646" i="37"/>
  <c r="S647" i="37"/>
  <c r="S648" i="37"/>
  <c r="S649" i="37"/>
  <c r="S650" i="37"/>
  <c r="S651" i="37"/>
  <c r="S652" i="37"/>
  <c r="S653" i="37"/>
  <c r="S654" i="37"/>
  <c r="S655" i="37"/>
  <c r="S656" i="37"/>
  <c r="S657" i="37"/>
  <c r="S658" i="37"/>
  <c r="S659" i="37"/>
  <c r="S660" i="37"/>
  <c r="S661" i="37"/>
  <c r="S662" i="37"/>
  <c r="S663" i="37"/>
  <c r="S664" i="37"/>
  <c r="S665" i="37"/>
  <c r="S666" i="37"/>
  <c r="S667" i="37"/>
  <c r="S668" i="37"/>
  <c r="S669" i="37"/>
  <c r="S670" i="37"/>
  <c r="S671" i="37"/>
  <c r="S672" i="37"/>
  <c r="S673" i="37"/>
  <c r="S674" i="37"/>
  <c r="S675" i="37"/>
  <c r="S676" i="37"/>
  <c r="S677" i="37"/>
  <c r="S678" i="37"/>
  <c r="S679" i="37"/>
  <c r="S680" i="37"/>
  <c r="S681" i="37"/>
  <c r="S682" i="37"/>
  <c r="S683" i="37"/>
  <c r="S684" i="37"/>
  <c r="S685" i="37"/>
  <c r="S686" i="37"/>
  <c r="S687" i="37"/>
  <c r="S688" i="37"/>
  <c r="S689" i="37"/>
  <c r="S690" i="37"/>
  <c r="S691" i="37"/>
  <c r="S692" i="37"/>
  <c r="S693" i="37"/>
  <c r="S694" i="37"/>
  <c r="S695" i="37"/>
  <c r="S696" i="37"/>
  <c r="S697" i="37"/>
  <c r="S698" i="37"/>
  <c r="S699" i="37"/>
  <c r="S700" i="37"/>
  <c r="S701" i="37"/>
  <c r="S702" i="37"/>
  <c r="S703" i="37"/>
  <c r="S704" i="37"/>
  <c r="S705" i="37"/>
  <c r="S706" i="37"/>
  <c r="S707" i="37"/>
  <c r="S708" i="37"/>
  <c r="S709" i="37"/>
  <c r="S710" i="37"/>
  <c r="S711" i="37"/>
  <c r="S712" i="37"/>
  <c r="S713" i="37"/>
  <c r="S714" i="37"/>
  <c r="S715" i="37"/>
  <c r="S716" i="37"/>
  <c r="S717" i="37"/>
  <c r="S718" i="37"/>
  <c r="S719" i="37"/>
  <c r="S720" i="37"/>
  <c r="S721" i="37"/>
  <c r="S722" i="37"/>
  <c r="S723" i="37"/>
  <c r="S724" i="37"/>
  <c r="S725" i="37"/>
  <c r="S726" i="37"/>
  <c r="S727" i="37"/>
  <c r="S728" i="37"/>
  <c r="S729" i="37"/>
  <c r="S730" i="37"/>
  <c r="S731" i="37"/>
  <c r="S732" i="37"/>
  <c r="S733" i="37"/>
  <c r="S734" i="37"/>
  <c r="S735" i="37"/>
  <c r="S736" i="37"/>
  <c r="S737" i="37"/>
  <c r="S738" i="37"/>
  <c r="S739" i="37"/>
  <c r="S740" i="37"/>
  <c r="S741" i="37"/>
  <c r="S742" i="37"/>
  <c r="S743" i="37"/>
  <c r="S744" i="37"/>
  <c r="S745" i="37"/>
  <c r="S746" i="37"/>
  <c r="S747" i="37"/>
  <c r="S748" i="37"/>
  <c r="S749" i="37"/>
  <c r="S750" i="37"/>
  <c r="S751" i="37"/>
  <c r="S752" i="37"/>
  <c r="S753" i="37"/>
  <c r="S754" i="37"/>
  <c r="S755" i="37"/>
  <c r="S756" i="37"/>
  <c r="S757" i="37"/>
  <c r="S758" i="37"/>
  <c r="S759" i="37"/>
  <c r="S760" i="37"/>
  <c r="S761" i="37"/>
  <c r="S762" i="37"/>
  <c r="S763" i="37"/>
  <c r="S764" i="37"/>
  <c r="S765" i="37"/>
  <c r="S766" i="37"/>
  <c r="S767" i="37"/>
  <c r="S768" i="37"/>
  <c r="S769" i="37"/>
  <c r="S770" i="37"/>
  <c r="S771" i="37"/>
  <c r="S772" i="37"/>
  <c r="S773" i="37"/>
  <c r="S774" i="37"/>
  <c r="S775" i="37"/>
  <c r="S776" i="37"/>
  <c r="S777" i="37"/>
  <c r="S778" i="37"/>
  <c r="S779" i="37"/>
  <c r="S780" i="37"/>
  <c r="S781" i="37"/>
  <c r="S782" i="37"/>
  <c r="S783" i="37"/>
  <c r="S784" i="37"/>
  <c r="S785" i="37"/>
  <c r="S786" i="37"/>
  <c r="S787" i="37"/>
  <c r="S788" i="37"/>
  <c r="S789" i="37"/>
  <c r="S790" i="37"/>
  <c r="S791" i="37"/>
  <c r="S792" i="37"/>
  <c r="S793" i="37"/>
  <c r="S794" i="37"/>
  <c r="S795" i="37"/>
  <c r="S796" i="37"/>
  <c r="S797" i="37"/>
  <c r="S798" i="37"/>
  <c r="S799" i="37"/>
  <c r="S800" i="37"/>
  <c r="S801" i="37"/>
  <c r="S802" i="37"/>
  <c r="S803" i="37"/>
  <c r="S804" i="37"/>
  <c r="S805" i="37"/>
  <c r="S806" i="37"/>
  <c r="S807" i="37"/>
  <c r="S808" i="37"/>
  <c r="S809" i="37"/>
  <c r="S810" i="37"/>
  <c r="S811" i="37"/>
  <c r="S812" i="37"/>
  <c r="S813" i="37"/>
  <c r="S814" i="37"/>
  <c r="S815" i="37"/>
  <c r="S816" i="37"/>
  <c r="S817" i="37"/>
  <c r="S818" i="37"/>
  <c r="S819" i="37"/>
  <c r="S820" i="37"/>
  <c r="S821" i="37"/>
  <c r="S822" i="37"/>
  <c r="S823" i="37"/>
  <c r="S824" i="37"/>
  <c r="S825" i="37"/>
  <c r="S826" i="37"/>
  <c r="S827" i="37"/>
  <c r="S828" i="37"/>
  <c r="S829" i="37"/>
  <c r="S830" i="37"/>
  <c r="S831" i="37"/>
  <c r="S832" i="37"/>
  <c r="S833" i="37"/>
  <c r="S834" i="37"/>
  <c r="S835" i="37"/>
  <c r="S836" i="37"/>
  <c r="S837" i="37"/>
  <c r="S838" i="37"/>
  <c r="S839" i="37"/>
  <c r="S840" i="37"/>
  <c r="S841" i="37"/>
  <c r="S842" i="37"/>
  <c r="S843" i="37"/>
  <c r="S844" i="37"/>
  <c r="S845" i="37"/>
  <c r="S846" i="37"/>
  <c r="S847" i="37"/>
  <c r="S848" i="37"/>
  <c r="S849" i="37"/>
  <c r="S850" i="37"/>
  <c r="S851" i="37"/>
  <c r="S852" i="37"/>
  <c r="S853" i="37"/>
  <c r="S854" i="37"/>
  <c r="S855" i="37"/>
  <c r="S856" i="37"/>
  <c r="S857" i="37"/>
  <c r="S858" i="37"/>
  <c r="S859" i="37"/>
  <c r="S860" i="37"/>
  <c r="S861" i="37"/>
  <c r="S862" i="37"/>
  <c r="S863" i="37"/>
  <c r="S864" i="37"/>
  <c r="S865" i="37"/>
  <c r="S866" i="37"/>
  <c r="S867" i="37"/>
  <c r="S868" i="37"/>
  <c r="S869" i="37"/>
  <c r="S870" i="37"/>
  <c r="S871" i="37"/>
  <c r="S872" i="37"/>
  <c r="S873" i="37"/>
  <c r="S874" i="37"/>
  <c r="S875" i="37"/>
  <c r="S876" i="37"/>
  <c r="S877" i="37"/>
  <c r="S878" i="37"/>
  <c r="S879" i="37"/>
  <c r="S880" i="37"/>
  <c r="S881" i="37"/>
  <c r="S882" i="37"/>
  <c r="S883" i="37"/>
  <c r="S884" i="37"/>
  <c r="S885" i="37"/>
  <c r="S886" i="37"/>
  <c r="S887" i="37"/>
  <c r="S888" i="37"/>
  <c r="S889" i="37"/>
  <c r="S890" i="37"/>
  <c r="S891" i="37"/>
  <c r="S892" i="37"/>
  <c r="S893" i="37"/>
  <c r="S894" i="37"/>
  <c r="S895" i="37"/>
  <c r="S896" i="37"/>
  <c r="S897" i="37"/>
  <c r="S898" i="37"/>
  <c r="S899" i="37"/>
  <c r="S900" i="37"/>
  <c r="S901" i="37"/>
  <c r="S902" i="37"/>
  <c r="S903" i="37"/>
  <c r="S904" i="37"/>
  <c r="S905" i="37"/>
  <c r="S906" i="37"/>
  <c r="S907" i="37"/>
  <c r="S908" i="37"/>
  <c r="S909" i="37"/>
  <c r="S910" i="37"/>
  <c r="S911" i="37"/>
  <c r="S912" i="37"/>
  <c r="S913" i="37"/>
  <c r="S914" i="37"/>
  <c r="S915" i="37"/>
  <c r="S916" i="37"/>
  <c r="S917" i="37"/>
  <c r="S918" i="37"/>
  <c r="S919" i="37"/>
  <c r="S920" i="37"/>
  <c r="S921" i="37"/>
  <c r="S922" i="37"/>
  <c r="S923" i="37"/>
  <c r="S924" i="37"/>
  <c r="S925" i="37"/>
  <c r="S926" i="37"/>
  <c r="S927" i="37"/>
  <c r="S928" i="37"/>
  <c r="S929" i="37"/>
  <c r="S930" i="37"/>
  <c r="S931" i="37"/>
  <c r="S932" i="37"/>
  <c r="S933" i="37"/>
  <c r="S934" i="37"/>
  <c r="S935" i="37"/>
  <c r="S936" i="37"/>
  <c r="S937" i="37"/>
  <c r="S938" i="37"/>
  <c r="S939" i="37"/>
  <c r="S940" i="37"/>
  <c r="S941" i="37"/>
  <c r="S942" i="37"/>
  <c r="S943" i="37"/>
  <c r="S944" i="37"/>
  <c r="S945" i="37"/>
  <c r="S946" i="37"/>
  <c r="S947" i="37"/>
  <c r="S948" i="37"/>
  <c r="S949" i="37"/>
  <c r="S950" i="37"/>
  <c r="S951" i="37"/>
  <c r="S952" i="37"/>
  <c r="S953" i="37"/>
  <c r="S954" i="37"/>
  <c r="S955" i="37"/>
  <c r="S956" i="37"/>
  <c r="S957" i="37"/>
  <c r="S958" i="37"/>
  <c r="S959" i="37"/>
  <c r="S960" i="37"/>
  <c r="S961" i="37"/>
  <c r="S962" i="37"/>
  <c r="S963" i="37"/>
  <c r="S964" i="37"/>
  <c r="S965" i="37"/>
  <c r="S966" i="37"/>
  <c r="S967" i="37"/>
  <c r="S968" i="37"/>
  <c r="S969" i="37"/>
  <c r="S970" i="37"/>
  <c r="S971" i="37"/>
  <c r="S972" i="37"/>
  <c r="S973" i="37"/>
  <c r="S974" i="37"/>
  <c r="S975" i="37"/>
  <c r="S976" i="37"/>
  <c r="S977" i="37"/>
  <c r="S978" i="37"/>
  <c r="S979" i="37"/>
  <c r="S980" i="37"/>
  <c r="S981" i="37"/>
  <c r="S982" i="37"/>
  <c r="S983" i="37"/>
  <c r="S984" i="37"/>
  <c r="S985" i="37"/>
  <c r="S986" i="37"/>
  <c r="S987" i="37"/>
  <c r="S988" i="37"/>
  <c r="S989" i="37"/>
  <c r="S990" i="37"/>
  <c r="S991" i="37"/>
  <c r="S992" i="37"/>
  <c r="S993" i="37"/>
  <c r="S994" i="37"/>
  <c r="S995" i="37"/>
  <c r="S996" i="37"/>
  <c r="S997" i="37"/>
  <c r="S998" i="37"/>
  <c r="S999" i="37"/>
  <c r="S1000" i="37"/>
  <c r="S1001" i="37"/>
  <c r="S1002" i="37"/>
  <c r="S1003" i="37"/>
  <c r="S1004" i="37"/>
  <c r="S1005" i="37"/>
  <c r="S1006" i="37"/>
  <c r="S1007" i="37"/>
  <c r="S1008" i="37"/>
  <c r="S1009" i="37"/>
  <c r="S1010" i="37"/>
  <c r="S1011" i="37"/>
  <c r="S1012" i="37"/>
  <c r="S1013" i="37"/>
  <c r="S1014" i="37"/>
  <c r="S1015" i="37"/>
  <c r="S1016" i="37"/>
  <c r="S1017" i="37"/>
  <c r="S1018" i="37"/>
  <c r="S1019" i="37"/>
  <c r="S1020" i="37"/>
  <c r="S1021" i="37"/>
  <c r="S1022" i="37"/>
  <c r="S1023" i="37"/>
  <c r="S1024" i="37"/>
  <c r="S1025" i="37"/>
  <c r="S1026" i="37"/>
  <c r="S1027" i="37"/>
  <c r="S1028" i="37"/>
  <c r="S1029" i="37"/>
  <c r="S1030" i="37"/>
  <c r="S1031" i="37"/>
  <c r="S1032" i="37"/>
  <c r="S1033" i="37"/>
  <c r="S1034" i="37"/>
  <c r="S1035" i="37"/>
  <c r="S1036" i="37"/>
  <c r="S1037" i="37"/>
  <c r="S1038" i="37"/>
  <c r="S1039" i="37"/>
  <c r="S1040" i="37"/>
  <c r="S1041" i="37"/>
  <c r="S1042" i="37"/>
  <c r="S1043" i="37"/>
  <c r="S1044" i="37"/>
  <c r="S1045" i="37"/>
  <c r="S1046" i="37"/>
  <c r="S1047" i="37"/>
  <c r="S1048" i="37"/>
  <c r="S1049" i="37"/>
  <c r="S1050" i="37"/>
  <c r="S1051" i="37"/>
  <c r="S1052" i="37"/>
  <c r="S1053" i="37"/>
  <c r="S1054" i="37"/>
  <c r="S1055" i="37"/>
  <c r="S1056" i="37"/>
  <c r="S1057" i="37"/>
  <c r="S1058" i="37"/>
  <c r="S1059" i="37"/>
  <c r="S1060" i="37"/>
  <c r="S1061" i="37"/>
  <c r="S1062" i="37"/>
  <c r="S1063" i="37"/>
  <c r="S1064" i="37"/>
  <c r="S1065" i="37"/>
  <c r="S1066" i="37"/>
  <c r="S1067" i="37"/>
  <c r="S1068" i="37"/>
  <c r="S1069" i="37"/>
  <c r="S1070" i="37"/>
  <c r="S1071" i="37"/>
  <c r="S1072" i="37"/>
  <c r="S1073" i="37"/>
  <c r="S1074" i="37"/>
  <c r="S1075" i="37"/>
  <c r="S1076" i="37"/>
  <c r="S1077" i="37"/>
  <c r="S1078" i="37"/>
  <c r="S1079" i="37"/>
  <c r="S1080" i="37"/>
  <c r="S1081" i="37"/>
  <c r="S1082" i="37"/>
  <c r="S1083" i="37"/>
  <c r="S1084" i="37"/>
  <c r="S1085" i="37"/>
  <c r="S1086" i="37"/>
  <c r="S1087" i="37"/>
  <c r="S1088" i="37"/>
  <c r="S1089" i="37"/>
  <c r="S1090" i="37"/>
  <c r="S1091" i="37"/>
  <c r="S1092" i="37"/>
  <c r="S1093" i="37"/>
  <c r="S1094" i="37"/>
  <c r="S1095" i="37"/>
  <c r="S1096" i="37"/>
  <c r="S1097" i="37"/>
  <c r="S1098" i="37"/>
  <c r="S1099" i="37"/>
  <c r="S1100" i="37"/>
  <c r="S1101" i="37"/>
  <c r="S1102" i="37"/>
  <c r="S1103" i="37"/>
  <c r="S1104" i="37"/>
  <c r="S1105" i="37"/>
  <c r="S1106" i="37"/>
  <c r="S1107" i="37"/>
  <c r="S1108" i="37"/>
  <c r="S1109" i="37"/>
  <c r="S1110" i="37"/>
  <c r="S1111" i="37"/>
  <c r="S1112" i="37"/>
  <c r="S1113" i="37"/>
  <c r="S1114" i="37"/>
  <c r="S1115" i="37"/>
  <c r="S1116" i="37"/>
  <c r="S1117" i="37"/>
  <c r="S1118" i="37"/>
  <c r="S1119" i="37"/>
  <c r="S1120" i="37"/>
  <c r="S1121" i="37"/>
  <c r="S1122" i="37"/>
  <c r="S1123" i="37"/>
  <c r="S1124" i="37"/>
  <c r="S1125" i="37"/>
  <c r="S1126" i="37"/>
  <c r="S1127" i="37"/>
  <c r="S1128" i="37"/>
  <c r="S1129" i="37"/>
  <c r="S1130" i="37"/>
  <c r="S1131" i="37"/>
  <c r="S1132" i="37"/>
  <c r="S1133" i="37"/>
  <c r="S1134" i="37"/>
  <c r="S1135" i="37"/>
  <c r="S1136" i="37"/>
  <c r="S1137" i="37"/>
  <c r="S1138" i="37"/>
  <c r="S1139" i="37"/>
  <c r="S1140" i="37"/>
  <c r="S1141" i="37"/>
  <c r="S1142" i="37"/>
  <c r="S1143" i="37"/>
  <c r="S1144" i="37"/>
  <c r="S1145" i="37"/>
  <c r="S1146" i="37"/>
  <c r="S1147" i="37"/>
  <c r="S1148" i="37"/>
  <c r="S1149" i="37"/>
  <c r="S1150" i="37"/>
  <c r="S1151" i="37"/>
  <c r="S1152" i="37"/>
  <c r="S1153" i="37"/>
  <c r="S1154" i="37"/>
  <c r="S1155" i="37"/>
  <c r="S1156" i="37"/>
  <c r="S1157" i="37"/>
  <c r="S1158" i="37"/>
  <c r="S1159" i="37"/>
  <c r="S1160" i="37"/>
  <c r="S1161" i="37"/>
  <c r="S1162" i="37"/>
  <c r="S1163" i="37"/>
  <c r="S1164" i="37"/>
  <c r="S1165" i="37"/>
  <c r="S1166" i="37"/>
  <c r="S1167" i="37"/>
  <c r="S1168" i="37"/>
  <c r="S1169" i="37"/>
  <c r="S1170" i="37"/>
  <c r="S1171" i="37"/>
  <c r="S1172" i="37"/>
  <c r="S1173" i="37"/>
  <c r="S1174" i="37"/>
  <c r="S1175" i="37"/>
  <c r="S1176" i="37"/>
  <c r="S1177" i="37"/>
  <c r="S1178" i="37"/>
  <c r="S1179" i="37"/>
  <c r="S1180" i="37"/>
  <c r="S1181" i="37"/>
  <c r="S1182" i="37"/>
  <c r="S1183" i="37"/>
  <c r="S1184" i="37"/>
  <c r="S1185" i="37"/>
  <c r="S1186" i="37"/>
  <c r="S1187" i="37"/>
  <c r="S1188" i="37"/>
  <c r="S1189" i="37"/>
  <c r="S1190" i="37"/>
  <c r="S1191" i="37"/>
  <c r="S1192" i="37"/>
  <c r="S1193" i="37"/>
  <c r="L103" i="78"/>
  <c r="L104" i="78"/>
  <c r="L105" i="78"/>
  <c r="L106" i="78"/>
  <c r="L107" i="78"/>
  <c r="L102" i="78"/>
  <c r="K103" i="78"/>
  <c r="K104" i="78"/>
  <c r="K105" i="78"/>
  <c r="K106" i="78"/>
  <c r="K107" i="78"/>
  <c r="J103" i="78"/>
  <c r="J104" i="78"/>
  <c r="J105" i="78"/>
  <c r="J106" i="78"/>
  <c r="J107" i="78"/>
  <c r="J102" i="78"/>
  <c r="I103" i="78"/>
  <c r="I104" i="78"/>
  <c r="I105" i="78"/>
  <c r="I106" i="78"/>
  <c r="I107" i="78"/>
  <c r="I102" i="78"/>
  <c r="I92" i="78"/>
  <c r="I93" i="78"/>
  <c r="I94" i="78"/>
  <c r="I95" i="78"/>
  <c r="I96" i="78"/>
  <c r="I91" i="78"/>
  <c r="L92" i="78"/>
  <c r="L93" i="78"/>
  <c r="L94" i="78"/>
  <c r="L95" i="78"/>
  <c r="L96" i="78"/>
  <c r="K92" i="78"/>
  <c r="K93" i="78"/>
  <c r="K94" i="78"/>
  <c r="K95" i="78"/>
  <c r="K96" i="78"/>
  <c r="L91" i="78"/>
  <c r="K91" i="78"/>
  <c r="J91" i="78"/>
  <c r="J92" i="78"/>
  <c r="J93" i="78"/>
  <c r="J94" i="78"/>
  <c r="J95" i="78"/>
  <c r="J96" i="78"/>
  <c r="E115" i="78"/>
  <c r="E116" i="78"/>
  <c r="E117" i="78"/>
  <c r="E118" i="78"/>
  <c r="E119" i="78"/>
  <c r="E114" i="78"/>
  <c r="D115" i="78"/>
  <c r="D116" i="78"/>
  <c r="D117" i="78"/>
  <c r="D118" i="78"/>
  <c r="D119" i="78"/>
  <c r="D114" i="78"/>
  <c r="C115" i="78"/>
  <c r="C116" i="78"/>
  <c r="C117" i="78"/>
  <c r="C118" i="78"/>
  <c r="C119" i="78"/>
  <c r="C114" i="78"/>
  <c r="C103" i="78"/>
  <c r="C104" i="78"/>
  <c r="C105" i="78"/>
  <c r="C106" i="78"/>
  <c r="C107" i="78"/>
  <c r="C102" i="78"/>
  <c r="DZ18" i="46"/>
  <c r="DZ17" i="46"/>
  <c r="C108" i="78" l="1"/>
  <c r="D120" i="78"/>
  <c r="L108" i="78"/>
  <c r="L97" i="78"/>
  <c r="J108" i="78"/>
  <c r="C97" i="78"/>
  <c r="I97" i="78"/>
  <c r="K97" i="78"/>
  <c r="I108" i="78"/>
  <c r="C120" i="78"/>
  <c r="J97" i="78"/>
  <c r="K108" i="78"/>
  <c r="E120" i="78"/>
  <c r="BD6" i="36" l="1"/>
  <c r="BD7" i="36"/>
  <c r="BD8" i="36"/>
  <c r="BD9" i="36"/>
  <c r="BD10" i="36"/>
  <c r="BD11" i="36"/>
  <c r="BD5" i="36"/>
  <c r="BE5" i="36"/>
  <c r="AO6" i="36"/>
  <c r="AO7" i="36"/>
  <c r="AO8" i="36"/>
  <c r="AO9" i="36"/>
  <c r="AO10" i="36"/>
  <c r="AO11" i="36"/>
  <c r="AO5" i="36"/>
  <c r="AW6" i="36"/>
  <c r="AW7" i="36"/>
  <c r="AW8" i="36"/>
  <c r="AW9" i="36"/>
  <c r="AW10" i="36"/>
  <c r="AW11" i="36"/>
  <c r="AW5" i="36"/>
  <c r="E40" i="36"/>
  <c r="EG18" i="46"/>
  <c r="DZ34" i="46"/>
  <c r="BD12" i="36" l="1"/>
  <c r="AO12" i="36"/>
  <c r="AW12" i="36"/>
  <c r="EG34" i="46"/>
  <c r="DZ7" i="46"/>
  <c r="EB9" i="46"/>
  <c r="EA21" i="46"/>
  <c r="DZ10" i="46"/>
  <c r="EA24" i="46"/>
  <c r="EA30" i="46"/>
  <c r="EA37" i="46"/>
  <c r="EA45" i="46"/>
  <c r="EB15" i="46"/>
  <c r="DZ36" i="46"/>
  <c r="DZ39" i="46"/>
  <c r="EB19" i="46"/>
  <c r="EB44" i="46"/>
  <c r="EA31" i="46"/>
  <c r="EA25" i="46"/>
  <c r="EB46" i="46"/>
  <c r="EB21" i="46"/>
  <c r="DZ33" i="46"/>
  <c r="EA46" i="46"/>
  <c r="DZ14" i="46"/>
  <c r="EA6" i="46"/>
  <c r="EA14" i="46"/>
  <c r="EA33" i="46"/>
  <c r="DZ15" i="46"/>
  <c r="EA47" i="46"/>
  <c r="EB13" i="46"/>
  <c r="DZ47" i="46"/>
  <c r="EB26" i="46"/>
  <c r="EB35" i="46"/>
  <c r="EA16" i="46"/>
  <c r="EA35" i="46"/>
  <c r="DZ43" i="46"/>
  <c r="EB39" i="46"/>
  <c r="EB25" i="46"/>
  <c r="EB24" i="46"/>
  <c r="EA4" i="46"/>
  <c r="EB48" i="46"/>
  <c r="EB27" i="46"/>
  <c r="EA15" i="46"/>
  <c r="DZ16" i="46"/>
  <c r="EB47" i="46"/>
  <c r="DZ25" i="46"/>
  <c r="EB41" i="46"/>
  <c r="EB33" i="46"/>
  <c r="EB4" i="46"/>
  <c r="DZ41" i="46"/>
  <c r="DZ29" i="46"/>
  <c r="EA13" i="46"/>
  <c r="EA34" i="46"/>
  <c r="EB7" i="46"/>
  <c r="EA27" i="46"/>
  <c r="EB5" i="46"/>
  <c r="EA22" i="46"/>
  <c r="DZ9" i="46"/>
  <c r="EB8" i="46"/>
  <c r="EA48" i="46"/>
  <c r="DZ37" i="46"/>
  <c r="EB10" i="46"/>
  <c r="EB16" i="46"/>
  <c r="EA20" i="46"/>
  <c r="EA41" i="46"/>
  <c r="EB18" i="46"/>
  <c r="EB34" i="46"/>
  <c r="DZ4" i="46"/>
  <c r="EA11" i="46"/>
  <c r="EA26" i="46"/>
  <c r="EA39" i="46"/>
  <c r="DZ49" i="46"/>
  <c r="DZ31" i="46"/>
  <c r="DZ46" i="46"/>
  <c r="EA28" i="46"/>
  <c r="EB20" i="46"/>
  <c r="EB30" i="46"/>
  <c r="DZ30" i="46"/>
  <c r="EB45" i="46"/>
  <c r="EA43" i="46"/>
  <c r="DZ5" i="46"/>
  <c r="EB17" i="46"/>
  <c r="DZ6" i="46"/>
  <c r="EA29" i="46"/>
  <c r="DZ27" i="46"/>
  <c r="DZ48" i="46"/>
  <c r="DZ28" i="46"/>
  <c r="EB40" i="46"/>
  <c r="EB31" i="46"/>
  <c r="EB29" i="46"/>
  <c r="EA18" i="46"/>
  <c r="DZ40" i="46"/>
  <c r="EA10" i="46"/>
  <c r="EA7" i="46"/>
  <c r="EA49" i="46"/>
  <c r="DZ8" i="46"/>
  <c r="DZ26" i="46"/>
  <c r="DZ35" i="46"/>
  <c r="EB6" i="46"/>
  <c r="DZ13" i="46"/>
  <c r="DZ20" i="46"/>
  <c r="EA17" i="46"/>
  <c r="DZ19" i="46"/>
  <c r="DZ22" i="46"/>
  <c r="EB49" i="46"/>
  <c r="DZ24" i="46"/>
  <c r="EB14" i="46"/>
  <c r="EB37" i="46"/>
  <c r="EA40" i="46"/>
  <c r="EA9" i="46"/>
  <c r="EA44" i="46"/>
  <c r="DZ11" i="46"/>
  <c r="DZ21" i="46"/>
  <c r="EA8" i="46"/>
  <c r="EA19" i="46"/>
  <c r="DZ44" i="46"/>
  <c r="EB11" i="46"/>
  <c r="EB36" i="46"/>
  <c r="EB28" i="46"/>
  <c r="EA36" i="46"/>
  <c r="EB43" i="46"/>
  <c r="DZ45" i="46"/>
  <c r="EB22" i="46"/>
  <c r="EG19" i="46" l="1"/>
  <c r="EG43" i="46"/>
  <c r="EH33" i="46"/>
  <c r="EI14" i="46"/>
  <c r="EG40" i="46"/>
  <c r="EG29" i="46"/>
  <c r="EI8" i="46"/>
  <c r="EH37" i="46"/>
  <c r="EG21" i="46"/>
  <c r="EI10" i="46"/>
  <c r="EG36" i="46"/>
  <c r="EH34" i="46"/>
  <c r="EG25" i="46"/>
  <c r="EI47" i="46"/>
  <c r="EG14" i="46"/>
  <c r="EG22" i="46"/>
  <c r="EH22" i="46"/>
  <c r="EH46" i="46"/>
  <c r="EH41" i="46"/>
  <c r="EG16" i="46"/>
  <c r="EH43" i="46"/>
  <c r="EI35" i="46"/>
  <c r="EG10" i="46"/>
  <c r="EI40" i="46"/>
  <c r="EH10" i="46"/>
  <c r="EH15" i="46"/>
  <c r="EH39" i="46"/>
  <c r="EG39" i="46"/>
  <c r="EH28" i="46"/>
  <c r="EG49" i="46"/>
  <c r="EI25" i="46"/>
  <c r="EI49" i="46"/>
  <c r="EI44" i="46"/>
  <c r="EH19" i="46"/>
  <c r="EI46" i="46"/>
  <c r="EG37" i="46"/>
  <c r="EH13" i="46"/>
  <c r="EH45" i="46"/>
  <c r="EG15" i="46"/>
  <c r="EI18" i="46"/>
  <c r="EG44" i="46"/>
  <c r="EG47" i="46"/>
  <c r="EI31" i="46"/>
  <c r="EG6" i="46"/>
  <c r="EI36" i="46"/>
  <c r="EG27" i="46"/>
  <c r="EG5" i="46"/>
  <c r="EG46" i="46"/>
  <c r="EI22" i="46"/>
  <c r="EG48" i="46"/>
  <c r="EH40" i="46"/>
  <c r="EI16" i="46"/>
  <c r="EI48" i="46"/>
  <c r="EH26" i="46"/>
  <c r="EG20" i="46"/>
  <c r="EH47" i="46"/>
  <c r="EH4" i="46"/>
  <c r="EG33" i="46"/>
  <c r="EG30" i="46"/>
  <c r="EH6" i="46"/>
  <c r="EH16" i="46"/>
  <c r="EH49" i="46"/>
  <c r="EG24" i="46"/>
  <c r="EG13" i="46"/>
  <c r="EI43" i="46"/>
  <c r="EH21" i="46"/>
  <c r="EI5" i="46"/>
  <c r="EI29" i="46"/>
  <c r="EI26" i="46"/>
  <c r="EH8" i="46"/>
  <c r="EI7" i="46"/>
  <c r="EH36" i="46"/>
  <c r="EI9" i="46"/>
  <c r="EH9" i="46"/>
  <c r="EI6" i="46"/>
  <c r="EH27" i="46"/>
  <c r="EI19" i="46"/>
  <c r="EG45" i="46"/>
  <c r="EI24" i="46"/>
  <c r="EI13" i="46"/>
  <c r="EI37" i="46"/>
  <c r="EG28" i="46"/>
  <c r="EG7" i="46"/>
  <c r="EG9" i="46"/>
  <c r="EI39" i="46"/>
  <c r="EH30" i="46"/>
  <c r="EI11" i="46"/>
  <c r="EG35" i="46"/>
  <c r="EI20" i="46"/>
  <c r="EG8" i="46"/>
  <c r="EI30" i="46"/>
  <c r="EH24" i="46"/>
  <c r="EH48" i="46"/>
  <c r="EG26" i="46"/>
  <c r="EI21" i="46"/>
  <c r="EG4" i="46"/>
  <c r="EH31" i="46"/>
  <c r="EH18" i="46"/>
  <c r="EI15" i="46"/>
  <c r="EG41" i="46"/>
  <c r="EH25" i="46"/>
  <c r="EI33" i="46"/>
  <c r="EG11" i="46"/>
  <c r="EI4" i="46"/>
  <c r="EH14" i="46"/>
  <c r="EI41" i="46"/>
  <c r="EI28" i="46"/>
  <c r="EH11" i="46"/>
  <c r="EH35" i="46"/>
  <c r="EI27" i="46"/>
  <c r="EH5" i="46"/>
  <c r="EH29" i="46"/>
  <c r="EI45" i="46"/>
  <c r="EH7" i="46"/>
  <c r="EI34" i="46"/>
  <c r="EG31" i="46"/>
  <c r="EH20" i="46"/>
  <c r="EH44" i="46"/>
  <c r="EH17" i="46"/>
  <c r="EG17" i="46"/>
  <c r="EI17" i="46"/>
  <c r="EB3" i="46"/>
  <c r="EC14" i="46"/>
  <c r="ED14" i="46" s="1"/>
  <c r="EC22" i="46"/>
  <c r="ED22" i="46" s="1"/>
  <c r="EC11" i="46"/>
  <c r="ED11" i="46" s="1"/>
  <c r="EC19" i="46"/>
  <c r="ED19" i="46" s="1"/>
  <c r="EC27" i="46"/>
  <c r="ED27" i="46" s="1"/>
  <c r="EB32" i="46"/>
  <c r="EC35" i="46"/>
  <c r="ED35" i="46" s="1"/>
  <c r="EC43" i="46"/>
  <c r="DZ42" i="46"/>
  <c r="EC5" i="46"/>
  <c r="ED5" i="46" s="1"/>
  <c r="EA32" i="46"/>
  <c r="EC46" i="46"/>
  <c r="ED46" i="46" s="1"/>
  <c r="EC8" i="46"/>
  <c r="ED8" i="46" s="1"/>
  <c r="EC16" i="46"/>
  <c r="ED16" i="46" s="1"/>
  <c r="EC24" i="46"/>
  <c r="DZ23" i="46"/>
  <c r="EC40" i="46"/>
  <c r="ED40" i="46" s="1"/>
  <c r="EA42" i="46"/>
  <c r="EC48" i="46"/>
  <c r="ED48" i="46" s="1"/>
  <c r="EC13" i="46"/>
  <c r="ED13" i="46" s="1"/>
  <c r="DZ12" i="46"/>
  <c r="EA23" i="46"/>
  <c r="EC29" i="46"/>
  <c r="ED29" i="46" s="1"/>
  <c r="EC37" i="46"/>
  <c r="ED37" i="46" s="1"/>
  <c r="EB42" i="46"/>
  <c r="EC45" i="46"/>
  <c r="ED45" i="46" s="1"/>
  <c r="EC10" i="46"/>
  <c r="ED10" i="46" s="1"/>
  <c r="EA12" i="46"/>
  <c r="EC18" i="46"/>
  <c r="ED18" i="46" s="1"/>
  <c r="EB23" i="46"/>
  <c r="EC26" i="46"/>
  <c r="ED26" i="46" s="1"/>
  <c r="EC34" i="46"/>
  <c r="ED34" i="46" s="1"/>
  <c r="EB12" i="46"/>
  <c r="EC21" i="46"/>
  <c r="ED21" i="46" s="1"/>
  <c r="EC15" i="46"/>
  <c r="ED15" i="46" s="1"/>
  <c r="EC4" i="46"/>
  <c r="ED4" i="46" s="1"/>
  <c r="DZ3" i="46"/>
  <c r="EC20" i="46"/>
  <c r="ED20" i="46" s="1"/>
  <c r="EC28" i="46"/>
  <c r="ED28" i="46" s="1"/>
  <c r="EC36" i="46"/>
  <c r="ED36" i="46" s="1"/>
  <c r="EA38" i="46"/>
  <c r="EC44" i="46"/>
  <c r="ED44" i="46" s="1"/>
  <c r="EC7" i="46"/>
  <c r="ED7" i="46" s="1"/>
  <c r="EC31" i="46"/>
  <c r="ED31" i="46" s="1"/>
  <c r="DZ38" i="46"/>
  <c r="EC39" i="46"/>
  <c r="EC47" i="46"/>
  <c r="ED47" i="46" s="1"/>
  <c r="EA3" i="46"/>
  <c r="EC9" i="46"/>
  <c r="ED9" i="46" s="1"/>
  <c r="EC17" i="46"/>
  <c r="ED17" i="46" s="1"/>
  <c r="EC25" i="46"/>
  <c r="ED25" i="46" s="1"/>
  <c r="EC33" i="46"/>
  <c r="DZ32" i="46"/>
  <c r="EB38" i="46"/>
  <c r="EC41" i="46"/>
  <c r="ED41" i="46" s="1"/>
  <c r="EC49" i="46"/>
  <c r="ED49" i="46" s="1"/>
  <c r="EC6" i="46"/>
  <c r="ED6" i="46" s="1"/>
  <c r="EC30" i="46"/>
  <c r="ED30" i="46" s="1"/>
  <c r="EJ11" i="46" l="1"/>
  <c r="EJ5" i="46"/>
  <c r="ED3" i="46"/>
  <c r="EJ6" i="46"/>
  <c r="EG3" i="46"/>
  <c r="EJ4" i="46"/>
  <c r="EJ7" i="46"/>
  <c r="EJ8" i="46"/>
  <c r="EJ9" i="46"/>
  <c r="EJ10" i="46"/>
  <c r="EB50" i="46"/>
  <c r="ED24" i="46"/>
  <c r="ED23" i="46" s="1"/>
  <c r="EC23" i="46"/>
  <c r="EC38" i="46"/>
  <c r="ED39" i="46"/>
  <c r="ED38" i="46" s="1"/>
  <c r="EC32" i="46"/>
  <c r="ED33" i="46"/>
  <c r="ED32" i="46" s="1"/>
  <c r="EC3" i="46"/>
  <c r="ED12" i="46"/>
  <c r="EC12" i="46"/>
  <c r="EA50" i="46"/>
  <c r="DZ50" i="46"/>
  <c r="EC42" i="46"/>
  <c r="ED43" i="46"/>
  <c r="ED42" i="46" s="1"/>
  <c r="ED50" i="46" l="1"/>
  <c r="EC50" i="46"/>
  <c r="C10" i="48" l="1"/>
  <c r="C9" i="48"/>
  <c r="H14" i="48"/>
  <c r="E11" i="35"/>
  <c r="E10" i="35"/>
  <c r="E9" i="35"/>
  <c r="E8" i="35"/>
  <c r="E7" i="35"/>
  <c r="E6" i="35"/>
  <c r="I7" i="35"/>
  <c r="G5" i="49"/>
  <c r="K272" i="34"/>
  <c r="K271" i="34"/>
  <c r="K270" i="34"/>
  <c r="K269" i="34"/>
  <c r="K268" i="34"/>
  <c r="K267" i="34"/>
  <c r="J267" i="34"/>
  <c r="G270" i="34"/>
  <c r="G268" i="34"/>
  <c r="E350" i="34"/>
  <c r="F40" i="36"/>
  <c r="AF9" i="48"/>
  <c r="S18" i="36"/>
  <c r="AW18" i="36" s="1"/>
  <c r="L99" i="49"/>
  <c r="X99" i="49" s="1"/>
  <c r="L100" i="49"/>
  <c r="X100" i="49" s="1"/>
  <c r="L101" i="49"/>
  <c r="X101" i="49" s="1"/>
  <c r="L102" i="49"/>
  <c r="X102" i="49" s="1"/>
  <c r="L98" i="49"/>
  <c r="X98" i="49" s="1"/>
  <c r="K99" i="49"/>
  <c r="W99" i="49" s="1"/>
  <c r="K100" i="49"/>
  <c r="W100" i="49" s="1"/>
  <c r="K101" i="49"/>
  <c r="W101" i="49" s="1"/>
  <c r="K102" i="49"/>
  <c r="W102" i="49" s="1"/>
  <c r="K98" i="49"/>
  <c r="W98" i="49" s="1"/>
  <c r="J99" i="49"/>
  <c r="V99" i="49" s="1"/>
  <c r="J100" i="49"/>
  <c r="V100" i="49" s="1"/>
  <c r="J101" i="49"/>
  <c r="V101" i="49" s="1"/>
  <c r="J102" i="49"/>
  <c r="V102" i="49" s="1"/>
  <c r="J98" i="49"/>
  <c r="I99" i="49"/>
  <c r="U99" i="49" s="1"/>
  <c r="I100" i="49"/>
  <c r="U100" i="49" s="1"/>
  <c r="I101" i="49"/>
  <c r="U101" i="49" s="1"/>
  <c r="I102" i="49"/>
  <c r="U102" i="49" s="1"/>
  <c r="I98" i="49"/>
  <c r="U98" i="49" s="1"/>
  <c r="H99" i="49"/>
  <c r="T99" i="49" s="1"/>
  <c r="H100" i="49"/>
  <c r="T100" i="49" s="1"/>
  <c r="H101" i="49"/>
  <c r="T101" i="49" s="1"/>
  <c r="H102" i="49"/>
  <c r="T102" i="49" s="1"/>
  <c r="H98" i="49"/>
  <c r="T98" i="49" s="1"/>
  <c r="G99" i="49"/>
  <c r="S99" i="49" s="1"/>
  <c r="G100" i="49"/>
  <c r="S100" i="49" s="1"/>
  <c r="G101" i="49"/>
  <c r="S101" i="49" s="1"/>
  <c r="G102" i="49"/>
  <c r="S102" i="49" s="1"/>
  <c r="G98" i="49"/>
  <c r="K273" i="34" l="1"/>
  <c r="M98" i="49"/>
  <c r="M102" i="49"/>
  <c r="M101" i="49"/>
  <c r="M100" i="49"/>
  <c r="M99" i="49"/>
  <c r="L103" i="49"/>
  <c r="X103" i="49" s="1"/>
  <c r="K103" i="49"/>
  <c r="W103" i="49" s="1"/>
  <c r="J103" i="49"/>
  <c r="V103" i="49" s="1"/>
  <c r="V98" i="49"/>
  <c r="Y102" i="49"/>
  <c r="Y100" i="49"/>
  <c r="Y99" i="49"/>
  <c r="Y101" i="49"/>
  <c r="I103" i="49"/>
  <c r="U103" i="49" s="1"/>
  <c r="H103" i="49"/>
  <c r="T103" i="49" s="1"/>
  <c r="D97" i="78" l="1"/>
  <c r="E97" i="78"/>
  <c r="E108" i="78"/>
  <c r="D108" i="78"/>
  <c r="H113" i="49"/>
  <c r="T113" i="49" s="1"/>
  <c r="H109" i="49"/>
  <c r="T109" i="49" s="1"/>
  <c r="K113" i="49"/>
  <c r="W113" i="49" s="1"/>
  <c r="J112" i="49"/>
  <c r="V112" i="49" s="1"/>
  <c r="K111" i="49"/>
  <c r="W111" i="49" s="1"/>
  <c r="J110" i="49"/>
  <c r="V110" i="49" s="1"/>
  <c r="J111" i="49"/>
  <c r="V111" i="49" s="1"/>
  <c r="L113" i="49"/>
  <c r="X113" i="49" s="1"/>
  <c r="L109" i="49"/>
  <c r="X109" i="49" s="1"/>
  <c r="I111" i="49"/>
  <c r="U111" i="49" s="1"/>
  <c r="H112" i="49"/>
  <c r="T112" i="49" s="1"/>
  <c r="L112" i="49"/>
  <c r="X112" i="49" s="1"/>
  <c r="H110" i="49"/>
  <c r="T110" i="49" s="1"/>
  <c r="K112" i="49"/>
  <c r="W112" i="49" s="1"/>
  <c r="I113" i="49"/>
  <c r="U113" i="49" s="1"/>
  <c r="I110" i="49"/>
  <c r="U110" i="49" s="1"/>
  <c r="L111" i="49"/>
  <c r="X111" i="49" s="1"/>
  <c r="K109" i="49"/>
  <c r="I112" i="49"/>
  <c r="U112" i="49" s="1"/>
  <c r="J109" i="49"/>
  <c r="K110" i="49"/>
  <c r="W110" i="49" s="1"/>
  <c r="J113" i="49"/>
  <c r="V113" i="49" s="1"/>
  <c r="I109" i="49"/>
  <c r="H111" i="49"/>
  <c r="T111" i="49" s="1"/>
  <c r="L110" i="49"/>
  <c r="X110" i="49" s="1"/>
  <c r="M103" i="49"/>
  <c r="M110" i="49" s="1"/>
  <c r="Y110" i="49" s="1"/>
  <c r="T114" i="49" l="1"/>
  <c r="X114" i="49"/>
  <c r="M111" i="49"/>
  <c r="Y111" i="49" s="1"/>
  <c r="M112" i="49"/>
  <c r="Y112" i="49" s="1"/>
  <c r="L114" i="49"/>
  <c r="M109" i="49"/>
  <c r="W109" i="49"/>
  <c r="W114" i="49" s="1"/>
  <c r="K114" i="49"/>
  <c r="M113" i="49"/>
  <c r="Y113" i="49" s="1"/>
  <c r="I114" i="49"/>
  <c r="U109" i="49"/>
  <c r="U114" i="49" s="1"/>
  <c r="V109" i="49"/>
  <c r="V114" i="49" s="1"/>
  <c r="J114" i="49"/>
  <c r="H114" i="49"/>
  <c r="T68" i="48"/>
  <c r="S70" i="48"/>
  <c r="S69" i="48"/>
  <c r="S68" i="48"/>
  <c r="S67" i="48"/>
  <c r="R66" i="48"/>
  <c r="H213" i="34"/>
  <c r="AA213" i="34" s="1"/>
  <c r="H214" i="34"/>
  <c r="AA214" i="34" s="1"/>
  <c r="H215" i="34"/>
  <c r="AA215" i="34" s="1"/>
  <c r="H216" i="34"/>
  <c r="AA216" i="34" s="1"/>
  <c r="H217" i="34"/>
  <c r="AA217" i="34" s="1"/>
  <c r="H218" i="34"/>
  <c r="AA218" i="34" s="1"/>
  <c r="H219" i="34"/>
  <c r="AA219" i="34" s="1"/>
  <c r="H220" i="34"/>
  <c r="AA220" i="34" s="1"/>
  <c r="H221" i="34"/>
  <c r="AA221" i="34" s="1"/>
  <c r="H222" i="34"/>
  <c r="AA222" i="34" s="1"/>
  <c r="H223" i="34"/>
  <c r="AA223" i="34" s="1"/>
  <c r="H224" i="34"/>
  <c r="AA224" i="34" s="1"/>
  <c r="H225" i="34"/>
  <c r="AA225" i="34" s="1"/>
  <c r="H226" i="34"/>
  <c r="AA226" i="34" s="1"/>
  <c r="H227" i="34"/>
  <c r="AA227" i="34" s="1"/>
  <c r="H228" i="34"/>
  <c r="AA228" i="34" s="1"/>
  <c r="H229" i="34"/>
  <c r="AA229" i="34" s="1"/>
  <c r="H230" i="34"/>
  <c r="AA230" i="34" s="1"/>
  <c r="H231" i="34"/>
  <c r="AA231" i="34" s="1"/>
  <c r="H232" i="34"/>
  <c r="AA232" i="34" s="1"/>
  <c r="H233" i="34"/>
  <c r="AA233" i="34" s="1"/>
  <c r="H234" i="34"/>
  <c r="AA234" i="34" s="1"/>
  <c r="S16" i="36"/>
  <c r="AW16" i="36" s="1"/>
  <c r="S17" i="36"/>
  <c r="AW17" i="36" s="1"/>
  <c r="X24" i="48"/>
  <c r="X25" i="48"/>
  <c r="X26" i="48"/>
  <c r="X27" i="48"/>
  <c r="X28" i="48"/>
  <c r="X29" i="48"/>
  <c r="W28" i="48"/>
  <c r="V27" i="48"/>
  <c r="X23" i="48"/>
  <c r="S24" i="48"/>
  <c r="S23" i="48"/>
  <c r="R24" i="48"/>
  <c r="R23" i="48"/>
  <c r="W29" i="48"/>
  <c r="S29" i="48"/>
  <c r="T29" i="48"/>
  <c r="U29" i="48"/>
  <c r="V29" i="48"/>
  <c r="R29" i="48"/>
  <c r="I29" i="48"/>
  <c r="I28" i="48"/>
  <c r="I27" i="48"/>
  <c r="I26" i="48"/>
  <c r="I25" i="48"/>
  <c r="I24" i="48"/>
  <c r="I23" i="48"/>
  <c r="C28" i="48"/>
  <c r="C23" i="48"/>
  <c r="R20" i="49"/>
  <c r="R21" i="49"/>
  <c r="R22" i="49"/>
  <c r="R23" i="49"/>
  <c r="R24" i="49"/>
  <c r="R25" i="49"/>
  <c r="R26" i="49"/>
  <c r="R27" i="49"/>
  <c r="R28" i="49"/>
  <c r="R19" i="49"/>
  <c r="F20" i="49"/>
  <c r="F37" i="49" s="1"/>
  <c r="F21" i="49"/>
  <c r="F38" i="49" s="1"/>
  <c r="F22" i="49"/>
  <c r="F39" i="49" s="1"/>
  <c r="F23" i="49"/>
  <c r="F40" i="49" s="1"/>
  <c r="F54" i="49" s="1"/>
  <c r="F24" i="49"/>
  <c r="F41" i="49" s="1"/>
  <c r="F25" i="49"/>
  <c r="F42" i="49" s="1"/>
  <c r="F56" i="49" s="1"/>
  <c r="F26" i="49"/>
  <c r="F27" i="49"/>
  <c r="F44" i="49" s="1"/>
  <c r="K44" i="49" s="1"/>
  <c r="F28" i="49"/>
  <c r="F45" i="49" s="1"/>
  <c r="F59" i="49" s="1"/>
  <c r="F19" i="49"/>
  <c r="F36" i="49" s="1"/>
  <c r="G36" i="49" s="1"/>
  <c r="G13" i="49"/>
  <c r="S13" i="49" s="1"/>
  <c r="H13" i="49"/>
  <c r="T13" i="49" s="1"/>
  <c r="I13" i="49"/>
  <c r="U13" i="49" s="1"/>
  <c r="J13" i="49"/>
  <c r="V13" i="49" s="1"/>
  <c r="K13" i="49"/>
  <c r="W13" i="49" s="1"/>
  <c r="L13" i="49"/>
  <c r="X13" i="49" s="1"/>
  <c r="G14" i="49"/>
  <c r="S14" i="49" s="1"/>
  <c r="H14" i="49"/>
  <c r="T14" i="49" s="1"/>
  <c r="I14" i="49"/>
  <c r="U14" i="49" s="1"/>
  <c r="J14" i="49"/>
  <c r="V14" i="49" s="1"/>
  <c r="K14" i="49"/>
  <c r="W14" i="49" s="1"/>
  <c r="L14" i="49"/>
  <c r="X14" i="49" s="1"/>
  <c r="G12" i="49"/>
  <c r="S12" i="49" s="1"/>
  <c r="S5" i="49"/>
  <c r="AF28" i="36"/>
  <c r="AF29" i="36"/>
  <c r="AF30" i="36"/>
  <c r="AF31" i="36"/>
  <c r="AF32" i="36"/>
  <c r="AF33" i="36"/>
  <c r="AF34" i="36"/>
  <c r="E34" i="36"/>
  <c r="AH34" i="36" s="1"/>
  <c r="G34" i="36"/>
  <c r="AJ34" i="36" s="1"/>
  <c r="F34" i="36"/>
  <c r="AI34" i="36" s="1"/>
  <c r="J30" i="36"/>
  <c r="AM30" i="36" s="1"/>
  <c r="E33" i="36"/>
  <c r="F55" i="49" l="1"/>
  <c r="G41" i="49"/>
  <c r="F53" i="49"/>
  <c r="G39" i="49"/>
  <c r="F52" i="49"/>
  <c r="G38" i="49"/>
  <c r="F51" i="49"/>
  <c r="G37" i="49"/>
  <c r="F43" i="49"/>
  <c r="F57" i="49" s="1"/>
  <c r="Y109" i="49"/>
  <c r="Y114" i="49" s="1"/>
  <c r="M114" i="49"/>
  <c r="Y29" i="48"/>
  <c r="X30" i="48"/>
  <c r="I30" i="48"/>
  <c r="J29" i="48"/>
  <c r="J44" i="49"/>
  <c r="V44" i="49" s="1"/>
  <c r="H44" i="49"/>
  <c r="T44" i="49" s="1"/>
  <c r="W44" i="49"/>
  <c r="I44" i="49"/>
  <c r="G44" i="49"/>
  <c r="F58" i="49"/>
  <c r="M13" i="49"/>
  <c r="M14" i="49"/>
  <c r="J28" i="36"/>
  <c r="AM28" i="36" s="1"/>
  <c r="BC11" i="36"/>
  <c r="BC10" i="36"/>
  <c r="BC9" i="36"/>
  <c r="BC8" i="36"/>
  <c r="BC7" i="36"/>
  <c r="BC6" i="36"/>
  <c r="BB6" i="36"/>
  <c r="AV6" i="36"/>
  <c r="AV7" i="36"/>
  <c r="AV8" i="36"/>
  <c r="AV9" i="36"/>
  <c r="AV10" i="36"/>
  <c r="AV11" i="36"/>
  <c r="AV5" i="36"/>
  <c r="AN6" i="36"/>
  <c r="AN7" i="36"/>
  <c r="AN8" i="36"/>
  <c r="AN9" i="36"/>
  <c r="AN10" i="36"/>
  <c r="AN11" i="36"/>
  <c r="AN5" i="36"/>
  <c r="K18" i="36"/>
  <c r="AO18" i="36" s="1"/>
  <c r="H284" i="35"/>
  <c r="H285" i="35"/>
  <c r="H286" i="35"/>
  <c r="H287" i="35"/>
  <c r="H288" i="35"/>
  <c r="R288" i="35" s="1"/>
  <c r="H283" i="35"/>
  <c r="H232" i="35"/>
  <c r="R232" i="35" s="1"/>
  <c r="H233" i="35"/>
  <c r="R233" i="35" s="1"/>
  <c r="H234" i="35"/>
  <c r="R234" i="35" s="1"/>
  <c r="H235" i="35"/>
  <c r="R235" i="35" s="1"/>
  <c r="H236" i="35"/>
  <c r="R236" i="35" s="1"/>
  <c r="H231" i="35"/>
  <c r="R231" i="35" s="1"/>
  <c r="G231" i="35"/>
  <c r="Q231" i="35" s="1"/>
  <c r="I233" i="35"/>
  <c r="S233" i="35" s="1"/>
  <c r="I231" i="35"/>
  <c r="S231" i="35" s="1"/>
  <c r="H169" i="35"/>
  <c r="R169" i="35" s="1"/>
  <c r="H170" i="35"/>
  <c r="R170" i="35" s="1"/>
  <c r="H171" i="35"/>
  <c r="R171" i="35" s="1"/>
  <c r="H172" i="35"/>
  <c r="R172" i="35" s="1"/>
  <c r="H173" i="35"/>
  <c r="R173" i="35" s="1"/>
  <c r="H168" i="35"/>
  <c r="R168" i="35" s="1"/>
  <c r="E168" i="35"/>
  <c r="I11" i="35"/>
  <c r="I10" i="35"/>
  <c r="I9" i="35"/>
  <c r="I8" i="35"/>
  <c r="H6" i="35"/>
  <c r="R6" i="35" s="1"/>
  <c r="H7" i="35"/>
  <c r="R7" i="35" s="1"/>
  <c r="H8" i="35"/>
  <c r="R8" i="35" s="1"/>
  <c r="H9" i="35"/>
  <c r="R9" i="35" s="1"/>
  <c r="H10" i="35"/>
  <c r="R10" i="35" s="1"/>
  <c r="H11" i="35"/>
  <c r="R11" i="35" s="1"/>
  <c r="G7" i="35"/>
  <c r="G6" i="35"/>
  <c r="F6" i="35"/>
  <c r="G353" i="34"/>
  <c r="AN12" i="36" l="1"/>
  <c r="EH12" i="46"/>
  <c r="EH38" i="46"/>
  <c r="EH42" i="46"/>
  <c r="EG42" i="46"/>
  <c r="EG38" i="46"/>
  <c r="EG32" i="46"/>
  <c r="EG23" i="46"/>
  <c r="EG12" i="46"/>
  <c r="EH32" i="46"/>
  <c r="EH23" i="46"/>
  <c r="AV12" i="36"/>
  <c r="R287" i="35"/>
  <c r="R286" i="35"/>
  <c r="R285" i="35"/>
  <c r="R284" i="35"/>
  <c r="R283" i="35"/>
  <c r="L44" i="49"/>
  <c r="S44" i="49"/>
  <c r="U44" i="49"/>
  <c r="BC12" i="36"/>
  <c r="H289" i="35"/>
  <c r="R237" i="35"/>
  <c r="R174" i="35"/>
  <c r="H237" i="35"/>
  <c r="I12" i="35"/>
  <c r="H174" i="35"/>
  <c r="R12" i="35"/>
  <c r="H12" i="35"/>
  <c r="EH3" i="46" l="1"/>
  <c r="EH50" i="46" s="1"/>
  <c r="EG50" i="46"/>
  <c r="R289" i="35"/>
  <c r="X44" i="49"/>
  <c r="G69" i="34" l="1"/>
  <c r="G70" i="34"/>
  <c r="G71" i="34"/>
  <c r="G72" i="34"/>
  <c r="G73" i="34"/>
  <c r="G68" i="34"/>
  <c r="D93" i="34"/>
  <c r="N82" i="34"/>
  <c r="N83" i="34"/>
  <c r="N84" i="34"/>
  <c r="N85" i="34"/>
  <c r="N86" i="34"/>
  <c r="M82" i="34"/>
  <c r="M83" i="34"/>
  <c r="M84" i="34"/>
  <c r="M85" i="34"/>
  <c r="M86" i="34"/>
  <c r="E82" i="34"/>
  <c r="E83" i="34"/>
  <c r="E84" i="34"/>
  <c r="E85" i="34"/>
  <c r="E86" i="34"/>
  <c r="G82" i="34"/>
  <c r="G83" i="34"/>
  <c r="G84" i="34"/>
  <c r="G85" i="34"/>
  <c r="G86" i="34"/>
  <c r="G81" i="34"/>
  <c r="F82" i="34"/>
  <c r="F83" i="34"/>
  <c r="F84" i="34"/>
  <c r="F85" i="34"/>
  <c r="F86" i="34"/>
  <c r="F81" i="34"/>
  <c r="D82" i="34"/>
  <c r="D83" i="34"/>
  <c r="D84" i="34"/>
  <c r="D85" i="34"/>
  <c r="D86" i="34"/>
  <c r="D81" i="34"/>
  <c r="O73" i="34"/>
  <c r="O72" i="34"/>
  <c r="O71" i="34"/>
  <c r="O70" i="34"/>
  <c r="O69" i="34"/>
  <c r="O68" i="34"/>
  <c r="L68" i="34"/>
  <c r="K68" i="34"/>
  <c r="J68" i="34"/>
  <c r="E69" i="34"/>
  <c r="E70" i="34"/>
  <c r="E71" i="34"/>
  <c r="E72" i="34"/>
  <c r="E73" i="34"/>
  <c r="E68" i="34"/>
  <c r="D69" i="34"/>
  <c r="D70" i="34"/>
  <c r="D71" i="34"/>
  <c r="D72" i="34"/>
  <c r="D73" i="34"/>
  <c r="D68" i="34"/>
  <c r="K57" i="34"/>
  <c r="K58" i="34"/>
  <c r="K59" i="34"/>
  <c r="K60" i="34"/>
  <c r="K61" i="34"/>
  <c r="J57" i="34"/>
  <c r="J58" i="34"/>
  <c r="J59" i="34"/>
  <c r="J60" i="34"/>
  <c r="J61" i="34"/>
  <c r="J56" i="34"/>
  <c r="D61" i="34"/>
  <c r="D60" i="34"/>
  <c r="D59" i="34"/>
  <c r="D58" i="34"/>
  <c r="D57" i="34"/>
  <c r="D56" i="34"/>
  <c r="L14" i="46"/>
  <c r="D208" i="35"/>
  <c r="D209" i="35"/>
  <c r="D210" i="35"/>
  <c r="D211" i="35"/>
  <c r="D212" i="35"/>
  <c r="D213" i="35"/>
  <c r="P97" i="34" l="1"/>
  <c r="P93" i="34"/>
  <c r="P98" i="34"/>
  <c r="G74" i="34"/>
  <c r="P96" i="34"/>
  <c r="P94" i="34"/>
  <c r="P95" i="34"/>
  <c r="M87" i="34"/>
  <c r="O81" i="34"/>
  <c r="N87" i="34"/>
  <c r="L56" i="34"/>
  <c r="K62" i="34"/>
  <c r="J62" i="34"/>
  <c r="F269" i="34"/>
  <c r="F73" i="34" l="1"/>
  <c r="F69" i="34"/>
  <c r="F71" i="34"/>
  <c r="F70" i="34"/>
  <c r="F72" i="34"/>
  <c r="F68" i="34"/>
  <c r="AF68" i="34" s="1"/>
  <c r="L62" i="34"/>
  <c r="D214" i="35"/>
  <c r="E208" i="35" l="1"/>
  <c r="E213" i="35"/>
  <c r="E211" i="35"/>
  <c r="E209" i="35"/>
  <c r="E210" i="35"/>
  <c r="E212" i="35"/>
  <c r="AX6" i="36"/>
  <c r="D9" i="48"/>
  <c r="D36" i="42"/>
  <c r="U36" i="42" s="1"/>
  <c r="BG50" i="46"/>
  <c r="BH50" i="46" s="1"/>
  <c r="BF50" i="46"/>
  <c r="BE50" i="46"/>
  <c r="BD50" i="46"/>
  <c r="BB50" i="46"/>
  <c r="AO50" i="46"/>
  <c r="AV50" i="46" s="1"/>
  <c r="AN50" i="46"/>
  <c r="AM50" i="46"/>
  <c r="AL50" i="46"/>
  <c r="AJ50" i="46"/>
  <c r="AD50" i="46"/>
  <c r="X50" i="46"/>
  <c r="L50" i="46"/>
  <c r="BH49" i="46"/>
  <c r="BB49" i="46"/>
  <c r="AV49" i="46"/>
  <c r="AP49" i="46"/>
  <c r="AJ49" i="46"/>
  <c r="AD49" i="46"/>
  <c r="X49" i="46"/>
  <c r="L49" i="46"/>
  <c r="BH48" i="46"/>
  <c r="BB48" i="46"/>
  <c r="AV48" i="46"/>
  <c r="AP48" i="46"/>
  <c r="AJ48" i="46"/>
  <c r="AD48" i="46"/>
  <c r="X48" i="46"/>
  <c r="L48" i="46"/>
  <c r="BH47" i="46"/>
  <c r="BB47" i="46"/>
  <c r="AV47" i="46"/>
  <c r="AP47" i="46"/>
  <c r="AJ47" i="46"/>
  <c r="AD47" i="46"/>
  <c r="X47" i="46"/>
  <c r="L47" i="46"/>
  <c r="BH46" i="46"/>
  <c r="BB46" i="46"/>
  <c r="AV46" i="46"/>
  <c r="AP46" i="46"/>
  <c r="AJ46" i="46"/>
  <c r="AD46" i="46"/>
  <c r="X46" i="46"/>
  <c r="L46" i="46"/>
  <c r="BH45" i="46"/>
  <c r="BB45" i="46"/>
  <c r="AV45" i="46"/>
  <c r="AP45" i="46"/>
  <c r="AJ45" i="46"/>
  <c r="AD45" i="46"/>
  <c r="X45" i="46"/>
  <c r="L45" i="46"/>
  <c r="BH44" i="46"/>
  <c r="BB44" i="46"/>
  <c r="AV44" i="46"/>
  <c r="AP44" i="46"/>
  <c r="AJ44" i="46"/>
  <c r="AD44" i="46"/>
  <c r="X44" i="46"/>
  <c r="L44" i="46"/>
  <c r="BH43" i="46"/>
  <c r="BB43" i="46"/>
  <c r="AV43" i="46"/>
  <c r="AP43" i="46"/>
  <c r="AJ43" i="46"/>
  <c r="AD43" i="46"/>
  <c r="X43" i="46"/>
  <c r="L43" i="46"/>
  <c r="BH42" i="46"/>
  <c r="AV42" i="46"/>
  <c r="AP42" i="46"/>
  <c r="AJ42" i="46"/>
  <c r="AD42" i="46"/>
  <c r="X42" i="46"/>
  <c r="L42" i="46"/>
  <c r="BH41" i="46"/>
  <c r="BB41" i="46"/>
  <c r="AV41" i="46"/>
  <c r="AP41" i="46"/>
  <c r="AJ41" i="46"/>
  <c r="AD41" i="46"/>
  <c r="X41" i="46"/>
  <c r="L41" i="46"/>
  <c r="BH40" i="46"/>
  <c r="BB40" i="46"/>
  <c r="AV40" i="46"/>
  <c r="AP40" i="46"/>
  <c r="AJ40" i="46"/>
  <c r="AD40" i="46"/>
  <c r="X40" i="46"/>
  <c r="L40" i="46"/>
  <c r="BH39" i="46"/>
  <c r="BH38" i="46" s="1"/>
  <c r="BB39" i="46"/>
  <c r="BB38" i="46" s="1"/>
  <c r="AV39" i="46"/>
  <c r="AP39" i="46"/>
  <c r="AJ39" i="46"/>
  <c r="AD39" i="46"/>
  <c r="X39" i="46"/>
  <c r="L39" i="46"/>
  <c r="AV38" i="46"/>
  <c r="AP38" i="46"/>
  <c r="AJ38" i="46"/>
  <c r="AD38" i="46"/>
  <c r="X38" i="46"/>
  <c r="L38" i="46"/>
  <c r="BH37" i="46"/>
  <c r="BB37" i="46"/>
  <c r="AV37" i="46"/>
  <c r="AP37" i="46"/>
  <c r="AJ37" i="46"/>
  <c r="AD37" i="46"/>
  <c r="X37" i="46"/>
  <c r="L37" i="46"/>
  <c r="BH36" i="46"/>
  <c r="BB36" i="46"/>
  <c r="AV36" i="46"/>
  <c r="AP36" i="46"/>
  <c r="AJ36" i="46"/>
  <c r="AD36" i="46"/>
  <c r="X36" i="46"/>
  <c r="L36" i="46"/>
  <c r="BH35" i="46"/>
  <c r="BB35" i="46"/>
  <c r="AV35" i="46"/>
  <c r="AP35" i="46"/>
  <c r="AJ35" i="46"/>
  <c r="AD35" i="46"/>
  <c r="X35" i="46"/>
  <c r="L35" i="46"/>
  <c r="BH34" i="46"/>
  <c r="BB34" i="46"/>
  <c r="AV34" i="46"/>
  <c r="AP34" i="46"/>
  <c r="AJ34" i="46"/>
  <c r="AD34" i="46"/>
  <c r="X34" i="46"/>
  <c r="L34" i="46"/>
  <c r="BH33" i="46"/>
  <c r="BH32" i="46" s="1"/>
  <c r="BB33" i="46"/>
  <c r="AV33" i="46"/>
  <c r="AP33" i="46"/>
  <c r="AJ33" i="46"/>
  <c r="AD33" i="46"/>
  <c r="X33" i="46"/>
  <c r="L33" i="46"/>
  <c r="AV32" i="46"/>
  <c r="AP32" i="46"/>
  <c r="AJ32" i="46"/>
  <c r="AD32" i="46"/>
  <c r="X32" i="46"/>
  <c r="L32" i="46"/>
  <c r="BH31" i="46"/>
  <c r="BB31" i="46"/>
  <c r="AV31" i="46"/>
  <c r="AP31" i="46"/>
  <c r="AJ31" i="46"/>
  <c r="AD31" i="46"/>
  <c r="X31" i="46"/>
  <c r="L31" i="46"/>
  <c r="BH29" i="46"/>
  <c r="BB29" i="46"/>
  <c r="AV29" i="46"/>
  <c r="AP29" i="46"/>
  <c r="AJ29" i="46"/>
  <c r="AD29" i="46"/>
  <c r="X29" i="46"/>
  <c r="L29" i="46"/>
  <c r="BH28" i="46"/>
  <c r="BB28" i="46"/>
  <c r="AV28" i="46"/>
  <c r="AP28" i="46"/>
  <c r="AJ28" i="46"/>
  <c r="AD28" i="46"/>
  <c r="X28" i="46"/>
  <c r="L28" i="46"/>
  <c r="BH27" i="46"/>
  <c r="BB27" i="46"/>
  <c r="AV27" i="46"/>
  <c r="AP27" i="46"/>
  <c r="AJ27" i="46"/>
  <c r="AD27" i="46"/>
  <c r="X27" i="46"/>
  <c r="L27" i="46"/>
  <c r="BH26" i="46"/>
  <c r="BB26" i="46"/>
  <c r="AV26" i="46"/>
  <c r="AP26" i="46"/>
  <c r="AJ26" i="46"/>
  <c r="AD26" i="46"/>
  <c r="X26" i="46"/>
  <c r="L26" i="46"/>
  <c r="BH25" i="46"/>
  <c r="BH23" i="46" s="1"/>
  <c r="BB25" i="46"/>
  <c r="AV25" i="46"/>
  <c r="AP25" i="46"/>
  <c r="AJ25" i="46"/>
  <c r="AD25" i="46"/>
  <c r="X25" i="46"/>
  <c r="L25" i="46"/>
  <c r="CT23" i="46"/>
  <c r="AV23" i="46"/>
  <c r="AP23" i="46"/>
  <c r="AJ23" i="46"/>
  <c r="AD23" i="46"/>
  <c r="X23" i="46"/>
  <c r="L23" i="46"/>
  <c r="BH22" i="46"/>
  <c r="BB22" i="46"/>
  <c r="AV22" i="46"/>
  <c r="AP22" i="46"/>
  <c r="AJ22" i="46"/>
  <c r="AD22" i="46"/>
  <c r="X22" i="46"/>
  <c r="L22" i="46"/>
  <c r="BH21" i="46"/>
  <c r="BB21" i="46"/>
  <c r="AV21" i="46"/>
  <c r="AP21" i="46"/>
  <c r="AJ21" i="46"/>
  <c r="AD21" i="46"/>
  <c r="X21" i="46"/>
  <c r="L21" i="46"/>
  <c r="BH20" i="46"/>
  <c r="BB20" i="46"/>
  <c r="AV20" i="46"/>
  <c r="AP20" i="46"/>
  <c r="AJ20" i="46"/>
  <c r="AD20" i="46"/>
  <c r="X20" i="46"/>
  <c r="L20" i="46"/>
  <c r="BH19" i="46"/>
  <c r="BB19" i="46"/>
  <c r="AV19" i="46"/>
  <c r="AP19" i="46"/>
  <c r="AJ19" i="46"/>
  <c r="AD19" i="46"/>
  <c r="X19" i="46"/>
  <c r="L19" i="46"/>
  <c r="BH18" i="46"/>
  <c r="BB18" i="46"/>
  <c r="AV18" i="46"/>
  <c r="AP18" i="46"/>
  <c r="AJ18" i="46"/>
  <c r="AD18" i="46"/>
  <c r="X18" i="46"/>
  <c r="L18" i="46"/>
  <c r="BH17" i="46"/>
  <c r="BB17" i="46"/>
  <c r="AV17" i="46"/>
  <c r="AP17" i="46"/>
  <c r="AJ17" i="46"/>
  <c r="AD17" i="46"/>
  <c r="X17" i="46"/>
  <c r="L17" i="46"/>
  <c r="BH16" i="46"/>
  <c r="BB16" i="46"/>
  <c r="AV16" i="46"/>
  <c r="AP16" i="46"/>
  <c r="AJ16" i="46"/>
  <c r="AD16" i="46"/>
  <c r="X16" i="46"/>
  <c r="L16" i="46"/>
  <c r="BH15" i="46"/>
  <c r="BB15" i="46"/>
  <c r="AV15" i="46"/>
  <c r="AP15" i="46"/>
  <c r="AJ15" i="46"/>
  <c r="AD15" i="46"/>
  <c r="X15" i="46"/>
  <c r="L15" i="46"/>
  <c r="BH14" i="46"/>
  <c r="BB14" i="46"/>
  <c r="AV14" i="46"/>
  <c r="AP14" i="46"/>
  <c r="AJ14" i="46"/>
  <c r="AD14" i="46"/>
  <c r="X14" i="46"/>
  <c r="BH13" i="46"/>
  <c r="BB13" i="46"/>
  <c r="AV13" i="46"/>
  <c r="AP13" i="46"/>
  <c r="AJ13" i="46"/>
  <c r="AD13" i="46"/>
  <c r="X13" i="46"/>
  <c r="L13" i="46"/>
  <c r="AV12" i="46"/>
  <c r="AP12" i="46"/>
  <c r="AJ12" i="46"/>
  <c r="AD12" i="46"/>
  <c r="X12" i="46"/>
  <c r="L12" i="46"/>
  <c r="BH10" i="46"/>
  <c r="BB10" i="46"/>
  <c r="AV10" i="46"/>
  <c r="AP10" i="46"/>
  <c r="AJ10" i="46"/>
  <c r="AD10" i="46"/>
  <c r="X10" i="46"/>
  <c r="L10" i="46"/>
  <c r="BH9" i="46"/>
  <c r="BB9" i="46"/>
  <c r="AV9" i="46"/>
  <c r="AP9" i="46"/>
  <c r="AJ9" i="46"/>
  <c r="AD9" i="46"/>
  <c r="X9" i="46"/>
  <c r="L9" i="46"/>
  <c r="BH8" i="46"/>
  <c r="BB8" i="46"/>
  <c r="AV8" i="46"/>
  <c r="AP8" i="46"/>
  <c r="AJ8" i="46"/>
  <c r="AD8" i="46"/>
  <c r="X8" i="46"/>
  <c r="L8" i="46"/>
  <c r="BH7" i="46"/>
  <c r="BB7" i="46"/>
  <c r="AV7" i="46"/>
  <c r="AP7" i="46"/>
  <c r="AJ7" i="46"/>
  <c r="AD7" i="46"/>
  <c r="X7" i="46"/>
  <c r="L7" i="46"/>
  <c r="BH5" i="46"/>
  <c r="BB5" i="46"/>
  <c r="AV5" i="46"/>
  <c r="AP5" i="46"/>
  <c r="AJ5" i="46"/>
  <c r="AD5" i="46"/>
  <c r="X5" i="46"/>
  <c r="L5" i="46"/>
  <c r="BH4" i="46"/>
  <c r="BB4" i="46"/>
  <c r="AV4" i="46"/>
  <c r="AP4" i="46"/>
  <c r="AJ4" i="46"/>
  <c r="AD4" i="46"/>
  <c r="X4" i="46"/>
  <c r="L4" i="46"/>
  <c r="BH3" i="46"/>
  <c r="AV3" i="46"/>
  <c r="AP3" i="46"/>
  <c r="AJ3" i="46"/>
  <c r="AD3" i="46"/>
  <c r="X3" i="46"/>
  <c r="L3" i="46"/>
  <c r="AG72" i="36"/>
  <c r="AF72" i="36"/>
  <c r="G72" i="36"/>
  <c r="AJ72" i="36" s="1"/>
  <c r="F72" i="36"/>
  <c r="AI72" i="36" s="1"/>
  <c r="E72" i="36"/>
  <c r="AH72" i="36" s="1"/>
  <c r="AG71" i="36"/>
  <c r="AF71" i="36"/>
  <c r="G71" i="36"/>
  <c r="AJ71" i="36" s="1"/>
  <c r="F71" i="36"/>
  <c r="AI71" i="36" s="1"/>
  <c r="E71" i="36"/>
  <c r="AH71" i="36" s="1"/>
  <c r="AG70" i="36"/>
  <c r="AF70" i="36"/>
  <c r="G70" i="36"/>
  <c r="AJ70" i="36" s="1"/>
  <c r="F70" i="36"/>
  <c r="AI70" i="36" s="1"/>
  <c r="E70" i="36"/>
  <c r="AH70" i="36" s="1"/>
  <c r="AG69" i="36"/>
  <c r="AF69" i="36"/>
  <c r="G69" i="36"/>
  <c r="AJ69" i="36" s="1"/>
  <c r="F69" i="36"/>
  <c r="AI69" i="36" s="1"/>
  <c r="E69" i="36"/>
  <c r="AH69" i="36" s="1"/>
  <c r="AG68" i="36"/>
  <c r="AF68" i="36"/>
  <c r="G68" i="36"/>
  <c r="AJ68" i="36" s="1"/>
  <c r="F68" i="36"/>
  <c r="AI68" i="36" s="1"/>
  <c r="E68" i="36"/>
  <c r="AH68" i="36" s="1"/>
  <c r="AG67" i="36"/>
  <c r="AF67" i="36"/>
  <c r="G67" i="36"/>
  <c r="AJ67" i="36" s="1"/>
  <c r="F67" i="36"/>
  <c r="AI67" i="36" s="1"/>
  <c r="E67" i="36"/>
  <c r="AH67" i="36" s="1"/>
  <c r="AG66" i="36"/>
  <c r="AF66" i="36"/>
  <c r="G66" i="36"/>
  <c r="AJ66" i="36" s="1"/>
  <c r="F66" i="36"/>
  <c r="AI66" i="36" s="1"/>
  <c r="E66" i="36"/>
  <c r="AH66" i="36" s="1"/>
  <c r="AG65" i="36"/>
  <c r="AF65" i="36"/>
  <c r="AG64" i="36"/>
  <c r="AF64" i="36"/>
  <c r="G64" i="36"/>
  <c r="AJ64" i="36" s="1"/>
  <c r="F64" i="36"/>
  <c r="AI64" i="36" s="1"/>
  <c r="E64" i="36"/>
  <c r="AH64" i="36" s="1"/>
  <c r="AG63" i="36"/>
  <c r="AF63" i="36"/>
  <c r="K62" i="36"/>
  <c r="AN62" i="36" s="1"/>
  <c r="J62" i="36"/>
  <c r="AM62" i="36" s="1"/>
  <c r="G63" i="36"/>
  <c r="AJ63" i="36" s="1"/>
  <c r="F63" i="36"/>
  <c r="AI63" i="36" s="1"/>
  <c r="E63" i="36"/>
  <c r="AH63" i="36" s="1"/>
  <c r="AG62" i="36"/>
  <c r="AF62" i="36"/>
  <c r="K61" i="36"/>
  <c r="AN61" i="36" s="1"/>
  <c r="J61" i="36"/>
  <c r="AM61" i="36" s="1"/>
  <c r="G62" i="36"/>
  <c r="AJ62" i="36" s="1"/>
  <c r="F62" i="36"/>
  <c r="AI62" i="36" s="1"/>
  <c r="E62" i="36"/>
  <c r="AH62" i="36" s="1"/>
  <c r="AG61" i="36"/>
  <c r="AF61" i="36"/>
  <c r="K60" i="36"/>
  <c r="AN60" i="36" s="1"/>
  <c r="J60" i="36"/>
  <c r="AM60" i="36" s="1"/>
  <c r="AG60" i="36"/>
  <c r="AF60" i="36"/>
  <c r="K59" i="36"/>
  <c r="AN59" i="36" s="1"/>
  <c r="J59" i="36"/>
  <c r="AM59" i="36" s="1"/>
  <c r="G60" i="36"/>
  <c r="AJ60" i="36" s="1"/>
  <c r="F60" i="36"/>
  <c r="AI60" i="36" s="1"/>
  <c r="E60" i="36"/>
  <c r="AH60" i="36" s="1"/>
  <c r="AG59" i="36"/>
  <c r="AF59" i="36"/>
  <c r="K58" i="36"/>
  <c r="AN58" i="36" s="1"/>
  <c r="J58" i="36"/>
  <c r="AM58" i="36" s="1"/>
  <c r="G59" i="36"/>
  <c r="AJ59" i="36" s="1"/>
  <c r="F59" i="36"/>
  <c r="AI59" i="36" s="1"/>
  <c r="E59" i="36"/>
  <c r="AH59" i="36" s="1"/>
  <c r="AG58" i="36"/>
  <c r="AF58" i="36"/>
  <c r="K57" i="36"/>
  <c r="AN57" i="36" s="1"/>
  <c r="J57" i="36"/>
  <c r="AM57" i="36" s="1"/>
  <c r="G58" i="36"/>
  <c r="AJ58" i="36" s="1"/>
  <c r="F58" i="36"/>
  <c r="AI58" i="36" s="1"/>
  <c r="E58" i="36"/>
  <c r="AH58" i="36" s="1"/>
  <c r="AG57" i="36"/>
  <c r="AF57" i="36"/>
  <c r="G57" i="36"/>
  <c r="AJ57" i="36" s="1"/>
  <c r="F57" i="36"/>
  <c r="AI57" i="36" s="1"/>
  <c r="E57" i="36"/>
  <c r="AH57" i="36" s="1"/>
  <c r="AG56" i="36"/>
  <c r="AF56" i="36"/>
  <c r="G56" i="36"/>
  <c r="AJ56" i="36" s="1"/>
  <c r="F56" i="36"/>
  <c r="AI56" i="36" s="1"/>
  <c r="E56" i="36"/>
  <c r="AH56" i="36" s="1"/>
  <c r="AG55" i="36"/>
  <c r="AF55" i="36"/>
  <c r="AG54" i="36"/>
  <c r="AF54" i="36"/>
  <c r="G54" i="36"/>
  <c r="AJ54" i="36" s="1"/>
  <c r="F54" i="36"/>
  <c r="AI54" i="36" s="1"/>
  <c r="E54" i="36"/>
  <c r="AH54" i="36" s="1"/>
  <c r="AG53" i="36"/>
  <c r="AF53" i="36"/>
  <c r="G53" i="36"/>
  <c r="AJ53" i="36" s="1"/>
  <c r="F53" i="36"/>
  <c r="AI53" i="36" s="1"/>
  <c r="E53" i="36"/>
  <c r="AH53" i="36" s="1"/>
  <c r="AG52" i="36"/>
  <c r="AF52" i="36"/>
  <c r="G52" i="36"/>
  <c r="AJ52" i="36" s="1"/>
  <c r="F52" i="36"/>
  <c r="AI52" i="36" s="1"/>
  <c r="E52" i="36"/>
  <c r="AH52" i="36" s="1"/>
  <c r="AG51" i="36"/>
  <c r="AF51" i="36"/>
  <c r="G51" i="36"/>
  <c r="AJ51" i="36" s="1"/>
  <c r="F51" i="36"/>
  <c r="AI51" i="36" s="1"/>
  <c r="E51" i="36"/>
  <c r="AH51" i="36" s="1"/>
  <c r="AG50" i="36"/>
  <c r="AF50" i="36"/>
  <c r="G50" i="36"/>
  <c r="AJ50" i="36" s="1"/>
  <c r="F50" i="36"/>
  <c r="AI50" i="36" s="1"/>
  <c r="E50" i="36"/>
  <c r="AH50" i="36" s="1"/>
  <c r="AG49" i="36"/>
  <c r="AF49" i="36"/>
  <c r="K48" i="36"/>
  <c r="AN48" i="36" s="1"/>
  <c r="J48" i="36"/>
  <c r="AM48" i="36" s="1"/>
  <c r="G49" i="36"/>
  <c r="AJ49" i="36" s="1"/>
  <c r="F49" i="36"/>
  <c r="AI49" i="36" s="1"/>
  <c r="E49" i="36"/>
  <c r="AH49" i="36" s="1"/>
  <c r="AG48" i="36"/>
  <c r="AF48" i="36"/>
  <c r="K47" i="36"/>
  <c r="AN47" i="36" s="1"/>
  <c r="J47" i="36"/>
  <c r="AM47" i="36" s="1"/>
  <c r="G48" i="36"/>
  <c r="AJ48" i="36" s="1"/>
  <c r="F48" i="36"/>
  <c r="AI48" i="36" s="1"/>
  <c r="E48" i="36"/>
  <c r="AH48" i="36" s="1"/>
  <c r="AG47" i="36"/>
  <c r="AF47" i="36"/>
  <c r="K46" i="36"/>
  <c r="AN46" i="36" s="1"/>
  <c r="J46" i="36"/>
  <c r="AM46" i="36" s="1"/>
  <c r="G47" i="36"/>
  <c r="AJ47" i="36" s="1"/>
  <c r="F47" i="36"/>
  <c r="AI47" i="36" s="1"/>
  <c r="E47" i="36"/>
  <c r="AH47" i="36" s="1"/>
  <c r="AG46" i="36"/>
  <c r="AF46" i="36"/>
  <c r="K45" i="36"/>
  <c r="AN45" i="36" s="1"/>
  <c r="J45" i="36"/>
  <c r="AM45" i="36" s="1"/>
  <c r="AG45" i="36"/>
  <c r="AF45" i="36"/>
  <c r="K44" i="36"/>
  <c r="AN44" i="36" s="1"/>
  <c r="J44" i="36"/>
  <c r="AM44" i="36" s="1"/>
  <c r="G45" i="36"/>
  <c r="AJ45" i="36" s="1"/>
  <c r="F45" i="36"/>
  <c r="AI45" i="36" s="1"/>
  <c r="E45" i="36"/>
  <c r="AH45" i="36" s="1"/>
  <c r="AG44" i="36"/>
  <c r="AF44" i="36"/>
  <c r="K43" i="36"/>
  <c r="AN43" i="36" s="1"/>
  <c r="J43" i="36"/>
  <c r="AM43" i="36" s="1"/>
  <c r="G44" i="36"/>
  <c r="AJ44" i="36" s="1"/>
  <c r="F44" i="36"/>
  <c r="AI44" i="36" s="1"/>
  <c r="E44" i="36"/>
  <c r="AH44" i="36" s="1"/>
  <c r="AG43" i="36"/>
  <c r="AF43" i="36"/>
  <c r="G43" i="36"/>
  <c r="AJ43" i="36" s="1"/>
  <c r="F43" i="36"/>
  <c r="AI43" i="36" s="1"/>
  <c r="E43" i="36"/>
  <c r="AH43" i="36" s="1"/>
  <c r="AG42" i="36"/>
  <c r="AF42" i="36"/>
  <c r="G42" i="36"/>
  <c r="AJ42" i="36" s="1"/>
  <c r="F42" i="36"/>
  <c r="AI42" i="36" s="1"/>
  <c r="E42" i="36"/>
  <c r="AH42" i="36" s="1"/>
  <c r="AG41" i="36"/>
  <c r="AF41" i="36"/>
  <c r="G41" i="36"/>
  <c r="AJ41" i="36" s="1"/>
  <c r="F41" i="36"/>
  <c r="AI41" i="36" s="1"/>
  <c r="E41" i="36"/>
  <c r="AH41" i="36" s="1"/>
  <c r="AG40" i="36"/>
  <c r="AF40" i="36"/>
  <c r="G40" i="36"/>
  <c r="AJ40" i="36" s="1"/>
  <c r="AI40" i="36"/>
  <c r="AH40" i="36"/>
  <c r="AG39" i="36"/>
  <c r="AF39" i="36"/>
  <c r="G39" i="36"/>
  <c r="AJ39" i="36" s="1"/>
  <c r="F39" i="36"/>
  <c r="AI39" i="36" s="1"/>
  <c r="E39" i="36"/>
  <c r="AH39" i="36" s="1"/>
  <c r="AG38" i="36"/>
  <c r="AF38" i="36"/>
  <c r="G38" i="36"/>
  <c r="AJ38" i="36" s="1"/>
  <c r="F38" i="36"/>
  <c r="AI38" i="36" s="1"/>
  <c r="E38" i="36"/>
  <c r="AH38" i="36" s="1"/>
  <c r="AG37" i="36"/>
  <c r="AF37" i="36"/>
  <c r="G37" i="36"/>
  <c r="AJ37" i="36" s="1"/>
  <c r="F37" i="36"/>
  <c r="AI37" i="36" s="1"/>
  <c r="E37" i="36"/>
  <c r="AH37" i="36" s="1"/>
  <c r="AG36" i="36"/>
  <c r="AF36" i="36"/>
  <c r="G36" i="36"/>
  <c r="AJ36" i="36" s="1"/>
  <c r="F36" i="36"/>
  <c r="AI36" i="36" s="1"/>
  <c r="E36" i="36"/>
  <c r="AH36" i="36" s="1"/>
  <c r="AG35" i="36"/>
  <c r="AF35" i="36"/>
  <c r="AG33" i="36"/>
  <c r="K33" i="36"/>
  <c r="AN33" i="36" s="1"/>
  <c r="J33" i="36"/>
  <c r="AM33" i="36" s="1"/>
  <c r="G33" i="36"/>
  <c r="AJ33" i="36" s="1"/>
  <c r="F33" i="36"/>
  <c r="AI33" i="36" s="1"/>
  <c r="AH33" i="36"/>
  <c r="AG32" i="36"/>
  <c r="K32" i="36"/>
  <c r="AN32" i="36" s="1"/>
  <c r="J32" i="36"/>
  <c r="AM32" i="36" s="1"/>
  <c r="G32" i="36"/>
  <c r="AJ32" i="36" s="1"/>
  <c r="F32" i="36"/>
  <c r="AI32" i="36" s="1"/>
  <c r="E32" i="36"/>
  <c r="AH32" i="36" s="1"/>
  <c r="AG31" i="36"/>
  <c r="K31" i="36"/>
  <c r="AN31" i="36" s="1"/>
  <c r="J31" i="36"/>
  <c r="AM31" i="36" s="1"/>
  <c r="G31" i="36"/>
  <c r="AJ31" i="36" s="1"/>
  <c r="F31" i="36"/>
  <c r="AI31" i="36" s="1"/>
  <c r="E31" i="36"/>
  <c r="AH31" i="36" s="1"/>
  <c r="AG30" i="36"/>
  <c r="K30" i="36"/>
  <c r="AN30" i="36" s="1"/>
  <c r="G30" i="36"/>
  <c r="AJ30" i="36" s="1"/>
  <c r="F30" i="36"/>
  <c r="AI30" i="36" s="1"/>
  <c r="E30" i="36"/>
  <c r="AH30" i="36" s="1"/>
  <c r="AG29" i="36"/>
  <c r="K29" i="36"/>
  <c r="AN29" i="36" s="1"/>
  <c r="J29" i="36"/>
  <c r="AM29" i="36" s="1"/>
  <c r="G29" i="36"/>
  <c r="AJ29" i="36" s="1"/>
  <c r="F29" i="36"/>
  <c r="AI29" i="36" s="1"/>
  <c r="E29" i="36"/>
  <c r="AH29" i="36" s="1"/>
  <c r="AG28" i="36"/>
  <c r="K28" i="36"/>
  <c r="AN28" i="36" s="1"/>
  <c r="G28" i="36"/>
  <c r="AJ28" i="36" s="1"/>
  <c r="F28" i="36"/>
  <c r="AI28" i="36" s="1"/>
  <c r="E28" i="36"/>
  <c r="AH28" i="36" s="1"/>
  <c r="AG27" i="36"/>
  <c r="AF27" i="36"/>
  <c r="G27" i="36"/>
  <c r="F27" i="36"/>
  <c r="E27" i="36"/>
  <c r="AH27" i="36" s="1"/>
  <c r="AG26" i="36"/>
  <c r="AA17" i="36"/>
  <c r="R17" i="36"/>
  <c r="AV17" i="36" s="1"/>
  <c r="R16" i="36"/>
  <c r="AV16" i="36" s="1"/>
  <c r="S13" i="36"/>
  <c r="AW13" i="36" s="1"/>
  <c r="K15" i="36"/>
  <c r="AO15" i="36" s="1"/>
  <c r="BB11" i="36"/>
  <c r="BA11" i="36"/>
  <c r="AZ11" i="36"/>
  <c r="AY11" i="36"/>
  <c r="AU11" i="36"/>
  <c r="AT11" i="36"/>
  <c r="AS11" i="36"/>
  <c r="AR11" i="36"/>
  <c r="AQ11" i="36"/>
  <c r="AM11" i="36"/>
  <c r="AL11" i="36"/>
  <c r="AK11" i="36"/>
  <c r="AJ11" i="36"/>
  <c r="AI11" i="36"/>
  <c r="AB11" i="36"/>
  <c r="AX11" i="36"/>
  <c r="AP11" i="36"/>
  <c r="BB10" i="36"/>
  <c r="BA10" i="36"/>
  <c r="AZ10" i="36"/>
  <c r="AY10" i="36"/>
  <c r="AU10" i="36"/>
  <c r="AT10" i="36"/>
  <c r="AS10" i="36"/>
  <c r="AR10" i="36"/>
  <c r="AQ10" i="36"/>
  <c r="AM10" i="36"/>
  <c r="AL10" i="36"/>
  <c r="AK10" i="36"/>
  <c r="AJ10" i="36"/>
  <c r="AI10" i="36"/>
  <c r="AB10" i="36"/>
  <c r="AX10" i="36"/>
  <c r="AP10" i="36"/>
  <c r="BB9" i="36"/>
  <c r="BA9" i="36"/>
  <c r="AZ9" i="36"/>
  <c r="AY9" i="36"/>
  <c r="AU9" i="36"/>
  <c r="AT9" i="36"/>
  <c r="AS9" i="36"/>
  <c r="AR9" i="36"/>
  <c r="AQ9" i="36"/>
  <c r="AM9" i="36"/>
  <c r="AL9" i="36"/>
  <c r="AK9" i="36"/>
  <c r="AJ9" i="36"/>
  <c r="AI9" i="36"/>
  <c r="AB9" i="36"/>
  <c r="AX9" i="36"/>
  <c r="AP9" i="36"/>
  <c r="BB8" i="36"/>
  <c r="BA8" i="36"/>
  <c r="AZ8" i="36"/>
  <c r="AY8" i="36"/>
  <c r="AU8" i="36"/>
  <c r="AT8" i="36"/>
  <c r="AS8" i="36"/>
  <c r="AR8" i="36"/>
  <c r="AQ8" i="36"/>
  <c r="AM8" i="36"/>
  <c r="AL8" i="36"/>
  <c r="AK8" i="36"/>
  <c r="AJ8" i="36"/>
  <c r="AI8" i="36"/>
  <c r="AB8" i="36"/>
  <c r="AX8" i="36"/>
  <c r="AP8" i="36"/>
  <c r="BB7" i="36"/>
  <c r="BA7" i="36"/>
  <c r="AZ7" i="36"/>
  <c r="AY7" i="36"/>
  <c r="AU7" i="36"/>
  <c r="AT7" i="36"/>
  <c r="AS7" i="36"/>
  <c r="AR7" i="36"/>
  <c r="AQ7" i="36"/>
  <c r="AM7" i="36"/>
  <c r="AL7" i="36"/>
  <c r="AK7" i="36"/>
  <c r="AJ7" i="36"/>
  <c r="AI7" i="36"/>
  <c r="AB7" i="36"/>
  <c r="AX7" i="36"/>
  <c r="AP7" i="36"/>
  <c r="BA6" i="36"/>
  <c r="AZ6" i="36"/>
  <c r="AY6" i="36"/>
  <c r="AU6" i="36"/>
  <c r="AT6" i="36"/>
  <c r="AS6" i="36"/>
  <c r="AR6" i="36"/>
  <c r="AQ6" i="36"/>
  <c r="AM6" i="36"/>
  <c r="AL6" i="36"/>
  <c r="AK6" i="36"/>
  <c r="AJ6" i="36"/>
  <c r="AI6" i="36"/>
  <c r="AB6" i="36"/>
  <c r="AP6" i="36"/>
  <c r="BF5" i="36"/>
  <c r="BC5" i="36"/>
  <c r="BB5" i="36"/>
  <c r="BA5" i="36"/>
  <c r="AZ5" i="36"/>
  <c r="AY5" i="36"/>
  <c r="AX5" i="36"/>
  <c r="AU5" i="36"/>
  <c r="AT5" i="36"/>
  <c r="AS5" i="36"/>
  <c r="AR5" i="36"/>
  <c r="AQ5" i="36"/>
  <c r="AP5" i="36"/>
  <c r="AM5" i="36"/>
  <c r="AL5" i="36"/>
  <c r="AK5" i="36"/>
  <c r="AJ5" i="36"/>
  <c r="AI5" i="36"/>
  <c r="X90" i="48"/>
  <c r="W90" i="48"/>
  <c r="V90" i="48"/>
  <c r="U90" i="48"/>
  <c r="T90" i="48"/>
  <c r="S90" i="48"/>
  <c r="R90" i="48"/>
  <c r="I90" i="48"/>
  <c r="H90" i="48"/>
  <c r="G90" i="48"/>
  <c r="F90" i="48"/>
  <c r="E90" i="48"/>
  <c r="D90" i="48"/>
  <c r="C90" i="48"/>
  <c r="X89" i="48"/>
  <c r="W89" i="48"/>
  <c r="V89" i="48"/>
  <c r="U89" i="48"/>
  <c r="T89" i="48"/>
  <c r="S89" i="48"/>
  <c r="R89" i="48"/>
  <c r="I89" i="48"/>
  <c r="H89" i="48"/>
  <c r="G89" i="48"/>
  <c r="F89" i="48"/>
  <c r="E89" i="48"/>
  <c r="D89" i="48"/>
  <c r="C89" i="48"/>
  <c r="X88" i="48"/>
  <c r="W88" i="48"/>
  <c r="V88" i="48"/>
  <c r="U88" i="48"/>
  <c r="T88" i="48"/>
  <c r="S88" i="48"/>
  <c r="R88" i="48"/>
  <c r="I88" i="48"/>
  <c r="H88" i="48"/>
  <c r="G88" i="48"/>
  <c r="F88" i="48"/>
  <c r="E88" i="48"/>
  <c r="D88" i="48"/>
  <c r="C88" i="48"/>
  <c r="X87" i="48"/>
  <c r="W87" i="48"/>
  <c r="V87" i="48"/>
  <c r="U87" i="48"/>
  <c r="T87" i="48"/>
  <c r="S87" i="48"/>
  <c r="R87" i="48"/>
  <c r="I87" i="48"/>
  <c r="H87" i="48"/>
  <c r="G87" i="48"/>
  <c r="F87" i="48"/>
  <c r="E87" i="48"/>
  <c r="D87" i="48"/>
  <c r="C87" i="48"/>
  <c r="X86" i="48"/>
  <c r="W86" i="48"/>
  <c r="V86" i="48"/>
  <c r="U86" i="48"/>
  <c r="T86" i="48"/>
  <c r="S86" i="48"/>
  <c r="R86" i="48"/>
  <c r="I86" i="48"/>
  <c r="H86" i="48"/>
  <c r="G86" i="48"/>
  <c r="F86" i="48"/>
  <c r="E86" i="48"/>
  <c r="D86" i="48"/>
  <c r="C86" i="48"/>
  <c r="X85" i="48"/>
  <c r="W85" i="48"/>
  <c r="V85" i="48"/>
  <c r="U85" i="48"/>
  <c r="T85" i="48"/>
  <c r="S85" i="48"/>
  <c r="R85" i="48"/>
  <c r="I85" i="48"/>
  <c r="H85" i="48"/>
  <c r="G85" i="48"/>
  <c r="F85" i="48"/>
  <c r="E85" i="48"/>
  <c r="D85" i="48"/>
  <c r="C85" i="48"/>
  <c r="X84" i="48"/>
  <c r="W84" i="48"/>
  <c r="V84" i="48"/>
  <c r="U84" i="48"/>
  <c r="T84" i="48"/>
  <c r="S84" i="48"/>
  <c r="R84" i="48"/>
  <c r="I84" i="48"/>
  <c r="H84" i="48"/>
  <c r="G84" i="48"/>
  <c r="F84" i="48"/>
  <c r="E84" i="48"/>
  <c r="D84" i="48"/>
  <c r="C84" i="48"/>
  <c r="T78" i="48"/>
  <c r="S78" i="48"/>
  <c r="R78" i="48"/>
  <c r="E78" i="48"/>
  <c r="D78" i="48"/>
  <c r="C78" i="48"/>
  <c r="T77" i="48"/>
  <c r="S77" i="48"/>
  <c r="R77" i="48"/>
  <c r="E77" i="48"/>
  <c r="D77" i="48"/>
  <c r="C77" i="48"/>
  <c r="T76" i="48"/>
  <c r="S76" i="48"/>
  <c r="R76" i="48"/>
  <c r="E76" i="48"/>
  <c r="D76" i="48"/>
  <c r="C76" i="48"/>
  <c r="V70" i="48"/>
  <c r="U70" i="48"/>
  <c r="T70" i="48"/>
  <c r="R70" i="48"/>
  <c r="G70" i="48"/>
  <c r="F70" i="48"/>
  <c r="E70" i="48"/>
  <c r="D70" i="48"/>
  <c r="C70" i="48"/>
  <c r="V69" i="48"/>
  <c r="U69" i="48"/>
  <c r="T69" i="48"/>
  <c r="R69" i="48"/>
  <c r="G69" i="48"/>
  <c r="F69" i="48"/>
  <c r="E69" i="48"/>
  <c r="D69" i="48"/>
  <c r="C69" i="48"/>
  <c r="V68" i="48"/>
  <c r="U68" i="48"/>
  <c r="R68" i="48"/>
  <c r="G68" i="48"/>
  <c r="F68" i="48"/>
  <c r="E68" i="48"/>
  <c r="D68" i="48"/>
  <c r="C68" i="48"/>
  <c r="V67" i="48"/>
  <c r="U67" i="48"/>
  <c r="T67" i="48"/>
  <c r="R67" i="48"/>
  <c r="G67" i="48"/>
  <c r="F67" i="48"/>
  <c r="E67" i="48"/>
  <c r="D67" i="48"/>
  <c r="C67" i="48"/>
  <c r="V66" i="48"/>
  <c r="U66" i="48"/>
  <c r="T66" i="48"/>
  <c r="S66" i="48"/>
  <c r="G66" i="48"/>
  <c r="F66" i="48"/>
  <c r="E66" i="48"/>
  <c r="D66" i="48"/>
  <c r="C66" i="48"/>
  <c r="Y59" i="48"/>
  <c r="X59" i="48"/>
  <c r="W59" i="48"/>
  <c r="V59" i="48"/>
  <c r="U59" i="48"/>
  <c r="T59" i="48"/>
  <c r="S59" i="48"/>
  <c r="R59" i="48"/>
  <c r="J59" i="48"/>
  <c r="I59" i="48"/>
  <c r="H59" i="48"/>
  <c r="G59" i="48"/>
  <c r="F59" i="48"/>
  <c r="E59" i="48"/>
  <c r="D59" i="48"/>
  <c r="C59" i="48"/>
  <c r="Y58" i="48"/>
  <c r="X58" i="48"/>
  <c r="W58" i="48"/>
  <c r="V58" i="48"/>
  <c r="U58" i="48"/>
  <c r="T58" i="48"/>
  <c r="S58" i="48"/>
  <c r="R58" i="48"/>
  <c r="J58" i="48"/>
  <c r="I58" i="48"/>
  <c r="H58" i="48"/>
  <c r="G58" i="48"/>
  <c r="F58" i="48"/>
  <c r="E58" i="48"/>
  <c r="D58" i="48"/>
  <c r="C58" i="48"/>
  <c r="Y57" i="48"/>
  <c r="X57" i="48"/>
  <c r="W57" i="48"/>
  <c r="V57" i="48"/>
  <c r="U57" i="48"/>
  <c r="T57" i="48"/>
  <c r="S57" i="48"/>
  <c r="R57" i="48"/>
  <c r="J57" i="48"/>
  <c r="I57" i="48"/>
  <c r="H57" i="48"/>
  <c r="G57" i="48"/>
  <c r="F57" i="48"/>
  <c r="E57" i="48"/>
  <c r="D57" i="48"/>
  <c r="C57" i="48"/>
  <c r="Y56" i="48"/>
  <c r="X56" i="48"/>
  <c r="W56" i="48"/>
  <c r="V56" i="48"/>
  <c r="U56" i="48"/>
  <c r="T56" i="48"/>
  <c r="S56" i="48"/>
  <c r="R56" i="48"/>
  <c r="J56" i="48"/>
  <c r="I56" i="48"/>
  <c r="H56" i="48"/>
  <c r="G56" i="48"/>
  <c r="F56" i="48"/>
  <c r="E56" i="48"/>
  <c r="D56" i="48"/>
  <c r="C56" i="48"/>
  <c r="Y55" i="48"/>
  <c r="X55" i="48"/>
  <c r="W55" i="48"/>
  <c r="V55" i="48"/>
  <c r="U55" i="48"/>
  <c r="T55" i="48"/>
  <c r="S55" i="48"/>
  <c r="R55" i="48"/>
  <c r="J55" i="48"/>
  <c r="I55" i="48"/>
  <c r="H55" i="48"/>
  <c r="G55" i="48"/>
  <c r="F55" i="48"/>
  <c r="E55" i="48"/>
  <c r="D55" i="48"/>
  <c r="C55" i="48"/>
  <c r="Y54" i="48"/>
  <c r="X54" i="48"/>
  <c r="W54" i="48"/>
  <c r="V54" i="48"/>
  <c r="U54" i="48"/>
  <c r="T54" i="48"/>
  <c r="S54" i="48"/>
  <c r="R54" i="48"/>
  <c r="J54" i="48"/>
  <c r="I54" i="48"/>
  <c r="H54" i="48"/>
  <c r="G54" i="48"/>
  <c r="F54" i="48"/>
  <c r="E54" i="48"/>
  <c r="D54" i="48"/>
  <c r="C54" i="48"/>
  <c r="Y53" i="48"/>
  <c r="X53" i="48"/>
  <c r="W53" i="48"/>
  <c r="V53" i="48"/>
  <c r="U53" i="48"/>
  <c r="T53" i="48"/>
  <c r="S53" i="48"/>
  <c r="R53" i="48"/>
  <c r="J53" i="48"/>
  <c r="I53" i="48"/>
  <c r="H53" i="48"/>
  <c r="G53" i="48"/>
  <c r="F53" i="48"/>
  <c r="E53" i="48"/>
  <c r="D53" i="48"/>
  <c r="C53" i="48"/>
  <c r="Y52" i="48"/>
  <c r="X52" i="48"/>
  <c r="W52" i="48"/>
  <c r="V52" i="48"/>
  <c r="U52" i="48"/>
  <c r="T52" i="48"/>
  <c r="S52" i="48"/>
  <c r="R52" i="48"/>
  <c r="J52" i="48"/>
  <c r="I52" i="48"/>
  <c r="H52" i="48"/>
  <c r="G52" i="48"/>
  <c r="F52" i="48"/>
  <c r="E52" i="48"/>
  <c r="D52" i="48"/>
  <c r="C52" i="48"/>
  <c r="AA46" i="48"/>
  <c r="Z46" i="48"/>
  <c r="Y46" i="48"/>
  <c r="X46" i="48"/>
  <c r="W46" i="48"/>
  <c r="V46" i="48"/>
  <c r="U46" i="48"/>
  <c r="T46" i="48"/>
  <c r="S46" i="48"/>
  <c r="R46" i="48"/>
  <c r="L46" i="48"/>
  <c r="K46" i="48"/>
  <c r="J46" i="48"/>
  <c r="I46" i="48"/>
  <c r="H46" i="48"/>
  <c r="G46" i="48"/>
  <c r="F46" i="48"/>
  <c r="E46" i="48"/>
  <c r="D46" i="48"/>
  <c r="C46" i="48"/>
  <c r="AA45" i="48"/>
  <c r="Z45" i="48"/>
  <c r="Y45" i="48"/>
  <c r="X45" i="48"/>
  <c r="W45" i="48"/>
  <c r="V45" i="48"/>
  <c r="U45" i="48"/>
  <c r="T45" i="48"/>
  <c r="S45" i="48"/>
  <c r="R45" i="48"/>
  <c r="L45" i="48"/>
  <c r="K45" i="48"/>
  <c r="J45" i="48"/>
  <c r="I45" i="48"/>
  <c r="H45" i="48"/>
  <c r="G45" i="48"/>
  <c r="F45" i="48"/>
  <c r="E45" i="48"/>
  <c r="D45" i="48"/>
  <c r="C45" i="48"/>
  <c r="AA44" i="48"/>
  <c r="Z44" i="48"/>
  <c r="Y44" i="48"/>
  <c r="X44" i="48"/>
  <c r="W44" i="48"/>
  <c r="V44" i="48"/>
  <c r="U44" i="48"/>
  <c r="T44" i="48"/>
  <c r="S44" i="48"/>
  <c r="R44" i="48"/>
  <c r="L44" i="48"/>
  <c r="K44" i="48"/>
  <c r="J44" i="48"/>
  <c r="I44" i="48"/>
  <c r="H44" i="48"/>
  <c r="G44" i="48"/>
  <c r="F44" i="48"/>
  <c r="E44" i="48"/>
  <c r="D44" i="48"/>
  <c r="C44" i="48"/>
  <c r="AA43" i="48"/>
  <c r="Z43" i="48"/>
  <c r="Y43" i="48"/>
  <c r="X43" i="48"/>
  <c r="W43" i="48"/>
  <c r="V43" i="48"/>
  <c r="U43" i="48"/>
  <c r="T43" i="48"/>
  <c r="S43" i="48"/>
  <c r="R43" i="48"/>
  <c r="L43" i="48"/>
  <c r="K43" i="48"/>
  <c r="J43" i="48"/>
  <c r="I43" i="48"/>
  <c r="H43" i="48"/>
  <c r="G43" i="48"/>
  <c r="F43" i="48"/>
  <c r="E43" i="48"/>
  <c r="D43" i="48"/>
  <c r="C43" i="48"/>
  <c r="AA42" i="48"/>
  <c r="Z42" i="48"/>
  <c r="Y42" i="48"/>
  <c r="X42" i="48"/>
  <c r="W42" i="48"/>
  <c r="V42" i="48"/>
  <c r="U42" i="48"/>
  <c r="T42" i="48"/>
  <c r="S42" i="48"/>
  <c r="R42" i="48"/>
  <c r="L42" i="48"/>
  <c r="K42" i="48"/>
  <c r="J42" i="48"/>
  <c r="I42" i="48"/>
  <c r="H42" i="48"/>
  <c r="G42" i="48"/>
  <c r="F42" i="48"/>
  <c r="E42" i="48"/>
  <c r="D42" i="48"/>
  <c r="C42" i="48"/>
  <c r="AA41" i="48"/>
  <c r="Z41" i="48"/>
  <c r="Y41" i="48"/>
  <c r="X41" i="48"/>
  <c r="W41" i="48"/>
  <c r="V41" i="48"/>
  <c r="U41" i="48"/>
  <c r="T41" i="48"/>
  <c r="S41" i="48"/>
  <c r="R41" i="48"/>
  <c r="L41" i="48"/>
  <c r="K41" i="48"/>
  <c r="J41" i="48"/>
  <c r="I41" i="48"/>
  <c r="H41" i="48"/>
  <c r="G41" i="48"/>
  <c r="F41" i="48"/>
  <c r="E41" i="48"/>
  <c r="D41" i="48"/>
  <c r="C41" i="48"/>
  <c r="AA40" i="48"/>
  <c r="Z40" i="48"/>
  <c r="Y40" i="48"/>
  <c r="X40" i="48"/>
  <c r="W40" i="48"/>
  <c r="V40" i="48"/>
  <c r="U40" i="48"/>
  <c r="T40" i="48"/>
  <c r="S40" i="48"/>
  <c r="R40" i="48"/>
  <c r="L40" i="48"/>
  <c r="K40" i="48"/>
  <c r="J40" i="48"/>
  <c r="I40" i="48"/>
  <c r="H40" i="48"/>
  <c r="G40" i="48"/>
  <c r="F40" i="48"/>
  <c r="E40" i="48"/>
  <c r="D40" i="48"/>
  <c r="C40" i="48"/>
  <c r="AA39" i="48"/>
  <c r="Z39" i="48"/>
  <c r="Y39" i="48"/>
  <c r="X39" i="48"/>
  <c r="W39" i="48"/>
  <c r="V39" i="48"/>
  <c r="U39" i="48"/>
  <c r="T39" i="48"/>
  <c r="S39" i="48"/>
  <c r="R39" i="48"/>
  <c r="L39" i="48"/>
  <c r="K39" i="48"/>
  <c r="J39" i="48"/>
  <c r="I39" i="48"/>
  <c r="H39" i="48"/>
  <c r="G39" i="48"/>
  <c r="F39" i="48"/>
  <c r="E39" i="48"/>
  <c r="D39" i="48"/>
  <c r="C39" i="48"/>
  <c r="AA38" i="48"/>
  <c r="Z38" i="48"/>
  <c r="Y38" i="48"/>
  <c r="X38" i="48"/>
  <c r="W38" i="48"/>
  <c r="V38" i="48"/>
  <c r="U38" i="48"/>
  <c r="T38" i="48"/>
  <c r="S38" i="48"/>
  <c r="R38" i="48"/>
  <c r="L38" i="48"/>
  <c r="K38" i="48"/>
  <c r="J38" i="48"/>
  <c r="I38" i="48"/>
  <c r="H38" i="48"/>
  <c r="G38" i="48"/>
  <c r="F38" i="48"/>
  <c r="E38" i="48"/>
  <c r="D38" i="48"/>
  <c r="C38" i="48"/>
  <c r="AA37" i="48"/>
  <c r="Z37" i="48"/>
  <c r="Y37" i="48"/>
  <c r="X37" i="48"/>
  <c r="W37" i="48"/>
  <c r="V37" i="48"/>
  <c r="U37" i="48"/>
  <c r="T37" i="48"/>
  <c r="S37" i="48"/>
  <c r="R37" i="48"/>
  <c r="L37" i="48"/>
  <c r="K37" i="48"/>
  <c r="J37" i="48"/>
  <c r="I37" i="48"/>
  <c r="H37" i="48"/>
  <c r="G37" i="48"/>
  <c r="F37" i="48"/>
  <c r="E37" i="48"/>
  <c r="D37" i="48"/>
  <c r="C37" i="48"/>
  <c r="V28" i="48"/>
  <c r="U28" i="48"/>
  <c r="T28" i="48"/>
  <c r="S28" i="48"/>
  <c r="R28" i="48"/>
  <c r="H28" i="48"/>
  <c r="G28" i="48"/>
  <c r="F28" i="48"/>
  <c r="E28" i="48"/>
  <c r="D28" i="48"/>
  <c r="W27" i="48"/>
  <c r="U27" i="48"/>
  <c r="T27" i="48"/>
  <c r="S27" i="48"/>
  <c r="R27" i="48"/>
  <c r="H27" i="48"/>
  <c r="G27" i="48"/>
  <c r="F27" i="48"/>
  <c r="E27" i="48"/>
  <c r="D27" i="48"/>
  <c r="C27" i="48"/>
  <c r="W26" i="48"/>
  <c r="V26" i="48"/>
  <c r="U26" i="48"/>
  <c r="T26" i="48"/>
  <c r="S26" i="48"/>
  <c r="R26" i="48"/>
  <c r="H26" i="48"/>
  <c r="G26" i="48"/>
  <c r="F26" i="48"/>
  <c r="E26" i="48"/>
  <c r="D26" i="48"/>
  <c r="C26" i="48"/>
  <c r="W25" i="48"/>
  <c r="V25" i="48"/>
  <c r="U25" i="48"/>
  <c r="T25" i="48"/>
  <c r="S25" i="48"/>
  <c r="R25" i="48"/>
  <c r="H25" i="48"/>
  <c r="G25" i="48"/>
  <c r="F25" i="48"/>
  <c r="E25" i="48"/>
  <c r="D25" i="48"/>
  <c r="C25" i="48"/>
  <c r="W24" i="48"/>
  <c r="V24" i="48"/>
  <c r="U24" i="48"/>
  <c r="T24" i="48"/>
  <c r="H24" i="48"/>
  <c r="G24" i="48"/>
  <c r="F24" i="48"/>
  <c r="E24" i="48"/>
  <c r="D24" i="48"/>
  <c r="C24" i="48"/>
  <c r="W23" i="48"/>
  <c r="V23" i="48"/>
  <c r="U23" i="48"/>
  <c r="T23" i="48"/>
  <c r="H23" i="48"/>
  <c r="G23" i="48"/>
  <c r="F23" i="48"/>
  <c r="E23" i="48"/>
  <c r="D23" i="48"/>
  <c r="X14" i="48"/>
  <c r="W14" i="48"/>
  <c r="V14" i="48"/>
  <c r="U14" i="48"/>
  <c r="T14" i="48"/>
  <c r="S14" i="48"/>
  <c r="R14" i="48"/>
  <c r="G14" i="48"/>
  <c r="F14" i="48"/>
  <c r="E14" i="48"/>
  <c r="D14" i="48"/>
  <c r="C14" i="48"/>
  <c r="AF14" i="48"/>
  <c r="AE14" i="48"/>
  <c r="AD14" i="48"/>
  <c r="AC14" i="48"/>
  <c r="X13" i="48"/>
  <c r="W13" i="48"/>
  <c r="V13" i="48"/>
  <c r="U13" i="48"/>
  <c r="T13" i="48"/>
  <c r="S13" i="48"/>
  <c r="R13" i="48"/>
  <c r="H13" i="48"/>
  <c r="G13" i="48"/>
  <c r="F13" i="48"/>
  <c r="E13" i="48"/>
  <c r="D13" i="48"/>
  <c r="C13" i="48"/>
  <c r="AF13" i="48"/>
  <c r="AE13" i="48"/>
  <c r="AD13" i="48"/>
  <c r="AC13" i="48"/>
  <c r="X12" i="48"/>
  <c r="W12" i="48"/>
  <c r="V12" i="48"/>
  <c r="U12" i="48"/>
  <c r="T12" i="48"/>
  <c r="S12" i="48"/>
  <c r="R12" i="48"/>
  <c r="H12" i="48"/>
  <c r="G12" i="48"/>
  <c r="F12" i="48"/>
  <c r="E12" i="48"/>
  <c r="D12" i="48"/>
  <c r="C12" i="48"/>
  <c r="AF12" i="48"/>
  <c r="AE12" i="48"/>
  <c r="AD12" i="48"/>
  <c r="AC12" i="48"/>
  <c r="X11" i="48"/>
  <c r="W11" i="48"/>
  <c r="V11" i="48"/>
  <c r="U11" i="48"/>
  <c r="T11" i="48"/>
  <c r="S11" i="48"/>
  <c r="R11" i="48"/>
  <c r="H11" i="48"/>
  <c r="G11" i="48"/>
  <c r="F11" i="48"/>
  <c r="E11" i="48"/>
  <c r="D11" i="48"/>
  <c r="C11" i="48"/>
  <c r="AF11" i="48"/>
  <c r="AE11" i="48"/>
  <c r="AD11" i="48"/>
  <c r="AC11" i="48"/>
  <c r="X10" i="48"/>
  <c r="W10" i="48"/>
  <c r="V10" i="48"/>
  <c r="U10" i="48"/>
  <c r="T10" i="48"/>
  <c r="S10" i="48"/>
  <c r="R10" i="48"/>
  <c r="H10" i="48"/>
  <c r="G10" i="48"/>
  <c r="F10" i="48"/>
  <c r="E10" i="48"/>
  <c r="D10" i="48"/>
  <c r="AF10" i="48"/>
  <c r="AE10" i="48"/>
  <c r="AD10" i="48"/>
  <c r="AC10" i="48"/>
  <c r="X9" i="48"/>
  <c r="W9" i="48"/>
  <c r="V9" i="48"/>
  <c r="U9" i="48"/>
  <c r="T9" i="48"/>
  <c r="S9" i="48"/>
  <c r="R9" i="48"/>
  <c r="H9" i="48"/>
  <c r="G9" i="48"/>
  <c r="F9" i="48"/>
  <c r="E9" i="48"/>
  <c r="AE9" i="48"/>
  <c r="AD9" i="48"/>
  <c r="AC9" i="48"/>
  <c r="I45" i="49"/>
  <c r="K42" i="49"/>
  <c r="K38" i="49"/>
  <c r="J37" i="49"/>
  <c r="K36" i="49"/>
  <c r="L12" i="49"/>
  <c r="K12" i="49"/>
  <c r="J12" i="49"/>
  <c r="I12" i="49"/>
  <c r="H12" i="49"/>
  <c r="L11" i="49"/>
  <c r="K11" i="49"/>
  <c r="J11" i="49"/>
  <c r="I11" i="49"/>
  <c r="H11" i="49"/>
  <c r="G11" i="49"/>
  <c r="L10" i="49"/>
  <c r="K10" i="49"/>
  <c r="J10" i="49"/>
  <c r="I10" i="49"/>
  <c r="H10" i="49"/>
  <c r="G10" i="49"/>
  <c r="L9" i="49"/>
  <c r="K9" i="49"/>
  <c r="J9" i="49"/>
  <c r="I9" i="49"/>
  <c r="H9" i="49"/>
  <c r="G9" i="49"/>
  <c r="L8" i="49"/>
  <c r="K8" i="49"/>
  <c r="J8" i="49"/>
  <c r="I8" i="49"/>
  <c r="H8" i="49"/>
  <c r="G8" i="49"/>
  <c r="L7" i="49"/>
  <c r="K7" i="49"/>
  <c r="J7" i="49"/>
  <c r="I7" i="49"/>
  <c r="H7" i="49"/>
  <c r="G7" i="49"/>
  <c r="L6" i="49"/>
  <c r="K6" i="49"/>
  <c r="J6" i="49"/>
  <c r="I6" i="49"/>
  <c r="H6" i="49"/>
  <c r="G6" i="49"/>
  <c r="L5" i="49"/>
  <c r="K5" i="49"/>
  <c r="J5" i="49"/>
  <c r="I5" i="49"/>
  <c r="H5" i="49"/>
  <c r="O14" i="42"/>
  <c r="AF14" i="42" s="1"/>
  <c r="N14" i="42"/>
  <c r="M14" i="42"/>
  <c r="AD14" i="42" s="1"/>
  <c r="L14" i="42"/>
  <c r="AC14" i="42" s="1"/>
  <c r="K14" i="42"/>
  <c r="AB14" i="42" s="1"/>
  <c r="J14" i="42"/>
  <c r="AA14" i="42" s="1"/>
  <c r="I14" i="42"/>
  <c r="Z14" i="42" s="1"/>
  <c r="H14" i="42"/>
  <c r="O13" i="42"/>
  <c r="AF13" i="42" s="1"/>
  <c r="N13" i="42"/>
  <c r="AE13" i="42" s="1"/>
  <c r="M13" i="42"/>
  <c r="AD13" i="42" s="1"/>
  <c r="L13" i="42"/>
  <c r="AC13" i="42" s="1"/>
  <c r="K13" i="42"/>
  <c r="AB13" i="42" s="1"/>
  <c r="J13" i="42"/>
  <c r="AA13" i="42" s="1"/>
  <c r="I13" i="42"/>
  <c r="Z13" i="42" s="1"/>
  <c r="H13" i="42"/>
  <c r="O12" i="42"/>
  <c r="AF12" i="42" s="1"/>
  <c r="N12" i="42"/>
  <c r="AE12" i="42" s="1"/>
  <c r="M12" i="42"/>
  <c r="AD12" i="42" s="1"/>
  <c r="L12" i="42"/>
  <c r="AC12" i="42" s="1"/>
  <c r="K12" i="42"/>
  <c r="AB12" i="42" s="1"/>
  <c r="J12" i="42"/>
  <c r="I12" i="42"/>
  <c r="Z12" i="42" s="1"/>
  <c r="H12" i="42"/>
  <c r="O11" i="42"/>
  <c r="N11" i="42"/>
  <c r="AE11" i="42" s="1"/>
  <c r="M11" i="42"/>
  <c r="AD11" i="42" s="1"/>
  <c r="L11" i="42"/>
  <c r="K11" i="42"/>
  <c r="J11" i="42"/>
  <c r="AA11" i="42" s="1"/>
  <c r="I11" i="42"/>
  <c r="Z11" i="42" s="1"/>
  <c r="H11" i="42"/>
  <c r="Y11" i="42" s="1"/>
  <c r="O10" i="42"/>
  <c r="AF10" i="42" s="1"/>
  <c r="N10" i="42"/>
  <c r="M10" i="42"/>
  <c r="L10" i="42"/>
  <c r="AC10" i="42" s="1"/>
  <c r="K10" i="42"/>
  <c r="AB10" i="42" s="1"/>
  <c r="J10" i="42"/>
  <c r="AA10" i="42" s="1"/>
  <c r="I10" i="42"/>
  <c r="Z10" i="42" s="1"/>
  <c r="H10" i="42"/>
  <c r="O9" i="42"/>
  <c r="N9" i="42"/>
  <c r="AE9" i="42" s="1"/>
  <c r="M9" i="42"/>
  <c r="AD9" i="42" s="1"/>
  <c r="L9" i="42"/>
  <c r="K9" i="42"/>
  <c r="J9" i="42"/>
  <c r="AA9" i="42" s="1"/>
  <c r="I9" i="42"/>
  <c r="H9" i="42"/>
  <c r="O134" i="42"/>
  <c r="AF134" i="42" s="1"/>
  <c r="N134" i="42"/>
  <c r="AE134" i="42" s="1"/>
  <c r="M134" i="42"/>
  <c r="L134" i="42"/>
  <c r="AC134" i="42" s="1"/>
  <c r="K134" i="42"/>
  <c r="AB134" i="42" s="1"/>
  <c r="J134" i="42"/>
  <c r="AA134" i="42" s="1"/>
  <c r="I134" i="42"/>
  <c r="H134" i="42"/>
  <c r="D134" i="42"/>
  <c r="U134" i="42" s="1"/>
  <c r="O133" i="42"/>
  <c r="AF133" i="42" s="1"/>
  <c r="N133" i="42"/>
  <c r="AE133" i="42" s="1"/>
  <c r="M133" i="42"/>
  <c r="L133" i="42"/>
  <c r="AC133" i="42" s="1"/>
  <c r="K133" i="42"/>
  <c r="AB133" i="42" s="1"/>
  <c r="J133" i="42"/>
  <c r="I133" i="42"/>
  <c r="H133" i="42"/>
  <c r="Y133" i="42" s="1"/>
  <c r="D133" i="42"/>
  <c r="U133" i="42" s="1"/>
  <c r="O132" i="42"/>
  <c r="AF132" i="42" s="1"/>
  <c r="N132" i="42"/>
  <c r="AE132" i="42" s="1"/>
  <c r="M132" i="42"/>
  <c r="L132" i="42"/>
  <c r="AC132" i="42" s="1"/>
  <c r="K132" i="42"/>
  <c r="AB132" i="42" s="1"/>
  <c r="J132" i="42"/>
  <c r="AA132" i="42" s="1"/>
  <c r="I132" i="42"/>
  <c r="H132" i="42"/>
  <c r="Y132" i="42" s="1"/>
  <c r="D132" i="42"/>
  <c r="U132" i="42" s="1"/>
  <c r="O131" i="42"/>
  <c r="AF131" i="42" s="1"/>
  <c r="N131" i="42"/>
  <c r="AE131" i="42" s="1"/>
  <c r="M131" i="42"/>
  <c r="L131" i="42"/>
  <c r="AC131" i="42" s="1"/>
  <c r="K131" i="42"/>
  <c r="AB131" i="42" s="1"/>
  <c r="J131" i="42"/>
  <c r="AA131" i="42" s="1"/>
  <c r="I131" i="42"/>
  <c r="H131" i="42"/>
  <c r="Y131" i="42" s="1"/>
  <c r="D131" i="42"/>
  <c r="U131" i="42" s="1"/>
  <c r="O130" i="42"/>
  <c r="AF130" i="42" s="1"/>
  <c r="N130" i="42"/>
  <c r="AE130" i="42" s="1"/>
  <c r="M130" i="42"/>
  <c r="L130" i="42"/>
  <c r="AC130" i="42" s="1"/>
  <c r="K130" i="42"/>
  <c r="AB130" i="42" s="1"/>
  <c r="J130" i="42"/>
  <c r="AA130" i="42" s="1"/>
  <c r="I130" i="42"/>
  <c r="H130" i="42"/>
  <c r="D130" i="42"/>
  <c r="U130" i="42" s="1"/>
  <c r="O129" i="42"/>
  <c r="AF129" i="42" s="1"/>
  <c r="N129" i="42"/>
  <c r="M129" i="42"/>
  <c r="L129" i="42"/>
  <c r="AC129" i="42" s="1"/>
  <c r="K129" i="42"/>
  <c r="AB129" i="42" s="1"/>
  <c r="J129" i="42"/>
  <c r="I129" i="42"/>
  <c r="H129" i="42"/>
  <c r="Y129" i="42" s="1"/>
  <c r="D129" i="42"/>
  <c r="M90" i="42"/>
  <c r="AD90" i="42" s="1"/>
  <c r="L90" i="42"/>
  <c r="K90" i="42"/>
  <c r="AB90" i="42" s="1"/>
  <c r="J90" i="42"/>
  <c r="I90" i="42"/>
  <c r="Z90" i="42" s="1"/>
  <c r="H90" i="42"/>
  <c r="D90" i="42"/>
  <c r="U90" i="42" s="1"/>
  <c r="M89" i="42"/>
  <c r="AD89" i="42" s="1"/>
  <c r="L89" i="42"/>
  <c r="K89" i="42"/>
  <c r="AB89" i="42" s="1"/>
  <c r="J89" i="42"/>
  <c r="AA89" i="42" s="1"/>
  <c r="I89" i="42"/>
  <c r="Z89" i="42" s="1"/>
  <c r="H89" i="42"/>
  <c r="Y89" i="42" s="1"/>
  <c r="D89" i="42"/>
  <c r="U89" i="42" s="1"/>
  <c r="M88" i="42"/>
  <c r="AD88" i="42" s="1"/>
  <c r="L88" i="42"/>
  <c r="K88" i="42"/>
  <c r="AB88" i="42" s="1"/>
  <c r="J88" i="42"/>
  <c r="AA88" i="42" s="1"/>
  <c r="I88" i="42"/>
  <c r="Z88" i="42" s="1"/>
  <c r="H88" i="42"/>
  <c r="Y88" i="42" s="1"/>
  <c r="D88" i="42"/>
  <c r="U88" i="42" s="1"/>
  <c r="M87" i="42"/>
  <c r="AD87" i="42" s="1"/>
  <c r="L87" i="42"/>
  <c r="AC87" i="42" s="1"/>
  <c r="K87" i="42"/>
  <c r="AB87" i="42" s="1"/>
  <c r="J87" i="42"/>
  <c r="I87" i="42"/>
  <c r="Z87" i="42" s="1"/>
  <c r="H87" i="42"/>
  <c r="D87" i="42"/>
  <c r="U87" i="42" s="1"/>
  <c r="M86" i="42"/>
  <c r="L86" i="42"/>
  <c r="AC86" i="42" s="1"/>
  <c r="K86" i="42"/>
  <c r="AB86" i="42" s="1"/>
  <c r="J86" i="42"/>
  <c r="AA86" i="42" s="1"/>
  <c r="I86" i="42"/>
  <c r="Z86" i="42" s="1"/>
  <c r="H86" i="42"/>
  <c r="Y86" i="42" s="1"/>
  <c r="D86" i="42"/>
  <c r="U86" i="42" s="1"/>
  <c r="M85" i="42"/>
  <c r="L85" i="42"/>
  <c r="AC85" i="42" s="1"/>
  <c r="K85" i="42"/>
  <c r="J85" i="42"/>
  <c r="I85" i="42"/>
  <c r="H85" i="42"/>
  <c r="D85" i="42"/>
  <c r="N41" i="42"/>
  <c r="AE41" i="42" s="1"/>
  <c r="M41" i="42"/>
  <c r="AD41" i="42" s="1"/>
  <c r="L41" i="42"/>
  <c r="AC41" i="42" s="1"/>
  <c r="K41" i="42"/>
  <c r="AB41" i="42" s="1"/>
  <c r="J41" i="42"/>
  <c r="I41" i="42"/>
  <c r="H41" i="42"/>
  <c r="D41" i="42"/>
  <c r="U41" i="42" s="1"/>
  <c r="N40" i="42"/>
  <c r="M40" i="42"/>
  <c r="L40" i="42"/>
  <c r="AC40" i="42" s="1"/>
  <c r="K40" i="42"/>
  <c r="J40" i="42"/>
  <c r="AA40" i="42" s="1"/>
  <c r="I40" i="42"/>
  <c r="H40" i="42"/>
  <c r="D40" i="42"/>
  <c r="U40" i="42" s="1"/>
  <c r="N39" i="42"/>
  <c r="AE39" i="42" s="1"/>
  <c r="M39" i="42"/>
  <c r="L39" i="42"/>
  <c r="AC39" i="42" s="1"/>
  <c r="K39" i="42"/>
  <c r="J39" i="42"/>
  <c r="AA39" i="42" s="1"/>
  <c r="I39" i="42"/>
  <c r="Z39" i="42" s="1"/>
  <c r="H39" i="42"/>
  <c r="Y39" i="42" s="1"/>
  <c r="D39" i="42"/>
  <c r="U39" i="42" s="1"/>
  <c r="N38" i="42"/>
  <c r="AE38" i="42" s="1"/>
  <c r="M38" i="42"/>
  <c r="L38" i="42"/>
  <c r="AC38" i="42" s="1"/>
  <c r="K38" i="42"/>
  <c r="AB38" i="42" s="1"/>
  <c r="J38" i="42"/>
  <c r="I38" i="42"/>
  <c r="H38" i="42"/>
  <c r="Y38" i="42" s="1"/>
  <c r="D38" i="42"/>
  <c r="U38" i="42" s="1"/>
  <c r="N37" i="42"/>
  <c r="AE37" i="42" s="1"/>
  <c r="M37" i="42"/>
  <c r="AD37" i="42" s="1"/>
  <c r="L37" i="42"/>
  <c r="AC37" i="42" s="1"/>
  <c r="K37" i="42"/>
  <c r="J37" i="42"/>
  <c r="AA37" i="42" s="1"/>
  <c r="I37" i="42"/>
  <c r="H37" i="42"/>
  <c r="Y37" i="42" s="1"/>
  <c r="D37" i="42"/>
  <c r="N36" i="42"/>
  <c r="AE36" i="42" s="1"/>
  <c r="M36" i="42"/>
  <c r="AD36" i="42" s="1"/>
  <c r="L36" i="42"/>
  <c r="AC36" i="42" s="1"/>
  <c r="K36" i="42"/>
  <c r="J36" i="42"/>
  <c r="AA36" i="42" s="1"/>
  <c r="I36" i="42"/>
  <c r="H36" i="42"/>
  <c r="I288" i="35"/>
  <c r="S288" i="35" s="1"/>
  <c r="G288" i="35"/>
  <c r="Q288" i="35" s="1"/>
  <c r="F288" i="35"/>
  <c r="P288" i="35" s="1"/>
  <c r="E288" i="35"/>
  <c r="I287" i="35"/>
  <c r="G287" i="35"/>
  <c r="F287" i="35"/>
  <c r="P287" i="35" s="1"/>
  <c r="E287" i="35"/>
  <c r="I286" i="35"/>
  <c r="S286" i="35" s="1"/>
  <c r="G286" i="35"/>
  <c r="Q286" i="35" s="1"/>
  <c r="F286" i="35"/>
  <c r="P286" i="35" s="1"/>
  <c r="E286" i="35"/>
  <c r="I285" i="35"/>
  <c r="S285" i="35" s="1"/>
  <c r="G285" i="35"/>
  <c r="Q285" i="35" s="1"/>
  <c r="F285" i="35"/>
  <c r="E285" i="35"/>
  <c r="O285" i="35" s="1"/>
  <c r="I284" i="35"/>
  <c r="G284" i="35"/>
  <c r="Q284" i="35" s="1"/>
  <c r="F284" i="35"/>
  <c r="P284" i="35" s="1"/>
  <c r="E284" i="35"/>
  <c r="O284" i="35" s="1"/>
  <c r="I283" i="35"/>
  <c r="G283" i="35"/>
  <c r="Q283" i="35" s="1"/>
  <c r="F283" i="35"/>
  <c r="P283" i="35" s="1"/>
  <c r="E283" i="35"/>
  <c r="O283" i="35" s="1"/>
  <c r="I236" i="35"/>
  <c r="S236" i="35" s="1"/>
  <c r="G236" i="35"/>
  <c r="Q236" i="35" s="1"/>
  <c r="F236" i="35"/>
  <c r="P236" i="35" s="1"/>
  <c r="E236" i="35"/>
  <c r="I235" i="35"/>
  <c r="S235" i="35" s="1"/>
  <c r="G235" i="35"/>
  <c r="Q235" i="35" s="1"/>
  <c r="F235" i="35"/>
  <c r="P235" i="35" s="1"/>
  <c r="E235" i="35"/>
  <c r="O235" i="35" s="1"/>
  <c r="I234" i="35"/>
  <c r="S234" i="35" s="1"/>
  <c r="G234" i="35"/>
  <c r="Q234" i="35" s="1"/>
  <c r="F234" i="35"/>
  <c r="P234" i="35" s="1"/>
  <c r="E234" i="35"/>
  <c r="O234" i="35" s="1"/>
  <c r="G233" i="35"/>
  <c r="Q233" i="35" s="1"/>
  <c r="F233" i="35"/>
  <c r="P233" i="35" s="1"/>
  <c r="E233" i="35"/>
  <c r="O233" i="35" s="1"/>
  <c r="I232" i="35"/>
  <c r="S232" i="35" s="1"/>
  <c r="G232" i="35"/>
  <c r="Q232" i="35" s="1"/>
  <c r="F232" i="35"/>
  <c r="P232" i="35" s="1"/>
  <c r="E232" i="35"/>
  <c r="O232" i="35" s="1"/>
  <c r="F231" i="35"/>
  <c r="P231" i="35" s="1"/>
  <c r="E231" i="35"/>
  <c r="I173" i="35"/>
  <c r="S173" i="35" s="1"/>
  <c r="G173" i="35"/>
  <c r="Q173" i="35" s="1"/>
  <c r="F173" i="35"/>
  <c r="P173" i="35" s="1"/>
  <c r="E173" i="35"/>
  <c r="O173" i="35" s="1"/>
  <c r="I172" i="35"/>
  <c r="G172" i="35"/>
  <c r="Q172" i="35" s="1"/>
  <c r="F172" i="35"/>
  <c r="P172" i="35" s="1"/>
  <c r="E172" i="35"/>
  <c r="O172" i="35" s="1"/>
  <c r="I171" i="35"/>
  <c r="S171" i="35" s="1"/>
  <c r="G171" i="35"/>
  <c r="Q171" i="35" s="1"/>
  <c r="F171" i="35"/>
  <c r="P171" i="35" s="1"/>
  <c r="E171" i="35"/>
  <c r="I170" i="35"/>
  <c r="S170" i="35" s="1"/>
  <c r="G170" i="35"/>
  <c r="Q170" i="35" s="1"/>
  <c r="F170" i="35"/>
  <c r="E170" i="35"/>
  <c r="O170" i="35" s="1"/>
  <c r="I169" i="35"/>
  <c r="G169" i="35"/>
  <c r="Q169" i="35" s="1"/>
  <c r="F169" i="35"/>
  <c r="P169" i="35" s="1"/>
  <c r="E169" i="35"/>
  <c r="O169" i="35" s="1"/>
  <c r="I168" i="35"/>
  <c r="G168" i="35"/>
  <c r="F168" i="35"/>
  <c r="P168" i="35" s="1"/>
  <c r="O168" i="35"/>
  <c r="S11" i="35"/>
  <c r="G11" i="35"/>
  <c r="Q11" i="35" s="1"/>
  <c r="F11" i="35"/>
  <c r="P11" i="35" s="1"/>
  <c r="S10" i="35"/>
  <c r="G10" i="35"/>
  <c r="Q10" i="35" s="1"/>
  <c r="F10" i="35"/>
  <c r="O10" i="35"/>
  <c r="G9" i="35"/>
  <c r="Q9" i="35" s="1"/>
  <c r="F9" i="35"/>
  <c r="P9" i="35" s="1"/>
  <c r="O9" i="35"/>
  <c r="S8" i="35"/>
  <c r="G8" i="35"/>
  <c r="F8" i="35"/>
  <c r="O8" i="35"/>
  <c r="S7" i="35"/>
  <c r="Q7" i="35"/>
  <c r="F7" i="35"/>
  <c r="O6" i="35"/>
  <c r="N117" i="35"/>
  <c r="N128" i="35" s="1"/>
  <c r="D117" i="35"/>
  <c r="D128" i="35" s="1"/>
  <c r="N116" i="35"/>
  <c r="N127" i="35" s="1"/>
  <c r="D116" i="35"/>
  <c r="D127" i="35" s="1"/>
  <c r="N115" i="35"/>
  <c r="N126" i="35" s="1"/>
  <c r="D115" i="35"/>
  <c r="D126" i="35" s="1"/>
  <c r="N114" i="35"/>
  <c r="N125" i="35" s="1"/>
  <c r="D114" i="35"/>
  <c r="D125" i="35" s="1"/>
  <c r="N113" i="35"/>
  <c r="N124" i="35" s="1"/>
  <c r="D113" i="35"/>
  <c r="D124" i="35" s="1"/>
  <c r="K368" i="34"/>
  <c r="AD368" i="34" s="1"/>
  <c r="J368" i="34"/>
  <c r="AC368" i="34" s="1"/>
  <c r="I368" i="34"/>
  <c r="AB368" i="34" s="1"/>
  <c r="H368" i="34"/>
  <c r="AA368" i="34" s="1"/>
  <c r="G368" i="34"/>
  <c r="Z368" i="34" s="1"/>
  <c r="F368" i="34"/>
  <c r="Y368" i="34" s="1"/>
  <c r="E368" i="34"/>
  <c r="X368" i="34" s="1"/>
  <c r="K367" i="34"/>
  <c r="AD367" i="34" s="1"/>
  <c r="J367" i="34"/>
  <c r="AC367" i="34" s="1"/>
  <c r="I367" i="34"/>
  <c r="AB367" i="34" s="1"/>
  <c r="H367" i="34"/>
  <c r="AA367" i="34" s="1"/>
  <c r="G367" i="34"/>
  <c r="Z367" i="34" s="1"/>
  <c r="F367" i="34"/>
  <c r="Y367" i="34" s="1"/>
  <c r="E367" i="34"/>
  <c r="X367" i="34" s="1"/>
  <c r="K366" i="34"/>
  <c r="AD366" i="34" s="1"/>
  <c r="J366" i="34"/>
  <c r="AC366" i="34" s="1"/>
  <c r="I366" i="34"/>
  <c r="AB366" i="34" s="1"/>
  <c r="H366" i="34"/>
  <c r="AA366" i="34" s="1"/>
  <c r="G366" i="34"/>
  <c r="Z366" i="34" s="1"/>
  <c r="F366" i="34"/>
  <c r="Y366" i="34" s="1"/>
  <c r="E366" i="34"/>
  <c r="X366" i="34" s="1"/>
  <c r="K365" i="34"/>
  <c r="AD365" i="34" s="1"/>
  <c r="J365" i="34"/>
  <c r="AC365" i="34" s="1"/>
  <c r="I365" i="34"/>
  <c r="AB365" i="34" s="1"/>
  <c r="H365" i="34"/>
  <c r="AA365" i="34" s="1"/>
  <c r="G365" i="34"/>
  <c r="Z365" i="34" s="1"/>
  <c r="F365" i="34"/>
  <c r="Y365" i="34" s="1"/>
  <c r="E365" i="34"/>
  <c r="X365" i="34" s="1"/>
  <c r="K364" i="34"/>
  <c r="AD364" i="34" s="1"/>
  <c r="J364" i="34"/>
  <c r="AC364" i="34" s="1"/>
  <c r="I364" i="34"/>
  <c r="AB364" i="34" s="1"/>
  <c r="H364" i="34"/>
  <c r="AA364" i="34" s="1"/>
  <c r="G364" i="34"/>
  <c r="Z364" i="34" s="1"/>
  <c r="F364" i="34"/>
  <c r="Y364" i="34" s="1"/>
  <c r="E364" i="34"/>
  <c r="K363" i="34"/>
  <c r="J363" i="34"/>
  <c r="I363" i="34"/>
  <c r="H363" i="34"/>
  <c r="G363" i="34"/>
  <c r="F363" i="34"/>
  <c r="E363" i="34"/>
  <c r="H355" i="34"/>
  <c r="G355" i="34"/>
  <c r="Z355" i="34" s="1"/>
  <c r="F355" i="34"/>
  <c r="Y355" i="34" s="1"/>
  <c r="E355" i="34"/>
  <c r="X355" i="34" s="1"/>
  <c r="H354" i="34"/>
  <c r="AA354" i="34" s="1"/>
  <c r="G354" i="34"/>
  <c r="Z354" i="34" s="1"/>
  <c r="F354" i="34"/>
  <c r="Y354" i="34" s="1"/>
  <c r="E354" i="34"/>
  <c r="H353" i="34"/>
  <c r="AA353" i="34" s="1"/>
  <c r="Z353" i="34"/>
  <c r="F353" i="34"/>
  <c r="Y353" i="34" s="1"/>
  <c r="E353" i="34"/>
  <c r="H352" i="34"/>
  <c r="G352" i="34"/>
  <c r="Z352" i="34" s="1"/>
  <c r="F352" i="34"/>
  <c r="Y352" i="34" s="1"/>
  <c r="E352" i="34"/>
  <c r="X352" i="34" s="1"/>
  <c r="H351" i="34"/>
  <c r="AA351" i="34" s="1"/>
  <c r="G351" i="34"/>
  <c r="Z351" i="34" s="1"/>
  <c r="F351" i="34"/>
  <c r="E351" i="34"/>
  <c r="X351" i="34" s="1"/>
  <c r="H350" i="34"/>
  <c r="AA350" i="34" s="1"/>
  <c r="G350" i="34"/>
  <c r="F350" i="34"/>
  <c r="Y350" i="34" s="1"/>
  <c r="E330" i="34"/>
  <c r="X330" i="34" s="1"/>
  <c r="I329" i="34"/>
  <c r="H328" i="34"/>
  <c r="AA328" i="34" s="1"/>
  <c r="F319" i="34"/>
  <c r="E319" i="34"/>
  <c r="F318" i="34"/>
  <c r="E318" i="34"/>
  <c r="X318" i="34" s="1"/>
  <c r="F317" i="34"/>
  <c r="Y317" i="34" s="1"/>
  <c r="E317" i="34"/>
  <c r="F316" i="34"/>
  <c r="Y316" i="34" s="1"/>
  <c r="E316" i="34"/>
  <c r="F315" i="34"/>
  <c r="E315" i="34"/>
  <c r="I295" i="34"/>
  <c r="AB295" i="34" s="1"/>
  <c r="H294" i="34"/>
  <c r="AA294" i="34" s="1"/>
  <c r="E293" i="34"/>
  <c r="X293" i="34" s="1"/>
  <c r="F292" i="34"/>
  <c r="Y292" i="34" s="1"/>
  <c r="AD272" i="34"/>
  <c r="J272" i="34"/>
  <c r="I272" i="34"/>
  <c r="AB272" i="34" s="1"/>
  <c r="H272" i="34"/>
  <c r="G272" i="34"/>
  <c r="Z272" i="34" s="1"/>
  <c r="F272" i="34"/>
  <c r="E272" i="34"/>
  <c r="J271" i="34"/>
  <c r="I271" i="34"/>
  <c r="AB271" i="34" s="1"/>
  <c r="H271" i="34"/>
  <c r="G271" i="34"/>
  <c r="F271" i="34"/>
  <c r="E271" i="34"/>
  <c r="AD270" i="34"/>
  <c r="J270" i="34"/>
  <c r="I270" i="34"/>
  <c r="AB270" i="34" s="1"/>
  <c r="H270" i="34"/>
  <c r="Z270" i="34"/>
  <c r="F270" i="34"/>
  <c r="E270" i="34"/>
  <c r="J269" i="34"/>
  <c r="I269" i="34"/>
  <c r="H269" i="34"/>
  <c r="G269" i="34"/>
  <c r="E269" i="34"/>
  <c r="AD268" i="34"/>
  <c r="J268" i="34"/>
  <c r="I268" i="34"/>
  <c r="AB268" i="34" s="1"/>
  <c r="H268" i="34"/>
  <c r="Z268" i="34"/>
  <c r="F268" i="34"/>
  <c r="E268" i="34"/>
  <c r="AC267" i="34"/>
  <c r="I267" i="34"/>
  <c r="H267" i="34"/>
  <c r="AA267" i="34" s="1"/>
  <c r="G267" i="34"/>
  <c r="F267" i="34"/>
  <c r="Y267" i="34" s="1"/>
  <c r="E267" i="34"/>
  <c r="H212" i="34"/>
  <c r="AA212" i="34" s="1"/>
  <c r="G125" i="34"/>
  <c r="F125" i="34"/>
  <c r="Y125" i="34" s="1"/>
  <c r="E125" i="34"/>
  <c r="X125" i="34" s="1"/>
  <c r="G124" i="34"/>
  <c r="F124" i="34"/>
  <c r="E124" i="34"/>
  <c r="X124" i="34" s="1"/>
  <c r="G123" i="34"/>
  <c r="Z123" i="34" s="1"/>
  <c r="F123" i="34"/>
  <c r="E123" i="34"/>
  <c r="G122" i="34"/>
  <c r="Z122" i="34" s="1"/>
  <c r="F122" i="34"/>
  <c r="E122" i="34"/>
  <c r="G121" i="34"/>
  <c r="F121" i="34"/>
  <c r="E121" i="34"/>
  <c r="E110" i="34"/>
  <c r="Y110" i="34" s="1"/>
  <c r="D110" i="34"/>
  <c r="X110" i="34" s="1"/>
  <c r="E109" i="34"/>
  <c r="Y109" i="34" s="1"/>
  <c r="D109" i="34"/>
  <c r="X109" i="34" s="1"/>
  <c r="E108" i="34"/>
  <c r="Y108" i="34" s="1"/>
  <c r="D108" i="34"/>
  <c r="X108" i="34" s="1"/>
  <c r="E107" i="34"/>
  <c r="D107" i="34"/>
  <c r="X107" i="34" s="1"/>
  <c r="E106" i="34"/>
  <c r="Y106" i="34" s="1"/>
  <c r="D106" i="34"/>
  <c r="E105" i="34"/>
  <c r="D105" i="34"/>
  <c r="X105" i="34" s="1"/>
  <c r="AH98" i="34"/>
  <c r="AG98" i="34"/>
  <c r="G98" i="34"/>
  <c r="AA98" i="34" s="1"/>
  <c r="F98" i="34"/>
  <c r="Z98" i="34" s="1"/>
  <c r="E98" i="34"/>
  <c r="Y98" i="34" s="1"/>
  <c r="D98" i="34"/>
  <c r="X98" i="34" s="1"/>
  <c r="AH97" i="34"/>
  <c r="AG97" i="34"/>
  <c r="G97" i="34"/>
  <c r="AA97" i="34" s="1"/>
  <c r="F97" i="34"/>
  <c r="Z97" i="34" s="1"/>
  <c r="E97" i="34"/>
  <c r="Y97" i="34" s="1"/>
  <c r="D97" i="34"/>
  <c r="AH96" i="34"/>
  <c r="AG96" i="34"/>
  <c r="AF96" i="34"/>
  <c r="G96" i="34"/>
  <c r="AA96" i="34" s="1"/>
  <c r="F96" i="34"/>
  <c r="Z96" i="34" s="1"/>
  <c r="E96" i="34"/>
  <c r="Y96" i="34" s="1"/>
  <c r="D96" i="34"/>
  <c r="X96" i="34" s="1"/>
  <c r="AH95" i="34"/>
  <c r="AG95" i="34"/>
  <c r="G95" i="34"/>
  <c r="AA95" i="34" s="1"/>
  <c r="F95" i="34"/>
  <c r="Z95" i="34" s="1"/>
  <c r="E95" i="34"/>
  <c r="D95" i="34"/>
  <c r="X95" i="34" s="1"/>
  <c r="AH94" i="34"/>
  <c r="AG94" i="34"/>
  <c r="G94" i="34"/>
  <c r="F94" i="34"/>
  <c r="Z94" i="34" s="1"/>
  <c r="E94" i="34"/>
  <c r="Y94" i="34" s="1"/>
  <c r="D94" i="34"/>
  <c r="X94" i="34" s="1"/>
  <c r="G93" i="34"/>
  <c r="AA93" i="34" s="1"/>
  <c r="F93" i="34"/>
  <c r="E93" i="34"/>
  <c r="Y93" i="34" s="1"/>
  <c r="AG86" i="34"/>
  <c r="AA86" i="34"/>
  <c r="Z86" i="34"/>
  <c r="Y86" i="34"/>
  <c r="X86" i="34"/>
  <c r="AG85" i="34"/>
  <c r="AA85" i="34"/>
  <c r="Z85" i="34"/>
  <c r="Y85" i="34"/>
  <c r="AG84" i="34"/>
  <c r="AA84" i="34"/>
  <c r="Z84" i="34"/>
  <c r="Y84" i="34"/>
  <c r="X84" i="34"/>
  <c r="AG83" i="34"/>
  <c r="AA83" i="34"/>
  <c r="Z83" i="34"/>
  <c r="Y83" i="34"/>
  <c r="AG82" i="34"/>
  <c r="AA82" i="34"/>
  <c r="Z82" i="34"/>
  <c r="Y82" i="34"/>
  <c r="E81" i="34"/>
  <c r="H81" i="34" s="1"/>
  <c r="AI73" i="34"/>
  <c r="AE73" i="34"/>
  <c r="AF73" i="34"/>
  <c r="AD73" i="34"/>
  <c r="AC73" i="34"/>
  <c r="L73" i="34"/>
  <c r="Z73" i="34" s="1"/>
  <c r="K73" i="34"/>
  <c r="Y73" i="34" s="1"/>
  <c r="J73" i="34"/>
  <c r="X73" i="34" s="1"/>
  <c r="AI72" i="34"/>
  <c r="AE72" i="34"/>
  <c r="AF72" i="34"/>
  <c r="AD72" i="34"/>
  <c r="AC72" i="34"/>
  <c r="L72" i="34"/>
  <c r="Z72" i="34" s="1"/>
  <c r="K72" i="34"/>
  <c r="Y72" i="34" s="1"/>
  <c r="J72" i="34"/>
  <c r="X72" i="34" s="1"/>
  <c r="AI71" i="34"/>
  <c r="AE71" i="34"/>
  <c r="AF71" i="34"/>
  <c r="AD71" i="34"/>
  <c r="AC71" i="34"/>
  <c r="L71" i="34"/>
  <c r="K71" i="34"/>
  <c r="Y71" i="34" s="1"/>
  <c r="J71" i="34"/>
  <c r="X71" i="34" s="1"/>
  <c r="AI70" i="34"/>
  <c r="AE70" i="34"/>
  <c r="AF70" i="34"/>
  <c r="AD70" i="34"/>
  <c r="AC70" i="34"/>
  <c r="L70" i="34"/>
  <c r="Z70" i="34" s="1"/>
  <c r="K70" i="34"/>
  <c r="Y70" i="34" s="1"/>
  <c r="J70" i="34"/>
  <c r="X70" i="34" s="1"/>
  <c r="AI69" i="34"/>
  <c r="AE69" i="34"/>
  <c r="AF69" i="34"/>
  <c r="AD69" i="34"/>
  <c r="AC69" i="34"/>
  <c r="L69" i="34"/>
  <c r="Z69" i="34" s="1"/>
  <c r="K69" i="34"/>
  <c r="Y69" i="34" s="1"/>
  <c r="J69" i="34"/>
  <c r="X69" i="34" s="1"/>
  <c r="AE68" i="34"/>
  <c r="Z68" i="34"/>
  <c r="AD61" i="34"/>
  <c r="G61" i="34"/>
  <c r="AA61" i="34" s="1"/>
  <c r="X61" i="34"/>
  <c r="AD60" i="34"/>
  <c r="G60" i="34"/>
  <c r="AA60" i="34" s="1"/>
  <c r="X60" i="34"/>
  <c r="AD59" i="34"/>
  <c r="G59" i="34"/>
  <c r="AA59" i="34" s="1"/>
  <c r="X59" i="34"/>
  <c r="AD58" i="34"/>
  <c r="G58" i="34"/>
  <c r="AA58" i="34" s="1"/>
  <c r="X58" i="34"/>
  <c r="AD57" i="34"/>
  <c r="G57" i="34"/>
  <c r="AA57" i="34" s="1"/>
  <c r="X57" i="34"/>
  <c r="AD56" i="34"/>
  <c r="G56" i="34"/>
  <c r="X56" i="34"/>
  <c r="F44" i="34"/>
  <c r="Z44" i="34" s="1"/>
  <c r="E44" i="34"/>
  <c r="Y44" i="34" s="1"/>
  <c r="D44" i="34"/>
  <c r="X44" i="34" s="1"/>
  <c r="F43" i="34"/>
  <c r="Z43" i="34" s="1"/>
  <c r="E43" i="34"/>
  <c r="Y43" i="34" s="1"/>
  <c r="D43" i="34"/>
  <c r="F42" i="34"/>
  <c r="Z42" i="34" s="1"/>
  <c r="E42" i="34"/>
  <c r="Y42" i="34" s="1"/>
  <c r="D42" i="34"/>
  <c r="X42" i="34" s="1"/>
  <c r="F41" i="34"/>
  <c r="Z41" i="34" s="1"/>
  <c r="E41" i="34"/>
  <c r="Y41" i="34" s="1"/>
  <c r="D41" i="34"/>
  <c r="F40" i="34"/>
  <c r="Z40" i="34" s="1"/>
  <c r="E40" i="34"/>
  <c r="Y40" i="34" s="1"/>
  <c r="D40" i="34"/>
  <c r="X40" i="34" s="1"/>
  <c r="F39" i="34"/>
  <c r="Z39" i="34" s="1"/>
  <c r="E39" i="34"/>
  <c r="D39" i="34"/>
  <c r="F11" i="34"/>
  <c r="Z11" i="34" s="1"/>
  <c r="E11" i="34"/>
  <c r="D11" i="34"/>
  <c r="F10" i="34"/>
  <c r="Z10" i="34" s="1"/>
  <c r="E10" i="34"/>
  <c r="D10" i="34"/>
  <c r="F9" i="34"/>
  <c r="Z9" i="34" s="1"/>
  <c r="E9" i="34"/>
  <c r="Y9" i="34" s="1"/>
  <c r="D9" i="34"/>
  <c r="F8" i="34"/>
  <c r="Z8" i="34" s="1"/>
  <c r="E8" i="34"/>
  <c r="Y8" i="34" s="1"/>
  <c r="D8" i="34"/>
  <c r="F7" i="34"/>
  <c r="Z7" i="34" s="1"/>
  <c r="E7" i="34"/>
  <c r="Y7" i="34" s="1"/>
  <c r="D7" i="34"/>
  <c r="F6" i="34"/>
  <c r="Z6" i="34" s="1"/>
  <c r="E6" i="34"/>
  <c r="Y6" i="34" s="1"/>
  <c r="D6" i="34"/>
  <c r="BE17" i="36" l="1"/>
  <c r="BD17" i="36"/>
  <c r="AQ12" i="36"/>
  <c r="AM34" i="36"/>
  <c r="D60" i="48"/>
  <c r="BF6" i="36"/>
  <c r="BE6" i="36"/>
  <c r="BF9" i="36"/>
  <c r="BE9" i="36"/>
  <c r="BF8" i="36"/>
  <c r="BE8" i="36"/>
  <c r="BF11" i="36"/>
  <c r="BE11" i="36"/>
  <c r="BF7" i="36"/>
  <c r="BE7" i="36"/>
  <c r="BF10" i="36"/>
  <c r="BE10" i="36"/>
  <c r="Z15" i="36"/>
  <c r="BC15" i="36" s="1"/>
  <c r="AA16" i="36"/>
  <c r="AA15" i="36"/>
  <c r="Z16" i="36"/>
  <c r="BC16" i="36" s="1"/>
  <c r="AA18" i="36"/>
  <c r="Z14" i="36"/>
  <c r="BC14" i="36" s="1"/>
  <c r="AA14" i="36"/>
  <c r="Z13" i="36"/>
  <c r="BC13" i="36" s="1"/>
  <c r="AA13" i="36"/>
  <c r="R14" i="36"/>
  <c r="AV14" i="36" s="1"/>
  <c r="S14" i="36"/>
  <c r="AW14" i="36" s="1"/>
  <c r="R15" i="36"/>
  <c r="AV15" i="36" s="1"/>
  <c r="S15" i="36"/>
  <c r="AW15" i="36" s="1"/>
  <c r="J16" i="36"/>
  <c r="AN16" i="36" s="1"/>
  <c r="K16" i="36"/>
  <c r="AO16" i="36" s="1"/>
  <c r="J13" i="36"/>
  <c r="AN13" i="36" s="1"/>
  <c r="K13" i="36"/>
  <c r="AO13" i="36" s="1"/>
  <c r="J17" i="36"/>
  <c r="AN17" i="36" s="1"/>
  <c r="K17" i="36"/>
  <c r="AO17" i="36" s="1"/>
  <c r="J14" i="36"/>
  <c r="AN14" i="36" s="1"/>
  <c r="K14" i="36"/>
  <c r="AO14" i="36" s="1"/>
  <c r="AR12" i="36"/>
  <c r="L28" i="36"/>
  <c r="AO28" i="36" s="1"/>
  <c r="AS12" i="36"/>
  <c r="AT12" i="36"/>
  <c r="BB23" i="46"/>
  <c r="BB42" i="46"/>
  <c r="AC268" i="34"/>
  <c r="J273" i="34"/>
  <c r="E126" i="34"/>
  <c r="X126" i="34" s="1"/>
  <c r="E214" i="35"/>
  <c r="BB32" i="46"/>
  <c r="I114" i="35"/>
  <c r="S114" i="35" s="1"/>
  <c r="H114" i="35"/>
  <c r="R114" i="35" s="1"/>
  <c r="G114" i="35"/>
  <c r="Q114" i="35" s="1"/>
  <c r="G116" i="35"/>
  <c r="Q116" i="35" s="1"/>
  <c r="I116" i="35"/>
  <c r="S116" i="35" s="1"/>
  <c r="H116" i="35"/>
  <c r="R116" i="35" s="1"/>
  <c r="H113" i="35"/>
  <c r="G113" i="35"/>
  <c r="Q113" i="35" s="1"/>
  <c r="I115" i="35"/>
  <c r="S115" i="35" s="1"/>
  <c r="H115" i="35"/>
  <c r="R115" i="35" s="1"/>
  <c r="G115" i="35"/>
  <c r="Q115" i="35" s="1"/>
  <c r="I117" i="35"/>
  <c r="S117" i="35" s="1"/>
  <c r="H117" i="35"/>
  <c r="R117" i="35" s="1"/>
  <c r="G117" i="35"/>
  <c r="AX12" i="36"/>
  <c r="E60" i="48"/>
  <c r="X60" i="48"/>
  <c r="I60" i="48"/>
  <c r="S30" i="48"/>
  <c r="J24" i="48"/>
  <c r="Y27" i="48"/>
  <c r="W30" i="48"/>
  <c r="J25" i="48"/>
  <c r="J27" i="48"/>
  <c r="Y25" i="48"/>
  <c r="T30" i="48"/>
  <c r="J28" i="48"/>
  <c r="J23" i="48"/>
  <c r="U30" i="48"/>
  <c r="V30" i="48"/>
  <c r="R30" i="48"/>
  <c r="Y26" i="48"/>
  <c r="J26" i="48"/>
  <c r="W42" i="49"/>
  <c r="W6" i="49"/>
  <c r="U9" i="49"/>
  <c r="W10" i="49"/>
  <c r="T12" i="49"/>
  <c r="V5" i="49"/>
  <c r="J15" i="49"/>
  <c r="J19" i="49" s="1"/>
  <c r="V19" i="49" s="1"/>
  <c r="X6" i="49"/>
  <c r="T8" i="49"/>
  <c r="V9" i="49"/>
  <c r="X10" i="49"/>
  <c r="U12" i="49"/>
  <c r="U45" i="49"/>
  <c r="S8" i="49"/>
  <c r="W5" i="49"/>
  <c r="K15" i="49"/>
  <c r="K24" i="49" s="1"/>
  <c r="W24" i="49" s="1"/>
  <c r="S7" i="49"/>
  <c r="U8" i="49"/>
  <c r="W9" i="49"/>
  <c r="S11" i="49"/>
  <c r="V12" i="49"/>
  <c r="X5" i="49"/>
  <c r="L15" i="49"/>
  <c r="L19" i="49" s="1"/>
  <c r="X19" i="49" s="1"/>
  <c r="T7" i="49"/>
  <c r="V8" i="49"/>
  <c r="X9" i="49"/>
  <c r="T11" i="49"/>
  <c r="W12" i="49"/>
  <c r="S6" i="49"/>
  <c r="G15" i="49"/>
  <c r="G21" i="49" s="1"/>
  <c r="S21" i="49" s="1"/>
  <c r="U7" i="49"/>
  <c r="W8" i="49"/>
  <c r="S10" i="49"/>
  <c r="U11" i="49"/>
  <c r="X12" i="49"/>
  <c r="T6" i="49"/>
  <c r="V7" i="49"/>
  <c r="X8" i="49"/>
  <c r="T10" i="49"/>
  <c r="V11" i="49"/>
  <c r="W36" i="49"/>
  <c r="U5" i="49"/>
  <c r="I15" i="49"/>
  <c r="I21" i="49" s="1"/>
  <c r="U21" i="49" s="1"/>
  <c r="U6" i="49"/>
  <c r="W7" i="49"/>
  <c r="S9" i="49"/>
  <c r="U10" i="49"/>
  <c r="W11" i="49"/>
  <c r="V37" i="49"/>
  <c r="T5" i="49"/>
  <c r="H15" i="49"/>
  <c r="H19" i="49" s="1"/>
  <c r="T19" i="49" s="1"/>
  <c r="V6" i="49"/>
  <c r="X7" i="49"/>
  <c r="T9" i="49"/>
  <c r="V10" i="49"/>
  <c r="X11" i="49"/>
  <c r="W38" i="49"/>
  <c r="BH12" i="46"/>
  <c r="BB12" i="46"/>
  <c r="BB3" i="46"/>
  <c r="AP50" i="46"/>
  <c r="J15" i="36"/>
  <c r="AN15" i="36" s="1"/>
  <c r="I14" i="36"/>
  <c r="AM14" i="36" s="1"/>
  <c r="I16" i="36"/>
  <c r="AM16" i="36" s="1"/>
  <c r="I15" i="36"/>
  <c r="AM15" i="36" s="1"/>
  <c r="I13" i="36"/>
  <c r="AM13" i="36" s="1"/>
  <c r="Q13" i="36"/>
  <c r="AU13" i="36" s="1"/>
  <c r="R13" i="36"/>
  <c r="AV13" i="36" s="1"/>
  <c r="O14" i="36"/>
  <c r="AS14" i="36" s="1"/>
  <c r="H15" i="36"/>
  <c r="AL15" i="36" s="1"/>
  <c r="V13" i="36"/>
  <c r="AZ13" i="36" s="1"/>
  <c r="W14" i="36"/>
  <c r="BA14" i="36" s="1"/>
  <c r="Y15" i="36"/>
  <c r="BB15" i="36" s="1"/>
  <c r="X14" i="36"/>
  <c r="Y13" i="36"/>
  <c r="BB13" i="36" s="1"/>
  <c r="AI12" i="36"/>
  <c r="AJ12" i="36"/>
  <c r="AU12" i="36"/>
  <c r="AK13" i="36"/>
  <c r="Q16" i="36"/>
  <c r="W13" i="36"/>
  <c r="BA13" i="36" s="1"/>
  <c r="H14" i="36"/>
  <c r="AL14" i="36" s="1"/>
  <c r="AK12" i="36"/>
  <c r="AY12" i="36"/>
  <c r="Q15" i="36"/>
  <c r="AU15" i="36" s="1"/>
  <c r="X13" i="36"/>
  <c r="AL12" i="36"/>
  <c r="AZ12" i="36"/>
  <c r="AM12" i="36"/>
  <c r="BA12" i="36"/>
  <c r="BB12" i="36"/>
  <c r="N13" i="36"/>
  <c r="AR13" i="36" s="1"/>
  <c r="Y16" i="36"/>
  <c r="BB16" i="36" s="1"/>
  <c r="AS13" i="36"/>
  <c r="H13" i="36"/>
  <c r="AL13" i="36" s="1"/>
  <c r="P14" i="36"/>
  <c r="AT14" i="36" s="1"/>
  <c r="P15" i="36"/>
  <c r="AT15" i="36" s="1"/>
  <c r="Q14" i="36"/>
  <c r="AU14" i="36" s="1"/>
  <c r="P13" i="36"/>
  <c r="AT13" i="36" s="1"/>
  <c r="X15" i="36"/>
  <c r="F13" i="36"/>
  <c r="AJ13" i="36" s="1"/>
  <c r="G14" i="36"/>
  <c r="AK14" i="36" s="1"/>
  <c r="Y14" i="36"/>
  <c r="BB14" i="36" s="1"/>
  <c r="G60" i="48"/>
  <c r="P9" i="42"/>
  <c r="M22" i="42" s="1"/>
  <c r="AD22" i="42" s="1"/>
  <c r="Y10" i="42"/>
  <c r="P10" i="42"/>
  <c r="I23" i="42" s="1"/>
  <c r="Z23" i="42" s="1"/>
  <c r="Y12" i="42"/>
  <c r="P12" i="42"/>
  <c r="M25" i="42" s="1"/>
  <c r="AD25" i="42" s="1"/>
  <c r="P13" i="42"/>
  <c r="J26" i="42" s="1"/>
  <c r="AA26" i="42" s="1"/>
  <c r="Y14" i="42"/>
  <c r="P14" i="42"/>
  <c r="N27" i="42" s="1"/>
  <c r="AE27" i="42" s="1"/>
  <c r="S237" i="35"/>
  <c r="T233" i="35"/>
  <c r="Q237" i="35"/>
  <c r="T235" i="35"/>
  <c r="T234" i="35"/>
  <c r="T232" i="35"/>
  <c r="J231" i="35"/>
  <c r="G316" i="34"/>
  <c r="Z316" i="34" s="1"/>
  <c r="P7" i="35"/>
  <c r="F12" i="35"/>
  <c r="G12" i="35"/>
  <c r="E12" i="35"/>
  <c r="I328" i="34"/>
  <c r="AB328" i="34" s="1"/>
  <c r="J293" i="34"/>
  <c r="AC293" i="34" s="1"/>
  <c r="G295" i="34"/>
  <c r="Z295" i="34" s="1"/>
  <c r="T60" i="48"/>
  <c r="S60" i="48"/>
  <c r="W60" i="48"/>
  <c r="H60" i="48"/>
  <c r="V60" i="48"/>
  <c r="C60" i="48"/>
  <c r="Y60" i="48"/>
  <c r="J60" i="48"/>
  <c r="F60" i="48"/>
  <c r="U60" i="48"/>
  <c r="X8" i="34"/>
  <c r="AA8" i="34" s="1"/>
  <c r="X9" i="34"/>
  <c r="AA9" i="34" s="1"/>
  <c r="X11" i="34"/>
  <c r="X7" i="34"/>
  <c r="AA7" i="34" s="1"/>
  <c r="AA5" i="48"/>
  <c r="Z10" i="48"/>
  <c r="M45" i="36"/>
  <c r="AP45" i="36" s="1"/>
  <c r="J34" i="36"/>
  <c r="M47" i="36"/>
  <c r="AP47" i="36" s="1"/>
  <c r="M60" i="36"/>
  <c r="AP60" i="36" s="1"/>
  <c r="M30" i="36"/>
  <c r="AP30" i="36" s="1"/>
  <c r="M62" i="36"/>
  <c r="AP62" i="36" s="1"/>
  <c r="M48" i="36"/>
  <c r="AP48" i="36" s="1"/>
  <c r="G65" i="36"/>
  <c r="AJ65" i="36" s="1"/>
  <c r="E30" i="48"/>
  <c r="Y28" i="48"/>
  <c r="E47" i="48"/>
  <c r="R47" i="48"/>
  <c r="Z47" i="48"/>
  <c r="I10" i="48"/>
  <c r="F47" i="48"/>
  <c r="S47" i="48"/>
  <c r="AA47" i="48"/>
  <c r="I12" i="48"/>
  <c r="Y10" i="48"/>
  <c r="I14" i="48"/>
  <c r="W69" i="48"/>
  <c r="U77" i="48"/>
  <c r="U76" i="48"/>
  <c r="O83" i="34"/>
  <c r="AH83" i="34" s="1"/>
  <c r="I273" i="34"/>
  <c r="F329" i="34"/>
  <c r="Y329" i="34" s="1"/>
  <c r="H124" i="34"/>
  <c r="F152" i="34" s="1"/>
  <c r="Y152" i="34" s="1"/>
  <c r="I293" i="34"/>
  <c r="AB293" i="34" s="1"/>
  <c r="J329" i="34"/>
  <c r="AC329" i="34" s="1"/>
  <c r="G319" i="34"/>
  <c r="Z319" i="34" s="1"/>
  <c r="I351" i="34"/>
  <c r="AB12" i="36"/>
  <c r="J91" i="42"/>
  <c r="M91" i="42"/>
  <c r="G6" i="34"/>
  <c r="D28" i="34" s="1"/>
  <c r="AH81" i="34"/>
  <c r="O85" i="34"/>
  <c r="AH85" i="34" s="1"/>
  <c r="O84" i="34"/>
  <c r="AH84" i="34" s="1"/>
  <c r="J287" i="35"/>
  <c r="E114" i="35"/>
  <c r="F114" i="35"/>
  <c r="P114" i="35" s="1"/>
  <c r="O231" i="35"/>
  <c r="T231" i="35" s="1"/>
  <c r="G174" i="35"/>
  <c r="F107" i="34"/>
  <c r="Z107" i="34" s="1"/>
  <c r="N135" i="42"/>
  <c r="J15" i="42"/>
  <c r="O82" i="34"/>
  <c r="O86" i="34"/>
  <c r="AH86" i="34" s="1"/>
  <c r="AB135" i="42"/>
  <c r="AF135" i="42"/>
  <c r="AA41" i="42"/>
  <c r="O36" i="42"/>
  <c r="N49" i="42" s="1"/>
  <c r="AE49" i="42" s="1"/>
  <c r="Y36" i="42"/>
  <c r="AC42" i="42"/>
  <c r="D135" i="42"/>
  <c r="O135" i="42"/>
  <c r="I15" i="42"/>
  <c r="O40" i="42"/>
  <c r="K53" i="42" s="1"/>
  <c r="AB53" i="42" s="1"/>
  <c r="Y40" i="42"/>
  <c r="M42" i="42"/>
  <c r="U129" i="42"/>
  <c r="U135" i="42" s="1"/>
  <c r="O37" i="42"/>
  <c r="M50" i="42" s="1"/>
  <c r="AD50" i="42" s="1"/>
  <c r="D91" i="42"/>
  <c r="N88" i="42"/>
  <c r="M101" i="42" s="1"/>
  <c r="AD101" i="42" s="1"/>
  <c r="J135" i="42"/>
  <c r="AE129" i="42"/>
  <c r="AE135" i="42" s="1"/>
  <c r="L15" i="42"/>
  <c r="Y41" i="42"/>
  <c r="L42" i="42"/>
  <c r="O41" i="42"/>
  <c r="J54" i="42" s="1"/>
  <c r="AA54" i="42" s="1"/>
  <c r="N86" i="42"/>
  <c r="K99" i="42" s="1"/>
  <c r="AB99" i="42" s="1"/>
  <c r="N89" i="42"/>
  <c r="M102" i="42" s="1"/>
  <c r="AD102" i="42" s="1"/>
  <c r="J8" i="35"/>
  <c r="E21" i="35" s="1"/>
  <c r="Q168" i="35"/>
  <c r="Q174" i="35" s="1"/>
  <c r="J168" i="35"/>
  <c r="F113" i="35"/>
  <c r="P113" i="35" s="1"/>
  <c r="J169" i="35"/>
  <c r="E289" i="35"/>
  <c r="J172" i="35"/>
  <c r="O287" i="35"/>
  <c r="E237" i="35"/>
  <c r="P8" i="35"/>
  <c r="J233" i="35"/>
  <c r="H245" i="35" s="1"/>
  <c r="R245" i="35" s="1"/>
  <c r="Q8" i="35"/>
  <c r="X62" i="34"/>
  <c r="E74" i="34"/>
  <c r="H96" i="34"/>
  <c r="AB96" i="34" s="1"/>
  <c r="Y107" i="34"/>
  <c r="G292" i="34"/>
  <c r="Z292" i="34" s="1"/>
  <c r="Y319" i="34"/>
  <c r="Y351" i="34"/>
  <c r="AB351" i="34" s="1"/>
  <c r="G11" i="34"/>
  <c r="F33" i="34" s="1"/>
  <c r="Z33" i="34" s="1"/>
  <c r="G43" i="34"/>
  <c r="AE74" i="34"/>
  <c r="J292" i="34"/>
  <c r="AC292" i="34" s="1"/>
  <c r="G294" i="34"/>
  <c r="Z294" i="34" s="1"/>
  <c r="G318" i="34"/>
  <c r="Z318" i="34" s="1"/>
  <c r="I113" i="35"/>
  <c r="O74" i="34"/>
  <c r="F106" i="34"/>
  <c r="Z106" i="34" s="1"/>
  <c r="G39" i="34"/>
  <c r="AD62" i="34"/>
  <c r="AI98" i="34"/>
  <c r="F369" i="34"/>
  <c r="E329" i="34"/>
  <c r="X329" i="34" s="1"/>
  <c r="G369" i="34"/>
  <c r="L368" i="34"/>
  <c r="D87" i="34"/>
  <c r="X87" i="34" s="1"/>
  <c r="E87" i="34"/>
  <c r="Y87" i="34" s="1"/>
  <c r="O99" i="34"/>
  <c r="AH99" i="34" s="1"/>
  <c r="D111" i="34"/>
  <c r="X111" i="34" s="1"/>
  <c r="X319" i="34"/>
  <c r="G329" i="34"/>
  <c r="Z329" i="34" s="1"/>
  <c r="E113" i="35"/>
  <c r="D45" i="34"/>
  <c r="N99" i="34"/>
  <c r="AG99" i="34" s="1"/>
  <c r="X6" i="34"/>
  <c r="AA6" i="34" s="1"/>
  <c r="E45" i="34"/>
  <c r="J74" i="34"/>
  <c r="H291" i="34"/>
  <c r="AA291" i="34" s="1"/>
  <c r="E291" i="34"/>
  <c r="X291" i="34" s="1"/>
  <c r="I291" i="34"/>
  <c r="AB291" i="34" s="1"/>
  <c r="Y10" i="34"/>
  <c r="X39" i="34"/>
  <c r="G41" i="34"/>
  <c r="AF85" i="34"/>
  <c r="H97" i="34"/>
  <c r="AB97" i="34" s="1"/>
  <c r="X106" i="34"/>
  <c r="L271" i="34"/>
  <c r="H282" i="34" s="1"/>
  <c r="AA282" i="34" s="1"/>
  <c r="Z271" i="34"/>
  <c r="G291" i="34"/>
  <c r="Z291" i="34" s="1"/>
  <c r="E294" i="34"/>
  <c r="X294" i="34" s="1"/>
  <c r="J294" i="34"/>
  <c r="AC294" i="34" s="1"/>
  <c r="F294" i="34"/>
  <c r="Y294" i="34" s="1"/>
  <c r="G328" i="34"/>
  <c r="Z328" i="34" s="1"/>
  <c r="X43" i="34"/>
  <c r="AA43" i="34" s="1"/>
  <c r="AG87" i="34"/>
  <c r="AF82" i="34"/>
  <c r="AF83" i="34"/>
  <c r="AG93" i="34"/>
  <c r="H125" i="34"/>
  <c r="AA125" i="34" s="1"/>
  <c r="J291" i="34"/>
  <c r="AC291" i="34" s="1"/>
  <c r="F293" i="34"/>
  <c r="Y293" i="34" s="1"/>
  <c r="G293" i="34"/>
  <c r="Z293" i="34" s="1"/>
  <c r="F320" i="34"/>
  <c r="Y315" i="34"/>
  <c r="J330" i="34"/>
  <c r="AC330" i="34" s="1"/>
  <c r="I330" i="34"/>
  <c r="AB330" i="34" s="1"/>
  <c r="H330" i="34"/>
  <c r="AA330" i="34" s="1"/>
  <c r="G330" i="34"/>
  <c r="Z330" i="34" s="1"/>
  <c r="AA355" i="34"/>
  <c r="AB355" i="34" s="1"/>
  <c r="I355" i="34"/>
  <c r="H82" i="34"/>
  <c r="AB82" i="34" s="1"/>
  <c r="H85" i="34"/>
  <c r="AB85" i="34" s="1"/>
  <c r="AH93" i="34"/>
  <c r="E99" i="34"/>
  <c r="Y99" i="34" s="1"/>
  <c r="G273" i="34"/>
  <c r="Z267" i="34"/>
  <c r="H327" i="34"/>
  <c r="AA327" i="34" s="1"/>
  <c r="F327" i="34"/>
  <c r="Y327" i="34" s="1"/>
  <c r="E327" i="34"/>
  <c r="I327" i="34"/>
  <c r="AB327" i="34" s="1"/>
  <c r="L74" i="34"/>
  <c r="H292" i="34"/>
  <c r="AA292" i="34" s="1"/>
  <c r="E292" i="34"/>
  <c r="X292" i="34" s="1"/>
  <c r="I292" i="34"/>
  <c r="AB292" i="34" s="1"/>
  <c r="H293" i="34"/>
  <c r="AA293" i="34" s="1"/>
  <c r="I294" i="34"/>
  <c r="AB294" i="34" s="1"/>
  <c r="Y318" i="34"/>
  <c r="G327" i="34"/>
  <c r="Z327" i="34" s="1"/>
  <c r="F330" i="34"/>
  <c r="Y330" i="34" s="1"/>
  <c r="AA42" i="34"/>
  <c r="AI93" i="34"/>
  <c r="J327" i="34"/>
  <c r="E295" i="34"/>
  <c r="X295" i="34" s="1"/>
  <c r="J295" i="34"/>
  <c r="AC295" i="34" s="1"/>
  <c r="F295" i="34"/>
  <c r="Y295" i="34" s="1"/>
  <c r="G317" i="34"/>
  <c r="Z317" i="34" s="1"/>
  <c r="F87" i="34"/>
  <c r="Z87" i="34" s="1"/>
  <c r="H331" i="34"/>
  <c r="AA331" i="34" s="1"/>
  <c r="G331" i="34"/>
  <c r="Z331" i="34" s="1"/>
  <c r="F331" i="34"/>
  <c r="Y331" i="34" s="1"/>
  <c r="E331" i="34"/>
  <c r="X331" i="34" s="1"/>
  <c r="I331" i="34"/>
  <c r="AB331" i="34" s="1"/>
  <c r="G10" i="34"/>
  <c r="L60" i="34" s="1"/>
  <c r="AF60" i="34" s="1"/>
  <c r="K74" i="34"/>
  <c r="G87" i="34"/>
  <c r="AA87" i="34" s="1"/>
  <c r="AI94" i="34"/>
  <c r="AI95" i="34"/>
  <c r="F291" i="34"/>
  <c r="Y291" i="34" s="1"/>
  <c r="H295" i="34"/>
  <c r="E328" i="34"/>
  <c r="X328" i="34" s="1"/>
  <c r="J328" i="34"/>
  <c r="AC328" i="34" s="1"/>
  <c r="F328" i="34"/>
  <c r="Y328" i="34" s="1"/>
  <c r="J331" i="34"/>
  <c r="AC331" i="34" s="1"/>
  <c r="G356" i="34"/>
  <c r="Z350" i="34"/>
  <c r="Z356" i="34" s="1"/>
  <c r="E115" i="35"/>
  <c r="E116" i="35"/>
  <c r="E117" i="35"/>
  <c r="H369" i="34"/>
  <c r="F115" i="35"/>
  <c r="F116" i="35"/>
  <c r="P116" i="35" s="1"/>
  <c r="F117" i="35"/>
  <c r="H329" i="34"/>
  <c r="AA329" i="34" s="1"/>
  <c r="I369" i="34"/>
  <c r="AE368" i="34"/>
  <c r="J369" i="34"/>
  <c r="AE365" i="34"/>
  <c r="K369" i="34"/>
  <c r="AE364" i="34"/>
  <c r="M46" i="36"/>
  <c r="AP46" i="36" s="1"/>
  <c r="M61" i="36"/>
  <c r="AP61" i="36" s="1"/>
  <c r="E26" i="36"/>
  <c r="AH26" i="36" s="1"/>
  <c r="F26" i="36"/>
  <c r="AI26" i="36" s="1"/>
  <c r="M29" i="36"/>
  <c r="AP29" i="36" s="1"/>
  <c r="E55" i="36"/>
  <c r="AH55" i="36" s="1"/>
  <c r="G26" i="36"/>
  <c r="AJ26" i="36" s="1"/>
  <c r="F55" i="36"/>
  <c r="AI55" i="36" s="1"/>
  <c r="M31" i="36"/>
  <c r="AP31" i="36" s="1"/>
  <c r="E35" i="36"/>
  <c r="AH35" i="36" s="1"/>
  <c r="E46" i="36"/>
  <c r="AH46" i="36" s="1"/>
  <c r="G55" i="36"/>
  <c r="AJ55" i="36" s="1"/>
  <c r="J63" i="36"/>
  <c r="E61" i="36"/>
  <c r="AH61" i="36" s="1"/>
  <c r="M32" i="36"/>
  <c r="AP32" i="36" s="1"/>
  <c r="F35" i="36"/>
  <c r="AI35" i="36" s="1"/>
  <c r="J49" i="36"/>
  <c r="F46" i="36"/>
  <c r="AI46" i="36" s="1"/>
  <c r="AN63" i="36"/>
  <c r="M58" i="36"/>
  <c r="AP58" i="36" s="1"/>
  <c r="F61" i="36"/>
  <c r="AI61" i="36" s="1"/>
  <c r="E65" i="36"/>
  <c r="AH65" i="36" s="1"/>
  <c r="M33" i="36"/>
  <c r="AP33" i="36" s="1"/>
  <c r="G35" i="36"/>
  <c r="AJ35" i="36" s="1"/>
  <c r="M44" i="36"/>
  <c r="AP44" i="36" s="1"/>
  <c r="G46" i="36"/>
  <c r="AJ46" i="36" s="1"/>
  <c r="M59" i="36"/>
  <c r="AP59" i="36" s="1"/>
  <c r="G61" i="36"/>
  <c r="AJ61" i="36" s="1"/>
  <c r="F65" i="36"/>
  <c r="AP12" i="36"/>
  <c r="L12" i="36"/>
  <c r="L19" i="36" s="1"/>
  <c r="AP19" i="36" s="1"/>
  <c r="AD271" i="34"/>
  <c r="L268" i="34"/>
  <c r="J279" i="34" s="1"/>
  <c r="AC279" i="34" s="1"/>
  <c r="X47" i="48"/>
  <c r="H123" i="34"/>
  <c r="F151" i="34" s="1"/>
  <c r="Y151" i="34" s="1"/>
  <c r="Z121" i="34"/>
  <c r="H122" i="34"/>
  <c r="E150" i="34" s="1"/>
  <c r="X123" i="34"/>
  <c r="Y124" i="34"/>
  <c r="Z269" i="34"/>
  <c r="H121" i="34"/>
  <c r="G149" i="34" s="1"/>
  <c r="Z149" i="34" s="1"/>
  <c r="X122" i="34"/>
  <c r="Y123" i="34"/>
  <c r="F273" i="34"/>
  <c r="L267" i="34"/>
  <c r="AB269" i="34"/>
  <c r="X316" i="34"/>
  <c r="R60" i="48"/>
  <c r="X121" i="34"/>
  <c r="Y122" i="34"/>
  <c r="F126" i="34"/>
  <c r="F141" i="34" s="1"/>
  <c r="Y141" i="34" s="1"/>
  <c r="AB267" i="34"/>
  <c r="AC269" i="34"/>
  <c r="L272" i="34"/>
  <c r="K283" i="34" s="1"/>
  <c r="AD283" i="34" s="1"/>
  <c r="E369" i="34"/>
  <c r="AE363" i="34"/>
  <c r="L363" i="34"/>
  <c r="Y121" i="34"/>
  <c r="G126" i="34"/>
  <c r="Z126" i="34" s="1"/>
  <c r="H273" i="34"/>
  <c r="AD269" i="34"/>
  <c r="X350" i="34"/>
  <c r="E356" i="34"/>
  <c r="I350" i="34"/>
  <c r="Z125" i="34"/>
  <c r="AD267" i="34"/>
  <c r="Y268" i="34"/>
  <c r="E320" i="34"/>
  <c r="X315" i="34"/>
  <c r="G315" i="34"/>
  <c r="H315" i="34" s="1"/>
  <c r="Z124" i="34"/>
  <c r="AB329" i="34"/>
  <c r="AA352" i="34"/>
  <c r="AB352" i="34" s="1"/>
  <c r="H356" i="34"/>
  <c r="I352" i="34"/>
  <c r="X363" i="34"/>
  <c r="L366" i="34"/>
  <c r="AE366" i="34"/>
  <c r="AE367" i="34"/>
  <c r="L367" i="34"/>
  <c r="AC270" i="34"/>
  <c r="AC271" i="34"/>
  <c r="AC272" i="34"/>
  <c r="F356" i="34"/>
  <c r="L269" i="34"/>
  <c r="K280" i="34" s="1"/>
  <c r="AD280" i="34" s="1"/>
  <c r="L270" i="34"/>
  <c r="I281" i="34" s="1"/>
  <c r="AB281" i="34" s="1"/>
  <c r="X354" i="34"/>
  <c r="AB354" i="34" s="1"/>
  <c r="I354" i="34"/>
  <c r="L364" i="34"/>
  <c r="X267" i="34"/>
  <c r="X268" i="34"/>
  <c r="X269" i="34"/>
  <c r="X270" i="34"/>
  <c r="X271" i="34"/>
  <c r="X272" i="34"/>
  <c r="E273" i="34"/>
  <c r="X364" i="34"/>
  <c r="S284" i="35"/>
  <c r="T284" i="35" s="1"/>
  <c r="J284" i="35"/>
  <c r="Y269" i="34"/>
  <c r="Y270" i="34"/>
  <c r="Y271" i="34"/>
  <c r="Y272" i="34"/>
  <c r="X353" i="34"/>
  <c r="AB353" i="34" s="1"/>
  <c r="I353" i="34"/>
  <c r="L365" i="34"/>
  <c r="AA268" i="34"/>
  <c r="AA269" i="34"/>
  <c r="AA270" i="34"/>
  <c r="AA271" i="34"/>
  <c r="AA272" i="34"/>
  <c r="X317" i="34"/>
  <c r="S9" i="35"/>
  <c r="T9" i="35" s="1"/>
  <c r="J9" i="35"/>
  <c r="J232" i="35"/>
  <c r="H244" i="35" s="1"/>
  <c r="R244" i="35" s="1"/>
  <c r="Y363" i="34"/>
  <c r="Y369" i="34" s="1"/>
  <c r="P6" i="35"/>
  <c r="J6" i="35"/>
  <c r="O171" i="35"/>
  <c r="T171" i="35" s="1"/>
  <c r="J171" i="35"/>
  <c r="J234" i="35"/>
  <c r="H246" i="35" s="1"/>
  <c r="R246" i="35" s="1"/>
  <c r="Z363" i="34"/>
  <c r="Z369" i="34" s="1"/>
  <c r="Q6" i="35"/>
  <c r="O11" i="35"/>
  <c r="T11" i="35" s="1"/>
  <c r="J11" i="35"/>
  <c r="J173" i="35"/>
  <c r="O286" i="35"/>
  <c r="T286" i="35" s="1"/>
  <c r="J286" i="35"/>
  <c r="J288" i="35"/>
  <c r="AA363" i="34"/>
  <c r="AA369" i="34" s="1"/>
  <c r="S6" i="35"/>
  <c r="T173" i="35"/>
  <c r="F237" i="35"/>
  <c r="O236" i="35"/>
  <c r="T236" i="35" s="1"/>
  <c r="J236" i="35"/>
  <c r="H248" i="35" s="1"/>
  <c r="R248" i="35" s="1"/>
  <c r="S15" i="48"/>
  <c r="AB363" i="34"/>
  <c r="AB369" i="34" s="1"/>
  <c r="E174" i="35"/>
  <c r="P170" i="35"/>
  <c r="T170" i="35" s="1"/>
  <c r="J170" i="35"/>
  <c r="G237" i="35"/>
  <c r="AC363" i="34"/>
  <c r="AC369" i="34" s="1"/>
  <c r="P10" i="35"/>
  <c r="T10" i="35" s="1"/>
  <c r="J10" i="35"/>
  <c r="P285" i="35"/>
  <c r="T285" i="35" s="1"/>
  <c r="J285" i="35"/>
  <c r="F289" i="35"/>
  <c r="Y23" i="48"/>
  <c r="AD363" i="34"/>
  <c r="AD369" i="34" s="1"/>
  <c r="O7" i="35"/>
  <c r="J7" i="35"/>
  <c r="H20" i="35" s="1"/>
  <c r="R20" i="35" s="1"/>
  <c r="S169" i="35"/>
  <c r="T169" i="35" s="1"/>
  <c r="I174" i="35"/>
  <c r="F174" i="35"/>
  <c r="J235" i="35"/>
  <c r="H247" i="35" s="1"/>
  <c r="R247" i="35" s="1"/>
  <c r="G289" i="35"/>
  <c r="Q287" i="35"/>
  <c r="Q289" i="35" s="1"/>
  <c r="O288" i="35"/>
  <c r="T288" i="35" s="1"/>
  <c r="I289" i="35"/>
  <c r="C15" i="48"/>
  <c r="T15" i="48"/>
  <c r="AG10" i="48"/>
  <c r="AG11" i="48"/>
  <c r="E71" i="48"/>
  <c r="H67" i="48"/>
  <c r="F76" i="48"/>
  <c r="J85" i="48"/>
  <c r="J89" i="48"/>
  <c r="S168" i="35"/>
  <c r="S172" i="35"/>
  <c r="T172" i="35" s="1"/>
  <c r="S283" i="35"/>
  <c r="T283" i="35" s="1"/>
  <c r="S287" i="35"/>
  <c r="G30" i="48"/>
  <c r="D79" i="48"/>
  <c r="R91" i="48"/>
  <c r="AG13" i="48"/>
  <c r="C30" i="48"/>
  <c r="AG14" i="48"/>
  <c r="H47" i="48"/>
  <c r="U47" i="48"/>
  <c r="T91" i="48"/>
  <c r="I237" i="35"/>
  <c r="AG9" i="48"/>
  <c r="X15" i="48"/>
  <c r="Y13" i="48"/>
  <c r="J283" i="35"/>
  <c r="H295" i="35" s="1"/>
  <c r="R295" i="35" s="1"/>
  <c r="Y12" i="48"/>
  <c r="Y14" i="48"/>
  <c r="Z71" i="34"/>
  <c r="Z74" i="34" s="1"/>
  <c r="O39" i="42"/>
  <c r="K52" i="42" s="1"/>
  <c r="AB52" i="42" s="1"/>
  <c r="AB39" i="42"/>
  <c r="G9" i="34"/>
  <c r="F31" i="34" s="1"/>
  <c r="Z31" i="34" s="1"/>
  <c r="X10" i="34"/>
  <c r="Y11" i="34"/>
  <c r="X41" i="34"/>
  <c r="AA41" i="34" s="1"/>
  <c r="D62" i="34"/>
  <c r="AF74" i="34"/>
  <c r="F74" i="34"/>
  <c r="H83" i="34"/>
  <c r="AB83" i="34" s="1"/>
  <c r="X85" i="34"/>
  <c r="H95" i="34"/>
  <c r="AB95" i="34" s="1"/>
  <c r="Y95" i="34"/>
  <c r="AI97" i="34"/>
  <c r="AF97" i="34"/>
  <c r="I42" i="42"/>
  <c r="Z36" i="42"/>
  <c r="AF11" i="42"/>
  <c r="AD68" i="34"/>
  <c r="AD74" i="34" s="1"/>
  <c r="G8" i="34"/>
  <c r="D30" i="34" s="1"/>
  <c r="G40" i="34"/>
  <c r="G44" i="34"/>
  <c r="G62" i="34"/>
  <c r="H84" i="34"/>
  <c r="AB84" i="34" s="1"/>
  <c r="AF84" i="34"/>
  <c r="Z40" i="42"/>
  <c r="Z12" i="34"/>
  <c r="G7" i="34"/>
  <c r="F29" i="34" s="1"/>
  <c r="Z29" i="34" s="1"/>
  <c r="D12" i="34"/>
  <c r="Z45" i="34"/>
  <c r="AA40" i="34"/>
  <c r="AA44" i="34"/>
  <c r="D99" i="34"/>
  <c r="X99" i="34" s="1"/>
  <c r="H93" i="34"/>
  <c r="X93" i="34"/>
  <c r="G99" i="34"/>
  <c r="AA99" i="34" s="1"/>
  <c r="AA94" i="34"/>
  <c r="D42" i="42"/>
  <c r="U37" i="42"/>
  <c r="U42" i="42" s="1"/>
  <c r="Z129" i="42"/>
  <c r="I135" i="42"/>
  <c r="AD133" i="42"/>
  <c r="E12" i="34"/>
  <c r="X68" i="34"/>
  <c r="X74" i="34" s="1"/>
  <c r="X81" i="34"/>
  <c r="H86" i="34"/>
  <c r="AB86" i="34" s="1"/>
  <c r="AF86" i="34"/>
  <c r="E111" i="34"/>
  <c r="Y111" i="34" s="1"/>
  <c r="F12" i="34"/>
  <c r="Y68" i="34"/>
  <c r="Y74" i="34" s="1"/>
  <c r="Y81" i="34"/>
  <c r="Z93" i="34"/>
  <c r="F99" i="34"/>
  <c r="Z99" i="34" s="1"/>
  <c r="F110" i="34"/>
  <c r="Z110" i="34" s="1"/>
  <c r="Y39" i="34"/>
  <c r="Y45" i="34" s="1"/>
  <c r="G42" i="34"/>
  <c r="AA56" i="34"/>
  <c r="AA62" i="34" s="1"/>
  <c r="Z81" i="34"/>
  <c r="X82" i="34"/>
  <c r="O38" i="42"/>
  <c r="L51" i="42" s="1"/>
  <c r="AC51" i="42" s="1"/>
  <c r="AD38" i="42"/>
  <c r="L91" i="42"/>
  <c r="N85" i="42"/>
  <c r="L98" i="42" s="1"/>
  <c r="AC98" i="42" s="1"/>
  <c r="F45" i="34"/>
  <c r="D74" i="34"/>
  <c r="AC74" i="34" s="1"/>
  <c r="AC68" i="34"/>
  <c r="AF81" i="34"/>
  <c r="X83" i="34"/>
  <c r="AF87" i="34"/>
  <c r="M99" i="34"/>
  <c r="AF99" i="34" s="1"/>
  <c r="AF93" i="34"/>
  <c r="AI96" i="34"/>
  <c r="AG81" i="34"/>
  <c r="H94" i="34"/>
  <c r="AB94" i="34" s="1"/>
  <c r="H98" i="34"/>
  <c r="AB98" i="34" s="1"/>
  <c r="N42" i="42"/>
  <c r="AD130" i="42"/>
  <c r="Z134" i="42"/>
  <c r="AI68" i="34"/>
  <c r="AI74" i="34" s="1"/>
  <c r="Z131" i="42"/>
  <c r="AF9" i="42"/>
  <c r="AF94" i="34"/>
  <c r="AF98" i="34"/>
  <c r="F105" i="34"/>
  <c r="F109" i="34"/>
  <c r="Z109" i="34" s="1"/>
  <c r="AB36" i="42"/>
  <c r="Z37" i="42"/>
  <c r="AD39" i="42"/>
  <c r="AB40" i="42"/>
  <c r="Z41" i="42"/>
  <c r="H42" i="42"/>
  <c r="U85" i="42"/>
  <c r="U91" i="42" s="1"/>
  <c r="AC135" i="42"/>
  <c r="AD132" i="42"/>
  <c r="AD10" i="42"/>
  <c r="X97" i="34"/>
  <c r="H91" i="42"/>
  <c r="Y85" i="42"/>
  <c r="AD129" i="42"/>
  <c r="Z133" i="42"/>
  <c r="AB11" i="42"/>
  <c r="AF95" i="34"/>
  <c r="Y105" i="34"/>
  <c r="F108" i="34"/>
  <c r="Z108" i="34" s="1"/>
  <c r="AB37" i="42"/>
  <c r="Z38" i="42"/>
  <c r="AD40" i="42"/>
  <c r="J42" i="42"/>
  <c r="I91" i="42"/>
  <c r="Z85" i="42"/>
  <c r="Z91" i="42" s="1"/>
  <c r="N90" i="42"/>
  <c r="H103" i="42" s="1"/>
  <c r="Z130" i="42"/>
  <c r="AD134" i="42"/>
  <c r="M135" i="42"/>
  <c r="AA81" i="34"/>
  <c r="AA38" i="42"/>
  <c r="AE40" i="42"/>
  <c r="AE42" i="42" s="1"/>
  <c r="K42" i="42"/>
  <c r="AA85" i="42"/>
  <c r="N87" i="42"/>
  <c r="J100" i="42" s="1"/>
  <c r="AA100" i="42" s="1"/>
  <c r="AA90" i="42"/>
  <c r="AD131" i="42"/>
  <c r="K15" i="42"/>
  <c r="AB9" i="42"/>
  <c r="O15" i="42"/>
  <c r="K91" i="42"/>
  <c r="AB85" i="42"/>
  <c r="AB91" i="42" s="1"/>
  <c r="AA87" i="42"/>
  <c r="Z132" i="42"/>
  <c r="AC88" i="42"/>
  <c r="AC89" i="42"/>
  <c r="AE89" i="42" s="1"/>
  <c r="AC90" i="42"/>
  <c r="K135" i="42"/>
  <c r="Y9" i="42"/>
  <c r="AE10" i="42"/>
  <c r="AC11" i="42"/>
  <c r="AA12" i="42"/>
  <c r="AA15" i="42" s="1"/>
  <c r="Y13" i="42"/>
  <c r="AG13" i="42" s="1"/>
  <c r="AE14" i="42"/>
  <c r="M15" i="42"/>
  <c r="AD85" i="42"/>
  <c r="AD86" i="42"/>
  <c r="AE86" i="42" s="1"/>
  <c r="AA129" i="42"/>
  <c r="P130" i="42"/>
  <c r="M142" i="42" s="1"/>
  <c r="AD142" i="42" s="1"/>
  <c r="P132" i="42"/>
  <c r="L144" i="42" s="1"/>
  <c r="AC144" i="42" s="1"/>
  <c r="AA133" i="42"/>
  <c r="P134" i="42"/>
  <c r="I146" i="42" s="1"/>
  <c r="Z146" i="42" s="1"/>
  <c r="L135" i="42"/>
  <c r="Z9" i="42"/>
  <c r="Z15" i="42" s="1"/>
  <c r="N15" i="42"/>
  <c r="Y130" i="42"/>
  <c r="Y134" i="42"/>
  <c r="P11" i="42"/>
  <c r="K24" i="42" s="1"/>
  <c r="AB24" i="42" s="1"/>
  <c r="H15" i="42"/>
  <c r="Y87" i="42"/>
  <c r="Y90" i="42"/>
  <c r="AC9" i="42"/>
  <c r="P129" i="42"/>
  <c r="K141" i="42" s="1"/>
  <c r="AB141" i="42" s="1"/>
  <c r="P131" i="42"/>
  <c r="O143" i="42" s="1"/>
  <c r="AF143" i="42" s="1"/>
  <c r="P133" i="42"/>
  <c r="M145" i="42" s="1"/>
  <c r="AD145" i="42" s="1"/>
  <c r="H135" i="42"/>
  <c r="AN49" i="36"/>
  <c r="AN34" i="36"/>
  <c r="K34" i="36"/>
  <c r="K49" i="36"/>
  <c r="K63" i="36"/>
  <c r="L29" i="36"/>
  <c r="AO29" i="36" s="1"/>
  <c r="L30" i="36"/>
  <c r="AO30" i="36" s="1"/>
  <c r="L31" i="36"/>
  <c r="AO31" i="36" s="1"/>
  <c r="L32" i="36"/>
  <c r="AO32" i="36" s="1"/>
  <c r="L33" i="36"/>
  <c r="AO33" i="36" s="1"/>
  <c r="L43" i="36"/>
  <c r="AO43" i="36" s="1"/>
  <c r="L44" i="36"/>
  <c r="AO44" i="36" s="1"/>
  <c r="L45" i="36"/>
  <c r="AO45" i="36" s="1"/>
  <c r="L46" i="36"/>
  <c r="AO46" i="36" s="1"/>
  <c r="L47" i="36"/>
  <c r="AO47" i="36" s="1"/>
  <c r="L48" i="36"/>
  <c r="AO48" i="36" s="1"/>
  <c r="L57" i="36"/>
  <c r="AO57" i="36" s="1"/>
  <c r="L58" i="36"/>
  <c r="AO58" i="36" s="1"/>
  <c r="L59" i="36"/>
  <c r="AO59" i="36" s="1"/>
  <c r="L60" i="36"/>
  <c r="AO60" i="36" s="1"/>
  <c r="L61" i="36"/>
  <c r="AO61" i="36" s="1"/>
  <c r="L62" i="36"/>
  <c r="AO62" i="36" s="1"/>
  <c r="AI27" i="36"/>
  <c r="M28" i="36"/>
  <c r="AP28" i="36" s="1"/>
  <c r="M43" i="36"/>
  <c r="AP43" i="36" s="1"/>
  <c r="M57" i="36"/>
  <c r="AP57" i="36" s="1"/>
  <c r="AJ27" i="36"/>
  <c r="D15" i="48"/>
  <c r="H30" i="48"/>
  <c r="AB39" i="48"/>
  <c r="AB41" i="48"/>
  <c r="AB43" i="48"/>
  <c r="AB45" i="48"/>
  <c r="Y88" i="48"/>
  <c r="I91" i="48"/>
  <c r="V15" i="48"/>
  <c r="G47" i="48"/>
  <c r="T47" i="48"/>
  <c r="H68" i="48"/>
  <c r="E79" i="48"/>
  <c r="C91" i="48"/>
  <c r="S91" i="48"/>
  <c r="J88" i="48"/>
  <c r="F15" i="48"/>
  <c r="W15" i="48"/>
  <c r="AG12" i="48"/>
  <c r="W66" i="48"/>
  <c r="F71" i="48"/>
  <c r="W70" i="48"/>
  <c r="D91" i="48"/>
  <c r="Y87" i="48"/>
  <c r="I47" i="48"/>
  <c r="V47" i="48"/>
  <c r="M38" i="48"/>
  <c r="AB38" i="48"/>
  <c r="M40" i="48"/>
  <c r="AB40" i="48"/>
  <c r="M42" i="48"/>
  <c r="AB42" i="48"/>
  <c r="M44" i="48"/>
  <c r="AB44" i="48"/>
  <c r="M46" i="48"/>
  <c r="AB46" i="48"/>
  <c r="S71" i="48"/>
  <c r="G71" i="48"/>
  <c r="H69" i="48"/>
  <c r="S79" i="48"/>
  <c r="F78" i="48"/>
  <c r="E91" i="48"/>
  <c r="U91" i="48"/>
  <c r="J87" i="48"/>
  <c r="G15" i="48"/>
  <c r="Y11" i="48"/>
  <c r="AD15" i="48"/>
  <c r="H15" i="48"/>
  <c r="I13" i="48"/>
  <c r="J47" i="48"/>
  <c r="W47" i="48"/>
  <c r="T71" i="48"/>
  <c r="W67" i="48"/>
  <c r="T79" i="48"/>
  <c r="F91" i="48"/>
  <c r="V91" i="48"/>
  <c r="Y86" i="48"/>
  <c r="Y90" i="48"/>
  <c r="AE15" i="48"/>
  <c r="R15" i="48"/>
  <c r="I11" i="48"/>
  <c r="M37" i="48"/>
  <c r="M39" i="48"/>
  <c r="K47" i="48"/>
  <c r="M41" i="48"/>
  <c r="M43" i="48"/>
  <c r="M45" i="48"/>
  <c r="K53" i="48"/>
  <c r="Z53" i="48"/>
  <c r="K54" i="48"/>
  <c r="Z54" i="48"/>
  <c r="K55" i="48"/>
  <c r="Z55" i="48"/>
  <c r="K56" i="48"/>
  <c r="Z56" i="48"/>
  <c r="K57" i="48"/>
  <c r="Z57" i="48"/>
  <c r="K58" i="48"/>
  <c r="Z58" i="48"/>
  <c r="K59" i="48"/>
  <c r="Z59" i="48"/>
  <c r="H66" i="48"/>
  <c r="U71" i="48"/>
  <c r="H70" i="48"/>
  <c r="F77" i="48"/>
  <c r="G91" i="48"/>
  <c r="W91" i="48"/>
  <c r="J86" i="48"/>
  <c r="J90" i="48"/>
  <c r="AF15" i="48"/>
  <c r="U15" i="48"/>
  <c r="F30" i="48"/>
  <c r="Y24" i="48"/>
  <c r="D47" i="48"/>
  <c r="L47" i="48"/>
  <c r="Y47" i="48"/>
  <c r="D71" i="48"/>
  <c r="V71" i="48"/>
  <c r="W68" i="48"/>
  <c r="U78" i="48"/>
  <c r="H91" i="48"/>
  <c r="X91" i="48"/>
  <c r="Y85" i="48"/>
  <c r="Y89" i="48"/>
  <c r="C47" i="48"/>
  <c r="R79" i="48"/>
  <c r="AC15" i="48"/>
  <c r="AB37" i="48"/>
  <c r="E15" i="48"/>
  <c r="D30" i="48"/>
  <c r="R71" i="48"/>
  <c r="I9" i="48"/>
  <c r="Y9" i="48"/>
  <c r="J84" i="48"/>
  <c r="Y84" i="48"/>
  <c r="K52" i="48"/>
  <c r="C71" i="48"/>
  <c r="C79" i="48"/>
  <c r="Z52" i="48"/>
  <c r="M8" i="49"/>
  <c r="J41" i="49"/>
  <c r="M9" i="49"/>
  <c r="I37" i="49"/>
  <c r="K43" i="49"/>
  <c r="J43" i="49"/>
  <c r="H43" i="49"/>
  <c r="G43" i="49"/>
  <c r="I43" i="49"/>
  <c r="K39" i="49"/>
  <c r="J39" i="49"/>
  <c r="H39" i="49"/>
  <c r="I39" i="49"/>
  <c r="M11" i="49"/>
  <c r="G42" i="49"/>
  <c r="H41" i="49"/>
  <c r="K41" i="49"/>
  <c r="H45" i="49"/>
  <c r="M7" i="49"/>
  <c r="J42" i="49"/>
  <c r="I42" i="49"/>
  <c r="H42" i="49"/>
  <c r="M5" i="49"/>
  <c r="J40" i="49"/>
  <c r="I40" i="49"/>
  <c r="I41" i="49"/>
  <c r="J38" i="49"/>
  <c r="I38" i="49"/>
  <c r="H38" i="49"/>
  <c r="G40" i="49"/>
  <c r="M10" i="49"/>
  <c r="H37" i="49"/>
  <c r="K37" i="49"/>
  <c r="G45" i="49"/>
  <c r="K45" i="49"/>
  <c r="J45" i="49"/>
  <c r="H40" i="49"/>
  <c r="F50" i="49"/>
  <c r="J36" i="49"/>
  <c r="I36" i="49"/>
  <c r="H36" i="49"/>
  <c r="K40" i="49"/>
  <c r="M6" i="49"/>
  <c r="M12" i="49"/>
  <c r="AB19" i="36" l="1"/>
  <c r="BF19" i="36" s="1"/>
  <c r="BE18" i="36"/>
  <c r="BD18" i="36"/>
  <c r="BD15" i="36"/>
  <c r="BE15" i="36"/>
  <c r="BE14" i="36"/>
  <c r="BD14" i="36"/>
  <c r="BD16" i="36"/>
  <c r="BE16" i="36"/>
  <c r="BE13" i="36"/>
  <c r="BD13" i="36"/>
  <c r="H22" i="49"/>
  <c r="T22" i="49" s="1"/>
  <c r="BF12" i="36"/>
  <c r="BE12" i="36"/>
  <c r="L13" i="36"/>
  <c r="AP13" i="36" s="1"/>
  <c r="L15" i="36"/>
  <c r="AP15" i="36" s="1"/>
  <c r="L14" i="36"/>
  <c r="AP14" i="36" s="1"/>
  <c r="L18" i="36"/>
  <c r="AP18" i="36" s="1"/>
  <c r="L17" i="36"/>
  <c r="AP17" i="36" s="1"/>
  <c r="L16" i="36"/>
  <c r="AP16" i="36" s="1"/>
  <c r="AX19" i="36"/>
  <c r="T18" i="36"/>
  <c r="AX18" i="36" s="1"/>
  <c r="I15" i="48"/>
  <c r="H16" i="48" s="1"/>
  <c r="L273" i="34"/>
  <c r="J274" i="34" s="1"/>
  <c r="H278" i="34"/>
  <c r="AA278" i="34" s="1"/>
  <c r="D22" i="34"/>
  <c r="X22" i="34" s="1"/>
  <c r="R113" i="35"/>
  <c r="R118" i="35" s="1"/>
  <c r="H118" i="35"/>
  <c r="I300" i="35"/>
  <c r="S300" i="35" s="1"/>
  <c r="H300" i="35"/>
  <c r="R300" i="35" s="1"/>
  <c r="E298" i="35"/>
  <c r="O298" i="35" s="1"/>
  <c r="H298" i="35"/>
  <c r="R298" i="35" s="1"/>
  <c r="I297" i="35"/>
  <c r="S297" i="35" s="1"/>
  <c r="H297" i="35"/>
  <c r="R297" i="35" s="1"/>
  <c r="F296" i="35"/>
  <c r="P296" i="35" s="1"/>
  <c r="H296" i="35"/>
  <c r="R296" i="35" s="1"/>
  <c r="J30" i="48"/>
  <c r="I31" i="48" s="1"/>
  <c r="T287" i="35"/>
  <c r="T289" i="35" s="1"/>
  <c r="G299" i="35"/>
  <c r="Q299" i="35" s="1"/>
  <c r="H299" i="35"/>
  <c r="R299" i="35" s="1"/>
  <c r="Y30" i="48"/>
  <c r="Y6" i="49"/>
  <c r="I19" i="49"/>
  <c r="U19" i="49" s="1"/>
  <c r="K25" i="49"/>
  <c r="W25" i="49" s="1"/>
  <c r="K26" i="49"/>
  <c r="W26" i="49" s="1"/>
  <c r="V15" i="49"/>
  <c r="I24" i="49"/>
  <c r="U24" i="49" s="1"/>
  <c r="K22" i="49"/>
  <c r="W22" i="49" s="1"/>
  <c r="L26" i="49"/>
  <c r="X26" i="49" s="1"/>
  <c r="G23" i="49"/>
  <c r="S23" i="49" s="1"/>
  <c r="I26" i="49"/>
  <c r="U26" i="49" s="1"/>
  <c r="I22" i="49"/>
  <c r="U22" i="49" s="1"/>
  <c r="L25" i="49"/>
  <c r="X25" i="49" s="1"/>
  <c r="J24" i="49"/>
  <c r="V24" i="49" s="1"/>
  <c r="J21" i="49"/>
  <c r="V21" i="49" s="1"/>
  <c r="J22" i="49"/>
  <c r="V22" i="49" s="1"/>
  <c r="J20" i="49"/>
  <c r="V20" i="49" s="1"/>
  <c r="I23" i="49"/>
  <c r="U23" i="49" s="1"/>
  <c r="J25" i="49"/>
  <c r="V25" i="49" s="1"/>
  <c r="L20" i="49"/>
  <c r="X20" i="49" s="1"/>
  <c r="K21" i="49"/>
  <c r="W21" i="49" s="1"/>
  <c r="K19" i="49"/>
  <c r="W19" i="49" s="1"/>
  <c r="K23" i="49"/>
  <c r="W23" i="49" s="1"/>
  <c r="T36" i="49"/>
  <c r="V38" i="49"/>
  <c r="V42" i="49"/>
  <c r="U39" i="49"/>
  <c r="U41" i="49"/>
  <c r="T40" i="49"/>
  <c r="V45" i="49"/>
  <c r="S40" i="49"/>
  <c r="M15" i="49"/>
  <c r="M26" i="49" s="1"/>
  <c r="Y26" i="49" s="1"/>
  <c r="T41" i="49"/>
  <c r="U43" i="49"/>
  <c r="S36" i="49"/>
  <c r="I27" i="49"/>
  <c r="U27" i="49" s="1"/>
  <c r="I28" i="49"/>
  <c r="U28" i="49" s="1"/>
  <c r="L22" i="49"/>
  <c r="X22" i="49" s="1"/>
  <c r="I25" i="49"/>
  <c r="U25" i="49" s="1"/>
  <c r="G20" i="49"/>
  <c r="S20" i="49" s="1"/>
  <c r="J26" i="49"/>
  <c r="V26" i="49" s="1"/>
  <c r="S42" i="49"/>
  <c r="S43" i="49"/>
  <c r="S38" i="49"/>
  <c r="H27" i="49"/>
  <c r="T27" i="49" s="1"/>
  <c r="H28" i="49"/>
  <c r="T28" i="49" s="1"/>
  <c r="G27" i="49"/>
  <c r="S27" i="49" s="1"/>
  <c r="G19" i="49"/>
  <c r="S19" i="49" s="1"/>
  <c r="G28" i="49"/>
  <c r="S28" i="49" s="1"/>
  <c r="G26" i="49"/>
  <c r="S26" i="49" s="1"/>
  <c r="W40" i="49"/>
  <c r="S45" i="49"/>
  <c r="U38" i="49"/>
  <c r="U42" i="49"/>
  <c r="T43" i="49"/>
  <c r="H23" i="49"/>
  <c r="T23" i="49" s="1"/>
  <c r="G24" i="49"/>
  <c r="S24" i="49" s="1"/>
  <c r="G25" i="49"/>
  <c r="S25" i="49" s="1"/>
  <c r="V43" i="49"/>
  <c r="H21" i="49"/>
  <c r="T21" i="49" s="1"/>
  <c r="K28" i="49"/>
  <c r="W28" i="49" s="1"/>
  <c r="K27" i="49"/>
  <c r="W27" i="49" s="1"/>
  <c r="L24" i="49"/>
  <c r="X24" i="49" s="1"/>
  <c r="W45" i="49"/>
  <c r="U36" i="49"/>
  <c r="S37" i="49"/>
  <c r="S39" i="49"/>
  <c r="W43" i="49"/>
  <c r="L21" i="49"/>
  <c r="X21" i="49" s="1"/>
  <c r="H20" i="49"/>
  <c r="T20" i="49" s="1"/>
  <c r="J27" i="49"/>
  <c r="V27" i="49" s="1"/>
  <c r="J28" i="49"/>
  <c r="V28" i="49" s="1"/>
  <c r="K20" i="49"/>
  <c r="W20" i="49" s="1"/>
  <c r="T38" i="49"/>
  <c r="T42" i="49"/>
  <c r="W37" i="49"/>
  <c r="U37" i="49"/>
  <c r="I20" i="49"/>
  <c r="U20" i="49" s="1"/>
  <c r="H25" i="49"/>
  <c r="T25" i="49" s="1"/>
  <c r="G22" i="49"/>
  <c r="S22" i="49" s="1"/>
  <c r="J23" i="49"/>
  <c r="V23" i="49" s="1"/>
  <c r="V36" i="49"/>
  <c r="T45" i="49"/>
  <c r="T39" i="49"/>
  <c r="U40" i="49"/>
  <c r="W41" i="49"/>
  <c r="V39" i="49"/>
  <c r="H24" i="49"/>
  <c r="T24" i="49" s="1"/>
  <c r="L28" i="49"/>
  <c r="X28" i="49" s="1"/>
  <c r="L27" i="49"/>
  <c r="X27" i="49" s="1"/>
  <c r="H26" i="49"/>
  <c r="T26" i="49" s="1"/>
  <c r="T37" i="49"/>
  <c r="V40" i="49"/>
  <c r="S41" i="49"/>
  <c r="W39" i="49"/>
  <c r="V41" i="49"/>
  <c r="L23" i="49"/>
  <c r="X23" i="49" s="1"/>
  <c r="T17" i="36"/>
  <c r="AX17" i="36" s="1"/>
  <c r="AB18" i="36"/>
  <c r="BF18" i="36" s="1"/>
  <c r="AB17" i="36"/>
  <c r="BF17" i="36" s="1"/>
  <c r="AB16" i="36"/>
  <c r="BF16" i="36" s="1"/>
  <c r="AB15" i="36"/>
  <c r="BF15" i="36" s="1"/>
  <c r="AB14" i="36"/>
  <c r="BF14" i="36" s="1"/>
  <c r="AB13" i="36"/>
  <c r="BF13" i="36" s="1"/>
  <c r="T14" i="36"/>
  <c r="AX14" i="36" s="1"/>
  <c r="T13" i="36"/>
  <c r="AX13" i="36" s="1"/>
  <c r="T15" i="36"/>
  <c r="AX15" i="36" s="1"/>
  <c r="T16" i="36"/>
  <c r="AX16" i="36" s="1"/>
  <c r="AG14" i="42"/>
  <c r="E21" i="34"/>
  <c r="Y21" i="34" s="1"/>
  <c r="P15" i="42"/>
  <c r="N16" i="42" s="1"/>
  <c r="AE16" i="42" s="1"/>
  <c r="T237" i="35"/>
  <c r="H243" i="35"/>
  <c r="R243" i="35" s="1"/>
  <c r="J237" i="35"/>
  <c r="F244" i="35"/>
  <c r="P244" i="35" s="1"/>
  <c r="G246" i="35"/>
  <c r="Q246" i="35" s="1"/>
  <c r="E248" i="35"/>
  <c r="O248" i="35" s="1"/>
  <c r="F247" i="35"/>
  <c r="P247" i="35" s="1"/>
  <c r="I243" i="35"/>
  <c r="S243" i="35" s="1"/>
  <c r="G245" i="35"/>
  <c r="Q245" i="35" s="1"/>
  <c r="I180" i="35"/>
  <c r="S180" i="35" s="1"/>
  <c r="H180" i="35"/>
  <c r="R180" i="35" s="1"/>
  <c r="I181" i="35"/>
  <c r="S181" i="35" s="1"/>
  <c r="H181" i="35"/>
  <c r="R181" i="35" s="1"/>
  <c r="I182" i="35"/>
  <c r="S182" i="35" s="1"/>
  <c r="H182" i="35"/>
  <c r="R182" i="35" s="1"/>
  <c r="I185" i="35"/>
  <c r="S185" i="35" s="1"/>
  <c r="H185" i="35"/>
  <c r="R185" i="35" s="1"/>
  <c r="G184" i="35"/>
  <c r="Q184" i="35" s="1"/>
  <c r="H184" i="35"/>
  <c r="R184" i="35" s="1"/>
  <c r="G183" i="35"/>
  <c r="Q183" i="35" s="1"/>
  <c r="H183" i="35"/>
  <c r="R183" i="35" s="1"/>
  <c r="O116" i="35"/>
  <c r="T116" i="35" s="1"/>
  <c r="O113" i="35"/>
  <c r="O114" i="35"/>
  <c r="T114" i="35" s="1"/>
  <c r="I22" i="35"/>
  <c r="S22" i="35" s="1"/>
  <c r="H22" i="35"/>
  <c r="R22" i="35" s="1"/>
  <c r="G19" i="35"/>
  <c r="Q19" i="35" s="1"/>
  <c r="H19" i="35"/>
  <c r="R19" i="35" s="1"/>
  <c r="E24" i="35"/>
  <c r="O24" i="35" s="1"/>
  <c r="H24" i="35"/>
  <c r="R24" i="35" s="1"/>
  <c r="G23" i="35"/>
  <c r="Q23" i="35" s="1"/>
  <c r="H23" i="35"/>
  <c r="R23" i="35" s="1"/>
  <c r="I21" i="35"/>
  <c r="S21" i="35" s="1"/>
  <c r="H21" i="35"/>
  <c r="R21" i="35" s="1"/>
  <c r="E20" i="35"/>
  <c r="O20" i="35" s="1"/>
  <c r="J12" i="35"/>
  <c r="E243" i="35"/>
  <c r="F243" i="35"/>
  <c r="P243" i="35" s="1"/>
  <c r="G152" i="34"/>
  <c r="Z152" i="34" s="1"/>
  <c r="H318" i="34"/>
  <c r="E299" i="35"/>
  <c r="O299" i="35" s="1"/>
  <c r="F299" i="35"/>
  <c r="P299" i="35" s="1"/>
  <c r="AH82" i="34"/>
  <c r="O87" i="34"/>
  <c r="AH87" i="34" s="1"/>
  <c r="D33" i="34"/>
  <c r="X33" i="34" s="1"/>
  <c r="D29" i="34"/>
  <c r="D17" i="34"/>
  <c r="X17" i="34" s="1"/>
  <c r="D31" i="34"/>
  <c r="D32" i="34"/>
  <c r="X32" i="34" s="1"/>
  <c r="M34" i="36"/>
  <c r="AO34" i="36"/>
  <c r="F184" i="35"/>
  <c r="P184" i="35" s="1"/>
  <c r="AH73" i="36"/>
  <c r="AM63" i="36"/>
  <c r="AO63" i="36" s="1"/>
  <c r="F73" i="36"/>
  <c r="AM49" i="36"/>
  <c r="AP49" i="36" s="1"/>
  <c r="AJ73" i="36"/>
  <c r="M49" i="36"/>
  <c r="U79" i="48"/>
  <c r="T80" i="48" s="1"/>
  <c r="F180" i="35"/>
  <c r="P180" i="35" s="1"/>
  <c r="AA124" i="34"/>
  <c r="J101" i="42"/>
  <c r="AA101" i="42" s="1"/>
  <c r="L99" i="42"/>
  <c r="AC99" i="42" s="1"/>
  <c r="K50" i="42"/>
  <c r="AB50" i="42" s="1"/>
  <c r="L50" i="42"/>
  <c r="AC50" i="42" s="1"/>
  <c r="K54" i="42"/>
  <c r="AB54" i="42" s="1"/>
  <c r="L54" i="42"/>
  <c r="AC54" i="42" s="1"/>
  <c r="N54" i="42"/>
  <c r="AE54" i="42" s="1"/>
  <c r="L61" i="34"/>
  <c r="AF61" i="34" s="1"/>
  <c r="E33" i="34"/>
  <c r="Y33" i="34" s="1"/>
  <c r="M54" i="42"/>
  <c r="AD54" i="42" s="1"/>
  <c r="AF56" i="34"/>
  <c r="E22" i="34"/>
  <c r="Y22" i="34" s="1"/>
  <c r="E28" i="34"/>
  <c r="Y28" i="34" s="1"/>
  <c r="F28" i="34"/>
  <c r="Z28" i="34" s="1"/>
  <c r="I102" i="42"/>
  <c r="Z102" i="42" s="1"/>
  <c r="K102" i="42"/>
  <c r="AB102" i="42" s="1"/>
  <c r="H101" i="42"/>
  <c r="Y101" i="42" s="1"/>
  <c r="I101" i="42"/>
  <c r="Z101" i="42" s="1"/>
  <c r="E152" i="34"/>
  <c r="E184" i="35"/>
  <c r="O184" i="35" s="1"/>
  <c r="AD294" i="34"/>
  <c r="I184" i="35"/>
  <c r="S184" i="35" s="1"/>
  <c r="AD292" i="34"/>
  <c r="H319" i="34"/>
  <c r="AA319" i="34"/>
  <c r="M52" i="42"/>
  <c r="AD52" i="42" s="1"/>
  <c r="AC15" i="42"/>
  <c r="K23" i="42"/>
  <c r="AB23" i="42" s="1"/>
  <c r="I50" i="42"/>
  <c r="Z50" i="42" s="1"/>
  <c r="H54" i="42"/>
  <c r="Y54" i="42" s="1"/>
  <c r="Z296" i="34"/>
  <c r="K294" i="34"/>
  <c r="F79" i="48"/>
  <c r="E80" i="48" s="1"/>
  <c r="E140" i="34"/>
  <c r="X140" i="34" s="1"/>
  <c r="AD329" i="34"/>
  <c r="G296" i="34"/>
  <c r="G304" i="34" s="1"/>
  <c r="Z304" i="34" s="1"/>
  <c r="G144" i="34"/>
  <c r="Z144" i="34" s="1"/>
  <c r="F153" i="34"/>
  <c r="Y153" i="34" s="1"/>
  <c r="K329" i="34"/>
  <c r="AA317" i="34"/>
  <c r="E153" i="34"/>
  <c r="X153" i="34" s="1"/>
  <c r="H71" i="48"/>
  <c r="C72" i="48" s="1"/>
  <c r="S12" i="35"/>
  <c r="Z273" i="34"/>
  <c r="E245" i="35"/>
  <c r="O245" i="35" s="1"/>
  <c r="H317" i="34"/>
  <c r="Y356" i="34"/>
  <c r="F282" i="34"/>
  <c r="Y282" i="34" s="1"/>
  <c r="AG15" i="48"/>
  <c r="AE16" i="48" s="1"/>
  <c r="I299" i="35"/>
  <c r="S299" i="35" s="1"/>
  <c r="J282" i="34"/>
  <c r="AC282" i="34" s="1"/>
  <c r="E282" i="34"/>
  <c r="X282" i="34" s="1"/>
  <c r="AA318" i="34"/>
  <c r="H332" i="34"/>
  <c r="H338" i="34" s="1"/>
  <c r="AA338" i="34" s="1"/>
  <c r="AB47" i="48"/>
  <c r="R48" i="48" s="1"/>
  <c r="E23" i="35"/>
  <c r="O23" i="35" s="1"/>
  <c r="G142" i="34"/>
  <c r="Z142" i="34" s="1"/>
  <c r="Y332" i="34"/>
  <c r="K282" i="34"/>
  <c r="AD282" i="34" s="1"/>
  <c r="Z332" i="34"/>
  <c r="Y273" i="34"/>
  <c r="F332" i="34"/>
  <c r="F341" i="34" s="1"/>
  <c r="Y341" i="34" s="1"/>
  <c r="Y12" i="34"/>
  <c r="AA10" i="34"/>
  <c r="F150" i="34"/>
  <c r="Y150" i="34" s="1"/>
  <c r="K295" i="34"/>
  <c r="I332" i="34"/>
  <c r="I339" i="34" s="1"/>
  <c r="AB339" i="34" s="1"/>
  <c r="F281" i="34"/>
  <c r="Y281" i="34" s="1"/>
  <c r="K293" i="34"/>
  <c r="AA332" i="34"/>
  <c r="AA356" i="34"/>
  <c r="E296" i="34"/>
  <c r="E304" i="34" s="1"/>
  <c r="X304" i="34" s="1"/>
  <c r="L102" i="42"/>
  <c r="AC102" i="42" s="1"/>
  <c r="H53" i="42"/>
  <c r="Y53" i="42" s="1"/>
  <c r="J53" i="42"/>
  <c r="AA53" i="42" s="1"/>
  <c r="J102" i="42"/>
  <c r="AA102" i="42" s="1"/>
  <c r="N51" i="42"/>
  <c r="AE51" i="42" s="1"/>
  <c r="K51" i="42"/>
  <c r="AB51" i="42" s="1"/>
  <c r="L53" i="42"/>
  <c r="AC53" i="42" s="1"/>
  <c r="H102" i="42"/>
  <c r="Y102" i="42" s="1"/>
  <c r="N52" i="42"/>
  <c r="AE52" i="42" s="1"/>
  <c r="D18" i="34"/>
  <c r="X18" i="34" s="1"/>
  <c r="L52" i="42"/>
  <c r="AC52" i="42" s="1"/>
  <c r="N53" i="42"/>
  <c r="AE53" i="42" s="1"/>
  <c r="M51" i="42"/>
  <c r="AD51" i="42" s="1"/>
  <c r="D20" i="34"/>
  <c r="X20" i="34" s="1"/>
  <c r="D21" i="34"/>
  <c r="X21" i="34" s="1"/>
  <c r="I53" i="42"/>
  <c r="Z53" i="42" s="1"/>
  <c r="AE90" i="42"/>
  <c r="AC91" i="42"/>
  <c r="M53" i="42"/>
  <c r="AD53" i="42" s="1"/>
  <c r="AE60" i="34"/>
  <c r="N25" i="42"/>
  <c r="AE25" i="42" s="1"/>
  <c r="I98" i="42"/>
  <c r="Z98" i="42" s="1"/>
  <c r="AB15" i="42"/>
  <c r="J49" i="42"/>
  <c r="AA49" i="42" s="1"/>
  <c r="E30" i="34"/>
  <c r="Y30" i="34" s="1"/>
  <c r="H49" i="42"/>
  <c r="Y49" i="42" s="1"/>
  <c r="K49" i="42"/>
  <c r="AB49" i="42" s="1"/>
  <c r="AD91" i="42"/>
  <c r="M49" i="42"/>
  <c r="AD49" i="42" s="1"/>
  <c r="L49" i="42"/>
  <c r="AC49" i="42" s="1"/>
  <c r="AG134" i="42"/>
  <c r="K100" i="42"/>
  <c r="AB100" i="42" s="1"/>
  <c r="AG10" i="42"/>
  <c r="F32" i="34"/>
  <c r="Z32" i="34" s="1"/>
  <c r="F23" i="35"/>
  <c r="P23" i="35" s="1"/>
  <c r="G298" i="35"/>
  <c r="Q298" i="35" s="1"/>
  <c r="Q12" i="35"/>
  <c r="E182" i="35"/>
  <c r="O182" i="35" s="1"/>
  <c r="I20" i="35"/>
  <c r="S20" i="35" s="1"/>
  <c r="G185" i="35"/>
  <c r="Q185" i="35" s="1"/>
  <c r="I183" i="35"/>
  <c r="S183" i="35" s="1"/>
  <c r="E181" i="35"/>
  <c r="O181" i="35" s="1"/>
  <c r="F298" i="35"/>
  <c r="P298" i="35" s="1"/>
  <c r="F22" i="35"/>
  <c r="P22" i="35" s="1"/>
  <c r="F181" i="35"/>
  <c r="P181" i="35" s="1"/>
  <c r="I298" i="35"/>
  <c r="S298" i="35" s="1"/>
  <c r="I247" i="35"/>
  <c r="S247" i="35" s="1"/>
  <c r="F246" i="35"/>
  <c r="P246" i="35" s="1"/>
  <c r="G181" i="35"/>
  <c r="Q181" i="35" s="1"/>
  <c r="E183" i="35"/>
  <c r="O183" i="35" s="1"/>
  <c r="G244" i="35"/>
  <c r="Q244" i="35" s="1"/>
  <c r="F248" i="35"/>
  <c r="P248" i="35" s="1"/>
  <c r="G248" i="35"/>
  <c r="Q248" i="35" s="1"/>
  <c r="I248" i="35"/>
  <c r="S248" i="35" s="1"/>
  <c r="I244" i="35"/>
  <c r="S244" i="35" s="1"/>
  <c r="F183" i="35"/>
  <c r="P183" i="35" s="1"/>
  <c r="E244" i="35"/>
  <c r="O244" i="35" s="1"/>
  <c r="G21" i="35"/>
  <c r="Q21" i="35" s="1"/>
  <c r="T8" i="35"/>
  <c r="I25" i="42"/>
  <c r="Z25" i="42" s="1"/>
  <c r="I103" i="42"/>
  <c r="Z103" i="42" s="1"/>
  <c r="AD42" i="42"/>
  <c r="AF15" i="42"/>
  <c r="AF36" i="42"/>
  <c r="I54" i="42"/>
  <c r="Z54" i="42" s="1"/>
  <c r="AG130" i="42"/>
  <c r="AA39" i="34"/>
  <c r="AA45" i="34" s="1"/>
  <c r="I49" i="42"/>
  <c r="Z49" i="42" s="1"/>
  <c r="L22" i="42"/>
  <c r="AC22" i="42" s="1"/>
  <c r="AG132" i="42"/>
  <c r="Y42" i="42"/>
  <c r="AA42" i="42"/>
  <c r="H24" i="42"/>
  <c r="Y24" i="42" s="1"/>
  <c r="J99" i="42"/>
  <c r="AA99" i="42" s="1"/>
  <c r="AG131" i="42"/>
  <c r="L101" i="42"/>
  <c r="AC101" i="42" s="1"/>
  <c r="J23" i="42"/>
  <c r="AA23" i="42" s="1"/>
  <c r="I99" i="42"/>
  <c r="Z99" i="42" s="1"/>
  <c r="AF37" i="42"/>
  <c r="K98" i="42"/>
  <c r="AB98" i="42" s="1"/>
  <c r="H99" i="42"/>
  <c r="J50" i="42"/>
  <c r="AA50" i="42" s="1"/>
  <c r="N50" i="42"/>
  <c r="AE50" i="42" s="1"/>
  <c r="K101" i="42"/>
  <c r="AB101" i="42" s="1"/>
  <c r="AE15" i="42"/>
  <c r="H98" i="42"/>
  <c r="Y98" i="42" s="1"/>
  <c r="H50" i="42"/>
  <c r="Y50" i="42" s="1"/>
  <c r="AA91" i="42"/>
  <c r="M24" i="42"/>
  <c r="AD24" i="42" s="1"/>
  <c r="J98" i="42"/>
  <c r="AA98" i="42" s="1"/>
  <c r="AG11" i="42"/>
  <c r="AF41" i="42"/>
  <c r="M99" i="42"/>
  <c r="AD99" i="42" s="1"/>
  <c r="AE87" i="42"/>
  <c r="AG133" i="42"/>
  <c r="AF38" i="42"/>
  <c r="AD15" i="42"/>
  <c r="AF40" i="42"/>
  <c r="J289" i="35"/>
  <c r="E290" i="35" s="1"/>
  <c r="E300" i="35"/>
  <c r="O300" i="35" s="1"/>
  <c r="I296" i="35"/>
  <c r="S296" i="35" s="1"/>
  <c r="J174" i="35"/>
  <c r="G296" i="35"/>
  <c r="Q296" i="35" s="1"/>
  <c r="E296" i="35"/>
  <c r="O296" i="35" s="1"/>
  <c r="G24" i="35"/>
  <c r="Q24" i="35" s="1"/>
  <c r="F21" i="35"/>
  <c r="P21" i="35" s="1"/>
  <c r="F245" i="35"/>
  <c r="P245" i="35" s="1"/>
  <c r="I245" i="35"/>
  <c r="S245" i="35" s="1"/>
  <c r="S174" i="35"/>
  <c r="G300" i="35"/>
  <c r="Q300" i="35" s="1"/>
  <c r="G22" i="35"/>
  <c r="Q22" i="35" s="1"/>
  <c r="I24" i="35"/>
  <c r="S24" i="35" s="1"/>
  <c r="E22" i="35"/>
  <c r="O22" i="35" s="1"/>
  <c r="F24" i="35"/>
  <c r="P24" i="35" s="1"/>
  <c r="F300" i="35"/>
  <c r="P300" i="35" s="1"/>
  <c r="I23" i="35"/>
  <c r="S23" i="35" s="1"/>
  <c r="J114" i="35"/>
  <c r="AD331" i="34"/>
  <c r="G151" i="34"/>
  <c r="Z151" i="34" s="1"/>
  <c r="AD328" i="34"/>
  <c r="F143" i="34"/>
  <c r="Y143" i="34" s="1"/>
  <c r="J113" i="35"/>
  <c r="E124" i="35" s="1"/>
  <c r="K328" i="34"/>
  <c r="S113" i="35"/>
  <c r="I118" i="35"/>
  <c r="G143" i="34"/>
  <c r="Z143" i="34" s="1"/>
  <c r="F149" i="34"/>
  <c r="Y149" i="34" s="1"/>
  <c r="E151" i="34"/>
  <c r="X151" i="34" s="1"/>
  <c r="G332" i="34"/>
  <c r="G340" i="34" s="1"/>
  <c r="Z340" i="34" s="1"/>
  <c r="AA295" i="34"/>
  <c r="AA296" i="34" s="1"/>
  <c r="X296" i="34"/>
  <c r="K330" i="34"/>
  <c r="AD293" i="34"/>
  <c r="G141" i="34"/>
  <c r="Z141" i="34" s="1"/>
  <c r="E149" i="34"/>
  <c r="X149" i="34" s="1"/>
  <c r="J117" i="35"/>
  <c r="O117" i="35"/>
  <c r="J375" i="34"/>
  <c r="I375" i="34"/>
  <c r="AB375" i="34" s="1"/>
  <c r="H375" i="34"/>
  <c r="AA375" i="34" s="1"/>
  <c r="G375" i="34"/>
  <c r="F375" i="34"/>
  <c r="E375" i="34"/>
  <c r="Q117" i="35"/>
  <c r="Q118" i="35" s="1"/>
  <c r="AA273" i="34"/>
  <c r="K292" i="34"/>
  <c r="F140" i="34"/>
  <c r="Y140" i="34" s="1"/>
  <c r="P117" i="35"/>
  <c r="F278" i="34"/>
  <c r="Y278" i="34" s="1"/>
  <c r="G45" i="34"/>
  <c r="E46" i="34" s="1"/>
  <c r="Y46" i="34" s="1"/>
  <c r="P115" i="35"/>
  <c r="G150" i="34"/>
  <c r="Z150" i="34" s="1"/>
  <c r="J115" i="35"/>
  <c r="E126" i="35" s="1"/>
  <c r="O115" i="35"/>
  <c r="E118" i="35"/>
  <c r="J296" i="34"/>
  <c r="J304" i="34" s="1"/>
  <c r="AC304" i="34" s="1"/>
  <c r="K291" i="34"/>
  <c r="H296" i="34"/>
  <c r="H300" i="34" s="1"/>
  <c r="AA300" i="34" s="1"/>
  <c r="AC273" i="34"/>
  <c r="K331" i="34"/>
  <c r="E332" i="34"/>
  <c r="E341" i="34" s="1"/>
  <c r="X341" i="34" s="1"/>
  <c r="AB332" i="34"/>
  <c r="J283" i="34"/>
  <c r="AC283" i="34" s="1"/>
  <c r="F296" i="34"/>
  <c r="F302" i="34" s="1"/>
  <c r="Y302" i="34" s="1"/>
  <c r="E278" i="34"/>
  <c r="X278" i="34" s="1"/>
  <c r="I376" i="34"/>
  <c r="AB376" i="34" s="1"/>
  <c r="H376" i="34"/>
  <c r="AA376" i="34" s="1"/>
  <c r="G376" i="34"/>
  <c r="Z376" i="34" s="1"/>
  <c r="F376" i="34"/>
  <c r="E376" i="34"/>
  <c r="J376" i="34"/>
  <c r="J332" i="34"/>
  <c r="AC327" i="34"/>
  <c r="AC332" i="34" s="1"/>
  <c r="Y320" i="34"/>
  <c r="I282" i="34"/>
  <c r="AB282" i="34" s="1"/>
  <c r="G282" i="34"/>
  <c r="Z282" i="34" s="1"/>
  <c r="F118" i="35"/>
  <c r="Y296" i="34"/>
  <c r="G118" i="35"/>
  <c r="K327" i="34"/>
  <c r="X327" i="34"/>
  <c r="X332" i="34" s="1"/>
  <c r="J278" i="34"/>
  <c r="AC278" i="34" s="1"/>
  <c r="H377" i="34"/>
  <c r="AA377" i="34" s="1"/>
  <c r="G377" i="34"/>
  <c r="Z377" i="34" s="1"/>
  <c r="F377" i="34"/>
  <c r="E377" i="34"/>
  <c r="J377" i="34"/>
  <c r="I377" i="34"/>
  <c r="J116" i="35"/>
  <c r="G378" i="34"/>
  <c r="F378" i="34"/>
  <c r="Y378" i="34" s="1"/>
  <c r="E378" i="34"/>
  <c r="J378" i="34"/>
  <c r="I378" i="34"/>
  <c r="AB378" i="34" s="1"/>
  <c r="H378" i="34"/>
  <c r="AA378" i="34" s="1"/>
  <c r="I296" i="34"/>
  <c r="E32" i="34"/>
  <c r="Y32" i="34" s="1"/>
  <c r="F374" i="34"/>
  <c r="E374" i="34"/>
  <c r="J374" i="34"/>
  <c r="I374" i="34"/>
  <c r="H374" i="34"/>
  <c r="G374" i="34"/>
  <c r="G153" i="34"/>
  <c r="Z153" i="34" s="1"/>
  <c r="AI65" i="36"/>
  <c r="AI73" i="36" s="1"/>
  <c r="M63" i="36"/>
  <c r="G73" i="36"/>
  <c r="E73" i="36"/>
  <c r="Y10" i="49"/>
  <c r="E280" i="34"/>
  <c r="F279" i="34"/>
  <c r="Y279" i="34" s="1"/>
  <c r="X273" i="34"/>
  <c r="AE267" i="34"/>
  <c r="AB296" i="34"/>
  <c r="F185" i="35"/>
  <c r="P185" i="35" s="1"/>
  <c r="E180" i="35"/>
  <c r="E185" i="35"/>
  <c r="T7" i="35"/>
  <c r="O12" i="35"/>
  <c r="I19" i="35"/>
  <c r="S19" i="35" s="1"/>
  <c r="T6" i="35"/>
  <c r="P12" i="35"/>
  <c r="I295" i="35"/>
  <c r="S295" i="35" s="1"/>
  <c r="T168" i="35"/>
  <c r="T174" i="35" s="1"/>
  <c r="G247" i="35"/>
  <c r="Q247" i="35" s="1"/>
  <c r="AE272" i="34"/>
  <c r="E281" i="34"/>
  <c r="AE369" i="34"/>
  <c r="AA316" i="34"/>
  <c r="G278" i="34"/>
  <c r="Z278" i="34" s="1"/>
  <c r="K281" i="34"/>
  <c r="AD281" i="34" s="1"/>
  <c r="G243" i="35"/>
  <c r="Q243" i="35" s="1"/>
  <c r="I283" i="34"/>
  <c r="AB283" i="34" s="1"/>
  <c r="G283" i="34"/>
  <c r="Z283" i="34" s="1"/>
  <c r="F295" i="35"/>
  <c r="P295" i="35" s="1"/>
  <c r="E247" i="35"/>
  <c r="P237" i="35"/>
  <c r="O174" i="35"/>
  <c r="AE271" i="34"/>
  <c r="H280" i="34"/>
  <c r="AA280" i="34" s="1"/>
  <c r="I356" i="34"/>
  <c r="G357" i="34" s="1"/>
  <c r="Z357" i="34" s="1"/>
  <c r="AD291" i="34"/>
  <c r="F280" i="34"/>
  <c r="Y280" i="34" s="1"/>
  <c r="F144" i="34"/>
  <c r="Y144" i="34" s="1"/>
  <c r="Y126" i="34"/>
  <c r="H316" i="34"/>
  <c r="H126" i="34"/>
  <c r="H142" i="34" s="1"/>
  <c r="AA142" i="34" s="1"/>
  <c r="AA121" i="34"/>
  <c r="G281" i="34"/>
  <c r="Z281" i="34" s="1"/>
  <c r="AA122" i="34"/>
  <c r="E143" i="34"/>
  <c r="X143" i="34" s="1"/>
  <c r="J91" i="48"/>
  <c r="C92" i="48" s="1"/>
  <c r="I246" i="35"/>
  <c r="S246" i="35" s="1"/>
  <c r="X369" i="34"/>
  <c r="Y15" i="48"/>
  <c r="T16" i="48" s="1"/>
  <c r="X320" i="34"/>
  <c r="E295" i="35"/>
  <c r="G297" i="35"/>
  <c r="Q297" i="35" s="1"/>
  <c r="F297" i="35"/>
  <c r="P297" i="35" s="1"/>
  <c r="E246" i="35"/>
  <c r="E297" i="35"/>
  <c r="G20" i="35"/>
  <c r="Q20" i="35" s="1"/>
  <c r="AE270" i="34"/>
  <c r="E141" i="34"/>
  <c r="X141" i="34" s="1"/>
  <c r="J280" i="34"/>
  <c r="AC280" i="34" s="1"/>
  <c r="K278" i="34"/>
  <c r="AD278" i="34" s="1"/>
  <c r="G140" i="34"/>
  <c r="I278" i="34"/>
  <c r="AB278" i="34" s="1"/>
  <c r="G280" i="34"/>
  <c r="Z280" i="34" s="1"/>
  <c r="F142" i="34"/>
  <c r="Y142" i="34" s="1"/>
  <c r="I279" i="34"/>
  <c r="AB279" i="34" s="1"/>
  <c r="K279" i="34"/>
  <c r="AD279" i="34" s="1"/>
  <c r="E279" i="34"/>
  <c r="O21" i="35"/>
  <c r="G180" i="35"/>
  <c r="Q180" i="35" s="1"/>
  <c r="F19" i="35"/>
  <c r="P19" i="35" s="1"/>
  <c r="P174" i="35"/>
  <c r="E19" i="35"/>
  <c r="G295" i="35"/>
  <c r="Q295" i="35" s="1"/>
  <c r="AE269" i="34"/>
  <c r="AC296" i="34"/>
  <c r="AD273" i="34"/>
  <c r="X356" i="34"/>
  <c r="AB350" i="34"/>
  <c r="AB356" i="34" s="1"/>
  <c r="H283" i="34"/>
  <c r="AA283" i="34" s="1"/>
  <c r="AD330" i="34"/>
  <c r="AB273" i="34"/>
  <c r="E283" i="34"/>
  <c r="X283" i="34" s="1"/>
  <c r="I280" i="34"/>
  <c r="AB280" i="34" s="1"/>
  <c r="G182" i="35"/>
  <c r="Q182" i="35" s="1"/>
  <c r="F182" i="35"/>
  <c r="P182" i="35" s="1"/>
  <c r="G279" i="34"/>
  <c r="Z279" i="34" s="1"/>
  <c r="L369" i="34"/>
  <c r="K60" i="48"/>
  <c r="E61" i="48" s="1"/>
  <c r="S289" i="35"/>
  <c r="F20" i="35"/>
  <c r="P20" i="35" s="1"/>
  <c r="P289" i="35"/>
  <c r="O289" i="35"/>
  <c r="O237" i="35"/>
  <c r="AE268" i="34"/>
  <c r="E144" i="34"/>
  <c r="X144" i="34" s="1"/>
  <c r="F283" i="34"/>
  <c r="X150" i="34"/>
  <c r="AA123" i="34"/>
  <c r="E142" i="34"/>
  <c r="X142" i="34" s="1"/>
  <c r="G320" i="34"/>
  <c r="Z315" i="34"/>
  <c r="Z320" i="34" s="1"/>
  <c r="J281" i="34"/>
  <c r="AC281" i="34" s="1"/>
  <c r="H279" i="34"/>
  <c r="AA279" i="34" s="1"/>
  <c r="H281" i="34"/>
  <c r="AA281" i="34" s="1"/>
  <c r="X30" i="34"/>
  <c r="J141" i="42"/>
  <c r="AA141" i="42" s="1"/>
  <c r="J22" i="42"/>
  <c r="AA22" i="42" s="1"/>
  <c r="I26" i="42"/>
  <c r="Z26" i="42" s="1"/>
  <c r="N141" i="42"/>
  <c r="AE141" i="42" s="1"/>
  <c r="N24" i="42"/>
  <c r="AE24" i="42" s="1"/>
  <c r="L24" i="42"/>
  <c r="AC24" i="42" s="1"/>
  <c r="I142" i="42"/>
  <c r="Z142" i="42" s="1"/>
  <c r="N23" i="42"/>
  <c r="AE23" i="42" s="1"/>
  <c r="M141" i="42"/>
  <c r="AD141" i="42" s="1"/>
  <c r="K26" i="42"/>
  <c r="AB26" i="42" s="1"/>
  <c r="F111" i="34"/>
  <c r="Z111" i="34" s="1"/>
  <c r="Z105" i="34"/>
  <c r="O145" i="42"/>
  <c r="AF145" i="42" s="1"/>
  <c r="AE88" i="42"/>
  <c r="F17" i="34"/>
  <c r="Z17" i="34" s="1"/>
  <c r="I51" i="42"/>
  <c r="Z51" i="42" s="1"/>
  <c r="L25" i="42"/>
  <c r="AC25" i="42" s="1"/>
  <c r="N144" i="42"/>
  <c r="AE144" i="42" s="1"/>
  <c r="J144" i="42"/>
  <c r="AA144" i="42" s="1"/>
  <c r="K25" i="42"/>
  <c r="AB25" i="42" s="1"/>
  <c r="Y103" i="42"/>
  <c r="M143" i="42"/>
  <c r="AD143" i="42" s="1"/>
  <c r="L100" i="42"/>
  <c r="AC100" i="42" s="1"/>
  <c r="O25" i="42"/>
  <c r="AF25" i="42" s="1"/>
  <c r="N22" i="42"/>
  <c r="AE22" i="42" s="1"/>
  <c r="H87" i="34"/>
  <c r="AB87" i="34" s="1"/>
  <c r="AB81" i="34"/>
  <c r="H100" i="42"/>
  <c r="O24" i="42"/>
  <c r="AF24" i="42" s="1"/>
  <c r="E31" i="34"/>
  <c r="Y31" i="34" s="1"/>
  <c r="H145" i="42"/>
  <c r="L145" i="42"/>
  <c r="AC145" i="42" s="1"/>
  <c r="N142" i="42"/>
  <c r="AE142" i="42" s="1"/>
  <c r="J142" i="42"/>
  <c r="AA142" i="42" s="1"/>
  <c r="I144" i="42"/>
  <c r="Z144" i="42" s="1"/>
  <c r="L27" i="42"/>
  <c r="AC27" i="42" s="1"/>
  <c r="J24" i="42"/>
  <c r="AA24" i="42" s="1"/>
  <c r="M144" i="42"/>
  <c r="AD144" i="42" s="1"/>
  <c r="I143" i="42"/>
  <c r="Z143" i="42" s="1"/>
  <c r="J51" i="42"/>
  <c r="AA51" i="42" s="1"/>
  <c r="E29" i="34"/>
  <c r="Y29" i="34" s="1"/>
  <c r="H51" i="42"/>
  <c r="O42" i="42"/>
  <c r="H43" i="42" s="1"/>
  <c r="G12" i="34"/>
  <c r="F13" i="34" s="1"/>
  <c r="Z13" i="34" s="1"/>
  <c r="L143" i="42"/>
  <c r="AC143" i="42" s="1"/>
  <c r="H143" i="42"/>
  <c r="AA135" i="42"/>
  <c r="O23" i="42"/>
  <c r="AF23" i="42" s="1"/>
  <c r="Y15" i="42"/>
  <c r="AG9" i="42"/>
  <c r="J25" i="42"/>
  <c r="AA25" i="42" s="1"/>
  <c r="M26" i="42"/>
  <c r="AD26" i="42" s="1"/>
  <c r="Y91" i="42"/>
  <c r="AE85" i="42"/>
  <c r="M23" i="42"/>
  <c r="AD23" i="42" s="1"/>
  <c r="O142" i="42"/>
  <c r="AF142" i="42" s="1"/>
  <c r="H27" i="42"/>
  <c r="F20" i="34"/>
  <c r="Z20" i="34" s="1"/>
  <c r="H99" i="34"/>
  <c r="AB99" i="34" s="1"/>
  <c r="AB93" i="34"/>
  <c r="F18" i="34"/>
  <c r="Z18" i="34" s="1"/>
  <c r="X45" i="34"/>
  <c r="P99" i="34"/>
  <c r="AI99" i="34" s="1"/>
  <c r="K22" i="42"/>
  <c r="AB22" i="42" s="1"/>
  <c r="P135" i="42"/>
  <c r="K147" i="42" s="1"/>
  <c r="L141" i="42"/>
  <c r="AC141" i="42" s="1"/>
  <c r="H141" i="42"/>
  <c r="I22" i="42"/>
  <c r="Z22" i="42" s="1"/>
  <c r="L146" i="42"/>
  <c r="AC146" i="42" s="1"/>
  <c r="N143" i="42"/>
  <c r="AE143" i="42" s="1"/>
  <c r="H23" i="42"/>
  <c r="M146" i="42"/>
  <c r="AD146" i="42" s="1"/>
  <c r="M103" i="42"/>
  <c r="AD103" i="42" s="1"/>
  <c r="K103" i="42"/>
  <c r="AB103" i="42" s="1"/>
  <c r="AG12" i="42"/>
  <c r="I145" i="42"/>
  <c r="Z145" i="42" s="1"/>
  <c r="I24" i="42"/>
  <c r="Z24" i="42" s="1"/>
  <c r="J103" i="42"/>
  <c r="AA103" i="42" s="1"/>
  <c r="F21" i="34"/>
  <c r="Z21" i="34" s="1"/>
  <c r="AF39" i="42"/>
  <c r="E19" i="34"/>
  <c r="Y19" i="34" s="1"/>
  <c r="Z135" i="42"/>
  <c r="E17" i="34"/>
  <c r="Y17" i="34" s="1"/>
  <c r="E20" i="34"/>
  <c r="Y20" i="34" s="1"/>
  <c r="AA11" i="34"/>
  <c r="M27" i="42"/>
  <c r="AD27" i="42" s="1"/>
  <c r="J27" i="42"/>
  <c r="AA27" i="42" s="1"/>
  <c r="O141" i="42"/>
  <c r="AF141" i="42" s="1"/>
  <c r="H144" i="42"/>
  <c r="K142" i="42"/>
  <c r="AB142" i="42" s="1"/>
  <c r="I27" i="42"/>
  <c r="Z27" i="42" s="1"/>
  <c r="J145" i="42"/>
  <c r="AA145" i="42" s="1"/>
  <c r="H25" i="42"/>
  <c r="K143" i="42"/>
  <c r="AB143" i="42" s="1"/>
  <c r="L103" i="42"/>
  <c r="AC103" i="42" s="1"/>
  <c r="L23" i="42"/>
  <c r="AC23" i="42" s="1"/>
  <c r="N145" i="42"/>
  <c r="AE145" i="42" s="1"/>
  <c r="F22" i="34"/>
  <c r="Z22" i="34" s="1"/>
  <c r="I141" i="42"/>
  <c r="Z141" i="42" s="1"/>
  <c r="F30" i="34"/>
  <c r="Z30" i="34" s="1"/>
  <c r="Z42" i="42"/>
  <c r="F19" i="34"/>
  <c r="Z19" i="34" s="1"/>
  <c r="J52" i="42"/>
  <c r="AA52" i="42" s="1"/>
  <c r="I52" i="42"/>
  <c r="Z52" i="42" s="1"/>
  <c r="H52" i="42"/>
  <c r="D19" i="34"/>
  <c r="X19" i="34" s="1"/>
  <c r="E18" i="34"/>
  <c r="Y18" i="34" s="1"/>
  <c r="O26" i="42"/>
  <c r="AF26" i="42" s="1"/>
  <c r="L26" i="42"/>
  <c r="AC26" i="42" s="1"/>
  <c r="J143" i="42"/>
  <c r="AA143" i="42" s="1"/>
  <c r="AG129" i="42"/>
  <c r="M100" i="42"/>
  <c r="AD100" i="42" s="1"/>
  <c r="I100" i="42"/>
  <c r="Z100" i="42" s="1"/>
  <c r="K27" i="42"/>
  <c r="AB27" i="42" s="1"/>
  <c r="O144" i="42"/>
  <c r="AF144" i="42" s="1"/>
  <c r="H142" i="42"/>
  <c r="H22" i="42"/>
  <c r="AB42" i="42"/>
  <c r="O22" i="42"/>
  <c r="AF22" i="42" s="1"/>
  <c r="K144" i="42"/>
  <c r="AB144" i="42" s="1"/>
  <c r="N91" i="42"/>
  <c r="H104" i="42" s="1"/>
  <c r="M98" i="42"/>
  <c r="AD98" i="42" s="1"/>
  <c r="X28" i="34"/>
  <c r="O146" i="42"/>
  <c r="AF146" i="42" s="1"/>
  <c r="N146" i="42"/>
  <c r="AE146" i="42" s="1"/>
  <c r="J146" i="42"/>
  <c r="AA146" i="42" s="1"/>
  <c r="O27" i="42"/>
  <c r="AF27" i="42" s="1"/>
  <c r="L142" i="42"/>
  <c r="AC142" i="42" s="1"/>
  <c r="H26" i="42"/>
  <c r="Y135" i="42"/>
  <c r="K145" i="42"/>
  <c r="AB145" i="42" s="1"/>
  <c r="N26" i="42"/>
  <c r="AE26" i="42" s="1"/>
  <c r="AD135" i="42"/>
  <c r="K146" i="42"/>
  <c r="AB146" i="42" s="1"/>
  <c r="H146" i="42"/>
  <c r="AE56" i="34"/>
  <c r="X12" i="34"/>
  <c r="L49" i="36"/>
  <c r="L34" i="36"/>
  <c r="L63" i="36"/>
  <c r="Z60" i="48"/>
  <c r="W61" i="48" s="1"/>
  <c r="W71" i="48"/>
  <c r="R72" i="48" s="1"/>
  <c r="Y91" i="48"/>
  <c r="U92" i="48" s="1"/>
  <c r="M47" i="48"/>
  <c r="Y7" i="49"/>
  <c r="L36" i="49"/>
  <c r="G46" i="49"/>
  <c r="G58" i="49" s="1"/>
  <c r="S58" i="49" s="1"/>
  <c r="Y14" i="49"/>
  <c r="Y12" i="49"/>
  <c r="K46" i="49"/>
  <c r="K54" i="49" s="1"/>
  <c r="W54" i="49" s="1"/>
  <c r="Y9" i="49"/>
  <c r="Y8" i="49"/>
  <c r="L40" i="49"/>
  <c r="W15" i="49"/>
  <c r="Y11" i="49"/>
  <c r="I46" i="49"/>
  <c r="I56" i="49" s="1"/>
  <c r="U56" i="49" s="1"/>
  <c r="L41" i="49"/>
  <c r="L43" i="49"/>
  <c r="J46" i="49"/>
  <c r="J56" i="49" s="1"/>
  <c r="V56" i="49" s="1"/>
  <c r="T15" i="49"/>
  <c r="X15" i="49"/>
  <c r="L45" i="49"/>
  <c r="L38" i="49"/>
  <c r="Y5" i="49"/>
  <c r="S15" i="49"/>
  <c r="L37" i="49"/>
  <c r="U15" i="49"/>
  <c r="H46" i="49"/>
  <c r="H58" i="49" s="1"/>
  <c r="T58" i="49" s="1"/>
  <c r="L42" i="49"/>
  <c r="L39" i="49"/>
  <c r="AE273" i="34" l="1"/>
  <c r="AB274" i="34" s="1"/>
  <c r="T298" i="35"/>
  <c r="V72" i="48"/>
  <c r="T299" i="35"/>
  <c r="Q290" i="35"/>
  <c r="R290" i="35"/>
  <c r="P290" i="35"/>
  <c r="T296" i="35"/>
  <c r="S290" i="35"/>
  <c r="H31" i="48"/>
  <c r="O290" i="35"/>
  <c r="T300" i="35"/>
  <c r="X31" i="48"/>
  <c r="W31" i="48"/>
  <c r="S31" i="48"/>
  <c r="T31" i="48"/>
  <c r="V31" i="48"/>
  <c r="U31" i="48"/>
  <c r="R31" i="48"/>
  <c r="E31" i="48"/>
  <c r="M25" i="49"/>
  <c r="Y25" i="49" s="1"/>
  <c r="M24" i="49"/>
  <c r="Y24" i="49" s="1"/>
  <c r="M23" i="49"/>
  <c r="Y23" i="49" s="1"/>
  <c r="M20" i="49"/>
  <c r="Y20" i="49" s="1"/>
  <c r="M19" i="49"/>
  <c r="Y19" i="49" s="1"/>
  <c r="J55" i="49"/>
  <c r="V55" i="49" s="1"/>
  <c r="H51" i="49"/>
  <c r="T51" i="49" s="1"/>
  <c r="H59" i="49"/>
  <c r="T59" i="49" s="1"/>
  <c r="I51" i="49"/>
  <c r="U51" i="49" s="1"/>
  <c r="X39" i="49"/>
  <c r="X42" i="49"/>
  <c r="G50" i="49"/>
  <c r="S50" i="49" s="1"/>
  <c r="X40" i="49"/>
  <c r="K55" i="49"/>
  <c r="W55" i="49" s="1"/>
  <c r="J50" i="49"/>
  <c r="V50" i="49" s="1"/>
  <c r="M21" i="49"/>
  <c r="Y21" i="49" s="1"/>
  <c r="M22" i="49"/>
  <c r="Y22" i="49" s="1"/>
  <c r="X45" i="49"/>
  <c r="I57" i="49"/>
  <c r="U57" i="49" s="1"/>
  <c r="J59" i="49"/>
  <c r="V59" i="49" s="1"/>
  <c r="I53" i="49"/>
  <c r="U53" i="49" s="1"/>
  <c r="K53" i="49"/>
  <c r="W53" i="49" s="1"/>
  <c r="K51" i="49"/>
  <c r="W51" i="49" s="1"/>
  <c r="X37" i="49"/>
  <c r="H57" i="49"/>
  <c r="T57" i="49" s="1"/>
  <c r="G59" i="49"/>
  <c r="S59" i="49" s="1"/>
  <c r="G55" i="49"/>
  <c r="S55" i="49" s="1"/>
  <c r="I54" i="49"/>
  <c r="U54" i="49" s="1"/>
  <c r="H56" i="49"/>
  <c r="T56" i="49" s="1"/>
  <c r="G51" i="49"/>
  <c r="S51" i="49" s="1"/>
  <c r="X38" i="49"/>
  <c r="H55" i="49"/>
  <c r="T55" i="49" s="1"/>
  <c r="J58" i="49"/>
  <c r="V58" i="49" s="1"/>
  <c r="J51" i="49"/>
  <c r="V51" i="49" s="1"/>
  <c r="X41" i="49"/>
  <c r="I50" i="49"/>
  <c r="U50" i="49" s="1"/>
  <c r="G52" i="49"/>
  <c r="S52" i="49" s="1"/>
  <c r="H54" i="49"/>
  <c r="T54" i="49" s="1"/>
  <c r="J52" i="49"/>
  <c r="V52" i="49" s="1"/>
  <c r="K58" i="49"/>
  <c r="W58" i="49" s="1"/>
  <c r="K56" i="49"/>
  <c r="W56" i="49" s="1"/>
  <c r="K52" i="49"/>
  <c r="W52" i="49" s="1"/>
  <c r="K50" i="49"/>
  <c r="W50" i="49" s="1"/>
  <c r="J54" i="49"/>
  <c r="V54" i="49" s="1"/>
  <c r="H53" i="49"/>
  <c r="T53" i="49" s="1"/>
  <c r="J57" i="49"/>
  <c r="V57" i="49" s="1"/>
  <c r="X43" i="49"/>
  <c r="H52" i="49"/>
  <c r="T52" i="49" s="1"/>
  <c r="K57" i="49"/>
  <c r="W57" i="49" s="1"/>
  <c r="G57" i="49"/>
  <c r="S57" i="49" s="1"/>
  <c r="M27" i="49"/>
  <c r="Y27" i="49" s="1"/>
  <c r="M28" i="49"/>
  <c r="Y28" i="49" s="1"/>
  <c r="I58" i="49"/>
  <c r="U58" i="49" s="1"/>
  <c r="I59" i="49"/>
  <c r="U59" i="49" s="1"/>
  <c r="J53" i="49"/>
  <c r="V53" i="49" s="1"/>
  <c r="G53" i="49"/>
  <c r="S53" i="49" s="1"/>
  <c r="K59" i="49"/>
  <c r="W59" i="49" s="1"/>
  <c r="I52" i="49"/>
  <c r="U52" i="49" s="1"/>
  <c r="G56" i="49"/>
  <c r="S56" i="49" s="1"/>
  <c r="X36" i="49"/>
  <c r="G54" i="49"/>
  <c r="S54" i="49" s="1"/>
  <c r="I55" i="49"/>
  <c r="U55" i="49" s="1"/>
  <c r="H50" i="49"/>
  <c r="T50" i="49" s="1"/>
  <c r="AP63" i="36"/>
  <c r="O238" i="35"/>
  <c r="F290" i="35"/>
  <c r="G290" i="35"/>
  <c r="H290" i="35"/>
  <c r="I290" i="35"/>
  <c r="T248" i="35"/>
  <c r="P238" i="35"/>
  <c r="S238" i="35"/>
  <c r="Q238" i="35"/>
  <c r="R238" i="35"/>
  <c r="T244" i="35"/>
  <c r="O243" i="35"/>
  <c r="T243" i="35" s="1"/>
  <c r="J243" i="35"/>
  <c r="T245" i="35"/>
  <c r="F238" i="35"/>
  <c r="H238" i="35"/>
  <c r="G175" i="35"/>
  <c r="Q175" i="35" s="1"/>
  <c r="H175" i="35"/>
  <c r="R175" i="35" s="1"/>
  <c r="H125" i="35"/>
  <c r="R125" i="35" s="1"/>
  <c r="F125" i="35"/>
  <c r="I125" i="35"/>
  <c r="G125" i="35"/>
  <c r="Q125" i="35" s="1"/>
  <c r="G127" i="35"/>
  <c r="Q127" i="35" s="1"/>
  <c r="F127" i="35"/>
  <c r="P127" i="35" s="1"/>
  <c r="H127" i="35"/>
  <c r="R127" i="35" s="1"/>
  <c r="I127" i="35"/>
  <c r="E125" i="35"/>
  <c r="O125" i="35" s="1"/>
  <c r="F128" i="35"/>
  <c r="G128" i="35"/>
  <c r="Q128" i="35" s="1"/>
  <c r="H128" i="35"/>
  <c r="R128" i="35" s="1"/>
  <c r="I128" i="35"/>
  <c r="T113" i="35"/>
  <c r="E128" i="35"/>
  <c r="I124" i="35"/>
  <c r="G124" i="35"/>
  <c r="Q124" i="35" s="1"/>
  <c r="F124" i="35"/>
  <c r="P124" i="35" s="1"/>
  <c r="H124" i="35"/>
  <c r="R124" i="35" s="1"/>
  <c r="E127" i="35"/>
  <c r="O127" i="35" s="1"/>
  <c r="O126" i="35"/>
  <c r="H126" i="35"/>
  <c r="R126" i="35" s="1"/>
  <c r="F126" i="35"/>
  <c r="I126" i="35"/>
  <c r="G126" i="35"/>
  <c r="Q126" i="35" s="1"/>
  <c r="H13" i="35"/>
  <c r="R13" i="35" s="1"/>
  <c r="F13" i="35"/>
  <c r="P13" i="35" s="1"/>
  <c r="G13" i="35"/>
  <c r="Q13" i="35" s="1"/>
  <c r="E13" i="35"/>
  <c r="H152" i="34"/>
  <c r="AA152" i="34" s="1"/>
  <c r="E72" i="48"/>
  <c r="D72" i="48"/>
  <c r="X48" i="48"/>
  <c r="E301" i="34"/>
  <c r="X301" i="34" s="1"/>
  <c r="E302" i="34"/>
  <c r="X302" i="34" s="1"/>
  <c r="E303" i="34"/>
  <c r="X303" i="34" s="1"/>
  <c r="H304" i="34"/>
  <c r="AA304" i="34" s="1"/>
  <c r="AF16" i="48"/>
  <c r="Z48" i="48"/>
  <c r="S48" i="48"/>
  <c r="V48" i="48"/>
  <c r="C80" i="48"/>
  <c r="D80" i="48"/>
  <c r="U48" i="48"/>
  <c r="E300" i="34"/>
  <c r="X300" i="34" s="1"/>
  <c r="AP34" i="36"/>
  <c r="I341" i="34"/>
  <c r="AB341" i="34" s="1"/>
  <c r="R80" i="48"/>
  <c r="H303" i="34"/>
  <c r="AA303" i="34" s="1"/>
  <c r="H302" i="34"/>
  <c r="AA302" i="34" s="1"/>
  <c r="S80" i="48"/>
  <c r="H301" i="34"/>
  <c r="AA301" i="34" s="1"/>
  <c r="X152" i="34"/>
  <c r="H149" i="34"/>
  <c r="AA149" i="34" s="1"/>
  <c r="T48" i="48"/>
  <c r="W48" i="48"/>
  <c r="AA48" i="48"/>
  <c r="Y48" i="48"/>
  <c r="T184" i="35"/>
  <c r="F31" i="48"/>
  <c r="D31" i="48"/>
  <c r="G302" i="34"/>
  <c r="Z302" i="34" s="1"/>
  <c r="G300" i="34"/>
  <c r="Z300" i="34" s="1"/>
  <c r="I13" i="35"/>
  <c r="S13" i="35" s="1"/>
  <c r="AA6" i="48"/>
  <c r="AC16" i="48"/>
  <c r="AA33" i="34"/>
  <c r="AO49" i="36"/>
  <c r="U29" i="49"/>
  <c r="V29" i="49"/>
  <c r="T29" i="49"/>
  <c r="W29" i="49"/>
  <c r="C16" i="48"/>
  <c r="G16" i="48"/>
  <c r="F16" i="48"/>
  <c r="E16" i="48"/>
  <c r="I337" i="34"/>
  <c r="AB337" i="34" s="1"/>
  <c r="D16" i="48"/>
  <c r="J302" i="34"/>
  <c r="AC302" i="34" s="1"/>
  <c r="I338" i="34"/>
  <c r="AB338" i="34" s="1"/>
  <c r="K296" i="34"/>
  <c r="K304" i="34" s="1"/>
  <c r="AD304" i="34" s="1"/>
  <c r="K332" i="34"/>
  <c r="K340" i="34" s="1"/>
  <c r="AD340" i="34" s="1"/>
  <c r="AE61" i="34"/>
  <c r="F46" i="34"/>
  <c r="Z46" i="34" s="1"/>
  <c r="AF54" i="42"/>
  <c r="AA12" i="34"/>
  <c r="G28" i="34"/>
  <c r="AA28" i="34"/>
  <c r="W16" i="48"/>
  <c r="Z16" i="48"/>
  <c r="F72" i="48"/>
  <c r="AE282" i="34"/>
  <c r="G72" i="48"/>
  <c r="G301" i="34"/>
  <c r="Z301" i="34" s="1"/>
  <c r="G303" i="34"/>
  <c r="Z303" i="34" s="1"/>
  <c r="S16" i="48"/>
  <c r="C31" i="48"/>
  <c r="J184" i="35"/>
  <c r="G31" i="48"/>
  <c r="AD327" i="34"/>
  <c r="AD332" i="34" s="1"/>
  <c r="J299" i="35"/>
  <c r="F338" i="34"/>
  <c r="Y338" i="34" s="1"/>
  <c r="H340" i="34"/>
  <c r="AA340" i="34" s="1"/>
  <c r="H150" i="34"/>
  <c r="AA150" i="34" s="1"/>
  <c r="J298" i="35"/>
  <c r="H320" i="34"/>
  <c r="Z321" i="34" s="1"/>
  <c r="J300" i="34"/>
  <c r="AC300" i="34" s="1"/>
  <c r="AD295" i="34"/>
  <c r="AD296" i="34" s="1"/>
  <c r="J301" i="34"/>
  <c r="AC301" i="34" s="1"/>
  <c r="H339" i="34"/>
  <c r="AA339" i="34" s="1"/>
  <c r="J303" i="34"/>
  <c r="AC303" i="34" s="1"/>
  <c r="F340" i="34"/>
  <c r="Y340" i="34" s="1"/>
  <c r="I55" i="42"/>
  <c r="D46" i="34"/>
  <c r="X46" i="34" s="1"/>
  <c r="AE102" i="42"/>
  <c r="N102" i="42"/>
  <c r="G33" i="34"/>
  <c r="N99" i="42"/>
  <c r="G32" i="34"/>
  <c r="AA32" i="34"/>
  <c r="J23" i="35"/>
  <c r="H341" i="34"/>
  <c r="AA341" i="34" s="1"/>
  <c r="F339" i="34"/>
  <c r="Y339" i="34" s="1"/>
  <c r="F337" i="34"/>
  <c r="Y337" i="34" s="1"/>
  <c r="C61" i="48"/>
  <c r="J61" i="48"/>
  <c r="U61" i="48"/>
  <c r="S61" i="48"/>
  <c r="G61" i="48"/>
  <c r="V61" i="48"/>
  <c r="X61" i="48"/>
  <c r="R61" i="48"/>
  <c r="Y61" i="48"/>
  <c r="T61" i="48"/>
  <c r="H337" i="34"/>
  <c r="AA337" i="34" s="1"/>
  <c r="H151" i="34"/>
  <c r="AA151" i="34" s="1"/>
  <c r="I61" i="48"/>
  <c r="AD16" i="48"/>
  <c r="E274" i="34"/>
  <c r="R16" i="48"/>
  <c r="D61" i="48"/>
  <c r="V16" i="48"/>
  <c r="U16" i="48"/>
  <c r="X16" i="48"/>
  <c r="G92" i="48"/>
  <c r="I340" i="34"/>
  <c r="AB340" i="34" s="1"/>
  <c r="F303" i="34"/>
  <c r="Y303" i="34" s="1"/>
  <c r="G337" i="34"/>
  <c r="Z337" i="34" s="1"/>
  <c r="H274" i="34"/>
  <c r="O53" i="42"/>
  <c r="AF53" i="42"/>
  <c r="O54" i="42"/>
  <c r="K16" i="42"/>
  <c r="AB16" i="42" s="1"/>
  <c r="AE101" i="42"/>
  <c r="N101" i="42"/>
  <c r="M16" i="42"/>
  <c r="AD16" i="42" s="1"/>
  <c r="AF49" i="42"/>
  <c r="O49" i="42"/>
  <c r="Y99" i="42"/>
  <c r="AE99" i="42" s="1"/>
  <c r="K55" i="42"/>
  <c r="I43" i="42"/>
  <c r="Z43" i="42" s="1"/>
  <c r="T183" i="35"/>
  <c r="J183" i="35"/>
  <c r="P118" i="35"/>
  <c r="T181" i="35"/>
  <c r="J181" i="35"/>
  <c r="S118" i="35"/>
  <c r="F175" i="35"/>
  <c r="P175" i="35" s="1"/>
  <c r="E175" i="35"/>
  <c r="T21" i="35"/>
  <c r="I175" i="35"/>
  <c r="S175" i="35" s="1"/>
  <c r="J244" i="35"/>
  <c r="J21" i="35"/>
  <c r="J300" i="35"/>
  <c r="J248" i="35"/>
  <c r="K92" i="42"/>
  <c r="AB92" i="42" s="1"/>
  <c r="O50" i="42"/>
  <c r="K104" i="42"/>
  <c r="G19" i="34"/>
  <c r="AA19" i="34" s="1"/>
  <c r="AF50" i="42"/>
  <c r="L104" i="42"/>
  <c r="AF42" i="42"/>
  <c r="L92" i="42"/>
  <c r="AC92" i="42" s="1"/>
  <c r="G18" i="34"/>
  <c r="AA18" i="34" s="1"/>
  <c r="AE91" i="42"/>
  <c r="AG135" i="42"/>
  <c r="H16" i="42"/>
  <c r="N43" i="42"/>
  <c r="AE43" i="42" s="1"/>
  <c r="O16" i="42"/>
  <c r="AF16" i="42" s="1"/>
  <c r="N55" i="42"/>
  <c r="I104" i="42"/>
  <c r="H92" i="42"/>
  <c r="Y92" i="42" s="1"/>
  <c r="J43" i="42"/>
  <c r="AA43" i="42" s="1"/>
  <c r="J182" i="35"/>
  <c r="T22" i="35"/>
  <c r="T24" i="35"/>
  <c r="J185" i="35"/>
  <c r="J245" i="35"/>
  <c r="J24" i="35"/>
  <c r="T12" i="35"/>
  <c r="J180" i="35"/>
  <c r="O118" i="35"/>
  <c r="J296" i="35"/>
  <c r="J22" i="35"/>
  <c r="T23" i="35"/>
  <c r="F274" i="34"/>
  <c r="T117" i="35"/>
  <c r="G20" i="34"/>
  <c r="AA20" i="34" s="1"/>
  <c r="O124" i="35"/>
  <c r="G341" i="34"/>
  <c r="Z341" i="34" s="1"/>
  <c r="G339" i="34"/>
  <c r="Z339" i="34" s="1"/>
  <c r="G338" i="34"/>
  <c r="Z338" i="34" s="1"/>
  <c r="D13" i="34"/>
  <c r="X13" i="34" s="1"/>
  <c r="F300" i="34"/>
  <c r="Y300" i="34" s="1"/>
  <c r="H153" i="34"/>
  <c r="AA153" i="34" s="1"/>
  <c r="F379" i="34"/>
  <c r="F387" i="34" s="1"/>
  <c r="Y387" i="34" s="1"/>
  <c r="Y374" i="34"/>
  <c r="I300" i="34"/>
  <c r="AB300" i="34" s="1"/>
  <c r="I301" i="34"/>
  <c r="AB301" i="34" s="1"/>
  <c r="I302" i="34"/>
  <c r="AB302" i="34" s="1"/>
  <c r="I304" i="34"/>
  <c r="AB304" i="34" s="1"/>
  <c r="I303" i="34"/>
  <c r="AB303" i="34" s="1"/>
  <c r="AC377" i="34"/>
  <c r="J118" i="35"/>
  <c r="K374" i="34"/>
  <c r="E379" i="34"/>
  <c r="E383" i="34" s="1"/>
  <c r="X374" i="34"/>
  <c r="K377" i="34"/>
  <c r="AD377" i="34" s="1"/>
  <c r="X377" i="34"/>
  <c r="J339" i="34"/>
  <c r="AC339" i="34" s="1"/>
  <c r="J338" i="34"/>
  <c r="AC338" i="34" s="1"/>
  <c r="J337" i="34"/>
  <c r="AC337" i="34" s="1"/>
  <c r="AC375" i="34"/>
  <c r="F357" i="34"/>
  <c r="Y357" i="34" s="1"/>
  <c r="Z374" i="34"/>
  <c r="G379" i="34"/>
  <c r="G387" i="34" s="1"/>
  <c r="Z387" i="34" s="1"/>
  <c r="Y377" i="34"/>
  <c r="AC376" i="34"/>
  <c r="J341" i="34"/>
  <c r="AC341" i="34" s="1"/>
  <c r="X376" i="34"/>
  <c r="K376" i="34"/>
  <c r="AD376" i="34" s="1"/>
  <c r="F304" i="34"/>
  <c r="Y304" i="34" s="1"/>
  <c r="F301" i="34"/>
  <c r="Y301" i="34" s="1"/>
  <c r="J340" i="34"/>
  <c r="AC340" i="34" s="1"/>
  <c r="X375" i="34"/>
  <c r="K375" i="34"/>
  <c r="AD375" i="34" s="1"/>
  <c r="AC378" i="34"/>
  <c r="Y376" i="34"/>
  <c r="Y375" i="34"/>
  <c r="L282" i="34"/>
  <c r="H379" i="34"/>
  <c r="H383" i="34" s="1"/>
  <c r="AA374" i="34"/>
  <c r="AA379" i="34" s="1"/>
  <c r="E13" i="34"/>
  <c r="Y13" i="34" s="1"/>
  <c r="G17" i="34"/>
  <c r="AA17" i="34" s="1"/>
  <c r="AB374" i="34"/>
  <c r="I379" i="34"/>
  <c r="I387" i="34" s="1"/>
  <c r="AB387" i="34" s="1"/>
  <c r="X378" i="34"/>
  <c r="K378" i="34"/>
  <c r="AD378" i="34" s="1"/>
  <c r="J379" i="34"/>
  <c r="J387" i="34" s="1"/>
  <c r="AC387" i="34" s="1"/>
  <c r="AC374" i="34"/>
  <c r="E338" i="34"/>
  <c r="X338" i="34" s="1"/>
  <c r="E337" i="34"/>
  <c r="X337" i="34" s="1"/>
  <c r="E339" i="34"/>
  <c r="X339" i="34" s="1"/>
  <c r="E340" i="34"/>
  <c r="X340" i="34" s="1"/>
  <c r="Z375" i="34"/>
  <c r="Z378" i="34"/>
  <c r="AB377" i="34"/>
  <c r="T115" i="35"/>
  <c r="E238" i="35"/>
  <c r="G238" i="35"/>
  <c r="I238" i="35"/>
  <c r="S92" i="48"/>
  <c r="H92" i="48"/>
  <c r="X279" i="34"/>
  <c r="AE279" i="34" s="1"/>
  <c r="L279" i="34"/>
  <c r="G145" i="34"/>
  <c r="Z145" i="34" s="1"/>
  <c r="Z140" i="34"/>
  <c r="J295" i="35"/>
  <c r="O295" i="35"/>
  <c r="T295" i="35" s="1"/>
  <c r="G135" i="34"/>
  <c r="Z135" i="34" s="1"/>
  <c r="E135" i="34"/>
  <c r="G131" i="34"/>
  <c r="Z131" i="34" s="1"/>
  <c r="AA126" i="34"/>
  <c r="E131" i="34"/>
  <c r="G134" i="34"/>
  <c r="Z134" i="34" s="1"/>
  <c r="E133" i="34"/>
  <c r="F135" i="34"/>
  <c r="Y135" i="34" s="1"/>
  <c r="E132" i="34"/>
  <c r="H143" i="34"/>
  <c r="AA143" i="34" s="1"/>
  <c r="E134" i="34"/>
  <c r="G132" i="34"/>
  <c r="Z132" i="34" s="1"/>
  <c r="H144" i="34"/>
  <c r="AA144" i="34" s="1"/>
  <c r="F132" i="34"/>
  <c r="Y132" i="34" s="1"/>
  <c r="G133" i="34"/>
  <c r="Z133" i="34" s="1"/>
  <c r="F133" i="34"/>
  <c r="Y133" i="34" s="1"/>
  <c r="F131" i="34"/>
  <c r="Y131" i="34" s="1"/>
  <c r="F134" i="34"/>
  <c r="Y134" i="34" s="1"/>
  <c r="R92" i="48"/>
  <c r="X280" i="34"/>
  <c r="AE280" i="34" s="1"/>
  <c r="L280" i="34"/>
  <c r="I92" i="48"/>
  <c r="AA315" i="34"/>
  <c r="AA320" i="34" s="1"/>
  <c r="H140" i="34"/>
  <c r="O19" i="35"/>
  <c r="T19" i="35" s="1"/>
  <c r="J19" i="35"/>
  <c r="O297" i="35"/>
  <c r="T297" i="35" s="1"/>
  <c r="J297" i="35"/>
  <c r="J20" i="35"/>
  <c r="X281" i="34"/>
  <c r="AE281" i="34" s="1"/>
  <c r="L281" i="34"/>
  <c r="O180" i="35"/>
  <c r="T180" i="35" s="1"/>
  <c r="D92" i="48"/>
  <c r="S72" i="48"/>
  <c r="O246" i="35"/>
  <c r="T246" i="35" s="1"/>
  <c r="J246" i="35"/>
  <c r="T20" i="35"/>
  <c r="W92" i="48"/>
  <c r="E92" i="48"/>
  <c r="X92" i="48"/>
  <c r="T182" i="35"/>
  <c r="E145" i="34"/>
  <c r="X145" i="34" s="1"/>
  <c r="F92" i="48"/>
  <c r="Y283" i="34"/>
  <c r="AE283" i="34" s="1"/>
  <c r="L283" i="34"/>
  <c r="F145" i="34"/>
  <c r="Y145" i="34" s="1"/>
  <c r="F61" i="48"/>
  <c r="H61" i="48"/>
  <c r="E357" i="34"/>
  <c r="H141" i="34"/>
  <c r="AA141" i="34" s="1"/>
  <c r="O247" i="35"/>
  <c r="T247" i="35" s="1"/>
  <c r="J247" i="35"/>
  <c r="L278" i="34"/>
  <c r="AE278" i="34"/>
  <c r="K274" i="34"/>
  <c r="I274" i="34"/>
  <c r="G274" i="34"/>
  <c r="H357" i="34"/>
  <c r="AA357" i="34" s="1"/>
  <c r="O185" i="35"/>
  <c r="T185" i="35" s="1"/>
  <c r="Y43" i="42"/>
  <c r="X29" i="34"/>
  <c r="AA29" i="34" s="1"/>
  <c r="G29" i="34"/>
  <c r="X31" i="34"/>
  <c r="AA31" i="34" s="1"/>
  <c r="G31" i="34"/>
  <c r="AE58" i="34"/>
  <c r="L58" i="34"/>
  <c r="AF58" i="34" s="1"/>
  <c r="AE98" i="42"/>
  <c r="Y100" i="42"/>
  <c r="AE100" i="42" s="1"/>
  <c r="N100" i="42"/>
  <c r="AE103" i="42"/>
  <c r="H147" i="42"/>
  <c r="P24" i="42"/>
  <c r="J104" i="42"/>
  <c r="J92" i="42"/>
  <c r="AA92" i="42" s="1"/>
  <c r="M92" i="42"/>
  <c r="AD92" i="42" s="1"/>
  <c r="M104" i="42"/>
  <c r="Y52" i="42"/>
  <c r="AF52" i="42" s="1"/>
  <c r="O52" i="42"/>
  <c r="N98" i="42"/>
  <c r="I16" i="42"/>
  <c r="Z16" i="42" s="1"/>
  <c r="J16" i="42"/>
  <c r="AA16" i="42" s="1"/>
  <c r="L16" i="42"/>
  <c r="AC16" i="42" s="1"/>
  <c r="I136" i="42"/>
  <c r="Z136" i="42" s="1"/>
  <c r="Y143" i="42"/>
  <c r="AG143" i="42" s="1"/>
  <c r="P143" i="42"/>
  <c r="AE57" i="34"/>
  <c r="L57" i="34"/>
  <c r="AF57" i="34" s="1"/>
  <c r="Y145" i="42"/>
  <c r="AG145" i="42" s="1"/>
  <c r="P145" i="42"/>
  <c r="N103" i="42"/>
  <c r="H136" i="42"/>
  <c r="I92" i="42"/>
  <c r="Z92" i="42" s="1"/>
  <c r="AG24" i="42"/>
  <c r="Y142" i="42"/>
  <c r="AG142" i="42" s="1"/>
  <c r="P142" i="42"/>
  <c r="L147" i="42"/>
  <c r="Y25" i="42"/>
  <c r="AG25" i="42" s="1"/>
  <c r="P25" i="42"/>
  <c r="I147" i="42"/>
  <c r="M147" i="42"/>
  <c r="Y146" i="42"/>
  <c r="AG146" i="42" s="1"/>
  <c r="P146" i="42"/>
  <c r="L136" i="42"/>
  <c r="AC136" i="42" s="1"/>
  <c r="G22" i="34"/>
  <c r="AA22" i="34" s="1"/>
  <c r="G21" i="34"/>
  <c r="AA21" i="34" s="1"/>
  <c r="M136" i="42"/>
  <c r="AD136" i="42" s="1"/>
  <c r="L59" i="34"/>
  <c r="AF59" i="34" s="1"/>
  <c r="AE59" i="34"/>
  <c r="J55" i="42"/>
  <c r="K136" i="42"/>
  <c r="AB136" i="42" s="1"/>
  <c r="G30" i="34"/>
  <c r="AG15" i="42"/>
  <c r="L43" i="42"/>
  <c r="AC43" i="42" s="1"/>
  <c r="L55" i="42"/>
  <c r="M55" i="42"/>
  <c r="M43" i="42"/>
  <c r="AD43" i="42" s="1"/>
  <c r="K43" i="42"/>
  <c r="AB43" i="42" s="1"/>
  <c r="H55" i="42"/>
  <c r="AA30" i="34"/>
  <c r="Y144" i="42"/>
  <c r="AG144" i="42" s="1"/>
  <c r="P144" i="42"/>
  <c r="P26" i="42"/>
  <c r="Y26" i="42"/>
  <c r="AG26" i="42" s="1"/>
  <c r="Y141" i="42"/>
  <c r="AG141" i="42" s="1"/>
  <c r="P141" i="42"/>
  <c r="P27" i="42"/>
  <c r="Y27" i="42"/>
  <c r="AG27" i="42" s="1"/>
  <c r="Y51" i="42"/>
  <c r="AF51" i="42" s="1"/>
  <c r="O51" i="42"/>
  <c r="P22" i="42"/>
  <c r="Y22" i="42"/>
  <c r="AG22" i="42" s="1"/>
  <c r="P23" i="42"/>
  <c r="Y23" i="42"/>
  <c r="AG23" i="42" s="1"/>
  <c r="N136" i="42"/>
  <c r="AE136" i="42" s="1"/>
  <c r="O136" i="42"/>
  <c r="AF136" i="42" s="1"/>
  <c r="J147" i="42"/>
  <c r="O147" i="42"/>
  <c r="J136" i="42"/>
  <c r="AA136" i="42" s="1"/>
  <c r="N147" i="42"/>
  <c r="F48" i="48"/>
  <c r="K48" i="48"/>
  <c r="E48" i="48"/>
  <c r="G48" i="48"/>
  <c r="I48" i="48"/>
  <c r="H48" i="48"/>
  <c r="J48" i="48"/>
  <c r="L48" i="48"/>
  <c r="C48" i="48"/>
  <c r="T92" i="48"/>
  <c r="V92" i="48"/>
  <c r="T72" i="48"/>
  <c r="D48" i="48"/>
  <c r="U72" i="48"/>
  <c r="J29" i="49"/>
  <c r="Y15" i="49"/>
  <c r="I29" i="49"/>
  <c r="U46" i="49"/>
  <c r="W46" i="49"/>
  <c r="T46" i="49"/>
  <c r="V46" i="49"/>
  <c r="L46" i="49"/>
  <c r="L58" i="49" s="1"/>
  <c r="X58" i="49" s="1"/>
  <c r="G29" i="49"/>
  <c r="S29" i="49"/>
  <c r="K29" i="49"/>
  <c r="L29" i="49"/>
  <c r="X29" i="49"/>
  <c r="S46" i="49"/>
  <c r="H29" i="49"/>
  <c r="T290" i="35" l="1"/>
  <c r="Y31" i="48"/>
  <c r="J31" i="48"/>
  <c r="L57" i="49"/>
  <c r="X57" i="49" s="1"/>
  <c r="L50" i="49"/>
  <c r="X50" i="49" s="1"/>
  <c r="L53" i="49"/>
  <c r="X53" i="49" s="1"/>
  <c r="L54" i="49"/>
  <c r="X54" i="49" s="1"/>
  <c r="L56" i="49"/>
  <c r="X56" i="49" s="1"/>
  <c r="L55" i="49"/>
  <c r="X55" i="49" s="1"/>
  <c r="L59" i="49"/>
  <c r="X59" i="49" s="1"/>
  <c r="L51" i="49"/>
  <c r="X51" i="49" s="1"/>
  <c r="L52" i="49"/>
  <c r="X52" i="49" s="1"/>
  <c r="P16" i="42"/>
  <c r="Y16" i="42"/>
  <c r="AG16" i="42" s="1"/>
  <c r="J290" i="35"/>
  <c r="T238" i="35"/>
  <c r="J128" i="35"/>
  <c r="L274" i="34"/>
  <c r="S127" i="35"/>
  <c r="T127" i="35" s="1"/>
  <c r="S124" i="35"/>
  <c r="T124" i="35" s="1"/>
  <c r="O175" i="35"/>
  <c r="T175" i="35" s="1"/>
  <c r="J175" i="35"/>
  <c r="J124" i="35"/>
  <c r="S128" i="35"/>
  <c r="O128" i="35"/>
  <c r="J125" i="35"/>
  <c r="J127" i="35"/>
  <c r="J126" i="35"/>
  <c r="S126" i="35"/>
  <c r="S125" i="35"/>
  <c r="E119" i="35"/>
  <c r="H119" i="35"/>
  <c r="R119" i="35" s="1"/>
  <c r="O13" i="35"/>
  <c r="J13" i="35"/>
  <c r="T13" i="35" s="1"/>
  <c r="F80" i="48"/>
  <c r="U80" i="48"/>
  <c r="I386" i="34"/>
  <c r="AB386" i="34" s="1"/>
  <c r="AB48" i="48"/>
  <c r="K338" i="34"/>
  <c r="AD338" i="34" s="1"/>
  <c r="AG16" i="48"/>
  <c r="I16" i="48"/>
  <c r="K302" i="34"/>
  <c r="AD302" i="34" s="1"/>
  <c r="K60" i="49"/>
  <c r="K339" i="34"/>
  <c r="AD339" i="34" s="1"/>
  <c r="K341" i="34"/>
  <c r="AD341" i="34" s="1"/>
  <c r="K301" i="34"/>
  <c r="AD301" i="34" s="1"/>
  <c r="K300" i="34"/>
  <c r="AD300" i="34" s="1"/>
  <c r="K337" i="34"/>
  <c r="AD337" i="34" s="1"/>
  <c r="K303" i="34"/>
  <c r="AD303" i="34" s="1"/>
  <c r="H72" i="48"/>
  <c r="AA46" i="34"/>
  <c r="G46" i="34"/>
  <c r="X274" i="34"/>
  <c r="F321" i="34"/>
  <c r="G321" i="34"/>
  <c r="X321" i="34"/>
  <c r="E321" i="34"/>
  <c r="Y321" i="34"/>
  <c r="Z61" i="48"/>
  <c r="K61" i="48"/>
  <c r="Y16" i="48"/>
  <c r="J384" i="34"/>
  <c r="AC384" i="34" s="1"/>
  <c r="F384" i="34"/>
  <c r="Y384" i="34" s="1"/>
  <c r="F386" i="34"/>
  <c r="Y386" i="34" s="1"/>
  <c r="Y92" i="48"/>
  <c r="F385" i="34"/>
  <c r="Y385" i="34" s="1"/>
  <c r="F383" i="34"/>
  <c r="Y383" i="34" s="1"/>
  <c r="J92" i="48"/>
  <c r="T118" i="35"/>
  <c r="J238" i="35"/>
  <c r="N104" i="42"/>
  <c r="P125" i="35"/>
  <c r="J385" i="34"/>
  <c r="AC385" i="34" s="1"/>
  <c r="J386" i="34"/>
  <c r="AC386" i="34" s="1"/>
  <c r="G384" i="34"/>
  <c r="Z384" i="34" s="1"/>
  <c r="G383" i="34"/>
  <c r="Z383" i="34" s="1"/>
  <c r="AA13" i="34"/>
  <c r="AA383" i="34"/>
  <c r="X383" i="34"/>
  <c r="X379" i="34"/>
  <c r="G13" i="34"/>
  <c r="Z379" i="34"/>
  <c r="AC379" i="34"/>
  <c r="H386" i="34"/>
  <c r="AA386" i="34" s="1"/>
  <c r="H384" i="34"/>
  <c r="AA384" i="34" s="1"/>
  <c r="H385" i="34"/>
  <c r="AA385" i="34" s="1"/>
  <c r="H387" i="34"/>
  <c r="AA387" i="34" s="1"/>
  <c r="E386" i="34"/>
  <c r="X386" i="34" s="1"/>
  <c r="E387" i="34"/>
  <c r="X387" i="34" s="1"/>
  <c r="E384" i="34"/>
  <c r="X384" i="34" s="1"/>
  <c r="P128" i="35"/>
  <c r="J383" i="34"/>
  <c r="I385" i="34"/>
  <c r="AB385" i="34" s="1"/>
  <c r="I383" i="34"/>
  <c r="I384" i="34"/>
  <c r="AB384" i="34" s="1"/>
  <c r="E385" i="34"/>
  <c r="X385" i="34" s="1"/>
  <c r="AD374" i="34"/>
  <c r="AD379" i="34" s="1"/>
  <c r="K379" i="34"/>
  <c r="AB379" i="34"/>
  <c r="G119" i="35"/>
  <c r="Q119" i="35" s="1"/>
  <c r="I119" i="35"/>
  <c r="S119" i="35" s="1"/>
  <c r="F119" i="35"/>
  <c r="P119" i="35" s="1"/>
  <c r="Y379" i="34"/>
  <c r="AE62" i="34"/>
  <c r="AF62" i="34" s="1"/>
  <c r="P126" i="35"/>
  <c r="G386" i="34"/>
  <c r="Z386" i="34" s="1"/>
  <c r="G385" i="34"/>
  <c r="Z385" i="34" s="1"/>
  <c r="W60" i="49"/>
  <c r="X357" i="34"/>
  <c r="I357" i="34"/>
  <c r="AB357" i="34" s="1"/>
  <c r="AC274" i="34"/>
  <c r="AA274" i="34"/>
  <c r="Z274" i="34"/>
  <c r="Y274" i="34"/>
  <c r="H145" i="34"/>
  <c r="AA145" i="34" s="1"/>
  <c r="AA140" i="34"/>
  <c r="H134" i="34"/>
  <c r="AA134" i="34" s="1"/>
  <c r="X134" i="34"/>
  <c r="W72" i="48"/>
  <c r="X135" i="34"/>
  <c r="H135" i="34"/>
  <c r="AA135" i="34" s="1"/>
  <c r="H132" i="34"/>
  <c r="AA132" i="34" s="1"/>
  <c r="X132" i="34"/>
  <c r="X131" i="34"/>
  <c r="H131" i="34"/>
  <c r="AA131" i="34" s="1"/>
  <c r="AD274" i="34"/>
  <c r="H133" i="34"/>
  <c r="AA133" i="34" s="1"/>
  <c r="X133" i="34"/>
  <c r="O55" i="42"/>
  <c r="Y136" i="42"/>
  <c r="P136" i="42"/>
  <c r="AG136" i="42" s="1"/>
  <c r="N92" i="42"/>
  <c r="AE92" i="42" s="1"/>
  <c r="P147" i="42"/>
  <c r="O43" i="42"/>
  <c r="AF43" i="42" s="1"/>
  <c r="S60" i="49"/>
  <c r="M48" i="48"/>
  <c r="G60" i="49"/>
  <c r="X46" i="49"/>
  <c r="H60" i="49"/>
  <c r="T60" i="49"/>
  <c r="V60" i="49"/>
  <c r="J60" i="49"/>
  <c r="U60" i="49"/>
  <c r="M29" i="49"/>
  <c r="Y29" i="49"/>
  <c r="I60" i="49"/>
  <c r="T126" i="35" l="1"/>
  <c r="AE274" i="34"/>
  <c r="T125" i="35"/>
  <c r="T128" i="35"/>
  <c r="H321" i="34"/>
  <c r="AA321" i="34"/>
  <c r="Y388" i="34"/>
  <c r="F388" i="34"/>
  <c r="X388" i="34"/>
  <c r="O119" i="35"/>
  <c r="T119" i="35" s="1"/>
  <c r="J119" i="35"/>
  <c r="G388" i="34"/>
  <c r="AB383" i="34"/>
  <c r="AB388" i="34" s="1"/>
  <c r="I388" i="34"/>
  <c r="J388" i="34"/>
  <c r="AC383" i="34"/>
  <c r="AC388" i="34" s="1"/>
  <c r="Z388" i="34"/>
  <c r="K385" i="34"/>
  <c r="AD385" i="34" s="1"/>
  <c r="L377" i="34"/>
  <c r="AE377" i="34" s="1"/>
  <c r="L378" i="34"/>
  <c r="AE378" i="34" s="1"/>
  <c r="K387" i="34"/>
  <c r="AD387" i="34" s="1"/>
  <c r="L375" i="34"/>
  <c r="AE375" i="34" s="1"/>
  <c r="L374" i="34"/>
  <c r="K386" i="34"/>
  <c r="AD386" i="34" s="1"/>
  <c r="K383" i="34"/>
  <c r="K384" i="34"/>
  <c r="AD384" i="34" s="1"/>
  <c r="E388" i="34"/>
  <c r="AA388" i="34"/>
  <c r="L376" i="34"/>
  <c r="AE376" i="34" s="1"/>
  <c r="H388" i="34"/>
  <c r="X60" i="49"/>
  <c r="L60" i="49"/>
  <c r="L379" i="34" l="1"/>
  <c r="AE374" i="34"/>
  <c r="AE379" i="34" s="1"/>
  <c r="K388" i="34"/>
  <c r="AD383" i="34"/>
  <c r="AD388" i="34" s="1"/>
  <c r="EJ45" i="46"/>
  <c r="EJ36" i="46"/>
  <c r="EJ35" i="46"/>
  <c r="EJ27" i="46"/>
  <c r="EJ19" i="46"/>
  <c r="EJ29" i="46"/>
  <c r="EJ44" i="46"/>
  <c r="EJ28" i="46"/>
  <c r="EJ20" i="46"/>
  <c r="EJ34" i="46"/>
  <c r="EJ26" i="46"/>
  <c r="EJ18" i="46"/>
  <c r="EJ37" i="46"/>
  <c r="EJ41" i="46"/>
  <c r="EJ48" i="46"/>
  <c r="EJ40" i="46"/>
  <c r="EJ24" i="46"/>
  <c r="EJ16" i="46"/>
  <c r="EJ17" i="46"/>
  <c r="EJ47" i="46"/>
  <c r="EJ31" i="46"/>
  <c r="EJ15" i="46"/>
  <c r="EJ21" i="46"/>
  <c r="EJ49" i="46"/>
  <c r="EJ46" i="46"/>
  <c r="EJ30" i="46"/>
  <c r="EJ22" i="46"/>
  <c r="EJ14" i="46"/>
  <c r="EI38" i="46" l="1"/>
  <c r="EJ39" i="46"/>
  <c r="EJ38" i="46" s="1"/>
  <c r="EI23" i="46"/>
  <c r="EJ25" i="46"/>
  <c r="EJ23" i="46" s="1"/>
  <c r="EI42" i="46"/>
  <c r="EJ43" i="46"/>
  <c r="EJ42" i="46" s="1"/>
  <c r="EI12" i="46"/>
  <c r="EJ13" i="46"/>
  <c r="EJ12" i="46" s="1"/>
  <c r="EI32" i="46"/>
  <c r="EJ33" i="46"/>
  <c r="EJ32" i="46" s="1"/>
  <c r="EI3" i="46"/>
  <c r="EJ3" i="46"/>
  <c r="EI50" i="46" l="1"/>
  <c r="EJ50" i="46"/>
  <c r="S98" i="49"/>
  <c r="Y98" i="49" s="1"/>
  <c r="Y103" i="49" s="1"/>
  <c r="G103" i="49"/>
  <c r="S103" i="49" l="1"/>
  <c r="G109" i="49"/>
  <c r="G110" i="49"/>
  <c r="S110" i="49" s="1"/>
  <c r="G112" i="49"/>
  <c r="S112" i="49" s="1"/>
  <c r="G111" i="49"/>
  <c r="S111" i="49" s="1"/>
  <c r="G113" i="49"/>
  <c r="S113" i="49" s="1"/>
  <c r="S109" i="49" l="1"/>
  <c r="S114" i="49" s="1"/>
  <c r="G114"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tc={01350696-7FE0-4498-9F74-097FD0050076}</author>
  </authors>
  <commentList>
    <comment ref="S373" authorId="0" shapeId="0" xr:uid="{01350696-7FE0-4498-9F74-097FD0050076}">
      <text>
        <t>[Threaded comment]
Your version of Excel allows you to read this threaded comment; however, any edits to it will get removed if the file is opened in a newer version of Excel. Learn more: https://go.microsoft.com/fwlink/?linkid=870924
Comment:
    Subdiviser en plusieurs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7262D7C-5E5B-4590-A5A2-E0F88CD026C7}" keepAlive="1" name="Query - DisplacementPeriod" description="Connection to the 'DisplacementPeriod' query in the workbook." type="5" refreshedVersion="5" background="1" saveData="1">
    <dbPr connection="Provider=Microsoft.Mashup.OleDb.1;Data Source=$Workbook$;Location=DisplacementPeriod;Extended Properties=&quot;&quot;" command="SELECT * FROM [DisplacementPeriod]"/>
  </connection>
  <connection id="2" xr16:uid="{F15EC2A8-1A09-4290-86B8-4498CA3965D6}" keepAlive="1" name="Requête - autres_details" description="Connexion à la requête « autres_details » dans le classeur." type="5" refreshedVersion="5" background="1" saveData="1">
    <dbPr connection="Provider=Microsoft.Mashup.OleDb.1;Data Source=$Workbook$;Location=autres_details;Extended Properties=&quot;&quot;" command="SELECT * FROM [autres_details]"/>
  </connection>
  <connection id="3" xr16:uid="{11BE976F-76F6-4F5B-9A28-F410D7AEF9B1}" keepAlive="1" name="Requête - comparaison_samebasis_villages" description="Connexion à la requête « comparaison_samebasis_villages » dans le classeur." type="5" refreshedVersion="5" background="1" saveData="1">
    <dbPr connection="Provider=Microsoft.Mashup.OleDb.1;Data Source=$Workbook$;Location=comparaison_samebasis_villages;Extended Properties=&quot;&quot;" command="SELECT * FROM [comparaison_samebasis_villages]"/>
  </connection>
  <connection id="4" xr16:uid="{2C060F02-D40A-4389-B9BB-9F9F999022DF}" keepAlive="1" name="Requête - DisplacementPeriod (2)" description="Connexion à la requête « DisplacementPeriod (2) » dans le classeur." type="5" refreshedVersion="5" background="1" saveData="1">
    <dbPr connection="Provider=Microsoft.Mashup.OleDb.1;Data Source=$Workbook$;Location=&quot;DisplacementPeriod (2)&quot;;Extended Properties=&quot;&quot;" command="SELECT * FROM [DisplacementPeriod (2)]"/>
  </connection>
  <connection id="5" xr16:uid="{78A2894D-C1B3-4018-AA18-8965595932AF}" keepAlive="1" name="Requête - DisplacementPeriod (3)" description="Connexion à la requête « DisplacementPeriod (3) » dans le classeur." type="5" refreshedVersion="5" background="1" saveData="1">
    <dbPr connection="Provider=Microsoft.Mashup.OleDb.1;Data Source=$Workbook$;Location=&quot;DisplacementPeriod (3)&quot;;Extended Properties=&quot;&quot;" command="SELECT * FROM [DisplacementPeriod (3)]"/>
  </connection>
  <connection id="6" xr16:uid="{F6B2AB6C-8B80-48F1-B950-C0E37A94CCFC}" keepAlive="1" name="Requête - Locations" description="Connexion à la requête « Locations » dans le classeur." type="5" refreshedVersion="5" background="1" saveData="1">
    <dbPr connection="Provider=Microsoft.Mashup.OleDb.1;Data Source=$Workbook$;Location=Locations;Extended Properties=&quot;&quot;" command="SELECT * FROM [Locations]"/>
  </connection>
  <connection id="7" xr16:uid="{EFC87D62-6295-4480-A56D-30163E7FCF77}" keepAlive="1" name="Requête - TotalData_Departures" description="Connexion à la requête « TotalData_Departures » dans le classeur." type="5" refreshedVersion="5" background="1" saveData="1">
    <dbPr connection="Provider=Microsoft.Mashup.OleDb.1;Data Source=$Workbook$;Location=TotalData_Departures;Extended Properties=&quot;&quot;" command="SELECT * FROM [TotalData_Departures]"/>
  </connection>
</connections>
</file>

<file path=xl/sharedStrings.xml><?xml version="1.0" encoding="utf-8"?>
<sst xmlns="http://schemas.openxmlformats.org/spreadsheetml/2006/main" count="123862" uniqueCount="4221">
  <si>
    <t>MATRICE DE SUIVI DES DÉPLACEMENTS OU MOBILITY TRACKING (MT) DANS
RÉGION DE L’EXTRÊME-NORD - CAMEROUN</t>
  </si>
  <si>
    <t>Thèmes</t>
  </si>
  <si>
    <t>Description</t>
  </si>
  <si>
    <t>Résumé du projet</t>
  </si>
  <si>
    <t xml:space="preserve">          La Matrice de Suivi des Déplacements (Displacement Tracking Matrix – DTM, en anglais) est un ensemble d'outils développés par l’Organisation Internationale pour les Migrations (OIM), qui permet de faire le suivi des déplacements de populations dans une région donnée et de mieux comprendre les dynamiques migratoires et les besoins des populations affectées. La DTM permet de collecter des informations à différents niveaux pour ensuite les traiter et les diffuser afin de garantir aux acteurs humanitaires, de développement , aux gouvernements et autres acteurs intéressés, une meilleure compréhension des mouvements et de l’évolution des besoins des populations déplacées : les facteurs d’influence, les moyens et durées de déplacement, les intentions futures des populations déplacées, leurs conditions de vie et encore bien d’autres éléments sont récoltés auprès de ces populations déplacées.</t>
  </si>
  <si>
    <t>Objectif</t>
  </si>
  <si>
    <t xml:space="preserve">        L’Organisation internationale pour les migrations (OIM) a mis en place la Matrice de Suivi des Déplacements (Displacement Tracking Matrix – DTM, en anglais) au Cameroun en novembre 2015, dans le but d’obtenir une meilleure compréhension des caractéristiques des populations déplacées, retournées et réfugiées hors camp et des tendances de déplacement. Cet exercice a également pour objectif d’identifier les besoins des populations déplacées ainsi que les facteurs accentuant leurs vulnérabilités. Ces informations sont collectées puis disséminées auprès du gouvernement camerounais et de la communauté humanitaire afin de leur fournir une meilleure compréhension des mouvements dans la région de l’Extrême-Nord.</t>
  </si>
  <si>
    <t>Comment lire la base de données</t>
  </si>
  <si>
    <t xml:space="preserve">      Chaque onglet / feuille correspond à une partie ou sous-partie du questionnaire et les données sont triées et traitées de manière logique. 
L'onglet "data_sommaire" comprend l'ensemble des données triées et revues, qui sont ensuite analysées dans tous les onglets suivants. L'analyse des données et faite à travers des formules ou des tableaux croisés dynamiques et accompagnés de graphiques pour en faciliter la lecture. 
Lorsque le total dépasse 100%, cela signifie que la question était à réponses multiples. </t>
  </si>
  <si>
    <t>Niveau d'enquête</t>
  </si>
  <si>
    <t>Méthodologie</t>
  </si>
  <si>
    <t xml:space="preserve">CIBLES </t>
  </si>
  <si>
    <t>Période de collecte de données</t>
  </si>
  <si>
    <t>Couverture géographique</t>
  </si>
  <si>
    <t>Base de données</t>
  </si>
  <si>
    <t>Remerciements</t>
  </si>
  <si>
    <t>Contacts</t>
  </si>
  <si>
    <r>
      <t>FRAN</t>
    </r>
    <r>
      <rPr>
        <b/>
        <sz val="16"/>
        <color theme="1"/>
        <rFont val="Calibri"/>
        <family val="2"/>
      </rPr>
      <t>Ç</t>
    </r>
    <r>
      <rPr>
        <b/>
        <sz val="16"/>
        <color theme="1"/>
        <rFont val="Calibri"/>
        <family val="2"/>
        <scheme val="minor"/>
      </rPr>
      <t>AIS</t>
    </r>
  </si>
  <si>
    <t>ENGLISH</t>
  </si>
  <si>
    <t>Déplacement par département (PDIs, réfugiés hors camp, et retournés) / INDIVIDUS</t>
  </si>
  <si>
    <t>Displacement by department (IDPs, refugees out of camp, and returnees)</t>
  </si>
  <si>
    <t>Individus</t>
  </si>
  <si>
    <t>Populations déplacées interne</t>
  </si>
  <si>
    <t>Réfugiés hors camp</t>
  </si>
  <si>
    <t>Retournés</t>
  </si>
  <si>
    <t>Total</t>
  </si>
  <si>
    <t>Individuals</t>
  </si>
  <si>
    <t>Internal displaced populations</t>
  </si>
  <si>
    <t>Refugees out of camp</t>
  </si>
  <si>
    <t>Returnees</t>
  </si>
  <si>
    <t>Diamaré</t>
  </si>
  <si>
    <t>Logone-Et-Chari</t>
  </si>
  <si>
    <t>Mayo-Danay</t>
  </si>
  <si>
    <t>Mayo-Kani</t>
  </si>
  <si>
    <t>Mayo-Sava</t>
  </si>
  <si>
    <t>Mayo-Tsanaga</t>
  </si>
  <si>
    <t>% par rapport à la région</t>
  </si>
  <si>
    <t>% Regional</t>
  </si>
  <si>
    <t>% par rapport au département</t>
  </si>
  <si>
    <t>% Department</t>
  </si>
  <si>
    <t>Déplacement par département (PDIs, réfugiés hors camp, et retournés) / MENAGES</t>
  </si>
  <si>
    <t>Ménages</t>
  </si>
  <si>
    <t>Households</t>
  </si>
  <si>
    <t xml:space="preserve"> </t>
  </si>
  <si>
    <t>Nouveaux Villages depuis le round précédent</t>
  </si>
  <si>
    <t>Ratio Population déplacée / Population totale</t>
  </si>
  <si>
    <t>Covered villages for this round</t>
  </si>
  <si>
    <t>New Covered Villages from previous round</t>
  </si>
  <si>
    <t>Départements</t>
  </si>
  <si>
    <t>Villages</t>
  </si>
  <si>
    <t>Population totale</t>
  </si>
  <si>
    <t>Departments</t>
  </si>
  <si>
    <t>Total Population</t>
  </si>
  <si>
    <t>Deplaced Population</t>
  </si>
  <si>
    <t>Ratio Deplaced Population / Total Population</t>
  </si>
  <si>
    <t>Statut des villages</t>
  </si>
  <si>
    <t>Villages accueillant les populations cibles</t>
  </si>
  <si>
    <t xml:space="preserve">Informateurs clés par département </t>
  </si>
  <si>
    <t>Villages having only one kind of population</t>
  </si>
  <si>
    <t>Villages Status</t>
  </si>
  <si>
    <t xml:space="preserve">Key Informants by department </t>
  </si>
  <si>
    <t>Villages totalement vides</t>
  </si>
  <si>
    <t>Villages n'accueillant plus de populations cibles</t>
  </si>
  <si>
    <t>Villages accueillant au moins un type de population (PDI, Refugié, Retourné)</t>
  </si>
  <si>
    <t>Sites spontanés</t>
  </si>
  <si>
    <t>villages avec PDI</t>
  </si>
  <si>
    <t>Villages avec Réfugiés hors camp</t>
  </si>
  <si>
    <t>Villages avec Retournés</t>
  </si>
  <si>
    <t xml:space="preserve">Nombre Informateurs clés </t>
  </si>
  <si>
    <t>Only IDP</t>
  </si>
  <si>
    <t>Only Refugees out of camp</t>
  </si>
  <si>
    <t>Only Returnees</t>
  </si>
  <si>
    <t>Empty villages</t>
  </si>
  <si>
    <t>Villages with no target population</t>
  </si>
  <si>
    <t># Spontanious sites</t>
  </si>
  <si>
    <t># villages having at least one type of targeted population</t>
  </si>
  <si>
    <t xml:space="preserve">Number of Key Informants </t>
  </si>
  <si>
    <t>Statut des villages en fonction de la présence de population</t>
  </si>
  <si>
    <t>Village accueillant la population cible (PDI, Refugié, Retourné)</t>
  </si>
  <si>
    <t>Status of village having any population</t>
  </si>
  <si>
    <t>Village having targeted population (IDP, Refugee,Returnee)</t>
  </si>
  <si>
    <t xml:space="preserve">Village déserts </t>
  </si>
  <si>
    <t>Villages déserts le jour</t>
  </si>
  <si>
    <t>Villages déserts la nuit</t>
  </si>
  <si>
    <t>Villages non-vide</t>
  </si>
  <si>
    <t>Oui</t>
  </si>
  <si>
    <t>Non</t>
  </si>
  <si>
    <t>Empty Villages</t>
  </si>
  <si>
    <t>Empty Village only in the morning</t>
  </si>
  <si>
    <t>Empty Village only in the night</t>
  </si>
  <si>
    <t>Non-empty village</t>
  </si>
  <si>
    <t>Yes</t>
  </si>
  <si>
    <t>No</t>
  </si>
  <si>
    <t>Accessibilité des localités</t>
  </si>
  <si>
    <t>Etat des localités évaluées et accueillant la population cible (PDI, Refugié, Retourné)</t>
  </si>
  <si>
    <t>Accessibility of the localities</t>
  </si>
  <si>
    <t>State of the evaluated localities</t>
  </si>
  <si>
    <t>Accessible</t>
  </si>
  <si>
    <t>Inaccessible - insécurité</t>
  </si>
  <si>
    <t>Inaccessible - pas d'accès physique</t>
  </si>
  <si>
    <t>Inaccessible - interdit par l'armée</t>
  </si>
  <si>
    <t>Le village est totalement détruit</t>
  </si>
  <si>
    <t>Le village est intact (construit)</t>
  </si>
  <si>
    <t>Le village est partiellement détruit</t>
  </si>
  <si>
    <t>accessible</t>
  </si>
  <si>
    <t>inaccessible-insecurite</t>
  </si>
  <si>
    <t>inaccessible-non-physique</t>
  </si>
  <si>
    <t>inaccessible-armee</t>
  </si>
  <si>
    <t>totalement-detruit</t>
  </si>
  <si>
    <t>intact</t>
  </si>
  <si>
    <t>partiellement-detruit</t>
  </si>
  <si>
    <t>Totalement détruit</t>
  </si>
  <si>
    <t>Intact</t>
  </si>
  <si>
    <t>Partiellement détruit</t>
  </si>
  <si>
    <t>Inaccessible - forbidden by the army</t>
  </si>
  <si>
    <t>Inaccessible - insecurity</t>
  </si>
  <si>
    <t>Inaccessible - No physical access</t>
  </si>
  <si>
    <t>Partially destroyed</t>
  </si>
  <si>
    <t>Totally destroyed</t>
  </si>
  <si>
    <t>Raisons inaccessibilité des localités (Pas d'accès physique)</t>
  </si>
  <si>
    <t>Reasons of inaccessibility of the localities</t>
  </si>
  <si>
    <t>Mauvaise infrastructure (routière)</t>
  </si>
  <si>
    <t>Aléas climatiques (inondations)</t>
  </si>
  <si>
    <t>autre</t>
  </si>
  <si>
    <t>Mauvaise-infrastructure</t>
  </si>
  <si>
    <t>Aleas-climatiques</t>
  </si>
  <si>
    <t>Mauvaise infrastructure</t>
  </si>
  <si>
    <t>Aléa climatique</t>
  </si>
  <si>
    <t>Bad Insfrastructure</t>
  </si>
  <si>
    <t xml:space="preserve">
Climate hazard</t>
  </si>
  <si>
    <t>Périodes de déplacement</t>
  </si>
  <si>
    <t>Displacement Periods</t>
  </si>
  <si>
    <t>Populations par périodes d'arrivée</t>
  </si>
  <si>
    <t>Populations by arrival periods</t>
  </si>
  <si>
    <t>Periodes</t>
  </si>
  <si>
    <t>Personnes déplacées interne</t>
  </si>
  <si>
    <t>Periods</t>
  </si>
  <si>
    <t>Internal displaced people</t>
  </si>
  <si>
    <t>Out-of-Camp Refugees</t>
  </si>
  <si>
    <t>January-February-2022</t>
  </si>
  <si>
    <t>% sur le total des déplacés</t>
  </si>
  <si>
    <t>% of total displaced</t>
  </si>
  <si>
    <t>Out of camp Refugees</t>
  </si>
  <si>
    <t>% des périodes par type de population</t>
  </si>
  <si>
    <t>% of periode by population type</t>
  </si>
  <si>
    <t>Janvier - Mars 2019</t>
  </si>
  <si>
    <t>% des type de population par période</t>
  </si>
  <si>
    <t>% of population type by period</t>
  </si>
  <si>
    <t>Somme d'Individus</t>
  </si>
  <si>
    <t>Étiquettes de colonnes</t>
  </si>
  <si>
    <t>Sum of Individuals</t>
  </si>
  <si>
    <t>Column labels</t>
  </si>
  <si>
    <t>Étiquettes de lignes</t>
  </si>
  <si>
    <t>PDI</t>
  </si>
  <si>
    <t>Total général</t>
  </si>
  <si>
    <t>Row Labels</t>
  </si>
  <si>
    <t>Bogo</t>
  </si>
  <si>
    <t>Dargala</t>
  </si>
  <si>
    <t>Gazawa</t>
  </si>
  <si>
    <t>Maroua I</t>
  </si>
  <si>
    <t>Maroua II</t>
  </si>
  <si>
    <t>Maroua III</t>
  </si>
  <si>
    <t>Petté</t>
  </si>
  <si>
    <t>Méri</t>
  </si>
  <si>
    <t>Blangoua</t>
  </si>
  <si>
    <t>Darak</t>
  </si>
  <si>
    <t>Fotokol</t>
  </si>
  <si>
    <t>Goulfey</t>
  </si>
  <si>
    <t>Hilé-Alifa</t>
  </si>
  <si>
    <t>Logone-Birni</t>
  </si>
  <si>
    <t>Kousséri</t>
  </si>
  <si>
    <t>Makary</t>
  </si>
  <si>
    <t>Waza</t>
  </si>
  <si>
    <t>Zina</t>
  </si>
  <si>
    <t>Datchéka</t>
  </si>
  <si>
    <t>Gobo</t>
  </si>
  <si>
    <t>Kai-Kai</t>
  </si>
  <si>
    <t>Guémé</t>
  </si>
  <si>
    <t>Maga</t>
  </si>
  <si>
    <t>Guéré</t>
  </si>
  <si>
    <t>Wina</t>
  </si>
  <si>
    <t>Yagoua</t>
  </si>
  <si>
    <t>Guidiguis</t>
  </si>
  <si>
    <t>Kaélé</t>
  </si>
  <si>
    <t>Mindif</t>
  </si>
  <si>
    <t>Moulvoudaye</t>
  </si>
  <si>
    <t>Moutourwa</t>
  </si>
  <si>
    <t>Kolofata</t>
  </si>
  <si>
    <t>Mora</t>
  </si>
  <si>
    <t>Tokombéré</t>
  </si>
  <si>
    <t>Bourha</t>
  </si>
  <si>
    <t>Hina</t>
  </si>
  <si>
    <t>Koza</t>
  </si>
  <si>
    <t>Mayo-Moskota</t>
  </si>
  <si>
    <t>Mogodé</t>
  </si>
  <si>
    <t>Mokolo</t>
  </si>
  <si>
    <t>Soulédé-Roua</t>
  </si>
  <si>
    <t>Evolution depuis la DTM round 1</t>
  </si>
  <si>
    <t>Displacement evolution from DTM round 1</t>
  </si>
  <si>
    <t>réfugiés hors camp</t>
  </si>
  <si>
    <t>Round 1 (Nov 2015)</t>
  </si>
  <si>
    <t>Round 2  (Fév 2016)</t>
  </si>
  <si>
    <t>Round 3  (Avr 2016)</t>
  </si>
  <si>
    <t>Round 4   (Juil 2016)</t>
  </si>
  <si>
    <t>Round 5   (Sep 2016)</t>
  </si>
  <si>
    <t>Round 6   (Déc 2016)</t>
  </si>
  <si>
    <t>Round 7   (Fév 2017)</t>
  </si>
  <si>
    <t>Round 8   (Mai 2017)</t>
  </si>
  <si>
    <t>Round 9   (Juil 2017)</t>
  </si>
  <si>
    <t>Round 10 (Sept 2017)</t>
  </si>
  <si>
    <t>Round 11 (Oct 2017)</t>
  </si>
  <si>
    <t>Round 12 (Nov 2017)</t>
  </si>
  <si>
    <t>Round 13 (Avril 2018)</t>
  </si>
  <si>
    <t>Round 14 (Juin 2018)</t>
  </si>
  <si>
    <t>Round 15 (Juillet 2018)</t>
  </si>
  <si>
    <t>Round 16 (Oct 2018)</t>
  </si>
  <si>
    <t>Round 17 (Fév 2019)</t>
  </si>
  <si>
    <t>Round 18 (Avril 2019)</t>
  </si>
  <si>
    <t>Round 19 (Août 2019)</t>
  </si>
  <si>
    <t>Round 20 (Nov 2019)</t>
  </si>
  <si>
    <t>Round 21 (Juin 2020)</t>
  </si>
  <si>
    <t>Round 22 (Mars 2021)</t>
  </si>
  <si>
    <t>Round 23 (Août 2021)</t>
  </si>
  <si>
    <t>Round 24 (Fevrier 2022)</t>
  </si>
  <si>
    <t>Départements de provenance des Personnes Déplacées Interne</t>
  </si>
  <si>
    <t>Départements de provenance des PDI</t>
  </si>
  <si>
    <t>Departments Internal Displaced People are arriving from</t>
  </si>
  <si>
    <t>Departments IDP are arriving from</t>
  </si>
  <si>
    <t>Départements de Provenance (pour les détails sur les éventuels arrondissements de provenance, consulter données brutes)</t>
  </si>
  <si>
    <t>Departements PDI are arriving From(for further details at arrondissements level, please have a look on raw data)</t>
  </si>
  <si>
    <t>Département d'arrivée</t>
  </si>
  <si>
    <t>Other Region (North)</t>
  </si>
  <si>
    <t>Departments of Provenance (for further details on arrondissment of origin, please have a look on raw data)</t>
  </si>
  <si>
    <t>Périodes d'arrivée des Personnes Déplacées Interne dans les départements</t>
  </si>
  <si>
    <t>Arrival periods of Internal Displaced People by departments</t>
  </si>
  <si>
    <t>Départements couverts (Bien vouloir se référer aux données brutes pour les détails par arrondissements)</t>
  </si>
  <si>
    <t>Covered departments (Refer to raw data if need details at arrondissments level)</t>
  </si>
  <si>
    <t>Périodes</t>
  </si>
  <si>
    <t>Pays de provenance des Réfugiés hors camp</t>
  </si>
  <si>
    <t xml:space="preserve">Provenance countries of Refugees out of camp </t>
  </si>
  <si>
    <t>NGA</t>
  </si>
  <si>
    <t>TCD</t>
  </si>
  <si>
    <t>Nigéria</t>
  </si>
  <si>
    <t>Tchad</t>
  </si>
  <si>
    <t>Autre (RCA)</t>
  </si>
  <si>
    <t>Nigeria</t>
  </si>
  <si>
    <t>Chad</t>
  </si>
  <si>
    <t>Other</t>
  </si>
  <si>
    <t>Périodes d'arrivée des Réfugiés hors camp par départements</t>
  </si>
  <si>
    <t>Arrival periods of Refugees out of camp by departments</t>
  </si>
  <si>
    <t xml:space="preserve">Departments servey </t>
  </si>
  <si>
    <t>Pays de provenance des Retournés</t>
  </si>
  <si>
    <t>Country of origin of Returnees</t>
  </si>
  <si>
    <t>CMR</t>
  </si>
  <si>
    <t>CAR</t>
  </si>
  <si>
    <t>Cameroun</t>
  </si>
  <si>
    <t>Rep. Centrafrique</t>
  </si>
  <si>
    <t>Cameroon</t>
  </si>
  <si>
    <t>Central Africa Republic</t>
  </si>
  <si>
    <t>Départements de provenance des Retournés Camerounais (anciens PDI)</t>
  </si>
  <si>
    <t>Departments Returnees are coming from (former IDP)</t>
  </si>
  <si>
    <t>Anciens départements de résidence dans Extrême nord comme PDI ou pas (voir données brutes pour plus de détails)</t>
  </si>
  <si>
    <t>Former resident departments as IDP or not (see raw data for more details)</t>
  </si>
  <si>
    <t>Autres Régions</t>
  </si>
  <si>
    <t>Périodes de retour des Retournés par départements</t>
  </si>
  <si>
    <t>Return periods of Returnees by departments</t>
  </si>
  <si>
    <t>Total (#)</t>
  </si>
  <si>
    <t>Total (%)</t>
  </si>
  <si>
    <t>Périods</t>
  </si>
  <si>
    <t>Raisons de déplacement par départements</t>
  </si>
  <si>
    <t>Displacement reasons by department</t>
  </si>
  <si>
    <t>Conflits liés à GANE (BH)</t>
  </si>
  <si>
    <t>Inondations saisonnières ou fortes pluies</t>
  </si>
  <si>
    <t>Catastrophe naturelle (sécheresse, glissement de terrain, rupture de digue)</t>
  </si>
  <si>
    <t>Conflit intercommunautaire</t>
  </si>
  <si>
    <t>Autre raison</t>
  </si>
  <si>
    <t xml:space="preserve">Boko Haram-related conflicts </t>
  </si>
  <si>
    <t xml:space="preserve">Seasonal flooding or heavy rains </t>
  </si>
  <si>
    <t xml:space="preserve">Natural disaster (drought, landslide, breakwater dike) </t>
  </si>
  <si>
    <t>Inter-community conflict</t>
  </si>
  <si>
    <t xml:space="preserve">Other reason </t>
  </si>
  <si>
    <t>Raisons de déplacement par départements (%)</t>
  </si>
  <si>
    <t>Displacement reasons by department (%)</t>
  </si>
  <si>
    <t>Raisons de déplacement par département (détail)</t>
  </si>
  <si>
    <t>Overview of displacement reasons by department</t>
  </si>
  <si>
    <t>sum of individuals</t>
  </si>
  <si>
    <t>column labels</t>
  </si>
  <si>
    <t>row labels</t>
  </si>
  <si>
    <t>Raisons de déplacement par périodes</t>
  </si>
  <si>
    <t>Displacement reasons by periods</t>
  </si>
  <si>
    <t>Raisons de déplacement par périodes (%)</t>
  </si>
  <si>
    <t>Displacement reasons by periods (%)</t>
  </si>
  <si>
    <t xml:space="preserve">Conflit armé </t>
  </si>
  <si>
    <t>Raisons de déplacement des Personnes Déplacées Interne</t>
  </si>
  <si>
    <t>Displacement reasons of Internal Displaced People</t>
  </si>
  <si>
    <t>Raisons de déplacement des Personnes Déplacées Interne (%)</t>
  </si>
  <si>
    <t>Displacement reasons of Internal Displaced People (%)</t>
  </si>
  <si>
    <t>Conflits liés à Boko Haram</t>
  </si>
  <si>
    <t>Ménages à réunir</t>
  </si>
  <si>
    <t>Nombre de ménages à réunir</t>
  </si>
  <si>
    <t>TOTAL</t>
  </si>
  <si>
    <t>Raisons de déplacement des Refugiés hors camp</t>
  </si>
  <si>
    <t>Displacement reasons of Refugees out of camp</t>
  </si>
  <si>
    <t>Raisons de déplacement des Refugiés hors camp (%)</t>
  </si>
  <si>
    <t>Displacement reasons of  refugees out of camp (%)</t>
  </si>
  <si>
    <t>Raisons de déplacement des Retournés</t>
  </si>
  <si>
    <t xml:space="preserve">Displacement reasons of Returnees </t>
  </si>
  <si>
    <t>Raisons de déplacement des  Retournés (%)</t>
  </si>
  <si>
    <t>Displacement reasons of Returnees (%)</t>
  </si>
  <si>
    <t># TOTAL Types d'abris pour ménages</t>
  </si>
  <si>
    <t># TOTAL HH shelter type</t>
  </si>
  <si>
    <t>Abri spontané</t>
  </si>
  <si>
    <t>Location</t>
  </si>
  <si>
    <t xml:space="preserve">Collectif </t>
  </si>
  <si>
    <t>Plein-air</t>
  </si>
  <si>
    <t>Familles d'accueil (à titre gratuit)</t>
  </si>
  <si>
    <t>Familles d'accueil (contre travaux domestiques ou des champs)</t>
  </si>
  <si>
    <t>Habitat initial</t>
  </si>
  <si>
    <t>Domicile Personnel</t>
  </si>
  <si>
    <t>Spontaneous shelter</t>
  </si>
  <si>
    <t>Rental</t>
  </si>
  <si>
    <t>Collective</t>
  </si>
  <si>
    <t>Open air</t>
  </si>
  <si>
    <t>Host Families (free of charge)</t>
  </si>
  <si>
    <t xml:space="preserve">Host Families (against domestic or field work) </t>
  </si>
  <si>
    <t>Initial Habitat</t>
  </si>
  <si>
    <t>Personal home</t>
  </si>
  <si>
    <t>% TOTAL Types d'abris pour ménages</t>
  </si>
  <si>
    <t>% TOTAL HH shelter type</t>
  </si>
  <si>
    <t># Villages accueillant les Personnes Déplacées Interne</t>
  </si>
  <si>
    <t># Types d'abris pour ménages Personnes Déplacées Interne par département</t>
  </si>
  <si>
    <t># Locations hosting Internal Displaced People</t>
  </si>
  <si>
    <t># Households by Type of Shelter for Internal Displaced People</t>
  </si>
  <si>
    <t>villages</t>
  </si>
  <si>
    <t>Domicile personnel</t>
  </si>
  <si>
    <t>Abris spontanés</t>
  </si>
  <si>
    <t>Collectif</t>
  </si>
  <si>
    <t>Air Libre</t>
  </si>
  <si>
    <t>Personal domicile</t>
  </si>
  <si>
    <t>Spontaneous shelters</t>
  </si>
  <si>
    <t xml:space="preserve"> % Types d'abris pour ménages Personnes Déplacées Interne par département</t>
  </si>
  <si>
    <t>% Households by Type of Shelter for Internal Displaced People</t>
  </si>
  <si>
    <t>Tous les départements</t>
  </si>
  <si>
    <t xml:space="preserve"># Villages accueillant les réfugiés hors camp </t>
  </si>
  <si>
    <t xml:space="preserve"># Types d'abris pour ménages réfugiés hors camp </t>
  </si>
  <si>
    <t># Locations hosting Refugees out of camp</t>
  </si>
  <si>
    <t xml:space="preserve"># Households by Type of Shelter for Refugees out of camp </t>
  </si>
  <si>
    <t>Spontané</t>
  </si>
  <si>
    <t xml:space="preserve">% Types d'abris pour ménages réfugiés hors camp </t>
  </si>
  <si>
    <t xml:space="preserve"> % Households by Type of Shelter for Refugees out of camp</t>
  </si>
  <si>
    <t># Villages accueillant les retournés</t>
  </si>
  <si>
    <t xml:space="preserve"># Types d'abris pour ménages retournés </t>
  </si>
  <si>
    <t># Locations hosting Returnees</t>
  </si>
  <si>
    <t># Households by Type of Shelter for Returnees</t>
  </si>
  <si>
    <t>Nouveau domicile personnel</t>
  </si>
  <si>
    <t>New Personal domicile</t>
  </si>
  <si>
    <t xml:space="preserve">% Types d abris poour ménages retournés </t>
  </si>
  <si>
    <t xml:space="preserve">% Households by Type of Shelter for Returnees </t>
  </si>
  <si>
    <t>Répartition des Retournés dans l'Extrême-Nord</t>
  </si>
  <si>
    <t>Distribution of Returned in the Far North</t>
  </si>
  <si>
    <t>Motifs de retour par Départements</t>
  </si>
  <si>
    <t>Reasons for return by Departments</t>
  </si>
  <si>
    <t>Départemenent/Arrondissement</t>
  </si>
  <si>
    <t># de Retournés</t>
  </si>
  <si>
    <t>Motifs de retour</t>
  </si>
  <si>
    <t>Accès à la terre cultivable dans la zone de retour</t>
  </si>
  <si>
    <t>Accessibility to cultivable land</t>
  </si>
  <si>
    <t>Zone de retour sécurisée</t>
  </si>
  <si>
    <t>Secured zone of origin</t>
  </si>
  <si>
    <t>Pas d’assistance dans le lieu de déplacement</t>
  </si>
  <si>
    <t>No assistance during the displacement</t>
  </si>
  <si>
    <t>Manque de moyens de subsistance dans le lieu de déplacement</t>
  </si>
  <si>
    <t>Lack of livelihoods in the displacement area</t>
  </si>
  <si>
    <t>Pas ou très peu d’accès aux services de bases dans le lieu de déplacement</t>
  </si>
  <si>
    <t>Little or no access to basic services in the place of displacement</t>
  </si>
  <si>
    <t>Retour sur ordre des autorités militaires/civiles</t>
  </si>
  <si>
    <t>Return upon order by military or civil authorities</t>
  </si>
  <si>
    <t>Le lieu de déplacement n’est plus sécurisé</t>
  </si>
  <si>
    <t>Unsecured hosting place</t>
  </si>
  <si>
    <t>Communautés hôtes ne peuvent plus nous accueillir</t>
  </si>
  <si>
    <t>Host communities unable to help further</t>
  </si>
  <si>
    <t>Tensions avec les communautés hôtes</t>
  </si>
  <si>
    <t>Tensions with host communities</t>
  </si>
  <si>
    <t>Autre</t>
  </si>
  <si>
    <t>Motifs de retour par Période</t>
  </si>
  <si>
    <t>Reasons for return by period</t>
  </si>
  <si>
    <t>P1</t>
  </si>
  <si>
    <t>P2</t>
  </si>
  <si>
    <t>P3</t>
  </si>
  <si>
    <t>P4</t>
  </si>
  <si>
    <t>P5</t>
  </si>
  <si>
    <t>P6</t>
  </si>
  <si>
    <t>P7</t>
  </si>
  <si>
    <t>Before 2019</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</si>
  <si>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</si>
  <si>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</si>
  <si>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</si>
  <si>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</si>
  <si>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</si>
  <si>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</si>
  <si>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</si>
  <si>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</si>
  <si>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</si>
  <si>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</si>
  <si>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</si>
  <si>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</si>
  <si>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</si>
  <si>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</si>
  <si>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</si>
  <si>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</si>
  <si>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</si>
  <si>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</si>
  <si>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</si>
  <si>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</si>
  <si>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</si>
  <si>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</si>
  <si>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</si>
  <si>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</si>
  <si>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</si>
  <si>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</si>
  <si>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</si>
  <si>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</si>
  <si>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Personnes déplaces internes</t>
  </si>
  <si>
    <t>Internally displaced people</t>
  </si>
  <si>
    <t>Rétournés</t>
  </si>
  <si>
    <t>Déplacements entre départements</t>
  </si>
  <si>
    <t>Movement between departments</t>
  </si>
  <si>
    <t>Pays de provenance des retournés</t>
  </si>
  <si>
    <t>Country of origin of returnees</t>
  </si>
  <si>
    <t xml:space="preserve">Anciens départements de résidence dans Extrême nord comme PDI ou pas </t>
  </si>
  <si>
    <t>Centrafrique</t>
  </si>
  <si>
    <t>Déplacements entre arrondissements à l'intérieur du même département</t>
  </si>
  <si>
    <t>Movement between arrondissments inside the same department</t>
  </si>
  <si>
    <t>Arrondissements</t>
  </si>
  <si>
    <t>Personnes Déplacées Interne</t>
  </si>
  <si>
    <t>Internal Displaced People</t>
  </si>
  <si>
    <t>Départments</t>
  </si>
  <si>
    <t>Round 18</t>
  </si>
  <si>
    <t>Round 19</t>
  </si>
  <si>
    <t>Round 20</t>
  </si>
  <si>
    <t>Round 21</t>
  </si>
  <si>
    <t>Round 22</t>
  </si>
  <si>
    <t>Round 23</t>
  </si>
  <si>
    <t>Round 24</t>
  </si>
  <si>
    <t>Evolution Depuis R19</t>
  </si>
  <si>
    <t>Evolution from R19</t>
  </si>
  <si>
    <t>Evolution Depuis R20</t>
  </si>
  <si>
    <t>Evolution from R20</t>
  </si>
  <si>
    <t>Evolution Depuis R21</t>
  </si>
  <si>
    <t>Evolution from R21</t>
  </si>
  <si>
    <t>Evolution Depuis R22</t>
  </si>
  <si>
    <t>Evolution from R22</t>
  </si>
  <si>
    <t>Evolution Depuis R23</t>
  </si>
  <si>
    <t>Evolution from R23</t>
  </si>
  <si>
    <t>Variation sur base fixe* du Round précédent</t>
  </si>
  <si>
    <t>Variation on fixed*base of previous Round</t>
  </si>
  <si>
    <t>DÉPARTEMENTS</t>
  </si>
  <si>
    <t>VARIATION PDIs</t>
  </si>
  <si>
    <t>VARIATION RÉFUGIÉS HORS CAMP</t>
  </si>
  <si>
    <t>VARIATION RETOURNÉS</t>
  </si>
  <si>
    <t>DEPARTMENT</t>
  </si>
  <si>
    <t>VARIATION IDPs</t>
  </si>
  <si>
    <t>VARIATION REFUGEES OUT OF CAMP</t>
  </si>
  <si>
    <t>VARIATION RETURNEES</t>
  </si>
  <si>
    <t>Actuel</t>
  </si>
  <si>
    <t>Précédent</t>
  </si>
  <si>
    <t>variation (%)</t>
  </si>
  <si>
    <t>variation (#)</t>
  </si>
  <si>
    <t>Actual</t>
  </si>
  <si>
    <t>Previous</t>
  </si>
  <si>
    <t>Change (%)</t>
  </si>
  <si>
    <t>Change (#)</t>
  </si>
  <si>
    <t>Round 5</t>
  </si>
  <si>
    <t>Round 6</t>
  </si>
  <si>
    <t>Difference (Round 6-Round 5)</t>
  </si>
  <si>
    <t>Round 7</t>
  </si>
  <si>
    <t>Round 8</t>
  </si>
  <si>
    <t>Difference (Round 8-Round 7)</t>
  </si>
  <si>
    <t>Round 9</t>
  </si>
  <si>
    <t>Difference (Round 9-Round 8)</t>
  </si>
  <si>
    <t>Round 10</t>
  </si>
  <si>
    <t>Difference (Round 10-Round 9)</t>
  </si>
  <si>
    <t>Round 11</t>
  </si>
  <si>
    <t>Difference (Round 11-Round 10)</t>
  </si>
  <si>
    <t>Round 12</t>
  </si>
  <si>
    <t>Difference (Round 12-Round 11)</t>
  </si>
  <si>
    <t>Round 13</t>
  </si>
  <si>
    <t>Difference (Round 13-Round 12)</t>
  </si>
  <si>
    <t>Round 14</t>
  </si>
  <si>
    <t>Difference (Round 14-Round 13)</t>
  </si>
  <si>
    <t>Round 15</t>
  </si>
  <si>
    <t>Difference (Round 15-Round 14)</t>
  </si>
  <si>
    <t>Round 16</t>
  </si>
  <si>
    <t>Difference (Round 16-Round 15)</t>
  </si>
  <si>
    <t>Round 17</t>
  </si>
  <si>
    <t>Difference (Round 17-Round 16)</t>
  </si>
  <si>
    <t>Difference (Round 18-Round 17)</t>
  </si>
  <si>
    <t>Difference (Round 19-Round 18)</t>
  </si>
  <si>
    <t>Difference (Round 20-Round 19)</t>
  </si>
  <si>
    <t>Difference (Round 21-Round 20)</t>
  </si>
  <si>
    <t>Difference (Round 22-Round 21)</t>
  </si>
  <si>
    <t>Difference (Round 23-Round 22)</t>
  </si>
  <si>
    <t>Difference (Round 24-Round 23)</t>
  </si>
  <si>
    <t>Difference (Rd7-Rd6)</t>
  </si>
  <si>
    <t>Pette</t>
  </si>
  <si>
    <t>Kousseri</t>
  </si>
  <si>
    <t>période</t>
  </si>
  <si>
    <t>Filtrer en fonction des periodes</t>
  </si>
  <si>
    <t>Somme de Individus</t>
  </si>
  <si>
    <t>idp</t>
  </si>
  <si>
    <t>refugee</t>
  </si>
  <si>
    <t>returnee</t>
  </si>
  <si>
    <t>adm1_name</t>
  </si>
  <si>
    <t>adm1_code</t>
  </si>
  <si>
    <t>adm2_name</t>
  </si>
  <si>
    <t>adm2_code</t>
  </si>
  <si>
    <t>adm3_name</t>
  </si>
  <si>
    <t>adm3_code</t>
  </si>
  <si>
    <t>village_code</t>
  </si>
  <si>
    <t>village_name</t>
  </si>
  <si>
    <t>New_village for this Round</t>
  </si>
  <si>
    <t>Statut déplacé</t>
  </si>
  <si>
    <t>raison</t>
  </si>
  <si>
    <t>autre_raison</t>
  </si>
  <si>
    <t>provenance</t>
  </si>
  <si>
    <t>provenance_adm0</t>
  </si>
  <si>
    <t>provenance_adm0_nom</t>
  </si>
  <si>
    <t>provenance_adm1</t>
  </si>
  <si>
    <t>provenance_adm1_nom</t>
  </si>
  <si>
    <t>provenance_adm2</t>
  </si>
  <si>
    <t>provenance_adm2_nom</t>
  </si>
  <si>
    <t>provenance_adm3</t>
  </si>
  <si>
    <t>provenance_adm3_nom</t>
  </si>
  <si>
    <t>Extrême-Nord</t>
  </si>
  <si>
    <t>CMR004</t>
  </si>
  <si>
    <t>CMR004001</t>
  </si>
  <si>
    <t>CMR004001003</t>
  </si>
  <si>
    <t>PET-0004</t>
  </si>
  <si>
    <t>DJAOUDE</t>
  </si>
  <si>
    <t>CMR004005</t>
  </si>
  <si>
    <t>PET-0003</t>
  </si>
  <si>
    <t>DJAFGUE</t>
  </si>
  <si>
    <t>CMR004003</t>
  </si>
  <si>
    <t>CMR004003002</t>
  </si>
  <si>
    <t>MAG-0003</t>
  </si>
  <si>
    <t>GUIRVIDIG</t>
  </si>
  <si>
    <t>CMR004005002</t>
  </si>
  <si>
    <t>MOR-0034</t>
  </si>
  <si>
    <t>BONDERI</t>
  </si>
  <si>
    <t>CMR004002</t>
  </si>
  <si>
    <t>XXXX</t>
  </si>
  <si>
    <t>KONGHO 2</t>
  </si>
  <si>
    <t>PET-0015</t>
  </si>
  <si>
    <t>SITE KONGHO 2</t>
  </si>
  <si>
    <t>TOUSKI</t>
  </si>
  <si>
    <t>CMR004001002</t>
  </si>
  <si>
    <t>CMR004002005</t>
  </si>
  <si>
    <t>ZIN-0020</t>
  </si>
  <si>
    <t>SIFNA</t>
  </si>
  <si>
    <t>ZIN-0017</t>
  </si>
  <si>
    <t>DAVAGANG</t>
  </si>
  <si>
    <t>CMR004004</t>
  </si>
  <si>
    <t>CMR004004006</t>
  </si>
  <si>
    <t>KAE-0006</t>
  </si>
  <si>
    <t>DJIDOMA</t>
  </si>
  <si>
    <t>KAE-0003</t>
  </si>
  <si>
    <t>KAELE</t>
  </si>
  <si>
    <t>CMR004006</t>
  </si>
  <si>
    <t>CMR004006006</t>
  </si>
  <si>
    <t>SOU-0004</t>
  </si>
  <si>
    <t>MADOKONAI 1</t>
  </si>
  <si>
    <t>CMR004001008</t>
  </si>
  <si>
    <t>GAZ-0007</t>
  </si>
  <si>
    <t>GALLA KATOUAL</t>
  </si>
  <si>
    <t>CMR004001009</t>
  </si>
  <si>
    <t>MA1-0004</t>
  </si>
  <si>
    <t>ZOURMBAIWO 2</t>
  </si>
  <si>
    <t>PET-0010</t>
  </si>
  <si>
    <t>HODEMA</t>
  </si>
  <si>
    <t>PET-0012</t>
  </si>
  <si>
    <t>KARAL TANNE</t>
  </si>
  <si>
    <t>MA1-0005</t>
  </si>
  <si>
    <t>DIGUIRWO 1</t>
  </si>
  <si>
    <t>PET-0013</t>
  </si>
  <si>
    <t>KLISSAWA</t>
  </si>
  <si>
    <t>PET-0025</t>
  </si>
  <si>
    <t>SALAME ALIOUM</t>
  </si>
  <si>
    <t>CMR004001001</t>
  </si>
  <si>
    <t>MA3-0003</t>
  </si>
  <si>
    <t>LOUGEO</t>
  </si>
  <si>
    <t>CMR004005003</t>
  </si>
  <si>
    <t>SITE DE MADOUVAYA</t>
  </si>
  <si>
    <t>MA1-0002</t>
  </si>
  <si>
    <t>DOMAYO MBONTA</t>
  </si>
  <si>
    <t>MA1-0001</t>
  </si>
  <si>
    <t>DOMAYO HARDÉ WALDÉ</t>
  </si>
  <si>
    <t>MISSINGLEO</t>
  </si>
  <si>
    <t>MAYELIBE</t>
  </si>
  <si>
    <t>KAE-0007</t>
  </si>
  <si>
    <t>LARA</t>
  </si>
  <si>
    <t>GAZ-0005</t>
  </si>
  <si>
    <t>KATOUAL</t>
  </si>
  <si>
    <t>GAZ-0002</t>
  </si>
  <si>
    <t>CARREFOUR CLIPS</t>
  </si>
  <si>
    <t>GAZ-0004</t>
  </si>
  <si>
    <t>GOUDOURWO</t>
  </si>
  <si>
    <t>ZIN-0015</t>
  </si>
  <si>
    <t>ALVAKAI 1</t>
  </si>
  <si>
    <t>MA3-0006</t>
  </si>
  <si>
    <t>KONGOLA TCHASDEO</t>
  </si>
  <si>
    <t>MOR-0025</t>
  </si>
  <si>
    <t>WALADE 3</t>
  </si>
  <si>
    <t>PET-0022</t>
  </si>
  <si>
    <t>NDJAMENA</t>
  </si>
  <si>
    <t>PET-0030</t>
  </si>
  <si>
    <t>ZAOUZAOU</t>
  </si>
  <si>
    <t>PET-0005</t>
  </si>
  <si>
    <t>DJOUTA-BEMBAL</t>
  </si>
  <si>
    <t>PET-0006</t>
  </si>
  <si>
    <t>DOUTAROU</t>
  </si>
  <si>
    <t>KAE-0005</t>
  </si>
  <si>
    <t>ZAKLANG</t>
  </si>
  <si>
    <t>KAE-0004</t>
  </si>
  <si>
    <t>ZAPILI</t>
  </si>
  <si>
    <t>KAE-0017</t>
  </si>
  <si>
    <t>KEO-KEO</t>
  </si>
  <si>
    <t>MA3-0002</t>
  </si>
  <si>
    <t>DOURSOUNGO</t>
  </si>
  <si>
    <t>MA3-0001</t>
  </si>
  <si>
    <t>DOUGOI</t>
  </si>
  <si>
    <t>MA2-0001</t>
  </si>
  <si>
    <t>DOUALARE 1</t>
  </si>
  <si>
    <t>MA2-0002</t>
  </si>
  <si>
    <t>DOUALARE 2</t>
  </si>
  <si>
    <t>CMR004002009</t>
  </si>
  <si>
    <t>MAK-0176</t>
  </si>
  <si>
    <t>NBOUNG</t>
  </si>
  <si>
    <t>GAZ-0003</t>
  </si>
  <si>
    <t>ILDINGOYANG</t>
  </si>
  <si>
    <t>MA2-0006</t>
  </si>
  <si>
    <t>WOURNDÉ 4</t>
  </si>
  <si>
    <t>PET-0008</t>
  </si>
  <si>
    <t>FADARE</t>
  </si>
  <si>
    <t>PET-0001</t>
  </si>
  <si>
    <t>ALAGARNO</t>
  </si>
  <si>
    <t>MOR-0045</t>
  </si>
  <si>
    <t>TCHAKARMARI</t>
  </si>
  <si>
    <t>CMR004004001</t>
  </si>
  <si>
    <t>GUI-0001</t>
  </si>
  <si>
    <t>DJANINI</t>
  </si>
  <si>
    <t>PET-0029</t>
  </si>
  <si>
    <t>TERRO</t>
  </si>
  <si>
    <t>PET-0027</t>
  </si>
  <si>
    <t>TOUTKA</t>
  </si>
  <si>
    <t>PET-0028</t>
  </si>
  <si>
    <t>BANDALARE</t>
  </si>
  <si>
    <t>CMR004004002</t>
  </si>
  <si>
    <t>MOL-0004</t>
  </si>
  <si>
    <t>SITE DE KORRE KAYA</t>
  </si>
  <si>
    <t>CMR004006003</t>
  </si>
  <si>
    <t>HIN-0004</t>
  </si>
  <si>
    <t>HINA CENTRE</t>
  </si>
  <si>
    <t>HIN-0005</t>
  </si>
  <si>
    <t>MADINA</t>
  </si>
  <si>
    <t>KAE-0009</t>
  </si>
  <si>
    <t>GOUDJOUING</t>
  </si>
  <si>
    <t>TAGAWA 1 (OURO-HOURSO)</t>
  </si>
  <si>
    <t>MOR-0055</t>
  </si>
  <si>
    <t>TAGAWA</t>
  </si>
  <si>
    <t>TAGAWA 2 (DALIL)</t>
  </si>
  <si>
    <t>TAGAWA 3 (MAHAMAT)</t>
  </si>
  <si>
    <t>SOU-0009</t>
  </si>
  <si>
    <t>DOUMGAR</t>
  </si>
  <si>
    <t>CMR004002004</t>
  </si>
  <si>
    <t>ZIMADO 1-4</t>
  </si>
  <si>
    <t>LBI-0007</t>
  </si>
  <si>
    <t>ZIMADO</t>
  </si>
  <si>
    <t>ZIMADO KOTOKO</t>
  </si>
  <si>
    <t>PET-0016</t>
  </si>
  <si>
    <t>KOURGNOUGNOU</t>
  </si>
  <si>
    <t>KAE-0012</t>
  </si>
  <si>
    <t>SOKOYE</t>
  </si>
  <si>
    <t>CMR004004005</t>
  </si>
  <si>
    <t>MOT-0004</t>
  </si>
  <si>
    <t>MOUSOURTOUK</t>
  </si>
  <si>
    <t>MOT-0003</t>
  </si>
  <si>
    <t>MOUTOUROUA ROOM</t>
  </si>
  <si>
    <t>PET-0021</t>
  </si>
  <si>
    <t>MOURGOUT</t>
  </si>
  <si>
    <t>MA2-0007</t>
  </si>
  <si>
    <t>DOUALARE FASAO</t>
  </si>
  <si>
    <t>MA3-0005</t>
  </si>
  <si>
    <t>KONGOLA DJIDDEO</t>
  </si>
  <si>
    <t>PET-0011</t>
  </si>
  <si>
    <t>KARAL GUIE</t>
  </si>
  <si>
    <t>PET-0020</t>
  </si>
  <si>
    <t>LOUBA LOUBA</t>
  </si>
  <si>
    <t>CMR004001005</t>
  </si>
  <si>
    <t>KOURDAYA</t>
  </si>
  <si>
    <t>MA2-0005</t>
  </si>
  <si>
    <t>GADAMAHOL 4</t>
  </si>
  <si>
    <t>MA2-0003</t>
  </si>
  <si>
    <t>CEKANDE</t>
  </si>
  <si>
    <t>MA3-0004</t>
  </si>
  <si>
    <t>SARRARE</t>
  </si>
  <si>
    <t>GAO ALI</t>
  </si>
  <si>
    <t>CMR004002001</t>
  </si>
  <si>
    <t>WAZ-0010</t>
  </si>
  <si>
    <t>TAGAWA 2</t>
  </si>
  <si>
    <t>MOT-0002</t>
  </si>
  <si>
    <t>MOUDA</t>
  </si>
  <si>
    <t>MOT-0001</t>
  </si>
  <si>
    <t>BADJAVA TWONGO</t>
  </si>
  <si>
    <t>CMR004001007</t>
  </si>
  <si>
    <t>MER-0003</t>
  </si>
  <si>
    <t>DOGBA GARRE</t>
  </si>
  <si>
    <t>MER-0002</t>
  </si>
  <si>
    <t>DOGBA ALHADJI</t>
  </si>
  <si>
    <t>OURO-DOLE</t>
  </si>
  <si>
    <t>WOURO DOLE</t>
  </si>
  <si>
    <t>PET-0019</t>
  </si>
  <si>
    <t>KOURWAMAYEL</t>
  </si>
  <si>
    <t>PET-0024</t>
  </si>
  <si>
    <t>PETTE CENTRE</t>
  </si>
  <si>
    <t>KAE-0013</t>
  </si>
  <si>
    <t>GUETALÉ</t>
  </si>
  <si>
    <t>KAE-0008</t>
  </si>
  <si>
    <t>DOUMROU</t>
  </si>
  <si>
    <t>GAZ-0008</t>
  </si>
  <si>
    <t>YOLA MALIKI</t>
  </si>
  <si>
    <t>PET-0014</t>
  </si>
  <si>
    <t>SITE KONGHO 1</t>
  </si>
  <si>
    <t>KONGHO 1</t>
  </si>
  <si>
    <t>CMR004006002</t>
  </si>
  <si>
    <t>MOK-0016</t>
  </si>
  <si>
    <t>MOKONG</t>
  </si>
  <si>
    <t>LOPÉRÉ</t>
  </si>
  <si>
    <t>MOK-0036</t>
  </si>
  <si>
    <t>BOULA</t>
  </si>
  <si>
    <t>MOL-0001</t>
  </si>
  <si>
    <t>MOULVOUDAYE CENTRE</t>
  </si>
  <si>
    <t>HIN-0007</t>
  </si>
  <si>
    <t>GAMDOUGOUM</t>
  </si>
  <si>
    <t>Autre région</t>
  </si>
  <si>
    <t>KAE-0010</t>
  </si>
  <si>
    <t>MADA</t>
  </si>
  <si>
    <t>MOL-0005</t>
  </si>
  <si>
    <t>TOWDÉ 1</t>
  </si>
  <si>
    <t>CMR004002003</t>
  </si>
  <si>
    <t>BLA-0019</t>
  </si>
  <si>
    <t>BLABINE</t>
  </si>
  <si>
    <t>BLA-0003</t>
  </si>
  <si>
    <t>BLANGOUA BACHE</t>
  </si>
  <si>
    <t>MOR-0024</t>
  </si>
  <si>
    <t>WALADE 2</t>
  </si>
  <si>
    <t>TOK-0001</t>
  </si>
  <si>
    <t>LALAWAI</t>
  </si>
  <si>
    <t>MOR-0006</t>
  </si>
  <si>
    <t>FIKE 1</t>
  </si>
  <si>
    <t>MOR-0062</t>
  </si>
  <si>
    <t>MEME SITE BIA</t>
  </si>
  <si>
    <t>MAG-0002</t>
  </si>
  <si>
    <t>GAGRAI</t>
  </si>
  <si>
    <t>MOR-0061</t>
  </si>
  <si>
    <t>MEME SITE IGAWA 1</t>
  </si>
  <si>
    <t>TOK-0011</t>
  </si>
  <si>
    <t>PALBARA</t>
  </si>
  <si>
    <t>CMR004002010</t>
  </si>
  <si>
    <t>HIL-0003</t>
  </si>
  <si>
    <t>ABASSOUNI 2</t>
  </si>
  <si>
    <t>HIL-0004</t>
  </si>
  <si>
    <t>ABASSOUNI 3</t>
  </si>
  <si>
    <t>CMR004003001</t>
  </si>
  <si>
    <t>KAI-0010</t>
  </si>
  <si>
    <t>LOUGOY MASSOUANG</t>
  </si>
  <si>
    <t>PET-0018</t>
  </si>
  <si>
    <t>KOURWAMA NDJIDDA</t>
  </si>
  <si>
    <t>CMR004003006</t>
  </si>
  <si>
    <t>GUM-0001</t>
  </si>
  <si>
    <t>BANGALA</t>
  </si>
  <si>
    <t>MOR-0084</t>
  </si>
  <si>
    <t>MOKOCHE</t>
  </si>
  <si>
    <t>HIL-0010</t>
  </si>
  <si>
    <t>HILE ALIFA 1</t>
  </si>
  <si>
    <t>HIL-0019</t>
  </si>
  <si>
    <t>DOUGOUMSILIO 1</t>
  </si>
  <si>
    <t>HIL-0020</t>
  </si>
  <si>
    <t>DOUGOUMSILIO 2</t>
  </si>
  <si>
    <t>FADJA</t>
  </si>
  <si>
    <t>GONONI</t>
  </si>
  <si>
    <t>MAK-0154</t>
  </si>
  <si>
    <t>DIAM 1</t>
  </si>
  <si>
    <t>MOK-0021</t>
  </si>
  <si>
    <t>SABONGARI</t>
  </si>
  <si>
    <t>BLA-0025</t>
  </si>
  <si>
    <t>MASSAKI</t>
  </si>
  <si>
    <t>MAK-0155</t>
  </si>
  <si>
    <t>DIAM 2</t>
  </si>
  <si>
    <t>MOR-0009</t>
  </si>
  <si>
    <t>IGAGOUA 2</t>
  </si>
  <si>
    <t>CMR004006007</t>
  </si>
  <si>
    <t>DJEKI</t>
  </si>
  <si>
    <t>MAK-0161</t>
  </si>
  <si>
    <t>FARFARA 1</t>
  </si>
  <si>
    <t>MOR-0007</t>
  </si>
  <si>
    <t>FIKE 2</t>
  </si>
  <si>
    <t>BLA-0006</t>
  </si>
  <si>
    <t>GORE KOUBOU</t>
  </si>
  <si>
    <t>BLA-0010</t>
  </si>
  <si>
    <t>KOUTOULA</t>
  </si>
  <si>
    <t>MAK-0216</t>
  </si>
  <si>
    <t>NGAME</t>
  </si>
  <si>
    <t>MAK-0182</t>
  </si>
  <si>
    <t>SERO 1</t>
  </si>
  <si>
    <t>LBI-0020</t>
  </si>
  <si>
    <t>MOULADOCK 1</t>
  </si>
  <si>
    <t>LBI-0022</t>
  </si>
  <si>
    <t>MOULADOCK SITE</t>
  </si>
  <si>
    <t>BLA-0024</t>
  </si>
  <si>
    <t>MADAIK</t>
  </si>
  <si>
    <t>MAK-0013</t>
  </si>
  <si>
    <t>BAGARA</t>
  </si>
  <si>
    <t>MA1-0003</t>
  </si>
  <si>
    <t>DOMAYO PATCHIGUINARI</t>
  </si>
  <si>
    <t>ZIN-0014</t>
  </si>
  <si>
    <t>GALAMI</t>
  </si>
  <si>
    <t>KASHAL</t>
  </si>
  <si>
    <t>LBI-0040</t>
  </si>
  <si>
    <t>MAHANA</t>
  </si>
  <si>
    <t>NGOUAMA</t>
  </si>
  <si>
    <t>MBANAMAMTE</t>
  </si>
  <si>
    <t>ZIN-0013</t>
  </si>
  <si>
    <t>MANDJOUR II AFTI</t>
  </si>
  <si>
    <t>ZIN-0004</t>
  </si>
  <si>
    <t>GALA</t>
  </si>
  <si>
    <t>ZIN-0021</t>
  </si>
  <si>
    <t>TCHOUKFOU 1</t>
  </si>
  <si>
    <t>MOL-0006</t>
  </si>
  <si>
    <t>TOWDÉ 2</t>
  </si>
  <si>
    <t>MOK-0043</t>
  </si>
  <si>
    <t>MAYO SANGUE</t>
  </si>
  <si>
    <t>KRENACK</t>
  </si>
  <si>
    <t>MAK-0039</t>
  </si>
  <si>
    <t>FARCH 1</t>
  </si>
  <si>
    <t>CMR004002008</t>
  </si>
  <si>
    <t>FOT-0029</t>
  </si>
  <si>
    <t>CHOLOBA</t>
  </si>
  <si>
    <t>MAK-0035</t>
  </si>
  <si>
    <t>DOROROYA 1</t>
  </si>
  <si>
    <t>MAK-0190</t>
  </si>
  <si>
    <t>ABOKI</t>
  </si>
  <si>
    <t>BOU-0004</t>
  </si>
  <si>
    <t>BOURHA 2</t>
  </si>
  <si>
    <t>CMR004006004</t>
  </si>
  <si>
    <t>KOZ-0012</t>
  </si>
  <si>
    <t>GOUSDA WAYAM</t>
  </si>
  <si>
    <t>MAK-0008</t>
  </si>
  <si>
    <t>AMSABANG</t>
  </si>
  <si>
    <t>BHARAM</t>
  </si>
  <si>
    <t>MAK-0025</t>
  </si>
  <si>
    <t>DAMBA 1</t>
  </si>
  <si>
    <t>MAK-0009</t>
  </si>
  <si>
    <t>AMSABANG 2</t>
  </si>
  <si>
    <t>CMR004006005</t>
  </si>
  <si>
    <t>MOZ-0007</t>
  </si>
  <si>
    <t>MEDEGOUER</t>
  </si>
  <si>
    <t>CMR004002006</t>
  </si>
  <si>
    <t>KOU-0019</t>
  </si>
  <si>
    <t>LACKA</t>
  </si>
  <si>
    <t>MAK-0150</t>
  </si>
  <si>
    <t>BEDA SITE</t>
  </si>
  <si>
    <t>MAK-0179</t>
  </si>
  <si>
    <t>WERENGOULMO</t>
  </si>
  <si>
    <t>KOU-0022</t>
  </si>
  <si>
    <t>MADANA</t>
  </si>
  <si>
    <t>MOZ-0014</t>
  </si>
  <si>
    <t>MANDOUSSA</t>
  </si>
  <si>
    <t>MAK-0196</t>
  </si>
  <si>
    <t>AMSOUFA</t>
  </si>
  <si>
    <t>KOU-0023</t>
  </si>
  <si>
    <t>MADANA GABAG</t>
  </si>
  <si>
    <t>CMR004002007</t>
  </si>
  <si>
    <t>DAR-0018</t>
  </si>
  <si>
    <t>NGUEWA</t>
  </si>
  <si>
    <t>DAR-0024</t>
  </si>
  <si>
    <t>NGUIRKIMA</t>
  </si>
  <si>
    <t>GUM-0005</t>
  </si>
  <si>
    <t>VELE</t>
  </si>
  <si>
    <t>GAWI</t>
  </si>
  <si>
    <t>MAK-0217</t>
  </si>
  <si>
    <t>NGOUSSIRE</t>
  </si>
  <si>
    <t>MAK-0222</t>
  </si>
  <si>
    <t>AMSAMKA</t>
  </si>
  <si>
    <t>MAK-0212</t>
  </si>
  <si>
    <t>MINA</t>
  </si>
  <si>
    <t>MAG-0014</t>
  </si>
  <si>
    <t>PINFOUNG</t>
  </si>
  <si>
    <t>KOZ-0042</t>
  </si>
  <si>
    <t>MOUTSCAR</t>
  </si>
  <si>
    <t>KOZ-0022</t>
  </si>
  <si>
    <t>MAZI</t>
  </si>
  <si>
    <t>BANQUETTE</t>
  </si>
  <si>
    <t>KOZ-0018</t>
  </si>
  <si>
    <t>KILDA</t>
  </si>
  <si>
    <t>TILDE SITE</t>
  </si>
  <si>
    <t>MAK-0102</t>
  </si>
  <si>
    <t>WOULKIOKALE</t>
  </si>
  <si>
    <t>BLA-0022</t>
  </si>
  <si>
    <t>DOR IMAR</t>
  </si>
  <si>
    <t>BLA-0001</t>
  </si>
  <si>
    <t>ANDOURMAN</t>
  </si>
  <si>
    <t>MAK-0080</t>
  </si>
  <si>
    <t>NDAGALGUI</t>
  </si>
  <si>
    <t>MOK-0046</t>
  </si>
  <si>
    <t>ZAMAI SITE 2</t>
  </si>
  <si>
    <t>PET-0023</t>
  </si>
  <si>
    <t>NIWADJI</t>
  </si>
  <si>
    <t>MAK-0064</t>
  </si>
  <si>
    <t>MAK-0158</t>
  </si>
  <si>
    <t>DOUGMO</t>
  </si>
  <si>
    <t>BLA-0023</t>
  </si>
  <si>
    <t>KOUK 2</t>
  </si>
  <si>
    <t>MAK-0059</t>
  </si>
  <si>
    <t>MAK-0126</t>
  </si>
  <si>
    <t>GALE-GALE</t>
  </si>
  <si>
    <t>BIDEINE</t>
  </si>
  <si>
    <t>MAK-0134</t>
  </si>
  <si>
    <t>NGORTCHONO 2</t>
  </si>
  <si>
    <t>HIL-0024</t>
  </si>
  <si>
    <t>WADAK</t>
  </si>
  <si>
    <t>MAG-0007</t>
  </si>
  <si>
    <t>GAYA 2 SITE</t>
  </si>
  <si>
    <t>MAK-0060</t>
  </si>
  <si>
    <t>MADINA 1</t>
  </si>
  <si>
    <t>MAK-0061</t>
  </si>
  <si>
    <t>MADINA 2</t>
  </si>
  <si>
    <t>MAK-0073</t>
  </si>
  <si>
    <t>MEDINA 3</t>
  </si>
  <si>
    <t>KOU-0034</t>
  </si>
  <si>
    <t>PAGUI</t>
  </si>
  <si>
    <t>KOU-0039</t>
  </si>
  <si>
    <t>WALI</t>
  </si>
  <si>
    <t>BIDI</t>
  </si>
  <si>
    <t>KOZ-0039</t>
  </si>
  <si>
    <t>GABOUA MARCHE</t>
  </si>
  <si>
    <t>KOZ-0016</t>
  </si>
  <si>
    <t>HIRCHE</t>
  </si>
  <si>
    <t>KOZ-0026</t>
  </si>
  <si>
    <t>PAMBAO</t>
  </si>
  <si>
    <t>KOZ-0028</t>
  </si>
  <si>
    <t>WALADE</t>
  </si>
  <si>
    <t>CMR004005001</t>
  </si>
  <si>
    <t>KOL-0028</t>
  </si>
  <si>
    <t>GANCE</t>
  </si>
  <si>
    <t>MAGADI 1</t>
  </si>
  <si>
    <t>KOU-0004</t>
  </si>
  <si>
    <t>ARKIS</t>
  </si>
  <si>
    <t>KOU-0025</t>
  </si>
  <si>
    <t>MALACK</t>
  </si>
  <si>
    <t>MOK-0006</t>
  </si>
  <si>
    <t>GOLE KADJOLE</t>
  </si>
  <si>
    <t>KOZ-0029</t>
  </si>
  <si>
    <t>WOULAD</t>
  </si>
  <si>
    <t>MAG-0006</t>
  </si>
  <si>
    <t>TEKELE</t>
  </si>
  <si>
    <t>FOT-0031</t>
  </si>
  <si>
    <t>BELGUEDE</t>
  </si>
  <si>
    <t>WAZ-0013</t>
  </si>
  <si>
    <t>WAZA</t>
  </si>
  <si>
    <t>FOT-0028</t>
  </si>
  <si>
    <t>WAROU</t>
  </si>
  <si>
    <t>ROUNDE</t>
  </si>
  <si>
    <t>WAZ-0014</t>
  </si>
  <si>
    <t>ZIGAGUE</t>
  </si>
  <si>
    <t>MAK-0034</t>
  </si>
  <si>
    <t>DOLE-NAGA</t>
  </si>
  <si>
    <t>MOR-0068</t>
  </si>
  <si>
    <t>MANGAVE GOEGOE</t>
  </si>
  <si>
    <t>MOR-0081</t>
  </si>
  <si>
    <t>MANGAVE YANOUSSE</t>
  </si>
  <si>
    <t>WAZ-0033</t>
  </si>
  <si>
    <t>MASSOUGOURMA SITE</t>
  </si>
  <si>
    <t>MOR-0063</t>
  </si>
  <si>
    <t>MEME SITE ALDJE 2</t>
  </si>
  <si>
    <t>MOR-0065</t>
  </si>
  <si>
    <t>KANGALERI</t>
  </si>
  <si>
    <t>WAZ-0019</t>
  </si>
  <si>
    <t>MOR-0021</t>
  </si>
  <si>
    <t>SANDALE 1</t>
  </si>
  <si>
    <t>MAWA</t>
  </si>
  <si>
    <t>MOZ-0010</t>
  </si>
  <si>
    <t>MOZOGO GUIDBALA</t>
  </si>
  <si>
    <t>MOZ-0015</t>
  </si>
  <si>
    <t>OUZAL</t>
  </si>
  <si>
    <t>MOZ-0034</t>
  </si>
  <si>
    <t>WOUDAL</t>
  </si>
  <si>
    <t>DAR-0017</t>
  </si>
  <si>
    <t>NAGA A</t>
  </si>
  <si>
    <t>MOR-0089</t>
  </si>
  <si>
    <t>OUMAKA</t>
  </si>
  <si>
    <t>DAR-0019</t>
  </si>
  <si>
    <t>RAMIN DORINA</t>
  </si>
  <si>
    <t>TOK-0003</t>
  </si>
  <si>
    <t>MADOUVAYA</t>
  </si>
  <si>
    <t>KOZ-0017</t>
  </si>
  <si>
    <t>KECHKEME</t>
  </si>
  <si>
    <t>MOR-0069</t>
  </si>
  <si>
    <t>YALA YALTA</t>
  </si>
  <si>
    <t>LOGONE BIRNI (SAGOULA)</t>
  </si>
  <si>
    <t>MAGO</t>
  </si>
  <si>
    <t>SITE DE BEDAT</t>
  </si>
  <si>
    <t>MAK-0127</t>
  </si>
  <si>
    <t>HELISNA</t>
  </si>
  <si>
    <t>FOT-0004</t>
  </si>
  <si>
    <t>BLANGAFE</t>
  </si>
  <si>
    <t>MAG-0009</t>
  </si>
  <si>
    <t>ARGAZAMA</t>
  </si>
  <si>
    <t>MAG-0005</t>
  </si>
  <si>
    <t>POUSS</t>
  </si>
  <si>
    <t>KOU-0011</t>
  </si>
  <si>
    <t>HARAZAYA</t>
  </si>
  <si>
    <t>NASSARAO</t>
  </si>
  <si>
    <t>MAK-0186</t>
  </si>
  <si>
    <t>GLAO AFADE</t>
  </si>
  <si>
    <t>MAK-0187</t>
  </si>
  <si>
    <t>GLAO BARDAI</t>
  </si>
  <si>
    <t>MAK-0076</t>
  </si>
  <si>
    <t>MISKA-AFADE</t>
  </si>
  <si>
    <t>MAK-0167</t>
  </si>
  <si>
    <t>GOURLE 2</t>
  </si>
  <si>
    <t>WAZ-0004</t>
  </si>
  <si>
    <t>KABE 2</t>
  </si>
  <si>
    <t>MOK-0026</t>
  </si>
  <si>
    <t>WOULA</t>
  </si>
  <si>
    <t>MAVOUMAY</t>
  </si>
  <si>
    <t>MOK-0013</t>
  </si>
  <si>
    <t>MAXI MABASS</t>
  </si>
  <si>
    <t>MOK-0007</t>
  </si>
  <si>
    <t>KOSSEHONE</t>
  </si>
  <si>
    <t>ARDEBE 1</t>
  </si>
  <si>
    <t>GUM-0006</t>
  </si>
  <si>
    <t>VOUNALOUM</t>
  </si>
  <si>
    <t>MOR-0073</t>
  </si>
  <si>
    <t>AISSA-HARDE</t>
  </si>
  <si>
    <t>MOR-0083</t>
  </si>
  <si>
    <t>MEHE SANDA</t>
  </si>
  <si>
    <t>MAK-0068</t>
  </si>
  <si>
    <t>MANAWADJI</t>
  </si>
  <si>
    <t>MAK-0053</t>
  </si>
  <si>
    <t>KASSIBE</t>
  </si>
  <si>
    <t>TOK-0004</t>
  </si>
  <si>
    <t>MAKELINGAI</t>
  </si>
  <si>
    <t>TOK-0018</t>
  </si>
  <si>
    <t>SITE GODJI-GODJI</t>
  </si>
  <si>
    <t>TOK-0010</t>
  </si>
  <si>
    <t>TINDERME</t>
  </si>
  <si>
    <t>KAI-0011</t>
  </si>
  <si>
    <t>MAGAYEL</t>
  </si>
  <si>
    <t>KAI-0012</t>
  </si>
  <si>
    <t>SILLA</t>
  </si>
  <si>
    <t>KAI-0002</t>
  </si>
  <si>
    <t>BARKAYA</t>
  </si>
  <si>
    <t>KAI-0017</t>
  </si>
  <si>
    <t>SITE DE MAGAYEL</t>
  </si>
  <si>
    <t>MAK-0201</t>
  </si>
  <si>
    <t>BOMBOYO</t>
  </si>
  <si>
    <t>MAK-0206</t>
  </si>
  <si>
    <t>GOLGOLO</t>
  </si>
  <si>
    <t>WAZ-0006</t>
  </si>
  <si>
    <t>MADA 1</t>
  </si>
  <si>
    <t>MOR-0011</t>
  </si>
  <si>
    <t>KOURGUI</t>
  </si>
  <si>
    <t>SITE GALBI</t>
  </si>
  <si>
    <t>MOR-0052</t>
  </si>
  <si>
    <t>KALDJE</t>
  </si>
  <si>
    <t>MOR-0056</t>
  </si>
  <si>
    <t>MADJINA</t>
  </si>
  <si>
    <t>MAK-0152</t>
  </si>
  <si>
    <t>DAGLE</t>
  </si>
  <si>
    <t>LBI-0026</t>
  </si>
  <si>
    <t>TRAYA</t>
  </si>
  <si>
    <t>LBI-0024</t>
  </si>
  <si>
    <t>SAHABA 3</t>
  </si>
  <si>
    <t>BLA-0021</t>
  </si>
  <si>
    <t>KOKI</t>
  </si>
  <si>
    <t>BLA-0020</t>
  </si>
  <si>
    <t>TAHA</t>
  </si>
  <si>
    <t>HIL-0001</t>
  </si>
  <si>
    <t>BLA-0008</t>
  </si>
  <si>
    <t>KOBRO</t>
  </si>
  <si>
    <t>FADJE</t>
  </si>
  <si>
    <t>MOZ-0012</t>
  </si>
  <si>
    <t>MOZOGO TCHEKODE</t>
  </si>
  <si>
    <t>LBI-0021</t>
  </si>
  <si>
    <t>MOULADOCK 2</t>
  </si>
  <si>
    <t>LBI-0025</t>
  </si>
  <si>
    <t>SKLIO</t>
  </si>
  <si>
    <t>MOL-0011</t>
  </si>
  <si>
    <t>DANGALA</t>
  </si>
  <si>
    <t>MAK-0172</t>
  </si>
  <si>
    <t>MONGNOKO</t>
  </si>
  <si>
    <t>MAK-0166</t>
  </si>
  <si>
    <t>GOULOUMBO</t>
  </si>
  <si>
    <t>ZIN-0002</t>
  </si>
  <si>
    <t>ARAINABA</t>
  </si>
  <si>
    <t>ZIN-0012</t>
  </si>
  <si>
    <t>SARA-SARA</t>
  </si>
  <si>
    <t>KOU-0015</t>
  </si>
  <si>
    <t>KOULKADA</t>
  </si>
  <si>
    <t>KOU-0038</t>
  </si>
  <si>
    <t>SOKOTO</t>
  </si>
  <si>
    <t>ZIN-0010</t>
  </si>
  <si>
    <t>PATMANGAI</t>
  </si>
  <si>
    <t>CMR004002002</t>
  </si>
  <si>
    <t>GOU-0046</t>
  </si>
  <si>
    <t>SITE WASHINGTON</t>
  </si>
  <si>
    <t>KOU-0042</t>
  </si>
  <si>
    <t>ARDEBE NGADJAM</t>
  </si>
  <si>
    <t>FOT-0037</t>
  </si>
  <si>
    <t>WORO KEYME</t>
  </si>
  <si>
    <t>MOZ-0039</t>
  </si>
  <si>
    <t>MOSKOTA SITE 1 TCHEBE-TCHEBE</t>
  </si>
  <si>
    <t>MOZ-0009</t>
  </si>
  <si>
    <t>DEKERE CENTRE</t>
  </si>
  <si>
    <t>DAMBE</t>
  </si>
  <si>
    <t>WAZ-0030</t>
  </si>
  <si>
    <t>TOUNGA</t>
  </si>
  <si>
    <t>LBI-0043</t>
  </si>
  <si>
    <t>NGOYKOKA</t>
  </si>
  <si>
    <t>LBI-0045</t>
  </si>
  <si>
    <t>DOKI</t>
  </si>
  <si>
    <t>LBI-0011</t>
  </si>
  <si>
    <t>GACHALMEDIK</t>
  </si>
  <si>
    <t>LBI-0002</t>
  </si>
  <si>
    <t>KABO</t>
  </si>
  <si>
    <t>LBI-0049</t>
  </si>
  <si>
    <t>CMR004003011</t>
  </si>
  <si>
    <t>GOB-0002</t>
  </si>
  <si>
    <t>DABANA</t>
  </si>
  <si>
    <t>FOT-0039</t>
  </si>
  <si>
    <t>GOLMO ARABE</t>
  </si>
  <si>
    <t>ZIN-0005</t>
  </si>
  <si>
    <t>MALAZINA</t>
  </si>
  <si>
    <t>ZIN-0008</t>
  </si>
  <si>
    <t>MASKALAI</t>
  </si>
  <si>
    <t>MOR-0060</t>
  </si>
  <si>
    <t>MEME SITE IGAWA 2</t>
  </si>
  <si>
    <t>MAK-0016</t>
  </si>
  <si>
    <t>BIAMO</t>
  </si>
  <si>
    <t>MAK-0148</t>
  </si>
  <si>
    <t>ARDEB 1</t>
  </si>
  <si>
    <t>MAK-0144</t>
  </si>
  <si>
    <t>ALAK 1</t>
  </si>
  <si>
    <t>MAK-0145</t>
  </si>
  <si>
    <t>ALAK 2</t>
  </si>
  <si>
    <t>MAK-0010</t>
  </si>
  <si>
    <t>ANAMBARI</t>
  </si>
  <si>
    <t>GOURA LEIFA</t>
  </si>
  <si>
    <t>MAK-0230</t>
  </si>
  <si>
    <t>GOURA 3</t>
  </si>
  <si>
    <t>WAZ-0020</t>
  </si>
  <si>
    <t>DJINGUI</t>
  </si>
  <si>
    <t>MOR-0059</t>
  </si>
  <si>
    <t>MEME SITE ALDJE 1</t>
  </si>
  <si>
    <t>WAZ-0002</t>
  </si>
  <si>
    <t>GOZOLNANE</t>
  </si>
  <si>
    <t>KOZ-0011</t>
  </si>
  <si>
    <t>GOUSDA MAKANDAI</t>
  </si>
  <si>
    <t>KOZ-0004</t>
  </si>
  <si>
    <t>DJINGLIYA MONTAGNE</t>
  </si>
  <si>
    <t>KOZ-0031</t>
  </si>
  <si>
    <t>MATALAM</t>
  </si>
  <si>
    <t>SITE DE GANAY</t>
  </si>
  <si>
    <t>MOR-0077</t>
  </si>
  <si>
    <t>DOUBLE SITE LINGUIDIWA</t>
  </si>
  <si>
    <t>WAZ-0026</t>
  </si>
  <si>
    <t>MATKOUNA 1</t>
  </si>
  <si>
    <t>MOR-0012</t>
  </si>
  <si>
    <t>MAHOULA</t>
  </si>
  <si>
    <t>NGANAWAI</t>
  </si>
  <si>
    <t>KARA GANA</t>
  </si>
  <si>
    <t>MOR-0005</t>
  </si>
  <si>
    <t>DOULO</t>
  </si>
  <si>
    <t>MOR-0016</t>
  </si>
  <si>
    <t>MEME CENTRE</t>
  </si>
  <si>
    <t>MOR-0044</t>
  </si>
  <si>
    <t>TAYER</t>
  </si>
  <si>
    <t>DAR-0007</t>
  </si>
  <si>
    <t>GORE TCHANDI</t>
  </si>
  <si>
    <t>BLA-0004</t>
  </si>
  <si>
    <t>BLARAM</t>
  </si>
  <si>
    <t>BLA-0014</t>
  </si>
  <si>
    <t>WAYA-WAYA</t>
  </si>
  <si>
    <t>WAZ-0037</t>
  </si>
  <si>
    <t>TOUKOUMAYA</t>
  </si>
  <si>
    <t>BLA-0017</t>
  </si>
  <si>
    <t>SABOURA</t>
  </si>
  <si>
    <t>GUEGUERI</t>
  </si>
  <si>
    <t>HIL-0005</t>
  </si>
  <si>
    <t>BARGARAM</t>
  </si>
  <si>
    <t>HIL-0021</t>
  </si>
  <si>
    <t>MAFOULSO 1</t>
  </si>
  <si>
    <t>TOK-0016</t>
  </si>
  <si>
    <t>MAYO-PLATA</t>
  </si>
  <si>
    <t>TOK-0015</t>
  </si>
  <si>
    <t>BALA</t>
  </si>
  <si>
    <t>TOK-0012</t>
  </si>
  <si>
    <t>DAKADALA GADADOU</t>
  </si>
  <si>
    <t>KAI-0015</t>
  </si>
  <si>
    <t>SITE DE LOUGOYE KAMASSE</t>
  </si>
  <si>
    <t>KAI-0008</t>
  </si>
  <si>
    <t>MBOUKTANG</t>
  </si>
  <si>
    <t>MAK-0157</t>
  </si>
  <si>
    <t>DJAKDJAKKAYA 2</t>
  </si>
  <si>
    <t>MAK-0074</t>
  </si>
  <si>
    <t>MEITO</t>
  </si>
  <si>
    <t>MAK-0095</t>
  </si>
  <si>
    <t>NGREE 1</t>
  </si>
  <si>
    <t>MAK-0096</t>
  </si>
  <si>
    <t>NGREE 2</t>
  </si>
  <si>
    <t>MAK-0177</t>
  </si>
  <si>
    <t>NGOUT</t>
  </si>
  <si>
    <t>MAK-0181</t>
  </si>
  <si>
    <t>HOURAHOURI</t>
  </si>
  <si>
    <t>FOT-0001</t>
  </si>
  <si>
    <t>AMTCHOUKOULI</t>
  </si>
  <si>
    <t>SITE DE ZAMALVA</t>
  </si>
  <si>
    <t>HIL-0023</t>
  </si>
  <si>
    <t>MAFOULSO 3</t>
  </si>
  <si>
    <t>HIL-0011</t>
  </si>
  <si>
    <t>HILE ALIFA 2</t>
  </si>
  <si>
    <t>HIL-0022</t>
  </si>
  <si>
    <t>MAFOULSO 2</t>
  </si>
  <si>
    <t>MOR-0002</t>
  </si>
  <si>
    <t>BALDAMA</t>
  </si>
  <si>
    <t>MOR-0008</t>
  </si>
  <si>
    <t>GODIGONG</t>
  </si>
  <si>
    <t>KOU-0035</t>
  </si>
  <si>
    <t>PAR-PAR</t>
  </si>
  <si>
    <t>YEGOUA</t>
  </si>
  <si>
    <t>KOL-0001</t>
  </si>
  <si>
    <t>AMCHIDE</t>
  </si>
  <si>
    <t>MAK-0195</t>
  </si>
  <si>
    <t>AMSAOURA</t>
  </si>
  <si>
    <t>MAK-0006</t>
  </si>
  <si>
    <t>AMCHILGA</t>
  </si>
  <si>
    <t>MAK-0173</t>
  </si>
  <si>
    <t>NDARKA</t>
  </si>
  <si>
    <t>MAK-0223</t>
  </si>
  <si>
    <t>ABANKOURI</t>
  </si>
  <si>
    <t>MAK-0007</t>
  </si>
  <si>
    <t>AMCHITIRE</t>
  </si>
  <si>
    <t>MAK-0065</t>
  </si>
  <si>
    <t>MALADI</t>
  </si>
  <si>
    <t>MAK-0044</t>
  </si>
  <si>
    <t>GOLALA</t>
  </si>
  <si>
    <t>FOT-0034</t>
  </si>
  <si>
    <t>GLO KOTOKO</t>
  </si>
  <si>
    <t>GUM-0004</t>
  </si>
  <si>
    <t>KARTOUA</t>
  </si>
  <si>
    <t>MAG-0011</t>
  </si>
  <si>
    <t>GRONG</t>
  </si>
  <si>
    <t>MAK-0057</t>
  </si>
  <si>
    <t>KRENAK</t>
  </si>
  <si>
    <t>MOR-0058</t>
  </si>
  <si>
    <t>YEME</t>
  </si>
  <si>
    <t>MOR-0053</t>
  </si>
  <si>
    <t>KESSA GANA</t>
  </si>
  <si>
    <t>LBI-0014</t>
  </si>
  <si>
    <t>MANNA</t>
  </si>
  <si>
    <t>LBI-0042</t>
  </si>
  <si>
    <t>NDOM</t>
  </si>
  <si>
    <t>MAK-0226</t>
  </si>
  <si>
    <t>HEREDIBE MOUSSA</t>
  </si>
  <si>
    <t>MOL-0009</t>
  </si>
  <si>
    <t>MIBA</t>
  </si>
  <si>
    <t>MAK-0018</t>
  </si>
  <si>
    <t>BLABLIN VILLAGE</t>
  </si>
  <si>
    <t>MAK-0101</t>
  </si>
  <si>
    <t>WOSSO</t>
  </si>
  <si>
    <t>HILE WAYA 1</t>
  </si>
  <si>
    <t>MAK-0219</t>
  </si>
  <si>
    <t>TCHABOUTE</t>
  </si>
  <si>
    <t>MAK-0202</t>
  </si>
  <si>
    <t>CHAIBOU</t>
  </si>
  <si>
    <t>MAK-0218</t>
  </si>
  <si>
    <t>SOURDJIE</t>
  </si>
  <si>
    <t>MAK-0199</t>
  </si>
  <si>
    <t>BIANG</t>
  </si>
  <si>
    <t>MAK-0191</t>
  </si>
  <si>
    <t>ABOUDANGALA</t>
  </si>
  <si>
    <t>MAK-0043</t>
  </si>
  <si>
    <t>GLESSALAO</t>
  </si>
  <si>
    <t>DAR-0011</t>
  </si>
  <si>
    <t>KARENA</t>
  </si>
  <si>
    <t>DAR-0002</t>
  </si>
  <si>
    <t>BOUSSAYA</t>
  </si>
  <si>
    <t>MOZ-0027</t>
  </si>
  <si>
    <t>TALLA CHERIF</t>
  </si>
  <si>
    <t>MAK-0033</t>
  </si>
  <si>
    <t>DOLE-AFADE</t>
  </si>
  <si>
    <t>HAÏGAYO</t>
  </si>
  <si>
    <t>SITE DE DAGUÉ</t>
  </si>
  <si>
    <t>MAK-0004</t>
  </si>
  <si>
    <t>AFADE SITE</t>
  </si>
  <si>
    <t>WAZ-0012</t>
  </si>
  <si>
    <t>TAGAWA 4</t>
  </si>
  <si>
    <t>WAZ-0032</t>
  </si>
  <si>
    <t>SITE DE MADA 2</t>
  </si>
  <si>
    <t>MOUNDOUGOUA</t>
  </si>
  <si>
    <t>MOR-0080</t>
  </si>
  <si>
    <t>MANGAVE ABBA FADI</t>
  </si>
  <si>
    <t>KOZ-0024</t>
  </si>
  <si>
    <t>MODOKO</t>
  </si>
  <si>
    <t>KOZ-0036</t>
  </si>
  <si>
    <t>KAZIER</t>
  </si>
  <si>
    <t>KOZ-0040</t>
  </si>
  <si>
    <t>LDAGAM</t>
  </si>
  <si>
    <t>MAK-0003</t>
  </si>
  <si>
    <t>AFADE (village)</t>
  </si>
  <si>
    <t>MAK-0002</t>
  </si>
  <si>
    <t>ABOUYAKOUBA</t>
  </si>
  <si>
    <t>MAK-0077</t>
  </si>
  <si>
    <t>MADEGOUA</t>
  </si>
  <si>
    <t>TOK-0002</t>
  </si>
  <si>
    <t>MADA KOLKACH</t>
  </si>
  <si>
    <t>TOK-0005</t>
  </si>
  <si>
    <t>MBZAGABAI</t>
  </si>
  <si>
    <t>SITE D'ALAGARNO</t>
  </si>
  <si>
    <t>MOR-0042</t>
  </si>
  <si>
    <t>MAGDEME</t>
  </si>
  <si>
    <t>MOR-0048</t>
  </si>
  <si>
    <t>WARAGA</t>
  </si>
  <si>
    <t>DAR-0021</t>
  </si>
  <si>
    <t>DORO LIMANE</t>
  </si>
  <si>
    <t>DAR-0013</t>
  </si>
  <si>
    <t>KOUNDJARA</t>
  </si>
  <si>
    <t>MAK-0020</t>
  </si>
  <si>
    <t>BLOUMTAGUI</t>
  </si>
  <si>
    <t>MAK-0032</t>
  </si>
  <si>
    <t>DJIMTILO</t>
  </si>
  <si>
    <t>MAK-0078</t>
  </si>
  <si>
    <t>NANAMI</t>
  </si>
  <si>
    <t>MAK-0104</t>
  </si>
  <si>
    <t>MESSIO</t>
  </si>
  <si>
    <t>MAK-0224</t>
  </si>
  <si>
    <t>GUEILALA</t>
  </si>
  <si>
    <t>BLA-0018</t>
  </si>
  <si>
    <t>DOUGOUMACHI</t>
  </si>
  <si>
    <t>KOU-0044</t>
  </si>
  <si>
    <t>KOLOFATA SITE DU MARCHE</t>
  </si>
  <si>
    <t>MOR-0071</t>
  </si>
  <si>
    <t>PIVOU 1</t>
  </si>
  <si>
    <t>MOR-0051</t>
  </si>
  <si>
    <t>BOUDOUA</t>
  </si>
  <si>
    <t>BIWANA</t>
  </si>
  <si>
    <t>CHAHAK</t>
  </si>
  <si>
    <t>MAK-0093</t>
  </si>
  <si>
    <t>NGOUMA</t>
  </si>
  <si>
    <t>KAI-0016</t>
  </si>
  <si>
    <t>SITE DE KOLONG</t>
  </si>
  <si>
    <t>KAI-0024</t>
  </si>
  <si>
    <t>BEKA</t>
  </si>
  <si>
    <t>MAK-0098</t>
  </si>
  <si>
    <t>TILDE-ECOLE</t>
  </si>
  <si>
    <t>MAK-0099</t>
  </si>
  <si>
    <t>TILDE-PONT</t>
  </si>
  <si>
    <t>KOU-0003</t>
  </si>
  <si>
    <t>ARDEBE VILLE</t>
  </si>
  <si>
    <t>KOU-0005</t>
  </si>
  <si>
    <t>BABOU</t>
  </si>
  <si>
    <t>TOK-0008</t>
  </si>
  <si>
    <t>TAZANG</t>
  </si>
  <si>
    <t>TOK-0009</t>
  </si>
  <si>
    <t>TOKOMBERE</t>
  </si>
  <si>
    <t>TOK-0007</t>
  </si>
  <si>
    <t>SERAWA</t>
  </si>
  <si>
    <t>TOK-0017</t>
  </si>
  <si>
    <t>KOTARBA</t>
  </si>
  <si>
    <t>SANDAWADJIRI</t>
  </si>
  <si>
    <t>SITE DE MAGDEME GANAI</t>
  </si>
  <si>
    <t>MOR-0076</t>
  </si>
  <si>
    <t>DJAMPALA</t>
  </si>
  <si>
    <t>MOR-0015</t>
  </si>
  <si>
    <t>MBARMA</t>
  </si>
  <si>
    <t>WINDE ZAMAI</t>
  </si>
  <si>
    <t>MAK-0092</t>
  </si>
  <si>
    <t>NGONFLA 2</t>
  </si>
  <si>
    <t>KOZ-0030</t>
  </si>
  <si>
    <t>ZILER</t>
  </si>
  <si>
    <t>KOZ-0020</t>
  </si>
  <si>
    <t>MALTAMAYA</t>
  </si>
  <si>
    <t>MAK-0103</t>
  </si>
  <si>
    <t>ZAMAN</t>
  </si>
  <si>
    <t>MAK-0174</t>
  </si>
  <si>
    <t>NGAIWA</t>
  </si>
  <si>
    <t>MAK-0050</t>
  </si>
  <si>
    <t>HISSAINIE</t>
  </si>
  <si>
    <t>KOZ-0002</t>
  </si>
  <si>
    <t>DJENGUE</t>
  </si>
  <si>
    <t>KOZ-0008</t>
  </si>
  <si>
    <t>GABOUA</t>
  </si>
  <si>
    <t>KOZ-0027</t>
  </si>
  <si>
    <t>TENDEO</t>
  </si>
  <si>
    <t>KOZ-0025</t>
  </si>
  <si>
    <t>MORGO</t>
  </si>
  <si>
    <t>KOZ-0007</t>
  </si>
  <si>
    <t>GABAS</t>
  </si>
  <si>
    <t>KOZ-0041</t>
  </si>
  <si>
    <t>WAGZA</t>
  </si>
  <si>
    <t>KOZ-0006</t>
  </si>
  <si>
    <t>DOURWAT</t>
  </si>
  <si>
    <t>KOZ-0005</t>
  </si>
  <si>
    <t>DOUMBOGO</t>
  </si>
  <si>
    <t>MOR-0087</t>
  </si>
  <si>
    <t>WARBA</t>
  </si>
  <si>
    <t>KOLOFATA SITE DE BLAKODJI</t>
  </si>
  <si>
    <t>MOK-0057</t>
  </si>
  <si>
    <t>SIRAK</t>
  </si>
  <si>
    <t>FOT-0040</t>
  </si>
  <si>
    <t>GOLMO KOTOKO</t>
  </si>
  <si>
    <t>MOR-0078</t>
  </si>
  <si>
    <t>JILVE</t>
  </si>
  <si>
    <t>HIL-0018</t>
  </si>
  <si>
    <t>DOLE MILIMI</t>
  </si>
  <si>
    <t>MAK-0021</t>
  </si>
  <si>
    <t>BODO</t>
  </si>
  <si>
    <t>MOK-0024</t>
  </si>
  <si>
    <t>TOUROU CENTRE</t>
  </si>
  <si>
    <t>SITE DE KASSA TOLKOMARI</t>
  </si>
  <si>
    <t>MOR-0085</t>
  </si>
  <si>
    <t>SERADOUMDA</t>
  </si>
  <si>
    <t>ZIN-0022</t>
  </si>
  <si>
    <t>TCHOUKFOU 2</t>
  </si>
  <si>
    <t>ZIN-0003</t>
  </si>
  <si>
    <t>BALGUE 1</t>
  </si>
  <si>
    <t>OURO DJOUGOULE</t>
  </si>
  <si>
    <t>MOR-0079</t>
  </si>
  <si>
    <t>KOSSA SITE DE BLAMADERI</t>
  </si>
  <si>
    <t>ZIN-0007</t>
  </si>
  <si>
    <t>MARGOUE</t>
  </si>
  <si>
    <t>ZIN-0018</t>
  </si>
  <si>
    <t>HALAVANG</t>
  </si>
  <si>
    <t>MAK-0229</t>
  </si>
  <si>
    <t>MADINA 2 SITE</t>
  </si>
  <si>
    <t>BLABLIN SITE</t>
  </si>
  <si>
    <t>LBI-0039</t>
  </si>
  <si>
    <t>MADEF</t>
  </si>
  <si>
    <t>HIL-0008</t>
  </si>
  <si>
    <t>GORETAL GOUTOUN</t>
  </si>
  <si>
    <t>LBI-0003</t>
  </si>
  <si>
    <t>KALKOUSSAM</t>
  </si>
  <si>
    <t>KOZ-0023</t>
  </si>
  <si>
    <t>MBARDAM</t>
  </si>
  <si>
    <t>KOZ-0009</t>
  </si>
  <si>
    <t>GAIVOUKIDA</t>
  </si>
  <si>
    <t>KOZ-0010</t>
  </si>
  <si>
    <t>GALDALA</t>
  </si>
  <si>
    <t>MOK-0044</t>
  </si>
  <si>
    <t>MANDAKA</t>
  </si>
  <si>
    <t>MOK-0048</t>
  </si>
  <si>
    <t>OURO TADA SITE</t>
  </si>
  <si>
    <t>HIN-0001</t>
  </si>
  <si>
    <t>BAMGUEL BORORO</t>
  </si>
  <si>
    <t>SITE KIDJIMATARI</t>
  </si>
  <si>
    <t>HOULOUF</t>
  </si>
  <si>
    <t>SITE DE DOUGDJE</t>
  </si>
  <si>
    <t>SITE DE BAKARISSE</t>
  </si>
  <si>
    <t>LBI-0048</t>
  </si>
  <si>
    <t>LABADO</t>
  </si>
  <si>
    <t>DABANGA ARDEBE</t>
  </si>
  <si>
    <t>DABANGA MOULHIYE</t>
  </si>
  <si>
    <t>LBI-0044</t>
  </si>
  <si>
    <t>TABOYE</t>
  </si>
  <si>
    <t>LBI-0019</t>
  </si>
  <si>
    <t>MELARI</t>
  </si>
  <si>
    <t>GOB-0007</t>
  </si>
  <si>
    <t>MASSA IKA</t>
  </si>
  <si>
    <t>GOB-0008</t>
  </si>
  <si>
    <t>MASSA KOUWEITA</t>
  </si>
  <si>
    <t>MOK-0047</t>
  </si>
  <si>
    <t>TOUROU SITE</t>
  </si>
  <si>
    <t>MOK-0038</t>
  </si>
  <si>
    <t>LDAGODJA</t>
  </si>
  <si>
    <t>HIL-0015</t>
  </si>
  <si>
    <t>TERBOU</t>
  </si>
  <si>
    <t>MOR-0014</t>
  </si>
  <si>
    <t>MASSARE 1</t>
  </si>
  <si>
    <t>MOR-0028</t>
  </si>
  <si>
    <t>DJARME</t>
  </si>
  <si>
    <t>SITE KOURGUI MAYO</t>
  </si>
  <si>
    <t>MOR-0020</t>
  </si>
  <si>
    <t>POUCHE</t>
  </si>
  <si>
    <t>TOK-0006</t>
  </si>
  <si>
    <t>OULDEME</t>
  </si>
  <si>
    <t>MOR-0026</t>
  </si>
  <si>
    <t>MASSARE 2</t>
  </si>
  <si>
    <t>MOR-0035</t>
  </si>
  <si>
    <t>DJAKANA</t>
  </si>
  <si>
    <t>MOR-0041</t>
  </si>
  <si>
    <t>LIMANI</t>
  </si>
  <si>
    <t>KOU-0024</t>
  </si>
  <si>
    <t>MAINANI</t>
  </si>
  <si>
    <t>LBI-0029</t>
  </si>
  <si>
    <t>ANGOCH</t>
  </si>
  <si>
    <t>KOZ-0003</t>
  </si>
  <si>
    <t>DJINGIYA PLAINE</t>
  </si>
  <si>
    <t>MOR-0049</t>
  </si>
  <si>
    <t>DOUBLE</t>
  </si>
  <si>
    <t>MOR-0082</t>
  </si>
  <si>
    <t>MANDALARI</t>
  </si>
  <si>
    <t>MOR-0018</t>
  </si>
  <si>
    <t>OUDJILA</t>
  </si>
  <si>
    <t>MOR-0037</t>
  </si>
  <si>
    <t>GOUDJOUMDELE</t>
  </si>
  <si>
    <t>KOZ-0038</t>
  </si>
  <si>
    <t>YAMEDE</t>
  </si>
  <si>
    <t>MAKAMBARA</t>
  </si>
  <si>
    <t>MOK-0058</t>
  </si>
  <si>
    <t>SITE DE SIRAK-GORAI</t>
  </si>
  <si>
    <t>LBI-0034</t>
  </si>
  <si>
    <t>HINALE</t>
  </si>
  <si>
    <t>LBI-0035</t>
  </si>
  <si>
    <t>HOUNANGARE</t>
  </si>
  <si>
    <t>MBOUTOUFKA</t>
  </si>
  <si>
    <t>KOZ-0034</t>
  </si>
  <si>
    <t>GOUSD MLAIL</t>
  </si>
  <si>
    <t>HIL-0014</t>
  </si>
  <si>
    <t>TCHIKA</t>
  </si>
  <si>
    <t>MOR-0004</t>
  </si>
  <si>
    <t>DJOUNDE</t>
  </si>
  <si>
    <t>SITE KOURGUI ECOLE</t>
  </si>
  <si>
    <t>KOZ-0014</t>
  </si>
  <si>
    <t>GUID BALA</t>
  </si>
  <si>
    <t>LAMORDE</t>
  </si>
  <si>
    <t>KAI-0004</t>
  </si>
  <si>
    <t>DOUGUI</t>
  </si>
  <si>
    <t>BLAMAKAI</t>
  </si>
  <si>
    <t>MAK-0112</t>
  </si>
  <si>
    <t>NGOURNOU</t>
  </si>
  <si>
    <t>MAK-0015</t>
  </si>
  <si>
    <t>BEDEO SITE</t>
  </si>
  <si>
    <t>MAK-0110</t>
  </si>
  <si>
    <t>MBEE</t>
  </si>
  <si>
    <t>MAFOUFOU SITE</t>
  </si>
  <si>
    <t>AMADABO 1 SITE</t>
  </si>
  <si>
    <t>AMADABO 2 SITE</t>
  </si>
  <si>
    <t>SITE DE MICHKINDING</t>
  </si>
  <si>
    <t>FOT-0019</t>
  </si>
  <si>
    <t>SAGME</t>
  </si>
  <si>
    <t>LBI-0032</t>
  </si>
  <si>
    <t>GALESS</t>
  </si>
  <si>
    <t>LBI-0028</t>
  </si>
  <si>
    <t>AMREF</t>
  </si>
  <si>
    <t>MOR-0057</t>
  </si>
  <si>
    <t>DJALA</t>
  </si>
  <si>
    <t>KOU-0040</t>
  </si>
  <si>
    <t>KAWADJI 1</t>
  </si>
  <si>
    <t>FOT-0009</t>
  </si>
  <si>
    <t>FOTOKOL VILLE</t>
  </si>
  <si>
    <t>DABANGA 2</t>
  </si>
  <si>
    <t>DABANGA 1</t>
  </si>
  <si>
    <t>LBI-0023</t>
  </si>
  <si>
    <t>NGADA</t>
  </si>
  <si>
    <t>LBI-0017</t>
  </si>
  <si>
    <t>GOURLE</t>
  </si>
  <si>
    <t>MOZ-0008</t>
  </si>
  <si>
    <t>MOSKOTA CENTRE</t>
  </si>
  <si>
    <t>MOSKOTA SITE 3 MOGODA</t>
  </si>
  <si>
    <t>MOZ-0005</t>
  </si>
  <si>
    <t>KORSAMBA</t>
  </si>
  <si>
    <t>MOZ-0001</t>
  </si>
  <si>
    <t>GOKORO</t>
  </si>
  <si>
    <t>BOGO VILLE (SIRATARE)</t>
  </si>
  <si>
    <t>ADJANI</t>
  </si>
  <si>
    <t>KOUYAPE</t>
  </si>
  <si>
    <t>KOU-0041</t>
  </si>
  <si>
    <t>KAWADJI 2</t>
  </si>
  <si>
    <t>KOU-0009</t>
  </si>
  <si>
    <t>GAROUA</t>
  </si>
  <si>
    <t>MOZ-0019</t>
  </si>
  <si>
    <t>HITERE</t>
  </si>
  <si>
    <t>MOZ-0011</t>
  </si>
  <si>
    <t>MOZOGO QUARTIER HAOUSSA</t>
  </si>
  <si>
    <t>MOZ-0026</t>
  </si>
  <si>
    <t>GOLDAVI</t>
  </si>
  <si>
    <t>MOZ-0013</t>
  </si>
  <si>
    <t>NGUETCHEWE CENTRE</t>
  </si>
  <si>
    <t>MAGADI 2</t>
  </si>
  <si>
    <t>ZIN-0019</t>
  </si>
  <si>
    <t>LAHAI</t>
  </si>
  <si>
    <t>MOK-0025</t>
  </si>
  <si>
    <t>WANDAI</t>
  </si>
  <si>
    <t>KOL-0019</t>
  </si>
  <si>
    <t>KERAWA</t>
  </si>
  <si>
    <t>KOL-0030</t>
  </si>
  <si>
    <t>GOUZOUDOU</t>
  </si>
  <si>
    <t>MOZ-0031</t>
  </si>
  <si>
    <t>MOZ-0017</t>
  </si>
  <si>
    <t>DZAMADZAF</t>
  </si>
  <si>
    <t>MOZ-0004</t>
  </si>
  <si>
    <t>KELARI</t>
  </si>
  <si>
    <t>ZIN-0011</t>
  </si>
  <si>
    <t>ZILIM 2</t>
  </si>
  <si>
    <t>ZIN-0009</t>
  </si>
  <si>
    <t>NGODENI</t>
  </si>
  <si>
    <t>NGUETCHEWE SITE</t>
  </si>
  <si>
    <t>MOSKOTA SITE 2 DZABA</t>
  </si>
  <si>
    <t>GODZ-GODZON</t>
  </si>
  <si>
    <t>SITE DE GREYA</t>
  </si>
  <si>
    <t>KOZ-0015</t>
  </si>
  <si>
    <t>HAMDALA</t>
  </si>
  <si>
    <t>SATTOMI</t>
  </si>
  <si>
    <t>MOZ-0020</t>
  </si>
  <si>
    <t>MOK-0037</t>
  </si>
  <si>
    <t>ITAWA</t>
  </si>
  <si>
    <t>TOLKOMARI</t>
  </si>
  <si>
    <t>KOL-0006</t>
  </si>
  <si>
    <t>KOLOFATA CENTRE</t>
  </si>
  <si>
    <t>KALA KAFRA</t>
  </si>
  <si>
    <t>MOK-0027</t>
  </si>
  <si>
    <t>ZAMAI SITE 1</t>
  </si>
  <si>
    <t>MOK-0045</t>
  </si>
  <si>
    <t>ZAMAI SITE 3</t>
  </si>
  <si>
    <t>SITE MAYO SANGUE</t>
  </si>
  <si>
    <t>SITE DE KERAWA_MAFA</t>
  </si>
  <si>
    <t>MOR-0088</t>
  </si>
  <si>
    <t>KOSSERE ZOUELVA</t>
  </si>
  <si>
    <t>MOZ-0037</t>
  </si>
  <si>
    <t>TALLA KATCHI</t>
  </si>
  <si>
    <t>MOZ-0003</t>
  </si>
  <si>
    <t>KARAZAWA</t>
  </si>
  <si>
    <t>TALLA LAWAN</t>
  </si>
  <si>
    <t>SOUHARA</t>
  </si>
  <si>
    <t>TIKINI</t>
  </si>
  <si>
    <t>KOU-0007</t>
  </si>
  <si>
    <t>DJAMBAL BAR</t>
  </si>
  <si>
    <t>GUIDEMBEK</t>
  </si>
  <si>
    <t>MADAKAR</t>
  </si>
  <si>
    <t>LBI-0038</t>
  </si>
  <si>
    <t>MACHOKA</t>
  </si>
  <si>
    <t>LBI-0036</t>
  </si>
  <si>
    <t>HOUNDOUK</t>
  </si>
  <si>
    <t>HOUDGOLOUM</t>
  </si>
  <si>
    <t>LBI-0030</t>
  </si>
  <si>
    <t>DEIMA</t>
  </si>
  <si>
    <t>LBI-0047</t>
  </si>
  <si>
    <t>LBI-0004</t>
  </si>
  <si>
    <t>KALAKAFRA</t>
  </si>
  <si>
    <t>GUM-0009</t>
  </si>
  <si>
    <t>GABARAYE-WIDI</t>
  </si>
  <si>
    <t>GUM-0008</t>
  </si>
  <si>
    <t>GABARAYE</t>
  </si>
  <si>
    <t>CMR004003008</t>
  </si>
  <si>
    <t>WIN-0002</t>
  </si>
  <si>
    <t>DJONGDONG</t>
  </si>
  <si>
    <t>WIN-0001</t>
  </si>
  <si>
    <t>BOSGOYE</t>
  </si>
  <si>
    <t>CMR004003007</t>
  </si>
  <si>
    <t>DAT-0001</t>
  </si>
  <si>
    <t>BAMVERE</t>
  </si>
  <si>
    <t>CMR004003009</t>
  </si>
  <si>
    <t>YAG-0001</t>
  </si>
  <si>
    <t>DANA</t>
  </si>
  <si>
    <t>YAG-0004</t>
  </si>
  <si>
    <t>DANAY 1</t>
  </si>
  <si>
    <t>CMR004003010</t>
  </si>
  <si>
    <t>GUR-0004</t>
  </si>
  <si>
    <t>MOUKA</t>
  </si>
  <si>
    <t>YAG-0002</t>
  </si>
  <si>
    <t>DOMO</t>
  </si>
  <si>
    <t>YAG-0003</t>
  </si>
  <si>
    <t>MOURI</t>
  </si>
  <si>
    <t>MOK-0049</t>
  </si>
  <si>
    <t>ZAMAI CENTRE</t>
  </si>
  <si>
    <t>MOR-0030</t>
  </si>
  <si>
    <t>VOUAWA</t>
  </si>
  <si>
    <t>MOR-0022</t>
  </si>
  <si>
    <t>SANDALE 2</t>
  </si>
  <si>
    <t>MOR-0064</t>
  </si>
  <si>
    <t>MEME SITE TALLA BRAHIM</t>
  </si>
  <si>
    <t>MOR-0029</t>
  </si>
  <si>
    <t>JAJA</t>
  </si>
  <si>
    <t>MOR-0001</t>
  </si>
  <si>
    <t>AMTCHALIE</t>
  </si>
  <si>
    <t>MOR-0010</t>
  </si>
  <si>
    <t>IGAGOUA 1</t>
  </si>
  <si>
    <t>MOR-0017</t>
  </si>
  <si>
    <t>MORA MASSIF</t>
  </si>
  <si>
    <t>MOK-0054</t>
  </si>
  <si>
    <t>LDAMTSAI</t>
  </si>
  <si>
    <t>DAR-0015</t>
  </si>
  <si>
    <t>MAGALA-KABIR 1</t>
  </si>
  <si>
    <t>DAR-0027</t>
  </si>
  <si>
    <t>DABISSÉ</t>
  </si>
  <si>
    <t>GUM-0003</t>
  </si>
  <si>
    <t>GUEME</t>
  </si>
  <si>
    <t>MAK-0170</t>
  </si>
  <si>
    <t>KOUMBOULA</t>
  </si>
  <si>
    <t>HIL-0002</t>
  </si>
  <si>
    <t>ABASSOUNI 1</t>
  </si>
  <si>
    <t>GADAFAI</t>
  </si>
  <si>
    <t>KOU-0020</t>
  </si>
  <si>
    <t>MADAGASCAR 1</t>
  </si>
  <si>
    <t>KOU-0002</t>
  </si>
  <si>
    <t>AMCHEDIRE</t>
  </si>
  <si>
    <t>KOU-0014</t>
  </si>
  <si>
    <t>KODOGO</t>
  </si>
  <si>
    <t>MAK-0089</t>
  </si>
  <si>
    <t>NGARDOUGOUM</t>
  </si>
  <si>
    <t>KAE-0016</t>
  </si>
  <si>
    <t>TIBIRI</t>
  </si>
  <si>
    <t>KAE-0015</t>
  </si>
  <si>
    <t>ROUMDÉ</t>
  </si>
  <si>
    <t>MAK-0108</t>
  </si>
  <si>
    <t>DOUGOUMMANGO</t>
  </si>
  <si>
    <t>MAK-0124</t>
  </si>
  <si>
    <t>DJADJAYA</t>
  </si>
  <si>
    <t>MAG-0001</t>
  </si>
  <si>
    <t>FARAOULOU</t>
  </si>
  <si>
    <t>MAK-0175</t>
  </si>
  <si>
    <t>NGORTCHONO 1</t>
  </si>
  <si>
    <t>KAE-0014</t>
  </si>
  <si>
    <t>WINDEO</t>
  </si>
  <si>
    <t>KOLOFATA SITE TRIBUNE</t>
  </si>
  <si>
    <t>GAZ-0006</t>
  </si>
  <si>
    <t>LOMORE</t>
  </si>
  <si>
    <t>PET-0017</t>
  </si>
  <si>
    <t>KOURWAMA ABDOU</t>
  </si>
  <si>
    <t>KAI-0013</t>
  </si>
  <si>
    <t>SITE DE BARIAGODJO</t>
  </si>
  <si>
    <t>LBI-0009</t>
  </si>
  <si>
    <t>CHAFOU IDJELIDJE SITE</t>
  </si>
  <si>
    <t>LBI-0016</t>
  </si>
  <si>
    <t>FADJE SITE</t>
  </si>
  <si>
    <t>MAG-0004</t>
  </si>
  <si>
    <t>MAHAOUROU</t>
  </si>
  <si>
    <t>KAI-0023</t>
  </si>
  <si>
    <t>SITE DE KAIKAI CENTRE 2</t>
  </si>
  <si>
    <t>KAI-0005</t>
  </si>
  <si>
    <t>KAIKAI</t>
  </si>
  <si>
    <t>MAK-0225</t>
  </si>
  <si>
    <t>BLEM SITE</t>
  </si>
  <si>
    <t>MAK-0109</t>
  </si>
  <si>
    <t>KESSAWA</t>
  </si>
  <si>
    <t>MAK-0054</t>
  </si>
  <si>
    <t>KESAWA</t>
  </si>
  <si>
    <t>MOK-0008</t>
  </si>
  <si>
    <t>LAIDE</t>
  </si>
  <si>
    <t>MOK-0004</t>
  </si>
  <si>
    <t>DJIMETA</t>
  </si>
  <si>
    <t>MAK-0024</t>
  </si>
  <si>
    <t>CHALAMTINI</t>
  </si>
  <si>
    <t>MAK-0030</t>
  </si>
  <si>
    <t>DJAMOUS</t>
  </si>
  <si>
    <t>MAK-0085</t>
  </si>
  <si>
    <t>NDJAMENA 3</t>
  </si>
  <si>
    <t>LABADO SITE</t>
  </si>
  <si>
    <t>GOB-0001</t>
  </si>
  <si>
    <t>BASTEBE</t>
  </si>
  <si>
    <t>GOB-0003</t>
  </si>
  <si>
    <t>DJELME</t>
  </si>
  <si>
    <t>GOB-0005</t>
  </si>
  <si>
    <t>KARAM 2</t>
  </si>
  <si>
    <t>MOK-0055</t>
  </si>
  <si>
    <t>MIKILEK</t>
  </si>
  <si>
    <t>WAGANFO ZAMAI</t>
  </si>
  <si>
    <t>MOK-0031</t>
  </si>
  <si>
    <t>DINGUILIND</t>
  </si>
  <si>
    <t>GOB-0006</t>
  </si>
  <si>
    <t>KARAM 1</t>
  </si>
  <si>
    <t>GOB-0009</t>
  </si>
  <si>
    <t>NAYEGUISSIA</t>
  </si>
  <si>
    <t>MOL-0007</t>
  </si>
  <si>
    <t>BARIKI</t>
  </si>
  <si>
    <t>DAGUE</t>
  </si>
  <si>
    <t>MOK-0023</t>
  </si>
  <si>
    <t>TOUFOU</t>
  </si>
  <si>
    <t>GOU-0006</t>
  </si>
  <si>
    <t>GOULFEY</t>
  </si>
  <si>
    <t>MAK-0107</t>
  </si>
  <si>
    <t>DIGAM BAR</t>
  </si>
  <si>
    <t>MAK-0208</t>
  </si>
  <si>
    <t>MELEKI</t>
  </si>
  <si>
    <t>MAK-0205</t>
  </si>
  <si>
    <t>GAWAWA</t>
  </si>
  <si>
    <t>BLA-0012</t>
  </si>
  <si>
    <t>NDJARGOUDJA</t>
  </si>
  <si>
    <t>MAK-0192</t>
  </si>
  <si>
    <t>ABOUSOULTAN</t>
  </si>
  <si>
    <t>HABOBA</t>
  </si>
  <si>
    <t>MOR-0040</t>
  </si>
  <si>
    <t>KOSSA</t>
  </si>
  <si>
    <t>BACKE</t>
  </si>
  <si>
    <t>MOK-0056</t>
  </si>
  <si>
    <t>MOKOLA</t>
  </si>
  <si>
    <t>MOK-0042</t>
  </si>
  <si>
    <t>WOUDAHAI</t>
  </si>
  <si>
    <t>MAK-0026</t>
  </si>
  <si>
    <t>DONGOLO</t>
  </si>
  <si>
    <t>MAK-0022</t>
  </si>
  <si>
    <t>CHAGAMA 1</t>
  </si>
  <si>
    <t>MAK-0069</t>
  </si>
  <si>
    <t>MANDA 1</t>
  </si>
  <si>
    <t>MAK-0231</t>
  </si>
  <si>
    <t>SOUDRALHEL</t>
  </si>
  <si>
    <t>MOK-0001</t>
  </si>
  <si>
    <t>BOUNGUELRE</t>
  </si>
  <si>
    <t>MAK-0081</t>
  </si>
  <si>
    <t>NDEGO 1</t>
  </si>
  <si>
    <t>BOU-0001</t>
  </si>
  <si>
    <t>BOUKOULA</t>
  </si>
  <si>
    <t>MAK-0083</t>
  </si>
  <si>
    <t>NDEGO 3</t>
  </si>
  <si>
    <t>HIN-0003</t>
  </si>
  <si>
    <t>BERING</t>
  </si>
  <si>
    <t>MAK-0041</t>
  </si>
  <si>
    <t>GAMBAROU</t>
  </si>
  <si>
    <t>BLA-0009</t>
  </si>
  <si>
    <t>KOFIA</t>
  </si>
  <si>
    <t>MAK-0088</t>
  </si>
  <si>
    <t>NDOLOHE ARABE</t>
  </si>
  <si>
    <t>MALTAM CENTRE</t>
  </si>
  <si>
    <t>MAK-0141</t>
  </si>
  <si>
    <t>KLEHE</t>
  </si>
  <si>
    <t>GOU-0014</t>
  </si>
  <si>
    <t>MARA 2</t>
  </si>
  <si>
    <t>MAK-0113</t>
  </si>
  <si>
    <t>KOKIO 2</t>
  </si>
  <si>
    <t>MAK-0086</t>
  </si>
  <si>
    <t>NDODOHE KALIA</t>
  </si>
  <si>
    <t>MAK-0045</t>
  </si>
  <si>
    <t>GOUBAGO</t>
  </si>
  <si>
    <t>GOU-0021</t>
  </si>
  <si>
    <t>NIMIA</t>
  </si>
  <si>
    <t>ZIGUE</t>
  </si>
  <si>
    <t>MOK-0029</t>
  </si>
  <si>
    <t>SARKI FADA</t>
  </si>
  <si>
    <t>MOK-0022</t>
  </si>
  <si>
    <t>TONGO</t>
  </si>
  <si>
    <t>DAR-0001</t>
  </si>
  <si>
    <t>BIDEINE 2</t>
  </si>
  <si>
    <t>DAR-0026</t>
  </si>
  <si>
    <t>HERWA</t>
  </si>
  <si>
    <t>DAR-0014</t>
  </si>
  <si>
    <t>MAGALA-DJOUGOUL</t>
  </si>
  <si>
    <t>DAR-0008</t>
  </si>
  <si>
    <t>HIL-WANZAN</t>
  </si>
  <si>
    <t>DAR-0023</t>
  </si>
  <si>
    <t>KATIKIME 2</t>
  </si>
  <si>
    <t>DAR-0009</t>
  </si>
  <si>
    <t>KARAMA 1</t>
  </si>
  <si>
    <t>MAK-0062</t>
  </si>
  <si>
    <t>MAFANDE</t>
  </si>
  <si>
    <t>KOU-0013</t>
  </si>
  <si>
    <t>IBOU</t>
  </si>
  <si>
    <t>KOU-0029</t>
  </si>
  <si>
    <t>MAWAK</t>
  </si>
  <si>
    <t>KOU-0001</t>
  </si>
  <si>
    <t>ALAYA</t>
  </si>
  <si>
    <t>KOU-0026</t>
  </si>
  <si>
    <t>ADJEINE 1</t>
  </si>
  <si>
    <t>NALA 1</t>
  </si>
  <si>
    <t>MAITO</t>
  </si>
  <si>
    <t>WAZ-0036</t>
  </si>
  <si>
    <t>ANGOUROU</t>
  </si>
  <si>
    <t>WAZ-0008</t>
  </si>
  <si>
    <t>SALEH</t>
  </si>
  <si>
    <t>WAZ-0003</t>
  </si>
  <si>
    <t>KABE 1</t>
  </si>
  <si>
    <t>GOU-0013</t>
  </si>
  <si>
    <t>MARA 1</t>
  </si>
  <si>
    <t>GOU-0018</t>
  </si>
  <si>
    <t>MOUGALAM</t>
  </si>
  <si>
    <t>AMKEFA</t>
  </si>
  <si>
    <t>MAK-0042</t>
  </si>
  <si>
    <t>GLAO</t>
  </si>
  <si>
    <t>MAK-0156</t>
  </si>
  <si>
    <t>DILEBE</t>
  </si>
  <si>
    <t>MAK-0011</t>
  </si>
  <si>
    <t>ATTRI-SALAMAT</t>
  </si>
  <si>
    <t>BLA-0007</t>
  </si>
  <si>
    <t>KINZAYAKOU</t>
  </si>
  <si>
    <t>BLA-0016</t>
  </si>
  <si>
    <t>TCHOLLORE</t>
  </si>
  <si>
    <t>MAK-0194</t>
  </si>
  <si>
    <t>ALMITERAP</t>
  </si>
  <si>
    <t>GOU-0033</t>
  </si>
  <si>
    <t>MARAFAINE</t>
  </si>
  <si>
    <t>BLA-0013</t>
  </si>
  <si>
    <t>SERO ABOU</t>
  </si>
  <si>
    <t>KOZ-0035</t>
  </si>
  <si>
    <t>HOUVA</t>
  </si>
  <si>
    <t>MALTAM (QUARTIER TOUPOURI)</t>
  </si>
  <si>
    <t>MAK-0142</t>
  </si>
  <si>
    <t>HEREZAYA SITE</t>
  </si>
  <si>
    <t>MAK-0019</t>
  </si>
  <si>
    <t>BLAHE</t>
  </si>
  <si>
    <t>MAK-0012</t>
  </si>
  <si>
    <t>BADRA</t>
  </si>
  <si>
    <t>GOU-0030</t>
  </si>
  <si>
    <t>GOU-0035</t>
  </si>
  <si>
    <t>TOE 2</t>
  </si>
  <si>
    <t>GOU-0004</t>
  </si>
  <si>
    <t>ZALAT DORO-ROYA</t>
  </si>
  <si>
    <t>ARDEBE 2</t>
  </si>
  <si>
    <t>MOK-0019</t>
  </si>
  <si>
    <t>OURO KESSOUM</t>
  </si>
  <si>
    <t>WAZ-0007</t>
  </si>
  <si>
    <t>MICHEDIRE</t>
  </si>
  <si>
    <t>GOU-0036</t>
  </si>
  <si>
    <t>TOUYOUS</t>
  </si>
  <si>
    <t>KOU-0032</t>
  </si>
  <si>
    <t>NGALLO</t>
  </si>
  <si>
    <t>MAK-0051</t>
  </si>
  <si>
    <t>KAOUSSE</t>
  </si>
  <si>
    <t>MAK-0100</t>
  </si>
  <si>
    <t>WACHAMO</t>
  </si>
  <si>
    <t>MAK-0052</t>
  </si>
  <si>
    <t>KARTCHE</t>
  </si>
  <si>
    <t>MAK-0070</t>
  </si>
  <si>
    <t>MARGUI</t>
  </si>
  <si>
    <t>MAK-0204</t>
  </si>
  <si>
    <t>FADJE ADOUM</t>
  </si>
  <si>
    <t>MAK-0220</t>
  </si>
  <si>
    <t>TREBOULO 1</t>
  </si>
  <si>
    <t>MAK-0213</t>
  </si>
  <si>
    <t>MIREMIE</t>
  </si>
  <si>
    <t>NGOUT 1</t>
  </si>
  <si>
    <t>GOU-0015</t>
  </si>
  <si>
    <t>MAYA</t>
  </si>
  <si>
    <t>SOUNGOURA 2</t>
  </si>
  <si>
    <t>FOURKOURI</t>
  </si>
  <si>
    <t>GOU-0020</t>
  </si>
  <si>
    <t>NGRAN</t>
  </si>
  <si>
    <t>AMFARA 2</t>
  </si>
  <si>
    <t>AMFARA 4</t>
  </si>
  <si>
    <t>GOU-0022</t>
  </si>
  <si>
    <t>SAO</t>
  </si>
  <si>
    <t>MAK-0055</t>
  </si>
  <si>
    <t>KOKIO 1</t>
  </si>
  <si>
    <t>MOK-0053</t>
  </si>
  <si>
    <t>BISKAVAI</t>
  </si>
  <si>
    <t>GOU-0048</t>
  </si>
  <si>
    <t>GOU-0027</t>
  </si>
  <si>
    <t>MICHKA-MALIE</t>
  </si>
  <si>
    <t>GOU-0044</t>
  </si>
  <si>
    <t>NAGABAYA</t>
  </si>
  <si>
    <t>GOU-0042</t>
  </si>
  <si>
    <t>AMBASSANA</t>
  </si>
  <si>
    <t>GOU-0032</t>
  </si>
  <si>
    <t>MALA</t>
  </si>
  <si>
    <t>KOZ-0013</t>
  </si>
  <si>
    <t>GUETALE</t>
  </si>
  <si>
    <t>KOU-0043</t>
  </si>
  <si>
    <t>KOU-0037</t>
  </si>
  <si>
    <t>SEHEBA</t>
  </si>
  <si>
    <t>WAZ-0038</t>
  </si>
  <si>
    <t>LAFIA</t>
  </si>
  <si>
    <t>MAK-0168</t>
  </si>
  <si>
    <t>GRELIE</t>
  </si>
  <si>
    <t>MAK-0149</t>
  </si>
  <si>
    <t>ARDEB 2</t>
  </si>
  <si>
    <t>MAK-0031</t>
  </si>
  <si>
    <t>DJIDANSAMA</t>
  </si>
  <si>
    <t>MIDJOKHINE</t>
  </si>
  <si>
    <t>MAK-0079</t>
  </si>
  <si>
    <t>NDAGA</t>
  </si>
  <si>
    <t>BLA-0005</t>
  </si>
  <si>
    <t>CHAOUE</t>
  </si>
  <si>
    <t>BLA-0011</t>
  </si>
  <si>
    <t>NDARABAYA</t>
  </si>
  <si>
    <t>SITE DE MADA 1</t>
  </si>
  <si>
    <t>MOUR</t>
  </si>
  <si>
    <t>MAK-0036</t>
  </si>
  <si>
    <t>DOUBABEL GOSS</t>
  </si>
  <si>
    <t>MAK-0136</t>
  </si>
  <si>
    <t>RINGUE</t>
  </si>
  <si>
    <t>MAK-0014</t>
  </si>
  <si>
    <t>BAOURI</t>
  </si>
  <si>
    <t>MAK-0091</t>
  </si>
  <si>
    <t>NGLEME</t>
  </si>
  <si>
    <t>MAK-0221</t>
  </si>
  <si>
    <t>TREBOULO 2</t>
  </si>
  <si>
    <t>MAK-0211</t>
  </si>
  <si>
    <t>MERAHA</t>
  </si>
  <si>
    <t>MAK-0151</t>
  </si>
  <si>
    <t>CHIMTILI</t>
  </si>
  <si>
    <t>NGOUT 2</t>
  </si>
  <si>
    <t>GOU-0003</t>
  </si>
  <si>
    <t>DALEIB</t>
  </si>
  <si>
    <t>GOU-0043</t>
  </si>
  <si>
    <t>NADJI</t>
  </si>
  <si>
    <t>MAK-0058</t>
  </si>
  <si>
    <t>LAFIA-ARABE</t>
  </si>
  <si>
    <t>MAK-0137</t>
  </si>
  <si>
    <t>SALANDAS</t>
  </si>
  <si>
    <t>MAK-0183</t>
  </si>
  <si>
    <t>SOUNGOURA 1</t>
  </si>
  <si>
    <t>WAZ-0009</t>
  </si>
  <si>
    <t>TAGAWA 1</t>
  </si>
  <si>
    <t>MAK-0084</t>
  </si>
  <si>
    <t>NDIGUINI</t>
  </si>
  <si>
    <t>MOK-0010</t>
  </si>
  <si>
    <t>MAGOUMAZ</t>
  </si>
  <si>
    <t>KOU-0028</t>
  </si>
  <si>
    <t>MASSIL-AL-KANAM</t>
  </si>
  <si>
    <t>KOU-0021</t>
  </si>
  <si>
    <t>MADAGASCAR 2</t>
  </si>
  <si>
    <t>FADJÉ ABISSO 2</t>
  </si>
  <si>
    <t>MAK-0214</t>
  </si>
  <si>
    <t>MOUGRAN</t>
  </si>
  <si>
    <t>MAK-0197</t>
  </si>
  <si>
    <t>AMTCHIKO</t>
  </si>
  <si>
    <t>KOU-0012</t>
  </si>
  <si>
    <t>HILE HAOUSSA</t>
  </si>
  <si>
    <t>KOU-0010</t>
  </si>
  <si>
    <t>GUERGUE RABAH</t>
  </si>
  <si>
    <t>MAK-0071</t>
  </si>
  <si>
    <t>MASSIO</t>
  </si>
  <si>
    <t>MAK-0047</t>
  </si>
  <si>
    <t>GOURGOURA</t>
  </si>
  <si>
    <t>MAK-0023</t>
  </si>
  <si>
    <t>CHAGAMA 2</t>
  </si>
  <si>
    <t>DAR-0020</t>
  </si>
  <si>
    <t>TOROROYA</t>
  </si>
  <si>
    <t>DAR-0010</t>
  </si>
  <si>
    <t>KARAMA 2</t>
  </si>
  <si>
    <t>DAR-0012</t>
  </si>
  <si>
    <t>KATIKIME 1</t>
  </si>
  <si>
    <t>DAR-0005</t>
  </si>
  <si>
    <t>DJIREIB</t>
  </si>
  <si>
    <t>DAR-0003</t>
  </si>
  <si>
    <t>DARAK</t>
  </si>
  <si>
    <t>DAR-0006</t>
  </si>
  <si>
    <t>DOLE-ABOUNA</t>
  </si>
  <si>
    <t>MAK-0097</t>
  </si>
  <si>
    <t>SOULFA</t>
  </si>
  <si>
    <t>BLA-0002</t>
  </si>
  <si>
    <t>BLANGOUA</t>
  </si>
  <si>
    <t>BLARAM SIGNAKA</t>
  </si>
  <si>
    <t>KOU-0033</t>
  </si>
  <si>
    <t>NGARGOUZO</t>
  </si>
  <si>
    <t>GOU-0045</t>
  </si>
  <si>
    <t>SITE HILE-NIMR</t>
  </si>
  <si>
    <t>GOU-0009</t>
  </si>
  <si>
    <t>HILELE</t>
  </si>
  <si>
    <t>GOU-0040</t>
  </si>
  <si>
    <t>AMFADENA</t>
  </si>
  <si>
    <t>GOU-0019</t>
  </si>
  <si>
    <t>MOULOUANG</t>
  </si>
  <si>
    <t>MAYA KOTOKO</t>
  </si>
  <si>
    <t>GOU-0001</t>
  </si>
  <si>
    <t>AMDANE</t>
  </si>
  <si>
    <t>MAK-0203</t>
  </si>
  <si>
    <t>DARSALAM</t>
  </si>
  <si>
    <t>AMFARA 1</t>
  </si>
  <si>
    <t>AMFARA 5</t>
  </si>
  <si>
    <t>ANFARA6 (HILELE)</t>
  </si>
  <si>
    <t>GOU-0010</t>
  </si>
  <si>
    <t>MAFANG</t>
  </si>
  <si>
    <t>GOU-0017</t>
  </si>
  <si>
    <t>MOLODIA</t>
  </si>
  <si>
    <t>MAK-0067</t>
  </si>
  <si>
    <t>MALTAM</t>
  </si>
  <si>
    <t>MOK-0014</t>
  </si>
  <si>
    <t>MBOUA ZIMAGAZAK</t>
  </si>
  <si>
    <t>HIN-0002</t>
  </si>
  <si>
    <t>BASSARA</t>
  </si>
  <si>
    <t>MAK-0178</t>
  </si>
  <si>
    <t>WERA</t>
  </si>
  <si>
    <t>KAE-0018</t>
  </si>
  <si>
    <t>PADJANI</t>
  </si>
  <si>
    <t>GOU-0007</t>
  </si>
  <si>
    <t>GOULFEY-GANA</t>
  </si>
  <si>
    <t>GOU-0011</t>
  </si>
  <si>
    <t>MAHADJIRI</t>
  </si>
  <si>
    <t>GOU-0005</t>
  </si>
  <si>
    <t>DOUGUYA</t>
  </si>
  <si>
    <t>GOU-0034</t>
  </si>
  <si>
    <t>GOUMRI</t>
  </si>
  <si>
    <t>GOU-0039</t>
  </si>
  <si>
    <t>FADJE-BAKARI</t>
  </si>
  <si>
    <t>GOU-0026</t>
  </si>
  <si>
    <t>AKMASSIRAK</t>
  </si>
  <si>
    <t>GOU-0038</t>
  </si>
  <si>
    <t>BOUTAL-HADOUM</t>
  </si>
  <si>
    <t>MAK-0049</t>
  </si>
  <si>
    <t>HEREDIBE</t>
  </si>
  <si>
    <t>KOU-0018</t>
  </si>
  <si>
    <t>KROUANG 2</t>
  </si>
  <si>
    <t>SOU-0005</t>
  </si>
  <si>
    <t>ROUA CENTRE</t>
  </si>
  <si>
    <t>MOK-0041</t>
  </si>
  <si>
    <t>LDUBAM</t>
  </si>
  <si>
    <t>MOK-0030</t>
  </si>
  <si>
    <t>LDAMANG</t>
  </si>
  <si>
    <t>KOU-0036</t>
  </si>
  <si>
    <t>RIGGIL KOTOKO</t>
  </si>
  <si>
    <t>KOU-0016</t>
  </si>
  <si>
    <t>KOULOUK</t>
  </si>
  <si>
    <t>HIN-0008</t>
  </si>
  <si>
    <t>HINA WIDE</t>
  </si>
  <si>
    <t>SOU-0006</t>
  </si>
  <si>
    <t>SOULEDE ROUA</t>
  </si>
  <si>
    <t>SOU-0002</t>
  </si>
  <si>
    <t>BAO VARA</t>
  </si>
  <si>
    <t>BAO TASAI</t>
  </si>
  <si>
    <t>SOU-0003</t>
  </si>
  <si>
    <t>GOLIBAI</t>
  </si>
  <si>
    <t>SOU-0001</t>
  </si>
  <si>
    <t>FOGOM</t>
  </si>
  <si>
    <t>KOU-0017</t>
  </si>
  <si>
    <t>KROUANG 1</t>
  </si>
  <si>
    <t>MOK-0020</t>
  </si>
  <si>
    <t>OURO TADA CENTRE</t>
  </si>
  <si>
    <t>ARDEBE</t>
  </si>
  <si>
    <t>BABA SIMON KOURGUI</t>
  </si>
  <si>
    <t>OURO DOLÉ</t>
  </si>
  <si>
    <t>GOU-0012</t>
  </si>
  <si>
    <t>MALTAM GOULFEY</t>
  </si>
  <si>
    <t>GOU-0049</t>
  </si>
  <si>
    <t>LAKTA 2</t>
  </si>
  <si>
    <t>LAKTA 1</t>
  </si>
  <si>
    <t>LAKTA 3</t>
  </si>
  <si>
    <t>NIGUE</t>
  </si>
  <si>
    <t>TAMARAYA</t>
  </si>
  <si>
    <t>HILEGUIME</t>
  </si>
  <si>
    <t>MAK-0215</t>
  </si>
  <si>
    <t>NAÏRA</t>
  </si>
  <si>
    <t>KABE 3</t>
  </si>
  <si>
    <t>WAZ-0015</t>
  </si>
  <si>
    <t>CHAOUDE</t>
  </si>
  <si>
    <t>MAK-0082</t>
  </si>
  <si>
    <t>NDEGO 4</t>
  </si>
  <si>
    <t>DAR-0016</t>
  </si>
  <si>
    <t>MAGALA-KABIR 2</t>
  </si>
  <si>
    <t>DAR-0025</t>
  </si>
  <si>
    <t>KADOUNA</t>
  </si>
  <si>
    <t>SIEBA</t>
  </si>
  <si>
    <t>MOK-0005</t>
  </si>
  <si>
    <t>GAWAR</t>
  </si>
  <si>
    <t>WANAROU MOKOLO</t>
  </si>
  <si>
    <t>YAG-0006</t>
  </si>
  <si>
    <t>TCHAKAO</t>
  </si>
  <si>
    <t>GOU-0002</t>
  </si>
  <si>
    <t>MOK-0011</t>
  </si>
  <si>
    <t>MAINDEZE</t>
  </si>
  <si>
    <t>MAK-0143</t>
  </si>
  <si>
    <t>ABTABILO FADJAWA</t>
  </si>
  <si>
    <t>CMR004006001</t>
  </si>
  <si>
    <t>MOG-0002</t>
  </si>
  <si>
    <t>KARANTCHI</t>
  </si>
  <si>
    <t>MOG-0012</t>
  </si>
  <si>
    <t>VITTE</t>
  </si>
  <si>
    <t>MOR-0054</t>
  </si>
  <si>
    <t>DANDAYA</t>
  </si>
  <si>
    <t>BOU-0005</t>
  </si>
  <si>
    <t>TCHEVI</t>
  </si>
  <si>
    <t>MAK-0090</t>
  </si>
  <si>
    <t>NGARDOUKOUM 2</t>
  </si>
  <si>
    <t>WAZ-0031</t>
  </si>
  <si>
    <t>GOULOUZIVINI</t>
  </si>
  <si>
    <t>MOG-0009</t>
  </si>
  <si>
    <t>RHUMZU</t>
  </si>
  <si>
    <t>MOG-0013</t>
  </si>
  <si>
    <t>YELLE</t>
  </si>
  <si>
    <t>NDJAMENA KADAT</t>
  </si>
  <si>
    <t>MAK-0122</t>
  </si>
  <si>
    <t>CHOU-KOTOKO</t>
  </si>
  <si>
    <t>FOT-0010</t>
  </si>
  <si>
    <t>KALOUE</t>
  </si>
  <si>
    <t>FOT-0030</t>
  </si>
  <si>
    <t>KOU-0030</t>
  </si>
  <si>
    <t>NAGA</t>
  </si>
  <si>
    <t>MOG-0007</t>
  </si>
  <si>
    <t>OUDAVA</t>
  </si>
  <si>
    <t>MOG-0011</t>
  </si>
  <si>
    <t>TEKI</t>
  </si>
  <si>
    <t>MAK-0123</t>
  </si>
  <si>
    <t>CHOU-SALAMAT</t>
  </si>
  <si>
    <t>BOU-0006</t>
  </si>
  <si>
    <t>DJIMI</t>
  </si>
  <si>
    <t>BOU-0002</t>
  </si>
  <si>
    <t>GAMBOURA</t>
  </si>
  <si>
    <t>GOU-0051</t>
  </si>
  <si>
    <t>ANKOUMBOULA</t>
  </si>
  <si>
    <t>GOURA ABOUNOUMRE</t>
  </si>
  <si>
    <t>MOG-0004</t>
  </si>
  <si>
    <t>KOUFFI</t>
  </si>
  <si>
    <t>PET-0032</t>
  </si>
  <si>
    <t>TINI</t>
  </si>
  <si>
    <t>MOG-0005</t>
  </si>
  <si>
    <t>MOGODE</t>
  </si>
  <si>
    <t>KAE-0002</t>
  </si>
  <si>
    <t>GAZARO</t>
  </si>
  <si>
    <t>KAE-0011</t>
  </si>
  <si>
    <t>KASSÉLÉ</t>
  </si>
  <si>
    <t>MOG-0003</t>
  </si>
  <si>
    <t>KILA</t>
  </si>
  <si>
    <t>MAK-0184</t>
  </si>
  <si>
    <t>BLO</t>
  </si>
  <si>
    <t>MAK-0159</t>
  </si>
  <si>
    <t>DOUGOUM</t>
  </si>
  <si>
    <t>GLAM 1</t>
  </si>
  <si>
    <t>KORTCHI</t>
  </si>
  <si>
    <t>MOZ-0023</t>
  </si>
  <si>
    <t>ASSIGHASSIA</t>
  </si>
  <si>
    <t>MOG-0001</t>
  </si>
  <si>
    <t>GOURIA</t>
  </si>
  <si>
    <t>MOG-0008</t>
  </si>
  <si>
    <t>RHUMSIKI</t>
  </si>
  <si>
    <t>MAK-0147</t>
  </si>
  <si>
    <t>AMSOUMOU</t>
  </si>
  <si>
    <t>FAMARE</t>
  </si>
  <si>
    <t>MOG-0006</t>
  </si>
  <si>
    <t>NORA</t>
  </si>
  <si>
    <t>MOT-0005</t>
  </si>
  <si>
    <t>ZIBOU</t>
  </si>
  <si>
    <t>PET-0002</t>
  </si>
  <si>
    <t>DJABIRE</t>
  </si>
  <si>
    <t>MOG-0010</t>
  </si>
  <si>
    <t>SIR</t>
  </si>
  <si>
    <t>MAHAM</t>
  </si>
  <si>
    <t>NOIRA</t>
  </si>
  <si>
    <t>CMR004004007</t>
  </si>
  <si>
    <t>MINDIF CENTRE</t>
  </si>
  <si>
    <t>MIN-0002</t>
  </si>
  <si>
    <t>MOGOM</t>
  </si>
  <si>
    <t>MAK-0072</t>
  </si>
  <si>
    <t>MBLAME</t>
  </si>
  <si>
    <t>GOB-0004</t>
  </si>
  <si>
    <t>GOBOGAIOUA</t>
  </si>
  <si>
    <t>KAI-0001</t>
  </si>
  <si>
    <t>BARIAGODJO</t>
  </si>
  <si>
    <t>CHERIPOURI</t>
  </si>
  <si>
    <t>CMR004001004</t>
  </si>
  <si>
    <t>DAG-0007</t>
  </si>
  <si>
    <t>WOURO MAOUNDE</t>
  </si>
  <si>
    <t>DAG-0005</t>
  </si>
  <si>
    <t>WOULMOYE</t>
  </si>
  <si>
    <t>DAG-0006</t>
  </si>
  <si>
    <t>WOURO BOUBA</t>
  </si>
  <si>
    <t>DAG-0001</t>
  </si>
  <si>
    <t>DARGALA</t>
  </si>
  <si>
    <t>GOU-0041</t>
  </si>
  <si>
    <t>AFIE 2</t>
  </si>
  <si>
    <t>GUM-0011</t>
  </si>
  <si>
    <t>YAHLOKKA</t>
  </si>
  <si>
    <t>WAZ-0040</t>
  </si>
  <si>
    <t>BILE 2</t>
  </si>
  <si>
    <t>MAG-0008</t>
  </si>
  <si>
    <t>ALVAKAYE</t>
  </si>
  <si>
    <t>WAZ-0027</t>
  </si>
  <si>
    <t>MATKOUNA 2</t>
  </si>
  <si>
    <t>KAI-0007</t>
  </si>
  <si>
    <t>LOUGOYE KAMASSE</t>
  </si>
  <si>
    <t>MAG-0010</t>
  </si>
  <si>
    <t>GAYA</t>
  </si>
  <si>
    <t>BLA-0026</t>
  </si>
  <si>
    <t>IYA MAGRA</t>
  </si>
  <si>
    <t>GAMBAROU BORNO</t>
  </si>
  <si>
    <t>DILGA</t>
  </si>
  <si>
    <t>ZIN-0016</t>
  </si>
  <si>
    <t>ALVAKAI 2</t>
  </si>
  <si>
    <t>KAI-0022</t>
  </si>
  <si>
    <t>SOUKOMAYE</t>
  </si>
  <si>
    <t>KAI-0018</t>
  </si>
  <si>
    <t>DAMARO</t>
  </si>
  <si>
    <t>KAI-0020</t>
  </si>
  <si>
    <t>KOLONG</t>
  </si>
  <si>
    <t>KAE-0001</t>
  </si>
  <si>
    <t>BOURGOURI</t>
  </si>
  <si>
    <t>BOU-0003</t>
  </si>
  <si>
    <t>GUILI</t>
  </si>
  <si>
    <t>BOUNGOUR 1</t>
  </si>
  <si>
    <t>DOCDORI 1</t>
  </si>
  <si>
    <t>KIDAM</t>
  </si>
  <si>
    <t>DJIBRILLI</t>
  </si>
  <si>
    <t>GOU-0047</t>
  </si>
  <si>
    <t>MOURA</t>
  </si>
  <si>
    <t>KAI-0009</t>
  </si>
  <si>
    <t>YANGA</t>
  </si>
  <si>
    <t>GAKARA</t>
  </si>
  <si>
    <t>GUM-0010</t>
  </si>
  <si>
    <t>MERAINGNE</t>
  </si>
  <si>
    <t>GUM-0007</t>
  </si>
  <si>
    <t>DOUANG</t>
  </si>
  <si>
    <t>GUI-0004</t>
  </si>
  <si>
    <t>MENDAIRE</t>
  </si>
  <si>
    <t>GUI-0003</t>
  </si>
  <si>
    <t>LARAO</t>
  </si>
  <si>
    <t>GUI-0002</t>
  </si>
  <si>
    <t>GASSEL</t>
  </si>
  <si>
    <t>MAG-0018</t>
  </si>
  <si>
    <t>VARAYE</t>
  </si>
  <si>
    <t>MARTE</t>
  </si>
  <si>
    <t>GOU-0052</t>
  </si>
  <si>
    <t>WASHINGTONE VILLE</t>
  </si>
  <si>
    <t>KAI-0006</t>
  </si>
  <si>
    <t>KELEO</t>
  </si>
  <si>
    <t>GUI-0005</t>
  </si>
  <si>
    <t>SIRATARE</t>
  </si>
  <si>
    <t>MOK-0028</t>
  </si>
  <si>
    <t>ZILENG</t>
  </si>
  <si>
    <t>MANAWADI</t>
  </si>
  <si>
    <t>HIN-0006</t>
  </si>
  <si>
    <t>ZOUVOUL</t>
  </si>
  <si>
    <t>KAI-0019</t>
  </si>
  <si>
    <t>GABOUANG</t>
  </si>
  <si>
    <t>KAI-0021</t>
  </si>
  <si>
    <t>KOURBOUK</t>
  </si>
  <si>
    <t>MOK-0002</t>
  </si>
  <si>
    <t>DEDEP</t>
  </si>
  <si>
    <t>GOUDOUGOUNI</t>
  </si>
  <si>
    <t>DAGA</t>
  </si>
  <si>
    <t>GUR-0001</t>
  </si>
  <si>
    <t>DAHAOU</t>
  </si>
  <si>
    <t>GUR-0002</t>
  </si>
  <si>
    <t>DANGABISSI</t>
  </si>
  <si>
    <t>YAG-0005</t>
  </si>
  <si>
    <t>GUR-0005</t>
  </si>
  <si>
    <t>DJOUGOUMTA</t>
  </si>
  <si>
    <t>GUR-0003</t>
  </si>
  <si>
    <t>HOLLOM</t>
  </si>
  <si>
    <t>GOU-0037</t>
  </si>
  <si>
    <t>NGOULOU</t>
  </si>
  <si>
    <t>BLABILINE</t>
  </si>
  <si>
    <t>OULI ANKARENA</t>
  </si>
  <si>
    <t>OULI MAM</t>
  </si>
  <si>
    <t>OULI HERAS</t>
  </si>
  <si>
    <t>NDOUDOUM</t>
  </si>
  <si>
    <t>KABELA GOUDOUM</t>
  </si>
  <si>
    <t>SAMAKALE</t>
  </si>
  <si>
    <t>NDJAMENA SABLA</t>
  </si>
  <si>
    <t>DAMZA</t>
  </si>
  <si>
    <t>KAI-0003</t>
  </si>
  <si>
    <t>BEGUEPALAM</t>
  </si>
  <si>
    <t>RIDINA</t>
  </si>
  <si>
    <t>MICHKETE</t>
  </si>
  <si>
    <t>ZABAN</t>
  </si>
  <si>
    <t>FIRKLIWA</t>
  </si>
  <si>
    <t>HERWA BAGTABA</t>
  </si>
  <si>
    <t>MARIAM</t>
  </si>
  <si>
    <t>DILGA MOUSGOUM</t>
  </si>
  <si>
    <t>GADOUDJI</t>
  </si>
  <si>
    <t>BANZALA 1</t>
  </si>
  <si>
    <t>BANSAZALA2</t>
  </si>
  <si>
    <t>DAMROU 2</t>
  </si>
  <si>
    <t>DAMROU 1</t>
  </si>
  <si>
    <t>BARAK2</t>
  </si>
  <si>
    <t>DILGA HEMDAN</t>
  </si>
  <si>
    <t>CHALAN</t>
  </si>
  <si>
    <t>AMRE</t>
  </si>
  <si>
    <t>MOULOUMSA MASSA</t>
  </si>
  <si>
    <t>OULI DELIBE</t>
  </si>
  <si>
    <t>OULI MAGNAKO</t>
  </si>
  <si>
    <t>DOLE BLÂMA MOUSSA</t>
  </si>
  <si>
    <t>AMBALAKA</t>
  </si>
  <si>
    <t>DOGDORI ISSA BELLO</t>
  </si>
  <si>
    <t>DAG-0002</t>
  </si>
  <si>
    <t>DJOHIRE</t>
  </si>
  <si>
    <t>DAG-0003</t>
  </si>
  <si>
    <t>KALAKI</t>
  </si>
  <si>
    <t>MOK-0003</t>
  </si>
  <si>
    <t>DJALINGO</t>
  </si>
  <si>
    <t>DAG-0004</t>
  </si>
  <si>
    <t>OURO-ZANGUI</t>
  </si>
  <si>
    <t>MOL-0008</t>
  </si>
  <si>
    <t>TAOROU</t>
  </si>
  <si>
    <t>MOL-0003</t>
  </si>
  <si>
    <t>AGALIRE</t>
  </si>
  <si>
    <t>Localités/Sites</t>
  </si>
  <si>
    <t xml:space="preserve"> Ménages PDI</t>
  </si>
  <si>
    <t>Ménages Réfugiés hors camp</t>
  </si>
  <si>
    <t>Ménages Retournés</t>
  </si>
  <si>
    <t>BOURGOUMA</t>
  </si>
  <si>
    <t>DABANGA ABANI</t>
  </si>
  <si>
    <t>DJINENE</t>
  </si>
  <si>
    <t>GOURIKI</t>
  </si>
  <si>
    <t>HILE WAYA 2</t>
  </si>
  <si>
    <t>LIKAPPE</t>
  </si>
  <si>
    <t>MADA 2</t>
  </si>
  <si>
    <t>MORGOYE</t>
  </si>
  <si>
    <t>NERBA</t>
  </si>
  <si>
    <t>WOULI GOLMADE</t>
  </si>
  <si>
    <t>BARAK 1</t>
  </si>
  <si>
    <t>ID Form</t>
  </si>
  <si>
    <t>Région</t>
  </si>
  <si>
    <t>Région_code</t>
  </si>
  <si>
    <t>Département_nom</t>
  </si>
  <si>
    <t>Département_code</t>
  </si>
  <si>
    <t>Arrondissement_nom</t>
  </si>
  <si>
    <t>Arrondissement_code</t>
  </si>
  <si>
    <t>village_SSID</t>
  </si>
  <si>
    <t>nouveau_village</t>
  </si>
  <si>
    <t>Type de localité</t>
  </si>
  <si>
    <t xml:space="preserve"> Méthodologie/Informateur clé</t>
  </si>
  <si>
    <t>Méthodologie/Groupe de discussion</t>
  </si>
  <si>
    <t>Méthodologie/Observation directe</t>
  </si>
  <si>
    <t>nombre de participants réunis pour le groupe de discussion</t>
  </si>
  <si>
    <t>nombre informateurs clés</t>
  </si>
  <si>
    <t>accessibilté</t>
  </si>
  <si>
    <t>raison-inaccessibilite</t>
  </si>
  <si>
    <t>présence_population</t>
  </si>
  <si>
    <t>état du village</t>
  </si>
  <si>
    <t>Causes destruction village</t>
  </si>
  <si>
    <t>Autre cause destruction du village</t>
  </si>
  <si>
    <t>presence de la majorite</t>
  </si>
  <si>
    <t>Autre contexte de presence</t>
  </si>
  <si>
    <t>existence d'un site de déplacés</t>
  </si>
  <si>
    <t>Nombre de site</t>
  </si>
  <si>
    <t>nombre de ménage PDI</t>
  </si>
  <si>
    <t>population globale du village</t>
  </si>
  <si>
    <t>présence des personnes déplacés interne</t>
  </si>
  <si>
    <t>nombre de déplacement</t>
  </si>
  <si>
    <t>PDI_ménages</t>
  </si>
  <si>
    <t>PDI_individus</t>
  </si>
  <si>
    <t>PDI_individus_homme</t>
  </si>
  <si>
    <t>PDI_individus_femme</t>
  </si>
  <si>
    <t>PDI_domicile personnel</t>
  </si>
  <si>
    <t>PDI_famille d'accueil (à titre gratuit)</t>
  </si>
  <si>
    <t>PDI_famille d'accueil (contre travaux domestiques ou des champs)</t>
  </si>
  <si>
    <t>PDI_en location</t>
  </si>
  <si>
    <t>PDI_en location_details</t>
  </si>
  <si>
    <t>PDI_autre type location</t>
  </si>
  <si>
    <t>PDI_centre collectif</t>
  </si>
  <si>
    <t>PDI_abris spontané</t>
  </si>
  <si>
    <t>PDI_abris-spont-details</t>
  </si>
  <si>
    <t>PDI_autre-type-abris</t>
  </si>
  <si>
    <t>PDI_air libre</t>
  </si>
  <si>
    <t>présence Réfugié hors camp</t>
  </si>
  <si>
    <t>REF_ménages</t>
  </si>
  <si>
    <t>REF_individus</t>
  </si>
  <si>
    <t>REF_individus homme</t>
  </si>
  <si>
    <t>REF_individus femme</t>
  </si>
  <si>
    <t>REF_famille d'accueil (à titre gratuit)</t>
  </si>
  <si>
    <t>REF_famille d'accueil (contre travaux domestiques ou des champs)</t>
  </si>
  <si>
    <t>REF_en location</t>
  </si>
  <si>
    <t>REF_en location_details</t>
  </si>
  <si>
    <t>REF_centre collectif</t>
  </si>
  <si>
    <t>REF_abris spontané</t>
  </si>
  <si>
    <t>REF_abris spontané_details</t>
  </si>
  <si>
    <t>REF_autre-type-abris</t>
  </si>
  <si>
    <t>REF_air libre</t>
  </si>
  <si>
    <t>Nombre de ménages REF ENREGISTRÉS</t>
  </si>
  <si>
    <t>présence personnes retournées</t>
  </si>
  <si>
    <t>RET_Menages</t>
  </si>
  <si>
    <t>RET_individus</t>
  </si>
  <si>
    <t>RET_individus homme</t>
  </si>
  <si>
    <t>RET_individus femme</t>
  </si>
  <si>
    <t>durée du déplacement pour la majorité des retournés présents dans la localité</t>
  </si>
  <si>
    <t>RET_habitat initial</t>
  </si>
  <si>
    <t>RET_famille d'accueil (à titre gratuit)</t>
  </si>
  <si>
    <t>RET_famille d'accueil (contre travaux domestiques ou des champs)</t>
  </si>
  <si>
    <t>RET_en location</t>
  </si>
  <si>
    <t>RET_en location details</t>
  </si>
  <si>
    <t>RET_centre collectif</t>
  </si>
  <si>
    <t>RET_abris spontané</t>
  </si>
  <si>
    <t>d-abris-spont-details</t>
  </si>
  <si>
    <t>RET_air libre</t>
  </si>
  <si>
    <t>Menages à reunir</t>
  </si>
  <si>
    <t>existence de service indisponible</t>
  </si>
  <si>
    <t>Flag PDI</t>
  </si>
  <si>
    <t>Flag REF</t>
  </si>
  <si>
    <t>Flag RET</t>
  </si>
  <si>
    <t>Flag total</t>
  </si>
  <si>
    <t>Village</t>
  </si>
  <si>
    <t>Le village accueille une population</t>
  </si>
  <si>
    <t>Familles d'accueil</t>
  </si>
  <si>
    <t>Non, pas du tout</t>
  </si>
  <si>
    <t>Premier déplacement</t>
  </si>
  <si>
    <t>Logement indépendant (Maison indépendante)</t>
  </si>
  <si>
    <t>Sites de déplacement spontanés</t>
  </si>
  <si>
    <t>Bâche</t>
  </si>
  <si>
    <t>Pagne</t>
  </si>
  <si>
    <t>Intempéries (inondations, tempêtes etc.)</t>
  </si>
  <si>
    <t>Chez une famille d'accueil (contre loyer)</t>
  </si>
  <si>
    <t>Terre cuite/Terre battue</t>
  </si>
  <si>
    <t>5 ans ou plus</t>
  </si>
  <si>
    <t>BLA-0015</t>
  </si>
  <si>
    <t>MADAGASCAR</t>
  </si>
  <si>
    <t>Le village est entièrement déserté</t>
  </si>
  <si>
    <t>Ne sait pas</t>
  </si>
  <si>
    <t>Moins de 3 mois</t>
  </si>
  <si>
    <t>Deuxième déplacement</t>
  </si>
  <si>
    <t>Troisième déplacement</t>
  </si>
  <si>
    <t>Plus de trois déplacements</t>
  </si>
  <si>
    <t>DAR-0022</t>
  </si>
  <si>
    <t>BOUARAM</t>
  </si>
  <si>
    <t>Paille/Natte/Nylon</t>
  </si>
  <si>
    <t>NDJODA</t>
  </si>
  <si>
    <t>Entre 3 mois et 1 an</t>
  </si>
  <si>
    <t>FOT-0006</t>
  </si>
  <si>
    <t>DAMBORE</t>
  </si>
  <si>
    <t>FOT-0007</t>
  </si>
  <si>
    <t>FADJE HALITE</t>
  </si>
  <si>
    <t>FOT-0008</t>
  </si>
  <si>
    <t>FIMA</t>
  </si>
  <si>
    <t>FOT-0011</t>
  </si>
  <si>
    <t>KOUBOUGUE</t>
  </si>
  <si>
    <t>FOT-0012</t>
  </si>
  <si>
    <t>LEIMARI</t>
  </si>
  <si>
    <t>FOT-0013</t>
  </si>
  <si>
    <t>LIOROMARI</t>
  </si>
  <si>
    <t>FOT-0015</t>
  </si>
  <si>
    <t>MAGAM</t>
  </si>
  <si>
    <t>FOT-0016</t>
  </si>
  <si>
    <t>MARGAMA</t>
  </si>
  <si>
    <t>FOT-0020</t>
  </si>
  <si>
    <t>SOUERAM</t>
  </si>
  <si>
    <t>Attaques armées</t>
  </si>
  <si>
    <t>FOT-0022</t>
  </si>
  <si>
    <t>WOROMARI</t>
  </si>
  <si>
    <t>FOT-0023</t>
  </si>
  <si>
    <t>DEGA</t>
  </si>
  <si>
    <t>FOT-0024</t>
  </si>
  <si>
    <t>MALMADJA</t>
  </si>
  <si>
    <t>FOT-0027</t>
  </si>
  <si>
    <t>MEINARI</t>
  </si>
  <si>
    <t>Le village est déserté la nuit</t>
  </si>
  <si>
    <t>Centre Collectif</t>
  </si>
  <si>
    <t>WANGARA</t>
  </si>
  <si>
    <t>MILIMARI</t>
  </si>
  <si>
    <t>GAZ-0001</t>
  </si>
  <si>
    <t>BANTADJE</t>
  </si>
  <si>
    <t>GAZ-0009</t>
  </si>
  <si>
    <t>GRODOU FOULBE</t>
  </si>
  <si>
    <t>GOU-0016</t>
  </si>
  <si>
    <t>MICH-MICH</t>
  </si>
  <si>
    <t>GOU-0023</t>
  </si>
  <si>
    <t>TILAM 1</t>
  </si>
  <si>
    <t>GOU-0024</t>
  </si>
  <si>
    <t>WALAGA</t>
  </si>
  <si>
    <t>GOU-0031</t>
  </si>
  <si>
    <t>Entre 1 et 5 ans</t>
  </si>
  <si>
    <t>HIL-0006</t>
  </si>
  <si>
    <t>DJIBOUNIBA</t>
  </si>
  <si>
    <t>HIL-0012</t>
  </si>
  <si>
    <t>KAMOUNA</t>
  </si>
  <si>
    <t>HIL-0016</t>
  </si>
  <si>
    <t>HILE-KATCHOU</t>
  </si>
  <si>
    <t>KAI-0014</t>
  </si>
  <si>
    <t>SITE DE KAI-KAI CENTRE</t>
  </si>
  <si>
    <t>KOL-0002</t>
  </si>
  <si>
    <t>BAME</t>
  </si>
  <si>
    <t>KOL-0010</t>
  </si>
  <si>
    <t>ZIROU</t>
  </si>
  <si>
    <t>KOL-0011</t>
  </si>
  <si>
    <t>WALASSA</t>
  </si>
  <si>
    <t>KOL-0012</t>
  </si>
  <si>
    <t>SARE</t>
  </si>
  <si>
    <t>KOL-0013</t>
  </si>
  <si>
    <t>GARE</t>
  </si>
  <si>
    <t>KOL-0016</t>
  </si>
  <si>
    <t>BOULDA 2</t>
  </si>
  <si>
    <t>KOL-0018</t>
  </si>
  <si>
    <t>ALDJE</t>
  </si>
  <si>
    <t>KOL-0033</t>
  </si>
  <si>
    <t>MALLOUMRIA</t>
  </si>
  <si>
    <t>DOUGZA 2</t>
  </si>
  <si>
    <t>KOLOFATA SITE DE GOUDERI</t>
  </si>
  <si>
    <t>BIA</t>
  </si>
  <si>
    <t>GUEDAIROU</t>
  </si>
  <si>
    <t>KORDO</t>
  </si>
  <si>
    <t>MAINANKOA</t>
  </si>
  <si>
    <t>LBI-0015</t>
  </si>
  <si>
    <t>SALERI</t>
  </si>
  <si>
    <t>LBI-0027</t>
  </si>
  <si>
    <t>AMALGOCH</t>
  </si>
  <si>
    <t>LBI-0031</t>
  </si>
  <si>
    <t>DOUGOUMBRA</t>
  </si>
  <si>
    <t>LBI-0033</t>
  </si>
  <si>
    <t>GUESH</t>
  </si>
  <si>
    <t>LBI-0037</t>
  </si>
  <si>
    <t>KOMA SITE</t>
  </si>
  <si>
    <t>Air libre</t>
  </si>
  <si>
    <t>LBI-0046</t>
  </si>
  <si>
    <t>MAG-0012</t>
  </si>
  <si>
    <t>MIHIRIA</t>
  </si>
  <si>
    <t>MAG-0013</t>
  </si>
  <si>
    <t>MOURLA</t>
  </si>
  <si>
    <t>MAG-0015</t>
  </si>
  <si>
    <t>SITE ALVAKAYE</t>
  </si>
  <si>
    <t>MAG-0016</t>
  </si>
  <si>
    <t>SITE DE GAYA</t>
  </si>
  <si>
    <t>MAG-0017</t>
  </si>
  <si>
    <t>SITE DE VARAYE</t>
  </si>
  <si>
    <t>MAK-0001</t>
  </si>
  <si>
    <t>ABBARI</t>
  </si>
  <si>
    <t>MAK-0005</t>
  </si>
  <si>
    <t>AMADABO 2</t>
  </si>
  <si>
    <t>MAK-0028</t>
  </si>
  <si>
    <t>DIGAM-AFADE</t>
  </si>
  <si>
    <t>MAK-0040</t>
  </si>
  <si>
    <t>FARCH 2</t>
  </si>
  <si>
    <t>MAK-0046</t>
  </si>
  <si>
    <t>GOURA 2</t>
  </si>
  <si>
    <t>MAK-0048</t>
  </si>
  <si>
    <t>ATTRI-FALATA</t>
  </si>
  <si>
    <t>MAK-0063</t>
  </si>
  <si>
    <t>MAFOUFOU</t>
  </si>
  <si>
    <t>MAK-0066</t>
  </si>
  <si>
    <t>MALIE</t>
  </si>
  <si>
    <t>MAK-0087</t>
  </si>
  <si>
    <t>NDODOHE YOUSSOUF</t>
  </si>
  <si>
    <t>MAK-0105</t>
  </si>
  <si>
    <t>BEDAT</t>
  </si>
  <si>
    <t>MAK-0111</t>
  </si>
  <si>
    <t>MICHKIDIN</t>
  </si>
  <si>
    <t>MAK-0125</t>
  </si>
  <si>
    <t>FADJE-FOTA</t>
  </si>
  <si>
    <t>MAK-0128</t>
  </si>
  <si>
    <t>HOLIO</t>
  </si>
  <si>
    <t>MAK-0131</t>
  </si>
  <si>
    <t>MANIGUEIDE</t>
  </si>
  <si>
    <t>MAK-0132</t>
  </si>
  <si>
    <t>MATKOUS 1</t>
  </si>
  <si>
    <t>MAK-0133</t>
  </si>
  <si>
    <t>MATKOUS 2</t>
  </si>
  <si>
    <t>MAK-0135</t>
  </si>
  <si>
    <t>MAK-0169</t>
  </si>
  <si>
    <t>HADAMARI</t>
  </si>
  <si>
    <t>MAK-0189</t>
  </si>
  <si>
    <t>KOUMBOULA SITE</t>
  </si>
  <si>
    <t>MAK-0228</t>
  </si>
  <si>
    <t>DOR-HELISNA</t>
  </si>
  <si>
    <t>MAK-0232</t>
  </si>
  <si>
    <t>WOULAMSAU</t>
  </si>
  <si>
    <t>MAK-0233</t>
  </si>
  <si>
    <t>TACHA-SIGAL</t>
  </si>
  <si>
    <t>MAK-0234</t>
  </si>
  <si>
    <t>SADIGO-LAGOS</t>
  </si>
  <si>
    <t>AMADABO 1</t>
  </si>
  <si>
    <t>MOGNOGO</t>
  </si>
  <si>
    <t>GANGARI ALGOS</t>
  </si>
  <si>
    <t>BEDEO VILLAGE</t>
  </si>
  <si>
    <t>MER-0001</t>
  </si>
  <si>
    <t>MANGAFE</t>
  </si>
  <si>
    <t>YAKANG</t>
  </si>
  <si>
    <t>MOK-0017</t>
  </si>
  <si>
    <t>NASSARAO 1</t>
  </si>
  <si>
    <t>MOK-0018</t>
  </si>
  <si>
    <t>NASSARAO 2</t>
  </si>
  <si>
    <t>MOK-0039</t>
  </si>
  <si>
    <t>HIDOUA</t>
  </si>
  <si>
    <t>MOK-0050</t>
  </si>
  <si>
    <t>GOSSI</t>
  </si>
  <si>
    <t>MOK-0051</t>
  </si>
  <si>
    <t>MITCHATCHIA</t>
  </si>
  <si>
    <t>MOK-0052</t>
  </si>
  <si>
    <t>ROUM</t>
  </si>
  <si>
    <t>MOL-0002</t>
  </si>
  <si>
    <t>OURO BELLO</t>
  </si>
  <si>
    <t>MOL-0010</t>
  </si>
  <si>
    <t>SANRIWA</t>
  </si>
  <si>
    <t>MOR-0066</t>
  </si>
  <si>
    <t>IGAOUA DOULO</t>
  </si>
  <si>
    <t>MOR-0067</t>
  </si>
  <si>
    <t>MAFGARE</t>
  </si>
  <si>
    <t>MOR-0070</t>
  </si>
  <si>
    <t>NGOUMOULDI</t>
  </si>
  <si>
    <t>MOR-0072</t>
  </si>
  <si>
    <t>PIVOU 2</t>
  </si>
  <si>
    <t>MOR-0074</t>
  </si>
  <si>
    <t>GOGOROM</t>
  </si>
  <si>
    <t>MOR-0075</t>
  </si>
  <si>
    <t>BLAMADERI</t>
  </si>
  <si>
    <t>MOR-0086</t>
  </si>
  <si>
    <t>SITE DE DJAMAKIYA</t>
  </si>
  <si>
    <t>SITE DE BOURDALA</t>
  </si>
  <si>
    <t>MOZ-0002</t>
  </si>
  <si>
    <t>GOLKIDAYE</t>
  </si>
  <si>
    <t>MOZ-0016</t>
  </si>
  <si>
    <t>YAMGAZAWA</t>
  </si>
  <si>
    <t>MOZ-0021</t>
  </si>
  <si>
    <t>VOUZI</t>
  </si>
  <si>
    <t>MOZ-0022</t>
  </si>
  <si>
    <t>MOZ-0032</t>
  </si>
  <si>
    <t>ZENEME</t>
  </si>
  <si>
    <t>MOZ-0038</t>
  </si>
  <si>
    <t>VOURKAZA</t>
  </si>
  <si>
    <t>DEKERE SITE</t>
  </si>
  <si>
    <t>PET-0007</t>
  </si>
  <si>
    <t>EREO</t>
  </si>
  <si>
    <t>PET-0009</t>
  </si>
  <si>
    <t>HAOUSSARE</t>
  </si>
  <si>
    <t>PET-0031</t>
  </si>
  <si>
    <t>OURO HABIROU</t>
  </si>
  <si>
    <t>SOU-0008</t>
  </si>
  <si>
    <t>OUDOUMDJARAY</t>
  </si>
  <si>
    <t>TOK-0013</t>
  </si>
  <si>
    <t>DJESKAWE</t>
  </si>
  <si>
    <t>TOK-0014</t>
  </si>
  <si>
    <t>GADABAK</t>
  </si>
  <si>
    <t>Déplacements pendulaires réguliers</t>
  </si>
  <si>
    <t>WAZ-0011</t>
  </si>
  <si>
    <t>TAGAWA 3</t>
  </si>
  <si>
    <t>WAZ-0023</t>
  </si>
  <si>
    <t>GOULOU</t>
  </si>
  <si>
    <t>WAZ-0025</t>
  </si>
  <si>
    <t>MADAWAYA</t>
  </si>
  <si>
    <t>WAZ-0039</t>
  </si>
  <si>
    <t>BILE 1</t>
  </si>
  <si>
    <t>DOUVOUI</t>
  </si>
  <si>
    <t>KOULIA</t>
  </si>
  <si>
    <t>MIZIGUILI</t>
  </si>
  <si>
    <t>NGAME 1</t>
  </si>
  <si>
    <t>NGAME 2</t>
  </si>
  <si>
    <t>OUZOULME 2</t>
  </si>
  <si>
    <t>En dur</t>
  </si>
  <si>
    <t>ZIN-0006</t>
  </si>
  <si>
    <t>MANKA</t>
  </si>
  <si>
    <t>Adm1_Name</t>
  </si>
  <si>
    <t>Adm1_code</t>
  </si>
  <si>
    <t>Adm2_Name</t>
  </si>
  <si>
    <t>Adm2_code</t>
  </si>
  <si>
    <t>Adm3_Name</t>
  </si>
  <si>
    <t>Adm3_code</t>
  </si>
  <si>
    <t>Village_code</t>
  </si>
  <si>
    <t>Village_name</t>
  </si>
  <si>
    <t>Household_IDPs</t>
  </si>
  <si>
    <t>Ind_IDPs</t>
  </si>
  <si>
    <t>Household_Refugees</t>
  </si>
  <si>
    <t>Ind_Refugees</t>
  </si>
  <si>
    <t>Household_Returnees</t>
  </si>
  <si>
    <t>Ind_Returnees</t>
  </si>
  <si>
    <t>Données sur les motifs de retour des personnes retournées</t>
  </si>
  <si>
    <t>Données sur la comparaison entre le round actuel et le round précédent dans les localités qui ont été evaluées lors des deux rounds</t>
  </si>
  <si>
    <t>departement</t>
  </si>
  <si>
    <t>arrondissement</t>
  </si>
  <si>
    <t>Village_Name</t>
  </si>
  <si>
    <t>Statut</t>
  </si>
  <si>
    <t>periode</t>
  </si>
  <si>
    <t>hh</t>
  </si>
  <si>
    <t>ind</t>
  </si>
  <si>
    <t>motif_de_retour</t>
  </si>
  <si>
    <t>autre_motif_de_retour</t>
  </si>
  <si>
    <t>Adm2_name</t>
  </si>
  <si>
    <t>Adm3_name</t>
  </si>
  <si>
    <t>actual idp_hh</t>
  </si>
  <si>
    <t>actual idp_ind</t>
  </si>
  <si>
    <t>actual ref_hh</t>
  </si>
  <si>
    <t>actual ref_ind</t>
  </si>
  <si>
    <t>actual ret_hh</t>
  </si>
  <si>
    <t>actual ret_ind</t>
  </si>
  <si>
    <t>previous idp_hh</t>
  </si>
  <si>
    <t>previous idp_ind</t>
  </si>
  <si>
    <t>previous ref_hh</t>
  </si>
  <si>
    <t>previous ref_ind</t>
  </si>
  <si>
    <t>previous ret_hh</t>
  </si>
  <si>
    <t>previous ret_ind</t>
  </si>
  <si>
    <t>variation idp</t>
  </si>
  <si>
    <t>variation ref</t>
  </si>
  <si>
    <t>variation ret</t>
  </si>
  <si>
    <t>Arrondissements de Provenance</t>
  </si>
  <si>
    <t>La durée du déplacement pour la majorité des retournés présents dans la localité de provenance</t>
  </si>
  <si>
    <t>Durée</t>
  </si>
  <si>
    <t>entre 1 et 5 ans</t>
  </si>
  <si>
    <t>entre 3 mois et 1 an</t>
  </si>
  <si>
    <t>moins de 3 mois</t>
  </si>
  <si>
    <t>Duration</t>
  </si>
  <si>
    <t>5 years or more</t>
  </si>
  <si>
    <t>between 1 and 5 years</t>
  </si>
  <si>
    <t>between 3 months and 1 year</t>
  </si>
  <si>
    <t>less than 3 months</t>
  </si>
  <si>
    <t>Don't know</t>
  </si>
  <si>
    <t>The duration of displacement for the majority of returnees present in the locality from</t>
  </si>
  <si>
    <r>
      <t xml:space="preserve">Les questionnaires collectent des informations au niveau village, localité ou site sur les personnes mobiles dans leur ensemble. Dans le cadre de cet exercice, cela comprend : 
       • </t>
    </r>
    <r>
      <rPr>
        <b/>
        <sz val="12"/>
        <color theme="1"/>
        <rFont val="Arial Narrow"/>
        <family val="2"/>
      </rPr>
      <t>Une personne déplacée interne (PDI)</t>
    </r>
    <r>
      <rPr>
        <sz val="12"/>
        <color theme="1"/>
        <rFont val="Arial Narrow"/>
        <family val="2"/>
      </rPr>
      <t xml:space="preserve"> est une « personne [...] qui a été forcée ou contrainte à fuir ou à quitter son foyer ou son lieu de résidence habituel, notamment en raison d’un conflit armé, de situations de violence généralisée, de violations des droits de l’homme ou de catastrophes naturelles ou provoquées par l’homme ou pour en éviter les effets, et qui n’a pas franchi les frontières internationalement reconnues d’un État3».
      • </t>
    </r>
    <r>
      <rPr>
        <b/>
        <sz val="12"/>
        <color theme="1"/>
        <rFont val="Arial Narrow"/>
        <family val="2"/>
      </rPr>
      <t>Un réfugié hors camp</t>
    </r>
    <r>
      <rPr>
        <sz val="12"/>
        <color theme="1"/>
        <rFont val="Arial Narrow"/>
        <family val="2"/>
      </rPr>
      <t xml:space="preserve"> est une personne ressortissante d’un pays autre que celui où elle se trouve et qui est venue dans ce dernier pour chercher refuge d’une situation à laquelle elle était confrontée dans son pays d’origine, mais qui ne vit pas dans un camp officiel.
      • </t>
    </r>
    <r>
      <rPr>
        <b/>
        <sz val="12"/>
        <color theme="1"/>
        <rFont val="Arial Narrow"/>
        <family val="2"/>
      </rPr>
      <t>Une personne retournée</t>
    </r>
    <r>
      <rPr>
        <sz val="12"/>
        <color theme="1"/>
        <rFont val="Arial Narrow"/>
        <family val="2"/>
      </rPr>
      <t xml:space="preserve"> est une personne qui, alors qu’elle s’était installée dans un lieu autre que son lieu d’origine, est depuis retournée dans son lieu d’origine. On distingue les retournés anciennes PDI, qui étaient déplacées à l’intérieur des frontières de leur pays d’origine ou de résidence habituelle et qui sont depuis retournés dans leur localité d’origine, des retournés de l’étranger, qui étaient déplacés dans un pays autre que leur pays d’origine ou de résidence habituelle et qui sont depuis retournés dans leur pays.</t>
    </r>
  </si>
  <si>
    <r>
      <rPr>
        <b/>
        <sz val="12"/>
        <rFont val="Arial Narrow"/>
        <family val="2"/>
      </rPr>
      <t xml:space="preserve">    1. Au niveau des départements</t>
    </r>
    <r>
      <rPr>
        <sz val="12"/>
        <rFont val="Arial Narrow"/>
        <family val="2"/>
      </rPr>
      <t xml:space="preserve">, l’évaluation se fait par les points focaux qui travaillent auprès des préfets. C’est également à ce niveau que l’échantillon des ménages auprès desquels l’enquête sur les intentions de retour des populations déplacées sera menée est défini.
</t>
    </r>
    <r>
      <rPr>
        <b/>
        <sz val="12"/>
        <rFont val="Arial Narrow"/>
        <family val="2"/>
      </rPr>
      <t xml:space="preserve">    2. Au niveau des arrondissements</t>
    </r>
    <r>
      <rPr>
        <sz val="12"/>
        <rFont val="Arial Narrow"/>
        <family val="2"/>
      </rPr>
      <t xml:space="preserve">, les chefs d’équipes collectent des données auprès des sous-préfets. C’est à ce niveau que les listes des villages accueillant des populations déplacées sont mises à jour.
    </t>
    </r>
    <r>
      <rPr>
        <b/>
        <sz val="12"/>
        <rFont val="Arial Narrow"/>
        <family val="2"/>
      </rPr>
      <t>3. Au niveau des villages</t>
    </r>
    <r>
      <rPr>
        <sz val="12"/>
        <rFont val="Arial Narrow"/>
        <family val="2"/>
      </rPr>
      <t>, les énumérateurs collectent des données auprès des chefs de village et des représentants des populations mobiles, et de toute autre personne susceptible de fournir des informations sur les populations mobiles.</t>
    </r>
  </si>
  <si>
    <t>% ménages à réunir</t>
  </si>
  <si>
    <t>Pourcentage de ménages mobiles dans leur département d'arrivée cherchant à retrouver leur famille</t>
  </si>
  <si>
    <t>PET-0034</t>
  </si>
  <si>
    <t>TCHALGA</t>
  </si>
  <si>
    <t>GUIBA</t>
  </si>
  <si>
    <t>GARDÉ II</t>
  </si>
  <si>
    <t>MAOUDA</t>
  </si>
  <si>
    <t>OURA 1</t>
  </si>
  <si>
    <t>SAPONGARI</t>
  </si>
  <si>
    <t>MOUSTAFARI</t>
  </si>
  <si>
    <t>MAGA CENTRE</t>
  </si>
  <si>
    <t>OURA 2</t>
  </si>
  <si>
    <t>SIYAOU</t>
  </si>
  <si>
    <t>DAMA</t>
  </si>
  <si>
    <t>DIGA ARABE</t>
  </si>
  <si>
    <t>MAHAO ARABE</t>
  </si>
  <si>
    <t>ADOUMER</t>
  </si>
  <si>
    <t>MBARKOUT</t>
  </si>
  <si>
    <t>TAPADAÏ</t>
  </si>
  <si>
    <t>MELEME</t>
  </si>
  <si>
    <t>OURO-GAOU</t>
  </si>
  <si>
    <t>ZOLZALÉ</t>
  </si>
  <si>
    <t>BLAMMOUTOKO</t>
  </si>
  <si>
    <t>NDOUVGUI KILDA</t>
  </si>
  <si>
    <t>GUID CHIGUE</t>
  </si>
  <si>
    <t>HILE-NIMR</t>
  </si>
  <si>
    <t>MOR-0033</t>
  </si>
  <si>
    <t>Hile-Alifa</t>
  </si>
  <si>
    <t>MAK-0121</t>
  </si>
  <si>
    <t>BOG-0002</t>
  </si>
  <si>
    <t>KOL-0009</t>
  </si>
  <si>
    <t>MAK-0160</t>
  </si>
  <si>
    <t>MAK-0200</t>
  </si>
  <si>
    <t>LBI-0107</t>
  </si>
  <si>
    <t>GOU-0054</t>
  </si>
  <si>
    <t>GOU-0055</t>
  </si>
  <si>
    <t>GOU-0056</t>
  </si>
  <si>
    <t>GOU-0057</t>
  </si>
  <si>
    <t>LBI-0102</t>
  </si>
  <si>
    <t>MAK-0162</t>
  </si>
  <si>
    <t>MAK-0163</t>
  </si>
  <si>
    <t>GOU-0059</t>
  </si>
  <si>
    <t>WAZ-0024</t>
  </si>
  <si>
    <t>ZIN-0001</t>
  </si>
  <si>
    <t>LBI-0095</t>
  </si>
  <si>
    <t>LBI-0094</t>
  </si>
  <si>
    <t>LBI-0098</t>
  </si>
  <si>
    <t>LBI-0099</t>
  </si>
  <si>
    <t>MAK-0210</t>
  </si>
  <si>
    <t>KOL-0022</t>
  </si>
  <si>
    <t>MAK-0164</t>
  </si>
  <si>
    <t>WAZ-0028</t>
  </si>
  <si>
    <t>LBI-0077</t>
  </si>
  <si>
    <t>MAK-0017</t>
  </si>
  <si>
    <t>FOT-0002</t>
  </si>
  <si>
    <t>BLA-0027</t>
  </si>
  <si>
    <t>MAK-0153</t>
  </si>
  <si>
    <t>BOG-0001</t>
  </si>
  <si>
    <t>MAK-0165</t>
  </si>
  <si>
    <t>MOR-0036</t>
  </si>
  <si>
    <t>KOL-0008</t>
  </si>
  <si>
    <t>MAK-0198</t>
  </si>
  <si>
    <t>LBI-0005</t>
  </si>
  <si>
    <t>LBI-0101</t>
  </si>
  <si>
    <t>KOL-0027</t>
  </si>
  <si>
    <t>MAK-0106</t>
  </si>
  <si>
    <t>LBI-0050</t>
  </si>
  <si>
    <t>MAK-0129</t>
  </si>
  <si>
    <t>LBI-0051</t>
  </si>
  <si>
    <t>FOT-0003</t>
  </si>
  <si>
    <t>LBI-0097</t>
  </si>
  <si>
    <t>LBI-0096</t>
  </si>
  <si>
    <t>LBI-0085</t>
  </si>
  <si>
    <t>MOR-0039</t>
  </si>
  <si>
    <t>LBI-0052</t>
  </si>
  <si>
    <t>MAK-0130</t>
  </si>
  <si>
    <t>LBI-0053</t>
  </si>
  <si>
    <t>LBI-0100</t>
  </si>
  <si>
    <t>LBI-0092</t>
  </si>
  <si>
    <t>MOR-0027</t>
  </si>
  <si>
    <t>KOU-0006</t>
  </si>
  <si>
    <t>MAK-0027</t>
  </si>
  <si>
    <t>MOR-0023</t>
  </si>
  <si>
    <t>BOU-0007</t>
  </si>
  <si>
    <t>KOZ-0001</t>
  </si>
  <si>
    <t>MOZ-0036</t>
  </si>
  <si>
    <t>MAK-0029</t>
  </si>
  <si>
    <t>MOR-0003</t>
  </si>
  <si>
    <t>LBI-0054</t>
  </si>
  <si>
    <t>LBI-0109</t>
  </si>
  <si>
    <t>LBI-0106</t>
  </si>
  <si>
    <t>DOMAYO COMPLEXE  (CAMP)</t>
  </si>
  <si>
    <t>MAK-0188</t>
  </si>
  <si>
    <t>KOL-0015</t>
  </si>
  <si>
    <t>WAZ-0029</t>
  </si>
  <si>
    <t>FOT-0005</t>
  </si>
  <si>
    <t>LBI-0089</t>
  </si>
  <si>
    <t>KOZ-0033</t>
  </si>
  <si>
    <t>LBI-0006</t>
  </si>
  <si>
    <t>MA2-0004</t>
  </si>
  <si>
    <t>LBI-0093</t>
  </si>
  <si>
    <t>KOL-0014</t>
  </si>
  <si>
    <t>LBI-0055</t>
  </si>
  <si>
    <t>PET-0033</t>
  </si>
  <si>
    <t>KOL-0007</t>
  </si>
  <si>
    <t>LBI-0056</t>
  </si>
  <si>
    <t>MAK-0037</t>
  </si>
  <si>
    <t>MAK-0038</t>
  </si>
  <si>
    <t>FOT-0025</t>
  </si>
  <si>
    <t>FOT-0026</t>
  </si>
  <si>
    <t>HIL-0007</t>
  </si>
  <si>
    <t>LBI-0057</t>
  </si>
  <si>
    <t>WAZ-0016</t>
  </si>
  <si>
    <t>WAZ-0021</t>
  </si>
  <si>
    <t>BOG-0003</t>
  </si>
  <si>
    <t>LBI-0010</t>
  </si>
  <si>
    <t>MAK-0138</t>
  </si>
  <si>
    <t>WAZ-0001</t>
  </si>
  <si>
    <t>MAK-0139</t>
  </si>
  <si>
    <t>KOL-0023</t>
  </si>
  <si>
    <t>MAK-0185</t>
  </si>
  <si>
    <t>KOU-0008</t>
  </si>
  <si>
    <t>MAK-0140</t>
  </si>
  <si>
    <t>MAK-0120</t>
  </si>
  <si>
    <t>LBI-0090</t>
  </si>
  <si>
    <t>MOK-0032</t>
  </si>
  <si>
    <t>HIL-0009</t>
  </si>
  <si>
    <t>LBI-0058</t>
  </si>
  <si>
    <t>LBI-0059</t>
  </si>
  <si>
    <t>GOU-0053</t>
  </si>
  <si>
    <t>HIL-0013</t>
  </si>
  <si>
    <t>GOU-0008</t>
  </si>
  <si>
    <t>MOZ-0035</t>
  </si>
  <si>
    <t>LBI-0060</t>
  </si>
  <si>
    <t>LBI-0082</t>
  </si>
  <si>
    <t>LBI-0001</t>
  </si>
  <si>
    <t>LBI-0061</t>
  </si>
  <si>
    <t>MOR-0050</t>
  </si>
  <si>
    <t>LBI-0062</t>
  </si>
  <si>
    <t>LBI-0063</t>
  </si>
  <si>
    <t>MOZ-0018</t>
  </si>
  <si>
    <t>MOR-0038</t>
  </si>
  <si>
    <t>LBI-0064</t>
  </si>
  <si>
    <t>MAK-0119</t>
  </si>
  <si>
    <t>KOL-0003</t>
  </si>
  <si>
    <t>KOL-0017</t>
  </si>
  <si>
    <t>KOL-0024</t>
  </si>
  <si>
    <t>MOG-0014</t>
  </si>
  <si>
    <t>BOG-0004</t>
  </si>
  <si>
    <t>KOL-0020</t>
  </si>
  <si>
    <t>KOZ-0037</t>
  </si>
  <si>
    <t>MOK-0033</t>
  </si>
  <si>
    <t>LBI-0065</t>
  </si>
  <si>
    <t>LBI-0066</t>
  </si>
  <si>
    <t>MOL-0012</t>
  </si>
  <si>
    <t>WAZ-0017</t>
  </si>
  <si>
    <t>FOT-0038</t>
  </si>
  <si>
    <t>MAK-0056</t>
  </si>
  <si>
    <t>MAK-0207</t>
  </si>
  <si>
    <t>HIL-0017</t>
  </si>
  <si>
    <t>MOR-0031</t>
  </si>
  <si>
    <t>LBI-0068</t>
  </si>
  <si>
    <t>MOK-0009</t>
  </si>
  <si>
    <t>LBI-0069</t>
  </si>
  <si>
    <t>KOL-0026</t>
  </si>
  <si>
    <t>FOT-0035</t>
  </si>
  <si>
    <t>GOU-0028</t>
  </si>
  <si>
    <t>FOT-0017</t>
  </si>
  <si>
    <t>MAK-0227</t>
  </si>
  <si>
    <t>LBI-0070</t>
  </si>
  <si>
    <t>GOU-0029</t>
  </si>
  <si>
    <t>LBI-0091</t>
  </si>
  <si>
    <t>LBI-0071</t>
  </si>
  <si>
    <t>WAZ-0018</t>
  </si>
  <si>
    <t>MAK-0114</t>
  </si>
  <si>
    <t>MA3-0007</t>
  </si>
  <si>
    <t>MOK-0035</t>
  </si>
  <si>
    <t>KOZ-0019</t>
  </si>
  <si>
    <t>LBI-0072</t>
  </si>
  <si>
    <t>MOR-0013</t>
  </si>
  <si>
    <t>MOK-0012</t>
  </si>
  <si>
    <t>LBI-0073</t>
  </si>
  <si>
    <t>MOZ-0006</t>
  </si>
  <si>
    <t>FOT-0018</t>
  </si>
  <si>
    <t>MAK-0171</t>
  </si>
  <si>
    <t>MOR-0047</t>
  </si>
  <si>
    <t>MOR-0046</t>
  </si>
  <si>
    <t>WAZ-0005</t>
  </si>
  <si>
    <t>GOU-0025</t>
  </si>
  <si>
    <t>LBI-0087</t>
  </si>
  <si>
    <t>FOT-0036</t>
  </si>
  <si>
    <t>MIN-0003</t>
  </si>
  <si>
    <t>KOZ-0021</t>
  </si>
  <si>
    <t>MIN-0001</t>
  </si>
  <si>
    <t>BOG-0005</t>
  </si>
  <si>
    <t>MOZ-0029</t>
  </si>
  <si>
    <t>MOZ-0030</t>
  </si>
  <si>
    <t>LBI-0012</t>
  </si>
  <si>
    <t>LBI-0013</t>
  </si>
  <si>
    <t>LBI-0103</t>
  </si>
  <si>
    <t>GOU-0058</t>
  </si>
  <si>
    <t>LBI-0108</t>
  </si>
  <si>
    <t>KOU-0027</t>
  </si>
  <si>
    <t>MOK-0015</t>
  </si>
  <si>
    <t>MAK-0146</t>
  </si>
  <si>
    <t>MAK-0075</t>
  </si>
  <si>
    <t>LBI-0084</t>
  </si>
  <si>
    <t>LBI-0081</t>
  </si>
  <si>
    <t>BOG-0006</t>
  </si>
  <si>
    <t>FOT-0032</t>
  </si>
  <si>
    <t>MAK-0115</t>
  </si>
  <si>
    <t>LBI-0074</t>
  </si>
  <si>
    <t>MOZ-0033</t>
  </si>
  <si>
    <t>MAK-0116</t>
  </si>
  <si>
    <t>FOT-0021</t>
  </si>
  <si>
    <t>KOU-0045</t>
  </si>
  <si>
    <t>MAK-0209</t>
  </si>
  <si>
    <t>SOU-0007</t>
  </si>
  <si>
    <t>LBI-0078</t>
  </si>
  <si>
    <t>LBI-0104</t>
  </si>
  <si>
    <t>LBI-0080</t>
  </si>
  <si>
    <t>LBI-0105</t>
  </si>
  <si>
    <t>LBI-0079</t>
  </si>
  <si>
    <t>BOG-0007</t>
  </si>
  <si>
    <t>MOK-0040</t>
  </si>
  <si>
    <t>MA3-0008</t>
  </si>
  <si>
    <t>WAZ-0035</t>
  </si>
  <si>
    <t>KOU-0031</t>
  </si>
  <si>
    <t>LBI-0086</t>
  </si>
  <si>
    <t>MAK-0117</t>
  </si>
  <si>
    <t>MAK-0118</t>
  </si>
  <si>
    <t>LBI-0008</t>
  </si>
  <si>
    <t>LBI-0083</t>
  </si>
  <si>
    <t>MOR-0019</t>
  </si>
  <si>
    <t>KOL-0025</t>
  </si>
  <si>
    <t>KOL-0029</t>
  </si>
  <si>
    <t>KOL-0031</t>
  </si>
  <si>
    <t>KOL-0034</t>
  </si>
  <si>
    <t>KOL-0032</t>
  </si>
  <si>
    <t>WAZ-0022</t>
  </si>
  <si>
    <t>TOK-0019</t>
  </si>
  <si>
    <t>FOT-0014</t>
  </si>
  <si>
    <t>LBI-0075</t>
  </si>
  <si>
    <t>MAK-0193</t>
  </si>
  <si>
    <t>MOR-0032</t>
  </si>
  <si>
    <t>MAK-0180</t>
  </si>
  <si>
    <t>LBI-0041</t>
  </si>
  <si>
    <t>KOL-0021</t>
  </si>
  <si>
    <t>PET-0026</t>
  </si>
  <si>
    <t>LBI-0018</t>
  </si>
  <si>
    <t>MOZ-0028</t>
  </si>
  <si>
    <t>KOL-0005</t>
  </si>
  <si>
    <t>FOT-0033</t>
  </si>
  <si>
    <t>MOK-0034</t>
  </si>
  <si>
    <t>LBI-0076</t>
  </si>
  <si>
    <t>MAK-0094</t>
  </si>
  <si>
    <t>MA1-0006</t>
  </si>
  <si>
    <t>KOZ-0032</t>
  </si>
  <si>
    <t>MOR-0043</t>
  </si>
  <si>
    <t>LBI-0088</t>
  </si>
  <si>
    <t>MOZ-0024</t>
  </si>
  <si>
    <t>MOZ-0025</t>
  </si>
  <si>
    <t>KOL-0004</t>
  </si>
  <si>
    <t>Avant 2020</t>
  </si>
  <si>
    <t>Before 2020</t>
  </si>
  <si>
    <t>RET_NOUVEAU_domicile personnel</t>
  </si>
  <si>
    <t>Round 25 (Août 2022)</t>
  </si>
  <si>
    <t># TOTAL INDs DEPLACES</t>
  </si>
  <si>
    <t>Autre Région</t>
  </si>
  <si>
    <t>Test</t>
  </si>
  <si>
    <t>Round 25</t>
  </si>
  <si>
    <t>Difference (Round 25-Round 24)</t>
  </si>
  <si>
    <t>Evolution Depuis R24</t>
  </si>
  <si>
    <t>Evolution from R24</t>
  </si>
  <si>
    <t>Village accueillant au moins une categorie de populations cibles (PDI, Refugié, Retourné)</t>
  </si>
  <si>
    <t>Village n'accueillant pas au moins une categorie de populations cibles (PDI, Refugié, Retourné)</t>
  </si>
  <si>
    <t>Site accueillant au moins une categorie de populations cibles (PDI, Refugié, Retourné)</t>
  </si>
  <si>
    <t>Site n'accueillant pas au moins une categorie de populations cibles (PDI, Refugié, Retourné)</t>
  </si>
  <si>
    <t>Sites avec population</t>
  </si>
  <si>
    <t>Sites vides dans la nuit</t>
  </si>
  <si>
    <t>Sites totalement vide</t>
  </si>
  <si>
    <t># Nouvelles localites</t>
  </si>
  <si>
    <t>Urbain (Plus de 5000 personnes)</t>
  </si>
  <si>
    <t>Rural (Moins de 5000 personnes)</t>
  </si>
  <si>
    <t>Type de zone de l’évaluation</t>
  </si>
  <si>
    <t>Nombre de village_name</t>
  </si>
  <si>
    <t>Types de zones de déplacement / Departements</t>
  </si>
  <si>
    <t>Nombres de popultions deplacees par type de zones</t>
  </si>
  <si>
    <t>retournées</t>
  </si>
  <si>
    <r>
      <t xml:space="preserve">Statut des </t>
    </r>
    <r>
      <rPr>
        <b/>
        <sz val="14"/>
        <color rgb="FFC00000"/>
        <rFont val="Gill Sans Nova"/>
        <family val="2"/>
      </rPr>
      <t>villages</t>
    </r>
    <r>
      <rPr>
        <b/>
        <sz val="14"/>
        <color theme="0"/>
        <rFont val="Gill Sans Nova"/>
        <family val="2"/>
      </rPr>
      <t xml:space="preserve"> en fonction de la présence de population cible</t>
    </r>
  </si>
  <si>
    <t>Village evalués</t>
  </si>
  <si>
    <t>Sites evalués</t>
  </si>
  <si>
    <r>
      <t xml:space="preserve">Statut des </t>
    </r>
    <r>
      <rPr>
        <b/>
        <sz val="14"/>
        <color rgb="FFFF0000"/>
        <rFont val="Calibri"/>
        <family val="2"/>
        <scheme val="minor"/>
      </rPr>
      <t>Sites de déplacement spontanés</t>
    </r>
    <r>
      <rPr>
        <b/>
        <sz val="14"/>
        <color theme="0"/>
        <rFont val="Calibri"/>
        <family val="2"/>
        <scheme val="minor"/>
      </rPr>
      <t xml:space="preserve"> en fonction de la présence de population (Pop hote, PDI, Refugié, Retourné)</t>
    </r>
  </si>
  <si>
    <r>
      <t>Statut des</t>
    </r>
    <r>
      <rPr>
        <b/>
        <sz val="12"/>
        <color rgb="FFFF0000"/>
        <rFont val="Gill Sans Nova"/>
        <family val="2"/>
      </rPr>
      <t xml:space="preserve"> </t>
    </r>
    <r>
      <rPr>
        <b/>
        <sz val="14"/>
        <color rgb="FFFF0000"/>
        <rFont val="Calibri"/>
        <family val="2"/>
        <scheme val="minor"/>
      </rPr>
      <t>Sites de déplacement spontanés</t>
    </r>
    <r>
      <rPr>
        <b/>
        <sz val="14"/>
        <color theme="0"/>
        <rFont val="Calibri"/>
        <family val="2"/>
        <scheme val="minor"/>
      </rPr>
      <t xml:space="preserve"> en fonction de la présence de population cible</t>
    </r>
  </si>
  <si>
    <r>
      <t xml:space="preserve">Statut des </t>
    </r>
    <r>
      <rPr>
        <b/>
        <sz val="14"/>
        <color rgb="FFC00000"/>
        <rFont val="Gill Sans Nova"/>
        <family val="2"/>
      </rPr>
      <t xml:space="preserve">villages </t>
    </r>
    <r>
      <rPr>
        <b/>
        <sz val="14"/>
        <color theme="0"/>
        <rFont val="Gill Sans Nova"/>
        <family val="2"/>
      </rPr>
      <t>en fonction de la présence de population (Pop hote, PDI, Refugié, Retourné)</t>
    </r>
  </si>
  <si>
    <t>DOLE</t>
  </si>
  <si>
    <t>MOUNK</t>
  </si>
  <si>
    <t>MISHISKA</t>
  </si>
  <si>
    <t>MOUTAZ</t>
  </si>
  <si>
    <t>WATA TOUFOU</t>
  </si>
  <si>
    <t>MABASS</t>
  </si>
  <si>
    <t>NDJAMENA ISSA</t>
  </si>
  <si>
    <t>FADJÉ</t>
  </si>
  <si>
    <t>MAROUFA</t>
  </si>
  <si>
    <t>DILGA GOGOM</t>
  </si>
  <si>
    <t>DILGA ELI</t>
  </si>
  <si>
    <t>GAMBAROU MOUSGOUM</t>
  </si>
  <si>
    <t>BOULAKORE 1,2,3</t>
  </si>
  <si>
    <t>LDAODZAF</t>
  </si>
  <si>
    <t>LERKEI</t>
  </si>
  <si>
    <t>MAXI</t>
  </si>
  <si>
    <t>MOKOLO ( MATAKAM-SUD)</t>
  </si>
  <si>
    <t>ADA</t>
  </si>
  <si>
    <t>TINERI 1</t>
  </si>
  <si>
    <t>TINERI 2</t>
  </si>
  <si>
    <t>KALGOULOU 1</t>
  </si>
  <si>
    <t>KALGOULOU 2</t>
  </si>
  <si>
    <t>GO</t>
  </si>
  <si>
    <t>DJIDABALI</t>
  </si>
  <si>
    <t>MAKARY CENTRE</t>
  </si>
  <si>
    <t>MRÉ - MRÉ</t>
  </si>
  <si>
    <t>KRAWA-MAFA</t>
  </si>
  <si>
    <t>ZELEVED</t>
  </si>
  <si>
    <t>GOU-0050</t>
  </si>
  <si>
    <t>LBI-0067</t>
  </si>
  <si>
    <t>WAZ-0034</t>
  </si>
  <si>
    <t>MA1-0007</t>
  </si>
  <si>
    <t>Nombres de localites par types</t>
  </si>
  <si>
    <t>Nombre de village_name2</t>
  </si>
  <si>
    <t>Démographie des individus par sexe et par département par rapport au département</t>
  </si>
  <si>
    <t>Hommes</t>
  </si>
  <si>
    <t>Femmes</t>
  </si>
  <si>
    <t>Total Hommes</t>
  </si>
  <si>
    <t>Total Femmes</t>
  </si>
  <si>
    <t>TOTAL INDIVIDUS</t>
  </si>
  <si>
    <t>Aide Graphe Homme</t>
  </si>
  <si>
    <t xml:space="preserve">Participants des Focus Group par département </t>
  </si>
  <si>
    <t>Nombre Participants des Focus Group</t>
  </si>
  <si>
    <t>Cette étude a été rendue possible par le financement de European Civil Protection and Humanitarian Aid Operations (UE - ECHO)</t>
  </si>
  <si>
    <t>En 2020</t>
  </si>
  <si>
    <t>En 2021</t>
  </si>
  <si>
    <t>Janvier - Aout 2022</t>
  </si>
  <si>
    <t>Septembre 2022 – Février 2023</t>
  </si>
  <si>
    <t>SSID_Village</t>
  </si>
  <si>
    <t>MANDOUSSA DZA</t>
  </si>
  <si>
    <t>LDALOU</t>
  </si>
  <si>
    <t>KOULKOUBAI</t>
  </si>
  <si>
    <t>KOUVA</t>
  </si>
  <si>
    <t>MALIA</t>
  </si>
  <si>
    <t xml:space="preserve">OUPAI </t>
  </si>
  <si>
    <t>DOULONG</t>
  </si>
  <si>
    <t>DZAKOURMA</t>
  </si>
  <si>
    <t>SITE DE MARIAM</t>
  </si>
  <si>
    <t>NGOUDOUM</t>
  </si>
  <si>
    <t>DILGA ARABE</t>
  </si>
  <si>
    <t xml:space="preserve">VEGUE </t>
  </si>
  <si>
    <t>BIPAING</t>
  </si>
  <si>
    <t>GABAN (HOURO BARKA)</t>
  </si>
  <si>
    <t>RIAD</t>
  </si>
  <si>
    <t>DAKOTCHER</t>
  </si>
  <si>
    <t xml:space="preserve">OUZOUMÉ1 </t>
  </si>
  <si>
    <t>DOUGUYA SITE</t>
  </si>
  <si>
    <t xml:space="preserve">SITE MOURA </t>
  </si>
  <si>
    <t>MAIDAKOURE</t>
  </si>
  <si>
    <t>MAHANA 2</t>
  </si>
  <si>
    <t>MARDIA</t>
  </si>
  <si>
    <t>GRINGAYWA</t>
  </si>
  <si>
    <t>BLAGANA</t>
  </si>
  <si>
    <t>HILE DJADID</t>
  </si>
  <si>
    <t>SARA</t>
  </si>
  <si>
    <t>MALOUMRI</t>
  </si>
  <si>
    <t>DOREISSOU</t>
  </si>
  <si>
    <t>BOURBEDE</t>
  </si>
  <si>
    <t>LOCKTCHA</t>
  </si>
  <si>
    <t>DIBISSA</t>
  </si>
  <si>
    <t>GAZIAM</t>
  </si>
  <si>
    <t>BOROWADJI</t>
  </si>
  <si>
    <t>DOUVAR</t>
  </si>
  <si>
    <t xml:space="preserve">GOUDOUGOUNI MOUSGOUM </t>
  </si>
  <si>
    <t>MASSA VOUMSOUNA</t>
  </si>
  <si>
    <t>MANGAL(LOUGOYE TAMAK )</t>
  </si>
  <si>
    <t xml:space="preserve">NDROCK </t>
  </si>
  <si>
    <t>DIGUE WILWANG (DIGUE GUIDOUANG )</t>
  </si>
  <si>
    <t>DARAM (BEKA)</t>
  </si>
  <si>
    <t>GOBOISSOU</t>
  </si>
  <si>
    <t>NALAYE</t>
  </si>
  <si>
    <t>KAMARKI</t>
  </si>
  <si>
    <t>DJENRENG</t>
  </si>
  <si>
    <t>VOUAIDOU</t>
  </si>
  <si>
    <t>SOUAYE</t>
  </si>
  <si>
    <t>ROUANE</t>
  </si>
  <si>
    <t>MASSA KALAC</t>
  </si>
  <si>
    <t>LARAM 2</t>
  </si>
  <si>
    <t>LARAM2</t>
  </si>
  <si>
    <t>SITE DE MADAGASCAR 1</t>
  </si>
  <si>
    <t>SITE DE AFIE 1</t>
  </si>
  <si>
    <t>SITE DE ANCIEN MAIRIE</t>
  </si>
  <si>
    <t>SITE DE ANGROWO (GOURLE)</t>
  </si>
  <si>
    <t>Tôle</t>
  </si>
  <si>
    <t>SITE DE BARARA</t>
  </si>
  <si>
    <t>SITE DE BIAMO</t>
  </si>
  <si>
    <t>SITE DE DEIMA</t>
  </si>
  <si>
    <t>SITE DE DINDO</t>
  </si>
  <si>
    <t>SITE DE DJARANGOUBOU MOUSGOUM</t>
  </si>
  <si>
    <t>SITE DE DZAMADZAF</t>
  </si>
  <si>
    <t>SITE DE GAKARA</t>
  </si>
  <si>
    <t>SITE DE HILE-ALIFA II</t>
  </si>
  <si>
    <t>SITE DE KAWADJI 1</t>
  </si>
  <si>
    <t>SITE DE KAWADJI 2</t>
  </si>
  <si>
    <t xml:space="preserve">SITE DE KEKAYA MADAICK </t>
  </si>
  <si>
    <t>SITE DE KROUANG 2</t>
  </si>
  <si>
    <t>SITE DE MAKARY - KATIKIME</t>
  </si>
  <si>
    <t>SITE DE MANGALME DOUGOUMACHI</t>
  </si>
  <si>
    <t>SITE DE MARCHÉ-HILE-ALIFA I</t>
  </si>
  <si>
    <t>SITE DE OURO DABANG</t>
  </si>
  <si>
    <t xml:space="preserve">SITE DE OURO DANDJI </t>
  </si>
  <si>
    <t>SITE DE RAMIDORINA</t>
  </si>
  <si>
    <t>SITE DE SALERI</t>
  </si>
  <si>
    <t>SITE DE SIGUET</t>
  </si>
  <si>
    <t>SITE DE TABOYE</t>
  </si>
  <si>
    <t>SITE DE TARADONA</t>
  </si>
  <si>
    <t>SITE DE YAMGAZAYA</t>
  </si>
  <si>
    <t>MOR-0091</t>
  </si>
  <si>
    <t>ADAKELE</t>
  </si>
  <si>
    <t>MAG-0019</t>
  </si>
  <si>
    <t>LBI-0110</t>
  </si>
  <si>
    <t>KAI-0025</t>
  </si>
  <si>
    <t>MAG-0020</t>
  </si>
  <si>
    <t>LBI-0111</t>
  </si>
  <si>
    <t>LBI-0112</t>
  </si>
  <si>
    <t>LBI-0113</t>
  </si>
  <si>
    <t>DAR-0004</t>
  </si>
  <si>
    <t>LBI-0114</t>
  </si>
  <si>
    <t>LBI-0115</t>
  </si>
  <si>
    <t>LBI-0116</t>
  </si>
  <si>
    <t>LBI-0117</t>
  </si>
  <si>
    <t>GUM-0002</t>
  </si>
  <si>
    <t>MOR-0090</t>
  </si>
  <si>
    <t>KOZ-0043</t>
  </si>
  <si>
    <t>LBI-0118</t>
  </si>
  <si>
    <t>LBI-0119</t>
  </si>
  <si>
    <t>MOZ-0040</t>
  </si>
  <si>
    <t>LBI-0120</t>
  </si>
  <si>
    <t>MOK-0059</t>
  </si>
  <si>
    <t>MAG-0021</t>
  </si>
  <si>
    <t>MAG-0022</t>
  </si>
  <si>
    <t>MAG-0023</t>
  </si>
  <si>
    <t>LBI-0121</t>
  </si>
  <si>
    <t xml:space="preserve">Famille d'accueil à titre gratuit </t>
  </si>
  <si>
    <t>MAG-0024</t>
  </si>
  <si>
    <t>MAG-0025</t>
  </si>
  <si>
    <t>MENDEZE</t>
  </si>
  <si>
    <t>LBI-0122</t>
  </si>
  <si>
    <t>LBI-0123</t>
  </si>
  <si>
    <t>MAG-0026</t>
  </si>
  <si>
    <t>MOK-0062</t>
  </si>
  <si>
    <t>LBI-0124</t>
  </si>
  <si>
    <t>KOZ-0044</t>
  </si>
  <si>
    <t>MAG-0027</t>
  </si>
  <si>
    <t>MAG-0028</t>
  </si>
  <si>
    <t>MAG-0029</t>
  </si>
  <si>
    <t>MAG-0030</t>
  </si>
  <si>
    <t>Suite à l'inondation  et la pluie</t>
  </si>
  <si>
    <t>PET-0035</t>
  </si>
  <si>
    <t>SITE DE ADOUMER</t>
  </si>
  <si>
    <t>SITE DE AFADE</t>
  </si>
  <si>
    <t>SITE DE ALAGARNO</t>
  </si>
  <si>
    <t>SITE DE ALVAKAYE</t>
  </si>
  <si>
    <t>SITE DE AMADABO 1</t>
  </si>
  <si>
    <t>SITE DE AMADABO 2</t>
  </si>
  <si>
    <t>SITE DE ARDJANIRE</t>
  </si>
  <si>
    <t>SITE DE BEDA</t>
  </si>
  <si>
    <t>SITE DE BEDEO</t>
  </si>
  <si>
    <t>SITE DE BLABLIN</t>
  </si>
  <si>
    <t>SITE DE BLANGOUA BACHE</t>
  </si>
  <si>
    <t>SITE DE BLEM</t>
  </si>
  <si>
    <t>SITE DE CHAFOU IDJELIDJE</t>
  </si>
  <si>
    <t>SITE DE DANDAYA</t>
  </si>
  <si>
    <t>SITE DE DJABIRE</t>
  </si>
  <si>
    <t>SITE DE DOMAYO COMPLEXE  (CAMP)</t>
  </si>
  <si>
    <t>SITE DE DOR-HELISNA</t>
  </si>
  <si>
    <t>SITE DE DOUBLE - LINGUIDIWA</t>
  </si>
  <si>
    <t>SITE DE DOUGUYA</t>
  </si>
  <si>
    <t>SITE DE FADJE</t>
  </si>
  <si>
    <t>SITE DE FARAOULOU</t>
  </si>
  <si>
    <t>SITE DE GAGRAI</t>
  </si>
  <si>
    <t>SITE DE GALBI</t>
  </si>
  <si>
    <t>SITE DE GLO KOTOKO</t>
  </si>
  <si>
    <t>SITE DE GODJI-GODJI</t>
  </si>
  <si>
    <t>SITE DE HIL-WANZAN</t>
  </si>
  <si>
    <t>SITE DE IYA MAGRA</t>
  </si>
  <si>
    <t>SITE DE KABE 3</t>
  </si>
  <si>
    <t>SITE DE KALA KAFRA</t>
  </si>
  <si>
    <t>SITE DE KARAMA 1</t>
  </si>
  <si>
    <t>SITE DE KERAWA - MAFA</t>
  </si>
  <si>
    <t>SITE DE KIDJIMATARI</t>
  </si>
  <si>
    <t>SITE DE KOLOFATA - BLAKODJI</t>
  </si>
  <si>
    <t>SITE DE KOLOFATA - MARCHE</t>
  </si>
  <si>
    <t>SITE DE KOMA</t>
  </si>
  <si>
    <t>SITE DE KONGHO 1</t>
  </si>
  <si>
    <t>SITE DE KONGHO 2</t>
  </si>
  <si>
    <t>SITE DE KOSSA - BLAMADERI</t>
  </si>
  <si>
    <t>SITE DE KOURDAYA</t>
  </si>
  <si>
    <t>SITE DE KOURGNOUGNOU</t>
  </si>
  <si>
    <t>SITE DE KOURGUI - MAYO</t>
  </si>
  <si>
    <t>SITE DE KOURGUI ECOLE</t>
  </si>
  <si>
    <t>SITE DE LAFIA</t>
  </si>
  <si>
    <t>SITE DE LIKAPPE</t>
  </si>
  <si>
    <t>SITE DE MADINA 2</t>
  </si>
  <si>
    <t>SITE DE MAFOUFOU</t>
  </si>
  <si>
    <t>SITE DE MAHAOUROU</t>
  </si>
  <si>
    <t>SITE DE MASSAKI</t>
  </si>
  <si>
    <t>SITE DE MAYO SANGUE</t>
  </si>
  <si>
    <t>SITE DE MEME - ALDJE 1</t>
  </si>
  <si>
    <t>SITE DE MEME - ALDJE 2</t>
  </si>
  <si>
    <t>SITE DE MEME - BIA</t>
  </si>
  <si>
    <t>SITE DE MEME - IGAWA 1</t>
  </si>
  <si>
    <t>SITE DE MEME - IGAWA 2</t>
  </si>
  <si>
    <t>SITE DE MEME - TALLA BRAHIM</t>
  </si>
  <si>
    <t>SITE DE MIKILEK</t>
  </si>
  <si>
    <t>Terre battue sans toiture</t>
  </si>
  <si>
    <t>MOK-0061</t>
  </si>
  <si>
    <t>SITE DE MOKOLO ( MATAKAM-SUD)</t>
  </si>
  <si>
    <t>SITE DE MOSKOTA - DZABA</t>
  </si>
  <si>
    <t>SITE DE MOSKOTA - MOGODA</t>
  </si>
  <si>
    <t>SITE DE MOSKOTA - TCHEBE-TCHEBE</t>
  </si>
  <si>
    <t>SITE DE MOULADOCK</t>
  </si>
  <si>
    <t>SITE DE NGUETCHEWE</t>
  </si>
  <si>
    <t>SITE DE OURO DJOUGOULE</t>
  </si>
  <si>
    <t>SITE DE OURO HABIROU</t>
  </si>
  <si>
    <t>SITE DE OURO TADA</t>
  </si>
  <si>
    <t>SITE DE POUSS</t>
  </si>
  <si>
    <t>Terre battue avec toiture en paille ou nylon</t>
  </si>
  <si>
    <t>SITE DE TCHAKAO</t>
  </si>
  <si>
    <t>SITE DE TEKELE</t>
  </si>
  <si>
    <t>SITE DE TILDE</t>
  </si>
  <si>
    <t>SITE DE TINI</t>
  </si>
  <si>
    <t>SITE DE TOUROU</t>
  </si>
  <si>
    <t>SITE DE WAROU</t>
  </si>
  <si>
    <t>SITE DE WAZA</t>
  </si>
  <si>
    <t>SITE DE YEME</t>
  </si>
  <si>
    <t>SITE DE ZAMAI 1</t>
  </si>
  <si>
    <t>SITE DE ZAMAI 2</t>
  </si>
  <si>
    <t>SITE DE ZAMAI 3</t>
  </si>
  <si>
    <t>SITE DE ZAOUZAOU</t>
  </si>
  <si>
    <t>SITE DE ZIBOU</t>
  </si>
  <si>
    <t>MAG-0031</t>
  </si>
  <si>
    <t>MAG-0032</t>
  </si>
  <si>
    <t>PET-0036</t>
  </si>
  <si>
    <t>LBI-0125</t>
  </si>
  <si>
    <t>LBI-0126</t>
  </si>
  <si>
    <t>MOK-0063</t>
  </si>
  <si>
    <t>Autre département</t>
  </si>
  <si>
    <t>Même département, autre arrondissement</t>
  </si>
  <si>
    <t>Même arrondissement</t>
  </si>
  <si>
    <t>Adamaoua</t>
  </si>
  <si>
    <t>Nord</t>
  </si>
  <si>
    <t xml:space="preserve">2 type de raison de déplacement  conflits  b h et inondations saisonnière </t>
  </si>
  <si>
    <t xml:space="preserve">Il y a 2 type de raison  de déplacement  conflits b h et inondations   saisonnière </t>
  </si>
  <si>
    <t>Pour des raisons économiques</t>
  </si>
  <si>
    <t>Ils ont fuis par crainte</t>
  </si>
  <si>
    <t>Enlèvement contre rançon, vole des bétails</t>
  </si>
  <si>
    <t xml:space="preserve">Naissance </t>
  </si>
  <si>
    <t>Conflit communautaire entre arabes choas et Mousgoum.</t>
  </si>
  <si>
    <t>Naissance</t>
  </si>
  <si>
    <t xml:space="preserve">Bien qu'étant deplaces,jls ont rejoint les autres membres de la famille qui se trouvait à doursoungo </t>
  </si>
  <si>
    <t xml:space="preserve">Naissances </t>
  </si>
  <si>
    <t>Naissance.</t>
  </si>
  <si>
    <t>République Centrafricaine</t>
  </si>
  <si>
    <t>Borno</t>
  </si>
  <si>
    <t>Adamawa</t>
  </si>
  <si>
    <t>Lagos</t>
  </si>
  <si>
    <t>Kano</t>
  </si>
  <si>
    <t>N'Djamena</t>
  </si>
  <si>
    <t>Mayo Kebbi Est</t>
  </si>
  <si>
    <t>Benue</t>
  </si>
  <si>
    <t>Oyo</t>
  </si>
  <si>
    <t>Kaduna</t>
  </si>
  <si>
    <t>Chari Baguirmi</t>
  </si>
  <si>
    <t>Cross River</t>
  </si>
  <si>
    <t>Yobe</t>
  </si>
  <si>
    <t>Bayelsa</t>
  </si>
  <si>
    <t>Abia</t>
  </si>
  <si>
    <t>Bangui</t>
  </si>
  <si>
    <t>Delta</t>
  </si>
  <si>
    <t>Ogun</t>
  </si>
  <si>
    <t>Lac</t>
  </si>
  <si>
    <t>Zamfara</t>
  </si>
  <si>
    <t>Pas d'assistance dans le lieu de déplacement dans leurs pays d'origine et pas lieu de culture se pour cette raison qu'il sont déplacés au Cameroun , depuis le Camp idps de NGALA au NIGERIA</t>
  </si>
  <si>
    <t>Peur</t>
  </si>
  <si>
    <t>Guerre en RCA</t>
  </si>
  <si>
    <t>Autre pays</t>
  </si>
  <si>
    <t xml:space="preserve">Manque de moyens de subsistance </t>
  </si>
  <si>
    <t xml:space="preserve">A la recherche d'une vie meilleure </t>
  </si>
  <si>
    <t xml:space="preserve">La zone de déplacement est une digue route </t>
  </si>
  <si>
    <t>Naissances</t>
  </si>
  <si>
    <t>La pluie est finie ils sont revenus reconstruire leurs maisons</t>
  </si>
  <si>
    <t>La zone de déplacement est une digue route</t>
  </si>
  <si>
    <t>Suites aux inondations</t>
  </si>
  <si>
    <t>Pour construction</t>
  </si>
  <si>
    <t>Pour construire leur maison</t>
  </si>
  <si>
    <t xml:space="preserve">Suite à la montée des eaux </t>
  </si>
  <si>
    <t>MOK-0060</t>
  </si>
  <si>
    <t>non</t>
  </si>
  <si>
    <t>#</t>
  </si>
  <si>
    <t>DATA MT ROUND 25</t>
  </si>
  <si>
    <t>DATA MT ROUND 26</t>
  </si>
  <si>
    <t>idps</t>
  </si>
  <si>
    <t>Refugees out of  camp</t>
  </si>
  <si>
    <t>returnees</t>
  </si>
  <si>
    <t>Refugié hors camp</t>
  </si>
  <si>
    <t>Round 26 (Fevrier 2023)</t>
  </si>
  <si>
    <t>rupture de digue</t>
  </si>
  <si>
    <t>Round 26</t>
  </si>
  <si>
    <t>Evolution Depuis R25</t>
  </si>
  <si>
    <t>Evolution from R25</t>
  </si>
  <si>
    <t>NGA001</t>
  </si>
  <si>
    <t>NGA002</t>
  </si>
  <si>
    <t>CAR071</t>
  </si>
  <si>
    <t>NGA007</t>
  </si>
  <si>
    <t>NGA008</t>
  </si>
  <si>
    <t>TCD003</t>
  </si>
  <si>
    <t>NGA009</t>
  </si>
  <si>
    <t>NGA010</t>
  </si>
  <si>
    <t>NGA019</t>
  </si>
  <si>
    <t>NGA020</t>
  </si>
  <si>
    <t>TCD007</t>
  </si>
  <si>
    <t>NGA025</t>
  </si>
  <si>
    <t>TCD011</t>
  </si>
  <si>
    <t>TCD018</t>
  </si>
  <si>
    <t>NGA028</t>
  </si>
  <si>
    <t>NGA031</t>
  </si>
  <si>
    <t>NGA036</t>
  </si>
  <si>
    <t>NGA037</t>
  </si>
  <si>
    <t>CMR001</t>
  </si>
  <si>
    <t>CMR006</t>
  </si>
  <si>
    <t>Du 08 au 20 Février 2023</t>
  </si>
  <si>
    <t>Difference (Round 26-Round 25)</t>
  </si>
  <si>
    <t>Difference Round 26 - Round 25</t>
  </si>
  <si>
    <r>
      <t xml:space="preserve">La collecte MT s'est déroulée dans </t>
    </r>
    <r>
      <rPr>
        <b/>
        <sz val="12"/>
        <color theme="0"/>
        <rFont val="Arial Narrow"/>
        <family val="2"/>
      </rPr>
      <t>1263  localités cibles</t>
    </r>
    <r>
      <rPr>
        <sz val="12"/>
        <rFont val="Arial Narrow"/>
        <family val="2"/>
      </rPr>
      <t xml:space="preserve"> dans tous les départements dans la région de l'Extrême nord- Cameroun. Pour des raisons sécuritaires, certaines zones ont toutefois été identifiées.
        Sur l'ensemble, le contexte sécuritaire volatile, la période instance de activités agricoles et pastorales et les contraintes climatiques ont par ailleurs conduit à soit une réorientation stratégique de la collecte, soit l’ajout de nouvelle localité. La cible d'enquêtes a été par conséquent atteinte dans les départements, pour lesquels il n'est pas possible d'obtenir des résultats représentatifs.</t>
    </r>
  </si>
  <si>
    <r>
      <t xml:space="preserve">      La collecte de données du </t>
    </r>
    <r>
      <rPr>
        <b/>
        <sz val="12"/>
        <color rgb="FF0033CC"/>
        <rFont val="Arial Narrow"/>
        <family val="2"/>
      </rPr>
      <t>Round 26</t>
    </r>
    <r>
      <rPr>
        <sz val="12"/>
        <rFont val="Arial Narrow"/>
        <family val="2"/>
      </rPr>
      <t xml:space="preserve"> (</t>
    </r>
    <r>
      <rPr>
        <i/>
        <sz val="12"/>
        <rFont val="Arial Narrow"/>
        <family val="2"/>
      </rPr>
      <t>26eme exercice</t>
    </r>
    <r>
      <rPr>
        <sz val="12"/>
        <rFont val="Arial Narrow"/>
        <family val="2"/>
      </rPr>
      <t>) de la DTM a été effectuée par les énumérateurs formés, équipés et déployés dans les six départements de la région, auprès des informateurs clés. Sous la responsabilité directe de l’équipe DTM, les enquêteurs assurent des rôles bien précis de points focaux, chefs d’équipe ou énumérateurs, facilitant ainsi la coordination lors de la collecte d’information.
      Pendant chaque exercice de DTM, l’OIM met l’accent sur la communication avec ses partenaires privilégiés présents sur le terrain, notamment pour vérifier la cohérence des données qu’elle s’apprête à publier. À chaque round, l’OIM communique étroitement avec le MRR (Mécanisme de Réponse Rapide) existant dans l’Extrême-Nord ainsi qu’avec le HCR (Haut-Commissariat pour les Réfugiés) afin de s’assurer de la cohérence des chiffres en sa possession. L’OIM collabore également avec les autorités locales et administratives pour faciliter l’accès aux informations recherchées.
      La collecte, qui se fait à l’aide de tablettes adaptées pour faciliter l’exercice, est suivie de l’analyse des données, conçue pour optimiser la qualité des données récoltées auprès des informateurs clés. Plusieurs formulaires adaptés à chaque niveau spécifique d’information sont utilisés. Des informations sont collectées au niveau départemental, des arrondissements et des villages.</t>
    </r>
  </si>
  <si>
    <r>
      <t xml:space="preserve">Statut des </t>
    </r>
    <r>
      <rPr>
        <b/>
        <sz val="14"/>
        <color theme="0"/>
        <rFont val="Calibri"/>
        <family val="2"/>
        <scheme val="minor"/>
      </rPr>
      <t>Nouvelles localites pour ce Round</t>
    </r>
  </si>
  <si>
    <t>January - August 2022</t>
  </si>
  <si>
    <t>September 2022 - February 2023</t>
  </si>
  <si>
    <r>
      <t xml:space="preserve">La base de données nettoyées est disponible sur les plateformes de partages et publications de l'OIM, </t>
    </r>
    <r>
      <rPr>
        <b/>
        <sz val="12"/>
        <color rgb="FF0000FF"/>
        <rFont val="Arial Narrow"/>
        <family val="2"/>
      </rPr>
      <t>https://dtm.iom.int</t>
    </r>
    <r>
      <rPr>
        <sz val="12"/>
        <rFont val="Arial Narrow"/>
        <family val="2"/>
      </rPr>
      <t xml:space="preserve">
La base de données brutes est disponible à la demande.
La citation suivante est requise lors de l'utilisation de toute donnée et information incluse dans ce produit d'information :
« Organisation Internationale pour les Migrations (OIM), Mars 2023. DTM Matrice de suivi des déplacements. OIM, Cameroun- Extrême Nord »
Pour plus d'informations sur les termes et conditions des rapports et produits d'information de DTM, veuillez vous référer à : 
</t>
    </r>
    <r>
      <rPr>
        <b/>
        <sz val="12"/>
        <color rgb="FF0000FF"/>
        <rFont val="Arial Narrow"/>
        <family val="2"/>
      </rPr>
      <t>https://dtm.iom.int/terms-and-conditions</t>
    </r>
  </si>
  <si>
    <t>Villages enquêtés lors de ce round</t>
  </si>
  <si>
    <t>village-acceuille-pop-cible(dpi_ref_ret)</t>
  </si>
  <si>
    <t>Population Deplacée (PDIs)</t>
  </si>
  <si>
    <t>Ratio Population deplacée (PDIs) / Population totale</t>
  </si>
  <si>
    <t>Departements / Arrondissements</t>
  </si>
  <si>
    <t>*sur base fixe = En ne prenant en compte que les villages enquêtés pendant les deux rounds, les données des nouvelles localités de ce round ne sont pas prise en compte.</t>
  </si>
  <si>
    <t>*On a fixed basis = Only taking into account the villages surveyed during the two rounds, the data of the new localities of this round are not taken into account.</t>
  </si>
  <si>
    <r>
      <rPr>
        <b/>
        <sz val="12"/>
        <rFont val="Arial Narrow"/>
        <family val="2"/>
      </rPr>
      <t>DTM CMR</t>
    </r>
    <r>
      <rPr>
        <sz val="12"/>
        <rFont val="Arial Narrow"/>
        <family val="2"/>
      </rPr>
      <t xml:space="preserve"> - DTMCameroon@iom.int
</t>
    </r>
    <r>
      <rPr>
        <b/>
        <sz val="12"/>
        <rFont val="Arial Narrow"/>
        <family val="2"/>
      </rPr>
      <t>Tafsirou BOCOUM</t>
    </r>
    <r>
      <rPr>
        <sz val="12"/>
        <rFont val="Arial Narrow"/>
        <family val="2"/>
      </rPr>
      <t xml:space="preserve"> - tbocoum@iom.int
</t>
    </r>
    <r>
      <rPr>
        <b/>
        <sz val="12"/>
        <rFont val="Arial Narrow"/>
        <family val="2"/>
      </rPr>
      <t>Blaise NGODJO</t>
    </r>
    <r>
      <rPr>
        <sz val="12"/>
        <rFont val="Arial Narrow"/>
        <family val="2"/>
      </rPr>
      <t xml:space="preserve"> - nblaisedely@iom.int
</t>
    </r>
    <r>
      <rPr>
        <b/>
        <sz val="12"/>
        <rFont val="Arial Narrow"/>
        <family val="2"/>
      </rPr>
      <t>Zephyrin OBAMA</t>
    </r>
    <r>
      <rPr>
        <sz val="12"/>
        <rFont val="Arial Narrow"/>
        <family val="2"/>
      </rPr>
      <t xml:space="preserve"> - zobama@iom.int</t>
    </r>
  </si>
  <si>
    <t>ADM1_NAME</t>
  </si>
  <si>
    <t>ADM1_CODE</t>
  </si>
  <si>
    <t>ADM2_NAME</t>
  </si>
  <si>
    <t>ADM2_CODE</t>
  </si>
  <si>
    <t>ADM3_NAME</t>
  </si>
  <si>
    <t>ADM3_CODE</t>
  </si>
  <si>
    <t>Centre</t>
  </si>
  <si>
    <t>CMR002</t>
  </si>
  <si>
    <t>Lekie</t>
  </si>
  <si>
    <t>CMR002002</t>
  </si>
  <si>
    <t>Batchenga</t>
  </si>
  <si>
    <t>CMR002002001</t>
  </si>
  <si>
    <t>Monatélé</t>
  </si>
  <si>
    <t>CMR002002002</t>
  </si>
  <si>
    <t>Evodoula</t>
  </si>
  <si>
    <t>CMR002002003</t>
  </si>
  <si>
    <t>Okala</t>
  </si>
  <si>
    <t>CMR002002004</t>
  </si>
  <si>
    <t>Lobo</t>
  </si>
  <si>
    <t>CMR002002005</t>
  </si>
  <si>
    <t>Elig-Mfomo</t>
  </si>
  <si>
    <t>CMR002002006</t>
  </si>
  <si>
    <t>Ebebda</t>
  </si>
  <si>
    <t>CMR002002007</t>
  </si>
  <si>
    <t>Obala</t>
  </si>
  <si>
    <t>CMR002002008</t>
  </si>
  <si>
    <t>Extreme-Nord</t>
  </si>
  <si>
    <t>Littoral</t>
  </si>
  <si>
    <t>CMR005</t>
  </si>
  <si>
    <t>Moungo</t>
  </si>
  <si>
    <t>CMR005001</t>
  </si>
  <si>
    <t>Nkongsamba I</t>
  </si>
  <si>
    <t>CMR005001012</t>
  </si>
  <si>
    <t>Baré</t>
  </si>
  <si>
    <t>CMR005001013</t>
  </si>
  <si>
    <t>Est</t>
  </si>
  <si>
    <t>CMR003</t>
  </si>
  <si>
    <t>Boumba-Et-Ngoko</t>
  </si>
  <si>
    <t>CMR003001</t>
  </si>
  <si>
    <t>Yokadouma</t>
  </si>
  <si>
    <t>CMR003001001</t>
  </si>
  <si>
    <t>Ouest</t>
  </si>
  <si>
    <t>CMR008</t>
  </si>
  <si>
    <t>Bamboutos</t>
  </si>
  <si>
    <t>CMR008001</t>
  </si>
  <si>
    <t>Mbouda</t>
  </si>
  <si>
    <t>CMR008001003</t>
  </si>
  <si>
    <t>Galim</t>
  </si>
  <si>
    <t>CMR008001004</t>
  </si>
  <si>
    <t>Sud</t>
  </si>
  <si>
    <t>CMR009</t>
  </si>
  <si>
    <t>Vallee-Du-Ntem</t>
  </si>
  <si>
    <t>CMR009004</t>
  </si>
  <si>
    <t>Ma'An</t>
  </si>
  <si>
    <t>CMR009004001</t>
  </si>
  <si>
    <t>Olamzé</t>
  </si>
  <si>
    <t>CMR009004002</t>
  </si>
  <si>
    <t>Gari-Gombo</t>
  </si>
  <si>
    <t>CMR003001002</t>
  </si>
  <si>
    <t>Mouloundou</t>
  </si>
  <si>
    <t>CMR003001003</t>
  </si>
  <si>
    <t>Salapoumbé</t>
  </si>
  <si>
    <t>CMR003001004</t>
  </si>
  <si>
    <t>Tchatibali</t>
  </si>
  <si>
    <t>CMR004003003</t>
  </si>
  <si>
    <t>Kalfou</t>
  </si>
  <si>
    <t>CMR004003004</t>
  </si>
  <si>
    <t>Ambam</t>
  </si>
  <si>
    <t>CMR009004003</t>
  </si>
  <si>
    <t>Kyé-Ossi</t>
  </si>
  <si>
    <t>CMR009004004</t>
  </si>
  <si>
    <t>Nyong-Et-Kelle</t>
  </si>
  <si>
    <t>CMR002008</t>
  </si>
  <si>
    <t>Messondo</t>
  </si>
  <si>
    <t>CMR002008001</t>
  </si>
  <si>
    <t>Kar-Hay</t>
  </si>
  <si>
    <t>CMR004003005</t>
  </si>
  <si>
    <t>Biyouha</t>
  </si>
  <si>
    <t>CMR002008002</t>
  </si>
  <si>
    <t>Éséka</t>
  </si>
  <si>
    <t>CMR002008004</t>
  </si>
  <si>
    <t>Ngog-Mapubi</t>
  </si>
  <si>
    <t>CMR002008005</t>
  </si>
  <si>
    <t>Mayo-Rey</t>
  </si>
  <si>
    <t>CMR006004</t>
  </si>
  <si>
    <t>Madingring</t>
  </si>
  <si>
    <t>CMR006004004</t>
  </si>
  <si>
    <t>Sanaga-Maritime</t>
  </si>
  <si>
    <t>CMR005003</t>
  </si>
  <si>
    <t>Mouanko</t>
  </si>
  <si>
    <t>CMR005003005</t>
  </si>
  <si>
    <t>Makak</t>
  </si>
  <si>
    <t>CMR002008006</t>
  </si>
  <si>
    <t>Kadei</t>
  </si>
  <si>
    <t>CMR003003</t>
  </si>
  <si>
    <t>Nguélébok</t>
  </si>
  <si>
    <t>CMR003003001</t>
  </si>
  <si>
    <t>Kentzou</t>
  </si>
  <si>
    <t>CMR003003007</t>
  </si>
  <si>
    <t>Diamare</t>
  </si>
  <si>
    <t>Maroua Iii</t>
  </si>
  <si>
    <t>Bot-Makak</t>
  </si>
  <si>
    <t>CMR002008007</t>
  </si>
  <si>
    <t>Dizangué</t>
  </si>
  <si>
    <t>CMR005003006</t>
  </si>
  <si>
    <t>Maroua Ii</t>
  </si>
  <si>
    <t>Pétté</t>
  </si>
  <si>
    <t>Matomb</t>
  </si>
  <si>
    <t>CMR002008008</t>
  </si>
  <si>
    <t>Dibamba</t>
  </si>
  <si>
    <t>CMR005003007</t>
  </si>
  <si>
    <t>Édéa I</t>
  </si>
  <si>
    <t>CMR005003008</t>
  </si>
  <si>
    <t>Bondjock</t>
  </si>
  <si>
    <t>CMR002008009</t>
  </si>
  <si>
    <t>Nguibassal</t>
  </si>
  <si>
    <t>CMR002008010</t>
  </si>
  <si>
    <t>Édéa Ii</t>
  </si>
  <si>
    <t>CMR005003009</t>
  </si>
  <si>
    <t>Hauts-Plateaux</t>
  </si>
  <si>
    <t>CMR008003</t>
  </si>
  <si>
    <t>Batié</t>
  </si>
  <si>
    <t>CMR008003001</t>
  </si>
  <si>
    <t>Ndoukoula</t>
  </si>
  <si>
    <t>CMR004001006</t>
  </si>
  <si>
    <t>Bamendjou</t>
  </si>
  <si>
    <t>CMR008003002</t>
  </si>
  <si>
    <t>Bangou</t>
  </si>
  <si>
    <t>CMR008003003</t>
  </si>
  <si>
    <t>Ngwei</t>
  </si>
  <si>
    <t>CMR005003010</t>
  </si>
  <si>
    <t>Ngambé</t>
  </si>
  <si>
    <t>CMR005003011</t>
  </si>
  <si>
    <t>Baham</t>
  </si>
  <si>
    <t>CMR008003004</t>
  </si>
  <si>
    <t>Nord-Ouest</t>
  </si>
  <si>
    <t>CMR007</t>
  </si>
  <si>
    <t>Ngo-Ketunjia</t>
  </si>
  <si>
    <t>CMR007007</t>
  </si>
  <si>
    <t>Balikumbat</t>
  </si>
  <si>
    <t>CMR007007001</t>
  </si>
  <si>
    <t>Pouma</t>
  </si>
  <si>
    <t>CMR005003012</t>
  </si>
  <si>
    <t>Meri</t>
  </si>
  <si>
    <t>Babessi</t>
  </si>
  <si>
    <t>CMR007007002</t>
  </si>
  <si>
    <t>Ndop</t>
  </si>
  <si>
    <t>CMR007007003</t>
  </si>
  <si>
    <t>Massok</t>
  </si>
  <si>
    <t>CMR005003013</t>
  </si>
  <si>
    <t>Mifi</t>
  </si>
  <si>
    <t>CMR008006</t>
  </si>
  <si>
    <t>Bafoussam Iii</t>
  </si>
  <si>
    <t>CMR008006001</t>
  </si>
  <si>
    <t>Ndom</t>
  </si>
  <si>
    <t>CMR005003014</t>
  </si>
  <si>
    <t>Bafoussam Ii</t>
  </si>
  <si>
    <t>CMR008006002</t>
  </si>
  <si>
    <t>Bafoussam I</t>
  </si>
  <si>
    <t>CMR008006003</t>
  </si>
  <si>
    <t>Nyanon</t>
  </si>
  <si>
    <t>CMR005003015</t>
  </si>
  <si>
    <t>Momo</t>
  </si>
  <si>
    <t>CMR007006</t>
  </si>
  <si>
    <t>Widikum-Boffé</t>
  </si>
  <si>
    <t>CMR007006001</t>
  </si>
  <si>
    <t>Andek</t>
  </si>
  <si>
    <t>CMR007006002</t>
  </si>
  <si>
    <t>Noun</t>
  </si>
  <si>
    <t>CMR008008</t>
  </si>
  <si>
    <t>Njimom</t>
  </si>
  <si>
    <t>CMR008008007</t>
  </si>
  <si>
    <t>Dziguilao</t>
  </si>
  <si>
    <t>CMR004004003</t>
  </si>
  <si>
    <t>Touloum</t>
  </si>
  <si>
    <t>CMR004004004</t>
  </si>
  <si>
    <t>Mbam-Et-Inoubou</t>
  </si>
  <si>
    <t>CMR002003</t>
  </si>
  <si>
    <t>Makenene</t>
  </si>
  <si>
    <t>CMR002003001</t>
  </si>
  <si>
    <t>Ndikiniméki</t>
  </si>
  <si>
    <t>CMR002003002</t>
  </si>
  <si>
    <t>Nitoukou</t>
  </si>
  <si>
    <t>CMR002003003</t>
  </si>
  <si>
    <t>Bokito</t>
  </si>
  <si>
    <t>CMR002003004</t>
  </si>
  <si>
    <t>Deuk</t>
  </si>
  <si>
    <t>CMR002003005</t>
  </si>
  <si>
    <t>Kon-Yambetta</t>
  </si>
  <si>
    <t>CMR002003006</t>
  </si>
  <si>
    <t>Kiiki</t>
  </si>
  <si>
    <t>CMR002003007</t>
  </si>
  <si>
    <t>Bafia</t>
  </si>
  <si>
    <t>CMR002003008</t>
  </si>
  <si>
    <t>Ombessa</t>
  </si>
  <si>
    <t>CMR002003009</t>
  </si>
  <si>
    <t>Magba</t>
  </si>
  <si>
    <t>CMR008008008</t>
  </si>
  <si>
    <t>Malentouen</t>
  </si>
  <si>
    <t>CMR008008009</t>
  </si>
  <si>
    <t>Nde</t>
  </si>
  <si>
    <t>CMR008007</t>
  </si>
  <si>
    <t>Bangangté</t>
  </si>
  <si>
    <t>CMR008007001</t>
  </si>
  <si>
    <t>Bazou</t>
  </si>
  <si>
    <t>CMR008007002</t>
  </si>
  <si>
    <t>Mvila</t>
  </si>
  <si>
    <t>CMR009002</t>
  </si>
  <si>
    <t>Mvangan</t>
  </si>
  <si>
    <t>CMR009002001</t>
  </si>
  <si>
    <t>Efoulan</t>
  </si>
  <si>
    <t>CMR009002002</t>
  </si>
  <si>
    <t>Ebolowa Ii</t>
  </si>
  <si>
    <t>CMR009002003</t>
  </si>
  <si>
    <t>Ebolowa I</t>
  </si>
  <si>
    <t>CMR009002004</t>
  </si>
  <si>
    <t>Nkongsamba Ii</t>
  </si>
  <si>
    <t>CMR005001011</t>
  </si>
  <si>
    <t>Biwong-Bané</t>
  </si>
  <si>
    <t>CMR009002005</t>
  </si>
  <si>
    <t>Mbang</t>
  </si>
  <si>
    <t>CMR003003002</t>
  </si>
  <si>
    <t>Batouri</t>
  </si>
  <si>
    <t>CMR003003003</t>
  </si>
  <si>
    <t>Kétté</t>
  </si>
  <si>
    <t>CMR003003004</t>
  </si>
  <si>
    <t>Ouli</t>
  </si>
  <si>
    <t>CMR003003005</t>
  </si>
  <si>
    <t>Ndélélé</t>
  </si>
  <si>
    <t>CMR003003006</t>
  </si>
  <si>
    <t>Mengong</t>
  </si>
  <si>
    <t>CMR009002006</t>
  </si>
  <si>
    <t>Ngoulémakong</t>
  </si>
  <si>
    <t>CMR009002007</t>
  </si>
  <si>
    <t>Haut-Nyong</t>
  </si>
  <si>
    <t>CMR003002</t>
  </si>
  <si>
    <t>Messaména</t>
  </si>
  <si>
    <t>CMR003002002</t>
  </si>
  <si>
    <t>Tonga</t>
  </si>
  <si>
    <t>CMR008007003</t>
  </si>
  <si>
    <t>Bassamba</t>
  </si>
  <si>
    <t>CMR008007004</t>
  </si>
  <si>
    <t>Koung-Khi</t>
  </si>
  <si>
    <t>CMR008004</t>
  </si>
  <si>
    <t>Pete-Bandjoun</t>
  </si>
  <si>
    <t>CMR008004001</t>
  </si>
  <si>
    <t>Nguelemendouka</t>
  </si>
  <si>
    <t>CMR003002004</t>
  </si>
  <si>
    <t>Tcholliré</t>
  </si>
  <si>
    <t>CMR006004001</t>
  </si>
  <si>
    <t>Rey-Bouba</t>
  </si>
  <si>
    <t>CMR006004002</t>
  </si>
  <si>
    <t>Touboro</t>
  </si>
  <si>
    <t>CMR006004003</t>
  </si>
  <si>
    <t>Dibang</t>
  </si>
  <si>
    <t>CMR002008003</t>
  </si>
  <si>
    <t>Bayangam</t>
  </si>
  <si>
    <t>CMR008004002</t>
  </si>
  <si>
    <t>Mboma</t>
  </si>
  <si>
    <t>CMR003002007</t>
  </si>
  <si>
    <t>Demding</t>
  </si>
  <si>
    <t>CMR008004003</t>
  </si>
  <si>
    <t>Lom-Et-Djerem</t>
  </si>
  <si>
    <t>CMR003004</t>
  </si>
  <si>
    <t>Bertoua I</t>
  </si>
  <si>
    <t>CMR003004007</t>
  </si>
  <si>
    <t>Donga-Mantung</t>
  </si>
  <si>
    <t>CMR007003</t>
  </si>
  <si>
    <t>Misaje</t>
  </si>
  <si>
    <t>CMR007003001</t>
  </si>
  <si>
    <t>Ako</t>
  </si>
  <si>
    <t>CMR007003002</t>
  </si>
  <si>
    <t>Nkambe</t>
  </si>
  <si>
    <t>CMR007003003</t>
  </si>
  <si>
    <t>Ndu</t>
  </si>
  <si>
    <t>CMR007003004</t>
  </si>
  <si>
    <t>Nwa</t>
  </si>
  <si>
    <t>CMR007003005</t>
  </si>
  <si>
    <t>Bui</t>
  </si>
  <si>
    <t>CMR007002</t>
  </si>
  <si>
    <t>Elak</t>
  </si>
  <si>
    <t>CMR007002001</t>
  </si>
  <si>
    <t>Nkor</t>
  </si>
  <si>
    <t>CMR007002002</t>
  </si>
  <si>
    <t>Jakiri</t>
  </si>
  <si>
    <t>CMR007002003</t>
  </si>
  <si>
    <t>Kumbo</t>
  </si>
  <si>
    <t>CMR007002004</t>
  </si>
  <si>
    <t>Nkum</t>
  </si>
  <si>
    <t>CMR007002005</t>
  </si>
  <si>
    <t>Mbiame</t>
  </si>
  <si>
    <t>CMR007002006</t>
  </si>
  <si>
    <t>Kouoptamo</t>
  </si>
  <si>
    <t>CMR008008001</t>
  </si>
  <si>
    <t>Foumbot</t>
  </si>
  <si>
    <t>CMR008008002</t>
  </si>
  <si>
    <t>Koutaba</t>
  </si>
  <si>
    <t>CMR008008003</t>
  </si>
  <si>
    <t>Bangourain</t>
  </si>
  <si>
    <t>CMR008008004</t>
  </si>
  <si>
    <t>Massangam</t>
  </si>
  <si>
    <t>CMR008008005</t>
  </si>
  <si>
    <t>Foumban</t>
  </si>
  <si>
    <t>CMR008008006</t>
  </si>
  <si>
    <t>Sa'A</t>
  </si>
  <si>
    <t>CMR002002009</t>
  </si>
  <si>
    <t>Mefou-Et-Akono</t>
  </si>
  <si>
    <t>CMR002006</t>
  </si>
  <si>
    <t>Mbankomo</t>
  </si>
  <si>
    <t>CMR002006001</t>
  </si>
  <si>
    <t>Akono</t>
  </si>
  <si>
    <t>CMR002006004</t>
  </si>
  <si>
    <t>Doumaintang</t>
  </si>
  <si>
    <t>CMR003002008</t>
  </si>
  <si>
    <t>Biwong-Bulu</t>
  </si>
  <si>
    <t>CMR009002008</t>
  </si>
  <si>
    <t>Bertoua Ii</t>
  </si>
  <si>
    <t>CMR003004008</t>
  </si>
  <si>
    <t>Nyong-Et-Soo</t>
  </si>
  <si>
    <t>CMR002010</t>
  </si>
  <si>
    <t>Nkol-Métet</t>
  </si>
  <si>
    <t>CMR002010001</t>
  </si>
  <si>
    <t>Dzeng</t>
  </si>
  <si>
    <t>CMR002010002</t>
  </si>
  <si>
    <t>Sud-Ouest</t>
  </si>
  <si>
    <t>CMR010</t>
  </si>
  <si>
    <t>Ndian</t>
  </si>
  <si>
    <t>CMR010006</t>
  </si>
  <si>
    <t>Mudemba</t>
  </si>
  <si>
    <t>CMR010006001</t>
  </si>
  <si>
    <t>Ekondo-Titi</t>
  </si>
  <si>
    <t>CMR010006002</t>
  </si>
  <si>
    <t>Bamusso</t>
  </si>
  <si>
    <t>CMR010006003</t>
  </si>
  <si>
    <t>Toko</t>
  </si>
  <si>
    <t>CMR010006004</t>
  </si>
  <si>
    <t>Haut-Nkam</t>
  </si>
  <si>
    <t>CMR008002</t>
  </si>
  <si>
    <t>Bana</t>
  </si>
  <si>
    <t>CMR008002007</t>
  </si>
  <si>
    <t>Ngomedzap</t>
  </si>
  <si>
    <t>CMR002010003</t>
  </si>
  <si>
    <t>Mengueme</t>
  </si>
  <si>
    <t>CMR002010004</t>
  </si>
  <si>
    <t>Boyo</t>
  </si>
  <si>
    <t>CMR007001</t>
  </si>
  <si>
    <t>Njinikom</t>
  </si>
  <si>
    <t>CMR007001001</t>
  </si>
  <si>
    <t>Fundong</t>
  </si>
  <si>
    <t>CMR007001002</t>
  </si>
  <si>
    <t>Belo</t>
  </si>
  <si>
    <t>CMR007001003</t>
  </si>
  <si>
    <t>Ngoumou</t>
  </si>
  <si>
    <t>CMR002006002</t>
  </si>
  <si>
    <t>Mbalmayo</t>
  </si>
  <si>
    <t>CMR002010005</t>
  </si>
  <si>
    <t>Mfoundi</t>
  </si>
  <si>
    <t>CMR002007</t>
  </si>
  <si>
    <t>Yaoundé Iii</t>
  </si>
  <si>
    <t>CMR002007002</t>
  </si>
  <si>
    <t>Yaoundé Vi</t>
  </si>
  <si>
    <t>CMR002007003</t>
  </si>
  <si>
    <t>Yaoundé Ii</t>
  </si>
  <si>
    <t>CMR002007004</t>
  </si>
  <si>
    <t>Akoéman</t>
  </si>
  <si>
    <t>CMR002010006</t>
  </si>
  <si>
    <t>Mefou-Et-Afamba</t>
  </si>
  <si>
    <t>CMR002005</t>
  </si>
  <si>
    <t>Nkolafamba</t>
  </si>
  <si>
    <t>CMR002005002</t>
  </si>
  <si>
    <t>Esse</t>
  </si>
  <si>
    <t>CMR002005003</t>
  </si>
  <si>
    <t>Mbam-Et-Kim</t>
  </si>
  <si>
    <t>CMR002004</t>
  </si>
  <si>
    <t>Ngambé-Tikar</t>
  </si>
  <si>
    <t>CMR002004001</t>
  </si>
  <si>
    <t>Yaoundé I</t>
  </si>
  <si>
    <t>CMR002007005</t>
  </si>
  <si>
    <t>Yaoundé Iv</t>
  </si>
  <si>
    <t>CMR002007006</t>
  </si>
  <si>
    <t>Yaoundé V</t>
  </si>
  <si>
    <t>CMR002007007</t>
  </si>
  <si>
    <t>Mfou</t>
  </si>
  <si>
    <t>CMR002005001</t>
  </si>
  <si>
    <t>Awaé</t>
  </si>
  <si>
    <t>CMR002005004</t>
  </si>
  <si>
    <t>Yoko</t>
  </si>
  <si>
    <t>CMR002004002</t>
  </si>
  <si>
    <t>Ntui</t>
  </si>
  <si>
    <t>CMR002004003</t>
  </si>
  <si>
    <t>Bikok</t>
  </si>
  <si>
    <t>CMR002006003</t>
  </si>
  <si>
    <t>Yaoundé Vii</t>
  </si>
  <si>
    <t>CMR002007001</t>
  </si>
  <si>
    <t>Ngoro</t>
  </si>
  <si>
    <t>CMR002004004</t>
  </si>
  <si>
    <t>Wouri</t>
  </si>
  <si>
    <t>CMR005004</t>
  </si>
  <si>
    <t>Douala I</t>
  </si>
  <si>
    <t>CMR005004006</t>
  </si>
  <si>
    <t>Douala Ii</t>
  </si>
  <si>
    <t>CMR005004007</t>
  </si>
  <si>
    <t>Olanguina</t>
  </si>
  <si>
    <t>CMR002005005</t>
  </si>
  <si>
    <t>Afanloum</t>
  </si>
  <si>
    <t>CMR002005006</t>
  </si>
  <si>
    <t>Douala V</t>
  </si>
  <si>
    <t>CMR005004008</t>
  </si>
  <si>
    <t>Mbangassina</t>
  </si>
  <si>
    <t>CMR002004005</t>
  </si>
  <si>
    <t>Soa</t>
  </si>
  <si>
    <t>CMR002005007</t>
  </si>
  <si>
    <t>Edzendouan</t>
  </si>
  <si>
    <t>CMR002005008</t>
  </si>
  <si>
    <t>Dja-Et-Lobo</t>
  </si>
  <si>
    <t>CMR009001</t>
  </si>
  <si>
    <t>Sangmélima</t>
  </si>
  <si>
    <t>CMR009001001</t>
  </si>
  <si>
    <t>Zoétélé</t>
  </si>
  <si>
    <t>CMR009001002</t>
  </si>
  <si>
    <t>Meyomessala</t>
  </si>
  <si>
    <t>CMR009001003</t>
  </si>
  <si>
    <t>Oveng</t>
  </si>
  <si>
    <t>CMR009001004</t>
  </si>
  <si>
    <t>Bengbis</t>
  </si>
  <si>
    <t>CMR009001006</t>
  </si>
  <si>
    <t>Djoum</t>
  </si>
  <si>
    <t>CMR009001007</t>
  </si>
  <si>
    <t>Mintom</t>
  </si>
  <si>
    <t>CMR009001008</t>
  </si>
  <si>
    <t>Haute-Sanaga</t>
  </si>
  <si>
    <t>CMR002001</t>
  </si>
  <si>
    <t>Mbandjock</t>
  </si>
  <si>
    <t>CMR002001001</t>
  </si>
  <si>
    <t>Nanga-Eboko</t>
  </si>
  <si>
    <t>CMR002001002</t>
  </si>
  <si>
    <t>Lembe</t>
  </si>
  <si>
    <t>CMR002001003</t>
  </si>
  <si>
    <t>Nkoteng</t>
  </si>
  <si>
    <t>CMR002001004</t>
  </si>
  <si>
    <t>Bibey</t>
  </si>
  <si>
    <t>CMR002001005</t>
  </si>
  <si>
    <t>Minta</t>
  </si>
  <si>
    <t>CMR002001006</t>
  </si>
  <si>
    <t>CMR002001007</t>
  </si>
  <si>
    <t>Nsem</t>
  </si>
  <si>
    <t>CMR002001008</t>
  </si>
  <si>
    <t>Nyong-Et-Mfoumou</t>
  </si>
  <si>
    <t>CMR002009</t>
  </si>
  <si>
    <t>Endom</t>
  </si>
  <si>
    <t>CMR002009001</t>
  </si>
  <si>
    <t>Mengang</t>
  </si>
  <si>
    <t>CMR002009002</t>
  </si>
  <si>
    <t>Akonolinga</t>
  </si>
  <si>
    <t>CMR002009003</t>
  </si>
  <si>
    <t>Ayos</t>
  </si>
  <si>
    <t>CMR002009004</t>
  </si>
  <si>
    <t>Kobdombo</t>
  </si>
  <si>
    <t>CMR002009005</t>
  </si>
  <si>
    <t>Mayo-Banyo</t>
  </si>
  <si>
    <t>CMR001003</t>
  </si>
  <si>
    <t>Banyo</t>
  </si>
  <si>
    <t>CMR001003001</t>
  </si>
  <si>
    <t>Bankim</t>
  </si>
  <si>
    <t>CMR001003002</t>
  </si>
  <si>
    <t>Mayo-Darlé</t>
  </si>
  <si>
    <t>CMR001003003</t>
  </si>
  <si>
    <t>Douala Vi</t>
  </si>
  <si>
    <t>CMR005004001</t>
  </si>
  <si>
    <t>Douala Iv</t>
  </si>
  <si>
    <t>CMR005004002</t>
  </si>
  <si>
    <t>CMR005004003</t>
  </si>
  <si>
    <t>CMR005004004</t>
  </si>
  <si>
    <t>Douala Iii</t>
  </si>
  <si>
    <t>CMR005004005</t>
  </si>
  <si>
    <t>Hilé - Alifa</t>
  </si>
  <si>
    <t>Faro-Et-Deo</t>
  </si>
  <si>
    <t>CMR001002</t>
  </si>
  <si>
    <t>Galim-Tignère</t>
  </si>
  <si>
    <t>CMR001002001</t>
  </si>
  <si>
    <t>Mayo-Baléo</t>
  </si>
  <si>
    <t>CMR001002002</t>
  </si>
  <si>
    <t>Kontcha</t>
  </si>
  <si>
    <t>CMR001002003</t>
  </si>
  <si>
    <t>Tignère</t>
  </si>
  <si>
    <t>CMR001002004</t>
  </si>
  <si>
    <t>Djerem</t>
  </si>
  <si>
    <t>CMR001001</t>
  </si>
  <si>
    <t>Tabati</t>
  </si>
  <si>
    <t>CMR001001001</t>
  </si>
  <si>
    <t>Ngaoundal</t>
  </si>
  <si>
    <t>CMR001001002</t>
  </si>
  <si>
    <t>Faro</t>
  </si>
  <si>
    <t>CMR006002</t>
  </si>
  <si>
    <t>Béka</t>
  </si>
  <si>
    <t>CMR006002001</t>
  </si>
  <si>
    <t>Poli</t>
  </si>
  <si>
    <t>CMR006002002</t>
  </si>
  <si>
    <t>Vina</t>
  </si>
  <si>
    <t>CMR001005</t>
  </si>
  <si>
    <t>Martap</t>
  </si>
  <si>
    <t>CMR001005001</t>
  </si>
  <si>
    <t>Mbé</t>
  </si>
  <si>
    <t>CMR001005002</t>
  </si>
  <si>
    <t>Nyambaka</t>
  </si>
  <si>
    <t>CMR001005003</t>
  </si>
  <si>
    <t>Ngaoundéré I</t>
  </si>
  <si>
    <t>CMR001005004</t>
  </si>
  <si>
    <t>Ngaoundéré Iii</t>
  </si>
  <si>
    <t>CMR001005005</t>
  </si>
  <si>
    <t>Ngaoundéré Ii</t>
  </si>
  <si>
    <t>CMR001005006</t>
  </si>
  <si>
    <t>Ngan'Ha</t>
  </si>
  <si>
    <t>CMR001005007</t>
  </si>
  <si>
    <t>Bélel</t>
  </si>
  <si>
    <t>CMR001005008</t>
  </si>
  <si>
    <t>Benoue</t>
  </si>
  <si>
    <t>CMR006001</t>
  </si>
  <si>
    <t>Mayo-Hourna</t>
  </si>
  <si>
    <t>CMR006001001</t>
  </si>
  <si>
    <t>Touroua</t>
  </si>
  <si>
    <t>CMR006001002</t>
  </si>
  <si>
    <t>Gachiga</t>
  </si>
  <si>
    <t>CMR006001003</t>
  </si>
  <si>
    <t>Ngong</t>
  </si>
  <si>
    <t>CMR006001004</t>
  </si>
  <si>
    <t>Baschéo</t>
  </si>
  <si>
    <t>CMR006001005</t>
  </si>
  <si>
    <t>Lagdo</t>
  </si>
  <si>
    <t>CMR006001006</t>
  </si>
  <si>
    <t>Garoua I</t>
  </si>
  <si>
    <t>CMR006001007</t>
  </si>
  <si>
    <t>Garoua Iii</t>
  </si>
  <si>
    <t>CMR006001008</t>
  </si>
  <si>
    <t>Dembo</t>
  </si>
  <si>
    <t>CMR006001009</t>
  </si>
  <si>
    <t>Pitoa</t>
  </si>
  <si>
    <t>CMR006001010</t>
  </si>
  <si>
    <t>Garoua Ii</t>
  </si>
  <si>
    <t>CMR006001011</t>
  </si>
  <si>
    <t>Bibemi</t>
  </si>
  <si>
    <t>CMR006001012</t>
  </si>
  <si>
    <t>Mayo-Louti</t>
  </si>
  <si>
    <t>CMR006003</t>
  </si>
  <si>
    <t>Mayo-Oulo</t>
  </si>
  <si>
    <t>CMR006003001</t>
  </si>
  <si>
    <t>Guider</t>
  </si>
  <si>
    <t>CMR006003002</t>
  </si>
  <si>
    <t>Figuil</t>
  </si>
  <si>
    <t>CMR006003003</t>
  </si>
  <si>
    <t>Mbere</t>
  </si>
  <si>
    <t>CMR001004</t>
  </si>
  <si>
    <t>Dir</t>
  </si>
  <si>
    <t>CMR001004001</t>
  </si>
  <si>
    <t>Meiganga</t>
  </si>
  <si>
    <t>CMR001004002</t>
  </si>
  <si>
    <t>Djohong</t>
  </si>
  <si>
    <t>CMR001004003</t>
  </si>
  <si>
    <t>Ngaoui</t>
  </si>
  <si>
    <t>CMR001004004</t>
  </si>
  <si>
    <t>Mozogo</t>
  </si>
  <si>
    <t>Soulèdé-Roua</t>
  </si>
  <si>
    <t>Atok</t>
  </si>
  <si>
    <t>CMR003002001</t>
  </si>
  <si>
    <t>Somalomo</t>
  </si>
  <si>
    <t>CMR003002003</t>
  </si>
  <si>
    <t>Lomié</t>
  </si>
  <si>
    <t>CMR003002005</t>
  </si>
  <si>
    <t>Angossas</t>
  </si>
  <si>
    <t>CMR003002006</t>
  </si>
  <si>
    <t>Abong-Mbang</t>
  </si>
  <si>
    <t>CMR003002009</t>
  </si>
  <si>
    <t>Mindourou</t>
  </si>
  <si>
    <t>CMR003002010</t>
  </si>
  <si>
    <t>Doumé</t>
  </si>
  <si>
    <t>CMR003002011</t>
  </si>
  <si>
    <t>Dimako</t>
  </si>
  <si>
    <t>CMR003002012</t>
  </si>
  <si>
    <t>Ngoyla</t>
  </si>
  <si>
    <t>CMR003002013</t>
  </si>
  <si>
    <t>Messock</t>
  </si>
  <si>
    <t>CMR003002014</t>
  </si>
  <si>
    <t>Bélabo</t>
  </si>
  <si>
    <t>CMR003004001</t>
  </si>
  <si>
    <t>Bétaré-Oya</t>
  </si>
  <si>
    <t>CMR003004002</t>
  </si>
  <si>
    <t>Diang</t>
  </si>
  <si>
    <t>CMR003004003</t>
  </si>
  <si>
    <t>Mandjou</t>
  </si>
  <si>
    <t>CMR003004004</t>
  </si>
  <si>
    <t>Ngoura</t>
  </si>
  <si>
    <t>CMR003004005</t>
  </si>
  <si>
    <t>Garoua-Boulaï</t>
  </si>
  <si>
    <t>CMR003004006</t>
  </si>
  <si>
    <t>Dikome-Balue</t>
  </si>
  <si>
    <t>CMR010006005</t>
  </si>
  <si>
    <t>Kombo-Abedimo</t>
  </si>
  <si>
    <t>CMR010006006</t>
  </si>
  <si>
    <t>Idabato</t>
  </si>
  <si>
    <t>CMR010006007</t>
  </si>
  <si>
    <t>Isanguele</t>
  </si>
  <si>
    <t>CMR010006008</t>
  </si>
  <si>
    <t>Kombo-Itindi</t>
  </si>
  <si>
    <t>CMR010006009</t>
  </si>
  <si>
    <t>Fako</t>
  </si>
  <si>
    <t>CMR010001</t>
  </si>
  <si>
    <t>Idenau</t>
  </si>
  <si>
    <t>CMR010001001</t>
  </si>
  <si>
    <t>Buea</t>
  </si>
  <si>
    <t>CMR010001002</t>
  </si>
  <si>
    <t>Limbé Ii</t>
  </si>
  <si>
    <t>CMR010001003</t>
  </si>
  <si>
    <t>Limbé I</t>
  </si>
  <si>
    <t>CMR010001004</t>
  </si>
  <si>
    <t>Limbé Iii</t>
  </si>
  <si>
    <t>CMR010001005</t>
  </si>
  <si>
    <t>Muyuka</t>
  </si>
  <si>
    <t>CMR010001006</t>
  </si>
  <si>
    <t>Tiko</t>
  </si>
  <si>
    <t>CMR010001007</t>
  </si>
  <si>
    <t>Manyu</t>
  </si>
  <si>
    <t>CMR010004</t>
  </si>
  <si>
    <t>Eyumodjock</t>
  </si>
  <si>
    <t>CMR010004001</t>
  </si>
  <si>
    <t>Akwaya</t>
  </si>
  <si>
    <t>CMR010004002</t>
  </si>
  <si>
    <t>Mamfé</t>
  </si>
  <si>
    <t>CMR010004003</t>
  </si>
  <si>
    <t>Tinto</t>
  </si>
  <si>
    <t>CMR010004004</t>
  </si>
  <si>
    <t>Meme</t>
  </si>
  <si>
    <t>CMR010005</t>
  </si>
  <si>
    <t>Mbonge</t>
  </si>
  <si>
    <t>CMR010005001</t>
  </si>
  <si>
    <t>Kumba I</t>
  </si>
  <si>
    <t>CMR010005002</t>
  </si>
  <si>
    <t>Konye</t>
  </si>
  <si>
    <t>CMR010005003</t>
  </si>
  <si>
    <t>Kumba Iii</t>
  </si>
  <si>
    <t>CMR010005004</t>
  </si>
  <si>
    <t>Kumba Ii</t>
  </si>
  <si>
    <t>CMR010005005</t>
  </si>
  <si>
    <t>Kupe-Manenguba</t>
  </si>
  <si>
    <t>CMR010002</t>
  </si>
  <si>
    <t>Nguti</t>
  </si>
  <si>
    <t>CMR010002001</t>
  </si>
  <si>
    <t>Tombel</t>
  </si>
  <si>
    <t>CMR010002002</t>
  </si>
  <si>
    <t>Bangem</t>
  </si>
  <si>
    <t>CMR010002003</t>
  </si>
  <si>
    <t>Dibombari</t>
  </si>
  <si>
    <t>CMR005001001</t>
  </si>
  <si>
    <t>Mbanga</t>
  </si>
  <si>
    <t>CMR005001002</t>
  </si>
  <si>
    <t>Mombo</t>
  </si>
  <si>
    <t>CMR005001003</t>
  </si>
  <si>
    <t>Bonaléa</t>
  </si>
  <si>
    <t>CMR005001004</t>
  </si>
  <si>
    <t>Penja</t>
  </si>
  <si>
    <t>CMR005001005</t>
  </si>
  <si>
    <t>Loum</t>
  </si>
  <si>
    <t>CMR005001006</t>
  </si>
  <si>
    <t>Manjo</t>
  </si>
  <si>
    <t>CMR005001007</t>
  </si>
  <si>
    <t>Ebone</t>
  </si>
  <si>
    <t>CMR005001009</t>
  </si>
  <si>
    <t>Nkongsamba Iii</t>
  </si>
  <si>
    <t>CMR005001010</t>
  </si>
  <si>
    <t>Nijkwa</t>
  </si>
  <si>
    <t>CMR007006003</t>
  </si>
  <si>
    <t>Batibo</t>
  </si>
  <si>
    <t>CMR007006004</t>
  </si>
  <si>
    <t>Mbengwi</t>
  </si>
  <si>
    <t>CMR007006005</t>
  </si>
  <si>
    <t>Ocean</t>
  </si>
  <si>
    <t>CMR009003</t>
  </si>
  <si>
    <t>Kribi I</t>
  </si>
  <si>
    <t>CMR009003001</t>
  </si>
  <si>
    <t>Lokoundjé</t>
  </si>
  <si>
    <t>CMR009003002</t>
  </si>
  <si>
    <t>Kribi Ii</t>
  </si>
  <si>
    <t>CMR009003003</t>
  </si>
  <si>
    <t>Niété</t>
  </si>
  <si>
    <t>CMR009003004</t>
  </si>
  <si>
    <t>Akom Ii</t>
  </si>
  <si>
    <t>CMR009003005</t>
  </si>
  <si>
    <t>Bipindi</t>
  </si>
  <si>
    <t>CMR009003006</t>
  </si>
  <si>
    <t>Lolodorf</t>
  </si>
  <si>
    <t>CMR009003007</t>
  </si>
  <si>
    <t>Mvengue</t>
  </si>
  <si>
    <t>CMR009003008</t>
  </si>
  <si>
    <t>Campo</t>
  </si>
  <si>
    <t>CMR009003009</t>
  </si>
  <si>
    <t>Menchum</t>
  </si>
  <si>
    <t>CMR007004</t>
  </si>
  <si>
    <t>Benakuma</t>
  </si>
  <si>
    <t>CMR007004001</t>
  </si>
  <si>
    <t>Zhoa</t>
  </si>
  <si>
    <t>CMR007004002</t>
  </si>
  <si>
    <t>Furu-Awa</t>
  </si>
  <si>
    <t>CMR007004003</t>
  </si>
  <si>
    <t>Wum</t>
  </si>
  <si>
    <t>CMR007004004</t>
  </si>
  <si>
    <t>Nkam</t>
  </si>
  <si>
    <t>CMR005002</t>
  </si>
  <si>
    <t>Yabassi</t>
  </si>
  <si>
    <t>CMR005002001</t>
  </si>
  <si>
    <t>Nkondjock</t>
  </si>
  <si>
    <t>CMR005002002</t>
  </si>
  <si>
    <t>Yingui</t>
  </si>
  <si>
    <t>CMR005002003</t>
  </si>
  <si>
    <t>Ndobian</t>
  </si>
  <si>
    <t>CMR005002004</t>
  </si>
  <si>
    <t>Lebialem</t>
  </si>
  <si>
    <t>CMR010003</t>
  </si>
  <si>
    <t>Menji</t>
  </si>
  <si>
    <t>CMR010003001</t>
  </si>
  <si>
    <t>Alou</t>
  </si>
  <si>
    <t>CMR010003002</t>
  </si>
  <si>
    <t>Wabane</t>
  </si>
  <si>
    <t>CMR010003003</t>
  </si>
  <si>
    <t>Menoua</t>
  </si>
  <si>
    <t>CMR008005</t>
  </si>
  <si>
    <t>Santchou</t>
  </si>
  <si>
    <t>CMR008005001</t>
  </si>
  <si>
    <t>Dschang</t>
  </si>
  <si>
    <t>CMR008005002</t>
  </si>
  <si>
    <t>Fongo-Tongo</t>
  </si>
  <si>
    <t>CMR008005003</t>
  </si>
  <si>
    <t>Fokoué</t>
  </si>
  <si>
    <t>CMR008005004</t>
  </si>
  <si>
    <t>Nkong-Zem</t>
  </si>
  <si>
    <t>CMR008005005</t>
  </si>
  <si>
    <t>Penka-Michel</t>
  </si>
  <si>
    <t>CMR008005006</t>
  </si>
  <si>
    <t>Mezam</t>
  </si>
  <si>
    <t>CMR007005</t>
  </si>
  <si>
    <t>Bafut</t>
  </si>
  <si>
    <t>CMR007005001</t>
  </si>
  <si>
    <t>Bali</t>
  </si>
  <si>
    <t>CMR007005002</t>
  </si>
  <si>
    <t>Santa</t>
  </si>
  <si>
    <t>CMR007005003</t>
  </si>
  <si>
    <t>Bamenda Ii</t>
  </si>
  <si>
    <t>CMR007005004</t>
  </si>
  <si>
    <t>Bamenda Iii</t>
  </si>
  <si>
    <t>CMR007005005</t>
  </si>
  <si>
    <t>Bamenda I</t>
  </si>
  <si>
    <t>CMR007005006</t>
  </si>
  <si>
    <t>Tubah</t>
  </si>
  <si>
    <t>CMR007005007</t>
  </si>
  <si>
    <t>Kékem</t>
  </si>
  <si>
    <t>CMR008002001</t>
  </si>
  <si>
    <t>Banwa</t>
  </si>
  <si>
    <t>CMR008002002</t>
  </si>
  <si>
    <t>Bakou</t>
  </si>
  <si>
    <t>CMR008002003</t>
  </si>
  <si>
    <t>Bafang</t>
  </si>
  <si>
    <t>CMR008002004</t>
  </si>
  <si>
    <t>Bandja</t>
  </si>
  <si>
    <t>CMR008002005</t>
  </si>
  <si>
    <t>Banka</t>
  </si>
  <si>
    <t>CMR008002006</t>
  </si>
  <si>
    <t>Fonfuka</t>
  </si>
  <si>
    <t>CMR007001004</t>
  </si>
  <si>
    <t>Babadjou</t>
  </si>
  <si>
    <t>CMR008001001</t>
  </si>
  <si>
    <t>Batcham</t>
  </si>
  <si>
    <t>CMR008001002</t>
  </si>
  <si>
    <t>Meyomessi</t>
  </si>
  <si>
    <t>CMR009001005</t>
  </si>
  <si>
    <t>Mélong</t>
  </si>
  <si>
    <t>CMR005001008</t>
  </si>
  <si>
    <t>Région OCHA</t>
  </si>
  <si>
    <t>Département_nom_OCHA</t>
  </si>
  <si>
    <t>Arrondissement_nom_OCHA</t>
  </si>
  <si>
    <t>Adm1_Name OCHA</t>
  </si>
  <si>
    <t>Adm2_Name OCHA</t>
  </si>
  <si>
    <t>Adm3_Name OCHA</t>
  </si>
  <si>
    <t>departement OCHA</t>
  </si>
  <si>
    <t>arrondissement OCHA</t>
  </si>
  <si>
    <t>Adm2_name OCHA</t>
  </si>
  <si>
    <t>Adm3_name OCHA</t>
  </si>
  <si>
    <t>Arrondissements OCHA</t>
  </si>
  <si>
    <t>Départements  OCHA</t>
  </si>
  <si>
    <t>#adm1+name</t>
  </si>
  <si>
    <t>#adm1+code</t>
  </si>
  <si>
    <t>#adm2+name</t>
  </si>
  <si>
    <t>#adm2+code</t>
  </si>
  <si>
    <t>#adm3+name</t>
  </si>
  <si>
    <t>#adm3+code</t>
  </si>
  <si>
    <t>#affected+idps+hh</t>
  </si>
  <si>
    <t>#affected+idps+ind</t>
  </si>
  <si>
    <t>#affected+refugees+hh</t>
  </si>
  <si>
    <t>#affected+refugees+ind</t>
  </si>
  <si>
    <t>#affected+returnees+hh</t>
  </si>
  <si>
    <t>#affected+returnees+ind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</si>
</sst>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_(* \(#,##0.00\);_(* &quot;-&quot;??_);_(@_)"/>
    <numFmt numFmtId="164" formatCode="_-* #,##0_-;\-* #,##0_-;_-* &quot;-&quot;_-;_-@_-"/>
    <numFmt numFmtId="165" formatCode="_-* #,##0\ &quot;FCFA&quot;_-;\-* #,##0\ &quot;FCFA&quot;_-;_-* &quot;-&quot;\ &quot;FCFA&quot;_-;_-@_-"/>
    <numFmt numFmtId="166" formatCode="0.0%"/>
    <numFmt numFmtId="167" formatCode="#\ ##0"/>
    <numFmt numFmtId="168" formatCode="#\ ##0\ 000"/>
    <numFmt numFmtId="169" formatCode="_(* #,##0_);_(* \(#,##0\);_(* &quot;-&quot;??_);_(@_)"/>
    <numFmt numFmtId="170" formatCode="0.0"/>
  </numFmts>
  <fonts count="117"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b/>
      <sz val="11"/>
      <color indexed="8"/>
      <name val="Calibri"/>
      <family val="2"/>
    </font>
    <font>
      <sz val="8"/>
      <name val="Calibri"/>
      <family val="2"/>
    </font>
    <font>
      <sz val="11"/>
      <color theme="0"/>
      <name val="Calibri"/>
      <family val="2"/>
      <scheme val="minor"/>
    </font>
    <font>
      <b/>
      <sz val="11"/>
      <color theme="0"/>
      <name val="Calibri"/>
      <family val="2"/>
      <scheme val="minor"/>
    </font>
    <font>
      <b/>
      <sz val="16"/>
      <color theme="1"/>
      <name val="Calibri"/>
      <family val="2"/>
      <scheme val="minor"/>
    </font>
    <font>
      <b/>
      <sz val="16"/>
      <color theme="1"/>
      <name val="Calibri"/>
      <family val="2"/>
    </font>
    <font>
      <b/>
      <sz val="12"/>
      <color rgb="FF0010A6"/>
      <name val="Calibri"/>
      <family val="2"/>
      <scheme val="minor"/>
    </font>
    <font>
      <b/>
      <sz val="11"/>
      <color rgb="FFFFFFFF"/>
      <name val="Calibri Light"/>
      <family val="2"/>
    </font>
    <font>
      <b/>
      <sz val="11"/>
      <color rgb="FF0039A6"/>
      <name val="Calibri"/>
      <family val="2"/>
      <scheme val="minor"/>
    </font>
    <font>
      <b/>
      <sz val="16"/>
      <color rgb="FF0010A6"/>
      <name val="Calibri"/>
      <family val="2"/>
      <scheme val="minor"/>
    </font>
    <font>
      <b/>
      <sz val="11"/>
      <color rgb="FF0010A6"/>
      <name val="Calibri"/>
      <family val="2"/>
      <scheme val="minor"/>
    </font>
    <font>
      <sz val="11"/>
      <name val="Calibri"/>
      <family val="2"/>
      <scheme val="minor"/>
    </font>
    <font>
      <b/>
      <sz val="11"/>
      <name val="Calibri"/>
      <family val="2"/>
      <scheme val="minor"/>
    </font>
    <font>
      <sz val="11"/>
      <color rgb="FF000000"/>
      <name val="Calibri Light"/>
      <family val="2"/>
    </font>
    <font>
      <sz val="11"/>
      <color rgb="FFFFFFFF"/>
      <name val="Calibri Light"/>
      <family val="2"/>
    </font>
    <font>
      <sz val="11"/>
      <color rgb="FF0039A6"/>
      <name val="Calibri"/>
      <family val="2"/>
      <scheme val="minor"/>
    </font>
    <font>
      <sz val="14"/>
      <color theme="1"/>
      <name val="Calibri"/>
      <family val="2"/>
      <scheme val="minor"/>
    </font>
    <font>
      <b/>
      <sz val="14"/>
      <color theme="0"/>
      <name val="Calibri"/>
      <family val="2"/>
      <scheme val="minor"/>
    </font>
    <font>
      <b/>
      <sz val="14"/>
      <color rgb="FF023F94"/>
      <name val="Calibri"/>
      <family val="2"/>
      <scheme val="minor"/>
    </font>
    <font>
      <b/>
      <sz val="14"/>
      <color theme="1"/>
      <name val="Calibri"/>
      <family val="2"/>
      <scheme val="minor"/>
    </font>
    <font>
      <b/>
      <sz val="11"/>
      <color rgb="FF023F94"/>
      <name val="Calibri"/>
      <family val="2"/>
      <scheme val="minor"/>
    </font>
    <font>
      <sz val="11"/>
      <color rgb="FFFF0000"/>
      <name val="Calibri"/>
      <family val="2"/>
      <scheme val="minor"/>
    </font>
    <font>
      <b/>
      <sz val="12"/>
      <color theme="1"/>
      <name val="Calibri"/>
      <family val="2"/>
      <scheme val="minor"/>
    </font>
    <font>
      <b/>
      <sz val="12"/>
      <color rgb="FF0039A6"/>
      <name val="Calibri"/>
      <family val="2"/>
      <scheme val="minor"/>
    </font>
    <font>
      <sz val="10"/>
      <color theme="0"/>
      <name val="Calibri"/>
      <family val="2"/>
      <scheme val="minor"/>
    </font>
    <font>
      <b/>
      <sz val="10"/>
      <color theme="0"/>
      <name val="Calibri"/>
      <family val="2"/>
      <scheme val="minor"/>
    </font>
    <font>
      <b/>
      <sz val="10"/>
      <color rgb="FFFFFFFF"/>
      <name val="Calibri Light"/>
      <family val="2"/>
    </font>
    <font>
      <b/>
      <sz val="11"/>
      <color theme="0"/>
      <name val="Calibri"/>
      <family val="2"/>
    </font>
    <font>
      <b/>
      <sz val="14"/>
      <color rgb="FFFF0000"/>
      <name val="Calibri"/>
      <family val="2"/>
      <scheme val="minor"/>
    </font>
    <font>
      <b/>
      <sz val="11"/>
      <color rgb="FF0033CC"/>
      <name val="Calibri"/>
      <family val="2"/>
    </font>
    <font>
      <b/>
      <sz val="12"/>
      <color rgb="FF0000C4"/>
      <name val="Calibri"/>
      <family val="2"/>
      <scheme val="minor"/>
    </font>
    <font>
      <b/>
      <i/>
      <sz val="11"/>
      <color theme="0" tint="-0.499984740745262"/>
      <name val="Calibri"/>
      <family val="2"/>
    </font>
    <font>
      <b/>
      <sz val="9"/>
      <color rgb="FFFFFFFF"/>
      <name val="Calibri Light"/>
      <family val="2"/>
    </font>
    <font>
      <b/>
      <sz val="16"/>
      <color rgb="FFFFFFFF"/>
      <name val="Arial Narrow"/>
      <family val="2"/>
    </font>
    <font>
      <u/>
      <sz val="11"/>
      <color theme="10"/>
      <name val="Calibri"/>
      <family val="2"/>
      <scheme val="minor"/>
    </font>
    <font>
      <sz val="11"/>
      <color rgb="FF000000"/>
      <name val="Calibri"/>
      <family val="2"/>
      <charset val="1"/>
    </font>
    <font>
      <b/>
      <sz val="20"/>
      <color rgb="FFFFFFFF"/>
      <name val="Arial Narrow"/>
      <family val="2"/>
    </font>
    <font>
      <sz val="12"/>
      <name val="Arial Narrow"/>
      <family val="2"/>
    </font>
    <font>
      <i/>
      <sz val="11"/>
      <color theme="0" tint="-0.34998626667073579"/>
      <name val="Calibri"/>
      <family val="2"/>
      <scheme val="minor"/>
    </font>
    <font>
      <b/>
      <sz val="12"/>
      <color rgb="FF0000FF"/>
      <name val="Arial Narrow"/>
      <family val="2"/>
    </font>
    <font>
      <b/>
      <sz val="12"/>
      <color theme="1"/>
      <name val="Arial Narrow"/>
      <family val="2"/>
    </font>
    <font>
      <sz val="12"/>
      <color theme="1"/>
      <name val="Arial Narrow"/>
      <family val="2"/>
    </font>
    <font>
      <b/>
      <sz val="12"/>
      <name val="Arial Narrow"/>
      <family val="2"/>
    </font>
    <font>
      <sz val="11"/>
      <color theme="1"/>
      <name val="Gill Sans Nova"/>
      <family val="2"/>
    </font>
    <font>
      <b/>
      <sz val="11"/>
      <color theme="0"/>
      <name val="Gill Sans Nova"/>
      <family val="2"/>
    </font>
    <font>
      <b/>
      <sz val="11"/>
      <color theme="0" tint="-0.34998626667073579"/>
      <name val="Gill Sans Nova"/>
      <family val="2"/>
    </font>
    <font>
      <sz val="11"/>
      <color theme="0" tint="-0.34998626667073579"/>
      <name val="Gill Sans Nova"/>
      <family val="2"/>
    </font>
    <font>
      <sz val="11"/>
      <color rgb="FFC00000"/>
      <name val="Calibri"/>
      <family val="2"/>
      <scheme val="minor"/>
    </font>
    <font>
      <b/>
      <sz val="12"/>
      <color theme="0"/>
      <name val="Gill Sans Nova"/>
      <family val="2"/>
    </font>
    <font>
      <b/>
      <sz val="14"/>
      <color theme="0"/>
      <name val="Gill Sans Nova"/>
      <family val="2"/>
    </font>
    <font>
      <b/>
      <sz val="14"/>
      <color rgb="FFC00000"/>
      <name val="Gill Sans Nova"/>
      <family val="2"/>
    </font>
    <font>
      <b/>
      <sz val="12"/>
      <color rgb="FFFF0000"/>
      <name val="Gill Sans Nova"/>
      <family val="2"/>
    </font>
    <font>
      <i/>
      <sz val="11"/>
      <color theme="0" tint="-0.34998626667073579"/>
      <name val="Gill Sans Nova"/>
      <family val="2"/>
    </font>
    <font>
      <i/>
      <sz val="12"/>
      <name val="Arial Narrow"/>
      <family val="2"/>
    </font>
    <font>
      <b/>
      <sz val="12"/>
      <color rgb="FFFFFFFF"/>
      <name val="Calibri Light"/>
      <family val="2"/>
    </font>
    <font>
      <i/>
      <sz val="11"/>
      <color theme="0" tint="-0.249977111117893"/>
      <name val="Calibri"/>
      <family val="2"/>
      <scheme val="minor"/>
    </font>
    <font>
      <b/>
      <i/>
      <sz val="11"/>
      <color theme="0" tint="-0.249977111117893"/>
      <name val="Calibri"/>
      <family val="2"/>
      <scheme val="minor"/>
    </font>
    <font>
      <i/>
      <sz val="11"/>
      <color theme="0" tint="-0.249977111117893"/>
      <name val="Calibri"/>
      <family val="2"/>
    </font>
    <font>
      <b/>
      <sz val="12"/>
      <color rgb="FF0033CC"/>
      <name val="Arial Narrow"/>
      <family val="2"/>
    </font>
    <font>
      <sz val="16"/>
      <color rgb="FFFF0000"/>
      <name val="Arial Narrow"/>
      <family val="2"/>
    </font>
    <font>
      <b/>
      <sz val="10"/>
      <name val="Gill Sans Nova"/>
      <family val="2"/>
    </font>
    <font>
      <b/>
      <sz val="12"/>
      <color theme="0"/>
      <name val="Arial Narrow"/>
      <family val="2"/>
    </font>
    <font>
      <i/>
      <sz val="11"/>
      <color rgb="FF0039A6"/>
      <name val="Calibri"/>
      <family val="2"/>
      <scheme val="minor"/>
    </font>
    <font>
      <i/>
      <sz val="11"/>
      <name val="Calibri"/>
      <family val="2"/>
      <scheme val="minor"/>
    </font>
    <font>
      <b/>
      <sz val="16"/>
      <name val="Arial Narrow"/>
      <family val="2"/>
    </font>
    <font>
      <b/>
      <sz val="20"/>
      <name val="Arial Narrow"/>
      <family val="2"/>
    </font>
    <font>
      <b/>
      <sz val="18"/>
      <color rgb="FFFFFFFF"/>
      <name val="Arial Narrow"/>
      <family val="2"/>
    </font>
  </fonts>
  <fills count="45">
    <fill>
      <patternFill patternType="none"/>
    </fill>
    <fill>
      <patternFill patternType="gray125"/>
    </fill>
    <fill>
      <patternFill patternType="solid">
        <fgColor theme="4"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rgb="FF0039A6"/>
        <bgColor indexed="64"/>
      </patternFill>
    </fill>
    <fill>
      <patternFill patternType="solid">
        <fgColor theme="6"/>
        <bgColor indexed="64"/>
      </patternFill>
    </fill>
    <fill>
      <patternFill patternType="solid">
        <fgColor rgb="FF023433"/>
        <bgColor indexed="64"/>
      </patternFill>
    </fill>
    <fill>
      <patternFill patternType="solid">
        <fgColor rgb="FF0033A0"/>
        <bgColor indexed="64"/>
      </patternFill>
    </fill>
    <fill>
      <patternFill patternType="solid">
        <fgColor rgb="FFD2E4FC"/>
        <bgColor indexed="64"/>
      </patternFill>
    </fill>
    <fill>
      <patternFill patternType="solid">
        <fgColor rgb="FF023F94"/>
        <bgColor indexed="64"/>
      </patternFill>
    </fill>
    <fill>
      <patternFill patternType="solid">
        <fgColor rgb="FFE73331"/>
        <bgColor indexed="64"/>
      </patternFill>
    </fill>
    <fill>
      <patternFill patternType="solid">
        <fgColor rgb="FFFF9090"/>
        <bgColor indexed="64"/>
      </patternFill>
    </fill>
    <fill>
      <patternFill patternType="solid">
        <fgColor rgb="FFFF7400"/>
        <bgColor indexed="64"/>
      </patternFill>
    </fill>
    <fill>
      <patternFill patternType="solid">
        <fgColor rgb="FFFFB579"/>
        <bgColor indexed="64"/>
      </patternFill>
    </fill>
    <fill>
      <patternFill patternType="solid">
        <fgColor rgb="FFFFFFFF"/>
        <bgColor indexed="64"/>
      </patternFill>
    </fill>
    <fill>
      <patternFill patternType="solid">
        <fgColor rgb="FF35B4B6"/>
        <bgColor indexed="64"/>
      </patternFill>
    </fill>
    <fill>
      <patternFill patternType="solid">
        <fgColor rgb="FFC1FDFD"/>
        <bgColor indexed="64"/>
      </patternFill>
    </fill>
    <fill>
      <patternFill patternType="solid">
        <fgColor rgb="FF6E99D4"/>
        <bgColor indexed="64"/>
      </patternFill>
    </fill>
    <fill>
      <patternFill patternType="solid">
        <fgColor rgb="FF4B92DB"/>
        <bgColor indexed="64"/>
      </patternFill>
    </fill>
    <fill>
      <patternFill patternType="solid">
        <fgColor rgb="FFF2F2F2"/>
        <bgColor indexed="64"/>
      </patternFill>
    </fill>
    <fill>
      <patternFill patternType="solid">
        <fgColor theme="9"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5"/>
        <bgColor indexed="64"/>
      </patternFill>
    </fill>
    <fill>
      <patternFill patternType="solid">
        <fgColor rgb="FF0000FF"/>
        <bgColor indexed="64"/>
      </patternFill>
    </fill>
    <fill>
      <patternFill patternType="solid">
        <fgColor theme="0" tint="-0.499984740745262"/>
        <bgColor indexed="64"/>
      </patternFill>
    </fill>
    <fill>
      <patternFill patternType="solid">
        <fgColor rgb="FF5B92E5"/>
        <bgColor rgb="FFFFC7CE"/>
      </patternFill>
    </fill>
    <fill>
      <patternFill patternType="solid">
        <fgColor rgb="FF5B92E5"/>
        <bgColor rgb="FF000000"/>
      </patternFill>
    </fill>
    <fill>
      <patternFill patternType="solid">
        <fgColor rgb="FF5B92E5"/>
        <bgColor indexed="64"/>
      </patternFill>
    </fill>
    <fill>
      <patternFill patternType="solid">
        <fgColor theme="1" tint="0.499984740745262"/>
        <bgColor indexed="64"/>
      </patternFill>
    </fill>
    <fill>
      <patternFill patternType="solid">
        <fgColor rgb="FF0000C4"/>
        <bgColor rgb="FF000000"/>
      </patternFill>
    </fill>
    <fill>
      <patternFill patternType="solid">
        <fgColor rgb="FF0000C4"/>
        <bgColor indexed="64"/>
      </patternFill>
    </fill>
    <fill>
      <patternFill patternType="solid">
        <fgColor rgb="FF0033CC"/>
        <bgColor indexed="64"/>
      </patternFill>
    </fill>
    <fill>
      <patternFill patternType="solid">
        <fgColor rgb="FFFFFF00"/>
        <bgColor indexed="64"/>
      </patternFill>
    </fill>
    <fill>
      <patternFill patternType="solid">
        <fgColor theme="5" tint="-0.249977111117893"/>
        <bgColor indexed="64"/>
      </patternFill>
    </fill>
  </fills>
  <borders count="1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theme="4" tint="0.39997558519241921"/>
      </top>
      <bottom/>
      <diagonal/>
    </border>
    <border>
      <left style="medium">
        <color indexed="64"/>
      </left>
      <right/>
      <top/>
      <bottom/>
      <diagonal/>
    </border>
    <border>
      <left style="thin">
        <color auto="1"/>
      </left>
      <right style="thin">
        <color auto="1"/>
      </right>
      <top/>
      <bottom/>
      <diagonal/>
    </border>
    <border>
      <left style="thin">
        <color rgb="FFC6C6C6"/>
      </left>
      <right/>
      <top/>
      <bottom style="thin">
        <color rgb="FFC6C6C6"/>
      </bottom>
      <diagonal/>
    </border>
    <border>
      <left style="thin">
        <color indexed="64"/>
      </left>
      <right/>
      <top/>
      <bottom/>
      <diagonal/>
    </border>
    <border>
      <left/>
      <right/>
      <top style="thin">
        <color auto="1"/>
      </top>
      <bottom/>
      <diagonal/>
    </border>
    <border>
      <left/>
      <right style="thin">
        <color indexed="64"/>
      </right>
      <top/>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rgb="FFFFFFFF"/>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right style="medium">
        <color theme="0"/>
      </right>
      <top/>
      <bottom/>
      <diagonal/>
    </border>
    <border>
      <left/>
      <right style="thin">
        <color auto="1"/>
      </right>
      <top style="thin">
        <color auto="1"/>
      </top>
      <bottom/>
      <diagonal/>
    </border>
    <border>
      <left style="thin">
        <color indexed="64"/>
      </left>
      <right/>
      <top style="thin">
        <color indexed="64"/>
      </top>
      <bottom style="medium">
        <color theme="0"/>
      </bottom>
      <diagonal/>
    </border>
    <border>
      <left/>
      <right/>
      <top style="thin">
        <color indexed="64"/>
      </top>
      <bottom style="medium">
        <color theme="0"/>
      </bottom>
      <diagonal/>
    </border>
    <border>
      <left/>
      <right style="thin">
        <color indexed="64"/>
      </right>
      <top style="thin">
        <color indexed="64"/>
      </top>
      <bottom style="medium">
        <color theme="0"/>
      </bottom>
      <diagonal/>
    </border>
    <border>
      <left style="medium">
        <color rgb="FFFFFFFF"/>
      </left>
      <right style="medium">
        <color rgb="FFFFFFFF"/>
      </right>
      <top/>
      <bottom/>
      <diagonal/>
    </border>
    <border>
      <left/>
      <right style="medium">
        <color rgb="FFFFFFFF"/>
      </right>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4" tint="0.39997558519241921"/>
      </left>
      <right style="thin">
        <color theme="4" tint="0.39997558519241921"/>
      </right>
      <top style="thin">
        <color theme="4" tint="0.39997558519241921"/>
      </top>
      <bottom/>
      <diagonal/>
    </border>
    <border>
      <left/>
      <right style="thin">
        <color theme="4" tint="0.39997558519241921"/>
      </right>
      <top style="thin">
        <color indexed="64"/>
      </top>
      <bottom/>
      <diagonal/>
    </border>
    <border>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left>
      <right style="thin">
        <color theme="4" tint="0.39997558519241921"/>
      </right>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4B92DB"/>
      </left>
      <right/>
      <top/>
      <bottom/>
      <diagonal/>
    </border>
    <border>
      <left style="medium">
        <color rgb="FF0070C0"/>
      </left>
      <right style="medium">
        <color rgb="FF0070C0"/>
      </right>
      <top style="medium">
        <color rgb="FF0070C0"/>
      </top>
      <bottom style="medium">
        <color rgb="FF0070C0"/>
      </bottom>
      <diagonal/>
    </border>
    <border>
      <left/>
      <right/>
      <top style="thin">
        <color rgb="FFC6C6C6"/>
      </top>
      <bottom style="thin">
        <color rgb="FFC6C6C6"/>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70C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top style="medium">
        <color rgb="FF0070C0"/>
      </top>
      <bottom style="medium">
        <color rgb="FF0070C0"/>
      </bottom>
      <diagonal/>
    </border>
    <border>
      <left style="medium">
        <color rgb="FF0070C0"/>
      </left>
      <right style="medium">
        <color rgb="FF0070C0"/>
      </right>
      <top/>
      <bottom/>
      <diagonal/>
    </border>
    <border>
      <left style="thin">
        <color rgb="FFC6C6C6"/>
      </left>
      <right style="thin">
        <color rgb="FFC6C6C6"/>
      </right>
      <top/>
      <bottom style="thin">
        <color rgb="FFC6C6C6"/>
      </bottom>
      <diagonal/>
    </border>
    <border>
      <left style="thin">
        <color theme="6" tint="0.39997558519241921"/>
      </left>
      <right/>
      <top style="thin">
        <color theme="6" tint="0.39997558519241921"/>
      </top>
      <bottom style="thin">
        <color theme="6" tint="0.3999755851924192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theme="0"/>
      </left>
      <right style="medium">
        <color theme="0"/>
      </right>
      <top/>
      <bottom style="medium">
        <color theme="0"/>
      </bottom>
      <diagonal/>
    </border>
    <border>
      <left style="thin">
        <color indexed="64"/>
      </left>
      <right style="medium">
        <color indexed="64"/>
      </right>
      <top/>
      <bottom/>
      <diagonal/>
    </border>
    <border>
      <left style="thin">
        <color indexed="64"/>
      </left>
      <right/>
      <top style="medium">
        <color theme="0"/>
      </top>
      <bottom/>
      <diagonal/>
    </border>
    <border>
      <left style="medium">
        <color theme="0"/>
      </left>
      <right style="thin">
        <color indexed="64"/>
      </right>
      <top style="medium">
        <color theme="0"/>
      </top>
      <bottom/>
      <diagonal/>
    </border>
    <border>
      <left style="thin">
        <color indexed="64"/>
      </left>
      <right/>
      <top style="medium">
        <color theme="0"/>
      </top>
      <bottom style="thin">
        <color indexed="64"/>
      </bottom>
      <diagonal/>
    </border>
    <border>
      <left style="medium">
        <color theme="0"/>
      </left>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thin">
        <color indexed="64"/>
      </bottom>
      <diagonal/>
    </border>
    <border>
      <left style="medium">
        <color theme="0"/>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indexed="64"/>
      </left>
      <right style="medium">
        <color indexed="64"/>
      </right>
      <top style="medium">
        <color indexed="64"/>
      </top>
      <bottom style="thin">
        <color auto="1"/>
      </bottom>
      <diagonal/>
    </border>
    <border>
      <left style="medium">
        <color rgb="FF0000C4"/>
      </left>
      <right style="thin">
        <color auto="1"/>
      </right>
      <top style="medium">
        <color rgb="FF0000C4"/>
      </top>
      <bottom style="thin">
        <color auto="1"/>
      </bottom>
      <diagonal/>
    </border>
    <border>
      <left style="thin">
        <color auto="1"/>
      </left>
      <right style="medium">
        <color rgb="FF0000C4"/>
      </right>
      <top style="medium">
        <color rgb="FF0000C4"/>
      </top>
      <bottom style="thin">
        <color auto="1"/>
      </bottom>
      <diagonal/>
    </border>
    <border>
      <left style="medium">
        <color rgb="FF0000C4"/>
      </left>
      <right style="thin">
        <color auto="1"/>
      </right>
      <top style="thin">
        <color auto="1"/>
      </top>
      <bottom style="thin">
        <color auto="1"/>
      </bottom>
      <diagonal/>
    </border>
    <border>
      <left style="thin">
        <color auto="1"/>
      </left>
      <right style="medium">
        <color rgb="FF0000C4"/>
      </right>
      <top style="thin">
        <color auto="1"/>
      </top>
      <bottom style="thin">
        <color auto="1"/>
      </bottom>
      <diagonal/>
    </border>
    <border>
      <left style="medium">
        <color rgb="FF0000C4"/>
      </left>
      <right style="thin">
        <color auto="1"/>
      </right>
      <top style="thin">
        <color auto="1"/>
      </top>
      <bottom style="medium">
        <color rgb="FF0000C4"/>
      </bottom>
      <diagonal/>
    </border>
    <border>
      <left style="thin">
        <color auto="1"/>
      </left>
      <right style="medium">
        <color rgb="FF0000C4"/>
      </right>
      <top style="thin">
        <color auto="1"/>
      </top>
      <bottom style="medium">
        <color rgb="FF0000C4"/>
      </bottom>
      <diagonal/>
    </border>
    <border>
      <left style="medium">
        <color theme="4"/>
      </left>
      <right style="medium">
        <color theme="4"/>
      </right>
      <top style="medium">
        <color theme="4"/>
      </top>
      <bottom style="medium">
        <color theme="4"/>
      </bottom>
      <diagonal/>
    </border>
    <border>
      <left style="medium">
        <color theme="4"/>
      </left>
      <right/>
      <top/>
      <bottom style="medium">
        <color theme="4"/>
      </bottom>
      <diagonal/>
    </border>
    <border>
      <left style="medium">
        <color rgb="FF0033CC"/>
      </left>
      <right/>
      <top style="medium">
        <color rgb="FF0033CC"/>
      </top>
      <bottom style="medium">
        <color rgb="FF0033CC"/>
      </bottom>
      <diagonal/>
    </border>
    <border>
      <left/>
      <right style="medium">
        <color rgb="FF0033CC"/>
      </right>
      <top style="medium">
        <color rgb="FF0033CC"/>
      </top>
      <bottom style="medium">
        <color rgb="FF0033CC"/>
      </bottom>
      <diagonal/>
    </border>
    <border>
      <left/>
      <right/>
      <top style="medium">
        <color rgb="FF0033CC"/>
      </top>
      <bottom style="medium">
        <color rgb="FF0033CC"/>
      </bottom>
      <diagonal/>
    </border>
    <border>
      <left/>
      <right style="medium">
        <color theme="0"/>
      </right>
      <top style="medium">
        <color theme="0"/>
      </top>
      <bottom style="medium">
        <color theme="0"/>
      </bottom>
      <diagonal/>
    </border>
    <border>
      <left/>
      <right/>
      <top style="medium">
        <color theme="0"/>
      </top>
      <bottom/>
      <diagonal/>
    </border>
    <border>
      <left style="medium">
        <color theme="0"/>
      </left>
      <right/>
      <top style="thin">
        <color indexed="64"/>
      </top>
      <bottom/>
      <diagonal/>
    </border>
    <border>
      <left style="medium">
        <color theme="0"/>
      </left>
      <right style="thin">
        <color indexed="64"/>
      </right>
      <top style="thin">
        <color indexed="64"/>
      </top>
      <bottom/>
      <diagonal/>
    </border>
  </borders>
  <cellStyleXfs count="65">
    <xf numFmtId="0" fontId="0" fillId="0" borderId="0"/>
    <xf numFmtId="0" fontId="49" fillId="0" borderId="0"/>
    <xf numFmtId="0" fontId="47" fillId="0" borderId="0"/>
    <xf numFmtId="0" fontId="46" fillId="0" borderId="0"/>
    <xf numFmtId="165" fontId="49" fillId="0" borderId="0" applyFont="0" applyFill="0" applyBorder="0" applyAlignment="0" applyProtection="0"/>
    <xf numFmtId="0" fontId="45" fillId="0" borderId="0"/>
    <xf numFmtId="43" fontId="49" fillId="0" borderId="0" applyFont="0" applyFill="0" applyBorder="0" applyAlignment="0" applyProtection="0"/>
    <xf numFmtId="9" fontId="49" fillId="0" borderId="0" applyFont="0" applyFill="0" applyBorder="0" applyAlignment="0" applyProtection="0"/>
    <xf numFmtId="0" fontId="44" fillId="0" borderId="0"/>
    <xf numFmtId="0" fontId="43" fillId="0" borderId="0"/>
    <xf numFmtId="0" fontId="42" fillId="0" borderId="0"/>
    <xf numFmtId="9" fontId="42" fillId="0" borderId="0" applyFon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0" fontId="39" fillId="0" borderId="0"/>
    <xf numFmtId="9" fontId="39" fillId="0" borderId="0" applyFont="0" applyFill="0" applyBorder="0" applyAlignment="0" applyProtection="0"/>
    <xf numFmtId="0" fontId="38" fillId="0" borderId="0"/>
    <xf numFmtId="0" fontId="37" fillId="0" borderId="0"/>
    <xf numFmtId="0" fontId="36" fillId="0" borderId="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2" fillId="0" borderId="0"/>
    <xf numFmtId="0" fontId="31" fillId="0" borderId="0"/>
    <xf numFmtId="0" fontId="30" fillId="0" borderId="0"/>
    <xf numFmtId="0" fontId="30" fillId="0" borderId="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0" fontId="26" fillId="0" borderId="0"/>
    <xf numFmtId="0" fontId="25" fillId="0" borderId="0"/>
    <xf numFmtId="0" fontId="25" fillId="0" borderId="0"/>
    <xf numFmtId="0" fontId="24" fillId="0" borderId="0"/>
    <xf numFmtId="0" fontId="23" fillId="0" borderId="0"/>
    <xf numFmtId="9" fontId="23"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164" fontId="49" fillId="0" borderId="0" applyFont="0" applyFill="0" applyBorder="0" applyAlignment="0" applyProtection="0"/>
    <xf numFmtId="0" fontId="21" fillId="0" borderId="0"/>
    <xf numFmtId="0" fontId="21" fillId="0" borderId="0"/>
    <xf numFmtId="0" fontId="20" fillId="0" borderId="0"/>
    <xf numFmtId="0" fontId="19" fillId="0" borderId="0"/>
    <xf numFmtId="0" fontId="84" fillId="0" borderId="0" applyNumberFormat="0" applyFill="0" applyBorder="0" applyAlignment="0" applyProtection="0"/>
    <xf numFmtId="0" fontId="19" fillId="0" borderId="0"/>
    <xf numFmtId="0" fontId="14" fillId="0" borderId="0"/>
    <xf numFmtId="0" fontId="12" fillId="0" borderId="0"/>
    <xf numFmtId="0" fontId="12" fillId="0" borderId="0"/>
    <xf numFmtId="0" fontId="12" fillId="0" borderId="0"/>
    <xf numFmtId="0" fontId="12" fillId="0" borderId="0"/>
    <xf numFmtId="0" fontId="7" fillId="0" borderId="0"/>
    <xf numFmtId="0" fontId="49" fillId="0" borderId="0"/>
    <xf numFmtId="0" fontId="7" fillId="0" borderId="0"/>
    <xf numFmtId="0" fontId="4" fillId="0" borderId="0"/>
  </cellStyleXfs>
  <cellXfs count="1452">
    <xf numFmtId="0" fontId="0" fillId="0" borderId="0" xfId="0"/>
    <xf numFmtId="0" fontId="0" fillId="0" borderId="0" xfId="0" applyAlignment="1">
      <alignment horizontal="left"/>
    </xf>
    <xf numFmtId="0" fontId="0" fillId="0" borderId="0" xfId="0" pivotButton="1"/>
    <xf numFmtId="0" fontId="0" fillId="0" borderId="0" xfId="0" applyAlignment="1">
      <alignment horizontal="left" indent="1"/>
    </xf>
    <xf numFmtId="0" fontId="52" fillId="0" borderId="0" xfId="9" applyFont="1" applyAlignment="1">
      <alignment horizontal="center" vertical="center" wrapText="1"/>
    </xf>
    <xf numFmtId="0" fontId="45" fillId="0" borderId="0" xfId="5"/>
    <xf numFmtId="0" fontId="43" fillId="0" borderId="0" xfId="9"/>
    <xf numFmtId="0" fontId="43" fillId="0" borderId="0" xfId="9" applyAlignment="1">
      <alignment horizontal="left"/>
    </xf>
    <xf numFmtId="0" fontId="43" fillId="0" borderId="0" xfId="9" applyAlignment="1">
      <alignment horizontal="center"/>
    </xf>
    <xf numFmtId="0" fontId="53" fillId="11" borderId="20" xfId="9" applyFont="1" applyFill="1" applyBorder="1" applyAlignment="1">
      <alignment vertical="center" wrapText="1"/>
    </xf>
    <xf numFmtId="0" fontId="42" fillId="0" borderId="24" xfId="10" applyBorder="1" applyAlignment="1">
      <alignment horizontal="left"/>
    </xf>
    <xf numFmtId="167" fontId="42" fillId="0" borderId="24" xfId="10" applyNumberFormat="1" applyBorder="1"/>
    <xf numFmtId="0" fontId="42" fillId="15" borderId="24" xfId="10" applyFill="1" applyBorder="1" applyAlignment="1">
      <alignment horizontal="left"/>
    </xf>
    <xf numFmtId="167" fontId="42" fillId="15" borderId="24" xfId="10" applyNumberFormat="1" applyFill="1" applyBorder="1"/>
    <xf numFmtId="9" fontId="48" fillId="0" borderId="25" xfId="11" applyFont="1" applyFill="1" applyBorder="1"/>
    <xf numFmtId="9" fontId="48" fillId="15" borderId="25" xfId="11" applyFont="1" applyFill="1" applyBorder="1"/>
    <xf numFmtId="0" fontId="42" fillId="0" borderId="24" xfId="10" applyBorder="1"/>
    <xf numFmtId="0" fontId="42" fillId="15" borderId="24" xfId="10" applyFill="1" applyBorder="1"/>
    <xf numFmtId="0" fontId="42" fillId="0" borderId="24" xfId="10" applyBorder="1" applyAlignment="1">
      <alignment horizontal="left" vertical="center" wrapText="1"/>
    </xf>
    <xf numFmtId="166" fontId="0" fillId="0" borderId="24" xfId="11" applyNumberFormat="1" applyFont="1" applyFill="1" applyBorder="1" applyAlignment="1">
      <alignment wrapText="1"/>
    </xf>
    <xf numFmtId="166" fontId="0" fillId="0" borderId="24" xfId="11" applyNumberFormat="1" applyFont="1" applyFill="1" applyBorder="1"/>
    <xf numFmtId="166" fontId="0" fillId="15" borderId="24" xfId="11" applyNumberFormat="1" applyFont="1" applyFill="1" applyBorder="1" applyAlignment="1">
      <alignment wrapText="1"/>
    </xf>
    <xf numFmtId="166" fontId="0" fillId="15" borderId="24" xfId="11" applyNumberFormat="1" applyFont="1" applyFill="1" applyBorder="1"/>
    <xf numFmtId="0" fontId="42" fillId="15" borderId="24" xfId="10" applyFill="1" applyBorder="1" applyAlignment="1">
      <alignment horizontal="left" vertical="center" wrapText="1"/>
    </xf>
    <xf numFmtId="0" fontId="41" fillId="10" borderId="0" xfId="12" applyFill="1"/>
    <xf numFmtId="0" fontId="41" fillId="13" borderId="0" xfId="12" applyFill="1"/>
    <xf numFmtId="0" fontId="41" fillId="10" borderId="21" xfId="12" applyFill="1" applyBorder="1"/>
    <xf numFmtId="0" fontId="56" fillId="10" borderId="0" xfId="12" applyFont="1" applyFill="1"/>
    <xf numFmtId="0" fontId="56" fillId="10" borderId="0" xfId="12" applyFont="1" applyFill="1" applyAlignment="1">
      <alignment wrapText="1"/>
    </xf>
    <xf numFmtId="0" fontId="56" fillId="13" borderId="22" xfId="12" applyFont="1" applyFill="1" applyBorder="1" applyAlignment="1">
      <alignment horizontal="left"/>
    </xf>
    <xf numFmtId="0" fontId="41" fillId="10" borderId="23" xfId="12" applyFill="1" applyBorder="1"/>
    <xf numFmtId="0" fontId="41" fillId="10" borderId="0" xfId="12" applyFill="1" applyAlignment="1">
      <alignment wrapText="1"/>
    </xf>
    <xf numFmtId="0" fontId="52" fillId="10" borderId="0" xfId="12" applyFont="1" applyFill="1" applyAlignment="1">
      <alignment wrapText="1"/>
    </xf>
    <xf numFmtId="0" fontId="52" fillId="10" borderId="0" xfId="12" applyFont="1" applyFill="1"/>
    <xf numFmtId="0" fontId="52" fillId="13" borderId="0" xfId="12" applyFont="1" applyFill="1"/>
    <xf numFmtId="0" fontId="57" fillId="14" borderId="24" xfId="12" applyFont="1" applyFill="1" applyBorder="1" applyAlignment="1">
      <alignment vertical="center" wrapText="1"/>
    </xf>
    <xf numFmtId="0" fontId="57" fillId="14" borderId="24" xfId="12" applyFont="1" applyFill="1" applyBorder="1" applyAlignment="1">
      <alignment horizontal="center" vertical="center" wrapText="1"/>
    </xf>
    <xf numFmtId="0" fontId="57" fillId="14" borderId="25" xfId="12" applyFont="1" applyFill="1" applyBorder="1" applyAlignment="1">
      <alignment horizontal="center" vertical="center" wrapText="1"/>
    </xf>
    <xf numFmtId="0" fontId="57" fillId="14" borderId="26" xfId="12" applyFont="1" applyFill="1" applyBorder="1" applyAlignment="1">
      <alignment horizontal="center" vertical="center" wrapText="1"/>
    </xf>
    <xf numFmtId="0" fontId="41" fillId="0" borderId="24" xfId="12" applyBorder="1" applyAlignment="1">
      <alignment horizontal="left"/>
    </xf>
    <xf numFmtId="167" fontId="41" fillId="0" borderId="24" xfId="12" applyNumberFormat="1" applyBorder="1"/>
    <xf numFmtId="167" fontId="48" fillId="0" borderId="25" xfId="12" applyNumberFormat="1" applyFont="1" applyBorder="1"/>
    <xf numFmtId="3" fontId="41" fillId="0" borderId="24" xfId="12" applyNumberFormat="1" applyBorder="1"/>
    <xf numFmtId="3" fontId="48" fillId="0" borderId="25" xfId="12" applyNumberFormat="1" applyFont="1" applyBorder="1"/>
    <xf numFmtId="0" fontId="41" fillId="15" borderId="24" xfId="12" applyFill="1" applyBorder="1" applyAlignment="1">
      <alignment horizontal="left"/>
    </xf>
    <xf numFmtId="167" fontId="41" fillId="15" borderId="24" xfId="12" applyNumberFormat="1" applyFill="1" applyBorder="1"/>
    <xf numFmtId="3" fontId="41" fillId="15" borderId="24" xfId="12" applyNumberFormat="1" applyFill="1" applyBorder="1"/>
    <xf numFmtId="3" fontId="48" fillId="15" borderId="25" xfId="12" applyNumberFormat="1" applyFont="1" applyFill="1" applyBorder="1"/>
    <xf numFmtId="0" fontId="53" fillId="14" borderId="27" xfId="12" applyFont="1" applyFill="1" applyBorder="1" applyAlignment="1">
      <alignment horizontal="left"/>
    </xf>
    <xf numFmtId="167" fontId="53" fillId="16" borderId="27" xfId="12" applyNumberFormat="1" applyFont="1" applyFill="1" applyBorder="1" applyAlignment="1">
      <alignment wrapText="1"/>
    </xf>
    <xf numFmtId="167" fontId="53" fillId="16" borderId="27" xfId="12" applyNumberFormat="1" applyFont="1" applyFill="1" applyBorder="1"/>
    <xf numFmtId="167" fontId="53" fillId="16" borderId="28" xfId="12" applyNumberFormat="1" applyFont="1" applyFill="1" applyBorder="1"/>
    <xf numFmtId="3" fontId="53" fillId="14" borderId="27" xfId="12" applyNumberFormat="1" applyFont="1" applyFill="1" applyBorder="1"/>
    <xf numFmtId="3" fontId="53" fillId="14" borderId="28" xfId="12" applyNumberFormat="1" applyFont="1" applyFill="1" applyBorder="1"/>
    <xf numFmtId="9" fontId="0" fillId="10" borderId="0" xfId="13" applyFont="1" applyFill="1" applyBorder="1" applyAlignment="1">
      <alignment wrapText="1"/>
    </xf>
    <xf numFmtId="9" fontId="0" fillId="10" borderId="0" xfId="13" applyFont="1" applyFill="1" applyBorder="1"/>
    <xf numFmtId="0" fontId="41" fillId="0" borderId="0" xfId="12" applyAlignment="1">
      <alignment horizontal="left"/>
    </xf>
    <xf numFmtId="9" fontId="0" fillId="0" borderId="24" xfId="13" applyFont="1" applyFill="1" applyBorder="1"/>
    <xf numFmtId="9" fontId="48" fillId="0" borderId="25" xfId="13" applyFont="1" applyFill="1" applyBorder="1"/>
    <xf numFmtId="9" fontId="0" fillId="15" borderId="24" xfId="13" applyFont="1" applyFill="1" applyBorder="1"/>
    <xf numFmtId="9" fontId="48" fillId="15" borderId="25" xfId="13" applyFont="1" applyFill="1" applyBorder="1"/>
    <xf numFmtId="0" fontId="41" fillId="15" borderId="27" xfId="12" applyFill="1" applyBorder="1" applyAlignment="1">
      <alignment horizontal="left"/>
    </xf>
    <xf numFmtId="9" fontId="0" fillId="15" borderId="27" xfId="13" applyFont="1" applyFill="1" applyBorder="1"/>
    <xf numFmtId="9" fontId="48" fillId="15" borderId="28" xfId="13" applyFont="1" applyFill="1" applyBorder="1"/>
    <xf numFmtId="0" fontId="41" fillId="0" borderId="0" xfId="12"/>
    <xf numFmtId="0" fontId="41" fillId="0" borderId="0" xfId="12" applyAlignment="1">
      <alignment wrapText="1"/>
    </xf>
    <xf numFmtId="167" fontId="41" fillId="10" borderId="0" xfId="12" applyNumberFormat="1" applyFill="1"/>
    <xf numFmtId="0" fontId="52" fillId="0" borderId="0" xfId="12" applyFont="1"/>
    <xf numFmtId="3" fontId="41" fillId="0" borderId="0" xfId="12" applyNumberFormat="1"/>
    <xf numFmtId="3" fontId="41" fillId="13" borderId="0" xfId="12" applyNumberFormat="1" applyFill="1"/>
    <xf numFmtId="0" fontId="58" fillId="10" borderId="0" xfId="12" applyFont="1" applyFill="1"/>
    <xf numFmtId="0" fontId="41" fillId="0" borderId="24" xfId="12" applyBorder="1"/>
    <xf numFmtId="0" fontId="41" fillId="0" borderId="25" xfId="12" applyBorder="1"/>
    <xf numFmtId="167" fontId="41" fillId="0" borderId="25" xfId="12" applyNumberFormat="1" applyBorder="1"/>
    <xf numFmtId="0" fontId="41" fillId="15" borderId="24" xfId="12" applyFill="1" applyBorder="1"/>
    <xf numFmtId="0" fontId="41" fillId="15" borderId="25" xfId="12" applyFill="1" applyBorder="1"/>
    <xf numFmtId="167" fontId="41" fillId="15" borderId="25" xfId="12" applyNumberFormat="1" applyFill="1" applyBorder="1"/>
    <xf numFmtId="167" fontId="53" fillId="16" borderId="28" xfId="12" applyNumberFormat="1" applyFont="1" applyFill="1" applyBorder="1" applyAlignment="1">
      <alignment wrapText="1"/>
    </xf>
    <xf numFmtId="0" fontId="53" fillId="14" borderId="28" xfId="12" applyFont="1" applyFill="1" applyBorder="1"/>
    <xf numFmtId="168" fontId="53" fillId="16" borderId="27" xfId="12" applyNumberFormat="1" applyFont="1" applyFill="1" applyBorder="1"/>
    <xf numFmtId="9" fontId="53" fillId="14" borderId="28" xfId="12" applyNumberFormat="1" applyFont="1" applyFill="1" applyBorder="1"/>
    <xf numFmtId="0" fontId="57" fillId="14" borderId="28" xfId="12" applyFont="1" applyFill="1" applyBorder="1" applyAlignment="1">
      <alignment vertical="center" wrapText="1"/>
    </xf>
    <xf numFmtId="0" fontId="57" fillId="14" borderId="27" xfId="12" applyFont="1" applyFill="1" applyBorder="1" applyAlignment="1">
      <alignment horizontal="center" vertical="center" wrapText="1"/>
    </xf>
    <xf numFmtId="0" fontId="41" fillId="0" borderId="28" xfId="12" applyBorder="1"/>
    <xf numFmtId="0" fontId="41" fillId="15" borderId="28" xfId="12" applyFill="1" applyBorder="1"/>
    <xf numFmtId="167" fontId="41" fillId="15" borderId="29" xfId="12" applyNumberFormat="1" applyFill="1" applyBorder="1"/>
    <xf numFmtId="167" fontId="41" fillId="0" borderId="30" xfId="12" applyNumberFormat="1" applyBorder="1"/>
    <xf numFmtId="167" fontId="41" fillId="15" borderId="30" xfId="12" applyNumberFormat="1" applyFill="1" applyBorder="1"/>
    <xf numFmtId="0" fontId="53" fillId="14" borderId="28" xfId="12" applyFont="1" applyFill="1" applyBorder="1" applyAlignment="1">
      <alignment horizontal="left"/>
    </xf>
    <xf numFmtId="0" fontId="53" fillId="14" borderId="28" xfId="12" applyFont="1" applyFill="1" applyBorder="1" applyAlignment="1">
      <alignment horizontal="right"/>
    </xf>
    <xf numFmtId="0" fontId="53" fillId="16" borderId="27" xfId="12" applyFont="1" applyFill="1" applyBorder="1"/>
    <xf numFmtId="0" fontId="53" fillId="16" borderId="28" xfId="12" applyFont="1" applyFill="1" applyBorder="1"/>
    <xf numFmtId="0" fontId="53" fillId="14" borderId="27" xfId="12" applyFont="1" applyFill="1" applyBorder="1"/>
    <xf numFmtId="0" fontId="41" fillId="10" borderId="10" xfId="12" applyFill="1" applyBorder="1"/>
    <xf numFmtId="0" fontId="41" fillId="10" borderId="11" xfId="12" applyFill="1" applyBorder="1"/>
    <xf numFmtId="0" fontId="41" fillId="10" borderId="11" xfId="12" applyFill="1" applyBorder="1" applyAlignment="1">
      <alignment wrapText="1"/>
    </xf>
    <xf numFmtId="0" fontId="41" fillId="13" borderId="11" xfId="12" applyFill="1" applyBorder="1"/>
    <xf numFmtId="0" fontId="41" fillId="10" borderId="12" xfId="12" applyFill="1" applyBorder="1"/>
    <xf numFmtId="0" fontId="56" fillId="13" borderId="22" xfId="12" applyFont="1" applyFill="1" applyBorder="1" applyAlignment="1">
      <alignment horizontal="center" vertical="center"/>
    </xf>
    <xf numFmtId="0" fontId="56" fillId="10" borderId="21" xfId="12" applyFont="1" applyFill="1" applyBorder="1" applyAlignment="1">
      <alignment horizontal="center"/>
    </xf>
    <xf numFmtId="0" fontId="56" fillId="10" borderId="0" xfId="12" applyFont="1" applyFill="1" applyAlignment="1">
      <alignment horizontal="center" wrapText="1"/>
    </xf>
    <xf numFmtId="0" fontId="56" fillId="10" borderId="0" xfId="12" applyFont="1" applyFill="1" applyAlignment="1">
      <alignment horizontal="center"/>
    </xf>
    <xf numFmtId="0" fontId="56" fillId="13" borderId="0" xfId="12" applyFont="1" applyFill="1" applyAlignment="1">
      <alignment horizontal="center"/>
    </xf>
    <xf numFmtId="0" fontId="60" fillId="0" borderId="0" xfId="12" applyFont="1" applyAlignment="1">
      <alignment horizontal="left"/>
    </xf>
    <xf numFmtId="0" fontId="60" fillId="10" borderId="0" xfId="12" applyFont="1" applyFill="1" applyAlignment="1">
      <alignment horizontal="left"/>
    </xf>
    <xf numFmtId="0" fontId="61" fillId="10" borderId="21" xfId="12" applyFont="1" applyFill="1" applyBorder="1" applyAlignment="1">
      <alignment horizontal="right"/>
    </xf>
    <xf numFmtId="0" fontId="41" fillId="10" borderId="0" xfId="12" applyFill="1" applyAlignment="1">
      <alignment horizontal="right"/>
    </xf>
    <xf numFmtId="0" fontId="53" fillId="14" borderId="27" xfId="12" applyFont="1" applyFill="1" applyBorder="1" applyAlignment="1">
      <alignment horizontal="left" wrapText="1"/>
    </xf>
    <xf numFmtId="167" fontId="53" fillId="14" borderId="27" xfId="12" applyNumberFormat="1" applyFont="1" applyFill="1" applyBorder="1"/>
    <xf numFmtId="0" fontId="41" fillId="0" borderId="0" xfId="12" applyAlignment="1">
      <alignment horizontal="left" vertical="center" wrapText="1"/>
    </xf>
    <xf numFmtId="0" fontId="41" fillId="0" borderId="0" xfId="12" applyAlignment="1">
      <alignment horizontal="left" vertical="center"/>
    </xf>
    <xf numFmtId="0" fontId="60" fillId="10" borderId="0" xfId="12" applyFont="1" applyFill="1" applyAlignment="1">
      <alignment wrapText="1"/>
    </xf>
    <xf numFmtId="0" fontId="60" fillId="10" borderId="0" xfId="12" applyFont="1" applyFill="1"/>
    <xf numFmtId="0" fontId="52" fillId="10" borderId="0" xfId="12" applyFont="1" applyFill="1" applyAlignment="1">
      <alignment horizontal="center" wrapText="1"/>
    </xf>
    <xf numFmtId="0" fontId="52" fillId="10" borderId="0" xfId="12" applyFont="1" applyFill="1" applyAlignment="1">
      <alignment horizontal="center"/>
    </xf>
    <xf numFmtId="0" fontId="52" fillId="10" borderId="0" xfId="12" applyFont="1" applyFill="1" applyAlignment="1">
      <alignment vertical="center"/>
    </xf>
    <xf numFmtId="0" fontId="41" fillId="10" borderId="21" xfId="12" applyFill="1" applyBorder="1" applyAlignment="1">
      <alignment horizontal="right"/>
    </xf>
    <xf numFmtId="3" fontId="41" fillId="10" borderId="0" xfId="12" applyNumberFormat="1" applyFill="1"/>
    <xf numFmtId="9" fontId="41" fillId="10" borderId="0" xfId="12" applyNumberFormat="1" applyFill="1"/>
    <xf numFmtId="3" fontId="52" fillId="10" borderId="0" xfId="12" applyNumberFormat="1" applyFont="1" applyFill="1"/>
    <xf numFmtId="9" fontId="52" fillId="10" borderId="0" xfId="12" applyNumberFormat="1" applyFont="1" applyFill="1"/>
    <xf numFmtId="9" fontId="41" fillId="0" borderId="0" xfId="12" applyNumberFormat="1"/>
    <xf numFmtId="3" fontId="61" fillId="10" borderId="0" xfId="12" applyNumberFormat="1" applyFont="1" applyFill="1"/>
    <xf numFmtId="9" fontId="61" fillId="10" borderId="0" xfId="12" applyNumberFormat="1" applyFont="1" applyFill="1"/>
    <xf numFmtId="0" fontId="61" fillId="10" borderId="0" xfId="12" applyFont="1" applyFill="1" applyAlignment="1">
      <alignment horizontal="left" wrapText="1"/>
    </xf>
    <xf numFmtId="9" fontId="61" fillId="0" borderId="24" xfId="13" applyFont="1" applyFill="1" applyBorder="1"/>
    <xf numFmtId="9" fontId="61" fillId="0" borderId="24" xfId="12" applyNumberFormat="1" applyFont="1" applyBorder="1"/>
    <xf numFmtId="9" fontId="62" fillId="0" borderId="25" xfId="12" applyNumberFormat="1" applyFont="1" applyBorder="1"/>
    <xf numFmtId="9" fontId="61" fillId="15" borderId="24" xfId="13" applyFont="1" applyFill="1" applyBorder="1"/>
    <xf numFmtId="9" fontId="61" fillId="15" borderId="24" xfId="12" applyNumberFormat="1" applyFont="1" applyFill="1" applyBorder="1"/>
    <xf numFmtId="9" fontId="62" fillId="15" borderId="25" xfId="12" applyNumberFormat="1" applyFont="1" applyFill="1" applyBorder="1"/>
    <xf numFmtId="9" fontId="62" fillId="0" borderId="25" xfId="13" applyFont="1" applyFill="1" applyBorder="1"/>
    <xf numFmtId="9" fontId="53" fillId="14" borderId="27" xfId="12" applyNumberFormat="1" applyFont="1" applyFill="1" applyBorder="1"/>
    <xf numFmtId="0" fontId="52" fillId="10" borderId="0" xfId="12" applyFont="1" applyFill="1" applyAlignment="1">
      <alignment horizontal="left" wrapText="1"/>
    </xf>
    <xf numFmtId="0" fontId="52" fillId="10" borderId="11" xfId="12" applyFont="1" applyFill="1" applyBorder="1" applyAlignment="1">
      <alignment horizontal="left" wrapText="1"/>
    </xf>
    <xf numFmtId="3" fontId="52" fillId="10" borderId="11" xfId="12" applyNumberFormat="1" applyFont="1" applyFill="1" applyBorder="1"/>
    <xf numFmtId="9" fontId="52" fillId="10" borderId="11" xfId="12" applyNumberFormat="1" applyFont="1" applyFill="1" applyBorder="1"/>
    <xf numFmtId="0" fontId="41" fillId="10" borderId="8" xfId="12" applyFill="1" applyBorder="1"/>
    <xf numFmtId="0" fontId="41" fillId="10" borderId="16" xfId="12" applyFill="1" applyBorder="1"/>
    <xf numFmtId="0" fontId="52" fillId="10" borderId="22" xfId="12" applyFont="1" applyFill="1" applyBorder="1" applyAlignment="1">
      <alignment horizontal="left" wrapText="1"/>
    </xf>
    <xf numFmtId="3" fontId="52" fillId="10" borderId="22" xfId="12" applyNumberFormat="1" applyFont="1" applyFill="1" applyBorder="1"/>
    <xf numFmtId="9" fontId="52" fillId="10" borderId="22" xfId="12" applyNumberFormat="1" applyFont="1" applyFill="1" applyBorder="1"/>
    <xf numFmtId="0" fontId="41" fillId="10" borderId="22" xfId="12" applyFill="1" applyBorder="1"/>
    <xf numFmtId="0" fontId="41" fillId="13" borderId="22" xfId="12" applyFill="1" applyBorder="1"/>
    <xf numFmtId="0" fontId="41" fillId="10" borderId="31" xfId="12" applyFill="1" applyBorder="1"/>
    <xf numFmtId="0" fontId="41" fillId="0" borderId="24" xfId="12" applyBorder="1" applyAlignment="1">
      <alignment wrapText="1"/>
    </xf>
    <xf numFmtId="0" fontId="41" fillId="15" borderId="24" xfId="12" applyFill="1" applyBorder="1" applyAlignment="1">
      <alignment wrapText="1"/>
    </xf>
    <xf numFmtId="0" fontId="61" fillId="0" borderId="24" xfId="12" applyFont="1" applyBorder="1" applyAlignment="1">
      <alignment horizontal="left" wrapText="1"/>
    </xf>
    <xf numFmtId="0" fontId="61" fillId="0" borderId="24" xfId="12" applyFont="1" applyBorder="1" applyAlignment="1">
      <alignment horizontal="left"/>
    </xf>
    <xf numFmtId="0" fontId="41" fillId="15" borderId="27" xfId="12" applyFill="1" applyBorder="1" applyAlignment="1">
      <alignment wrapText="1"/>
    </xf>
    <xf numFmtId="167" fontId="41" fillId="15" borderId="27" xfId="12" applyNumberFormat="1" applyFill="1" applyBorder="1"/>
    <xf numFmtId="0" fontId="41" fillId="0" borderId="27" xfId="12" applyBorder="1" applyAlignment="1">
      <alignment wrapText="1"/>
    </xf>
    <xf numFmtId="167" fontId="41" fillId="0" borderId="27" xfId="12" applyNumberFormat="1" applyBorder="1"/>
    <xf numFmtId="0" fontId="61" fillId="10" borderId="0" xfId="12" applyFont="1" applyFill="1"/>
    <xf numFmtId="0" fontId="61" fillId="13" borderId="0" xfId="12" applyFont="1" applyFill="1"/>
    <xf numFmtId="0" fontId="61" fillId="10" borderId="11" xfId="12" applyFont="1" applyFill="1" applyBorder="1"/>
    <xf numFmtId="0" fontId="61" fillId="10" borderId="16" xfId="12" applyFont="1" applyFill="1" applyBorder="1"/>
    <xf numFmtId="0" fontId="61" fillId="10" borderId="22" xfId="12" applyFont="1" applyFill="1" applyBorder="1" applyAlignment="1">
      <alignment horizontal="left" wrapText="1"/>
    </xf>
    <xf numFmtId="3" fontId="61" fillId="10" borderId="22" xfId="12" applyNumberFormat="1" applyFont="1" applyFill="1" applyBorder="1"/>
    <xf numFmtId="9" fontId="61" fillId="10" borderId="22" xfId="12" applyNumberFormat="1" applyFont="1" applyFill="1" applyBorder="1"/>
    <xf numFmtId="0" fontId="61" fillId="10" borderId="22" xfId="12" applyFont="1" applyFill="1" applyBorder="1"/>
    <xf numFmtId="0" fontId="61" fillId="13" borderId="22" xfId="12" applyFont="1" applyFill="1" applyBorder="1"/>
    <xf numFmtId="0" fontId="61" fillId="10" borderId="31" xfId="12" applyFont="1" applyFill="1" applyBorder="1"/>
    <xf numFmtId="0" fontId="61" fillId="10" borderId="21" xfId="12" applyFont="1" applyFill="1" applyBorder="1"/>
    <xf numFmtId="0" fontId="58" fillId="0" borderId="0" xfId="12" applyFont="1" applyAlignment="1">
      <alignment horizontal="left"/>
    </xf>
    <xf numFmtId="0" fontId="58" fillId="10" borderId="0" xfId="12" applyFont="1" applyFill="1" applyAlignment="1">
      <alignment horizontal="left"/>
    </xf>
    <xf numFmtId="0" fontId="61" fillId="10" borderId="23" xfId="12" applyFont="1" applyFill="1" applyBorder="1"/>
    <xf numFmtId="3" fontId="61" fillId="10" borderId="0" xfId="12" applyNumberFormat="1" applyFont="1" applyFill="1" applyAlignment="1">
      <alignment wrapText="1"/>
    </xf>
    <xf numFmtId="0" fontId="61" fillId="10" borderId="21" xfId="12" applyFont="1" applyFill="1" applyBorder="1" applyAlignment="1">
      <alignment vertical="center"/>
    </xf>
    <xf numFmtId="0" fontId="61" fillId="10" borderId="0" xfId="12" applyFont="1" applyFill="1" applyAlignment="1">
      <alignment vertical="center"/>
    </xf>
    <xf numFmtId="0" fontId="61" fillId="13" borderId="0" xfId="12" applyFont="1" applyFill="1" applyAlignment="1">
      <alignment vertical="center"/>
    </xf>
    <xf numFmtId="0" fontId="61" fillId="10" borderId="23" xfId="12" applyFont="1" applyFill="1" applyBorder="1" applyAlignment="1">
      <alignment vertical="center"/>
    </xf>
    <xf numFmtId="0" fontId="53" fillId="17" borderId="24" xfId="12" applyFont="1" applyFill="1" applyBorder="1" applyAlignment="1">
      <alignment horizontal="center"/>
    </xf>
    <xf numFmtId="0" fontId="53" fillId="17" borderId="25" xfId="12" applyFont="1" applyFill="1" applyBorder="1" applyAlignment="1">
      <alignment horizontal="center"/>
    </xf>
    <xf numFmtId="3" fontId="53" fillId="17" borderId="24" xfId="12" applyNumberFormat="1" applyFont="1" applyFill="1" applyBorder="1"/>
    <xf numFmtId="9" fontId="53" fillId="17" borderId="24" xfId="12" applyNumberFormat="1" applyFont="1" applyFill="1" applyBorder="1" applyAlignment="1">
      <alignment horizontal="center"/>
    </xf>
    <xf numFmtId="3" fontId="53" fillId="17" borderId="24" xfId="12" applyNumberFormat="1" applyFont="1" applyFill="1" applyBorder="1" applyAlignment="1">
      <alignment horizontal="center"/>
    </xf>
    <xf numFmtId="167" fontId="62" fillId="0" borderId="25" xfId="12" applyNumberFormat="1" applyFont="1" applyBorder="1"/>
    <xf numFmtId="3" fontId="61" fillId="0" borderId="24" xfId="12" applyNumberFormat="1" applyFont="1" applyBorder="1"/>
    <xf numFmtId="3" fontId="62" fillId="0" borderId="25" xfId="12" applyNumberFormat="1" applyFont="1" applyBorder="1"/>
    <xf numFmtId="3" fontId="61" fillId="18" borderId="24" xfId="12" applyNumberFormat="1" applyFont="1" applyFill="1" applyBorder="1"/>
    <xf numFmtId="3" fontId="62" fillId="18" borderId="25" xfId="12" applyNumberFormat="1" applyFont="1" applyFill="1" applyBorder="1"/>
    <xf numFmtId="3" fontId="53" fillId="17" borderId="27" xfId="12" applyNumberFormat="1" applyFont="1" applyFill="1" applyBorder="1"/>
    <xf numFmtId="3" fontId="62" fillId="17" borderId="28" xfId="12" applyNumberFormat="1" applyFont="1" applyFill="1" applyBorder="1"/>
    <xf numFmtId="166" fontId="61" fillId="10" borderId="0" xfId="13" applyNumberFormat="1" applyFont="1" applyFill="1" applyBorder="1"/>
    <xf numFmtId="9" fontId="61" fillId="10" borderId="0" xfId="13" applyFont="1" applyFill="1" applyBorder="1"/>
    <xf numFmtId="3" fontId="61" fillId="0" borderId="24" xfId="12" applyNumberFormat="1" applyFont="1" applyBorder="1" applyAlignment="1">
      <alignment wrapText="1"/>
    </xf>
    <xf numFmtId="10" fontId="62" fillId="0" borderId="25" xfId="12" applyNumberFormat="1" applyFont="1" applyBorder="1"/>
    <xf numFmtId="9" fontId="61" fillId="18" borderId="24" xfId="12" applyNumberFormat="1" applyFont="1" applyFill="1" applyBorder="1"/>
    <xf numFmtId="10" fontId="62" fillId="18" borderId="25" xfId="12" applyNumberFormat="1" applyFont="1" applyFill="1" applyBorder="1"/>
    <xf numFmtId="9" fontId="61" fillId="18" borderId="27" xfId="12" applyNumberFormat="1" applyFont="1" applyFill="1" applyBorder="1"/>
    <xf numFmtId="10" fontId="62" fillId="18" borderId="28" xfId="12" applyNumberFormat="1" applyFont="1" applyFill="1" applyBorder="1"/>
    <xf numFmtId="3" fontId="61" fillId="18" borderId="27" xfId="12" applyNumberFormat="1" applyFont="1" applyFill="1" applyBorder="1"/>
    <xf numFmtId="10" fontId="61" fillId="10" borderId="0" xfId="12" applyNumberFormat="1" applyFont="1" applyFill="1"/>
    <xf numFmtId="0" fontId="61" fillId="10" borderId="21" xfId="12" applyFont="1" applyFill="1" applyBorder="1" applyAlignment="1">
      <alignment horizontal="left"/>
    </xf>
    <xf numFmtId="3" fontId="58" fillId="10" borderId="0" xfId="12" applyNumberFormat="1" applyFont="1" applyFill="1"/>
    <xf numFmtId="0" fontId="61" fillId="10" borderId="21" xfId="12" applyFont="1" applyFill="1" applyBorder="1" applyAlignment="1">
      <alignment horizontal="left" vertical="center"/>
    </xf>
    <xf numFmtId="167" fontId="61" fillId="0" borderId="24" xfId="12" applyNumberFormat="1" applyFont="1" applyBorder="1"/>
    <xf numFmtId="0" fontId="61" fillId="10" borderId="0" xfId="12" applyFont="1" applyFill="1" applyAlignment="1">
      <alignment horizontal="right"/>
    </xf>
    <xf numFmtId="1" fontId="61" fillId="0" borderId="24" xfId="12" applyNumberFormat="1" applyFont="1" applyBorder="1" applyAlignment="1">
      <alignment horizontal="left"/>
    </xf>
    <xf numFmtId="1" fontId="61" fillId="18" borderId="24" xfId="12" applyNumberFormat="1" applyFont="1" applyFill="1" applyBorder="1" applyAlignment="1">
      <alignment horizontal="left"/>
    </xf>
    <xf numFmtId="3" fontId="62" fillId="17" borderId="27" xfId="12" applyNumberFormat="1" applyFont="1" applyFill="1" applyBorder="1"/>
    <xf numFmtId="3" fontId="61" fillId="0" borderId="0" xfId="12" applyNumberFormat="1" applyFont="1" applyAlignment="1">
      <alignment wrapText="1"/>
    </xf>
    <xf numFmtId="3" fontId="52" fillId="0" borderId="0" xfId="12" applyNumberFormat="1" applyFont="1"/>
    <xf numFmtId="3" fontId="61" fillId="0" borderId="0" xfId="12" applyNumberFormat="1" applyFont="1"/>
    <xf numFmtId="9" fontId="61" fillId="18" borderId="24" xfId="13" applyFont="1" applyFill="1" applyBorder="1"/>
    <xf numFmtId="9" fontId="62" fillId="18" borderId="25" xfId="13" applyFont="1" applyFill="1" applyBorder="1"/>
    <xf numFmtId="0" fontId="61" fillId="10" borderId="10" xfId="12" applyFont="1" applyFill="1" applyBorder="1"/>
    <xf numFmtId="0" fontId="61" fillId="10" borderId="11" xfId="12" applyFont="1" applyFill="1" applyBorder="1" applyAlignment="1">
      <alignment horizontal="left" wrapText="1"/>
    </xf>
    <xf numFmtId="3" fontId="61" fillId="10" borderId="11" xfId="12" applyNumberFormat="1" applyFont="1" applyFill="1" applyBorder="1"/>
    <xf numFmtId="9" fontId="61" fillId="10" borderId="11" xfId="12" applyNumberFormat="1" applyFont="1" applyFill="1" applyBorder="1"/>
    <xf numFmtId="0" fontId="61" fillId="13" borderId="11" xfId="12" applyFont="1" applyFill="1" applyBorder="1"/>
    <xf numFmtId="0" fontId="61" fillId="10" borderId="12" xfId="12" applyFont="1" applyFill="1" applyBorder="1"/>
    <xf numFmtId="0" fontId="61" fillId="10" borderId="15" xfId="12" applyFont="1" applyFill="1" applyBorder="1" applyAlignment="1">
      <alignment horizontal="left" wrapText="1"/>
    </xf>
    <xf numFmtId="0" fontId="61" fillId="10" borderId="15" xfId="12" applyFont="1" applyFill="1" applyBorder="1" applyAlignment="1">
      <alignment horizontal="left"/>
    </xf>
    <xf numFmtId="3" fontId="53" fillId="19" borderId="24" xfId="12" applyNumberFormat="1" applyFont="1" applyFill="1" applyBorder="1" applyAlignment="1">
      <alignment horizontal="center"/>
    </xf>
    <xf numFmtId="9" fontId="53" fillId="19" borderId="24" xfId="12" applyNumberFormat="1" applyFont="1" applyFill="1" applyBorder="1" applyAlignment="1">
      <alignment horizontal="center"/>
    </xf>
    <xf numFmtId="9" fontId="53" fillId="19" borderId="25" xfId="12" applyNumberFormat="1" applyFont="1" applyFill="1" applyBorder="1" applyAlignment="1">
      <alignment horizontal="center"/>
    </xf>
    <xf numFmtId="0" fontId="53" fillId="19" borderId="24" xfId="12" applyFont="1" applyFill="1" applyBorder="1" applyAlignment="1">
      <alignment horizontal="left"/>
    </xf>
    <xf numFmtId="167" fontId="61" fillId="20" borderId="24" xfId="12" applyNumberFormat="1" applyFont="1" applyFill="1" applyBorder="1"/>
    <xf numFmtId="0" fontId="61" fillId="20" borderId="24" xfId="12" applyFont="1" applyFill="1" applyBorder="1" applyAlignment="1">
      <alignment horizontal="left"/>
    </xf>
    <xf numFmtId="3" fontId="61" fillId="20" borderId="24" xfId="12" applyNumberFormat="1" applyFont="1" applyFill="1" applyBorder="1"/>
    <xf numFmtId="3" fontId="62" fillId="20" borderId="25" xfId="12" applyNumberFormat="1" applyFont="1" applyFill="1" applyBorder="1"/>
    <xf numFmtId="3" fontId="53" fillId="19" borderId="27" xfId="12" applyNumberFormat="1" applyFont="1" applyFill="1" applyBorder="1"/>
    <xf numFmtId="3" fontId="62" fillId="19" borderId="27" xfId="12" applyNumberFormat="1" applyFont="1" applyFill="1" applyBorder="1"/>
    <xf numFmtId="3" fontId="61" fillId="0" borderId="0" xfId="12" applyNumberFormat="1" applyFont="1" applyAlignment="1">
      <alignment horizontal="left" wrapText="1"/>
    </xf>
    <xf numFmtId="166" fontId="61" fillId="0" borderId="0" xfId="13" applyNumberFormat="1" applyFont="1" applyFill="1" applyBorder="1"/>
    <xf numFmtId="9" fontId="61" fillId="0" borderId="0" xfId="13" applyFont="1" applyFill="1" applyBorder="1"/>
    <xf numFmtId="9" fontId="61" fillId="10" borderId="0" xfId="12" applyNumberFormat="1" applyFont="1" applyFill="1" applyAlignment="1">
      <alignment horizontal="left"/>
    </xf>
    <xf numFmtId="0" fontId="61" fillId="10" borderId="0" xfId="12" applyFont="1" applyFill="1" applyAlignment="1">
      <alignment horizontal="left"/>
    </xf>
    <xf numFmtId="0" fontId="53" fillId="19" borderId="24" xfId="12" applyFont="1" applyFill="1" applyBorder="1" applyAlignment="1">
      <alignment horizontal="center"/>
    </xf>
    <xf numFmtId="0" fontId="53" fillId="19" borderId="25" xfId="12" applyFont="1" applyFill="1" applyBorder="1" applyAlignment="1">
      <alignment horizontal="center"/>
    </xf>
    <xf numFmtId="3" fontId="53" fillId="19" borderId="24" xfId="12" applyNumberFormat="1" applyFont="1" applyFill="1" applyBorder="1"/>
    <xf numFmtId="166" fontId="61" fillId="0" borderId="24" xfId="13" applyNumberFormat="1" applyFont="1" applyFill="1" applyBorder="1"/>
    <xf numFmtId="9" fontId="61" fillId="20" borderId="24" xfId="13" applyFont="1" applyFill="1" applyBorder="1"/>
    <xf numFmtId="9" fontId="62" fillId="20" borderId="25" xfId="13" applyFont="1" applyFill="1" applyBorder="1"/>
    <xf numFmtId="3" fontId="62" fillId="0" borderId="24" xfId="12" applyNumberFormat="1" applyFont="1" applyBorder="1"/>
    <xf numFmtId="167" fontId="52" fillId="0" borderId="0" xfId="12" applyNumberFormat="1" applyFont="1"/>
    <xf numFmtId="3" fontId="58" fillId="10" borderId="22" xfId="12" applyNumberFormat="1" applyFont="1" applyFill="1" applyBorder="1"/>
    <xf numFmtId="3" fontId="53" fillId="22" borderId="24" xfId="12" applyNumberFormat="1" applyFont="1" applyFill="1" applyBorder="1" applyAlignment="1">
      <alignment wrapText="1"/>
    </xf>
    <xf numFmtId="9" fontId="53" fillId="22" borderId="24" xfId="12" applyNumberFormat="1" applyFont="1" applyFill="1" applyBorder="1" applyAlignment="1">
      <alignment horizontal="center"/>
    </xf>
    <xf numFmtId="3" fontId="53" fillId="22" borderId="24" xfId="12" applyNumberFormat="1" applyFont="1" applyFill="1" applyBorder="1" applyAlignment="1">
      <alignment horizontal="center"/>
    </xf>
    <xf numFmtId="3" fontId="53" fillId="22" borderId="25" xfId="12" applyNumberFormat="1" applyFont="1" applyFill="1" applyBorder="1" applyAlignment="1">
      <alignment horizontal="center"/>
    </xf>
    <xf numFmtId="3" fontId="53" fillId="22" borderId="24" xfId="12" applyNumberFormat="1" applyFont="1" applyFill="1" applyBorder="1"/>
    <xf numFmtId="0" fontId="53" fillId="22" borderId="25" xfId="12" applyFont="1" applyFill="1" applyBorder="1" applyAlignment="1">
      <alignment horizontal="center"/>
    </xf>
    <xf numFmtId="3" fontId="61" fillId="23" borderId="24" xfId="12" applyNumberFormat="1" applyFont="1" applyFill="1" applyBorder="1" applyAlignment="1">
      <alignment wrapText="1"/>
    </xf>
    <xf numFmtId="167" fontId="61" fillId="23" borderId="24" xfId="12" applyNumberFormat="1" applyFont="1" applyFill="1" applyBorder="1"/>
    <xf numFmtId="167" fontId="62" fillId="23" borderId="25" xfId="12" applyNumberFormat="1" applyFont="1" applyFill="1" applyBorder="1"/>
    <xf numFmtId="3" fontId="61" fillId="23" borderId="24" xfId="12" applyNumberFormat="1" applyFont="1" applyFill="1" applyBorder="1"/>
    <xf numFmtId="3" fontId="62" fillId="23" borderId="25" xfId="12" applyNumberFormat="1" applyFont="1" applyFill="1" applyBorder="1"/>
    <xf numFmtId="3" fontId="53" fillId="22" borderId="27" xfId="12" applyNumberFormat="1" applyFont="1" applyFill="1" applyBorder="1" applyAlignment="1">
      <alignment wrapText="1"/>
    </xf>
    <xf numFmtId="167" fontId="53" fillId="22" borderId="27" xfId="12" applyNumberFormat="1" applyFont="1" applyFill="1" applyBorder="1"/>
    <xf numFmtId="167" fontId="62" fillId="22" borderId="28" xfId="12" applyNumberFormat="1" applyFont="1" applyFill="1" applyBorder="1"/>
    <xf numFmtId="3" fontId="53" fillId="22" borderId="27" xfId="12" applyNumberFormat="1" applyFont="1" applyFill="1" applyBorder="1"/>
    <xf numFmtId="3" fontId="62" fillId="22" borderId="28" xfId="12" applyNumberFormat="1" applyFont="1" applyFill="1" applyBorder="1"/>
    <xf numFmtId="3" fontId="52" fillId="0" borderId="0" xfId="12" applyNumberFormat="1" applyFont="1" applyAlignment="1">
      <alignment horizontal="center"/>
    </xf>
    <xf numFmtId="167" fontId="61" fillId="0" borderId="0" xfId="12" applyNumberFormat="1" applyFont="1"/>
    <xf numFmtId="0" fontId="61" fillId="0" borderId="0" xfId="12" applyFont="1"/>
    <xf numFmtId="3" fontId="58" fillId="10" borderId="0" xfId="12" applyNumberFormat="1" applyFont="1" applyFill="1" applyAlignment="1">
      <alignment wrapText="1"/>
    </xf>
    <xf numFmtId="0" fontId="53" fillId="22" borderId="24" xfId="12" applyFont="1" applyFill="1" applyBorder="1" applyAlignment="1">
      <alignment horizontal="center"/>
    </xf>
    <xf numFmtId="167" fontId="62" fillId="0" borderId="24" xfId="12" applyNumberFormat="1" applyFont="1" applyBorder="1"/>
    <xf numFmtId="167" fontId="62" fillId="23" borderId="24" xfId="12" applyNumberFormat="1" applyFont="1" applyFill="1" applyBorder="1"/>
    <xf numFmtId="9" fontId="62" fillId="23" borderId="25" xfId="13" applyFont="1" applyFill="1" applyBorder="1"/>
    <xf numFmtId="1" fontId="61" fillId="23" borderId="24" xfId="12" applyNumberFormat="1" applyFont="1" applyFill="1" applyBorder="1" applyAlignment="1">
      <alignment horizontal="left"/>
    </xf>
    <xf numFmtId="3" fontId="62" fillId="23" borderId="24" xfId="12" applyNumberFormat="1" applyFont="1" applyFill="1" applyBorder="1"/>
    <xf numFmtId="9" fontId="62" fillId="22" borderId="28" xfId="12" applyNumberFormat="1" applyFont="1" applyFill="1" applyBorder="1"/>
    <xf numFmtId="3" fontId="62" fillId="22" borderId="27" xfId="12" applyNumberFormat="1" applyFont="1" applyFill="1" applyBorder="1"/>
    <xf numFmtId="9" fontId="62" fillId="0" borderId="24" xfId="13" applyFont="1" applyFill="1" applyBorder="1"/>
    <xf numFmtId="9" fontId="61" fillId="23" borderId="24" xfId="13" applyFont="1" applyFill="1" applyBorder="1"/>
    <xf numFmtId="9" fontId="62" fillId="23" borderId="24" xfId="13" applyFont="1" applyFill="1" applyBorder="1"/>
    <xf numFmtId="9" fontId="53" fillId="22" borderId="27" xfId="13" applyFont="1" applyFill="1" applyBorder="1"/>
    <xf numFmtId="9" fontId="62" fillId="22" borderId="27" xfId="13" applyFont="1" applyFill="1" applyBorder="1"/>
    <xf numFmtId="0" fontId="61" fillId="10" borderId="0" xfId="12" applyFont="1" applyFill="1" applyAlignment="1">
      <alignment wrapText="1"/>
    </xf>
    <xf numFmtId="0" fontId="42" fillId="0" borderId="0" xfId="10" applyAlignment="1">
      <alignment horizontal="left" vertical="center" wrapText="1"/>
    </xf>
    <xf numFmtId="9" fontId="0" fillId="0" borderId="24" xfId="11" applyFont="1" applyFill="1" applyBorder="1" applyAlignment="1">
      <alignment wrapText="1"/>
    </xf>
    <xf numFmtId="9" fontId="0" fillId="0" borderId="24" xfId="11" applyFont="1" applyFill="1" applyBorder="1"/>
    <xf numFmtId="9" fontId="0" fillId="15" borderId="24" xfId="11" applyFont="1" applyFill="1" applyBorder="1" applyAlignment="1">
      <alignment wrapText="1"/>
    </xf>
    <xf numFmtId="9" fontId="0" fillId="15" borderId="24" xfId="11" applyFont="1" applyFill="1" applyBorder="1"/>
    <xf numFmtId="9" fontId="0" fillId="15" borderId="27" xfId="11" applyFont="1" applyFill="1" applyBorder="1" applyAlignment="1">
      <alignment wrapText="1"/>
    </xf>
    <xf numFmtId="9" fontId="0" fillId="15" borderId="27" xfId="11" applyFont="1" applyFill="1" applyBorder="1"/>
    <xf numFmtId="9" fontId="48" fillId="15" borderId="28" xfId="11" applyFont="1" applyFill="1" applyBorder="1"/>
    <xf numFmtId="0" fontId="40" fillId="13" borderId="37" xfId="14" applyFill="1" applyBorder="1"/>
    <xf numFmtId="0" fontId="40" fillId="10" borderId="0" xfId="14" applyFill="1"/>
    <xf numFmtId="0" fontId="40" fillId="10" borderId="22" xfId="14" applyFill="1" applyBorder="1"/>
    <xf numFmtId="0" fontId="40" fillId="13" borderId="0" xfId="14" applyFill="1"/>
    <xf numFmtId="0" fontId="40" fillId="10" borderId="23" xfId="14" applyFill="1" applyBorder="1"/>
    <xf numFmtId="0" fontId="40" fillId="10" borderId="21" xfId="14" applyFill="1" applyBorder="1"/>
    <xf numFmtId="0" fontId="40" fillId="0" borderId="0" xfId="14"/>
    <xf numFmtId="0" fontId="40" fillId="10" borderId="10" xfId="14" applyFill="1" applyBorder="1"/>
    <xf numFmtId="0" fontId="40" fillId="10" borderId="11" xfId="14" applyFill="1" applyBorder="1"/>
    <xf numFmtId="0" fontId="40" fillId="13" borderId="11" xfId="14" applyFill="1" applyBorder="1"/>
    <xf numFmtId="0" fontId="40" fillId="10" borderId="12" xfId="14" applyFill="1" applyBorder="1"/>
    <xf numFmtId="0" fontId="40" fillId="10" borderId="31" xfId="14" applyFill="1" applyBorder="1"/>
    <xf numFmtId="0" fontId="58" fillId="10" borderId="0" xfId="14" applyFont="1" applyFill="1" applyProtection="1">
      <protection locked="0"/>
    </xf>
    <xf numFmtId="0" fontId="57" fillId="14" borderId="24" xfId="14" applyFont="1" applyFill="1" applyBorder="1" applyAlignment="1">
      <alignment vertical="center" wrapText="1"/>
    </xf>
    <xf numFmtId="0" fontId="57" fillId="14" borderId="24" xfId="14" applyFont="1" applyFill="1" applyBorder="1" applyAlignment="1">
      <alignment horizontal="center" vertical="center" wrapText="1"/>
    </xf>
    <xf numFmtId="0" fontId="57" fillId="14" borderId="25" xfId="14" applyFont="1" applyFill="1" applyBorder="1" applyAlignment="1">
      <alignment horizontal="center" vertical="center" wrapText="1"/>
    </xf>
    <xf numFmtId="0" fontId="40" fillId="10" borderId="0" xfId="14" applyFill="1" applyAlignment="1">
      <alignment horizontal="right"/>
    </xf>
    <xf numFmtId="0" fontId="40" fillId="0" borderId="24" xfId="14" applyBorder="1" applyAlignment="1">
      <alignment horizontal="left"/>
    </xf>
    <xf numFmtId="167" fontId="40" fillId="0" borderId="24" xfId="14" applyNumberFormat="1" applyBorder="1"/>
    <xf numFmtId="167" fontId="40" fillId="0" borderId="25" xfId="14" applyNumberFormat="1" applyBorder="1"/>
    <xf numFmtId="3" fontId="40" fillId="0" borderId="24" xfId="14" applyNumberFormat="1" applyBorder="1"/>
    <xf numFmtId="3" fontId="40" fillId="0" borderId="25" xfId="14" applyNumberFormat="1" applyBorder="1"/>
    <xf numFmtId="0" fontId="40" fillId="15" borderId="24" xfId="14" applyFill="1" applyBorder="1" applyAlignment="1">
      <alignment horizontal="left"/>
    </xf>
    <xf numFmtId="167" fontId="40" fillId="15" borderId="24" xfId="14" applyNumberFormat="1" applyFill="1" applyBorder="1"/>
    <xf numFmtId="3" fontId="40" fillId="15" borderId="24" xfId="14" applyNumberFormat="1" applyFill="1" applyBorder="1"/>
    <xf numFmtId="3" fontId="40" fillId="15" borderId="25" xfId="14" applyNumberFormat="1" applyFill="1" applyBorder="1"/>
    <xf numFmtId="0" fontId="53" fillId="14" borderId="27" xfId="14" applyFont="1" applyFill="1" applyBorder="1"/>
    <xf numFmtId="167" fontId="53" fillId="14" borderId="27" xfId="14" applyNumberFormat="1" applyFont="1" applyFill="1" applyBorder="1"/>
    <xf numFmtId="3" fontId="53" fillId="14" borderId="27" xfId="14" applyNumberFormat="1" applyFont="1" applyFill="1" applyBorder="1"/>
    <xf numFmtId="166" fontId="61" fillId="10" borderId="0" xfId="15" applyNumberFormat="1" applyFont="1" applyFill="1" applyBorder="1"/>
    <xf numFmtId="9" fontId="40" fillId="0" borderId="24" xfId="14" applyNumberFormat="1" applyBorder="1"/>
    <xf numFmtId="9" fontId="40" fillId="0" borderId="25" xfId="14" applyNumberFormat="1" applyBorder="1"/>
    <xf numFmtId="9" fontId="40" fillId="15" borderId="24" xfId="14" applyNumberFormat="1" applyFill="1" applyBorder="1"/>
    <xf numFmtId="9" fontId="40" fillId="15" borderId="25" xfId="14" applyNumberFormat="1" applyFill="1" applyBorder="1"/>
    <xf numFmtId="0" fontId="40" fillId="0" borderId="0" xfId="14" applyAlignment="1">
      <alignment horizontal="right"/>
    </xf>
    <xf numFmtId="9" fontId="40" fillId="0" borderId="0" xfId="14" applyNumberFormat="1"/>
    <xf numFmtId="9" fontId="40" fillId="10" borderId="0" xfId="14" applyNumberFormat="1" applyFill="1"/>
    <xf numFmtId="0" fontId="40" fillId="10" borderId="16" xfId="14" applyFill="1" applyBorder="1"/>
    <xf numFmtId="166" fontId="65" fillId="10" borderId="0" xfId="14" applyNumberFormat="1" applyFont="1" applyFill="1"/>
    <xf numFmtId="0" fontId="40" fillId="13" borderId="22" xfId="14" applyFill="1" applyBorder="1"/>
    <xf numFmtId="166" fontId="0" fillId="10" borderId="0" xfId="15" applyNumberFormat="1" applyFont="1" applyFill="1" applyBorder="1"/>
    <xf numFmtId="9" fontId="0" fillId="10" borderId="0" xfId="15" applyFont="1" applyFill="1" applyBorder="1"/>
    <xf numFmtId="9" fontId="0" fillId="0" borderId="25" xfId="15" applyFont="1" applyFill="1" applyBorder="1"/>
    <xf numFmtId="9" fontId="0" fillId="0" borderId="24" xfId="15" applyFont="1" applyFill="1" applyBorder="1"/>
    <xf numFmtId="0" fontId="40" fillId="0" borderId="24" xfId="14" applyBorder="1"/>
    <xf numFmtId="0" fontId="40" fillId="23" borderId="24" xfId="14" applyFill="1" applyBorder="1"/>
    <xf numFmtId="9" fontId="0" fillId="23" borderId="24" xfId="15" applyFont="1" applyFill="1" applyBorder="1"/>
    <xf numFmtId="9" fontId="0" fillId="23" borderId="25" xfId="15" applyFont="1" applyFill="1" applyBorder="1"/>
    <xf numFmtId="0" fontId="40" fillId="23" borderId="27" xfId="14" applyFill="1" applyBorder="1"/>
    <xf numFmtId="9" fontId="0" fillId="23" borderId="28" xfId="15" applyFont="1" applyFill="1" applyBorder="1"/>
    <xf numFmtId="9" fontId="0" fillId="23" borderId="27" xfId="15" applyFont="1" applyFill="1" applyBorder="1" applyAlignment="1">
      <alignment horizontal="right"/>
    </xf>
    <xf numFmtId="9" fontId="0" fillId="23" borderId="27" xfId="15" applyFont="1" applyFill="1" applyBorder="1"/>
    <xf numFmtId="9" fontId="0" fillId="0" borderId="25" xfId="7" applyFont="1" applyFill="1" applyBorder="1" applyAlignment="1">
      <alignment horizontal="right"/>
    </xf>
    <xf numFmtId="9" fontId="0" fillId="23" borderId="25" xfId="7" applyFont="1" applyFill="1" applyBorder="1" applyAlignment="1">
      <alignment horizontal="right"/>
    </xf>
    <xf numFmtId="9" fontId="0" fillId="23" borderId="28" xfId="7" applyFont="1" applyFill="1" applyBorder="1" applyAlignment="1">
      <alignment horizontal="right"/>
    </xf>
    <xf numFmtId="0" fontId="66" fillId="10" borderId="21" xfId="16" applyFont="1" applyFill="1" applyBorder="1" applyAlignment="1">
      <alignment vertical="center"/>
    </xf>
    <xf numFmtId="0" fontId="66" fillId="10" borderId="0" xfId="16" applyFont="1" applyFill="1" applyAlignment="1">
      <alignment vertical="center"/>
    </xf>
    <xf numFmtId="0" fontId="66" fillId="0" borderId="0" xfId="16" applyFont="1" applyAlignment="1">
      <alignment vertical="center"/>
    </xf>
    <xf numFmtId="0" fontId="66" fillId="13" borderId="0" xfId="16" applyFont="1" applyFill="1" applyAlignment="1">
      <alignment vertical="center"/>
    </xf>
    <xf numFmtId="0" fontId="39" fillId="10" borderId="21" xfId="16" applyFill="1" applyBorder="1" applyAlignment="1">
      <alignment vertical="center"/>
    </xf>
    <xf numFmtId="0" fontId="39" fillId="10" borderId="0" xfId="16" applyFill="1" applyAlignment="1">
      <alignment vertical="center"/>
    </xf>
    <xf numFmtId="0" fontId="53" fillId="16" borderId="0" xfId="16" applyFont="1" applyFill="1" applyAlignment="1">
      <alignment vertical="center"/>
    </xf>
    <xf numFmtId="0" fontId="53" fillId="24" borderId="22" xfId="16" applyFont="1" applyFill="1" applyBorder="1" applyAlignment="1">
      <alignment horizontal="center" vertical="center"/>
    </xf>
    <xf numFmtId="0" fontId="53" fillId="24" borderId="31" xfId="16" applyFont="1" applyFill="1" applyBorder="1" applyAlignment="1">
      <alignment horizontal="center" vertical="center"/>
    </xf>
    <xf numFmtId="0" fontId="39" fillId="13" borderId="0" xfId="16" applyFill="1" applyAlignment="1">
      <alignment vertical="center"/>
    </xf>
    <xf numFmtId="0" fontId="53" fillId="24" borderId="16" xfId="16" applyFont="1" applyFill="1" applyBorder="1" applyAlignment="1">
      <alignment horizontal="center" vertical="center"/>
    </xf>
    <xf numFmtId="0" fontId="53" fillId="24" borderId="18" xfId="16" applyFont="1" applyFill="1" applyBorder="1" applyAlignment="1">
      <alignment horizontal="center" vertical="center"/>
    </xf>
    <xf numFmtId="0" fontId="53" fillId="24" borderId="0" xfId="16" applyFont="1" applyFill="1" applyAlignment="1">
      <alignment horizontal="center" vertical="center"/>
    </xf>
    <xf numFmtId="0" fontId="39" fillId="10" borderId="23" xfId="16" applyFill="1" applyBorder="1" applyAlignment="1">
      <alignment vertical="center"/>
    </xf>
    <xf numFmtId="0" fontId="57" fillId="14" borderId="0" xfId="16" applyFont="1" applyFill="1" applyAlignment="1">
      <alignment horizontal="center" vertical="center" wrapText="1"/>
    </xf>
    <xf numFmtId="167" fontId="57" fillId="25" borderId="0" xfId="16" applyNumberFormat="1" applyFont="1" applyFill="1" applyAlignment="1">
      <alignment horizontal="right" vertical="center"/>
    </xf>
    <xf numFmtId="0" fontId="63" fillId="0" borderId="35" xfId="16" applyFont="1" applyBorder="1" applyAlignment="1">
      <alignment vertical="center"/>
    </xf>
    <xf numFmtId="167" fontId="63" fillId="0" borderId="36" xfId="16" applyNumberFormat="1" applyFont="1" applyBorder="1" applyAlignment="1">
      <alignment horizontal="right" vertical="center"/>
    </xf>
    <xf numFmtId="3" fontId="63" fillId="0" borderId="36" xfId="16" applyNumberFormat="1" applyFont="1" applyBorder="1" applyAlignment="1">
      <alignment horizontal="right" vertical="center"/>
    </xf>
    <xf numFmtId="3" fontId="57" fillId="25" borderId="0" xfId="16" applyNumberFormat="1" applyFont="1" applyFill="1" applyAlignment="1">
      <alignment horizontal="right" vertical="center"/>
    </xf>
    <xf numFmtId="167" fontId="63" fillId="0" borderId="0" xfId="16" applyNumberFormat="1" applyFont="1" applyAlignment="1">
      <alignment horizontal="right" vertical="center"/>
    </xf>
    <xf numFmtId="3" fontId="63" fillId="0" borderId="0" xfId="16" applyNumberFormat="1" applyFont="1" applyAlignment="1">
      <alignment horizontal="right" vertical="center"/>
    </xf>
    <xf numFmtId="167" fontId="63" fillId="26" borderId="0" xfId="16" applyNumberFormat="1" applyFont="1" applyFill="1" applyAlignment="1">
      <alignment horizontal="right" vertical="center"/>
    </xf>
    <xf numFmtId="3" fontId="63" fillId="26" borderId="0" xfId="16" applyNumberFormat="1" applyFont="1" applyFill="1" applyAlignment="1">
      <alignment horizontal="right" vertical="center"/>
    </xf>
    <xf numFmtId="0" fontId="63" fillId="0" borderId="0" xfId="16" applyFont="1" applyAlignment="1">
      <alignment vertical="center"/>
    </xf>
    <xf numFmtId="167" fontId="57" fillId="14" borderId="0" xfId="16" applyNumberFormat="1" applyFont="1" applyFill="1" applyAlignment="1">
      <alignment horizontal="right" vertical="center" wrapText="1"/>
    </xf>
    <xf numFmtId="3" fontId="57" fillId="14" borderId="0" xfId="16" applyNumberFormat="1" applyFont="1" applyFill="1" applyAlignment="1">
      <alignment horizontal="right" vertical="center" wrapText="1"/>
    </xf>
    <xf numFmtId="0" fontId="63" fillId="25" borderId="51" xfId="16" applyFont="1" applyFill="1" applyBorder="1" applyAlignment="1">
      <alignment vertical="center"/>
    </xf>
    <xf numFmtId="0" fontId="63" fillId="0" borderId="51" xfId="16" applyFont="1" applyBorder="1" applyAlignment="1">
      <alignment horizontal="right" vertical="center"/>
    </xf>
    <xf numFmtId="0" fontId="57" fillId="25" borderId="0" xfId="16" applyFont="1" applyFill="1" applyAlignment="1">
      <alignment vertical="center"/>
    </xf>
    <xf numFmtId="0" fontId="63" fillId="26" borderId="0" xfId="16" applyFont="1" applyFill="1" applyAlignment="1">
      <alignment vertical="center"/>
    </xf>
    <xf numFmtId="0" fontId="63" fillId="21" borderId="35" xfId="16" applyFont="1" applyFill="1" applyBorder="1" applyAlignment="1">
      <alignment vertical="center"/>
    </xf>
    <xf numFmtId="167" fontId="63" fillId="21" borderId="36" xfId="16" applyNumberFormat="1" applyFont="1" applyFill="1" applyBorder="1" applyAlignment="1">
      <alignment horizontal="right" vertical="center"/>
    </xf>
    <xf numFmtId="9" fontId="63" fillId="21" borderId="36" xfId="17" applyFont="1" applyFill="1" applyBorder="1" applyAlignment="1">
      <alignment horizontal="right" vertical="center"/>
    </xf>
    <xf numFmtId="3" fontId="63" fillId="21" borderId="36" xfId="16" applyNumberFormat="1" applyFont="1" applyFill="1" applyBorder="1" applyAlignment="1">
      <alignment horizontal="right" vertical="center"/>
    </xf>
    <xf numFmtId="0" fontId="63" fillId="26" borderId="35" xfId="16" applyFont="1" applyFill="1" applyBorder="1" applyAlignment="1">
      <alignment vertical="center"/>
    </xf>
    <xf numFmtId="167" fontId="63" fillId="26" borderId="36" xfId="16" applyNumberFormat="1" applyFont="1" applyFill="1" applyBorder="1" applyAlignment="1">
      <alignment horizontal="right" vertical="center"/>
    </xf>
    <xf numFmtId="9" fontId="63" fillId="26" borderId="36" xfId="17" applyFont="1" applyFill="1" applyBorder="1" applyAlignment="1">
      <alignment horizontal="right" vertical="center"/>
    </xf>
    <xf numFmtId="3" fontId="63" fillId="26" borderId="36" xfId="16" applyNumberFormat="1" applyFont="1" applyFill="1" applyBorder="1" applyAlignment="1">
      <alignment horizontal="right" vertical="center"/>
    </xf>
    <xf numFmtId="0" fontId="63" fillId="6" borderId="0" xfId="16" applyFont="1" applyFill="1" applyAlignment="1">
      <alignment vertical="center"/>
    </xf>
    <xf numFmtId="3" fontId="63" fillId="6" borderId="0" xfId="16" applyNumberFormat="1" applyFont="1" applyFill="1" applyAlignment="1">
      <alignment horizontal="right" vertical="center"/>
    </xf>
    <xf numFmtId="9" fontId="63" fillId="0" borderId="36" xfId="17" applyFont="1" applyBorder="1" applyAlignment="1">
      <alignment horizontal="right" vertical="center"/>
    </xf>
    <xf numFmtId="0" fontId="64" fillId="25" borderId="49" xfId="16" applyFont="1" applyFill="1" applyBorder="1" applyAlignment="1">
      <alignment horizontal="center" vertical="center"/>
    </xf>
    <xf numFmtId="167" fontId="64" fillId="25" borderId="50" xfId="16" applyNumberFormat="1" applyFont="1" applyFill="1" applyBorder="1" applyAlignment="1">
      <alignment horizontal="right" vertical="center"/>
    </xf>
    <xf numFmtId="9" fontId="64" fillId="25" borderId="50" xfId="17" applyFont="1" applyFill="1" applyBorder="1" applyAlignment="1">
      <alignment horizontal="right" vertical="center"/>
    </xf>
    <xf numFmtId="3" fontId="64" fillId="25" borderId="50" xfId="16" applyNumberFormat="1" applyFont="1" applyFill="1" applyBorder="1" applyAlignment="1">
      <alignment horizontal="right" vertical="center"/>
    </xf>
    <xf numFmtId="9" fontId="64" fillId="25" borderId="50" xfId="16" applyNumberFormat="1" applyFont="1" applyFill="1" applyBorder="1" applyAlignment="1">
      <alignment horizontal="right" vertical="center"/>
    </xf>
    <xf numFmtId="0" fontId="57" fillId="14" borderId="0" xfId="16" applyFont="1" applyFill="1" applyAlignment="1">
      <alignment vertical="center" wrapText="1"/>
    </xf>
    <xf numFmtId="0" fontId="38" fillId="10" borderId="0" xfId="18" applyFill="1"/>
    <xf numFmtId="0" fontId="38" fillId="10" borderId="0" xfId="18" applyFill="1" applyAlignment="1">
      <alignment horizontal="center"/>
    </xf>
    <xf numFmtId="0" fontId="52" fillId="10" borderId="0" xfId="18" applyFont="1" applyFill="1" applyAlignment="1">
      <alignment vertical="center"/>
    </xf>
    <xf numFmtId="0" fontId="38" fillId="0" borderId="0" xfId="18" applyAlignment="1">
      <alignment horizontal="center" vertical="center"/>
    </xf>
    <xf numFmtId="0" fontId="38" fillId="0" borderId="0" xfId="18"/>
    <xf numFmtId="3" fontId="38" fillId="0" borderId="0" xfId="18" applyNumberFormat="1"/>
    <xf numFmtId="0" fontId="45" fillId="0" borderId="0" xfId="5" applyAlignment="1">
      <alignment horizontal="center"/>
    </xf>
    <xf numFmtId="169" fontId="0" fillId="0" borderId="0" xfId="0" applyNumberFormat="1"/>
    <xf numFmtId="1" fontId="61" fillId="0" borderId="0" xfId="12" applyNumberFormat="1" applyFont="1" applyAlignment="1">
      <alignment horizontal="left" wrapText="1"/>
    </xf>
    <xf numFmtId="9" fontId="62" fillId="0" borderId="0" xfId="13" applyFont="1" applyFill="1" applyBorder="1"/>
    <xf numFmtId="1" fontId="61" fillId="0" borderId="0" xfId="12" applyNumberFormat="1" applyFont="1" applyAlignment="1">
      <alignment horizontal="left"/>
    </xf>
    <xf numFmtId="9" fontId="50" fillId="0" borderId="25" xfId="13" applyFont="1" applyFill="1" applyBorder="1"/>
    <xf numFmtId="9" fontId="50" fillId="15" borderId="25" xfId="13" applyFont="1" applyFill="1" applyBorder="1"/>
    <xf numFmtId="0" fontId="0" fillId="0" borderId="0" xfId="0" applyAlignment="1">
      <alignment wrapText="1"/>
    </xf>
    <xf numFmtId="0" fontId="0" fillId="0" borderId="0" xfId="5" applyFont="1"/>
    <xf numFmtId="0" fontId="37" fillId="10" borderId="0" xfId="19" applyFill="1"/>
    <xf numFmtId="0" fontId="37" fillId="10" borderId="0" xfId="19" applyFill="1" applyAlignment="1">
      <alignment horizontal="center"/>
    </xf>
    <xf numFmtId="0" fontId="37" fillId="0" borderId="0" xfId="19"/>
    <xf numFmtId="0" fontId="37" fillId="0" borderId="0" xfId="19" applyAlignment="1">
      <alignment horizontal="left"/>
    </xf>
    <xf numFmtId="0" fontId="37" fillId="0" borderId="0" xfId="19" applyAlignment="1">
      <alignment horizontal="center"/>
    </xf>
    <xf numFmtId="0" fontId="37" fillId="0" borderId="0" xfId="19" applyAlignment="1">
      <alignment vertical="center" wrapText="1"/>
    </xf>
    <xf numFmtId="0" fontId="37" fillId="10" borderId="0" xfId="19" applyFill="1" applyAlignment="1">
      <alignment horizontal="left"/>
    </xf>
    <xf numFmtId="0" fontId="52" fillId="0" borderId="0" xfId="19" applyFont="1" applyAlignment="1">
      <alignment horizontal="center" vertical="center"/>
    </xf>
    <xf numFmtId="0" fontId="52" fillId="0" borderId="0" xfId="19" applyFont="1" applyAlignment="1">
      <alignment horizontal="center" vertical="center" wrapText="1"/>
    </xf>
    <xf numFmtId="0" fontId="52" fillId="10" borderId="0" xfId="19" applyFont="1" applyFill="1" applyAlignment="1">
      <alignment horizontal="center" vertical="center"/>
    </xf>
    <xf numFmtId="0" fontId="40" fillId="0" borderId="21" xfId="14" applyBorder="1"/>
    <xf numFmtId="0" fontId="58" fillId="0" borderId="0" xfId="14" applyFont="1" applyProtection="1">
      <protection locked="0"/>
    </xf>
    <xf numFmtId="0" fontId="54" fillId="13" borderId="6" xfId="21" applyFont="1" applyFill="1" applyBorder="1" applyAlignment="1">
      <alignment vertical="center"/>
    </xf>
    <xf numFmtId="0" fontId="35" fillId="10" borderId="0" xfId="21" applyFill="1"/>
    <xf numFmtId="0" fontId="35" fillId="10" borderId="0" xfId="21" applyFill="1" applyAlignment="1">
      <alignment vertical="center"/>
    </xf>
    <xf numFmtId="0" fontId="35" fillId="13" borderId="0" xfId="21" applyFill="1" applyAlignment="1">
      <alignment vertical="center"/>
    </xf>
    <xf numFmtId="0" fontId="35" fillId="10" borderId="54" xfId="21" applyFill="1" applyBorder="1" applyAlignment="1">
      <alignment vertical="center"/>
    </xf>
    <xf numFmtId="0" fontId="35" fillId="10" borderId="3" xfId="21" applyFill="1" applyBorder="1" applyAlignment="1">
      <alignment vertical="center"/>
    </xf>
    <xf numFmtId="0" fontId="35" fillId="13" borderId="3" xfId="21" applyFill="1" applyBorder="1" applyAlignment="1">
      <alignment vertical="center"/>
    </xf>
    <xf numFmtId="0" fontId="35" fillId="10" borderId="4" xfId="21" applyFill="1" applyBorder="1" applyAlignment="1">
      <alignment vertical="center"/>
    </xf>
    <xf numFmtId="0" fontId="35" fillId="10" borderId="18" xfId="21" applyFill="1" applyBorder="1" applyAlignment="1">
      <alignment vertical="center"/>
    </xf>
    <xf numFmtId="0" fontId="58" fillId="10" borderId="0" xfId="21" applyFont="1" applyFill="1" applyAlignment="1">
      <alignment vertical="center"/>
    </xf>
    <xf numFmtId="0" fontId="70" fillId="10" borderId="55" xfId="21" applyFont="1" applyFill="1" applyBorder="1" applyAlignment="1">
      <alignment vertical="center"/>
    </xf>
    <xf numFmtId="0" fontId="35" fillId="10" borderId="55" xfId="21" applyFill="1" applyBorder="1" applyAlignment="1">
      <alignment vertical="center"/>
    </xf>
    <xf numFmtId="0" fontId="52" fillId="0" borderId="0" xfId="21" applyFont="1" applyAlignment="1">
      <alignment vertical="center"/>
    </xf>
    <xf numFmtId="0" fontId="35" fillId="0" borderId="0" xfId="21" applyAlignment="1">
      <alignment vertical="center"/>
    </xf>
    <xf numFmtId="0" fontId="35" fillId="10" borderId="0" xfId="21" applyFill="1" applyAlignment="1">
      <alignment horizontal="center" vertical="center"/>
    </xf>
    <xf numFmtId="0" fontId="61" fillId="0" borderId="0" xfId="21" applyFont="1" applyAlignment="1">
      <alignment vertical="center"/>
    </xf>
    <xf numFmtId="3" fontId="35" fillId="0" borderId="0" xfId="21" applyNumberFormat="1" applyAlignment="1">
      <alignment vertical="center"/>
    </xf>
    <xf numFmtId="0" fontId="53" fillId="10" borderId="0" xfId="21" applyFont="1" applyFill="1" applyAlignment="1">
      <alignment horizontal="center" vertical="center"/>
    </xf>
    <xf numFmtId="9" fontId="0" fillId="10" borderId="0" xfId="22" applyFont="1" applyFill="1" applyBorder="1" applyAlignment="1">
      <alignment vertical="center"/>
    </xf>
    <xf numFmtId="0" fontId="61" fillId="0" borderId="0" xfId="21" applyFont="1" applyAlignment="1">
      <alignment horizontal="left" vertical="center"/>
    </xf>
    <xf numFmtId="9" fontId="0" fillId="10" borderId="0" xfId="22" applyFont="1" applyFill="1" applyAlignment="1">
      <alignment vertical="center"/>
    </xf>
    <xf numFmtId="9" fontId="35" fillId="10" borderId="0" xfId="21" applyNumberFormat="1" applyFill="1" applyAlignment="1">
      <alignment vertical="center"/>
    </xf>
    <xf numFmtId="0" fontId="35" fillId="10" borderId="0" xfId="21" applyFill="1" applyAlignment="1">
      <alignment horizontal="left" vertical="center"/>
    </xf>
    <xf numFmtId="9" fontId="0" fillId="0" borderId="0" xfId="22" applyFont="1" applyFill="1" applyBorder="1" applyAlignment="1">
      <alignment vertical="center"/>
    </xf>
    <xf numFmtId="166" fontId="0" fillId="10" borderId="0" xfId="22" applyNumberFormat="1" applyFont="1" applyFill="1" applyBorder="1" applyAlignment="1">
      <alignment vertical="center"/>
    </xf>
    <xf numFmtId="0" fontId="53" fillId="10" borderId="0" xfId="21" applyFont="1" applyFill="1" applyAlignment="1">
      <alignment vertical="center"/>
    </xf>
    <xf numFmtId="0" fontId="53" fillId="10" borderId="0" xfId="21" applyFont="1" applyFill="1" applyAlignment="1">
      <alignment horizontal="left" vertical="center"/>
    </xf>
    <xf numFmtId="0" fontId="70" fillId="10" borderId="0" xfId="21" applyFont="1" applyFill="1" applyAlignment="1">
      <alignment vertical="center"/>
    </xf>
    <xf numFmtId="0" fontId="52" fillId="10" borderId="0" xfId="21" applyFont="1" applyFill="1" applyAlignment="1">
      <alignment vertical="center"/>
    </xf>
    <xf numFmtId="9" fontId="35" fillId="0" borderId="0" xfId="21" applyNumberFormat="1" applyAlignment="1">
      <alignment vertical="center"/>
    </xf>
    <xf numFmtId="0" fontId="52" fillId="10" borderId="0" xfId="21" applyFont="1" applyFill="1" applyAlignment="1">
      <alignment horizontal="left" vertical="center"/>
    </xf>
    <xf numFmtId="166" fontId="35" fillId="0" borderId="0" xfId="21" applyNumberFormat="1" applyAlignment="1">
      <alignment vertical="center"/>
    </xf>
    <xf numFmtId="0" fontId="35" fillId="10" borderId="56" xfId="21" applyFill="1" applyBorder="1" applyAlignment="1">
      <alignment vertical="center"/>
    </xf>
    <xf numFmtId="0" fontId="35" fillId="10" borderId="57" xfId="21" applyFill="1" applyBorder="1" applyAlignment="1">
      <alignment vertical="center"/>
    </xf>
    <xf numFmtId="0" fontId="35" fillId="13" borderId="57" xfId="21" applyFill="1" applyBorder="1" applyAlignment="1">
      <alignment vertical="center"/>
    </xf>
    <xf numFmtId="0" fontId="35" fillId="10" borderId="58" xfId="21" applyFill="1" applyBorder="1" applyAlignment="1">
      <alignment vertical="center"/>
    </xf>
    <xf numFmtId="0" fontId="53" fillId="10" borderId="55" xfId="21" applyFont="1" applyFill="1" applyBorder="1" applyAlignment="1">
      <alignment horizontal="center" vertical="center"/>
    </xf>
    <xf numFmtId="10" fontId="35" fillId="10" borderId="0" xfId="21" applyNumberFormat="1" applyFill="1" applyAlignment="1">
      <alignment vertical="center"/>
    </xf>
    <xf numFmtId="0" fontId="56" fillId="0" borderId="0" xfId="21" applyFont="1" applyAlignment="1">
      <alignment horizontal="center" vertical="center" readingOrder="1"/>
    </xf>
    <xf numFmtId="3" fontId="35" fillId="13" borderId="0" xfId="21" applyNumberFormat="1" applyFill="1" applyAlignment="1">
      <alignment vertical="center"/>
    </xf>
    <xf numFmtId="9" fontId="35" fillId="13" borderId="0" xfId="21" applyNumberFormat="1" applyFill="1" applyAlignment="1">
      <alignment vertical="center"/>
    </xf>
    <xf numFmtId="0" fontId="53" fillId="22" borderId="0" xfId="21" applyFont="1" applyFill="1" applyAlignment="1">
      <alignment vertical="center"/>
    </xf>
    <xf numFmtId="0" fontId="53" fillId="22" borderId="0" xfId="21" applyFont="1" applyFill="1" applyAlignment="1">
      <alignment horizontal="center" vertical="center" wrapText="1"/>
    </xf>
    <xf numFmtId="0" fontId="35" fillId="23" borderId="0" xfId="21" applyFill="1" applyAlignment="1">
      <alignment vertical="center"/>
    </xf>
    <xf numFmtId="9" fontId="35" fillId="23" borderId="0" xfId="21" applyNumberFormat="1" applyFill="1" applyAlignment="1">
      <alignment vertical="center"/>
    </xf>
    <xf numFmtId="10" fontId="35" fillId="0" borderId="0" xfId="21" applyNumberFormat="1" applyAlignment="1">
      <alignment vertical="center"/>
    </xf>
    <xf numFmtId="10" fontId="35" fillId="13" borderId="0" xfId="21" applyNumberFormat="1" applyFill="1" applyAlignment="1">
      <alignment vertical="center"/>
    </xf>
    <xf numFmtId="166" fontId="35" fillId="23" borderId="0" xfId="21" applyNumberFormat="1" applyFill="1" applyAlignment="1">
      <alignment vertical="center"/>
    </xf>
    <xf numFmtId="0" fontId="35" fillId="10" borderId="0" xfId="21" applyFill="1" applyAlignment="1">
      <alignment horizontal="right" vertical="center"/>
    </xf>
    <xf numFmtId="0" fontId="53" fillId="13" borderId="0" xfId="21" applyFont="1" applyFill="1" applyAlignment="1">
      <alignment horizontal="center" vertical="center"/>
    </xf>
    <xf numFmtId="3" fontId="35" fillId="10" borderId="0" xfId="21" applyNumberFormat="1" applyFill="1" applyAlignment="1">
      <alignment vertical="center"/>
    </xf>
    <xf numFmtId="0" fontId="53" fillId="0" borderId="0" xfId="21" applyFont="1" applyAlignment="1">
      <alignment horizontal="center" vertical="center"/>
    </xf>
    <xf numFmtId="9" fontId="53" fillId="10" borderId="0" xfId="22" applyFont="1" applyFill="1" applyBorder="1" applyAlignment="1">
      <alignment vertical="center"/>
    </xf>
    <xf numFmtId="3" fontId="53" fillId="0" borderId="0" xfId="21" applyNumberFormat="1" applyFont="1" applyAlignment="1">
      <alignment vertical="center"/>
    </xf>
    <xf numFmtId="3" fontId="53" fillId="13" borderId="0" xfId="21" applyNumberFormat="1" applyFont="1" applyFill="1" applyAlignment="1">
      <alignment vertical="center"/>
    </xf>
    <xf numFmtId="9" fontId="0" fillId="13" borderId="0" xfId="22" applyFont="1" applyFill="1" applyBorder="1" applyAlignment="1">
      <alignment vertical="center"/>
    </xf>
    <xf numFmtId="0" fontId="53" fillId="2" borderId="20" xfId="9" applyFont="1" applyFill="1" applyBorder="1" applyAlignment="1">
      <alignment vertical="center" wrapText="1"/>
    </xf>
    <xf numFmtId="3" fontId="58" fillId="0" borderId="0" xfId="12" applyNumberFormat="1" applyFont="1"/>
    <xf numFmtId="0" fontId="71" fillId="10" borderId="0" xfId="12" applyFont="1" applyFill="1"/>
    <xf numFmtId="0" fontId="40" fillId="10" borderId="21" xfId="14" applyFill="1" applyBorder="1" applyAlignment="1">
      <alignment wrapText="1"/>
    </xf>
    <xf numFmtId="0" fontId="40" fillId="10" borderId="0" xfId="14" applyFill="1" applyAlignment="1">
      <alignment wrapText="1"/>
    </xf>
    <xf numFmtId="0" fontId="40" fillId="13" borderId="0" xfId="14" applyFill="1" applyAlignment="1">
      <alignment wrapText="1"/>
    </xf>
    <xf numFmtId="0" fontId="40" fillId="10" borderId="23" xfId="14" applyFill="1" applyBorder="1" applyAlignment="1">
      <alignment wrapText="1"/>
    </xf>
    <xf numFmtId="0" fontId="0" fillId="0" borderId="0" xfId="0" pivotButton="1" applyAlignment="1">
      <alignment wrapText="1"/>
    </xf>
    <xf numFmtId="0" fontId="52" fillId="0" borderId="0" xfId="0" applyFont="1" applyAlignment="1">
      <alignment vertical="center"/>
    </xf>
    <xf numFmtId="0" fontId="34" fillId="10" borderId="0" xfId="23" applyFill="1"/>
    <xf numFmtId="167" fontId="34" fillId="10" borderId="0" xfId="23" applyNumberFormat="1" applyFill="1" applyAlignment="1">
      <alignment vertical="center"/>
    </xf>
    <xf numFmtId="167" fontId="34" fillId="10" borderId="0" xfId="23" applyNumberFormat="1" applyFill="1" applyAlignment="1">
      <alignment wrapText="1"/>
    </xf>
    <xf numFmtId="167" fontId="53" fillId="11" borderId="18" xfId="23" applyNumberFormat="1" applyFont="1" applyFill="1" applyBorder="1" applyAlignment="1">
      <alignment horizontal="left" vertical="center"/>
    </xf>
    <xf numFmtId="167" fontId="53" fillId="11" borderId="0" xfId="23" applyNumberFormat="1" applyFont="1" applyFill="1"/>
    <xf numFmtId="167" fontId="53" fillId="11" borderId="55" xfId="23" applyNumberFormat="1" applyFont="1" applyFill="1" applyBorder="1"/>
    <xf numFmtId="167" fontId="53" fillId="11" borderId="18" xfId="23" applyNumberFormat="1" applyFont="1" applyFill="1" applyBorder="1" applyAlignment="1">
      <alignment horizontal="left"/>
    </xf>
    <xf numFmtId="167" fontId="53" fillId="11" borderId="18" xfId="23" applyNumberFormat="1" applyFont="1" applyFill="1" applyBorder="1" applyAlignment="1">
      <alignment horizontal="center" vertical="center"/>
    </xf>
    <xf numFmtId="167" fontId="53" fillId="11" borderId="23" xfId="23" applyNumberFormat="1" applyFont="1" applyFill="1" applyBorder="1"/>
    <xf numFmtId="167" fontId="53" fillId="11" borderId="73" xfId="23" applyNumberFormat="1" applyFont="1" applyFill="1" applyBorder="1"/>
    <xf numFmtId="167" fontId="53" fillId="11" borderId="64" xfId="23" applyNumberFormat="1" applyFont="1" applyFill="1" applyBorder="1"/>
    <xf numFmtId="167" fontId="34" fillId="10" borderId="0" xfId="23" applyNumberFormat="1" applyFill="1"/>
    <xf numFmtId="167" fontId="34" fillId="10" borderId="18" xfId="23" applyNumberFormat="1" applyFill="1" applyBorder="1" applyAlignment="1">
      <alignment horizontal="left"/>
    </xf>
    <xf numFmtId="167" fontId="34" fillId="10" borderId="55" xfId="23" applyNumberFormat="1" applyFill="1" applyBorder="1"/>
    <xf numFmtId="167" fontId="34" fillId="10" borderId="18" xfId="23" applyNumberFormat="1" applyFill="1" applyBorder="1"/>
    <xf numFmtId="167" fontId="34" fillId="10" borderId="23" xfId="23" applyNumberFormat="1" applyFill="1" applyBorder="1"/>
    <xf numFmtId="167" fontId="34" fillId="10" borderId="65" xfId="23" applyNumberFormat="1" applyFill="1" applyBorder="1"/>
    <xf numFmtId="167" fontId="34" fillId="0" borderId="55" xfId="23" applyNumberFormat="1" applyBorder="1"/>
    <xf numFmtId="167" fontId="34" fillId="10" borderId="55" xfId="23" applyNumberFormat="1" applyFill="1" applyBorder="1" applyAlignment="1">
      <alignment horizontal="right"/>
    </xf>
    <xf numFmtId="167" fontId="34" fillId="10" borderId="0" xfId="23" applyNumberFormat="1" applyFill="1" applyAlignment="1">
      <alignment horizontal="left"/>
    </xf>
    <xf numFmtId="167" fontId="34" fillId="10" borderId="66" xfId="23" applyNumberFormat="1" applyFill="1" applyBorder="1"/>
    <xf numFmtId="167" fontId="53" fillId="11" borderId="65" xfId="23" applyNumberFormat="1" applyFont="1" applyFill="1" applyBorder="1"/>
    <xf numFmtId="167" fontId="34" fillId="0" borderId="0" xfId="23" applyNumberFormat="1"/>
    <xf numFmtId="167" fontId="34" fillId="0" borderId="18" xfId="23" applyNumberFormat="1" applyBorder="1" applyAlignment="1">
      <alignment horizontal="left"/>
    </xf>
    <xf numFmtId="167" fontId="53" fillId="11" borderId="56" xfId="23" applyNumberFormat="1" applyFont="1" applyFill="1" applyBorder="1" applyAlignment="1">
      <alignment horizontal="left"/>
    </xf>
    <xf numFmtId="167" fontId="53" fillId="11" borderId="57" xfId="23" applyNumberFormat="1" applyFont="1" applyFill="1" applyBorder="1"/>
    <xf numFmtId="167" fontId="53" fillId="11" borderId="58" xfId="23" applyNumberFormat="1" applyFont="1" applyFill="1" applyBorder="1"/>
    <xf numFmtId="167" fontId="53" fillId="11" borderId="11" xfId="23" applyNumberFormat="1" applyFont="1" applyFill="1" applyBorder="1"/>
    <xf numFmtId="167" fontId="53" fillId="11" borderId="56" xfId="23" applyNumberFormat="1" applyFont="1" applyFill="1" applyBorder="1"/>
    <xf numFmtId="167" fontId="53" fillId="11" borderId="74" xfId="23" applyNumberFormat="1" applyFont="1" applyFill="1" applyBorder="1"/>
    <xf numFmtId="167" fontId="53" fillId="11" borderId="75" xfId="23" applyNumberFormat="1" applyFont="1" applyFill="1" applyBorder="1"/>
    <xf numFmtId="167" fontId="48" fillId="10" borderId="0" xfId="23" applyNumberFormat="1" applyFont="1" applyFill="1"/>
    <xf numFmtId="167" fontId="34" fillId="10" borderId="3" xfId="23" applyNumberFormat="1" applyFill="1" applyBorder="1"/>
    <xf numFmtId="167" fontId="0" fillId="10" borderId="0" xfId="24" applyNumberFormat="1" applyFont="1" applyFill="1"/>
    <xf numFmtId="0" fontId="57" fillId="14" borderId="76" xfId="23" applyFont="1" applyFill="1" applyBorder="1" applyAlignment="1">
      <alignment horizontal="center" vertical="center" wrapText="1"/>
    </xf>
    <xf numFmtId="0" fontId="57" fillId="14" borderId="52" xfId="23" applyFont="1" applyFill="1" applyBorder="1" applyAlignment="1">
      <alignment horizontal="center" vertical="center" wrapText="1"/>
    </xf>
    <xf numFmtId="0" fontId="57" fillId="14" borderId="76" xfId="23" applyFont="1" applyFill="1" applyBorder="1" applyAlignment="1">
      <alignment horizontal="left" vertical="center" wrapText="1"/>
    </xf>
    <xf numFmtId="167" fontId="34" fillId="0" borderId="54" xfId="23" applyNumberFormat="1" applyBorder="1"/>
    <xf numFmtId="167" fontId="34" fillId="0" borderId="3" xfId="23" applyNumberFormat="1" applyBorder="1"/>
    <xf numFmtId="167" fontId="34" fillId="0" borderId="4" xfId="23" applyNumberFormat="1" applyBorder="1"/>
    <xf numFmtId="167" fontId="34" fillId="0" borderId="18" xfId="23" applyNumberFormat="1" applyBorder="1"/>
    <xf numFmtId="167" fontId="61" fillId="10" borderId="0" xfId="23" applyNumberFormat="1" applyFont="1" applyFill="1"/>
    <xf numFmtId="167" fontId="61" fillId="0" borderId="0" xfId="23" applyNumberFormat="1" applyFont="1"/>
    <xf numFmtId="167" fontId="61" fillId="10" borderId="1" xfId="23" applyNumberFormat="1" applyFont="1" applyFill="1" applyBorder="1" applyAlignment="1">
      <alignment horizontal="left"/>
    </xf>
    <xf numFmtId="167" fontId="61" fillId="10" borderId="1" xfId="23" applyNumberFormat="1" applyFont="1" applyFill="1" applyBorder="1" applyAlignment="1">
      <alignment horizontal="center"/>
    </xf>
    <xf numFmtId="167" fontId="52" fillId="0" borderId="0" xfId="23" applyNumberFormat="1" applyFont="1"/>
    <xf numFmtId="167" fontId="52" fillId="0" borderId="0" xfId="23" applyNumberFormat="1" applyFont="1" applyAlignment="1">
      <alignment horizontal="center"/>
    </xf>
    <xf numFmtId="9" fontId="61" fillId="0" borderId="0" xfId="24" applyFont="1" applyFill="1" applyBorder="1"/>
    <xf numFmtId="9" fontId="0" fillId="0" borderId="18" xfId="24" applyFont="1" applyBorder="1"/>
    <xf numFmtId="9" fontId="0" fillId="0" borderId="0" xfId="24" applyFont="1" applyBorder="1"/>
    <xf numFmtId="9" fontId="0" fillId="0" borderId="55" xfId="24" applyFont="1" applyBorder="1"/>
    <xf numFmtId="9" fontId="0" fillId="0" borderId="0" xfId="24" applyFont="1"/>
    <xf numFmtId="167" fontId="67" fillId="0" borderId="0" xfId="23" applyNumberFormat="1" applyFont="1" applyAlignment="1">
      <alignment horizontal="left" vertical="center"/>
    </xf>
    <xf numFmtId="167" fontId="73" fillId="0" borderId="0" xfId="23" applyNumberFormat="1" applyFont="1" applyAlignment="1">
      <alignment horizontal="left"/>
    </xf>
    <xf numFmtId="167" fontId="53" fillId="16" borderId="16" xfId="23" applyNumberFormat="1" applyFont="1" applyFill="1" applyBorder="1"/>
    <xf numFmtId="167" fontId="53" fillId="16" borderId="22" xfId="23" applyNumberFormat="1" applyFont="1" applyFill="1" applyBorder="1" applyAlignment="1">
      <alignment horizontal="center"/>
    </xf>
    <xf numFmtId="167" fontId="53" fillId="16" borderId="31" xfId="23" applyNumberFormat="1" applyFont="1" applyFill="1" applyBorder="1" applyAlignment="1">
      <alignment horizontal="center"/>
    </xf>
    <xf numFmtId="167" fontId="61" fillId="0" borderId="21" xfId="23" applyNumberFormat="1" applyFont="1" applyBorder="1"/>
    <xf numFmtId="167" fontId="61" fillId="8" borderId="0" xfId="23" applyNumberFormat="1" applyFont="1" applyFill="1"/>
    <xf numFmtId="167" fontId="61" fillId="0" borderId="23" xfId="23" applyNumberFormat="1" applyFont="1" applyBorder="1"/>
    <xf numFmtId="167" fontId="61" fillId="15" borderId="21" xfId="23" applyNumberFormat="1" applyFont="1" applyFill="1" applyBorder="1"/>
    <xf numFmtId="167" fontId="61" fillId="15" borderId="0" xfId="23" applyNumberFormat="1" applyFont="1" applyFill="1"/>
    <xf numFmtId="167" fontId="61" fillId="15" borderId="23" xfId="23" applyNumberFormat="1" applyFont="1" applyFill="1" applyBorder="1"/>
    <xf numFmtId="167" fontId="62" fillId="16" borderId="10" xfId="23" applyNumberFormat="1" applyFont="1" applyFill="1" applyBorder="1"/>
    <xf numFmtId="167" fontId="53" fillId="16" borderId="11" xfId="23" applyNumberFormat="1" applyFont="1" applyFill="1" applyBorder="1"/>
    <xf numFmtId="167" fontId="53" fillId="16" borderId="12" xfId="23" applyNumberFormat="1" applyFont="1" applyFill="1" applyBorder="1"/>
    <xf numFmtId="167" fontId="53" fillId="16" borderId="0" xfId="23" applyNumberFormat="1" applyFont="1" applyFill="1"/>
    <xf numFmtId="9" fontId="0" fillId="0" borderId="0" xfId="24" applyFont="1" applyFill="1" applyBorder="1"/>
    <xf numFmtId="167" fontId="53" fillId="16" borderId="16" xfId="23" applyNumberFormat="1" applyFont="1" applyFill="1" applyBorder="1" applyAlignment="1">
      <alignment horizontal="center"/>
    </xf>
    <xf numFmtId="167" fontId="53" fillId="16" borderId="22" xfId="23" applyNumberFormat="1" applyFont="1" applyFill="1" applyBorder="1"/>
    <xf numFmtId="167" fontId="53" fillId="16" borderId="23" xfId="23" applyNumberFormat="1" applyFont="1" applyFill="1" applyBorder="1" applyAlignment="1">
      <alignment horizontal="center"/>
    </xf>
    <xf numFmtId="167" fontId="53" fillId="16" borderId="21" xfId="23" applyNumberFormat="1" applyFont="1" applyFill="1" applyBorder="1" applyAlignment="1">
      <alignment horizontal="center"/>
    </xf>
    <xf numFmtId="167" fontId="53" fillId="16" borderId="0" xfId="23" applyNumberFormat="1" applyFont="1" applyFill="1" applyAlignment="1">
      <alignment horizontal="center"/>
    </xf>
    <xf numFmtId="167" fontId="61" fillId="0" borderId="21" xfId="23" applyNumberFormat="1" applyFont="1" applyBorder="1" applyAlignment="1">
      <alignment horizontal="left"/>
    </xf>
    <xf numFmtId="167" fontId="61" fillId="0" borderId="0" xfId="23" applyNumberFormat="1" applyFont="1" applyAlignment="1">
      <alignment horizontal="left"/>
    </xf>
    <xf numFmtId="167" fontId="34" fillId="0" borderId="0" xfId="23" applyNumberFormat="1" applyAlignment="1">
      <alignment horizontal="center"/>
    </xf>
    <xf numFmtId="167" fontId="61" fillId="15" borderId="21" xfId="23" applyNumberFormat="1" applyFont="1" applyFill="1" applyBorder="1" applyAlignment="1">
      <alignment horizontal="left"/>
    </xf>
    <xf numFmtId="167" fontId="61" fillId="15" borderId="0" xfId="23" applyNumberFormat="1" applyFont="1" applyFill="1" applyAlignment="1">
      <alignment horizontal="left"/>
    </xf>
    <xf numFmtId="167" fontId="34" fillId="0" borderId="0" xfId="23" applyNumberFormat="1" applyAlignment="1">
      <alignment horizontal="left"/>
    </xf>
    <xf numFmtId="167" fontId="34" fillId="15" borderId="21" xfId="23" applyNumberFormat="1" applyFill="1" applyBorder="1" applyAlignment="1">
      <alignment horizontal="left"/>
    </xf>
    <xf numFmtId="167" fontId="34" fillId="15" borderId="0" xfId="23" applyNumberFormat="1" applyFill="1" applyAlignment="1">
      <alignment horizontal="left"/>
    </xf>
    <xf numFmtId="167" fontId="61" fillId="0" borderId="21" xfId="24" applyNumberFormat="1" applyFont="1" applyFill="1" applyBorder="1" applyAlignment="1">
      <alignment horizontal="left"/>
    </xf>
    <xf numFmtId="167" fontId="61" fillId="0" borderId="0" xfId="24" applyNumberFormat="1" applyFont="1" applyFill="1" applyBorder="1"/>
    <xf numFmtId="167" fontId="61" fillId="0" borderId="23" xfId="24" applyNumberFormat="1" applyFont="1" applyFill="1" applyBorder="1"/>
    <xf numFmtId="167" fontId="61" fillId="0" borderId="0" xfId="24" applyNumberFormat="1" applyFont="1" applyFill="1" applyBorder="1" applyAlignment="1">
      <alignment horizontal="left"/>
    </xf>
    <xf numFmtId="0" fontId="52" fillId="0" borderId="0" xfId="23" applyFont="1"/>
    <xf numFmtId="167" fontId="62" fillId="16" borderId="0" xfId="23" applyNumberFormat="1" applyFont="1" applyFill="1"/>
    <xf numFmtId="167" fontId="34" fillId="0" borderId="21" xfId="23" applyNumberFormat="1" applyBorder="1" applyAlignment="1">
      <alignment horizontal="left"/>
    </xf>
    <xf numFmtId="167" fontId="34" fillId="0" borderId="56" xfId="23" applyNumberFormat="1" applyBorder="1"/>
    <xf numFmtId="167" fontId="34" fillId="0" borderId="57" xfId="23" applyNumberFormat="1" applyBorder="1"/>
    <xf numFmtId="167" fontId="34" fillId="0" borderId="58" xfId="23" applyNumberFormat="1" applyBorder="1"/>
    <xf numFmtId="167" fontId="63" fillId="0" borderId="0" xfId="23" applyNumberFormat="1" applyFont="1" applyAlignment="1">
      <alignment horizontal="right" vertical="center" wrapText="1"/>
    </xf>
    <xf numFmtId="0" fontId="54" fillId="10" borderId="7" xfId="23" applyFont="1" applyFill="1" applyBorder="1" applyAlignment="1">
      <alignment vertical="center"/>
    </xf>
    <xf numFmtId="3" fontId="53" fillId="16" borderId="16" xfId="23" applyNumberFormat="1" applyFont="1" applyFill="1" applyBorder="1" applyAlignment="1">
      <alignment vertical="center"/>
    </xf>
    <xf numFmtId="0" fontId="58" fillId="0" borderId="0" xfId="21" applyFont="1" applyAlignment="1">
      <alignment vertical="center"/>
    </xf>
    <xf numFmtId="167" fontId="61" fillId="0" borderId="0" xfId="0" applyNumberFormat="1" applyFont="1"/>
    <xf numFmtId="167" fontId="52" fillId="0" borderId="0" xfId="0" applyNumberFormat="1" applyFont="1"/>
    <xf numFmtId="167" fontId="61" fillId="7" borderId="0" xfId="0" applyNumberFormat="1" applyFont="1" applyFill="1"/>
    <xf numFmtId="167" fontId="52" fillId="0" borderId="21" xfId="23" applyNumberFormat="1" applyFont="1" applyBorder="1" applyAlignment="1">
      <alignment horizontal="center"/>
    </xf>
    <xf numFmtId="0" fontId="53" fillId="28" borderId="20" xfId="9" applyFont="1" applyFill="1" applyBorder="1" applyAlignment="1">
      <alignment vertical="center" wrapText="1"/>
    </xf>
    <xf numFmtId="0" fontId="53" fillId="30" borderId="20" xfId="9" applyFont="1" applyFill="1" applyBorder="1" applyAlignment="1">
      <alignment vertical="center" wrapText="1"/>
    </xf>
    <xf numFmtId="0" fontId="38" fillId="0" borderId="0" xfId="18" applyAlignment="1">
      <alignment vertical="center"/>
    </xf>
    <xf numFmtId="166" fontId="71" fillId="10" borderId="0" xfId="7" applyNumberFormat="1" applyFont="1" applyFill="1"/>
    <xf numFmtId="0" fontId="53" fillId="31" borderId="20" xfId="9" applyFont="1" applyFill="1" applyBorder="1" applyAlignment="1">
      <alignment vertical="center" wrapText="1"/>
    </xf>
    <xf numFmtId="9" fontId="61" fillId="10" borderId="15" xfId="12" applyNumberFormat="1" applyFont="1" applyFill="1" applyBorder="1" applyAlignment="1">
      <alignment horizontal="left"/>
    </xf>
    <xf numFmtId="3" fontId="58" fillId="10" borderId="0" xfId="12" applyNumberFormat="1" applyFont="1" applyFill="1" applyAlignment="1">
      <alignment horizontal="left"/>
    </xf>
    <xf numFmtId="0" fontId="45" fillId="0" borderId="79" xfId="5" applyBorder="1" applyAlignment="1">
      <alignment horizontal="center"/>
    </xf>
    <xf numFmtId="0" fontId="63" fillId="0" borderId="77" xfId="23" applyFont="1" applyBorder="1" applyAlignment="1">
      <alignment horizontal="center" vertical="center"/>
    </xf>
    <xf numFmtId="0" fontId="63" fillId="0" borderId="59" xfId="23" applyFont="1" applyBorder="1" applyAlignment="1">
      <alignment horizontal="left" vertical="center"/>
    </xf>
    <xf numFmtId="0" fontId="43" fillId="0" borderId="53" xfId="9" applyBorder="1"/>
    <xf numFmtId="0" fontId="61" fillId="0" borderId="0" xfId="5" applyFont="1"/>
    <xf numFmtId="0" fontId="0" fillId="0" borderId="0" xfId="0" pivotButton="1" applyAlignment="1">
      <alignment horizontal="center" vertical="center"/>
    </xf>
    <xf numFmtId="0" fontId="0" fillId="0" borderId="0" xfId="0" applyAlignment="1">
      <alignment horizontal="center" vertical="center" wrapText="1"/>
    </xf>
    <xf numFmtId="167" fontId="0" fillId="0" borderId="0" xfId="0" applyNumberFormat="1"/>
    <xf numFmtId="0" fontId="0" fillId="0" borderId="0" xfId="0" applyAlignment="1">
      <alignment horizontal="center" vertical="center"/>
    </xf>
    <xf numFmtId="9" fontId="61" fillId="0" borderId="25" xfId="12" applyNumberFormat="1" applyFont="1" applyBorder="1"/>
    <xf numFmtId="9" fontId="61" fillId="18" borderId="25" xfId="12" applyNumberFormat="1" applyFont="1" applyFill="1" applyBorder="1"/>
    <xf numFmtId="9" fontId="61" fillId="0" borderId="24" xfId="7" applyFont="1" applyFill="1" applyBorder="1"/>
    <xf numFmtId="9" fontId="61" fillId="18" borderId="24" xfId="7" applyFont="1" applyFill="1" applyBorder="1"/>
    <xf numFmtId="167" fontId="41" fillId="0" borderId="24" xfId="12" applyNumberFormat="1" applyBorder="1" applyAlignment="1">
      <alignment wrapText="1"/>
    </xf>
    <xf numFmtId="167" fontId="41" fillId="18" borderId="24" xfId="12" applyNumberFormat="1" applyFill="1" applyBorder="1" applyAlignment="1">
      <alignment wrapText="1"/>
    </xf>
    <xf numFmtId="3" fontId="41" fillId="0" borderId="25" xfId="12" applyNumberFormat="1" applyBorder="1"/>
    <xf numFmtId="3" fontId="41" fillId="15" borderId="25" xfId="12" applyNumberFormat="1" applyFill="1" applyBorder="1"/>
    <xf numFmtId="3" fontId="41" fillId="0" borderId="28" xfId="12" applyNumberFormat="1" applyBorder="1"/>
    <xf numFmtId="3" fontId="41" fillId="15" borderId="28" xfId="12" applyNumberFormat="1" applyFill="1" applyBorder="1"/>
    <xf numFmtId="3" fontId="53" fillId="14" borderId="28" xfId="12" applyNumberFormat="1" applyFont="1" applyFill="1" applyBorder="1" applyAlignment="1">
      <alignment horizontal="right"/>
    </xf>
    <xf numFmtId="3" fontId="42" fillId="0" borderId="24" xfId="10" applyNumberFormat="1" applyBorder="1"/>
    <xf numFmtId="3" fontId="42" fillId="15" borderId="24" xfId="10" applyNumberFormat="1" applyFill="1" applyBorder="1"/>
    <xf numFmtId="3" fontId="53" fillId="16" borderId="27" xfId="12" applyNumberFormat="1" applyFont="1" applyFill="1" applyBorder="1"/>
    <xf numFmtId="0" fontId="0" fillId="0" borderId="0" xfId="0" pivotButton="1" applyAlignment="1">
      <alignment horizontal="center" vertical="center" wrapText="1"/>
    </xf>
    <xf numFmtId="0" fontId="53" fillId="14" borderId="27" xfId="0" applyFont="1" applyFill="1" applyBorder="1"/>
    <xf numFmtId="167" fontId="53" fillId="16" borderId="27" xfId="0" applyNumberFormat="1" applyFont="1" applyFill="1" applyBorder="1"/>
    <xf numFmtId="9" fontId="48" fillId="0" borderId="25" xfId="14" applyNumberFormat="1" applyFont="1" applyBorder="1"/>
    <xf numFmtId="9" fontId="48" fillId="15" borderId="25" xfId="14" applyNumberFormat="1" applyFont="1" applyFill="1" applyBorder="1"/>
    <xf numFmtId="9" fontId="48" fillId="15" borderId="28" xfId="14" applyNumberFormat="1" applyFont="1" applyFill="1" applyBorder="1"/>
    <xf numFmtId="167" fontId="48" fillId="0" borderId="25" xfId="14" applyNumberFormat="1" applyFont="1" applyBorder="1"/>
    <xf numFmtId="167" fontId="48" fillId="15" borderId="25" xfId="14" applyNumberFormat="1" applyFont="1" applyFill="1" applyBorder="1"/>
    <xf numFmtId="9" fontId="62" fillId="10" borderId="0" xfId="15" applyFont="1" applyFill="1" applyBorder="1"/>
    <xf numFmtId="0" fontId="53" fillId="17" borderId="27" xfId="0" applyFont="1" applyFill="1" applyBorder="1"/>
    <xf numFmtId="167" fontId="53" fillId="17" borderId="27" xfId="0" applyNumberFormat="1" applyFont="1" applyFill="1" applyBorder="1"/>
    <xf numFmtId="9" fontId="0" fillId="18" borderId="25" xfId="15" applyFont="1" applyFill="1" applyBorder="1"/>
    <xf numFmtId="9" fontId="0" fillId="18" borderId="24" xfId="15" applyFont="1" applyFill="1" applyBorder="1"/>
    <xf numFmtId="9" fontId="0" fillId="18" borderId="27" xfId="15" applyFont="1" applyFill="1" applyBorder="1"/>
    <xf numFmtId="9" fontId="0" fillId="18" borderId="28" xfId="15" applyFont="1" applyFill="1" applyBorder="1"/>
    <xf numFmtId="0" fontId="48" fillId="17" borderId="24" xfId="14" applyFont="1" applyFill="1" applyBorder="1" applyAlignment="1">
      <alignment vertical="center" wrapText="1"/>
    </xf>
    <xf numFmtId="0" fontId="48" fillId="17" borderId="24" xfId="14" applyFont="1" applyFill="1" applyBorder="1" applyAlignment="1">
      <alignment horizontal="center" vertical="center" wrapText="1"/>
    </xf>
    <xf numFmtId="0" fontId="48" fillId="17" borderId="25" xfId="14" applyFont="1" applyFill="1" applyBorder="1" applyAlignment="1">
      <alignment horizontal="center" vertical="center" wrapText="1"/>
    </xf>
    <xf numFmtId="0" fontId="40" fillId="10" borderId="21" xfId="14" applyFill="1" applyBorder="1" applyAlignment="1">
      <alignment vertical="center"/>
    </xf>
    <xf numFmtId="0" fontId="40" fillId="10" borderId="0" xfId="14" applyFill="1" applyAlignment="1">
      <alignment vertical="center"/>
    </xf>
    <xf numFmtId="0" fontId="40" fillId="13" borderId="0" xfId="14" applyFill="1" applyAlignment="1">
      <alignment vertical="center"/>
    </xf>
    <xf numFmtId="0" fontId="40" fillId="10" borderId="23" xfId="14" applyFill="1" applyBorder="1" applyAlignment="1">
      <alignment vertical="center"/>
    </xf>
    <xf numFmtId="0" fontId="40" fillId="10" borderId="21" xfId="14" applyFill="1" applyBorder="1" applyAlignment="1">
      <alignment vertical="center" wrapText="1"/>
    </xf>
    <xf numFmtId="0" fontId="40" fillId="10" borderId="0" xfId="14" applyFill="1" applyAlignment="1">
      <alignment vertical="center" wrapText="1"/>
    </xf>
    <xf numFmtId="0" fontId="40" fillId="13" borderId="0" xfId="14" applyFill="1" applyAlignment="1">
      <alignment vertical="center" wrapText="1"/>
    </xf>
    <xf numFmtId="0" fontId="40" fillId="10" borderId="23" xfId="14" applyFill="1" applyBorder="1" applyAlignment="1">
      <alignment vertical="center" wrapText="1"/>
    </xf>
    <xf numFmtId="9" fontId="50" fillId="0" borderId="25" xfId="15" applyFont="1" applyFill="1" applyBorder="1"/>
    <xf numFmtId="9" fontId="50" fillId="18" borderId="25" xfId="15" applyFont="1" applyFill="1" applyBorder="1"/>
    <xf numFmtId="9" fontId="50" fillId="18" borderId="28" xfId="15" applyFont="1" applyFill="1" applyBorder="1"/>
    <xf numFmtId="167" fontId="48" fillId="18" borderId="25" xfId="14" applyNumberFormat="1" applyFont="1" applyFill="1" applyBorder="1"/>
    <xf numFmtId="0" fontId="48" fillId="19" borderId="27" xfId="0" applyFont="1" applyFill="1" applyBorder="1"/>
    <xf numFmtId="167" fontId="53" fillId="19" borderId="27" xfId="0" applyNumberFormat="1" applyFont="1" applyFill="1" applyBorder="1"/>
    <xf numFmtId="9" fontId="0" fillId="20" borderId="24" xfId="15" applyFont="1" applyFill="1" applyBorder="1"/>
    <xf numFmtId="9" fontId="0" fillId="20" borderId="25" xfId="15" applyFont="1" applyFill="1" applyBorder="1"/>
    <xf numFmtId="9" fontId="0" fillId="0" borderId="24" xfId="15" applyFont="1" applyFill="1" applyBorder="1" applyAlignment="1">
      <alignment horizontal="right"/>
    </xf>
    <xf numFmtId="9" fontId="0" fillId="20" borderId="27" xfId="15" applyFont="1" applyFill="1" applyBorder="1"/>
    <xf numFmtId="9" fontId="0" fillId="20" borderId="28" xfId="15" applyFont="1" applyFill="1" applyBorder="1"/>
    <xf numFmtId="0" fontId="48" fillId="22" borderId="27" xfId="0" applyFont="1" applyFill="1" applyBorder="1"/>
    <xf numFmtId="167" fontId="53" fillId="22" borderId="27" xfId="0" applyNumberFormat="1" applyFont="1" applyFill="1" applyBorder="1"/>
    <xf numFmtId="0" fontId="48" fillId="19" borderId="24" xfId="14" applyFont="1" applyFill="1" applyBorder="1" applyAlignment="1">
      <alignment vertical="center" wrapText="1"/>
    </xf>
    <xf numFmtId="0" fontId="48" fillId="19" borderId="24" xfId="14" applyFont="1" applyFill="1" applyBorder="1" applyAlignment="1">
      <alignment horizontal="center" vertical="center" wrapText="1"/>
    </xf>
    <xf numFmtId="0" fontId="48" fillId="19" borderId="25" xfId="14" applyFont="1" applyFill="1" applyBorder="1" applyAlignment="1">
      <alignment horizontal="center" vertical="center" wrapText="1"/>
    </xf>
    <xf numFmtId="0" fontId="48" fillId="22" borderId="24" xfId="14" applyFont="1" applyFill="1" applyBorder="1" applyAlignment="1">
      <alignment vertical="center" wrapText="1"/>
    </xf>
    <xf numFmtId="0" fontId="48" fillId="22" borderId="24" xfId="14" applyFont="1" applyFill="1" applyBorder="1" applyAlignment="1">
      <alignment horizontal="center" vertical="center" wrapText="1"/>
    </xf>
    <xf numFmtId="0" fontId="48" fillId="22" borderId="25" xfId="14" applyFont="1" applyFill="1" applyBorder="1" applyAlignment="1">
      <alignment horizontal="center" vertical="center" wrapText="1"/>
    </xf>
    <xf numFmtId="9" fontId="50" fillId="20" borderId="25" xfId="15" applyFont="1" applyFill="1" applyBorder="1"/>
    <xf numFmtId="9" fontId="50" fillId="20" borderId="28" xfId="15" applyFont="1" applyFill="1" applyBorder="1"/>
    <xf numFmtId="167" fontId="48" fillId="20" borderId="25" xfId="14" applyNumberFormat="1" applyFont="1" applyFill="1" applyBorder="1"/>
    <xf numFmtId="166" fontId="58" fillId="10" borderId="0" xfId="14" applyNumberFormat="1" applyFont="1" applyFill="1"/>
    <xf numFmtId="9" fontId="50" fillId="10" borderId="0" xfId="15" applyFont="1" applyFill="1" applyBorder="1"/>
    <xf numFmtId="9" fontId="48" fillId="10" borderId="0" xfId="14" applyNumberFormat="1" applyFont="1" applyFill="1"/>
    <xf numFmtId="167" fontId="48" fillId="23" borderId="25" xfId="14" applyNumberFormat="1" applyFont="1" applyFill="1" applyBorder="1"/>
    <xf numFmtId="9" fontId="50" fillId="23" borderId="25" xfId="15" applyFont="1" applyFill="1" applyBorder="1"/>
    <xf numFmtId="9" fontId="50" fillId="23" borderId="28" xfId="15" applyFont="1" applyFill="1" applyBorder="1"/>
    <xf numFmtId="0" fontId="48" fillId="14" borderId="27" xfId="0" applyFont="1" applyFill="1" applyBorder="1"/>
    <xf numFmtId="0" fontId="48" fillId="17" borderId="24" xfId="14" applyFont="1" applyFill="1" applyBorder="1" applyAlignment="1">
      <alignment vertical="center"/>
    </xf>
    <xf numFmtId="0" fontId="48" fillId="17" borderId="24" xfId="14" applyFont="1" applyFill="1" applyBorder="1" applyAlignment="1">
      <alignment horizontal="center" vertical="center"/>
    </xf>
    <xf numFmtId="0" fontId="48" fillId="17" borderId="25" xfId="14" applyFont="1" applyFill="1" applyBorder="1" applyAlignment="1">
      <alignment horizontal="center" vertical="center"/>
    </xf>
    <xf numFmtId="0" fontId="48" fillId="17" borderId="27" xfId="14" applyFont="1" applyFill="1" applyBorder="1"/>
    <xf numFmtId="3" fontId="48" fillId="17" borderId="27" xfId="14" applyNumberFormat="1" applyFont="1" applyFill="1" applyBorder="1"/>
    <xf numFmtId="0" fontId="48" fillId="19" borderId="27" xfId="14" applyFont="1" applyFill="1" applyBorder="1"/>
    <xf numFmtId="3" fontId="48" fillId="19" borderId="27" xfId="14" applyNumberFormat="1" applyFont="1" applyFill="1" applyBorder="1"/>
    <xf numFmtId="3" fontId="48" fillId="19" borderId="28" xfId="14" applyNumberFormat="1" applyFont="1" applyFill="1" applyBorder="1"/>
    <xf numFmtId="0" fontId="48" fillId="22" borderId="27" xfId="14" applyFont="1" applyFill="1" applyBorder="1"/>
    <xf numFmtId="3" fontId="48" fillId="22" borderId="27" xfId="14" applyNumberFormat="1" applyFont="1" applyFill="1" applyBorder="1"/>
    <xf numFmtId="3" fontId="48" fillId="0" borderId="25" xfId="14" applyNumberFormat="1" applyFont="1" applyBorder="1"/>
    <xf numFmtId="3" fontId="48" fillId="15" borderId="25" xfId="14" applyNumberFormat="1" applyFont="1" applyFill="1" applyBorder="1"/>
    <xf numFmtId="9" fontId="58" fillId="10" borderId="0" xfId="14" applyNumberFormat="1" applyFont="1" applyFill="1"/>
    <xf numFmtId="3" fontId="48" fillId="18" borderId="25" xfId="14" applyNumberFormat="1" applyFont="1" applyFill="1" applyBorder="1"/>
    <xf numFmtId="3" fontId="48" fillId="23" borderId="25" xfId="14" applyNumberFormat="1" applyFont="1" applyFill="1" applyBorder="1"/>
    <xf numFmtId="167" fontId="48" fillId="4" borderId="0" xfId="23" applyNumberFormat="1" applyFont="1" applyFill="1" applyAlignment="1">
      <alignment vertical="center" wrapText="1"/>
    </xf>
    <xf numFmtId="167" fontId="48" fillId="4" borderId="67" xfId="23" applyNumberFormat="1" applyFont="1" applyFill="1" applyBorder="1" applyAlignment="1">
      <alignment horizontal="center" vertical="center" wrapText="1"/>
    </xf>
    <xf numFmtId="167" fontId="48" fillId="4" borderId="1" xfId="23" applyNumberFormat="1" applyFont="1" applyFill="1" applyBorder="1" applyAlignment="1">
      <alignment horizontal="center" vertical="center" wrapText="1"/>
    </xf>
    <xf numFmtId="167" fontId="48" fillId="4" borderId="41" xfId="23" applyNumberFormat="1" applyFont="1" applyFill="1" applyBorder="1" applyAlignment="1">
      <alignment horizontal="center" vertical="center" wrapText="1"/>
    </xf>
    <xf numFmtId="167" fontId="48" fillId="4" borderId="69" xfId="23" applyNumberFormat="1" applyFont="1" applyFill="1" applyBorder="1" applyAlignment="1">
      <alignment horizontal="center" vertical="center" wrapText="1"/>
    </xf>
    <xf numFmtId="167" fontId="48" fillId="4" borderId="70" xfId="23" applyNumberFormat="1" applyFont="1" applyFill="1" applyBorder="1" applyAlignment="1">
      <alignment horizontal="center" vertical="center" wrapText="1"/>
    </xf>
    <xf numFmtId="167" fontId="48" fillId="4" borderId="3" xfId="23" applyNumberFormat="1" applyFont="1" applyFill="1" applyBorder="1" applyAlignment="1">
      <alignment horizontal="center" vertical="center" wrapText="1"/>
    </xf>
    <xf numFmtId="167" fontId="48" fillId="4" borderId="4" xfId="23" applyNumberFormat="1" applyFont="1" applyFill="1" applyBorder="1" applyAlignment="1">
      <alignment horizontal="center" vertical="center" wrapText="1"/>
    </xf>
    <xf numFmtId="167" fontId="48" fillId="4" borderId="0" xfId="23" applyNumberFormat="1" applyFont="1" applyFill="1" applyAlignment="1">
      <alignment horizontal="center" vertical="center" wrapText="1"/>
    </xf>
    <xf numFmtId="167" fontId="48" fillId="4" borderId="60" xfId="23" applyNumberFormat="1" applyFont="1" applyFill="1" applyBorder="1" applyAlignment="1">
      <alignment horizontal="center" vertical="center" wrapText="1"/>
    </xf>
    <xf numFmtId="167" fontId="48" fillId="4" borderId="61" xfId="23" applyNumberFormat="1" applyFont="1" applyFill="1" applyBorder="1" applyAlignment="1">
      <alignment horizontal="center" vertical="center" wrapText="1"/>
    </xf>
    <xf numFmtId="167" fontId="48" fillId="4" borderId="62" xfId="23" applyNumberFormat="1" applyFont="1" applyFill="1" applyBorder="1" applyAlignment="1">
      <alignment horizontal="center" vertical="center" wrapText="1"/>
    </xf>
    <xf numFmtId="167" fontId="48" fillId="4" borderId="71" xfId="23" applyNumberFormat="1" applyFont="1" applyFill="1" applyBorder="1" applyAlignment="1">
      <alignment horizontal="center" vertical="center" wrapText="1"/>
    </xf>
    <xf numFmtId="167" fontId="48" fillId="4" borderId="9" xfId="23" applyNumberFormat="1" applyFont="1" applyFill="1" applyBorder="1" applyAlignment="1">
      <alignment horizontal="center" vertical="center" wrapText="1"/>
    </xf>
    <xf numFmtId="0" fontId="48" fillId="17" borderId="10" xfId="0" applyFont="1" applyFill="1" applyBorder="1" applyAlignment="1">
      <alignment horizontal="left" vertical="center"/>
    </xf>
    <xf numFmtId="167" fontId="48" fillId="17" borderId="11" xfId="0" applyNumberFormat="1" applyFont="1" applyFill="1" applyBorder="1" applyAlignment="1">
      <alignment horizontal="right" vertical="center"/>
    </xf>
    <xf numFmtId="9" fontId="48" fillId="0" borderId="23" xfId="21" applyNumberFormat="1" applyFont="1" applyBorder="1" applyAlignment="1">
      <alignment vertical="center"/>
    </xf>
    <xf numFmtId="9" fontId="48" fillId="18" borderId="23" xfId="21" applyNumberFormat="1" applyFont="1" applyFill="1" applyBorder="1" applyAlignment="1">
      <alignment vertical="center"/>
    </xf>
    <xf numFmtId="9" fontId="48" fillId="0" borderId="12" xfId="21" applyNumberFormat="1" applyFont="1" applyBorder="1" applyAlignment="1">
      <alignment vertical="center"/>
    </xf>
    <xf numFmtId="167" fontId="48" fillId="0" borderId="23" xfId="21" applyNumberFormat="1" applyFont="1" applyBorder="1" applyAlignment="1">
      <alignment vertical="center"/>
    </xf>
    <xf numFmtId="167" fontId="48" fillId="18" borderId="23" xfId="21" applyNumberFormat="1" applyFont="1" applyFill="1" applyBorder="1" applyAlignment="1">
      <alignment vertical="center"/>
    </xf>
    <xf numFmtId="9" fontId="48" fillId="10" borderId="0" xfId="21" applyNumberFormat="1" applyFont="1" applyFill="1" applyAlignment="1">
      <alignment vertical="center"/>
    </xf>
    <xf numFmtId="0" fontId="48" fillId="19" borderId="0" xfId="0" applyFont="1" applyFill="1" applyAlignment="1">
      <alignment vertical="center"/>
    </xf>
    <xf numFmtId="167" fontId="48" fillId="19" borderId="0" xfId="0" applyNumberFormat="1" applyFont="1" applyFill="1" applyAlignment="1">
      <alignment vertical="center"/>
    </xf>
    <xf numFmtId="9" fontId="61" fillId="0" borderId="0" xfId="22" applyFont="1" applyFill="1" applyBorder="1" applyAlignment="1">
      <alignment vertical="center"/>
    </xf>
    <xf numFmtId="9" fontId="61" fillId="20" borderId="0" xfId="22" applyFont="1" applyFill="1" applyBorder="1" applyAlignment="1">
      <alignment vertical="center"/>
    </xf>
    <xf numFmtId="9" fontId="61" fillId="0" borderId="0" xfId="21" applyNumberFormat="1" applyFont="1" applyAlignment="1">
      <alignment vertical="center"/>
    </xf>
    <xf numFmtId="0" fontId="48" fillId="19" borderId="0" xfId="21" applyFont="1" applyFill="1" applyAlignment="1">
      <alignment vertical="center" wrapText="1"/>
    </xf>
    <xf numFmtId="0" fontId="48" fillId="19" borderId="0" xfId="21" applyFont="1" applyFill="1" applyAlignment="1">
      <alignment horizontal="center" vertical="center" wrapText="1"/>
    </xf>
    <xf numFmtId="167" fontId="48" fillId="0" borderId="0" xfId="21" applyNumberFormat="1" applyFont="1" applyAlignment="1">
      <alignment vertical="center"/>
    </xf>
    <xf numFmtId="167" fontId="48" fillId="20" borderId="0" xfId="21" applyNumberFormat="1" applyFont="1" applyFill="1" applyAlignment="1">
      <alignment vertical="center"/>
    </xf>
    <xf numFmtId="9" fontId="62" fillId="0" borderId="0" xfId="22" applyFont="1" applyFill="1" applyBorder="1" applyAlignment="1">
      <alignment vertical="center"/>
    </xf>
    <xf numFmtId="9" fontId="62" fillId="20" borderId="0" xfId="22" applyFont="1" applyFill="1" applyBorder="1" applyAlignment="1">
      <alignment vertical="center"/>
    </xf>
    <xf numFmtId="9" fontId="62" fillId="0" borderId="0" xfId="21" applyNumberFormat="1" applyFont="1" applyAlignment="1">
      <alignment vertical="center"/>
    </xf>
    <xf numFmtId="0" fontId="48" fillId="22" borderId="0" xfId="21" applyFont="1" applyFill="1" applyAlignment="1">
      <alignment horizontal="center" vertical="center" wrapText="1"/>
    </xf>
    <xf numFmtId="0" fontId="48" fillId="22" borderId="0" xfId="0" applyFont="1" applyFill="1" applyAlignment="1">
      <alignment vertical="center"/>
    </xf>
    <xf numFmtId="167" fontId="48" fillId="22" borderId="0" xfId="0" applyNumberFormat="1" applyFont="1" applyFill="1" applyAlignment="1">
      <alignment vertical="center"/>
    </xf>
    <xf numFmtId="0" fontId="35" fillId="10" borderId="18" xfId="21" applyFill="1" applyBorder="1" applyAlignment="1">
      <alignment vertical="center" wrapText="1"/>
    </xf>
    <xf numFmtId="0" fontId="52" fillId="0" borderId="0" xfId="21" applyFont="1" applyAlignment="1">
      <alignment vertical="center" wrapText="1"/>
    </xf>
    <xf numFmtId="0" fontId="35" fillId="10" borderId="0" xfId="21" applyFill="1" applyAlignment="1">
      <alignment vertical="center" wrapText="1"/>
    </xf>
    <xf numFmtId="0" fontId="48" fillId="22" borderId="0" xfId="21" applyFont="1" applyFill="1" applyAlignment="1">
      <alignment horizontal="left" vertical="center" wrapText="1"/>
    </xf>
    <xf numFmtId="0" fontId="35" fillId="0" borderId="0" xfId="21" applyAlignment="1">
      <alignment vertical="center" wrapText="1"/>
    </xf>
    <xf numFmtId="0" fontId="35" fillId="13" borderId="0" xfId="21" applyFill="1" applyAlignment="1">
      <alignment vertical="center" wrapText="1"/>
    </xf>
    <xf numFmtId="0" fontId="53" fillId="10" borderId="0" xfId="21" applyFont="1" applyFill="1" applyAlignment="1">
      <alignment horizontal="center" vertical="center" wrapText="1"/>
    </xf>
    <xf numFmtId="0" fontId="53" fillId="22" borderId="0" xfId="21" applyFont="1" applyFill="1" applyAlignment="1">
      <alignment vertical="center" wrapText="1"/>
    </xf>
    <xf numFmtId="167" fontId="48" fillId="23" borderId="0" xfId="21" applyNumberFormat="1" applyFont="1" applyFill="1" applyAlignment="1">
      <alignment vertical="center"/>
    </xf>
    <xf numFmtId="9" fontId="48" fillId="0" borderId="0" xfId="21" applyNumberFormat="1" applyFont="1" applyAlignment="1">
      <alignment vertical="center"/>
    </xf>
    <xf numFmtId="9" fontId="48" fillId="23" borderId="0" xfId="21" applyNumberFormat="1" applyFont="1" applyFill="1" applyAlignment="1">
      <alignment vertical="center"/>
    </xf>
    <xf numFmtId="0" fontId="48" fillId="16" borderId="10" xfId="0" applyFont="1" applyFill="1" applyBorder="1" applyAlignment="1">
      <alignment vertical="center"/>
    </xf>
    <xf numFmtId="167" fontId="53" fillId="16" borderId="11" xfId="0" applyNumberFormat="1" applyFont="1" applyFill="1" applyBorder="1" applyAlignment="1">
      <alignment vertical="center"/>
    </xf>
    <xf numFmtId="0" fontId="53" fillId="16" borderId="16" xfId="21" applyFont="1" applyFill="1" applyBorder="1" applyAlignment="1">
      <alignment horizontal="center" vertical="center"/>
    </xf>
    <xf numFmtId="9" fontId="0" fillId="0" borderId="23" xfId="22" applyFont="1" applyFill="1" applyBorder="1" applyAlignment="1">
      <alignment vertical="center"/>
    </xf>
    <xf numFmtId="9" fontId="0" fillId="15" borderId="0" xfId="22" applyFont="1" applyFill="1" applyBorder="1" applyAlignment="1">
      <alignment vertical="center"/>
    </xf>
    <xf numFmtId="9" fontId="0" fillId="15" borderId="23" xfId="22" applyFont="1" applyFill="1" applyBorder="1" applyAlignment="1">
      <alignment vertical="center"/>
    </xf>
    <xf numFmtId="9" fontId="0" fillId="15" borderId="11" xfId="22" applyFont="1" applyFill="1" applyBorder="1" applyAlignment="1">
      <alignment vertical="center"/>
    </xf>
    <xf numFmtId="9" fontId="0" fillId="15" borderId="12" xfId="22" applyFont="1" applyFill="1" applyBorder="1" applyAlignment="1">
      <alignment vertical="center"/>
    </xf>
    <xf numFmtId="0" fontId="53" fillId="16" borderId="16" xfId="21" applyFont="1" applyFill="1" applyBorder="1" applyAlignment="1">
      <alignment horizontal="left" vertical="center" wrapText="1"/>
    </xf>
    <xf numFmtId="0" fontId="53" fillId="16" borderId="22" xfId="21" applyFont="1" applyFill="1" applyBorder="1" applyAlignment="1">
      <alignment horizontal="left" vertical="center" wrapText="1"/>
    </xf>
    <xf numFmtId="0" fontId="53" fillId="16" borderId="31" xfId="21" applyFont="1" applyFill="1" applyBorder="1" applyAlignment="1">
      <alignment horizontal="center" vertical="center" wrapText="1"/>
    </xf>
    <xf numFmtId="0" fontId="53" fillId="0" borderId="0" xfId="21" applyFont="1" applyAlignment="1">
      <alignment horizontal="center" vertical="center" wrapText="1"/>
    </xf>
    <xf numFmtId="0" fontId="53" fillId="13" borderId="0" xfId="21" applyFont="1" applyFill="1" applyAlignment="1">
      <alignment horizontal="center" vertical="center" wrapText="1"/>
    </xf>
    <xf numFmtId="3" fontId="35" fillId="10" borderId="0" xfId="21" applyNumberFormat="1" applyFill="1" applyAlignment="1">
      <alignment vertical="center" wrapText="1"/>
    </xf>
    <xf numFmtId="0" fontId="35" fillId="10" borderId="55" xfId="21" applyFill="1" applyBorder="1" applyAlignment="1">
      <alignment vertical="center" wrapText="1"/>
    </xf>
    <xf numFmtId="167" fontId="48" fillId="15" borderId="23" xfId="21" applyNumberFormat="1" applyFont="1" applyFill="1" applyBorder="1" applyAlignment="1">
      <alignment vertical="center"/>
    </xf>
    <xf numFmtId="9" fontId="50" fillId="0" borderId="23" xfId="22" applyFont="1" applyFill="1" applyBorder="1" applyAlignment="1">
      <alignment vertical="center"/>
    </xf>
    <xf numFmtId="9" fontId="50" fillId="15" borderId="23" xfId="22" applyFont="1" applyFill="1" applyBorder="1" applyAlignment="1">
      <alignment vertical="center"/>
    </xf>
    <xf numFmtId="9" fontId="50" fillId="15" borderId="12" xfId="22" applyFont="1" applyFill="1" applyBorder="1" applyAlignment="1">
      <alignment vertical="center"/>
    </xf>
    <xf numFmtId="0" fontId="48" fillId="17" borderId="10" xfId="21" applyFont="1" applyFill="1" applyBorder="1" applyAlignment="1">
      <alignment horizontal="left" vertical="center"/>
    </xf>
    <xf numFmtId="3" fontId="48" fillId="17" borderId="11" xfId="21" applyNumberFormat="1" applyFont="1" applyFill="1" applyBorder="1" applyAlignment="1">
      <alignment horizontal="right" vertical="center"/>
    </xf>
    <xf numFmtId="9" fontId="0" fillId="0" borderId="0" xfId="22" applyFont="1" applyFill="1" applyBorder="1" applyAlignment="1">
      <alignment horizontal="right" vertical="center"/>
    </xf>
    <xf numFmtId="9" fontId="0" fillId="18" borderId="0" xfId="22" applyFont="1" applyFill="1" applyBorder="1" applyAlignment="1">
      <alignment horizontal="right" vertical="center"/>
    </xf>
    <xf numFmtId="9" fontId="0" fillId="18" borderId="11" xfId="22" applyFont="1" applyFill="1" applyBorder="1" applyAlignment="1">
      <alignment horizontal="right" vertical="center"/>
    </xf>
    <xf numFmtId="3" fontId="48" fillId="0" borderId="23" xfId="21" applyNumberFormat="1" applyFont="1" applyBorder="1" applyAlignment="1">
      <alignment vertical="center"/>
    </xf>
    <xf numFmtId="3" fontId="48" fillId="18" borderId="23" xfId="21" applyNumberFormat="1" applyFont="1" applyFill="1" applyBorder="1" applyAlignment="1">
      <alignment vertical="center"/>
    </xf>
    <xf numFmtId="9" fontId="50" fillId="10" borderId="0" xfId="22" applyFont="1" applyFill="1" applyBorder="1" applyAlignment="1">
      <alignment vertical="center"/>
    </xf>
    <xf numFmtId="9" fontId="48" fillId="18" borderId="12" xfId="21" applyNumberFormat="1" applyFont="1" applyFill="1" applyBorder="1" applyAlignment="1">
      <alignment vertical="center"/>
    </xf>
    <xf numFmtId="0" fontId="48" fillId="19" borderId="0" xfId="21" applyFont="1" applyFill="1" applyAlignment="1">
      <alignment vertical="center"/>
    </xf>
    <xf numFmtId="3" fontId="48" fillId="19" borderId="0" xfId="21" applyNumberFormat="1" applyFont="1" applyFill="1" applyAlignment="1">
      <alignment vertical="center"/>
    </xf>
    <xf numFmtId="3" fontId="48" fillId="0" borderId="0" xfId="21" applyNumberFormat="1" applyFont="1" applyAlignment="1">
      <alignment vertical="center"/>
    </xf>
    <xf numFmtId="3" fontId="48" fillId="20" borderId="0" xfId="21" applyNumberFormat="1" applyFont="1" applyFill="1" applyAlignment="1">
      <alignment vertical="center"/>
    </xf>
    <xf numFmtId="9" fontId="48" fillId="20" borderId="0" xfId="21" applyNumberFormat="1" applyFont="1" applyFill="1" applyAlignment="1">
      <alignment vertical="center"/>
    </xf>
    <xf numFmtId="0" fontId="48" fillId="22" borderId="0" xfId="21" applyFont="1" applyFill="1" applyAlignment="1">
      <alignment vertical="center" wrapText="1"/>
    </xf>
    <xf numFmtId="0" fontId="48" fillId="22" borderId="0" xfId="21" applyFont="1" applyFill="1" applyAlignment="1">
      <alignment vertical="center"/>
    </xf>
    <xf numFmtId="3" fontId="48" fillId="22" borderId="0" xfId="21" applyNumberFormat="1" applyFont="1" applyFill="1" applyAlignment="1">
      <alignment vertical="center"/>
    </xf>
    <xf numFmtId="3" fontId="48" fillId="23" borderId="0" xfId="21" applyNumberFormat="1" applyFont="1" applyFill="1" applyAlignment="1">
      <alignment vertical="center"/>
    </xf>
    <xf numFmtId="166" fontId="50" fillId="10" borderId="0" xfId="22" applyNumberFormat="1" applyFont="1" applyFill="1" applyBorder="1" applyAlignment="1">
      <alignment vertical="center"/>
    </xf>
    <xf numFmtId="0" fontId="53" fillId="16" borderId="16" xfId="21" applyFont="1" applyFill="1" applyBorder="1" applyAlignment="1">
      <alignment horizontal="center" vertical="center" wrapText="1"/>
    </xf>
    <xf numFmtId="0" fontId="53" fillId="16" borderId="22" xfId="21" applyFont="1" applyFill="1" applyBorder="1" applyAlignment="1">
      <alignment horizontal="center" vertical="center" wrapText="1"/>
    </xf>
    <xf numFmtId="0" fontId="53" fillId="16" borderId="10" xfId="21" applyFont="1" applyFill="1" applyBorder="1" applyAlignment="1">
      <alignment horizontal="left" vertical="center"/>
    </xf>
    <xf numFmtId="3" fontId="77" fillId="16" borderId="11" xfId="22" applyNumberFormat="1" applyFont="1" applyFill="1" applyBorder="1" applyAlignment="1">
      <alignment vertical="center"/>
    </xf>
    <xf numFmtId="3" fontId="50" fillId="0" borderId="23" xfId="22" applyNumberFormat="1" applyFont="1" applyFill="1" applyBorder="1" applyAlignment="1">
      <alignment vertical="center"/>
    </xf>
    <xf numFmtId="3" fontId="50" fillId="15" borderId="23" xfId="22" applyNumberFormat="1" applyFont="1" applyFill="1" applyBorder="1" applyAlignment="1">
      <alignment vertical="center"/>
    </xf>
    <xf numFmtId="3" fontId="75" fillId="16" borderId="22" xfId="23" applyNumberFormat="1" applyFont="1" applyFill="1" applyBorder="1" applyAlignment="1">
      <alignment horizontal="center" vertical="center"/>
    </xf>
    <xf numFmtId="3" fontId="75" fillId="16" borderId="31" xfId="23" applyNumberFormat="1" applyFont="1" applyFill="1" applyBorder="1" applyAlignment="1">
      <alignment horizontal="center" vertical="center"/>
    </xf>
    <xf numFmtId="0" fontId="34" fillId="0" borderId="0" xfId="23" applyAlignment="1">
      <alignment vertical="center"/>
    </xf>
    <xf numFmtId="0" fontId="34" fillId="10" borderId="18" xfId="23" applyFill="1" applyBorder="1" applyAlignment="1">
      <alignment vertical="center"/>
    </xf>
    <xf numFmtId="3" fontId="74" fillId="0" borderId="0" xfId="23" applyNumberFormat="1" applyFont="1" applyAlignment="1">
      <alignment horizontal="left" vertical="center"/>
    </xf>
    <xf numFmtId="0" fontId="34" fillId="0" borderId="55" xfId="23" applyBorder="1" applyAlignment="1">
      <alignment vertical="center"/>
    </xf>
    <xf numFmtId="0" fontId="34" fillId="10" borderId="0" xfId="23" applyFill="1" applyAlignment="1">
      <alignment vertical="center"/>
    </xf>
    <xf numFmtId="3" fontId="75" fillId="16" borderId="22" xfId="23" applyNumberFormat="1" applyFont="1" applyFill="1" applyBorder="1" applyAlignment="1">
      <alignment vertical="center"/>
    </xf>
    <xf numFmtId="3" fontId="75" fillId="16" borderId="31" xfId="23" applyNumberFormat="1" applyFont="1" applyFill="1" applyBorder="1" applyAlignment="1">
      <alignment vertical="center"/>
    </xf>
    <xf numFmtId="3" fontId="58" fillId="10" borderId="3" xfId="23" applyNumberFormat="1" applyFont="1" applyFill="1" applyBorder="1" applyAlignment="1">
      <alignment vertical="center"/>
    </xf>
    <xf numFmtId="0" fontId="34" fillId="10" borderId="3" xfId="23" applyFill="1" applyBorder="1" applyAlignment="1">
      <alignment vertical="center"/>
    </xf>
    <xf numFmtId="0" fontId="34" fillId="0" borderId="4" xfId="23" applyBorder="1" applyAlignment="1">
      <alignment vertical="center"/>
    </xf>
    <xf numFmtId="0" fontId="34" fillId="10" borderId="54" xfId="23" applyFill="1" applyBorder="1" applyAlignment="1">
      <alignment vertical="center"/>
    </xf>
    <xf numFmtId="0" fontId="48" fillId="10" borderId="0" xfId="23" applyFont="1" applyFill="1" applyAlignment="1">
      <alignment horizontal="center" vertical="center"/>
    </xf>
    <xf numFmtId="3" fontId="61" fillId="0" borderId="21" xfId="23" applyNumberFormat="1" applyFont="1" applyBorder="1" applyAlignment="1">
      <alignment vertical="center"/>
    </xf>
    <xf numFmtId="167" fontId="61" fillId="0" borderId="0" xfId="23" applyNumberFormat="1" applyFont="1" applyAlignment="1">
      <alignment vertical="center"/>
    </xf>
    <xf numFmtId="167" fontId="62" fillId="0" borderId="23" xfId="23" applyNumberFormat="1" applyFont="1" applyBorder="1" applyAlignment="1">
      <alignment vertical="center"/>
    </xf>
    <xf numFmtId="3" fontId="61" fillId="0" borderId="0" xfId="23" applyNumberFormat="1" applyFont="1" applyAlignment="1">
      <alignment vertical="center"/>
    </xf>
    <xf numFmtId="3" fontId="61" fillId="15" borderId="21" xfId="23" applyNumberFormat="1" applyFont="1" applyFill="1" applyBorder="1" applyAlignment="1">
      <alignment vertical="center"/>
    </xf>
    <xf numFmtId="167" fontId="61" fillId="15" borderId="0" xfId="23" applyNumberFormat="1" applyFont="1" applyFill="1" applyAlignment="1">
      <alignment vertical="center"/>
    </xf>
    <xf numFmtId="167" fontId="62" fillId="15" borderId="23" xfId="23" applyNumberFormat="1" applyFont="1" applyFill="1" applyBorder="1" applyAlignment="1">
      <alignment vertical="center"/>
    </xf>
    <xf numFmtId="3" fontId="61" fillId="15" borderId="0" xfId="23" applyNumberFormat="1" applyFont="1" applyFill="1" applyAlignment="1">
      <alignment vertical="center"/>
    </xf>
    <xf numFmtId="0" fontId="52" fillId="10" borderId="18" xfId="23" applyFont="1" applyFill="1" applyBorder="1" applyAlignment="1">
      <alignment vertical="center"/>
    </xf>
    <xf numFmtId="3" fontId="62" fillId="16" borderId="10" xfId="0" applyNumberFormat="1" applyFont="1" applyFill="1" applyBorder="1" applyAlignment="1">
      <alignment vertical="center"/>
    </xf>
    <xf numFmtId="167" fontId="52" fillId="0" borderId="0" xfId="23" applyNumberFormat="1" applyFont="1" applyAlignment="1">
      <alignment vertical="center"/>
    </xf>
    <xf numFmtId="3" fontId="61" fillId="10" borderId="0" xfId="23" applyNumberFormat="1" applyFont="1" applyFill="1" applyAlignment="1">
      <alignment vertical="center"/>
    </xf>
    <xf numFmtId="9" fontId="61" fillId="0" borderId="0" xfId="24" applyFont="1" applyFill="1" applyBorder="1" applyAlignment="1">
      <alignment vertical="center"/>
    </xf>
    <xf numFmtId="9" fontId="52" fillId="0" borderId="0" xfId="23" applyNumberFormat="1" applyFont="1" applyAlignment="1">
      <alignment vertical="center"/>
    </xf>
    <xf numFmtId="9" fontId="53" fillId="16" borderId="11" xfId="0" applyNumberFormat="1" applyFont="1" applyFill="1" applyBorder="1" applyAlignment="1">
      <alignment vertical="center"/>
    </xf>
    <xf numFmtId="0" fontId="52" fillId="10" borderId="0" xfId="23" applyFont="1" applyFill="1" applyAlignment="1">
      <alignment horizontal="center" vertical="center"/>
    </xf>
    <xf numFmtId="0" fontId="34" fillId="0" borderId="0" xfId="23" applyAlignment="1">
      <alignment vertical="center" wrapText="1"/>
    </xf>
    <xf numFmtId="0" fontId="34" fillId="0" borderId="55" xfId="23" applyBorder="1" applyAlignment="1">
      <alignment vertical="center" wrapText="1"/>
    </xf>
    <xf numFmtId="0" fontId="34" fillId="10" borderId="55" xfId="23" applyFill="1" applyBorder="1" applyAlignment="1">
      <alignment vertical="center" wrapText="1"/>
    </xf>
    <xf numFmtId="0" fontId="34" fillId="10" borderId="0" xfId="23" applyFill="1" applyAlignment="1">
      <alignment vertical="center" wrapText="1"/>
    </xf>
    <xf numFmtId="0" fontId="34" fillId="10" borderId="55" xfId="23" applyFill="1" applyBorder="1" applyAlignment="1">
      <alignment vertical="center"/>
    </xf>
    <xf numFmtId="3" fontId="58" fillId="10" borderId="0" xfId="23" applyNumberFormat="1" applyFont="1" applyFill="1" applyAlignment="1">
      <alignment vertical="center"/>
    </xf>
    <xf numFmtId="167" fontId="34" fillId="0" borderId="0" xfId="23" applyNumberFormat="1" applyAlignment="1">
      <alignment vertical="center"/>
    </xf>
    <xf numFmtId="0" fontId="34" fillId="0" borderId="65" xfId="23" applyBorder="1" applyAlignment="1">
      <alignment vertical="center"/>
    </xf>
    <xf numFmtId="0" fontId="34" fillId="0" borderId="18" xfId="23" applyBorder="1" applyAlignment="1">
      <alignment vertical="center"/>
    </xf>
    <xf numFmtId="0" fontId="34" fillId="0" borderId="56" xfId="23" applyBorder="1" applyAlignment="1">
      <alignment vertical="center"/>
    </xf>
    <xf numFmtId="0" fontId="34" fillId="0" borderId="57" xfId="23" applyBorder="1" applyAlignment="1">
      <alignment vertical="center"/>
    </xf>
    <xf numFmtId="0" fontId="34" fillId="0" borderId="58" xfId="23" applyBorder="1" applyAlignment="1">
      <alignment vertical="center"/>
    </xf>
    <xf numFmtId="0" fontId="34" fillId="0" borderId="21" xfId="23" applyBorder="1" applyAlignment="1">
      <alignment vertical="center"/>
    </xf>
    <xf numFmtId="0" fontId="34" fillId="0" borderId="82" xfId="23" applyBorder="1" applyAlignment="1">
      <alignment vertical="center"/>
    </xf>
    <xf numFmtId="167" fontId="61" fillId="15" borderId="0" xfId="0" applyNumberFormat="1" applyFont="1" applyFill="1"/>
    <xf numFmtId="167" fontId="62" fillId="16" borderId="10" xfId="0" applyNumberFormat="1" applyFont="1" applyFill="1" applyBorder="1"/>
    <xf numFmtId="167" fontId="53" fillId="16" borderId="11" xfId="0" applyNumberFormat="1" applyFont="1" applyFill="1" applyBorder="1"/>
    <xf numFmtId="167" fontId="53" fillId="16" borderId="12" xfId="0" applyNumberFormat="1" applyFont="1" applyFill="1" applyBorder="1"/>
    <xf numFmtId="0" fontId="52" fillId="0" borderId="0" xfId="9" applyFont="1" applyAlignment="1">
      <alignment vertical="center" wrapText="1"/>
    </xf>
    <xf numFmtId="0" fontId="52" fillId="0" borderId="0" xfId="9" applyFont="1" applyAlignment="1">
      <alignment horizontal="left" vertical="center" wrapText="1"/>
    </xf>
    <xf numFmtId="0" fontId="52" fillId="30" borderId="0" xfId="9" applyFont="1" applyFill="1" applyAlignment="1">
      <alignment vertical="center" wrapText="1"/>
    </xf>
    <xf numFmtId="0" fontId="64" fillId="14" borderId="83" xfId="16" applyFont="1" applyFill="1" applyBorder="1" applyAlignment="1">
      <alignment horizontal="center" vertical="center" wrapText="1"/>
    </xf>
    <xf numFmtId="0" fontId="39" fillId="0" borderId="0" xfId="16" applyAlignment="1">
      <alignment vertical="center"/>
    </xf>
    <xf numFmtId="0" fontId="39" fillId="10" borderId="16" xfId="16" applyFill="1" applyBorder="1" applyAlignment="1">
      <alignment vertical="center"/>
    </xf>
    <xf numFmtId="0" fontId="39" fillId="10" borderId="22" xfId="16" applyFill="1" applyBorder="1" applyAlignment="1">
      <alignment vertical="center"/>
    </xf>
    <xf numFmtId="0" fontId="39" fillId="0" borderId="22" xfId="16" applyBorder="1" applyAlignment="1">
      <alignment vertical="center"/>
    </xf>
    <xf numFmtId="0" fontId="39" fillId="10" borderId="31" xfId="16" applyFill="1" applyBorder="1" applyAlignment="1">
      <alignment vertical="center"/>
    </xf>
    <xf numFmtId="0" fontId="53" fillId="24" borderId="0" xfId="16" applyFont="1" applyFill="1" applyAlignment="1">
      <alignment vertical="center"/>
    </xf>
    <xf numFmtId="167" fontId="39" fillId="0" borderId="16" xfId="16" applyNumberFormat="1" applyBorder="1" applyAlignment="1">
      <alignment vertical="center"/>
    </xf>
    <xf numFmtId="167" fontId="39" fillId="10" borderId="16" xfId="16" applyNumberFormat="1" applyFill="1" applyBorder="1" applyAlignment="1">
      <alignment vertical="center"/>
    </xf>
    <xf numFmtId="167" fontId="39" fillId="0" borderId="39" xfId="16" applyNumberFormat="1" applyBorder="1" applyAlignment="1">
      <alignment vertical="center"/>
    </xf>
    <xf numFmtId="167" fontId="39" fillId="0" borderId="19" xfId="16" applyNumberFormat="1" applyBorder="1" applyAlignment="1">
      <alignment vertical="center"/>
    </xf>
    <xf numFmtId="167" fontId="39" fillId="10" borderId="0" xfId="16" applyNumberFormat="1" applyFill="1" applyAlignment="1">
      <alignment vertical="center"/>
    </xf>
    <xf numFmtId="3" fontId="39" fillId="0" borderId="16" xfId="16" applyNumberFormat="1" applyBorder="1" applyAlignment="1">
      <alignment vertical="center"/>
    </xf>
    <xf numFmtId="3" fontId="39" fillId="0" borderId="38" xfId="16" applyNumberFormat="1" applyBorder="1" applyAlignment="1">
      <alignment vertical="center"/>
    </xf>
    <xf numFmtId="167" fontId="39" fillId="18" borderId="16" xfId="16" applyNumberFormat="1" applyFill="1" applyBorder="1" applyAlignment="1">
      <alignment vertical="center"/>
    </xf>
    <xf numFmtId="167" fontId="39" fillId="23" borderId="16" xfId="16" applyNumberFormat="1" applyFill="1" applyBorder="1" applyAlignment="1">
      <alignment vertical="center"/>
    </xf>
    <xf numFmtId="167" fontId="39" fillId="23" borderId="39" xfId="16" applyNumberFormat="1" applyFill="1" applyBorder="1" applyAlignment="1">
      <alignment vertical="center"/>
    </xf>
    <xf numFmtId="167" fontId="39" fillId="20" borderId="16" xfId="16" applyNumberFormat="1" applyFill="1" applyBorder="1" applyAlignment="1">
      <alignment vertical="center"/>
    </xf>
    <xf numFmtId="167" fontId="39" fillId="20" borderId="15" xfId="16" applyNumberFormat="1" applyFill="1" applyBorder="1" applyAlignment="1">
      <alignment vertical="center"/>
    </xf>
    <xf numFmtId="3" fontId="39" fillId="18" borderId="16" xfId="16" applyNumberFormat="1" applyFill="1" applyBorder="1" applyAlignment="1">
      <alignment vertical="center"/>
    </xf>
    <xf numFmtId="3" fontId="39" fillId="23" borderId="38" xfId="16" applyNumberFormat="1" applyFill="1" applyBorder="1" applyAlignment="1">
      <alignment vertical="center"/>
    </xf>
    <xf numFmtId="3" fontId="39" fillId="23" borderId="16" xfId="16" applyNumberFormat="1" applyFill="1" applyBorder="1" applyAlignment="1">
      <alignment vertical="center"/>
    </xf>
    <xf numFmtId="3" fontId="39" fillId="20" borderId="16" xfId="16" applyNumberFormat="1" applyFill="1" applyBorder="1" applyAlignment="1">
      <alignment vertical="center"/>
    </xf>
    <xf numFmtId="167" fontId="39" fillId="0" borderId="15" xfId="16" applyNumberFormat="1" applyBorder="1" applyAlignment="1">
      <alignment vertical="center"/>
    </xf>
    <xf numFmtId="0" fontId="48" fillId="24" borderId="1" xfId="16" applyFont="1" applyFill="1" applyBorder="1" applyAlignment="1">
      <alignment vertical="center"/>
    </xf>
    <xf numFmtId="167" fontId="48" fillId="24" borderId="2" xfId="16" applyNumberFormat="1" applyFont="1" applyFill="1" applyBorder="1" applyAlignment="1">
      <alignment vertical="center"/>
    </xf>
    <xf numFmtId="167" fontId="48" fillId="24" borderId="40" xfId="16" applyNumberFormat="1" applyFont="1" applyFill="1" applyBorder="1" applyAlignment="1">
      <alignment vertical="center"/>
    </xf>
    <xf numFmtId="167" fontId="48" fillId="24" borderId="41" xfId="16" applyNumberFormat="1" applyFont="1" applyFill="1" applyBorder="1" applyAlignment="1">
      <alignment vertical="center"/>
    </xf>
    <xf numFmtId="3" fontId="48" fillId="24" borderId="2" xfId="16" applyNumberFormat="1" applyFont="1" applyFill="1" applyBorder="1" applyAlignment="1">
      <alignment vertical="center"/>
    </xf>
    <xf numFmtId="0" fontId="48" fillId="10" borderId="45" xfId="16" applyFont="1" applyFill="1" applyBorder="1" applyAlignment="1">
      <alignment vertical="center"/>
    </xf>
    <xf numFmtId="9" fontId="0" fillId="10" borderId="17" xfId="17" applyFont="1" applyFill="1" applyBorder="1" applyAlignment="1">
      <alignment vertical="center"/>
    </xf>
    <xf numFmtId="9" fontId="0" fillId="10" borderId="17" xfId="7" applyFont="1" applyFill="1" applyBorder="1" applyAlignment="1">
      <alignment vertical="center"/>
    </xf>
    <xf numFmtId="9" fontId="0" fillId="10" borderId="43" xfId="17" applyFont="1" applyFill="1" applyBorder="1" applyAlignment="1">
      <alignment vertical="center"/>
    </xf>
    <xf numFmtId="0" fontId="48" fillId="10" borderId="42" xfId="16" applyFont="1" applyFill="1" applyBorder="1" applyAlignment="1">
      <alignment vertical="center"/>
    </xf>
    <xf numFmtId="0" fontId="39" fillId="10" borderId="17" xfId="16" applyFill="1" applyBorder="1" applyAlignment="1">
      <alignment vertical="center"/>
    </xf>
    <xf numFmtId="0" fontId="48" fillId="10" borderId="46" xfId="16" applyFont="1" applyFill="1" applyBorder="1" applyAlignment="1">
      <alignment vertical="center"/>
    </xf>
    <xf numFmtId="9" fontId="0" fillId="10" borderId="44" xfId="17" applyFont="1" applyFill="1" applyBorder="1" applyAlignment="1">
      <alignment vertical="center"/>
    </xf>
    <xf numFmtId="0" fontId="39" fillId="10" borderId="48" xfId="16" applyFill="1" applyBorder="1" applyAlignment="1">
      <alignment vertical="center"/>
    </xf>
    <xf numFmtId="9" fontId="0" fillId="10" borderId="48" xfId="17" applyFont="1" applyFill="1" applyBorder="1" applyAlignment="1">
      <alignment vertical="center"/>
    </xf>
    <xf numFmtId="9" fontId="0" fillId="10" borderId="47" xfId="17" applyFont="1" applyFill="1" applyBorder="1" applyAlignment="1">
      <alignment vertical="center"/>
    </xf>
    <xf numFmtId="9" fontId="50" fillId="10" borderId="47" xfId="17" applyFont="1" applyFill="1" applyBorder="1" applyAlignment="1">
      <alignment vertical="center"/>
    </xf>
    <xf numFmtId="0" fontId="39" fillId="10" borderId="0" xfId="16" applyFill="1" applyAlignment="1" applyProtection="1">
      <alignment vertical="center"/>
      <protection locked="0"/>
    </xf>
    <xf numFmtId="0" fontId="39" fillId="13" borderId="0" xfId="16" applyFill="1" applyAlignment="1" applyProtection="1">
      <alignment vertical="center"/>
      <protection locked="0"/>
    </xf>
    <xf numFmtId="0" fontId="39" fillId="0" borderId="0" xfId="16" applyAlignment="1" applyProtection="1">
      <alignment vertical="center"/>
      <protection locked="0"/>
    </xf>
    <xf numFmtId="10" fontId="53" fillId="10" borderId="0" xfId="16" applyNumberFormat="1" applyFont="1" applyFill="1" applyAlignment="1" applyProtection="1">
      <alignment vertical="center"/>
      <protection locked="0"/>
    </xf>
    <xf numFmtId="0" fontId="53" fillId="10" borderId="0" xfId="16" applyFont="1" applyFill="1" applyAlignment="1" applyProtection="1">
      <alignment vertical="center"/>
      <protection locked="0"/>
    </xf>
    <xf numFmtId="0" fontId="39" fillId="10" borderId="0" xfId="16" applyFill="1" applyAlignment="1" applyProtection="1">
      <alignment horizontal="left" vertical="center"/>
      <protection locked="0"/>
    </xf>
    <xf numFmtId="0" fontId="48" fillId="0" borderId="0" xfId="16" applyFont="1" applyAlignment="1">
      <alignment horizontal="center" vertical="center"/>
    </xf>
    <xf numFmtId="10" fontId="39" fillId="10" borderId="0" xfId="16" applyNumberFormat="1" applyFill="1" applyAlignment="1" applyProtection="1">
      <alignment vertical="center"/>
      <protection locked="0"/>
    </xf>
    <xf numFmtId="0" fontId="39" fillId="10" borderId="0" xfId="16" applyFill="1" applyAlignment="1">
      <alignment horizontal="left" vertical="center"/>
    </xf>
    <xf numFmtId="0" fontId="39" fillId="10" borderId="10" xfId="16" applyFill="1" applyBorder="1" applyAlignment="1">
      <alignment vertical="center"/>
    </xf>
    <xf numFmtId="0" fontId="39" fillId="10" borderId="11" xfId="16" applyFill="1" applyBorder="1" applyAlignment="1">
      <alignment vertical="center"/>
    </xf>
    <xf numFmtId="0" fontId="39" fillId="0" borderId="11" xfId="16" applyBorder="1" applyAlignment="1">
      <alignment vertical="center"/>
    </xf>
    <xf numFmtId="0" fontId="39" fillId="10" borderId="11" xfId="16" applyFill="1" applyBorder="1" applyAlignment="1" applyProtection="1">
      <alignment vertical="center"/>
      <protection locked="0"/>
    </xf>
    <xf numFmtId="0" fontId="39" fillId="13" borderId="11" xfId="16" applyFill="1" applyBorder="1" applyAlignment="1" applyProtection="1">
      <alignment vertical="center"/>
      <protection locked="0"/>
    </xf>
    <xf numFmtId="0" fontId="39" fillId="0" borderId="11" xfId="16" applyBorder="1" applyAlignment="1" applyProtection="1">
      <alignment vertical="center"/>
      <protection locked="0"/>
    </xf>
    <xf numFmtId="0" fontId="39" fillId="10" borderId="12" xfId="16" applyFill="1" applyBorder="1" applyAlignment="1">
      <alignment vertical="center"/>
    </xf>
    <xf numFmtId="3" fontId="0" fillId="0" borderId="0" xfId="17" applyNumberFormat="1" applyFont="1" applyBorder="1" applyAlignment="1">
      <alignment vertical="center"/>
    </xf>
    <xf numFmtId="167" fontId="34" fillId="0" borderId="84" xfId="23" applyNumberFormat="1" applyBorder="1"/>
    <xf numFmtId="9" fontId="0" fillId="0" borderId="84" xfId="24" applyFont="1" applyBorder="1"/>
    <xf numFmtId="0" fontId="53" fillId="17" borderId="16" xfId="21" applyFont="1" applyFill="1" applyBorder="1" applyAlignment="1">
      <alignment vertical="center"/>
    </xf>
    <xf numFmtId="0" fontId="53" fillId="17" borderId="22" xfId="21" applyFont="1" applyFill="1" applyBorder="1" applyAlignment="1">
      <alignment horizontal="center" vertical="center" wrapText="1"/>
    </xf>
    <xf numFmtId="0" fontId="53" fillId="17" borderId="31" xfId="21" applyFont="1" applyFill="1" applyBorder="1" applyAlignment="1">
      <alignment horizontal="center" vertical="center" wrapText="1"/>
    </xf>
    <xf numFmtId="0" fontId="53" fillId="17" borderId="16" xfId="21" applyFont="1" applyFill="1" applyBorder="1" applyAlignment="1">
      <alignment horizontal="left" vertical="center" wrapText="1"/>
    </xf>
    <xf numFmtId="0" fontId="79" fillId="0" borderId="0" xfId="0" applyFont="1"/>
    <xf numFmtId="0" fontId="80" fillId="10" borderId="0" xfId="10" applyFont="1" applyFill="1"/>
    <xf numFmtId="0" fontId="52" fillId="0" borderId="0" xfId="0" applyFont="1"/>
    <xf numFmtId="9" fontId="81" fillId="10" borderId="0" xfId="13" applyFont="1" applyFill="1" applyBorder="1"/>
    <xf numFmtId="9" fontId="81" fillId="10" borderId="0" xfId="13" applyFont="1" applyFill="1" applyBorder="1" applyAlignment="1">
      <alignment wrapText="1"/>
    </xf>
    <xf numFmtId="9" fontId="48" fillId="0" borderId="25" xfId="7" applyFont="1" applyFill="1" applyBorder="1"/>
    <xf numFmtId="9" fontId="48" fillId="15" borderId="24" xfId="7" applyFont="1" applyFill="1" applyBorder="1"/>
    <xf numFmtId="0" fontId="53" fillId="17" borderId="85" xfId="12" applyFont="1" applyFill="1" applyBorder="1" applyAlignment="1">
      <alignment wrapText="1"/>
    </xf>
    <xf numFmtId="0" fontId="53" fillId="17" borderId="86" xfId="12" applyFont="1" applyFill="1" applyBorder="1" applyAlignment="1">
      <alignment horizontal="center"/>
    </xf>
    <xf numFmtId="0" fontId="41" fillId="0" borderId="85" xfId="12" applyBorder="1" applyAlignment="1">
      <alignment wrapText="1"/>
    </xf>
    <xf numFmtId="167" fontId="48" fillId="0" borderId="86" xfId="12" applyNumberFormat="1" applyFont="1" applyBorder="1" applyAlignment="1">
      <alignment wrapText="1"/>
    </xf>
    <xf numFmtId="0" fontId="41" fillId="18" borderId="85" xfId="12" applyFill="1" applyBorder="1" applyAlignment="1">
      <alignment wrapText="1"/>
    </xf>
    <xf numFmtId="167" fontId="48" fillId="18" borderId="86" xfId="12" applyNumberFormat="1" applyFont="1" applyFill="1" applyBorder="1" applyAlignment="1">
      <alignment wrapText="1"/>
    </xf>
    <xf numFmtId="0" fontId="61" fillId="10" borderId="21" xfId="12" applyFont="1" applyFill="1" applyBorder="1" applyAlignment="1">
      <alignment horizontal="left" wrapText="1"/>
    </xf>
    <xf numFmtId="9" fontId="61" fillId="10" borderId="23" xfId="13" applyFont="1" applyFill="1" applyBorder="1"/>
    <xf numFmtId="0" fontId="61" fillId="10" borderId="10" xfId="12" applyFont="1" applyFill="1" applyBorder="1" applyAlignment="1">
      <alignment horizontal="left" wrapText="1"/>
    </xf>
    <xf numFmtId="3" fontId="52" fillId="10" borderId="12" xfId="12" applyNumberFormat="1" applyFont="1" applyFill="1" applyBorder="1"/>
    <xf numFmtId="3" fontId="53" fillId="17" borderId="85" xfId="12" applyNumberFormat="1" applyFont="1" applyFill="1" applyBorder="1" applyAlignment="1">
      <alignment wrapText="1"/>
    </xf>
    <xf numFmtId="3" fontId="61" fillId="0" borderId="85" xfId="12" applyNumberFormat="1" applyFont="1" applyBorder="1" applyAlignment="1">
      <alignment wrapText="1"/>
    </xf>
    <xf numFmtId="3" fontId="61" fillId="18" borderId="85" xfId="12" applyNumberFormat="1" applyFont="1" applyFill="1" applyBorder="1" applyAlignment="1">
      <alignment wrapText="1"/>
    </xf>
    <xf numFmtId="3" fontId="61" fillId="18" borderId="87" xfId="12" applyNumberFormat="1" applyFont="1" applyFill="1" applyBorder="1" applyAlignment="1">
      <alignment wrapText="1"/>
    </xf>
    <xf numFmtId="9" fontId="61" fillId="18" borderId="88" xfId="12" applyNumberFormat="1" applyFont="1" applyFill="1" applyBorder="1"/>
    <xf numFmtId="9" fontId="62" fillId="18" borderId="89" xfId="12" applyNumberFormat="1" applyFont="1" applyFill="1" applyBorder="1"/>
    <xf numFmtId="167" fontId="62" fillId="0" borderId="86" xfId="6" applyNumberFormat="1" applyFont="1" applyBorder="1" applyAlignment="1">
      <alignment horizontal="right" wrapText="1"/>
    </xf>
    <xf numFmtId="1" fontId="61" fillId="18" borderId="85" xfId="12" applyNumberFormat="1" applyFont="1" applyFill="1" applyBorder="1" applyAlignment="1">
      <alignment horizontal="left" wrapText="1"/>
    </xf>
    <xf numFmtId="167" fontId="62" fillId="18" borderId="86" xfId="6" applyNumberFormat="1" applyFont="1" applyFill="1" applyBorder="1" applyAlignment="1">
      <alignment horizontal="right" wrapText="1"/>
    </xf>
    <xf numFmtId="3" fontId="53" fillId="17" borderId="87" xfId="12" applyNumberFormat="1" applyFont="1" applyFill="1" applyBorder="1" applyAlignment="1">
      <alignment wrapText="1"/>
    </xf>
    <xf numFmtId="167" fontId="53" fillId="17" borderId="88" xfId="12" applyNumberFormat="1" applyFont="1" applyFill="1" applyBorder="1"/>
    <xf numFmtId="167" fontId="62" fillId="17" borderId="90" xfId="12" applyNumberFormat="1" applyFont="1" applyFill="1" applyBorder="1"/>
    <xf numFmtId="9" fontId="61" fillId="0" borderId="91" xfId="13" applyFont="1" applyFill="1" applyBorder="1"/>
    <xf numFmtId="9" fontId="62" fillId="0" borderId="86" xfId="13" applyFont="1" applyFill="1" applyBorder="1"/>
    <xf numFmtId="9" fontId="62" fillId="18" borderId="86" xfId="13" applyFont="1" applyFill="1" applyBorder="1"/>
    <xf numFmtId="9" fontId="61" fillId="0" borderId="88" xfId="13" applyFont="1" applyFill="1" applyBorder="1"/>
    <xf numFmtId="9" fontId="61" fillId="0" borderId="88" xfId="7" applyFont="1" applyFill="1" applyBorder="1"/>
    <xf numFmtId="9" fontId="62" fillId="0" borderId="90" xfId="13" applyFont="1" applyFill="1" applyBorder="1"/>
    <xf numFmtId="3" fontId="53" fillId="19" borderId="85" xfId="12" applyNumberFormat="1" applyFont="1" applyFill="1" applyBorder="1" applyAlignment="1">
      <alignment wrapText="1"/>
    </xf>
    <xf numFmtId="0" fontId="53" fillId="19" borderId="86" xfId="12" applyFont="1" applyFill="1" applyBorder="1" applyAlignment="1">
      <alignment horizontal="center"/>
    </xf>
    <xf numFmtId="167" fontId="62" fillId="0" borderId="86" xfId="12" applyNumberFormat="1" applyFont="1" applyBorder="1"/>
    <xf numFmtId="167" fontId="62" fillId="20" borderId="86" xfId="12" applyNumberFormat="1" applyFont="1" applyFill="1" applyBorder="1"/>
    <xf numFmtId="3" fontId="53" fillId="19" borderId="87" xfId="12" applyNumberFormat="1" applyFont="1" applyFill="1" applyBorder="1" applyAlignment="1">
      <alignment wrapText="1"/>
    </xf>
    <xf numFmtId="167" fontId="53" fillId="19" borderId="88" xfId="12" applyNumberFormat="1" applyFont="1" applyFill="1" applyBorder="1"/>
    <xf numFmtId="167" fontId="62" fillId="19" borderId="90" xfId="12" applyNumberFormat="1" applyFont="1" applyFill="1" applyBorder="1"/>
    <xf numFmtId="9" fontId="62" fillId="20" borderId="86" xfId="13" applyFont="1" applyFill="1" applyBorder="1"/>
    <xf numFmtId="9" fontId="53" fillId="22" borderId="24" xfId="12" applyNumberFormat="1" applyFont="1" applyFill="1" applyBorder="1" applyAlignment="1">
      <alignment horizontal="left"/>
    </xf>
    <xf numFmtId="0" fontId="82" fillId="14" borderId="24" xfId="14" applyFont="1" applyFill="1" applyBorder="1" applyAlignment="1">
      <alignment horizontal="center" vertical="center" wrapText="1"/>
    </xf>
    <xf numFmtId="167" fontId="48" fillId="15" borderId="24" xfId="14" applyNumberFormat="1" applyFont="1" applyFill="1" applyBorder="1"/>
    <xf numFmtId="9" fontId="48" fillId="0" borderId="25" xfId="7" applyFont="1" applyBorder="1"/>
    <xf numFmtId="166" fontId="40" fillId="10" borderId="0" xfId="14" applyNumberFormat="1" applyFill="1"/>
    <xf numFmtId="9" fontId="50" fillId="20" borderId="24" xfId="15" applyFont="1" applyFill="1" applyBorder="1"/>
    <xf numFmtId="9" fontId="49" fillId="20" borderId="24" xfId="15" applyFont="1" applyFill="1" applyBorder="1"/>
    <xf numFmtId="0" fontId="54" fillId="12" borderId="0" xfId="16" applyFont="1" applyFill="1" applyAlignment="1">
      <alignment horizontal="center" vertical="center"/>
    </xf>
    <xf numFmtId="9" fontId="49" fillId="10" borderId="47" xfId="17" applyFont="1" applyFill="1" applyBorder="1" applyAlignment="1">
      <alignment vertical="center"/>
    </xf>
    <xf numFmtId="0" fontId="67" fillId="22" borderId="0" xfId="16" applyFont="1" applyFill="1" applyAlignment="1">
      <alignment vertical="center"/>
    </xf>
    <xf numFmtId="3" fontId="48" fillId="24" borderId="38" xfId="16" applyNumberFormat="1" applyFont="1" applyFill="1" applyBorder="1" applyAlignment="1">
      <alignment vertical="center"/>
    </xf>
    <xf numFmtId="3" fontId="48" fillId="24" borderId="16" xfId="16" applyNumberFormat="1" applyFont="1" applyFill="1" applyBorder="1" applyAlignment="1">
      <alignment vertical="center"/>
    </xf>
    <xf numFmtId="0" fontId="34" fillId="0" borderId="0" xfId="23"/>
    <xf numFmtId="0" fontId="63" fillId="0" borderId="0" xfId="23" applyFont="1" applyAlignment="1">
      <alignment horizontal="left" vertical="center"/>
    </xf>
    <xf numFmtId="167" fontId="63" fillId="0" borderId="95" xfId="23" applyNumberFormat="1" applyFont="1" applyBorder="1" applyAlignment="1">
      <alignment horizontal="center" vertical="center"/>
    </xf>
    <xf numFmtId="167" fontId="63" fillId="0" borderId="96" xfId="23" applyNumberFormat="1" applyFont="1" applyBorder="1" applyAlignment="1">
      <alignment horizontal="center" vertical="center"/>
    </xf>
    <xf numFmtId="0" fontId="37" fillId="0" borderId="0" xfId="19" applyAlignment="1">
      <alignment horizontal="right" vertical="center" wrapText="1"/>
    </xf>
    <xf numFmtId="0" fontId="37" fillId="29" borderId="0" xfId="19" applyFill="1" applyAlignment="1">
      <alignment horizontal="right" vertical="center" wrapText="1"/>
    </xf>
    <xf numFmtId="0" fontId="37" fillId="0" borderId="0" xfId="19" quotePrefix="1" applyAlignment="1">
      <alignment horizontal="right" vertical="center"/>
    </xf>
    <xf numFmtId="0" fontId="50" fillId="0" borderId="0" xfId="0" pivotButton="1" applyFont="1"/>
    <xf numFmtId="3" fontId="75" fillId="16" borderId="0" xfId="23" applyNumberFormat="1" applyFont="1" applyFill="1" applyAlignment="1">
      <alignment horizontal="left" vertical="center" wrapText="1"/>
    </xf>
    <xf numFmtId="0" fontId="34" fillId="0" borderId="100" xfId="23" applyBorder="1" applyAlignment="1">
      <alignment horizontal="right" vertical="center" wrapText="1"/>
    </xf>
    <xf numFmtId="9" fontId="61" fillId="0" borderId="0" xfId="7" applyFont="1" applyFill="1" applyBorder="1" applyAlignment="1">
      <alignment vertical="center"/>
    </xf>
    <xf numFmtId="9" fontId="61" fillId="15" borderId="0" xfId="7" applyFont="1" applyFill="1" applyBorder="1" applyAlignment="1">
      <alignment vertical="center"/>
    </xf>
    <xf numFmtId="3" fontId="61" fillId="0" borderId="101" xfId="23" applyNumberFormat="1" applyFont="1" applyBorder="1" applyAlignment="1">
      <alignment vertical="center"/>
    </xf>
    <xf numFmtId="3" fontId="61" fillId="0" borderId="102" xfId="23" applyNumberFormat="1" applyFont="1" applyBorder="1" applyAlignment="1">
      <alignment vertical="center"/>
    </xf>
    <xf numFmtId="3" fontId="62" fillId="0" borderId="103" xfId="23" applyNumberFormat="1" applyFont="1" applyBorder="1" applyAlignment="1">
      <alignment vertical="center"/>
    </xf>
    <xf numFmtId="3" fontId="61" fillId="15" borderId="104" xfId="23" applyNumberFormat="1" applyFont="1" applyFill="1" applyBorder="1" applyAlignment="1">
      <alignment vertical="center"/>
    </xf>
    <xf numFmtId="3" fontId="62" fillId="15" borderId="105" xfId="23" applyNumberFormat="1" applyFont="1" applyFill="1" applyBorder="1" applyAlignment="1">
      <alignment vertical="center"/>
    </xf>
    <xf numFmtId="3" fontId="61" fillId="0" borderId="104" xfId="23" applyNumberFormat="1" applyFont="1" applyBorder="1" applyAlignment="1">
      <alignment vertical="center"/>
    </xf>
    <xf numFmtId="3" fontId="62" fillId="0" borderId="105" xfId="23" applyNumberFormat="1" applyFont="1" applyBorder="1" applyAlignment="1">
      <alignment vertical="center"/>
    </xf>
    <xf numFmtId="0" fontId="34" fillId="0" borderId="104" xfId="23" applyBorder="1" applyAlignment="1">
      <alignment vertical="center"/>
    </xf>
    <xf numFmtId="0" fontId="34" fillId="0" borderId="105" xfId="23" applyBorder="1" applyAlignment="1">
      <alignment vertical="center"/>
    </xf>
    <xf numFmtId="3" fontId="62" fillId="16" borderId="106" xfId="0" applyNumberFormat="1" applyFont="1" applyFill="1" applyBorder="1" applyAlignment="1">
      <alignment vertical="center"/>
    </xf>
    <xf numFmtId="3" fontId="53" fillId="16" borderId="107" xfId="0" applyNumberFormat="1" applyFont="1" applyFill="1" applyBorder="1" applyAlignment="1">
      <alignment vertical="center"/>
    </xf>
    <xf numFmtId="3" fontId="53" fillId="16" borderId="108" xfId="0" applyNumberFormat="1" applyFont="1" applyFill="1" applyBorder="1" applyAlignment="1">
      <alignment vertical="center"/>
    </xf>
    <xf numFmtId="9" fontId="61" fillId="0" borderId="102" xfId="24" applyFont="1" applyFill="1" applyBorder="1" applyAlignment="1">
      <alignment vertical="center"/>
    </xf>
    <xf numFmtId="9" fontId="61" fillId="0" borderId="103" xfId="24" applyFont="1" applyFill="1" applyBorder="1" applyAlignment="1">
      <alignment vertical="center"/>
    </xf>
    <xf numFmtId="9" fontId="62" fillId="15" borderId="105" xfId="7" applyFont="1" applyFill="1" applyBorder="1" applyAlignment="1">
      <alignment vertical="center"/>
    </xf>
    <xf numFmtId="9" fontId="61" fillId="0" borderId="105" xfId="24" applyFont="1" applyFill="1" applyBorder="1" applyAlignment="1">
      <alignment vertical="center"/>
    </xf>
    <xf numFmtId="3" fontId="62" fillId="16" borderId="106" xfId="23" applyNumberFormat="1" applyFont="1" applyFill="1" applyBorder="1" applyAlignment="1">
      <alignment vertical="center"/>
    </xf>
    <xf numFmtId="9" fontId="53" fillId="16" borderId="107" xfId="23" applyNumberFormat="1" applyFont="1" applyFill="1" applyBorder="1" applyAlignment="1">
      <alignment horizontal="right" vertical="center"/>
    </xf>
    <xf numFmtId="9" fontId="53" fillId="16" borderId="108" xfId="23" applyNumberFormat="1" applyFont="1" applyFill="1" applyBorder="1" applyAlignment="1">
      <alignment horizontal="right" vertical="center"/>
    </xf>
    <xf numFmtId="3" fontId="53" fillId="16" borderId="101" xfId="23" applyNumberFormat="1" applyFont="1" applyFill="1" applyBorder="1" applyAlignment="1">
      <alignment vertical="center"/>
    </xf>
    <xf numFmtId="3" fontId="75" fillId="16" borderId="102" xfId="23" applyNumberFormat="1" applyFont="1" applyFill="1" applyBorder="1" applyAlignment="1">
      <alignment horizontal="left" vertical="center" wrapText="1"/>
    </xf>
    <xf numFmtId="1" fontId="75" fillId="16" borderId="102" xfId="23" applyNumberFormat="1" applyFont="1" applyFill="1" applyBorder="1" applyAlignment="1">
      <alignment horizontal="center" vertical="center" wrapText="1"/>
    </xf>
    <xf numFmtId="3" fontId="75" fillId="16" borderId="103" xfId="23" applyNumberFormat="1" applyFont="1" applyFill="1" applyBorder="1" applyAlignment="1">
      <alignment horizontal="center" vertical="center" wrapText="1"/>
    </xf>
    <xf numFmtId="9" fontId="62" fillId="0" borderId="105" xfId="24" applyFont="1" applyFill="1" applyBorder="1" applyAlignment="1">
      <alignment vertical="center"/>
    </xf>
    <xf numFmtId="9" fontId="61" fillId="15" borderId="105" xfId="7" applyFont="1" applyFill="1" applyBorder="1" applyAlignment="1">
      <alignment vertical="center"/>
    </xf>
    <xf numFmtId="9" fontId="53" fillId="16" borderId="107" xfId="23" applyNumberFormat="1" applyFont="1" applyFill="1" applyBorder="1" applyAlignment="1">
      <alignment vertical="center"/>
    </xf>
    <xf numFmtId="9" fontId="53" fillId="16" borderId="108" xfId="23" applyNumberFormat="1" applyFont="1" applyFill="1" applyBorder="1" applyAlignment="1">
      <alignment vertical="center"/>
    </xf>
    <xf numFmtId="167" fontId="62" fillId="0" borderId="105" xfId="23" applyNumberFormat="1" applyFont="1" applyBorder="1" applyAlignment="1">
      <alignment vertical="center"/>
    </xf>
    <xf numFmtId="167" fontId="62" fillId="15" borderId="105" xfId="23" applyNumberFormat="1" applyFont="1" applyFill="1" applyBorder="1" applyAlignment="1">
      <alignment vertical="center"/>
    </xf>
    <xf numFmtId="167" fontId="53" fillId="16" borderId="107" xfId="23" applyNumberFormat="1" applyFont="1" applyFill="1" applyBorder="1" applyAlignment="1">
      <alignment vertical="center"/>
    </xf>
    <xf numFmtId="167" fontId="53" fillId="16" borderId="108" xfId="23" applyNumberFormat="1" applyFont="1" applyFill="1" applyBorder="1" applyAlignment="1">
      <alignment vertical="center"/>
    </xf>
    <xf numFmtId="3" fontId="61" fillId="15" borderId="105" xfId="23" applyNumberFormat="1" applyFont="1" applyFill="1" applyBorder="1" applyAlignment="1">
      <alignment vertical="center"/>
    </xf>
    <xf numFmtId="3" fontId="53" fillId="16" borderId="101" xfId="23" applyNumberFormat="1" applyFont="1" applyFill="1" applyBorder="1" applyAlignment="1">
      <alignment vertical="center" wrapText="1"/>
    </xf>
    <xf numFmtId="3" fontId="53" fillId="16" borderId="107" xfId="23" applyNumberFormat="1" applyFont="1" applyFill="1" applyBorder="1" applyAlignment="1">
      <alignment vertical="center"/>
    </xf>
    <xf numFmtId="3" fontId="53" fillId="16" borderId="108" xfId="23" applyNumberFormat="1" applyFont="1" applyFill="1" applyBorder="1" applyAlignment="1">
      <alignment vertical="center"/>
    </xf>
    <xf numFmtId="167" fontId="53" fillId="16" borderId="23" xfId="23" applyNumberFormat="1" applyFont="1" applyFill="1" applyBorder="1"/>
    <xf numFmtId="167" fontId="61" fillId="0" borderId="16" xfId="23" applyNumberFormat="1" applyFont="1" applyBorder="1"/>
    <xf numFmtId="167" fontId="61" fillId="8" borderId="22" xfId="23" applyNumberFormat="1" applyFont="1" applyFill="1" applyBorder="1"/>
    <xf numFmtId="167" fontId="61" fillId="0" borderId="22" xfId="23" applyNumberFormat="1" applyFont="1" applyBorder="1"/>
    <xf numFmtId="167" fontId="61" fillId="0" borderId="31" xfId="23" applyNumberFormat="1" applyFont="1" applyBorder="1"/>
    <xf numFmtId="167" fontId="61" fillId="0" borderId="12" xfId="23" applyNumberFormat="1" applyFont="1" applyBorder="1"/>
    <xf numFmtId="167" fontId="61" fillId="0" borderId="10" xfId="23" applyNumberFormat="1" applyFont="1" applyBorder="1"/>
    <xf numFmtId="167" fontId="61" fillId="0" borderId="11" xfId="23" applyNumberFormat="1" applyFont="1" applyBorder="1"/>
    <xf numFmtId="3" fontId="58" fillId="10" borderId="0" xfId="23" applyNumberFormat="1" applyFont="1" applyFill="1"/>
    <xf numFmtId="167" fontId="48" fillId="15" borderId="24" xfId="12" applyNumberFormat="1" applyFont="1" applyFill="1" applyBorder="1"/>
    <xf numFmtId="0" fontId="19" fillId="35" borderId="0" xfId="53" applyFill="1"/>
    <xf numFmtId="0" fontId="85" fillId="35" borderId="0" xfId="53" applyFont="1" applyFill="1"/>
    <xf numFmtId="167" fontId="48" fillId="4" borderId="112" xfId="23" applyNumberFormat="1" applyFont="1" applyFill="1" applyBorder="1" applyAlignment="1">
      <alignment horizontal="center" vertical="center" wrapText="1"/>
    </xf>
    <xf numFmtId="167" fontId="53" fillId="11" borderId="65" xfId="23" applyNumberFormat="1" applyFont="1" applyFill="1" applyBorder="1" applyAlignment="1">
      <alignment horizontal="left" vertical="center"/>
    </xf>
    <xf numFmtId="167" fontId="34" fillId="10" borderId="65" xfId="23" applyNumberFormat="1" applyFill="1" applyBorder="1" applyAlignment="1">
      <alignment horizontal="left"/>
    </xf>
    <xf numFmtId="167" fontId="53" fillId="11" borderId="74" xfId="23" applyNumberFormat="1" applyFont="1" applyFill="1" applyBorder="1" applyAlignment="1">
      <alignment horizontal="left"/>
    </xf>
    <xf numFmtId="0" fontId="19" fillId="10" borderId="0" xfId="12" applyFont="1" applyFill="1"/>
    <xf numFmtId="167" fontId="19" fillId="0" borderId="24" xfId="6" applyNumberFormat="1" applyFont="1" applyBorder="1" applyAlignment="1">
      <alignment horizontal="right"/>
    </xf>
    <xf numFmtId="167" fontId="19" fillId="15" borderId="24" xfId="6" applyNumberFormat="1" applyFont="1" applyFill="1" applyBorder="1" applyAlignment="1">
      <alignment horizontal="right"/>
    </xf>
    <xf numFmtId="0" fontId="19" fillId="15" borderId="24" xfId="12" applyFont="1" applyFill="1" applyBorder="1"/>
    <xf numFmtId="0" fontId="19" fillId="0" borderId="24" xfId="10" applyFont="1" applyBorder="1" applyAlignment="1">
      <alignment horizontal="left" vertical="center" wrapText="1"/>
    </xf>
    <xf numFmtId="164" fontId="19" fillId="0" borderId="24" xfId="49" applyFont="1" applyBorder="1" applyAlignment="1">
      <alignment horizontal="right"/>
    </xf>
    <xf numFmtId="0" fontId="19" fillId="15" borderId="24" xfId="10" applyFont="1" applyFill="1" applyBorder="1" applyAlignment="1">
      <alignment horizontal="left" vertical="center" wrapText="1"/>
    </xf>
    <xf numFmtId="169" fontId="19" fillId="0" borderId="0" xfId="6" applyNumberFormat="1" applyFont="1" applyBorder="1" applyAlignment="1">
      <alignment horizontal="right"/>
    </xf>
    <xf numFmtId="0" fontId="19" fillId="0" borderId="24" xfId="12" applyFont="1" applyBorder="1" applyAlignment="1">
      <alignment wrapText="1"/>
    </xf>
    <xf numFmtId="0" fontId="19" fillId="15" borderId="27" xfId="12" applyFont="1" applyFill="1" applyBorder="1" applyAlignment="1">
      <alignment wrapText="1"/>
    </xf>
    <xf numFmtId="0" fontId="19" fillId="0" borderId="27" xfId="12" applyFont="1" applyBorder="1" applyAlignment="1">
      <alignment wrapText="1"/>
    </xf>
    <xf numFmtId="167" fontId="19" fillId="0" borderId="24" xfId="6" applyNumberFormat="1" applyFont="1" applyBorder="1" applyAlignment="1">
      <alignment wrapText="1"/>
    </xf>
    <xf numFmtId="167" fontId="19" fillId="18" borderId="24" xfId="6" applyNumberFormat="1" applyFont="1" applyFill="1" applyBorder="1" applyAlignment="1">
      <alignment wrapText="1"/>
    </xf>
    <xf numFmtId="0" fontId="19" fillId="0" borderId="24" xfId="14" applyFont="1" applyBorder="1"/>
    <xf numFmtId="167" fontId="19" fillId="0" borderId="24" xfId="14" applyNumberFormat="1" applyFont="1" applyBorder="1"/>
    <xf numFmtId="3" fontId="19" fillId="0" borderId="24" xfId="14" applyNumberFormat="1" applyFont="1" applyBorder="1"/>
    <xf numFmtId="3" fontId="19" fillId="0" borderId="25" xfId="14" applyNumberFormat="1" applyFont="1" applyBorder="1"/>
    <xf numFmtId="0" fontId="19" fillId="15" borderId="24" xfId="14" applyFont="1" applyFill="1" applyBorder="1"/>
    <xf numFmtId="167" fontId="19" fillId="15" borderId="24" xfId="14" applyNumberFormat="1" applyFont="1" applyFill="1" applyBorder="1"/>
    <xf numFmtId="3" fontId="19" fillId="15" borderId="24" xfId="14" applyNumberFormat="1" applyFont="1" applyFill="1" applyBorder="1"/>
    <xf numFmtId="3" fontId="19" fillId="15" borderId="25" xfId="14" applyNumberFormat="1" applyFont="1" applyFill="1" applyBorder="1"/>
    <xf numFmtId="9" fontId="19" fillId="0" borderId="24" xfId="14" applyNumberFormat="1" applyFont="1" applyBorder="1"/>
    <xf numFmtId="9" fontId="19" fillId="0" borderId="25" xfId="14" applyNumberFormat="1" applyFont="1" applyBorder="1"/>
    <xf numFmtId="9" fontId="19" fillId="15" borderId="24" xfId="14" applyNumberFormat="1" applyFont="1" applyFill="1" applyBorder="1"/>
    <xf numFmtId="9" fontId="19" fillId="15" borderId="25" xfId="14" applyNumberFormat="1" applyFont="1" applyFill="1" applyBorder="1"/>
    <xf numFmtId="0" fontId="19" fillId="15" borderId="27" xfId="14" applyFont="1" applyFill="1" applyBorder="1"/>
    <xf numFmtId="9" fontId="19" fillId="15" borderId="27" xfId="14" applyNumberFormat="1" applyFont="1" applyFill="1" applyBorder="1"/>
    <xf numFmtId="9" fontId="19" fillId="15" borderId="28" xfId="14" applyNumberFormat="1" applyFont="1" applyFill="1" applyBorder="1"/>
    <xf numFmtId="9" fontId="19" fillId="0" borderId="24" xfId="7" applyFont="1" applyBorder="1"/>
    <xf numFmtId="9" fontId="19" fillId="0" borderId="25" xfId="7" applyFont="1" applyBorder="1"/>
    <xf numFmtId="9" fontId="19" fillId="15" borderId="24" xfId="7" applyFont="1" applyFill="1" applyBorder="1"/>
    <xf numFmtId="167" fontId="19" fillId="0" borderId="25" xfId="14" applyNumberFormat="1" applyFont="1" applyBorder="1"/>
    <xf numFmtId="0" fontId="19" fillId="18" borderId="24" xfId="14" applyFont="1" applyFill="1" applyBorder="1"/>
    <xf numFmtId="167" fontId="19" fillId="18" borderId="24" xfId="14" applyNumberFormat="1" applyFont="1" applyFill="1" applyBorder="1"/>
    <xf numFmtId="167" fontId="19" fillId="18" borderId="25" xfId="14" applyNumberFormat="1" applyFont="1" applyFill="1" applyBorder="1"/>
    <xf numFmtId="3" fontId="19" fillId="18" borderId="24" xfId="14" applyNumberFormat="1" applyFont="1" applyFill="1" applyBorder="1"/>
    <xf numFmtId="3" fontId="19" fillId="18" borderId="25" xfId="14" applyNumberFormat="1" applyFont="1" applyFill="1" applyBorder="1"/>
    <xf numFmtId="0" fontId="19" fillId="18" borderId="27" xfId="14" applyFont="1" applyFill="1" applyBorder="1"/>
    <xf numFmtId="0" fontId="19" fillId="20" borderId="24" xfId="14" applyFont="1" applyFill="1" applyBorder="1"/>
    <xf numFmtId="167" fontId="19" fillId="20" borderId="24" xfId="14" applyNumberFormat="1" applyFont="1" applyFill="1" applyBorder="1"/>
    <xf numFmtId="167" fontId="19" fillId="20" borderId="25" xfId="14" applyNumberFormat="1" applyFont="1" applyFill="1" applyBorder="1"/>
    <xf numFmtId="3" fontId="19" fillId="20" borderId="24" xfId="14" applyNumberFormat="1" applyFont="1" applyFill="1" applyBorder="1"/>
    <xf numFmtId="0" fontId="19" fillId="20" borderId="27" xfId="14" applyFont="1" applyFill="1" applyBorder="1"/>
    <xf numFmtId="0" fontId="19" fillId="23" borderId="24" xfId="14" applyFont="1" applyFill="1" applyBorder="1"/>
    <xf numFmtId="167" fontId="19" fillId="23" borderId="24" xfId="14" applyNumberFormat="1" applyFont="1" applyFill="1" applyBorder="1"/>
    <xf numFmtId="3" fontId="19" fillId="23" borderId="24" xfId="14" applyNumberFormat="1" applyFont="1" applyFill="1" applyBorder="1"/>
    <xf numFmtId="3" fontId="19" fillId="23" borderId="25" xfId="14" applyNumberFormat="1" applyFont="1" applyFill="1" applyBorder="1"/>
    <xf numFmtId="0" fontId="19" fillId="0" borderId="21" xfId="21" applyFont="1" applyBorder="1" applyAlignment="1">
      <alignment vertical="center"/>
    </xf>
    <xf numFmtId="167" fontId="19" fillId="0" borderId="0" xfId="21" applyNumberFormat="1" applyFont="1" applyAlignment="1">
      <alignment vertical="center"/>
    </xf>
    <xf numFmtId="3" fontId="19" fillId="0" borderId="0" xfId="21" applyNumberFormat="1" applyFont="1" applyAlignment="1">
      <alignment vertical="center"/>
    </xf>
    <xf numFmtId="0" fontId="19" fillId="15" borderId="21" xfId="21" applyFont="1" applyFill="1" applyBorder="1" applyAlignment="1">
      <alignment vertical="center"/>
    </xf>
    <xf numFmtId="167" fontId="19" fillId="15" borderId="0" xfId="21" applyNumberFormat="1" applyFont="1" applyFill="1" applyAlignment="1">
      <alignment vertical="center"/>
    </xf>
    <xf numFmtId="3" fontId="19" fillId="15" borderId="0" xfId="21" applyNumberFormat="1" applyFont="1" applyFill="1" applyAlignment="1">
      <alignment vertical="center"/>
    </xf>
    <xf numFmtId="0" fontId="19" fillId="15" borderId="10" xfId="21" applyFont="1" applyFill="1" applyBorder="1" applyAlignment="1">
      <alignment vertical="center"/>
    </xf>
    <xf numFmtId="0" fontId="19" fillId="0" borderId="21" xfId="21" applyFont="1" applyBorder="1" applyAlignment="1">
      <alignment horizontal="left" vertical="center"/>
    </xf>
    <xf numFmtId="167" fontId="19" fillId="0" borderId="0" xfId="21" applyNumberFormat="1" applyFont="1" applyAlignment="1">
      <alignment horizontal="right" vertical="center"/>
    </xf>
    <xf numFmtId="167" fontId="19" fillId="0" borderId="23" xfId="21" applyNumberFormat="1" applyFont="1" applyBorder="1" applyAlignment="1">
      <alignment vertical="center"/>
    </xf>
    <xf numFmtId="3" fontId="19" fillId="0" borderId="23" xfId="21" applyNumberFormat="1" applyFont="1" applyBorder="1" applyAlignment="1">
      <alignment vertical="center"/>
    </xf>
    <xf numFmtId="0" fontId="19" fillId="18" borderId="21" xfId="21" applyFont="1" applyFill="1" applyBorder="1" applyAlignment="1">
      <alignment horizontal="left" vertical="center"/>
    </xf>
    <xf numFmtId="167" fontId="19" fillId="18" borderId="0" xfId="21" applyNumberFormat="1" applyFont="1" applyFill="1" applyAlignment="1">
      <alignment horizontal="right" vertical="center"/>
    </xf>
    <xf numFmtId="167" fontId="19" fillId="18" borderId="0" xfId="21" applyNumberFormat="1" applyFont="1" applyFill="1" applyAlignment="1">
      <alignment vertical="center"/>
    </xf>
    <xf numFmtId="167" fontId="19" fillId="18" borderId="23" xfId="21" applyNumberFormat="1" applyFont="1" applyFill="1" applyBorder="1" applyAlignment="1">
      <alignment vertical="center"/>
    </xf>
    <xf numFmtId="0" fontId="19" fillId="18" borderId="0" xfId="21" applyFont="1" applyFill="1" applyAlignment="1">
      <alignment horizontal="right" vertical="center"/>
    </xf>
    <xf numFmtId="3" fontId="19" fillId="18" borderId="0" xfId="21" applyNumberFormat="1" applyFont="1" applyFill="1" applyAlignment="1">
      <alignment vertical="center"/>
    </xf>
    <xf numFmtId="3" fontId="19" fillId="18" borderId="23" xfId="21" applyNumberFormat="1" applyFont="1" applyFill="1" applyBorder="1" applyAlignment="1">
      <alignment vertical="center"/>
    </xf>
    <xf numFmtId="0" fontId="19" fillId="0" borderId="0" xfId="21" applyFont="1" applyAlignment="1">
      <alignment horizontal="right" vertical="center"/>
    </xf>
    <xf numFmtId="9" fontId="19" fillId="0" borderId="0" xfId="21" applyNumberFormat="1" applyFont="1" applyAlignment="1">
      <alignment vertical="center"/>
    </xf>
    <xf numFmtId="9" fontId="19" fillId="0" borderId="23" xfId="21" applyNumberFormat="1" applyFont="1" applyBorder="1" applyAlignment="1">
      <alignment vertical="center"/>
    </xf>
    <xf numFmtId="9" fontId="19" fillId="18" borderId="0" xfId="21" applyNumberFormat="1" applyFont="1" applyFill="1" applyAlignment="1">
      <alignment vertical="center"/>
    </xf>
    <xf numFmtId="9" fontId="19" fillId="18" borderId="23" xfId="21" applyNumberFormat="1" applyFont="1" applyFill="1" applyBorder="1" applyAlignment="1">
      <alignment vertical="center"/>
    </xf>
    <xf numFmtId="0" fontId="19" fillId="18" borderId="10" xfId="21" applyFont="1" applyFill="1" applyBorder="1" applyAlignment="1">
      <alignment horizontal="left" vertical="center"/>
    </xf>
    <xf numFmtId="9" fontId="19" fillId="18" borderId="11" xfId="21" applyNumberFormat="1" applyFont="1" applyFill="1" applyBorder="1" applyAlignment="1">
      <alignment vertical="center"/>
    </xf>
    <xf numFmtId="9" fontId="19" fillId="18" borderId="12" xfId="21" applyNumberFormat="1" applyFont="1" applyFill="1" applyBorder="1" applyAlignment="1">
      <alignment vertical="center"/>
    </xf>
    <xf numFmtId="0" fontId="19" fillId="0" borderId="10" xfId="21" applyFont="1" applyBorder="1" applyAlignment="1">
      <alignment horizontal="left" vertical="center"/>
    </xf>
    <xf numFmtId="9" fontId="19" fillId="0" borderId="11" xfId="21" applyNumberFormat="1" applyFont="1" applyBorder="1" applyAlignment="1">
      <alignment vertical="center"/>
    </xf>
    <xf numFmtId="9" fontId="19" fillId="0" borderId="12" xfId="21" applyNumberFormat="1" applyFont="1" applyBorder="1" applyAlignment="1">
      <alignment vertical="center"/>
    </xf>
    <xf numFmtId="0" fontId="19" fillId="0" borderId="0" xfId="21" applyFont="1" applyAlignment="1">
      <alignment vertical="center"/>
    </xf>
    <xf numFmtId="0" fontId="19" fillId="20" borderId="0" xfId="21" applyFont="1" applyFill="1" applyAlignment="1">
      <alignment vertical="center"/>
    </xf>
    <xf numFmtId="167" fontId="19" fillId="20" borderId="0" xfId="21" applyNumberFormat="1" applyFont="1" applyFill="1" applyAlignment="1">
      <alignment vertical="center"/>
    </xf>
    <xf numFmtId="3" fontId="19" fillId="20" borderId="0" xfId="21" applyNumberFormat="1" applyFont="1" applyFill="1" applyAlignment="1">
      <alignment vertical="center"/>
    </xf>
    <xf numFmtId="9" fontId="19" fillId="20" borderId="0" xfId="21" applyNumberFormat="1" applyFont="1" applyFill="1" applyAlignment="1">
      <alignment vertical="center"/>
    </xf>
    <xf numFmtId="0" fontId="19" fillId="23" borderId="0" xfId="21" applyFont="1" applyFill="1" applyAlignment="1">
      <alignment vertical="center"/>
    </xf>
    <xf numFmtId="167" fontId="19" fillId="23" borderId="0" xfId="21" applyNumberFormat="1" applyFont="1" applyFill="1" applyAlignment="1">
      <alignment vertical="center"/>
    </xf>
    <xf numFmtId="3" fontId="19" fillId="23" borderId="0" xfId="21" applyNumberFormat="1" applyFont="1" applyFill="1" applyAlignment="1">
      <alignment vertical="center"/>
    </xf>
    <xf numFmtId="0" fontId="19" fillId="0" borderId="100" xfId="23" applyFont="1" applyBorder="1" applyAlignment="1">
      <alignment horizontal="center" vertical="center"/>
    </xf>
    <xf numFmtId="9" fontId="19" fillId="10" borderId="17" xfId="7" applyFont="1" applyFill="1" applyBorder="1" applyAlignment="1">
      <alignment vertical="center"/>
    </xf>
    <xf numFmtId="9" fontId="19" fillId="10" borderId="48" xfId="7" applyFont="1" applyFill="1" applyBorder="1" applyAlignment="1">
      <alignment vertical="center"/>
    </xf>
    <xf numFmtId="167" fontId="19" fillId="10" borderId="18" xfId="23" applyNumberFormat="1" applyFont="1" applyFill="1" applyBorder="1" applyAlignment="1">
      <alignment horizontal="left"/>
    </xf>
    <xf numFmtId="0" fontId="19" fillId="0" borderId="0" xfId="9" applyFont="1"/>
    <xf numFmtId="0" fontId="19" fillId="0" borderId="0" xfId="9" applyFont="1" applyAlignment="1">
      <alignment horizontal="left"/>
    </xf>
    <xf numFmtId="0" fontId="19" fillId="0" borderId="0" xfId="5" applyFont="1"/>
    <xf numFmtId="0" fontId="19" fillId="0" borderId="0" xfId="0" applyFont="1" applyAlignment="1">
      <alignment horizontal="center"/>
    </xf>
    <xf numFmtId="0" fontId="19" fillId="0" borderId="0" xfId="18" applyFont="1" applyAlignment="1">
      <alignment vertical="center"/>
    </xf>
    <xf numFmtId="0" fontId="19" fillId="0" borderId="0" xfId="19" applyFont="1"/>
    <xf numFmtId="0" fontId="19" fillId="0" borderId="0" xfId="19" applyFont="1" applyAlignment="1">
      <alignment vertical="center" wrapText="1"/>
    </xf>
    <xf numFmtId="0" fontId="19" fillId="10" borderId="0" xfId="19" applyFont="1" applyFill="1"/>
    <xf numFmtId="167" fontId="88" fillId="0" borderId="0" xfId="23" applyNumberFormat="1" applyFont="1"/>
    <xf numFmtId="9" fontId="88" fillId="0" borderId="0" xfId="7" applyFont="1"/>
    <xf numFmtId="167" fontId="61" fillId="15" borderId="104" xfId="23" applyNumberFormat="1" applyFont="1" applyFill="1" applyBorder="1" applyAlignment="1">
      <alignment vertical="center"/>
    </xf>
    <xf numFmtId="3" fontId="53" fillId="16" borderId="106" xfId="23" applyNumberFormat="1" applyFont="1" applyFill="1" applyBorder="1" applyAlignment="1">
      <alignment vertical="center"/>
    </xf>
    <xf numFmtId="9" fontId="61" fillId="0" borderId="0" xfId="7" applyFont="1" applyBorder="1" applyAlignment="1">
      <alignment vertical="center"/>
    </xf>
    <xf numFmtId="9" fontId="62" fillId="0" borderId="105" xfId="7" applyFont="1" applyBorder="1" applyAlignment="1">
      <alignment vertical="center"/>
    </xf>
    <xf numFmtId="9" fontId="62" fillId="15" borderId="0" xfId="7" applyFont="1" applyFill="1" applyBorder="1" applyAlignment="1">
      <alignment vertical="center"/>
    </xf>
    <xf numFmtId="9" fontId="53" fillId="16" borderId="107" xfId="7" applyFont="1" applyFill="1" applyBorder="1" applyAlignment="1">
      <alignment vertical="center"/>
    </xf>
    <xf numFmtId="9" fontId="53" fillId="16" borderId="108" xfId="7" applyFont="1" applyFill="1" applyBorder="1" applyAlignment="1">
      <alignment vertical="center"/>
    </xf>
    <xf numFmtId="9" fontId="62" fillId="0" borderId="0" xfId="7" applyFont="1" applyBorder="1" applyAlignment="1">
      <alignment vertical="center"/>
    </xf>
    <xf numFmtId="167" fontId="62" fillId="15" borderId="0" xfId="23" applyNumberFormat="1" applyFont="1" applyFill="1" applyAlignment="1">
      <alignment vertical="center"/>
    </xf>
    <xf numFmtId="169" fontId="56" fillId="10" borderId="0" xfId="6" applyNumberFormat="1" applyFont="1" applyFill="1" applyAlignment="1">
      <alignment wrapText="1"/>
    </xf>
    <xf numFmtId="0" fontId="87" fillId="0" borderId="116" xfId="53" applyFont="1" applyBorder="1" applyAlignment="1">
      <alignment vertical="center" wrapText="1"/>
    </xf>
    <xf numFmtId="0" fontId="87" fillId="38" borderId="116" xfId="53" applyFont="1" applyFill="1" applyBorder="1" applyAlignment="1">
      <alignment vertical="center" wrapText="1"/>
    </xf>
    <xf numFmtId="0" fontId="91" fillId="0" borderId="116" xfId="53" applyFont="1" applyBorder="1" applyAlignment="1">
      <alignment horizontal="left" vertical="center" wrapText="1"/>
    </xf>
    <xf numFmtId="0" fontId="87" fillId="0" borderId="118" xfId="53" applyFont="1" applyBorder="1" applyAlignment="1">
      <alignment vertical="center" wrapText="1"/>
    </xf>
    <xf numFmtId="0" fontId="15" fillId="10" borderId="0" xfId="12" applyFont="1" applyFill="1"/>
    <xf numFmtId="9" fontId="48" fillId="10" borderId="0" xfId="12" applyNumberFormat="1" applyFont="1" applyFill="1"/>
    <xf numFmtId="0" fontId="15" fillId="10" borderId="0" xfId="21" applyFont="1" applyFill="1" applyAlignment="1">
      <alignment vertical="center"/>
    </xf>
    <xf numFmtId="9" fontId="0" fillId="0" borderId="0" xfId="7" applyFont="1"/>
    <xf numFmtId="9" fontId="0" fillId="0" borderId="0" xfId="0" applyNumberFormat="1"/>
    <xf numFmtId="0" fontId="76" fillId="14" borderId="24" xfId="14" applyFont="1" applyFill="1" applyBorder="1" applyAlignment="1">
      <alignment horizontal="center" vertical="center" wrapText="1"/>
    </xf>
    <xf numFmtId="0" fontId="13" fillId="0" borderId="27" xfId="12" applyFont="1" applyBorder="1" applyAlignment="1">
      <alignment wrapText="1"/>
    </xf>
    <xf numFmtId="0" fontId="13" fillId="0" borderId="24" xfId="10" applyFont="1" applyBorder="1" applyAlignment="1">
      <alignment horizontal="left" vertical="center" wrapText="1"/>
    </xf>
    <xf numFmtId="0" fontId="13" fillId="15" borderId="24" xfId="10" applyFont="1" applyFill="1" applyBorder="1" applyAlignment="1">
      <alignment horizontal="left" vertical="center" wrapText="1"/>
    </xf>
    <xf numFmtId="3" fontId="75" fillId="16" borderId="102" xfId="23" applyNumberFormat="1" applyFont="1" applyFill="1" applyBorder="1" applyAlignment="1">
      <alignment horizontal="center" vertical="center" wrapText="1"/>
    </xf>
    <xf numFmtId="167" fontId="34" fillId="0" borderId="100" xfId="23" applyNumberFormat="1" applyBorder="1" applyAlignment="1">
      <alignment vertical="center"/>
    </xf>
    <xf numFmtId="167" fontId="48" fillId="32" borderId="100" xfId="23" applyNumberFormat="1" applyFont="1" applyFill="1" applyBorder="1" applyAlignment="1">
      <alignment vertical="center"/>
    </xf>
    <xf numFmtId="3" fontId="75" fillId="16" borderId="0" xfId="23" applyNumberFormat="1" applyFont="1" applyFill="1" applyAlignment="1">
      <alignment horizontal="right" vertical="center" wrapText="1"/>
    </xf>
    <xf numFmtId="167" fontId="13" fillId="10" borderId="18" xfId="23" applyNumberFormat="1" applyFont="1" applyFill="1" applyBorder="1" applyAlignment="1">
      <alignment horizontal="left"/>
    </xf>
    <xf numFmtId="0" fontId="13" fillId="0" borderId="0" xfId="19" applyFont="1"/>
    <xf numFmtId="166" fontId="61" fillId="0" borderId="25" xfId="12" applyNumberFormat="1" applyFont="1" applyBorder="1"/>
    <xf numFmtId="166" fontId="61" fillId="18" borderId="25" xfId="12" applyNumberFormat="1" applyFont="1" applyFill="1" applyBorder="1"/>
    <xf numFmtId="0" fontId="67" fillId="22" borderId="0" xfId="16" applyFont="1" applyFill="1" applyAlignment="1">
      <alignment horizontal="center" vertical="center"/>
    </xf>
    <xf numFmtId="9" fontId="95" fillId="10" borderId="0" xfId="21" applyNumberFormat="1" applyFont="1" applyFill="1" applyAlignment="1">
      <alignment vertical="center"/>
    </xf>
    <xf numFmtId="9" fontId="96" fillId="0" borderId="0" xfId="24" applyFont="1" applyBorder="1"/>
    <xf numFmtId="167" fontId="48" fillId="0" borderId="66" xfId="23" applyNumberFormat="1" applyFont="1" applyBorder="1" applyAlignment="1">
      <alignment horizontal="center" vertical="center" wrapText="1"/>
    </xf>
    <xf numFmtId="167" fontId="48" fillId="0" borderId="18" xfId="23" applyNumberFormat="1" applyFont="1" applyBorder="1" applyAlignment="1">
      <alignment horizontal="center" vertical="center" wrapText="1"/>
    </xf>
    <xf numFmtId="167" fontId="53" fillId="0" borderId="0" xfId="23" applyNumberFormat="1" applyFont="1"/>
    <xf numFmtId="167" fontId="53" fillId="0" borderId="56" xfId="23" applyNumberFormat="1" applyFont="1" applyBorder="1" applyAlignment="1">
      <alignment horizontal="left"/>
    </xf>
    <xf numFmtId="167" fontId="12" fillId="10" borderId="65" xfId="23" applyNumberFormat="1" applyFont="1" applyFill="1" applyBorder="1" applyAlignment="1">
      <alignment horizontal="left"/>
    </xf>
    <xf numFmtId="0" fontId="48" fillId="10" borderId="0" xfId="16" applyFont="1" applyFill="1" applyAlignment="1">
      <alignment vertical="center"/>
    </xf>
    <xf numFmtId="9" fontId="0" fillId="10" borderId="0" xfId="17" applyFont="1" applyFill="1" applyBorder="1" applyAlignment="1">
      <alignment vertical="center"/>
    </xf>
    <xf numFmtId="9" fontId="19" fillId="10" borderId="0" xfId="7" applyFont="1" applyFill="1" applyBorder="1" applyAlignment="1">
      <alignment vertical="center"/>
    </xf>
    <xf numFmtId="9" fontId="49" fillId="10" borderId="0" xfId="17" applyFont="1" applyFill="1" applyBorder="1" applyAlignment="1">
      <alignment vertical="center"/>
    </xf>
    <xf numFmtId="9" fontId="50" fillId="10" borderId="0" xfId="17" applyFont="1" applyFill="1" applyBorder="1" applyAlignment="1">
      <alignment vertical="center"/>
    </xf>
    <xf numFmtId="0" fontId="54" fillId="9" borderId="0" xfId="16" applyFont="1" applyFill="1" applyAlignment="1">
      <alignment horizontal="center" vertical="center"/>
    </xf>
    <xf numFmtId="0" fontId="48" fillId="10" borderId="48" xfId="16" applyFont="1" applyFill="1" applyBorder="1" applyAlignment="1">
      <alignment vertical="center"/>
    </xf>
    <xf numFmtId="0" fontId="12" fillId="0" borderId="0" xfId="5" applyFont="1"/>
    <xf numFmtId="0" fontId="12" fillId="0" borderId="0" xfId="19" applyFont="1" applyAlignment="1">
      <alignment vertical="center" wrapText="1"/>
    </xf>
    <xf numFmtId="0" fontId="64" fillId="14" borderId="83" xfId="16" applyFont="1" applyFill="1" applyBorder="1" applyAlignment="1">
      <alignment vertical="center" wrapText="1"/>
    </xf>
    <xf numFmtId="9" fontId="63" fillId="21" borderId="36" xfId="7" applyFont="1" applyFill="1" applyBorder="1" applyAlignment="1">
      <alignment horizontal="right" vertical="center"/>
    </xf>
    <xf numFmtId="9" fontId="63" fillId="26" borderId="36" xfId="7" applyFont="1" applyFill="1" applyBorder="1" applyAlignment="1">
      <alignment horizontal="right" vertical="center"/>
    </xf>
    <xf numFmtId="9" fontId="63" fillId="0" borderId="36" xfId="7" applyFont="1" applyBorder="1" applyAlignment="1">
      <alignment horizontal="right" vertical="center"/>
    </xf>
    <xf numFmtId="0" fontId="57" fillId="14" borderId="24" xfId="59" applyFont="1" applyFill="1" applyBorder="1" applyAlignment="1">
      <alignment vertical="center" wrapText="1"/>
    </xf>
    <xf numFmtId="0" fontId="57" fillId="14" borderId="24" xfId="59" applyFont="1" applyFill="1" applyBorder="1" applyAlignment="1">
      <alignment horizontal="center" vertical="center" wrapText="1"/>
    </xf>
    <xf numFmtId="0" fontId="12" fillId="0" borderId="24" xfId="59" applyBorder="1"/>
    <xf numFmtId="167" fontId="12" fillId="0" borderId="24" xfId="60" applyNumberFormat="1" applyBorder="1" applyAlignment="1">
      <alignment horizontal="center" vertical="center"/>
    </xf>
    <xf numFmtId="0" fontId="12" fillId="29" borderId="24" xfId="59" applyFill="1" applyBorder="1"/>
    <xf numFmtId="167" fontId="12" fillId="29" borderId="24" xfId="60" applyNumberFormat="1" applyFill="1" applyBorder="1" applyAlignment="1">
      <alignment horizontal="center" vertical="center"/>
    </xf>
    <xf numFmtId="0" fontId="53" fillId="14" borderId="27" xfId="59" applyFont="1" applyFill="1" applyBorder="1" applyAlignment="1">
      <alignment horizontal="left"/>
    </xf>
    <xf numFmtId="167" fontId="53" fillId="16" borderId="27" xfId="59" applyNumberFormat="1" applyFont="1" applyFill="1" applyBorder="1" applyAlignment="1">
      <alignment horizontal="center" vertical="center"/>
    </xf>
    <xf numFmtId="0" fontId="94" fillId="14" borderId="0" xfId="59" applyFont="1" applyFill="1" applyAlignment="1">
      <alignment horizontal="left"/>
    </xf>
    <xf numFmtId="0" fontId="93" fillId="0" borderId="0" xfId="0" applyFont="1"/>
    <xf numFmtId="0" fontId="98" fillId="14" borderId="0" xfId="59" applyFont="1" applyFill="1" applyAlignment="1">
      <alignment horizontal="left" vertical="center"/>
    </xf>
    <xf numFmtId="9" fontId="0" fillId="0" borderId="0" xfId="0" applyNumberFormat="1" applyAlignment="1">
      <alignment horizontal="center" vertical="center"/>
    </xf>
    <xf numFmtId="0" fontId="99" fillId="14" borderId="0" xfId="59" applyFont="1" applyFill="1" applyAlignment="1">
      <alignment horizontal="left" vertical="center"/>
    </xf>
    <xf numFmtId="167" fontId="48" fillId="0" borderId="24" xfId="60" applyNumberFormat="1" applyFont="1" applyBorder="1" applyAlignment="1">
      <alignment horizontal="center" vertical="center"/>
    </xf>
    <xf numFmtId="167" fontId="48" fillId="29" borderId="24" xfId="60" applyNumberFormat="1" applyFont="1" applyFill="1" applyBorder="1" applyAlignment="1">
      <alignment horizontal="center" vertical="center"/>
    </xf>
    <xf numFmtId="167" fontId="11" fillId="10" borderId="18" xfId="23" applyNumberFormat="1" applyFont="1" applyFill="1" applyBorder="1" applyAlignment="1">
      <alignment horizontal="left"/>
    </xf>
    <xf numFmtId="167" fontId="11" fillId="10" borderId="0" xfId="23" applyNumberFormat="1" applyFont="1" applyFill="1"/>
    <xf numFmtId="0" fontId="10" fillId="0" borderId="0" xfId="9" applyFont="1"/>
    <xf numFmtId="0" fontId="13" fillId="0" borderId="0" xfId="9" applyFont="1"/>
    <xf numFmtId="0" fontId="12" fillId="0" borderId="0" xfId="9" applyFont="1"/>
    <xf numFmtId="0" fontId="17" fillId="0" borderId="0" xfId="9" applyFont="1"/>
    <xf numFmtId="0" fontId="16" fillId="0" borderId="0" xfId="9" applyFont="1"/>
    <xf numFmtId="0" fontId="15" fillId="0" borderId="0" xfId="9" applyFont="1"/>
    <xf numFmtId="0" fontId="9" fillId="0" borderId="0" xfId="9" applyFont="1"/>
    <xf numFmtId="0" fontId="38" fillId="0" borderId="0" xfId="18" applyAlignment="1">
      <alignment horizontal="center"/>
    </xf>
    <xf numFmtId="0" fontId="8" fillId="0" borderId="0" xfId="5" applyFont="1"/>
    <xf numFmtId="0" fontId="7" fillId="0" borderId="0" xfId="19" applyFont="1"/>
    <xf numFmtId="167" fontId="63" fillId="0" borderId="0" xfId="23" applyNumberFormat="1" applyFont="1" applyAlignment="1">
      <alignment horizontal="center" vertical="center"/>
    </xf>
    <xf numFmtId="0" fontId="57" fillId="14" borderId="92" xfId="23" applyFont="1" applyFill="1" applyBorder="1" applyAlignment="1">
      <alignment horizontal="center" vertical="center" wrapText="1"/>
    </xf>
    <xf numFmtId="0" fontId="57" fillId="14" borderId="94" xfId="23" applyFont="1" applyFill="1" applyBorder="1" applyAlignment="1">
      <alignment horizontal="center" vertical="center" wrapText="1"/>
    </xf>
    <xf numFmtId="167" fontId="57" fillId="14" borderId="120" xfId="23" applyNumberFormat="1" applyFont="1" applyFill="1" applyBorder="1" applyAlignment="1">
      <alignment horizontal="center" vertical="center" wrapText="1"/>
    </xf>
    <xf numFmtId="0" fontId="57" fillId="14" borderId="93" xfId="23" applyFont="1" applyFill="1" applyBorder="1" applyAlignment="1">
      <alignment horizontal="center" vertical="center" wrapText="1"/>
    </xf>
    <xf numFmtId="0" fontId="57" fillId="14" borderId="119" xfId="23" applyFont="1" applyFill="1" applyBorder="1" applyAlignment="1">
      <alignment horizontal="center" vertical="center" wrapText="1"/>
    </xf>
    <xf numFmtId="0" fontId="37" fillId="29" borderId="0" xfId="19" applyFill="1" applyAlignment="1">
      <alignment horizontal="right" vertical="center"/>
    </xf>
    <xf numFmtId="0" fontId="7" fillId="10" borderId="0" xfId="19" applyFont="1" applyFill="1"/>
    <xf numFmtId="0" fontId="7" fillId="0" borderId="0" xfId="19" applyFont="1" applyAlignment="1">
      <alignment vertical="center" wrapText="1"/>
    </xf>
    <xf numFmtId="0" fontId="7" fillId="0" borderId="0" xfId="5" applyFont="1"/>
    <xf numFmtId="0" fontId="7" fillId="0" borderId="0" xfId="9" applyFont="1"/>
    <xf numFmtId="9" fontId="102" fillId="0" borderId="0" xfId="24" applyFont="1" applyBorder="1"/>
    <xf numFmtId="0" fontId="53" fillId="30" borderId="20" xfId="9" applyFont="1" applyFill="1" applyBorder="1" applyAlignment="1">
      <alignment horizontal="center" vertical="center" wrapText="1"/>
    </xf>
    <xf numFmtId="0" fontId="7" fillId="0" borderId="0" xfId="5" applyFont="1" applyAlignment="1">
      <alignment horizontal="center"/>
    </xf>
    <xf numFmtId="9" fontId="34" fillId="10" borderId="0" xfId="7" applyFont="1" applyFill="1"/>
    <xf numFmtId="0" fontId="59" fillId="10" borderId="0" xfId="12" applyFont="1" applyFill="1"/>
    <xf numFmtId="0" fontId="57" fillId="14" borderId="91" xfId="12" applyFont="1" applyFill="1" applyBorder="1" applyAlignment="1">
      <alignment horizontal="center" vertical="center" wrapText="1"/>
    </xf>
    <xf numFmtId="0" fontId="105" fillId="10" borderId="0" xfId="12" applyFont="1" applyFill="1"/>
    <xf numFmtId="0" fontId="50" fillId="0" borderId="24" xfId="11" applyNumberFormat="1" applyFont="1" applyFill="1" applyBorder="1"/>
    <xf numFmtId="0" fontId="49" fillId="0" borderId="24" xfId="11" applyNumberFormat="1" applyFont="1" applyFill="1" applyBorder="1" applyAlignment="1">
      <alignment wrapText="1"/>
    </xf>
    <xf numFmtId="0" fontId="49" fillId="0" borderId="24" xfId="11" applyNumberFormat="1" applyFont="1" applyFill="1" applyBorder="1"/>
    <xf numFmtId="0" fontId="6" fillId="0" borderId="25" xfId="11" applyNumberFormat="1" applyFont="1" applyFill="1" applyBorder="1"/>
    <xf numFmtId="167" fontId="48" fillId="15" borderId="24" xfId="6" applyNumberFormat="1" applyFont="1" applyFill="1" applyBorder="1" applyAlignment="1">
      <alignment horizontal="right"/>
    </xf>
    <xf numFmtId="167" fontId="6" fillId="15" borderId="24" xfId="6" applyNumberFormat="1" applyFont="1" applyFill="1" applyBorder="1" applyAlignment="1">
      <alignment horizontal="right"/>
    </xf>
    <xf numFmtId="0" fontId="50" fillId="0" borderId="25" xfId="11" applyNumberFormat="1" applyFont="1" applyFill="1" applyBorder="1"/>
    <xf numFmtId="167" fontId="48" fillId="15" borderId="25" xfId="6" applyNumberFormat="1" applyFont="1" applyFill="1" applyBorder="1" applyAlignment="1">
      <alignment horizontal="right"/>
    </xf>
    <xf numFmtId="167" fontId="48" fillId="15" borderId="27" xfId="6" applyNumberFormat="1" applyFont="1" applyFill="1" applyBorder="1" applyAlignment="1">
      <alignment horizontal="right"/>
    </xf>
    <xf numFmtId="167" fontId="48" fillId="15" borderId="28" xfId="6" applyNumberFormat="1" applyFont="1" applyFill="1" applyBorder="1" applyAlignment="1">
      <alignment horizontal="right"/>
    </xf>
    <xf numFmtId="0" fontId="57" fillId="14" borderId="0" xfId="12" applyFont="1" applyFill="1" applyAlignment="1">
      <alignment horizontal="center" vertical="center" wrapText="1"/>
    </xf>
    <xf numFmtId="9" fontId="0" fillId="0" borderId="0" xfId="11" applyFont="1" applyFill="1" applyBorder="1"/>
    <xf numFmtId="0" fontId="106" fillId="0" borderId="27" xfId="12" applyFont="1" applyBorder="1" applyAlignment="1">
      <alignment horizontal="left"/>
    </xf>
    <xf numFmtId="9" fontId="105" fillId="0" borderId="0" xfId="7" applyFont="1" applyAlignment="1">
      <alignment horizontal="right"/>
    </xf>
    <xf numFmtId="9" fontId="106" fillId="0" borderId="0" xfId="7" applyFont="1"/>
    <xf numFmtId="9" fontId="107" fillId="0" borderId="0" xfId="11" applyFont="1" applyFill="1" applyBorder="1"/>
    <xf numFmtId="9" fontId="61" fillId="10" borderId="0" xfId="15" applyFont="1" applyFill="1" applyBorder="1"/>
    <xf numFmtId="9" fontId="62" fillId="0" borderId="23" xfId="7" applyFont="1" applyFill="1" applyBorder="1" applyAlignment="1">
      <alignment vertical="center"/>
    </xf>
    <xf numFmtId="9" fontId="62" fillId="15" borderId="23" xfId="7" applyFont="1" applyFill="1" applyBorder="1" applyAlignment="1">
      <alignment vertical="center"/>
    </xf>
    <xf numFmtId="0" fontId="5" fillId="0" borderId="0" xfId="19" applyFont="1"/>
    <xf numFmtId="0" fontId="3" fillId="0" borderId="0" xfId="9" applyFont="1"/>
    <xf numFmtId="0" fontId="3" fillId="0" borderId="0" xfId="19" applyFont="1" applyAlignment="1">
      <alignment horizontal="left"/>
    </xf>
    <xf numFmtId="0" fontId="3" fillId="0" borderId="0" xfId="19" applyFont="1" applyAlignment="1">
      <alignment vertical="center" wrapText="1"/>
    </xf>
    <xf numFmtId="0" fontId="3" fillId="0" borderId="0" xfId="18" applyFont="1" applyAlignment="1">
      <alignment vertical="center"/>
    </xf>
    <xf numFmtId="0" fontId="3" fillId="0" borderId="0" xfId="9" applyFont="1" applyAlignment="1">
      <alignment horizontal="left"/>
    </xf>
    <xf numFmtId="169" fontId="0" fillId="0" borderId="0" xfId="0" applyNumberFormat="1" applyAlignment="1">
      <alignment wrapText="1"/>
    </xf>
    <xf numFmtId="0" fontId="0" fillId="0" borderId="0" xfId="0" applyAlignment="1">
      <alignment horizontal="left" wrapText="1"/>
    </xf>
    <xf numFmtId="0" fontId="3" fillId="15" borderId="27" xfId="12" applyFont="1" applyFill="1" applyBorder="1" applyAlignment="1">
      <alignment wrapText="1"/>
    </xf>
    <xf numFmtId="0" fontId="41" fillId="0" borderId="24" xfId="12" applyBorder="1" applyAlignment="1">
      <alignment vertical="center"/>
    </xf>
    <xf numFmtId="0" fontId="41" fillId="0" borderId="24" xfId="12" applyBorder="1" applyAlignment="1">
      <alignment horizontal="left" vertical="center"/>
    </xf>
    <xf numFmtId="0" fontId="19" fillId="15" borderId="27" xfId="12" applyFont="1" applyFill="1" applyBorder="1" applyAlignment="1">
      <alignment horizontal="left" vertical="center"/>
    </xf>
    <xf numFmtId="167" fontId="41" fillId="15" borderId="27" xfId="12" applyNumberFormat="1" applyFill="1" applyBorder="1" applyAlignment="1">
      <alignment vertical="center"/>
    </xf>
    <xf numFmtId="167" fontId="48" fillId="15" borderId="24" xfId="12" applyNumberFormat="1" applyFont="1" applyFill="1" applyBorder="1" applyAlignment="1">
      <alignment vertical="center"/>
    </xf>
    <xf numFmtId="9" fontId="39" fillId="10" borderId="17" xfId="7" applyFont="1" applyFill="1" applyBorder="1" applyAlignment="1">
      <alignment vertical="center"/>
    </xf>
    <xf numFmtId="0" fontId="48" fillId="39" borderId="45" xfId="16" applyFont="1" applyFill="1" applyBorder="1" applyAlignment="1">
      <alignment vertical="center"/>
    </xf>
    <xf numFmtId="0" fontId="109" fillId="0" borderId="116" xfId="53" applyFont="1" applyBorder="1" applyAlignment="1">
      <alignment vertical="center" wrapText="1"/>
    </xf>
    <xf numFmtId="167" fontId="61" fillId="0" borderId="21" xfId="23" applyNumberFormat="1" applyFont="1" applyBorder="1" applyAlignment="1">
      <alignment vertical="center"/>
    </xf>
    <xf numFmtId="167" fontId="61" fillId="15" borderId="21" xfId="23" applyNumberFormat="1" applyFont="1" applyFill="1" applyBorder="1" applyAlignment="1">
      <alignment vertical="center"/>
    </xf>
    <xf numFmtId="167" fontId="62" fillId="16" borderId="10" xfId="0" applyNumberFormat="1" applyFont="1" applyFill="1" applyBorder="1" applyAlignment="1">
      <alignment vertical="center"/>
    </xf>
    <xf numFmtId="167" fontId="62" fillId="0" borderId="23" xfId="23" applyNumberFormat="1" applyFont="1" applyBorder="1"/>
    <xf numFmtId="167" fontId="62" fillId="15" borderId="23" xfId="23" applyNumberFormat="1" applyFont="1" applyFill="1" applyBorder="1"/>
    <xf numFmtId="167" fontId="53" fillId="16" borderId="21" xfId="23" applyNumberFormat="1" applyFont="1" applyFill="1" applyBorder="1" applyAlignment="1">
      <alignment vertical="center"/>
    </xf>
    <xf numFmtId="167" fontId="53" fillId="16" borderId="23" xfId="23" applyNumberFormat="1" applyFont="1" applyFill="1" applyBorder="1" applyAlignment="1">
      <alignment vertical="center"/>
    </xf>
    <xf numFmtId="167" fontId="61" fillId="0" borderId="23" xfId="0" applyNumberFormat="1" applyFont="1" applyBorder="1" applyAlignment="1">
      <alignment vertical="center"/>
    </xf>
    <xf numFmtId="167" fontId="61" fillId="15" borderId="23" xfId="0" applyNumberFormat="1" applyFont="1" applyFill="1" applyBorder="1"/>
    <xf numFmtId="167" fontId="53" fillId="16" borderId="12" xfId="0" applyNumberFormat="1" applyFont="1" applyFill="1" applyBorder="1" applyAlignment="1">
      <alignment vertical="center"/>
    </xf>
    <xf numFmtId="0" fontId="86" fillId="40" borderId="114" xfId="53" applyFont="1" applyFill="1" applyBorder="1" applyAlignment="1">
      <alignment horizontal="center" vertical="center" wrapText="1"/>
    </xf>
    <xf numFmtId="0" fontId="83" fillId="41" borderId="113" xfId="53" applyFont="1" applyFill="1" applyBorder="1" applyAlignment="1">
      <alignment vertical="center"/>
    </xf>
    <xf numFmtId="0" fontId="76" fillId="14" borderId="24" xfId="12" applyFont="1" applyFill="1" applyBorder="1" applyAlignment="1">
      <alignment horizontal="center" vertical="center" wrapText="1"/>
    </xf>
    <xf numFmtId="0" fontId="76" fillId="14" borderId="25" xfId="12" applyFont="1" applyFill="1" applyBorder="1" applyAlignment="1">
      <alignment horizontal="center" vertical="center" wrapText="1"/>
    </xf>
    <xf numFmtId="3" fontId="73" fillId="10" borderId="0" xfId="23" applyNumberFormat="1" applyFont="1" applyFill="1" applyAlignment="1">
      <alignment horizontal="left" vertical="center"/>
    </xf>
    <xf numFmtId="9" fontId="62" fillId="0" borderId="86" xfId="12" applyNumberFormat="1" applyFont="1" applyBorder="1"/>
    <xf numFmtId="9" fontId="62" fillId="18" borderId="86" xfId="12" applyNumberFormat="1" applyFont="1" applyFill="1" applyBorder="1"/>
    <xf numFmtId="9" fontId="62" fillId="18" borderId="90" xfId="12" applyNumberFormat="1" applyFont="1" applyFill="1" applyBorder="1"/>
    <xf numFmtId="9" fontId="61" fillId="20" borderId="125" xfId="13" applyFont="1" applyFill="1" applyBorder="1"/>
    <xf numFmtId="167" fontId="61" fillId="20" borderId="125" xfId="12" applyNumberFormat="1" applyFont="1" applyFill="1" applyBorder="1"/>
    <xf numFmtId="9" fontId="61" fillId="18" borderId="125" xfId="13" applyFont="1" applyFill="1" applyBorder="1"/>
    <xf numFmtId="9" fontId="112" fillId="10" borderId="0" xfId="14" applyNumberFormat="1" applyFont="1" applyFill="1"/>
    <xf numFmtId="166" fontId="49" fillId="10" borderId="47" xfId="17" applyNumberFormat="1" applyFont="1" applyFill="1" applyBorder="1" applyAlignment="1">
      <alignment vertical="center"/>
    </xf>
    <xf numFmtId="166" fontId="0" fillId="10" borderId="47" xfId="17" applyNumberFormat="1" applyFont="1" applyFill="1" applyBorder="1" applyAlignment="1">
      <alignment vertical="center"/>
    </xf>
    <xf numFmtId="0" fontId="2" fillId="0" borderId="0" xfId="5" applyFont="1"/>
    <xf numFmtId="0" fontId="57" fillId="33" borderId="24" xfId="12" applyFont="1" applyFill="1" applyBorder="1" applyAlignment="1">
      <alignment horizontal="center" vertical="center" wrapText="1"/>
    </xf>
    <xf numFmtId="0" fontId="42" fillId="0" borderId="85" xfId="10" applyBorder="1" applyAlignment="1">
      <alignment horizontal="left" vertical="center" wrapText="1"/>
    </xf>
    <xf numFmtId="0" fontId="61" fillId="20" borderId="21" xfId="12" applyFont="1" applyFill="1" applyBorder="1" applyAlignment="1">
      <alignment horizontal="left" wrapText="1"/>
    </xf>
    <xf numFmtId="0" fontId="42" fillId="0" borderId="21" xfId="10" applyBorder="1" applyAlignment="1">
      <alignment horizontal="left" vertical="center" wrapText="1"/>
    </xf>
    <xf numFmtId="0" fontId="42" fillId="0" borderId="10" xfId="10" applyBorder="1" applyAlignment="1">
      <alignment horizontal="left" vertical="center" wrapText="1"/>
    </xf>
    <xf numFmtId="0" fontId="53" fillId="19" borderId="16" xfId="12" applyFont="1" applyFill="1" applyBorder="1" applyAlignment="1">
      <alignment horizontal="left" wrapText="1"/>
    </xf>
    <xf numFmtId="3" fontId="53" fillId="19" borderId="126" xfId="12" applyNumberFormat="1" applyFont="1" applyFill="1" applyBorder="1" applyAlignment="1">
      <alignment horizontal="center"/>
    </xf>
    <xf numFmtId="9" fontId="53" fillId="19" borderId="126" xfId="12" applyNumberFormat="1" applyFont="1" applyFill="1" applyBorder="1" applyAlignment="1">
      <alignment horizontal="center"/>
    </xf>
    <xf numFmtId="9" fontId="53" fillId="19" borderId="127" xfId="12" applyNumberFormat="1" applyFont="1" applyFill="1" applyBorder="1" applyAlignment="1">
      <alignment horizontal="center"/>
    </xf>
    <xf numFmtId="1" fontId="61" fillId="18" borderId="21" xfId="12" applyNumberFormat="1" applyFont="1" applyFill="1" applyBorder="1" applyAlignment="1">
      <alignment horizontal="left" wrapText="1"/>
    </xf>
    <xf numFmtId="167" fontId="62" fillId="17" borderId="89" xfId="12" applyNumberFormat="1" applyFont="1" applyFill="1" applyBorder="1"/>
    <xf numFmtId="3" fontId="53" fillId="22" borderId="85" xfId="12" applyNumberFormat="1" applyFont="1" applyFill="1" applyBorder="1" applyAlignment="1">
      <alignment wrapText="1"/>
    </xf>
    <xf numFmtId="3" fontId="53" fillId="22" borderId="86" xfId="12" applyNumberFormat="1" applyFont="1" applyFill="1" applyBorder="1" applyAlignment="1">
      <alignment horizontal="center"/>
    </xf>
    <xf numFmtId="3" fontId="61" fillId="23" borderId="85" xfId="12" applyNumberFormat="1" applyFont="1" applyFill="1" applyBorder="1" applyAlignment="1">
      <alignment wrapText="1"/>
    </xf>
    <xf numFmtId="167" fontId="62" fillId="23" borderId="86" xfId="12" applyNumberFormat="1" applyFont="1" applyFill="1" applyBorder="1"/>
    <xf numFmtId="3" fontId="53" fillId="22" borderId="87" xfId="12" applyNumberFormat="1" applyFont="1" applyFill="1" applyBorder="1" applyAlignment="1">
      <alignment wrapText="1"/>
    </xf>
    <xf numFmtId="167" fontId="53" fillId="22" borderId="88" xfId="12" applyNumberFormat="1" applyFont="1" applyFill="1" applyBorder="1"/>
    <xf numFmtId="167" fontId="62" fillId="22" borderId="90" xfId="12" applyNumberFormat="1" applyFont="1" applyFill="1" applyBorder="1"/>
    <xf numFmtId="3" fontId="53" fillId="22" borderId="16" xfId="12" applyNumberFormat="1" applyFont="1" applyFill="1" applyBorder="1" applyAlignment="1">
      <alignment wrapText="1"/>
    </xf>
    <xf numFmtId="9" fontId="53" fillId="22" borderId="126" xfId="12" applyNumberFormat="1" applyFont="1" applyFill="1" applyBorder="1" applyAlignment="1">
      <alignment horizontal="center"/>
    </xf>
    <xf numFmtId="3" fontId="53" fillId="22" borderId="126" xfId="12" applyNumberFormat="1" applyFont="1" applyFill="1" applyBorder="1" applyAlignment="1">
      <alignment horizontal="center"/>
    </xf>
    <xf numFmtId="0" fontId="53" fillId="22" borderId="126" xfId="12" applyFont="1" applyFill="1" applyBorder="1" applyAlignment="1">
      <alignment horizontal="center"/>
    </xf>
    <xf numFmtId="0" fontId="53" fillId="22" borderId="127" xfId="12" applyFont="1" applyFill="1" applyBorder="1" applyAlignment="1">
      <alignment horizontal="center"/>
    </xf>
    <xf numFmtId="9" fontId="61" fillId="0" borderId="86" xfId="13" applyFont="1" applyFill="1" applyBorder="1"/>
    <xf numFmtId="1" fontId="61" fillId="23" borderId="85" xfId="12" applyNumberFormat="1" applyFont="1" applyFill="1" applyBorder="1" applyAlignment="1">
      <alignment horizontal="left" wrapText="1"/>
    </xf>
    <xf numFmtId="9" fontId="61" fillId="23" borderId="86" xfId="13" applyFont="1" applyFill="1" applyBorder="1"/>
    <xf numFmtId="9" fontId="53" fillId="22" borderId="88" xfId="13" applyFont="1" applyFill="1" applyBorder="1"/>
    <xf numFmtId="9" fontId="62" fillId="22" borderId="90" xfId="13" applyFont="1" applyFill="1" applyBorder="1"/>
    <xf numFmtId="9" fontId="62" fillId="23" borderId="86" xfId="13" applyFont="1" applyFill="1" applyBorder="1"/>
    <xf numFmtId="167" fontId="62" fillId="22" borderId="88" xfId="12" applyNumberFormat="1" applyFont="1" applyFill="1" applyBorder="1"/>
    <xf numFmtId="9" fontId="62" fillId="22" borderId="90" xfId="12" applyNumberFormat="1" applyFont="1" applyFill="1" applyBorder="1"/>
    <xf numFmtId="166" fontId="113" fillId="10" borderId="0" xfId="13" applyNumberFormat="1" applyFont="1" applyFill="1" applyBorder="1"/>
    <xf numFmtId="9" fontId="113" fillId="10" borderId="0" xfId="13" applyFont="1" applyFill="1" applyBorder="1"/>
    <xf numFmtId="0" fontId="114" fillId="0" borderId="115" xfId="53" applyFont="1" applyBorder="1" applyAlignment="1">
      <alignment vertical="center" wrapText="1"/>
    </xf>
    <xf numFmtId="0" fontId="115" fillId="0" borderId="115" xfId="53" applyFont="1" applyBorder="1" applyAlignment="1">
      <alignment vertical="center" wrapText="1"/>
    </xf>
    <xf numFmtId="0" fontId="115" fillId="37" borderId="115" xfId="53" applyFont="1" applyFill="1" applyBorder="1" applyAlignment="1">
      <alignment vertical="center" wrapText="1"/>
    </xf>
    <xf numFmtId="0" fontId="115" fillId="0" borderId="117" xfId="53" applyFont="1" applyBorder="1" applyAlignment="1">
      <alignment vertical="center" wrapText="1"/>
    </xf>
    <xf numFmtId="170" fontId="116" fillId="36" borderId="115" xfId="1" applyNumberFormat="1" applyFont="1" applyFill="1" applyBorder="1" applyAlignment="1">
      <alignment horizontal="left" vertical="center" wrapText="1"/>
    </xf>
    <xf numFmtId="170" fontId="116" fillId="36" borderId="116" xfId="1" applyNumberFormat="1" applyFont="1" applyFill="1" applyBorder="1" applyAlignment="1">
      <alignment horizontal="left" vertical="center" wrapText="1"/>
    </xf>
    <xf numFmtId="0" fontId="97" fillId="10" borderId="0" xfId="16" applyFont="1" applyFill="1" applyAlignment="1">
      <alignment vertical="center" wrapText="1"/>
    </xf>
    <xf numFmtId="0" fontId="97" fillId="10" borderId="57" xfId="16" applyFont="1" applyFill="1" applyBorder="1" applyAlignment="1">
      <alignment vertical="center" wrapText="1"/>
    </xf>
    <xf numFmtId="0" fontId="0" fillId="42" borderId="0" xfId="0" applyFill="1"/>
    <xf numFmtId="0" fontId="93" fillId="42" borderId="0" xfId="0" applyFont="1" applyFill="1"/>
    <xf numFmtId="0" fontId="104" fillId="14" borderId="27" xfId="12" applyFont="1" applyFill="1" applyBorder="1" applyAlignment="1">
      <alignment horizontal="center" vertical="center" wrapText="1"/>
    </xf>
    <xf numFmtId="0" fontId="104" fillId="14" borderId="124" xfId="12" applyFont="1" applyFill="1" applyBorder="1" applyAlignment="1">
      <alignment horizontal="center" vertical="center" wrapText="1"/>
    </xf>
    <xf numFmtId="167" fontId="48" fillId="10" borderId="123" xfId="12" applyNumberFormat="1" applyFont="1" applyFill="1" applyBorder="1" applyAlignment="1">
      <alignment horizontal="center"/>
    </xf>
    <xf numFmtId="167" fontId="48" fillId="10" borderId="122" xfId="12" applyNumberFormat="1" applyFont="1" applyFill="1" applyBorder="1" applyAlignment="1">
      <alignment horizontal="center"/>
    </xf>
    <xf numFmtId="167" fontId="48" fillId="10" borderId="121" xfId="12" applyNumberFormat="1" applyFont="1" applyFill="1" applyBorder="1" applyAlignment="1">
      <alignment horizontal="center"/>
    </xf>
    <xf numFmtId="9" fontId="61" fillId="10" borderId="15" xfId="12" applyNumberFormat="1" applyFont="1" applyFill="1" applyBorder="1" applyAlignment="1">
      <alignment horizontal="center"/>
    </xf>
    <xf numFmtId="3" fontId="58" fillId="10" borderId="0" xfId="12" applyNumberFormat="1" applyFont="1" applyFill="1" applyAlignment="1">
      <alignment horizontal="left"/>
    </xf>
    <xf numFmtId="9" fontId="61" fillId="10" borderId="32" xfId="12" applyNumberFormat="1" applyFont="1" applyFill="1" applyBorder="1" applyAlignment="1">
      <alignment horizontal="center"/>
    </xf>
    <xf numFmtId="9" fontId="61" fillId="10" borderId="33" xfId="12" applyNumberFormat="1" applyFont="1" applyFill="1" applyBorder="1" applyAlignment="1">
      <alignment horizontal="center"/>
    </xf>
    <xf numFmtId="9" fontId="61" fillId="10" borderId="34" xfId="12" applyNumberFormat="1" applyFont="1" applyFill="1" applyBorder="1" applyAlignment="1">
      <alignment horizontal="center"/>
    </xf>
    <xf numFmtId="0" fontId="61" fillId="10" borderId="21" xfId="12" applyFont="1" applyFill="1" applyBorder="1" applyAlignment="1">
      <alignment horizontal="center" vertical="center" wrapText="1"/>
    </xf>
    <xf numFmtId="0" fontId="62" fillId="10" borderId="21" xfId="12" applyFont="1" applyFill="1" applyBorder="1" applyAlignment="1">
      <alignment horizontal="center" vertical="center" wrapText="1"/>
    </xf>
    <xf numFmtId="0" fontId="54" fillId="12" borderId="5" xfId="12" applyFont="1" applyFill="1" applyBorder="1" applyAlignment="1">
      <alignment horizontal="center" vertical="center"/>
    </xf>
    <xf numFmtId="0" fontId="54" fillId="12" borderId="6" xfId="12" applyFont="1" applyFill="1" applyBorder="1" applyAlignment="1">
      <alignment horizontal="center" vertical="center"/>
    </xf>
    <xf numFmtId="0" fontId="54" fillId="12" borderId="7" xfId="12" applyFont="1" applyFill="1" applyBorder="1" applyAlignment="1">
      <alignment horizontal="center" vertical="center"/>
    </xf>
    <xf numFmtId="0" fontId="54" fillId="9" borderId="5" xfId="12" applyFont="1" applyFill="1" applyBorder="1" applyAlignment="1">
      <alignment horizontal="center" vertical="center"/>
    </xf>
    <xf numFmtId="0" fontId="54" fillId="9" borderId="6" xfId="12" applyFont="1" applyFill="1" applyBorder="1" applyAlignment="1">
      <alignment horizontal="center" vertical="center"/>
    </xf>
    <xf numFmtId="0" fontId="54" fillId="9" borderId="7" xfId="12" applyFont="1" applyFill="1" applyBorder="1" applyAlignment="1">
      <alignment horizontal="center" vertical="center"/>
    </xf>
    <xf numFmtId="0" fontId="59" fillId="0" borderId="5" xfId="12" applyFont="1" applyBorder="1" applyAlignment="1">
      <alignment horizontal="center" vertical="center"/>
    </xf>
    <xf numFmtId="0" fontId="59" fillId="0" borderId="6" xfId="12" applyFont="1" applyBorder="1" applyAlignment="1">
      <alignment horizontal="center" vertical="center"/>
    </xf>
    <xf numFmtId="0" fontId="59" fillId="0" borderId="7" xfId="12" applyFont="1" applyBorder="1" applyAlignment="1">
      <alignment horizontal="center" vertical="center"/>
    </xf>
    <xf numFmtId="0" fontId="59" fillId="10" borderId="5" xfId="12" applyFont="1" applyFill="1" applyBorder="1" applyAlignment="1">
      <alignment horizontal="center" vertical="center"/>
    </xf>
    <xf numFmtId="0" fontId="59" fillId="10" borderId="6" xfId="12" applyFont="1" applyFill="1" applyBorder="1" applyAlignment="1">
      <alignment horizontal="center" vertical="center"/>
    </xf>
    <xf numFmtId="0" fontId="59" fillId="10" borderId="7" xfId="12" applyFont="1" applyFill="1" applyBorder="1" applyAlignment="1">
      <alignment horizontal="center" vertical="center"/>
    </xf>
    <xf numFmtId="9" fontId="61" fillId="0" borderId="32" xfId="12" applyNumberFormat="1" applyFont="1" applyBorder="1" applyAlignment="1">
      <alignment horizontal="center" vertical="center" wrapText="1"/>
    </xf>
    <xf numFmtId="9" fontId="61" fillId="0" borderId="33" xfId="12" applyNumberFormat="1" applyFont="1" applyBorder="1" applyAlignment="1">
      <alignment horizontal="center" vertical="center" wrapText="1"/>
    </xf>
    <xf numFmtId="9" fontId="61" fillId="0" borderId="34" xfId="12" applyNumberFormat="1" applyFont="1" applyBorder="1" applyAlignment="1">
      <alignment horizontal="center" vertical="center" wrapText="1"/>
    </xf>
    <xf numFmtId="9" fontId="61" fillId="10" borderId="32" xfId="12" applyNumberFormat="1" applyFont="1" applyFill="1" applyBorder="1" applyAlignment="1">
      <alignment horizontal="center" vertical="center"/>
    </xf>
    <xf numFmtId="9" fontId="61" fillId="10" borderId="33" xfId="12" applyNumberFormat="1" applyFont="1" applyFill="1" applyBorder="1" applyAlignment="1">
      <alignment horizontal="center" vertical="center"/>
    </xf>
    <xf numFmtId="9" fontId="61" fillId="10" borderId="34" xfId="12" applyNumberFormat="1" applyFont="1" applyFill="1" applyBorder="1" applyAlignment="1">
      <alignment horizontal="center" vertical="center"/>
    </xf>
    <xf numFmtId="9" fontId="61" fillId="10" borderId="15" xfId="12" applyNumberFormat="1" applyFont="1" applyFill="1" applyBorder="1" applyAlignment="1">
      <alignment horizontal="left"/>
    </xf>
    <xf numFmtId="9" fontId="61" fillId="10" borderId="16" xfId="12" applyNumberFormat="1" applyFont="1" applyFill="1" applyBorder="1" applyAlignment="1">
      <alignment horizontal="left"/>
    </xf>
    <xf numFmtId="9" fontId="61" fillId="0" borderId="32" xfId="12" applyNumberFormat="1" applyFont="1" applyBorder="1" applyAlignment="1">
      <alignment horizontal="center" vertical="center"/>
    </xf>
    <xf numFmtId="9" fontId="61" fillId="0" borderId="33" xfId="12" applyNumberFormat="1" applyFont="1" applyBorder="1" applyAlignment="1">
      <alignment horizontal="center" vertical="center"/>
    </xf>
    <xf numFmtId="9" fontId="61" fillId="0" borderId="34" xfId="12" applyNumberFormat="1" applyFont="1" applyBorder="1" applyAlignment="1">
      <alignment horizontal="center" vertical="center"/>
    </xf>
    <xf numFmtId="9" fontId="62" fillId="10" borderId="16" xfId="12" applyNumberFormat="1" applyFont="1" applyFill="1" applyBorder="1" applyAlignment="1">
      <alignment horizontal="center"/>
    </xf>
    <xf numFmtId="9" fontId="62" fillId="10" borderId="22" xfId="12" applyNumberFormat="1" applyFont="1" applyFill="1" applyBorder="1" applyAlignment="1">
      <alignment horizontal="center"/>
    </xf>
    <xf numFmtId="9" fontId="62" fillId="10" borderId="31" xfId="12" applyNumberFormat="1" applyFont="1" applyFill="1" applyBorder="1" applyAlignment="1">
      <alignment horizontal="center"/>
    </xf>
    <xf numFmtId="0" fontId="54" fillId="12" borderId="5" xfId="21" applyFont="1" applyFill="1" applyBorder="1" applyAlignment="1">
      <alignment horizontal="center" vertical="center"/>
    </xf>
    <xf numFmtId="0" fontId="54" fillId="12" borderId="6" xfId="21" applyFont="1" applyFill="1" applyBorder="1" applyAlignment="1">
      <alignment horizontal="center" vertical="center"/>
    </xf>
    <xf numFmtId="0" fontId="54" fillId="12" borderId="7" xfId="21" applyFont="1" applyFill="1" applyBorder="1" applyAlignment="1">
      <alignment horizontal="center" vertical="center"/>
    </xf>
    <xf numFmtId="0" fontId="54" fillId="9" borderId="5" xfId="21" applyFont="1" applyFill="1" applyBorder="1" applyAlignment="1">
      <alignment horizontal="center" vertical="center"/>
    </xf>
    <xf numFmtId="0" fontId="54" fillId="9" borderId="6" xfId="21" applyFont="1" applyFill="1" applyBorder="1" applyAlignment="1">
      <alignment horizontal="center" vertical="center"/>
    </xf>
    <xf numFmtId="0" fontId="54" fillId="9" borderId="7" xfId="21" applyFont="1" applyFill="1" applyBorder="1" applyAlignment="1">
      <alignment horizontal="center" vertical="center"/>
    </xf>
    <xf numFmtId="0" fontId="54" fillId="12" borderId="5" xfId="14" applyFont="1" applyFill="1" applyBorder="1" applyAlignment="1">
      <alignment horizontal="center" vertical="center"/>
    </xf>
    <xf numFmtId="0" fontId="54" fillId="12" borderId="6" xfId="14" applyFont="1" applyFill="1" applyBorder="1" applyAlignment="1">
      <alignment horizontal="center" vertical="center"/>
    </xf>
    <xf numFmtId="0" fontId="54" fillId="9" borderId="5" xfId="14" applyFont="1" applyFill="1" applyBorder="1" applyAlignment="1">
      <alignment horizontal="center" vertical="center"/>
    </xf>
    <xf numFmtId="0" fontId="54" fillId="9" borderId="6" xfId="14" applyFont="1" applyFill="1" applyBorder="1" applyAlignment="1">
      <alignment horizontal="center" vertical="center"/>
    </xf>
    <xf numFmtId="0" fontId="54" fillId="9" borderId="7" xfId="14" applyFont="1" applyFill="1" applyBorder="1" applyAlignment="1">
      <alignment horizontal="center" vertical="center"/>
    </xf>
    <xf numFmtId="0" fontId="58" fillId="10" borderId="16" xfId="14" applyFont="1" applyFill="1" applyBorder="1" applyAlignment="1">
      <alignment horizontal="center"/>
    </xf>
    <xf numFmtId="0" fontId="58" fillId="10" borderId="22" xfId="14" applyFont="1" applyFill="1" applyBorder="1" applyAlignment="1">
      <alignment horizontal="center"/>
    </xf>
    <xf numFmtId="0" fontId="58" fillId="10" borderId="0" xfId="14" applyFont="1" applyFill="1" applyAlignment="1">
      <alignment horizontal="center"/>
    </xf>
    <xf numFmtId="0" fontId="54" fillId="12" borderId="54" xfId="23" applyFont="1" applyFill="1" applyBorder="1" applyAlignment="1">
      <alignment horizontal="center" vertical="center"/>
    </xf>
    <xf numFmtId="0" fontId="54" fillId="12" borderId="6" xfId="23" applyFont="1" applyFill="1" applyBorder="1" applyAlignment="1">
      <alignment horizontal="center" vertical="center"/>
    </xf>
    <xf numFmtId="0" fontId="54" fillId="12" borderId="7" xfId="23" applyFont="1" applyFill="1" applyBorder="1" applyAlignment="1">
      <alignment horizontal="center" vertical="center"/>
    </xf>
    <xf numFmtId="0" fontId="54" fillId="9" borderId="5" xfId="23" applyFont="1" applyFill="1" applyBorder="1" applyAlignment="1">
      <alignment horizontal="center" vertical="center"/>
    </xf>
    <xf numFmtId="0" fontId="54" fillId="9" borderId="6" xfId="23" applyFont="1" applyFill="1" applyBorder="1" applyAlignment="1">
      <alignment horizontal="center" vertical="center"/>
    </xf>
    <xf numFmtId="0" fontId="54" fillId="9" borderId="7" xfId="23" applyFont="1" applyFill="1" applyBorder="1" applyAlignment="1">
      <alignment horizontal="center" vertical="center"/>
    </xf>
    <xf numFmtId="167" fontId="67" fillId="22" borderId="5" xfId="23" applyNumberFormat="1" applyFont="1" applyFill="1" applyBorder="1" applyAlignment="1">
      <alignment horizontal="center" vertical="center"/>
    </xf>
    <xf numFmtId="167" fontId="67" fillId="22" borderId="6" xfId="23" applyNumberFormat="1" applyFont="1" applyFill="1" applyBorder="1" applyAlignment="1">
      <alignment horizontal="center" vertical="center"/>
    </xf>
    <xf numFmtId="167" fontId="67" fillId="22" borderId="7" xfId="23" applyNumberFormat="1" applyFont="1" applyFill="1" applyBorder="1" applyAlignment="1">
      <alignment horizontal="center" vertical="center"/>
    </xf>
    <xf numFmtId="167" fontId="67" fillId="17" borderId="5" xfId="23" applyNumberFormat="1" applyFont="1" applyFill="1" applyBorder="1" applyAlignment="1">
      <alignment horizontal="center" vertical="center"/>
    </xf>
    <xf numFmtId="167" fontId="67" fillId="17" borderId="6" xfId="23" applyNumberFormat="1" applyFont="1" applyFill="1" applyBorder="1" applyAlignment="1">
      <alignment horizontal="center" vertical="center"/>
    </xf>
    <xf numFmtId="167" fontId="67" fillId="17" borderId="7" xfId="23" applyNumberFormat="1" applyFont="1" applyFill="1" applyBorder="1" applyAlignment="1">
      <alignment horizontal="center" vertical="center"/>
    </xf>
    <xf numFmtId="167" fontId="67" fillId="22" borderId="0" xfId="23" applyNumberFormat="1" applyFont="1" applyFill="1" applyAlignment="1">
      <alignment horizontal="left" vertical="center"/>
    </xf>
    <xf numFmtId="167" fontId="67" fillId="17" borderId="0" xfId="23" applyNumberFormat="1" applyFont="1" applyFill="1" applyAlignment="1">
      <alignment horizontal="left" vertical="center"/>
    </xf>
    <xf numFmtId="167" fontId="61" fillId="10" borderId="2" xfId="23" applyNumberFormat="1" applyFont="1" applyFill="1" applyBorder="1" applyAlignment="1">
      <alignment horizontal="center" wrapText="1"/>
    </xf>
    <xf numFmtId="167" fontId="61" fillId="10" borderId="8" xfId="23" applyNumberFormat="1" applyFont="1" applyFill="1" applyBorder="1" applyAlignment="1">
      <alignment horizontal="center" wrapText="1"/>
    </xf>
    <xf numFmtId="167" fontId="61" fillId="10" borderId="9" xfId="23" applyNumberFormat="1" applyFont="1" applyFill="1" applyBorder="1" applyAlignment="1">
      <alignment horizontal="center" wrapText="1"/>
    </xf>
    <xf numFmtId="167" fontId="67" fillId="17" borderId="0" xfId="23" applyNumberFormat="1" applyFont="1" applyFill="1" applyAlignment="1">
      <alignment horizontal="center" vertical="center"/>
    </xf>
    <xf numFmtId="167" fontId="61" fillId="10" borderId="2" xfId="23" applyNumberFormat="1" applyFont="1" applyFill="1" applyBorder="1" applyAlignment="1">
      <alignment horizontal="center"/>
    </xf>
    <xf numFmtId="167" fontId="61" fillId="10" borderId="8" xfId="23" applyNumberFormat="1" applyFont="1" applyFill="1" applyBorder="1" applyAlignment="1">
      <alignment horizontal="center"/>
    </xf>
    <xf numFmtId="167" fontId="61" fillId="10" borderId="9" xfId="23" applyNumberFormat="1" applyFont="1" applyFill="1" applyBorder="1" applyAlignment="1">
      <alignment horizontal="center"/>
    </xf>
    <xf numFmtId="167" fontId="110" fillId="10" borderId="2" xfId="23" applyNumberFormat="1" applyFont="1" applyFill="1" applyBorder="1" applyAlignment="1">
      <alignment horizontal="center" vertical="center"/>
    </xf>
    <xf numFmtId="167" fontId="110" fillId="10" borderId="9" xfId="23" applyNumberFormat="1" applyFont="1" applyFill="1" applyBorder="1" applyAlignment="1">
      <alignment horizontal="center" vertical="center"/>
    </xf>
    <xf numFmtId="167" fontId="18" fillId="0" borderId="1" xfId="23" applyNumberFormat="1" applyFont="1" applyBorder="1" applyAlignment="1">
      <alignment horizontal="center"/>
    </xf>
    <xf numFmtId="167" fontId="34" fillId="0" borderId="1" xfId="23" applyNumberFormat="1" applyBorder="1" applyAlignment="1">
      <alignment horizontal="center"/>
    </xf>
    <xf numFmtId="167" fontId="18" fillId="0" borderId="2" xfId="23" applyNumberFormat="1" applyFont="1" applyBorder="1" applyAlignment="1">
      <alignment horizontal="center"/>
    </xf>
    <xf numFmtId="167" fontId="34" fillId="0" borderId="8" xfId="23" applyNumberFormat="1" applyBorder="1" applyAlignment="1">
      <alignment horizontal="center"/>
    </xf>
    <xf numFmtId="167" fontId="34" fillId="0" borderId="9" xfId="23" applyNumberFormat="1" applyBorder="1" applyAlignment="1">
      <alignment horizontal="center"/>
    </xf>
    <xf numFmtId="167" fontId="18" fillId="0" borderId="109" xfId="23" applyNumberFormat="1" applyFont="1" applyBorder="1" applyAlignment="1">
      <alignment horizontal="center"/>
    </xf>
    <xf numFmtId="167" fontId="34" fillId="0" borderId="110" xfId="23" applyNumberFormat="1" applyBorder="1" applyAlignment="1">
      <alignment horizontal="center"/>
    </xf>
    <xf numFmtId="167" fontId="34" fillId="0" borderId="111" xfId="23" applyNumberFormat="1" applyBorder="1" applyAlignment="1">
      <alignment horizontal="center"/>
    </xf>
    <xf numFmtId="0" fontId="54" fillId="12" borderId="5" xfId="16" applyFont="1" applyFill="1" applyBorder="1" applyAlignment="1">
      <alignment horizontal="center" vertical="center"/>
    </xf>
    <xf numFmtId="0" fontId="54" fillId="12" borderId="6" xfId="16" applyFont="1" applyFill="1" applyBorder="1" applyAlignment="1">
      <alignment horizontal="center" vertical="center"/>
    </xf>
    <xf numFmtId="0" fontId="54" fillId="9" borderId="5" xfId="16" applyFont="1" applyFill="1" applyBorder="1" applyAlignment="1">
      <alignment horizontal="center" vertical="center"/>
    </xf>
    <xf numFmtId="0" fontId="54" fillId="9" borderId="6" xfId="16" applyFont="1" applyFill="1" applyBorder="1" applyAlignment="1">
      <alignment horizontal="center" vertical="center"/>
    </xf>
    <xf numFmtId="0" fontId="54" fillId="9" borderId="7" xfId="16" applyFont="1" applyFill="1" applyBorder="1" applyAlignment="1">
      <alignment horizontal="center" vertical="center"/>
    </xf>
    <xf numFmtId="0" fontId="68" fillId="10" borderId="1" xfId="16" applyFont="1" applyFill="1" applyBorder="1" applyAlignment="1">
      <alignment horizontal="center" vertical="center"/>
    </xf>
    <xf numFmtId="0" fontId="68" fillId="3" borderId="1" xfId="16" applyFont="1" applyFill="1" applyBorder="1" applyAlignment="1">
      <alignment horizontal="center" vertical="center"/>
    </xf>
    <xf numFmtId="0" fontId="67" fillId="17" borderId="10" xfId="16" applyFont="1" applyFill="1" applyBorder="1" applyAlignment="1">
      <alignment horizontal="center" vertical="center"/>
    </xf>
    <xf numFmtId="0" fontId="67" fillId="17" borderId="11" xfId="16" applyFont="1" applyFill="1" applyBorder="1" applyAlignment="1">
      <alignment horizontal="center" vertical="center"/>
    </xf>
    <xf numFmtId="0" fontId="67" fillId="17" borderId="12" xfId="16" applyFont="1" applyFill="1" applyBorder="1" applyAlignment="1">
      <alignment horizontal="center" vertical="center"/>
    </xf>
    <xf numFmtId="0" fontId="67" fillId="22" borderId="21" xfId="16" applyFont="1" applyFill="1" applyBorder="1" applyAlignment="1">
      <alignment horizontal="center" vertical="center"/>
    </xf>
    <xf numFmtId="0" fontId="67" fillId="22" borderId="0" xfId="16" applyFont="1" applyFill="1" applyAlignment="1">
      <alignment horizontal="center" vertical="center"/>
    </xf>
    <xf numFmtId="0" fontId="67" fillId="22" borderId="23" xfId="16" applyFont="1" applyFill="1" applyBorder="1" applyAlignment="1">
      <alignment horizontal="center" vertical="center"/>
    </xf>
    <xf numFmtId="0" fontId="67" fillId="19" borderId="21" xfId="16" applyFont="1" applyFill="1" applyBorder="1" applyAlignment="1">
      <alignment horizontal="center" vertical="center"/>
    </xf>
    <xf numFmtId="0" fontId="67" fillId="19" borderId="0" xfId="16" applyFont="1" applyFill="1" applyAlignment="1">
      <alignment horizontal="center" vertical="center"/>
    </xf>
    <xf numFmtId="0" fontId="67" fillId="19" borderId="10" xfId="16" applyFont="1" applyFill="1" applyBorder="1" applyAlignment="1">
      <alignment horizontal="center" vertical="center"/>
    </xf>
    <xf numFmtId="0" fontId="67" fillId="19" borderId="11" xfId="16" applyFont="1" applyFill="1" applyBorder="1" applyAlignment="1">
      <alignment horizontal="center" vertical="center"/>
    </xf>
    <xf numFmtId="0" fontId="97" fillId="10" borderId="0" xfId="16" applyFont="1" applyFill="1" applyAlignment="1">
      <alignment horizontal="left" vertical="center" wrapText="1"/>
    </xf>
    <xf numFmtId="0" fontId="48" fillId="0" borderId="5" xfId="16" applyFont="1" applyBorder="1" applyAlignment="1">
      <alignment horizontal="center" vertical="center"/>
    </xf>
    <xf numFmtId="0" fontId="48" fillId="0" borderId="6" xfId="16" applyFont="1" applyBorder="1" applyAlignment="1">
      <alignment horizontal="center" vertical="center"/>
    </xf>
    <xf numFmtId="0" fontId="48" fillId="0" borderId="7" xfId="16" applyFont="1" applyBorder="1" applyAlignment="1">
      <alignment horizontal="center" vertical="center"/>
    </xf>
    <xf numFmtId="167" fontId="48" fillId="4" borderId="64" xfId="23" applyNumberFormat="1" applyFont="1" applyFill="1" applyBorder="1" applyAlignment="1">
      <alignment horizontal="center" vertical="center" wrapText="1"/>
    </xf>
    <xf numFmtId="167" fontId="48" fillId="4" borderId="72" xfId="23" applyNumberFormat="1" applyFont="1" applyFill="1" applyBorder="1" applyAlignment="1">
      <alignment horizontal="center" vertical="center" wrapText="1"/>
    </xf>
    <xf numFmtId="167" fontId="72" fillId="4" borderId="80" xfId="23" applyNumberFormat="1" applyFont="1" applyFill="1" applyBorder="1" applyAlignment="1">
      <alignment horizontal="center" vertical="center"/>
    </xf>
    <xf numFmtId="167" fontId="72" fillId="4" borderId="14" xfId="23" applyNumberFormat="1" applyFont="1" applyFill="1" applyBorder="1" applyAlignment="1">
      <alignment horizontal="center" vertical="center"/>
    </xf>
    <xf numFmtId="167" fontId="72" fillId="4" borderId="81" xfId="23" applyNumberFormat="1" applyFont="1" applyFill="1" applyBorder="1" applyAlignment="1">
      <alignment horizontal="center" vertical="center"/>
    </xf>
    <xf numFmtId="167" fontId="72" fillId="4" borderId="54" xfId="23" applyNumberFormat="1" applyFont="1" applyFill="1" applyBorder="1" applyAlignment="1">
      <alignment horizontal="center" vertical="center"/>
    </xf>
    <xf numFmtId="167" fontId="72" fillId="4" borderId="3" xfId="23" applyNumberFormat="1" applyFont="1" applyFill="1" applyBorder="1" applyAlignment="1">
      <alignment horizontal="center" vertical="center"/>
    </xf>
    <xf numFmtId="167" fontId="72" fillId="4" borderId="4" xfId="23" applyNumberFormat="1" applyFont="1" applyFill="1" applyBorder="1" applyAlignment="1">
      <alignment horizontal="center" vertical="center"/>
    </xf>
    <xf numFmtId="167" fontId="48" fillId="4" borderId="80" xfId="23" applyNumberFormat="1" applyFont="1" applyFill="1" applyBorder="1" applyAlignment="1">
      <alignment horizontal="center" vertical="center" wrapText="1"/>
    </xf>
    <xf numFmtId="167" fontId="48" fillId="4" borderId="14" xfId="23" applyNumberFormat="1" applyFont="1" applyFill="1" applyBorder="1" applyAlignment="1">
      <alignment horizontal="center" vertical="center" wrapText="1"/>
    </xf>
    <xf numFmtId="167" fontId="48" fillId="4" borderId="81" xfId="23" applyNumberFormat="1" applyFont="1" applyFill="1" applyBorder="1" applyAlignment="1">
      <alignment horizontal="center" vertical="center" wrapText="1"/>
    </xf>
    <xf numFmtId="167" fontId="48" fillId="4" borderId="65" xfId="23" applyNumberFormat="1" applyFont="1" applyFill="1" applyBorder="1" applyAlignment="1">
      <alignment horizontal="center" vertical="center" wrapText="1"/>
    </xf>
    <xf numFmtId="167" fontId="48" fillId="4" borderId="63" xfId="23" applyNumberFormat="1" applyFont="1" applyFill="1" applyBorder="1" applyAlignment="1">
      <alignment horizontal="center" vertical="center" wrapText="1"/>
    </xf>
    <xf numFmtId="167" fontId="48" fillId="4" borderId="71" xfId="23" applyNumberFormat="1" applyFont="1" applyFill="1" applyBorder="1" applyAlignment="1">
      <alignment horizontal="center" vertical="center" wrapText="1"/>
    </xf>
    <xf numFmtId="167" fontId="72" fillId="4" borderId="13" xfId="23" applyNumberFormat="1" applyFont="1" applyFill="1" applyBorder="1" applyAlignment="1">
      <alignment horizontal="center" vertical="center"/>
    </xf>
    <xf numFmtId="167" fontId="72" fillId="4" borderId="60" xfId="23" applyNumberFormat="1" applyFont="1" applyFill="1" applyBorder="1" applyAlignment="1">
      <alignment horizontal="center" vertical="center"/>
    </xf>
    <xf numFmtId="167" fontId="72" fillId="4" borderId="61" xfId="23" applyNumberFormat="1" applyFont="1" applyFill="1" applyBorder="1" applyAlignment="1">
      <alignment horizontal="center" vertical="center"/>
    </xf>
    <xf numFmtId="167" fontId="72" fillId="4" borderId="62" xfId="23" applyNumberFormat="1" applyFont="1" applyFill="1" applyBorder="1" applyAlignment="1">
      <alignment horizontal="center" vertical="center"/>
    </xf>
    <xf numFmtId="167" fontId="48" fillId="4" borderId="68" xfId="23" applyNumberFormat="1" applyFont="1" applyFill="1" applyBorder="1" applyAlignment="1">
      <alignment horizontal="center" vertical="center" wrapText="1"/>
    </xf>
    <xf numFmtId="0" fontId="77" fillId="34" borderId="0" xfId="0" applyFont="1" applyFill="1" applyAlignment="1">
      <alignment horizontal="left"/>
    </xf>
    <xf numFmtId="0" fontId="78" fillId="5" borderId="97" xfId="19" applyFont="1" applyFill="1" applyBorder="1" applyAlignment="1">
      <alignment horizontal="center" vertical="center"/>
    </xf>
    <xf numFmtId="0" fontId="78" fillId="5" borderId="98" xfId="19" applyFont="1" applyFill="1" applyBorder="1" applyAlignment="1">
      <alignment horizontal="center" vertical="center"/>
    </xf>
    <xf numFmtId="0" fontId="78" fillId="5" borderId="99" xfId="19" applyFont="1" applyFill="1" applyBorder="1" applyAlignment="1">
      <alignment horizontal="center" vertical="center"/>
    </xf>
    <xf numFmtId="0" fontId="69" fillId="5" borderId="97" xfId="19" applyFont="1" applyFill="1" applyBorder="1" applyAlignment="1">
      <alignment horizontal="center" vertical="center"/>
    </xf>
    <xf numFmtId="0" fontId="69" fillId="5" borderId="98" xfId="19" applyFont="1" applyFill="1" applyBorder="1" applyAlignment="1">
      <alignment horizontal="center" vertical="center"/>
    </xf>
    <xf numFmtId="0" fontId="69" fillId="5" borderId="99" xfId="19" applyFont="1" applyFill="1" applyBorder="1" applyAlignment="1">
      <alignment horizontal="center" vertical="center"/>
    </xf>
    <xf numFmtId="169" fontId="0" fillId="0" borderId="0" xfId="0" applyNumberFormat="1" applyAlignment="1">
      <alignment horizontal="center" vertical="center"/>
    </xf>
    <xf numFmtId="0" fontId="1" fillId="0" borderId="0" xfId="5" applyFont="1"/>
    <xf numFmtId="0" fontId="53" fillId="44" borderId="20" xfId="9" applyFont="1" applyFill="1" applyBorder="1" applyAlignment="1">
      <alignment vertical="center" wrapText="1"/>
    </xf>
    <xf numFmtId="0" fontId="52" fillId="44" borderId="0" xfId="19" applyFont="1" applyFill="1" applyAlignment="1">
      <alignment horizontal="center" vertical="center"/>
    </xf>
    <xf numFmtId="0" fontId="52" fillId="0" borderId="0" xfId="19" applyFont="1" applyAlignment="1">
      <alignment horizontal="left" vertical="center"/>
    </xf>
    <xf numFmtId="0" fontId="52" fillId="44" borderId="0" xfId="19" applyFont="1" applyFill="1" applyAlignment="1">
      <alignment horizontal="left" vertical="center"/>
    </xf>
    <xf numFmtId="0" fontId="61" fillId="27" borderId="0" xfId="19" applyFont="1" applyFill="1" applyAlignment="1">
      <alignment horizontal="left" vertical="center" wrapText="1"/>
    </xf>
    <xf numFmtId="0" fontId="61" fillId="28" borderId="0" xfId="19" applyFont="1" applyFill="1" applyAlignment="1">
      <alignment horizontal="left" vertical="center" wrapText="1"/>
    </xf>
    <xf numFmtId="0" fontId="61" fillId="28" borderId="0" xfId="19" quotePrefix="1" applyFont="1" applyFill="1" applyAlignment="1">
      <alignment horizontal="left" vertical="center" wrapText="1"/>
    </xf>
    <xf numFmtId="0" fontId="52" fillId="0" borderId="0" xfId="19" quotePrefix="1" applyFont="1" applyAlignment="1">
      <alignment horizontal="left" vertical="center" wrapText="1"/>
    </xf>
    <xf numFmtId="0" fontId="63" fillId="0" borderId="0" xfId="23" applyFont="1" applyBorder="1" applyAlignment="1">
      <alignment horizontal="left" vertical="center"/>
    </xf>
    <xf numFmtId="0" fontId="57" fillId="44" borderId="119" xfId="23" applyFont="1" applyFill="1" applyBorder="1" applyAlignment="1">
      <alignment horizontal="center" vertical="center" wrapText="1"/>
    </xf>
    <xf numFmtId="0" fontId="57" fillId="44" borderId="76" xfId="23" applyFont="1" applyFill="1" applyBorder="1" applyAlignment="1">
      <alignment horizontal="center" vertical="center" wrapText="1"/>
    </xf>
    <xf numFmtId="0" fontId="45" fillId="0" borderId="0" xfId="5" applyNumberFormat="1" applyFill="1" applyAlignment="1"/>
    <xf numFmtId="0" fontId="53" fillId="44" borderId="78" xfId="9" applyNumberFormat="1" applyFont="1" applyFill="1" applyBorder="1" applyAlignment="1">
      <alignment vertical="center" wrapText="1"/>
    </xf>
    <xf numFmtId="0" fontId="52" fillId="0" borderId="0" xfId="18" applyNumberFormat="1" applyFont="1" applyFill="1" applyAlignment="1">
      <alignment vertical="center"/>
    </xf>
    <xf numFmtId="0" fontId="52" fillId="0" borderId="0" xfId="18" applyNumberFormat="1" applyFont="1" applyFill="1" applyAlignment="1">
      <alignment horizontal="center"/>
    </xf>
    <xf numFmtId="0" fontId="61" fillId="43" borderId="0" xfId="18" applyFont="1" applyFill="1" applyAlignment="1">
      <alignment vertical="center"/>
    </xf>
    <xf numFmtId="0" fontId="61" fillId="43" borderId="0" xfId="18" applyNumberFormat="1" applyFont="1" applyFill="1" applyAlignment="1">
      <alignment vertical="center"/>
    </xf>
    <xf numFmtId="0" fontId="52" fillId="0" borderId="0" xfId="18" applyFont="1" applyAlignment="1">
      <alignment horizontal="left" vertical="center" wrapText="1"/>
    </xf>
    <xf numFmtId="0" fontId="52" fillId="44" borderId="0" xfId="18" applyFont="1" applyFill="1" applyAlignment="1">
      <alignment horizontal="left" vertical="center" wrapText="1"/>
    </xf>
    <xf numFmtId="0" fontId="52" fillId="10" borderId="0" xfId="18" applyFont="1" applyFill="1" applyAlignment="1">
      <alignment horizontal="left" vertical="center" wrapText="1"/>
    </xf>
    <xf numFmtId="0" fontId="61" fillId="43" borderId="0" xfId="18" applyNumberFormat="1" applyFont="1" applyFill="1" applyAlignment="1">
      <alignment horizontal="center" vertical="center" wrapText="1"/>
    </xf>
  </cellXfs>
  <cellStyles count="65">
    <cellStyle name="Comma" xfId="6" builtinId="3"/>
    <cellStyle name="Comma [0]" xfId="49" builtinId="6"/>
    <cellStyle name="Lien hypertexte 2" xfId="54" xr:uid="{E5EFF57F-8368-437E-B2EF-8E5B61002CD1}"/>
    <cellStyle name="Milliers 2" xfId="25" xr:uid="{9C52B569-8A6A-4360-90B3-DDCBB1083F3E}"/>
    <cellStyle name="Monétaire [0] 2" xfId="4" xr:uid="{9E0CF352-8244-4AB2-BC7B-0BDEBD8F85CA}"/>
    <cellStyle name="Normal" xfId="0" builtinId="0"/>
    <cellStyle name="Normal 10" xfId="16" xr:uid="{055E8676-6BA3-42A7-BABE-715B03E73941}"/>
    <cellStyle name="Normal 11" xfId="18" xr:uid="{55810087-6885-4C9C-8C8E-79E346842064}"/>
    <cellStyle name="Normal 12" xfId="19" xr:uid="{EA4615D7-50DC-4871-8ED6-70BA536AF6E3}"/>
    <cellStyle name="Normal 13" xfId="20" xr:uid="{A03B497E-F4CB-4049-8450-503BE4FC4BA1}"/>
    <cellStyle name="Normal 13 2" xfId="37" xr:uid="{2B8B7DD9-BE48-4BFB-B9AA-DBC398432C75}"/>
    <cellStyle name="Normal 14" xfId="21" xr:uid="{1A2E8201-C19F-4B2B-A1CC-460EFA98D6D2}"/>
    <cellStyle name="Normal 15" xfId="23" xr:uid="{1D3FAE92-7232-4C2C-A058-777AC639EBB0}"/>
    <cellStyle name="Normal 15 2" xfId="44" xr:uid="{9B7B02F0-58DA-476A-A2EA-805055A57EF8}"/>
    <cellStyle name="Normal 16" xfId="26" xr:uid="{E59F4573-8F81-4839-BE4F-2B669E76BA7D}"/>
    <cellStyle name="Normal 17" xfId="29" xr:uid="{AAEC88E8-9CAA-4AFA-A1AE-A5691AC043C3}"/>
    <cellStyle name="Normal 18" xfId="30" xr:uid="{7D190383-5E61-43DC-B236-3F261C056992}"/>
    <cellStyle name="Normal 18 2" xfId="32" xr:uid="{443DDF17-2F0E-46E4-8D68-7E5B82C51EFA}"/>
    <cellStyle name="Normal 18 2 2" xfId="39" xr:uid="{5B4FF500-1AB5-4E6D-9684-4F5965CEB3B7}"/>
    <cellStyle name="Normal 19" xfId="31" xr:uid="{B08A1937-AEA3-4897-80AE-8B22D0A379B5}"/>
    <cellStyle name="Normal 19 2" xfId="40" xr:uid="{F14FB36E-2094-4FF5-AE3E-C79F5097EB0C}"/>
    <cellStyle name="Normal 2" xfId="1" xr:uid="{00000000-0005-0000-0000-000002000000}"/>
    <cellStyle name="Normal 2 2" xfId="55" xr:uid="{3CF295B7-A496-4438-BC2C-EC5DD6D33666}"/>
    <cellStyle name="Normal 20" xfId="33" xr:uid="{5F6552D6-F5AD-44CE-990D-8FC9A38015B4}"/>
    <cellStyle name="Normal 21" xfId="35" xr:uid="{CEF5BEAB-44CF-4E0D-876C-2A1C35620B04}"/>
    <cellStyle name="Normal 22" xfId="38" xr:uid="{953A9063-F200-486B-9F74-5246FBEDD26C}"/>
    <cellStyle name="Normal 23" xfId="52" xr:uid="{24EFEF6B-68A8-4A2E-AC3F-31BA22D488DB}"/>
    <cellStyle name="Normal 23 2" xfId="62" xr:uid="{C40D8F1A-7B19-4EEF-80C6-EBD7E5F9CEA6}"/>
    <cellStyle name="Normal 24" xfId="56" xr:uid="{4BBF634F-3433-452B-9E3E-15B0BDAD07AE}"/>
    <cellStyle name="Normal 25" xfId="61" xr:uid="{A8643098-5AA1-4632-AB71-26D739B2DC92}"/>
    <cellStyle name="Normal 26" xfId="64" xr:uid="{8CE5CB26-1100-40F0-9C1E-FA1C8030CC1B}"/>
    <cellStyle name="Normal 3" xfId="2" xr:uid="{00000000-0005-0000-0000-000003000000}"/>
    <cellStyle name="Normal 3 2" xfId="3" xr:uid="{48DC4023-5AB2-40B4-A5B6-A99CAC085CD9}"/>
    <cellStyle name="Normal 4" xfId="5" xr:uid="{D427741D-BF30-41EB-B5FD-A9F94D01BBA8}"/>
    <cellStyle name="Normal 4 2" xfId="51" xr:uid="{33A93810-D818-463D-9711-D1756732FD70}"/>
    <cellStyle name="Normal 4 3" xfId="53" xr:uid="{BFBDBC90-C1A6-48B7-BECF-1B3FB69C7BBA}"/>
    <cellStyle name="Normal 4 4" xfId="58" xr:uid="{FB08741A-F932-41EB-9BEB-FFA0FA3E0B43}"/>
    <cellStyle name="Normal 4 5" xfId="63" xr:uid="{BA5F5024-CA76-4405-A9F8-BAC624899298}"/>
    <cellStyle name="Normal 5" xfId="8" xr:uid="{A08A893D-87C8-452A-8C97-F9343802E43E}"/>
    <cellStyle name="Normal 5 2" xfId="28" xr:uid="{B38793E1-8404-4028-B526-4E7D0250982E}"/>
    <cellStyle name="Normal 6" xfId="9" xr:uid="{87590474-152D-447F-90BC-3C89A89B6798}"/>
    <cellStyle name="Normal 6 2" xfId="41" xr:uid="{FDF1B5FD-AEF7-4DE6-AAD7-3B02C0895D14}"/>
    <cellStyle name="Normal 6 3" xfId="50" xr:uid="{38EDD098-C2FA-4225-8EF3-A005E0FBE4E5}"/>
    <cellStyle name="Normal 6 4" xfId="57" xr:uid="{01EB029B-FCC0-4E62-AC33-66AF7D398F54}"/>
    <cellStyle name="Normal 7" xfId="10" xr:uid="{D7BAB8BC-68A2-4C8B-9E32-D2090BB8F364}"/>
    <cellStyle name="Normal 7 2" xfId="45" xr:uid="{F2D7043F-E9E1-4232-AB01-3EAE2868FEAD}"/>
    <cellStyle name="Normal 7 3" xfId="60" xr:uid="{266C79D1-9B99-41A9-A51F-CA998A4D7372}"/>
    <cellStyle name="Normal 8" xfId="12" xr:uid="{CD1F0E5F-777B-4899-A91E-27C42AA7ECB6}"/>
    <cellStyle name="Normal 8 2" xfId="42" xr:uid="{FA3D94B1-7C58-485F-BA56-FAFED70861DD}"/>
    <cellStyle name="Normal 8 3" xfId="47" xr:uid="{50352BCF-CF7C-4647-81F0-477182B5DB28}"/>
    <cellStyle name="Normal 8 4" xfId="59" xr:uid="{1891C6BC-1D4E-4392-B77A-4DA2D6154FFB}"/>
    <cellStyle name="Normal 9" xfId="14" xr:uid="{80D363E4-582C-4655-AC43-686856DF5A11}"/>
    <cellStyle name="Percent" xfId="7" builtinId="5"/>
    <cellStyle name="Percent 2" xfId="11" xr:uid="{AD0E0920-3406-41EA-AC10-7330CC4A9C7A}"/>
    <cellStyle name="Percent 3" xfId="43" xr:uid="{6702D5CE-CD1B-442C-B086-B7A8F22253CD}"/>
    <cellStyle name="Pourcentage 2" xfId="13" xr:uid="{38C2F307-F919-4D60-B27F-6B8AC45301AB}"/>
    <cellStyle name="Pourcentage 2 2" xfId="48" xr:uid="{98842F71-49B4-49BF-9C0A-7F5C2B99C805}"/>
    <cellStyle name="Pourcentage 3" xfId="15" xr:uid="{306FC026-F90A-4FAA-AB01-4803708C12AB}"/>
    <cellStyle name="Pourcentage 4" xfId="17" xr:uid="{2C834538-6D4A-4C30-ADC1-2962BAD3F4E8}"/>
    <cellStyle name="Pourcentage 5" xfId="22" xr:uid="{E3112CC8-4380-41BD-B8AC-D79D346DFED5}"/>
    <cellStyle name="Pourcentage 6" xfId="24" xr:uid="{AD966135-841C-486E-AA02-596E4D9B3C6D}"/>
    <cellStyle name="Pourcentage 6 2" xfId="46" xr:uid="{B5CE37D9-BD9D-40BF-A1B5-F4251B04C61A}"/>
    <cellStyle name="Pourcentage 7" xfId="27" xr:uid="{DCD501F1-3850-4653-8993-27932AC0673C}"/>
    <cellStyle name="Pourcentage 8" xfId="34" xr:uid="{F5BF3C1B-E031-4031-9037-335B6BDD9255}"/>
    <cellStyle name="Pourcentage 9" xfId="36" xr:uid="{DE207DF9-CAE0-4101-9AB1-B7BEC03F0D36}"/>
  </cellStyles>
  <dxfs count="492">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dxf>
    <dxf>
      <font>
        <b val="0"/>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none">
          <fgColor indexed="64"/>
          <bgColor auto="1"/>
        </patternFill>
      </fill>
      <alignment textRotation="0" wrapText="0" indent="0" justifyLastLine="0" shrinkToFit="0" readingOrder="0"/>
    </dxf>
    <dxf>
      <numFmt numFmtId="0" formatCode="General"/>
      <fill>
        <patternFill patternType="none">
          <fgColor indexed="64"/>
          <bgColor auto="1"/>
        </patternFill>
      </fill>
      <alignment textRotation="0" wrapText="0" indent="0" justifyLastLine="0" shrinkToFit="0" readingOrder="0"/>
    </dxf>
    <dxf>
      <numFmt numFmtId="0" formatCode="General"/>
      <fill>
        <patternFill patternType="none">
          <fgColor indexed="64"/>
          <bgColor auto="1"/>
        </patternFill>
      </fill>
      <alignment textRotation="0" wrapText="0" indent="0" justifyLastLine="0" shrinkToFit="0" readingOrder="0"/>
    </dxf>
    <dxf>
      <numFmt numFmtId="0" formatCode="General"/>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numFmt numFmtId="0" formatCode="General"/>
      <fill>
        <patternFill patternType="none">
          <fgColor indexed="64"/>
          <bgColor auto="1"/>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numFmt numFmtId="0" formatCode="General"/>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numFmt numFmtId="0" formatCode="General"/>
    </dxf>
    <dxf>
      <fill>
        <patternFill patternType="none">
          <fgColor indexed="64"/>
          <bgColor auto="1"/>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numFmt numFmtId="0" formatCode="General"/>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border outline="0">
        <bottom style="thin">
          <color rgb="FFC6C6C6"/>
        </bottom>
      </border>
    </dxf>
    <dxf>
      <border outline="0">
        <top style="thin">
          <color rgb="FFC6C6C6"/>
        </top>
      </border>
    </dxf>
    <dxf>
      <numFmt numFmtId="0" formatCode="General"/>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indexed="64"/>
          <bgColor rgb="FF0039A6"/>
        </patternFill>
      </fill>
      <alignment horizontal="general" vertical="center" textRotation="0" wrapText="1" indent="0" justifyLastLine="0" shrinkToFit="0" readingOrder="0"/>
      <border diagonalUp="0" diagonalDown="0" outline="0">
        <left style="thin">
          <color rgb="FFC6C6C6"/>
        </left>
        <right style="thin">
          <color rgb="FFC6C6C6"/>
        </right>
        <top/>
        <bottom/>
      </border>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dxf>
    <dxf>
      <numFmt numFmtId="0" formatCode="General"/>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numFmt numFmtId="169" formatCode="_(* #,##0_);_(* \(#,##0\);_(* &quot;-&quot;??_);_(@_)"/>
    </dxf>
    <dxf>
      <numFmt numFmtId="0" formatCode="General"/>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dxf>
    <dxf>
      <font>
        <b/>
      </font>
    </dxf>
    <dxf>
      <numFmt numFmtId="167" formatCode="#\ ##0"/>
      <fill>
        <patternFill patternType="solid">
          <fgColor indexed="64"/>
          <bgColor theme="0"/>
        </patternFill>
      </fill>
      <border diagonalUp="0" diagonalDown="0">
        <left style="medium">
          <color indexed="64"/>
        </left>
        <right style="medium">
          <color indexed="64"/>
        </right>
        <top/>
        <bottom/>
        <vertical/>
        <horizontal/>
      </border>
    </dxf>
    <dxf>
      <numFmt numFmtId="167" formatCode="#\ ##0"/>
      <fill>
        <patternFill patternType="solid">
          <fgColor indexed="64"/>
          <bgColor theme="0"/>
        </patternFill>
      </fill>
      <border diagonalUp="0" diagonalDown="0">
        <left style="medium">
          <color indexed="64"/>
        </left>
        <right style="medium">
          <color indexed="64"/>
        </right>
        <top/>
        <bottom/>
        <vertical/>
        <horizontal/>
      </border>
    </dxf>
    <dxf>
      <numFmt numFmtId="167" formatCode="#\ ##0"/>
      <fill>
        <patternFill patternType="solid">
          <fgColor indexed="64"/>
          <bgColor theme="0"/>
        </patternFill>
      </fill>
      <alignment horizontal="left" vertical="bottom" textRotation="0" wrapText="0" indent="0" justifyLastLine="0" shrinkToFit="0" readingOrder="0"/>
      <border diagonalUp="0" diagonalDown="0">
        <left style="medium">
          <color indexed="64"/>
        </left>
        <right style="medium">
          <color indexed="64"/>
        </right>
        <vertical/>
      </border>
    </dxf>
    <dxf>
      <border outline="0">
        <left style="medium">
          <color indexed="64"/>
        </left>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numFmt numFmtId="167" formatCode="#\ ##0"/>
      <fill>
        <patternFill patternType="solid">
          <fgColor indexed="64"/>
          <bgColor theme="0" tint="-0.249977111117893"/>
        </patternFill>
      </fill>
      <alignment horizontal="center" vertical="center" textRotation="0" wrapText="1" indent="0" justifyLastLine="0" shrinkToFit="0" readingOrder="0"/>
    </dxf>
    <dxf>
      <border outline="0">
        <left style="thin">
          <color indexed="64"/>
        </left>
        <bottom style="thin">
          <color indexed="64"/>
        </bottom>
      </border>
    </dxf>
    <dxf>
      <font>
        <b/>
        <i val="0"/>
        <strike val="0"/>
        <condense val="0"/>
        <extend val="0"/>
        <outline val="0"/>
        <shadow val="0"/>
        <u val="none"/>
        <vertAlign val="baseline"/>
        <sz val="11"/>
        <color theme="0"/>
        <name val="Calibri"/>
        <family val="2"/>
        <scheme val="minor"/>
      </font>
      <numFmt numFmtId="167" formatCode="#\ ##0"/>
      <fill>
        <patternFill patternType="solid">
          <fgColor indexed="64"/>
          <bgColor rgb="FF023F94"/>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dxf>
    <dxf>
      <numFmt numFmtId="169" formatCode="_(* #,##0_);_(* \(#,##0\);_(* &quot;-&quot;??_);_(@_)"/>
    </dxf>
    <dxf>
      <numFmt numFmtId="167" formatCode="#\ ##0"/>
    </dxf>
    <dxf>
      <alignment vertical="center"/>
    </dxf>
    <dxf>
      <alignment vertical="center"/>
    </dxf>
    <dxf>
      <alignment horizontal="center"/>
    </dxf>
    <dxf>
      <alignment horizontal="center"/>
    </dxf>
    <dxf>
      <alignment wrapText="1"/>
    </dxf>
    <dxf>
      <alignment wrapText="1"/>
    </dxf>
    <dxf>
      <alignment wrapText="1"/>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1" indent="0" justifyLastLine="0" shrinkToFit="0" readingOrder="0"/>
    </dxf>
    <dxf>
      <alignment vertical="center"/>
    </dxf>
    <dxf>
      <alignment vertical="center"/>
    </dxf>
    <dxf>
      <alignment horizontal="center"/>
    </dxf>
    <dxf>
      <alignment horizontal="center"/>
    </dxf>
    <dxf>
      <numFmt numFmtId="169" formatCode="_(* #,##0_);_(* \(#,##0\);_(* &quot;-&quot;??_);_(@_)"/>
    </dxf>
    <dxf>
      <alignment wrapText="1"/>
    </dxf>
    <dxf>
      <numFmt numFmtId="167" formatCode="#\ ##0"/>
    </dxf>
    <dxf>
      <alignment vertical="center"/>
    </dxf>
    <dxf>
      <alignment vertical="center"/>
    </dxf>
    <dxf>
      <alignment vertical="center"/>
    </dxf>
    <dxf>
      <alignment horizontal="center"/>
    </dxf>
    <dxf>
      <alignment horizontal="center"/>
    </dxf>
    <dxf>
      <alignment horizontal="center"/>
    </dxf>
    <dxf>
      <alignment wrapText="1"/>
    </dxf>
    <dxf>
      <alignment wrapText="1"/>
    </dxf>
    <dxf>
      <numFmt numFmtId="13" formatCode="0%"/>
    </dxf>
    <dxf>
      <numFmt numFmtId="0" formatCode="General"/>
    </dxf>
    <dxf>
      <numFmt numFmtId="0" formatCode="General"/>
    </dxf>
    <dxf>
      <numFmt numFmtId="0" formatCode="General"/>
    </dxf>
    <dxf>
      <alignment vertical="center"/>
    </dxf>
    <dxf>
      <alignment horizontal="center"/>
    </dxf>
    <dxf>
      <numFmt numFmtId="13" formatCode="0%"/>
    </dxf>
    <dxf>
      <alignment vertical="center"/>
    </dxf>
    <dxf>
      <alignment horizontal="center"/>
    </dxf>
    <dxf>
      <numFmt numFmtId="13" formatCode="0%"/>
    </dxf>
    <dxf>
      <fill>
        <patternFill>
          <bgColor rgb="FFF0F0F0"/>
        </patternFill>
      </fill>
    </dxf>
    <dxf>
      <font>
        <b/>
        <i val="0"/>
        <color theme="0"/>
      </font>
      <fill>
        <patternFill>
          <bgColor rgb="FF0039A6"/>
        </patternFill>
      </fill>
    </dxf>
    <dxf>
      <border>
        <left style="thin">
          <color rgb="FFC6C6C6"/>
        </left>
        <right style="thin">
          <color rgb="FFC6C6C6"/>
        </right>
        <top style="thin">
          <color rgb="FFC6C6C6"/>
        </top>
        <bottom style="thin">
          <color rgb="FFC6C6C6"/>
        </bottom>
        <horizontal style="thin">
          <color rgb="FFC6C6C6"/>
        </horizontal>
      </border>
    </dxf>
    <dxf>
      <fill>
        <patternFill>
          <bgColor rgb="FFC1FDFD"/>
        </patternFill>
      </fill>
    </dxf>
    <dxf>
      <fill>
        <patternFill patternType="none">
          <bgColor auto="1"/>
        </patternFill>
      </fill>
    </dxf>
    <dxf>
      <font>
        <b/>
        <i val="0"/>
        <color theme="0"/>
      </font>
      <fill>
        <patternFill>
          <bgColor rgb="FF35B4B6"/>
        </patternFill>
      </fill>
    </dxf>
    <dxf>
      <font>
        <b/>
        <i val="0"/>
        <color theme="0"/>
      </font>
      <fill>
        <patternFill>
          <bgColor rgb="FF35B4B6"/>
        </patternFill>
      </fill>
    </dxf>
    <dxf>
      <border>
        <left/>
        <right/>
        <top/>
        <bottom/>
        <vertical/>
        <horizontal/>
      </border>
    </dxf>
    <dxf>
      <fill>
        <patternFill>
          <bgColor rgb="FFFFB579"/>
        </patternFill>
      </fill>
    </dxf>
    <dxf>
      <fill>
        <patternFill patternType="none">
          <bgColor auto="1"/>
        </patternFill>
      </fill>
    </dxf>
    <dxf>
      <font>
        <b/>
        <i val="0"/>
        <color theme="0"/>
      </font>
      <fill>
        <patternFill>
          <bgColor rgb="FFFF7400"/>
        </patternFill>
      </fill>
    </dxf>
    <dxf>
      <font>
        <b/>
        <i val="0"/>
        <color theme="0"/>
      </font>
      <fill>
        <patternFill>
          <bgColor rgb="FFFF7400"/>
        </patternFill>
      </fill>
    </dxf>
    <dxf>
      <border>
        <left/>
        <right/>
        <top/>
        <bottom/>
        <vertical/>
        <horizontal/>
      </border>
    </dxf>
    <dxf>
      <fill>
        <patternFill>
          <bgColor rgb="FFFF9090"/>
        </patternFill>
      </fill>
    </dxf>
    <dxf>
      <fill>
        <patternFill patternType="none">
          <bgColor auto="1"/>
        </patternFill>
      </fill>
    </dxf>
    <dxf>
      <font>
        <b/>
        <i val="0"/>
        <color theme="0"/>
      </font>
      <fill>
        <patternFill>
          <bgColor rgb="FFE73331"/>
        </patternFill>
      </fill>
    </dxf>
    <dxf>
      <font>
        <b/>
        <i val="0"/>
        <color theme="0"/>
      </font>
      <fill>
        <patternFill>
          <bgColor rgb="FFE73331"/>
        </patternFill>
      </fill>
    </dxf>
    <dxf>
      <border>
        <left style="thin">
          <color auto="1"/>
        </left>
        <right style="thin">
          <color auto="1"/>
        </right>
        <top style="thin">
          <color auto="1"/>
        </top>
        <bottom style="thin">
          <color auto="1"/>
        </bottom>
        <vertical/>
        <horizontal/>
      </border>
    </dxf>
    <dxf>
      <fill>
        <patternFill>
          <bgColor rgb="FFD2E4FC"/>
        </patternFill>
      </fill>
    </dxf>
    <dxf>
      <fill>
        <patternFill patternType="none">
          <bgColor auto="1"/>
        </patternFill>
      </fill>
    </dxf>
    <dxf>
      <font>
        <b/>
        <i val="0"/>
        <color theme="0"/>
      </font>
      <fill>
        <patternFill>
          <bgColor rgb="FF023F94"/>
        </patternFill>
      </fill>
    </dxf>
    <dxf>
      <font>
        <b/>
        <i val="0"/>
        <color theme="0"/>
      </font>
      <fill>
        <patternFill>
          <bgColor rgb="FF023F94"/>
        </patternFill>
      </fill>
    </dxf>
    <dxf>
      <border>
        <left style="thin">
          <color auto="1"/>
        </left>
        <right style="thin">
          <color auto="1"/>
        </right>
        <top style="thin">
          <color auto="1"/>
        </top>
        <bottom style="thin">
          <color auto="1"/>
        </bottom>
        <vertical/>
        <horizontal/>
      </border>
    </dxf>
  </dxfs>
  <tableStyles count="5" defaultTableStyle="TableStyleMedium2" defaultPivotStyle="PivotStyleLight16">
    <tableStyle name="TableStyleOIM" pivot="0" count="5" xr9:uid="{43D1C1F6-68CB-4EDE-96E1-80C38D0BB52D}">
      <tableStyleElement type="wholeTable" dxfId="491"/>
      <tableStyleElement type="headerRow" dxfId="490"/>
      <tableStyleElement type="totalRow" dxfId="489"/>
      <tableStyleElement type="firstRowStripe" dxfId="488"/>
      <tableStyleElement type="secondRowStripe" dxfId="487"/>
    </tableStyle>
    <tableStyle name="TableStyleOIM IDP" pivot="0" count="5" xr9:uid="{97623520-ADD7-4CA8-8E28-7140CE219D09}">
      <tableStyleElement type="wholeTable" dxfId="486"/>
      <tableStyleElement type="headerRow" dxfId="485"/>
      <tableStyleElement type="totalRow" dxfId="484"/>
      <tableStyleElement type="firstRowStripe" dxfId="483"/>
      <tableStyleElement type="secondRowStripe" dxfId="482"/>
    </tableStyle>
    <tableStyle name="TableStyleOIM REF 2" pivot="0" count="5" xr9:uid="{EF6BEB2D-BF69-45A1-B9CF-31F88605005A}">
      <tableStyleElement type="wholeTable" dxfId="481"/>
      <tableStyleElement type="headerRow" dxfId="480"/>
      <tableStyleElement type="totalRow" dxfId="479"/>
      <tableStyleElement type="firstRowStripe" dxfId="478"/>
      <tableStyleElement type="secondRowStripe" dxfId="477"/>
    </tableStyle>
    <tableStyle name="TableStyleOIM RET 2" pivot="0" count="5" xr9:uid="{272AF3F7-BB46-45DB-A312-03FF212F869D}">
      <tableStyleElement type="wholeTable" dxfId="476"/>
      <tableStyleElement type="headerRow" dxfId="475"/>
      <tableStyleElement type="totalRow" dxfId="474"/>
      <tableStyleElement type="firstRowStripe" dxfId="473"/>
      <tableStyleElement type="secondRowStripe" dxfId="472"/>
    </tableStyle>
    <tableStyle name="TableStyleQueryPreview" pivot="0" count="3" xr9:uid="{2A596E7C-27CB-48BC-AA53-66394B91690E}">
      <tableStyleElement type="wholeTable" dxfId="471"/>
      <tableStyleElement type="headerRow" dxfId="470"/>
      <tableStyleElement type="firstRowStripe" dxfId="469"/>
    </tableStyle>
  </tableStyles>
  <colors>
    <mruColors>
      <color rgb="FF0033CC"/>
      <color rgb="FF0000C4"/>
      <color rgb="FF0000FF"/>
      <color rgb="FFE1FFFF"/>
      <color rgb="FFC9FFFF"/>
      <color rgb="FF8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r>
              <a:rPr lang="en-US" sz="1400" b="0">
                <a:solidFill>
                  <a:srgbClr val="0010A6"/>
                </a:solidFill>
              </a:rPr>
              <a:t>Zones de déplacement</a:t>
            </a:r>
          </a:p>
        </c:rich>
      </c:tx>
      <c:overlay val="0"/>
      <c:spPr>
        <a:noFill/>
        <a:ln>
          <a:noFill/>
        </a:ln>
        <a:effectLst/>
      </c:spPr>
      <c:txPr>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endParaRPr lang="en-CH"/>
        </a:p>
      </c:txPr>
    </c:title>
    <c:autoTitleDeleted val="0"/>
    <c:plotArea>
      <c:layout>
        <c:manualLayout>
          <c:layoutTarget val="inner"/>
          <c:xMode val="edge"/>
          <c:yMode val="edge"/>
          <c:x val="9.9177493584590382E-2"/>
          <c:y val="0.23146040843694254"/>
          <c:w val="0.3447022933992368"/>
          <c:h val="0.66423320730394986"/>
        </c:manualLayout>
      </c:layout>
      <c:doughnutChart>
        <c:varyColors val="1"/>
        <c:ser>
          <c:idx val="0"/>
          <c:order val="0"/>
          <c:tx>
            <c:strRef>
              <c:f>'Analyse localités'!$B$2</c:f>
              <c:strCache>
                <c:ptCount val="1"/>
                <c:pt idx="0">
                  <c:v>Types de zones de déplacement / Departements</c:v>
                </c:pt>
              </c:strCache>
            </c:strRef>
          </c:tx>
          <c:dPt>
            <c:idx val="0"/>
            <c:bubble3D val="0"/>
            <c:spPr>
              <a:solidFill>
                <a:schemeClr val="accent5">
                  <a:shade val="76000"/>
                </a:schemeClr>
              </a:solidFill>
              <a:ln>
                <a:noFill/>
              </a:ln>
              <a:effectLst/>
            </c:spPr>
            <c:extLst>
              <c:ext xmlns:c16="http://schemas.microsoft.com/office/drawing/2014/chart" uri="{C3380CC4-5D6E-409C-BE32-E72D297353CC}">
                <c16:uniqueId val="{00000001-87CC-4611-852F-7AA9FBB2ABAC}"/>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87CC-4611-852F-7AA9FBB2ABA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CH"/>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'Analyse localités'!$C$16:$D$16</c:f>
              <c:strCache>
                <c:ptCount val="2"/>
                <c:pt idx="0">
                  <c:v>Rural (Moins de 5000 personnes)</c:v>
                </c:pt>
                <c:pt idx="1">
                  <c:v>Urbain (Plus de 5000 personnes)</c:v>
                </c:pt>
              </c:strCache>
            </c:strRef>
          </c:cat>
          <c:val>
            <c:numRef>
              <c:f>'Analyse localités'!$C$23:$D$23</c:f>
              <c:numCache>
                <c:formatCode>0%</c:formatCode>
                <c:ptCount val="2"/>
                <c:pt idx="0">
                  <c:v>0.8669833729216152</c:v>
                </c:pt>
                <c:pt idx="1">
                  <c:v>0.1330166270783848</c:v>
                </c:pt>
              </c:numCache>
            </c:numRef>
          </c:val>
          <c:extLst>
            <c:ext xmlns:c16="http://schemas.microsoft.com/office/drawing/2014/chart" uri="{C3380CC4-5D6E-409C-BE32-E72D297353CC}">
              <c16:uniqueId val="{00000007-9F83-4759-B80D-551F46E22C1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2814685056922495"/>
          <c:y val="0.53234503134589684"/>
          <c:w val="0.32095007740617354"/>
          <c:h val="0.2494548392604484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886054118462789E-2"/>
          <c:y val="5.59016451169893E-2"/>
          <c:w val="0.93183408993264649"/>
          <c:h val="0.82620550677222215"/>
        </c:manualLayout>
      </c:layout>
      <c:barChart>
        <c:barDir val="col"/>
        <c:grouping val="clustered"/>
        <c:varyColors val="0"/>
        <c:ser>
          <c:idx val="0"/>
          <c:order val="0"/>
          <c:tx>
            <c:strRef>
              <c:f>'Displacement &amp; Returns'!$E$349:$H$349</c:f>
              <c:strCache>
                <c:ptCount val="4"/>
                <c:pt idx="0">
                  <c:v>Cameroun</c:v>
                </c:pt>
                <c:pt idx="1">
                  <c:v>Nigéria</c:v>
                </c:pt>
                <c:pt idx="2">
                  <c:v>Rep. Centrafrique</c:v>
                </c:pt>
                <c:pt idx="3">
                  <c:v>Tchad</c:v>
                </c:pt>
              </c:strCache>
            </c:strRef>
          </c:tx>
          <c:spPr>
            <a:solidFill>
              <a:srgbClr val="006969"/>
            </a:solidFill>
            <a:ln>
              <a:noFill/>
            </a:ln>
            <a:effectLst/>
          </c:spPr>
          <c:invertIfNegative val="0"/>
          <c:dPt>
            <c:idx val="1"/>
            <c:invertIfNegative val="0"/>
            <c:bubble3D val="0"/>
            <c:spPr>
              <a:solidFill>
                <a:srgbClr val="00B4B0"/>
              </a:solidFill>
              <a:ln>
                <a:noFill/>
              </a:ln>
              <a:effectLst/>
              <a:sp3d/>
            </c:spPr>
            <c:extLst>
              <c:ext xmlns:c16="http://schemas.microsoft.com/office/drawing/2014/chart" uri="{C3380CC4-5D6E-409C-BE32-E72D297353CC}">
                <c16:uniqueId val="{00000001-6CEA-4DB9-ACCB-01C16A2AA0AD}"/>
              </c:ext>
            </c:extLst>
          </c:dPt>
          <c:dPt>
            <c:idx val="2"/>
            <c:invertIfNegative val="0"/>
            <c:bubble3D val="0"/>
            <c:spPr>
              <a:solidFill>
                <a:srgbClr val="05FFFF"/>
              </a:solidFill>
              <a:ln>
                <a:noFill/>
              </a:ln>
              <a:effectLst/>
              <a:sp3d/>
            </c:spPr>
            <c:extLst>
              <c:ext xmlns:c16="http://schemas.microsoft.com/office/drawing/2014/chart" uri="{C3380CC4-5D6E-409C-BE32-E72D297353CC}">
                <c16:uniqueId val="{00000003-6CEA-4DB9-ACCB-01C16A2AA0AD}"/>
              </c:ext>
            </c:extLst>
          </c:dPt>
          <c:dPt>
            <c:idx val="3"/>
            <c:invertIfNegative val="0"/>
            <c:bubble3D val="0"/>
            <c:spPr>
              <a:solidFill>
                <a:srgbClr val="89FFFF"/>
              </a:solidFill>
              <a:ln>
                <a:noFill/>
              </a:ln>
              <a:effectLst/>
              <a:sp3d/>
            </c:spPr>
            <c:extLst>
              <c:ext xmlns:c16="http://schemas.microsoft.com/office/drawing/2014/chart" uri="{C3380CC4-5D6E-409C-BE32-E72D297353CC}">
                <c16:uniqueId val="{00000005-6CEA-4DB9-ACCB-01C16A2AA0AD}"/>
              </c:ext>
            </c:extLst>
          </c:dPt>
          <c:dLbls>
            <c:dLbl>
              <c:idx val="0"/>
              <c:layout>
                <c:manualLayout>
                  <c:x val="0"/>
                  <c:y val="-0.39979852672668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A-4DB9-ACCB-01C16A2AA0AD}"/>
                </c:ext>
              </c:extLst>
            </c:dLbl>
            <c:dLbl>
              <c:idx val="1"/>
              <c:layout>
                <c:manualLayout>
                  <c:x val="-5.0925337632079971E-17"/>
                  <c:y val="-6.2468519801045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A-4DB9-ACCB-01C16A2AA0AD}"/>
                </c:ext>
              </c:extLst>
            </c:dLbl>
            <c:dLbl>
              <c:idx val="2"/>
              <c:layout>
                <c:manualLayout>
                  <c:x val="0"/>
                  <c:y val="-3.1234124968249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A-4DB9-ACCB-01C16A2AA0AD}"/>
                </c:ext>
              </c:extLst>
            </c:dLbl>
            <c:dLbl>
              <c:idx val="3"/>
              <c:layout>
                <c:manualLayout>
                  <c:x val="1.1507106102014181E-3"/>
                  <c:y val="-3.123412496824994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6.7255941858181095E-2"/>
                      <c:h val="9.3985479637625921E-2"/>
                    </c:manualLayout>
                  </c15:layout>
                </c:ext>
                <c:ext xmlns:c16="http://schemas.microsoft.com/office/drawing/2014/chart" uri="{C3380CC4-5D6E-409C-BE32-E72D297353CC}">
                  <c16:uniqueId val="{00000005-6CEA-4DB9-ACCB-01C16A2AA0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Returns'!$E$349:$H$349</c:f>
              <c:strCache>
                <c:ptCount val="4"/>
                <c:pt idx="0">
                  <c:v>Cameroun</c:v>
                </c:pt>
                <c:pt idx="1">
                  <c:v>Nigéria</c:v>
                </c:pt>
                <c:pt idx="2">
                  <c:v>Rep. Centrafrique</c:v>
                </c:pt>
                <c:pt idx="3">
                  <c:v>Tchad</c:v>
                </c:pt>
              </c:strCache>
            </c:strRef>
          </c:cat>
          <c:val>
            <c:numRef>
              <c:f>'Displacement &amp; Returns'!$E$356:$H$356</c:f>
              <c:numCache>
                <c:formatCode>#\ ##0</c:formatCode>
                <c:ptCount val="4"/>
                <c:pt idx="0">
                  <c:v>186058</c:v>
                </c:pt>
                <c:pt idx="1">
                  <c:v>2675</c:v>
                </c:pt>
                <c:pt idx="2">
                  <c:v>411</c:v>
                </c:pt>
                <c:pt idx="3">
                  <c:v>14022</c:v>
                </c:pt>
              </c:numCache>
            </c:numRef>
          </c:val>
          <c:extLst>
            <c:ext xmlns:c16="http://schemas.microsoft.com/office/drawing/2014/chart" uri="{C3380CC4-5D6E-409C-BE32-E72D297353CC}">
              <c16:uniqueId val="{00000007-6CEA-4DB9-ACCB-01C16A2AA0AD}"/>
            </c:ext>
          </c:extLst>
        </c:ser>
        <c:dLbls>
          <c:showLegendKey val="0"/>
          <c:showVal val="0"/>
          <c:showCatName val="0"/>
          <c:showSerName val="0"/>
          <c:showPercent val="0"/>
          <c:showBubbleSize val="0"/>
        </c:dLbls>
        <c:gapWidth val="150"/>
        <c:axId val="91858816"/>
        <c:axId val="91860352"/>
      </c:barChart>
      <c:catAx>
        <c:axId val="9185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1860352"/>
        <c:crosses val="autoZero"/>
        <c:auto val="1"/>
        <c:lblAlgn val="ctr"/>
        <c:lblOffset val="100"/>
        <c:noMultiLvlLbl val="0"/>
      </c:catAx>
      <c:valAx>
        <c:axId val="91860352"/>
        <c:scaling>
          <c:orientation val="minMax"/>
        </c:scaling>
        <c:delete val="1"/>
        <c:axPos val="l"/>
        <c:numFmt formatCode="#\ ##0" sourceLinked="1"/>
        <c:majorTickMark val="none"/>
        <c:minorTickMark val="none"/>
        <c:tickLblPos val="nextTo"/>
        <c:crossAx val="91858816"/>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886054118462789E-2"/>
          <c:y val="5.59016451169893E-2"/>
          <c:w val="0.93183408993264649"/>
          <c:h val="0.82620550677222215"/>
        </c:manualLayout>
      </c:layout>
      <c:barChart>
        <c:barDir val="col"/>
        <c:grouping val="clustered"/>
        <c:varyColors val="0"/>
        <c:ser>
          <c:idx val="0"/>
          <c:order val="0"/>
          <c:tx>
            <c:strRef>
              <c:f>'Displacement &amp; Returns'!$X$349:$AA$349</c:f>
              <c:strCache>
                <c:ptCount val="4"/>
                <c:pt idx="0">
                  <c:v>Cameroon</c:v>
                </c:pt>
                <c:pt idx="1">
                  <c:v>Nigeria</c:v>
                </c:pt>
                <c:pt idx="2">
                  <c:v>Central Africa Republic</c:v>
                </c:pt>
                <c:pt idx="3">
                  <c:v>Chad</c:v>
                </c:pt>
              </c:strCache>
            </c:strRef>
          </c:tx>
          <c:spPr>
            <a:solidFill>
              <a:srgbClr val="006969"/>
            </a:solidFill>
            <a:ln>
              <a:noFill/>
            </a:ln>
            <a:effectLst/>
          </c:spPr>
          <c:invertIfNegative val="0"/>
          <c:dPt>
            <c:idx val="1"/>
            <c:invertIfNegative val="0"/>
            <c:bubble3D val="0"/>
            <c:spPr>
              <a:solidFill>
                <a:srgbClr val="00B4B0"/>
              </a:solidFill>
              <a:ln>
                <a:noFill/>
              </a:ln>
              <a:effectLst/>
              <a:sp3d/>
            </c:spPr>
            <c:extLst>
              <c:ext xmlns:c16="http://schemas.microsoft.com/office/drawing/2014/chart" uri="{C3380CC4-5D6E-409C-BE32-E72D297353CC}">
                <c16:uniqueId val="{00000001-8EB6-4B66-AAA9-3617E0FD8ADC}"/>
              </c:ext>
            </c:extLst>
          </c:dPt>
          <c:dPt>
            <c:idx val="2"/>
            <c:invertIfNegative val="0"/>
            <c:bubble3D val="0"/>
            <c:spPr>
              <a:solidFill>
                <a:srgbClr val="05FFFF"/>
              </a:solidFill>
              <a:ln>
                <a:noFill/>
              </a:ln>
              <a:effectLst/>
              <a:sp3d/>
            </c:spPr>
            <c:extLst>
              <c:ext xmlns:c16="http://schemas.microsoft.com/office/drawing/2014/chart" uri="{C3380CC4-5D6E-409C-BE32-E72D297353CC}">
                <c16:uniqueId val="{00000003-8EB6-4B66-AAA9-3617E0FD8ADC}"/>
              </c:ext>
            </c:extLst>
          </c:dPt>
          <c:dPt>
            <c:idx val="3"/>
            <c:invertIfNegative val="0"/>
            <c:bubble3D val="0"/>
            <c:spPr>
              <a:solidFill>
                <a:srgbClr val="89FFFF"/>
              </a:solidFill>
              <a:ln>
                <a:noFill/>
              </a:ln>
              <a:effectLst/>
              <a:sp3d/>
            </c:spPr>
            <c:extLst>
              <c:ext xmlns:c16="http://schemas.microsoft.com/office/drawing/2014/chart" uri="{C3380CC4-5D6E-409C-BE32-E72D297353CC}">
                <c16:uniqueId val="{00000005-8EB6-4B66-AAA9-3617E0FD8ADC}"/>
              </c:ext>
            </c:extLst>
          </c:dPt>
          <c:dLbls>
            <c:dLbl>
              <c:idx val="0"/>
              <c:layout>
                <c:manualLayout>
                  <c:x val="0"/>
                  <c:y val="-0.39979852672668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B6-4B66-AAA9-3617E0FD8ADC}"/>
                </c:ext>
              </c:extLst>
            </c:dLbl>
            <c:dLbl>
              <c:idx val="1"/>
              <c:layout>
                <c:manualLayout>
                  <c:x val="-5.0925337632079971E-17"/>
                  <c:y val="-6.2468519801045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B6-4B66-AAA9-3617E0FD8ADC}"/>
                </c:ext>
              </c:extLst>
            </c:dLbl>
            <c:dLbl>
              <c:idx val="2"/>
              <c:layout>
                <c:manualLayout>
                  <c:x val="0"/>
                  <c:y val="-3.1234124968249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B6-4B66-AAA9-3617E0FD8ADC}"/>
                </c:ext>
              </c:extLst>
            </c:dLbl>
            <c:dLbl>
              <c:idx val="3"/>
              <c:layout>
                <c:manualLayout>
                  <c:x val="1.1507106102014181E-3"/>
                  <c:y val="-3.123412496824994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6.7255941858181095E-2"/>
                      <c:h val="9.3985479637625921E-2"/>
                    </c:manualLayout>
                  </c15:layout>
                </c:ext>
                <c:ext xmlns:c16="http://schemas.microsoft.com/office/drawing/2014/chart" uri="{C3380CC4-5D6E-409C-BE32-E72D297353CC}">
                  <c16:uniqueId val="{00000005-8EB6-4B66-AAA9-3617E0FD8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Returns'!$X$349:$AA$349</c:f>
              <c:strCache>
                <c:ptCount val="4"/>
                <c:pt idx="0">
                  <c:v>Cameroon</c:v>
                </c:pt>
                <c:pt idx="1">
                  <c:v>Nigeria</c:v>
                </c:pt>
                <c:pt idx="2">
                  <c:v>Central Africa Republic</c:v>
                </c:pt>
                <c:pt idx="3">
                  <c:v>Chad</c:v>
                </c:pt>
              </c:strCache>
            </c:strRef>
          </c:cat>
          <c:val>
            <c:numRef>
              <c:f>'Displacement &amp; Returns'!$X$356:$AA$356</c:f>
              <c:numCache>
                <c:formatCode>#,##0</c:formatCode>
                <c:ptCount val="4"/>
                <c:pt idx="0">
                  <c:v>186058</c:v>
                </c:pt>
                <c:pt idx="1">
                  <c:v>2675</c:v>
                </c:pt>
                <c:pt idx="2">
                  <c:v>411</c:v>
                </c:pt>
                <c:pt idx="3">
                  <c:v>14022</c:v>
                </c:pt>
              </c:numCache>
            </c:numRef>
          </c:val>
          <c:extLst>
            <c:ext xmlns:c16="http://schemas.microsoft.com/office/drawing/2014/chart" uri="{C3380CC4-5D6E-409C-BE32-E72D297353CC}">
              <c16:uniqueId val="{00000007-8EB6-4B66-AAA9-3617E0FD8ADC}"/>
            </c:ext>
          </c:extLst>
        </c:ser>
        <c:dLbls>
          <c:showLegendKey val="0"/>
          <c:showVal val="0"/>
          <c:showCatName val="0"/>
          <c:showSerName val="0"/>
          <c:showPercent val="0"/>
          <c:showBubbleSize val="0"/>
        </c:dLbls>
        <c:gapWidth val="150"/>
        <c:axId val="91858816"/>
        <c:axId val="91860352"/>
      </c:barChart>
      <c:catAx>
        <c:axId val="9185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1860352"/>
        <c:crosses val="autoZero"/>
        <c:auto val="1"/>
        <c:lblAlgn val="ctr"/>
        <c:lblOffset val="100"/>
        <c:noMultiLvlLbl val="0"/>
      </c:catAx>
      <c:valAx>
        <c:axId val="91860352"/>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1858816"/>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964820982196075E-2"/>
          <c:y val="5.7179975302507444E-2"/>
          <c:w val="0.96113645679936044"/>
          <c:h val="0.70332229163588345"/>
        </c:manualLayout>
      </c:layout>
      <c:lineChart>
        <c:grouping val="standard"/>
        <c:varyColors val="0"/>
        <c:ser>
          <c:idx val="0"/>
          <c:order val="0"/>
          <c:tx>
            <c:strRef>
              <c:f>'Displacement &amp; Returns'!$D$263</c:f>
              <c:strCache>
                <c:ptCount val="1"/>
                <c:pt idx="0">
                  <c:v>Départements de provenance des Personnes Déplacées Interne</c:v>
                </c:pt>
              </c:strCache>
            </c:strRef>
          </c:tx>
          <c:spPr>
            <a:ln w="28575" cap="rnd">
              <a:solidFill>
                <a:schemeClr val="accent1"/>
              </a:solidFill>
              <a:round/>
            </a:ln>
            <a:effectLst/>
          </c:spPr>
          <c:marker>
            <c:symbol val="circle"/>
            <c:size val="5"/>
            <c:spPr>
              <a:solidFill>
                <a:schemeClr val="accent2"/>
              </a:solidFill>
              <a:ln w="9525">
                <a:solidFill>
                  <a:schemeClr val="accent1"/>
                </a:solidFill>
              </a:ln>
              <a:effectLst/>
            </c:spPr>
          </c:marker>
          <c:dPt>
            <c:idx val="1"/>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1-FB7A-419D-844F-3295B88F4968}"/>
              </c:ext>
            </c:extLst>
          </c:dPt>
          <c:dPt>
            <c:idx val="2"/>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3-FB7A-419D-844F-3295B88F4968}"/>
              </c:ext>
            </c:extLst>
          </c:dPt>
          <c:dPt>
            <c:idx val="3"/>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5-FB7A-419D-844F-3295B88F4968}"/>
              </c:ext>
            </c:extLst>
          </c:dPt>
          <c:dPt>
            <c:idx val="4"/>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7-FB7A-419D-844F-3295B88F49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Returns'!$E$266:$J$266</c:f>
              <c:strCache>
                <c:ptCount val="6"/>
                <c:pt idx="0">
                  <c:v>Diamaré</c:v>
                </c:pt>
                <c:pt idx="1">
                  <c:v>Logone-Et-Chari</c:v>
                </c:pt>
                <c:pt idx="2">
                  <c:v>Mayo-Danay</c:v>
                </c:pt>
                <c:pt idx="3">
                  <c:v>Mayo-Kani</c:v>
                </c:pt>
                <c:pt idx="4">
                  <c:v>Mayo-Sava</c:v>
                </c:pt>
                <c:pt idx="5">
                  <c:v>Mayo-Tsanaga</c:v>
                </c:pt>
              </c:strCache>
            </c:strRef>
          </c:cat>
          <c:val>
            <c:numRef>
              <c:f>'Displacement &amp; Returns'!$E$274:$J$274</c:f>
              <c:numCache>
                <c:formatCode>0.0%</c:formatCode>
                <c:ptCount val="6"/>
                <c:pt idx="0">
                  <c:v>3.9968866356732651E-4</c:v>
                </c:pt>
                <c:pt idx="1">
                  <c:v>0.37796990881956277</c:v>
                </c:pt>
                <c:pt idx="2">
                  <c:v>6.7404805145933111E-2</c:v>
                </c:pt>
                <c:pt idx="3">
                  <c:v>9.9104089679851728E-4</c:v>
                </c:pt>
                <c:pt idx="4">
                  <c:v>0.31659315667561877</c:v>
                </c:pt>
                <c:pt idx="5">
                  <c:v>0.23498654848971445</c:v>
                </c:pt>
              </c:numCache>
            </c:numRef>
          </c:val>
          <c:smooth val="0"/>
          <c:extLst>
            <c:ext xmlns:c16="http://schemas.microsoft.com/office/drawing/2014/chart" uri="{C3380CC4-5D6E-409C-BE32-E72D297353CC}">
              <c16:uniqueId val="{0000000A-FB7A-419D-844F-3295B88F4968}"/>
            </c:ext>
          </c:extLst>
        </c:ser>
        <c:dLbls>
          <c:showLegendKey val="0"/>
          <c:showVal val="0"/>
          <c:showCatName val="0"/>
          <c:showSerName val="0"/>
          <c:showPercent val="0"/>
          <c:showBubbleSize val="0"/>
        </c:dLbls>
        <c:marker val="1"/>
        <c:smooth val="0"/>
        <c:axId val="718079472"/>
        <c:axId val="718079080"/>
      </c:lineChart>
      <c:catAx>
        <c:axId val="71807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18079080"/>
        <c:crosses val="autoZero"/>
        <c:auto val="1"/>
        <c:lblAlgn val="ctr"/>
        <c:lblOffset val="100"/>
        <c:noMultiLvlLbl val="0"/>
      </c:catAx>
      <c:valAx>
        <c:axId val="718079080"/>
        <c:scaling>
          <c:orientation val="minMax"/>
          <c:min val="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180794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rgbClr val="0000FF"/>
                </a:solidFill>
              </a:defRPr>
            </a:pPr>
            <a:r>
              <a:rPr lang="fr-FR">
                <a:solidFill>
                  <a:srgbClr val="0000FF"/>
                </a:solidFill>
              </a:rPr>
              <a:t>Graphique 6 : Distribution des déplacements par catégorie de personnes déplacées et par période</a:t>
            </a:r>
          </a:p>
        </c:rich>
      </c:tx>
      <c:layout>
        <c:manualLayout>
          <c:xMode val="edge"/>
          <c:yMode val="edge"/>
          <c:x val="0.2092615721723359"/>
          <c:y val="2.2383299933598923E-2"/>
        </c:manualLayout>
      </c:layout>
      <c:overlay val="0"/>
    </c:title>
    <c:autoTitleDeleted val="0"/>
    <c:plotArea>
      <c:layout>
        <c:manualLayout>
          <c:layoutTarget val="inner"/>
          <c:xMode val="edge"/>
          <c:yMode val="edge"/>
          <c:x val="7.8092743188132481E-3"/>
          <c:y val="0.10029572722666791"/>
          <c:w val="0.98955758281313322"/>
          <c:h val="0.63447907553222516"/>
        </c:manualLayout>
      </c:layout>
      <c:barChart>
        <c:barDir val="col"/>
        <c:grouping val="clustered"/>
        <c:varyColors val="0"/>
        <c:ser>
          <c:idx val="0"/>
          <c:order val="0"/>
          <c:tx>
            <c:strRef>
              <c:f>'Displacement &amp; Returns'!$E$120</c:f>
              <c:strCache>
                <c:ptCount val="1"/>
                <c:pt idx="0">
                  <c:v>Personnes déplacées interne</c:v>
                </c:pt>
              </c:strCache>
            </c:strRef>
          </c:tx>
          <c:spPr>
            <a:solidFill>
              <a:srgbClr val="000099"/>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Returns'!$D$121:$D$125</c:f>
              <c:strCache>
                <c:ptCount val="5"/>
                <c:pt idx="0">
                  <c:v>Avant 2020</c:v>
                </c:pt>
                <c:pt idx="1">
                  <c:v>En 2020</c:v>
                </c:pt>
                <c:pt idx="2">
                  <c:v>En 2021</c:v>
                </c:pt>
                <c:pt idx="3">
                  <c:v>Janvier - Aout 2022</c:v>
                </c:pt>
                <c:pt idx="4">
                  <c:v>Septembre 2022 – Février 2023</c:v>
                </c:pt>
              </c:strCache>
            </c:strRef>
          </c:cat>
          <c:val>
            <c:numRef>
              <c:f>'Displacement &amp; Returns'!$E$121:$E$125</c:f>
              <c:numCache>
                <c:formatCode>#\ ##0</c:formatCode>
                <c:ptCount val="5"/>
                <c:pt idx="0">
                  <c:v>197947</c:v>
                </c:pt>
                <c:pt idx="1">
                  <c:v>51618</c:v>
                </c:pt>
                <c:pt idx="2">
                  <c:v>38253</c:v>
                </c:pt>
                <c:pt idx="3">
                  <c:v>69432</c:v>
                </c:pt>
                <c:pt idx="4">
                  <c:v>70583</c:v>
                </c:pt>
              </c:numCache>
            </c:numRef>
          </c:val>
          <c:extLst>
            <c:ext xmlns:c16="http://schemas.microsoft.com/office/drawing/2014/chart" uri="{C3380CC4-5D6E-409C-BE32-E72D297353CC}">
              <c16:uniqueId val="{00000000-37A2-4A81-AC60-18C5C06D8CCD}"/>
            </c:ext>
          </c:extLst>
        </c:ser>
        <c:ser>
          <c:idx val="1"/>
          <c:order val="1"/>
          <c:tx>
            <c:strRef>
              <c:f>'Displacement &amp; Returns'!$F$120</c:f>
              <c:strCache>
                <c:ptCount val="1"/>
                <c:pt idx="0">
                  <c:v>Réfugiés hors camp</c:v>
                </c:pt>
              </c:strCache>
            </c:strRef>
          </c:tx>
          <c:spPr>
            <a:solidFill>
              <a:srgbClr val="023160">
                <a:lumMod val="50000"/>
                <a:lumOff val="50000"/>
              </a:srgbClr>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Returns'!$D$121:$D$125</c:f>
              <c:strCache>
                <c:ptCount val="5"/>
                <c:pt idx="0">
                  <c:v>Avant 2020</c:v>
                </c:pt>
                <c:pt idx="1">
                  <c:v>En 2020</c:v>
                </c:pt>
                <c:pt idx="2">
                  <c:v>En 2021</c:v>
                </c:pt>
                <c:pt idx="3">
                  <c:v>Janvier - Aout 2022</c:v>
                </c:pt>
                <c:pt idx="4">
                  <c:v>Septembre 2022 – Février 2023</c:v>
                </c:pt>
              </c:strCache>
            </c:strRef>
          </c:cat>
          <c:val>
            <c:numRef>
              <c:f>'Displacement &amp; Returns'!$F$121:$F$125</c:f>
              <c:numCache>
                <c:formatCode>#\ ##0</c:formatCode>
                <c:ptCount val="5"/>
                <c:pt idx="0">
                  <c:v>31476</c:v>
                </c:pt>
                <c:pt idx="1">
                  <c:v>1670</c:v>
                </c:pt>
                <c:pt idx="2">
                  <c:v>1009</c:v>
                </c:pt>
                <c:pt idx="3">
                  <c:v>9493</c:v>
                </c:pt>
                <c:pt idx="4">
                  <c:v>5865</c:v>
                </c:pt>
              </c:numCache>
            </c:numRef>
          </c:val>
          <c:extLst>
            <c:ext xmlns:c16="http://schemas.microsoft.com/office/drawing/2014/chart" uri="{C3380CC4-5D6E-409C-BE32-E72D297353CC}">
              <c16:uniqueId val="{00000004-37A2-4A81-AC60-18C5C06D8CCD}"/>
            </c:ext>
          </c:extLst>
        </c:ser>
        <c:ser>
          <c:idx val="2"/>
          <c:order val="2"/>
          <c:tx>
            <c:strRef>
              <c:f>'Displacement &amp; Returns'!$G$120</c:f>
              <c:strCache>
                <c:ptCount val="1"/>
                <c:pt idx="0">
                  <c:v>Retournés</c:v>
                </c:pt>
              </c:strCache>
            </c:strRef>
          </c:tx>
          <c:spPr>
            <a:solidFill>
              <a:srgbClr val="FF6600"/>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Returns'!$D$121:$D$125</c:f>
              <c:strCache>
                <c:ptCount val="5"/>
                <c:pt idx="0">
                  <c:v>Avant 2020</c:v>
                </c:pt>
                <c:pt idx="1">
                  <c:v>En 2020</c:v>
                </c:pt>
                <c:pt idx="2">
                  <c:v>En 2021</c:v>
                </c:pt>
                <c:pt idx="3">
                  <c:v>Janvier - Aout 2022</c:v>
                </c:pt>
                <c:pt idx="4">
                  <c:v>Septembre 2022 – Février 2023</c:v>
                </c:pt>
              </c:strCache>
            </c:strRef>
          </c:cat>
          <c:val>
            <c:numRef>
              <c:f>'Displacement &amp; Returns'!$G$121:$G$125</c:f>
              <c:numCache>
                <c:formatCode>#\ ##0</c:formatCode>
                <c:ptCount val="5"/>
                <c:pt idx="0" formatCode="_-* #,##0_-;\-* #,##0_-;_-* &quot;-&quot;_-;_-@_-">
                  <c:v>65850</c:v>
                </c:pt>
                <c:pt idx="1">
                  <c:v>2932</c:v>
                </c:pt>
                <c:pt idx="2">
                  <c:v>6982</c:v>
                </c:pt>
                <c:pt idx="3">
                  <c:v>42435</c:v>
                </c:pt>
                <c:pt idx="4">
                  <c:v>84967</c:v>
                </c:pt>
              </c:numCache>
            </c:numRef>
          </c:val>
          <c:extLst>
            <c:ext xmlns:c16="http://schemas.microsoft.com/office/drawing/2014/chart" uri="{C3380CC4-5D6E-409C-BE32-E72D297353CC}">
              <c16:uniqueId val="{00000008-37A2-4A81-AC60-18C5C06D8CCD}"/>
            </c:ext>
          </c:extLst>
        </c:ser>
        <c:dLbls>
          <c:dLblPos val="outEnd"/>
          <c:showLegendKey val="0"/>
          <c:showVal val="1"/>
          <c:showCatName val="0"/>
          <c:showSerName val="0"/>
          <c:showPercent val="0"/>
          <c:showBubbleSize val="0"/>
        </c:dLbls>
        <c:gapWidth val="100"/>
        <c:overlap val="-27"/>
        <c:axId val="83819904"/>
        <c:axId val="83887232"/>
      </c:barChart>
      <c:catAx>
        <c:axId val="838199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CH"/>
          </a:p>
        </c:txPr>
        <c:crossAx val="83887232"/>
        <c:crosses val="autoZero"/>
        <c:auto val="1"/>
        <c:lblAlgn val="ctr"/>
        <c:lblOffset val="100"/>
        <c:noMultiLvlLbl val="0"/>
      </c:catAx>
      <c:valAx>
        <c:axId val="83887232"/>
        <c:scaling>
          <c:orientation val="minMax"/>
        </c:scaling>
        <c:delete val="1"/>
        <c:axPos val="l"/>
        <c:numFmt formatCode="#\ ##0" sourceLinked="1"/>
        <c:majorTickMark val="none"/>
        <c:minorTickMark val="none"/>
        <c:tickLblPos val="nextTo"/>
        <c:crossAx val="83819904"/>
        <c:crosses val="autoZero"/>
        <c:crossBetween val="between"/>
      </c:valAx>
      <c:spPr>
        <a:noFill/>
        <a:ln>
          <a:noFill/>
        </a:ln>
        <a:effectLst/>
      </c:spPr>
    </c:plotArea>
    <c:legend>
      <c:legendPos val="b"/>
      <c:layout>
        <c:manualLayout>
          <c:xMode val="edge"/>
          <c:yMode val="edge"/>
          <c:x val="0.16390101282946701"/>
          <c:y val="0.91956058592421908"/>
          <c:w val="0.67219786261579084"/>
          <c:h val="6.0258069835511401E-2"/>
        </c:manualLayout>
      </c:layout>
      <c:overlay val="0"/>
      <c:spPr>
        <a:noFill/>
        <a:ln>
          <a:noFill/>
        </a:ln>
        <a:effectLst/>
      </c:spPr>
      <c:txPr>
        <a:bodyPr rot="0" vert="horz"/>
        <a:lstStyle/>
        <a:p>
          <a:pPr>
            <a:defRPr sz="1400" b="1"/>
          </a:pPr>
          <a:endParaRPr lang="en-CH"/>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n-CH"/>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Returns'!$E$266:$J$266</c:f>
              <c:strCache>
                <c:ptCount val="6"/>
                <c:pt idx="0">
                  <c:v>Diamaré</c:v>
                </c:pt>
                <c:pt idx="1">
                  <c:v>Logone-Et-Chari</c:v>
                </c:pt>
                <c:pt idx="2">
                  <c:v>Mayo-Danay</c:v>
                </c:pt>
                <c:pt idx="3">
                  <c:v>Mayo-Kani</c:v>
                </c:pt>
                <c:pt idx="4">
                  <c:v>Mayo-Sava</c:v>
                </c:pt>
                <c:pt idx="5">
                  <c:v>Mayo-Tsanaga</c:v>
                </c:pt>
              </c:strCache>
            </c:strRef>
          </c:cat>
          <c:val>
            <c:numRef>
              <c:f>'Displacement &amp; Returns'!$E$274:$J$274</c:f>
              <c:numCache>
                <c:formatCode>0.0%</c:formatCode>
                <c:ptCount val="6"/>
                <c:pt idx="0">
                  <c:v>3.9968866356732651E-4</c:v>
                </c:pt>
                <c:pt idx="1">
                  <c:v>0.37796990881956277</c:v>
                </c:pt>
                <c:pt idx="2">
                  <c:v>6.7404805145933111E-2</c:v>
                </c:pt>
                <c:pt idx="3">
                  <c:v>9.9104089679851728E-4</c:v>
                </c:pt>
                <c:pt idx="4">
                  <c:v>0.31659315667561877</c:v>
                </c:pt>
                <c:pt idx="5">
                  <c:v>0.23498654848971445</c:v>
                </c:pt>
              </c:numCache>
            </c:numRef>
          </c:val>
          <c:extLst>
            <c:ext xmlns:c16="http://schemas.microsoft.com/office/drawing/2014/chart" uri="{C3380CC4-5D6E-409C-BE32-E72D297353CC}">
              <c16:uniqueId val="{00000000-FEDA-4EA6-AC30-98E592349746}"/>
            </c:ext>
          </c:extLst>
        </c:ser>
        <c:dLbls>
          <c:showLegendKey val="0"/>
          <c:showVal val="0"/>
          <c:showCatName val="0"/>
          <c:showSerName val="0"/>
          <c:showPercent val="0"/>
          <c:showBubbleSize val="0"/>
        </c:dLbls>
        <c:gapWidth val="219"/>
        <c:axId val="1568838768"/>
        <c:axId val="1568841680"/>
      </c:barChart>
      <c:catAx>
        <c:axId val="156883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568841680"/>
        <c:crosses val="autoZero"/>
        <c:auto val="1"/>
        <c:lblAlgn val="ctr"/>
        <c:lblOffset val="100"/>
        <c:noMultiLvlLbl val="0"/>
      </c:catAx>
      <c:valAx>
        <c:axId val="1568841680"/>
        <c:scaling>
          <c:orientation val="minMax"/>
        </c:scaling>
        <c:delete val="1"/>
        <c:axPos val="b"/>
        <c:numFmt formatCode="0.0%" sourceLinked="1"/>
        <c:majorTickMark val="none"/>
        <c:minorTickMark val="none"/>
        <c:tickLblPos val="nextTo"/>
        <c:crossAx val="1568838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Returns'!$E$314:$G$314</c:f>
              <c:strCache>
                <c:ptCount val="3"/>
                <c:pt idx="0">
                  <c:v>Nigéria</c:v>
                </c:pt>
                <c:pt idx="1">
                  <c:v>Tchad</c:v>
                </c:pt>
                <c:pt idx="2">
                  <c:v>Autre (RCA)</c:v>
                </c:pt>
              </c:strCache>
            </c:strRef>
          </c:cat>
          <c:val>
            <c:numRef>
              <c:f>'Displacement &amp; Returns'!$E$320:$G$320</c:f>
              <c:numCache>
                <c:formatCode>#\ ##0</c:formatCode>
                <c:ptCount val="3"/>
                <c:pt idx="0">
                  <c:v>44157</c:v>
                </c:pt>
                <c:pt idx="1">
                  <c:v>5326</c:v>
                </c:pt>
                <c:pt idx="2">
                  <c:v>30</c:v>
                </c:pt>
              </c:numCache>
            </c:numRef>
          </c:val>
          <c:extLst>
            <c:ext xmlns:c16="http://schemas.microsoft.com/office/drawing/2014/chart" uri="{C3380CC4-5D6E-409C-BE32-E72D297353CC}">
              <c16:uniqueId val="{00000004-06BE-4DB2-A48D-F46FA6BD5C63}"/>
            </c:ext>
          </c:extLst>
        </c:ser>
        <c:dLbls>
          <c:showLegendKey val="0"/>
          <c:showVal val="0"/>
          <c:showCatName val="0"/>
          <c:showSerName val="0"/>
          <c:showPercent val="0"/>
          <c:showBubbleSize val="0"/>
        </c:dLbls>
        <c:gapWidth val="219"/>
        <c:overlap val="-27"/>
        <c:axId val="177239983"/>
        <c:axId val="177240399"/>
      </c:barChart>
      <c:catAx>
        <c:axId val="17723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77240399"/>
        <c:crosses val="autoZero"/>
        <c:auto val="1"/>
        <c:lblAlgn val="ctr"/>
        <c:lblOffset val="100"/>
        <c:noMultiLvlLbl val="0"/>
      </c:catAx>
      <c:valAx>
        <c:axId val="177240399"/>
        <c:scaling>
          <c:orientation val="minMax"/>
        </c:scaling>
        <c:delete val="1"/>
        <c:axPos val="l"/>
        <c:numFmt formatCode="#\ ##0" sourceLinked="1"/>
        <c:majorTickMark val="none"/>
        <c:minorTickMark val="none"/>
        <c:tickLblPos val="nextTo"/>
        <c:crossAx val="177239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tx>
            <c:strRef>
              <c:f>'Displacement &amp; Returns'!$E$211</c:f>
              <c:strCache>
                <c:ptCount val="1"/>
                <c:pt idx="0">
                  <c:v>Personnes déplacées interne</c:v>
                </c:pt>
              </c:strCache>
            </c:strRef>
          </c:tx>
          <c:spPr>
            <a:solidFill>
              <a:schemeClr val="accent1"/>
            </a:solidFill>
            <a:ln>
              <a:noFill/>
            </a:ln>
            <a:effectLst/>
          </c:spPr>
          <c:invertIfNegative val="0"/>
          <c:cat>
            <c:strRef>
              <c:f>'Displacement &amp; Returns'!$D$212:$D$237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Returns'!$E$212:$E$237</c:f>
              <c:numCache>
                <c:formatCode>#\ ##0</c:formatCode>
                <c:ptCount val="26"/>
                <c:pt idx="0">
                  <c:v>158316</c:v>
                </c:pt>
                <c:pt idx="1">
                  <c:v>169970</c:v>
                </c:pt>
                <c:pt idx="2">
                  <c:v>190591</c:v>
                </c:pt>
                <c:pt idx="3">
                  <c:v>181215</c:v>
                </c:pt>
                <c:pt idx="4">
                  <c:v>198889</c:v>
                </c:pt>
                <c:pt idx="5">
                  <c:v>191908</c:v>
                </c:pt>
                <c:pt idx="6">
                  <c:v>223642</c:v>
                </c:pt>
                <c:pt idx="7">
                  <c:v>228443</c:v>
                </c:pt>
                <c:pt idx="8">
                  <c:v>235913</c:v>
                </c:pt>
                <c:pt idx="9">
                  <c:v>237967</c:v>
                </c:pt>
                <c:pt idx="10">
                  <c:v>241987</c:v>
                </c:pt>
                <c:pt idx="11">
                  <c:v>241030</c:v>
                </c:pt>
                <c:pt idx="12">
                  <c:v>238099</c:v>
                </c:pt>
                <c:pt idx="13">
                  <c:v>227581</c:v>
                </c:pt>
                <c:pt idx="14">
                  <c:v>244347</c:v>
                </c:pt>
                <c:pt idx="15">
                  <c:v>245725</c:v>
                </c:pt>
                <c:pt idx="16">
                  <c:v>253813</c:v>
                </c:pt>
                <c:pt idx="17">
                  <c:v>262831</c:v>
                </c:pt>
                <c:pt idx="18">
                  <c:v>270870</c:v>
                </c:pt>
                <c:pt idx="19">
                  <c:v>297380</c:v>
                </c:pt>
                <c:pt idx="20">
                  <c:v>321886</c:v>
                </c:pt>
                <c:pt idx="21">
                  <c:v>341535</c:v>
                </c:pt>
                <c:pt idx="22">
                  <c:v>357631</c:v>
                </c:pt>
                <c:pt idx="23">
                  <c:v>377877</c:v>
                </c:pt>
                <c:pt idx="24">
                  <c:v>385372</c:v>
                </c:pt>
                <c:pt idx="25">
                  <c:v>427833</c:v>
                </c:pt>
              </c:numCache>
            </c:numRef>
          </c:val>
          <c:extLst>
            <c:ext xmlns:c16="http://schemas.microsoft.com/office/drawing/2014/chart" uri="{C3380CC4-5D6E-409C-BE32-E72D297353CC}">
              <c16:uniqueId val="{00000000-D4F2-49FE-BBA5-538DA6AA29A6}"/>
            </c:ext>
          </c:extLst>
        </c:ser>
        <c:dLbls>
          <c:showLegendKey val="0"/>
          <c:showVal val="0"/>
          <c:showCatName val="0"/>
          <c:showSerName val="0"/>
          <c:showPercent val="0"/>
          <c:showBubbleSize val="0"/>
        </c:dLbls>
        <c:gapWidth val="219"/>
        <c:overlap val="-27"/>
        <c:axId val="32178895"/>
        <c:axId val="32179311"/>
      </c:barChart>
      <c:catAx>
        <c:axId val="3217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179311"/>
        <c:crosses val="autoZero"/>
        <c:auto val="1"/>
        <c:lblAlgn val="ctr"/>
        <c:lblOffset val="100"/>
        <c:noMultiLvlLbl val="0"/>
      </c:catAx>
      <c:valAx>
        <c:axId val="32179311"/>
        <c:scaling>
          <c:orientation val="minMax"/>
        </c:scaling>
        <c:delete val="1"/>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crossAx val="32178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tx>
            <c:strRef>
              <c:f>'Displacement &amp; Returns'!$F$211</c:f>
              <c:strCache>
                <c:ptCount val="1"/>
                <c:pt idx="0">
                  <c:v>réfugiés hors camp</c:v>
                </c:pt>
              </c:strCache>
            </c:strRef>
          </c:tx>
          <c:spPr>
            <a:solidFill>
              <a:schemeClr val="accent1"/>
            </a:solidFill>
            <a:ln>
              <a:noFill/>
            </a:ln>
            <a:effectLst/>
          </c:spPr>
          <c:invertIfNegative val="0"/>
          <c:cat>
            <c:strRef>
              <c:f>'Displacement &amp; Returns'!$D$212:$D$237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Returns'!$F$212:$F$237</c:f>
              <c:numCache>
                <c:formatCode>#\ ##0</c:formatCode>
                <c:ptCount val="26"/>
                <c:pt idx="0">
                  <c:v>11482</c:v>
                </c:pt>
                <c:pt idx="1">
                  <c:v>8108</c:v>
                </c:pt>
                <c:pt idx="2">
                  <c:v>8251</c:v>
                </c:pt>
                <c:pt idx="3">
                  <c:v>14871</c:v>
                </c:pt>
                <c:pt idx="4">
                  <c:v>26743</c:v>
                </c:pt>
                <c:pt idx="5">
                  <c:v>23430</c:v>
                </c:pt>
                <c:pt idx="6">
                  <c:v>30593</c:v>
                </c:pt>
                <c:pt idx="7">
                  <c:v>32459</c:v>
                </c:pt>
                <c:pt idx="8">
                  <c:v>30278</c:v>
                </c:pt>
                <c:pt idx="9">
                  <c:v>29728</c:v>
                </c:pt>
                <c:pt idx="10">
                  <c:v>29337</c:v>
                </c:pt>
                <c:pt idx="11">
                  <c:v>31656</c:v>
                </c:pt>
                <c:pt idx="12">
                  <c:v>31681</c:v>
                </c:pt>
                <c:pt idx="13">
                  <c:v>39403</c:v>
                </c:pt>
                <c:pt idx="14">
                  <c:v>41763</c:v>
                </c:pt>
                <c:pt idx="15">
                  <c:v>40396</c:v>
                </c:pt>
                <c:pt idx="16">
                  <c:v>79787</c:v>
                </c:pt>
                <c:pt idx="17">
                  <c:v>50981</c:v>
                </c:pt>
                <c:pt idx="18">
                  <c:v>46845</c:v>
                </c:pt>
                <c:pt idx="19">
                  <c:v>47305</c:v>
                </c:pt>
                <c:pt idx="20">
                  <c:v>48769</c:v>
                </c:pt>
                <c:pt idx="21">
                  <c:v>48902</c:v>
                </c:pt>
                <c:pt idx="22">
                  <c:v>51997</c:v>
                </c:pt>
                <c:pt idx="23">
                  <c:v>49564</c:v>
                </c:pt>
                <c:pt idx="24">
                  <c:v>49660</c:v>
                </c:pt>
                <c:pt idx="25">
                  <c:v>49513</c:v>
                </c:pt>
              </c:numCache>
            </c:numRef>
          </c:val>
          <c:extLst>
            <c:ext xmlns:c16="http://schemas.microsoft.com/office/drawing/2014/chart" uri="{C3380CC4-5D6E-409C-BE32-E72D297353CC}">
              <c16:uniqueId val="{00000000-F953-4986-9AFE-1F4923BC289E}"/>
            </c:ext>
          </c:extLst>
        </c:ser>
        <c:dLbls>
          <c:showLegendKey val="0"/>
          <c:showVal val="0"/>
          <c:showCatName val="0"/>
          <c:showSerName val="0"/>
          <c:showPercent val="0"/>
          <c:showBubbleSize val="0"/>
        </c:dLbls>
        <c:gapWidth val="219"/>
        <c:overlap val="-27"/>
        <c:axId val="32178895"/>
        <c:axId val="32179311"/>
      </c:barChart>
      <c:catAx>
        <c:axId val="3217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179311"/>
        <c:crosses val="autoZero"/>
        <c:auto val="1"/>
        <c:lblAlgn val="ctr"/>
        <c:lblOffset val="100"/>
        <c:noMultiLvlLbl val="0"/>
      </c:catAx>
      <c:valAx>
        <c:axId val="32179311"/>
        <c:scaling>
          <c:orientation val="minMax"/>
        </c:scaling>
        <c:delete val="1"/>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crossAx val="32178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tx>
            <c:strRef>
              <c:f>'Displacement &amp; Returns'!$G$211</c:f>
              <c:strCache>
                <c:ptCount val="1"/>
                <c:pt idx="0">
                  <c:v>Retournés</c:v>
                </c:pt>
              </c:strCache>
            </c:strRef>
          </c:tx>
          <c:spPr>
            <a:solidFill>
              <a:schemeClr val="accent1"/>
            </a:solidFill>
            <a:ln>
              <a:noFill/>
            </a:ln>
            <a:effectLst/>
          </c:spPr>
          <c:invertIfNegative val="0"/>
          <c:cat>
            <c:strRef>
              <c:f>'Displacement &amp; Returns'!$D$212:$D$237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Returns'!$G$212:$G$237</c:f>
              <c:numCache>
                <c:formatCode>#\ ##0</c:formatCode>
                <c:ptCount val="26"/>
                <c:pt idx="0">
                  <c:v>30585</c:v>
                </c:pt>
                <c:pt idx="1">
                  <c:v>35434</c:v>
                </c:pt>
                <c:pt idx="2">
                  <c:v>39833</c:v>
                </c:pt>
                <c:pt idx="3">
                  <c:v>32023</c:v>
                </c:pt>
                <c:pt idx="4">
                  <c:v>36068</c:v>
                </c:pt>
                <c:pt idx="5">
                  <c:v>35665</c:v>
                </c:pt>
                <c:pt idx="6">
                  <c:v>43435</c:v>
                </c:pt>
                <c:pt idx="7">
                  <c:v>58027</c:v>
                </c:pt>
                <c:pt idx="8">
                  <c:v>59398</c:v>
                </c:pt>
                <c:pt idx="9">
                  <c:v>61090</c:v>
                </c:pt>
                <c:pt idx="10">
                  <c:v>63692</c:v>
                </c:pt>
                <c:pt idx="11">
                  <c:v>69730</c:v>
                </c:pt>
                <c:pt idx="12">
                  <c:v>83141</c:v>
                </c:pt>
                <c:pt idx="13">
                  <c:v>92238</c:v>
                </c:pt>
                <c:pt idx="14">
                  <c:v>100925</c:v>
                </c:pt>
                <c:pt idx="15">
                  <c:v>105906</c:v>
                </c:pt>
                <c:pt idx="16">
                  <c:v>109083</c:v>
                </c:pt>
                <c:pt idx="17">
                  <c:v>110023</c:v>
                </c:pt>
                <c:pt idx="18">
                  <c:v>110574</c:v>
                </c:pt>
                <c:pt idx="19">
                  <c:v>116979</c:v>
                </c:pt>
                <c:pt idx="20">
                  <c:v>123489</c:v>
                </c:pt>
                <c:pt idx="21">
                  <c:v>124310</c:v>
                </c:pt>
                <c:pt idx="22">
                  <c:v>135257</c:v>
                </c:pt>
                <c:pt idx="23">
                  <c:v>130690</c:v>
                </c:pt>
                <c:pt idx="24">
                  <c:v>138152</c:v>
                </c:pt>
                <c:pt idx="25">
                  <c:v>203166</c:v>
                </c:pt>
              </c:numCache>
            </c:numRef>
          </c:val>
          <c:extLst>
            <c:ext xmlns:c16="http://schemas.microsoft.com/office/drawing/2014/chart" uri="{C3380CC4-5D6E-409C-BE32-E72D297353CC}">
              <c16:uniqueId val="{00000000-17D4-4AFE-B400-1DA2E7ABEDF5}"/>
            </c:ext>
          </c:extLst>
        </c:ser>
        <c:dLbls>
          <c:showLegendKey val="0"/>
          <c:showVal val="0"/>
          <c:showCatName val="0"/>
          <c:showSerName val="0"/>
          <c:showPercent val="0"/>
          <c:showBubbleSize val="0"/>
        </c:dLbls>
        <c:gapWidth val="219"/>
        <c:overlap val="-27"/>
        <c:axId val="32178895"/>
        <c:axId val="32179311"/>
      </c:barChart>
      <c:catAx>
        <c:axId val="3217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179311"/>
        <c:crosses val="autoZero"/>
        <c:auto val="1"/>
        <c:lblAlgn val="ctr"/>
        <c:lblOffset val="100"/>
        <c:noMultiLvlLbl val="0"/>
      </c:catAx>
      <c:valAx>
        <c:axId val="32179311"/>
        <c:scaling>
          <c:orientation val="minMax"/>
        </c:scaling>
        <c:delete val="1"/>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crossAx val="32178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47841173501068"/>
          <c:y val="0.14312256593582223"/>
          <c:w val="0.41258310655162211"/>
          <c:h val="0.7247574905572987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00-43BC-946C-42270E32EFF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EE72-4F5F-88AE-2964CEF971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EE72-4F5F-88AE-2964CEF9711C}"/>
              </c:ext>
            </c:extLst>
          </c:dPt>
          <c:dLbls>
            <c:dLbl>
              <c:idx val="1"/>
              <c:layout>
                <c:manualLayout>
                  <c:x val="-5.3902831048108668E-2"/>
                  <c:y val="7.95820748501236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72-4F5F-88AE-2964CEF9711C}"/>
                </c:ext>
              </c:extLst>
            </c:dLbl>
            <c:dLbl>
              <c:idx val="2"/>
              <c:layout>
                <c:manualLayout>
                  <c:x val="6.9481312993576613E-2"/>
                  <c:y val="8.4601058104414421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72-4F5F-88AE-2964CEF971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'Displacement &amp; Returns'!$E$314:$G$314</c:f>
              <c:strCache>
                <c:ptCount val="3"/>
                <c:pt idx="0">
                  <c:v>Nigéria</c:v>
                </c:pt>
                <c:pt idx="1">
                  <c:v>Tchad</c:v>
                </c:pt>
                <c:pt idx="2">
                  <c:v>Autre (RCA)</c:v>
                </c:pt>
              </c:strCache>
            </c:strRef>
          </c:cat>
          <c:val>
            <c:numRef>
              <c:f>'Displacement &amp; Returns'!$E$321:$G$321</c:f>
              <c:numCache>
                <c:formatCode>0%</c:formatCode>
                <c:ptCount val="3"/>
                <c:pt idx="0">
                  <c:v>0.89182638902914391</c:v>
                </c:pt>
                <c:pt idx="1">
                  <c:v>0.10756770949043686</c:v>
                </c:pt>
                <c:pt idx="2">
                  <c:v>6.0590148041928383E-4</c:v>
                </c:pt>
              </c:numCache>
            </c:numRef>
          </c:val>
          <c:extLst>
            <c:ext xmlns:c16="http://schemas.microsoft.com/office/drawing/2014/chart" uri="{C3380CC4-5D6E-409C-BE32-E72D297353CC}">
              <c16:uniqueId val="{00000000-EE72-4F5F-88AE-2964CEF971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6090205931333001"/>
          <c:y val="0.4051775032128016"/>
          <c:w val="0.28246978339203549"/>
          <c:h val="0.2478970011676984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Nombres de popultions deplacees par type de zones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3.5555555555555556E-2"/>
          <c:y val="0.16047590560108585"/>
          <c:w val="0.74535403074615669"/>
          <c:h val="0.73915302348525935"/>
        </c:manualLayout>
      </c:layout>
      <c:barChart>
        <c:barDir val="col"/>
        <c:grouping val="clustered"/>
        <c:varyColors val="0"/>
        <c:ser>
          <c:idx val="0"/>
          <c:order val="0"/>
          <c:tx>
            <c:strRef>
              <c:f>'Analyse localités'!$C$28</c:f>
              <c:strCache>
                <c:ptCount val="1"/>
                <c:pt idx="0">
                  <c:v>PDI</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localités'!$B$29:$B$30</c:f>
              <c:strCache>
                <c:ptCount val="2"/>
                <c:pt idx="0">
                  <c:v>Rural (Moins de 5000 personnes)</c:v>
                </c:pt>
                <c:pt idx="1">
                  <c:v>Urbain (Plus de 5000 personnes)</c:v>
                </c:pt>
              </c:strCache>
            </c:strRef>
          </c:cat>
          <c:val>
            <c:numRef>
              <c:f>'Analyse localités'!$C$29:$C$30</c:f>
              <c:numCache>
                <c:formatCode>_(* #,##0_);_(* \(#,##0\);_(* "-"??_);_(@_)</c:formatCode>
                <c:ptCount val="2"/>
                <c:pt idx="0">
                  <c:v>297344</c:v>
                </c:pt>
                <c:pt idx="1">
                  <c:v>130489</c:v>
                </c:pt>
              </c:numCache>
            </c:numRef>
          </c:val>
          <c:extLst>
            <c:ext xmlns:c16="http://schemas.microsoft.com/office/drawing/2014/chart" uri="{C3380CC4-5D6E-409C-BE32-E72D297353CC}">
              <c16:uniqueId val="{00000004-3C88-4E45-971E-36086F7EF38D}"/>
            </c:ext>
          </c:extLst>
        </c:ser>
        <c:ser>
          <c:idx val="1"/>
          <c:order val="1"/>
          <c:tx>
            <c:strRef>
              <c:f>'Analyse localités'!$D$28</c:f>
              <c:strCache>
                <c:ptCount val="1"/>
                <c:pt idx="0">
                  <c:v>Réfugiés hors camp</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localités'!$B$29:$B$30</c:f>
              <c:strCache>
                <c:ptCount val="2"/>
                <c:pt idx="0">
                  <c:v>Rural (Moins de 5000 personnes)</c:v>
                </c:pt>
                <c:pt idx="1">
                  <c:v>Urbain (Plus de 5000 personnes)</c:v>
                </c:pt>
              </c:strCache>
            </c:strRef>
          </c:cat>
          <c:val>
            <c:numRef>
              <c:f>'Analyse localités'!$D$29:$D$30</c:f>
              <c:numCache>
                <c:formatCode>_(* #,##0_);_(* \(#,##0\);_(* "-"??_);_(@_)</c:formatCode>
                <c:ptCount val="2"/>
                <c:pt idx="0">
                  <c:v>37708</c:v>
                </c:pt>
                <c:pt idx="1">
                  <c:v>11805</c:v>
                </c:pt>
              </c:numCache>
            </c:numRef>
          </c:val>
          <c:extLst>
            <c:ext xmlns:c16="http://schemas.microsoft.com/office/drawing/2014/chart" uri="{C3380CC4-5D6E-409C-BE32-E72D297353CC}">
              <c16:uniqueId val="{00000005-3C88-4E45-971E-36086F7EF38D}"/>
            </c:ext>
          </c:extLst>
        </c:ser>
        <c:ser>
          <c:idx val="2"/>
          <c:order val="2"/>
          <c:tx>
            <c:strRef>
              <c:f>'Analyse localités'!$E$28</c:f>
              <c:strCache>
                <c:ptCount val="1"/>
                <c:pt idx="0">
                  <c:v>retournées</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localités'!$B$29:$B$30</c:f>
              <c:strCache>
                <c:ptCount val="2"/>
                <c:pt idx="0">
                  <c:v>Rural (Moins de 5000 personnes)</c:v>
                </c:pt>
                <c:pt idx="1">
                  <c:v>Urbain (Plus de 5000 personnes)</c:v>
                </c:pt>
              </c:strCache>
            </c:strRef>
          </c:cat>
          <c:val>
            <c:numRef>
              <c:f>'Analyse localités'!$E$29:$E$30</c:f>
              <c:numCache>
                <c:formatCode>_(* #,##0_);_(* \(#,##0\);_(* "-"??_);_(@_)</c:formatCode>
                <c:ptCount val="2"/>
                <c:pt idx="0">
                  <c:v>125728</c:v>
                </c:pt>
                <c:pt idx="1">
                  <c:v>77438</c:v>
                </c:pt>
              </c:numCache>
            </c:numRef>
          </c:val>
          <c:extLst>
            <c:ext xmlns:c16="http://schemas.microsoft.com/office/drawing/2014/chart" uri="{C3380CC4-5D6E-409C-BE32-E72D297353CC}">
              <c16:uniqueId val="{00000006-3C88-4E45-971E-36086F7EF38D}"/>
            </c:ext>
          </c:extLst>
        </c:ser>
        <c:dLbls>
          <c:dLblPos val="outEnd"/>
          <c:showLegendKey val="0"/>
          <c:showVal val="1"/>
          <c:showCatName val="0"/>
          <c:showSerName val="0"/>
          <c:showPercent val="0"/>
          <c:showBubbleSize val="0"/>
        </c:dLbls>
        <c:gapWidth val="219"/>
        <c:overlap val="-27"/>
        <c:axId val="867680704"/>
        <c:axId val="867676544"/>
      </c:barChart>
      <c:catAx>
        <c:axId val="8676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67676544"/>
        <c:crosses val="autoZero"/>
        <c:auto val="1"/>
        <c:lblAlgn val="ctr"/>
        <c:lblOffset val="100"/>
        <c:noMultiLvlLbl val="0"/>
      </c:catAx>
      <c:valAx>
        <c:axId val="867676544"/>
        <c:scaling>
          <c:orientation val="minMax"/>
        </c:scaling>
        <c:delete val="1"/>
        <c:axPos val="l"/>
        <c:numFmt formatCode="_(* #,##0_);_(* \(#,##0\);_(* &quot;-&quot;??_);_(@_)" sourceLinked="1"/>
        <c:majorTickMark val="none"/>
        <c:minorTickMark val="none"/>
        <c:tickLblPos val="nextTo"/>
        <c:crossAx val="867680704"/>
        <c:crosses val="autoZero"/>
        <c:crossBetween val="between"/>
      </c:valAx>
      <c:spPr>
        <a:noFill/>
        <a:ln>
          <a:noFill/>
        </a:ln>
        <a:effectLst/>
      </c:spPr>
    </c:plotArea>
    <c:legend>
      <c:legendPos val="r"/>
      <c:layout>
        <c:manualLayout>
          <c:xMode val="edge"/>
          <c:yMode val="edge"/>
          <c:x val="0.80313466434673197"/>
          <c:y val="0.44474021254869384"/>
          <c:w val="0.18687782004777492"/>
          <c:h val="0.228042055741627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rgbClr val="0033A0"/>
                </a:solidFill>
                <a:latin typeface="+mn-lt"/>
                <a:ea typeface="+mn-ea"/>
                <a:cs typeface="+mn-cs"/>
              </a:defRPr>
            </a:pPr>
            <a:r>
              <a:rPr lang="fr-FR" sz="1400" b="1">
                <a:solidFill>
                  <a:srgbClr val="0033A0"/>
                </a:solidFill>
              </a:rPr>
              <a:t>PYRAMIDE</a:t>
            </a:r>
            <a:r>
              <a:rPr lang="fr-FR" sz="1400" b="1" baseline="0">
                <a:solidFill>
                  <a:srgbClr val="0033A0"/>
                </a:solidFill>
              </a:rPr>
              <a:t> DEMOGRAPHIQUE</a:t>
            </a:r>
            <a:endParaRPr lang="fr-FR" sz="1400" b="1">
              <a:solidFill>
                <a:srgbClr val="0033A0"/>
              </a:solidFill>
            </a:endParaRPr>
          </a:p>
        </c:rich>
      </c:tx>
      <c:layout>
        <c:manualLayout>
          <c:xMode val="edge"/>
          <c:yMode val="edge"/>
          <c:x val="0.34103096378686926"/>
          <c:y val="1.8968595981825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33A0"/>
              </a:solidFill>
              <a:latin typeface="+mn-lt"/>
              <a:ea typeface="+mn-ea"/>
              <a:cs typeface="+mn-cs"/>
            </a:defRPr>
          </a:pPr>
          <a:endParaRPr lang="en-CH"/>
        </a:p>
      </c:txPr>
    </c:title>
    <c:autoTitleDeleted val="0"/>
    <c:plotArea>
      <c:layout>
        <c:manualLayout>
          <c:layoutTarget val="inner"/>
          <c:xMode val="edge"/>
          <c:yMode val="edge"/>
          <c:x val="0.13694395470860524"/>
          <c:y val="0.30446105504417581"/>
          <c:w val="0.86305604529139479"/>
          <c:h val="0.69553894495582413"/>
        </c:manualLayout>
      </c:layout>
      <c:barChart>
        <c:barDir val="bar"/>
        <c:grouping val="clustered"/>
        <c:varyColors val="0"/>
        <c:ser>
          <c:idx val="1"/>
          <c:order val="0"/>
          <c:tx>
            <c:strRef>
              <c:f>'Displacement &amp; Returns'!$R$38</c:f>
              <c:strCache>
                <c:ptCount val="1"/>
                <c:pt idx="0">
                  <c:v>Aide Graphe Homme</c:v>
                </c:pt>
              </c:strCache>
            </c:strRef>
          </c:tx>
          <c:spPr>
            <a:solidFill>
              <a:schemeClr val="accent1">
                <a:shade val="76000"/>
              </a:schemeClr>
            </a:solidFill>
            <a:ln>
              <a:noFill/>
            </a:ln>
            <a:effectLst/>
          </c:spPr>
          <c:invertIfNegative val="0"/>
          <c:dLbls>
            <c:dLbl>
              <c:idx val="0"/>
              <c:tx>
                <c:rich>
                  <a:bodyPr/>
                  <a:lstStyle/>
                  <a:p>
                    <a:fld id="{D7904FC9-003B-4679-8BC4-F8808B36DDE4}"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DA8-42B5-8401-E030C0817A4E}"/>
                </c:ext>
              </c:extLst>
            </c:dLbl>
            <c:dLbl>
              <c:idx val="1"/>
              <c:tx>
                <c:rich>
                  <a:bodyPr/>
                  <a:lstStyle/>
                  <a:p>
                    <a:fld id="{F1776BDD-6273-4290-B9E1-C28CD008D285}" type="CELLRANGE">
                      <a:rPr lang="en-CH"/>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DA8-42B5-8401-E030C0817A4E}"/>
                </c:ext>
              </c:extLst>
            </c:dLbl>
            <c:dLbl>
              <c:idx val="2"/>
              <c:tx>
                <c:rich>
                  <a:bodyPr/>
                  <a:lstStyle/>
                  <a:p>
                    <a:fld id="{43BAC87A-F882-46C3-BD7F-995C193A6996}" type="CELLRANGE">
                      <a:rPr lang="en-CH"/>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A8-42B5-8401-E030C0817A4E}"/>
                </c:ext>
              </c:extLst>
            </c:dLbl>
            <c:dLbl>
              <c:idx val="3"/>
              <c:tx>
                <c:rich>
                  <a:bodyPr/>
                  <a:lstStyle/>
                  <a:p>
                    <a:fld id="{400ADB4A-505D-41A3-ACAC-76B86AF143BE}" type="CELLRANGE">
                      <a:rPr lang="en-CH"/>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A8-42B5-8401-E030C0817A4E}"/>
                </c:ext>
              </c:extLst>
            </c:dLbl>
            <c:dLbl>
              <c:idx val="4"/>
              <c:tx>
                <c:rich>
                  <a:bodyPr/>
                  <a:lstStyle/>
                  <a:p>
                    <a:fld id="{0626D620-4054-40BF-A611-E002BA905CB1}" type="CELLRANGE">
                      <a:rPr lang="en-CH"/>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A8-42B5-8401-E030C0817A4E}"/>
                </c:ext>
              </c:extLst>
            </c:dLbl>
            <c:dLbl>
              <c:idx val="5"/>
              <c:tx>
                <c:rich>
                  <a:bodyPr/>
                  <a:lstStyle/>
                  <a:p>
                    <a:fld id="{4459E70E-8BAC-49E2-B99C-D92DAAC3DCD7}" type="CELLRANGE">
                      <a:rPr lang="en-CH"/>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A8-42B5-8401-E030C0817A4E}"/>
                </c:ext>
              </c:extLst>
            </c:dLbl>
            <c:dLbl>
              <c:idx val="6"/>
              <c:tx>
                <c:rich>
                  <a:bodyPr/>
                  <a:lstStyle/>
                  <a:p>
                    <a:fld id="{D0DA30DC-E366-4AD2-B7E8-A5C027A7FDDF}" type="CELLRANGE">
                      <a:rPr lang="en-CH"/>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DA8-42B5-8401-E030C0817A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'Displacement &amp; Returns'!$I$39:$I$45</c:f>
              <c:strCache>
                <c:ptCount val="7"/>
                <c:pt idx="0">
                  <c:v>Diamaré</c:v>
                </c:pt>
                <c:pt idx="1">
                  <c:v>Logone-Et-Chari</c:v>
                </c:pt>
                <c:pt idx="2">
                  <c:v>Mayo-Danay</c:v>
                </c:pt>
                <c:pt idx="3">
                  <c:v>Mayo-Kani</c:v>
                </c:pt>
                <c:pt idx="4">
                  <c:v>Mayo-Sava</c:v>
                </c:pt>
                <c:pt idx="5">
                  <c:v>Mayo-Tsanaga</c:v>
                </c:pt>
                <c:pt idx="6">
                  <c:v>Total</c:v>
                </c:pt>
              </c:strCache>
            </c:strRef>
          </c:cat>
          <c:val>
            <c:numRef>
              <c:f>'Displacement &amp; Returns'!$R$39:$R$45</c:f>
              <c:numCache>
                <c:formatCode>0%</c:formatCode>
                <c:ptCount val="7"/>
                <c:pt idx="0">
                  <c:v>-1.8940462385474453E-2</c:v>
                </c:pt>
                <c:pt idx="1">
                  <c:v>-0.38382033897124629</c:v>
                </c:pt>
                <c:pt idx="2">
                  <c:v>-0.15796951557129574</c:v>
                </c:pt>
                <c:pt idx="3">
                  <c:v>-9.3396433384523771E-3</c:v>
                </c:pt>
                <c:pt idx="4">
                  <c:v>-0.23930311356268044</c:v>
                </c:pt>
                <c:pt idx="5">
                  <c:v>-0.1906269261708507</c:v>
                </c:pt>
                <c:pt idx="6">
                  <c:v>-0.42198080268973948</c:v>
                </c:pt>
              </c:numCache>
            </c:numRef>
          </c:val>
          <c:extLst>
            <c:ext xmlns:c15="http://schemas.microsoft.com/office/drawing/2012/chart" uri="{02D57815-91ED-43cb-92C2-25804820EDAC}">
              <c15:datalabelsRange>
                <c15:f>'Displacement &amp; Returns'!$P$39:$P$45</c15:f>
                <c15:dlblRangeCache>
                  <c:ptCount val="7"/>
                  <c:pt idx="0">
                    <c:v>2%</c:v>
                  </c:pt>
                  <c:pt idx="1">
                    <c:v>38%</c:v>
                  </c:pt>
                  <c:pt idx="2">
                    <c:v>16%</c:v>
                  </c:pt>
                  <c:pt idx="3">
                    <c:v>1%</c:v>
                  </c:pt>
                  <c:pt idx="4">
                    <c:v>24%</c:v>
                  </c:pt>
                  <c:pt idx="5">
                    <c:v>19%</c:v>
                  </c:pt>
                  <c:pt idx="6">
                    <c:v>42%</c:v>
                  </c:pt>
                </c15:dlblRangeCache>
              </c15:datalabelsRange>
            </c:ext>
            <c:ext xmlns:c16="http://schemas.microsoft.com/office/drawing/2014/chart" uri="{C3380CC4-5D6E-409C-BE32-E72D297353CC}">
              <c16:uniqueId val="{00000006-ADA8-42B5-8401-E030C0817A4E}"/>
            </c:ext>
          </c:extLst>
        </c:ser>
        <c:ser>
          <c:idx val="0"/>
          <c:order val="1"/>
          <c:tx>
            <c:strRef>
              <c:f>'Displacement &amp; Returns'!$Q$38</c:f>
              <c:strCache>
                <c:ptCount val="1"/>
                <c:pt idx="0">
                  <c:v>Total Femmes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Returns'!$I$39:$I$45</c:f>
              <c:strCache>
                <c:ptCount val="7"/>
                <c:pt idx="0">
                  <c:v>Diamaré</c:v>
                </c:pt>
                <c:pt idx="1">
                  <c:v>Logone-Et-Chari</c:v>
                </c:pt>
                <c:pt idx="2">
                  <c:v>Mayo-Danay</c:v>
                </c:pt>
                <c:pt idx="3">
                  <c:v>Mayo-Kani</c:v>
                </c:pt>
                <c:pt idx="4">
                  <c:v>Mayo-Sava</c:v>
                </c:pt>
                <c:pt idx="5">
                  <c:v>Mayo-Tsanaga</c:v>
                </c:pt>
                <c:pt idx="6">
                  <c:v>Total</c:v>
                </c:pt>
              </c:strCache>
            </c:strRef>
          </c:cat>
          <c:val>
            <c:numRef>
              <c:f>'Displacement &amp; Returns'!$Q$39:$Q$45</c:f>
              <c:numCache>
                <c:formatCode>0%</c:formatCode>
                <c:ptCount val="7"/>
                <c:pt idx="0">
                  <c:v>1.9997508573811044E-2</c:v>
                </c:pt>
                <c:pt idx="1">
                  <c:v>0.37031999572898366</c:v>
                </c:pt>
                <c:pt idx="2">
                  <c:v>0.16095121634985726</c:v>
                </c:pt>
                <c:pt idx="3">
                  <c:v>7.8276543222430967E-3</c:v>
                </c:pt>
                <c:pt idx="4">
                  <c:v>0.24607409704867689</c:v>
                </c:pt>
                <c:pt idx="5">
                  <c:v>0.19482952797642805</c:v>
                </c:pt>
                <c:pt idx="6">
                  <c:v>0.57801919731026052</c:v>
                </c:pt>
              </c:numCache>
            </c:numRef>
          </c:val>
          <c:extLst>
            <c:ext xmlns:c16="http://schemas.microsoft.com/office/drawing/2014/chart" uri="{C3380CC4-5D6E-409C-BE32-E72D297353CC}">
              <c16:uniqueId val="{00000007-ADA8-42B5-8401-E030C0817A4E}"/>
            </c:ext>
          </c:extLst>
        </c:ser>
        <c:dLbls>
          <c:showLegendKey val="0"/>
          <c:showVal val="1"/>
          <c:showCatName val="0"/>
          <c:showSerName val="0"/>
          <c:showPercent val="0"/>
          <c:showBubbleSize val="0"/>
        </c:dLbls>
        <c:gapWidth val="50"/>
        <c:overlap val="100"/>
        <c:axId val="558962432"/>
        <c:axId val="558955544"/>
        <c:extLst/>
      </c:barChart>
      <c:catAx>
        <c:axId val="55896243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CH"/>
          </a:p>
        </c:txPr>
        <c:crossAx val="558955544"/>
        <c:crosses val="autoZero"/>
        <c:auto val="1"/>
        <c:lblAlgn val="ctr"/>
        <c:lblOffset val="100"/>
        <c:noMultiLvlLbl val="0"/>
      </c:catAx>
      <c:valAx>
        <c:axId val="558955544"/>
        <c:scaling>
          <c:orientation val="minMax"/>
        </c:scaling>
        <c:delete val="1"/>
        <c:axPos val="t"/>
        <c:numFmt formatCode="0%" sourceLinked="1"/>
        <c:majorTickMark val="none"/>
        <c:minorTickMark val="none"/>
        <c:tickLblPos val="nextTo"/>
        <c:crossAx val="558962432"/>
        <c:crosses val="autoZero"/>
        <c:crossBetween val="between"/>
      </c:valAx>
      <c:spPr>
        <a:noFill/>
        <a:ln>
          <a:noFill/>
        </a:ln>
        <a:effectLst/>
      </c:spPr>
    </c:plotArea>
    <c:plotVisOnly val="1"/>
    <c:dispBlanksAs val="gap"/>
    <c:showDLblsOverMax val="0"/>
  </c:chart>
  <c:spPr>
    <a:noFill/>
    <a:ln w="9525" cap="flat" cmpd="sng" algn="ctr">
      <a:solidFill>
        <a:schemeClr val="bg1"/>
      </a:solidFill>
      <a:round/>
    </a:ln>
    <a:effectLst/>
  </c:spPr>
  <c:txPr>
    <a:bodyPr/>
    <a:lstStyle/>
    <a:p>
      <a:pPr>
        <a:defRPr/>
      </a:pPr>
      <a:endParaRPr lang="en-CH"/>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10A6"/>
                </a:solidFill>
              </a:defRPr>
            </a:pPr>
            <a:r>
              <a:rPr lang="fr-FR" sz="1100" b="0" i="0" baseline="0">
                <a:effectLst/>
              </a:rPr>
              <a:t>Graphique 15: Types d'abris pour les refugiés hors camp</a:t>
            </a:r>
            <a:endParaRPr lang="fr-FR" sz="1100">
              <a:effectLst/>
            </a:endParaRPr>
          </a:p>
        </c:rich>
      </c:tx>
      <c:overlay val="0"/>
    </c:title>
    <c:autoTitleDeleted val="0"/>
    <c:plotArea>
      <c:layout/>
      <c:barChart>
        <c:barDir val="col"/>
        <c:grouping val="percentStacked"/>
        <c:varyColors val="0"/>
        <c:ser>
          <c:idx val="4"/>
          <c:order val="0"/>
          <c:tx>
            <c:strRef>
              <c:f>Settlement!$L$97</c:f>
              <c:strCache>
                <c:ptCount val="1"/>
                <c:pt idx="0">
                  <c:v>Familles d'accueil (à titre gratuit)</c:v>
                </c:pt>
              </c:strCache>
            </c:strRef>
          </c:tx>
          <c:spPr>
            <a:solidFill>
              <a:srgbClr val="3A1A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Settlement!$L$98:$L$104</c:f>
              <c:numCache>
                <c:formatCode>0%</c:formatCode>
                <c:ptCount val="7"/>
                <c:pt idx="0">
                  <c:v>0.11904761904761904</c:v>
                </c:pt>
                <c:pt idx="1">
                  <c:v>0.52850423330197549</c:v>
                </c:pt>
                <c:pt idx="2">
                  <c:v>1</c:v>
                </c:pt>
                <c:pt idx="3">
                  <c:v>0.19801980198019803</c:v>
                </c:pt>
                <c:pt idx="4">
                  <c:v>3.4013605442176874E-2</c:v>
                </c:pt>
                <c:pt idx="5">
                  <c:v>0.61034047919293821</c:v>
                </c:pt>
                <c:pt idx="6">
                  <c:v>0.46432803981986254</c:v>
                </c:pt>
              </c:numCache>
            </c:numRef>
          </c:val>
          <c:extLst>
            <c:ext xmlns:c16="http://schemas.microsoft.com/office/drawing/2014/chart" uri="{C3380CC4-5D6E-409C-BE32-E72D297353CC}">
              <c16:uniqueId val="{00000000-2504-4DCC-807C-64BFA7481732}"/>
            </c:ext>
          </c:extLst>
        </c:ser>
        <c:ser>
          <c:idx val="0"/>
          <c:order val="1"/>
          <c:tx>
            <c:strRef>
              <c:f>Settlement!$H$97</c:f>
              <c:strCache>
                <c:ptCount val="1"/>
                <c:pt idx="0">
                  <c:v>Spontané</c:v>
                </c:pt>
              </c:strCache>
            </c:strRef>
          </c:tx>
          <c:spPr>
            <a:solidFill>
              <a:srgbClr val="B05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Settlement!$H$98:$H$104</c:f>
              <c:numCache>
                <c:formatCode>0%</c:formatCode>
                <c:ptCount val="7"/>
                <c:pt idx="0">
                  <c:v>0.88095238095238093</c:v>
                </c:pt>
                <c:pt idx="1">
                  <c:v>0.40244590780809031</c:v>
                </c:pt>
                <c:pt idx="2">
                  <c:v>0</c:v>
                </c:pt>
                <c:pt idx="3">
                  <c:v>0.28712871287128711</c:v>
                </c:pt>
                <c:pt idx="4">
                  <c:v>0.95993953136810284</c:v>
                </c:pt>
                <c:pt idx="5">
                  <c:v>0.10718789407313997</c:v>
                </c:pt>
                <c:pt idx="6">
                  <c:v>0.43197440151694716</c:v>
                </c:pt>
              </c:numCache>
            </c:numRef>
          </c:val>
          <c:extLst>
            <c:ext xmlns:c16="http://schemas.microsoft.com/office/drawing/2014/chart" uri="{C3380CC4-5D6E-409C-BE32-E72D297353CC}">
              <c16:uniqueId val="{00000001-2504-4DCC-807C-64BFA7481732}"/>
            </c:ext>
          </c:extLst>
        </c:ser>
        <c:ser>
          <c:idx val="1"/>
          <c:order val="2"/>
          <c:tx>
            <c:strRef>
              <c:f>Settlement!$I$97</c:f>
              <c:strCache>
                <c:ptCount val="1"/>
                <c:pt idx="0">
                  <c:v>Location</c:v>
                </c:pt>
              </c:strCache>
            </c:strRef>
          </c:tx>
          <c:spPr>
            <a:solidFill>
              <a:srgbClr val="FF8A29"/>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Settlement!$I$98:$I$104</c:f>
              <c:numCache>
                <c:formatCode>0%</c:formatCode>
                <c:ptCount val="7"/>
                <c:pt idx="0">
                  <c:v>0</c:v>
                </c:pt>
                <c:pt idx="1">
                  <c:v>4.2144873000940733E-2</c:v>
                </c:pt>
                <c:pt idx="2">
                  <c:v>0</c:v>
                </c:pt>
                <c:pt idx="3">
                  <c:v>1.9801980198019802E-2</c:v>
                </c:pt>
                <c:pt idx="4">
                  <c:v>6.0468631897203327E-3</c:v>
                </c:pt>
                <c:pt idx="5">
                  <c:v>0.15573770491803279</c:v>
                </c:pt>
                <c:pt idx="6">
                  <c:v>5.7004029390850912E-2</c:v>
                </c:pt>
              </c:numCache>
            </c:numRef>
          </c:val>
          <c:extLst>
            <c:ext xmlns:c16="http://schemas.microsoft.com/office/drawing/2014/chart" uri="{C3380CC4-5D6E-409C-BE32-E72D297353CC}">
              <c16:uniqueId val="{00000002-2504-4DCC-807C-64BFA7481732}"/>
            </c:ext>
          </c:extLst>
        </c:ser>
        <c:ser>
          <c:idx val="2"/>
          <c:order val="3"/>
          <c:tx>
            <c:strRef>
              <c:f>Settlement!$J$97</c:f>
              <c:strCache>
                <c:ptCount val="1"/>
                <c:pt idx="0">
                  <c:v>Collectif</c:v>
                </c:pt>
              </c:strCache>
            </c:strRef>
          </c:tx>
          <c:spPr>
            <a:solidFill>
              <a:srgbClr val="FFD3A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Settlement!$J$98:$J$104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2504-4DCC-807C-64BFA7481732}"/>
            </c:ext>
          </c:extLst>
        </c:ser>
        <c:ser>
          <c:idx val="3"/>
          <c:order val="4"/>
          <c:tx>
            <c:strRef>
              <c:f>Settlement!$K$97</c:f>
              <c:strCache>
                <c:ptCount val="1"/>
                <c:pt idx="0">
                  <c:v>Air Libre</c:v>
                </c:pt>
              </c:strCache>
              <c:extLst xmlns:c15="http://schemas.microsoft.com/office/drawing/2012/chart"/>
            </c:strRef>
          </c:tx>
          <c:spPr>
            <a:solidFill>
              <a:srgbClr val="FFF2E7"/>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Settlement!$K$98:$K$104</c:f>
              <c:numCache>
                <c:formatCode>0%</c:formatCode>
                <c:ptCount val="7"/>
                <c:pt idx="0">
                  <c:v>0</c:v>
                </c:pt>
                <c:pt idx="1">
                  <c:v>2.8222013170272815E-3</c:v>
                </c:pt>
                <c:pt idx="2">
                  <c:v>0</c:v>
                </c:pt>
                <c:pt idx="3">
                  <c:v>0</c:v>
                </c:pt>
                <c:pt idx="4">
                  <c:v>0</c:v>
                </c:pt>
                <c:pt idx="5">
                  <c:v>3.1525851197982345E-3</c:v>
                </c:pt>
                <c:pt idx="6">
                  <c:v>2.3702299123014932E-3</c:v>
                </c:pt>
              </c:numCache>
              <c:extLst xmlns:c15="http://schemas.microsoft.com/office/drawing/2012/chart"/>
            </c:numRef>
          </c:val>
          <c:extLst xmlns:c15="http://schemas.microsoft.com/office/drawing/2012/chart">
            <c:ext xmlns:c16="http://schemas.microsoft.com/office/drawing/2014/chart" uri="{C3380CC4-5D6E-409C-BE32-E72D297353CC}">
              <c16:uniqueId val="{00000004-2504-4DCC-807C-64BFA7481732}"/>
            </c:ext>
          </c:extLst>
        </c:ser>
        <c:ser>
          <c:idx val="5"/>
          <c:order val="5"/>
          <c:tx>
            <c:strRef>
              <c:f>Settlement!$M$97</c:f>
              <c:strCache>
                <c:ptCount val="1"/>
                <c:pt idx="0">
                  <c:v>Familles d'accueil (contre travaux domestiques ou des champs)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Settlement!$M$98:$M$104</c:f>
              <c:numCache>
                <c:formatCode>0%</c:formatCode>
                <c:ptCount val="7"/>
                <c:pt idx="0">
                  <c:v>0</c:v>
                </c:pt>
                <c:pt idx="1">
                  <c:v>2.4082784571966134E-2</c:v>
                </c:pt>
                <c:pt idx="2">
                  <c:v>0</c:v>
                </c:pt>
                <c:pt idx="3">
                  <c:v>0.49504950495049505</c:v>
                </c:pt>
                <c:pt idx="4">
                  <c:v>0</c:v>
                </c:pt>
                <c:pt idx="5">
                  <c:v>0.1235813366960908</c:v>
                </c:pt>
                <c:pt idx="6">
                  <c:v>4.4323299360037927E-2</c:v>
                </c:pt>
              </c:numCache>
            </c:numRef>
          </c:val>
          <c:extLst>
            <c:ext xmlns:c16="http://schemas.microsoft.com/office/drawing/2014/chart" uri="{C3380CC4-5D6E-409C-BE32-E72D297353CC}">
              <c16:uniqueId val="{00000001-77C8-46E8-912F-846E290B74FD}"/>
            </c:ext>
          </c:extLst>
        </c:ser>
        <c:dLbls>
          <c:dLblPos val="ctr"/>
          <c:showLegendKey val="0"/>
          <c:showVal val="1"/>
          <c:showCatName val="0"/>
          <c:showSerName val="0"/>
          <c:showPercent val="0"/>
          <c:showBubbleSize val="0"/>
        </c:dLbls>
        <c:gapWidth val="150"/>
        <c:overlap val="100"/>
        <c:axId val="179246592"/>
        <c:axId val="179248128"/>
        <c:extLst/>
      </c:barChart>
      <c:catAx>
        <c:axId val="179246592"/>
        <c:scaling>
          <c:orientation val="minMax"/>
        </c:scaling>
        <c:delete val="0"/>
        <c:axPos val="b"/>
        <c:numFmt formatCode="General" sourceLinked="0"/>
        <c:majorTickMark val="out"/>
        <c:minorTickMark val="none"/>
        <c:tickLblPos val="nextTo"/>
        <c:crossAx val="179248128"/>
        <c:crosses val="autoZero"/>
        <c:auto val="1"/>
        <c:lblAlgn val="ctr"/>
        <c:lblOffset val="100"/>
        <c:noMultiLvlLbl val="0"/>
      </c:catAx>
      <c:valAx>
        <c:axId val="179248128"/>
        <c:scaling>
          <c:orientation val="minMax"/>
        </c:scaling>
        <c:delete val="1"/>
        <c:axPos val="l"/>
        <c:numFmt formatCode="0%" sourceLinked="1"/>
        <c:majorTickMark val="out"/>
        <c:minorTickMark val="none"/>
        <c:tickLblPos val="nextTo"/>
        <c:crossAx val="179246592"/>
        <c:crosses val="autoZero"/>
        <c:crossBetween val="between"/>
      </c:valAx>
    </c:plotArea>
    <c:legend>
      <c:legendPos val="t"/>
      <c:layout>
        <c:manualLayout>
          <c:xMode val="edge"/>
          <c:yMode val="edge"/>
          <c:x val="7.1358585403037397E-2"/>
          <c:y val="9.9068529023272511E-2"/>
          <c:w val="0.87011781149403"/>
          <c:h val="9.6694578601849657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Types d'abris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Settlement!$H$128:$O$128</c:f>
              <c:strCache>
                <c:ptCount val="8"/>
                <c:pt idx="0">
                  <c:v>Spontané</c:v>
                </c:pt>
                <c:pt idx="1">
                  <c:v>Location</c:v>
                </c:pt>
                <c:pt idx="2">
                  <c:v>Collectif</c:v>
                </c:pt>
                <c:pt idx="3">
                  <c:v>Plein-air</c:v>
                </c:pt>
                <c:pt idx="4">
                  <c:v>Familles d'accueil (à titre gratuit)</c:v>
                </c:pt>
                <c:pt idx="5">
                  <c:v>Familles d'accueil (contre travaux domestiques ou des champs)</c:v>
                </c:pt>
                <c:pt idx="6">
                  <c:v>Nouveau domicile personnel</c:v>
                </c:pt>
                <c:pt idx="7">
                  <c:v>Habitat initial</c:v>
                </c:pt>
              </c:strCache>
            </c:strRef>
          </c:tx>
          <c:dPt>
            <c:idx val="0"/>
            <c:bubble3D val="0"/>
            <c:spPr>
              <a:solidFill>
                <a:schemeClr val="accent5">
                  <a:shade val="5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DE1E-4DCD-8683-1E6CCF126271}"/>
              </c:ext>
            </c:extLst>
          </c:dPt>
          <c:dPt>
            <c:idx val="1"/>
            <c:bubble3D val="0"/>
            <c:spPr>
              <a:solidFill>
                <a:schemeClr val="accent5">
                  <a:shade val="7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DE1E-4DCD-8683-1E6CCF126271}"/>
              </c:ext>
            </c:extLst>
          </c:dPt>
          <c:dPt>
            <c:idx val="2"/>
            <c:bubble3D val="0"/>
            <c:spPr>
              <a:solidFill>
                <a:schemeClr val="accent5">
                  <a:shade val="9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DE1E-4DCD-8683-1E6CCF126271}"/>
              </c:ext>
            </c:extLst>
          </c:dPt>
          <c:dPt>
            <c:idx val="3"/>
            <c:bubble3D val="0"/>
            <c:spPr>
              <a:solidFill>
                <a:schemeClr val="accent5">
                  <a:shade val="92000"/>
                </a:schemeClr>
              </a:solidFill>
              <a:ln w="6350" cap="flat" cmpd="sng" algn="ctr">
                <a:solidFill>
                  <a:schemeClr val="lt1"/>
                </a:solidFill>
                <a:prstDash val="solid"/>
                <a:round/>
              </a:ln>
              <a:effectLst/>
            </c:spPr>
            <c:extLst>
              <c:ext xmlns:c16="http://schemas.microsoft.com/office/drawing/2014/chart" uri="{C3380CC4-5D6E-409C-BE32-E72D297353CC}">
                <c16:uniqueId val="{00000007-279C-42DA-ACA0-404657A868F9}"/>
              </c:ext>
            </c:extLst>
          </c:dPt>
          <c:dPt>
            <c:idx val="4"/>
            <c:bubble3D val="0"/>
            <c:spPr>
              <a:solidFill>
                <a:schemeClr val="accent5">
                  <a:tint val="93000"/>
                </a:schemeClr>
              </a:solidFill>
              <a:ln w="6350" cap="flat" cmpd="sng" algn="ctr">
                <a:solidFill>
                  <a:schemeClr val="lt1"/>
                </a:solidFill>
                <a:prstDash val="solid"/>
                <a:round/>
              </a:ln>
              <a:effectLst/>
            </c:spPr>
            <c:extLst>
              <c:ext xmlns:c16="http://schemas.microsoft.com/office/drawing/2014/chart" uri="{C3380CC4-5D6E-409C-BE32-E72D297353CC}">
                <c16:uniqueId val="{00000007-74AD-49EC-94BF-9E759042F737}"/>
              </c:ext>
            </c:extLst>
          </c:dPt>
          <c:dPt>
            <c:idx val="5"/>
            <c:bubble3D val="0"/>
            <c:spPr>
              <a:solidFill>
                <a:schemeClr val="accent5">
                  <a:tint val="70000"/>
                </a:schemeClr>
              </a:solidFill>
              <a:ln w="6350" cap="flat" cmpd="sng" algn="ctr">
                <a:solidFill>
                  <a:schemeClr val="lt1"/>
                </a:solidFill>
                <a:prstDash val="solid"/>
                <a:round/>
              </a:ln>
              <a:effectLst/>
            </c:spPr>
            <c:extLst>
              <c:ext xmlns:c16="http://schemas.microsoft.com/office/drawing/2014/chart" uri="{C3380CC4-5D6E-409C-BE32-E72D297353CC}">
                <c16:uniqueId val="{00000007-65A0-4B19-9004-F45479136A13}"/>
              </c:ext>
            </c:extLst>
          </c:dPt>
          <c:dPt>
            <c:idx val="6"/>
            <c:bubble3D val="0"/>
            <c:spPr>
              <a:solidFill>
                <a:schemeClr val="accent5">
                  <a:tint val="70000"/>
                </a:schemeClr>
              </a:solidFill>
              <a:ln w="6350" cap="flat" cmpd="sng" algn="ctr">
                <a:solidFill>
                  <a:schemeClr val="lt1"/>
                </a:solidFill>
                <a:prstDash val="solid"/>
                <a:round/>
              </a:ln>
              <a:effectLst/>
            </c:spPr>
            <c:extLst>
              <c:ext xmlns:c16="http://schemas.microsoft.com/office/drawing/2014/chart" uri="{C3380CC4-5D6E-409C-BE32-E72D297353CC}">
                <c16:uniqueId val="{00000007-3A6C-4C39-ACFF-37867D2F1FD0}"/>
              </c:ext>
            </c:extLst>
          </c:dPt>
          <c:dPt>
            <c:idx val="7"/>
            <c:bubble3D val="0"/>
            <c:spPr>
              <a:solidFill>
                <a:schemeClr val="accent5">
                  <a:tint val="7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DE1E-4DCD-8683-1E6CCF126271}"/>
              </c:ext>
            </c:extLst>
          </c:dPt>
          <c:dPt>
            <c:idx val="8"/>
            <c:bubble3D val="0"/>
            <c:spPr>
              <a:solidFill>
                <a:schemeClr val="accent5">
                  <a:tint val="7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DE1E-4DCD-8683-1E6CCF126271}"/>
              </c:ext>
            </c:extLst>
          </c:dPt>
          <c:dPt>
            <c:idx val="9"/>
            <c:bubble3D val="0"/>
            <c:spPr>
              <a:solidFill>
                <a:schemeClr val="accent5">
                  <a:tint val="65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DE1E-4DCD-8683-1E6CCF126271}"/>
              </c:ext>
            </c:extLst>
          </c:dPt>
          <c:dPt>
            <c:idx val="10"/>
            <c:bubble3D val="0"/>
            <c:spPr>
              <a:solidFill>
                <a:schemeClr val="accent5">
                  <a:tint val="48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D-DE1E-4DCD-8683-1E6CCF126271}"/>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1-DE1E-4DCD-8683-1E6CCF126271}"/>
                </c:ext>
              </c:extLst>
            </c:dLbl>
            <c:dLbl>
              <c:idx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3-DE1E-4DCD-8683-1E6CCF126271}"/>
                </c:ext>
              </c:extLst>
            </c:dLbl>
            <c:dLbl>
              <c:idx val="8"/>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DE1E-4DCD-8683-1E6CCF12627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Settlement!$H$128:$O$128</c:f>
              <c:strCache>
                <c:ptCount val="8"/>
                <c:pt idx="0">
                  <c:v>Spontané</c:v>
                </c:pt>
                <c:pt idx="1">
                  <c:v>Location</c:v>
                </c:pt>
                <c:pt idx="2">
                  <c:v>Collectif</c:v>
                </c:pt>
                <c:pt idx="3">
                  <c:v>Plein-air</c:v>
                </c:pt>
                <c:pt idx="4">
                  <c:v>Familles d'accueil (à titre gratuit)</c:v>
                </c:pt>
                <c:pt idx="5">
                  <c:v>Familles d'accueil (contre travaux domestiques ou des champs)</c:v>
                </c:pt>
                <c:pt idx="6">
                  <c:v>Nouveau domicile personnel</c:v>
                </c:pt>
                <c:pt idx="7">
                  <c:v>Habitat initial</c:v>
                </c:pt>
              </c:strCache>
            </c:strRef>
          </c:cat>
          <c:val>
            <c:numRef>
              <c:f>Settlement!$H$136:$O$136</c:f>
              <c:numCache>
                <c:formatCode>0%</c:formatCode>
                <c:ptCount val="8"/>
                <c:pt idx="0">
                  <c:v>8.6785482160571956E-2</c:v>
                </c:pt>
                <c:pt idx="1">
                  <c:v>1.2588512981904013E-2</c:v>
                </c:pt>
                <c:pt idx="2">
                  <c:v>0</c:v>
                </c:pt>
                <c:pt idx="3">
                  <c:v>1.6693462867307496E-2</c:v>
                </c:pt>
                <c:pt idx="4">
                  <c:v>0.11524646803270276</c:v>
                </c:pt>
                <c:pt idx="5">
                  <c:v>1.0536038039202271E-2</c:v>
                </c:pt>
                <c:pt idx="6">
                  <c:v>0.20842883043136182</c:v>
                </c:pt>
                <c:pt idx="7">
                  <c:v>0.54972120548694969</c:v>
                </c:pt>
              </c:numCache>
            </c:numRef>
          </c:val>
          <c:extLst>
            <c:ext xmlns:c16="http://schemas.microsoft.com/office/drawing/2014/chart" uri="{C3380CC4-5D6E-409C-BE32-E72D297353CC}">
              <c16:uniqueId val="{0000000E-DE1E-4DCD-8683-1E6CCF12627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2.4109863081405856E-2"/>
          <c:y val="0.27654406430218126"/>
          <c:w val="0.39269347218204603"/>
          <c:h val="0.55128717548455763"/>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Types d'abris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dPt>
            <c:idx val="0"/>
            <c:bubble3D val="0"/>
            <c:spPr>
              <a:solidFill>
                <a:schemeClr val="accent6">
                  <a:tint val="54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358A-4654-A8ED-46ACDF7CB1DF}"/>
              </c:ext>
            </c:extLst>
          </c:dPt>
          <c:dPt>
            <c:idx val="1"/>
            <c:bubble3D val="0"/>
            <c:spPr>
              <a:solidFill>
                <a:schemeClr val="accent6">
                  <a:tint val="77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358A-4654-A8ED-46ACDF7CB1DF}"/>
              </c:ext>
            </c:extLst>
          </c:dPt>
          <c:dPt>
            <c:idx val="2"/>
            <c:bubble3D val="0"/>
            <c:spPr>
              <a:solidFill>
                <a:schemeClr val="accent6">
                  <a:shade val="8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358A-4654-A8ED-46ACDF7CB1DF}"/>
              </c:ext>
            </c:extLst>
          </c:dPt>
          <c:dPt>
            <c:idx val="3"/>
            <c:bubble3D val="0"/>
            <c:spPr>
              <a:solidFill>
                <a:schemeClr val="accent6">
                  <a:shade val="90000"/>
                </a:schemeClr>
              </a:solidFill>
              <a:ln w="6350" cap="flat" cmpd="sng" algn="ctr">
                <a:solidFill>
                  <a:schemeClr val="lt1"/>
                </a:solidFill>
                <a:prstDash val="solid"/>
                <a:round/>
              </a:ln>
              <a:effectLst/>
            </c:spPr>
            <c:extLst>
              <c:ext xmlns:c16="http://schemas.microsoft.com/office/drawing/2014/chart" uri="{C3380CC4-5D6E-409C-BE32-E72D297353CC}">
                <c16:uniqueId val="{00000007-6CB2-4839-A7BF-D3ACB414CBD4}"/>
              </c:ext>
            </c:extLst>
          </c:dPt>
          <c:dPt>
            <c:idx val="4"/>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FA55-4399-B8AF-F856F1B496E5}"/>
              </c:ext>
            </c:extLst>
          </c:dPt>
          <c:dPt>
            <c:idx val="5"/>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368E-4921-9D10-B58BF5A904DD}"/>
              </c:ext>
            </c:extLst>
          </c:dPt>
          <c:dPt>
            <c:idx val="6"/>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2118-475B-B05A-483D7BEAA0F6}"/>
              </c:ext>
            </c:extLst>
          </c:dPt>
          <c:dPt>
            <c:idx val="7"/>
            <c:bubble3D val="0"/>
            <c:spPr>
              <a:solidFill>
                <a:schemeClr val="accent6">
                  <a:shade val="7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358A-4654-A8ED-46ACDF7CB1DF}"/>
              </c:ext>
            </c:extLst>
          </c:dPt>
          <c:dPt>
            <c:idx val="8"/>
            <c:bubble3D val="0"/>
            <c:spPr>
              <a:solidFill>
                <a:schemeClr val="accent6">
                  <a:shade val="53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358A-4654-A8ED-46ACDF7CB1DF}"/>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1-358A-4654-A8ED-46ACDF7CB1DF}"/>
                </c:ext>
              </c:extLst>
            </c:dLbl>
            <c:dLbl>
              <c:idx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3-358A-4654-A8ED-46ACDF7CB1DF}"/>
                </c:ext>
              </c:extLst>
            </c:dLbl>
            <c:dLbl>
              <c:idx val="8"/>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358A-4654-A8ED-46ACDF7CB1D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Settlement!$H$84:$M$84</c:f>
              <c:strCache>
                <c:ptCount val="6"/>
                <c:pt idx="0">
                  <c:v>Spontané</c:v>
                </c:pt>
                <c:pt idx="1">
                  <c:v>Location</c:v>
                </c:pt>
                <c:pt idx="2">
                  <c:v>Collectif</c:v>
                </c:pt>
                <c:pt idx="3">
                  <c:v>Air Libre</c:v>
                </c:pt>
                <c:pt idx="4">
                  <c:v>Familles d'accueil (à titre gratuit)</c:v>
                </c:pt>
                <c:pt idx="5">
                  <c:v>Familles d'accueil (contre travaux domestiques ou des champs)</c:v>
                </c:pt>
              </c:strCache>
            </c:strRef>
          </c:cat>
          <c:val>
            <c:numRef>
              <c:f>Settlement!$H$92:$M$92</c:f>
              <c:numCache>
                <c:formatCode>0%</c:formatCode>
                <c:ptCount val="6"/>
                <c:pt idx="0">
                  <c:v>0.43197440151694716</c:v>
                </c:pt>
                <c:pt idx="1">
                  <c:v>5.7004029390850912E-2</c:v>
                </c:pt>
                <c:pt idx="2">
                  <c:v>0</c:v>
                </c:pt>
                <c:pt idx="3">
                  <c:v>2.3702299123014932E-3</c:v>
                </c:pt>
                <c:pt idx="4">
                  <c:v>0.46432803981986254</c:v>
                </c:pt>
                <c:pt idx="5">
                  <c:v>4.4323299360037927E-2</c:v>
                </c:pt>
              </c:numCache>
            </c:numRef>
          </c:val>
          <c:extLst>
            <c:ext xmlns:c16="http://schemas.microsoft.com/office/drawing/2014/chart" uri="{C3380CC4-5D6E-409C-BE32-E72D297353CC}">
              <c16:uniqueId val="{0000000A-358A-4654-A8ED-46ACDF7CB1D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7098854040187694E-2"/>
          <c:y val="0.2771885865138306"/>
          <c:w val="0.39522353968092161"/>
          <c:h val="0.5101363382596253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Types d'abris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Settlement!$H$35:$N$35</c:f>
              <c:strCache>
                <c:ptCount val="7"/>
                <c:pt idx="0">
                  <c:v>Domicile personnel</c:v>
                </c:pt>
                <c:pt idx="1">
                  <c:v>Abris spontanés</c:v>
                </c:pt>
                <c:pt idx="2">
                  <c:v>Location</c:v>
                </c:pt>
                <c:pt idx="3">
                  <c:v>Collectif</c:v>
                </c:pt>
                <c:pt idx="4">
                  <c:v>Air Libre</c:v>
                </c:pt>
                <c:pt idx="5">
                  <c:v>Familles d'accueil (à titre gratuit)</c:v>
                </c:pt>
                <c:pt idx="6">
                  <c:v>Familles d'accueil (contre travaux domestiques ou des champs)</c:v>
                </c:pt>
              </c:strCache>
            </c:strRef>
          </c:tx>
          <c:dPt>
            <c:idx val="0"/>
            <c:bubble3D val="0"/>
            <c:spPr>
              <a:solidFill>
                <a:schemeClr val="accent2">
                  <a:tint val="54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24D4-4528-AE67-036F929DAC74}"/>
              </c:ext>
            </c:extLst>
          </c:dPt>
          <c:dPt>
            <c:idx val="1"/>
            <c:bubble3D val="0"/>
            <c:spPr>
              <a:solidFill>
                <a:schemeClr val="accent2">
                  <a:tint val="77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24D4-4528-AE67-036F929DAC74}"/>
              </c:ext>
            </c:extLst>
          </c:dPt>
          <c:dPt>
            <c:idx val="2"/>
            <c:bubble3D val="0"/>
            <c:spPr>
              <a:solidFill>
                <a:schemeClr val="accent2">
                  <a:tint val="9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24D4-4528-AE67-036F929DAC74}"/>
              </c:ext>
            </c:extLst>
          </c:dPt>
          <c:dPt>
            <c:idx val="3"/>
            <c:bubble3D val="0"/>
            <c:spPr>
              <a:solidFill>
                <a:schemeClr val="accent2">
                  <a:shade val="7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24D4-4528-AE67-036F929DAC74}"/>
              </c:ext>
            </c:extLst>
          </c:dPt>
          <c:dPt>
            <c:idx val="4"/>
            <c:bubble3D val="0"/>
            <c:spPr>
              <a:solidFill>
                <a:schemeClr val="accent2">
                  <a:shade val="53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24D4-4528-AE67-036F929DAC74}"/>
              </c:ext>
            </c:extLst>
          </c:dPt>
          <c:dPt>
            <c:idx val="5"/>
            <c:bubble3D val="0"/>
            <c:spPr>
              <a:solidFill>
                <a:schemeClr val="accent2">
                  <a:shade val="5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24D4-4528-AE67-036F929DAC74}"/>
              </c:ext>
            </c:extLst>
          </c:dPt>
          <c:dPt>
            <c:idx val="6"/>
            <c:bubble3D val="0"/>
            <c:spPr>
              <a:solidFill>
                <a:schemeClr val="accent2">
                  <a:shade val="47000"/>
                </a:schemeClr>
              </a:solidFill>
              <a:ln w="6350" cap="flat" cmpd="sng" algn="ctr">
                <a:solidFill>
                  <a:schemeClr val="lt1"/>
                </a:solidFill>
                <a:prstDash val="solid"/>
                <a:round/>
              </a:ln>
              <a:effectLst/>
            </c:spPr>
            <c:extLst>
              <c:ext xmlns:c16="http://schemas.microsoft.com/office/drawing/2014/chart" uri="{C3380CC4-5D6E-409C-BE32-E72D297353CC}">
                <c16:uniqueId val="{0000000D-3F98-4952-B97B-610FCB311691}"/>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1-24D4-4528-AE67-036F929DAC74}"/>
                </c:ext>
              </c:extLst>
            </c:dLbl>
            <c:dLbl>
              <c:idx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3-24D4-4528-AE67-036F929DAC74}"/>
                </c:ext>
              </c:extLst>
            </c:dLbl>
            <c:dLbl>
              <c:idx val="4"/>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24D4-4528-AE67-036F929DAC7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Settlement!$H$35:$N$35</c:f>
              <c:strCache>
                <c:ptCount val="7"/>
                <c:pt idx="0">
                  <c:v>Domicile personnel</c:v>
                </c:pt>
                <c:pt idx="1">
                  <c:v>Abris spontanés</c:v>
                </c:pt>
                <c:pt idx="2">
                  <c:v>Location</c:v>
                </c:pt>
                <c:pt idx="3">
                  <c:v>Collectif</c:v>
                </c:pt>
                <c:pt idx="4">
                  <c:v>Air Libre</c:v>
                </c:pt>
                <c:pt idx="5">
                  <c:v>Familles d'accueil (à titre gratuit)</c:v>
                </c:pt>
                <c:pt idx="6">
                  <c:v>Familles d'accueil (contre travaux domestiques ou des champs)</c:v>
                </c:pt>
              </c:strCache>
            </c:strRef>
          </c:cat>
          <c:val>
            <c:numRef>
              <c:f>Settlement!$H$43:$N$43</c:f>
              <c:numCache>
                <c:formatCode>0%</c:formatCode>
                <c:ptCount val="7"/>
                <c:pt idx="0">
                  <c:v>0.10068671885729982</c:v>
                </c:pt>
                <c:pt idx="1">
                  <c:v>0.26832852630133225</c:v>
                </c:pt>
                <c:pt idx="2">
                  <c:v>0.12988600466968822</c:v>
                </c:pt>
                <c:pt idx="3">
                  <c:v>2.061530009614064E-2</c:v>
                </c:pt>
                <c:pt idx="4">
                  <c:v>1.0300782859497322E-3</c:v>
                </c:pt>
                <c:pt idx="5">
                  <c:v>0.44934761708556514</c:v>
                </c:pt>
                <c:pt idx="6">
                  <c:v>3.0105754704024174E-2</c:v>
                </c:pt>
              </c:numCache>
            </c:numRef>
          </c:val>
          <c:extLst>
            <c:ext xmlns:c16="http://schemas.microsoft.com/office/drawing/2014/chart" uri="{C3380CC4-5D6E-409C-BE32-E72D297353CC}">
              <c16:uniqueId val="{0000000C-24D4-4528-AE67-036F929DAC7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3.4146610025354893E-2"/>
          <c:y val="0.24132798604733771"/>
          <c:w val="0.36685047893106398"/>
          <c:h val="0.61317409599357586"/>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Graph 19: </a:t>
            </a:r>
            <a:r>
              <a:rPr lang="fr-FR" sz="1200" b="0" i="0" u="none" strike="noStrike" baseline="0">
                <a:effectLst/>
              </a:rPr>
              <a:t>Out of camp Refugees shelter types by department</a:t>
            </a:r>
            <a:endParaRPr lang="fr-FR" sz="1200" b="0" i="0" u="none" strike="noStrike" kern="1200" baseline="0">
              <a:solidFill>
                <a:srgbClr val="0010A6"/>
              </a:solidFill>
              <a:effectLst/>
              <a:latin typeface="+mn-lt"/>
              <a:ea typeface="+mn-ea"/>
              <a:cs typeface="+mn-cs"/>
            </a:endParaRPr>
          </a:p>
        </c:rich>
      </c:tx>
      <c:overlay val="0"/>
    </c:title>
    <c:autoTitleDeleted val="0"/>
    <c:plotArea>
      <c:layout/>
      <c:barChart>
        <c:barDir val="col"/>
        <c:grouping val="percentStacked"/>
        <c:varyColors val="0"/>
        <c:ser>
          <c:idx val="4"/>
          <c:order val="0"/>
          <c:tx>
            <c:strRef>
              <c:f>Settlement!$AC$97</c:f>
              <c:strCache>
                <c:ptCount val="1"/>
                <c:pt idx="0">
                  <c:v>Host Families (free of charge)</c:v>
                </c:pt>
              </c:strCache>
            </c:strRef>
          </c:tx>
          <c:spPr>
            <a:solidFill>
              <a:srgbClr val="3A1A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Settlement!$L$98:$L$104</c:f>
              <c:numCache>
                <c:formatCode>0%</c:formatCode>
                <c:ptCount val="7"/>
                <c:pt idx="0">
                  <c:v>0.11904761904761904</c:v>
                </c:pt>
                <c:pt idx="1">
                  <c:v>0.52850423330197549</c:v>
                </c:pt>
                <c:pt idx="2">
                  <c:v>1</c:v>
                </c:pt>
                <c:pt idx="3">
                  <c:v>0.19801980198019803</c:v>
                </c:pt>
                <c:pt idx="4">
                  <c:v>3.4013605442176874E-2</c:v>
                </c:pt>
                <c:pt idx="5">
                  <c:v>0.61034047919293821</c:v>
                </c:pt>
                <c:pt idx="6">
                  <c:v>0.46432803981986254</c:v>
                </c:pt>
              </c:numCache>
            </c:numRef>
          </c:val>
          <c:extLst>
            <c:ext xmlns:c16="http://schemas.microsoft.com/office/drawing/2014/chart" uri="{C3380CC4-5D6E-409C-BE32-E72D297353CC}">
              <c16:uniqueId val="{00000000-A5AD-4603-8DA9-0094672EB79F}"/>
            </c:ext>
          </c:extLst>
        </c:ser>
        <c:ser>
          <c:idx val="0"/>
          <c:order val="1"/>
          <c:tx>
            <c:strRef>
              <c:f>Settlement!$Y$97</c:f>
              <c:strCache>
                <c:ptCount val="1"/>
                <c:pt idx="0">
                  <c:v>Spontaneous shelters</c:v>
                </c:pt>
              </c:strCache>
            </c:strRef>
          </c:tx>
          <c:spPr>
            <a:solidFill>
              <a:srgbClr val="B05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Settlement!$H$98:$H$104</c:f>
              <c:numCache>
                <c:formatCode>0%</c:formatCode>
                <c:ptCount val="7"/>
                <c:pt idx="0">
                  <c:v>0.88095238095238093</c:v>
                </c:pt>
                <c:pt idx="1">
                  <c:v>0.40244590780809031</c:v>
                </c:pt>
                <c:pt idx="2">
                  <c:v>0</c:v>
                </c:pt>
                <c:pt idx="3">
                  <c:v>0.28712871287128711</c:v>
                </c:pt>
                <c:pt idx="4">
                  <c:v>0.95993953136810284</c:v>
                </c:pt>
                <c:pt idx="5">
                  <c:v>0.10718789407313997</c:v>
                </c:pt>
                <c:pt idx="6">
                  <c:v>0.43197440151694716</c:v>
                </c:pt>
              </c:numCache>
            </c:numRef>
          </c:val>
          <c:extLst>
            <c:ext xmlns:c16="http://schemas.microsoft.com/office/drawing/2014/chart" uri="{C3380CC4-5D6E-409C-BE32-E72D297353CC}">
              <c16:uniqueId val="{00000001-A5AD-4603-8DA9-0094672EB79F}"/>
            </c:ext>
          </c:extLst>
        </c:ser>
        <c:ser>
          <c:idx val="1"/>
          <c:order val="2"/>
          <c:tx>
            <c:strRef>
              <c:f>Settlement!$Z$97</c:f>
              <c:strCache>
                <c:ptCount val="1"/>
                <c:pt idx="0">
                  <c:v>Rental</c:v>
                </c:pt>
              </c:strCache>
            </c:strRef>
          </c:tx>
          <c:spPr>
            <a:solidFill>
              <a:srgbClr val="FF8A29"/>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Settlement!$I$98:$I$104</c:f>
              <c:numCache>
                <c:formatCode>0%</c:formatCode>
                <c:ptCount val="7"/>
                <c:pt idx="0">
                  <c:v>0</c:v>
                </c:pt>
                <c:pt idx="1">
                  <c:v>4.2144873000940733E-2</c:v>
                </c:pt>
                <c:pt idx="2">
                  <c:v>0</c:v>
                </c:pt>
                <c:pt idx="3">
                  <c:v>1.9801980198019802E-2</c:v>
                </c:pt>
                <c:pt idx="4">
                  <c:v>6.0468631897203327E-3</c:v>
                </c:pt>
                <c:pt idx="5">
                  <c:v>0.15573770491803279</c:v>
                </c:pt>
                <c:pt idx="6">
                  <c:v>5.7004029390850912E-2</c:v>
                </c:pt>
              </c:numCache>
            </c:numRef>
          </c:val>
          <c:extLst>
            <c:ext xmlns:c16="http://schemas.microsoft.com/office/drawing/2014/chart" uri="{C3380CC4-5D6E-409C-BE32-E72D297353CC}">
              <c16:uniqueId val="{00000002-A5AD-4603-8DA9-0094672EB79F}"/>
            </c:ext>
          </c:extLst>
        </c:ser>
        <c:ser>
          <c:idx val="2"/>
          <c:order val="3"/>
          <c:tx>
            <c:strRef>
              <c:f>Settlement!$AA$97</c:f>
              <c:strCache>
                <c:ptCount val="1"/>
                <c:pt idx="0">
                  <c:v>Collective</c:v>
                </c:pt>
              </c:strCache>
            </c:strRef>
          </c:tx>
          <c:spPr>
            <a:solidFill>
              <a:srgbClr val="FFD3A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Settlement!$J$98:$J$104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A5AD-4603-8DA9-0094672EB79F}"/>
            </c:ext>
          </c:extLst>
        </c:ser>
        <c:ser>
          <c:idx val="3"/>
          <c:order val="4"/>
          <c:tx>
            <c:strRef>
              <c:f>Settlement!$AB$97</c:f>
              <c:strCache>
                <c:ptCount val="1"/>
                <c:pt idx="0">
                  <c:v>Open air</c:v>
                </c:pt>
              </c:strCache>
              <c:extLst xmlns:c15="http://schemas.microsoft.com/office/drawing/2012/chart"/>
            </c:strRef>
          </c:tx>
          <c:spPr>
            <a:solidFill>
              <a:srgbClr val="FFF2E7"/>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Settlement!$K$98:$K$104</c:f>
              <c:numCache>
                <c:formatCode>0%</c:formatCode>
                <c:ptCount val="7"/>
                <c:pt idx="0">
                  <c:v>0</c:v>
                </c:pt>
                <c:pt idx="1">
                  <c:v>2.8222013170272815E-3</c:v>
                </c:pt>
                <c:pt idx="2">
                  <c:v>0</c:v>
                </c:pt>
                <c:pt idx="3">
                  <c:v>0</c:v>
                </c:pt>
                <c:pt idx="4">
                  <c:v>0</c:v>
                </c:pt>
                <c:pt idx="5">
                  <c:v>3.1525851197982345E-3</c:v>
                </c:pt>
                <c:pt idx="6">
                  <c:v>2.3702299123014932E-3</c:v>
                </c:pt>
              </c:numCache>
              <c:extLst xmlns:c15="http://schemas.microsoft.com/office/drawing/2012/chart"/>
            </c:numRef>
          </c:val>
          <c:extLst xmlns:c15="http://schemas.microsoft.com/office/drawing/2012/chart">
            <c:ext xmlns:c16="http://schemas.microsoft.com/office/drawing/2014/chart" uri="{C3380CC4-5D6E-409C-BE32-E72D297353CC}">
              <c16:uniqueId val="{00000004-A5AD-4603-8DA9-0094672EB79F}"/>
            </c:ext>
          </c:extLst>
        </c:ser>
        <c:ser>
          <c:idx val="5"/>
          <c:order val="5"/>
          <c:tx>
            <c:strRef>
              <c:f>Settlement!$AD$97</c:f>
              <c:strCache>
                <c:ptCount val="1"/>
                <c:pt idx="0">
                  <c:v>Host Families (against domestic or field work)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Settlement!$AD$98:$AD$103</c:f>
              <c:numCache>
                <c:formatCode>0%</c:formatCode>
                <c:ptCount val="6"/>
                <c:pt idx="0">
                  <c:v>0</c:v>
                </c:pt>
                <c:pt idx="1">
                  <c:v>2.4082784571966134E-2</c:v>
                </c:pt>
                <c:pt idx="2">
                  <c:v>0</c:v>
                </c:pt>
                <c:pt idx="3">
                  <c:v>0.49504950495049505</c:v>
                </c:pt>
                <c:pt idx="4">
                  <c:v>0</c:v>
                </c:pt>
                <c:pt idx="5">
                  <c:v>0.1235813366960908</c:v>
                </c:pt>
              </c:numCache>
            </c:numRef>
          </c:val>
          <c:extLst>
            <c:ext xmlns:c16="http://schemas.microsoft.com/office/drawing/2014/chart" uri="{C3380CC4-5D6E-409C-BE32-E72D297353CC}">
              <c16:uniqueId val="{00000001-C05A-4D50-A418-C8C3A6F2EDEE}"/>
            </c:ext>
          </c:extLst>
        </c:ser>
        <c:dLbls>
          <c:dLblPos val="ctr"/>
          <c:showLegendKey val="0"/>
          <c:showVal val="1"/>
          <c:showCatName val="0"/>
          <c:showSerName val="0"/>
          <c:showPercent val="0"/>
          <c:showBubbleSize val="0"/>
        </c:dLbls>
        <c:gapWidth val="150"/>
        <c:overlap val="100"/>
        <c:axId val="179246592"/>
        <c:axId val="179248128"/>
        <c:extLst/>
      </c:barChart>
      <c:catAx>
        <c:axId val="179246592"/>
        <c:scaling>
          <c:orientation val="minMax"/>
        </c:scaling>
        <c:delete val="0"/>
        <c:axPos val="b"/>
        <c:numFmt formatCode="General" sourceLinked="0"/>
        <c:majorTickMark val="out"/>
        <c:minorTickMark val="none"/>
        <c:tickLblPos val="nextTo"/>
        <c:crossAx val="179248128"/>
        <c:crosses val="autoZero"/>
        <c:auto val="1"/>
        <c:lblAlgn val="ctr"/>
        <c:lblOffset val="100"/>
        <c:noMultiLvlLbl val="0"/>
      </c:catAx>
      <c:valAx>
        <c:axId val="179248128"/>
        <c:scaling>
          <c:orientation val="minMax"/>
        </c:scaling>
        <c:delete val="1"/>
        <c:axPos val="l"/>
        <c:numFmt formatCode="0%" sourceLinked="1"/>
        <c:majorTickMark val="out"/>
        <c:minorTickMark val="none"/>
        <c:tickLblPos val="nextTo"/>
        <c:crossAx val="179246592"/>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rgbClr val="0010A6"/>
                </a:solidFill>
                <a:latin typeface="+mn-lt"/>
                <a:ea typeface="+mn-ea"/>
                <a:cs typeface="+mn-cs"/>
              </a:defRPr>
            </a:pPr>
            <a:r>
              <a:rPr lang="en-US" sz="1200" b="1" i="0" baseline="0">
                <a:effectLst/>
              </a:rPr>
              <a:t>Shelter types</a:t>
            </a:r>
            <a:endParaRPr lang="fr-FR"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Settlement!$Y$35:$AE$35</c:f>
              <c:strCache>
                <c:ptCount val="7"/>
                <c:pt idx="0">
                  <c:v>Personal domicile</c:v>
                </c:pt>
                <c:pt idx="1">
                  <c:v>Spontaneous shelters</c:v>
                </c:pt>
                <c:pt idx="2">
                  <c:v>Rental</c:v>
                </c:pt>
                <c:pt idx="3">
                  <c:v>Collective</c:v>
                </c:pt>
                <c:pt idx="4">
                  <c:v>Open air</c:v>
                </c:pt>
                <c:pt idx="5">
                  <c:v>Host Families (free of charge)</c:v>
                </c:pt>
                <c:pt idx="6">
                  <c:v>Host Families (against domestic or field work) </c:v>
                </c:pt>
              </c:strCache>
            </c:strRef>
          </c:tx>
          <c:dPt>
            <c:idx val="0"/>
            <c:bubble3D val="0"/>
            <c:spPr>
              <a:solidFill>
                <a:schemeClr val="accent2">
                  <a:tint val="48000"/>
                </a:schemeClr>
              </a:solidFill>
              <a:ln w="6350" cap="flat" cmpd="sng" algn="ctr">
                <a:solidFill>
                  <a:schemeClr val="lt1"/>
                </a:solidFill>
                <a:prstDash val="solid"/>
                <a:round/>
              </a:ln>
              <a:effectLst/>
            </c:spPr>
            <c:extLst>
              <c:ext xmlns:c16="http://schemas.microsoft.com/office/drawing/2014/chart" uri="{C3380CC4-5D6E-409C-BE32-E72D297353CC}">
                <c16:uniqueId val="{00000001-E845-46A0-91D5-AC0827E64E79}"/>
              </c:ext>
            </c:extLst>
          </c:dPt>
          <c:dPt>
            <c:idx val="1"/>
            <c:bubble3D val="0"/>
            <c:spPr>
              <a:solidFill>
                <a:schemeClr val="accent2">
                  <a:tint val="65000"/>
                </a:schemeClr>
              </a:solidFill>
              <a:ln w="6350" cap="flat" cmpd="sng" algn="ctr">
                <a:solidFill>
                  <a:schemeClr val="lt1"/>
                </a:solidFill>
                <a:prstDash val="solid"/>
                <a:round/>
              </a:ln>
              <a:effectLst/>
            </c:spPr>
            <c:extLst>
              <c:ext xmlns:c16="http://schemas.microsoft.com/office/drawing/2014/chart" uri="{C3380CC4-5D6E-409C-BE32-E72D297353CC}">
                <c16:uniqueId val="{00000003-E845-46A0-91D5-AC0827E64E79}"/>
              </c:ext>
            </c:extLst>
          </c:dPt>
          <c:dPt>
            <c:idx val="2"/>
            <c:bubble3D val="0"/>
            <c:spPr>
              <a:solidFill>
                <a:schemeClr val="accent2">
                  <a:tint val="83000"/>
                </a:schemeClr>
              </a:solidFill>
              <a:ln w="6350" cap="flat" cmpd="sng" algn="ctr">
                <a:solidFill>
                  <a:schemeClr val="lt1"/>
                </a:solidFill>
                <a:prstDash val="solid"/>
                <a:round/>
              </a:ln>
              <a:effectLst/>
            </c:spPr>
            <c:extLst>
              <c:ext xmlns:c16="http://schemas.microsoft.com/office/drawing/2014/chart" uri="{C3380CC4-5D6E-409C-BE32-E72D297353CC}">
                <c16:uniqueId val="{00000005-E845-46A0-91D5-AC0827E64E79}"/>
              </c:ext>
            </c:extLst>
          </c:dPt>
          <c:dPt>
            <c:idx val="3"/>
            <c:bubble3D val="0"/>
            <c:spPr>
              <a:solidFill>
                <a:schemeClr val="accent2"/>
              </a:solidFill>
              <a:ln w="6350" cap="flat" cmpd="sng" algn="ctr">
                <a:solidFill>
                  <a:schemeClr val="lt1"/>
                </a:solidFill>
                <a:prstDash val="solid"/>
                <a:round/>
              </a:ln>
              <a:effectLst/>
            </c:spPr>
            <c:extLst>
              <c:ext xmlns:c16="http://schemas.microsoft.com/office/drawing/2014/chart" uri="{C3380CC4-5D6E-409C-BE32-E72D297353CC}">
                <c16:uniqueId val="{00000007-E845-46A0-91D5-AC0827E64E79}"/>
              </c:ext>
            </c:extLst>
          </c:dPt>
          <c:dPt>
            <c:idx val="4"/>
            <c:bubble3D val="0"/>
            <c:spPr>
              <a:solidFill>
                <a:schemeClr val="accent2">
                  <a:shade val="82000"/>
                </a:schemeClr>
              </a:solidFill>
              <a:ln w="6350" cap="flat" cmpd="sng" algn="ctr">
                <a:solidFill>
                  <a:schemeClr val="lt1"/>
                </a:solidFill>
                <a:prstDash val="solid"/>
                <a:round/>
              </a:ln>
              <a:effectLst/>
            </c:spPr>
            <c:extLst>
              <c:ext xmlns:c16="http://schemas.microsoft.com/office/drawing/2014/chart" uri="{C3380CC4-5D6E-409C-BE32-E72D297353CC}">
                <c16:uniqueId val="{00000009-E845-46A0-91D5-AC0827E64E79}"/>
              </c:ext>
            </c:extLst>
          </c:dPt>
          <c:dPt>
            <c:idx val="5"/>
            <c:bubble3D val="0"/>
            <c:spPr>
              <a:solidFill>
                <a:schemeClr val="accent2">
                  <a:shade val="65000"/>
                </a:schemeClr>
              </a:solidFill>
              <a:ln w="6350" cap="flat" cmpd="sng" algn="ctr">
                <a:solidFill>
                  <a:schemeClr val="lt1"/>
                </a:solidFill>
                <a:prstDash val="solid"/>
                <a:round/>
              </a:ln>
              <a:effectLst/>
            </c:spPr>
            <c:extLst>
              <c:ext xmlns:c16="http://schemas.microsoft.com/office/drawing/2014/chart" uri="{C3380CC4-5D6E-409C-BE32-E72D297353CC}">
                <c16:uniqueId val="{0000000B-E845-46A0-91D5-AC0827E64E79}"/>
              </c:ext>
            </c:extLst>
          </c:dPt>
          <c:dPt>
            <c:idx val="6"/>
            <c:bubble3D val="0"/>
            <c:spPr>
              <a:solidFill>
                <a:schemeClr val="accent2">
                  <a:shade val="47000"/>
                </a:schemeClr>
              </a:solidFill>
              <a:ln w="6350" cap="flat" cmpd="sng" algn="ctr">
                <a:solidFill>
                  <a:schemeClr val="lt1"/>
                </a:solidFill>
                <a:prstDash val="solid"/>
                <a:round/>
              </a:ln>
              <a:effectLst/>
            </c:spPr>
            <c:extLst>
              <c:ext xmlns:c16="http://schemas.microsoft.com/office/drawing/2014/chart" uri="{C3380CC4-5D6E-409C-BE32-E72D297353CC}">
                <c16:uniqueId val="{0000000D-36FA-4F03-B1DF-55152A6F2A7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Settlement!$Y$35:$AE$35</c:f>
              <c:strCache>
                <c:ptCount val="7"/>
                <c:pt idx="0">
                  <c:v>Personal domicile</c:v>
                </c:pt>
                <c:pt idx="1">
                  <c:v>Spontaneous shelters</c:v>
                </c:pt>
                <c:pt idx="2">
                  <c:v>Rental</c:v>
                </c:pt>
                <c:pt idx="3">
                  <c:v>Collective</c:v>
                </c:pt>
                <c:pt idx="4">
                  <c:v>Open air</c:v>
                </c:pt>
                <c:pt idx="5">
                  <c:v>Host Families (free of charge)</c:v>
                </c:pt>
                <c:pt idx="6">
                  <c:v>Host Families (against domestic or field work) </c:v>
                </c:pt>
              </c:strCache>
            </c:strRef>
          </c:cat>
          <c:val>
            <c:numRef>
              <c:f>Settlement!$Y$43:$AE$43</c:f>
              <c:numCache>
                <c:formatCode>0%</c:formatCode>
                <c:ptCount val="7"/>
                <c:pt idx="0">
                  <c:v>0.10068671885729982</c:v>
                </c:pt>
                <c:pt idx="1">
                  <c:v>0.26832852630133225</c:v>
                </c:pt>
                <c:pt idx="2">
                  <c:v>0.12988600466968822</c:v>
                </c:pt>
                <c:pt idx="3">
                  <c:v>2.061530009614064E-2</c:v>
                </c:pt>
                <c:pt idx="4" formatCode="0.0%">
                  <c:v>1.0300782859497322E-3</c:v>
                </c:pt>
                <c:pt idx="5">
                  <c:v>0.44934761708556514</c:v>
                </c:pt>
                <c:pt idx="6">
                  <c:v>3.0105754704024174E-2</c:v>
                </c:pt>
              </c:numCache>
            </c:numRef>
          </c:val>
          <c:extLst>
            <c:ext xmlns:c16="http://schemas.microsoft.com/office/drawing/2014/chart" uri="{C3380CC4-5D6E-409C-BE32-E72D297353CC}">
              <c16:uniqueId val="{0000000C-E845-46A0-91D5-AC0827E64E7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6666666666666666E-2"/>
          <c:y val="0.26000943877593979"/>
          <c:w val="0.36416788752666618"/>
          <c:h val="0.56261924769335181"/>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Shelter</a:t>
            </a:r>
            <a:r>
              <a:rPr lang="en-US" sz="1200" baseline="0">
                <a:solidFill>
                  <a:srgbClr val="0010A6"/>
                </a:solidFill>
              </a:rPr>
              <a:t> types</a:t>
            </a:r>
            <a:endParaRPr lang="en-US" sz="1200">
              <a:solidFill>
                <a:srgbClr val="0010A6"/>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Settlement!$Y$84:$AD$84</c:f>
              <c:strCache>
                <c:ptCount val="6"/>
                <c:pt idx="0">
                  <c:v>Spontaneous shelters</c:v>
                </c:pt>
                <c:pt idx="1">
                  <c:v>Rental</c:v>
                </c:pt>
                <c:pt idx="2">
                  <c:v>Collective</c:v>
                </c:pt>
                <c:pt idx="3">
                  <c:v>Open air</c:v>
                </c:pt>
                <c:pt idx="4">
                  <c:v>Host Families (free of charge)</c:v>
                </c:pt>
                <c:pt idx="5">
                  <c:v>Host Families (against domestic or field work) </c:v>
                </c:pt>
              </c:strCache>
            </c:strRef>
          </c:tx>
          <c:dPt>
            <c:idx val="0"/>
            <c:bubble3D val="0"/>
            <c:spPr>
              <a:solidFill>
                <a:schemeClr val="accent6">
                  <a:tint val="50000"/>
                </a:schemeClr>
              </a:solidFill>
              <a:ln w="6350" cap="flat" cmpd="sng" algn="ctr">
                <a:solidFill>
                  <a:schemeClr val="lt1"/>
                </a:solidFill>
                <a:prstDash val="solid"/>
                <a:round/>
              </a:ln>
              <a:effectLst/>
            </c:spPr>
            <c:extLst>
              <c:ext xmlns:c16="http://schemas.microsoft.com/office/drawing/2014/chart" uri="{C3380CC4-5D6E-409C-BE32-E72D297353CC}">
                <c16:uniqueId val="{00000001-6C37-4444-9955-1B15F60014D8}"/>
              </c:ext>
            </c:extLst>
          </c:dPt>
          <c:dPt>
            <c:idx val="1"/>
            <c:bubble3D val="0"/>
            <c:spPr>
              <a:solidFill>
                <a:schemeClr val="accent6">
                  <a:tint val="70000"/>
                </a:schemeClr>
              </a:solidFill>
              <a:ln w="6350" cap="flat" cmpd="sng" algn="ctr">
                <a:solidFill>
                  <a:schemeClr val="lt1"/>
                </a:solidFill>
                <a:prstDash val="solid"/>
                <a:round/>
              </a:ln>
              <a:effectLst/>
            </c:spPr>
            <c:extLst>
              <c:ext xmlns:c16="http://schemas.microsoft.com/office/drawing/2014/chart" uri="{C3380CC4-5D6E-409C-BE32-E72D297353CC}">
                <c16:uniqueId val="{00000003-6C37-4444-9955-1B15F60014D8}"/>
              </c:ext>
            </c:extLst>
          </c:dPt>
          <c:dPt>
            <c:idx val="2"/>
            <c:bubble3D val="0"/>
            <c:spPr>
              <a:solidFill>
                <a:schemeClr val="accent6">
                  <a:tint val="90000"/>
                </a:schemeClr>
              </a:solidFill>
              <a:ln w="6350" cap="flat" cmpd="sng" algn="ctr">
                <a:solidFill>
                  <a:schemeClr val="lt1"/>
                </a:solidFill>
                <a:prstDash val="solid"/>
                <a:round/>
              </a:ln>
              <a:effectLst/>
            </c:spPr>
            <c:extLst>
              <c:ext xmlns:c16="http://schemas.microsoft.com/office/drawing/2014/chart" uri="{C3380CC4-5D6E-409C-BE32-E72D297353CC}">
                <c16:uniqueId val="{00000005-6C37-4444-9955-1B15F60014D8}"/>
              </c:ext>
            </c:extLst>
          </c:dPt>
          <c:dPt>
            <c:idx val="3"/>
            <c:bubble3D val="0"/>
            <c:spPr>
              <a:solidFill>
                <a:schemeClr val="accent6">
                  <a:shade val="90000"/>
                </a:schemeClr>
              </a:solidFill>
              <a:ln w="6350" cap="flat" cmpd="sng" algn="ctr">
                <a:solidFill>
                  <a:schemeClr val="lt1"/>
                </a:solidFill>
                <a:prstDash val="solid"/>
                <a:round/>
              </a:ln>
              <a:effectLst/>
            </c:spPr>
            <c:extLst>
              <c:ext xmlns:c16="http://schemas.microsoft.com/office/drawing/2014/chart" uri="{C3380CC4-5D6E-409C-BE32-E72D297353CC}">
                <c16:uniqueId val="{00000007-91C1-4128-ADB0-23DD23706406}"/>
              </c:ext>
            </c:extLst>
          </c:dPt>
          <c:dPt>
            <c:idx val="4"/>
            <c:bubble3D val="0"/>
            <c:spPr>
              <a:solidFill>
                <a:schemeClr val="accent6">
                  <a:shade val="70000"/>
                </a:schemeClr>
              </a:solidFill>
              <a:ln w="6350" cap="flat" cmpd="sng" algn="ctr">
                <a:solidFill>
                  <a:schemeClr val="lt1"/>
                </a:solidFill>
                <a:prstDash val="solid"/>
                <a:round/>
              </a:ln>
              <a:effectLst/>
            </c:spPr>
            <c:extLst>
              <c:ext xmlns:c16="http://schemas.microsoft.com/office/drawing/2014/chart" uri="{C3380CC4-5D6E-409C-BE32-E72D297353CC}">
                <c16:uniqueId val="{00000007-696B-4BED-8B5E-037706EDA5FA}"/>
              </c:ext>
            </c:extLst>
          </c:dPt>
          <c:dPt>
            <c:idx val="5"/>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9D3A-44FC-B243-EB3E1E7D3D53}"/>
              </c:ext>
            </c:extLst>
          </c:dPt>
          <c:dPt>
            <c:idx val="6"/>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9232-4199-A2CF-B20115FB2FB2}"/>
              </c:ext>
            </c:extLst>
          </c:dPt>
          <c:dPt>
            <c:idx val="7"/>
            <c:bubble3D val="0"/>
            <c:spPr>
              <a:solidFill>
                <a:schemeClr val="accent6">
                  <a:shade val="7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6C37-4444-9955-1B15F60014D8}"/>
              </c:ext>
            </c:extLst>
          </c:dPt>
          <c:dPt>
            <c:idx val="8"/>
            <c:bubble3D val="0"/>
            <c:spPr>
              <a:solidFill>
                <a:schemeClr val="accent6">
                  <a:shade val="53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6C37-4444-9955-1B15F60014D8}"/>
              </c:ext>
            </c:extLst>
          </c:dPt>
          <c:dLbls>
            <c:dLbl>
              <c:idx val="8"/>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6C37-4444-9955-1B15F60014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Settlement!$Y$84:$AD$84</c:f>
              <c:strCache>
                <c:ptCount val="6"/>
                <c:pt idx="0">
                  <c:v>Spontaneous shelters</c:v>
                </c:pt>
                <c:pt idx="1">
                  <c:v>Rental</c:v>
                </c:pt>
                <c:pt idx="2">
                  <c:v>Collective</c:v>
                </c:pt>
                <c:pt idx="3">
                  <c:v>Open air</c:v>
                </c:pt>
                <c:pt idx="4">
                  <c:v>Host Families (free of charge)</c:v>
                </c:pt>
                <c:pt idx="5">
                  <c:v>Host Families (against domestic or field work) </c:v>
                </c:pt>
              </c:strCache>
            </c:strRef>
          </c:cat>
          <c:val>
            <c:numRef>
              <c:f>Settlement!$Y$92:$AD$92</c:f>
              <c:numCache>
                <c:formatCode>0%</c:formatCode>
                <c:ptCount val="6"/>
                <c:pt idx="0">
                  <c:v>0.43197440151694716</c:v>
                </c:pt>
                <c:pt idx="1">
                  <c:v>5.7004029390850912E-2</c:v>
                </c:pt>
                <c:pt idx="2">
                  <c:v>0</c:v>
                </c:pt>
                <c:pt idx="3">
                  <c:v>2.3702299123014932E-3</c:v>
                </c:pt>
                <c:pt idx="4">
                  <c:v>0.46432803981986254</c:v>
                </c:pt>
                <c:pt idx="5">
                  <c:v>4.4323299360037927E-2</c:v>
                </c:pt>
              </c:numCache>
            </c:numRef>
          </c:val>
          <c:extLst>
            <c:ext xmlns:c16="http://schemas.microsoft.com/office/drawing/2014/chart" uri="{C3380CC4-5D6E-409C-BE32-E72D297353CC}">
              <c16:uniqueId val="{0000000A-6C37-4444-9955-1B15F60014D8}"/>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7098854040187694E-2"/>
          <c:y val="0.23327804686570472"/>
          <c:w val="0.40714220808723306"/>
          <c:h val="0.5643787695896632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Shelter</a:t>
            </a:r>
            <a:r>
              <a:rPr lang="en-US" sz="1200" baseline="0">
                <a:solidFill>
                  <a:srgbClr val="0010A6"/>
                </a:solidFill>
              </a:rPr>
              <a:t> types</a:t>
            </a:r>
            <a:endParaRPr lang="en-US" sz="1200">
              <a:solidFill>
                <a:srgbClr val="0010A6"/>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Settlement!$Y$140:$AF$140</c:f>
              <c:strCache>
                <c:ptCount val="8"/>
                <c:pt idx="0">
                  <c:v>Spontaneous shelters</c:v>
                </c:pt>
                <c:pt idx="1">
                  <c:v>Rental</c:v>
                </c:pt>
                <c:pt idx="2">
                  <c:v>Collective</c:v>
                </c:pt>
                <c:pt idx="3">
                  <c:v>Open air</c:v>
                </c:pt>
                <c:pt idx="4">
                  <c:v>Host Families (free of charge)</c:v>
                </c:pt>
                <c:pt idx="5">
                  <c:v>Host Families (against domestic or field work) </c:v>
                </c:pt>
                <c:pt idx="6">
                  <c:v>New Personal domicile</c:v>
                </c:pt>
                <c:pt idx="7">
                  <c:v>Initial Habitat</c:v>
                </c:pt>
              </c:strCache>
            </c:strRef>
          </c:tx>
          <c:dPt>
            <c:idx val="0"/>
            <c:bubble3D val="0"/>
            <c:spPr>
              <a:solidFill>
                <a:schemeClr val="accent5">
                  <a:shade val="45000"/>
                </a:schemeClr>
              </a:solidFill>
              <a:ln w="6350" cap="flat" cmpd="sng" algn="ctr">
                <a:solidFill>
                  <a:schemeClr val="lt1"/>
                </a:solidFill>
                <a:prstDash val="solid"/>
                <a:round/>
              </a:ln>
              <a:effectLst/>
            </c:spPr>
            <c:extLst>
              <c:ext xmlns:c16="http://schemas.microsoft.com/office/drawing/2014/chart" uri="{C3380CC4-5D6E-409C-BE32-E72D297353CC}">
                <c16:uniqueId val="{00000001-ED40-4783-A566-B84E7FD5C2C8}"/>
              </c:ext>
            </c:extLst>
          </c:dPt>
          <c:dPt>
            <c:idx val="1"/>
            <c:bubble3D val="0"/>
            <c:spPr>
              <a:solidFill>
                <a:schemeClr val="accent5">
                  <a:shade val="61000"/>
                </a:schemeClr>
              </a:solidFill>
              <a:ln w="6350" cap="flat" cmpd="sng" algn="ctr">
                <a:solidFill>
                  <a:schemeClr val="lt1"/>
                </a:solidFill>
                <a:prstDash val="solid"/>
                <a:round/>
              </a:ln>
              <a:effectLst/>
            </c:spPr>
            <c:extLst>
              <c:ext xmlns:c16="http://schemas.microsoft.com/office/drawing/2014/chart" uri="{C3380CC4-5D6E-409C-BE32-E72D297353CC}">
                <c16:uniqueId val="{00000003-ED40-4783-A566-B84E7FD5C2C8}"/>
              </c:ext>
            </c:extLst>
          </c:dPt>
          <c:dPt>
            <c:idx val="2"/>
            <c:bubble3D val="0"/>
            <c:spPr>
              <a:solidFill>
                <a:schemeClr val="accent5">
                  <a:shade val="76000"/>
                </a:schemeClr>
              </a:solidFill>
              <a:ln w="6350" cap="flat" cmpd="sng" algn="ctr">
                <a:solidFill>
                  <a:schemeClr val="lt1"/>
                </a:solidFill>
                <a:prstDash val="solid"/>
                <a:round/>
              </a:ln>
              <a:effectLst/>
            </c:spPr>
            <c:extLst>
              <c:ext xmlns:c16="http://schemas.microsoft.com/office/drawing/2014/chart" uri="{C3380CC4-5D6E-409C-BE32-E72D297353CC}">
                <c16:uniqueId val="{00000005-ED40-4783-A566-B84E7FD5C2C8}"/>
              </c:ext>
            </c:extLst>
          </c:dPt>
          <c:dPt>
            <c:idx val="3"/>
            <c:bubble3D val="0"/>
            <c:spPr>
              <a:solidFill>
                <a:schemeClr val="accent5">
                  <a:shade val="92000"/>
                </a:schemeClr>
              </a:solidFill>
              <a:ln w="6350" cap="flat" cmpd="sng" algn="ctr">
                <a:solidFill>
                  <a:schemeClr val="lt1"/>
                </a:solidFill>
                <a:prstDash val="solid"/>
                <a:round/>
              </a:ln>
              <a:effectLst/>
            </c:spPr>
            <c:extLst>
              <c:ext xmlns:c16="http://schemas.microsoft.com/office/drawing/2014/chart" uri="{C3380CC4-5D6E-409C-BE32-E72D297353CC}">
                <c16:uniqueId val="{00000007-ED40-4783-A566-B84E7FD5C2C8}"/>
              </c:ext>
            </c:extLst>
          </c:dPt>
          <c:dPt>
            <c:idx val="4"/>
            <c:bubble3D val="0"/>
            <c:spPr>
              <a:solidFill>
                <a:schemeClr val="accent5">
                  <a:tint val="93000"/>
                </a:schemeClr>
              </a:solidFill>
              <a:ln w="6350" cap="flat" cmpd="sng" algn="ctr">
                <a:solidFill>
                  <a:schemeClr val="lt1"/>
                </a:solidFill>
                <a:prstDash val="solid"/>
                <a:round/>
              </a:ln>
              <a:effectLst/>
            </c:spPr>
            <c:extLst>
              <c:ext xmlns:c16="http://schemas.microsoft.com/office/drawing/2014/chart" uri="{C3380CC4-5D6E-409C-BE32-E72D297353CC}">
                <c16:uniqueId val="{00000009-ED40-4783-A566-B84E7FD5C2C8}"/>
              </c:ext>
            </c:extLst>
          </c:dPt>
          <c:dPt>
            <c:idx val="5"/>
            <c:bubble3D val="0"/>
            <c:spPr>
              <a:solidFill>
                <a:schemeClr val="accent5">
                  <a:tint val="77000"/>
                </a:schemeClr>
              </a:solidFill>
              <a:ln w="6350" cap="flat" cmpd="sng" algn="ctr">
                <a:solidFill>
                  <a:schemeClr val="lt1"/>
                </a:solidFill>
                <a:prstDash val="solid"/>
                <a:round/>
              </a:ln>
              <a:effectLst/>
            </c:spPr>
            <c:extLst>
              <c:ext xmlns:c16="http://schemas.microsoft.com/office/drawing/2014/chart" uri="{C3380CC4-5D6E-409C-BE32-E72D297353CC}">
                <c16:uniqueId val="{0000000B-ED40-4783-A566-B84E7FD5C2C8}"/>
              </c:ext>
            </c:extLst>
          </c:dPt>
          <c:dPt>
            <c:idx val="6"/>
            <c:bubble3D val="0"/>
            <c:spPr>
              <a:solidFill>
                <a:schemeClr val="accent5">
                  <a:tint val="62000"/>
                </a:schemeClr>
              </a:solidFill>
              <a:ln w="6350" cap="flat" cmpd="sng" algn="ctr">
                <a:solidFill>
                  <a:schemeClr val="lt1"/>
                </a:solidFill>
                <a:prstDash val="solid"/>
                <a:round/>
              </a:ln>
              <a:effectLst/>
            </c:spPr>
            <c:extLst>
              <c:ext xmlns:c16="http://schemas.microsoft.com/office/drawing/2014/chart" uri="{C3380CC4-5D6E-409C-BE32-E72D297353CC}">
                <c16:uniqueId val="{0000000D-ED40-4783-A566-B84E7FD5C2C8}"/>
              </c:ext>
            </c:extLst>
          </c:dPt>
          <c:dPt>
            <c:idx val="7"/>
            <c:bubble3D val="0"/>
            <c:spPr>
              <a:solidFill>
                <a:schemeClr val="accent5">
                  <a:tint val="46000"/>
                </a:schemeClr>
              </a:solidFill>
              <a:ln w="6350" cap="flat" cmpd="sng" algn="ctr">
                <a:solidFill>
                  <a:schemeClr val="lt1"/>
                </a:solidFill>
                <a:prstDash val="solid"/>
                <a:round/>
              </a:ln>
              <a:effectLst/>
            </c:spPr>
            <c:extLst>
              <c:ext xmlns:c16="http://schemas.microsoft.com/office/drawing/2014/chart" uri="{C3380CC4-5D6E-409C-BE32-E72D297353CC}">
                <c16:uniqueId val="{0000000F-ED40-4783-A566-B84E7FD5C2C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Settlement!$Y$128:$AF$128</c:f>
              <c:strCache>
                <c:ptCount val="8"/>
                <c:pt idx="0">
                  <c:v>Spontaneous shelters</c:v>
                </c:pt>
                <c:pt idx="1">
                  <c:v>Rental</c:v>
                </c:pt>
                <c:pt idx="2">
                  <c:v>Collective</c:v>
                </c:pt>
                <c:pt idx="3">
                  <c:v>Open air</c:v>
                </c:pt>
                <c:pt idx="4">
                  <c:v>Host Families (free of charge)</c:v>
                </c:pt>
                <c:pt idx="5">
                  <c:v>Host Families (against domestic or field work) </c:v>
                </c:pt>
                <c:pt idx="6">
                  <c:v>New Personal domicile</c:v>
                </c:pt>
                <c:pt idx="7">
                  <c:v>Initial Habitat</c:v>
                </c:pt>
              </c:strCache>
            </c:strRef>
          </c:cat>
          <c:val>
            <c:numRef>
              <c:f>Settlement!$Y$136:$AF$136</c:f>
              <c:numCache>
                <c:formatCode>0.0%</c:formatCode>
                <c:ptCount val="8"/>
                <c:pt idx="0">
                  <c:v>8.6785482160571956E-2</c:v>
                </c:pt>
                <c:pt idx="1">
                  <c:v>1.2588512981904013E-2</c:v>
                </c:pt>
                <c:pt idx="2">
                  <c:v>0</c:v>
                </c:pt>
                <c:pt idx="3">
                  <c:v>1.6693462867307496E-2</c:v>
                </c:pt>
                <c:pt idx="4">
                  <c:v>0.11524646803270276</c:v>
                </c:pt>
                <c:pt idx="5">
                  <c:v>1.0536038039202271E-2</c:v>
                </c:pt>
                <c:pt idx="6">
                  <c:v>0.20842883043136182</c:v>
                </c:pt>
                <c:pt idx="7">
                  <c:v>0.54972120548694969</c:v>
                </c:pt>
              </c:numCache>
            </c:numRef>
          </c:val>
          <c:extLst>
            <c:ext xmlns:c16="http://schemas.microsoft.com/office/drawing/2014/chart" uri="{C3380CC4-5D6E-409C-BE32-E72D297353CC}">
              <c16:uniqueId val="{00000015-25D5-4B31-842F-C0118079B7B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2.4109863081405856E-2"/>
          <c:y val="0.28399820604299486"/>
          <c:w val="0.41092236920510072"/>
          <c:h val="0.5610763584873006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r>
              <a:rPr lang="en-US" sz="1200" b="0" i="0" baseline="0">
                <a:effectLst/>
                <a:latin typeface="Gill Sans MT" panose="020B0502020104020203" pitchFamily="34" charset="0"/>
              </a:rPr>
              <a:t>Graphique 12: Types d'abri pour les PDI</a:t>
            </a:r>
            <a:endParaRPr lang="fr-FR" sz="1200" b="0">
              <a:effectLst/>
              <a:latin typeface="Gill Sans MT" panose="020B0502020104020203"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endParaRPr lang="fr-FR" sz="1200" b="0">
              <a:solidFill>
                <a:srgbClr val="0010A6"/>
              </a:solidFill>
              <a:latin typeface="Gill Sans MT" panose="020B0502020104020203" pitchFamily="34" charset="0"/>
            </a:endParaRPr>
          </a:p>
        </c:rich>
      </c:tx>
      <c:overlay val="0"/>
      <c:spPr>
        <a:noFill/>
        <a:ln>
          <a:noFill/>
        </a:ln>
        <a:effectLst/>
      </c:spPr>
    </c:title>
    <c:autoTitleDeleted val="0"/>
    <c:plotArea>
      <c:layout>
        <c:manualLayout>
          <c:layoutTarget val="inner"/>
          <c:xMode val="edge"/>
          <c:yMode val="edge"/>
          <c:x val="2.4059634334153701E-2"/>
          <c:y val="0.271164440688754"/>
          <c:w val="0.96219200318918696"/>
          <c:h val="0.64851488679887204"/>
        </c:manualLayout>
      </c:layout>
      <c:barChart>
        <c:barDir val="col"/>
        <c:grouping val="percentStacked"/>
        <c:varyColors val="0"/>
        <c:ser>
          <c:idx val="5"/>
          <c:order val="0"/>
          <c:tx>
            <c:strRef>
              <c:f>Settlement!$M$48</c:f>
              <c:strCache>
                <c:ptCount val="1"/>
                <c:pt idx="0">
                  <c:v>Familles d'accueil (à titre gratuit)</c:v>
                </c:pt>
              </c:strCache>
            </c:strRef>
          </c:tx>
          <c:spPr>
            <a:solidFill>
              <a:srgbClr val="6C000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Settlement!$M$49:$M$55</c:f>
              <c:numCache>
                <c:formatCode>0%</c:formatCode>
                <c:ptCount val="7"/>
                <c:pt idx="0">
                  <c:v>0.23347324239244491</c:v>
                </c:pt>
                <c:pt idx="1">
                  <c:v>0.48983918843983432</c:v>
                </c:pt>
                <c:pt idx="2">
                  <c:v>0.15109223300970873</c:v>
                </c:pt>
                <c:pt idx="3">
                  <c:v>0.1858974358974359</c:v>
                </c:pt>
                <c:pt idx="4">
                  <c:v>0.42662579153683788</c:v>
                </c:pt>
                <c:pt idx="5">
                  <c:v>0.49327705758215257</c:v>
                </c:pt>
                <c:pt idx="6">
                  <c:v>0.44934761708556514</c:v>
                </c:pt>
              </c:numCache>
            </c:numRef>
          </c:val>
          <c:extLst>
            <c:ext xmlns:c16="http://schemas.microsoft.com/office/drawing/2014/chart" uri="{C3380CC4-5D6E-409C-BE32-E72D297353CC}">
              <c16:uniqueId val="{00000000-C03E-4B7C-AE2E-FFA93440AA34}"/>
            </c:ext>
          </c:extLst>
        </c:ser>
        <c:ser>
          <c:idx val="0"/>
          <c:order val="1"/>
          <c:tx>
            <c:strRef>
              <c:f>Settlement!$H$48</c:f>
              <c:strCache>
                <c:ptCount val="1"/>
                <c:pt idx="0">
                  <c:v>Domicile personnel</c:v>
                </c:pt>
              </c:strCache>
            </c:strRef>
          </c:tx>
          <c:spPr>
            <a:solidFill>
              <a:srgbClr val="C0000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Settlement!$H$49:$H$55</c:f>
              <c:numCache>
                <c:formatCode>0%</c:formatCode>
                <c:ptCount val="7"/>
                <c:pt idx="0">
                  <c:v>5.246589716684155E-3</c:v>
                </c:pt>
                <c:pt idx="1">
                  <c:v>8.9147666112144044E-2</c:v>
                </c:pt>
                <c:pt idx="2">
                  <c:v>0.4833131067961165</c:v>
                </c:pt>
                <c:pt idx="3">
                  <c:v>0.16880341880341881</c:v>
                </c:pt>
                <c:pt idx="4">
                  <c:v>6.271987134385365E-2</c:v>
                </c:pt>
                <c:pt idx="5">
                  <c:v>0.10057280675309015</c:v>
                </c:pt>
                <c:pt idx="6">
                  <c:v>0.10068671885729982</c:v>
                </c:pt>
              </c:numCache>
            </c:numRef>
          </c:val>
          <c:extLst>
            <c:ext xmlns:c16="http://schemas.microsoft.com/office/drawing/2014/chart" uri="{C3380CC4-5D6E-409C-BE32-E72D297353CC}">
              <c16:uniqueId val="{00000001-C03E-4B7C-AE2E-FFA93440AA34}"/>
            </c:ext>
          </c:extLst>
        </c:ser>
        <c:ser>
          <c:idx val="1"/>
          <c:order val="2"/>
          <c:tx>
            <c:strRef>
              <c:f>Settlement!$I$48</c:f>
              <c:strCache>
                <c:ptCount val="1"/>
                <c:pt idx="0">
                  <c:v>Abris spontanés</c:v>
                </c:pt>
              </c:strCache>
            </c:strRef>
          </c:tx>
          <c:spPr>
            <a:solidFill>
              <a:srgbClr val="FF1919"/>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E-4B7C-AE2E-FFA93440AA3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Settlement!$I$49:$I$55</c:f>
              <c:numCache>
                <c:formatCode>0%</c:formatCode>
                <c:ptCount val="7"/>
                <c:pt idx="0">
                  <c:v>7.9748163693599161E-2</c:v>
                </c:pt>
                <c:pt idx="1">
                  <c:v>0.23717258701112306</c:v>
                </c:pt>
                <c:pt idx="2">
                  <c:v>0.30976941747572817</c:v>
                </c:pt>
                <c:pt idx="3">
                  <c:v>0.51709401709401714</c:v>
                </c:pt>
                <c:pt idx="4">
                  <c:v>0.4199417026836868</c:v>
                </c:pt>
                <c:pt idx="5">
                  <c:v>0.15043714199577932</c:v>
                </c:pt>
                <c:pt idx="6">
                  <c:v>0.26832852630133225</c:v>
                </c:pt>
              </c:numCache>
            </c:numRef>
          </c:val>
          <c:extLst>
            <c:ext xmlns:c16="http://schemas.microsoft.com/office/drawing/2014/chart" uri="{C3380CC4-5D6E-409C-BE32-E72D297353CC}">
              <c16:uniqueId val="{00000003-C03E-4B7C-AE2E-FFA93440AA34}"/>
            </c:ext>
          </c:extLst>
        </c:ser>
        <c:ser>
          <c:idx val="2"/>
          <c:order val="3"/>
          <c:tx>
            <c:strRef>
              <c:f>Settlement!$J$48</c:f>
              <c:strCache>
                <c:ptCount val="1"/>
                <c:pt idx="0">
                  <c:v>Location</c:v>
                </c:pt>
              </c:strCache>
            </c:strRef>
          </c:tx>
          <c:spPr>
            <a:solidFill>
              <a:srgbClr val="FA978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Settlement!$J$49:$J$55</c:f>
              <c:numCache>
                <c:formatCode>0%</c:formatCode>
                <c:ptCount val="7"/>
                <c:pt idx="0">
                  <c:v>0.40031479538300108</c:v>
                </c:pt>
                <c:pt idx="1">
                  <c:v>0.16916201846234138</c:v>
                </c:pt>
                <c:pt idx="2">
                  <c:v>3.6711165048543687E-2</c:v>
                </c:pt>
                <c:pt idx="3">
                  <c:v>7.0512820512820512E-2</c:v>
                </c:pt>
                <c:pt idx="4">
                  <c:v>7.0710624183335014E-2</c:v>
                </c:pt>
                <c:pt idx="5">
                  <c:v>0.1173952366596322</c:v>
                </c:pt>
                <c:pt idx="6">
                  <c:v>0.12988600466968822</c:v>
                </c:pt>
              </c:numCache>
            </c:numRef>
          </c:val>
          <c:extLst>
            <c:ext xmlns:c16="http://schemas.microsoft.com/office/drawing/2014/chart" uri="{C3380CC4-5D6E-409C-BE32-E72D297353CC}">
              <c16:uniqueId val="{00000004-C03E-4B7C-AE2E-FFA93440AA34}"/>
            </c:ext>
          </c:extLst>
        </c:ser>
        <c:ser>
          <c:idx val="3"/>
          <c:order val="4"/>
          <c:tx>
            <c:strRef>
              <c:f>Settlement!$K$48</c:f>
              <c:strCache>
                <c:ptCount val="1"/>
                <c:pt idx="0">
                  <c:v>Collectif</c:v>
                </c:pt>
              </c:strCache>
            </c:strRef>
          </c:tx>
          <c:spPr>
            <a:solidFill>
              <a:srgbClr val="FDDCD7"/>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C03E-4B7C-AE2E-FFA93440AA34}"/>
                </c:ext>
              </c:extLst>
            </c:dLbl>
            <c:dLbl>
              <c:idx val="2"/>
              <c:delete val="1"/>
              <c:extLst>
                <c:ext xmlns:c15="http://schemas.microsoft.com/office/drawing/2012/chart" uri="{CE6537A1-D6FC-4f65-9D91-7224C49458BB}"/>
                <c:ext xmlns:c16="http://schemas.microsoft.com/office/drawing/2014/chart" uri="{C3380CC4-5D6E-409C-BE32-E72D297353CC}">
                  <c16:uniqueId val="{00000006-C03E-4B7C-AE2E-FFA93440AA34}"/>
                </c:ext>
              </c:extLst>
            </c:dLbl>
            <c:dLbl>
              <c:idx val="3"/>
              <c:delete val="1"/>
              <c:extLst>
                <c:ext xmlns:c15="http://schemas.microsoft.com/office/drawing/2012/chart" uri="{CE6537A1-D6FC-4f65-9D91-7224C49458BB}"/>
                <c:ext xmlns:c16="http://schemas.microsoft.com/office/drawing/2014/chart" uri="{C3380CC4-5D6E-409C-BE32-E72D297353CC}">
                  <c16:uniqueId val="{00000007-C03E-4B7C-AE2E-FFA93440AA34}"/>
                </c:ext>
              </c:extLst>
            </c:dLbl>
            <c:dLbl>
              <c:idx val="4"/>
              <c:delete val="1"/>
              <c:extLst>
                <c:ext xmlns:c15="http://schemas.microsoft.com/office/drawing/2012/chart" uri="{CE6537A1-D6FC-4f65-9D91-7224C49458BB}"/>
                <c:ext xmlns:c16="http://schemas.microsoft.com/office/drawing/2014/chart" uri="{C3380CC4-5D6E-409C-BE32-E72D297353CC}">
                  <c16:uniqueId val="{00000008-C03E-4B7C-AE2E-FFA93440AA3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Settlement!$K$49:$K$55</c:f>
              <c:numCache>
                <c:formatCode>0%</c:formatCode>
                <c:ptCount val="7"/>
                <c:pt idx="0">
                  <c:v>0.2812172088142707</c:v>
                </c:pt>
                <c:pt idx="1">
                  <c:v>1.6309488860619108E-3</c:v>
                </c:pt>
                <c:pt idx="2">
                  <c:v>0</c:v>
                </c:pt>
                <c:pt idx="3">
                  <c:v>0</c:v>
                </c:pt>
                <c:pt idx="4">
                  <c:v>0</c:v>
                </c:pt>
                <c:pt idx="5">
                  <c:v>5.5170334639734697E-2</c:v>
                </c:pt>
                <c:pt idx="6">
                  <c:v>2.061530009614064E-2</c:v>
                </c:pt>
              </c:numCache>
            </c:numRef>
          </c:val>
          <c:extLst>
            <c:ext xmlns:c16="http://schemas.microsoft.com/office/drawing/2014/chart" uri="{C3380CC4-5D6E-409C-BE32-E72D297353CC}">
              <c16:uniqueId val="{00000009-C03E-4B7C-AE2E-FFA93440AA34}"/>
            </c:ext>
          </c:extLst>
        </c:ser>
        <c:ser>
          <c:idx val="4"/>
          <c:order val="5"/>
          <c:tx>
            <c:strRef>
              <c:f>Settlement!$L$48</c:f>
              <c:strCache>
                <c:ptCount val="1"/>
                <c:pt idx="0">
                  <c:v>Air Libre</c:v>
                </c:pt>
              </c:strCache>
            </c:strRef>
          </c:tx>
          <c:spPr>
            <a:solidFill>
              <a:srgbClr val="EEECE1"/>
            </a:solidFill>
            <a:ln>
              <a:noFill/>
            </a:ln>
            <a:effectLst/>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Settlement!$L$49:$L$55</c:f>
              <c:numCache>
                <c:formatCode>0%</c:formatCode>
                <c:ptCount val="7"/>
                <c:pt idx="0">
                  <c:v>0</c:v>
                </c:pt>
                <c:pt idx="1">
                  <c:v>1.043807287079623E-3</c:v>
                </c:pt>
                <c:pt idx="2">
                  <c:v>0</c:v>
                </c:pt>
                <c:pt idx="3">
                  <c:v>0</c:v>
                </c:pt>
                <c:pt idx="4">
                  <c:v>0</c:v>
                </c:pt>
                <c:pt idx="5">
                  <c:v>2.5927042508290623E-3</c:v>
                </c:pt>
                <c:pt idx="6">
                  <c:v>1.0300782859497322E-3</c:v>
                </c:pt>
              </c:numCache>
            </c:numRef>
          </c:val>
          <c:extLst xmlns:c15="http://schemas.microsoft.com/office/drawing/2012/chart">
            <c:ext xmlns:c16="http://schemas.microsoft.com/office/drawing/2014/chart" uri="{C3380CC4-5D6E-409C-BE32-E72D297353CC}">
              <c16:uniqueId val="{0000000A-C03E-4B7C-AE2E-FFA93440AA34}"/>
            </c:ext>
          </c:extLst>
        </c:ser>
        <c:ser>
          <c:idx val="6"/>
          <c:order val="6"/>
          <c:tx>
            <c:strRef>
              <c:f>Settlement!$N$48</c:f>
              <c:strCache>
                <c:ptCount val="1"/>
                <c:pt idx="0">
                  <c:v>Familles d'accueil (contre travaux domestiques ou des champs)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Settlement!$N$49:$N$55</c:f>
              <c:numCache>
                <c:formatCode>0%</c:formatCode>
                <c:ptCount val="7"/>
                <c:pt idx="0">
                  <c:v>0</c:v>
                </c:pt>
                <c:pt idx="1">
                  <c:v>1.2003783801415664E-2</c:v>
                </c:pt>
                <c:pt idx="2">
                  <c:v>1.9114077669902911E-2</c:v>
                </c:pt>
                <c:pt idx="3">
                  <c:v>5.7692307692307696E-2</c:v>
                </c:pt>
                <c:pt idx="4">
                  <c:v>2.0002010252286661E-2</c:v>
                </c:pt>
                <c:pt idx="5">
                  <c:v>8.0554718118782037E-2</c:v>
                </c:pt>
                <c:pt idx="6">
                  <c:v>3.0105754704024174E-2</c:v>
                </c:pt>
              </c:numCache>
            </c:numRef>
          </c:val>
          <c:extLst>
            <c:ext xmlns:c16="http://schemas.microsoft.com/office/drawing/2014/chart" uri="{C3380CC4-5D6E-409C-BE32-E72D297353CC}">
              <c16:uniqueId val="{00000001-4868-4DF3-A17A-39432A58A805}"/>
            </c:ext>
          </c:extLst>
        </c:ser>
        <c:dLbls>
          <c:dLblPos val="ctr"/>
          <c:showLegendKey val="0"/>
          <c:showVal val="1"/>
          <c:showCatName val="0"/>
          <c:showSerName val="0"/>
          <c:showPercent val="0"/>
          <c:showBubbleSize val="0"/>
        </c:dLbls>
        <c:gapWidth val="150"/>
        <c:overlap val="100"/>
        <c:axId val="91687936"/>
        <c:axId val="91702016"/>
        <c:extLst/>
      </c:barChart>
      <c:catAx>
        <c:axId val="9168793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91702016"/>
        <c:crosses val="autoZero"/>
        <c:auto val="1"/>
        <c:lblAlgn val="ctr"/>
        <c:lblOffset val="100"/>
        <c:noMultiLvlLbl val="0"/>
      </c:catAx>
      <c:valAx>
        <c:axId val="91702016"/>
        <c:scaling>
          <c:orientation val="minMax"/>
        </c:scaling>
        <c:delete val="1"/>
        <c:axPos val="l"/>
        <c:numFmt formatCode="0%" sourceLinked="1"/>
        <c:majorTickMark val="out"/>
        <c:minorTickMark val="none"/>
        <c:tickLblPos val="nextTo"/>
        <c:crossAx val="91687936"/>
        <c:crosses val="autoZero"/>
        <c:crossBetween val="between"/>
      </c:valAx>
      <c:spPr>
        <a:solidFill>
          <a:schemeClr val="bg1"/>
        </a:solidFill>
        <a:ln>
          <a:noFill/>
        </a:ln>
        <a:effectLst/>
      </c:spPr>
    </c:plotArea>
    <c:legend>
      <c:legendPos val="t"/>
      <c:layout>
        <c:manualLayout>
          <c:xMode val="edge"/>
          <c:yMode val="edge"/>
          <c:x val="0.20011911132307258"/>
          <c:y val="8.9508881922675004E-2"/>
          <c:w val="0.68349924071162238"/>
          <c:h val="0.145394313839414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r>
              <a:rPr lang="en-US" sz="1400" b="0">
                <a:solidFill>
                  <a:srgbClr val="0010A6"/>
                </a:solidFill>
              </a:rPr>
              <a:t>% Type de localites</a:t>
            </a:r>
          </a:p>
        </c:rich>
      </c:tx>
      <c:overlay val="0"/>
      <c:spPr>
        <a:noFill/>
        <a:ln>
          <a:noFill/>
        </a:ln>
        <a:effectLst/>
      </c:spPr>
      <c:txPr>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endParaRPr lang="en-CH"/>
        </a:p>
      </c:txPr>
    </c:title>
    <c:autoTitleDeleted val="0"/>
    <c:plotArea>
      <c:layout>
        <c:manualLayout>
          <c:layoutTarget val="inner"/>
          <c:xMode val="edge"/>
          <c:yMode val="edge"/>
          <c:x val="9.9177493584590382E-2"/>
          <c:y val="0.23146040843694254"/>
          <c:w val="0.3447022933992368"/>
          <c:h val="0.66423320730394986"/>
        </c:manualLayout>
      </c:layout>
      <c:doughnutChart>
        <c:varyColors val="1"/>
        <c:ser>
          <c:idx val="0"/>
          <c:order val="0"/>
          <c:tx>
            <c:strRef>
              <c:f>'Analyse localités'!$B$64</c:f>
              <c:strCache>
                <c:ptCount val="1"/>
                <c:pt idx="0">
                  <c:v>Total général</c:v>
                </c:pt>
              </c:strCache>
            </c:strRef>
          </c:tx>
          <c:dPt>
            <c:idx val="0"/>
            <c:bubble3D val="0"/>
            <c:spPr>
              <a:solidFill>
                <a:schemeClr val="accent1">
                  <a:shade val="76000"/>
                </a:schemeClr>
              </a:solidFill>
              <a:ln>
                <a:noFill/>
              </a:ln>
              <a:effectLst/>
            </c:spPr>
            <c:extLst>
              <c:ext xmlns:c16="http://schemas.microsoft.com/office/drawing/2014/chart" uri="{C3380CC4-5D6E-409C-BE32-E72D297353CC}">
                <c16:uniqueId val="{00000001-511E-4680-B93C-29EBD9125754}"/>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511E-4680-B93C-29EBD912575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'Analyse localités'!$C$57:$D$57</c:f>
              <c:strCache>
                <c:ptCount val="2"/>
                <c:pt idx="0">
                  <c:v>Sites de déplacement spontanés</c:v>
                </c:pt>
                <c:pt idx="1">
                  <c:v>Village</c:v>
                </c:pt>
              </c:strCache>
            </c:strRef>
          </c:cat>
          <c:val>
            <c:numRef>
              <c:f>'Analyse localités'!$C$64:$D$64</c:f>
              <c:numCache>
                <c:formatCode>0%</c:formatCode>
                <c:ptCount val="2"/>
                <c:pt idx="0">
                  <c:v>0.10213776722090261</c:v>
                </c:pt>
                <c:pt idx="1">
                  <c:v>0.89786223277909738</c:v>
                </c:pt>
              </c:numCache>
            </c:numRef>
          </c:val>
          <c:extLst>
            <c:ext xmlns:c16="http://schemas.microsoft.com/office/drawing/2014/chart" uri="{C3380CC4-5D6E-409C-BE32-E72D297353CC}">
              <c16:uniqueId val="{00000001-0FE9-40C1-8F4D-3D1FD1CCD312}"/>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49696341577834391"/>
          <c:y val="0.45474371259148155"/>
          <c:w val="0.43738948037272507"/>
          <c:h val="0.21636184365843156"/>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r>
              <a:rPr lang="en-US" sz="1200" b="0" i="0" baseline="0">
                <a:effectLst/>
                <a:latin typeface="Gill Sans MT" panose="020B0502020104020203" pitchFamily="34" charset="0"/>
              </a:rPr>
              <a:t>Graph 16:  Shelters types for IDPs</a:t>
            </a:r>
            <a:endParaRPr lang="fr-FR" sz="1200" b="0">
              <a:effectLst/>
              <a:latin typeface="Gill Sans MT" panose="020B0502020104020203"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endParaRPr lang="fr-FR" sz="1200" b="0">
              <a:solidFill>
                <a:srgbClr val="0010A6"/>
              </a:solidFill>
              <a:latin typeface="Gill Sans MT" panose="020B0502020104020203" pitchFamily="34" charset="0"/>
            </a:endParaRPr>
          </a:p>
        </c:rich>
      </c:tx>
      <c:overlay val="0"/>
      <c:spPr>
        <a:noFill/>
        <a:ln>
          <a:noFill/>
        </a:ln>
        <a:effectLst/>
      </c:spPr>
    </c:title>
    <c:autoTitleDeleted val="0"/>
    <c:plotArea>
      <c:layout>
        <c:manualLayout>
          <c:layoutTarget val="inner"/>
          <c:xMode val="edge"/>
          <c:yMode val="edge"/>
          <c:x val="2.4059634334153701E-2"/>
          <c:y val="0.271164440688754"/>
          <c:w val="0.96219200318918696"/>
          <c:h val="0.64851488679887204"/>
        </c:manualLayout>
      </c:layout>
      <c:barChart>
        <c:barDir val="col"/>
        <c:grouping val="percentStacked"/>
        <c:varyColors val="0"/>
        <c:ser>
          <c:idx val="5"/>
          <c:order val="0"/>
          <c:tx>
            <c:strRef>
              <c:f>Settlement!$AD$48</c:f>
              <c:strCache>
                <c:ptCount val="1"/>
                <c:pt idx="0">
                  <c:v>Host Families (free of charge)</c:v>
                </c:pt>
              </c:strCache>
            </c:strRef>
          </c:tx>
          <c:spPr>
            <a:solidFill>
              <a:srgbClr val="6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Settlement!$AD$49:$AD$54</c:f>
              <c:numCache>
                <c:formatCode>0%</c:formatCode>
                <c:ptCount val="6"/>
                <c:pt idx="0">
                  <c:v>0.23347324239244491</c:v>
                </c:pt>
                <c:pt idx="1">
                  <c:v>0.48983918843983432</c:v>
                </c:pt>
                <c:pt idx="2">
                  <c:v>0.15109223300970873</c:v>
                </c:pt>
                <c:pt idx="3">
                  <c:v>0.1858974358974359</c:v>
                </c:pt>
                <c:pt idx="4">
                  <c:v>0.42662579153683788</c:v>
                </c:pt>
                <c:pt idx="5">
                  <c:v>0.49327705758215257</c:v>
                </c:pt>
              </c:numCache>
            </c:numRef>
          </c:val>
          <c:extLst>
            <c:ext xmlns:c16="http://schemas.microsoft.com/office/drawing/2014/chart" uri="{C3380CC4-5D6E-409C-BE32-E72D297353CC}">
              <c16:uniqueId val="{00000000-85F3-442C-AAD3-639463504B38}"/>
            </c:ext>
          </c:extLst>
        </c:ser>
        <c:ser>
          <c:idx val="0"/>
          <c:order val="1"/>
          <c:tx>
            <c:strRef>
              <c:f>Settlement!$Y$48</c:f>
              <c:strCache>
                <c:ptCount val="1"/>
                <c:pt idx="0">
                  <c:v>Personal domicile</c:v>
                </c:pt>
              </c:strCache>
            </c:strRef>
          </c:tx>
          <c:spPr>
            <a:solidFill>
              <a:srgbClr val="C0000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Settlement!$Y$49:$Y$54</c:f>
              <c:numCache>
                <c:formatCode>0%</c:formatCode>
                <c:ptCount val="6"/>
                <c:pt idx="0">
                  <c:v>5.246589716684155E-3</c:v>
                </c:pt>
                <c:pt idx="1">
                  <c:v>8.9147666112144044E-2</c:v>
                </c:pt>
                <c:pt idx="2">
                  <c:v>0.4833131067961165</c:v>
                </c:pt>
                <c:pt idx="3">
                  <c:v>0.16880341880341881</c:v>
                </c:pt>
                <c:pt idx="4">
                  <c:v>6.271987134385365E-2</c:v>
                </c:pt>
                <c:pt idx="5">
                  <c:v>0.10057280675309015</c:v>
                </c:pt>
              </c:numCache>
            </c:numRef>
          </c:val>
          <c:extLst>
            <c:ext xmlns:c16="http://schemas.microsoft.com/office/drawing/2014/chart" uri="{C3380CC4-5D6E-409C-BE32-E72D297353CC}">
              <c16:uniqueId val="{00000001-85F3-442C-AAD3-639463504B38}"/>
            </c:ext>
          </c:extLst>
        </c:ser>
        <c:ser>
          <c:idx val="1"/>
          <c:order val="2"/>
          <c:tx>
            <c:strRef>
              <c:f>Settlement!$Z$48</c:f>
              <c:strCache>
                <c:ptCount val="1"/>
                <c:pt idx="0">
                  <c:v>Spontaneous shelters</c:v>
                </c:pt>
              </c:strCache>
            </c:strRef>
          </c:tx>
          <c:spPr>
            <a:solidFill>
              <a:srgbClr val="FF1919"/>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85F3-442C-AAD3-639463504B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Settlement!$Z$49:$Z$54</c:f>
              <c:numCache>
                <c:formatCode>0%</c:formatCode>
                <c:ptCount val="6"/>
                <c:pt idx="0">
                  <c:v>7.9748163693599161E-2</c:v>
                </c:pt>
                <c:pt idx="1">
                  <c:v>0.23717258701112306</c:v>
                </c:pt>
                <c:pt idx="2">
                  <c:v>0.30976941747572817</c:v>
                </c:pt>
                <c:pt idx="3">
                  <c:v>0.51709401709401714</c:v>
                </c:pt>
                <c:pt idx="4">
                  <c:v>0.4199417026836868</c:v>
                </c:pt>
                <c:pt idx="5">
                  <c:v>0.15043714199577932</c:v>
                </c:pt>
              </c:numCache>
            </c:numRef>
          </c:val>
          <c:extLst>
            <c:ext xmlns:c16="http://schemas.microsoft.com/office/drawing/2014/chart" uri="{C3380CC4-5D6E-409C-BE32-E72D297353CC}">
              <c16:uniqueId val="{00000003-85F3-442C-AAD3-639463504B38}"/>
            </c:ext>
          </c:extLst>
        </c:ser>
        <c:ser>
          <c:idx val="2"/>
          <c:order val="3"/>
          <c:tx>
            <c:strRef>
              <c:f>Settlement!$AA$48</c:f>
              <c:strCache>
                <c:ptCount val="1"/>
                <c:pt idx="0">
                  <c:v>Rental</c:v>
                </c:pt>
              </c:strCache>
            </c:strRef>
          </c:tx>
          <c:spPr>
            <a:solidFill>
              <a:srgbClr val="FA978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Settlement!$AA$49:$AA$54</c:f>
              <c:numCache>
                <c:formatCode>0%</c:formatCode>
                <c:ptCount val="6"/>
                <c:pt idx="0">
                  <c:v>0.40031479538300108</c:v>
                </c:pt>
                <c:pt idx="1">
                  <c:v>0.16916201846234138</c:v>
                </c:pt>
                <c:pt idx="2">
                  <c:v>3.6711165048543687E-2</c:v>
                </c:pt>
                <c:pt idx="3">
                  <c:v>7.0512820512820512E-2</c:v>
                </c:pt>
                <c:pt idx="4">
                  <c:v>7.0710624183335014E-2</c:v>
                </c:pt>
                <c:pt idx="5">
                  <c:v>0.1173952366596322</c:v>
                </c:pt>
              </c:numCache>
            </c:numRef>
          </c:val>
          <c:extLst>
            <c:ext xmlns:c16="http://schemas.microsoft.com/office/drawing/2014/chart" uri="{C3380CC4-5D6E-409C-BE32-E72D297353CC}">
              <c16:uniqueId val="{00000004-85F3-442C-AAD3-639463504B38}"/>
            </c:ext>
          </c:extLst>
        </c:ser>
        <c:ser>
          <c:idx val="3"/>
          <c:order val="4"/>
          <c:tx>
            <c:strRef>
              <c:f>Settlement!$AB$48</c:f>
              <c:strCache>
                <c:ptCount val="1"/>
                <c:pt idx="0">
                  <c:v>Collective</c:v>
                </c:pt>
              </c:strCache>
            </c:strRef>
          </c:tx>
          <c:spPr>
            <a:solidFill>
              <a:srgbClr val="FDDCD7"/>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85F3-442C-AAD3-639463504B38}"/>
                </c:ext>
              </c:extLst>
            </c:dLbl>
            <c:dLbl>
              <c:idx val="2"/>
              <c:delete val="1"/>
              <c:extLst>
                <c:ext xmlns:c15="http://schemas.microsoft.com/office/drawing/2012/chart" uri="{CE6537A1-D6FC-4f65-9D91-7224C49458BB}"/>
                <c:ext xmlns:c16="http://schemas.microsoft.com/office/drawing/2014/chart" uri="{C3380CC4-5D6E-409C-BE32-E72D297353CC}">
                  <c16:uniqueId val="{00000006-85F3-442C-AAD3-639463504B38}"/>
                </c:ext>
              </c:extLst>
            </c:dLbl>
            <c:dLbl>
              <c:idx val="3"/>
              <c:delete val="1"/>
              <c:extLst>
                <c:ext xmlns:c15="http://schemas.microsoft.com/office/drawing/2012/chart" uri="{CE6537A1-D6FC-4f65-9D91-7224C49458BB}"/>
                <c:ext xmlns:c16="http://schemas.microsoft.com/office/drawing/2014/chart" uri="{C3380CC4-5D6E-409C-BE32-E72D297353CC}">
                  <c16:uniqueId val="{00000007-85F3-442C-AAD3-639463504B38}"/>
                </c:ext>
              </c:extLst>
            </c:dLbl>
            <c:dLbl>
              <c:idx val="4"/>
              <c:delete val="1"/>
              <c:extLst>
                <c:ext xmlns:c15="http://schemas.microsoft.com/office/drawing/2012/chart" uri="{CE6537A1-D6FC-4f65-9D91-7224C49458BB}"/>
                <c:ext xmlns:c16="http://schemas.microsoft.com/office/drawing/2014/chart" uri="{C3380CC4-5D6E-409C-BE32-E72D297353CC}">
                  <c16:uniqueId val="{00000008-85F3-442C-AAD3-639463504B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Settlement!$AB$49:$AB$54</c:f>
              <c:numCache>
                <c:formatCode>0%</c:formatCode>
                <c:ptCount val="6"/>
                <c:pt idx="0">
                  <c:v>0.2812172088142707</c:v>
                </c:pt>
                <c:pt idx="1">
                  <c:v>1.6309488860619108E-3</c:v>
                </c:pt>
                <c:pt idx="2">
                  <c:v>0</c:v>
                </c:pt>
                <c:pt idx="3">
                  <c:v>0</c:v>
                </c:pt>
                <c:pt idx="4">
                  <c:v>0</c:v>
                </c:pt>
                <c:pt idx="5">
                  <c:v>5.5170334639734697E-2</c:v>
                </c:pt>
              </c:numCache>
            </c:numRef>
          </c:val>
          <c:extLst>
            <c:ext xmlns:c16="http://schemas.microsoft.com/office/drawing/2014/chart" uri="{C3380CC4-5D6E-409C-BE32-E72D297353CC}">
              <c16:uniqueId val="{00000009-85F3-442C-AAD3-639463504B38}"/>
            </c:ext>
          </c:extLst>
        </c:ser>
        <c:ser>
          <c:idx val="4"/>
          <c:order val="5"/>
          <c:tx>
            <c:strRef>
              <c:f>Settlement!$AC$48</c:f>
              <c:strCache>
                <c:ptCount val="1"/>
                <c:pt idx="0">
                  <c:v>Open air</c:v>
                </c:pt>
              </c:strCache>
            </c:strRef>
          </c:tx>
          <c:spPr>
            <a:solidFill>
              <a:srgbClr val="EEECE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Settlement!$AC$49:$AC$54</c:f>
              <c:numCache>
                <c:formatCode>0%</c:formatCode>
                <c:ptCount val="6"/>
                <c:pt idx="0">
                  <c:v>0</c:v>
                </c:pt>
                <c:pt idx="1">
                  <c:v>1.043807287079623E-3</c:v>
                </c:pt>
                <c:pt idx="2">
                  <c:v>0</c:v>
                </c:pt>
                <c:pt idx="3">
                  <c:v>0</c:v>
                </c:pt>
                <c:pt idx="4">
                  <c:v>0</c:v>
                </c:pt>
                <c:pt idx="5">
                  <c:v>2.5927042508290623E-3</c:v>
                </c:pt>
              </c:numCache>
            </c:numRef>
          </c:val>
          <c:extLst xmlns:c15="http://schemas.microsoft.com/office/drawing/2012/chart">
            <c:ext xmlns:c16="http://schemas.microsoft.com/office/drawing/2014/chart" uri="{C3380CC4-5D6E-409C-BE32-E72D297353CC}">
              <c16:uniqueId val="{0000000A-85F3-442C-AAD3-639463504B38}"/>
            </c:ext>
          </c:extLst>
        </c:ser>
        <c:ser>
          <c:idx val="6"/>
          <c:order val="6"/>
          <c:tx>
            <c:strRef>
              <c:f>Settlement!$AE$48</c:f>
              <c:strCache>
                <c:ptCount val="1"/>
                <c:pt idx="0">
                  <c:v>Host Families (against domestic or field work)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Settlement!$AE$49:$AE$54</c:f>
              <c:numCache>
                <c:formatCode>0%</c:formatCode>
                <c:ptCount val="6"/>
                <c:pt idx="0">
                  <c:v>0</c:v>
                </c:pt>
                <c:pt idx="1">
                  <c:v>1.2003783801415664E-2</c:v>
                </c:pt>
                <c:pt idx="2">
                  <c:v>1.9114077669902911E-2</c:v>
                </c:pt>
                <c:pt idx="3">
                  <c:v>5.7692307692307696E-2</c:v>
                </c:pt>
                <c:pt idx="4">
                  <c:v>2.0002010252286661E-2</c:v>
                </c:pt>
                <c:pt idx="5">
                  <c:v>8.0554718118782037E-2</c:v>
                </c:pt>
              </c:numCache>
            </c:numRef>
          </c:val>
          <c:extLst>
            <c:ext xmlns:c16="http://schemas.microsoft.com/office/drawing/2014/chart" uri="{C3380CC4-5D6E-409C-BE32-E72D297353CC}">
              <c16:uniqueId val="{00000001-DBE7-4C8A-A828-58198664DCF3}"/>
            </c:ext>
          </c:extLst>
        </c:ser>
        <c:dLbls>
          <c:dLblPos val="ctr"/>
          <c:showLegendKey val="0"/>
          <c:showVal val="1"/>
          <c:showCatName val="0"/>
          <c:showSerName val="0"/>
          <c:showPercent val="0"/>
          <c:showBubbleSize val="0"/>
        </c:dLbls>
        <c:gapWidth val="150"/>
        <c:overlap val="100"/>
        <c:axId val="91687936"/>
        <c:axId val="91702016"/>
        <c:extLst/>
      </c:barChart>
      <c:catAx>
        <c:axId val="9168793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91702016"/>
        <c:crosses val="autoZero"/>
        <c:auto val="1"/>
        <c:lblAlgn val="ctr"/>
        <c:lblOffset val="100"/>
        <c:noMultiLvlLbl val="0"/>
      </c:catAx>
      <c:valAx>
        <c:axId val="91702016"/>
        <c:scaling>
          <c:orientation val="minMax"/>
        </c:scaling>
        <c:delete val="1"/>
        <c:axPos val="l"/>
        <c:numFmt formatCode="0%" sourceLinked="1"/>
        <c:majorTickMark val="out"/>
        <c:minorTickMark val="none"/>
        <c:tickLblPos val="nextTo"/>
        <c:crossAx val="91687936"/>
        <c:crosses val="autoZero"/>
        <c:crossBetween val="between"/>
      </c:valAx>
      <c:spPr>
        <a:solidFill>
          <a:schemeClr val="bg1"/>
        </a:solidFill>
        <a:ln>
          <a:noFill/>
        </a:ln>
        <a:effectLst/>
      </c:spPr>
    </c:plotArea>
    <c:legend>
      <c:legendPos val="t"/>
      <c:layout>
        <c:manualLayout>
          <c:xMode val="edge"/>
          <c:yMode val="edge"/>
          <c:x val="6.0001164997978397E-2"/>
          <c:y val="7.7130532687431613E-2"/>
          <c:w val="0.91345405519866241"/>
          <c:h val="0.139373166663682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rgbClr val="0010A6"/>
                </a:solidFill>
                <a:latin typeface="Gill Sans MT" panose="020B0502020104020203" pitchFamily="34" charset="0"/>
              </a:defRPr>
            </a:pPr>
            <a:r>
              <a:rPr lang="en-US" sz="1200" b="0" i="0" baseline="0">
                <a:effectLst/>
                <a:latin typeface="Gill Sans MT" panose="020B0502020104020203" pitchFamily="34" charset="0"/>
              </a:rPr>
              <a:t>Graphique 19 : Types d'abri pour les retournés</a:t>
            </a:r>
            <a:endParaRPr lang="fr-FR" sz="1200">
              <a:effectLst/>
              <a:latin typeface="Gill Sans MT" panose="020B0502020104020203" pitchFamily="34" charset="0"/>
            </a:endParaRPr>
          </a:p>
        </c:rich>
      </c:tx>
      <c:overlay val="0"/>
    </c:title>
    <c:autoTitleDeleted val="0"/>
    <c:plotArea>
      <c:layout>
        <c:manualLayout>
          <c:layoutTarget val="inner"/>
          <c:xMode val="edge"/>
          <c:yMode val="edge"/>
          <c:x val="2.4374030578329299E-2"/>
          <c:y val="0.23553290658769394"/>
          <c:w val="0.95125193884334203"/>
          <c:h val="0.7080856579103515"/>
        </c:manualLayout>
      </c:layout>
      <c:barChart>
        <c:barDir val="col"/>
        <c:grouping val="percentStacked"/>
        <c:varyColors val="0"/>
        <c:ser>
          <c:idx val="6"/>
          <c:order val="0"/>
          <c:tx>
            <c:strRef>
              <c:f>Settlement!$N$140</c:f>
              <c:strCache>
                <c:ptCount val="1"/>
                <c:pt idx="0">
                  <c:v>Nouveau domicile personnel</c:v>
                </c:pt>
              </c:strCache>
            </c:strRef>
          </c:tx>
          <c:spPr>
            <a:solidFill>
              <a:srgbClr val="02343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Settlement!$N$141:$N$147</c:f>
              <c:numCache>
                <c:formatCode>0%</c:formatCode>
                <c:ptCount val="7"/>
                <c:pt idx="0">
                  <c:v>0</c:v>
                </c:pt>
                <c:pt idx="1">
                  <c:v>0.21947417645224981</c:v>
                </c:pt>
                <c:pt idx="2">
                  <c:v>0.14134535750437102</c:v>
                </c:pt>
                <c:pt idx="3">
                  <c:v>0.52941176470588236</c:v>
                </c:pt>
                <c:pt idx="4">
                  <c:v>0.31710681907765076</c:v>
                </c:pt>
                <c:pt idx="5">
                  <c:v>0.22785515320334263</c:v>
                </c:pt>
                <c:pt idx="6">
                  <c:v>0.20842883043136182</c:v>
                </c:pt>
              </c:numCache>
            </c:numRef>
          </c:val>
          <c:extLst>
            <c:ext xmlns:c16="http://schemas.microsoft.com/office/drawing/2014/chart" uri="{C3380CC4-5D6E-409C-BE32-E72D297353CC}">
              <c16:uniqueId val="{00000000-6093-4E6A-933C-BFD3CFCBA7D7}"/>
            </c:ext>
          </c:extLst>
        </c:ser>
        <c:ser>
          <c:idx val="4"/>
          <c:order val="1"/>
          <c:tx>
            <c:strRef>
              <c:f>Settlement!$L$140</c:f>
              <c:strCache>
                <c:ptCount val="1"/>
                <c:pt idx="0">
                  <c:v>Familles d'accueil (à titre gratuit)</c:v>
                </c:pt>
              </c:strCache>
            </c:strRef>
          </c:tx>
          <c:spPr>
            <a:solidFill>
              <a:srgbClr val="057D7A"/>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Settlement!$L$141:$L$147</c:f>
              <c:numCache>
                <c:formatCode>0%</c:formatCode>
                <c:ptCount val="7"/>
                <c:pt idx="0">
                  <c:v>0</c:v>
                </c:pt>
                <c:pt idx="1">
                  <c:v>4.4580692091863244E-2</c:v>
                </c:pt>
                <c:pt idx="2">
                  <c:v>0.16931995951044446</c:v>
                </c:pt>
                <c:pt idx="3">
                  <c:v>0.23529411764705882</c:v>
                </c:pt>
                <c:pt idx="4">
                  <c:v>9.184075679936933E-2</c:v>
                </c:pt>
                <c:pt idx="5">
                  <c:v>0.17437325905292478</c:v>
                </c:pt>
                <c:pt idx="6">
                  <c:v>0.11524646803270276</c:v>
                </c:pt>
              </c:numCache>
            </c:numRef>
          </c:val>
          <c:extLst>
            <c:ext xmlns:c16="http://schemas.microsoft.com/office/drawing/2014/chart" uri="{C3380CC4-5D6E-409C-BE32-E72D297353CC}">
              <c16:uniqueId val="{00000001-6093-4E6A-933C-BFD3CFCBA7D7}"/>
            </c:ext>
          </c:extLst>
        </c:ser>
        <c:ser>
          <c:idx val="5"/>
          <c:order val="2"/>
          <c:tx>
            <c:strRef>
              <c:f>Settlement!$M$140</c:f>
              <c:strCache>
                <c:ptCount val="1"/>
                <c:pt idx="0">
                  <c:v>Familles d'accueil (contre travaux domestiques ou des champs)</c:v>
                </c:pt>
              </c:strCache>
            </c:strRef>
          </c:tx>
          <c:spPr>
            <a:solidFill>
              <a:srgbClr val="07B1AD"/>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Settlement!$M$141:$M$147</c:f>
              <c:numCache>
                <c:formatCode>0%</c:formatCode>
                <c:ptCount val="7"/>
                <c:pt idx="0">
                  <c:v>0</c:v>
                </c:pt>
                <c:pt idx="1">
                  <c:v>1.1327028993037514E-2</c:v>
                </c:pt>
                <c:pt idx="2">
                  <c:v>6.7175853501426335E-3</c:v>
                </c:pt>
                <c:pt idx="3">
                  <c:v>0</c:v>
                </c:pt>
                <c:pt idx="4">
                  <c:v>1.8131651556957035E-2</c:v>
                </c:pt>
                <c:pt idx="5">
                  <c:v>9.4707520891364905E-3</c:v>
                </c:pt>
                <c:pt idx="6">
                  <c:v>1.0536038039202271E-2</c:v>
                </c:pt>
              </c:numCache>
            </c:numRef>
          </c:val>
          <c:extLst>
            <c:ext xmlns:c16="http://schemas.microsoft.com/office/drawing/2014/chart" uri="{C3380CC4-5D6E-409C-BE32-E72D297353CC}">
              <c16:uniqueId val="{00000002-6093-4E6A-933C-BFD3CFCBA7D7}"/>
            </c:ext>
          </c:extLst>
        </c:ser>
        <c:ser>
          <c:idx val="0"/>
          <c:order val="3"/>
          <c:tx>
            <c:strRef>
              <c:f>Settlement!$H$140</c:f>
              <c:strCache>
                <c:ptCount val="1"/>
                <c:pt idx="0">
                  <c:v>Spontané</c:v>
                </c:pt>
              </c:strCache>
            </c:strRef>
          </c:tx>
          <c:spPr>
            <a:solidFill>
              <a:srgbClr val="09DDD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Settlement!$H$141:$H$147</c:f>
              <c:numCache>
                <c:formatCode>0%</c:formatCode>
                <c:ptCount val="7"/>
                <c:pt idx="0">
                  <c:v>0</c:v>
                </c:pt>
                <c:pt idx="1">
                  <c:v>4.167099657071599E-2</c:v>
                </c:pt>
                <c:pt idx="2">
                  <c:v>0.17566945799208614</c:v>
                </c:pt>
                <c:pt idx="3">
                  <c:v>0</c:v>
                </c:pt>
                <c:pt idx="4">
                  <c:v>4.3358297201418997E-2</c:v>
                </c:pt>
                <c:pt idx="5">
                  <c:v>1.9498607242339832E-3</c:v>
                </c:pt>
                <c:pt idx="6">
                  <c:v>8.6785482160571956E-2</c:v>
                </c:pt>
              </c:numCache>
            </c:numRef>
          </c:val>
          <c:extLst>
            <c:ext xmlns:c16="http://schemas.microsoft.com/office/drawing/2014/chart" uri="{C3380CC4-5D6E-409C-BE32-E72D297353CC}">
              <c16:uniqueId val="{00000003-6093-4E6A-933C-BFD3CFCBA7D7}"/>
            </c:ext>
          </c:extLst>
        </c:ser>
        <c:ser>
          <c:idx val="1"/>
          <c:order val="4"/>
          <c:tx>
            <c:strRef>
              <c:f>Settlement!$I$140</c:f>
              <c:strCache>
                <c:ptCount val="1"/>
                <c:pt idx="0">
                  <c:v>Location</c:v>
                </c:pt>
              </c:strCache>
            </c:strRef>
          </c:tx>
          <c:spPr>
            <a:solidFill>
              <a:srgbClr val="26F6F1"/>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Settlement!$I$141:$I$147</c:f>
              <c:numCache>
                <c:formatCode>0%</c:formatCode>
                <c:ptCount val="7"/>
                <c:pt idx="0">
                  <c:v>0</c:v>
                </c:pt>
                <c:pt idx="1">
                  <c:v>2.0679621739582252E-2</c:v>
                </c:pt>
                <c:pt idx="2">
                  <c:v>4.6010858562620777E-4</c:v>
                </c:pt>
                <c:pt idx="3">
                  <c:v>0</c:v>
                </c:pt>
                <c:pt idx="4">
                  <c:v>3.941663381947182E-3</c:v>
                </c:pt>
                <c:pt idx="5">
                  <c:v>4.0111420612813371E-2</c:v>
                </c:pt>
                <c:pt idx="6">
                  <c:v>1.2588512981904013E-2</c:v>
                </c:pt>
              </c:numCache>
            </c:numRef>
          </c:val>
          <c:extLst>
            <c:ext xmlns:c16="http://schemas.microsoft.com/office/drawing/2014/chart" uri="{C3380CC4-5D6E-409C-BE32-E72D297353CC}">
              <c16:uniqueId val="{00000004-6093-4E6A-933C-BFD3CFCBA7D7}"/>
            </c:ext>
          </c:extLst>
        </c:ser>
        <c:ser>
          <c:idx val="2"/>
          <c:order val="5"/>
          <c:tx>
            <c:strRef>
              <c:f>Settlement!$J$140</c:f>
              <c:strCache>
                <c:ptCount val="1"/>
                <c:pt idx="0">
                  <c:v>Collectif</c:v>
                </c:pt>
              </c:strCache>
            </c:strRef>
          </c:tx>
          <c:spPr>
            <a:solidFill>
              <a:srgbClr val="A7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Settlement!$J$141:$J$147</c:f>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5-6093-4E6A-933C-BFD3CFCBA7D7}"/>
            </c:ext>
          </c:extLst>
        </c:ser>
        <c:ser>
          <c:idx val="3"/>
          <c:order val="6"/>
          <c:tx>
            <c:strRef>
              <c:f>Settlement!$K$140</c:f>
              <c:strCache>
                <c:ptCount val="1"/>
                <c:pt idx="0">
                  <c:v>Plein-air</c:v>
                </c:pt>
              </c:strCache>
            </c:strRef>
          </c:tx>
          <c:spPr>
            <a:solidFill>
              <a:srgbClr val="D1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Settlement!$K$141:$K$147</c:f>
              <c:numCache>
                <c:formatCode>0%</c:formatCode>
                <c:ptCount val="7"/>
                <c:pt idx="0">
                  <c:v>0</c:v>
                </c:pt>
                <c:pt idx="1">
                  <c:v>5.19588485919152E-4</c:v>
                </c:pt>
                <c:pt idx="2">
                  <c:v>4.444648937149167E-2</c:v>
                </c:pt>
                <c:pt idx="3">
                  <c:v>0</c:v>
                </c:pt>
                <c:pt idx="4">
                  <c:v>0</c:v>
                </c:pt>
                <c:pt idx="5">
                  <c:v>0</c:v>
                </c:pt>
                <c:pt idx="6">
                  <c:v>1.6693462867307496E-2</c:v>
                </c:pt>
              </c:numCache>
            </c:numRef>
          </c:val>
          <c:extLst xmlns:c15="http://schemas.microsoft.com/office/drawing/2012/chart">
            <c:ext xmlns:c16="http://schemas.microsoft.com/office/drawing/2014/chart" uri="{C3380CC4-5D6E-409C-BE32-E72D297353CC}">
              <c16:uniqueId val="{00000006-6093-4E6A-933C-BFD3CFCBA7D7}"/>
            </c:ext>
          </c:extLst>
        </c:ser>
        <c:ser>
          <c:idx val="7"/>
          <c:order val="7"/>
          <c:tx>
            <c:strRef>
              <c:f>Settlement!$O$140</c:f>
              <c:strCache>
                <c:ptCount val="1"/>
                <c:pt idx="0">
                  <c:v>Habitat initial</c:v>
                </c:pt>
              </c:strCache>
            </c:strRef>
          </c:tx>
          <c:spPr>
            <a:solidFill>
              <a:srgbClr val="E1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Settlement!$O$141:$O$147</c:f>
              <c:numCache>
                <c:formatCode>0%</c:formatCode>
                <c:ptCount val="7"/>
                <c:pt idx="0">
                  <c:v>1</c:v>
                </c:pt>
                <c:pt idx="1">
                  <c:v>0.66174789566663206</c:v>
                </c:pt>
                <c:pt idx="2">
                  <c:v>0.46204104168583787</c:v>
                </c:pt>
                <c:pt idx="3">
                  <c:v>0.23529411764705882</c:v>
                </c:pt>
                <c:pt idx="4">
                  <c:v>0.52562081198265664</c:v>
                </c:pt>
                <c:pt idx="5">
                  <c:v>0.54623955431754878</c:v>
                </c:pt>
                <c:pt idx="6">
                  <c:v>0.54972120548694969</c:v>
                </c:pt>
              </c:numCache>
            </c:numRef>
          </c:val>
          <c:extLst>
            <c:ext xmlns:c16="http://schemas.microsoft.com/office/drawing/2014/chart" uri="{C3380CC4-5D6E-409C-BE32-E72D297353CC}">
              <c16:uniqueId val="{00000001-CC4B-470C-BF85-8F05B63C7362}"/>
            </c:ext>
          </c:extLst>
        </c:ser>
        <c:dLbls>
          <c:dLblPos val="ctr"/>
          <c:showLegendKey val="0"/>
          <c:showVal val="1"/>
          <c:showCatName val="0"/>
          <c:showSerName val="0"/>
          <c:showPercent val="0"/>
          <c:showBubbleSize val="0"/>
        </c:dLbls>
        <c:gapWidth val="150"/>
        <c:overlap val="100"/>
        <c:axId val="92448640"/>
        <c:axId val="92450176"/>
        <c:extLst/>
      </c:barChart>
      <c:catAx>
        <c:axId val="92448640"/>
        <c:scaling>
          <c:orientation val="minMax"/>
        </c:scaling>
        <c:delete val="0"/>
        <c:axPos val="b"/>
        <c:numFmt formatCode="General" sourceLinked="0"/>
        <c:majorTickMark val="out"/>
        <c:minorTickMark val="none"/>
        <c:tickLblPos val="nextTo"/>
        <c:crossAx val="92450176"/>
        <c:crosses val="autoZero"/>
        <c:auto val="1"/>
        <c:lblAlgn val="ctr"/>
        <c:lblOffset val="100"/>
        <c:noMultiLvlLbl val="0"/>
      </c:catAx>
      <c:valAx>
        <c:axId val="92450176"/>
        <c:scaling>
          <c:orientation val="minMax"/>
        </c:scaling>
        <c:delete val="1"/>
        <c:axPos val="l"/>
        <c:numFmt formatCode="0%" sourceLinked="1"/>
        <c:majorTickMark val="out"/>
        <c:minorTickMark val="none"/>
        <c:tickLblPos val="nextTo"/>
        <c:crossAx val="92448640"/>
        <c:crosses val="autoZero"/>
        <c:crossBetween val="between"/>
      </c:valAx>
    </c:plotArea>
    <c:legend>
      <c:legendPos val="t"/>
      <c:layout>
        <c:manualLayout>
          <c:xMode val="edge"/>
          <c:yMode val="edge"/>
          <c:x val="7.4162655216513607E-2"/>
          <c:y val="5.8355276226193201E-2"/>
          <c:w val="0.83044052794462786"/>
          <c:h val="0.1806510291666593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rgbClr val="0010A6"/>
                </a:solidFill>
                <a:latin typeface="Gill Sans MT" panose="020B0502020104020203" pitchFamily="34" charset="0"/>
              </a:defRPr>
            </a:pPr>
            <a:r>
              <a:rPr lang="en-US" sz="1100" b="0" i="0" baseline="0">
                <a:effectLst/>
                <a:latin typeface="Gill Sans MT" panose="020B0502020104020203" pitchFamily="34" charset="0"/>
              </a:rPr>
              <a:t>Graph 24 : Shelters types for returnees</a:t>
            </a:r>
            <a:endParaRPr lang="fr-FR" sz="1100">
              <a:effectLst/>
              <a:latin typeface="Gill Sans MT" panose="020B0502020104020203" pitchFamily="34" charset="0"/>
            </a:endParaRPr>
          </a:p>
        </c:rich>
      </c:tx>
      <c:overlay val="0"/>
    </c:title>
    <c:autoTitleDeleted val="0"/>
    <c:plotArea>
      <c:layout>
        <c:manualLayout>
          <c:layoutTarget val="inner"/>
          <c:xMode val="edge"/>
          <c:yMode val="edge"/>
          <c:x val="3.0108768661981769E-2"/>
          <c:y val="0.16262533779472069"/>
          <c:w val="0.95125193884334203"/>
          <c:h val="0.78681630739649"/>
        </c:manualLayout>
      </c:layout>
      <c:barChart>
        <c:barDir val="col"/>
        <c:grouping val="percentStacked"/>
        <c:varyColors val="0"/>
        <c:ser>
          <c:idx val="6"/>
          <c:order val="0"/>
          <c:tx>
            <c:strRef>
              <c:f>Settlement!$AE$140</c:f>
              <c:strCache>
                <c:ptCount val="1"/>
                <c:pt idx="0">
                  <c:v>New Personal domicile</c:v>
                </c:pt>
              </c:strCache>
            </c:strRef>
          </c:tx>
          <c:spPr>
            <a:solidFill>
              <a:srgbClr val="023433"/>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Settlement!$AE$141:$AE$146</c:f>
              <c:numCache>
                <c:formatCode>0%</c:formatCode>
                <c:ptCount val="6"/>
                <c:pt idx="0">
                  <c:v>0</c:v>
                </c:pt>
                <c:pt idx="1">
                  <c:v>0.21947417645224981</c:v>
                </c:pt>
                <c:pt idx="2">
                  <c:v>0.14134535750437102</c:v>
                </c:pt>
                <c:pt idx="3" formatCode="0.0%">
                  <c:v>0.52941176470588236</c:v>
                </c:pt>
                <c:pt idx="4" formatCode="0.0%">
                  <c:v>0.31710681907765076</c:v>
                </c:pt>
                <c:pt idx="5" formatCode="0.0%">
                  <c:v>0.22785515320334263</c:v>
                </c:pt>
              </c:numCache>
            </c:numRef>
          </c:val>
          <c:extLst>
            <c:ext xmlns:c16="http://schemas.microsoft.com/office/drawing/2014/chart" uri="{C3380CC4-5D6E-409C-BE32-E72D297353CC}">
              <c16:uniqueId val="{00000000-0A5E-4360-BF5C-891E73B3DB8D}"/>
            </c:ext>
          </c:extLst>
        </c:ser>
        <c:ser>
          <c:idx val="4"/>
          <c:order val="1"/>
          <c:tx>
            <c:strRef>
              <c:f>Settlement!$AC$140</c:f>
              <c:strCache>
                <c:ptCount val="1"/>
                <c:pt idx="0">
                  <c:v>Host Families (free of charge)</c:v>
                </c:pt>
              </c:strCache>
            </c:strRef>
          </c:tx>
          <c:spPr>
            <a:solidFill>
              <a:srgbClr val="057D7A"/>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Settlement!$AC$141:$AC$146</c:f>
              <c:numCache>
                <c:formatCode>0%</c:formatCode>
                <c:ptCount val="6"/>
                <c:pt idx="0">
                  <c:v>0</c:v>
                </c:pt>
                <c:pt idx="1">
                  <c:v>4.4580692091863244E-2</c:v>
                </c:pt>
                <c:pt idx="2">
                  <c:v>0.16931995951044446</c:v>
                </c:pt>
                <c:pt idx="3" formatCode="0.0%">
                  <c:v>0.23529411764705882</c:v>
                </c:pt>
                <c:pt idx="4" formatCode="0.0%">
                  <c:v>9.184075679936933E-2</c:v>
                </c:pt>
                <c:pt idx="5" formatCode="0.0%">
                  <c:v>0.17437325905292478</c:v>
                </c:pt>
              </c:numCache>
            </c:numRef>
          </c:val>
          <c:extLst>
            <c:ext xmlns:c16="http://schemas.microsoft.com/office/drawing/2014/chart" uri="{C3380CC4-5D6E-409C-BE32-E72D297353CC}">
              <c16:uniqueId val="{00000001-0A5E-4360-BF5C-891E73B3DB8D}"/>
            </c:ext>
          </c:extLst>
        </c:ser>
        <c:ser>
          <c:idx val="5"/>
          <c:order val="2"/>
          <c:tx>
            <c:strRef>
              <c:f>Settlement!$AD$140</c:f>
              <c:strCache>
                <c:ptCount val="1"/>
                <c:pt idx="0">
                  <c:v>Host Families (against domestic or field work) </c:v>
                </c:pt>
              </c:strCache>
            </c:strRef>
          </c:tx>
          <c:spPr>
            <a:solidFill>
              <a:srgbClr val="07B1AD"/>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Settlement!$AD$141:$AD$146</c:f>
              <c:numCache>
                <c:formatCode>0%</c:formatCode>
                <c:ptCount val="6"/>
                <c:pt idx="0">
                  <c:v>0</c:v>
                </c:pt>
                <c:pt idx="1">
                  <c:v>1.1327028993037514E-2</c:v>
                </c:pt>
                <c:pt idx="2">
                  <c:v>6.7175853501426335E-3</c:v>
                </c:pt>
                <c:pt idx="3" formatCode="0.0%">
                  <c:v>0</c:v>
                </c:pt>
                <c:pt idx="4" formatCode="0.0%">
                  <c:v>1.8131651556957035E-2</c:v>
                </c:pt>
                <c:pt idx="5" formatCode="0.0%">
                  <c:v>9.4707520891364905E-3</c:v>
                </c:pt>
              </c:numCache>
            </c:numRef>
          </c:val>
          <c:extLst>
            <c:ext xmlns:c16="http://schemas.microsoft.com/office/drawing/2014/chart" uri="{C3380CC4-5D6E-409C-BE32-E72D297353CC}">
              <c16:uniqueId val="{00000002-0A5E-4360-BF5C-891E73B3DB8D}"/>
            </c:ext>
          </c:extLst>
        </c:ser>
        <c:ser>
          <c:idx val="0"/>
          <c:order val="3"/>
          <c:tx>
            <c:strRef>
              <c:f>Settlement!$Y$140</c:f>
              <c:strCache>
                <c:ptCount val="1"/>
                <c:pt idx="0">
                  <c:v>Spontaneous shelters</c:v>
                </c:pt>
              </c:strCache>
            </c:strRef>
          </c:tx>
          <c:spPr>
            <a:solidFill>
              <a:srgbClr val="09DDD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0A5E-4360-BF5C-891E73B3DB8D}"/>
                </c:ext>
              </c:extLst>
            </c:dLbl>
            <c:dLbl>
              <c:idx val="1"/>
              <c:delete val="1"/>
              <c:extLst>
                <c:ext xmlns:c15="http://schemas.microsoft.com/office/drawing/2012/chart" uri="{CE6537A1-D6FC-4f65-9D91-7224C49458BB}"/>
                <c:ext xmlns:c16="http://schemas.microsoft.com/office/drawing/2014/chart" uri="{C3380CC4-5D6E-409C-BE32-E72D297353CC}">
                  <c16:uniqueId val="{00000004-0A5E-4360-BF5C-891E73B3DB8D}"/>
                </c:ext>
              </c:extLst>
            </c:dLbl>
            <c:dLbl>
              <c:idx val="3"/>
              <c:delete val="1"/>
              <c:extLst>
                <c:ext xmlns:c15="http://schemas.microsoft.com/office/drawing/2012/chart" uri="{CE6537A1-D6FC-4f65-9D91-7224C49458BB}"/>
                <c:ext xmlns:c16="http://schemas.microsoft.com/office/drawing/2014/chart" uri="{C3380CC4-5D6E-409C-BE32-E72D297353CC}">
                  <c16:uniqueId val="{00000005-0A5E-4360-BF5C-891E73B3DB8D}"/>
                </c:ext>
              </c:extLst>
            </c:dLbl>
            <c:dLbl>
              <c:idx val="4"/>
              <c:delete val="1"/>
              <c:extLst>
                <c:ext xmlns:c15="http://schemas.microsoft.com/office/drawing/2012/chart" uri="{CE6537A1-D6FC-4f65-9D91-7224C49458BB}"/>
                <c:ext xmlns:c16="http://schemas.microsoft.com/office/drawing/2014/chart" uri="{C3380CC4-5D6E-409C-BE32-E72D297353CC}">
                  <c16:uniqueId val="{00000006-0A5E-4360-BF5C-891E73B3DB8D}"/>
                </c:ext>
              </c:extLst>
            </c:dLbl>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Settlement!$Y$141:$Y$146</c:f>
              <c:numCache>
                <c:formatCode>0%</c:formatCode>
                <c:ptCount val="6"/>
                <c:pt idx="0">
                  <c:v>0</c:v>
                </c:pt>
                <c:pt idx="1">
                  <c:v>4.167099657071599E-2</c:v>
                </c:pt>
                <c:pt idx="2">
                  <c:v>0.17566945799208614</c:v>
                </c:pt>
                <c:pt idx="3">
                  <c:v>0</c:v>
                </c:pt>
                <c:pt idx="4" formatCode="0.0%">
                  <c:v>4.3358297201418997E-2</c:v>
                </c:pt>
                <c:pt idx="5" formatCode="0.0%">
                  <c:v>1.9498607242339832E-3</c:v>
                </c:pt>
              </c:numCache>
            </c:numRef>
          </c:val>
          <c:extLst>
            <c:ext xmlns:c16="http://schemas.microsoft.com/office/drawing/2014/chart" uri="{C3380CC4-5D6E-409C-BE32-E72D297353CC}">
              <c16:uniqueId val="{00000007-0A5E-4360-BF5C-891E73B3DB8D}"/>
            </c:ext>
          </c:extLst>
        </c:ser>
        <c:ser>
          <c:idx val="1"/>
          <c:order val="4"/>
          <c:tx>
            <c:strRef>
              <c:f>Settlement!$Z$140</c:f>
              <c:strCache>
                <c:ptCount val="1"/>
                <c:pt idx="0">
                  <c:v>Rental</c:v>
                </c:pt>
              </c:strCache>
            </c:strRef>
          </c:tx>
          <c:spPr>
            <a:solidFill>
              <a:srgbClr val="26F6F1"/>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0A5E-4360-BF5C-891E73B3DB8D}"/>
                </c:ext>
              </c:extLst>
            </c:dLbl>
            <c:dLbl>
              <c:idx val="1"/>
              <c:delete val="1"/>
              <c:extLst>
                <c:ext xmlns:c15="http://schemas.microsoft.com/office/drawing/2012/chart" uri="{CE6537A1-D6FC-4f65-9D91-7224C49458BB}"/>
                <c:ext xmlns:c16="http://schemas.microsoft.com/office/drawing/2014/chart" uri="{C3380CC4-5D6E-409C-BE32-E72D297353CC}">
                  <c16:uniqueId val="{00000009-0A5E-4360-BF5C-891E73B3DB8D}"/>
                </c:ext>
              </c:extLst>
            </c:dLbl>
            <c:dLbl>
              <c:idx val="2"/>
              <c:delete val="1"/>
              <c:extLst>
                <c:ext xmlns:c15="http://schemas.microsoft.com/office/drawing/2012/chart" uri="{CE6537A1-D6FC-4f65-9D91-7224C49458BB}"/>
                <c:ext xmlns:c16="http://schemas.microsoft.com/office/drawing/2014/chart" uri="{C3380CC4-5D6E-409C-BE32-E72D297353CC}">
                  <c16:uniqueId val="{0000000A-0A5E-4360-BF5C-891E73B3DB8D}"/>
                </c:ext>
              </c:extLst>
            </c:dLbl>
            <c:dLbl>
              <c:idx val="3"/>
              <c:delete val="1"/>
              <c:extLst>
                <c:ext xmlns:c15="http://schemas.microsoft.com/office/drawing/2012/chart" uri="{CE6537A1-D6FC-4f65-9D91-7224C49458BB}"/>
                <c:ext xmlns:c16="http://schemas.microsoft.com/office/drawing/2014/chart" uri="{C3380CC4-5D6E-409C-BE32-E72D297353CC}">
                  <c16:uniqueId val="{0000000B-0A5E-4360-BF5C-891E73B3DB8D}"/>
                </c:ext>
              </c:extLst>
            </c:dLbl>
            <c:dLbl>
              <c:idx val="4"/>
              <c:layout>
                <c:manualLayout>
                  <c:x val="-2.8673835125448029E-3"/>
                  <c:y val="5.637773079633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5E-4360-BF5C-891E73B3DB8D}"/>
                </c:ext>
              </c:extLst>
            </c:dLbl>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Settlement!$Z$141:$Z$146</c:f>
              <c:numCache>
                <c:formatCode>0%</c:formatCode>
                <c:ptCount val="6"/>
                <c:pt idx="0">
                  <c:v>0</c:v>
                </c:pt>
                <c:pt idx="1">
                  <c:v>2.0679621739582252E-2</c:v>
                </c:pt>
                <c:pt idx="2">
                  <c:v>4.6010858562620777E-4</c:v>
                </c:pt>
                <c:pt idx="3" formatCode="0.0%">
                  <c:v>0</c:v>
                </c:pt>
                <c:pt idx="4" formatCode="0.0%">
                  <c:v>3.941663381947182E-3</c:v>
                </c:pt>
                <c:pt idx="5" formatCode="0.0%">
                  <c:v>4.0111420612813371E-2</c:v>
                </c:pt>
              </c:numCache>
            </c:numRef>
          </c:val>
          <c:extLst>
            <c:ext xmlns:c16="http://schemas.microsoft.com/office/drawing/2014/chart" uri="{C3380CC4-5D6E-409C-BE32-E72D297353CC}">
              <c16:uniqueId val="{0000000D-0A5E-4360-BF5C-891E73B3DB8D}"/>
            </c:ext>
          </c:extLst>
        </c:ser>
        <c:ser>
          <c:idx val="2"/>
          <c:order val="5"/>
          <c:tx>
            <c:strRef>
              <c:f>Settlement!$AA$140</c:f>
              <c:strCache>
                <c:ptCount val="1"/>
                <c:pt idx="0">
                  <c:v>Collective</c:v>
                </c:pt>
              </c:strCache>
            </c:strRef>
          </c:tx>
          <c:spPr>
            <a:solidFill>
              <a:srgbClr val="A7FFFF"/>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0A5E-4360-BF5C-891E73B3DB8D}"/>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0A5E-4360-BF5C-891E73B3DB8D}"/>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0A5E-4360-BF5C-891E73B3DB8D}"/>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0A5E-4360-BF5C-891E73B3DB8D}"/>
                </c:ext>
              </c:extLst>
            </c:dLbl>
            <c:dLbl>
              <c:idx val="4"/>
              <c:layout>
                <c:manualLayout>
                  <c:x val="-4.3010752688172043E-3"/>
                  <c:y val="-1.9732205778717406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A5E-4360-BF5C-891E73B3DB8D}"/>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0A5E-4360-BF5C-891E73B3DB8D}"/>
                </c:ext>
              </c:extLst>
            </c:dLbl>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Settlement!$AA$141:$AA$146</c:f>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14-0A5E-4360-BF5C-891E73B3DB8D}"/>
            </c:ext>
          </c:extLst>
        </c:ser>
        <c:ser>
          <c:idx val="3"/>
          <c:order val="6"/>
          <c:tx>
            <c:strRef>
              <c:f>Settlement!$AB$140</c:f>
              <c:strCache>
                <c:ptCount val="1"/>
                <c:pt idx="0">
                  <c:v>Open air</c:v>
                </c:pt>
              </c:strCache>
            </c:strRef>
          </c:tx>
          <c:spPr>
            <a:solidFill>
              <a:srgbClr val="D1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Settlement!$AB$141:$AB$146</c:f>
              <c:numCache>
                <c:formatCode>0%</c:formatCode>
                <c:ptCount val="6"/>
                <c:pt idx="0">
                  <c:v>0</c:v>
                </c:pt>
                <c:pt idx="1">
                  <c:v>5.19588485919152E-4</c:v>
                </c:pt>
                <c:pt idx="2">
                  <c:v>4.444648937149167E-2</c:v>
                </c:pt>
                <c:pt idx="3">
                  <c:v>0</c:v>
                </c:pt>
                <c:pt idx="4">
                  <c:v>0</c:v>
                </c:pt>
                <c:pt idx="5">
                  <c:v>0</c:v>
                </c:pt>
              </c:numCache>
            </c:numRef>
          </c:val>
          <c:extLst xmlns:c15="http://schemas.microsoft.com/office/drawing/2012/chart">
            <c:ext xmlns:c16="http://schemas.microsoft.com/office/drawing/2014/chart" uri="{C3380CC4-5D6E-409C-BE32-E72D297353CC}">
              <c16:uniqueId val="{00000015-0A5E-4360-BF5C-891E73B3DB8D}"/>
            </c:ext>
          </c:extLst>
        </c:ser>
        <c:ser>
          <c:idx val="7"/>
          <c:order val="7"/>
          <c:tx>
            <c:strRef>
              <c:f>Settlement!$AF$140</c:f>
              <c:strCache>
                <c:ptCount val="1"/>
                <c:pt idx="0">
                  <c:v>Initial Habitat</c:v>
                </c:pt>
              </c:strCache>
            </c:strRef>
          </c:tx>
          <c:spPr>
            <a:solidFill>
              <a:srgbClr val="E1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Settlement!$AF$141:$AF$146</c:f>
              <c:numCache>
                <c:formatCode>0%</c:formatCode>
                <c:ptCount val="6"/>
                <c:pt idx="0">
                  <c:v>1</c:v>
                </c:pt>
                <c:pt idx="1">
                  <c:v>0.66174789566663206</c:v>
                </c:pt>
                <c:pt idx="2">
                  <c:v>0.46204104168583787</c:v>
                </c:pt>
                <c:pt idx="3">
                  <c:v>0.23529411764705882</c:v>
                </c:pt>
                <c:pt idx="4">
                  <c:v>0.52562081198265664</c:v>
                </c:pt>
                <c:pt idx="5">
                  <c:v>0.54623955431754878</c:v>
                </c:pt>
              </c:numCache>
            </c:numRef>
          </c:val>
          <c:extLst>
            <c:ext xmlns:c16="http://schemas.microsoft.com/office/drawing/2014/chart" uri="{C3380CC4-5D6E-409C-BE32-E72D297353CC}">
              <c16:uniqueId val="{00000001-3D88-4BCB-91CF-38C8E565C614}"/>
            </c:ext>
          </c:extLst>
        </c:ser>
        <c:dLbls>
          <c:dLblPos val="ctr"/>
          <c:showLegendKey val="0"/>
          <c:showVal val="1"/>
          <c:showCatName val="0"/>
          <c:showSerName val="0"/>
          <c:showPercent val="0"/>
          <c:showBubbleSize val="0"/>
        </c:dLbls>
        <c:gapWidth val="150"/>
        <c:overlap val="100"/>
        <c:axId val="92448640"/>
        <c:axId val="92450176"/>
        <c:extLst/>
      </c:barChart>
      <c:catAx>
        <c:axId val="92448640"/>
        <c:scaling>
          <c:orientation val="minMax"/>
        </c:scaling>
        <c:delete val="0"/>
        <c:axPos val="b"/>
        <c:numFmt formatCode="General" sourceLinked="0"/>
        <c:majorTickMark val="out"/>
        <c:minorTickMark val="none"/>
        <c:tickLblPos val="nextTo"/>
        <c:crossAx val="92450176"/>
        <c:crosses val="autoZero"/>
        <c:auto val="1"/>
        <c:lblAlgn val="ctr"/>
        <c:lblOffset val="100"/>
        <c:noMultiLvlLbl val="0"/>
      </c:catAx>
      <c:valAx>
        <c:axId val="92450176"/>
        <c:scaling>
          <c:orientation val="minMax"/>
        </c:scaling>
        <c:delete val="1"/>
        <c:axPos val="l"/>
        <c:numFmt formatCode="0%" sourceLinked="1"/>
        <c:majorTickMark val="out"/>
        <c:minorTickMark val="none"/>
        <c:tickLblPos val="nextTo"/>
        <c:crossAx val="92448640"/>
        <c:crosses val="autoZero"/>
        <c:crossBetween val="between"/>
      </c:valAx>
    </c:plotArea>
    <c:legend>
      <c:legendPos val="t"/>
      <c:layout>
        <c:manualLayout>
          <c:xMode val="edge"/>
          <c:yMode val="edge"/>
          <c:x val="7.4162655216513607E-2"/>
          <c:y val="5.8355276226193201E-2"/>
          <c:w val="0.89999995311690539"/>
          <c:h val="5.08712459271969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0" i="0" baseline="0">
                <a:solidFill>
                  <a:srgbClr val="0033A0"/>
                </a:solidFill>
                <a:effectLst/>
              </a:rPr>
              <a:t>Graphique 9:  Types </a:t>
            </a:r>
            <a:r>
              <a:rPr lang="en-US" sz="1100" b="0" i="0" u="none" strike="noStrike" kern="1200" spc="0" baseline="0">
                <a:solidFill>
                  <a:srgbClr val="0033A0"/>
                </a:solidFill>
                <a:effectLst/>
                <a:latin typeface="+mn-lt"/>
                <a:ea typeface="+mn-ea"/>
                <a:cs typeface="+mn-cs"/>
              </a:rPr>
              <a:t>d'hébergement</a:t>
            </a:r>
            <a:r>
              <a:rPr lang="en-US" sz="1100" b="0" i="0" baseline="0">
                <a:solidFill>
                  <a:srgbClr val="0033A0"/>
                </a:solidFill>
                <a:effectLst/>
              </a:rPr>
              <a:t> des populations déplacées </a:t>
            </a:r>
            <a:endParaRPr lang="fr-FR" sz="1100">
              <a:solidFill>
                <a:srgbClr val="0033A0"/>
              </a:solidFill>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3.4127456437883175E-2"/>
          <c:y val="0.14021182980035979"/>
          <c:w val="0.69964717047005553"/>
          <c:h val="0.81365206108196275"/>
        </c:manualLayout>
      </c:layout>
      <c:barChart>
        <c:barDir val="col"/>
        <c:grouping val="clustered"/>
        <c:varyColors val="0"/>
        <c:ser>
          <c:idx val="4"/>
          <c:order val="0"/>
          <c:tx>
            <c:strRef>
              <c:f>Settlement!$L$8</c:f>
              <c:strCache>
                <c:ptCount val="1"/>
                <c:pt idx="0">
                  <c:v>Familles d'accueil (à titre gratuit)</c:v>
                </c:pt>
              </c:strCache>
            </c:strRef>
          </c:tx>
          <c:spPr>
            <a:solidFill>
              <a:schemeClr val="accent5"/>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Settlement!$L$16</c:f>
              <c:numCache>
                <c:formatCode>0%</c:formatCode>
                <c:ptCount val="1"/>
                <c:pt idx="0">
                  <c:v>0.36208940903865822</c:v>
                </c:pt>
              </c:numCache>
            </c:numRef>
          </c:val>
          <c:extLst>
            <c:ext xmlns:c16="http://schemas.microsoft.com/office/drawing/2014/chart" uri="{C3380CC4-5D6E-409C-BE32-E72D297353CC}">
              <c16:uniqueId val="{00000002-B641-412F-8780-4E5FB5A139C0}"/>
            </c:ext>
          </c:extLst>
        </c:ser>
        <c:ser>
          <c:idx val="0"/>
          <c:order val="1"/>
          <c:tx>
            <c:strRef>
              <c:f>Settlement!$H$8</c:f>
              <c:strCache>
                <c:ptCount val="1"/>
                <c:pt idx="0">
                  <c:v>Abri spontané</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Settlement!$H$16</c:f>
              <c:numCache>
                <c:formatCode>0%</c:formatCode>
                <c:ptCount val="1"/>
                <c:pt idx="0">
                  <c:v>0.23279115866076519</c:v>
                </c:pt>
              </c:numCache>
            </c:numRef>
          </c:val>
          <c:extLst>
            <c:ext xmlns:c16="http://schemas.microsoft.com/office/drawing/2014/chart" uri="{C3380CC4-5D6E-409C-BE32-E72D297353CC}">
              <c16:uniqueId val="{00000003-B641-412F-8780-4E5FB5A139C0}"/>
            </c:ext>
          </c:extLst>
        </c:ser>
        <c:ser>
          <c:idx val="6"/>
          <c:order val="2"/>
          <c:tx>
            <c:strRef>
              <c:f>Settlement!$N$8</c:f>
              <c:strCache>
                <c:ptCount val="1"/>
                <c:pt idx="0">
                  <c:v>Habitat initial</c:v>
                </c:pt>
              </c:strCache>
            </c:strRef>
          </c:tx>
          <c:spPr>
            <a:solidFill>
              <a:schemeClr val="accent1">
                <a:lumMod val="60000"/>
              </a:schemeClr>
            </a:solidFill>
            <a:ln>
              <a:noFill/>
            </a:ln>
            <a:effectLst/>
          </c:spPr>
          <c:invertIfNegative val="0"/>
          <c:dPt>
            <c:idx val="0"/>
            <c:invertIfNegative val="0"/>
            <c:bubble3D val="0"/>
            <c:spPr>
              <a:solidFill>
                <a:schemeClr val="accent1">
                  <a:lumMod val="60000"/>
                </a:schemeClr>
              </a:solidFill>
              <a:ln>
                <a:noFill/>
              </a:ln>
              <a:effectLst/>
            </c:spPr>
            <c:extLst>
              <c:ext xmlns:c16="http://schemas.microsoft.com/office/drawing/2014/chart" uri="{C3380CC4-5D6E-409C-BE32-E72D297353CC}">
                <c16:uniqueId val="{00000009-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Settlement!$N$16</c:f>
              <c:numCache>
                <c:formatCode>0%</c:formatCode>
                <c:ptCount val="1"/>
                <c:pt idx="0">
                  <c:v>0.14545487459382156</c:v>
                </c:pt>
              </c:numCache>
            </c:numRef>
          </c:val>
          <c:extLst>
            <c:ext xmlns:c16="http://schemas.microsoft.com/office/drawing/2014/chart" uri="{C3380CC4-5D6E-409C-BE32-E72D297353CC}">
              <c16:uniqueId val="{0000000A-B641-412F-8780-4E5FB5A139C0}"/>
            </c:ext>
          </c:extLst>
        </c:ser>
        <c:ser>
          <c:idx val="7"/>
          <c:order val="3"/>
          <c:tx>
            <c:strRef>
              <c:f>Settlement!$O$8</c:f>
              <c:strCache>
                <c:ptCount val="1"/>
                <c:pt idx="0">
                  <c:v>Domicile Personnel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Settlement!$O$16</c:f>
              <c:numCache>
                <c:formatCode>0%</c:formatCode>
                <c:ptCount val="1"/>
                <c:pt idx="0">
                  <c:v>0.12150505516785692</c:v>
                </c:pt>
              </c:numCache>
            </c:numRef>
          </c:val>
          <c:extLst>
            <c:ext xmlns:c16="http://schemas.microsoft.com/office/drawing/2014/chart" uri="{C3380CC4-5D6E-409C-BE32-E72D297353CC}">
              <c16:uniqueId val="{0000000A-A32F-41C5-A743-FE94A019E481}"/>
            </c:ext>
          </c:extLst>
        </c:ser>
        <c:ser>
          <c:idx val="1"/>
          <c:order val="4"/>
          <c:tx>
            <c:strRef>
              <c:f>Settlement!$I$8</c:f>
              <c:strCache>
                <c:ptCount val="1"/>
                <c:pt idx="0">
                  <c:v>Location</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6-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Settlement!$I$16</c:f>
              <c:numCache>
                <c:formatCode>0%</c:formatCode>
                <c:ptCount val="1"/>
                <c:pt idx="0">
                  <c:v>9.3283007938016485E-2</c:v>
                </c:pt>
              </c:numCache>
            </c:numRef>
          </c:val>
          <c:extLst>
            <c:ext xmlns:c16="http://schemas.microsoft.com/office/drawing/2014/chart" uri="{C3380CC4-5D6E-409C-BE32-E72D297353CC}">
              <c16:uniqueId val="{00000007-B641-412F-8780-4E5FB5A139C0}"/>
            </c:ext>
          </c:extLst>
        </c:ser>
        <c:ser>
          <c:idx val="5"/>
          <c:order val="5"/>
          <c:tx>
            <c:strRef>
              <c:f>Settlement!$M$8</c:f>
              <c:strCache>
                <c:ptCount val="1"/>
                <c:pt idx="0">
                  <c:v>Familles d'accueil (contre travaux domestiques ou des champs)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Settlement!$M$16</c:f>
              <c:numCache>
                <c:formatCode>0%</c:formatCode>
                <c:ptCount val="1"/>
                <c:pt idx="0">
                  <c:v>2.6013522687158879E-2</c:v>
                </c:pt>
              </c:numCache>
            </c:numRef>
          </c:val>
          <c:extLst>
            <c:ext xmlns:c16="http://schemas.microsoft.com/office/drawing/2014/chart" uri="{C3380CC4-5D6E-409C-BE32-E72D297353CC}">
              <c16:uniqueId val="{00000004-B641-412F-8780-4E5FB5A139C0}"/>
            </c:ext>
          </c:extLst>
        </c:ser>
        <c:ser>
          <c:idx val="2"/>
          <c:order val="6"/>
          <c:tx>
            <c:strRef>
              <c:f>Settlement!$J$8</c:f>
              <c:strCache>
                <c:ptCount val="1"/>
                <c:pt idx="0">
                  <c:v>Collectif </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C-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Settlement!$J$16</c:f>
              <c:numCache>
                <c:formatCode>0%</c:formatCode>
                <c:ptCount val="1"/>
                <c:pt idx="0">
                  <c:v>1.3586046469528698E-2</c:v>
                </c:pt>
              </c:numCache>
            </c:numRef>
          </c:val>
          <c:extLst>
            <c:ext xmlns:c16="http://schemas.microsoft.com/office/drawing/2014/chart" uri="{C3380CC4-5D6E-409C-BE32-E72D297353CC}">
              <c16:uniqueId val="{0000000D-B641-412F-8780-4E5FB5A139C0}"/>
            </c:ext>
          </c:extLst>
        </c:ser>
        <c:ser>
          <c:idx val="3"/>
          <c:order val="7"/>
          <c:tx>
            <c:strRef>
              <c:f>Settlement!$K$8</c:f>
              <c:strCache>
                <c:ptCount val="1"/>
                <c:pt idx="0">
                  <c:v>Plein-air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Settlement!$K$16</c:f>
              <c:numCache>
                <c:formatCode>0%</c:formatCode>
                <c:ptCount val="1"/>
                <c:pt idx="0">
                  <c:v>5.2769254441940245E-3</c:v>
                </c:pt>
              </c:numCache>
            </c:numRef>
          </c:val>
          <c:extLst xmlns:c15="http://schemas.microsoft.com/office/drawing/2012/chart">
            <c:ext xmlns:c16="http://schemas.microsoft.com/office/drawing/2014/chart" uri="{C3380CC4-5D6E-409C-BE32-E72D297353CC}">
              <c16:uniqueId val="{0000000F-B641-412F-8780-4E5FB5A139C0}"/>
            </c:ext>
          </c:extLst>
        </c:ser>
        <c:dLbls>
          <c:dLblPos val="outEnd"/>
          <c:showLegendKey val="0"/>
          <c:showVal val="1"/>
          <c:showCatName val="0"/>
          <c:showSerName val="0"/>
          <c:showPercent val="0"/>
          <c:showBubbleSize val="0"/>
        </c:dLbls>
        <c:gapWidth val="219"/>
        <c:overlap val="-27"/>
        <c:axId val="1073874336"/>
        <c:axId val="1073865808"/>
        <c:extLst/>
      </c:barChart>
      <c:catAx>
        <c:axId val="1073874336"/>
        <c:scaling>
          <c:orientation val="minMax"/>
        </c:scaling>
        <c:delete val="1"/>
        <c:axPos val="b"/>
        <c:numFmt formatCode="General" sourceLinked="1"/>
        <c:majorTickMark val="none"/>
        <c:minorTickMark val="none"/>
        <c:tickLblPos val="nextTo"/>
        <c:crossAx val="1073865808"/>
        <c:crosses val="autoZero"/>
        <c:auto val="1"/>
        <c:lblAlgn val="ctr"/>
        <c:lblOffset val="100"/>
        <c:noMultiLvlLbl val="0"/>
      </c:catAx>
      <c:valAx>
        <c:axId val="1073865808"/>
        <c:scaling>
          <c:orientation val="minMax"/>
        </c:scaling>
        <c:delete val="1"/>
        <c:axPos val="l"/>
        <c:numFmt formatCode="0%" sourceLinked="1"/>
        <c:majorTickMark val="none"/>
        <c:minorTickMark val="none"/>
        <c:tickLblPos val="nextTo"/>
        <c:crossAx val="1073874336"/>
        <c:crosses val="autoZero"/>
        <c:crossBetween val="between"/>
      </c:valAx>
      <c:spPr>
        <a:noFill/>
        <a:ln>
          <a:noFill/>
        </a:ln>
        <a:effectLst/>
      </c:spPr>
    </c:plotArea>
    <c:legend>
      <c:legendPos val="r"/>
      <c:layout>
        <c:manualLayout>
          <c:xMode val="edge"/>
          <c:yMode val="edge"/>
          <c:x val="0.67408839519699371"/>
          <c:y val="0.15216599943851702"/>
          <c:w val="0.32591160615459147"/>
          <c:h val="0.516572784916563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rgbClr val="595959"/>
                </a:solidFill>
                <a:latin typeface="+mn-lt"/>
                <a:ea typeface="+mn-ea"/>
                <a:cs typeface="+mn-cs"/>
              </a:defRPr>
            </a:pPr>
            <a:r>
              <a:rPr lang="en-US" sz="1100" b="0" i="0" baseline="0">
                <a:solidFill>
                  <a:srgbClr val="0010A6"/>
                </a:solidFill>
                <a:effectLst/>
              </a:rPr>
              <a:t>Graph 4:  Shelter types</a:t>
            </a:r>
            <a:endParaRPr lang="fr-FR" sz="1100">
              <a:solidFill>
                <a:srgbClr val="0010A6"/>
              </a:solidFill>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595959"/>
              </a:solidFill>
              <a:latin typeface="+mn-lt"/>
              <a:ea typeface="+mn-ea"/>
              <a:cs typeface="+mn-cs"/>
            </a:defRPr>
          </a:pPr>
          <a:endParaRPr lang="en-CH"/>
        </a:p>
      </c:txPr>
    </c:title>
    <c:autoTitleDeleted val="0"/>
    <c:plotArea>
      <c:layout/>
      <c:barChart>
        <c:barDir val="col"/>
        <c:grouping val="clustered"/>
        <c:varyColors val="0"/>
        <c:ser>
          <c:idx val="4"/>
          <c:order val="0"/>
          <c:tx>
            <c:strRef>
              <c:f>Settlement!$AC$8</c:f>
              <c:strCache>
                <c:ptCount val="1"/>
                <c:pt idx="0">
                  <c:v>Host Families (free of charge)</c:v>
                </c:pt>
              </c:strCache>
            </c:strRef>
          </c:tx>
          <c:spPr>
            <a:solidFill>
              <a:srgbClr val="FCD5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Settlement!$L$16</c:f>
              <c:numCache>
                <c:formatCode>0%</c:formatCode>
                <c:ptCount val="1"/>
                <c:pt idx="0">
                  <c:v>0.36208940903865822</c:v>
                </c:pt>
              </c:numCache>
            </c:numRef>
          </c:val>
          <c:extLst>
            <c:ext xmlns:c16="http://schemas.microsoft.com/office/drawing/2014/chart" uri="{C3380CC4-5D6E-409C-BE32-E72D297353CC}">
              <c16:uniqueId val="{00000000-C1DE-4580-8FB3-27EA5696FA65}"/>
            </c:ext>
          </c:extLst>
        </c:ser>
        <c:ser>
          <c:idx val="0"/>
          <c:order val="1"/>
          <c:tx>
            <c:strRef>
              <c:f>Settlement!$Y$8</c:f>
              <c:strCache>
                <c:ptCount val="1"/>
                <c:pt idx="0">
                  <c:v>Spontaneous shelter</c:v>
                </c:pt>
              </c:strCache>
            </c:strRef>
          </c:tx>
          <c:spPr>
            <a:solidFill>
              <a:srgbClr val="0AA69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Settlement!$H$16</c:f>
              <c:numCache>
                <c:formatCode>0%</c:formatCode>
                <c:ptCount val="1"/>
                <c:pt idx="0">
                  <c:v>0.23279115866076519</c:v>
                </c:pt>
              </c:numCache>
            </c:numRef>
          </c:val>
          <c:extLst>
            <c:ext xmlns:c16="http://schemas.microsoft.com/office/drawing/2014/chart" uri="{C3380CC4-5D6E-409C-BE32-E72D297353CC}">
              <c16:uniqueId val="{00000001-C1DE-4580-8FB3-27EA5696FA65}"/>
            </c:ext>
          </c:extLst>
        </c:ser>
        <c:ser>
          <c:idx val="6"/>
          <c:order val="2"/>
          <c:tx>
            <c:strRef>
              <c:f>Settlement!$AE$8</c:f>
              <c:strCache>
                <c:ptCount val="1"/>
                <c:pt idx="0">
                  <c:v>Initial Habitat</c:v>
                </c:pt>
              </c:strCache>
            </c:strRef>
          </c:tx>
          <c:spPr>
            <a:solidFill>
              <a:srgbClr val="C02A9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Settlement!$N$16</c:f>
              <c:numCache>
                <c:formatCode>0%</c:formatCode>
                <c:ptCount val="1"/>
                <c:pt idx="0">
                  <c:v>0.14545487459382156</c:v>
                </c:pt>
              </c:numCache>
            </c:numRef>
          </c:val>
          <c:extLst>
            <c:ext xmlns:c16="http://schemas.microsoft.com/office/drawing/2014/chart" uri="{C3380CC4-5D6E-409C-BE32-E72D297353CC}">
              <c16:uniqueId val="{00000004-C1DE-4580-8FB3-27EA5696FA65}"/>
            </c:ext>
          </c:extLst>
        </c:ser>
        <c:ser>
          <c:idx val="7"/>
          <c:order val="3"/>
          <c:tx>
            <c:strRef>
              <c:f>Settlement!$AF$8</c:f>
              <c:strCache>
                <c:ptCount val="1"/>
                <c:pt idx="0">
                  <c:v>Personal home</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Settlement!$AF$16</c:f>
              <c:numCache>
                <c:formatCode>0%</c:formatCode>
                <c:ptCount val="1"/>
                <c:pt idx="0">
                  <c:v>0.12150505516785692</c:v>
                </c:pt>
              </c:numCache>
            </c:numRef>
          </c:val>
          <c:extLst>
            <c:ext xmlns:c16="http://schemas.microsoft.com/office/drawing/2014/chart" uri="{C3380CC4-5D6E-409C-BE32-E72D297353CC}">
              <c16:uniqueId val="{00000001-37F9-4D55-ABFC-600A7FF7D4CA}"/>
            </c:ext>
          </c:extLst>
        </c:ser>
        <c:ser>
          <c:idx val="1"/>
          <c:order val="4"/>
          <c:tx>
            <c:strRef>
              <c:f>Settlement!$Z$8</c:f>
              <c:strCache>
                <c:ptCount val="1"/>
                <c:pt idx="0">
                  <c:v>Rental</c:v>
                </c:pt>
              </c:strCache>
            </c:strRef>
          </c:tx>
          <c:spPr>
            <a:solidFill>
              <a:srgbClr val="00004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Settlement!$I$16</c:f>
              <c:numCache>
                <c:formatCode>0%</c:formatCode>
                <c:ptCount val="1"/>
                <c:pt idx="0">
                  <c:v>9.3283007938016485E-2</c:v>
                </c:pt>
              </c:numCache>
            </c:numRef>
          </c:val>
          <c:extLst>
            <c:ext xmlns:c16="http://schemas.microsoft.com/office/drawing/2014/chart" uri="{C3380CC4-5D6E-409C-BE32-E72D297353CC}">
              <c16:uniqueId val="{00000003-C1DE-4580-8FB3-27EA5696FA65}"/>
            </c:ext>
          </c:extLst>
        </c:ser>
        <c:ser>
          <c:idx val="5"/>
          <c:order val="5"/>
          <c:tx>
            <c:strRef>
              <c:f>Settlement!$AD$8</c:f>
              <c:strCache>
                <c:ptCount val="1"/>
                <c:pt idx="0">
                  <c:v>Host Families (against domestic or field work) </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Settlement!$M$16</c:f>
              <c:numCache>
                <c:formatCode>0%</c:formatCode>
                <c:ptCount val="1"/>
                <c:pt idx="0">
                  <c:v>2.6013522687158879E-2</c:v>
                </c:pt>
              </c:numCache>
            </c:numRef>
          </c:val>
          <c:extLst>
            <c:ext xmlns:c16="http://schemas.microsoft.com/office/drawing/2014/chart" uri="{C3380CC4-5D6E-409C-BE32-E72D297353CC}">
              <c16:uniqueId val="{00000002-C1DE-4580-8FB3-27EA5696FA65}"/>
            </c:ext>
          </c:extLst>
        </c:ser>
        <c:ser>
          <c:idx val="2"/>
          <c:order val="6"/>
          <c:tx>
            <c:strRef>
              <c:f>Settlement!$AA$8</c:f>
              <c:strCache>
                <c:ptCount val="1"/>
                <c:pt idx="0">
                  <c:v>Collective</c:v>
                </c:pt>
              </c:strCache>
            </c:strRef>
          </c:tx>
          <c:spPr>
            <a:solidFill>
              <a:srgbClr val="E46C0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Settlement!$J$16</c:f>
              <c:numCache>
                <c:formatCode>0%</c:formatCode>
                <c:ptCount val="1"/>
                <c:pt idx="0">
                  <c:v>1.3586046469528698E-2</c:v>
                </c:pt>
              </c:numCache>
            </c:numRef>
          </c:val>
          <c:extLst>
            <c:ext xmlns:c16="http://schemas.microsoft.com/office/drawing/2014/chart" uri="{C3380CC4-5D6E-409C-BE32-E72D297353CC}">
              <c16:uniqueId val="{00000005-C1DE-4580-8FB3-27EA5696FA65}"/>
            </c:ext>
          </c:extLst>
        </c:ser>
        <c:ser>
          <c:idx val="3"/>
          <c:order val="7"/>
          <c:tx>
            <c:strRef>
              <c:f>Settlement!$K$8</c:f>
              <c:strCache>
                <c:ptCount val="1"/>
                <c:pt idx="0">
                  <c:v>Plein-air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Settlement!$K$16</c:f>
              <c:numCache>
                <c:formatCode>0%</c:formatCode>
                <c:ptCount val="1"/>
                <c:pt idx="0">
                  <c:v>5.2769254441940245E-3</c:v>
                </c:pt>
              </c:numCache>
            </c:numRef>
          </c:val>
          <c:extLst xmlns:c15="http://schemas.microsoft.com/office/drawing/2012/chart">
            <c:ext xmlns:c16="http://schemas.microsoft.com/office/drawing/2014/chart" uri="{C3380CC4-5D6E-409C-BE32-E72D297353CC}">
              <c16:uniqueId val="{00000007-C1DE-4580-8FB3-27EA5696FA65}"/>
            </c:ext>
          </c:extLst>
        </c:ser>
        <c:dLbls>
          <c:dLblPos val="outEnd"/>
          <c:showLegendKey val="0"/>
          <c:showVal val="1"/>
          <c:showCatName val="0"/>
          <c:showSerName val="0"/>
          <c:showPercent val="0"/>
          <c:showBubbleSize val="0"/>
        </c:dLbls>
        <c:gapWidth val="219"/>
        <c:overlap val="-27"/>
        <c:axId val="1073874336"/>
        <c:axId val="1073865808"/>
        <c:extLst/>
      </c:barChart>
      <c:catAx>
        <c:axId val="1073874336"/>
        <c:scaling>
          <c:orientation val="minMax"/>
        </c:scaling>
        <c:delete val="1"/>
        <c:axPos val="b"/>
        <c:numFmt formatCode="General" sourceLinked="1"/>
        <c:majorTickMark val="none"/>
        <c:minorTickMark val="none"/>
        <c:tickLblPos val="nextTo"/>
        <c:crossAx val="1073865808"/>
        <c:crosses val="autoZero"/>
        <c:auto val="1"/>
        <c:lblAlgn val="ctr"/>
        <c:lblOffset val="100"/>
        <c:noMultiLvlLbl val="0"/>
      </c:catAx>
      <c:valAx>
        <c:axId val="1073865808"/>
        <c:scaling>
          <c:orientation val="minMax"/>
        </c:scaling>
        <c:delete val="1"/>
        <c:axPos val="l"/>
        <c:numFmt formatCode="0%" sourceLinked="1"/>
        <c:majorTickMark val="none"/>
        <c:minorTickMark val="none"/>
        <c:tickLblPos val="nextTo"/>
        <c:crossAx val="1073874336"/>
        <c:crosses val="autoZero"/>
        <c:crossBetween val="between"/>
      </c:valAx>
      <c:spPr>
        <a:noFill/>
        <a:ln>
          <a:noFill/>
        </a:ln>
        <a:effectLst/>
      </c:spPr>
    </c:plotArea>
    <c:legend>
      <c:legendPos val="r"/>
      <c:layout>
        <c:manualLayout>
          <c:xMode val="edge"/>
          <c:yMode val="edge"/>
          <c:x val="0.66816047687232538"/>
          <c:y val="0.29842881225158907"/>
          <c:w val="0.33183945014490002"/>
          <c:h val="0.701571320449953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Raisons du déplacement</a:t>
            </a:r>
          </a:p>
        </c:rich>
      </c:tx>
      <c:overlay val="0"/>
    </c:title>
    <c:autoTitleDeleted val="0"/>
    <c:plotArea>
      <c:layout/>
      <c:barChart>
        <c:barDir val="col"/>
        <c:grouping val="percentStacked"/>
        <c:varyColors val="0"/>
        <c:ser>
          <c:idx val="0"/>
          <c:order val="0"/>
          <c:tx>
            <c:strRef>
              <c:f>'Displacement Reasons'!$E$18</c:f>
              <c:strCache>
                <c:ptCount val="1"/>
                <c:pt idx="0">
                  <c:v>Conflits liés à GANE (BH)</c:v>
                </c:pt>
              </c:strCache>
            </c:strRef>
          </c:tx>
          <c:spPr>
            <a:solidFill>
              <a:srgbClr val="023F94"/>
            </a:solidFill>
          </c:spPr>
          <c:invertIfNegative val="0"/>
          <c:dLbls>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Reasons'!$E$19:$E$24</c:f>
              <c:numCache>
                <c:formatCode>0%</c:formatCode>
                <c:ptCount val="6"/>
                <c:pt idx="0">
                  <c:v>0.51642239759488917</c:v>
                </c:pt>
                <c:pt idx="1">
                  <c:v>0.74086304731831609</c:v>
                </c:pt>
                <c:pt idx="2">
                  <c:v>1.5827298408988433E-3</c:v>
                </c:pt>
                <c:pt idx="3">
                  <c:v>0.62992536018052425</c:v>
                </c:pt>
                <c:pt idx="4">
                  <c:v>0.99972207453236017</c:v>
                </c:pt>
                <c:pt idx="5">
                  <c:v>0.99088881615503477</c:v>
                </c:pt>
              </c:numCache>
            </c:numRef>
          </c:val>
          <c:extLst>
            <c:ext xmlns:c16="http://schemas.microsoft.com/office/drawing/2014/chart" uri="{C3380CC4-5D6E-409C-BE32-E72D297353CC}">
              <c16:uniqueId val="{00000000-0729-4E9E-98E7-CB3419E9A21F}"/>
            </c:ext>
          </c:extLst>
        </c:ser>
        <c:ser>
          <c:idx val="1"/>
          <c:order val="1"/>
          <c:tx>
            <c:strRef>
              <c:f>'Displacement Reasons'!$F$18</c:f>
              <c:strCache>
                <c:ptCount val="1"/>
                <c:pt idx="0">
                  <c:v>Inondations saisonnières ou fortes pluies</c:v>
                </c:pt>
              </c:strCache>
            </c:strRef>
          </c:tx>
          <c:spPr>
            <a:solidFill>
              <a:srgbClr val="FF74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0729-4E9E-98E7-CB3419E9A21F}"/>
                </c:ext>
              </c:extLst>
            </c:dLbl>
            <c:dLbl>
              <c:idx val="3"/>
              <c:delete val="1"/>
              <c:extLst>
                <c:ext xmlns:c15="http://schemas.microsoft.com/office/drawing/2012/chart" uri="{CE6537A1-D6FC-4f65-9D91-7224C49458BB}"/>
                <c:ext xmlns:c16="http://schemas.microsoft.com/office/drawing/2014/chart" uri="{C3380CC4-5D6E-409C-BE32-E72D297353CC}">
                  <c16:uniqueId val="{00000002-0729-4E9E-98E7-CB3419E9A21F}"/>
                </c:ext>
              </c:extLst>
            </c:dLbl>
            <c:dLbl>
              <c:idx val="4"/>
              <c:delete val="1"/>
              <c:extLst>
                <c:ext xmlns:c15="http://schemas.microsoft.com/office/drawing/2012/chart" uri="{CE6537A1-D6FC-4f65-9D91-7224C49458BB}"/>
                <c:ext xmlns:c16="http://schemas.microsoft.com/office/drawing/2014/chart" uri="{C3380CC4-5D6E-409C-BE32-E72D297353CC}">
                  <c16:uniqueId val="{00000003-0729-4E9E-98E7-CB3419E9A21F}"/>
                </c:ext>
              </c:extLst>
            </c:dLbl>
            <c:dLbl>
              <c:idx val="5"/>
              <c:delete val="1"/>
              <c:extLst>
                <c:ext xmlns:c15="http://schemas.microsoft.com/office/drawing/2012/chart" uri="{CE6537A1-D6FC-4f65-9D91-7224C49458BB}"/>
                <c:ext xmlns:c16="http://schemas.microsoft.com/office/drawing/2014/chart" uri="{C3380CC4-5D6E-409C-BE32-E72D297353CC}">
                  <c16:uniqueId val="{00000004-0729-4E9E-98E7-CB3419E9A21F}"/>
                </c:ext>
              </c:extLst>
            </c:dLbl>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Reasons'!$F$19:$F$24</c:f>
              <c:numCache>
                <c:formatCode>0%</c:formatCode>
                <c:ptCount val="6"/>
                <c:pt idx="0">
                  <c:v>1.0522360015031942E-2</c:v>
                </c:pt>
                <c:pt idx="1">
                  <c:v>9.4695252536305508E-2</c:v>
                </c:pt>
                <c:pt idx="2">
                  <c:v>0.94986795248129707</c:v>
                </c:pt>
                <c:pt idx="3">
                  <c:v>6.908522825898282E-2</c:v>
                </c:pt>
                <c:pt idx="4">
                  <c:v>0</c:v>
                </c:pt>
                <c:pt idx="5">
                  <c:v>0</c:v>
                </c:pt>
              </c:numCache>
            </c:numRef>
          </c:val>
          <c:extLst>
            <c:ext xmlns:c16="http://schemas.microsoft.com/office/drawing/2014/chart" uri="{C3380CC4-5D6E-409C-BE32-E72D297353CC}">
              <c16:uniqueId val="{00000005-0729-4E9E-98E7-CB3419E9A21F}"/>
            </c:ext>
          </c:extLst>
        </c:ser>
        <c:ser>
          <c:idx val="2"/>
          <c:order val="2"/>
          <c:tx>
            <c:strRef>
              <c:f>'Displacement Reasons'!$G$18</c:f>
              <c:strCache>
                <c:ptCount val="1"/>
                <c:pt idx="0">
                  <c:v>Catastrophe naturelle (sécheresse, glissement de terrain, rupture de digue)</c:v>
                </c:pt>
              </c:strCache>
            </c:strRef>
          </c:tx>
          <c:spPr>
            <a:solidFill>
              <a:srgbClr val="D2E4FC"/>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0729-4E9E-98E7-CB3419E9A21F}"/>
                </c:ext>
              </c:extLst>
            </c:dLbl>
            <c:dLbl>
              <c:idx val="2"/>
              <c:delete val="1"/>
              <c:extLst>
                <c:ext xmlns:c15="http://schemas.microsoft.com/office/drawing/2012/chart" uri="{CE6537A1-D6FC-4f65-9D91-7224C49458BB}"/>
                <c:ext xmlns:c16="http://schemas.microsoft.com/office/drawing/2014/chart" uri="{C3380CC4-5D6E-409C-BE32-E72D297353CC}">
                  <c16:uniqueId val="{00000007-0729-4E9E-98E7-CB3419E9A21F}"/>
                </c:ext>
              </c:extLst>
            </c:dLbl>
            <c:dLbl>
              <c:idx val="4"/>
              <c:delete val="1"/>
              <c:extLst>
                <c:ext xmlns:c15="http://schemas.microsoft.com/office/drawing/2012/chart" uri="{CE6537A1-D6FC-4f65-9D91-7224C49458BB}"/>
                <c:ext xmlns:c16="http://schemas.microsoft.com/office/drawing/2014/chart" uri="{C3380CC4-5D6E-409C-BE32-E72D297353CC}">
                  <c16:uniqueId val="{00000008-0729-4E9E-98E7-CB3419E9A21F}"/>
                </c:ext>
              </c:extLst>
            </c:dLbl>
            <c:dLbl>
              <c:idx val="5"/>
              <c:delete val="1"/>
              <c:extLst>
                <c:ext xmlns:c15="http://schemas.microsoft.com/office/drawing/2012/chart" uri="{CE6537A1-D6FC-4f65-9D91-7224C49458BB}"/>
                <c:ext xmlns:c16="http://schemas.microsoft.com/office/drawing/2014/chart" uri="{C3380CC4-5D6E-409C-BE32-E72D297353CC}">
                  <c16:uniqueId val="{00000009-0729-4E9E-98E7-CB3419E9A21F}"/>
                </c:ext>
              </c:extLst>
            </c:dLbl>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Reasons'!$G$19:$G$24</c:f>
              <c:numCache>
                <c:formatCode>0%</c:formatCode>
                <c:ptCount val="6"/>
                <c:pt idx="0">
                  <c:v>0</c:v>
                </c:pt>
                <c:pt idx="1">
                  <c:v>4.8146816526238451E-3</c:v>
                </c:pt>
                <c:pt idx="2">
                  <c:v>0</c:v>
                </c:pt>
                <c:pt idx="3">
                  <c:v>0</c:v>
                </c:pt>
                <c:pt idx="4">
                  <c:v>0</c:v>
                </c:pt>
                <c:pt idx="5">
                  <c:v>0</c:v>
                </c:pt>
              </c:numCache>
            </c:numRef>
          </c:val>
          <c:extLst>
            <c:ext xmlns:c16="http://schemas.microsoft.com/office/drawing/2014/chart" uri="{C3380CC4-5D6E-409C-BE32-E72D297353CC}">
              <c16:uniqueId val="{0000000A-0729-4E9E-98E7-CB3419E9A21F}"/>
            </c:ext>
          </c:extLst>
        </c:ser>
        <c:ser>
          <c:idx val="3"/>
          <c:order val="3"/>
          <c:tx>
            <c:strRef>
              <c:f>'Displacement Reasons'!$H$18</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Reasons'!$H$19:$H$24</c:f>
              <c:numCache>
                <c:formatCode>0%</c:formatCode>
                <c:ptCount val="6"/>
                <c:pt idx="0">
                  <c:v>0.47072529124389328</c:v>
                </c:pt>
                <c:pt idx="1">
                  <c:v>0.15027121664504228</c:v>
                </c:pt>
                <c:pt idx="2">
                  <c:v>4.6892972495468054E-2</c:v>
                </c:pt>
                <c:pt idx="3">
                  <c:v>0.28345773303245964</c:v>
                </c:pt>
                <c:pt idx="4">
                  <c:v>0</c:v>
                </c:pt>
                <c:pt idx="5">
                  <c:v>2.2835047230489357E-5</c:v>
                </c:pt>
              </c:numCache>
            </c:numRef>
          </c:val>
          <c:extLst>
            <c:ext xmlns:c16="http://schemas.microsoft.com/office/drawing/2014/chart" uri="{C3380CC4-5D6E-409C-BE32-E72D297353CC}">
              <c16:uniqueId val="{00000001-8A50-4ED1-88FF-359C0A5104A5}"/>
            </c:ext>
          </c:extLst>
        </c:ser>
        <c:ser>
          <c:idx val="4"/>
          <c:order val="4"/>
          <c:tx>
            <c:strRef>
              <c:f>'Displacement Reasons'!$I$18</c:f>
              <c:strCache>
                <c:ptCount val="1"/>
                <c:pt idx="0">
                  <c:v>Autre raison</c:v>
                </c:pt>
              </c:strCache>
            </c:strRef>
          </c:tx>
          <c:invertIfNegative val="0"/>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Reasons'!$I$19:$I$24</c:f>
              <c:numCache>
                <c:formatCode>0%</c:formatCode>
                <c:ptCount val="6"/>
                <c:pt idx="0">
                  <c:v>2.3299511461856446E-3</c:v>
                </c:pt>
                <c:pt idx="1">
                  <c:v>9.3558018477122445E-3</c:v>
                </c:pt>
                <c:pt idx="2">
                  <c:v>1.6563451823359988E-3</c:v>
                </c:pt>
                <c:pt idx="3">
                  <c:v>1.7531678528033327E-2</c:v>
                </c:pt>
                <c:pt idx="4">
                  <c:v>2.779254676398086E-4</c:v>
                </c:pt>
                <c:pt idx="5">
                  <c:v>9.0883487977347632E-3</c:v>
                </c:pt>
              </c:numCache>
            </c:numRef>
          </c:val>
          <c:extLst>
            <c:ext xmlns:c16="http://schemas.microsoft.com/office/drawing/2014/chart" uri="{C3380CC4-5D6E-409C-BE32-E72D297353CC}">
              <c16:uniqueId val="{00000002-8A50-4ED1-88FF-359C0A5104A5}"/>
            </c:ext>
          </c:extLst>
        </c:ser>
        <c:dLbls>
          <c:showLegendKey val="0"/>
          <c:showVal val="0"/>
          <c:showCatName val="0"/>
          <c:showSerName val="0"/>
          <c:showPercent val="0"/>
          <c:showBubbleSize val="0"/>
        </c:dLbls>
        <c:gapWidth val="150"/>
        <c:overlap val="100"/>
        <c:axId val="180637056"/>
        <c:axId val="180642944"/>
      </c:barChart>
      <c:catAx>
        <c:axId val="180637056"/>
        <c:scaling>
          <c:orientation val="minMax"/>
        </c:scaling>
        <c:delete val="0"/>
        <c:axPos val="b"/>
        <c:numFmt formatCode="General" sourceLinked="0"/>
        <c:majorTickMark val="out"/>
        <c:minorTickMark val="none"/>
        <c:tickLblPos val="nextTo"/>
        <c:crossAx val="180642944"/>
        <c:crosses val="autoZero"/>
        <c:auto val="1"/>
        <c:lblAlgn val="ctr"/>
        <c:lblOffset val="100"/>
        <c:noMultiLvlLbl val="0"/>
      </c:catAx>
      <c:valAx>
        <c:axId val="180642944"/>
        <c:scaling>
          <c:orientation val="minMax"/>
        </c:scaling>
        <c:delete val="0"/>
        <c:axPos val="l"/>
        <c:majorGridlines/>
        <c:numFmt formatCode="0%" sourceLinked="1"/>
        <c:majorTickMark val="out"/>
        <c:minorTickMark val="none"/>
        <c:tickLblPos val="nextTo"/>
        <c:crossAx val="180637056"/>
        <c:crosses val="autoZero"/>
        <c:crossBetween val="between"/>
      </c:valAx>
    </c:plotArea>
    <c:legend>
      <c:legendPos val="t"/>
      <c:layout>
        <c:manualLayout>
          <c:xMode val="edge"/>
          <c:yMode val="edge"/>
          <c:x val="5.6963277317417189E-2"/>
          <c:y val="9.1831170433755382E-2"/>
          <c:w val="0.92142302854512992"/>
          <c:h val="0.16337195775944185"/>
        </c:manualLayout>
      </c:layout>
      <c:overlay val="0"/>
      <c:txPr>
        <a:bodyPr/>
        <a:lstStyle/>
        <a:p>
          <a:pPr>
            <a:defRPr sz="11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Displacement reasons</a:t>
            </a:r>
          </a:p>
        </c:rich>
      </c:tx>
      <c:overlay val="0"/>
    </c:title>
    <c:autoTitleDeleted val="0"/>
    <c:plotArea>
      <c:layout>
        <c:manualLayout>
          <c:layoutTarget val="inner"/>
          <c:xMode val="edge"/>
          <c:yMode val="edge"/>
          <c:x val="3.487929866407935E-2"/>
          <c:y val="0.18510574809239333"/>
          <c:w val="0.95257274206275078"/>
          <c:h val="0.7404885178215832"/>
        </c:manualLayout>
      </c:layout>
      <c:barChart>
        <c:barDir val="col"/>
        <c:grouping val="percentStacked"/>
        <c:varyColors val="0"/>
        <c:ser>
          <c:idx val="0"/>
          <c:order val="0"/>
          <c:tx>
            <c:strRef>
              <c:f>'Displacement Reasons'!$O$18</c:f>
              <c:strCache>
                <c:ptCount val="1"/>
                <c:pt idx="0">
                  <c:v>Boko Haram-related conflicts </c:v>
                </c:pt>
              </c:strCache>
            </c:strRef>
          </c:tx>
          <c:spPr>
            <a:solidFill>
              <a:srgbClr val="023F94"/>
            </a:solidFill>
          </c:spPr>
          <c:invertIfNegative val="0"/>
          <c:dLbls>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Reasons'!$O$19:$O$24</c:f>
              <c:numCache>
                <c:formatCode>0%</c:formatCode>
                <c:ptCount val="6"/>
                <c:pt idx="0">
                  <c:v>0.51642239759488917</c:v>
                </c:pt>
                <c:pt idx="1">
                  <c:v>0.74086304731831609</c:v>
                </c:pt>
                <c:pt idx="2">
                  <c:v>1.5827298408988433E-3</c:v>
                </c:pt>
                <c:pt idx="3">
                  <c:v>0.62992536018052425</c:v>
                </c:pt>
                <c:pt idx="4">
                  <c:v>0.99972207453236017</c:v>
                </c:pt>
                <c:pt idx="5">
                  <c:v>0.99088881615503477</c:v>
                </c:pt>
              </c:numCache>
            </c:numRef>
          </c:val>
          <c:extLst>
            <c:ext xmlns:c16="http://schemas.microsoft.com/office/drawing/2014/chart" uri="{C3380CC4-5D6E-409C-BE32-E72D297353CC}">
              <c16:uniqueId val="{00000000-832D-43AE-B9CE-B9DD171092E4}"/>
            </c:ext>
          </c:extLst>
        </c:ser>
        <c:ser>
          <c:idx val="1"/>
          <c:order val="1"/>
          <c:tx>
            <c:strRef>
              <c:f>'Displacement Reasons'!$P$18</c:f>
              <c:strCache>
                <c:ptCount val="1"/>
                <c:pt idx="0">
                  <c:v>Seasonal flooding or heavy rains </c:v>
                </c:pt>
              </c:strCache>
            </c:strRef>
          </c:tx>
          <c:spPr>
            <a:solidFill>
              <a:srgbClr val="FF7400"/>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832D-43AE-B9CE-B9DD171092E4}"/>
                </c:ext>
              </c:extLst>
            </c:dLbl>
            <c:dLbl>
              <c:idx val="3"/>
              <c:delete val="1"/>
              <c:extLst>
                <c:ext xmlns:c15="http://schemas.microsoft.com/office/drawing/2012/chart" uri="{CE6537A1-D6FC-4f65-9D91-7224C49458BB}"/>
                <c:ext xmlns:c16="http://schemas.microsoft.com/office/drawing/2014/chart" uri="{C3380CC4-5D6E-409C-BE32-E72D297353CC}">
                  <c16:uniqueId val="{00000002-832D-43AE-B9CE-B9DD171092E4}"/>
                </c:ext>
              </c:extLst>
            </c:dLbl>
            <c:dLbl>
              <c:idx val="4"/>
              <c:delete val="1"/>
              <c:extLst>
                <c:ext xmlns:c15="http://schemas.microsoft.com/office/drawing/2012/chart" uri="{CE6537A1-D6FC-4f65-9D91-7224C49458BB}"/>
                <c:ext xmlns:c16="http://schemas.microsoft.com/office/drawing/2014/chart" uri="{C3380CC4-5D6E-409C-BE32-E72D297353CC}">
                  <c16:uniqueId val="{00000003-832D-43AE-B9CE-B9DD171092E4}"/>
                </c:ext>
              </c:extLst>
            </c:dLbl>
            <c:dLbl>
              <c:idx val="5"/>
              <c:delete val="1"/>
              <c:extLst>
                <c:ext xmlns:c15="http://schemas.microsoft.com/office/drawing/2012/chart" uri="{CE6537A1-D6FC-4f65-9D91-7224C49458BB}"/>
                <c:ext xmlns:c16="http://schemas.microsoft.com/office/drawing/2014/chart" uri="{C3380CC4-5D6E-409C-BE32-E72D297353CC}">
                  <c16:uniqueId val="{00000004-832D-43AE-B9CE-B9DD171092E4}"/>
                </c:ext>
              </c:extLst>
            </c:dLbl>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Reasons'!$P$19:$P$24</c:f>
              <c:numCache>
                <c:formatCode>0%</c:formatCode>
                <c:ptCount val="6"/>
                <c:pt idx="0">
                  <c:v>1.0522360015031942E-2</c:v>
                </c:pt>
                <c:pt idx="1">
                  <c:v>9.4695252536305508E-2</c:v>
                </c:pt>
                <c:pt idx="2">
                  <c:v>0.94986795248129707</c:v>
                </c:pt>
                <c:pt idx="3">
                  <c:v>6.908522825898282E-2</c:v>
                </c:pt>
                <c:pt idx="4">
                  <c:v>0</c:v>
                </c:pt>
                <c:pt idx="5">
                  <c:v>0</c:v>
                </c:pt>
              </c:numCache>
            </c:numRef>
          </c:val>
          <c:extLst>
            <c:ext xmlns:c16="http://schemas.microsoft.com/office/drawing/2014/chart" uri="{C3380CC4-5D6E-409C-BE32-E72D297353CC}">
              <c16:uniqueId val="{00000005-832D-43AE-B9CE-B9DD171092E4}"/>
            </c:ext>
          </c:extLst>
        </c:ser>
        <c:ser>
          <c:idx val="2"/>
          <c:order val="2"/>
          <c:tx>
            <c:strRef>
              <c:f>'Displacement Reasons'!$Q$18</c:f>
              <c:strCache>
                <c:ptCount val="1"/>
                <c:pt idx="0">
                  <c:v>Natural disaster (drought, landslide, breakwater dike) </c:v>
                </c:pt>
              </c:strCache>
            </c:strRef>
          </c:tx>
          <c:spPr>
            <a:solidFill>
              <a:srgbClr val="D2E4FC"/>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832D-43AE-B9CE-B9DD171092E4}"/>
                </c:ext>
              </c:extLst>
            </c:dLbl>
            <c:dLbl>
              <c:idx val="2"/>
              <c:delete val="1"/>
              <c:extLst>
                <c:ext xmlns:c15="http://schemas.microsoft.com/office/drawing/2012/chart" uri="{CE6537A1-D6FC-4f65-9D91-7224C49458BB}"/>
                <c:ext xmlns:c16="http://schemas.microsoft.com/office/drawing/2014/chart" uri="{C3380CC4-5D6E-409C-BE32-E72D297353CC}">
                  <c16:uniqueId val="{00000007-832D-43AE-B9CE-B9DD171092E4}"/>
                </c:ext>
              </c:extLst>
            </c:dLbl>
            <c:dLbl>
              <c:idx val="5"/>
              <c:delete val="1"/>
              <c:extLst>
                <c:ext xmlns:c15="http://schemas.microsoft.com/office/drawing/2012/chart" uri="{CE6537A1-D6FC-4f65-9D91-7224C49458BB}"/>
                <c:ext xmlns:c16="http://schemas.microsoft.com/office/drawing/2014/chart" uri="{C3380CC4-5D6E-409C-BE32-E72D297353CC}">
                  <c16:uniqueId val="{00000008-832D-43AE-B9CE-B9DD171092E4}"/>
                </c:ext>
              </c:extLst>
            </c:dLbl>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Reasons'!$Q$19:$Q$24</c:f>
              <c:numCache>
                <c:formatCode>0%</c:formatCode>
                <c:ptCount val="6"/>
                <c:pt idx="0">
                  <c:v>0</c:v>
                </c:pt>
                <c:pt idx="1">
                  <c:v>4.8146816526238451E-3</c:v>
                </c:pt>
                <c:pt idx="2">
                  <c:v>0</c:v>
                </c:pt>
                <c:pt idx="3">
                  <c:v>0</c:v>
                </c:pt>
                <c:pt idx="4">
                  <c:v>0</c:v>
                </c:pt>
                <c:pt idx="5">
                  <c:v>0</c:v>
                </c:pt>
              </c:numCache>
            </c:numRef>
          </c:val>
          <c:extLst>
            <c:ext xmlns:c16="http://schemas.microsoft.com/office/drawing/2014/chart" uri="{C3380CC4-5D6E-409C-BE32-E72D297353CC}">
              <c16:uniqueId val="{00000009-832D-43AE-B9CE-B9DD171092E4}"/>
            </c:ext>
          </c:extLst>
        </c:ser>
        <c:ser>
          <c:idx val="4"/>
          <c:order val="3"/>
          <c:tx>
            <c:strRef>
              <c:f>'Displacement Reasons'!$R$18</c:f>
              <c:strCache>
                <c:ptCount val="1"/>
                <c:pt idx="0">
                  <c:v>Inter-community conflict</c:v>
                </c:pt>
              </c:strCache>
            </c:strRef>
          </c:tx>
          <c:invertIfNegative val="0"/>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Reasons'!$R$19:$R$24</c:f>
              <c:numCache>
                <c:formatCode>0%</c:formatCode>
                <c:ptCount val="6"/>
                <c:pt idx="0">
                  <c:v>0.47072529124389328</c:v>
                </c:pt>
                <c:pt idx="1">
                  <c:v>0.15027121664504228</c:v>
                </c:pt>
                <c:pt idx="2">
                  <c:v>4.6892972495468054E-2</c:v>
                </c:pt>
                <c:pt idx="3">
                  <c:v>0.28345773303245964</c:v>
                </c:pt>
                <c:pt idx="4">
                  <c:v>0</c:v>
                </c:pt>
                <c:pt idx="5">
                  <c:v>2.2835047230489357E-5</c:v>
                </c:pt>
              </c:numCache>
            </c:numRef>
          </c:val>
          <c:extLst>
            <c:ext xmlns:c16="http://schemas.microsoft.com/office/drawing/2014/chart" uri="{C3380CC4-5D6E-409C-BE32-E72D297353CC}">
              <c16:uniqueId val="{00000002-31B1-4900-BA9F-4282949E8A86}"/>
            </c:ext>
          </c:extLst>
        </c:ser>
        <c:ser>
          <c:idx val="3"/>
          <c:order val="4"/>
          <c:tx>
            <c:strRef>
              <c:f>'Displacement Reasons'!$S$18</c:f>
              <c:strCache>
                <c:ptCount val="1"/>
                <c:pt idx="0">
                  <c:v>Other reason </c:v>
                </c:pt>
              </c:strCache>
            </c:strRef>
          </c:tx>
          <c:invertIfNegative val="0"/>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Reasons'!$S$19:$S$24</c:f>
              <c:numCache>
                <c:formatCode>0%</c:formatCode>
                <c:ptCount val="6"/>
                <c:pt idx="0">
                  <c:v>2.3299511461856446E-3</c:v>
                </c:pt>
                <c:pt idx="1">
                  <c:v>9.3558018477122445E-3</c:v>
                </c:pt>
                <c:pt idx="2">
                  <c:v>1.6563451823359988E-3</c:v>
                </c:pt>
                <c:pt idx="3">
                  <c:v>1.7531678528033327E-2</c:v>
                </c:pt>
                <c:pt idx="4">
                  <c:v>2.779254676398086E-4</c:v>
                </c:pt>
                <c:pt idx="5">
                  <c:v>9.0883487977347632E-3</c:v>
                </c:pt>
              </c:numCache>
            </c:numRef>
          </c:val>
          <c:extLst>
            <c:ext xmlns:c16="http://schemas.microsoft.com/office/drawing/2014/chart" uri="{C3380CC4-5D6E-409C-BE32-E72D297353CC}">
              <c16:uniqueId val="{00000001-6923-4654-8F6D-9DD232D6A3EE}"/>
            </c:ext>
          </c:extLst>
        </c:ser>
        <c:dLbls>
          <c:showLegendKey val="0"/>
          <c:showVal val="0"/>
          <c:showCatName val="0"/>
          <c:showSerName val="0"/>
          <c:showPercent val="0"/>
          <c:showBubbleSize val="0"/>
        </c:dLbls>
        <c:gapWidth val="150"/>
        <c:overlap val="100"/>
        <c:axId val="180688000"/>
        <c:axId val="180689536"/>
      </c:barChart>
      <c:catAx>
        <c:axId val="180688000"/>
        <c:scaling>
          <c:orientation val="minMax"/>
        </c:scaling>
        <c:delete val="0"/>
        <c:axPos val="b"/>
        <c:numFmt formatCode="General" sourceLinked="0"/>
        <c:majorTickMark val="out"/>
        <c:minorTickMark val="none"/>
        <c:tickLblPos val="nextTo"/>
        <c:crossAx val="180689536"/>
        <c:crosses val="autoZero"/>
        <c:auto val="1"/>
        <c:lblAlgn val="ctr"/>
        <c:lblOffset val="100"/>
        <c:noMultiLvlLbl val="0"/>
      </c:catAx>
      <c:valAx>
        <c:axId val="180689536"/>
        <c:scaling>
          <c:orientation val="minMax"/>
        </c:scaling>
        <c:delete val="0"/>
        <c:axPos val="l"/>
        <c:majorGridlines/>
        <c:numFmt formatCode="0%" sourceLinked="1"/>
        <c:majorTickMark val="out"/>
        <c:minorTickMark val="none"/>
        <c:tickLblPos val="nextTo"/>
        <c:crossAx val="180688000"/>
        <c:crosses val="autoZero"/>
        <c:crossBetween val="between"/>
      </c:valAx>
    </c:plotArea>
    <c:legend>
      <c:legendPos val="t"/>
      <c:overlay val="0"/>
      <c:txPr>
        <a:bodyPr/>
        <a:lstStyle/>
        <a:p>
          <a:pPr>
            <a:defRPr sz="12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spc="0" baseline="0">
                <a:solidFill>
                  <a:srgbClr val="0010A6"/>
                </a:solidFill>
                <a:effectLst/>
                <a:latin typeface="+mn-lt"/>
                <a:ea typeface="+mn-ea"/>
                <a:cs typeface="+mn-cs"/>
              </a:defRPr>
            </a:pPr>
            <a:r>
              <a:rPr lang="fr-FR" sz="1200" b="0" i="0" baseline="0">
                <a:effectLst/>
              </a:rPr>
              <a:t>Graphique 22: Motifs de déplacement des retournés</a:t>
            </a:r>
            <a:endParaRPr lang="fr-FR" sz="1200">
              <a:effectLst/>
            </a:endParaRPr>
          </a:p>
        </c:rich>
      </c:tx>
      <c:overlay val="0"/>
    </c:title>
    <c:autoTitleDeleted val="0"/>
    <c:plotArea>
      <c:layout/>
      <c:barChart>
        <c:barDir val="bar"/>
        <c:grouping val="percentStacked"/>
        <c:varyColors val="0"/>
        <c:ser>
          <c:idx val="0"/>
          <c:order val="0"/>
          <c:tx>
            <c:strRef>
              <c:f>'Displacement Reasons'!$E$294</c:f>
              <c:strCache>
                <c:ptCount val="1"/>
                <c:pt idx="0">
                  <c:v>Conflits liés à Boko Haram</c:v>
                </c:pt>
              </c:strCache>
            </c:strRef>
          </c:tx>
          <c:spPr>
            <a:solidFill>
              <a:srgbClr val="17505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Reasons'!$E$295:$E$300</c:f>
              <c:numCache>
                <c:formatCode>0%</c:formatCode>
                <c:ptCount val="6"/>
                <c:pt idx="0">
                  <c:v>9.0909090909090912E-2</c:v>
                </c:pt>
                <c:pt idx="1">
                  <c:v>0.45249029180967115</c:v>
                </c:pt>
                <c:pt idx="2">
                  <c:v>3.0291379772348631E-4</c:v>
                </c:pt>
                <c:pt idx="3">
                  <c:v>0.57219251336898391</c:v>
                </c:pt>
                <c:pt idx="4">
                  <c:v>1</c:v>
                </c:pt>
                <c:pt idx="5">
                  <c:v>0.94528596346277427</c:v>
                </c:pt>
              </c:numCache>
            </c:numRef>
          </c:val>
          <c:extLst>
            <c:ext xmlns:c16="http://schemas.microsoft.com/office/drawing/2014/chart" uri="{C3380CC4-5D6E-409C-BE32-E72D297353CC}">
              <c16:uniqueId val="{00000000-2B05-4EC5-8522-DFACC8840109}"/>
            </c:ext>
          </c:extLst>
        </c:ser>
        <c:ser>
          <c:idx val="1"/>
          <c:order val="1"/>
          <c:tx>
            <c:strRef>
              <c:f>'Displacement Reasons'!$F$294</c:f>
              <c:strCache>
                <c:ptCount val="1"/>
                <c:pt idx="0">
                  <c:v>Inondations saisonnières ou fortes pluies</c:v>
                </c:pt>
              </c:strCache>
            </c:strRef>
          </c:tx>
          <c:spPr>
            <a:solidFill>
              <a:srgbClr val="06CCC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Reasons'!$F$295:$F$300</c:f>
              <c:numCache>
                <c:formatCode>0%</c:formatCode>
                <c:ptCount val="6"/>
                <c:pt idx="0">
                  <c:v>0</c:v>
                </c:pt>
                <c:pt idx="1">
                  <c:v>7.3427756562092134E-2</c:v>
                </c:pt>
                <c:pt idx="2">
                  <c:v>0.93822888632577217</c:v>
                </c:pt>
                <c:pt idx="3">
                  <c:v>0.10695187165775401</c:v>
                </c:pt>
                <c:pt idx="4">
                  <c:v>0</c:v>
                </c:pt>
                <c:pt idx="5">
                  <c:v>0</c:v>
                </c:pt>
              </c:numCache>
            </c:numRef>
          </c:val>
          <c:extLst>
            <c:ext xmlns:c16="http://schemas.microsoft.com/office/drawing/2014/chart" uri="{C3380CC4-5D6E-409C-BE32-E72D297353CC}">
              <c16:uniqueId val="{00000001-2B05-4EC5-8522-DFACC8840109}"/>
            </c:ext>
          </c:extLst>
        </c:ser>
        <c:ser>
          <c:idx val="2"/>
          <c:order val="2"/>
          <c:tx>
            <c:strRef>
              <c:f>'Displacement Reasons'!$G$294</c:f>
              <c:strCache>
                <c:ptCount val="1"/>
                <c:pt idx="0">
                  <c:v>Catastrophe naturelle (sécheresse, glissement de terrain, rupture de digue)</c:v>
                </c:pt>
              </c:strCache>
            </c:strRef>
          </c:tx>
          <c:spPr>
            <a:solidFill>
              <a:srgbClr val="43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Reasons'!$G$295:$G$300</c:f>
              <c:numCache>
                <c:formatCode>0%</c:formatCode>
                <c:ptCount val="6"/>
                <c:pt idx="0">
                  <c:v>0</c:v>
                </c:pt>
                <c:pt idx="1">
                  <c:v>3.7382575208262836E-3</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2B05-4EC5-8522-DFACC8840109}"/>
            </c:ext>
          </c:extLst>
        </c:ser>
        <c:ser>
          <c:idx val="3"/>
          <c:order val="3"/>
          <c:tx>
            <c:strRef>
              <c:f>'Displacement Reasons'!$H$294</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Reasons'!$H$295:$H$300</c:f>
              <c:numCache>
                <c:formatCode>0%</c:formatCode>
                <c:ptCount val="6"/>
                <c:pt idx="0">
                  <c:v>0.90909090909090906</c:v>
                </c:pt>
                <c:pt idx="1">
                  <c:v>0.47034369410741045</c:v>
                </c:pt>
                <c:pt idx="2">
                  <c:v>5.9371104353803314E-2</c:v>
                </c:pt>
                <c:pt idx="3">
                  <c:v>0.32085561497326204</c:v>
                </c:pt>
                <c:pt idx="4">
                  <c:v>0</c:v>
                </c:pt>
                <c:pt idx="5">
                  <c:v>0</c:v>
                </c:pt>
              </c:numCache>
            </c:numRef>
          </c:val>
          <c:extLst>
            <c:ext xmlns:c16="http://schemas.microsoft.com/office/drawing/2014/chart" uri="{C3380CC4-5D6E-409C-BE32-E72D297353CC}">
              <c16:uniqueId val="{00000001-180D-45D4-AD6A-C762E8C524C4}"/>
            </c:ext>
          </c:extLst>
        </c:ser>
        <c:ser>
          <c:idx val="4"/>
          <c:order val="4"/>
          <c:tx>
            <c:strRef>
              <c:f>'Displacement Reasons'!$I$294</c:f>
              <c:strCache>
                <c:ptCount val="1"/>
                <c:pt idx="0">
                  <c:v>Autre raison</c:v>
                </c:pt>
              </c:strCache>
            </c:strRef>
          </c:tx>
          <c:spPr>
            <a:solidFill>
              <a:srgbClr val="C9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Reasons'!$I$295:$I$300</c:f>
              <c:numCache>
                <c:formatCode>0%</c:formatCode>
                <c:ptCount val="6"/>
                <c:pt idx="0">
                  <c:v>0</c:v>
                </c:pt>
                <c:pt idx="1">
                  <c:v>0</c:v>
                </c:pt>
                <c:pt idx="2">
                  <c:v>2.0970955227010589E-3</c:v>
                </c:pt>
                <c:pt idx="3">
                  <c:v>0</c:v>
                </c:pt>
                <c:pt idx="4">
                  <c:v>0</c:v>
                </c:pt>
                <c:pt idx="5">
                  <c:v>5.4714036537225744E-2</c:v>
                </c:pt>
              </c:numCache>
            </c:numRef>
          </c:val>
          <c:extLst>
            <c:ext xmlns:c16="http://schemas.microsoft.com/office/drawing/2014/chart" uri="{C3380CC4-5D6E-409C-BE32-E72D297353CC}">
              <c16:uniqueId val="{00000001-B907-48E5-BFB8-3829734FB0F6}"/>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plotArea>
    <c:legend>
      <c:legendPos val="t"/>
      <c:layout>
        <c:manualLayout>
          <c:xMode val="edge"/>
          <c:yMode val="edge"/>
          <c:x val="5.8674887935932861E-2"/>
          <c:y val="8.925828546722317E-2"/>
          <c:w val="0.91605899531670143"/>
          <c:h val="0.15879467477277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spc="0" baseline="0">
                <a:solidFill>
                  <a:srgbClr val="0010A6"/>
                </a:solidFill>
                <a:effectLst/>
                <a:latin typeface="+mn-lt"/>
                <a:ea typeface="+mn-ea"/>
                <a:cs typeface="+mn-cs"/>
              </a:defRPr>
            </a:pPr>
            <a:r>
              <a:rPr lang="fr-FR" sz="1200" b="0" i="0" baseline="0">
                <a:effectLst/>
              </a:rPr>
              <a:t>Graph 22: Reasons for displacement of returnees</a:t>
            </a:r>
            <a:endParaRPr lang="fr-FR" sz="1200">
              <a:effectLst/>
            </a:endParaRPr>
          </a:p>
        </c:rich>
      </c:tx>
      <c:overlay val="0"/>
    </c:title>
    <c:autoTitleDeleted val="0"/>
    <c:plotArea>
      <c:layout/>
      <c:barChart>
        <c:barDir val="bar"/>
        <c:grouping val="percentStacked"/>
        <c:varyColors val="0"/>
        <c:ser>
          <c:idx val="0"/>
          <c:order val="0"/>
          <c:tx>
            <c:strRef>
              <c:f>'Displacement Reasons'!$O$294</c:f>
              <c:strCache>
                <c:ptCount val="1"/>
                <c:pt idx="0">
                  <c:v>Boko Haram-related conflicts </c:v>
                </c:pt>
              </c:strCache>
            </c:strRef>
          </c:tx>
          <c:spPr>
            <a:solidFill>
              <a:srgbClr val="17505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Reasons'!$O$295:$O$300</c:f>
              <c:numCache>
                <c:formatCode>0%</c:formatCode>
                <c:ptCount val="6"/>
                <c:pt idx="0">
                  <c:v>9.0909090909090912E-2</c:v>
                </c:pt>
                <c:pt idx="1">
                  <c:v>0.45249029180967115</c:v>
                </c:pt>
                <c:pt idx="2">
                  <c:v>3.0291379772348631E-4</c:v>
                </c:pt>
                <c:pt idx="3">
                  <c:v>0.57219251336898391</c:v>
                </c:pt>
                <c:pt idx="4">
                  <c:v>1</c:v>
                </c:pt>
                <c:pt idx="5">
                  <c:v>0.94528596346277427</c:v>
                </c:pt>
              </c:numCache>
            </c:numRef>
          </c:val>
          <c:extLst>
            <c:ext xmlns:c16="http://schemas.microsoft.com/office/drawing/2014/chart" uri="{C3380CC4-5D6E-409C-BE32-E72D297353CC}">
              <c16:uniqueId val="{00000000-674C-4E02-8938-C6248283B5AE}"/>
            </c:ext>
          </c:extLst>
        </c:ser>
        <c:ser>
          <c:idx val="1"/>
          <c:order val="1"/>
          <c:tx>
            <c:strRef>
              <c:f>'Displacement Reasons'!$P$294</c:f>
              <c:strCache>
                <c:ptCount val="1"/>
                <c:pt idx="0">
                  <c:v>Seasonal flooding or heavy rains </c:v>
                </c:pt>
              </c:strCache>
            </c:strRef>
          </c:tx>
          <c:spPr>
            <a:solidFill>
              <a:srgbClr val="06CCC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Reasons'!$P$295:$P$300</c:f>
              <c:numCache>
                <c:formatCode>0%</c:formatCode>
                <c:ptCount val="6"/>
                <c:pt idx="0">
                  <c:v>0</c:v>
                </c:pt>
                <c:pt idx="1">
                  <c:v>7.3427756562092134E-2</c:v>
                </c:pt>
                <c:pt idx="2">
                  <c:v>0.93822888632577217</c:v>
                </c:pt>
                <c:pt idx="3">
                  <c:v>0.10695187165775401</c:v>
                </c:pt>
                <c:pt idx="4">
                  <c:v>0</c:v>
                </c:pt>
                <c:pt idx="5">
                  <c:v>0</c:v>
                </c:pt>
              </c:numCache>
            </c:numRef>
          </c:val>
          <c:extLst>
            <c:ext xmlns:c16="http://schemas.microsoft.com/office/drawing/2014/chart" uri="{C3380CC4-5D6E-409C-BE32-E72D297353CC}">
              <c16:uniqueId val="{00000001-674C-4E02-8938-C6248283B5AE}"/>
            </c:ext>
          </c:extLst>
        </c:ser>
        <c:ser>
          <c:idx val="2"/>
          <c:order val="2"/>
          <c:tx>
            <c:strRef>
              <c:f>'Displacement Reasons'!$Q$294</c:f>
              <c:strCache>
                <c:ptCount val="1"/>
                <c:pt idx="0">
                  <c:v>Natural disaster (drought, landslide, breakwater dike) </c:v>
                </c:pt>
              </c:strCache>
            </c:strRef>
          </c:tx>
          <c:spPr>
            <a:solidFill>
              <a:srgbClr val="43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Reasons'!$Q$295:$Q$300</c:f>
              <c:numCache>
                <c:formatCode>0%</c:formatCode>
                <c:ptCount val="6"/>
                <c:pt idx="0">
                  <c:v>0</c:v>
                </c:pt>
                <c:pt idx="1">
                  <c:v>3.7382575208262836E-3</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674C-4E02-8938-C6248283B5AE}"/>
            </c:ext>
          </c:extLst>
        </c:ser>
        <c:ser>
          <c:idx val="3"/>
          <c:order val="3"/>
          <c:tx>
            <c:strRef>
              <c:f>'Displacement Reasons'!$R$294</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Reasons'!$R$295:$R$300</c:f>
              <c:numCache>
                <c:formatCode>0%</c:formatCode>
                <c:ptCount val="6"/>
                <c:pt idx="0">
                  <c:v>0.90909090909090906</c:v>
                </c:pt>
                <c:pt idx="1">
                  <c:v>0.47034369410741045</c:v>
                </c:pt>
                <c:pt idx="2">
                  <c:v>5.9371104353803314E-2</c:v>
                </c:pt>
                <c:pt idx="3">
                  <c:v>0.32085561497326204</c:v>
                </c:pt>
                <c:pt idx="4">
                  <c:v>0</c:v>
                </c:pt>
                <c:pt idx="5">
                  <c:v>0</c:v>
                </c:pt>
              </c:numCache>
            </c:numRef>
          </c:val>
          <c:extLst>
            <c:ext xmlns:c16="http://schemas.microsoft.com/office/drawing/2014/chart" uri="{C3380CC4-5D6E-409C-BE32-E72D297353CC}">
              <c16:uniqueId val="{00000001-A856-4148-8BBD-EC0D0B52BA35}"/>
            </c:ext>
          </c:extLst>
        </c:ser>
        <c:ser>
          <c:idx val="4"/>
          <c:order val="4"/>
          <c:tx>
            <c:strRef>
              <c:f>'Displacement Reasons'!$S$294</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Reasons'!$S$295:$S$300</c:f>
              <c:numCache>
                <c:formatCode>0%</c:formatCode>
                <c:ptCount val="6"/>
                <c:pt idx="0">
                  <c:v>0</c:v>
                </c:pt>
                <c:pt idx="1">
                  <c:v>0</c:v>
                </c:pt>
                <c:pt idx="2">
                  <c:v>2.0970955227010589E-3</c:v>
                </c:pt>
                <c:pt idx="3">
                  <c:v>0</c:v>
                </c:pt>
                <c:pt idx="4">
                  <c:v>0</c:v>
                </c:pt>
                <c:pt idx="5">
                  <c:v>5.4714036537225744E-2</c:v>
                </c:pt>
              </c:numCache>
            </c:numRef>
          </c:val>
          <c:extLst>
            <c:ext xmlns:c16="http://schemas.microsoft.com/office/drawing/2014/chart" uri="{C3380CC4-5D6E-409C-BE32-E72D297353CC}">
              <c16:uniqueId val="{00000001-2536-4349-9D77-DA123939E919}"/>
            </c:ext>
          </c:extLst>
        </c:ser>
        <c:dLbls>
          <c:dLblPos val="ctr"/>
          <c:showLegendKey val="0"/>
          <c:showVal val="1"/>
          <c:showCatName val="0"/>
          <c:showSerName val="0"/>
          <c:showPercent val="0"/>
          <c:showBubbleSize val="0"/>
        </c:dLbls>
        <c:gapWidth val="150"/>
        <c:overlap val="100"/>
        <c:axId val="180909952"/>
        <c:axId val="180911488"/>
        <c:extLst/>
      </c:barChart>
      <c:catAx>
        <c:axId val="180909952"/>
        <c:scaling>
          <c:orientation val="minMax"/>
        </c:scaling>
        <c:delete val="0"/>
        <c:axPos val="l"/>
        <c:numFmt formatCode="General" sourceLinked="0"/>
        <c:majorTickMark val="out"/>
        <c:minorTickMark val="none"/>
        <c:tickLblPos val="nextTo"/>
        <c:crossAx val="180911488"/>
        <c:crosses val="autoZero"/>
        <c:auto val="1"/>
        <c:lblAlgn val="ctr"/>
        <c:lblOffset val="100"/>
        <c:noMultiLvlLbl val="0"/>
      </c:catAx>
      <c:valAx>
        <c:axId val="180911488"/>
        <c:scaling>
          <c:orientation val="minMax"/>
        </c:scaling>
        <c:delete val="1"/>
        <c:axPos val="b"/>
        <c:majorGridlines/>
        <c:numFmt formatCode="0%" sourceLinked="1"/>
        <c:majorTickMark val="out"/>
        <c:minorTickMark val="none"/>
        <c:tickLblPos val="nextTo"/>
        <c:crossAx val="180909952"/>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100" b="0" i="0" u="none" strike="noStrike" kern="1200" spc="0" baseline="0">
                <a:solidFill>
                  <a:srgbClr val="0010A6"/>
                </a:solidFill>
                <a:effectLst/>
                <a:latin typeface="+mn-lt"/>
                <a:ea typeface="+mn-ea"/>
                <a:cs typeface="+mn-cs"/>
              </a:defRPr>
            </a:pPr>
            <a:r>
              <a:rPr lang="fr-FR" sz="1100" b="0" i="0" baseline="0">
                <a:effectLst/>
              </a:rPr>
              <a:t>Graphique 16: Motifs de déplacement des réfugiés hors camp</a:t>
            </a:r>
            <a:endParaRPr lang="fr-FR" sz="1100">
              <a:effectLst/>
            </a:endParaRPr>
          </a:p>
        </c:rich>
      </c:tx>
      <c:overlay val="0"/>
    </c:title>
    <c:autoTitleDeleted val="0"/>
    <c:plotArea>
      <c:layout>
        <c:manualLayout>
          <c:layoutTarget val="inner"/>
          <c:xMode val="edge"/>
          <c:yMode val="edge"/>
          <c:x val="8.9911143941429295E-2"/>
          <c:y val="0.1823757340740364"/>
          <c:w val="0.89787511506664186"/>
          <c:h val="0.78895300982723249"/>
        </c:manualLayout>
      </c:layout>
      <c:barChart>
        <c:barDir val="bar"/>
        <c:grouping val="percentStacked"/>
        <c:varyColors val="0"/>
        <c:ser>
          <c:idx val="0"/>
          <c:order val="0"/>
          <c:tx>
            <c:strRef>
              <c:f>'Displacement Reasons'!$E$242</c:f>
              <c:strCache>
                <c:ptCount val="1"/>
                <c:pt idx="0">
                  <c:v>Conflits liés à GANE (BH)</c:v>
                </c:pt>
              </c:strCache>
            </c:strRef>
          </c:tx>
          <c:spPr>
            <a:solidFill>
              <a:schemeClr val="accent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Reasons'!$E$243:$E$248</c:f>
              <c:numCache>
                <c:formatCode>0%</c:formatCode>
                <c:ptCount val="6"/>
                <c:pt idx="0">
                  <c:v>1</c:v>
                </c:pt>
                <c:pt idx="1">
                  <c:v>0.84548627487972827</c:v>
                </c:pt>
                <c:pt idx="2">
                  <c:v>0.49324324324324326</c:v>
                </c:pt>
                <c:pt idx="3">
                  <c:v>0.22455089820359281</c:v>
                </c:pt>
                <c:pt idx="4">
                  <c:v>1</c:v>
                </c:pt>
                <c:pt idx="5">
                  <c:v>0.99943278502552468</c:v>
                </c:pt>
              </c:numCache>
            </c:numRef>
          </c:val>
          <c:extLst>
            <c:ext xmlns:c16="http://schemas.microsoft.com/office/drawing/2014/chart" uri="{C3380CC4-5D6E-409C-BE32-E72D297353CC}">
              <c16:uniqueId val="{00000001-9C89-4868-A752-C6FD7CC612E7}"/>
            </c:ext>
          </c:extLst>
        </c:ser>
        <c:ser>
          <c:idx val="1"/>
          <c:order val="1"/>
          <c:tx>
            <c:strRef>
              <c:f>'Displacement Reasons'!$F$242</c:f>
              <c:strCache>
                <c:ptCount val="1"/>
                <c:pt idx="0">
                  <c:v>Inondations saisonnières ou fortes pluies</c:v>
                </c:pt>
              </c:strCache>
            </c:strRef>
          </c:tx>
          <c:spPr>
            <a:solidFill>
              <a:schemeClr val="accent6">
                <a:lumMod val="60000"/>
                <a:lumOff val="4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Reasons'!$F$243:$F$248</c:f>
              <c:numCache>
                <c:formatCode>0%</c:formatCode>
                <c:ptCount val="6"/>
                <c:pt idx="0">
                  <c:v>0</c:v>
                </c:pt>
                <c:pt idx="1">
                  <c:v>0.15020595541301135</c:v>
                </c:pt>
                <c:pt idx="2">
                  <c:v>0.5067567567567568</c:v>
                </c:pt>
                <c:pt idx="3">
                  <c:v>0</c:v>
                </c:pt>
                <c:pt idx="4">
                  <c:v>0</c:v>
                </c:pt>
                <c:pt idx="5">
                  <c:v>0</c:v>
                </c:pt>
              </c:numCache>
            </c:numRef>
          </c:val>
          <c:extLst>
            <c:ext xmlns:c16="http://schemas.microsoft.com/office/drawing/2014/chart" uri="{C3380CC4-5D6E-409C-BE32-E72D297353CC}">
              <c16:uniqueId val="{00000002-9C89-4868-A752-C6FD7CC612E7}"/>
            </c:ext>
          </c:extLst>
        </c:ser>
        <c:ser>
          <c:idx val="2"/>
          <c:order val="2"/>
          <c:tx>
            <c:strRef>
              <c:f>'Displacement Reasons'!$G$242</c:f>
              <c:strCache>
                <c:ptCount val="1"/>
                <c:pt idx="0">
                  <c:v>Catastrophe naturelle (sécheresse, glissement de terrain, rupture de digue)</c:v>
                </c:pt>
              </c:strCache>
            </c:strRef>
          </c:tx>
          <c:spPr>
            <a:solidFill>
              <a:schemeClr val="accent6">
                <a:lumMod val="20000"/>
                <a:lumOff val="8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Reasons'!$G$243:$G$248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C89-4868-A752-C6FD7CC612E7}"/>
            </c:ext>
          </c:extLst>
        </c:ser>
        <c:ser>
          <c:idx val="3"/>
          <c:order val="3"/>
          <c:tx>
            <c:strRef>
              <c:f>'Displacement Reasons'!$H$242</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Reasons'!$H$243:$H$248</c:f>
              <c:numCache>
                <c:formatCode>0%</c:formatCode>
                <c:ptCount val="6"/>
                <c:pt idx="0">
                  <c:v>0</c:v>
                </c:pt>
                <c:pt idx="1">
                  <c:v>2.5469295349495329E-3</c:v>
                </c:pt>
                <c:pt idx="2">
                  <c:v>0</c:v>
                </c:pt>
                <c:pt idx="3">
                  <c:v>0.73053892215568861</c:v>
                </c:pt>
                <c:pt idx="4">
                  <c:v>0</c:v>
                </c:pt>
                <c:pt idx="5">
                  <c:v>3.4032898468519567E-4</c:v>
                </c:pt>
              </c:numCache>
            </c:numRef>
          </c:val>
          <c:extLst>
            <c:ext xmlns:c16="http://schemas.microsoft.com/office/drawing/2014/chart" uri="{C3380CC4-5D6E-409C-BE32-E72D297353CC}">
              <c16:uniqueId val="{00000004-9C89-4868-A752-C6FD7CC612E7}"/>
            </c:ext>
          </c:extLst>
        </c:ser>
        <c:ser>
          <c:idx val="4"/>
          <c:order val="4"/>
          <c:tx>
            <c:strRef>
              <c:f>'Displacement Reasons'!$I$242</c:f>
              <c:strCache>
                <c:ptCount val="1"/>
                <c:pt idx="0">
                  <c:v>Autre raison</c:v>
                </c:pt>
              </c:strCache>
            </c:strRef>
          </c:tx>
          <c:spPr>
            <a:solidFill>
              <a:schemeClr val="accent6">
                <a:lumMod val="20000"/>
                <a:lumOff val="8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Reasons'!$I$243:$I$248</c:f>
              <c:numCache>
                <c:formatCode>0%</c:formatCode>
                <c:ptCount val="6"/>
                <c:pt idx="0">
                  <c:v>0</c:v>
                </c:pt>
                <c:pt idx="1">
                  <c:v>1.7608401723107883E-3</c:v>
                </c:pt>
                <c:pt idx="2">
                  <c:v>0</c:v>
                </c:pt>
                <c:pt idx="3">
                  <c:v>4.4910179640718563E-2</c:v>
                </c:pt>
                <c:pt idx="4">
                  <c:v>0</c:v>
                </c:pt>
                <c:pt idx="5">
                  <c:v>2.2688598979013047E-4</c:v>
                </c:pt>
              </c:numCache>
            </c:numRef>
          </c:val>
          <c:extLst>
            <c:ext xmlns:c16="http://schemas.microsoft.com/office/drawing/2014/chart" uri="{C3380CC4-5D6E-409C-BE32-E72D297353CC}">
              <c16:uniqueId val="{00000005-9C89-4868-A752-C6FD7CC612E7}"/>
            </c:ext>
          </c:extLst>
        </c:ser>
        <c:dLbls>
          <c:dLblPos val="ctr"/>
          <c:showLegendKey val="0"/>
          <c:showVal val="1"/>
          <c:showCatName val="0"/>
          <c:showSerName val="0"/>
          <c:showPercent val="0"/>
          <c:showBubbleSize val="0"/>
        </c:dLbls>
        <c:gapWidth val="150"/>
        <c:overlap val="100"/>
        <c:axId val="180963584"/>
        <c:axId val="180994048"/>
        <c:extLst/>
      </c:barChart>
      <c:catAx>
        <c:axId val="180963584"/>
        <c:scaling>
          <c:orientation val="minMax"/>
        </c:scaling>
        <c:delete val="0"/>
        <c:axPos val="l"/>
        <c:numFmt formatCode="General" sourceLinked="0"/>
        <c:majorTickMark val="out"/>
        <c:minorTickMark val="none"/>
        <c:tickLblPos val="nextTo"/>
        <c:crossAx val="180994048"/>
        <c:crosses val="autoZero"/>
        <c:auto val="1"/>
        <c:lblAlgn val="ctr"/>
        <c:lblOffset val="100"/>
        <c:noMultiLvlLbl val="0"/>
      </c:catAx>
      <c:valAx>
        <c:axId val="180994048"/>
        <c:scaling>
          <c:orientation val="minMax"/>
        </c:scaling>
        <c:delete val="1"/>
        <c:axPos val="b"/>
        <c:majorGridlines/>
        <c:numFmt formatCode="0%" sourceLinked="1"/>
        <c:majorTickMark val="out"/>
        <c:minorTickMark val="none"/>
        <c:tickLblPos val="nextTo"/>
        <c:crossAx val="180963584"/>
        <c:crosses val="autoZero"/>
        <c:crossBetween val="between"/>
      </c:valAx>
    </c:plotArea>
    <c:legend>
      <c:legendPos val="t"/>
      <c:layout>
        <c:manualLayout>
          <c:xMode val="edge"/>
          <c:yMode val="edge"/>
          <c:x val="7.211778007742134E-2"/>
          <c:y val="8.6127018991496579E-2"/>
          <c:w val="0.90984864938527121"/>
          <c:h val="0.1042740073648442"/>
        </c:manualLayout>
      </c:layout>
      <c:overlay val="0"/>
      <c:txPr>
        <a:bodyPr/>
        <a:lstStyle/>
        <a:p>
          <a:pPr>
            <a:defRPr sz="9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  Type de localites par departements</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3.5555555555555556E-2"/>
          <c:y val="0.16047590560108585"/>
          <c:w val="0.74535403074615669"/>
          <c:h val="0.73915302348525935"/>
        </c:manualLayout>
      </c:layout>
      <c:barChart>
        <c:barDir val="col"/>
        <c:grouping val="percentStacked"/>
        <c:varyColors val="0"/>
        <c:ser>
          <c:idx val="0"/>
          <c:order val="0"/>
          <c:tx>
            <c:strRef>
              <c:f>'Analyse localités'!$C$57</c:f>
              <c:strCache>
                <c:ptCount val="1"/>
                <c:pt idx="0">
                  <c:v>Sites de déplacement spontanés</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localités'!$B$58:$B$64</c:f>
              <c:strCache>
                <c:ptCount val="7"/>
                <c:pt idx="0">
                  <c:v>Diamaré</c:v>
                </c:pt>
                <c:pt idx="1">
                  <c:v>Logone-Et-Chari</c:v>
                </c:pt>
                <c:pt idx="2">
                  <c:v>Mayo-Danay</c:v>
                </c:pt>
                <c:pt idx="3">
                  <c:v>Mayo-Kani</c:v>
                </c:pt>
                <c:pt idx="4">
                  <c:v>Mayo-Sava</c:v>
                </c:pt>
                <c:pt idx="5">
                  <c:v>Mayo-Tsanaga</c:v>
                </c:pt>
                <c:pt idx="6">
                  <c:v>Total général</c:v>
                </c:pt>
              </c:strCache>
            </c:strRef>
          </c:cat>
          <c:val>
            <c:numRef>
              <c:f>'Analyse localités'!$C$58:$C$64</c:f>
              <c:numCache>
                <c:formatCode>0%</c:formatCode>
                <c:ptCount val="7"/>
                <c:pt idx="0">
                  <c:v>0.15476190476190477</c:v>
                </c:pt>
                <c:pt idx="1">
                  <c:v>7.8832116788321166E-2</c:v>
                </c:pt>
                <c:pt idx="2">
                  <c:v>0.15238095238095239</c:v>
                </c:pt>
                <c:pt idx="3">
                  <c:v>4.3478260869565216E-2</c:v>
                </c:pt>
                <c:pt idx="4">
                  <c:v>0.1875</c:v>
                </c:pt>
                <c:pt idx="5">
                  <c:v>8.5427135678391955E-2</c:v>
                </c:pt>
                <c:pt idx="6">
                  <c:v>0.10213776722090261</c:v>
                </c:pt>
              </c:numCache>
            </c:numRef>
          </c:val>
          <c:extLst>
            <c:ext xmlns:c16="http://schemas.microsoft.com/office/drawing/2014/chart" uri="{C3380CC4-5D6E-409C-BE32-E72D297353CC}">
              <c16:uniqueId val="{00000003-0ED8-488E-8CEF-559564D6BE53}"/>
            </c:ext>
          </c:extLst>
        </c:ser>
        <c:ser>
          <c:idx val="1"/>
          <c:order val="1"/>
          <c:tx>
            <c:strRef>
              <c:f>'Analyse localités'!$D$57</c:f>
              <c:strCache>
                <c:ptCount val="1"/>
                <c:pt idx="0">
                  <c:v>Village</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localités'!$B$58:$B$64</c:f>
              <c:strCache>
                <c:ptCount val="7"/>
                <c:pt idx="0">
                  <c:v>Diamaré</c:v>
                </c:pt>
                <c:pt idx="1">
                  <c:v>Logone-Et-Chari</c:v>
                </c:pt>
                <c:pt idx="2">
                  <c:v>Mayo-Danay</c:v>
                </c:pt>
                <c:pt idx="3">
                  <c:v>Mayo-Kani</c:v>
                </c:pt>
                <c:pt idx="4">
                  <c:v>Mayo-Sava</c:v>
                </c:pt>
                <c:pt idx="5">
                  <c:v>Mayo-Tsanaga</c:v>
                </c:pt>
                <c:pt idx="6">
                  <c:v>Total général</c:v>
                </c:pt>
              </c:strCache>
            </c:strRef>
          </c:cat>
          <c:val>
            <c:numRef>
              <c:f>'Analyse localités'!$D$58:$D$64</c:f>
              <c:numCache>
                <c:formatCode>0%</c:formatCode>
                <c:ptCount val="7"/>
                <c:pt idx="0">
                  <c:v>0.84523809523809523</c:v>
                </c:pt>
                <c:pt idx="1">
                  <c:v>0.92116788321167886</c:v>
                </c:pt>
                <c:pt idx="2">
                  <c:v>0.84761904761904761</c:v>
                </c:pt>
                <c:pt idx="3">
                  <c:v>0.95652173913043481</c:v>
                </c:pt>
                <c:pt idx="4">
                  <c:v>0.8125</c:v>
                </c:pt>
                <c:pt idx="5">
                  <c:v>0.914572864321608</c:v>
                </c:pt>
                <c:pt idx="6">
                  <c:v>0.89786223277909738</c:v>
                </c:pt>
              </c:numCache>
            </c:numRef>
          </c:val>
          <c:extLst>
            <c:ext xmlns:c16="http://schemas.microsoft.com/office/drawing/2014/chart" uri="{C3380CC4-5D6E-409C-BE32-E72D297353CC}">
              <c16:uniqueId val="{00000004-0ED8-488E-8CEF-559564D6BE53}"/>
            </c:ext>
          </c:extLst>
        </c:ser>
        <c:dLbls>
          <c:showLegendKey val="0"/>
          <c:showVal val="1"/>
          <c:showCatName val="0"/>
          <c:showSerName val="0"/>
          <c:showPercent val="0"/>
          <c:showBubbleSize val="0"/>
        </c:dLbls>
        <c:gapWidth val="219"/>
        <c:overlap val="100"/>
        <c:axId val="867680704"/>
        <c:axId val="867676544"/>
      </c:barChart>
      <c:catAx>
        <c:axId val="8676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67676544"/>
        <c:crosses val="autoZero"/>
        <c:auto val="1"/>
        <c:lblAlgn val="ctr"/>
        <c:lblOffset val="100"/>
        <c:noMultiLvlLbl val="0"/>
      </c:catAx>
      <c:valAx>
        <c:axId val="867676544"/>
        <c:scaling>
          <c:orientation val="minMax"/>
        </c:scaling>
        <c:delete val="1"/>
        <c:axPos val="l"/>
        <c:numFmt formatCode="0%" sourceLinked="1"/>
        <c:majorTickMark val="none"/>
        <c:minorTickMark val="none"/>
        <c:tickLblPos val="nextTo"/>
        <c:crossAx val="867680704"/>
        <c:crosses val="autoZero"/>
        <c:crossBetween val="between"/>
      </c:valAx>
      <c:spPr>
        <a:noFill/>
        <a:ln>
          <a:noFill/>
        </a:ln>
        <a:effectLst/>
      </c:spPr>
    </c:plotArea>
    <c:legend>
      <c:legendPos val="r"/>
      <c:layout>
        <c:manualLayout>
          <c:xMode val="edge"/>
          <c:yMode val="edge"/>
          <c:x val="0.80313466434673197"/>
          <c:y val="0.44474021254869384"/>
          <c:w val="0.17437044379991357"/>
          <c:h val="0.1454904376349751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100" b="0" i="0" u="none" strike="noStrike" kern="1200" spc="0" baseline="0">
                <a:solidFill>
                  <a:srgbClr val="0010A6"/>
                </a:solidFill>
                <a:effectLst/>
                <a:latin typeface="+mn-lt"/>
                <a:ea typeface="+mn-ea"/>
                <a:cs typeface="+mn-cs"/>
              </a:defRPr>
            </a:pPr>
            <a:r>
              <a:rPr lang="fr-FR" sz="1100" b="0" i="0" u="none" strike="noStrike" kern="1200" spc="0" baseline="0">
                <a:solidFill>
                  <a:srgbClr val="0010A6"/>
                </a:solidFill>
                <a:effectLst/>
                <a:latin typeface="+mn-lt"/>
                <a:ea typeface="+mn-ea"/>
                <a:cs typeface="+mn-cs"/>
              </a:rPr>
              <a:t>Graph16: </a:t>
            </a:r>
            <a:r>
              <a:rPr lang="fr-FR" sz="1100" b="0" i="0" u="none" strike="noStrike" baseline="0">
                <a:effectLst/>
              </a:rPr>
              <a:t>Reasons of displacement of out of camp refugees </a:t>
            </a:r>
            <a:endParaRPr lang="fr-FR" sz="1100" b="0" i="0" u="none" strike="noStrike" kern="1200" spc="0" baseline="0">
              <a:solidFill>
                <a:srgbClr val="0010A6"/>
              </a:solidFill>
              <a:effectLst/>
              <a:latin typeface="+mn-lt"/>
              <a:ea typeface="+mn-ea"/>
              <a:cs typeface="+mn-cs"/>
            </a:endParaRPr>
          </a:p>
        </c:rich>
      </c:tx>
      <c:overlay val="0"/>
    </c:title>
    <c:autoTitleDeleted val="0"/>
    <c:plotArea>
      <c:layout/>
      <c:barChart>
        <c:barDir val="bar"/>
        <c:grouping val="percentStacked"/>
        <c:varyColors val="0"/>
        <c:ser>
          <c:idx val="0"/>
          <c:order val="0"/>
          <c:tx>
            <c:strRef>
              <c:f>'Displacement Reasons'!$O$242</c:f>
              <c:strCache>
                <c:ptCount val="1"/>
                <c:pt idx="0">
                  <c:v>Boko Haram-related conflicts </c:v>
                </c:pt>
              </c:strCache>
            </c:strRef>
          </c:tx>
          <c:spPr>
            <a:solidFill>
              <a:schemeClr val="accent6"/>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Reasons'!$O$243:$O$248</c:f>
              <c:numCache>
                <c:formatCode>0%</c:formatCode>
                <c:ptCount val="6"/>
                <c:pt idx="0">
                  <c:v>1</c:v>
                </c:pt>
                <c:pt idx="1">
                  <c:v>0.84548627487972827</c:v>
                </c:pt>
                <c:pt idx="2">
                  <c:v>0.49324324324324326</c:v>
                </c:pt>
                <c:pt idx="3">
                  <c:v>0.22455089820359281</c:v>
                </c:pt>
                <c:pt idx="4">
                  <c:v>1</c:v>
                </c:pt>
                <c:pt idx="5">
                  <c:v>0.99943278502552468</c:v>
                </c:pt>
              </c:numCache>
            </c:numRef>
          </c:val>
          <c:extLst>
            <c:ext xmlns:c16="http://schemas.microsoft.com/office/drawing/2014/chart" uri="{C3380CC4-5D6E-409C-BE32-E72D297353CC}">
              <c16:uniqueId val="{00000000-AF50-4286-97B6-24017A3A3AB5}"/>
            </c:ext>
          </c:extLst>
        </c:ser>
        <c:ser>
          <c:idx val="1"/>
          <c:order val="1"/>
          <c:tx>
            <c:strRef>
              <c:f>'Displacement Reasons'!$P$242</c:f>
              <c:strCache>
                <c:ptCount val="1"/>
                <c:pt idx="0">
                  <c:v>Seasonal flooding or heavy rains </c:v>
                </c:pt>
              </c:strCache>
            </c:strRef>
          </c:tx>
          <c:spPr>
            <a:solidFill>
              <a:srgbClr val="FFD3AF"/>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Reasons'!$P$243:$P$248</c:f>
              <c:numCache>
                <c:formatCode>0%</c:formatCode>
                <c:ptCount val="6"/>
                <c:pt idx="0">
                  <c:v>0</c:v>
                </c:pt>
                <c:pt idx="1">
                  <c:v>0.15020595541301135</c:v>
                </c:pt>
                <c:pt idx="2">
                  <c:v>0.5067567567567568</c:v>
                </c:pt>
                <c:pt idx="3">
                  <c:v>0</c:v>
                </c:pt>
                <c:pt idx="4">
                  <c:v>0</c:v>
                </c:pt>
                <c:pt idx="5">
                  <c:v>0</c:v>
                </c:pt>
              </c:numCache>
            </c:numRef>
          </c:val>
          <c:extLst>
            <c:ext xmlns:c16="http://schemas.microsoft.com/office/drawing/2014/chart" uri="{C3380CC4-5D6E-409C-BE32-E72D297353CC}">
              <c16:uniqueId val="{00000001-AF50-4286-97B6-24017A3A3AB5}"/>
            </c:ext>
          </c:extLst>
        </c:ser>
        <c:ser>
          <c:idx val="2"/>
          <c:order val="2"/>
          <c:tx>
            <c:strRef>
              <c:f>'Displacement Reasons'!$Q$242</c:f>
              <c:strCache>
                <c:ptCount val="1"/>
                <c:pt idx="0">
                  <c:v>Natural disaster (drought, landslide, breakwater dike) </c:v>
                </c:pt>
              </c:strCache>
            </c:strRef>
          </c:tx>
          <c:spPr>
            <a:solidFill>
              <a:schemeClr val="accent6">
                <a:lumMod val="20000"/>
                <a:lumOff val="8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Reasons'!$Q$243:$Q$248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F50-4286-97B6-24017A3A3AB5}"/>
            </c:ext>
          </c:extLst>
        </c:ser>
        <c:ser>
          <c:idx val="3"/>
          <c:order val="3"/>
          <c:tx>
            <c:strRef>
              <c:f>'Displacement Reasons'!$R$242</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Reasons'!$R$243:$R$248</c:f>
              <c:numCache>
                <c:formatCode>0%</c:formatCode>
                <c:ptCount val="6"/>
                <c:pt idx="0">
                  <c:v>0</c:v>
                </c:pt>
                <c:pt idx="1">
                  <c:v>2.5469295349495329E-3</c:v>
                </c:pt>
                <c:pt idx="2">
                  <c:v>0</c:v>
                </c:pt>
                <c:pt idx="3">
                  <c:v>0.73053892215568861</c:v>
                </c:pt>
                <c:pt idx="4">
                  <c:v>0</c:v>
                </c:pt>
                <c:pt idx="5">
                  <c:v>3.4032898468519567E-4</c:v>
                </c:pt>
              </c:numCache>
            </c:numRef>
          </c:val>
          <c:extLst>
            <c:ext xmlns:c16="http://schemas.microsoft.com/office/drawing/2014/chart" uri="{C3380CC4-5D6E-409C-BE32-E72D297353CC}">
              <c16:uniqueId val="{00000001-0A5E-4E40-8536-BABC090A00C0}"/>
            </c:ext>
          </c:extLst>
        </c:ser>
        <c:ser>
          <c:idx val="4"/>
          <c:order val="4"/>
          <c:tx>
            <c:strRef>
              <c:f>'Displacement Reasons'!$S$242</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Reasons'!$S$243:$S$248</c:f>
              <c:numCache>
                <c:formatCode>0%</c:formatCode>
                <c:ptCount val="6"/>
                <c:pt idx="0">
                  <c:v>0</c:v>
                </c:pt>
                <c:pt idx="1">
                  <c:v>1.7608401723107883E-3</c:v>
                </c:pt>
                <c:pt idx="2">
                  <c:v>0</c:v>
                </c:pt>
                <c:pt idx="3">
                  <c:v>4.4910179640718563E-2</c:v>
                </c:pt>
                <c:pt idx="4">
                  <c:v>0</c:v>
                </c:pt>
                <c:pt idx="5">
                  <c:v>2.2688598979013047E-4</c:v>
                </c:pt>
              </c:numCache>
            </c:numRef>
          </c:val>
          <c:extLst>
            <c:ext xmlns:c16="http://schemas.microsoft.com/office/drawing/2014/chart" uri="{C3380CC4-5D6E-409C-BE32-E72D297353CC}">
              <c16:uniqueId val="{00000001-4F4C-4777-B456-9604C74221E4}"/>
            </c:ext>
          </c:extLst>
        </c:ser>
        <c:dLbls>
          <c:dLblPos val="ctr"/>
          <c:showLegendKey val="0"/>
          <c:showVal val="1"/>
          <c:showCatName val="0"/>
          <c:showSerName val="0"/>
          <c:showPercent val="0"/>
          <c:showBubbleSize val="0"/>
        </c:dLbls>
        <c:gapWidth val="150"/>
        <c:overlap val="100"/>
        <c:axId val="180771456"/>
        <c:axId val="180781440"/>
      </c:barChart>
      <c:catAx>
        <c:axId val="180771456"/>
        <c:scaling>
          <c:orientation val="minMax"/>
        </c:scaling>
        <c:delete val="0"/>
        <c:axPos val="l"/>
        <c:numFmt formatCode="General" sourceLinked="0"/>
        <c:majorTickMark val="out"/>
        <c:minorTickMark val="none"/>
        <c:tickLblPos val="nextTo"/>
        <c:crossAx val="180781440"/>
        <c:crosses val="autoZero"/>
        <c:auto val="1"/>
        <c:lblAlgn val="ctr"/>
        <c:lblOffset val="100"/>
        <c:noMultiLvlLbl val="0"/>
      </c:catAx>
      <c:valAx>
        <c:axId val="180781440"/>
        <c:scaling>
          <c:orientation val="minMax"/>
        </c:scaling>
        <c:delete val="0"/>
        <c:axPos val="b"/>
        <c:majorGridlines/>
        <c:numFmt formatCode="0%" sourceLinked="1"/>
        <c:majorTickMark val="out"/>
        <c:minorTickMark val="none"/>
        <c:tickLblPos val="nextTo"/>
        <c:crossAx val="180771456"/>
        <c:crosses val="autoZero"/>
        <c:crossBetween val="between"/>
      </c:valAx>
    </c:plotArea>
    <c:legend>
      <c:legendPos val="t"/>
      <c:layout>
        <c:manualLayout>
          <c:xMode val="edge"/>
          <c:yMode val="edge"/>
          <c:x val="0.11266040682076799"/>
          <c:y val="8.3151436710799345E-2"/>
          <c:w val="0.83665124546292691"/>
          <c:h val="8.115890295494690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100">
                <a:solidFill>
                  <a:srgbClr val="0010A6"/>
                </a:solidFill>
              </a:defRPr>
            </a:pPr>
            <a:r>
              <a:rPr lang="en-US" sz="1100" b="0" i="0" baseline="0">
                <a:effectLst/>
              </a:rPr>
              <a:t>                              Graphique 13: Motifs de déplacements des PDI</a:t>
            </a:r>
            <a:endParaRPr lang="fr-FR" sz="1100">
              <a:effectLst/>
            </a:endParaRPr>
          </a:p>
        </c:rich>
      </c:tx>
      <c:overlay val="0"/>
    </c:title>
    <c:autoTitleDeleted val="0"/>
    <c:plotArea>
      <c:layout/>
      <c:barChart>
        <c:barDir val="bar"/>
        <c:grouping val="percentStacked"/>
        <c:varyColors val="0"/>
        <c:ser>
          <c:idx val="0"/>
          <c:order val="0"/>
          <c:tx>
            <c:strRef>
              <c:f>'Displacement Reasons'!$E$179</c:f>
              <c:strCache>
                <c:ptCount val="1"/>
                <c:pt idx="0">
                  <c:v>Conflits liés à Boko Haram</c:v>
                </c:pt>
              </c:strCache>
            </c:strRef>
          </c:tx>
          <c:spPr>
            <a:solidFill>
              <a:srgbClr val="980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Reasons'!$E$180:$E$185</c:f>
              <c:numCache>
                <c:formatCode>0%</c:formatCode>
                <c:ptCount val="6"/>
                <c:pt idx="0">
                  <c:v>0.51809918673257849</c:v>
                </c:pt>
                <c:pt idx="1">
                  <c:v>0.83078632267621277</c:v>
                </c:pt>
                <c:pt idx="2">
                  <c:v>0</c:v>
                </c:pt>
                <c:pt idx="3">
                  <c:v>0.68732164696290254</c:v>
                </c:pt>
                <c:pt idx="4">
                  <c:v>0.99963213243232441</c:v>
                </c:pt>
                <c:pt idx="5">
                  <c:v>1</c:v>
                </c:pt>
              </c:numCache>
            </c:numRef>
          </c:val>
          <c:extLst>
            <c:ext xmlns:c16="http://schemas.microsoft.com/office/drawing/2014/chart" uri="{C3380CC4-5D6E-409C-BE32-E72D297353CC}">
              <c16:uniqueId val="{00000000-9A89-461B-9E26-64B1F46AAC89}"/>
            </c:ext>
          </c:extLst>
        </c:ser>
        <c:ser>
          <c:idx val="1"/>
          <c:order val="1"/>
          <c:tx>
            <c:strRef>
              <c:f>'Displacement Reasons'!$F$179</c:f>
              <c:strCache>
                <c:ptCount val="1"/>
                <c:pt idx="0">
                  <c:v>Inondations saisonnières ou fortes pluies</c:v>
                </c:pt>
              </c:strCache>
            </c:strRef>
          </c:tx>
          <c:spPr>
            <a:solidFill>
              <a:srgbClr val="FF767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Reasons'!$F$180:$F$185</c:f>
              <c:numCache>
                <c:formatCode>0%</c:formatCode>
                <c:ptCount val="6"/>
                <c:pt idx="0">
                  <c:v>1.1162494020092489E-2</c:v>
                </c:pt>
                <c:pt idx="1">
                  <c:v>9.1945438834711762E-2</c:v>
                </c:pt>
                <c:pt idx="2">
                  <c:v>1</c:v>
                </c:pt>
                <c:pt idx="3">
                  <c:v>7.7048512026090504E-2</c:v>
                </c:pt>
                <c:pt idx="4">
                  <c:v>0</c:v>
                </c:pt>
                <c:pt idx="5">
                  <c:v>0</c:v>
                </c:pt>
              </c:numCache>
            </c:numRef>
          </c:val>
          <c:extLst>
            <c:ext xmlns:c16="http://schemas.microsoft.com/office/drawing/2014/chart" uri="{C3380CC4-5D6E-409C-BE32-E72D297353CC}">
              <c16:uniqueId val="{00000001-9A89-461B-9E26-64B1F46AAC89}"/>
            </c:ext>
          </c:extLst>
        </c:ser>
        <c:ser>
          <c:idx val="2"/>
          <c:order val="2"/>
          <c:tx>
            <c:strRef>
              <c:f>'Displacement Reasons'!$G$179</c:f>
              <c:strCache>
                <c:ptCount val="1"/>
                <c:pt idx="0">
                  <c:v>Catastrophe naturelle (sécheresse, glissement de terrain, rupture de digue)</c:v>
                </c:pt>
              </c:strCache>
            </c:strRef>
          </c:tx>
          <c:spPr>
            <a:solidFill>
              <a:srgbClr val="FF909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Reasons'!$G$180:$G$185</c:f>
              <c:numCache>
                <c:formatCode>0%</c:formatCode>
                <c:ptCount val="6"/>
                <c:pt idx="0">
                  <c:v>0</c:v>
                </c:pt>
                <c:pt idx="1">
                  <c:v>6.1720775212936677E-3</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9A89-461B-9E26-64B1F46AAC89}"/>
            </c:ext>
          </c:extLst>
        </c:ser>
        <c:ser>
          <c:idx val="3"/>
          <c:order val="3"/>
          <c:tx>
            <c:strRef>
              <c:f>'Displacement Reasons'!$H$179</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Reasons'!$H$180:$H$185</c:f>
              <c:numCache>
                <c:formatCode>0%</c:formatCode>
                <c:ptCount val="6"/>
                <c:pt idx="0">
                  <c:v>0.46826662414287995</c:v>
                </c:pt>
                <c:pt idx="1">
                  <c:v>5.6665843722997163E-2</c:v>
                </c:pt>
                <c:pt idx="2">
                  <c:v>0</c:v>
                </c:pt>
                <c:pt idx="3">
                  <c:v>0.22115776600081533</c:v>
                </c:pt>
                <c:pt idx="4">
                  <c:v>0</c:v>
                </c:pt>
                <c:pt idx="5">
                  <c:v>0</c:v>
                </c:pt>
              </c:numCache>
            </c:numRef>
          </c:val>
          <c:extLst>
            <c:ext xmlns:c16="http://schemas.microsoft.com/office/drawing/2014/chart" uri="{C3380CC4-5D6E-409C-BE32-E72D297353CC}">
              <c16:uniqueId val="{00000001-AE4E-42DE-87A5-B29E4EB108E2}"/>
            </c:ext>
          </c:extLst>
        </c:ser>
        <c:ser>
          <c:idx val="4"/>
          <c:order val="4"/>
          <c:tx>
            <c:strRef>
              <c:f>'Displacement Reasons'!$I$179</c:f>
              <c:strCache>
                <c:ptCount val="1"/>
                <c:pt idx="0">
                  <c:v>Autre raison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Reasons'!$I$180:$I$185</c:f>
              <c:numCache>
                <c:formatCode>0%</c:formatCode>
                <c:ptCount val="6"/>
                <c:pt idx="0">
                  <c:v>2.4716951044490513E-3</c:v>
                </c:pt>
                <c:pt idx="1">
                  <c:v>1.4430317244784595E-2</c:v>
                </c:pt>
                <c:pt idx="2">
                  <c:v>0</c:v>
                </c:pt>
                <c:pt idx="3">
                  <c:v>1.4472075010191602E-2</c:v>
                </c:pt>
                <c:pt idx="4">
                  <c:v>3.6786756767563677E-4</c:v>
                </c:pt>
                <c:pt idx="5">
                  <c:v>0</c:v>
                </c:pt>
              </c:numCache>
            </c:numRef>
          </c:val>
          <c:extLst>
            <c:ext xmlns:c16="http://schemas.microsoft.com/office/drawing/2014/chart" uri="{C3380CC4-5D6E-409C-BE32-E72D297353CC}">
              <c16:uniqueId val="{00000001-51CB-4C18-8D3A-19B73194A9CD}"/>
            </c:ext>
          </c:extLst>
        </c:ser>
        <c:dLbls>
          <c:dLblPos val="ctr"/>
          <c:showLegendKey val="0"/>
          <c:showVal val="1"/>
          <c:showCatName val="0"/>
          <c:showSerName val="0"/>
          <c:showPercent val="0"/>
          <c:showBubbleSize val="0"/>
        </c:dLbls>
        <c:gapWidth val="150"/>
        <c:overlap val="100"/>
        <c:axId val="184629888"/>
        <c:axId val="184648064"/>
        <c:extLst/>
      </c:barChart>
      <c:catAx>
        <c:axId val="184629888"/>
        <c:scaling>
          <c:orientation val="minMax"/>
        </c:scaling>
        <c:delete val="0"/>
        <c:axPos val="l"/>
        <c:numFmt formatCode="General" sourceLinked="0"/>
        <c:majorTickMark val="out"/>
        <c:minorTickMark val="none"/>
        <c:tickLblPos val="nextTo"/>
        <c:txPr>
          <a:bodyPr/>
          <a:lstStyle/>
          <a:p>
            <a:pPr>
              <a:defRPr sz="900"/>
            </a:pPr>
            <a:endParaRPr lang="en-CH"/>
          </a:p>
        </c:txPr>
        <c:crossAx val="184648064"/>
        <c:crosses val="autoZero"/>
        <c:auto val="1"/>
        <c:lblAlgn val="ctr"/>
        <c:lblOffset val="100"/>
        <c:noMultiLvlLbl val="0"/>
      </c:catAx>
      <c:valAx>
        <c:axId val="184648064"/>
        <c:scaling>
          <c:orientation val="minMax"/>
        </c:scaling>
        <c:delete val="0"/>
        <c:axPos val="b"/>
        <c:majorGridlines/>
        <c:numFmt formatCode="0%" sourceLinked="1"/>
        <c:majorTickMark val="out"/>
        <c:minorTickMark val="none"/>
        <c:tickLblPos val="nextTo"/>
        <c:txPr>
          <a:bodyPr/>
          <a:lstStyle/>
          <a:p>
            <a:pPr>
              <a:defRPr sz="900"/>
            </a:pPr>
            <a:endParaRPr lang="en-CH"/>
          </a:p>
        </c:txPr>
        <c:crossAx val="184629888"/>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rtl="0">
              <a:defRPr lang="fr-FR" sz="1100" b="0" i="0" u="none" strike="noStrike" kern="1200" baseline="0">
                <a:solidFill>
                  <a:srgbClr val="0010A6"/>
                </a:solidFill>
                <a:effectLst/>
                <a:latin typeface="+mn-lt"/>
                <a:ea typeface="+mn-ea"/>
                <a:cs typeface="+mn-cs"/>
              </a:defRPr>
            </a:pPr>
            <a:r>
              <a:rPr lang="fr-FR" sz="1100" b="0" i="0" u="none" strike="noStrike" kern="1200" baseline="0">
                <a:solidFill>
                  <a:srgbClr val="0010A6"/>
                </a:solidFill>
                <a:effectLst/>
                <a:latin typeface="+mn-lt"/>
                <a:ea typeface="+mn-ea"/>
                <a:cs typeface="+mn-cs"/>
              </a:rPr>
              <a:t>Graph 13: Reasons for </a:t>
            </a:r>
            <a:r>
              <a:rPr lang="fr-FR" sz="1100" b="0" i="0" u="none" strike="noStrike" baseline="0">
                <a:effectLst/>
              </a:rPr>
              <a:t>IDPs</a:t>
            </a:r>
            <a:r>
              <a:rPr lang="fr-FR" sz="1100" b="0" i="0" u="none" strike="noStrike" kern="1200" baseline="0">
                <a:solidFill>
                  <a:srgbClr val="0010A6"/>
                </a:solidFill>
                <a:effectLst/>
                <a:latin typeface="+mn-lt"/>
                <a:ea typeface="+mn-ea"/>
                <a:cs typeface="+mn-cs"/>
              </a:rPr>
              <a:t> displacement</a:t>
            </a:r>
          </a:p>
        </c:rich>
      </c:tx>
      <c:overlay val="0"/>
    </c:title>
    <c:autoTitleDeleted val="0"/>
    <c:plotArea>
      <c:layout/>
      <c:barChart>
        <c:barDir val="bar"/>
        <c:grouping val="percentStacked"/>
        <c:varyColors val="0"/>
        <c:ser>
          <c:idx val="0"/>
          <c:order val="0"/>
          <c:tx>
            <c:strRef>
              <c:f>'Displacement Reasons'!$O$179</c:f>
              <c:strCache>
                <c:ptCount val="1"/>
                <c:pt idx="0">
                  <c:v>Boko Haram-related conflicts </c:v>
                </c:pt>
              </c:strCache>
            </c:strRef>
          </c:tx>
          <c:spPr>
            <a:solidFill>
              <a:srgbClr val="980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Reasons'!$O$180:$O$186</c:f>
              <c:numCache>
                <c:formatCode>0%</c:formatCode>
                <c:ptCount val="7"/>
                <c:pt idx="0">
                  <c:v>0.51809918673257849</c:v>
                </c:pt>
                <c:pt idx="1">
                  <c:v>0.83078632267621277</c:v>
                </c:pt>
                <c:pt idx="2">
                  <c:v>0</c:v>
                </c:pt>
                <c:pt idx="3">
                  <c:v>0.68732164696290254</c:v>
                </c:pt>
                <c:pt idx="4">
                  <c:v>0.99963213243232441</c:v>
                </c:pt>
                <c:pt idx="5">
                  <c:v>1</c:v>
                </c:pt>
              </c:numCache>
            </c:numRef>
          </c:val>
          <c:extLst>
            <c:ext xmlns:c16="http://schemas.microsoft.com/office/drawing/2014/chart" uri="{C3380CC4-5D6E-409C-BE32-E72D297353CC}">
              <c16:uniqueId val="{00000000-4416-4179-A874-73A8A11E3718}"/>
            </c:ext>
          </c:extLst>
        </c:ser>
        <c:ser>
          <c:idx val="1"/>
          <c:order val="1"/>
          <c:tx>
            <c:strRef>
              <c:f>'Displacement Reasons'!$P$179</c:f>
              <c:strCache>
                <c:ptCount val="1"/>
                <c:pt idx="0">
                  <c:v>Seasonal flooding or heavy rains </c:v>
                </c:pt>
              </c:strCache>
            </c:strRef>
          </c:tx>
          <c:spPr>
            <a:solidFill>
              <a:srgbClr val="FF767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Reasons'!$P$180:$P$186</c:f>
              <c:numCache>
                <c:formatCode>0%</c:formatCode>
                <c:ptCount val="7"/>
                <c:pt idx="0">
                  <c:v>1.1162494020092489E-2</c:v>
                </c:pt>
                <c:pt idx="1">
                  <c:v>9.1945438834711762E-2</c:v>
                </c:pt>
                <c:pt idx="2">
                  <c:v>1</c:v>
                </c:pt>
                <c:pt idx="3">
                  <c:v>7.7048512026090504E-2</c:v>
                </c:pt>
                <c:pt idx="4">
                  <c:v>0</c:v>
                </c:pt>
                <c:pt idx="5">
                  <c:v>0</c:v>
                </c:pt>
              </c:numCache>
            </c:numRef>
          </c:val>
          <c:extLst>
            <c:ext xmlns:c16="http://schemas.microsoft.com/office/drawing/2014/chart" uri="{C3380CC4-5D6E-409C-BE32-E72D297353CC}">
              <c16:uniqueId val="{00000005-4416-4179-A874-73A8A11E3718}"/>
            </c:ext>
          </c:extLst>
        </c:ser>
        <c:ser>
          <c:idx val="2"/>
          <c:order val="2"/>
          <c:tx>
            <c:strRef>
              <c:f>'Displacement Reasons'!$Q$179</c:f>
              <c:strCache>
                <c:ptCount val="1"/>
                <c:pt idx="0">
                  <c:v>Natural disaster (drought, landslide, breakwater dike) </c:v>
                </c:pt>
              </c:strCache>
            </c:strRef>
          </c:tx>
          <c:spPr>
            <a:solidFill>
              <a:srgbClr val="FF909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Reasons'!$Q$180:$Q$186</c:f>
              <c:numCache>
                <c:formatCode>0%</c:formatCode>
                <c:ptCount val="7"/>
                <c:pt idx="0">
                  <c:v>0</c:v>
                </c:pt>
                <c:pt idx="1">
                  <c:v>6.1720775212936677E-3</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6-4416-4179-A874-73A8A11E3718}"/>
            </c:ext>
          </c:extLst>
        </c:ser>
        <c:ser>
          <c:idx val="3"/>
          <c:order val="3"/>
          <c:tx>
            <c:strRef>
              <c:f>'Displacement Reasons'!$R$179</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Reasons'!$R$180:$R$186</c:f>
              <c:numCache>
                <c:formatCode>0%</c:formatCode>
                <c:ptCount val="7"/>
                <c:pt idx="0">
                  <c:v>0.46826662414287995</c:v>
                </c:pt>
                <c:pt idx="1">
                  <c:v>5.6665843722997163E-2</c:v>
                </c:pt>
                <c:pt idx="2">
                  <c:v>0</c:v>
                </c:pt>
                <c:pt idx="3">
                  <c:v>0.22115776600081533</c:v>
                </c:pt>
                <c:pt idx="4">
                  <c:v>0</c:v>
                </c:pt>
                <c:pt idx="5">
                  <c:v>0</c:v>
                </c:pt>
              </c:numCache>
            </c:numRef>
          </c:val>
          <c:extLst>
            <c:ext xmlns:c16="http://schemas.microsoft.com/office/drawing/2014/chart" uri="{C3380CC4-5D6E-409C-BE32-E72D297353CC}">
              <c16:uniqueId val="{00000001-CE11-4E4E-B651-D0F7A087069B}"/>
            </c:ext>
          </c:extLst>
        </c:ser>
        <c:ser>
          <c:idx val="4"/>
          <c:order val="4"/>
          <c:tx>
            <c:strRef>
              <c:f>'Displacement Reasons'!$S$179</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Reasons'!$S$180:$S$186</c:f>
              <c:numCache>
                <c:formatCode>0%</c:formatCode>
                <c:ptCount val="7"/>
                <c:pt idx="0">
                  <c:v>2.4716951044490513E-3</c:v>
                </c:pt>
                <c:pt idx="1">
                  <c:v>1.4430317244784595E-2</c:v>
                </c:pt>
                <c:pt idx="2">
                  <c:v>0</c:v>
                </c:pt>
                <c:pt idx="3">
                  <c:v>1.4472075010191602E-2</c:v>
                </c:pt>
                <c:pt idx="4">
                  <c:v>3.6786756767563677E-4</c:v>
                </c:pt>
                <c:pt idx="5">
                  <c:v>0</c:v>
                </c:pt>
              </c:numCache>
            </c:numRef>
          </c:val>
          <c:extLst>
            <c:ext xmlns:c16="http://schemas.microsoft.com/office/drawing/2014/chart" uri="{C3380CC4-5D6E-409C-BE32-E72D297353CC}">
              <c16:uniqueId val="{00000002-CE11-4E4E-B651-D0F7A087069B}"/>
            </c:ext>
          </c:extLst>
        </c:ser>
        <c:dLbls>
          <c:dLblPos val="ctr"/>
          <c:showLegendKey val="0"/>
          <c:showVal val="1"/>
          <c:showCatName val="0"/>
          <c:showSerName val="0"/>
          <c:showPercent val="0"/>
          <c:showBubbleSize val="0"/>
        </c:dLbls>
        <c:gapWidth val="150"/>
        <c:overlap val="100"/>
        <c:axId val="184690944"/>
        <c:axId val="184700928"/>
        <c:extLst/>
      </c:barChart>
      <c:catAx>
        <c:axId val="184690944"/>
        <c:scaling>
          <c:orientation val="minMax"/>
        </c:scaling>
        <c:delete val="0"/>
        <c:axPos val="l"/>
        <c:numFmt formatCode="General" sourceLinked="0"/>
        <c:majorTickMark val="out"/>
        <c:minorTickMark val="none"/>
        <c:tickLblPos val="nextTo"/>
        <c:txPr>
          <a:bodyPr/>
          <a:lstStyle/>
          <a:p>
            <a:pPr>
              <a:defRPr sz="900"/>
            </a:pPr>
            <a:endParaRPr lang="en-CH"/>
          </a:p>
        </c:txPr>
        <c:crossAx val="184700928"/>
        <c:crosses val="autoZero"/>
        <c:auto val="1"/>
        <c:lblAlgn val="ctr"/>
        <c:lblOffset val="100"/>
        <c:noMultiLvlLbl val="0"/>
      </c:catAx>
      <c:valAx>
        <c:axId val="184700928"/>
        <c:scaling>
          <c:orientation val="minMax"/>
        </c:scaling>
        <c:delete val="0"/>
        <c:axPos val="b"/>
        <c:majorGridlines/>
        <c:numFmt formatCode="0%" sourceLinked="1"/>
        <c:majorTickMark val="out"/>
        <c:minorTickMark val="none"/>
        <c:tickLblPos val="nextTo"/>
        <c:txPr>
          <a:bodyPr/>
          <a:lstStyle/>
          <a:p>
            <a:pPr>
              <a:defRPr sz="900"/>
            </a:pPr>
            <a:endParaRPr lang="en-CH"/>
          </a:p>
        </c:txPr>
        <c:crossAx val="184690944"/>
        <c:crosses val="autoZero"/>
        <c:crossBetween val="between"/>
      </c:valAx>
    </c:plotArea>
    <c:legend>
      <c:legendPos val="t"/>
      <c:overlay val="0"/>
      <c:txPr>
        <a:bodyPr/>
        <a:lstStyle/>
        <a:p>
          <a:pPr>
            <a:defRPr sz="9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Raisons de  déplacement par périodes</a:t>
            </a:r>
          </a:p>
        </c:rich>
      </c:tx>
      <c:layout>
        <c:manualLayout>
          <c:xMode val="edge"/>
          <c:yMode val="edge"/>
          <c:x val="0.34528959549568244"/>
          <c:y val="8.8530619993873547E-3"/>
        </c:manualLayout>
      </c:layout>
      <c:overlay val="0"/>
      <c:spPr>
        <a:noFill/>
        <a:ln>
          <a:noFill/>
        </a:ln>
        <a:effectLst/>
      </c:spPr>
      <c:txPr>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endParaRPr lang="en-CH"/>
        </a:p>
      </c:txPr>
    </c:title>
    <c:autoTitleDeleted val="0"/>
    <c:plotArea>
      <c:layout>
        <c:manualLayout>
          <c:layoutTarget val="inner"/>
          <c:xMode val="edge"/>
          <c:yMode val="edge"/>
          <c:x val="3.8088904849188809E-2"/>
          <c:y val="0.30240619503521776"/>
          <c:w val="0.94301243441467641"/>
          <c:h val="0.59923063164857748"/>
        </c:manualLayout>
      </c:layout>
      <c:barChart>
        <c:barDir val="col"/>
        <c:grouping val="percentStacked"/>
        <c:varyColors val="0"/>
        <c:ser>
          <c:idx val="0"/>
          <c:order val="0"/>
          <c:tx>
            <c:strRef>
              <c:f>'Displacement Reasons'!$E$123</c:f>
              <c:strCache>
                <c:ptCount val="1"/>
                <c:pt idx="0">
                  <c:v>Conflit armé </c:v>
                </c:pt>
              </c:strCache>
            </c:strRef>
          </c:tx>
          <c:spPr>
            <a:solidFill>
              <a:srgbClr val="023F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Reasons'!$D$124:$D$129</c:f>
              <c:strCache>
                <c:ptCount val="5"/>
                <c:pt idx="0">
                  <c:v>Avant 2020</c:v>
                </c:pt>
                <c:pt idx="1">
                  <c:v>En 2020</c:v>
                </c:pt>
                <c:pt idx="2">
                  <c:v>En 2021</c:v>
                </c:pt>
                <c:pt idx="3">
                  <c:v>Janvier - Aout 2022</c:v>
                </c:pt>
                <c:pt idx="4">
                  <c:v>Septembre 2022 – Février 2023</c:v>
                </c:pt>
              </c:strCache>
            </c:strRef>
          </c:cat>
          <c:val>
            <c:numRef>
              <c:f>'Displacement Reasons'!$E$124:$E$129</c:f>
              <c:numCache>
                <c:formatCode>0%</c:formatCode>
                <c:ptCount val="6"/>
                <c:pt idx="0">
                  <c:v>0.92279348264148775</c:v>
                </c:pt>
                <c:pt idx="1">
                  <c:v>0.96289576663109211</c:v>
                </c:pt>
                <c:pt idx="2">
                  <c:v>0.80367182769656609</c:v>
                </c:pt>
                <c:pt idx="3">
                  <c:v>0.67385464733025713</c:v>
                </c:pt>
                <c:pt idx="4">
                  <c:v>0.31186073165443112</c:v>
                </c:pt>
              </c:numCache>
            </c:numRef>
          </c:val>
          <c:extLst>
            <c:ext xmlns:c16="http://schemas.microsoft.com/office/drawing/2014/chart" uri="{C3380CC4-5D6E-409C-BE32-E72D297353CC}">
              <c16:uniqueId val="{00000000-CC23-4139-88F4-DE3F1CD4DA79}"/>
            </c:ext>
          </c:extLst>
        </c:ser>
        <c:ser>
          <c:idx val="1"/>
          <c:order val="1"/>
          <c:tx>
            <c:strRef>
              <c:f>'Displacement Reasons'!$F$123</c:f>
              <c:strCache>
                <c:ptCount val="1"/>
                <c:pt idx="0">
                  <c:v>Inondations saisonnières ou fortes pluies</c:v>
                </c:pt>
              </c:strCache>
            </c:strRef>
          </c:tx>
          <c:spPr>
            <a:solidFill>
              <a:srgbClr val="FF74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Reasons'!$D$124:$D$129</c:f>
              <c:strCache>
                <c:ptCount val="5"/>
                <c:pt idx="0">
                  <c:v>Avant 2020</c:v>
                </c:pt>
                <c:pt idx="1">
                  <c:v>En 2020</c:v>
                </c:pt>
                <c:pt idx="2">
                  <c:v>En 2021</c:v>
                </c:pt>
                <c:pt idx="3">
                  <c:v>Janvier - Aout 2022</c:v>
                </c:pt>
                <c:pt idx="4">
                  <c:v>Septembre 2022 – Février 2023</c:v>
                </c:pt>
              </c:strCache>
            </c:strRef>
          </c:cat>
          <c:val>
            <c:numRef>
              <c:f>'Displacement Reasons'!$F$124:$F$129</c:f>
              <c:numCache>
                <c:formatCode>0%</c:formatCode>
                <c:ptCount val="6"/>
                <c:pt idx="0">
                  <c:v>5.9470388420207743E-2</c:v>
                </c:pt>
                <c:pt idx="1">
                  <c:v>2.8886517253646389E-2</c:v>
                </c:pt>
                <c:pt idx="2">
                  <c:v>6.3056828994031658E-2</c:v>
                </c:pt>
                <c:pt idx="3">
                  <c:v>4.0985497692814767E-2</c:v>
                </c:pt>
                <c:pt idx="4">
                  <c:v>0.62522070439550226</c:v>
                </c:pt>
              </c:numCache>
            </c:numRef>
          </c:val>
          <c:extLst>
            <c:ext xmlns:c16="http://schemas.microsoft.com/office/drawing/2014/chart" uri="{C3380CC4-5D6E-409C-BE32-E72D297353CC}">
              <c16:uniqueId val="{00000001-CC23-4139-88F4-DE3F1CD4DA79}"/>
            </c:ext>
          </c:extLst>
        </c:ser>
        <c:ser>
          <c:idx val="2"/>
          <c:order val="2"/>
          <c:tx>
            <c:strRef>
              <c:f>'Displacement Reasons'!$G$123</c:f>
              <c:strCache>
                <c:ptCount val="1"/>
                <c:pt idx="0">
                  <c:v>Catastrophe naturelle (sécheresse, glissement de terrain, rupture de digue)</c:v>
                </c:pt>
              </c:strCache>
            </c:strRef>
          </c:tx>
          <c:spPr>
            <a:solidFill>
              <a:srgbClr val="6E99D4"/>
            </a:solidFill>
            <a:ln>
              <a:noFill/>
            </a:ln>
            <a:effectLst/>
          </c:spPr>
          <c:invertIfNegative val="0"/>
          <c:dLbls>
            <c:delete val="1"/>
          </c:dLbls>
          <c:cat>
            <c:strRef>
              <c:f>'Displacement Reasons'!$D$124:$D$129</c:f>
              <c:strCache>
                <c:ptCount val="5"/>
                <c:pt idx="0">
                  <c:v>Avant 2020</c:v>
                </c:pt>
                <c:pt idx="1">
                  <c:v>En 2020</c:v>
                </c:pt>
                <c:pt idx="2">
                  <c:v>En 2021</c:v>
                </c:pt>
                <c:pt idx="3">
                  <c:v>Janvier - Aout 2022</c:v>
                </c:pt>
                <c:pt idx="4">
                  <c:v>Septembre 2022 – Février 2023</c:v>
                </c:pt>
              </c:strCache>
            </c:strRef>
          </c:cat>
          <c:val>
            <c:numRef>
              <c:f>'Displacement Reasons'!$G$124:$G$129</c:f>
              <c:numCache>
                <c:formatCode>0%</c:formatCode>
                <c:ptCount val="6"/>
                <c:pt idx="0">
                  <c:v>0</c:v>
                </c:pt>
                <c:pt idx="1">
                  <c:v>0</c:v>
                </c:pt>
                <c:pt idx="2">
                  <c:v>0</c:v>
                </c:pt>
                <c:pt idx="3">
                  <c:v>7.8609096901779835E-3</c:v>
                </c:pt>
                <c:pt idx="4">
                  <c:v>1.7222686863054859E-3</c:v>
                </c:pt>
              </c:numCache>
            </c:numRef>
          </c:val>
          <c:extLst>
            <c:ext xmlns:c16="http://schemas.microsoft.com/office/drawing/2014/chart" uri="{C3380CC4-5D6E-409C-BE32-E72D297353CC}">
              <c16:uniqueId val="{00000002-CC23-4139-88F4-DE3F1CD4DA79}"/>
            </c:ext>
          </c:extLst>
        </c:ser>
        <c:ser>
          <c:idx val="3"/>
          <c:order val="3"/>
          <c:tx>
            <c:strRef>
              <c:f>'Displacement Reasons'!$H$123</c:f>
              <c:strCache>
                <c:ptCount val="1"/>
                <c:pt idx="0">
                  <c:v>Conflit intercommunautaire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Reasons'!$D$124:$D$129</c:f>
              <c:strCache>
                <c:ptCount val="5"/>
                <c:pt idx="0">
                  <c:v>Avant 2020</c:v>
                </c:pt>
                <c:pt idx="1">
                  <c:v>En 2020</c:v>
                </c:pt>
                <c:pt idx="2">
                  <c:v>En 2021</c:v>
                </c:pt>
                <c:pt idx="3">
                  <c:v>Janvier - Aout 2022</c:v>
                </c:pt>
                <c:pt idx="4">
                  <c:v>Septembre 2022 – Février 2023</c:v>
                </c:pt>
              </c:strCache>
            </c:strRef>
          </c:cat>
          <c:val>
            <c:numRef>
              <c:f>'Displacement Reasons'!$H$124:$H$129</c:f>
              <c:numCache>
                <c:formatCode>0%</c:formatCode>
                <c:ptCount val="6"/>
                <c:pt idx="0">
                  <c:v>1.7282311623480644E-2</c:v>
                </c:pt>
                <c:pt idx="1">
                  <c:v>4.9448594806118821E-3</c:v>
                </c:pt>
                <c:pt idx="2">
                  <c:v>0.13002767926649944</c:v>
                </c:pt>
                <c:pt idx="3">
                  <c:v>0.26974291364535269</c:v>
                </c:pt>
                <c:pt idx="4">
                  <c:v>4.5330359632004463E-2</c:v>
                </c:pt>
              </c:numCache>
            </c:numRef>
          </c:val>
          <c:extLst>
            <c:ext xmlns:c16="http://schemas.microsoft.com/office/drawing/2014/chart" uri="{C3380CC4-5D6E-409C-BE32-E72D297353CC}">
              <c16:uniqueId val="{00000001-F898-41F9-B7B5-9E6CC2225CB0}"/>
            </c:ext>
          </c:extLst>
        </c:ser>
        <c:ser>
          <c:idx val="4"/>
          <c:order val="4"/>
          <c:tx>
            <c:strRef>
              <c:f>'Displacement Reasons'!$I$123</c:f>
              <c:strCache>
                <c:ptCount val="1"/>
                <c:pt idx="0">
                  <c:v>Autre raison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Reasons'!$D$124:$D$129</c:f>
              <c:strCache>
                <c:ptCount val="5"/>
                <c:pt idx="0">
                  <c:v>Avant 2020</c:v>
                </c:pt>
                <c:pt idx="1">
                  <c:v>En 2020</c:v>
                </c:pt>
                <c:pt idx="2">
                  <c:v>En 2021</c:v>
                </c:pt>
                <c:pt idx="3">
                  <c:v>Janvier - Aout 2022</c:v>
                </c:pt>
                <c:pt idx="4">
                  <c:v>Septembre 2022 – Février 2023</c:v>
                </c:pt>
              </c:strCache>
            </c:strRef>
          </c:cat>
          <c:val>
            <c:numRef>
              <c:f>'Displacement Reasons'!$I$124:$I$129</c:f>
              <c:numCache>
                <c:formatCode>0%</c:formatCode>
                <c:ptCount val="6"/>
                <c:pt idx="0">
                  <c:v>4.5381731482390872E-4</c:v>
                </c:pt>
                <c:pt idx="1">
                  <c:v>3.2728566346495909E-3</c:v>
                </c:pt>
                <c:pt idx="2">
                  <c:v>3.243664042902863E-3</c:v>
                </c:pt>
                <c:pt idx="3">
                  <c:v>7.5560316413974954E-3</c:v>
                </c:pt>
                <c:pt idx="4">
                  <c:v>1.5865935631756652E-2</c:v>
                </c:pt>
              </c:numCache>
            </c:numRef>
          </c:val>
          <c:extLst>
            <c:ext xmlns:c16="http://schemas.microsoft.com/office/drawing/2014/chart" uri="{C3380CC4-5D6E-409C-BE32-E72D297353CC}">
              <c16:uniqueId val="{00000001-6BCA-4459-A005-36D2186C0832}"/>
            </c:ext>
          </c:extLst>
        </c:ser>
        <c:dLbls>
          <c:dLblPos val="ctr"/>
          <c:showLegendKey val="0"/>
          <c:showVal val="1"/>
          <c:showCatName val="0"/>
          <c:showSerName val="0"/>
          <c:showPercent val="0"/>
          <c:showBubbleSize val="0"/>
        </c:dLbls>
        <c:gapWidth val="55"/>
        <c:overlap val="100"/>
        <c:axId val="184797824"/>
        <c:axId val="184816000"/>
      </c:barChart>
      <c:catAx>
        <c:axId val="1847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184816000"/>
        <c:crosses val="autoZero"/>
        <c:auto val="1"/>
        <c:lblAlgn val="ctr"/>
        <c:lblOffset val="100"/>
        <c:noMultiLvlLbl val="0"/>
      </c:catAx>
      <c:valAx>
        <c:axId val="1848160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4797824"/>
        <c:crosses val="autoZero"/>
        <c:crossBetween val="between"/>
      </c:valAx>
      <c:spPr>
        <a:noFill/>
        <a:ln>
          <a:noFill/>
        </a:ln>
        <a:effectLst/>
      </c:spPr>
    </c:plotArea>
    <c:legend>
      <c:legendPos val="t"/>
      <c:layout>
        <c:manualLayout>
          <c:xMode val="edge"/>
          <c:yMode val="edge"/>
          <c:x val="7.1106547869007525E-2"/>
          <c:y val="9.3493506085097003E-2"/>
          <c:w val="0.91612050078430318"/>
          <c:h val="0.1668710189160298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r>
              <a:rPr lang="fr-FR" sz="1200" b="0" i="0" u="none" strike="noStrike" kern="1200" spc="0" baseline="0">
                <a:solidFill>
                  <a:srgbClr val="0010A6"/>
                </a:solidFill>
                <a:effectLst/>
                <a:latin typeface="+mn-lt"/>
                <a:ea typeface="+mn-ea"/>
                <a:cs typeface="+mn-cs"/>
              </a:rPr>
              <a:t>Displacement reasons by periods</a:t>
            </a:r>
          </a:p>
        </c:rich>
      </c:tx>
      <c:layout>
        <c:manualLayout>
          <c:xMode val="edge"/>
          <c:yMode val="edge"/>
          <c:x val="0.25992749827810807"/>
          <c:y val="3.9224481938159679E-3"/>
        </c:manualLayout>
      </c:layout>
      <c:overlay val="0"/>
      <c:spPr>
        <a:noFill/>
        <a:ln>
          <a:noFill/>
        </a:ln>
        <a:effectLst/>
      </c:spPr>
      <c:txPr>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endParaRPr lang="en-CH"/>
        </a:p>
      </c:txPr>
    </c:title>
    <c:autoTitleDeleted val="0"/>
    <c:plotArea>
      <c:layout>
        <c:manualLayout>
          <c:layoutTarget val="inner"/>
          <c:xMode val="edge"/>
          <c:yMode val="edge"/>
          <c:x val="3.5576174599796645E-2"/>
          <c:y val="0.22845385391675055"/>
          <c:w val="0.9382543812636589"/>
          <c:h val="0.61477127574087209"/>
        </c:manualLayout>
      </c:layout>
      <c:barChart>
        <c:barDir val="col"/>
        <c:grouping val="percentStacked"/>
        <c:varyColors val="0"/>
        <c:ser>
          <c:idx val="0"/>
          <c:order val="0"/>
          <c:tx>
            <c:strRef>
              <c:f>'Displacement Reasons'!$O$123</c:f>
              <c:strCache>
                <c:ptCount val="1"/>
                <c:pt idx="0">
                  <c:v>Boko Haram-related conflicts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Reasons'!$O$124:$O$128</c:f>
              <c:numCache>
                <c:formatCode>0%</c:formatCode>
                <c:ptCount val="5"/>
                <c:pt idx="0">
                  <c:v>0.92279348264148775</c:v>
                </c:pt>
                <c:pt idx="1">
                  <c:v>0.96289576663109211</c:v>
                </c:pt>
                <c:pt idx="2">
                  <c:v>0.80367182769656609</c:v>
                </c:pt>
                <c:pt idx="3">
                  <c:v>0.67385464733025713</c:v>
                </c:pt>
                <c:pt idx="4">
                  <c:v>0.31186073165443112</c:v>
                </c:pt>
              </c:numCache>
            </c:numRef>
          </c:val>
          <c:extLst>
            <c:ext xmlns:c16="http://schemas.microsoft.com/office/drawing/2014/chart" uri="{C3380CC4-5D6E-409C-BE32-E72D297353CC}">
              <c16:uniqueId val="{00000000-006A-4826-B80D-64B3E8DE8C20}"/>
            </c:ext>
          </c:extLst>
        </c:ser>
        <c:ser>
          <c:idx val="1"/>
          <c:order val="1"/>
          <c:tx>
            <c:strRef>
              <c:f>'Displacement Reasons'!$P$123</c:f>
              <c:strCache>
                <c:ptCount val="1"/>
                <c:pt idx="0">
                  <c:v>Seasonal flooding or heavy rains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Reasons'!$P$124:$P$128</c:f>
              <c:numCache>
                <c:formatCode>0%</c:formatCode>
                <c:ptCount val="5"/>
                <c:pt idx="0">
                  <c:v>5.9470388420207743E-2</c:v>
                </c:pt>
                <c:pt idx="1">
                  <c:v>2.8886517253646389E-2</c:v>
                </c:pt>
                <c:pt idx="2">
                  <c:v>6.3056828994031658E-2</c:v>
                </c:pt>
                <c:pt idx="3">
                  <c:v>4.0985497692814767E-2</c:v>
                </c:pt>
                <c:pt idx="4">
                  <c:v>0.62522070439550226</c:v>
                </c:pt>
              </c:numCache>
            </c:numRef>
          </c:val>
          <c:extLst>
            <c:ext xmlns:c16="http://schemas.microsoft.com/office/drawing/2014/chart" uri="{C3380CC4-5D6E-409C-BE32-E72D297353CC}">
              <c16:uniqueId val="{00000001-006A-4826-B80D-64B3E8DE8C20}"/>
            </c:ext>
          </c:extLst>
        </c:ser>
        <c:ser>
          <c:idx val="2"/>
          <c:order val="2"/>
          <c:tx>
            <c:strRef>
              <c:f>'Displacement Reasons'!$Q$123</c:f>
              <c:strCache>
                <c:ptCount val="1"/>
                <c:pt idx="0">
                  <c:v>Natural disaster (drought, landslide, breakwater dike)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Reasons'!$Q$124:$Q$128</c:f>
              <c:numCache>
                <c:formatCode>0%</c:formatCode>
                <c:ptCount val="5"/>
                <c:pt idx="0">
                  <c:v>0</c:v>
                </c:pt>
                <c:pt idx="1">
                  <c:v>0</c:v>
                </c:pt>
                <c:pt idx="2">
                  <c:v>0</c:v>
                </c:pt>
                <c:pt idx="3">
                  <c:v>7.8609096901779835E-3</c:v>
                </c:pt>
                <c:pt idx="4">
                  <c:v>1.7222686863054859E-3</c:v>
                </c:pt>
              </c:numCache>
            </c:numRef>
          </c:val>
          <c:extLst>
            <c:ext xmlns:c16="http://schemas.microsoft.com/office/drawing/2014/chart" uri="{C3380CC4-5D6E-409C-BE32-E72D297353CC}">
              <c16:uniqueId val="{00000002-006A-4826-B80D-64B3E8DE8C20}"/>
            </c:ext>
          </c:extLst>
        </c:ser>
        <c:ser>
          <c:idx val="3"/>
          <c:order val="3"/>
          <c:tx>
            <c:strRef>
              <c:f>'Displacement Reasons'!$R$123</c:f>
              <c:strCache>
                <c:ptCount val="1"/>
                <c:pt idx="0">
                  <c:v>Inter-community conflict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Reasons'!$R$124:$R$128</c:f>
              <c:numCache>
                <c:formatCode>0%</c:formatCode>
                <c:ptCount val="5"/>
                <c:pt idx="0">
                  <c:v>1.7282311623480644E-2</c:v>
                </c:pt>
                <c:pt idx="1">
                  <c:v>4.9448594806118821E-3</c:v>
                </c:pt>
                <c:pt idx="2">
                  <c:v>0.13002767926649944</c:v>
                </c:pt>
                <c:pt idx="3">
                  <c:v>0.26974291364535269</c:v>
                </c:pt>
                <c:pt idx="4">
                  <c:v>4.5330359632004463E-2</c:v>
                </c:pt>
              </c:numCache>
            </c:numRef>
          </c:val>
          <c:extLst>
            <c:ext xmlns:c16="http://schemas.microsoft.com/office/drawing/2014/chart" uri="{C3380CC4-5D6E-409C-BE32-E72D297353CC}">
              <c16:uniqueId val="{00000001-EA04-4BD0-A189-6AC5D03BF9D1}"/>
            </c:ext>
          </c:extLst>
        </c:ser>
        <c:ser>
          <c:idx val="4"/>
          <c:order val="4"/>
          <c:tx>
            <c:strRef>
              <c:f>'Displacement Reasons'!$S$123</c:f>
              <c:strCache>
                <c:ptCount val="1"/>
                <c:pt idx="0">
                  <c:v>Other reason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Reasons'!$S$124:$S$128</c:f>
              <c:numCache>
                <c:formatCode>0%</c:formatCode>
                <c:ptCount val="5"/>
                <c:pt idx="0">
                  <c:v>1.7282311623480644E-2</c:v>
                </c:pt>
                <c:pt idx="1">
                  <c:v>4.9448594806118821E-3</c:v>
                </c:pt>
                <c:pt idx="2">
                  <c:v>0.13002767926649944</c:v>
                </c:pt>
                <c:pt idx="3">
                  <c:v>0.26974291364535269</c:v>
                </c:pt>
                <c:pt idx="4">
                  <c:v>4.5330359632004463E-2</c:v>
                </c:pt>
              </c:numCache>
            </c:numRef>
          </c:val>
          <c:extLst>
            <c:ext xmlns:c16="http://schemas.microsoft.com/office/drawing/2014/chart" uri="{C3380CC4-5D6E-409C-BE32-E72D297353CC}">
              <c16:uniqueId val="{00000001-A894-4FA1-9F2C-B000D5F98CFB}"/>
            </c:ext>
          </c:extLst>
        </c:ser>
        <c:dLbls>
          <c:dLblPos val="ctr"/>
          <c:showLegendKey val="0"/>
          <c:showVal val="1"/>
          <c:showCatName val="0"/>
          <c:showSerName val="0"/>
          <c:showPercent val="0"/>
          <c:showBubbleSize val="0"/>
        </c:dLbls>
        <c:gapWidth val="55"/>
        <c:overlap val="100"/>
        <c:axId val="184797824"/>
        <c:axId val="184816000"/>
      </c:barChart>
      <c:catAx>
        <c:axId val="1847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184816000"/>
        <c:crosses val="autoZero"/>
        <c:auto val="1"/>
        <c:lblAlgn val="ctr"/>
        <c:lblOffset val="100"/>
        <c:noMultiLvlLbl val="0"/>
      </c:catAx>
      <c:valAx>
        <c:axId val="1848160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4797824"/>
        <c:crosses val="autoZero"/>
        <c:crossBetween val="between"/>
      </c:valAx>
      <c:spPr>
        <a:noFill/>
        <a:ln>
          <a:noFill/>
        </a:ln>
        <a:effectLst/>
      </c:spPr>
    </c:plotArea>
    <c:legend>
      <c:legendPos val="t"/>
      <c:layout>
        <c:manualLayout>
          <c:xMode val="edge"/>
          <c:yMode val="edge"/>
          <c:x val="0.20253322834645671"/>
          <c:y val="8.3455802256590106E-2"/>
          <c:w val="0.79746677840628744"/>
          <c:h val="5.26036391831050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'Displacement Reasons'!$E$207</c:f>
              <c:strCache>
                <c:ptCount val="1"/>
                <c:pt idx="0">
                  <c:v>% ménages à réunir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4F-456C-B83C-902398251C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A6E-40AE-B41E-5D14A04F98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A6E-40AE-B41E-5D14A04F98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A6E-40AE-B41E-5D14A04F98E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B28-41D1-B073-C9C4FA7BA71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9-F00F-43FD-9A27-180036172A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'Displacement Reasons'!$C$208:$C$213</c:f>
              <c:strCache>
                <c:ptCount val="6"/>
                <c:pt idx="0">
                  <c:v>Mayo-Danay</c:v>
                </c:pt>
                <c:pt idx="1">
                  <c:v>Mayo-Tsanaga</c:v>
                </c:pt>
                <c:pt idx="2">
                  <c:v>Logone-Et-Chari</c:v>
                </c:pt>
                <c:pt idx="3">
                  <c:v>Mayo-Sava</c:v>
                </c:pt>
                <c:pt idx="4">
                  <c:v>Diamaré</c:v>
                </c:pt>
                <c:pt idx="5">
                  <c:v>Mayo-Kani</c:v>
                </c:pt>
              </c:strCache>
            </c:strRef>
          </c:cat>
          <c:val>
            <c:numRef>
              <c:f>'Displacement Reasons'!$E$208:$E$213</c:f>
              <c:numCache>
                <c:formatCode>0%</c:formatCode>
                <c:ptCount val="6"/>
                <c:pt idx="0">
                  <c:v>1.1764705882352941E-2</c:v>
                </c:pt>
                <c:pt idx="1">
                  <c:v>0.17411764705882352</c:v>
                </c:pt>
                <c:pt idx="2">
                  <c:v>0.56705882352941173</c:v>
                </c:pt>
                <c:pt idx="3">
                  <c:v>0.11058823529411765</c:v>
                </c:pt>
                <c:pt idx="4">
                  <c:v>0</c:v>
                </c:pt>
                <c:pt idx="5">
                  <c:v>0.13647058823529412</c:v>
                </c:pt>
              </c:numCache>
            </c:numRef>
          </c:val>
          <c:extLst>
            <c:ext xmlns:c16="http://schemas.microsoft.com/office/drawing/2014/chart" uri="{C3380CC4-5D6E-409C-BE32-E72D297353CC}">
              <c16:uniqueId val="{0000000C-224F-456C-B83C-902398251CD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057295478910206"/>
          <c:y val="0.27893405657873199"/>
          <c:w val="0.28147037078111714"/>
          <c:h val="0.442131886842535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Raisons de  déplacement par périodes</a:t>
            </a:r>
          </a:p>
        </c:rich>
      </c:tx>
      <c:layout>
        <c:manualLayout>
          <c:xMode val="edge"/>
          <c:yMode val="edge"/>
          <c:x val="0.26278260185356911"/>
          <c:y val="3.922484022224078E-3"/>
        </c:manualLayout>
      </c:layout>
      <c:overlay val="0"/>
      <c:spPr>
        <a:noFill/>
        <a:ln>
          <a:noFill/>
        </a:ln>
        <a:effectLst/>
      </c:spPr>
    </c:title>
    <c:autoTitleDeleted val="0"/>
    <c:plotArea>
      <c:layout>
        <c:manualLayout>
          <c:layoutTarget val="inner"/>
          <c:xMode val="edge"/>
          <c:yMode val="edge"/>
          <c:x val="3.4375000000000003E-2"/>
          <c:y val="0.24399443177936067"/>
          <c:w val="0.94301243441467641"/>
          <c:h val="0.59923063164857748"/>
        </c:manualLayout>
      </c:layout>
      <c:barChart>
        <c:barDir val="col"/>
        <c:grouping val="percentStacked"/>
        <c:varyColors val="0"/>
        <c:ser>
          <c:idx val="0"/>
          <c:order val="0"/>
          <c:tx>
            <c:strRef>
              <c:f>'Displacement Reasons'!$E$123</c:f>
              <c:strCache>
                <c:ptCount val="1"/>
                <c:pt idx="0">
                  <c:v>Conflit armé </c:v>
                </c:pt>
              </c:strCache>
            </c:strRef>
          </c:tx>
          <c:spPr>
            <a:solidFill>
              <a:srgbClr val="023F94"/>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Janvier - Aout 2022</c:v>
                </c:pt>
                <c:pt idx="4">
                  <c:v>Septembre 2022 – Février 2023</c:v>
                </c:pt>
              </c:strCache>
            </c:strRef>
          </c:cat>
          <c:val>
            <c:numRef>
              <c:f>'Displacement Reasons'!$E$124:$E$128</c:f>
              <c:numCache>
                <c:formatCode>0%</c:formatCode>
                <c:ptCount val="5"/>
                <c:pt idx="0">
                  <c:v>0.92279348264148775</c:v>
                </c:pt>
                <c:pt idx="1">
                  <c:v>0.96289576663109211</c:v>
                </c:pt>
                <c:pt idx="2">
                  <c:v>0.80367182769656609</c:v>
                </c:pt>
                <c:pt idx="3">
                  <c:v>0.67385464733025713</c:v>
                </c:pt>
                <c:pt idx="4">
                  <c:v>0.31186073165443112</c:v>
                </c:pt>
              </c:numCache>
            </c:numRef>
          </c:val>
          <c:extLst>
            <c:ext xmlns:c16="http://schemas.microsoft.com/office/drawing/2014/chart" uri="{C3380CC4-5D6E-409C-BE32-E72D297353CC}">
              <c16:uniqueId val="{00000001-1EB7-4ED1-8DD6-3640ECAEC359}"/>
            </c:ext>
          </c:extLst>
        </c:ser>
        <c:ser>
          <c:idx val="1"/>
          <c:order val="1"/>
          <c:tx>
            <c:strRef>
              <c:f>'Displacement Reasons'!$F$123</c:f>
              <c:strCache>
                <c:ptCount val="1"/>
                <c:pt idx="0">
                  <c:v>Inondations saisonnières ou fortes pluies</c:v>
                </c:pt>
              </c:strCache>
            </c:strRef>
          </c:tx>
          <c:spPr>
            <a:solidFill>
              <a:srgbClr val="FF740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Janvier - Aout 2022</c:v>
                </c:pt>
                <c:pt idx="4">
                  <c:v>Septembre 2022 – Février 2023</c:v>
                </c:pt>
              </c:strCache>
            </c:strRef>
          </c:cat>
          <c:val>
            <c:numRef>
              <c:f>'Displacement Reasons'!$F$124:$F$128</c:f>
              <c:numCache>
                <c:formatCode>0%</c:formatCode>
                <c:ptCount val="5"/>
                <c:pt idx="0">
                  <c:v>5.9470388420207743E-2</c:v>
                </c:pt>
                <c:pt idx="1">
                  <c:v>2.8886517253646389E-2</c:v>
                </c:pt>
                <c:pt idx="2">
                  <c:v>6.3056828994031658E-2</c:v>
                </c:pt>
                <c:pt idx="3">
                  <c:v>4.0985497692814767E-2</c:v>
                </c:pt>
                <c:pt idx="4">
                  <c:v>0.62522070439550226</c:v>
                </c:pt>
              </c:numCache>
            </c:numRef>
          </c:val>
          <c:extLst>
            <c:ext xmlns:c16="http://schemas.microsoft.com/office/drawing/2014/chart" uri="{C3380CC4-5D6E-409C-BE32-E72D297353CC}">
              <c16:uniqueId val="{00000002-1EB7-4ED1-8DD6-3640ECAEC359}"/>
            </c:ext>
          </c:extLst>
        </c:ser>
        <c:ser>
          <c:idx val="2"/>
          <c:order val="2"/>
          <c:tx>
            <c:strRef>
              <c:f>'Displacement Reasons'!$G$123</c:f>
              <c:strCache>
                <c:ptCount val="1"/>
                <c:pt idx="0">
                  <c:v>Catastrophe naturelle (sécheresse, glissement de terrain, rupture de digue)</c:v>
                </c:pt>
              </c:strCache>
            </c:strRef>
          </c:tx>
          <c:spPr>
            <a:solidFill>
              <a:srgbClr val="6E99D4"/>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Janvier - Aout 2022</c:v>
                </c:pt>
                <c:pt idx="4">
                  <c:v>Septembre 2022 – Février 2023</c:v>
                </c:pt>
              </c:strCache>
            </c:strRef>
          </c:cat>
          <c:val>
            <c:numRef>
              <c:f>'Displacement Reasons'!$G$124:$G$128</c:f>
              <c:numCache>
                <c:formatCode>0%</c:formatCode>
                <c:ptCount val="5"/>
                <c:pt idx="0">
                  <c:v>0</c:v>
                </c:pt>
                <c:pt idx="1">
                  <c:v>0</c:v>
                </c:pt>
                <c:pt idx="2">
                  <c:v>0</c:v>
                </c:pt>
                <c:pt idx="3">
                  <c:v>7.8609096901779835E-3</c:v>
                </c:pt>
                <c:pt idx="4">
                  <c:v>1.7222686863054859E-3</c:v>
                </c:pt>
              </c:numCache>
            </c:numRef>
          </c:val>
          <c:extLst>
            <c:ext xmlns:c16="http://schemas.microsoft.com/office/drawing/2014/chart" uri="{C3380CC4-5D6E-409C-BE32-E72D297353CC}">
              <c16:uniqueId val="{00000003-1EB7-4ED1-8DD6-3640ECAEC359}"/>
            </c:ext>
          </c:extLst>
        </c:ser>
        <c:ser>
          <c:idx val="3"/>
          <c:order val="3"/>
          <c:tx>
            <c:strRef>
              <c:f>'Displacement Reasons'!$H$123</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Janvier - Aout 2022</c:v>
                </c:pt>
                <c:pt idx="4">
                  <c:v>Septembre 2022 – Février 2023</c:v>
                </c:pt>
              </c:strCache>
            </c:strRef>
          </c:cat>
          <c:val>
            <c:numRef>
              <c:f>'Displacement Reasons'!$H$124:$H$128</c:f>
              <c:numCache>
                <c:formatCode>0%</c:formatCode>
                <c:ptCount val="5"/>
                <c:pt idx="0">
                  <c:v>1.7282311623480644E-2</c:v>
                </c:pt>
                <c:pt idx="1">
                  <c:v>4.9448594806118821E-3</c:v>
                </c:pt>
                <c:pt idx="2">
                  <c:v>0.13002767926649944</c:v>
                </c:pt>
                <c:pt idx="3">
                  <c:v>0.26974291364535269</c:v>
                </c:pt>
                <c:pt idx="4">
                  <c:v>4.5330359632004463E-2</c:v>
                </c:pt>
              </c:numCache>
            </c:numRef>
          </c:val>
          <c:extLst>
            <c:ext xmlns:c16="http://schemas.microsoft.com/office/drawing/2014/chart" uri="{C3380CC4-5D6E-409C-BE32-E72D297353CC}">
              <c16:uniqueId val="{00000004-1EB7-4ED1-8DD6-3640ECAEC359}"/>
            </c:ext>
          </c:extLst>
        </c:ser>
        <c:ser>
          <c:idx val="4"/>
          <c:order val="4"/>
          <c:tx>
            <c:strRef>
              <c:f>'Displacement Reasons'!$I$123</c:f>
              <c:strCache>
                <c:ptCount val="1"/>
                <c:pt idx="0">
                  <c:v>Autre raison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Janvier - Aout 2022</c:v>
                </c:pt>
                <c:pt idx="4">
                  <c:v>Septembre 2022 – Février 2023</c:v>
                </c:pt>
              </c:strCache>
            </c:strRef>
          </c:cat>
          <c:val>
            <c:numRef>
              <c:f>'Displacement Reasons'!$I$124:$I$128</c:f>
              <c:numCache>
                <c:formatCode>0%</c:formatCode>
                <c:ptCount val="5"/>
                <c:pt idx="0">
                  <c:v>4.5381731482390872E-4</c:v>
                </c:pt>
                <c:pt idx="1">
                  <c:v>3.2728566346495909E-3</c:v>
                </c:pt>
                <c:pt idx="2">
                  <c:v>3.243664042902863E-3</c:v>
                </c:pt>
                <c:pt idx="3">
                  <c:v>7.5560316413974954E-3</c:v>
                </c:pt>
                <c:pt idx="4">
                  <c:v>1.5865935631756652E-2</c:v>
                </c:pt>
              </c:numCache>
            </c:numRef>
          </c:val>
          <c:extLst>
            <c:ext xmlns:c16="http://schemas.microsoft.com/office/drawing/2014/chart" uri="{C3380CC4-5D6E-409C-BE32-E72D297353CC}">
              <c16:uniqueId val="{00000005-1EB7-4ED1-8DD6-3640ECAEC359}"/>
            </c:ext>
          </c:extLst>
        </c:ser>
        <c:dLbls>
          <c:dLblPos val="ctr"/>
          <c:showLegendKey val="0"/>
          <c:showVal val="1"/>
          <c:showCatName val="0"/>
          <c:showSerName val="0"/>
          <c:showPercent val="0"/>
          <c:showBubbleSize val="0"/>
        </c:dLbls>
        <c:gapWidth val="55"/>
        <c:overlap val="100"/>
        <c:axId val="184797824"/>
        <c:axId val="184816000"/>
        <c:extLst/>
      </c:barChart>
      <c:catAx>
        <c:axId val="1847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184816000"/>
        <c:crosses val="autoZero"/>
        <c:auto val="1"/>
        <c:lblAlgn val="ctr"/>
        <c:lblOffset val="100"/>
        <c:noMultiLvlLbl val="0"/>
      </c:catAx>
      <c:valAx>
        <c:axId val="1848160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4797824"/>
        <c:crosses val="autoZero"/>
        <c:crossBetween val="between"/>
      </c:valAx>
    </c:plotArea>
    <c:legend>
      <c:legendPos val="r"/>
      <c:layout>
        <c:manualLayout>
          <c:xMode val="edge"/>
          <c:yMode val="edge"/>
          <c:x val="4.0648144369768963E-2"/>
          <c:y val="8.9617197396970286E-2"/>
          <c:w val="0.95476563890874055"/>
          <c:h val="0.12443212398888363"/>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spc="0" baseline="0">
                <a:solidFill>
                  <a:srgbClr val="0010A6"/>
                </a:solidFill>
                <a:effectLst/>
                <a:latin typeface="+mn-lt"/>
                <a:ea typeface="+mn-ea"/>
                <a:cs typeface="+mn-cs"/>
              </a:defRPr>
            </a:pPr>
            <a:r>
              <a:rPr lang="fr-FR" sz="1200" b="0" i="0" baseline="0">
                <a:effectLst/>
              </a:rPr>
              <a:t>Graph 19: Reasons for return for returnees</a:t>
            </a:r>
            <a:endParaRPr lang="fr-FR" sz="1200">
              <a:effectLst/>
            </a:endParaRPr>
          </a:p>
        </c:rich>
      </c:tx>
      <c:overlay val="0"/>
    </c:title>
    <c:autoTitleDeleted val="0"/>
    <c:plotArea>
      <c:layout>
        <c:manualLayout>
          <c:layoutTarget val="inner"/>
          <c:xMode val="edge"/>
          <c:yMode val="edge"/>
          <c:x val="8.6335292769275929E-2"/>
          <c:y val="0.28916319594259127"/>
          <c:w val="0.89976250819473225"/>
          <c:h val="0.67215529601224633"/>
        </c:manualLayout>
      </c:layout>
      <c:barChart>
        <c:barDir val="bar"/>
        <c:grouping val="percentStacked"/>
        <c:varyColors val="0"/>
        <c:ser>
          <c:idx val="0"/>
          <c:order val="0"/>
          <c:tx>
            <c:strRef>
              <c:f>'Focus Retournees'!$R$19</c:f>
              <c:strCache>
                <c:ptCount val="1"/>
                <c:pt idx="0">
                  <c:v>Accessibility to cultivable land</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Retournees'!$S$19:$Y$19</c:f>
              <c:numCache>
                <c:formatCode>0%</c:formatCode>
                <c:ptCount val="7"/>
                <c:pt idx="0">
                  <c:v>0.18181818181818182</c:v>
                </c:pt>
                <c:pt idx="1">
                  <c:v>0.46546140087977955</c:v>
                </c:pt>
                <c:pt idx="2">
                  <c:v>0.10960819265317535</c:v>
                </c:pt>
                <c:pt idx="3">
                  <c:v>8.0213903743315509E-2</c:v>
                </c:pt>
                <c:pt idx="4">
                  <c:v>0.15789473684210525</c:v>
                </c:pt>
                <c:pt idx="5">
                  <c:v>0.6942990911594602</c:v>
                </c:pt>
                <c:pt idx="6">
                  <c:v>0.28894598505655472</c:v>
                </c:pt>
              </c:numCache>
            </c:numRef>
          </c:val>
          <c:extLst>
            <c:ext xmlns:c16="http://schemas.microsoft.com/office/drawing/2014/chart" uri="{C3380CC4-5D6E-409C-BE32-E72D297353CC}">
              <c16:uniqueId val="{00000000-A0D6-4C41-99A8-1520C29E931F}"/>
            </c:ext>
          </c:extLst>
        </c:ser>
        <c:ser>
          <c:idx val="1"/>
          <c:order val="1"/>
          <c:tx>
            <c:strRef>
              <c:f>'Focus Retournees'!$R$20</c:f>
              <c:strCache>
                <c:ptCount val="1"/>
                <c:pt idx="0">
                  <c:v>Secured zone of origin</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Retournees'!$S$20:$Y$20</c:f>
              <c:numCache>
                <c:formatCode>0%</c:formatCode>
                <c:ptCount val="7"/>
                <c:pt idx="0">
                  <c:v>4.8951048951048952E-2</c:v>
                </c:pt>
                <c:pt idx="1">
                  <c:v>0.48023718599442483</c:v>
                </c:pt>
                <c:pt idx="2">
                  <c:v>0.38150827770204931</c:v>
                </c:pt>
                <c:pt idx="3">
                  <c:v>0.75935828877005351</c:v>
                </c:pt>
                <c:pt idx="4">
                  <c:v>0.81326437480985703</c:v>
                </c:pt>
                <c:pt idx="5">
                  <c:v>0.25066556504176996</c:v>
                </c:pt>
                <c:pt idx="6">
                  <c:v>0.46713524900820019</c:v>
                </c:pt>
              </c:numCache>
            </c:numRef>
          </c:val>
          <c:extLst>
            <c:ext xmlns:c16="http://schemas.microsoft.com/office/drawing/2014/chart" uri="{C3380CC4-5D6E-409C-BE32-E72D297353CC}">
              <c16:uniqueId val="{00000001-A0D6-4C41-99A8-1520C29E931F}"/>
            </c:ext>
          </c:extLst>
        </c:ser>
        <c:ser>
          <c:idx val="2"/>
          <c:order val="2"/>
          <c:tx>
            <c:strRef>
              <c:f>'Focus Retournees'!$R$21</c:f>
              <c:strCache>
                <c:ptCount val="1"/>
                <c:pt idx="0">
                  <c:v>No assistance during the displacement</c:v>
                </c:pt>
              </c:strCache>
            </c:strRef>
          </c:tx>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Retournees'!$S$21:$Y$21</c:f>
              <c:numCache>
                <c:formatCode>0%</c:formatCode>
                <c:ptCount val="7"/>
                <c:pt idx="0">
                  <c:v>0</c:v>
                </c:pt>
                <c:pt idx="1">
                  <c:v>7.44428868371441E-3</c:v>
                </c:pt>
                <c:pt idx="2">
                  <c:v>4.9631260703925061E-3</c:v>
                </c:pt>
                <c:pt idx="3">
                  <c:v>8.0213903743315509E-2</c:v>
                </c:pt>
                <c:pt idx="4">
                  <c:v>0</c:v>
                </c:pt>
                <c:pt idx="5">
                  <c:v>6.1048379693381073E-3</c:v>
                </c:pt>
                <c:pt idx="6">
                  <c:v>5.0992784225707055E-3</c:v>
                </c:pt>
              </c:numCache>
            </c:numRef>
          </c:val>
          <c:extLst xmlns:c15="http://schemas.microsoft.com/office/drawing/2012/chart">
            <c:ext xmlns:c16="http://schemas.microsoft.com/office/drawing/2014/chart" uri="{C3380CC4-5D6E-409C-BE32-E72D297353CC}">
              <c16:uniqueId val="{00000002-A0D6-4C41-99A8-1520C29E931F}"/>
            </c:ext>
          </c:extLst>
        </c:ser>
        <c:ser>
          <c:idx val="3"/>
          <c:order val="3"/>
          <c:tx>
            <c:strRef>
              <c:f>'Focus Retournees'!$R$22</c:f>
              <c:strCache>
                <c:ptCount val="1"/>
                <c:pt idx="0">
                  <c:v>Lack of livelihoods in the displacement area</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Retournees'!$S$22:$Y$22</c:f>
              <c:numCache>
                <c:formatCode>0%</c:formatCode>
                <c:ptCount val="7"/>
                <c:pt idx="0">
                  <c:v>2.331002331002331E-3</c:v>
                </c:pt>
                <c:pt idx="1">
                  <c:v>8.3305135270137446E-3</c:v>
                </c:pt>
                <c:pt idx="2">
                  <c:v>0.28095254738853354</c:v>
                </c:pt>
                <c:pt idx="3">
                  <c:v>8.0213903743315509E-2</c:v>
                </c:pt>
                <c:pt idx="4">
                  <c:v>2.8323699421965318E-2</c:v>
                </c:pt>
                <c:pt idx="5">
                  <c:v>7.3441659781511067E-4</c:v>
                </c:pt>
                <c:pt idx="6">
                  <c:v>0.12598072512132935</c:v>
                </c:pt>
              </c:numCache>
            </c:numRef>
          </c:val>
          <c:extLst>
            <c:ext xmlns:c16="http://schemas.microsoft.com/office/drawing/2014/chart" uri="{C3380CC4-5D6E-409C-BE32-E72D297353CC}">
              <c16:uniqueId val="{00000003-A0D6-4C41-99A8-1520C29E931F}"/>
            </c:ext>
          </c:extLst>
        </c:ser>
        <c:ser>
          <c:idx val="4"/>
          <c:order val="4"/>
          <c:tx>
            <c:strRef>
              <c:f>'Focus Retournees'!$R$23</c:f>
              <c:strCache>
                <c:ptCount val="1"/>
                <c:pt idx="0">
                  <c:v>Little or no access to basic services in the place of displacement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Retournees'!$S$23:$Y$23</c:f>
              <c:numCache>
                <c:formatCode>0%</c:formatCode>
                <c:ptCount val="7"/>
                <c:pt idx="0">
                  <c:v>0</c:v>
                </c:pt>
                <c:pt idx="1">
                  <c:v>1.1682054752582136E-2</c:v>
                </c:pt>
                <c:pt idx="2">
                  <c:v>0</c:v>
                </c:pt>
                <c:pt idx="3">
                  <c:v>0</c:v>
                </c:pt>
                <c:pt idx="4">
                  <c:v>0</c:v>
                </c:pt>
                <c:pt idx="5">
                  <c:v>5.9671348572477737E-4</c:v>
                </c:pt>
                <c:pt idx="6">
                  <c:v>3.6324975635687075E-3</c:v>
                </c:pt>
              </c:numCache>
            </c:numRef>
          </c:val>
          <c:extLst>
            <c:ext xmlns:c16="http://schemas.microsoft.com/office/drawing/2014/chart" uri="{C3380CC4-5D6E-409C-BE32-E72D297353CC}">
              <c16:uniqueId val="{00000004-A0D6-4C41-99A8-1520C29E931F}"/>
            </c:ext>
          </c:extLst>
        </c:ser>
        <c:ser>
          <c:idx val="5"/>
          <c:order val="5"/>
          <c:tx>
            <c:strRef>
              <c:f>'Focus Retournees'!$R$24</c:f>
              <c:strCache>
                <c:ptCount val="1"/>
                <c:pt idx="0">
                  <c:v>Return upon order by military or civil authorities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Retournees'!$S$24:$Y$24</c:f>
              <c:numCache>
                <c:formatCode>0%</c:formatCode>
                <c:ptCount val="7"/>
                <c:pt idx="0">
                  <c:v>0</c:v>
                </c:pt>
                <c:pt idx="1">
                  <c:v>4.2861056057749633E-3</c:v>
                </c:pt>
                <c:pt idx="2">
                  <c:v>3.0314680833711975E-2</c:v>
                </c:pt>
                <c:pt idx="3">
                  <c:v>0</c:v>
                </c:pt>
                <c:pt idx="4">
                  <c:v>0</c:v>
                </c:pt>
                <c:pt idx="5">
                  <c:v>6.885155604516662E-4</c:v>
                </c:pt>
                <c:pt idx="6">
                  <c:v>1.4190366498331414E-2</c:v>
                </c:pt>
              </c:numCache>
            </c:numRef>
          </c:val>
          <c:extLst>
            <c:ext xmlns:c16="http://schemas.microsoft.com/office/drawing/2014/chart" uri="{C3380CC4-5D6E-409C-BE32-E72D297353CC}">
              <c16:uniqueId val="{00000005-A0D6-4C41-99A8-1520C29E931F}"/>
            </c:ext>
          </c:extLst>
        </c:ser>
        <c:ser>
          <c:idx val="6"/>
          <c:order val="6"/>
          <c:tx>
            <c:strRef>
              <c:f>'Focus Retournees'!$R$25</c:f>
              <c:strCache>
                <c:ptCount val="1"/>
                <c:pt idx="0">
                  <c:v>Unsecured hosting place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Retournees'!$S$25:$Y$25</c:f>
              <c:numCache>
                <c:formatCode>0%</c:formatCode>
                <c:ptCount val="7"/>
                <c:pt idx="0">
                  <c:v>0</c:v>
                </c:pt>
                <c:pt idx="1">
                  <c:v>2.110826444949324E-3</c:v>
                </c:pt>
                <c:pt idx="2">
                  <c:v>5.4174967669777356E-3</c:v>
                </c:pt>
                <c:pt idx="3">
                  <c:v>0</c:v>
                </c:pt>
                <c:pt idx="4">
                  <c:v>0</c:v>
                </c:pt>
                <c:pt idx="5">
                  <c:v>4.6819058110713303E-2</c:v>
                </c:pt>
                <c:pt idx="6">
                  <c:v>7.954086805863186E-3</c:v>
                </c:pt>
              </c:numCache>
            </c:numRef>
          </c:val>
          <c:extLst>
            <c:ext xmlns:c16="http://schemas.microsoft.com/office/drawing/2014/chart" uri="{C3380CC4-5D6E-409C-BE32-E72D297353CC}">
              <c16:uniqueId val="{00000006-A0D6-4C41-99A8-1520C29E931F}"/>
            </c:ext>
          </c:extLst>
        </c:ser>
        <c:ser>
          <c:idx val="7"/>
          <c:order val="7"/>
          <c:tx>
            <c:strRef>
              <c:f>'Focus Retournees'!$R$26</c:f>
              <c:strCache>
                <c:ptCount val="1"/>
                <c:pt idx="0">
                  <c:v>Host communities unable to help further</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Retournees'!$S$26:$Y$26</c:f>
              <c:numCache>
                <c:formatCode>0%</c:formatCode>
                <c:ptCount val="7"/>
                <c:pt idx="0">
                  <c:v>0</c:v>
                </c:pt>
                <c:pt idx="1">
                  <c:v>0</c:v>
                </c:pt>
                <c:pt idx="2">
                  <c:v>0.15364719862989759</c:v>
                </c:pt>
                <c:pt idx="3">
                  <c:v>0</c:v>
                </c:pt>
                <c:pt idx="4">
                  <c:v>0</c:v>
                </c:pt>
                <c:pt idx="5">
                  <c:v>0</c:v>
                </c:pt>
                <c:pt idx="6">
                  <c:v>6.491243613596763E-2</c:v>
                </c:pt>
              </c:numCache>
            </c:numRef>
          </c:val>
          <c:extLst>
            <c:ext xmlns:c16="http://schemas.microsoft.com/office/drawing/2014/chart" uri="{C3380CC4-5D6E-409C-BE32-E72D297353CC}">
              <c16:uniqueId val="{00000007-A0D6-4C41-99A8-1520C29E931F}"/>
            </c:ext>
          </c:extLst>
        </c:ser>
        <c:ser>
          <c:idx val="8"/>
          <c:order val="8"/>
          <c:tx>
            <c:strRef>
              <c:f>'Focus Retournees'!$R$27</c:f>
              <c:strCache>
                <c:ptCount val="1"/>
                <c:pt idx="0">
                  <c:v>Tensions with host communities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Retournees'!$S$27:$Y$27</c:f>
              <c:numCache>
                <c:formatCode>0%</c:formatCode>
                <c:ptCount val="7"/>
                <c:pt idx="0">
                  <c:v>0.76689976689976691</c:v>
                </c:pt>
                <c:pt idx="1">
                  <c:v>0</c:v>
                </c:pt>
                <c:pt idx="2">
                  <c:v>0</c:v>
                </c:pt>
                <c:pt idx="3">
                  <c:v>0</c:v>
                </c:pt>
                <c:pt idx="4">
                  <c:v>0</c:v>
                </c:pt>
                <c:pt idx="5">
                  <c:v>0</c:v>
                </c:pt>
                <c:pt idx="6">
                  <c:v>1.6193654450055619E-3</c:v>
                </c:pt>
              </c:numCache>
            </c:numRef>
          </c:val>
          <c:extLst>
            <c:ext xmlns:c16="http://schemas.microsoft.com/office/drawing/2014/chart" uri="{C3380CC4-5D6E-409C-BE32-E72D297353CC}">
              <c16:uniqueId val="{00000008-A0D6-4C41-99A8-1520C29E931F}"/>
            </c:ext>
          </c:extLst>
        </c:ser>
        <c:ser>
          <c:idx val="9"/>
          <c:order val="9"/>
          <c:tx>
            <c:strRef>
              <c:f>'Focus Retournees'!$R$28</c:f>
              <c:strCache>
                <c:ptCount val="1"/>
                <c:pt idx="0">
                  <c:v>Other</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Retournees'!$S$28:$Y$28</c:f>
              <c:numCache>
                <c:formatCode>0%</c:formatCode>
                <c:ptCount val="7"/>
                <c:pt idx="0">
                  <c:v>0</c:v>
                </c:pt>
                <c:pt idx="1">
                  <c:v>2.0447624111761008E-2</c:v>
                </c:pt>
                <c:pt idx="2">
                  <c:v>3.3588479955261964E-2</c:v>
                </c:pt>
                <c:pt idx="3">
                  <c:v>0</c:v>
                </c:pt>
                <c:pt idx="4">
                  <c:v>5.171889260724065E-4</c:v>
                </c:pt>
                <c:pt idx="5">
                  <c:v>9.1802074726888834E-5</c:v>
                </c:pt>
                <c:pt idx="6">
                  <c:v>2.0530009942608507E-2</c:v>
                </c:pt>
              </c:numCache>
            </c:numRef>
          </c:val>
          <c:extLst>
            <c:ext xmlns:c16="http://schemas.microsoft.com/office/drawing/2014/chart" uri="{C3380CC4-5D6E-409C-BE32-E72D297353CC}">
              <c16:uniqueId val="{00000002-160F-4749-AD7F-9C6DC98DFC95}"/>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crossAx val="180843264"/>
        <c:crosses val="autoZero"/>
        <c:auto val="1"/>
        <c:lblAlgn val="ctr"/>
        <c:lblOffset val="100"/>
        <c:noMultiLvlLbl val="0"/>
      </c:catAx>
      <c:valAx>
        <c:axId val="180843264"/>
        <c:scaling>
          <c:orientation val="minMax"/>
        </c:scaling>
        <c:delete val="1"/>
        <c:axPos val="b"/>
        <c:majorGridlines/>
        <c:numFmt formatCode="0%" sourceLinked="1"/>
        <c:majorTickMark val="out"/>
        <c:minorTickMark val="none"/>
        <c:tickLblPos val="nextTo"/>
        <c:crossAx val="180841472"/>
        <c:crosses val="autoZero"/>
        <c:crossBetween val="between"/>
      </c:valAx>
    </c:plotArea>
    <c:legend>
      <c:legendPos val="t"/>
      <c:layout>
        <c:manualLayout>
          <c:xMode val="edge"/>
          <c:yMode val="edge"/>
          <c:x val="0.12664945477076417"/>
          <c:y val="8.65014504392667E-2"/>
          <c:w val="0.83607893963836954"/>
          <c:h val="0.21495348087511448"/>
        </c:manualLayout>
      </c:layout>
      <c:overlay val="0"/>
      <c:txPr>
        <a:bodyPr/>
        <a:lstStyle/>
        <a:p>
          <a:pPr>
            <a:defRPr sz="11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lang="fr-FR" sz="1100" b="0" i="0" u="none" strike="noStrike" kern="1200" spc="0" baseline="0">
                <a:solidFill>
                  <a:srgbClr val="0010A6"/>
                </a:solidFill>
                <a:effectLst/>
                <a:latin typeface="+mn-lt"/>
                <a:ea typeface="+mn-ea"/>
                <a:cs typeface="+mn-cs"/>
              </a:defRPr>
            </a:pPr>
            <a:r>
              <a:rPr lang="fr-FR" sz="1100" b="0" i="0" baseline="0">
                <a:effectLst/>
                <a:latin typeface="Gill Sans MT" panose="020B0502020104020203" pitchFamily="34" charset="0"/>
              </a:rPr>
              <a:t>Graphique 19 : Motifs de retour des populations retournées, par département</a:t>
            </a:r>
            <a:endParaRPr lang="fr-FR" sz="1100">
              <a:effectLst/>
              <a:latin typeface="Gill Sans MT" panose="020B0502020104020203" pitchFamily="34" charset="0"/>
            </a:endParaRPr>
          </a:p>
        </c:rich>
      </c:tx>
      <c:overlay val="0"/>
    </c:title>
    <c:autoTitleDeleted val="0"/>
    <c:plotArea>
      <c:layout>
        <c:manualLayout>
          <c:layoutTarget val="inner"/>
          <c:xMode val="edge"/>
          <c:yMode val="edge"/>
          <c:x val="0.1612995325439045"/>
          <c:y val="0.29670738392998469"/>
          <c:w val="0.81842687933239111"/>
          <c:h val="0.70302833384616892"/>
        </c:manualLayout>
      </c:layout>
      <c:barChart>
        <c:barDir val="bar"/>
        <c:grouping val="percentStacked"/>
        <c:varyColors val="0"/>
        <c:ser>
          <c:idx val="0"/>
          <c:order val="0"/>
          <c:tx>
            <c:strRef>
              <c:f>'Focus Retournees'!$F$19</c:f>
              <c:strCache>
                <c:ptCount val="1"/>
                <c:pt idx="0">
                  <c:v>Accès à la terre cultivable dans la zone de retour</c:v>
                </c:pt>
              </c:strCache>
            </c:strRef>
          </c:tx>
          <c:spPr>
            <a:solidFill>
              <a:srgbClr val="A9500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Retournees'!$G$19:$M$19</c:f>
              <c:numCache>
                <c:formatCode>0%</c:formatCode>
                <c:ptCount val="7"/>
                <c:pt idx="0">
                  <c:v>0.18181818181818182</c:v>
                </c:pt>
                <c:pt idx="1">
                  <c:v>0.46546140087977955</c:v>
                </c:pt>
                <c:pt idx="2">
                  <c:v>0.10960819265317535</c:v>
                </c:pt>
                <c:pt idx="3">
                  <c:v>8.0213903743315509E-2</c:v>
                </c:pt>
                <c:pt idx="4">
                  <c:v>0.15789473684210525</c:v>
                </c:pt>
                <c:pt idx="5">
                  <c:v>0.6942990911594602</c:v>
                </c:pt>
                <c:pt idx="6">
                  <c:v>0.28894598505655472</c:v>
                </c:pt>
              </c:numCache>
            </c:numRef>
          </c:val>
          <c:extLst>
            <c:ext xmlns:c16="http://schemas.microsoft.com/office/drawing/2014/chart" uri="{C3380CC4-5D6E-409C-BE32-E72D297353CC}">
              <c16:uniqueId val="{00000000-597B-4DB2-9B20-B82428D09A17}"/>
            </c:ext>
          </c:extLst>
        </c:ser>
        <c:ser>
          <c:idx val="1"/>
          <c:order val="1"/>
          <c:tx>
            <c:strRef>
              <c:f>'Focus Retournees'!$F$20</c:f>
              <c:strCache>
                <c:ptCount val="1"/>
                <c:pt idx="0">
                  <c:v>Zone de retour sécurisée</c:v>
                </c:pt>
              </c:strCache>
            </c:strRef>
          </c:tx>
          <c:spPr>
            <a:solidFill>
              <a:srgbClr val="C45D0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Retournees'!$G$20:$M$20</c:f>
              <c:numCache>
                <c:formatCode>0%</c:formatCode>
                <c:ptCount val="7"/>
                <c:pt idx="0">
                  <c:v>4.8951048951048952E-2</c:v>
                </c:pt>
                <c:pt idx="1">
                  <c:v>0.48023718599442483</c:v>
                </c:pt>
                <c:pt idx="2">
                  <c:v>0.38150827770204931</c:v>
                </c:pt>
                <c:pt idx="3">
                  <c:v>0.75935828877005351</c:v>
                </c:pt>
                <c:pt idx="4">
                  <c:v>0.81326437480985703</c:v>
                </c:pt>
                <c:pt idx="5">
                  <c:v>0.25066556504176996</c:v>
                </c:pt>
                <c:pt idx="6">
                  <c:v>0.46713524900820019</c:v>
                </c:pt>
              </c:numCache>
            </c:numRef>
          </c:val>
          <c:extLst>
            <c:ext xmlns:c16="http://schemas.microsoft.com/office/drawing/2014/chart" uri="{C3380CC4-5D6E-409C-BE32-E72D297353CC}">
              <c16:uniqueId val="{00000001-597B-4DB2-9B20-B82428D09A17}"/>
            </c:ext>
          </c:extLst>
        </c:ser>
        <c:ser>
          <c:idx val="2"/>
          <c:order val="2"/>
          <c:tx>
            <c:strRef>
              <c:f>'Focus Retournees'!$F$21</c:f>
              <c:strCache>
                <c:ptCount val="1"/>
                <c:pt idx="0">
                  <c:v>Pas d’assistance dans le lieu de déplacement</c:v>
                </c:pt>
              </c:strCache>
            </c:strRef>
          </c:tx>
          <c:spPr>
            <a:solidFill>
              <a:srgbClr val="F57E1B"/>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Retournees'!$G$21:$M$21</c:f>
              <c:numCache>
                <c:formatCode>0%</c:formatCode>
                <c:ptCount val="7"/>
                <c:pt idx="0">
                  <c:v>0</c:v>
                </c:pt>
                <c:pt idx="1">
                  <c:v>7.44428868371441E-3</c:v>
                </c:pt>
                <c:pt idx="2">
                  <c:v>4.9631260703925061E-3</c:v>
                </c:pt>
                <c:pt idx="3">
                  <c:v>8.0213903743315509E-2</c:v>
                </c:pt>
                <c:pt idx="4">
                  <c:v>0</c:v>
                </c:pt>
                <c:pt idx="5">
                  <c:v>6.1048379693381073E-3</c:v>
                </c:pt>
                <c:pt idx="6">
                  <c:v>5.0992784225707055E-3</c:v>
                </c:pt>
              </c:numCache>
            </c:numRef>
          </c:val>
          <c:extLst xmlns:c15="http://schemas.microsoft.com/office/drawing/2012/chart">
            <c:ext xmlns:c16="http://schemas.microsoft.com/office/drawing/2014/chart" uri="{C3380CC4-5D6E-409C-BE32-E72D297353CC}">
              <c16:uniqueId val="{00000005-597B-4DB2-9B20-B82428D09A17}"/>
            </c:ext>
          </c:extLst>
        </c:ser>
        <c:ser>
          <c:idx val="3"/>
          <c:order val="3"/>
          <c:tx>
            <c:strRef>
              <c:f>'Focus Retournees'!$F$22</c:f>
              <c:strCache>
                <c:ptCount val="1"/>
                <c:pt idx="0">
                  <c:v>Manque de moyens de subsistance dans le lieu de déplacement</c:v>
                </c:pt>
              </c:strCache>
            </c:strRef>
          </c:tx>
          <c:spPr>
            <a:solidFill>
              <a:srgbClr val="F8A15A"/>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Retournees'!$G$22:$M$22</c:f>
              <c:numCache>
                <c:formatCode>0%</c:formatCode>
                <c:ptCount val="7"/>
                <c:pt idx="0">
                  <c:v>2.331002331002331E-3</c:v>
                </c:pt>
                <c:pt idx="1">
                  <c:v>8.3305135270137446E-3</c:v>
                </c:pt>
                <c:pt idx="2">
                  <c:v>0.28095254738853354</c:v>
                </c:pt>
                <c:pt idx="3">
                  <c:v>8.0213903743315509E-2</c:v>
                </c:pt>
                <c:pt idx="4">
                  <c:v>2.8323699421965318E-2</c:v>
                </c:pt>
                <c:pt idx="5">
                  <c:v>7.3441659781511067E-4</c:v>
                </c:pt>
                <c:pt idx="6">
                  <c:v>0.12598072512132935</c:v>
                </c:pt>
              </c:numCache>
            </c:numRef>
          </c:val>
          <c:extLst>
            <c:ext xmlns:c16="http://schemas.microsoft.com/office/drawing/2014/chart" uri="{C3380CC4-5D6E-409C-BE32-E72D297353CC}">
              <c16:uniqueId val="{0000000C-597B-4DB2-9B20-B82428D09A17}"/>
            </c:ext>
          </c:extLst>
        </c:ser>
        <c:ser>
          <c:idx val="4"/>
          <c:order val="4"/>
          <c:tx>
            <c:strRef>
              <c:f>'Focus Retournees'!$F$23</c:f>
              <c:strCache>
                <c:ptCount val="1"/>
                <c:pt idx="0">
                  <c:v>Pas ou très peu d’accès aux services de bases dans le lieu de déplacement</c:v>
                </c:pt>
              </c:strCache>
            </c:strRef>
          </c:tx>
          <c:spPr>
            <a:solidFill>
              <a:srgbClr val="FBCBA3"/>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Retournees'!$G$23:$M$23</c:f>
              <c:numCache>
                <c:formatCode>0%</c:formatCode>
                <c:ptCount val="7"/>
                <c:pt idx="0">
                  <c:v>0</c:v>
                </c:pt>
                <c:pt idx="1">
                  <c:v>1.1682054752582136E-2</c:v>
                </c:pt>
                <c:pt idx="2">
                  <c:v>0</c:v>
                </c:pt>
                <c:pt idx="3">
                  <c:v>0</c:v>
                </c:pt>
                <c:pt idx="4">
                  <c:v>0</c:v>
                </c:pt>
                <c:pt idx="5">
                  <c:v>5.9671348572477737E-4</c:v>
                </c:pt>
                <c:pt idx="6">
                  <c:v>3.6324975635687075E-3</c:v>
                </c:pt>
              </c:numCache>
            </c:numRef>
          </c:val>
          <c:extLst>
            <c:ext xmlns:c16="http://schemas.microsoft.com/office/drawing/2014/chart" uri="{C3380CC4-5D6E-409C-BE32-E72D297353CC}">
              <c16:uniqueId val="{00000013-597B-4DB2-9B20-B82428D09A17}"/>
            </c:ext>
          </c:extLst>
        </c:ser>
        <c:ser>
          <c:idx val="5"/>
          <c:order val="5"/>
          <c:tx>
            <c:strRef>
              <c:f>'Focus Retournees'!$F$24</c:f>
              <c:strCache>
                <c:ptCount val="1"/>
                <c:pt idx="0">
                  <c:v>Retour sur ordre des autorités militaires/civiles</c:v>
                </c:pt>
              </c:strCache>
            </c:strRef>
          </c:tx>
          <c:spPr>
            <a:solidFill>
              <a:srgbClr val="FDE2CB"/>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Retournees'!$G$24:$M$24</c:f>
              <c:numCache>
                <c:formatCode>0%</c:formatCode>
                <c:ptCount val="7"/>
                <c:pt idx="0">
                  <c:v>0</c:v>
                </c:pt>
                <c:pt idx="1">
                  <c:v>4.2861056057749633E-3</c:v>
                </c:pt>
                <c:pt idx="2">
                  <c:v>3.0314680833711975E-2</c:v>
                </c:pt>
                <c:pt idx="3">
                  <c:v>0</c:v>
                </c:pt>
                <c:pt idx="4">
                  <c:v>0</c:v>
                </c:pt>
                <c:pt idx="5">
                  <c:v>6.885155604516662E-4</c:v>
                </c:pt>
                <c:pt idx="6">
                  <c:v>1.4190366498331414E-2</c:v>
                </c:pt>
              </c:numCache>
            </c:numRef>
          </c:val>
          <c:extLst>
            <c:ext xmlns:c16="http://schemas.microsoft.com/office/drawing/2014/chart" uri="{C3380CC4-5D6E-409C-BE32-E72D297353CC}">
              <c16:uniqueId val="{0000001A-597B-4DB2-9B20-B82428D09A17}"/>
            </c:ext>
          </c:extLst>
        </c:ser>
        <c:ser>
          <c:idx val="6"/>
          <c:order val="6"/>
          <c:tx>
            <c:strRef>
              <c:f>'Focus Retournees'!$F$25</c:f>
              <c:strCache>
                <c:ptCount val="1"/>
                <c:pt idx="0">
                  <c:v>Le lieu de déplacement n’est plus sécurisé</c:v>
                </c:pt>
              </c:strCache>
            </c:strRef>
          </c:tx>
          <c:spPr>
            <a:solidFill>
              <a:srgbClr val="FDE8D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Retournees'!$G$25:$M$25</c:f>
              <c:numCache>
                <c:formatCode>0%</c:formatCode>
                <c:ptCount val="7"/>
                <c:pt idx="0">
                  <c:v>0</c:v>
                </c:pt>
                <c:pt idx="1">
                  <c:v>2.110826444949324E-3</c:v>
                </c:pt>
                <c:pt idx="2">
                  <c:v>5.4174967669777356E-3</c:v>
                </c:pt>
                <c:pt idx="3">
                  <c:v>0</c:v>
                </c:pt>
                <c:pt idx="4">
                  <c:v>0</c:v>
                </c:pt>
                <c:pt idx="5">
                  <c:v>4.6819058110713303E-2</c:v>
                </c:pt>
                <c:pt idx="6">
                  <c:v>7.954086805863186E-3</c:v>
                </c:pt>
              </c:numCache>
            </c:numRef>
          </c:val>
          <c:extLst>
            <c:ext xmlns:c16="http://schemas.microsoft.com/office/drawing/2014/chart" uri="{C3380CC4-5D6E-409C-BE32-E72D297353CC}">
              <c16:uniqueId val="{0000001F-597B-4DB2-9B20-B82428D09A17}"/>
            </c:ext>
          </c:extLst>
        </c:ser>
        <c:ser>
          <c:idx val="7"/>
          <c:order val="7"/>
          <c:tx>
            <c:strRef>
              <c:f>'Focus Retournees'!$F$26</c:f>
              <c:strCache>
                <c:ptCount val="1"/>
                <c:pt idx="0">
                  <c:v>Communautés hôtes ne peuvent plus nous accueillir</c:v>
                </c:pt>
              </c:strCache>
            </c:strRef>
          </c:tx>
          <c:spPr>
            <a:solidFill>
              <a:srgbClr val="FEF1E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Retournees'!$G$26:$M$26</c:f>
              <c:numCache>
                <c:formatCode>0%</c:formatCode>
                <c:ptCount val="7"/>
                <c:pt idx="0">
                  <c:v>0</c:v>
                </c:pt>
                <c:pt idx="1">
                  <c:v>0</c:v>
                </c:pt>
                <c:pt idx="2">
                  <c:v>0.15364719862989759</c:v>
                </c:pt>
                <c:pt idx="3">
                  <c:v>0</c:v>
                </c:pt>
                <c:pt idx="4">
                  <c:v>0</c:v>
                </c:pt>
                <c:pt idx="5">
                  <c:v>0</c:v>
                </c:pt>
                <c:pt idx="6">
                  <c:v>6.491243613596763E-2</c:v>
                </c:pt>
              </c:numCache>
            </c:numRef>
          </c:val>
          <c:extLst xmlns:c15="http://schemas.microsoft.com/office/drawing/2012/chart">
            <c:ext xmlns:c16="http://schemas.microsoft.com/office/drawing/2014/chart" uri="{C3380CC4-5D6E-409C-BE32-E72D297353CC}">
              <c16:uniqueId val="{00000026-597B-4DB2-9B20-B82428D09A17}"/>
            </c:ext>
          </c:extLst>
        </c:ser>
        <c:ser>
          <c:idx val="8"/>
          <c:order val="8"/>
          <c:tx>
            <c:strRef>
              <c:f>'Focus Retournees'!$F$27</c:f>
              <c:strCache>
                <c:ptCount val="1"/>
                <c:pt idx="0">
                  <c:v>Tensions avec les communautés hôtes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Retournees'!$G$27:$M$27</c:f>
              <c:numCache>
                <c:formatCode>0%</c:formatCode>
                <c:ptCount val="7"/>
                <c:pt idx="0">
                  <c:v>0.76689976689976691</c:v>
                </c:pt>
                <c:pt idx="1">
                  <c:v>0</c:v>
                </c:pt>
                <c:pt idx="2">
                  <c:v>0</c:v>
                </c:pt>
                <c:pt idx="3">
                  <c:v>0</c:v>
                </c:pt>
                <c:pt idx="4">
                  <c:v>0</c:v>
                </c:pt>
                <c:pt idx="5">
                  <c:v>0</c:v>
                </c:pt>
                <c:pt idx="6">
                  <c:v>1.6193654450055619E-3</c:v>
                </c:pt>
              </c:numCache>
            </c:numRef>
          </c:val>
          <c:extLst xmlns:c15="http://schemas.microsoft.com/office/drawing/2012/chart">
            <c:ext xmlns:c16="http://schemas.microsoft.com/office/drawing/2014/chart" uri="{C3380CC4-5D6E-409C-BE32-E72D297353CC}">
              <c16:uniqueId val="{0000002C-597B-4DB2-9B20-B82428D09A17}"/>
            </c:ext>
          </c:extLst>
        </c:ser>
        <c:ser>
          <c:idx val="9"/>
          <c:order val="9"/>
          <c:tx>
            <c:strRef>
              <c:f>'Focus Retournees'!$F$28</c:f>
              <c:strCache>
                <c:ptCount val="1"/>
                <c:pt idx="0">
                  <c:v>Autre</c:v>
                </c:pt>
              </c:strCache>
            </c:strRef>
          </c:tx>
          <c:spPr>
            <a:solidFill>
              <a:srgbClr val="FFF8F3"/>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Retournees'!$G$28:$M$28</c:f>
              <c:numCache>
                <c:formatCode>0%</c:formatCode>
                <c:ptCount val="7"/>
                <c:pt idx="0">
                  <c:v>0</c:v>
                </c:pt>
                <c:pt idx="1">
                  <c:v>2.0447624111761008E-2</c:v>
                </c:pt>
                <c:pt idx="2">
                  <c:v>3.3588479955261964E-2</c:v>
                </c:pt>
                <c:pt idx="3">
                  <c:v>0</c:v>
                </c:pt>
                <c:pt idx="4">
                  <c:v>5.171889260724065E-4</c:v>
                </c:pt>
                <c:pt idx="5">
                  <c:v>9.1802074726888834E-5</c:v>
                </c:pt>
                <c:pt idx="6">
                  <c:v>2.0530009942608507E-2</c:v>
                </c:pt>
              </c:numCache>
            </c:numRef>
          </c:val>
          <c:extLst>
            <c:ext xmlns:c16="http://schemas.microsoft.com/office/drawing/2014/chart" uri="{C3380CC4-5D6E-409C-BE32-E72D297353CC}">
              <c16:uniqueId val="{00000001-44D8-4F7F-8899-47EA74D36ED7}"/>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txPr>
          <a:bodyPr/>
          <a:lstStyle/>
          <a:p>
            <a:pPr>
              <a:defRPr sz="900"/>
            </a:pPr>
            <a:endParaRPr lang="en-CH"/>
          </a:p>
        </c:txPr>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plotArea>
    <c:legend>
      <c:legendPos val="t"/>
      <c:layout>
        <c:manualLayout>
          <c:xMode val="edge"/>
          <c:yMode val="edge"/>
          <c:x val="0.16508657366285295"/>
          <c:y val="9.0053951589384659E-2"/>
          <c:w val="0.83491343935335016"/>
          <c:h val="0.21018698925663951"/>
        </c:manualLayout>
      </c:layout>
      <c:overlay val="0"/>
      <c:txPr>
        <a:bodyPr/>
        <a:lstStyle/>
        <a:p>
          <a:pPr>
            <a:defRPr sz="105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Gill Sans MT" panose="020B0502020104020203" pitchFamily="34" charset="0"/>
                <a:ea typeface="+mn-ea"/>
                <a:cs typeface="+mn-cs"/>
              </a:defRPr>
            </a:pPr>
            <a:r>
              <a:rPr lang="fr-FR" sz="1200" b="0" i="0" baseline="0">
                <a:effectLst/>
                <a:latin typeface="Gill Sans MT" panose="020B0502020104020203" pitchFamily="34" charset="0"/>
              </a:rPr>
              <a:t>Graphique 20 : La durée du déplacement pour la majorité des retournés présents dans la localité de provenance par département</a:t>
            </a:r>
            <a:endParaRPr lang="fr-FR" sz="1200">
              <a:effectLst/>
              <a:latin typeface="Gill Sans MT" panose="020B0502020104020203" pitchFamily="34" charset="0"/>
            </a:endParaRPr>
          </a:p>
        </c:rich>
      </c:tx>
      <c:overlay val="0"/>
      <c:spPr>
        <a:noFill/>
        <a:ln>
          <a:noFill/>
        </a:ln>
        <a:effectLst/>
      </c:spPr>
      <c:txPr>
        <a:bodyPr rot="0" spcFirstLastPara="1" vertOverflow="ellipsis" vert="horz" wrap="square" anchor="ctr" anchorCtr="1"/>
        <a:lstStyle/>
        <a:p>
          <a:pPr algn="ctr" rtl="0">
            <a:defRPr lang="fr-FR" sz="1200" b="0" i="0" u="none" strike="noStrike" kern="1200" spc="0" baseline="0">
              <a:solidFill>
                <a:srgbClr val="0010A6"/>
              </a:solidFill>
              <a:effectLst/>
              <a:latin typeface="Gill Sans MT" panose="020B0502020104020203" pitchFamily="34" charset="0"/>
              <a:ea typeface="+mn-ea"/>
              <a:cs typeface="+mn-cs"/>
            </a:defRPr>
          </a:pPr>
          <a:endParaRPr lang="en-CH"/>
        </a:p>
      </c:txPr>
    </c:title>
    <c:autoTitleDeleted val="0"/>
    <c:plotArea>
      <c:layout>
        <c:manualLayout>
          <c:layoutTarget val="inner"/>
          <c:xMode val="edge"/>
          <c:yMode val="edge"/>
          <c:x val="0.1612995325439045"/>
          <c:y val="0.20799779696939361"/>
          <c:w val="0.81842687933239111"/>
          <c:h val="0.79173804255819935"/>
        </c:manualLayout>
      </c:layout>
      <c:barChart>
        <c:barDir val="bar"/>
        <c:grouping val="percentStacked"/>
        <c:varyColors val="0"/>
        <c:ser>
          <c:idx val="0"/>
          <c:order val="0"/>
          <c:tx>
            <c:strRef>
              <c:f>'Focus Retournees'!$F$109</c:f>
              <c:strCache>
                <c:ptCount val="1"/>
                <c:pt idx="0">
                  <c:v>5 ans ou plus</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Retournees'!$G$109:$L$109</c:f>
              <c:numCache>
                <c:formatCode>0%</c:formatCode>
                <c:ptCount val="6"/>
                <c:pt idx="0">
                  <c:v>1</c:v>
                </c:pt>
                <c:pt idx="1">
                  <c:v>4.2989961489502265E-2</c:v>
                </c:pt>
                <c:pt idx="2">
                  <c:v>0</c:v>
                </c:pt>
                <c:pt idx="3">
                  <c:v>3.2085561497326207E-2</c:v>
                </c:pt>
                <c:pt idx="4">
                  <c:v>8.7100699726194095E-2</c:v>
                </c:pt>
                <c:pt idx="5">
                  <c:v>0.26861287065087669</c:v>
                </c:pt>
              </c:numCache>
            </c:numRef>
          </c:val>
          <c:extLst>
            <c:ext xmlns:c16="http://schemas.microsoft.com/office/drawing/2014/chart" uri="{C3380CC4-5D6E-409C-BE32-E72D297353CC}">
              <c16:uniqueId val="{00000000-8332-4382-85EE-3FDA15DB5B95}"/>
            </c:ext>
          </c:extLst>
        </c:ser>
        <c:ser>
          <c:idx val="1"/>
          <c:order val="1"/>
          <c:tx>
            <c:strRef>
              <c:f>'Focus Retournees'!$F$110</c:f>
              <c:strCache>
                <c:ptCount val="1"/>
                <c:pt idx="0">
                  <c:v>entre 1 et 5 ans</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Retournees'!$G$110:$L$110</c:f>
              <c:numCache>
                <c:formatCode>0%</c:formatCode>
                <c:ptCount val="6"/>
                <c:pt idx="0">
                  <c:v>0</c:v>
                </c:pt>
                <c:pt idx="1">
                  <c:v>0.3847504874236638</c:v>
                </c:pt>
                <c:pt idx="2">
                  <c:v>4.2221523190381319E-2</c:v>
                </c:pt>
                <c:pt idx="3">
                  <c:v>0.5401069518716578</c:v>
                </c:pt>
                <c:pt idx="4">
                  <c:v>0.85360511104350467</c:v>
                </c:pt>
                <c:pt idx="5">
                  <c:v>0.56595979069126967</c:v>
                </c:pt>
              </c:numCache>
            </c:numRef>
          </c:val>
          <c:extLst>
            <c:ext xmlns:c16="http://schemas.microsoft.com/office/drawing/2014/chart" uri="{C3380CC4-5D6E-409C-BE32-E72D297353CC}">
              <c16:uniqueId val="{00000001-8332-4382-85EE-3FDA15DB5B95}"/>
            </c:ext>
          </c:extLst>
        </c:ser>
        <c:ser>
          <c:idx val="2"/>
          <c:order val="2"/>
          <c:tx>
            <c:strRef>
              <c:f>'Focus Retournees'!$F$111</c:f>
              <c:strCache>
                <c:ptCount val="1"/>
                <c:pt idx="0">
                  <c:v>entre 3 mois et 1 an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Retournees'!$G$111:$L$111</c:f>
              <c:numCache>
                <c:formatCode>0%</c:formatCode>
                <c:ptCount val="6"/>
                <c:pt idx="0">
                  <c:v>0</c:v>
                </c:pt>
                <c:pt idx="1">
                  <c:v>0.43570035932389101</c:v>
                </c:pt>
                <c:pt idx="2">
                  <c:v>0.12720049398250091</c:v>
                </c:pt>
                <c:pt idx="3">
                  <c:v>0.21925133689839571</c:v>
                </c:pt>
                <c:pt idx="4">
                  <c:v>5.9294189230301185E-2</c:v>
                </c:pt>
                <c:pt idx="5">
                  <c:v>0.10268062058202515</c:v>
                </c:pt>
              </c:numCache>
            </c:numRef>
          </c:val>
          <c:extLst xmlns:c15="http://schemas.microsoft.com/office/drawing/2012/chart">
            <c:ext xmlns:c16="http://schemas.microsoft.com/office/drawing/2014/chart" uri="{C3380CC4-5D6E-409C-BE32-E72D297353CC}">
              <c16:uniqueId val="{00000002-8332-4382-85EE-3FDA15DB5B95}"/>
            </c:ext>
          </c:extLst>
        </c:ser>
        <c:ser>
          <c:idx val="3"/>
          <c:order val="3"/>
          <c:tx>
            <c:strRef>
              <c:f>'Focus Retournees'!$F$112</c:f>
              <c:strCache>
                <c:ptCount val="1"/>
                <c:pt idx="0">
                  <c:v>moins de 3 mois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Retournees'!$G$112:$L$112</c:f>
              <c:numCache>
                <c:formatCode>0%</c:formatCode>
                <c:ptCount val="6"/>
                <c:pt idx="0">
                  <c:v>0</c:v>
                </c:pt>
                <c:pt idx="1">
                  <c:v>0.13623692818356134</c:v>
                </c:pt>
                <c:pt idx="2">
                  <c:v>0.83057798282711781</c:v>
                </c:pt>
                <c:pt idx="3">
                  <c:v>0</c:v>
                </c:pt>
                <c:pt idx="4">
                  <c:v>0</c:v>
                </c:pt>
                <c:pt idx="5">
                  <c:v>6.2746718075828517E-2</c:v>
                </c:pt>
              </c:numCache>
            </c:numRef>
          </c:val>
          <c:extLst>
            <c:ext xmlns:c16="http://schemas.microsoft.com/office/drawing/2014/chart" uri="{C3380CC4-5D6E-409C-BE32-E72D297353CC}">
              <c16:uniqueId val="{00000003-8332-4382-85EE-3FDA15DB5B95}"/>
            </c:ext>
          </c:extLst>
        </c:ser>
        <c:ser>
          <c:idx val="4"/>
          <c:order val="4"/>
          <c:tx>
            <c:strRef>
              <c:f>'Focus Retournees'!$F$113</c:f>
              <c:strCache>
                <c:ptCount val="1"/>
                <c:pt idx="0">
                  <c:v>Ne sait pas</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Retournees'!$G$113:$L$113</c:f>
              <c:numCache>
                <c:formatCode>0%</c:formatCode>
                <c:ptCount val="6"/>
                <c:pt idx="0">
                  <c:v>0</c:v>
                </c:pt>
                <c:pt idx="1">
                  <c:v>3.2226357938157618E-4</c:v>
                </c:pt>
                <c:pt idx="2">
                  <c:v>0</c:v>
                </c:pt>
                <c:pt idx="3">
                  <c:v>0.20855614973262032</c:v>
                </c:pt>
                <c:pt idx="4">
                  <c:v>0</c:v>
                </c:pt>
                <c:pt idx="5">
                  <c:v>0</c:v>
                </c:pt>
              </c:numCache>
            </c:numRef>
          </c:val>
          <c:extLst>
            <c:ext xmlns:c16="http://schemas.microsoft.com/office/drawing/2014/chart" uri="{C3380CC4-5D6E-409C-BE32-E72D297353CC}">
              <c16:uniqueId val="{00000004-8332-4382-85EE-3FDA15DB5B95}"/>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CH"/>
          </a:p>
        </c:txPr>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spPr>
        <a:solidFill>
          <a:schemeClr val="bg1"/>
        </a:solidFill>
        <a:ln>
          <a:noFill/>
        </a:ln>
        <a:effectLst/>
      </c:spPr>
    </c:plotArea>
    <c:legend>
      <c:legendPos val="t"/>
      <c:layout>
        <c:manualLayout>
          <c:xMode val="edge"/>
          <c:yMode val="edge"/>
          <c:x val="0.17442511514854417"/>
          <c:y val="9.8118470468531352E-2"/>
          <c:w val="0.78614557227039217"/>
          <c:h val="7.30903240431961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Gill Sans MT" panose="020B0502020104020203" pitchFamily="34" charset="0"/>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rgbClr val="0010A6"/>
                </a:solidFill>
              </a:defRPr>
            </a:pPr>
            <a:r>
              <a:rPr lang="en-US" sz="1400" b="0">
                <a:solidFill>
                  <a:srgbClr val="0010A6"/>
                </a:solidFill>
              </a:rPr>
              <a:t>Répartition</a:t>
            </a:r>
            <a:r>
              <a:rPr lang="en-US" sz="1400" b="0" baseline="0">
                <a:solidFill>
                  <a:srgbClr val="0010A6"/>
                </a:solidFill>
              </a:rPr>
              <a:t> de la population déplacée</a:t>
            </a:r>
            <a:endParaRPr lang="en-US" sz="1400" b="0">
              <a:solidFill>
                <a:srgbClr val="0010A6"/>
              </a:solidFill>
            </a:endParaRPr>
          </a:p>
        </c:rich>
      </c:tx>
      <c:overlay val="0"/>
    </c:title>
    <c:autoTitleDeleted val="0"/>
    <c:plotArea>
      <c:layout>
        <c:manualLayout>
          <c:layoutTarget val="inner"/>
          <c:xMode val="edge"/>
          <c:yMode val="edge"/>
          <c:x val="0.10096081864376225"/>
          <c:y val="0.12853968897358792"/>
          <c:w val="0.28763591481729323"/>
          <c:h val="0.81509208406853484"/>
        </c:manualLayout>
      </c:layout>
      <c:doughnutChart>
        <c:varyColors val="1"/>
        <c:ser>
          <c:idx val="0"/>
          <c:order val="0"/>
          <c:tx>
            <c:strRef>
              <c:f>'Displacement &amp; Returns'!$D$5:$F$5</c:f>
              <c:strCache>
                <c:ptCount val="3"/>
                <c:pt idx="0">
                  <c:v>Populations déplacées interne</c:v>
                </c:pt>
                <c:pt idx="1">
                  <c:v>Réfugiés hors camp</c:v>
                </c:pt>
                <c:pt idx="2">
                  <c:v>Retournés</c:v>
                </c:pt>
              </c:strCache>
            </c:strRef>
          </c:tx>
          <c:dPt>
            <c:idx val="0"/>
            <c:bubble3D val="0"/>
            <c:spPr>
              <a:solidFill>
                <a:srgbClr val="0039A6"/>
              </a:solidFill>
            </c:spPr>
            <c:extLst>
              <c:ext xmlns:c16="http://schemas.microsoft.com/office/drawing/2014/chart" uri="{C3380CC4-5D6E-409C-BE32-E72D297353CC}">
                <c16:uniqueId val="{00000001-9A1F-4282-814E-85A4A966DA57}"/>
              </c:ext>
            </c:extLst>
          </c:dPt>
          <c:dPt>
            <c:idx val="1"/>
            <c:bubble3D val="0"/>
            <c:spPr>
              <a:solidFill>
                <a:srgbClr val="6E99D4"/>
              </a:solidFill>
            </c:spPr>
            <c:extLst>
              <c:ext xmlns:c16="http://schemas.microsoft.com/office/drawing/2014/chart" uri="{C3380CC4-5D6E-409C-BE32-E72D297353CC}">
                <c16:uniqueId val="{00000003-9A1F-4282-814E-85A4A966DA57}"/>
              </c:ext>
            </c:extLst>
          </c:dPt>
          <c:dPt>
            <c:idx val="2"/>
            <c:bubble3D val="0"/>
            <c:spPr>
              <a:solidFill>
                <a:srgbClr val="FF7400"/>
              </a:solidFill>
            </c:spPr>
            <c:extLst>
              <c:ext xmlns:c16="http://schemas.microsoft.com/office/drawing/2014/chart" uri="{C3380CC4-5D6E-409C-BE32-E72D297353CC}">
                <c16:uniqueId val="{00000005-9A1F-4282-814E-85A4A966DA5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F-4282-814E-85A4A966DA57}"/>
                </c:ext>
              </c:extLst>
            </c:dLbl>
            <c:dLbl>
              <c:idx val="1"/>
              <c:layout>
                <c:manualLayout>
                  <c:x val="1.1909193803843388E-2"/>
                  <c:y val="-2.7491416373465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F-4282-814E-85A4A966DA57}"/>
                </c:ext>
              </c:extLst>
            </c:dLbl>
            <c:dLbl>
              <c:idx val="2"/>
              <c:spPr/>
              <c:txPr>
                <a:bodyPr/>
                <a:lstStyle/>
                <a:p>
                  <a:pPr>
                    <a:defRPr sz="1200" b="1">
                      <a:solidFill>
                        <a:schemeClr val="bg1"/>
                      </a:solidFill>
                    </a:defRPr>
                  </a:pPr>
                  <a:endParaRPr lang="en-CH"/>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F-4282-814E-85A4A966DA57}"/>
                </c:ext>
              </c:extLst>
            </c:dLbl>
            <c:spPr>
              <a:noFill/>
              <a:ln>
                <a:noFill/>
              </a:ln>
              <a:effectLst/>
            </c:spPr>
            <c:txPr>
              <a:bodyPr/>
              <a:lstStyle/>
              <a:p>
                <a:pPr>
                  <a:defRPr sz="1200" b="1">
                    <a:solidFill>
                      <a:schemeClr val="bg1"/>
                    </a:solidFill>
                  </a:defRPr>
                </a:pPr>
                <a:endParaRPr lang="en-CH"/>
              </a:p>
            </c:txPr>
            <c:showLegendKey val="0"/>
            <c:showVal val="0"/>
            <c:showCatName val="0"/>
            <c:showSerName val="0"/>
            <c:showPercent val="0"/>
            <c:showBubbleSize val="0"/>
            <c:extLst>
              <c:ext xmlns:c15="http://schemas.microsoft.com/office/drawing/2012/chart" uri="{CE6537A1-D6FC-4f65-9D91-7224C49458BB}"/>
            </c:extLst>
          </c:dLbls>
          <c:cat>
            <c:strRef>
              <c:f>'Displacement &amp; Returns'!$D$5:$F$5</c:f>
              <c:strCache>
                <c:ptCount val="3"/>
                <c:pt idx="0">
                  <c:v>Populations déplacées interne</c:v>
                </c:pt>
                <c:pt idx="1">
                  <c:v>Réfugiés hors camp</c:v>
                </c:pt>
                <c:pt idx="2">
                  <c:v>Retournés</c:v>
                </c:pt>
              </c:strCache>
            </c:strRef>
          </c:cat>
          <c:val>
            <c:numRef>
              <c:f>'Displacement &amp; Returns'!$D$13:$F$13</c:f>
              <c:numCache>
                <c:formatCode>0%</c:formatCode>
                <c:ptCount val="3"/>
                <c:pt idx="0">
                  <c:v>0.62869280776826864</c:v>
                </c:pt>
                <c:pt idx="1">
                  <c:v>7.2758452459324746E-2</c:v>
                </c:pt>
                <c:pt idx="2">
                  <c:v>0.29854873977240665</c:v>
                </c:pt>
              </c:numCache>
            </c:numRef>
          </c:val>
          <c:extLst>
            <c:ext xmlns:c16="http://schemas.microsoft.com/office/drawing/2014/chart" uri="{C3380CC4-5D6E-409C-BE32-E72D297353CC}">
              <c16:uniqueId val="{00000006-9A1F-4282-814E-85A4A966DA57}"/>
            </c:ext>
          </c:extLst>
        </c:ser>
        <c:dLbls>
          <c:showLegendKey val="0"/>
          <c:showVal val="0"/>
          <c:showCatName val="0"/>
          <c:showSerName val="0"/>
          <c:showPercent val="0"/>
          <c:showBubbleSize val="0"/>
          <c:showLeaderLines val="1"/>
        </c:dLbls>
        <c:firstSliceAng val="0"/>
        <c:holeSize val="50"/>
      </c:doughnutChart>
      <c:spPr>
        <a:ln>
          <a:noFill/>
        </a:ln>
      </c:spPr>
    </c:plotArea>
    <c:legend>
      <c:legendPos val="r"/>
      <c:layout>
        <c:manualLayout>
          <c:xMode val="edge"/>
          <c:yMode val="edge"/>
          <c:x val="0.44611383752641026"/>
          <c:y val="0.28835865046175552"/>
          <c:w val="0.31674473359684036"/>
          <c:h val="0.47904904648305446"/>
        </c:manualLayout>
      </c:layout>
      <c:overlay val="0"/>
      <c:txPr>
        <a:bodyPr/>
        <a:lstStyle/>
        <a:p>
          <a:pPr rtl="0">
            <a:defRPr sz="1600">
              <a:solidFill>
                <a:schemeClr val="tx1">
                  <a:lumMod val="65000"/>
                  <a:lumOff val="35000"/>
                </a:schemeClr>
              </a:solidFill>
            </a:defRPr>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fr-FR" sz="1100" b="0" i="0" u="none" strike="noStrike" kern="1200" spc="0" baseline="0">
                <a:solidFill>
                  <a:srgbClr val="0010A6"/>
                </a:solidFill>
                <a:effectLst/>
                <a:latin typeface="Gill Sans MT" panose="020B0502020104020203" pitchFamily="34" charset="0"/>
                <a:ea typeface="+mn-ea"/>
                <a:cs typeface="+mn-cs"/>
              </a:defRPr>
            </a:pPr>
            <a:r>
              <a:rPr lang="fr-FR" sz="1100" b="0" i="0" baseline="0">
                <a:effectLst/>
                <a:latin typeface="Gill Sans MT" panose="020B0502020104020203" pitchFamily="34" charset="0"/>
              </a:rPr>
              <a:t>Graph 20 : Duration of displacement for the majority of returnees present in the locality of origin by department</a:t>
            </a:r>
            <a:endParaRPr lang="fr-FR" sz="1100">
              <a:effectLst/>
              <a:latin typeface="Gill Sans MT" panose="020B0502020104020203" pitchFamily="34" charset="0"/>
            </a:endParaRPr>
          </a:p>
        </c:rich>
      </c:tx>
      <c:overlay val="0"/>
      <c:spPr>
        <a:noFill/>
        <a:ln>
          <a:noFill/>
        </a:ln>
        <a:effectLst/>
      </c:spPr>
      <c:txPr>
        <a:bodyPr rot="0" spcFirstLastPara="1" vertOverflow="ellipsis" vert="horz" wrap="square" anchor="ctr" anchorCtr="1"/>
        <a:lstStyle/>
        <a:p>
          <a:pPr algn="ctr" rtl="0">
            <a:defRPr lang="fr-FR" sz="1100" b="0" i="0" u="none" strike="noStrike" kern="1200" spc="0" baseline="0">
              <a:solidFill>
                <a:srgbClr val="0010A6"/>
              </a:solidFill>
              <a:effectLst/>
              <a:latin typeface="Gill Sans MT" panose="020B0502020104020203" pitchFamily="34" charset="0"/>
              <a:ea typeface="+mn-ea"/>
              <a:cs typeface="+mn-cs"/>
            </a:defRPr>
          </a:pPr>
          <a:endParaRPr lang="en-CH"/>
        </a:p>
      </c:txPr>
    </c:title>
    <c:autoTitleDeleted val="0"/>
    <c:plotArea>
      <c:layout>
        <c:manualLayout>
          <c:layoutTarget val="inner"/>
          <c:xMode val="edge"/>
          <c:yMode val="edge"/>
          <c:x val="0.1612995325439045"/>
          <c:y val="0.20799779696939361"/>
          <c:w val="0.81842687933239111"/>
          <c:h val="0.79173804255819935"/>
        </c:manualLayout>
      </c:layout>
      <c:barChart>
        <c:barDir val="bar"/>
        <c:grouping val="percentStacked"/>
        <c:varyColors val="0"/>
        <c:ser>
          <c:idx val="0"/>
          <c:order val="0"/>
          <c:tx>
            <c:strRef>
              <c:f>'Focus Retournees'!$R$109</c:f>
              <c:strCache>
                <c:ptCount val="1"/>
                <c:pt idx="0">
                  <c:v>5 years or more</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Retournees'!$S$109:$X$109</c:f>
              <c:numCache>
                <c:formatCode>0%</c:formatCode>
                <c:ptCount val="6"/>
                <c:pt idx="0">
                  <c:v>1</c:v>
                </c:pt>
                <c:pt idx="1">
                  <c:v>4.2989961489502265E-2</c:v>
                </c:pt>
                <c:pt idx="2">
                  <c:v>0</c:v>
                </c:pt>
                <c:pt idx="3">
                  <c:v>3.2085561497326207E-2</c:v>
                </c:pt>
                <c:pt idx="4">
                  <c:v>8.7100699726194095E-2</c:v>
                </c:pt>
                <c:pt idx="5">
                  <c:v>0.26861287065087669</c:v>
                </c:pt>
              </c:numCache>
            </c:numRef>
          </c:val>
          <c:extLst>
            <c:ext xmlns:c16="http://schemas.microsoft.com/office/drawing/2014/chart" uri="{C3380CC4-5D6E-409C-BE32-E72D297353CC}">
              <c16:uniqueId val="{00000000-90E2-486B-AC53-6F0EDD073C9C}"/>
            </c:ext>
          </c:extLst>
        </c:ser>
        <c:ser>
          <c:idx val="1"/>
          <c:order val="1"/>
          <c:tx>
            <c:strRef>
              <c:f>'Focus Retournees'!$R$110</c:f>
              <c:strCache>
                <c:ptCount val="1"/>
                <c:pt idx="0">
                  <c:v>between 1 and 5 years</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Retournees'!$S$110:$X$110</c:f>
              <c:numCache>
                <c:formatCode>0%</c:formatCode>
                <c:ptCount val="6"/>
                <c:pt idx="0">
                  <c:v>0</c:v>
                </c:pt>
                <c:pt idx="1">
                  <c:v>0.3847504874236638</c:v>
                </c:pt>
                <c:pt idx="2">
                  <c:v>4.2221523190381319E-2</c:v>
                </c:pt>
                <c:pt idx="3">
                  <c:v>0.5401069518716578</c:v>
                </c:pt>
                <c:pt idx="4">
                  <c:v>0.85360511104350467</c:v>
                </c:pt>
                <c:pt idx="5">
                  <c:v>0.56595979069126967</c:v>
                </c:pt>
              </c:numCache>
            </c:numRef>
          </c:val>
          <c:extLst>
            <c:ext xmlns:c16="http://schemas.microsoft.com/office/drawing/2014/chart" uri="{C3380CC4-5D6E-409C-BE32-E72D297353CC}">
              <c16:uniqueId val="{00000001-90E2-486B-AC53-6F0EDD073C9C}"/>
            </c:ext>
          </c:extLst>
        </c:ser>
        <c:ser>
          <c:idx val="2"/>
          <c:order val="2"/>
          <c:tx>
            <c:strRef>
              <c:f>'Focus Retournees'!$R$111</c:f>
              <c:strCache>
                <c:ptCount val="1"/>
                <c:pt idx="0">
                  <c:v>between 3 months and 1 year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Retournees'!$S$111:$X$111</c:f>
              <c:numCache>
                <c:formatCode>0%</c:formatCode>
                <c:ptCount val="6"/>
                <c:pt idx="0">
                  <c:v>0</c:v>
                </c:pt>
                <c:pt idx="1">
                  <c:v>0.43570035932389101</c:v>
                </c:pt>
                <c:pt idx="2">
                  <c:v>0.12720049398250091</c:v>
                </c:pt>
                <c:pt idx="3">
                  <c:v>0.21925133689839571</c:v>
                </c:pt>
                <c:pt idx="4">
                  <c:v>5.9294189230301185E-2</c:v>
                </c:pt>
                <c:pt idx="5">
                  <c:v>0.10268062058202515</c:v>
                </c:pt>
              </c:numCache>
            </c:numRef>
          </c:val>
          <c:extLst>
            <c:ext xmlns:c16="http://schemas.microsoft.com/office/drawing/2014/chart" uri="{C3380CC4-5D6E-409C-BE32-E72D297353CC}">
              <c16:uniqueId val="{00000006-90E2-486B-AC53-6F0EDD073C9C}"/>
            </c:ext>
          </c:extLst>
        </c:ser>
        <c:ser>
          <c:idx val="3"/>
          <c:order val="3"/>
          <c:tx>
            <c:strRef>
              <c:f>'Focus Retournees'!$R$112</c:f>
              <c:strCache>
                <c:ptCount val="1"/>
                <c:pt idx="0">
                  <c:v>less than 3 months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Retournees'!$S$112:$X$112</c:f>
              <c:numCache>
                <c:formatCode>0%</c:formatCode>
                <c:ptCount val="6"/>
                <c:pt idx="0">
                  <c:v>0</c:v>
                </c:pt>
                <c:pt idx="1">
                  <c:v>0.13623692818356134</c:v>
                </c:pt>
                <c:pt idx="2">
                  <c:v>0.83057798282711781</c:v>
                </c:pt>
                <c:pt idx="3">
                  <c:v>0</c:v>
                </c:pt>
                <c:pt idx="4">
                  <c:v>0</c:v>
                </c:pt>
                <c:pt idx="5">
                  <c:v>6.2746718075828517E-2</c:v>
                </c:pt>
              </c:numCache>
            </c:numRef>
          </c:val>
          <c:extLst>
            <c:ext xmlns:c16="http://schemas.microsoft.com/office/drawing/2014/chart" uri="{C3380CC4-5D6E-409C-BE32-E72D297353CC}">
              <c16:uniqueId val="{00000007-90E2-486B-AC53-6F0EDD073C9C}"/>
            </c:ext>
          </c:extLst>
        </c:ser>
        <c:ser>
          <c:idx val="4"/>
          <c:order val="4"/>
          <c:tx>
            <c:strRef>
              <c:f>'Focus Retournees'!$R$113</c:f>
              <c:strCache>
                <c:ptCount val="1"/>
                <c:pt idx="0">
                  <c:v>Don't know</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Retournees'!$S$113:$X$113</c:f>
              <c:numCache>
                <c:formatCode>0%</c:formatCode>
                <c:ptCount val="6"/>
                <c:pt idx="0">
                  <c:v>0</c:v>
                </c:pt>
                <c:pt idx="1">
                  <c:v>3.2226357938157618E-4</c:v>
                </c:pt>
                <c:pt idx="2">
                  <c:v>0</c:v>
                </c:pt>
                <c:pt idx="3">
                  <c:v>0.20855614973262032</c:v>
                </c:pt>
                <c:pt idx="4">
                  <c:v>0</c:v>
                </c:pt>
                <c:pt idx="5">
                  <c:v>0</c:v>
                </c:pt>
              </c:numCache>
            </c:numRef>
          </c:val>
          <c:extLst>
            <c:ext xmlns:c16="http://schemas.microsoft.com/office/drawing/2014/chart" uri="{C3380CC4-5D6E-409C-BE32-E72D297353CC}">
              <c16:uniqueId val="{00000008-90E2-486B-AC53-6F0EDD073C9C}"/>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CH"/>
          </a:p>
        </c:txPr>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spPr>
        <a:solidFill>
          <a:schemeClr val="bg1"/>
        </a:solidFill>
        <a:ln>
          <a:noFill/>
        </a:ln>
        <a:effectLst/>
      </c:spPr>
    </c:plotArea>
    <c:legend>
      <c:legendPos val="t"/>
      <c:layout>
        <c:manualLayout>
          <c:xMode val="edge"/>
          <c:yMode val="edge"/>
          <c:x val="0.24705805937681918"/>
          <c:y val="0.10080664194254466"/>
          <c:w val="0.68027843990318337"/>
          <c:h val="5.31606017355427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Gill Sans MT" panose="020B0502020104020203" pitchFamily="34" charset="0"/>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fr-CM"/>
              <a:t>Evolution</a:t>
            </a:r>
            <a:r>
              <a:rPr lang="fr-CM" baseline="0"/>
              <a:t> du nombre de personnes </a:t>
            </a:r>
            <a:r>
              <a:rPr lang="fr-CM" sz="1400" b="0" i="0" u="none" strike="noStrike" kern="1200" spc="0" baseline="0">
                <a:solidFill>
                  <a:sysClr val="windowText" lastClr="000000">
                    <a:lumMod val="65000"/>
                    <a:lumOff val="35000"/>
                  </a:sysClr>
                </a:solidFill>
                <a:latin typeface="+mn-lt"/>
                <a:ea typeface="+mn-ea"/>
                <a:cs typeface="+mn-cs"/>
              </a:rPr>
              <a:t>mobiles par  </a:t>
            </a:r>
            <a:r>
              <a:rPr lang="fr-FR" sz="1400" b="0" i="0" u="none" strike="noStrike" kern="1200" spc="0" baseline="0">
                <a:solidFill>
                  <a:sysClr val="windowText" lastClr="000000">
                    <a:lumMod val="65000"/>
                    <a:lumOff val="35000"/>
                  </a:sysClr>
                </a:solidFill>
                <a:latin typeface="+mn-lt"/>
                <a:ea typeface="+mn-ea"/>
                <a:cs typeface="+mn-cs"/>
              </a:rPr>
              <a:t>Départements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fr-CM" sz="1400" b="0" i="0" u="none" strike="noStrike" kern="1200" spc="0" baseline="0">
                <a:solidFill>
                  <a:sysClr val="windowText" lastClr="000000">
                    <a:lumMod val="65000"/>
                    <a:lumOff val="35000"/>
                  </a:sysClr>
                </a:solidFill>
                <a:latin typeface="+mn-lt"/>
                <a:ea typeface="+mn-ea"/>
                <a:cs typeface="+mn-cs"/>
              </a:rPr>
              <a:t>entre les Rounds 25 et 26</a:t>
            </a:r>
          </a:p>
        </c:rich>
      </c:tx>
      <c:layout>
        <c:manualLayout>
          <c:xMode val="edge"/>
          <c:yMode val="edge"/>
          <c:x val="0.19824536176333926"/>
          <c:y val="2.48177386252438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(Evolution_by_Departments!$A$2,Evolution_by_Departments!$A$11,Evolution_by_Departments!$A$22,Evolution_by_Departments!$A$31,Evolution_by_Departments!$A$37,Evolution_by_Departments!$A$41)</c:f>
              <c:strCache>
                <c:ptCount val="6"/>
                <c:pt idx="0">
                  <c:v>Diamaré</c:v>
                </c:pt>
                <c:pt idx="1">
                  <c:v>Logone-Et-Chari</c:v>
                </c:pt>
                <c:pt idx="2">
                  <c:v>Mayo-Danay</c:v>
                </c:pt>
                <c:pt idx="3">
                  <c:v>Mayo-Kani</c:v>
                </c:pt>
                <c:pt idx="4">
                  <c:v>Mayo-Sava</c:v>
                </c:pt>
                <c:pt idx="5">
                  <c:v>Mayo-Tsanaga</c:v>
                </c:pt>
              </c:strCache>
            </c:strRef>
          </c:cat>
          <c:val>
            <c:numRef>
              <c:f>(Evolution_by_Departments!$B$2,Evolution_by_Departments!$B$11,Evolution_by_Departments!$B$22,Evolution_by_Departments!$B$31,Evolution_by_Departments!$B$37,Evolution_by_Departments!$B$41)</c:f>
              <c:numCache>
                <c:formatCode>#\ ##0</c:formatCode>
                <c:ptCount val="6"/>
                <c:pt idx="0">
                  <c:v>16742</c:v>
                </c:pt>
                <c:pt idx="1">
                  <c:v>226328</c:v>
                </c:pt>
                <c:pt idx="2">
                  <c:v>38155</c:v>
                </c:pt>
                <c:pt idx="3">
                  <c:v>3482</c:v>
                </c:pt>
                <c:pt idx="4">
                  <c:v>171816</c:v>
                </c:pt>
                <c:pt idx="5">
                  <c:v>116661</c:v>
                </c:pt>
              </c:numCache>
            </c:numRef>
          </c:val>
          <c:extLst>
            <c:ext xmlns:c16="http://schemas.microsoft.com/office/drawing/2014/chart" uri="{C3380CC4-5D6E-409C-BE32-E72D297353CC}">
              <c16:uniqueId val="{00000000-5AA4-4E03-9C5B-57080649BFCC}"/>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dLbl>
              <c:idx val="4"/>
              <c:layout>
                <c:manualLayout>
                  <c:x val="1.68421030296423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C-4858-AA60-2ED0DB855F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(Evolution_by_Departments!$A$2,Evolution_by_Departments!$A$11,Evolution_by_Departments!$A$22,Evolution_by_Departments!$A$31,Evolution_by_Departments!$A$37,Evolution_by_Departments!$A$41)</c:f>
              <c:strCache>
                <c:ptCount val="6"/>
                <c:pt idx="0">
                  <c:v>Diamaré</c:v>
                </c:pt>
                <c:pt idx="1">
                  <c:v>Logone-Et-Chari</c:v>
                </c:pt>
                <c:pt idx="2">
                  <c:v>Mayo-Danay</c:v>
                </c:pt>
                <c:pt idx="3">
                  <c:v>Mayo-Kani</c:v>
                </c:pt>
                <c:pt idx="4">
                  <c:v>Mayo-Sava</c:v>
                </c:pt>
                <c:pt idx="5">
                  <c:v>Mayo-Tsanaga</c:v>
                </c:pt>
              </c:strCache>
            </c:strRef>
          </c:cat>
          <c:val>
            <c:numRef>
              <c:f>(Evolution_by_Departments!$C$2,Evolution_by_Departments!$C$11,Evolution_by_Departments!$C$22,Evolution_by_Departments!$C$31,Evolution_by_Departments!$C$37,Evolution_by_Departments!$C$41)</c:f>
              <c:numCache>
                <c:formatCode>#\ ##0</c:formatCode>
                <c:ptCount val="6"/>
                <c:pt idx="0">
                  <c:v>13305</c:v>
                </c:pt>
                <c:pt idx="1">
                  <c:v>255884</c:v>
                </c:pt>
                <c:pt idx="2">
                  <c:v>108673</c:v>
                </c:pt>
                <c:pt idx="3">
                  <c:v>5761</c:v>
                </c:pt>
                <c:pt idx="4">
                  <c:v>165512</c:v>
                </c:pt>
                <c:pt idx="5">
                  <c:v>131377</c:v>
                </c:pt>
              </c:numCache>
            </c:numRef>
          </c:val>
          <c:extLst>
            <c:ext xmlns:c16="http://schemas.microsoft.com/office/drawing/2014/chart" uri="{C3380CC4-5D6E-409C-BE32-E72D297353CC}">
              <c16:uniqueId val="{00000001-5AA4-4E03-9C5B-57080649BFCC}"/>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Diamar</a:t>
            </a:r>
            <a:r>
              <a:rPr lang="fr-FR" sz="900" b="0" i="0" u="none" strike="noStrike" kern="1200" spc="0" baseline="0">
                <a:solidFill>
                  <a:sysClr val="windowText" lastClr="000000">
                    <a:lumMod val="65000"/>
                    <a:lumOff val="35000"/>
                  </a:sysClr>
                </a:solidFill>
                <a:latin typeface="+mn-lt"/>
                <a:ea typeface="+mn-ea"/>
                <a:cs typeface="+mn-cs"/>
              </a:rPr>
              <a:t>é</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dLbl>
              <c:idx val="5"/>
              <c:layout>
                <c:manualLayout>
                  <c:x val="-1.1173180425573246E-2"/>
                  <c:y val="-7.88521356883818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F7-4AE2-A702-F6BE0D09D4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Evolution_by_Departments!$A$3:$A$10</c:f>
              <c:strCache>
                <c:ptCount val="8"/>
                <c:pt idx="0">
                  <c:v>Bogo</c:v>
                </c:pt>
                <c:pt idx="1">
                  <c:v>Dargala</c:v>
                </c:pt>
                <c:pt idx="2">
                  <c:v>Gazawa</c:v>
                </c:pt>
                <c:pt idx="3">
                  <c:v>Maroua I</c:v>
                </c:pt>
                <c:pt idx="4">
                  <c:v>Maroua II</c:v>
                </c:pt>
                <c:pt idx="5">
                  <c:v>Maroua III</c:v>
                </c:pt>
                <c:pt idx="6">
                  <c:v>Méri</c:v>
                </c:pt>
                <c:pt idx="7">
                  <c:v>Petté</c:v>
                </c:pt>
              </c:strCache>
            </c:strRef>
          </c:cat>
          <c:val>
            <c:numRef>
              <c:f>Evolution_by_Departments!$B$3:$B$10</c:f>
              <c:numCache>
                <c:formatCode>#\ ##0</c:formatCode>
                <c:ptCount val="8"/>
                <c:pt idx="0">
                  <c:v>5248</c:v>
                </c:pt>
                <c:pt idx="1">
                  <c:v>481</c:v>
                </c:pt>
                <c:pt idx="2">
                  <c:v>277</c:v>
                </c:pt>
                <c:pt idx="3">
                  <c:v>1681</c:v>
                </c:pt>
                <c:pt idx="4">
                  <c:v>2071</c:v>
                </c:pt>
                <c:pt idx="5">
                  <c:v>3325</c:v>
                </c:pt>
                <c:pt idx="6">
                  <c:v>102</c:v>
                </c:pt>
                <c:pt idx="7">
                  <c:v>3557</c:v>
                </c:pt>
              </c:numCache>
            </c:numRef>
          </c:val>
          <c:extLst>
            <c:ext xmlns:c16="http://schemas.microsoft.com/office/drawing/2014/chart" uri="{C3380CC4-5D6E-409C-BE32-E72D297353CC}">
              <c16:uniqueId val="{00000000-390E-4BDB-BFD6-EB473F08883D}"/>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Evolution_by_Departments!$A$3:$A$10</c:f>
              <c:strCache>
                <c:ptCount val="8"/>
                <c:pt idx="0">
                  <c:v>Bogo</c:v>
                </c:pt>
                <c:pt idx="1">
                  <c:v>Dargala</c:v>
                </c:pt>
                <c:pt idx="2">
                  <c:v>Gazawa</c:v>
                </c:pt>
                <c:pt idx="3">
                  <c:v>Maroua I</c:v>
                </c:pt>
                <c:pt idx="4">
                  <c:v>Maroua II</c:v>
                </c:pt>
                <c:pt idx="5">
                  <c:v>Maroua III</c:v>
                </c:pt>
                <c:pt idx="6">
                  <c:v>Méri</c:v>
                </c:pt>
                <c:pt idx="7">
                  <c:v>Petté</c:v>
                </c:pt>
              </c:strCache>
            </c:strRef>
          </c:cat>
          <c:val>
            <c:numRef>
              <c:f>Evolution_by_Departments!$C$3:$C$10</c:f>
              <c:numCache>
                <c:formatCode>#\ ##0</c:formatCode>
                <c:ptCount val="8"/>
                <c:pt idx="0">
                  <c:v>2940</c:v>
                </c:pt>
                <c:pt idx="1">
                  <c:v>390</c:v>
                </c:pt>
                <c:pt idx="2">
                  <c:v>283</c:v>
                </c:pt>
                <c:pt idx="3">
                  <c:v>952</c:v>
                </c:pt>
                <c:pt idx="4">
                  <c:v>1988</c:v>
                </c:pt>
                <c:pt idx="5">
                  <c:v>3167</c:v>
                </c:pt>
                <c:pt idx="6">
                  <c:v>102</c:v>
                </c:pt>
                <c:pt idx="7">
                  <c:v>3483</c:v>
                </c:pt>
              </c:numCache>
            </c:numRef>
          </c:val>
          <c:extLst>
            <c:ext xmlns:c16="http://schemas.microsoft.com/office/drawing/2014/chart" uri="{C3380CC4-5D6E-409C-BE32-E72D297353CC}">
              <c16:uniqueId val="{00000001-390E-4BDB-BFD6-EB473F08883D}"/>
            </c:ext>
          </c:extLst>
        </c:ser>
        <c:dLbls>
          <c:showLegendKey val="0"/>
          <c:showVal val="0"/>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Logone et Chari </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dLbl>
              <c:idx val="3"/>
              <c:layout>
                <c:manualLayout>
                  <c:x val="-1.99727672676511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DC-465F-B238-BC21FFC1FABA}"/>
                </c:ext>
              </c:extLst>
            </c:dLbl>
            <c:dLbl>
              <c:idx val="4"/>
              <c:layout>
                <c:manualLayout>
                  <c:x val="-1.0894236691446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DC-465F-B238-BC21FFC1FABA}"/>
                </c:ext>
              </c:extLst>
            </c:dLbl>
            <c:dLbl>
              <c:idx val="5"/>
              <c:layout>
                <c:manualLayout>
                  <c:x val="-1.4525648921928069E-2"/>
                  <c:y val="-7.98828825601254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DC-465F-B238-BC21FFC1FABA}"/>
                </c:ext>
              </c:extLst>
            </c:dLbl>
            <c:dLbl>
              <c:idx val="6"/>
              <c:layout>
                <c:manualLayout>
                  <c:x val="-7.26282446096410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DC-465F-B238-BC21FFC1FABA}"/>
                </c:ext>
              </c:extLst>
            </c:dLbl>
            <c:dLbl>
              <c:idx val="8"/>
              <c:layout>
                <c:manualLayout>
                  <c:x val="-1.6341355037169075E-2"/>
                  <c:y val="4.35729847494545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DC-465F-B238-BC21FFC1FA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Evolution_by_Departments!$A$12:$A$21</c:f>
              <c:strCache>
                <c:ptCount val="10"/>
                <c:pt idx="0">
                  <c:v>Blangoua</c:v>
                </c:pt>
                <c:pt idx="1">
                  <c:v>Darak</c:v>
                </c:pt>
                <c:pt idx="2">
                  <c:v>Fotokol</c:v>
                </c:pt>
                <c:pt idx="3">
                  <c:v>Goulfey</c:v>
                </c:pt>
                <c:pt idx="4">
                  <c:v>Hile-Alifa</c:v>
                </c:pt>
                <c:pt idx="5">
                  <c:v>Kousséri</c:v>
                </c:pt>
                <c:pt idx="6">
                  <c:v>Logone-Birni</c:v>
                </c:pt>
                <c:pt idx="7">
                  <c:v>Makary</c:v>
                </c:pt>
                <c:pt idx="8">
                  <c:v>Waza</c:v>
                </c:pt>
                <c:pt idx="9">
                  <c:v>Zina</c:v>
                </c:pt>
              </c:strCache>
            </c:strRef>
          </c:cat>
          <c:val>
            <c:numRef>
              <c:f>Evolution_by_Departments!$B$12:$B$21</c:f>
              <c:numCache>
                <c:formatCode>#\ ##0</c:formatCode>
                <c:ptCount val="10"/>
                <c:pt idx="0">
                  <c:v>10624</c:v>
                </c:pt>
                <c:pt idx="1">
                  <c:v>6200</c:v>
                </c:pt>
                <c:pt idx="2">
                  <c:v>34414</c:v>
                </c:pt>
                <c:pt idx="3">
                  <c:v>3590</c:v>
                </c:pt>
                <c:pt idx="4">
                  <c:v>15506</c:v>
                </c:pt>
                <c:pt idx="5">
                  <c:v>44216</c:v>
                </c:pt>
                <c:pt idx="6">
                  <c:v>85213</c:v>
                </c:pt>
                <c:pt idx="7">
                  <c:v>13148</c:v>
                </c:pt>
                <c:pt idx="8">
                  <c:v>3858</c:v>
                </c:pt>
                <c:pt idx="9">
                  <c:v>9559</c:v>
                </c:pt>
              </c:numCache>
            </c:numRef>
          </c:val>
          <c:extLst>
            <c:ext xmlns:c16="http://schemas.microsoft.com/office/drawing/2014/chart" uri="{C3380CC4-5D6E-409C-BE32-E72D297353CC}">
              <c16:uniqueId val="{00000000-5D83-4D2A-89F6-D48AF68DF33B}"/>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dLbl>
              <c:idx val="0"/>
              <c:layout>
                <c:manualLayout>
                  <c:x val="9.07853057620503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DC-465F-B238-BC21FFC1FABA}"/>
                </c:ext>
              </c:extLst>
            </c:dLbl>
            <c:dLbl>
              <c:idx val="1"/>
              <c:layout>
                <c:manualLayout>
                  <c:x val="1.0894236691446018E-2"/>
                  <c:y val="-7.98828825601254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DC-465F-B238-BC21FFC1FABA}"/>
                </c:ext>
              </c:extLst>
            </c:dLbl>
            <c:dLbl>
              <c:idx val="2"/>
              <c:layout>
                <c:manualLayout>
                  <c:x val="2.360417949813314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DC-465F-B238-BC21FFC1FABA}"/>
                </c:ext>
              </c:extLst>
            </c:dLbl>
            <c:dLbl>
              <c:idx val="9"/>
              <c:layout>
                <c:manualLayout>
                  <c:x val="1.0894236691446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DC-465F-B238-BC21FFC1FA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Evolution_by_Departments!$A$12:$A$21</c:f>
              <c:strCache>
                <c:ptCount val="10"/>
                <c:pt idx="0">
                  <c:v>Blangoua</c:v>
                </c:pt>
                <c:pt idx="1">
                  <c:v>Darak</c:v>
                </c:pt>
                <c:pt idx="2">
                  <c:v>Fotokol</c:v>
                </c:pt>
                <c:pt idx="3">
                  <c:v>Goulfey</c:v>
                </c:pt>
                <c:pt idx="4">
                  <c:v>Hile-Alifa</c:v>
                </c:pt>
                <c:pt idx="5">
                  <c:v>Kousséri</c:v>
                </c:pt>
                <c:pt idx="6">
                  <c:v>Logone-Birni</c:v>
                </c:pt>
                <c:pt idx="7">
                  <c:v>Makary</c:v>
                </c:pt>
                <c:pt idx="8">
                  <c:v>Waza</c:v>
                </c:pt>
                <c:pt idx="9">
                  <c:v>Zina</c:v>
                </c:pt>
              </c:strCache>
            </c:strRef>
          </c:cat>
          <c:val>
            <c:numRef>
              <c:f>Evolution_by_Departments!$C$12:$C$21</c:f>
              <c:numCache>
                <c:formatCode>#\ ##0</c:formatCode>
                <c:ptCount val="10"/>
                <c:pt idx="0">
                  <c:v>14786</c:v>
                </c:pt>
                <c:pt idx="1">
                  <c:v>6026</c:v>
                </c:pt>
                <c:pt idx="2">
                  <c:v>34338</c:v>
                </c:pt>
                <c:pt idx="3">
                  <c:v>5247</c:v>
                </c:pt>
                <c:pt idx="4">
                  <c:v>26575</c:v>
                </c:pt>
                <c:pt idx="5">
                  <c:v>17612</c:v>
                </c:pt>
                <c:pt idx="6">
                  <c:v>50765</c:v>
                </c:pt>
                <c:pt idx="7">
                  <c:v>85850</c:v>
                </c:pt>
                <c:pt idx="8">
                  <c:v>13211</c:v>
                </c:pt>
                <c:pt idx="9">
                  <c:v>1474</c:v>
                </c:pt>
              </c:numCache>
            </c:numRef>
          </c:val>
          <c:extLst>
            <c:ext xmlns:c16="http://schemas.microsoft.com/office/drawing/2014/chart" uri="{C3380CC4-5D6E-409C-BE32-E72D297353CC}">
              <c16:uniqueId val="{00000001-5D83-4D2A-89F6-D48AF68DF33B}"/>
            </c:ext>
          </c:extLst>
        </c:ser>
        <c:dLbls>
          <c:showLegendKey val="0"/>
          <c:showVal val="0"/>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Mayo-Danay</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dLbl>
              <c:idx val="4"/>
              <c:layout>
                <c:manualLayout>
                  <c:x val="-5.6901992664969731E-2"/>
                  <c:y val="-8.51970181043665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E-4170-AA07-D8DF357BD109}"/>
                </c:ext>
              </c:extLst>
            </c:dLbl>
            <c:dLbl>
              <c:idx val="5"/>
              <c:layout>
                <c:manualLayout>
                  <c:x val="-2.107481209813771E-3"/>
                  <c:y val="-4.685835995740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FE-4170-AA07-D8DF357BD10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Evolution_by_Departments!$A$23:$A$30</c:f>
              <c:strCache>
                <c:ptCount val="8"/>
                <c:pt idx="0">
                  <c:v>Datchéka</c:v>
                </c:pt>
                <c:pt idx="1">
                  <c:v>Gobo</c:v>
                </c:pt>
                <c:pt idx="2">
                  <c:v>Guémé</c:v>
                </c:pt>
                <c:pt idx="3">
                  <c:v>Guéré</c:v>
                </c:pt>
                <c:pt idx="4">
                  <c:v>Kai-Kai</c:v>
                </c:pt>
                <c:pt idx="5">
                  <c:v>Maga</c:v>
                </c:pt>
                <c:pt idx="6">
                  <c:v>Wina</c:v>
                </c:pt>
                <c:pt idx="7">
                  <c:v>Yagoua</c:v>
                </c:pt>
              </c:strCache>
            </c:strRef>
          </c:cat>
          <c:val>
            <c:numRef>
              <c:f>Evolution_by_Departments!$B$23:$B$30</c:f>
              <c:numCache>
                <c:formatCode>#\ ##0</c:formatCode>
                <c:ptCount val="8"/>
                <c:pt idx="0">
                  <c:v>346</c:v>
                </c:pt>
                <c:pt idx="1">
                  <c:v>1865</c:v>
                </c:pt>
                <c:pt idx="2">
                  <c:v>4793</c:v>
                </c:pt>
                <c:pt idx="3">
                  <c:v>1022</c:v>
                </c:pt>
                <c:pt idx="4">
                  <c:v>17585</c:v>
                </c:pt>
                <c:pt idx="5">
                  <c:v>10238</c:v>
                </c:pt>
                <c:pt idx="6">
                  <c:v>552</c:v>
                </c:pt>
                <c:pt idx="7">
                  <c:v>1754</c:v>
                </c:pt>
              </c:numCache>
            </c:numRef>
          </c:val>
          <c:extLst>
            <c:ext xmlns:c16="http://schemas.microsoft.com/office/drawing/2014/chart" uri="{C3380CC4-5D6E-409C-BE32-E72D297353CC}">
              <c16:uniqueId val="{00000000-19FE-4170-AA07-D8DF357BD109}"/>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dLbl>
              <c:idx val="1"/>
              <c:layout>
                <c:manualLayout>
                  <c:x val="0"/>
                  <c:y val="-5.11182108626198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FE-4170-AA07-D8DF357BD109}"/>
                </c:ext>
              </c:extLst>
            </c:dLbl>
            <c:dLbl>
              <c:idx val="2"/>
              <c:layout>
                <c:manualLayout>
                  <c:x val="1.2644887258882163E-2"/>
                  <c:y val="-7.80963644198031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2-4A18-8419-90DC800B4FC7}"/>
                </c:ext>
              </c:extLst>
            </c:dLbl>
            <c:dLbl>
              <c:idx val="3"/>
              <c:layout>
                <c:manualLayout>
                  <c:x val="1.6859849678509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52-4A18-8419-90DC800B4FC7}"/>
                </c:ext>
              </c:extLst>
            </c:dLbl>
            <c:dLbl>
              <c:idx val="5"/>
              <c:layout>
                <c:manualLayout>
                  <c:x val="1.47523684686958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52-4A18-8419-90DC800B4FC7}"/>
                </c:ext>
              </c:extLst>
            </c:dLbl>
            <c:dLbl>
              <c:idx val="7"/>
              <c:layout>
                <c:manualLayout>
                  <c:x val="1.2644887258882163E-2"/>
                  <c:y val="-7.80963644198031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52-4A18-8419-90DC800B4F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Evolution_by_Departments!$A$23:$A$30</c:f>
              <c:strCache>
                <c:ptCount val="8"/>
                <c:pt idx="0">
                  <c:v>Datchéka</c:v>
                </c:pt>
                <c:pt idx="1">
                  <c:v>Gobo</c:v>
                </c:pt>
                <c:pt idx="2">
                  <c:v>Guémé</c:v>
                </c:pt>
                <c:pt idx="3">
                  <c:v>Guéré</c:v>
                </c:pt>
                <c:pt idx="4">
                  <c:v>Kai-Kai</c:v>
                </c:pt>
                <c:pt idx="5">
                  <c:v>Maga</c:v>
                </c:pt>
                <c:pt idx="6">
                  <c:v>Wina</c:v>
                </c:pt>
                <c:pt idx="7">
                  <c:v>Yagoua</c:v>
                </c:pt>
              </c:strCache>
            </c:strRef>
          </c:cat>
          <c:val>
            <c:numRef>
              <c:f>Evolution_by_Departments!$C$23:$C$30</c:f>
              <c:numCache>
                <c:formatCode>#\ ##0</c:formatCode>
                <c:ptCount val="8"/>
                <c:pt idx="0">
                  <c:v>446</c:v>
                </c:pt>
                <c:pt idx="1">
                  <c:v>13191</c:v>
                </c:pt>
                <c:pt idx="2">
                  <c:v>8905</c:v>
                </c:pt>
                <c:pt idx="3">
                  <c:v>1616</c:v>
                </c:pt>
                <c:pt idx="4">
                  <c:v>28366</c:v>
                </c:pt>
                <c:pt idx="5">
                  <c:v>13908</c:v>
                </c:pt>
                <c:pt idx="6">
                  <c:v>37334</c:v>
                </c:pt>
                <c:pt idx="7">
                  <c:v>4907</c:v>
                </c:pt>
              </c:numCache>
            </c:numRef>
          </c:val>
          <c:extLst>
            <c:ext xmlns:c16="http://schemas.microsoft.com/office/drawing/2014/chart" uri="{C3380CC4-5D6E-409C-BE32-E72D297353CC}">
              <c16:uniqueId val="{00000001-19FE-4170-AA07-D8DF357BD109}"/>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 Kani</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Evolution_by_Departments!$A$32:$A$36</c:f>
              <c:strCache>
                <c:ptCount val="5"/>
                <c:pt idx="0">
                  <c:v>Guidiguis</c:v>
                </c:pt>
                <c:pt idx="1">
                  <c:v>Kaélé</c:v>
                </c:pt>
                <c:pt idx="2">
                  <c:v>Mindif</c:v>
                </c:pt>
                <c:pt idx="3">
                  <c:v>Moulvoudaye</c:v>
                </c:pt>
                <c:pt idx="4">
                  <c:v>Moutourwa</c:v>
                </c:pt>
              </c:strCache>
            </c:strRef>
          </c:cat>
          <c:val>
            <c:numRef>
              <c:f>Evolution_by_Departments!$B$32:$B$36</c:f>
              <c:numCache>
                <c:formatCode>#\ ##0</c:formatCode>
                <c:ptCount val="5"/>
                <c:pt idx="0">
                  <c:v>33</c:v>
                </c:pt>
                <c:pt idx="1">
                  <c:v>2067</c:v>
                </c:pt>
                <c:pt idx="2">
                  <c:v>156</c:v>
                </c:pt>
                <c:pt idx="3">
                  <c:v>748</c:v>
                </c:pt>
                <c:pt idx="4">
                  <c:v>478</c:v>
                </c:pt>
              </c:numCache>
            </c:numRef>
          </c:val>
          <c:extLst>
            <c:ext xmlns:c16="http://schemas.microsoft.com/office/drawing/2014/chart" uri="{C3380CC4-5D6E-409C-BE32-E72D297353CC}">
              <c16:uniqueId val="{00000000-D242-4264-8A8C-5F795058DDF1}"/>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Evolution_by_Departments!$A$32:$A$36</c:f>
              <c:strCache>
                <c:ptCount val="5"/>
                <c:pt idx="0">
                  <c:v>Guidiguis</c:v>
                </c:pt>
                <c:pt idx="1">
                  <c:v>Kaélé</c:v>
                </c:pt>
                <c:pt idx="2">
                  <c:v>Mindif</c:v>
                </c:pt>
                <c:pt idx="3">
                  <c:v>Moulvoudaye</c:v>
                </c:pt>
                <c:pt idx="4">
                  <c:v>Moutourwa</c:v>
                </c:pt>
              </c:strCache>
            </c:strRef>
          </c:cat>
          <c:val>
            <c:numRef>
              <c:f>Evolution_by_Departments!$C$32:$C$36</c:f>
              <c:numCache>
                <c:formatCode>#\ ##0</c:formatCode>
                <c:ptCount val="5"/>
                <c:pt idx="0">
                  <c:v>61</c:v>
                </c:pt>
                <c:pt idx="1">
                  <c:v>2185</c:v>
                </c:pt>
                <c:pt idx="2">
                  <c:v>132</c:v>
                </c:pt>
                <c:pt idx="3">
                  <c:v>2978</c:v>
                </c:pt>
                <c:pt idx="4">
                  <c:v>405</c:v>
                </c:pt>
              </c:numCache>
            </c:numRef>
          </c:val>
          <c:extLst>
            <c:ext xmlns:c16="http://schemas.microsoft.com/office/drawing/2014/chart" uri="{C3380CC4-5D6E-409C-BE32-E72D297353CC}">
              <c16:uniqueId val="{00000001-D242-4264-8A8C-5F795058DDF1}"/>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Mayo-Sava</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Evolution_by_Departments!$A$38:$A$40</c:f>
              <c:strCache>
                <c:ptCount val="3"/>
                <c:pt idx="0">
                  <c:v>Kolofata</c:v>
                </c:pt>
                <c:pt idx="1">
                  <c:v>Mora</c:v>
                </c:pt>
                <c:pt idx="2">
                  <c:v>Tokombéré</c:v>
                </c:pt>
              </c:strCache>
            </c:strRef>
          </c:cat>
          <c:val>
            <c:numRef>
              <c:f>Evolution_by_Departments!$B$38:$B$40</c:f>
              <c:numCache>
                <c:formatCode>#\ ##0</c:formatCode>
                <c:ptCount val="3"/>
                <c:pt idx="0">
                  <c:v>74755</c:v>
                </c:pt>
                <c:pt idx="1">
                  <c:v>92269</c:v>
                </c:pt>
                <c:pt idx="2">
                  <c:v>4792</c:v>
                </c:pt>
              </c:numCache>
            </c:numRef>
          </c:val>
          <c:extLst>
            <c:ext xmlns:c16="http://schemas.microsoft.com/office/drawing/2014/chart" uri="{C3380CC4-5D6E-409C-BE32-E72D297353CC}">
              <c16:uniqueId val="{00000002-55FA-4CA3-8539-B12BAF6C32BF}"/>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Evolution_by_Departments!$A$38:$A$40</c:f>
              <c:strCache>
                <c:ptCount val="3"/>
                <c:pt idx="0">
                  <c:v>Kolofata</c:v>
                </c:pt>
                <c:pt idx="1">
                  <c:v>Mora</c:v>
                </c:pt>
                <c:pt idx="2">
                  <c:v>Tokombéré</c:v>
                </c:pt>
              </c:strCache>
            </c:strRef>
          </c:cat>
          <c:val>
            <c:numRef>
              <c:f>Evolution_by_Departments!$C$38:$C$40</c:f>
              <c:numCache>
                <c:formatCode>#\ ##0</c:formatCode>
                <c:ptCount val="3"/>
                <c:pt idx="0">
                  <c:v>68171</c:v>
                </c:pt>
                <c:pt idx="1">
                  <c:v>92341</c:v>
                </c:pt>
                <c:pt idx="2">
                  <c:v>5000</c:v>
                </c:pt>
              </c:numCache>
            </c:numRef>
          </c:val>
          <c:extLst>
            <c:ext xmlns:c16="http://schemas.microsoft.com/office/drawing/2014/chart" uri="{C3380CC4-5D6E-409C-BE32-E72D297353CC}">
              <c16:uniqueId val="{00000004-55FA-4CA3-8539-B12BAF6C32BF}"/>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 Tsanaga</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Evolution_by_Departments!$A$42:$A$48</c:f>
              <c:strCache>
                <c:ptCount val="7"/>
                <c:pt idx="0">
                  <c:v>Bourha</c:v>
                </c:pt>
                <c:pt idx="1">
                  <c:v>Hina</c:v>
                </c:pt>
                <c:pt idx="2">
                  <c:v>Koza</c:v>
                </c:pt>
                <c:pt idx="3">
                  <c:v>Mogodé</c:v>
                </c:pt>
                <c:pt idx="4">
                  <c:v>Mokolo</c:v>
                </c:pt>
                <c:pt idx="5">
                  <c:v>Mayo-Moskota</c:v>
                </c:pt>
                <c:pt idx="6">
                  <c:v>Soulédé-Roua</c:v>
                </c:pt>
              </c:strCache>
            </c:strRef>
          </c:cat>
          <c:val>
            <c:numRef>
              <c:f>Evolution_by_Departments!$B$42:$B$48</c:f>
              <c:numCache>
                <c:formatCode>#\ ##0</c:formatCode>
                <c:ptCount val="7"/>
                <c:pt idx="0">
                  <c:v>1472</c:v>
                </c:pt>
                <c:pt idx="1">
                  <c:v>853</c:v>
                </c:pt>
                <c:pt idx="2">
                  <c:v>26384</c:v>
                </c:pt>
                <c:pt idx="3">
                  <c:v>34238</c:v>
                </c:pt>
                <c:pt idx="4">
                  <c:v>2094</c:v>
                </c:pt>
                <c:pt idx="5">
                  <c:v>50631</c:v>
                </c:pt>
                <c:pt idx="6">
                  <c:v>989</c:v>
                </c:pt>
              </c:numCache>
            </c:numRef>
          </c:val>
          <c:extLst>
            <c:ext xmlns:c16="http://schemas.microsoft.com/office/drawing/2014/chart" uri="{C3380CC4-5D6E-409C-BE32-E72D297353CC}">
              <c16:uniqueId val="{00000000-668E-47EB-9FE9-DDCA5749F713}"/>
            </c:ext>
          </c:extLst>
        </c:ser>
        <c:ser>
          <c:idx val="1"/>
          <c:order val="1"/>
          <c:tx>
            <c:strRef>
              <c:f>Evolution_by_Departments!$C$1</c:f>
              <c:strCache>
                <c:ptCount val="1"/>
                <c:pt idx="0">
                  <c:v>DATA MT ROUND 26</c:v>
                </c:pt>
              </c:strCache>
            </c:strRef>
          </c:tx>
          <c:spPr>
            <a:solidFill>
              <a:schemeClr val="accent2"/>
            </a:solidFill>
            <a:ln>
              <a:noFill/>
            </a:ln>
            <a:effectLst/>
          </c:spPr>
          <c:invertIfNegative val="0"/>
          <c:dLbls>
            <c:dLbl>
              <c:idx val="2"/>
              <c:layout>
                <c:manualLayout>
                  <c:x val="6.7396798652064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6-4B40-8AD3-477BA216CDC3}"/>
                </c:ext>
              </c:extLst>
            </c:dLbl>
            <c:dLbl>
              <c:idx val="4"/>
              <c:layout>
                <c:manualLayout>
                  <c:x val="1.34793597304128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66-4B40-8AD3-477BA216CDC3}"/>
                </c:ext>
              </c:extLst>
            </c:dLbl>
            <c:dLbl>
              <c:idx val="5"/>
              <c:layout>
                <c:manualLayout>
                  <c:x val="1.01095197978096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6-4B40-8AD3-477BA216CD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Evolution_by_Departments!$A$42:$A$48</c:f>
              <c:strCache>
                <c:ptCount val="7"/>
                <c:pt idx="0">
                  <c:v>Bourha</c:v>
                </c:pt>
                <c:pt idx="1">
                  <c:v>Hina</c:v>
                </c:pt>
                <c:pt idx="2">
                  <c:v>Koza</c:v>
                </c:pt>
                <c:pt idx="3">
                  <c:v>Mogodé</c:v>
                </c:pt>
                <c:pt idx="4">
                  <c:v>Mokolo</c:v>
                </c:pt>
                <c:pt idx="5">
                  <c:v>Mayo-Moskota</c:v>
                </c:pt>
                <c:pt idx="6">
                  <c:v>Soulédé-Roua</c:v>
                </c:pt>
              </c:strCache>
            </c:strRef>
          </c:cat>
          <c:val>
            <c:numRef>
              <c:f>Evolution_by_Departments!$C$42:$C$48</c:f>
              <c:numCache>
                <c:formatCode>#\ ##0</c:formatCode>
                <c:ptCount val="7"/>
                <c:pt idx="0">
                  <c:v>1893</c:v>
                </c:pt>
                <c:pt idx="1">
                  <c:v>974</c:v>
                </c:pt>
                <c:pt idx="2">
                  <c:v>42884</c:v>
                </c:pt>
                <c:pt idx="3">
                  <c:v>36898</c:v>
                </c:pt>
                <c:pt idx="4">
                  <c:v>2109</c:v>
                </c:pt>
                <c:pt idx="5">
                  <c:v>46026</c:v>
                </c:pt>
                <c:pt idx="6">
                  <c:v>593</c:v>
                </c:pt>
              </c:numCache>
            </c:numRef>
          </c:val>
          <c:extLst>
            <c:ext xmlns:c16="http://schemas.microsoft.com/office/drawing/2014/chart" uri="{C3380CC4-5D6E-409C-BE32-E72D297353CC}">
              <c16:uniqueId val="{00000001-668E-47EB-9FE9-DDCA5749F713}"/>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rgbClr val="0010A6"/>
                </a:solidFill>
              </a:defRPr>
            </a:pPr>
            <a:r>
              <a:rPr lang="en-US" sz="1400" b="0">
                <a:solidFill>
                  <a:srgbClr val="0010A6"/>
                </a:solidFill>
              </a:rPr>
              <a:t>Displaced population by population category</a:t>
            </a:r>
          </a:p>
        </c:rich>
      </c:tx>
      <c:overlay val="0"/>
    </c:title>
    <c:autoTitleDeleted val="0"/>
    <c:plotArea>
      <c:layout>
        <c:manualLayout>
          <c:layoutTarget val="inner"/>
          <c:xMode val="edge"/>
          <c:yMode val="edge"/>
          <c:x val="0.10399460617881483"/>
          <c:y val="0.18119672332755943"/>
          <c:w val="0.35314158515438671"/>
          <c:h val="0.77895202100680949"/>
        </c:manualLayout>
      </c:layout>
      <c:doughnutChart>
        <c:varyColors val="1"/>
        <c:ser>
          <c:idx val="0"/>
          <c:order val="0"/>
          <c:tx>
            <c:strRef>
              <c:f>'Displacement &amp; Returns'!$X$5:$Z$5</c:f>
              <c:strCache>
                <c:ptCount val="3"/>
                <c:pt idx="0">
                  <c:v>Internal displaced populations</c:v>
                </c:pt>
                <c:pt idx="1">
                  <c:v>Refugees out of camp</c:v>
                </c:pt>
                <c:pt idx="2">
                  <c:v>Returnees</c:v>
                </c:pt>
              </c:strCache>
            </c:strRef>
          </c:tx>
          <c:dPt>
            <c:idx val="0"/>
            <c:bubble3D val="0"/>
            <c:spPr>
              <a:solidFill>
                <a:srgbClr val="0039A6"/>
              </a:solidFill>
            </c:spPr>
            <c:extLst>
              <c:ext xmlns:c16="http://schemas.microsoft.com/office/drawing/2014/chart" uri="{C3380CC4-5D6E-409C-BE32-E72D297353CC}">
                <c16:uniqueId val="{00000001-2198-44B1-AF42-6CBC1AE9C0DE}"/>
              </c:ext>
            </c:extLst>
          </c:dPt>
          <c:dPt>
            <c:idx val="1"/>
            <c:bubble3D val="0"/>
            <c:spPr>
              <a:solidFill>
                <a:srgbClr val="6E99D4"/>
              </a:solidFill>
            </c:spPr>
            <c:extLst>
              <c:ext xmlns:c16="http://schemas.microsoft.com/office/drawing/2014/chart" uri="{C3380CC4-5D6E-409C-BE32-E72D297353CC}">
                <c16:uniqueId val="{00000003-2198-44B1-AF42-6CBC1AE9C0DE}"/>
              </c:ext>
            </c:extLst>
          </c:dPt>
          <c:dPt>
            <c:idx val="2"/>
            <c:bubble3D val="0"/>
            <c:spPr>
              <a:solidFill>
                <a:srgbClr val="FF7400"/>
              </a:solidFill>
            </c:spPr>
            <c:extLst>
              <c:ext xmlns:c16="http://schemas.microsoft.com/office/drawing/2014/chart" uri="{C3380CC4-5D6E-409C-BE32-E72D297353CC}">
                <c16:uniqueId val="{00000005-2198-44B1-AF42-6CBC1AE9C0DE}"/>
              </c:ext>
            </c:extLst>
          </c:dPt>
          <c:dLbls>
            <c:dLbl>
              <c:idx val="1"/>
              <c:layout>
                <c:manualLayout>
                  <c:x val="2.1040742830526638E-2"/>
                  <c:y val="-1.9093078758949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98-44B1-AF42-6CBC1AE9C0DE}"/>
                </c:ext>
              </c:extLst>
            </c:dLbl>
            <c:dLbl>
              <c:idx val="2"/>
              <c:spPr/>
              <c:txPr>
                <a:bodyPr/>
                <a:lstStyle/>
                <a:p>
                  <a:pPr>
                    <a:defRPr>
                      <a:solidFill>
                        <a:schemeClr val="bg1"/>
                      </a:solidFill>
                    </a:defRPr>
                  </a:pPr>
                  <a:endParaRPr lang="en-CH"/>
                </a:p>
              </c:txPr>
              <c:showLegendKey val="0"/>
              <c:showVal val="1"/>
              <c:showCatName val="0"/>
              <c:showSerName val="0"/>
              <c:showPercent val="0"/>
              <c:showBubbleSize val="0"/>
              <c:extLst>
                <c:ext xmlns:c16="http://schemas.microsoft.com/office/drawing/2014/chart" uri="{C3380CC4-5D6E-409C-BE32-E72D297353CC}">
                  <c16:uniqueId val="{00000005-2198-44B1-AF42-6CBC1AE9C0DE}"/>
                </c:ext>
              </c:extLst>
            </c:dLbl>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1"/>
            <c:extLst>
              <c:ext xmlns:c15="http://schemas.microsoft.com/office/drawing/2012/chart" uri="{CE6537A1-D6FC-4f65-9D91-7224C49458BB}"/>
            </c:extLst>
          </c:dLbls>
          <c:cat>
            <c:strRef>
              <c:f>'Displacement &amp; Returns'!$X$5:$Z$5</c:f>
              <c:strCache>
                <c:ptCount val="3"/>
                <c:pt idx="0">
                  <c:v>Internal displaced populations</c:v>
                </c:pt>
                <c:pt idx="1">
                  <c:v>Refugees out of camp</c:v>
                </c:pt>
                <c:pt idx="2">
                  <c:v>Returnees</c:v>
                </c:pt>
              </c:strCache>
            </c:strRef>
          </c:cat>
          <c:val>
            <c:numRef>
              <c:f>'Displacement &amp; Returns'!$X$13:$Z$13</c:f>
              <c:numCache>
                <c:formatCode>0%</c:formatCode>
                <c:ptCount val="3"/>
                <c:pt idx="0">
                  <c:v>0.62869280776826864</c:v>
                </c:pt>
                <c:pt idx="1">
                  <c:v>7.2758452459324746E-2</c:v>
                </c:pt>
                <c:pt idx="2">
                  <c:v>0.29854873977240665</c:v>
                </c:pt>
              </c:numCache>
            </c:numRef>
          </c:val>
          <c:extLst>
            <c:ext xmlns:c16="http://schemas.microsoft.com/office/drawing/2014/chart" uri="{C3380CC4-5D6E-409C-BE32-E72D297353CC}">
              <c16:uniqueId val="{00000006-2198-44B1-AF42-6CBC1AE9C0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6640885032573973"/>
          <c:y val="0.31307928915308697"/>
          <c:w val="0.41921736835681839"/>
          <c:h val="0.48617568787662796"/>
        </c:manualLayout>
      </c:layout>
      <c:overlay val="0"/>
      <c:spPr>
        <a:solidFill>
          <a:sysClr val="window" lastClr="FFFFFF"/>
        </a:solidFill>
      </c:spPr>
      <c:txPr>
        <a:bodyPr/>
        <a:lstStyle/>
        <a:p>
          <a:pPr rtl="0">
            <a:defRPr sz="1100">
              <a:solidFill>
                <a:schemeClr val="tx1">
                  <a:lumMod val="65000"/>
                  <a:lumOff val="35000"/>
                </a:schemeClr>
              </a:solidFill>
            </a:defRPr>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fr-FR" sz="1400" b="0">
                <a:solidFill>
                  <a:srgbClr val="0039A6"/>
                </a:solidFill>
              </a:rPr>
              <a:t>Evolution globale depuis</a:t>
            </a:r>
            <a:r>
              <a:rPr lang="fr-FR" sz="1400" b="0" baseline="0">
                <a:solidFill>
                  <a:srgbClr val="0039A6"/>
                </a:solidFill>
              </a:rPr>
              <a:t> la DTM #1</a:t>
            </a:r>
            <a:endParaRPr lang="fr-FR" sz="1400" b="0">
              <a:solidFill>
                <a:srgbClr val="0039A6"/>
              </a:solidFill>
            </a:endParaRPr>
          </a:p>
        </c:rich>
      </c:tx>
      <c:overlay val="0"/>
    </c:title>
    <c:autoTitleDeleted val="0"/>
    <c:plotArea>
      <c:layout/>
      <c:barChart>
        <c:barDir val="col"/>
        <c:grouping val="clustered"/>
        <c:varyColors val="0"/>
        <c:ser>
          <c:idx val="0"/>
          <c:order val="0"/>
          <c:tx>
            <c:strRef>
              <c:f>'Displacement &amp; Returns'!$E$211</c:f>
              <c:strCache>
                <c:ptCount val="1"/>
                <c:pt idx="0">
                  <c:v>Personnes déplacées interne</c:v>
                </c:pt>
              </c:strCache>
            </c:strRef>
          </c:tx>
          <c:spPr>
            <a:solidFill>
              <a:srgbClr val="C00000"/>
            </a:solidFill>
          </c:spPr>
          <c:invertIfNegative val="0"/>
          <c:cat>
            <c:strRef>
              <c:f>'Displacement &amp; Returns'!$D$212:$D$237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Returns'!$E$212:$E$237</c:f>
              <c:numCache>
                <c:formatCode>#\ ##0</c:formatCode>
                <c:ptCount val="26"/>
                <c:pt idx="0">
                  <c:v>158316</c:v>
                </c:pt>
                <c:pt idx="1">
                  <c:v>169970</c:v>
                </c:pt>
                <c:pt idx="2">
                  <c:v>190591</c:v>
                </c:pt>
                <c:pt idx="3">
                  <c:v>181215</c:v>
                </c:pt>
                <c:pt idx="4">
                  <c:v>198889</c:v>
                </c:pt>
                <c:pt idx="5">
                  <c:v>191908</c:v>
                </c:pt>
                <c:pt idx="6">
                  <c:v>223642</c:v>
                </c:pt>
                <c:pt idx="7">
                  <c:v>228443</c:v>
                </c:pt>
                <c:pt idx="8">
                  <c:v>235913</c:v>
                </c:pt>
                <c:pt idx="9">
                  <c:v>237967</c:v>
                </c:pt>
                <c:pt idx="10">
                  <c:v>241987</c:v>
                </c:pt>
                <c:pt idx="11">
                  <c:v>241030</c:v>
                </c:pt>
                <c:pt idx="12">
                  <c:v>238099</c:v>
                </c:pt>
                <c:pt idx="13">
                  <c:v>227581</c:v>
                </c:pt>
                <c:pt idx="14">
                  <c:v>244347</c:v>
                </c:pt>
                <c:pt idx="15">
                  <c:v>245725</c:v>
                </c:pt>
                <c:pt idx="16">
                  <c:v>253813</c:v>
                </c:pt>
                <c:pt idx="17">
                  <c:v>262831</c:v>
                </c:pt>
                <c:pt idx="18">
                  <c:v>270870</c:v>
                </c:pt>
                <c:pt idx="19">
                  <c:v>297380</c:v>
                </c:pt>
                <c:pt idx="20">
                  <c:v>321886</c:v>
                </c:pt>
                <c:pt idx="21">
                  <c:v>341535</c:v>
                </c:pt>
                <c:pt idx="22">
                  <c:v>357631</c:v>
                </c:pt>
                <c:pt idx="23">
                  <c:v>377877</c:v>
                </c:pt>
                <c:pt idx="24">
                  <c:v>385372</c:v>
                </c:pt>
                <c:pt idx="25">
                  <c:v>427833</c:v>
                </c:pt>
              </c:numCache>
            </c:numRef>
          </c:val>
          <c:extLst>
            <c:ext xmlns:c16="http://schemas.microsoft.com/office/drawing/2014/chart" uri="{C3380CC4-5D6E-409C-BE32-E72D297353CC}">
              <c16:uniqueId val="{00000000-7FDC-4FD6-A1BE-AA9C32478297}"/>
            </c:ext>
          </c:extLst>
        </c:ser>
        <c:ser>
          <c:idx val="1"/>
          <c:order val="1"/>
          <c:tx>
            <c:strRef>
              <c:f>'Displacement &amp; Returns'!$F$211</c:f>
              <c:strCache>
                <c:ptCount val="1"/>
                <c:pt idx="0">
                  <c:v>réfugiés hors camp</c:v>
                </c:pt>
              </c:strCache>
            </c:strRef>
          </c:tx>
          <c:spPr>
            <a:solidFill>
              <a:srgbClr val="ED7D31"/>
            </a:solidFill>
          </c:spPr>
          <c:invertIfNegative val="0"/>
          <c:cat>
            <c:strRef>
              <c:f>'Displacement &amp; Returns'!$D$212:$D$237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Returns'!$F$212:$F$237</c:f>
              <c:numCache>
                <c:formatCode>#\ ##0</c:formatCode>
                <c:ptCount val="26"/>
                <c:pt idx="0">
                  <c:v>11482</c:v>
                </c:pt>
                <c:pt idx="1">
                  <c:v>8108</c:v>
                </c:pt>
                <c:pt idx="2">
                  <c:v>8251</c:v>
                </c:pt>
                <c:pt idx="3">
                  <c:v>14871</c:v>
                </c:pt>
                <c:pt idx="4">
                  <c:v>26743</c:v>
                </c:pt>
                <c:pt idx="5">
                  <c:v>23430</c:v>
                </c:pt>
                <c:pt idx="6">
                  <c:v>30593</c:v>
                </c:pt>
                <c:pt idx="7">
                  <c:v>32459</c:v>
                </c:pt>
                <c:pt idx="8">
                  <c:v>30278</c:v>
                </c:pt>
                <c:pt idx="9">
                  <c:v>29728</c:v>
                </c:pt>
                <c:pt idx="10">
                  <c:v>29337</c:v>
                </c:pt>
                <c:pt idx="11">
                  <c:v>31656</c:v>
                </c:pt>
                <c:pt idx="12">
                  <c:v>31681</c:v>
                </c:pt>
                <c:pt idx="13">
                  <c:v>39403</c:v>
                </c:pt>
                <c:pt idx="14">
                  <c:v>41763</c:v>
                </c:pt>
                <c:pt idx="15">
                  <c:v>40396</c:v>
                </c:pt>
                <c:pt idx="16">
                  <c:v>79787</c:v>
                </c:pt>
                <c:pt idx="17">
                  <c:v>50981</c:v>
                </c:pt>
                <c:pt idx="18">
                  <c:v>46845</c:v>
                </c:pt>
                <c:pt idx="19">
                  <c:v>47305</c:v>
                </c:pt>
                <c:pt idx="20">
                  <c:v>48769</c:v>
                </c:pt>
                <c:pt idx="21">
                  <c:v>48902</c:v>
                </c:pt>
                <c:pt idx="22">
                  <c:v>51997</c:v>
                </c:pt>
                <c:pt idx="23">
                  <c:v>49564</c:v>
                </c:pt>
                <c:pt idx="24">
                  <c:v>49660</c:v>
                </c:pt>
                <c:pt idx="25">
                  <c:v>49513</c:v>
                </c:pt>
              </c:numCache>
            </c:numRef>
          </c:val>
          <c:extLst>
            <c:ext xmlns:c16="http://schemas.microsoft.com/office/drawing/2014/chart" uri="{C3380CC4-5D6E-409C-BE32-E72D297353CC}">
              <c16:uniqueId val="{00000001-7FDC-4FD6-A1BE-AA9C32478297}"/>
            </c:ext>
          </c:extLst>
        </c:ser>
        <c:ser>
          <c:idx val="2"/>
          <c:order val="2"/>
          <c:tx>
            <c:strRef>
              <c:f>'Displacement &amp; Returns'!$G$211</c:f>
              <c:strCache>
                <c:ptCount val="1"/>
                <c:pt idx="0">
                  <c:v>Retournés</c:v>
                </c:pt>
              </c:strCache>
            </c:strRef>
          </c:tx>
          <c:spPr>
            <a:solidFill>
              <a:srgbClr val="0AA693"/>
            </a:solidFill>
          </c:spPr>
          <c:invertIfNegative val="0"/>
          <c:cat>
            <c:strRef>
              <c:f>'Displacement &amp; Returns'!$D$212:$D$237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Returns'!$G$212:$G$237</c:f>
              <c:numCache>
                <c:formatCode>#\ ##0</c:formatCode>
                <c:ptCount val="26"/>
                <c:pt idx="0">
                  <c:v>30585</c:v>
                </c:pt>
                <c:pt idx="1">
                  <c:v>35434</c:v>
                </c:pt>
                <c:pt idx="2">
                  <c:v>39833</c:v>
                </c:pt>
                <c:pt idx="3">
                  <c:v>32023</c:v>
                </c:pt>
                <c:pt idx="4">
                  <c:v>36068</c:v>
                </c:pt>
                <c:pt idx="5">
                  <c:v>35665</c:v>
                </c:pt>
                <c:pt idx="6">
                  <c:v>43435</c:v>
                </c:pt>
                <c:pt idx="7">
                  <c:v>58027</c:v>
                </c:pt>
                <c:pt idx="8">
                  <c:v>59398</c:v>
                </c:pt>
                <c:pt idx="9">
                  <c:v>61090</c:v>
                </c:pt>
                <c:pt idx="10">
                  <c:v>63692</c:v>
                </c:pt>
                <c:pt idx="11">
                  <c:v>69730</c:v>
                </c:pt>
                <c:pt idx="12">
                  <c:v>83141</c:v>
                </c:pt>
                <c:pt idx="13">
                  <c:v>92238</c:v>
                </c:pt>
                <c:pt idx="14">
                  <c:v>100925</c:v>
                </c:pt>
                <c:pt idx="15">
                  <c:v>105906</c:v>
                </c:pt>
                <c:pt idx="16">
                  <c:v>109083</c:v>
                </c:pt>
                <c:pt idx="17">
                  <c:v>110023</c:v>
                </c:pt>
                <c:pt idx="18">
                  <c:v>110574</c:v>
                </c:pt>
                <c:pt idx="19">
                  <c:v>116979</c:v>
                </c:pt>
                <c:pt idx="20">
                  <c:v>123489</c:v>
                </c:pt>
                <c:pt idx="21">
                  <c:v>124310</c:v>
                </c:pt>
                <c:pt idx="22">
                  <c:v>135257</c:v>
                </c:pt>
                <c:pt idx="23">
                  <c:v>130690</c:v>
                </c:pt>
                <c:pt idx="24">
                  <c:v>138152</c:v>
                </c:pt>
                <c:pt idx="25">
                  <c:v>203166</c:v>
                </c:pt>
              </c:numCache>
            </c:numRef>
          </c:val>
          <c:extLst>
            <c:ext xmlns:c16="http://schemas.microsoft.com/office/drawing/2014/chart" uri="{C3380CC4-5D6E-409C-BE32-E72D297353CC}">
              <c16:uniqueId val="{00000002-7FDC-4FD6-A1BE-AA9C32478297}"/>
            </c:ext>
          </c:extLst>
        </c:ser>
        <c:dLbls>
          <c:showLegendKey val="0"/>
          <c:showVal val="0"/>
          <c:showCatName val="0"/>
          <c:showSerName val="0"/>
          <c:showPercent val="0"/>
          <c:showBubbleSize val="0"/>
        </c:dLbls>
        <c:gapWidth val="150"/>
        <c:axId val="155942272"/>
        <c:axId val="155944064"/>
      </c:barChart>
      <c:catAx>
        <c:axId val="155942272"/>
        <c:scaling>
          <c:orientation val="minMax"/>
        </c:scaling>
        <c:delete val="0"/>
        <c:axPos val="b"/>
        <c:numFmt formatCode="General" sourceLinked="0"/>
        <c:majorTickMark val="out"/>
        <c:minorTickMark val="none"/>
        <c:tickLblPos val="nextTo"/>
        <c:txPr>
          <a:bodyPr rot="-2700000" vert="horz"/>
          <a:lstStyle/>
          <a:p>
            <a:pPr>
              <a:defRPr sz="900"/>
            </a:pPr>
            <a:endParaRPr lang="en-CH"/>
          </a:p>
        </c:txPr>
        <c:crossAx val="155944064"/>
        <c:crosses val="autoZero"/>
        <c:auto val="1"/>
        <c:lblAlgn val="ctr"/>
        <c:lblOffset val="100"/>
        <c:noMultiLvlLbl val="0"/>
      </c:catAx>
      <c:valAx>
        <c:axId val="155944064"/>
        <c:scaling>
          <c:orientation val="minMax"/>
        </c:scaling>
        <c:delete val="0"/>
        <c:axPos val="l"/>
        <c:majorGridlines/>
        <c:numFmt formatCode="#\ ##0" sourceLinked="1"/>
        <c:majorTickMark val="out"/>
        <c:minorTickMark val="none"/>
        <c:tickLblPos val="nextTo"/>
        <c:crossAx val="155942272"/>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fr-FR" sz="1400" b="0">
                <a:solidFill>
                  <a:srgbClr val="0039A6"/>
                </a:solidFill>
              </a:rPr>
              <a:t>Global Evolution from DTM #1</a:t>
            </a:r>
          </a:p>
        </c:rich>
      </c:tx>
      <c:overlay val="0"/>
    </c:title>
    <c:autoTitleDeleted val="0"/>
    <c:plotArea>
      <c:layout/>
      <c:barChart>
        <c:barDir val="col"/>
        <c:grouping val="clustered"/>
        <c:varyColors val="0"/>
        <c:ser>
          <c:idx val="0"/>
          <c:order val="0"/>
          <c:tx>
            <c:strRef>
              <c:f>'Displacement &amp; Returns'!$X$211</c:f>
              <c:strCache>
                <c:ptCount val="1"/>
                <c:pt idx="0">
                  <c:v>Internal displaced people</c:v>
                </c:pt>
              </c:strCache>
            </c:strRef>
          </c:tx>
          <c:spPr>
            <a:solidFill>
              <a:srgbClr val="C00000"/>
            </a:solidFill>
          </c:spPr>
          <c:invertIfNegative val="0"/>
          <c:cat>
            <c:strRef>
              <c:f>'Displacement &amp; Returns'!$W$212:$W$237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Returns'!$X$212:$X$237</c:f>
              <c:numCache>
                <c:formatCode>#\ ##0</c:formatCode>
                <c:ptCount val="26"/>
                <c:pt idx="0" formatCode="General">
                  <c:v>158316</c:v>
                </c:pt>
                <c:pt idx="1">
                  <c:v>169970</c:v>
                </c:pt>
                <c:pt idx="2" formatCode="General">
                  <c:v>190591</c:v>
                </c:pt>
                <c:pt idx="3">
                  <c:v>181215</c:v>
                </c:pt>
                <c:pt idx="4" formatCode="General">
                  <c:v>198889</c:v>
                </c:pt>
                <c:pt idx="5">
                  <c:v>191908</c:v>
                </c:pt>
                <c:pt idx="6" formatCode="General">
                  <c:v>223642</c:v>
                </c:pt>
                <c:pt idx="7">
                  <c:v>228443</c:v>
                </c:pt>
                <c:pt idx="8" formatCode="General">
                  <c:v>235913</c:v>
                </c:pt>
                <c:pt idx="9">
                  <c:v>237967</c:v>
                </c:pt>
                <c:pt idx="10" formatCode="General">
                  <c:v>241987</c:v>
                </c:pt>
                <c:pt idx="11">
                  <c:v>241030</c:v>
                </c:pt>
                <c:pt idx="12" formatCode="General">
                  <c:v>238099</c:v>
                </c:pt>
                <c:pt idx="13">
                  <c:v>227581</c:v>
                </c:pt>
                <c:pt idx="14" formatCode="General">
                  <c:v>244347</c:v>
                </c:pt>
                <c:pt idx="15">
                  <c:v>245725</c:v>
                </c:pt>
                <c:pt idx="16" formatCode="General">
                  <c:v>253813</c:v>
                </c:pt>
                <c:pt idx="17">
                  <c:v>262831</c:v>
                </c:pt>
                <c:pt idx="18" formatCode="General">
                  <c:v>270870</c:v>
                </c:pt>
                <c:pt idx="19">
                  <c:v>297380</c:v>
                </c:pt>
                <c:pt idx="20" formatCode="General">
                  <c:v>321886</c:v>
                </c:pt>
                <c:pt idx="21">
                  <c:v>341535</c:v>
                </c:pt>
                <c:pt idx="22" formatCode="General">
                  <c:v>357631</c:v>
                </c:pt>
                <c:pt idx="23">
                  <c:v>377877</c:v>
                </c:pt>
                <c:pt idx="24" formatCode="General">
                  <c:v>385372</c:v>
                </c:pt>
                <c:pt idx="25">
                  <c:v>427833</c:v>
                </c:pt>
              </c:numCache>
            </c:numRef>
          </c:val>
          <c:extLst>
            <c:ext xmlns:c16="http://schemas.microsoft.com/office/drawing/2014/chart" uri="{C3380CC4-5D6E-409C-BE32-E72D297353CC}">
              <c16:uniqueId val="{00000000-7F8E-4855-9338-DF7CB5A55029}"/>
            </c:ext>
          </c:extLst>
        </c:ser>
        <c:ser>
          <c:idx val="1"/>
          <c:order val="1"/>
          <c:tx>
            <c:strRef>
              <c:f>'Displacement &amp; Returns'!$Y$211</c:f>
              <c:strCache>
                <c:ptCount val="1"/>
                <c:pt idx="0">
                  <c:v>Out of camp Refugees</c:v>
                </c:pt>
              </c:strCache>
            </c:strRef>
          </c:tx>
          <c:spPr>
            <a:solidFill>
              <a:srgbClr val="ED7D31"/>
            </a:solidFill>
          </c:spPr>
          <c:invertIfNegative val="0"/>
          <c:cat>
            <c:strRef>
              <c:f>'Displacement &amp; Returns'!$W$212:$W$237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Returns'!$Y$212:$Y$237</c:f>
              <c:numCache>
                <c:formatCode>#\ ##0</c:formatCode>
                <c:ptCount val="26"/>
                <c:pt idx="0" formatCode="General">
                  <c:v>11482</c:v>
                </c:pt>
                <c:pt idx="1">
                  <c:v>8108</c:v>
                </c:pt>
                <c:pt idx="2" formatCode="General">
                  <c:v>8251</c:v>
                </c:pt>
                <c:pt idx="3">
                  <c:v>14871</c:v>
                </c:pt>
                <c:pt idx="4" formatCode="General">
                  <c:v>26743</c:v>
                </c:pt>
                <c:pt idx="5">
                  <c:v>23430</c:v>
                </c:pt>
                <c:pt idx="6" formatCode="General">
                  <c:v>30593</c:v>
                </c:pt>
                <c:pt idx="7">
                  <c:v>32459</c:v>
                </c:pt>
                <c:pt idx="8" formatCode="General">
                  <c:v>30278</c:v>
                </c:pt>
                <c:pt idx="9">
                  <c:v>29728</c:v>
                </c:pt>
                <c:pt idx="10" formatCode="General">
                  <c:v>29337</c:v>
                </c:pt>
                <c:pt idx="11">
                  <c:v>31656</c:v>
                </c:pt>
                <c:pt idx="12" formatCode="General">
                  <c:v>31681</c:v>
                </c:pt>
                <c:pt idx="13">
                  <c:v>39403</c:v>
                </c:pt>
                <c:pt idx="14" formatCode="General">
                  <c:v>41763</c:v>
                </c:pt>
                <c:pt idx="15">
                  <c:v>40396</c:v>
                </c:pt>
                <c:pt idx="16" formatCode="General">
                  <c:v>79787</c:v>
                </c:pt>
                <c:pt idx="17">
                  <c:v>50981</c:v>
                </c:pt>
                <c:pt idx="18" formatCode="General">
                  <c:v>46845</c:v>
                </c:pt>
                <c:pt idx="19">
                  <c:v>47305</c:v>
                </c:pt>
                <c:pt idx="20" formatCode="General">
                  <c:v>48769</c:v>
                </c:pt>
                <c:pt idx="21">
                  <c:v>48902</c:v>
                </c:pt>
                <c:pt idx="22" formatCode="General">
                  <c:v>51997</c:v>
                </c:pt>
                <c:pt idx="23">
                  <c:v>49564</c:v>
                </c:pt>
                <c:pt idx="24" formatCode="General">
                  <c:v>49660</c:v>
                </c:pt>
                <c:pt idx="25">
                  <c:v>49513</c:v>
                </c:pt>
              </c:numCache>
            </c:numRef>
          </c:val>
          <c:extLst>
            <c:ext xmlns:c16="http://schemas.microsoft.com/office/drawing/2014/chart" uri="{C3380CC4-5D6E-409C-BE32-E72D297353CC}">
              <c16:uniqueId val="{00000001-7F8E-4855-9338-DF7CB5A55029}"/>
            </c:ext>
          </c:extLst>
        </c:ser>
        <c:ser>
          <c:idx val="2"/>
          <c:order val="2"/>
          <c:tx>
            <c:strRef>
              <c:f>'Displacement &amp; Returns'!$Z$211</c:f>
              <c:strCache>
                <c:ptCount val="1"/>
                <c:pt idx="0">
                  <c:v>Returnees</c:v>
                </c:pt>
              </c:strCache>
            </c:strRef>
          </c:tx>
          <c:spPr>
            <a:solidFill>
              <a:srgbClr val="0AA693"/>
            </a:solidFill>
          </c:spPr>
          <c:invertIfNegative val="0"/>
          <c:cat>
            <c:strRef>
              <c:f>'Displacement &amp; Returns'!$W$212:$W$237</c:f>
              <c:strCache>
                <c:ptCount val="26"/>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strCache>
            </c:strRef>
          </c:cat>
          <c:val>
            <c:numRef>
              <c:f>'Displacement &amp; Returns'!$Z$212:$Z$237</c:f>
              <c:numCache>
                <c:formatCode>#\ ##0</c:formatCode>
                <c:ptCount val="26"/>
                <c:pt idx="0" formatCode="General">
                  <c:v>30585</c:v>
                </c:pt>
                <c:pt idx="1">
                  <c:v>35434</c:v>
                </c:pt>
                <c:pt idx="2" formatCode="General">
                  <c:v>39833</c:v>
                </c:pt>
                <c:pt idx="3">
                  <c:v>32023</c:v>
                </c:pt>
                <c:pt idx="4" formatCode="General">
                  <c:v>36068</c:v>
                </c:pt>
                <c:pt idx="5">
                  <c:v>35665</c:v>
                </c:pt>
                <c:pt idx="6" formatCode="General">
                  <c:v>43435</c:v>
                </c:pt>
                <c:pt idx="7">
                  <c:v>58027</c:v>
                </c:pt>
                <c:pt idx="8" formatCode="General">
                  <c:v>59398</c:v>
                </c:pt>
                <c:pt idx="9">
                  <c:v>61090</c:v>
                </c:pt>
                <c:pt idx="10" formatCode="General">
                  <c:v>63692</c:v>
                </c:pt>
                <c:pt idx="11">
                  <c:v>69730</c:v>
                </c:pt>
                <c:pt idx="12" formatCode="General">
                  <c:v>83141</c:v>
                </c:pt>
                <c:pt idx="13">
                  <c:v>92238</c:v>
                </c:pt>
                <c:pt idx="14" formatCode="General">
                  <c:v>100925</c:v>
                </c:pt>
                <c:pt idx="15">
                  <c:v>105906</c:v>
                </c:pt>
                <c:pt idx="16" formatCode="General">
                  <c:v>109083</c:v>
                </c:pt>
                <c:pt idx="17">
                  <c:v>110023</c:v>
                </c:pt>
                <c:pt idx="18" formatCode="General">
                  <c:v>110574</c:v>
                </c:pt>
                <c:pt idx="19">
                  <c:v>116979</c:v>
                </c:pt>
                <c:pt idx="20" formatCode="General">
                  <c:v>123489</c:v>
                </c:pt>
                <c:pt idx="21">
                  <c:v>124310</c:v>
                </c:pt>
                <c:pt idx="22" formatCode="General">
                  <c:v>135257</c:v>
                </c:pt>
                <c:pt idx="23">
                  <c:v>130690</c:v>
                </c:pt>
                <c:pt idx="24" formatCode="General">
                  <c:v>138152</c:v>
                </c:pt>
                <c:pt idx="25">
                  <c:v>203166</c:v>
                </c:pt>
              </c:numCache>
            </c:numRef>
          </c:val>
          <c:extLst>
            <c:ext xmlns:c16="http://schemas.microsoft.com/office/drawing/2014/chart" uri="{C3380CC4-5D6E-409C-BE32-E72D297353CC}">
              <c16:uniqueId val="{00000002-7F8E-4855-9338-DF7CB5A55029}"/>
            </c:ext>
          </c:extLst>
        </c:ser>
        <c:dLbls>
          <c:showLegendKey val="0"/>
          <c:showVal val="0"/>
          <c:showCatName val="0"/>
          <c:showSerName val="0"/>
          <c:showPercent val="0"/>
          <c:showBubbleSize val="0"/>
        </c:dLbls>
        <c:gapWidth val="150"/>
        <c:axId val="155848704"/>
        <c:axId val="155850240"/>
      </c:barChart>
      <c:catAx>
        <c:axId val="155848704"/>
        <c:scaling>
          <c:orientation val="minMax"/>
        </c:scaling>
        <c:delete val="0"/>
        <c:axPos val="b"/>
        <c:numFmt formatCode="General" sourceLinked="0"/>
        <c:majorTickMark val="out"/>
        <c:minorTickMark val="none"/>
        <c:tickLblPos val="nextTo"/>
        <c:crossAx val="155850240"/>
        <c:crosses val="autoZero"/>
        <c:auto val="1"/>
        <c:lblAlgn val="ctr"/>
        <c:lblOffset val="100"/>
        <c:noMultiLvlLbl val="0"/>
      </c:catAx>
      <c:valAx>
        <c:axId val="155850240"/>
        <c:scaling>
          <c:orientation val="minMax"/>
        </c:scaling>
        <c:delete val="0"/>
        <c:axPos val="l"/>
        <c:majorGridlines/>
        <c:numFmt formatCode="General" sourceLinked="1"/>
        <c:majorTickMark val="out"/>
        <c:minorTickMark val="none"/>
        <c:tickLblPos val="nextTo"/>
        <c:crossAx val="155848704"/>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fr-FR" sz="1100" b="0" i="0" u="none" strike="noStrike" kern="1200" baseline="0">
                <a:solidFill>
                  <a:srgbClr val="0010A6"/>
                </a:solidFill>
                <a:latin typeface="+mn-lt"/>
                <a:ea typeface="+mn-ea"/>
                <a:cs typeface="+mn-cs"/>
              </a:defRPr>
            </a:pPr>
            <a:r>
              <a:rPr lang="fr-FR" sz="1100" b="0" i="0" u="none" strike="noStrike" kern="1200" baseline="0">
                <a:solidFill>
                  <a:srgbClr val="0010A6"/>
                </a:solidFill>
                <a:latin typeface="+mn-lt"/>
                <a:ea typeface="+mn-ea"/>
                <a:cs typeface="+mn-cs"/>
              </a:rPr>
              <a:t>Graph 6: </a:t>
            </a:r>
            <a:r>
              <a:rPr lang="en-US" sz="1100">
                <a:effectLst/>
              </a:rPr>
              <a:t>Scale of displacement of target populations over time</a:t>
            </a:r>
            <a:endParaRPr lang="fr-FR"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lang="fr-FR" sz="1100" b="0" i="0" u="none" strike="noStrike" kern="1200" baseline="0">
                <a:solidFill>
                  <a:srgbClr val="0010A6"/>
                </a:solidFill>
                <a:latin typeface="+mn-lt"/>
                <a:ea typeface="+mn-ea"/>
                <a:cs typeface="+mn-cs"/>
              </a:defRPr>
            </a:pPr>
            <a:endParaRPr lang="fr-FR" sz="1100" b="0" i="0" u="none" strike="noStrike" kern="1200" baseline="0">
              <a:solidFill>
                <a:srgbClr val="0010A6"/>
              </a:solidFill>
              <a:latin typeface="+mn-lt"/>
              <a:ea typeface="+mn-ea"/>
              <a:cs typeface="+mn-cs"/>
            </a:endParaRPr>
          </a:p>
        </c:rich>
      </c:tx>
      <c:overlay val="0"/>
    </c:title>
    <c:autoTitleDeleted val="0"/>
    <c:plotArea>
      <c:layout>
        <c:manualLayout>
          <c:layoutTarget val="inner"/>
          <c:xMode val="edge"/>
          <c:yMode val="edge"/>
          <c:x val="1.5667839821875166E-3"/>
          <c:y val="5.2653316812555792E-2"/>
          <c:w val="0.980988663954936"/>
          <c:h val="0.64651618547681544"/>
        </c:manualLayout>
      </c:layout>
      <c:barChart>
        <c:barDir val="col"/>
        <c:grouping val="clustered"/>
        <c:varyColors val="0"/>
        <c:ser>
          <c:idx val="0"/>
          <c:order val="0"/>
          <c:tx>
            <c:strRef>
              <c:f>'Displacement &amp; Returns'!$X$120</c:f>
              <c:strCache>
                <c:ptCount val="1"/>
                <c:pt idx="0">
                  <c:v>Internal displaced people</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Returns'!$W$121:$W$125</c:f>
              <c:strCache>
                <c:ptCount val="5"/>
                <c:pt idx="0">
                  <c:v>Before 2020</c:v>
                </c:pt>
                <c:pt idx="1">
                  <c:v>2020</c:v>
                </c:pt>
                <c:pt idx="2">
                  <c:v>2021</c:v>
                </c:pt>
                <c:pt idx="3">
                  <c:v>January - August 2022</c:v>
                </c:pt>
                <c:pt idx="4">
                  <c:v>September 2022 - February 2023</c:v>
                </c:pt>
              </c:strCache>
            </c:strRef>
          </c:cat>
          <c:val>
            <c:numRef>
              <c:f>'Displacement &amp; Returns'!$X$121:$X$125</c:f>
              <c:numCache>
                <c:formatCode>#,##0</c:formatCode>
                <c:ptCount val="5"/>
                <c:pt idx="0">
                  <c:v>197947</c:v>
                </c:pt>
                <c:pt idx="1">
                  <c:v>51618</c:v>
                </c:pt>
                <c:pt idx="2">
                  <c:v>38253</c:v>
                </c:pt>
                <c:pt idx="3">
                  <c:v>69432</c:v>
                </c:pt>
                <c:pt idx="4">
                  <c:v>70583</c:v>
                </c:pt>
              </c:numCache>
            </c:numRef>
          </c:val>
          <c:extLst>
            <c:ext xmlns:c16="http://schemas.microsoft.com/office/drawing/2014/chart" uri="{C3380CC4-5D6E-409C-BE32-E72D297353CC}">
              <c16:uniqueId val="{00000000-915C-4A32-8F87-29A9D7FF509B}"/>
            </c:ext>
          </c:extLst>
        </c:ser>
        <c:ser>
          <c:idx val="1"/>
          <c:order val="1"/>
          <c:tx>
            <c:strRef>
              <c:f>'Displacement &amp; Returns'!$Y$120</c:f>
              <c:strCache>
                <c:ptCount val="1"/>
                <c:pt idx="0">
                  <c:v>Out-of-Camp Refugees</c:v>
                </c:pt>
              </c:strCache>
            </c:strRef>
          </c:tx>
          <c:spPr>
            <a:solidFill>
              <a:srgbClr val="ED7D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Returns'!$W$121:$W$125</c:f>
              <c:strCache>
                <c:ptCount val="5"/>
                <c:pt idx="0">
                  <c:v>Before 2020</c:v>
                </c:pt>
                <c:pt idx="1">
                  <c:v>2020</c:v>
                </c:pt>
                <c:pt idx="2">
                  <c:v>2021</c:v>
                </c:pt>
                <c:pt idx="3">
                  <c:v>January - August 2022</c:v>
                </c:pt>
                <c:pt idx="4">
                  <c:v>September 2022 - February 2023</c:v>
                </c:pt>
              </c:strCache>
            </c:strRef>
          </c:cat>
          <c:val>
            <c:numRef>
              <c:f>'Displacement &amp; Returns'!$Y$121:$Y$125</c:f>
              <c:numCache>
                <c:formatCode>#,##0</c:formatCode>
                <c:ptCount val="5"/>
                <c:pt idx="0">
                  <c:v>31476</c:v>
                </c:pt>
                <c:pt idx="1">
                  <c:v>1670</c:v>
                </c:pt>
                <c:pt idx="2">
                  <c:v>1009</c:v>
                </c:pt>
                <c:pt idx="3">
                  <c:v>9493</c:v>
                </c:pt>
                <c:pt idx="4">
                  <c:v>5865</c:v>
                </c:pt>
              </c:numCache>
            </c:numRef>
          </c:val>
          <c:extLst>
            <c:ext xmlns:c16="http://schemas.microsoft.com/office/drawing/2014/chart" uri="{C3380CC4-5D6E-409C-BE32-E72D297353CC}">
              <c16:uniqueId val="{00000001-915C-4A32-8F87-29A9D7FF509B}"/>
            </c:ext>
          </c:extLst>
        </c:ser>
        <c:ser>
          <c:idx val="2"/>
          <c:order val="2"/>
          <c:tx>
            <c:strRef>
              <c:f>'Displacement &amp; Returns'!$Z$120</c:f>
              <c:strCache>
                <c:ptCount val="1"/>
                <c:pt idx="0">
                  <c:v>Returnees</c:v>
                </c:pt>
              </c:strCache>
            </c:strRef>
          </c:tx>
          <c:spPr>
            <a:solidFill>
              <a:srgbClr val="0AA69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Returns'!$W$121:$W$125</c:f>
              <c:strCache>
                <c:ptCount val="5"/>
                <c:pt idx="0">
                  <c:v>Before 2020</c:v>
                </c:pt>
                <c:pt idx="1">
                  <c:v>2020</c:v>
                </c:pt>
                <c:pt idx="2">
                  <c:v>2021</c:v>
                </c:pt>
                <c:pt idx="3">
                  <c:v>January - August 2022</c:v>
                </c:pt>
                <c:pt idx="4">
                  <c:v>September 2022 - February 2023</c:v>
                </c:pt>
              </c:strCache>
            </c:strRef>
          </c:cat>
          <c:val>
            <c:numRef>
              <c:f>'Displacement &amp; Returns'!$Z$121:$Z$125</c:f>
              <c:numCache>
                <c:formatCode>#,##0</c:formatCode>
                <c:ptCount val="5"/>
                <c:pt idx="0">
                  <c:v>65850</c:v>
                </c:pt>
                <c:pt idx="1">
                  <c:v>2932</c:v>
                </c:pt>
                <c:pt idx="2">
                  <c:v>6982</c:v>
                </c:pt>
                <c:pt idx="3">
                  <c:v>42435</c:v>
                </c:pt>
                <c:pt idx="4">
                  <c:v>84967</c:v>
                </c:pt>
              </c:numCache>
            </c:numRef>
          </c:val>
          <c:extLst>
            <c:ext xmlns:c16="http://schemas.microsoft.com/office/drawing/2014/chart" uri="{C3380CC4-5D6E-409C-BE32-E72D297353CC}">
              <c16:uniqueId val="{00000003-915C-4A32-8F87-29A9D7FF509B}"/>
            </c:ext>
          </c:extLst>
        </c:ser>
        <c:dLbls>
          <c:showLegendKey val="0"/>
          <c:showVal val="1"/>
          <c:showCatName val="0"/>
          <c:showSerName val="0"/>
          <c:showPercent val="0"/>
          <c:showBubbleSize val="0"/>
        </c:dLbls>
        <c:gapWidth val="100"/>
        <c:overlap val="-27"/>
        <c:axId val="83819904"/>
        <c:axId val="83887232"/>
      </c:barChart>
      <c:catAx>
        <c:axId val="838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3887232"/>
        <c:crosses val="autoZero"/>
        <c:auto val="1"/>
        <c:lblAlgn val="ctr"/>
        <c:lblOffset val="100"/>
        <c:noMultiLvlLbl val="0"/>
      </c:catAx>
      <c:valAx>
        <c:axId val="83887232"/>
        <c:scaling>
          <c:orientation val="minMax"/>
        </c:scaling>
        <c:delete val="1"/>
        <c:axPos val="l"/>
        <c:numFmt formatCode="#,##0" sourceLinked="1"/>
        <c:majorTickMark val="none"/>
        <c:minorTickMark val="none"/>
        <c:tickLblPos val="nextTo"/>
        <c:crossAx val="83819904"/>
        <c:crosses val="autoZero"/>
        <c:crossBetween val="between"/>
      </c:valAx>
      <c:spPr>
        <a:noFill/>
        <a:ln>
          <a:noFill/>
        </a:ln>
        <a:effectLst/>
      </c:spPr>
    </c:plotArea>
    <c:legend>
      <c:legendPos val="b"/>
      <c:layout>
        <c:manualLayout>
          <c:xMode val="edge"/>
          <c:yMode val="edge"/>
          <c:x val="0.21548720319929887"/>
          <c:y val="0.85405136540673532"/>
          <c:w val="0.56902559360140226"/>
          <c:h val="8.5034929009508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withinLinearReversed" id="22">
  <a:schemeClr val="accent2"/>
</cs:colorStyle>
</file>

<file path=xl/charts/colors16.xml><?xml version="1.0" encoding="utf-8"?>
<cs:colorStyle xmlns:cs="http://schemas.microsoft.com/office/drawing/2012/chartStyle" xmlns:a="http://schemas.openxmlformats.org/drawingml/2006/main" meth="withinLinearReversed" id="22">
  <a:schemeClr val="accent2"/>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0.xml"/><Relationship Id="rId3" Type="http://schemas.openxmlformats.org/officeDocument/2006/relationships/chart" Target="../charts/chart7.xml"/><Relationship Id="rId21" Type="http://schemas.openxmlformats.org/officeDocument/2006/relationships/image" Target="../media/image7.png"/><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image" Target="../media/image4.png"/><Relationship Id="rId2" Type="http://schemas.openxmlformats.org/officeDocument/2006/relationships/chart" Target="../charts/chart6.xml"/><Relationship Id="rId16" Type="http://schemas.openxmlformats.org/officeDocument/2006/relationships/image" Target="../media/image3.png"/><Relationship Id="rId20" Type="http://schemas.openxmlformats.org/officeDocument/2006/relationships/image" Target="../media/image6.svg"/><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image" Target="../media/image10.svg"/><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image" Target="../media/image9.png"/><Relationship Id="rId10" Type="http://schemas.openxmlformats.org/officeDocument/2006/relationships/chart" Target="../charts/chart14.xml"/><Relationship Id="rId19" Type="http://schemas.openxmlformats.org/officeDocument/2006/relationships/image" Target="../media/image5.png"/><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image" Target="../media/image8.svg"/></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1</xdr:col>
      <xdr:colOff>2314575</xdr:colOff>
      <xdr:row>0</xdr:row>
      <xdr:rowOff>40323</xdr:rowOff>
    </xdr:from>
    <xdr:to>
      <xdr:col>1</xdr:col>
      <xdr:colOff>2955037</xdr:colOff>
      <xdr:row>0</xdr:row>
      <xdr:rowOff>806450</xdr:rowOff>
    </xdr:to>
    <xdr:pic>
      <xdr:nvPicPr>
        <xdr:cNvPr id="3" name="Image 2">
          <a:extLst>
            <a:ext uri="{FF2B5EF4-FFF2-40B4-BE49-F238E27FC236}">
              <a16:creationId xmlns:a16="http://schemas.microsoft.com/office/drawing/2014/main" id="{323B69AB-450A-8F2D-C7C0-B66E973E4A2D}"/>
            </a:ext>
          </a:extLst>
        </xdr:cNvPr>
        <xdr:cNvPicPr>
          <a:picLocks noChangeAspect="1"/>
        </xdr:cNvPicPr>
      </xdr:nvPicPr>
      <xdr:blipFill rotWithShape="1">
        <a:blip xmlns:r="http://schemas.openxmlformats.org/officeDocument/2006/relationships" r:embed="rId1"/>
        <a:srcRect l="10557" t="5121" r="11240" b="9968"/>
        <a:stretch/>
      </xdr:blipFill>
      <xdr:spPr>
        <a:xfrm>
          <a:off x="2838450" y="40323"/>
          <a:ext cx="637287" cy="769302"/>
        </a:xfrm>
        <a:prstGeom prst="rect">
          <a:avLst/>
        </a:prstGeom>
      </xdr:spPr>
    </xdr:pic>
    <xdr:clientData/>
  </xdr:twoCellAnchor>
  <xdr:twoCellAnchor editAs="oneCell">
    <xdr:from>
      <xdr:col>0</xdr:col>
      <xdr:colOff>514349</xdr:colOff>
      <xdr:row>0</xdr:row>
      <xdr:rowOff>38099</xdr:rowOff>
    </xdr:from>
    <xdr:to>
      <xdr:col>1</xdr:col>
      <xdr:colOff>2046549</xdr:colOff>
      <xdr:row>0</xdr:row>
      <xdr:rowOff>806450</xdr:rowOff>
    </xdr:to>
    <xdr:pic>
      <xdr:nvPicPr>
        <xdr:cNvPr id="4" name="Image 3" descr="Une image contenant dessin&#10;&#10;Description générée automatiquement">
          <a:extLst>
            <a:ext uri="{FF2B5EF4-FFF2-40B4-BE49-F238E27FC236}">
              <a16:creationId xmlns:a16="http://schemas.microsoft.com/office/drawing/2014/main" id="{C4992111-D645-0BE8-03FE-724466D614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49" y="38099"/>
          <a:ext cx="2056075" cy="768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349251</xdr:colOff>
      <xdr:row>2</xdr:row>
      <xdr:rowOff>158750</xdr:rowOff>
    </xdr:from>
    <xdr:to>
      <xdr:col>14</xdr:col>
      <xdr:colOff>358776</xdr:colOff>
      <xdr:row>22</xdr:row>
      <xdr:rowOff>142875</xdr:rowOff>
    </xdr:to>
    <xdr:graphicFrame macro="">
      <xdr:nvGraphicFramePr>
        <xdr:cNvPr id="2" name="Graphique 1">
          <a:extLst>
            <a:ext uri="{FF2B5EF4-FFF2-40B4-BE49-F238E27FC236}">
              <a16:creationId xmlns:a16="http://schemas.microsoft.com/office/drawing/2014/main" id="{5D27AF94-C2C5-4D59-AACC-54B00809B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304799</xdr:colOff>
      <xdr:row>26</xdr:row>
      <xdr:rowOff>158750</xdr:rowOff>
    </xdr:from>
    <xdr:to>
      <xdr:col>14</xdr:col>
      <xdr:colOff>1019175</xdr:colOff>
      <xdr:row>40</xdr:row>
      <xdr:rowOff>168275</xdr:rowOff>
    </xdr:to>
    <xdr:graphicFrame macro="">
      <xdr:nvGraphicFramePr>
        <xdr:cNvPr id="4" name="Graphique 3">
          <a:extLst>
            <a:ext uri="{FF2B5EF4-FFF2-40B4-BE49-F238E27FC236}">
              <a16:creationId xmlns:a16="http://schemas.microsoft.com/office/drawing/2014/main" id="{528F8C7B-72F3-B632-241F-B49453B3BA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428625</xdr:colOff>
      <xdr:row>44</xdr:row>
      <xdr:rowOff>38100</xdr:rowOff>
    </xdr:from>
    <xdr:to>
      <xdr:col>14</xdr:col>
      <xdr:colOff>438150</xdr:colOff>
      <xdr:row>64</xdr:row>
      <xdr:rowOff>19050</xdr:rowOff>
    </xdr:to>
    <xdr:graphicFrame macro="">
      <xdr:nvGraphicFramePr>
        <xdr:cNvPr id="3" name="Graphique 2">
          <a:extLst>
            <a:ext uri="{FF2B5EF4-FFF2-40B4-BE49-F238E27FC236}">
              <a16:creationId xmlns:a16="http://schemas.microsoft.com/office/drawing/2014/main" id="{FB995B86-8235-44B9-8791-8C9BC93A9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260348</xdr:colOff>
      <xdr:row>65</xdr:row>
      <xdr:rowOff>133350</xdr:rowOff>
    </xdr:from>
    <xdr:to>
      <xdr:col>13</xdr:col>
      <xdr:colOff>355599</xdr:colOff>
      <xdr:row>84</xdr:row>
      <xdr:rowOff>66675</xdr:rowOff>
    </xdr:to>
    <xdr:graphicFrame macro="">
      <xdr:nvGraphicFramePr>
        <xdr:cNvPr id="5" name="Graphique 4">
          <a:extLst>
            <a:ext uri="{FF2B5EF4-FFF2-40B4-BE49-F238E27FC236}">
              <a16:creationId xmlns:a16="http://schemas.microsoft.com/office/drawing/2014/main" id="{A56DEB85-BA76-4DBC-95C3-E33A80F48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430212</xdr:colOff>
      <xdr:row>3</xdr:row>
      <xdr:rowOff>95250</xdr:rowOff>
    </xdr:from>
    <xdr:to>
      <xdr:col>19</xdr:col>
      <xdr:colOff>3173</xdr:colOff>
      <xdr:row>19</xdr:row>
      <xdr:rowOff>133349</xdr:rowOff>
    </xdr:to>
    <xdr:graphicFrame macro="">
      <xdr:nvGraphicFramePr>
        <xdr:cNvPr id="2" name="Graphique 1">
          <a:extLst>
            <a:ext uri="{FF2B5EF4-FFF2-40B4-BE49-F238E27FC236}">
              <a16:creationId xmlns:a16="http://schemas.microsoft.com/office/drawing/2014/main" id="{5CBB3CD9-84E0-4BF1-A096-6BA581D9C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87303</xdr:colOff>
      <xdr:row>2</xdr:row>
      <xdr:rowOff>114300</xdr:rowOff>
    </xdr:from>
    <xdr:to>
      <xdr:col>35</xdr:col>
      <xdr:colOff>254000</xdr:colOff>
      <xdr:row>20</xdr:row>
      <xdr:rowOff>82550</xdr:rowOff>
    </xdr:to>
    <xdr:graphicFrame macro="">
      <xdr:nvGraphicFramePr>
        <xdr:cNvPr id="3" name="Graphique 2">
          <a:extLst>
            <a:ext uri="{FF2B5EF4-FFF2-40B4-BE49-F238E27FC236}">
              <a16:creationId xmlns:a16="http://schemas.microsoft.com/office/drawing/2014/main" id="{DE001C95-027B-49CB-B7F3-4D4330650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28576</xdr:colOff>
      <xdr:row>238</xdr:row>
      <xdr:rowOff>0</xdr:rowOff>
    </xdr:from>
    <xdr:to>
      <xdr:col>18</xdr:col>
      <xdr:colOff>76200</xdr:colOff>
      <xdr:row>258</xdr:row>
      <xdr:rowOff>78565</xdr:rowOff>
    </xdr:to>
    <xdr:graphicFrame macro="">
      <xdr:nvGraphicFramePr>
        <xdr:cNvPr id="4" name="Graphique 3">
          <a:extLst>
            <a:ext uri="{FF2B5EF4-FFF2-40B4-BE49-F238E27FC236}">
              <a16:creationId xmlns:a16="http://schemas.microsoft.com/office/drawing/2014/main" id="{077B2FDB-B1CC-44BF-A7A3-039A68E04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953</xdr:colOff>
      <xdr:row>238</xdr:row>
      <xdr:rowOff>0</xdr:rowOff>
    </xdr:from>
    <xdr:to>
      <xdr:col>34</xdr:col>
      <xdr:colOff>1381124</xdr:colOff>
      <xdr:row>258</xdr:row>
      <xdr:rowOff>115092</xdr:rowOff>
    </xdr:to>
    <xdr:graphicFrame macro="">
      <xdr:nvGraphicFramePr>
        <xdr:cNvPr id="5" name="Graphique 4">
          <a:extLst>
            <a:ext uri="{FF2B5EF4-FFF2-40B4-BE49-F238E27FC236}">
              <a16:creationId xmlns:a16="http://schemas.microsoft.com/office/drawing/2014/main" id="{61CC0A96-47A4-431B-966F-8A672BF31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190499</xdr:colOff>
      <xdr:row>117</xdr:row>
      <xdr:rowOff>104774</xdr:rowOff>
    </xdr:from>
    <xdr:to>
      <xdr:col>35</xdr:col>
      <xdr:colOff>857250</xdr:colOff>
      <xdr:row>139</xdr:row>
      <xdr:rowOff>104774</xdr:rowOff>
    </xdr:to>
    <xdr:graphicFrame macro="">
      <xdr:nvGraphicFramePr>
        <xdr:cNvPr id="8" name="Graphique 19534">
          <a:extLst>
            <a:ext uri="{FF2B5EF4-FFF2-40B4-BE49-F238E27FC236}">
              <a16:creationId xmlns:a16="http://schemas.microsoft.com/office/drawing/2014/main" id="{3EB05037-CFBB-4F51-B8D2-BDC1515DE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676275</xdr:colOff>
      <xdr:row>345</xdr:row>
      <xdr:rowOff>190500</xdr:rowOff>
    </xdr:from>
    <xdr:to>
      <xdr:col>18</xdr:col>
      <xdr:colOff>1285875</xdr:colOff>
      <xdr:row>358</xdr:row>
      <xdr:rowOff>95250</xdr:rowOff>
    </xdr:to>
    <xdr:graphicFrame macro="">
      <xdr:nvGraphicFramePr>
        <xdr:cNvPr id="9" name="Graphique 11338">
          <a:extLst>
            <a:ext uri="{FF2B5EF4-FFF2-40B4-BE49-F238E27FC236}">
              <a16:creationId xmlns:a16="http://schemas.microsoft.com/office/drawing/2014/main" id="{722A36CA-90FD-4586-A581-CB3CA397F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1114425</xdr:colOff>
      <xdr:row>345</xdr:row>
      <xdr:rowOff>169545</xdr:rowOff>
    </xdr:from>
    <xdr:to>
      <xdr:col>35</xdr:col>
      <xdr:colOff>666749</xdr:colOff>
      <xdr:row>358</xdr:row>
      <xdr:rowOff>74295</xdr:rowOff>
    </xdr:to>
    <xdr:graphicFrame macro="">
      <xdr:nvGraphicFramePr>
        <xdr:cNvPr id="10" name="Graphique 11338">
          <a:extLst>
            <a:ext uri="{FF2B5EF4-FFF2-40B4-BE49-F238E27FC236}">
              <a16:creationId xmlns:a16="http://schemas.microsoft.com/office/drawing/2014/main" id="{AD824D76-9AF4-4778-87C7-5747EBDFC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430527</xdr:colOff>
      <xdr:row>263</xdr:row>
      <xdr:rowOff>96678</xdr:rowOff>
    </xdr:from>
    <xdr:to>
      <xdr:col>35</xdr:col>
      <xdr:colOff>634839</xdr:colOff>
      <xdr:row>276</xdr:row>
      <xdr:rowOff>134778</xdr:rowOff>
    </xdr:to>
    <xdr:graphicFrame macro="">
      <xdr:nvGraphicFramePr>
        <xdr:cNvPr id="12" name="Chart 20">
          <a:extLst>
            <a:ext uri="{FF2B5EF4-FFF2-40B4-BE49-F238E27FC236}">
              <a16:creationId xmlns:a16="http://schemas.microsoft.com/office/drawing/2014/main" id="{640C119F-9FF9-489B-8CDA-99D2306F4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200025</xdr:colOff>
      <xdr:row>117</xdr:row>
      <xdr:rowOff>154780</xdr:rowOff>
    </xdr:from>
    <xdr:to>
      <xdr:col>18</xdr:col>
      <xdr:colOff>368300</xdr:colOff>
      <xdr:row>135</xdr:row>
      <xdr:rowOff>47913</xdr:rowOff>
    </xdr:to>
    <xdr:graphicFrame macro="">
      <xdr:nvGraphicFramePr>
        <xdr:cNvPr id="13" name="Chart 21">
          <a:extLst>
            <a:ext uri="{FF2B5EF4-FFF2-40B4-BE49-F238E27FC236}">
              <a16:creationId xmlns:a16="http://schemas.microsoft.com/office/drawing/2014/main" id="{6CE99D8B-795E-4314-A741-C6FBAE288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274205</xdr:colOff>
      <xdr:row>263</xdr:row>
      <xdr:rowOff>158174</xdr:rowOff>
    </xdr:from>
    <xdr:to>
      <xdr:col>18</xdr:col>
      <xdr:colOff>41852</xdr:colOff>
      <xdr:row>276</xdr:row>
      <xdr:rowOff>153613</xdr:rowOff>
    </xdr:to>
    <xdr:graphicFrame macro="">
      <xdr:nvGraphicFramePr>
        <xdr:cNvPr id="14" name="Graphique 13">
          <a:extLst>
            <a:ext uri="{FF2B5EF4-FFF2-40B4-BE49-F238E27FC236}">
              <a16:creationId xmlns:a16="http://schemas.microsoft.com/office/drawing/2014/main" id="{3902C031-9D37-4A99-B5B6-F974B4A807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844838</xdr:colOff>
      <xdr:row>309</xdr:row>
      <xdr:rowOff>163598</xdr:rowOff>
    </xdr:from>
    <xdr:to>
      <xdr:col>13</xdr:col>
      <xdr:colOff>415925</xdr:colOff>
      <xdr:row>322</xdr:row>
      <xdr:rowOff>6350</xdr:rowOff>
    </xdr:to>
    <xdr:graphicFrame macro="">
      <xdr:nvGraphicFramePr>
        <xdr:cNvPr id="16" name="Graphique 15">
          <a:extLst>
            <a:ext uri="{FF2B5EF4-FFF2-40B4-BE49-F238E27FC236}">
              <a16:creationId xmlns:a16="http://schemas.microsoft.com/office/drawing/2014/main" id="{B2792893-A916-4F10-A2F1-D0AC315D6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885826</xdr:colOff>
      <xdr:row>207</xdr:row>
      <xdr:rowOff>95250</xdr:rowOff>
    </xdr:from>
    <xdr:to>
      <xdr:col>16</xdr:col>
      <xdr:colOff>981076</xdr:colOff>
      <xdr:row>220</xdr:row>
      <xdr:rowOff>57150</xdr:rowOff>
    </xdr:to>
    <xdr:graphicFrame macro="">
      <xdr:nvGraphicFramePr>
        <xdr:cNvPr id="11" name="Graphique 10">
          <a:extLst>
            <a:ext uri="{FF2B5EF4-FFF2-40B4-BE49-F238E27FC236}">
              <a16:creationId xmlns:a16="http://schemas.microsoft.com/office/drawing/2014/main" id="{452642FB-44FD-49CD-A9B7-E77813498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847724</xdr:colOff>
      <xdr:row>189</xdr:row>
      <xdr:rowOff>130175</xdr:rowOff>
    </xdr:from>
    <xdr:to>
      <xdr:col>16</xdr:col>
      <xdr:colOff>1019173</xdr:colOff>
      <xdr:row>206</xdr:row>
      <xdr:rowOff>76948</xdr:rowOff>
    </xdr:to>
    <xdr:graphicFrame macro="">
      <xdr:nvGraphicFramePr>
        <xdr:cNvPr id="17" name="Graphique 16">
          <a:extLst>
            <a:ext uri="{FF2B5EF4-FFF2-40B4-BE49-F238E27FC236}">
              <a16:creationId xmlns:a16="http://schemas.microsoft.com/office/drawing/2014/main" id="{C7C25F50-3564-46C2-8C75-3A7C8DEE3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933450</xdr:colOff>
      <xdr:row>221</xdr:row>
      <xdr:rowOff>44450</xdr:rowOff>
    </xdr:from>
    <xdr:to>
      <xdr:col>16</xdr:col>
      <xdr:colOff>1057275</xdr:colOff>
      <xdr:row>235</xdr:row>
      <xdr:rowOff>153520</xdr:rowOff>
    </xdr:to>
    <xdr:graphicFrame macro="">
      <xdr:nvGraphicFramePr>
        <xdr:cNvPr id="18" name="Graphique 17">
          <a:extLst>
            <a:ext uri="{FF2B5EF4-FFF2-40B4-BE49-F238E27FC236}">
              <a16:creationId xmlns:a16="http://schemas.microsoft.com/office/drawing/2014/main" id="{22622DC9-BC4E-44B2-A026-6D3B2AB59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692150</xdr:colOff>
      <xdr:row>324</xdr:row>
      <xdr:rowOff>17459</xdr:rowOff>
    </xdr:from>
    <xdr:to>
      <xdr:col>16</xdr:col>
      <xdr:colOff>85725</xdr:colOff>
      <xdr:row>340</xdr:row>
      <xdr:rowOff>57149</xdr:rowOff>
    </xdr:to>
    <xdr:graphicFrame macro="">
      <xdr:nvGraphicFramePr>
        <xdr:cNvPr id="23" name="Graphique 22">
          <a:extLst>
            <a:ext uri="{FF2B5EF4-FFF2-40B4-BE49-F238E27FC236}">
              <a16:creationId xmlns:a16="http://schemas.microsoft.com/office/drawing/2014/main" id="{13627C3F-98FD-4B0D-B4D9-182ECEFCC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885825</xdr:colOff>
      <xdr:row>45</xdr:row>
      <xdr:rowOff>152400</xdr:rowOff>
    </xdr:from>
    <xdr:to>
      <xdr:col>17</xdr:col>
      <xdr:colOff>1009650</xdr:colOff>
      <xdr:row>60</xdr:row>
      <xdr:rowOff>28575</xdr:rowOff>
    </xdr:to>
    <xdr:grpSp>
      <xdr:nvGrpSpPr>
        <xdr:cNvPr id="22" name="Groupe 21">
          <a:extLst>
            <a:ext uri="{FF2B5EF4-FFF2-40B4-BE49-F238E27FC236}">
              <a16:creationId xmlns:a16="http://schemas.microsoft.com/office/drawing/2014/main" id="{D92856F9-1666-493A-972E-9EFE840CFC53}"/>
            </a:ext>
          </a:extLst>
        </xdr:cNvPr>
        <xdr:cNvGrpSpPr/>
      </xdr:nvGrpSpPr>
      <xdr:grpSpPr>
        <a:xfrm>
          <a:off x="14495145" y="10401300"/>
          <a:ext cx="5457825" cy="3091815"/>
          <a:chOff x="4248150" y="12820650"/>
          <a:chExt cx="7118350" cy="3619500"/>
        </a:xfrm>
      </xdr:grpSpPr>
      <xdr:pic>
        <xdr:nvPicPr>
          <xdr:cNvPr id="24" name="Image 23">
            <a:extLst>
              <a:ext uri="{FF2B5EF4-FFF2-40B4-BE49-F238E27FC236}">
                <a16:creationId xmlns:a16="http://schemas.microsoft.com/office/drawing/2014/main" id="{995C7B3E-417B-F375-CF43-21BFF208E8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166274" y="13336231"/>
            <a:ext cx="298449" cy="480824"/>
          </a:xfrm>
          <a:prstGeom prst="rect">
            <a:avLst/>
          </a:prstGeom>
          <a:noFill/>
          <a:ln>
            <a:noFill/>
          </a:ln>
        </xdr:spPr>
      </xdr:pic>
      <xdr:pic>
        <xdr:nvPicPr>
          <xdr:cNvPr id="25" name="Image 24">
            <a:extLst>
              <a:ext uri="{FF2B5EF4-FFF2-40B4-BE49-F238E27FC236}">
                <a16:creationId xmlns:a16="http://schemas.microsoft.com/office/drawing/2014/main" id="{46AA55B0-0125-27D0-B035-4C0F3534CF5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929820" y="13323674"/>
            <a:ext cx="272845" cy="506734"/>
          </a:xfrm>
          <a:prstGeom prst="rect">
            <a:avLst/>
          </a:prstGeom>
          <a:noFill/>
          <a:ln>
            <a:noFill/>
          </a:ln>
        </xdr:spPr>
      </xdr:pic>
      <xdr:graphicFrame macro="">
        <xdr:nvGraphicFramePr>
          <xdr:cNvPr id="26" name="Graphique 25">
            <a:extLst>
              <a:ext uri="{FF2B5EF4-FFF2-40B4-BE49-F238E27FC236}">
                <a16:creationId xmlns:a16="http://schemas.microsoft.com/office/drawing/2014/main" id="{440183D8-2491-5257-9321-06A934C83809}"/>
              </a:ext>
            </a:extLst>
          </xdr:cNvPr>
          <xdr:cNvGraphicFramePr>
            <a:graphicFrameLocks/>
          </xdr:cNvGraphicFramePr>
        </xdr:nvGraphicFramePr>
        <xdr:xfrm>
          <a:off x="4248150" y="12820650"/>
          <a:ext cx="7118350" cy="3619500"/>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editAs="oneCell">
    <xdr:from>
      <xdr:col>9</xdr:col>
      <xdr:colOff>542925</xdr:colOff>
      <xdr:row>6</xdr:row>
      <xdr:rowOff>6350</xdr:rowOff>
    </xdr:from>
    <xdr:to>
      <xdr:col>9</xdr:col>
      <xdr:colOff>894538</xdr:colOff>
      <xdr:row>7</xdr:row>
      <xdr:rowOff>149225</xdr:rowOff>
    </xdr:to>
    <xdr:pic>
      <xdr:nvPicPr>
        <xdr:cNvPr id="7" name="Graphique 6">
          <a:extLst>
            <a:ext uri="{FF2B5EF4-FFF2-40B4-BE49-F238E27FC236}">
              <a16:creationId xmlns:a16="http://schemas.microsoft.com/office/drawing/2014/main" id="{04435D20-DC76-2F8D-387D-AC6D564663E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620375" y="1701800"/>
          <a:ext cx="351613" cy="323850"/>
        </a:xfrm>
        <a:prstGeom prst="rect">
          <a:avLst/>
        </a:prstGeom>
      </xdr:spPr>
    </xdr:pic>
    <xdr:clientData/>
  </xdr:twoCellAnchor>
  <xdr:twoCellAnchor editAs="oneCell">
    <xdr:from>
      <xdr:col>9</xdr:col>
      <xdr:colOff>775</xdr:colOff>
      <xdr:row>14</xdr:row>
      <xdr:rowOff>189057</xdr:rowOff>
    </xdr:from>
    <xdr:to>
      <xdr:col>9</xdr:col>
      <xdr:colOff>311150</xdr:colOff>
      <xdr:row>15</xdr:row>
      <xdr:rowOff>305575</xdr:rowOff>
    </xdr:to>
    <xdr:pic>
      <xdr:nvPicPr>
        <xdr:cNvPr id="19" name="Graphique 18">
          <a:extLst>
            <a:ext uri="{FF2B5EF4-FFF2-40B4-BE49-F238E27FC236}">
              <a16:creationId xmlns:a16="http://schemas.microsoft.com/office/drawing/2014/main" id="{A128F7A8-8121-1292-D797-A324D55D6DC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0078225" y="3351357"/>
          <a:ext cx="310375" cy="307018"/>
        </a:xfrm>
        <a:prstGeom prst="rect">
          <a:avLst/>
        </a:prstGeom>
      </xdr:spPr>
    </xdr:pic>
    <xdr:clientData/>
  </xdr:twoCellAnchor>
  <xdr:twoCellAnchor editAs="oneCell">
    <xdr:from>
      <xdr:col>10</xdr:col>
      <xdr:colOff>1084225</xdr:colOff>
      <xdr:row>11</xdr:row>
      <xdr:rowOff>171450</xdr:rowOff>
    </xdr:from>
    <xdr:to>
      <xdr:col>11</xdr:col>
      <xdr:colOff>218220</xdr:colOff>
      <xdr:row>13</xdr:row>
      <xdr:rowOff>103150</xdr:rowOff>
    </xdr:to>
    <xdr:pic>
      <xdr:nvPicPr>
        <xdr:cNvPr id="21" name="Graphique 20">
          <a:extLst>
            <a:ext uri="{FF2B5EF4-FFF2-40B4-BE49-F238E27FC236}">
              <a16:creationId xmlns:a16="http://schemas.microsoft.com/office/drawing/2014/main" id="{A72A435F-958B-D8E4-E96D-1FB164C4F66D}"/>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2352300" y="2771775"/>
          <a:ext cx="324620" cy="293650"/>
        </a:xfrm>
        <a:prstGeom prst="rect">
          <a:avLst/>
        </a:prstGeom>
      </xdr:spPr>
    </xdr:pic>
    <xdr:clientData/>
  </xdr:twoCellAnchor>
  <xdr:twoCellAnchor editAs="oneCell">
    <xdr:from>
      <xdr:col>29</xdr:col>
      <xdr:colOff>539750</xdr:colOff>
      <xdr:row>6</xdr:row>
      <xdr:rowOff>152400</xdr:rowOff>
    </xdr:from>
    <xdr:to>
      <xdr:col>29</xdr:col>
      <xdr:colOff>918978</xdr:colOff>
      <xdr:row>8</xdr:row>
      <xdr:rowOff>130175</xdr:rowOff>
    </xdr:to>
    <xdr:pic>
      <xdr:nvPicPr>
        <xdr:cNvPr id="28" name="Graphique 27">
          <a:extLst>
            <a:ext uri="{FF2B5EF4-FFF2-40B4-BE49-F238E27FC236}">
              <a16:creationId xmlns:a16="http://schemas.microsoft.com/office/drawing/2014/main" id="{EA2FEB73-BCC3-FF35-6C94-A6A1EEC71D7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1267400" y="1847850"/>
          <a:ext cx="379228" cy="339725"/>
        </a:xfrm>
        <a:prstGeom prst="rect">
          <a:avLst/>
        </a:prstGeom>
      </xdr:spPr>
    </xdr:pic>
    <xdr:clientData/>
  </xdr:twoCellAnchor>
  <xdr:twoCellAnchor editAs="oneCell">
    <xdr:from>
      <xdr:col>29</xdr:col>
      <xdr:colOff>54750</xdr:colOff>
      <xdr:row>15</xdr:row>
      <xdr:rowOff>65100</xdr:rowOff>
    </xdr:from>
    <xdr:to>
      <xdr:col>29</xdr:col>
      <xdr:colOff>361950</xdr:colOff>
      <xdr:row>15</xdr:row>
      <xdr:rowOff>372250</xdr:rowOff>
    </xdr:to>
    <xdr:pic>
      <xdr:nvPicPr>
        <xdr:cNvPr id="30" name="Graphique 29">
          <a:extLst>
            <a:ext uri="{FF2B5EF4-FFF2-40B4-BE49-F238E27FC236}">
              <a16:creationId xmlns:a16="http://schemas.microsoft.com/office/drawing/2014/main" id="{67417ADD-72C7-5621-9D58-839A7943921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0782400" y="3417900"/>
          <a:ext cx="307200" cy="307150"/>
        </a:xfrm>
        <a:prstGeom prst="rect">
          <a:avLst/>
        </a:prstGeom>
      </xdr:spPr>
    </xdr:pic>
    <xdr:clientData/>
  </xdr:twoCellAnchor>
  <xdr:twoCellAnchor editAs="oneCell">
    <xdr:from>
      <xdr:col>30</xdr:col>
      <xdr:colOff>922301</xdr:colOff>
      <xdr:row>13</xdr:row>
      <xdr:rowOff>9946</xdr:rowOff>
    </xdr:from>
    <xdr:to>
      <xdr:col>31</xdr:col>
      <xdr:colOff>123826</xdr:colOff>
      <xdr:row>14</xdr:row>
      <xdr:rowOff>144424</xdr:rowOff>
    </xdr:to>
    <xdr:pic>
      <xdr:nvPicPr>
        <xdr:cNvPr id="32" name="Graphique 31">
          <a:extLst>
            <a:ext uri="{FF2B5EF4-FFF2-40B4-BE49-F238E27FC236}">
              <a16:creationId xmlns:a16="http://schemas.microsoft.com/office/drawing/2014/main" id="{BEE61194-CB7B-6387-5452-0C61E34A6E6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32897726" y="2972221"/>
          <a:ext cx="373100" cy="334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1059656</xdr:colOff>
      <xdr:row>104</xdr:row>
      <xdr:rowOff>152403</xdr:rowOff>
    </xdr:from>
    <xdr:to>
      <xdr:col>16</xdr:col>
      <xdr:colOff>562429</xdr:colOff>
      <xdr:row>122</xdr:row>
      <xdr:rowOff>59532</xdr:rowOff>
    </xdr:to>
    <xdr:graphicFrame macro="">
      <xdr:nvGraphicFramePr>
        <xdr:cNvPr id="2" name="Graphique 1">
          <a:extLst>
            <a:ext uri="{FF2B5EF4-FFF2-40B4-BE49-F238E27FC236}">
              <a16:creationId xmlns:a16="http://schemas.microsoft.com/office/drawing/2014/main" id="{0A20864D-C11C-4993-B86C-458EE33FA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137160</xdr:colOff>
      <xdr:row>135</xdr:row>
      <xdr:rowOff>149710</xdr:rowOff>
    </xdr:from>
    <xdr:to>
      <xdr:col>5</xdr:col>
      <xdr:colOff>1158875</xdr:colOff>
      <xdr:row>160</xdr:row>
      <xdr:rowOff>122396</xdr:rowOff>
    </xdr:to>
    <xdr:graphicFrame macro="">
      <xdr:nvGraphicFramePr>
        <xdr:cNvPr id="3" name="Graphique 2">
          <a:extLst>
            <a:ext uri="{FF2B5EF4-FFF2-40B4-BE49-F238E27FC236}">
              <a16:creationId xmlns:a16="http://schemas.microsoft.com/office/drawing/2014/main" id="{BB7BB299-46D6-48CD-A679-F3CB37B62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129539</xdr:colOff>
      <xdr:row>94</xdr:row>
      <xdr:rowOff>127465</xdr:rowOff>
    </xdr:from>
    <xdr:to>
      <xdr:col>5</xdr:col>
      <xdr:colOff>988218</xdr:colOff>
      <xdr:row>117</xdr:row>
      <xdr:rowOff>154780</xdr:rowOff>
    </xdr:to>
    <xdr:graphicFrame macro="">
      <xdr:nvGraphicFramePr>
        <xdr:cNvPr id="4" name="Graphique 2">
          <a:extLst>
            <a:ext uri="{FF2B5EF4-FFF2-40B4-BE49-F238E27FC236}">
              <a16:creationId xmlns:a16="http://schemas.microsoft.com/office/drawing/2014/main" id="{6B01411A-39EE-4DF2-ADFA-C0791571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182881</xdr:colOff>
      <xdr:row>44</xdr:row>
      <xdr:rowOff>0</xdr:rowOff>
    </xdr:from>
    <xdr:to>
      <xdr:col>5</xdr:col>
      <xdr:colOff>1104901</xdr:colOff>
      <xdr:row>65</xdr:row>
      <xdr:rowOff>161925</xdr:rowOff>
    </xdr:to>
    <xdr:graphicFrame macro="">
      <xdr:nvGraphicFramePr>
        <xdr:cNvPr id="5" name="Graphique 2">
          <a:extLst>
            <a:ext uri="{FF2B5EF4-FFF2-40B4-BE49-F238E27FC236}">
              <a16:creationId xmlns:a16="http://schemas.microsoft.com/office/drawing/2014/main" id="{C6FB0AF2-2164-49F3-A5B1-335AA91DB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23812</xdr:colOff>
      <xdr:row>103</xdr:row>
      <xdr:rowOff>130968</xdr:rowOff>
    </xdr:from>
    <xdr:to>
      <xdr:col>31</xdr:col>
      <xdr:colOff>843643</xdr:colOff>
      <xdr:row>122</xdr:row>
      <xdr:rowOff>45719</xdr:rowOff>
    </xdr:to>
    <xdr:graphicFrame macro="">
      <xdr:nvGraphicFramePr>
        <xdr:cNvPr id="6" name="Graphique 5">
          <a:extLst>
            <a:ext uri="{FF2B5EF4-FFF2-40B4-BE49-F238E27FC236}">
              <a16:creationId xmlns:a16="http://schemas.microsoft.com/office/drawing/2014/main" id="{9D98A202-B052-4F9B-B3FD-F9E9240C4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335280</xdr:colOff>
      <xdr:row>44</xdr:row>
      <xdr:rowOff>22860</xdr:rowOff>
    </xdr:from>
    <xdr:to>
      <xdr:col>22</xdr:col>
      <xdr:colOff>662940</xdr:colOff>
      <xdr:row>66</xdr:row>
      <xdr:rowOff>1905</xdr:rowOff>
    </xdr:to>
    <xdr:graphicFrame macro="">
      <xdr:nvGraphicFramePr>
        <xdr:cNvPr id="7" name="Graphique 2">
          <a:extLst>
            <a:ext uri="{FF2B5EF4-FFF2-40B4-BE49-F238E27FC236}">
              <a16:creationId xmlns:a16="http://schemas.microsoft.com/office/drawing/2014/main" id="{DD6C73F5-A34D-4B94-A972-7AA3F9B6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274320</xdr:colOff>
      <xdr:row>95</xdr:row>
      <xdr:rowOff>38100</xdr:rowOff>
    </xdr:from>
    <xdr:to>
      <xdr:col>22</xdr:col>
      <xdr:colOff>525780</xdr:colOff>
      <xdr:row>118</xdr:row>
      <xdr:rowOff>65415</xdr:rowOff>
    </xdr:to>
    <xdr:graphicFrame macro="">
      <xdr:nvGraphicFramePr>
        <xdr:cNvPr id="8" name="Graphique 2">
          <a:extLst>
            <a:ext uri="{FF2B5EF4-FFF2-40B4-BE49-F238E27FC236}">
              <a16:creationId xmlns:a16="http://schemas.microsoft.com/office/drawing/2014/main" id="{91979F19-666F-4A5C-B0AB-8057FCB25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160020</xdr:colOff>
      <xdr:row>136</xdr:row>
      <xdr:rowOff>0</xdr:rowOff>
    </xdr:from>
    <xdr:to>
      <xdr:col>22</xdr:col>
      <xdr:colOff>868680</xdr:colOff>
      <xdr:row>160</xdr:row>
      <xdr:rowOff>155566</xdr:rowOff>
    </xdr:to>
    <xdr:graphicFrame macro="">
      <xdr:nvGraphicFramePr>
        <xdr:cNvPr id="9" name="Graphique 2">
          <a:extLst>
            <a:ext uri="{FF2B5EF4-FFF2-40B4-BE49-F238E27FC236}">
              <a16:creationId xmlns:a16="http://schemas.microsoft.com/office/drawing/2014/main" id="{32507343-9EE3-4BC3-9184-04E65E64C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121444</xdr:colOff>
      <xdr:row>55</xdr:row>
      <xdr:rowOff>154782</xdr:rowOff>
    </xdr:from>
    <xdr:to>
      <xdr:col>16</xdr:col>
      <xdr:colOff>571500</xdr:colOff>
      <xdr:row>77</xdr:row>
      <xdr:rowOff>166687</xdr:rowOff>
    </xdr:to>
    <xdr:graphicFrame macro="">
      <xdr:nvGraphicFramePr>
        <xdr:cNvPr id="10" name="Graphique 14">
          <a:extLst>
            <a:ext uri="{FF2B5EF4-FFF2-40B4-BE49-F238E27FC236}">
              <a16:creationId xmlns:a16="http://schemas.microsoft.com/office/drawing/2014/main" id="{91520C25-5BE7-4B7C-9B91-8FE62CC6C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9525</xdr:colOff>
      <xdr:row>54</xdr:row>
      <xdr:rowOff>171450</xdr:rowOff>
    </xdr:from>
    <xdr:to>
      <xdr:col>31</xdr:col>
      <xdr:colOff>834572</xdr:colOff>
      <xdr:row>77</xdr:row>
      <xdr:rowOff>76200</xdr:rowOff>
    </xdr:to>
    <xdr:graphicFrame macro="">
      <xdr:nvGraphicFramePr>
        <xdr:cNvPr id="11" name="Graphique 14">
          <a:extLst>
            <a:ext uri="{FF2B5EF4-FFF2-40B4-BE49-F238E27FC236}">
              <a16:creationId xmlns:a16="http://schemas.microsoft.com/office/drawing/2014/main" id="{3ABCA259-9921-448A-8312-5429037EC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1164430</xdr:colOff>
      <xdr:row>147</xdr:row>
      <xdr:rowOff>147638</xdr:rowOff>
    </xdr:from>
    <xdr:to>
      <xdr:col>16</xdr:col>
      <xdr:colOff>480785</xdr:colOff>
      <xdr:row>169</xdr:row>
      <xdr:rowOff>128588</xdr:rowOff>
    </xdr:to>
    <xdr:graphicFrame macro="">
      <xdr:nvGraphicFramePr>
        <xdr:cNvPr id="12" name="Graphique 26">
          <a:extLst>
            <a:ext uri="{FF2B5EF4-FFF2-40B4-BE49-F238E27FC236}">
              <a16:creationId xmlns:a16="http://schemas.microsoft.com/office/drawing/2014/main" id="{B41FF147-7BA8-41C4-9B07-BC685611A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66675</xdr:colOff>
      <xdr:row>146</xdr:row>
      <xdr:rowOff>133350</xdr:rowOff>
    </xdr:from>
    <xdr:to>
      <xdr:col>33</xdr:col>
      <xdr:colOff>0</xdr:colOff>
      <xdr:row>168</xdr:row>
      <xdr:rowOff>638175</xdr:rowOff>
    </xdr:to>
    <xdr:graphicFrame macro="">
      <xdr:nvGraphicFramePr>
        <xdr:cNvPr id="13" name="Graphique 26">
          <a:extLst>
            <a:ext uri="{FF2B5EF4-FFF2-40B4-BE49-F238E27FC236}">
              <a16:creationId xmlns:a16="http://schemas.microsoft.com/office/drawing/2014/main" id="{E1F6093B-D1DB-4C2B-B4B6-797DA1A7D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20003</xdr:colOff>
      <xdr:row>7</xdr:row>
      <xdr:rowOff>40483</xdr:rowOff>
    </xdr:from>
    <xdr:to>
      <xdr:col>5</xdr:col>
      <xdr:colOff>1206500</xdr:colOff>
      <xdr:row>23</xdr:row>
      <xdr:rowOff>20480</xdr:rowOff>
    </xdr:to>
    <xdr:graphicFrame macro="">
      <xdr:nvGraphicFramePr>
        <xdr:cNvPr id="14" name="Chart 2">
          <a:extLst>
            <a:ext uri="{FF2B5EF4-FFF2-40B4-BE49-F238E27FC236}">
              <a16:creationId xmlns:a16="http://schemas.microsoft.com/office/drawing/2014/main" id="{85F96D77-F6AC-44B9-BD84-C79A80DAD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106362</xdr:colOff>
      <xdr:row>8</xdr:row>
      <xdr:rowOff>44451</xdr:rowOff>
    </xdr:from>
    <xdr:to>
      <xdr:col>22</xdr:col>
      <xdr:colOff>804334</xdr:colOff>
      <xdr:row>24</xdr:row>
      <xdr:rowOff>127000</xdr:rowOff>
    </xdr:to>
    <xdr:graphicFrame macro="">
      <xdr:nvGraphicFramePr>
        <xdr:cNvPr id="15" name="Chart 17">
          <a:extLst>
            <a:ext uri="{FF2B5EF4-FFF2-40B4-BE49-F238E27FC236}">
              <a16:creationId xmlns:a16="http://schemas.microsoft.com/office/drawing/2014/main" id="{58151DD4-C6FF-4C12-8769-B62EFF7C7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519904</xdr:colOff>
      <xdr:row>24</xdr:row>
      <xdr:rowOff>130967</xdr:rowOff>
    </xdr:from>
    <xdr:to>
      <xdr:col>10</xdr:col>
      <xdr:colOff>857250</xdr:colOff>
      <xdr:row>47</xdr:row>
      <xdr:rowOff>120650</xdr:rowOff>
    </xdr:to>
    <xdr:graphicFrame macro="">
      <xdr:nvGraphicFramePr>
        <xdr:cNvPr id="2" name="Graphique 1">
          <a:extLst>
            <a:ext uri="{FF2B5EF4-FFF2-40B4-BE49-F238E27FC236}">
              <a16:creationId xmlns:a16="http://schemas.microsoft.com/office/drawing/2014/main" id="{9D2C62DA-448F-4EF3-81AE-FBD0E7B7D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1055370</xdr:colOff>
      <xdr:row>24</xdr:row>
      <xdr:rowOff>114300</xdr:rowOff>
    </xdr:from>
    <xdr:to>
      <xdr:col>22</xdr:col>
      <xdr:colOff>535781</xdr:colOff>
      <xdr:row>47</xdr:row>
      <xdr:rowOff>111919</xdr:rowOff>
    </xdr:to>
    <xdr:graphicFrame macro="">
      <xdr:nvGraphicFramePr>
        <xdr:cNvPr id="3" name="Graphique 2">
          <a:extLst>
            <a:ext uri="{FF2B5EF4-FFF2-40B4-BE49-F238E27FC236}">
              <a16:creationId xmlns:a16="http://schemas.microsoft.com/office/drawing/2014/main" id="{2FB816C4-CFBE-436E-A04B-FF79B8F1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407671</xdr:colOff>
      <xdr:row>301</xdr:row>
      <xdr:rowOff>19286</xdr:rowOff>
    </xdr:from>
    <xdr:to>
      <xdr:col>10</xdr:col>
      <xdr:colOff>641684</xdr:colOff>
      <xdr:row>324</xdr:row>
      <xdr:rowOff>130342</xdr:rowOff>
    </xdr:to>
    <xdr:graphicFrame macro="">
      <xdr:nvGraphicFramePr>
        <xdr:cNvPr id="4" name="Graphique 3">
          <a:extLst>
            <a:ext uri="{FF2B5EF4-FFF2-40B4-BE49-F238E27FC236}">
              <a16:creationId xmlns:a16="http://schemas.microsoft.com/office/drawing/2014/main" id="{95FA785F-CACA-47BA-8775-9898103B1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655637</xdr:colOff>
      <xdr:row>301</xdr:row>
      <xdr:rowOff>6744</xdr:rowOff>
    </xdr:from>
    <xdr:to>
      <xdr:col>21</xdr:col>
      <xdr:colOff>607218</xdr:colOff>
      <xdr:row>325</xdr:row>
      <xdr:rowOff>47625</xdr:rowOff>
    </xdr:to>
    <xdr:graphicFrame macro="">
      <xdr:nvGraphicFramePr>
        <xdr:cNvPr id="5" name="Graphique 4">
          <a:extLst>
            <a:ext uri="{FF2B5EF4-FFF2-40B4-BE49-F238E27FC236}">
              <a16:creationId xmlns:a16="http://schemas.microsoft.com/office/drawing/2014/main" id="{01B87847-755B-4B61-BC50-11966D417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226218</xdr:colOff>
      <xdr:row>250</xdr:row>
      <xdr:rowOff>130968</xdr:rowOff>
    </xdr:from>
    <xdr:to>
      <xdr:col>10</xdr:col>
      <xdr:colOff>1035843</xdr:colOff>
      <xdr:row>275</xdr:row>
      <xdr:rowOff>8730</xdr:rowOff>
    </xdr:to>
    <xdr:graphicFrame macro="">
      <xdr:nvGraphicFramePr>
        <xdr:cNvPr id="6" name="Graphique 5">
          <a:extLst>
            <a:ext uri="{FF2B5EF4-FFF2-40B4-BE49-F238E27FC236}">
              <a16:creationId xmlns:a16="http://schemas.microsoft.com/office/drawing/2014/main" id="{6EA1FEF2-7D00-4F31-B5C3-E9692FE6F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926702</xdr:colOff>
      <xdr:row>249</xdr:row>
      <xdr:rowOff>115490</xdr:rowOff>
    </xdr:from>
    <xdr:to>
      <xdr:col>21</xdr:col>
      <xdr:colOff>1476375</xdr:colOff>
      <xdr:row>273</xdr:row>
      <xdr:rowOff>171450</xdr:rowOff>
    </xdr:to>
    <xdr:graphicFrame macro="">
      <xdr:nvGraphicFramePr>
        <xdr:cNvPr id="7" name="Graphique 6">
          <a:extLst>
            <a:ext uri="{FF2B5EF4-FFF2-40B4-BE49-F238E27FC236}">
              <a16:creationId xmlns:a16="http://schemas.microsoft.com/office/drawing/2014/main" id="{27B516C3-7F06-4CC3-B026-47F423261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342900</xdr:colOff>
      <xdr:row>185</xdr:row>
      <xdr:rowOff>161370</xdr:rowOff>
    </xdr:from>
    <xdr:to>
      <xdr:col>10</xdr:col>
      <xdr:colOff>730651</xdr:colOff>
      <xdr:row>203</xdr:row>
      <xdr:rowOff>166687</xdr:rowOff>
    </xdr:to>
    <xdr:graphicFrame macro="">
      <xdr:nvGraphicFramePr>
        <xdr:cNvPr id="8" name="Graphique 7">
          <a:extLst>
            <a:ext uri="{FF2B5EF4-FFF2-40B4-BE49-F238E27FC236}">
              <a16:creationId xmlns:a16="http://schemas.microsoft.com/office/drawing/2014/main" id="{82A1FFF5-A990-43A5-8A50-F5F6EE8A9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903286</xdr:colOff>
      <xdr:row>185</xdr:row>
      <xdr:rowOff>161529</xdr:rowOff>
    </xdr:from>
    <xdr:to>
      <xdr:col>21</xdr:col>
      <xdr:colOff>2607468</xdr:colOff>
      <xdr:row>223</xdr:row>
      <xdr:rowOff>166687</xdr:rowOff>
    </xdr:to>
    <xdr:graphicFrame macro="">
      <xdr:nvGraphicFramePr>
        <xdr:cNvPr id="9" name="Graphique 8">
          <a:extLst>
            <a:ext uri="{FF2B5EF4-FFF2-40B4-BE49-F238E27FC236}">
              <a16:creationId xmlns:a16="http://schemas.microsoft.com/office/drawing/2014/main" id="{A920BD4F-771D-4BA3-8B9F-2A2B13844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107315</xdr:colOff>
      <xdr:row>130</xdr:row>
      <xdr:rowOff>45243</xdr:rowOff>
    </xdr:from>
    <xdr:to>
      <xdr:col>10</xdr:col>
      <xdr:colOff>1174478</xdr:colOff>
      <xdr:row>144</xdr:row>
      <xdr:rowOff>120650</xdr:rowOff>
    </xdr:to>
    <xdr:graphicFrame macro="">
      <xdr:nvGraphicFramePr>
        <xdr:cNvPr id="10" name="Chart 10">
          <a:extLst>
            <a:ext uri="{FF2B5EF4-FFF2-40B4-BE49-F238E27FC236}">
              <a16:creationId xmlns:a16="http://schemas.microsoft.com/office/drawing/2014/main" id="{C60699BC-6713-4D51-94C5-9FCBEB471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388939</xdr:colOff>
      <xdr:row>130</xdr:row>
      <xdr:rowOff>47626</xdr:rowOff>
    </xdr:from>
    <xdr:to>
      <xdr:col>22</xdr:col>
      <xdr:colOff>428625</xdr:colOff>
      <xdr:row>156</xdr:row>
      <xdr:rowOff>59531</xdr:rowOff>
    </xdr:to>
    <xdr:graphicFrame macro="">
      <xdr:nvGraphicFramePr>
        <xdr:cNvPr id="11" name="Chart 11">
          <a:extLst>
            <a:ext uri="{FF2B5EF4-FFF2-40B4-BE49-F238E27FC236}">
              <a16:creationId xmlns:a16="http://schemas.microsoft.com/office/drawing/2014/main" id="{7416A085-D29C-4383-BC68-378BE8572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133351</xdr:colOff>
      <xdr:row>206</xdr:row>
      <xdr:rowOff>85725</xdr:rowOff>
    </xdr:from>
    <xdr:to>
      <xdr:col>10</xdr:col>
      <xdr:colOff>1019176</xdr:colOff>
      <xdr:row>223</xdr:row>
      <xdr:rowOff>38100</xdr:rowOff>
    </xdr:to>
    <xdr:graphicFrame macro="">
      <xdr:nvGraphicFramePr>
        <xdr:cNvPr id="12" name="Graphique 11">
          <a:extLst>
            <a:ext uri="{FF2B5EF4-FFF2-40B4-BE49-F238E27FC236}">
              <a16:creationId xmlns:a16="http://schemas.microsoft.com/office/drawing/2014/main" id="{C6A8761A-29BA-4B2A-BB2B-41B183B0A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583406</xdr:colOff>
      <xdr:row>144</xdr:row>
      <xdr:rowOff>170656</xdr:rowOff>
    </xdr:from>
    <xdr:to>
      <xdr:col>10</xdr:col>
      <xdr:colOff>849199</xdr:colOff>
      <xdr:row>158</xdr:row>
      <xdr:rowOff>105607</xdr:rowOff>
    </xdr:to>
    <xdr:graphicFrame macro="">
      <xdr:nvGraphicFramePr>
        <xdr:cNvPr id="13" name="Chart 10">
          <a:extLst>
            <a:ext uri="{FF2B5EF4-FFF2-40B4-BE49-F238E27FC236}">
              <a16:creationId xmlns:a16="http://schemas.microsoft.com/office/drawing/2014/main" id="{6F7849F5-8B43-4B50-B923-D21D189FE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247650</xdr:colOff>
      <xdr:row>62</xdr:row>
      <xdr:rowOff>103436</xdr:rowOff>
    </xdr:from>
    <xdr:to>
      <xdr:col>25</xdr:col>
      <xdr:colOff>250030</xdr:colOff>
      <xdr:row>92</xdr:row>
      <xdr:rowOff>114299</xdr:rowOff>
    </xdr:to>
    <xdr:graphicFrame macro="">
      <xdr:nvGraphicFramePr>
        <xdr:cNvPr id="2" name="Graphique 3">
          <a:extLst>
            <a:ext uri="{FF2B5EF4-FFF2-40B4-BE49-F238E27FC236}">
              <a16:creationId xmlns:a16="http://schemas.microsoft.com/office/drawing/2014/main" id="{8A59D2F6-C71D-4E6F-844F-39C8D550E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226560</xdr:colOff>
      <xdr:row>62</xdr:row>
      <xdr:rowOff>95250</xdr:rowOff>
    </xdr:from>
    <xdr:to>
      <xdr:col>14</xdr:col>
      <xdr:colOff>19050</xdr:colOff>
      <xdr:row>91</xdr:row>
      <xdr:rowOff>57150</xdr:rowOff>
    </xdr:to>
    <xdr:graphicFrame macro="">
      <xdr:nvGraphicFramePr>
        <xdr:cNvPr id="4" name="Chart 4">
          <a:extLst>
            <a:ext uri="{FF2B5EF4-FFF2-40B4-BE49-F238E27FC236}">
              <a16:creationId xmlns:a16="http://schemas.microsoft.com/office/drawing/2014/main" id="{8F87B9AF-B389-4887-AC08-FCC264DF2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115</xdr:row>
      <xdr:rowOff>57149</xdr:rowOff>
    </xdr:from>
    <xdr:to>
      <xdr:col>14</xdr:col>
      <xdr:colOff>76200</xdr:colOff>
      <xdr:row>141</xdr:row>
      <xdr:rowOff>76200</xdr:rowOff>
    </xdr:to>
    <xdr:graphicFrame macro="">
      <xdr:nvGraphicFramePr>
        <xdr:cNvPr id="5" name="Chart 4">
          <a:extLst>
            <a:ext uri="{FF2B5EF4-FFF2-40B4-BE49-F238E27FC236}">
              <a16:creationId xmlns:a16="http://schemas.microsoft.com/office/drawing/2014/main" id="{F753B57C-15A4-4F01-820F-C97263388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115</xdr:row>
      <xdr:rowOff>0</xdr:rowOff>
    </xdr:from>
    <xdr:to>
      <xdr:col>25</xdr:col>
      <xdr:colOff>704850</xdr:colOff>
      <xdr:row>141</xdr:row>
      <xdr:rowOff>19051</xdr:rowOff>
    </xdr:to>
    <xdr:graphicFrame macro="">
      <xdr:nvGraphicFramePr>
        <xdr:cNvPr id="6" name="Chart 4">
          <a:extLst>
            <a:ext uri="{FF2B5EF4-FFF2-40B4-BE49-F238E27FC236}">
              <a16:creationId xmlns:a16="http://schemas.microsoft.com/office/drawing/2014/main" id="{9B0E996A-E197-4B0B-B594-424A9EFEB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66674</xdr:colOff>
      <xdr:row>1</xdr:row>
      <xdr:rowOff>30479</xdr:rowOff>
    </xdr:from>
    <xdr:to>
      <xdr:col>16</xdr:col>
      <xdr:colOff>82550</xdr:colOff>
      <xdr:row>23</xdr:row>
      <xdr:rowOff>142875</xdr:rowOff>
    </xdr:to>
    <xdr:graphicFrame macro="">
      <xdr:nvGraphicFramePr>
        <xdr:cNvPr id="3" name="Graphique 2">
          <a:extLst>
            <a:ext uri="{FF2B5EF4-FFF2-40B4-BE49-F238E27FC236}">
              <a16:creationId xmlns:a16="http://schemas.microsoft.com/office/drawing/2014/main" id="{A3705D0C-0DB1-4F7D-A34E-C93B78D3FA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361948</xdr:colOff>
      <xdr:row>24</xdr:row>
      <xdr:rowOff>158750</xdr:rowOff>
    </xdr:from>
    <xdr:to>
      <xdr:col>10</xdr:col>
      <xdr:colOff>714375</xdr:colOff>
      <xdr:row>41</xdr:row>
      <xdr:rowOff>38100</xdr:rowOff>
    </xdr:to>
    <xdr:graphicFrame macro="">
      <xdr:nvGraphicFramePr>
        <xdr:cNvPr id="6" name="Graphique 5">
          <a:extLst>
            <a:ext uri="{FF2B5EF4-FFF2-40B4-BE49-F238E27FC236}">
              <a16:creationId xmlns:a16="http://schemas.microsoft.com/office/drawing/2014/main" id="{18B1BA76-7FFE-4D9B-8C13-6C765BB65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139700</xdr:colOff>
      <xdr:row>25</xdr:row>
      <xdr:rowOff>9525</xdr:rowOff>
    </xdr:from>
    <xdr:to>
      <xdr:col>20</xdr:col>
      <xdr:colOff>276224</xdr:colOff>
      <xdr:row>41</xdr:row>
      <xdr:rowOff>25400</xdr:rowOff>
    </xdr:to>
    <xdr:graphicFrame macro="">
      <xdr:nvGraphicFramePr>
        <xdr:cNvPr id="7" name="Graphique 6">
          <a:extLst>
            <a:ext uri="{FF2B5EF4-FFF2-40B4-BE49-F238E27FC236}">
              <a16:creationId xmlns:a16="http://schemas.microsoft.com/office/drawing/2014/main" id="{42681FFA-B3E9-4973-8CB6-46174F894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304799</xdr:colOff>
      <xdr:row>42</xdr:row>
      <xdr:rowOff>19050</xdr:rowOff>
    </xdr:from>
    <xdr:to>
      <xdr:col>11</xdr:col>
      <xdr:colOff>238125</xdr:colOff>
      <xdr:row>58</xdr:row>
      <xdr:rowOff>95250</xdr:rowOff>
    </xdr:to>
    <xdr:graphicFrame macro="">
      <xdr:nvGraphicFramePr>
        <xdr:cNvPr id="8" name="Graphique 7">
          <a:extLst>
            <a:ext uri="{FF2B5EF4-FFF2-40B4-BE49-F238E27FC236}">
              <a16:creationId xmlns:a16="http://schemas.microsoft.com/office/drawing/2014/main" id="{A0002B2F-7F45-4F66-AAAB-E84D765D0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485774</xdr:colOff>
      <xdr:row>42</xdr:row>
      <xdr:rowOff>15875</xdr:rowOff>
    </xdr:from>
    <xdr:to>
      <xdr:col>20</xdr:col>
      <xdr:colOff>101600</xdr:colOff>
      <xdr:row>58</xdr:row>
      <xdr:rowOff>73025</xdr:rowOff>
    </xdr:to>
    <xdr:graphicFrame macro="">
      <xdr:nvGraphicFramePr>
        <xdr:cNvPr id="9" name="Graphique 8">
          <a:extLst>
            <a:ext uri="{FF2B5EF4-FFF2-40B4-BE49-F238E27FC236}">
              <a16:creationId xmlns:a16="http://schemas.microsoft.com/office/drawing/2014/main" id="{2E9D79D9-EC0E-4776-BD8E-1137B84F6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196849</xdr:colOff>
      <xdr:row>59</xdr:row>
      <xdr:rowOff>158750</xdr:rowOff>
    </xdr:from>
    <xdr:to>
      <xdr:col>11</xdr:col>
      <xdr:colOff>352424</xdr:colOff>
      <xdr:row>77</xdr:row>
      <xdr:rowOff>25400</xdr:rowOff>
    </xdr:to>
    <xdr:graphicFrame macro="">
      <xdr:nvGraphicFramePr>
        <xdr:cNvPr id="10" name="Graphique 9">
          <a:extLst>
            <a:ext uri="{FF2B5EF4-FFF2-40B4-BE49-F238E27FC236}">
              <a16:creationId xmlns:a16="http://schemas.microsoft.com/office/drawing/2014/main" id="{3510D8DC-2182-4A43-B099-181ACA2C7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619125</xdr:colOff>
      <xdr:row>59</xdr:row>
      <xdr:rowOff>171451</xdr:rowOff>
    </xdr:from>
    <xdr:to>
      <xdr:col>21</xdr:col>
      <xdr:colOff>590550</xdr:colOff>
      <xdr:row>76</xdr:row>
      <xdr:rowOff>171450</xdr:rowOff>
    </xdr:to>
    <xdr:graphicFrame macro="">
      <xdr:nvGraphicFramePr>
        <xdr:cNvPr id="11" name="Graphique 10">
          <a:extLst>
            <a:ext uri="{FF2B5EF4-FFF2-40B4-BE49-F238E27FC236}">
              <a16:creationId xmlns:a16="http://schemas.microsoft.com/office/drawing/2014/main" id="{67CB9AB3-DC0C-443B-8023-CFAE1C67A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omint-my.sharepoint.com/personal/mofall_iom_int/Documents/Microsoft%20Teams%20Chat%20Files/IOM_DTM_CMR_Round_26_Mobility_Tracking_Baseline_Feb.2023_20230323_VF.xlsx" TargetMode="External"/><Relationship Id="rId1" Type="http://schemas.openxmlformats.org/officeDocument/2006/relationships/externalLinkPath" Target="/personal/mofall_iom_int/Documents/Microsoft%20Teams%20Chat%20Files/IOM_DTM_CMR_Round_26_Mobility_Tracking_Baseline_Feb.2023_20230323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 Lire !!!!!!!!"/>
      <sheetName val="Analyse localités"/>
      <sheetName val="Displacement &amp; Returns"/>
      <sheetName val="Settlement"/>
      <sheetName val="Displacement Reasons"/>
      <sheetName val="Focus Retournees"/>
      <sheetName val="Displacement Between Admin3"/>
      <sheetName val="Evolution_by_Category"/>
      <sheetName val="Change from Round5 to Round26"/>
      <sheetName val="Evolution_by_Departments"/>
      <sheetName val="Nouveaux déplacements"/>
      <sheetName val="Data_Displacement_Periods"/>
      <sheetName val="New Locations and Sites"/>
      <sheetName val="Data_Sommaire"/>
      <sheetName val="Data_Basic figures"/>
      <sheetName val="Others_data_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OBAMA Zephyrin" id="{101612FD-405D-4178-98A8-0C65618ACFB4}" userId="S::zobama@iom.int::acfa1902-baec-4e7d-b39a-8fcc46a6eca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4991.776755787039" createdVersion="8" refreshedVersion="8" minRefreshableVersion="3" recordCount="1264" xr:uid="{C546F1F1-F671-49D5-848D-DC2D1509DCED}">
  <cacheSource type="worksheet">
    <worksheetSource ref="A1:CE1048576" sheet="Data_Sommaire"/>
  </cacheSource>
  <cacheFields count="105">
    <cacheField name="ID Form" numFmtId="0">
      <sharedItems containsString="0" containsBlank="1" containsNumber="1" containsInteger="1" minValue="2533131" maxValue="2822584"/>
    </cacheField>
    <cacheField name="Région" numFmtId="0">
      <sharedItems containsBlank="1"/>
    </cacheField>
    <cacheField name="Région_code" numFmtId="0">
      <sharedItems containsBlank="1"/>
    </cacheField>
    <cacheField name="Département_nom" numFmtId="0">
      <sharedItems containsBlank="1" count="7">
        <s v="Diamaré"/>
        <s v="Logone-Et-Chari"/>
        <s v="Mayo-Danay"/>
        <s v="Mayo-Kani"/>
        <s v="Mayo-Sava"/>
        <s v="Mayo-Tsanaga"/>
        <m/>
      </sharedItems>
    </cacheField>
    <cacheField name="Département_code" numFmtId="0">
      <sharedItems containsBlank="1"/>
    </cacheField>
    <cacheField name="Arrondissement_nom" numFmtId="0">
      <sharedItems containsBlank="1"/>
    </cacheField>
    <cacheField name="Arrondissement_code" numFmtId="0">
      <sharedItems containsBlank="1"/>
    </cacheField>
    <cacheField name="village_SSID" numFmtId="0">
      <sharedItems containsBlank="1"/>
    </cacheField>
    <cacheField name="village_name" numFmtId="0">
      <sharedItems containsBlank="1"/>
    </cacheField>
    <cacheField name="nouveau_village" numFmtId="0">
      <sharedItems containsBlank="1"/>
    </cacheField>
    <cacheField name="Type de zone de l’évaluation" numFmtId="0">
      <sharedItems containsBlank="1" count="3">
        <s v="Urbain (Plus de 5000 personnes)"/>
        <s v="Rural (Moins de 5000 personnes)"/>
        <m/>
      </sharedItems>
    </cacheField>
    <cacheField name="Latitude" numFmtId="0">
      <sharedItems containsBlank="1" containsMixedTypes="1" containsNumber="1" minValue="10.0049168" maxValue="12.949797500000001"/>
    </cacheField>
    <cacheField name="Longitude" numFmtId="0">
      <sharedItems containsBlank="1" containsMixedTypes="1" containsNumber="1" minValue="13.45388" maxValue="15.6231376"/>
    </cacheField>
    <cacheField name="Type de localité" numFmtId="0">
      <sharedItems containsBlank="1" count="3">
        <s v="Village"/>
        <s v="Sites de déplacement spontanés"/>
        <m/>
      </sharedItems>
    </cacheField>
    <cacheField name=" Méthodologie/Informateur clé" numFmtId="0">
      <sharedItems containsBlank="1"/>
    </cacheField>
    <cacheField name="Méthodologie/Groupe de discussion" numFmtId="0">
      <sharedItems containsBlank="1"/>
    </cacheField>
    <cacheField name="Méthodologie/Observation directe" numFmtId="0">
      <sharedItems containsBlank="1"/>
    </cacheField>
    <cacheField name="nombre de participants réunis pour le groupe de discussion" numFmtId="0">
      <sharedItems containsString="0" containsBlank="1" containsNumber="1" containsInteger="1" minValue="6" maxValue="12"/>
    </cacheField>
    <cacheField name="nombre informateurs clés" numFmtId="0">
      <sharedItems containsString="0" containsBlank="1" containsNumber="1" containsInteger="1" minValue="3" maxValue="8"/>
    </cacheField>
    <cacheField name="accessibilté" numFmtId="0">
      <sharedItems containsBlank="1"/>
    </cacheField>
    <cacheField name="raison-inaccessibilite" numFmtId="0">
      <sharedItems containsBlank="1"/>
    </cacheField>
    <cacheField name="présence_population" numFmtId="0">
      <sharedItems containsBlank="1"/>
    </cacheField>
    <cacheField name="état du village" numFmtId="0">
      <sharedItems containsBlank="1"/>
    </cacheField>
    <cacheField name="Causes destruction village" numFmtId="0">
      <sharedItems containsBlank="1"/>
    </cacheField>
    <cacheField name="Autre cause destruction du village" numFmtId="0">
      <sharedItems containsBlank="1"/>
    </cacheField>
    <cacheField name="village-acceuille-pop-cible" numFmtId="0">
      <sharedItems containsBlank="1"/>
    </cacheField>
    <cacheField name="presence de la majorite" numFmtId="0">
      <sharedItems containsBlank="1"/>
    </cacheField>
    <cacheField name="Autre contexte de presence" numFmtId="0">
      <sharedItems containsBlank="1"/>
    </cacheField>
    <cacheField name="existence d'un site de déplacés" numFmtId="0">
      <sharedItems containsBlank="1"/>
    </cacheField>
    <cacheField name="Nombre de site" numFmtId="0">
      <sharedItems containsString="0" containsBlank="1" containsNumber="1" containsInteger="1" minValue="1" maxValue="4"/>
    </cacheField>
    <cacheField name="nombre de ménage PDI" numFmtId="0">
      <sharedItems containsString="0" containsBlank="1" containsNumber="1" containsInteger="1" minValue="1" maxValue="5869"/>
    </cacheField>
    <cacheField name="population globale du village" numFmtId="0">
      <sharedItems containsString="0" containsBlank="1" containsNumber="1" containsInteger="1" minValue="5" maxValue="57147"/>
    </cacheField>
    <cacheField name="présence des personnes déplacés interne" numFmtId="0">
      <sharedItems containsBlank="1"/>
    </cacheField>
    <cacheField name="nombre de déplacement" numFmtId="0">
      <sharedItems containsBlank="1"/>
    </cacheField>
    <cacheField name="PDI_ménages" numFmtId="0">
      <sharedItems containsString="0" containsBlank="1" containsNumber="1" containsInteger="1" minValue="1" maxValue="5869"/>
    </cacheField>
    <cacheField name="PDI_individus" numFmtId="0">
      <sharedItems containsString="0" containsBlank="1" containsNumber="1" containsInteger="1" minValue="2" maxValue="16341"/>
    </cacheField>
    <cacheField name="PDI_individus_homme" numFmtId="0">
      <sharedItems containsString="0" containsBlank="1" containsNumber="1" containsInteger="1" minValue="1" maxValue="5981"/>
    </cacheField>
    <cacheField name="PDI_individus_femme" numFmtId="0">
      <sharedItems containsString="0" containsBlank="1" containsNumber="1" containsInteger="1" minValue="0" maxValue="13056"/>
    </cacheField>
    <cacheField name="PDI_domicile personnel" numFmtId="0">
      <sharedItems containsString="0" containsBlank="1" containsNumber="1" containsInteger="1" minValue="0" maxValue="889"/>
    </cacheField>
    <cacheField name="PDI_famille d'accueil (à titre gratuit)" numFmtId="0">
      <sharedItems containsString="0" containsBlank="1" containsNumber="1" containsInteger="1" minValue="0" maxValue="2356"/>
    </cacheField>
    <cacheField name="PDI_famille d'accueil (contre travaux domestiques ou des champs)" numFmtId="0">
      <sharedItems containsString="0" containsBlank="1" containsNumber="1" containsInteger="1" minValue="0" maxValue="242"/>
    </cacheField>
    <cacheField name="PDI_en location" numFmtId="0">
      <sharedItems containsString="0" containsBlank="1" containsNumber="1" containsInteger="1" minValue="0" maxValue="3513"/>
    </cacheField>
    <cacheField name="PDI_en location_details" numFmtId="0">
      <sharedItems containsBlank="1"/>
    </cacheField>
    <cacheField name="PDI_autre type location" numFmtId="0">
      <sharedItems containsBlank="1"/>
    </cacheField>
    <cacheField name="PDI_centre collectif" numFmtId="0">
      <sharedItems containsString="0" containsBlank="1" containsNumber="1" containsInteger="1" minValue="0" maxValue="563"/>
    </cacheField>
    <cacheField name="PDI_abris spontané" numFmtId="0">
      <sharedItems containsString="0" containsBlank="1" containsNumber="1" containsInteger="1" minValue="0" maxValue="1749"/>
    </cacheField>
    <cacheField name="PDI_abris-spont-details" numFmtId="0">
      <sharedItems containsBlank="1"/>
    </cacheField>
    <cacheField name="PDI_autre-type-abris" numFmtId="0">
      <sharedItems containsBlank="1"/>
    </cacheField>
    <cacheField name="PDI_air libre" numFmtId="0">
      <sharedItems containsString="0" containsBlank="1" containsNumber="1" containsInteger="1" minValue="0" maxValue="20"/>
    </cacheField>
    <cacheField name="PDI_Commentaires" numFmtId="0">
      <sharedItems containsBlank="1" longText="1"/>
    </cacheField>
    <cacheField name="présence Réfugié hors camp" numFmtId="0">
      <sharedItems containsBlank="1"/>
    </cacheField>
    <cacheField name="REF_ménages" numFmtId="0">
      <sharedItems containsString="0" containsBlank="1" containsNumber="1" containsInteger="1" minValue="1" maxValue="680"/>
    </cacheField>
    <cacheField name="REF_individus" numFmtId="0">
      <sharedItems containsString="0" containsBlank="1" containsNumber="1" containsInteger="1" minValue="2" maxValue="3808"/>
    </cacheField>
    <cacheField name="REF_individus homme" numFmtId="0">
      <sharedItems containsString="0" containsBlank="1" containsNumber="1" containsInteger="1" minValue="0" maxValue="1830"/>
    </cacheField>
    <cacheField name="REF_individus femme" numFmtId="0">
      <sharedItems containsString="0" containsBlank="1" containsNumber="1" containsInteger="1" minValue="0" maxValue="2026"/>
    </cacheField>
    <cacheField name="REF_famille d'accueil (à titre gratuit)" numFmtId="0">
      <sharedItems containsString="0" containsBlank="1" containsNumber="1" containsInteger="1" minValue="0" maxValue="680"/>
    </cacheField>
    <cacheField name="REF_famille d'accueil (contre travaux domestiques ou des champs)" numFmtId="0">
      <sharedItems containsString="0" containsBlank="1" containsNumber="1" containsInteger="1" minValue="0" maxValue="100"/>
    </cacheField>
    <cacheField name="REF_en location" numFmtId="0">
      <sharedItems containsString="0" containsBlank="1" containsNumber="1" containsInteger="1" minValue="0" maxValue="100"/>
    </cacheField>
    <cacheField name="REF_en location_details" numFmtId="0">
      <sharedItems containsBlank="1"/>
    </cacheField>
    <cacheField name="REF_centre collectif" numFmtId="0">
      <sharedItems containsString="0" containsBlank="1" containsNumber="1" containsInteger="1" minValue="0" maxValue="0"/>
    </cacheField>
    <cacheField name="REF_abris spontané" numFmtId="0">
      <sharedItems containsString="0" containsBlank="1" containsNumber="1" containsInteger="1" minValue="0" maxValue="608"/>
    </cacheField>
    <cacheField name="REF_abris spontané_details" numFmtId="0">
      <sharedItems containsBlank="1"/>
    </cacheField>
    <cacheField name="REF_autre-type-abris" numFmtId="0">
      <sharedItems containsNonDate="0" containsString="0" containsBlank="1"/>
    </cacheField>
    <cacheField name="REF_air libre" numFmtId="0">
      <sharedItems containsString="0" containsBlank="1" containsNumber="1" containsInteger="1" minValue="0" maxValue="10"/>
    </cacheField>
    <cacheField name="Nombre de ménages REF ENREGISTRÉS" numFmtId="0">
      <sharedItems containsString="0" containsBlank="1" containsNumber="1" containsInteger="1" minValue="0" maxValue="497"/>
    </cacheField>
    <cacheField name="commentaire-ref" numFmtId="0">
      <sharedItems containsBlank="1" longText="1"/>
    </cacheField>
    <cacheField name="présence personnes retournées" numFmtId="0">
      <sharedItems containsBlank="1"/>
    </cacheField>
    <cacheField name="RET_Menages" numFmtId="0">
      <sharedItems containsString="0" containsBlank="1" containsNumber="1" containsInteger="1" minValue="1" maxValue="1724"/>
    </cacheField>
    <cacheField name="RET_individus" numFmtId="0">
      <sharedItems containsString="0" containsBlank="1" containsNumber="1" containsInteger="1" minValue="3" maxValue="12606"/>
    </cacheField>
    <cacheField name="RET_individus homme" numFmtId="0">
      <sharedItems containsString="0" containsBlank="1" containsNumber="1" containsInteger="1" minValue="0" maxValue="6040"/>
    </cacheField>
    <cacheField name="RET_individus femme" numFmtId="0">
      <sharedItems containsString="0" containsBlank="1" containsNumber="1" containsInteger="1" minValue="0" maxValue="6566"/>
    </cacheField>
    <cacheField name="durée du déplacement pour la majorité des retournés présents dans la localité" numFmtId="0">
      <sharedItems containsBlank="1"/>
    </cacheField>
    <cacheField name="RET_NOUVEAU_domicile personnel" numFmtId="0">
      <sharedItems containsString="0" containsBlank="1" containsNumber="1" containsInteger="1" minValue="0" maxValue="487"/>
    </cacheField>
    <cacheField name="RET_habitat initial" numFmtId="0">
      <sharedItems containsString="0" containsBlank="1" containsNumber="1" containsInteger="1" minValue="0" maxValue="1724"/>
    </cacheField>
    <cacheField name="RET_famille d'accueil (à titre gratuit)" numFmtId="0">
      <sharedItems containsString="0" containsBlank="1" containsNumber="1" containsInteger="1" minValue="0" maxValue="390"/>
    </cacheField>
    <cacheField name="RET_famille d'accueil (contre travaux domestiques ou des champs)" numFmtId="0">
      <sharedItems containsString="0" containsBlank="1" containsNumber="1" containsInteger="1" minValue="0" maxValue="100"/>
    </cacheField>
    <cacheField name="RET_en location" numFmtId="0">
      <sharedItems containsString="0" containsBlank="1" containsNumber="1" containsInteger="1" minValue="0" maxValue="100"/>
    </cacheField>
    <cacheField name="RET_en location details" numFmtId="0">
      <sharedItems containsBlank="1"/>
    </cacheField>
    <cacheField name="RET_centre collectif" numFmtId="0">
      <sharedItems containsString="0" containsBlank="1" containsNumber="1" containsInteger="1" minValue="0" maxValue="0"/>
    </cacheField>
    <cacheField name="RET_abris spontané" numFmtId="0">
      <sharedItems containsString="0" containsBlank="1" containsNumber="1" containsInteger="1" minValue="0" maxValue="576"/>
    </cacheField>
    <cacheField name="d-abris-spont-details" numFmtId="0">
      <sharedItems containsBlank="1"/>
    </cacheField>
    <cacheField name="RET_air libre" numFmtId="0">
      <sharedItems containsString="0" containsBlank="1" containsNumber="1" containsInteger="1" minValue="0" maxValue="312"/>
    </cacheField>
    <cacheField name="RET_commentaire" numFmtId="0">
      <sharedItems containsBlank="1"/>
    </cacheField>
    <cacheField name="DEPL_Deplacés locaux" numFmtId="0">
      <sharedItems containsNonDate="0" containsString="0" containsBlank="1"/>
    </cacheField>
    <cacheField name="DEPL_ménages" numFmtId="0">
      <sharedItems containsNonDate="0" containsString="0" containsBlank="1"/>
    </cacheField>
    <cacheField name="DEPL_individus" numFmtId="0">
      <sharedItems containsNonDate="0" containsString="0" containsBlank="1"/>
    </cacheField>
    <cacheField name="Deplacés locaux_commentaire" numFmtId="0">
      <sharedItems containsNonDate="0" containsString="0" containsBlank="1"/>
    </cacheField>
    <cacheField name="Menages à reunir" numFmtId="0">
      <sharedItems containsString="0" containsBlank="1" containsNumber="1" containsInteger="1" minValue="0" maxValue="62"/>
    </cacheField>
    <cacheField name="existence de service indisponible" numFmtId="0">
      <sharedItems containsNonDate="0" containsString="0" containsBlank="1"/>
    </cacheField>
    <cacheField name="services indisponibles details" numFmtId="0">
      <sharedItems containsNonDate="0" containsString="0" containsBlank="1"/>
    </cacheField>
    <cacheField name="autre-service-ferme" numFmtId="0">
      <sharedItems containsNonDate="0" containsString="0" containsBlank="1"/>
    </cacheField>
    <cacheField name="service-reduit" numFmtId="0">
      <sharedItems containsNonDate="0" containsString="0" containsBlank="1"/>
    </cacheField>
    <cacheField name="services-reduits" numFmtId="0">
      <sharedItems containsNonDate="0" containsString="0" containsBlank="1"/>
    </cacheField>
    <cacheField name="autre-service-reduit" numFmtId="0">
      <sharedItems containsNonDate="0" containsString="0" containsBlank="1"/>
    </cacheField>
    <cacheField name="penurie-produit" numFmtId="0">
      <sharedItems containsNonDate="0" containsString="0" containsBlank="1"/>
    </cacheField>
    <cacheField name="penuries-produits" numFmtId="0">
      <sharedItems containsNonDate="0" containsString="0" containsBlank="1"/>
    </cacheField>
    <cacheField name="autre-produits-rupture" numFmtId="0">
      <sharedItems containsNonDate="0" containsString="0" containsBlank="1"/>
    </cacheField>
    <cacheField name="augmentation-prix" numFmtId="0">
      <sharedItems containsNonDate="0" containsString="0" containsBlank="1"/>
    </cacheField>
    <cacheField name="produits-prix-aug" numFmtId="0">
      <sharedItems containsNonDate="0" containsString="0" containsBlank="1"/>
    </cacheField>
    <cacheField name="autre-produits-prix-aug" numFmtId="0">
      <sharedItems containsNonDate="0" containsString="0" containsBlank="1"/>
    </cacheField>
    <cacheField name="COMMENTAIRES GÉNÉRAUX" numFmtId="0">
      <sharedItems containsNonDate="0" containsString="0" containsBlank="1"/>
    </cacheField>
    <cacheField name="Flag PDI" numFmtId="0">
      <sharedItems containsBlank="1"/>
    </cacheField>
    <cacheField name="Flag REF" numFmtId="0">
      <sharedItems containsBlank="1"/>
    </cacheField>
    <cacheField name="Flag RET" numFmtId="0">
      <sharedItems containsBlank="1"/>
    </cacheField>
    <cacheField name="Flag total" numFmtId="0">
      <sharedItems containsString="0" containsBlank="1" containsNumber="1" containsInteger="1" minValue="0" maxValue="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5008.467941782408" createdVersion="7" refreshedVersion="8" minRefreshableVersion="3" recordCount="3023" xr:uid="{AE096034-BAF3-489A-AC83-A5290AD4D999}">
  <cacheSource type="worksheet">
    <worksheetSource name="DisplacementP"/>
  </cacheSource>
  <cacheFields count="24">
    <cacheField name="adm1_name" numFmtId="0">
      <sharedItems/>
    </cacheField>
    <cacheField name="adm1_code" numFmtId="0">
      <sharedItems/>
    </cacheField>
    <cacheField name="adm2_name" numFmtId="0">
      <sharedItems containsBlank="1" count="7">
        <s v="Diamaré"/>
        <s v="Mayo-Tsanaga"/>
        <s v="Logone-Et-Chari"/>
        <s v="Mayo-Danay"/>
        <s v="Mayo-Sava"/>
        <s v="Mayo-Kani"/>
        <m u="1"/>
      </sharedItems>
    </cacheField>
    <cacheField name="adm2_code" numFmtId="0">
      <sharedItems/>
    </cacheField>
    <cacheField name="adm3_name" numFmtId="0">
      <sharedItems containsBlank="1" count="55">
        <s v="Petté"/>
        <s v="Mokolo"/>
        <s v="Bogo"/>
        <s v="Maroua I"/>
        <s v="Gazawa"/>
        <s v="Maroua II"/>
        <s v="Maroua III"/>
        <s v="Mayo-Moskota"/>
        <s v="Makary"/>
        <s v="Hile-Alifa"/>
        <s v="Blangoua"/>
        <s v="Maga"/>
        <s v="Goulfey"/>
        <s v="Waza"/>
        <s v="Bourha"/>
        <s v="Logone-Birni"/>
        <s v="Koza"/>
        <s v="Mora"/>
        <s v="Guidiguis"/>
        <s v="Kolofata"/>
        <s v="Kaélé"/>
        <s v="Mindif"/>
        <s v="Moutourwa"/>
        <s v="Zina"/>
        <s v="Moulvoudaye"/>
        <s v="Fotokol"/>
        <s v="Kousséri"/>
        <s v="Darak"/>
        <s v="Hina"/>
        <s v="Tokombéré"/>
        <s v="Méri"/>
        <s v="Guémé"/>
        <s v="Soulédé-Roua"/>
        <s v="Kai-Kai"/>
        <s v="Gobo"/>
        <s v="Yagoua"/>
        <s v="Wina"/>
        <s v="Datchéka"/>
        <s v="Guéré"/>
        <s v="Mogodé"/>
        <s v="Dargala"/>
        <m u="1"/>
        <s v="Mogode" u="1"/>
        <s v="Tokombere" u="1"/>
        <s v="MarouaIII" u="1"/>
        <s v="Kaele" u="1"/>
        <s v="Guere" u="1"/>
        <s v="Soulede-Roua" u="1"/>
        <s v="Gueme" u="1"/>
        <s v="Datcheka" u="1"/>
        <s v="MarouaI" u="1"/>
        <s v="MarouaII" u="1"/>
        <s v="Kousseri" u="1"/>
        <s v="Hilé-Alifa" u="1"/>
        <s v="Pette" u="1"/>
      </sharedItems>
    </cacheField>
    <cacheField name="adm3_code" numFmtId="0">
      <sharedItems/>
    </cacheField>
    <cacheField name="village_code" numFmtId="0">
      <sharedItems/>
    </cacheField>
    <cacheField name="village_name" numFmtId="0">
      <sharedItems/>
    </cacheField>
    <cacheField name="New_village for this Round" numFmtId="0">
      <sharedItems containsBlank="1"/>
    </cacheField>
    <cacheField name="Statut déplacé" numFmtId="0">
      <sharedItems containsBlank="1" count="4">
        <s v="idp"/>
        <s v="refugee"/>
        <s v="returnee"/>
        <m u="1"/>
      </sharedItems>
    </cacheField>
    <cacheField name="période" numFmtId="0">
      <sharedItems/>
    </cacheField>
    <cacheField name="Ménages" numFmtId="0">
      <sharedItems containsSemiMixedTypes="0" containsString="0" containsNumber="1" containsInteger="1" minValue="0" maxValue="3661"/>
    </cacheField>
    <cacheField name="Individus" numFmtId="0">
      <sharedItems containsSemiMixedTypes="0" containsString="0" containsNumber="1" containsInteger="1" minValue="0" maxValue="12370"/>
    </cacheField>
    <cacheField name="raison" numFmtId="0">
      <sharedItems containsBlank="1" count="24">
        <s v="Conflits liés à GANE (BH)"/>
        <s v="Conflit intercommunautaire"/>
        <s v="Autre raison"/>
        <s v="Inondations saisonnières ou fortes pluies"/>
        <s v="Catastrophe naturelle (sécheresse, glissement de terrain, rupture de digue)"/>
        <m u="1"/>
        <s v="Conflits liés à Boko Haram" u="1"/>
        <s v="securite-zone-origine" u="1"/>
        <s v="Catastrophe naturelle (sécheresse, glissement de terrain, rupture de digue, préciser)" u="1"/>
        <s v="manque-subsistance-zone-deplacmt" u="1"/>
        <s v="ordre-autorites-civ-militaires" u="1"/>
        <s v="aucune-assistance-deplacement" u="1"/>
        <s v="Accès à une terre cultivable" u="1"/>
        <s v="autre" u="1"/>
        <s v="Conflit inter-communautaire" u="1"/>
        <s v="pas-ou-peu-acces-services-base" u="1"/>
        <s v="boko-haram" u="1"/>
        <s v="tensions-communautes-hotes" u="1"/>
        <s v="acces-terre-cultivable" u="1"/>
        <s v="inondations-desastres-naturels" u="1"/>
        <s v="Inondations et desastres naturels" u="1"/>
        <s v="Conflits armés" u="1"/>
        <s v="incapacite-zone-hote" u="1"/>
        <s v="insecurite-zone-hote" u="1"/>
      </sharedItems>
    </cacheField>
    <cacheField name="autre_raison" numFmtId="0">
      <sharedItems containsBlank="1"/>
    </cacheField>
    <cacheField name="provenance" numFmtId="0">
      <sharedItems/>
    </cacheField>
    <cacheField name="provenance_adm0" numFmtId="0">
      <sharedItems/>
    </cacheField>
    <cacheField name="provenance_adm0_nom" numFmtId="0">
      <sharedItems/>
    </cacheField>
    <cacheField name="provenance_adm1" numFmtId="0">
      <sharedItems containsBlank="1"/>
    </cacheField>
    <cacheField name="provenance_adm1_nom" numFmtId="0">
      <sharedItems containsBlank="1"/>
    </cacheField>
    <cacheField name="provenance_adm2" numFmtId="0">
      <sharedItems containsBlank="1"/>
    </cacheField>
    <cacheField name="provenance_adm2_nom" numFmtId="0">
      <sharedItems containsBlank="1"/>
    </cacheField>
    <cacheField name="provenance_adm3" numFmtId="0">
      <sharedItems containsBlank="1"/>
    </cacheField>
    <cacheField name="provenance_adm3_nom"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5020.401731828701" createdVersion="7" refreshedVersion="8" minRefreshableVersion="3" recordCount="3536" xr:uid="{6780E3F6-5F09-4235-8A40-F832B93E3470}">
  <cacheSource type="worksheet">
    <worksheetSource ref="A1:X1048576" sheet="Data_Displacement_Periods"/>
  </cacheSource>
  <cacheFields count="24">
    <cacheField name="adm1_name" numFmtId="0">
      <sharedItems containsBlank="1"/>
    </cacheField>
    <cacheField name="adm1_code" numFmtId="0">
      <sharedItems containsBlank="1"/>
    </cacheField>
    <cacheField name="adm2_name" numFmtId="0">
      <sharedItems containsBlank="1" count="7">
        <s v="Diamaré"/>
        <s v="Mayo-Tsanaga"/>
        <s v="Logone-Et-Chari"/>
        <s v="Mayo-Danay"/>
        <s v="Mayo-Sava"/>
        <s v="Mayo-Kani"/>
        <m/>
      </sharedItems>
    </cacheField>
    <cacheField name="adm2_code" numFmtId="0">
      <sharedItems containsBlank="1"/>
    </cacheField>
    <cacheField name="adm3_name" numFmtId="0">
      <sharedItems containsBlank="1" count="43">
        <s v="Petté"/>
        <s v="Mokolo"/>
        <s v="Bogo"/>
        <s v="Maroua I"/>
        <s v="Gazawa"/>
        <s v="Maroua II"/>
        <s v="Maroua III"/>
        <s v="Mayo-Moskota"/>
        <s v="Makary"/>
        <s v="Hile-Alifa"/>
        <s v="Blangoua"/>
        <s v="Maga"/>
        <s v="Goulfey"/>
        <s v="Waza"/>
        <s v="Bourha"/>
        <s v="Logone-Birni"/>
        <s v="Koza"/>
        <s v="Mora"/>
        <s v="Guidiguis"/>
        <s v="Kolofata"/>
        <s v="Kaélé"/>
        <s v="Mindif"/>
        <s v="Moutourwa"/>
        <s v="Zina"/>
        <s v="Moulvoudaye"/>
        <s v="Fotokol"/>
        <s v="Kousséri"/>
        <s v="Darak"/>
        <s v="Hina"/>
        <s v="Tokombéré"/>
        <s v="Méri"/>
        <s v="Guémé"/>
        <s v="Soulédé-Roua"/>
        <s v="Kai-Kai"/>
        <s v="Gobo"/>
        <s v="Yagoua"/>
        <s v="Wina"/>
        <s v="Datchéka"/>
        <s v="Guéré"/>
        <s v="Mogodé"/>
        <s v="Dargala"/>
        <m/>
        <s v="Hilé-Alifa" u="1"/>
      </sharedItems>
    </cacheField>
    <cacheField name="adm3_code" numFmtId="0">
      <sharedItems containsBlank="1"/>
    </cacheField>
    <cacheField name="village_code" numFmtId="0">
      <sharedItems containsBlank="1"/>
    </cacheField>
    <cacheField name="village_name" numFmtId="0">
      <sharedItems containsBlank="1"/>
    </cacheField>
    <cacheField name="New_village for this Round" numFmtId="0">
      <sharedItems containsBlank="1"/>
    </cacheField>
    <cacheField name="Statut déplacé" numFmtId="0">
      <sharedItems containsBlank="1" count="4">
        <s v="idp"/>
        <s v="refugee"/>
        <s v="returnee"/>
        <m/>
      </sharedItems>
    </cacheField>
    <cacheField name="période" numFmtId="0">
      <sharedItems containsBlank="1" containsMixedTypes="1" containsNumber="1" containsInteger="1" minValue="2019" maxValue="2020" count="8">
        <s v="Avant 2020"/>
        <s v="En 2020"/>
        <s v="Septembre 2022 – Février 2023"/>
        <s v="Janvier - Aout 2022"/>
        <s v="En 2021"/>
        <m/>
        <n v="2019" u="1"/>
        <n v="2020" u="1"/>
      </sharedItems>
    </cacheField>
    <cacheField name="Ménages" numFmtId="0">
      <sharedItems containsString="0" containsBlank="1" containsNumber="1" containsInteger="1" minValue="0" maxValue="3661"/>
    </cacheField>
    <cacheField name="Individus" numFmtId="0">
      <sharedItems containsString="0" containsBlank="1" containsNumber="1" containsInteger="1" minValue="0" maxValue="12370"/>
    </cacheField>
    <cacheField name="raison" numFmtId="0">
      <sharedItems containsBlank="1"/>
    </cacheField>
    <cacheField name="autre_raison" numFmtId="0">
      <sharedItems containsBlank="1"/>
    </cacheField>
    <cacheField name="provenance" numFmtId="0">
      <sharedItems containsBlank="1"/>
    </cacheField>
    <cacheField name="provenance_adm0" numFmtId="0">
      <sharedItems containsBlank="1"/>
    </cacheField>
    <cacheField name="provenance_adm0_nom" numFmtId="0">
      <sharedItems containsBlank="1"/>
    </cacheField>
    <cacheField name="provenance_adm1" numFmtId="0">
      <sharedItems containsBlank="1"/>
    </cacheField>
    <cacheField name="provenance_adm1_nom" numFmtId="0">
      <sharedItems containsBlank="1"/>
    </cacheField>
    <cacheField name="provenance_adm2" numFmtId="0">
      <sharedItems containsBlank="1"/>
    </cacheField>
    <cacheField name="provenance_adm2_nom" numFmtId="0">
      <sharedItems containsBlank="1"/>
    </cacheField>
    <cacheField name="provenance_adm3" numFmtId="0">
      <sharedItems containsBlank="1"/>
    </cacheField>
    <cacheField name="provenance_adm3_nom"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4">
  <r>
    <n v="2543964"/>
    <s v="Extrême-Nord"/>
    <s v="CMR004"/>
    <x v="0"/>
    <s v="CMR004001"/>
    <s v="Bogo"/>
    <s v="CMR004001005"/>
    <s v="BOG-0001"/>
    <s v="BOGO VILLE (SIRATARE)"/>
    <m/>
    <x v="0"/>
    <n v="10.7380356"/>
    <n v="14.6113781"/>
    <x v="0"/>
    <b v="1"/>
    <b v="0"/>
    <b v="1"/>
    <m/>
    <n v="3"/>
    <s v="Accessible"/>
    <m/>
    <s v="Le village accueille une population"/>
    <s v="Le village est intact (construit)"/>
    <m/>
    <m/>
    <s v="Oui"/>
    <s v="Familles d'accueil"/>
    <s v="Non, pas du tout"/>
    <s v="Non"/>
    <m/>
    <n v="8"/>
    <n v="2500"/>
    <s v="Oui"/>
    <s v="Premier déplacement"/>
    <n v="8"/>
    <n v="58"/>
    <n v="22"/>
    <n v="36"/>
    <n v="0"/>
    <n v="0"/>
    <n v="0"/>
    <n v="8"/>
    <s v="Chez une famille d'accueil (contre loyer)"/>
    <m/>
    <n v="0"/>
    <n v="0"/>
    <m/>
    <m/>
    <n v="0"/>
    <s v="La population  est  constante, pas d'intention de retourné dans  leur lieu de  Provence  et n'ont pas d'appui  et d'assistance des humanitaires. "/>
    <s v="Non"/>
    <m/>
    <m/>
    <m/>
    <m/>
    <m/>
    <m/>
    <m/>
    <m/>
    <m/>
    <m/>
    <m/>
    <m/>
    <m/>
    <m/>
    <m/>
    <s v="Non"/>
    <m/>
    <m/>
    <m/>
    <m/>
    <m/>
    <m/>
    <m/>
    <m/>
    <m/>
    <m/>
    <m/>
    <m/>
    <m/>
    <m/>
    <m/>
    <m/>
    <m/>
    <m/>
    <m/>
    <m/>
    <n v="0"/>
    <m/>
    <m/>
    <m/>
    <m/>
    <m/>
    <m/>
    <m/>
    <m/>
    <m/>
    <m/>
    <m/>
    <m/>
    <m/>
    <s v="1"/>
    <s v="0"/>
    <s v="0"/>
    <n v="1"/>
  </r>
  <r>
    <n v="2550323"/>
    <s v="Extrême-Nord"/>
    <s v="CMR004"/>
    <x v="0"/>
    <s v="CMR004001"/>
    <s v="Bogo"/>
    <s v="CMR004001005"/>
    <s v="BOG-0003"/>
    <s v="GOURIKI"/>
    <m/>
    <x v="1"/>
    <n v="10.8714922"/>
    <n v="14.757365699999999"/>
    <x v="0"/>
    <b v="0"/>
    <b v="0"/>
    <b v="1"/>
    <m/>
    <m/>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7496"/>
    <s v="Extrême-Nord"/>
    <s v="CMR004"/>
    <x v="0"/>
    <s v="CMR004001"/>
    <s v="Bogo"/>
    <s v="CMR004001005"/>
    <s v="BOG-0005"/>
    <s v="MORGOYE"/>
    <m/>
    <x v="1"/>
    <n v="10.7378094"/>
    <n v="14.6063072"/>
    <x v="0"/>
    <b v="1"/>
    <b v="0"/>
    <b v="0"/>
    <m/>
    <n v="3"/>
    <s v="Accessible"/>
    <m/>
    <s v="Le village est entièrement déserté"/>
    <m/>
    <m/>
    <m/>
    <m/>
    <m/>
    <m/>
    <m/>
    <m/>
    <m/>
    <m/>
    <m/>
    <m/>
    <m/>
    <m/>
    <m/>
    <m/>
    <m/>
    <m/>
    <m/>
    <m/>
    <m/>
    <m/>
    <m/>
    <m/>
    <m/>
    <m/>
    <m/>
    <m/>
    <m/>
    <m/>
    <m/>
    <m/>
    <m/>
    <m/>
    <m/>
    <m/>
    <m/>
    <m/>
    <m/>
    <m/>
    <m/>
    <m/>
    <m/>
    <m/>
    <m/>
    <m/>
    <m/>
    <m/>
    <m/>
    <m/>
    <m/>
    <m/>
    <m/>
    <m/>
    <m/>
    <m/>
    <m/>
    <m/>
    <m/>
    <m/>
    <m/>
    <m/>
    <m/>
    <m/>
    <m/>
    <m/>
    <m/>
    <m/>
    <m/>
    <m/>
    <m/>
    <m/>
    <m/>
    <m/>
    <m/>
    <m/>
    <m/>
    <m/>
    <m/>
    <s v="0"/>
    <s v="0"/>
    <s v="0"/>
    <n v="0"/>
  </r>
  <r>
    <n v="2543965"/>
    <s v="Extrême-Nord"/>
    <s v="CMR004"/>
    <x v="0"/>
    <s v="CMR004001"/>
    <s v="Bogo"/>
    <s v="CMR004001005"/>
    <s v="BOG-0006"/>
    <s v="NERBA"/>
    <m/>
    <x v="1"/>
    <n v="10.6954055"/>
    <n v="14.472102700000001"/>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17094"/>
    <s v="Extrême-Nord"/>
    <s v="CMR004"/>
    <x v="0"/>
    <s v="CMR004001"/>
    <s v="Bogo"/>
    <s v="CMR004001005"/>
    <s v="BOG-0002"/>
    <s v="SITE DE ARDJANIRE"/>
    <m/>
    <x v="0"/>
    <n v="10.7071141"/>
    <n v="14.595045199999999"/>
    <x v="1"/>
    <b v="0"/>
    <b v="1"/>
    <b v="1"/>
    <n v="10"/>
    <m/>
    <s v="Accessible"/>
    <m/>
    <s v="Le village accueille une population"/>
    <s v="Le village est intact (construit)"/>
    <m/>
    <m/>
    <s v="Oui"/>
    <s v="Sites de déplacement spontanés"/>
    <s v="Non, pas du tout"/>
    <m/>
    <m/>
    <n v="312"/>
    <n v="1874"/>
    <s v="Oui"/>
    <s v="Premier déplacement"/>
    <n v="312"/>
    <n v="1874"/>
    <n v="624"/>
    <n v="1250"/>
    <n v="0"/>
    <n v="0"/>
    <n v="0"/>
    <n v="0"/>
    <m/>
    <m/>
    <n v="312"/>
    <n v="0"/>
    <m/>
    <m/>
    <n v="0"/>
    <s v="Certaines PDIs sont  réparties  dans  leur  village de Provence pour  faire  les champs , d'autres sont parti s'installer à bogo ville et dans les régions du nord et de l'adamaoua"/>
    <s v="Non"/>
    <m/>
    <m/>
    <m/>
    <m/>
    <m/>
    <m/>
    <m/>
    <m/>
    <m/>
    <m/>
    <m/>
    <m/>
    <m/>
    <m/>
    <m/>
    <s v="Non"/>
    <m/>
    <m/>
    <m/>
    <m/>
    <m/>
    <m/>
    <m/>
    <m/>
    <m/>
    <m/>
    <m/>
    <m/>
    <m/>
    <m/>
    <m/>
    <m/>
    <m/>
    <m/>
    <m/>
    <m/>
    <n v="0"/>
    <m/>
    <m/>
    <m/>
    <m/>
    <m/>
    <m/>
    <m/>
    <m/>
    <m/>
    <m/>
    <m/>
    <m/>
    <m/>
    <s v="1"/>
    <s v="0"/>
    <s v="0"/>
    <n v="1"/>
  </r>
  <r>
    <n v="2605096"/>
    <s v="Extrême-Nord"/>
    <s v="CMR004"/>
    <x v="0"/>
    <s v="CMR004001"/>
    <s v="Bogo"/>
    <s v="CMR004001005"/>
    <s v="BOG-0004"/>
    <s v="SITE DE KOURDAYA"/>
    <m/>
    <x v="1"/>
    <n v="10.8786065"/>
    <n v="14.650373399999999"/>
    <x v="1"/>
    <b v="0"/>
    <b v="1"/>
    <b v="0"/>
    <n v="6"/>
    <m/>
    <s v="Accessible"/>
    <m/>
    <s v="Le village accueille une population"/>
    <s v="Le village est intact (construit)"/>
    <m/>
    <m/>
    <s v="Oui"/>
    <s v="Sites de déplacement spontanés"/>
    <s v="Familles d'accueil"/>
    <m/>
    <m/>
    <n v="57"/>
    <n v="5000"/>
    <s v="Oui"/>
    <s v="Premier déplacement"/>
    <n v="57"/>
    <n v="358"/>
    <n v="162"/>
    <n v="196"/>
    <n v="0"/>
    <n v="0"/>
    <n v="0"/>
    <n v="0"/>
    <m/>
    <m/>
    <n v="0"/>
    <n v="57"/>
    <s v="Bâche"/>
    <m/>
    <n v="0"/>
    <s v="Il y'a eu une diminution de deux ménages  de 12 individus  vers  le lieu de résidence habituelle, et ils  sont en bâches  et ces bâches ne sont plus encore solides,  _x000a_Les principaux problème pour ces idps sont :_x000a_- l'accès  à  l'eau potable , il  faut qu'ils partent dans un village voisin pour pouvoir s'alimenter  en eau ; _x000a_- l'alimentation _x000a_Les points sont trop éloignés  du village "/>
    <s v="Non"/>
    <m/>
    <m/>
    <m/>
    <m/>
    <m/>
    <m/>
    <m/>
    <m/>
    <m/>
    <m/>
    <m/>
    <m/>
    <m/>
    <m/>
    <m/>
    <s v="Non"/>
    <m/>
    <m/>
    <m/>
    <m/>
    <m/>
    <m/>
    <m/>
    <m/>
    <m/>
    <m/>
    <m/>
    <m/>
    <m/>
    <m/>
    <m/>
    <m/>
    <m/>
    <m/>
    <m/>
    <m/>
    <n v="0"/>
    <m/>
    <m/>
    <m/>
    <m/>
    <m/>
    <m/>
    <m/>
    <m/>
    <m/>
    <m/>
    <m/>
    <m/>
    <m/>
    <s v="1"/>
    <s v="0"/>
    <s v="0"/>
    <n v="1"/>
  </r>
  <r>
    <n v="2617095"/>
    <s v="Extrême-Nord"/>
    <s v="CMR004"/>
    <x v="0"/>
    <s v="CMR004001"/>
    <s v="Bogo"/>
    <s v="CMR004001005"/>
    <s v="BOG-0007"/>
    <s v="SITE DE OURO DJOUGOULE"/>
    <m/>
    <x v="1"/>
    <n v="10.7193886"/>
    <n v="14.6405925"/>
    <x v="1"/>
    <b v="0"/>
    <b v="1"/>
    <b v="1"/>
    <n v="6"/>
    <m/>
    <s v="Accessible"/>
    <m/>
    <s v="Le village accueille une population"/>
    <s v="Le village est intact (construit)"/>
    <m/>
    <m/>
    <s v="Oui"/>
    <s v="Sites de déplacement spontanés"/>
    <s v="Non, pas du tout"/>
    <m/>
    <m/>
    <n v="122"/>
    <n v="650"/>
    <s v="Oui"/>
    <s v="Premier déplacement"/>
    <n v="122"/>
    <n v="650"/>
    <n v="216"/>
    <n v="434"/>
    <n v="0"/>
    <n v="0"/>
    <n v="0"/>
    <n v="0"/>
    <m/>
    <m/>
    <n v="122"/>
    <n v="0"/>
    <m/>
    <m/>
    <n v="0"/>
    <s v="Certaines PDIs sont réparties dans leur village d'origine pour  les travaux  champêtre, d'autres  sont  parti  dans  d'autres  grande  villes du pays pour travailler"/>
    <s v="Non"/>
    <m/>
    <m/>
    <m/>
    <m/>
    <m/>
    <m/>
    <m/>
    <m/>
    <m/>
    <m/>
    <m/>
    <m/>
    <m/>
    <m/>
    <m/>
    <s v="Non"/>
    <m/>
    <m/>
    <m/>
    <m/>
    <m/>
    <m/>
    <m/>
    <m/>
    <m/>
    <m/>
    <m/>
    <m/>
    <m/>
    <m/>
    <m/>
    <m/>
    <m/>
    <m/>
    <m/>
    <m/>
    <n v="0"/>
    <m/>
    <m/>
    <m/>
    <m/>
    <m/>
    <m/>
    <m/>
    <m/>
    <m/>
    <m/>
    <m/>
    <m/>
    <m/>
    <s v="1"/>
    <s v="0"/>
    <s v="0"/>
    <n v="1"/>
  </r>
  <r>
    <n v="2550056"/>
    <s v="Extrême-Nord"/>
    <s v="CMR004"/>
    <x v="0"/>
    <s v="CMR004001"/>
    <s v="Dargala"/>
    <s v="CMR004001004"/>
    <s v="DAG-0001"/>
    <s v="DARGALA"/>
    <m/>
    <x v="1"/>
    <n v="10.530506000000001"/>
    <n v="14.601608799999999"/>
    <x v="0"/>
    <b v="1"/>
    <b v="0"/>
    <b v="1"/>
    <m/>
    <n v="3"/>
    <s v="Accessible"/>
    <m/>
    <s v="Le village accueille une population"/>
    <s v="Le village est intact (construit)"/>
    <m/>
    <m/>
    <s v="Oui"/>
    <s v="Familles d'accueil"/>
    <s v="Non, pas du tout"/>
    <s v="Non"/>
    <m/>
    <m/>
    <n v="1990"/>
    <s v="Non"/>
    <m/>
    <m/>
    <m/>
    <m/>
    <m/>
    <m/>
    <m/>
    <m/>
    <m/>
    <m/>
    <m/>
    <m/>
    <m/>
    <m/>
    <m/>
    <m/>
    <m/>
    <s v="Non"/>
    <m/>
    <m/>
    <m/>
    <m/>
    <m/>
    <m/>
    <m/>
    <m/>
    <m/>
    <m/>
    <m/>
    <m/>
    <m/>
    <m/>
    <m/>
    <s v="Oui"/>
    <n v="2"/>
    <n v="16"/>
    <n v="9"/>
    <n v="7"/>
    <s v="5 ans ou plus"/>
    <n v="0"/>
    <n v="2"/>
    <n v="0"/>
    <n v="0"/>
    <n v="0"/>
    <m/>
    <n v="0"/>
    <n v="0"/>
    <m/>
    <n v="0"/>
    <m/>
    <m/>
    <m/>
    <m/>
    <m/>
    <n v="0"/>
    <m/>
    <m/>
    <m/>
    <m/>
    <m/>
    <m/>
    <m/>
    <m/>
    <m/>
    <m/>
    <m/>
    <m/>
    <m/>
    <s v="0"/>
    <s v="0"/>
    <s v="1"/>
    <n v="1"/>
  </r>
  <r>
    <n v="2550057"/>
    <s v="Extrême-Nord"/>
    <s v="CMR004"/>
    <x v="0"/>
    <s v="CMR004001"/>
    <s v="Dargala"/>
    <s v="CMR004001004"/>
    <s v="DAG-0002"/>
    <s v="DJOHIRE"/>
    <m/>
    <x v="1"/>
    <n v="10.5014764"/>
    <n v="14.5100125"/>
    <x v="0"/>
    <b v="1"/>
    <b v="0"/>
    <b v="0"/>
    <m/>
    <n v="3"/>
    <s v="Accessible"/>
    <m/>
    <s v="Le village accueille une population"/>
    <s v="Le village est intact (construit)"/>
    <m/>
    <m/>
    <s v="Oui"/>
    <s v="Familles d'accueil"/>
    <s v="Non, pas du tout"/>
    <s v="Non"/>
    <m/>
    <m/>
    <n v="283"/>
    <s v="Non"/>
    <m/>
    <m/>
    <m/>
    <m/>
    <m/>
    <m/>
    <m/>
    <m/>
    <m/>
    <m/>
    <m/>
    <m/>
    <m/>
    <m/>
    <m/>
    <m/>
    <m/>
    <s v="Non"/>
    <m/>
    <m/>
    <m/>
    <m/>
    <m/>
    <m/>
    <m/>
    <m/>
    <m/>
    <m/>
    <m/>
    <m/>
    <m/>
    <m/>
    <m/>
    <s v="Oui"/>
    <n v="3"/>
    <n v="45"/>
    <n v="31"/>
    <n v="14"/>
    <s v="5 ans ou plus"/>
    <n v="0"/>
    <n v="3"/>
    <n v="0"/>
    <n v="0"/>
    <n v="0"/>
    <m/>
    <n v="0"/>
    <n v="0"/>
    <m/>
    <n v="0"/>
    <m/>
    <m/>
    <m/>
    <m/>
    <m/>
    <n v="0"/>
    <m/>
    <m/>
    <m/>
    <m/>
    <m/>
    <m/>
    <m/>
    <m/>
    <m/>
    <m/>
    <m/>
    <m/>
    <m/>
    <s v="0"/>
    <s v="0"/>
    <s v="1"/>
    <n v="1"/>
  </r>
  <r>
    <n v="2554521"/>
    <s v="Extrême-Nord"/>
    <s v="CMR004"/>
    <x v="0"/>
    <s v="CMR004001"/>
    <s v="Dargala"/>
    <s v="CMR004001004"/>
    <s v="DAG-0003"/>
    <s v="KALAKI"/>
    <m/>
    <x v="1"/>
    <n v="10.5003577"/>
    <n v="14.5045815"/>
    <x v="0"/>
    <b v="0"/>
    <b v="1"/>
    <b v="1"/>
    <n v="6"/>
    <m/>
    <s v="Accessible"/>
    <m/>
    <s v="Le village accueille une population"/>
    <s v="Le village est intact (construit)"/>
    <m/>
    <m/>
    <s v="Oui"/>
    <s v="Familles d'accueil"/>
    <s v="Non, pas du tout"/>
    <s v="Non"/>
    <m/>
    <m/>
    <n v="1552"/>
    <s v="Non"/>
    <m/>
    <m/>
    <m/>
    <m/>
    <m/>
    <m/>
    <m/>
    <m/>
    <m/>
    <m/>
    <m/>
    <m/>
    <m/>
    <m/>
    <m/>
    <m/>
    <m/>
    <s v="Non"/>
    <m/>
    <m/>
    <m/>
    <m/>
    <m/>
    <m/>
    <m/>
    <m/>
    <m/>
    <m/>
    <m/>
    <m/>
    <m/>
    <m/>
    <m/>
    <s v="Oui"/>
    <n v="11"/>
    <n v="135"/>
    <n v="40"/>
    <n v="95"/>
    <s v="5 ans ou plus"/>
    <n v="0"/>
    <n v="11"/>
    <n v="0"/>
    <n v="0"/>
    <n v="0"/>
    <m/>
    <n v="0"/>
    <n v="0"/>
    <m/>
    <n v="0"/>
    <m/>
    <m/>
    <m/>
    <m/>
    <m/>
    <n v="0"/>
    <m/>
    <m/>
    <m/>
    <m/>
    <m/>
    <m/>
    <m/>
    <m/>
    <m/>
    <m/>
    <m/>
    <m/>
    <m/>
    <s v="0"/>
    <s v="0"/>
    <s v="1"/>
    <n v="1"/>
  </r>
  <r>
    <n v="2559493"/>
    <s v="Extrême-Nord"/>
    <s v="CMR004"/>
    <x v="0"/>
    <s v="CMR004001"/>
    <s v="Dargala"/>
    <s v="CMR004001004"/>
    <s v="DAG-0004"/>
    <s v="OURO-ZANGUI"/>
    <m/>
    <x v="1"/>
    <n v="10.5140791"/>
    <n v="14.5146251"/>
    <x v="0"/>
    <b v="1"/>
    <b v="0"/>
    <b v="1"/>
    <m/>
    <n v="3"/>
    <s v="Accessible"/>
    <m/>
    <s v="Le village accueille une population"/>
    <s v="Le village est intact (construit)"/>
    <m/>
    <m/>
    <s v="Oui"/>
    <s v="Familles d'accueil"/>
    <s v="Non, pas du tout"/>
    <s v="Non"/>
    <m/>
    <m/>
    <n v="510"/>
    <s v="Non"/>
    <m/>
    <m/>
    <m/>
    <m/>
    <m/>
    <m/>
    <m/>
    <m/>
    <m/>
    <m/>
    <m/>
    <m/>
    <m/>
    <m/>
    <m/>
    <m/>
    <m/>
    <s v="Non"/>
    <m/>
    <m/>
    <m/>
    <m/>
    <m/>
    <m/>
    <m/>
    <m/>
    <m/>
    <m/>
    <m/>
    <m/>
    <m/>
    <m/>
    <m/>
    <s v="Oui"/>
    <n v="1"/>
    <n v="5"/>
    <n v="2"/>
    <n v="3"/>
    <s v="5 ans ou plus"/>
    <n v="0"/>
    <n v="1"/>
    <n v="0"/>
    <n v="0"/>
    <n v="0"/>
    <m/>
    <n v="0"/>
    <n v="0"/>
    <m/>
    <n v="0"/>
    <m/>
    <m/>
    <m/>
    <m/>
    <m/>
    <n v="0"/>
    <m/>
    <m/>
    <m/>
    <m/>
    <m/>
    <m/>
    <m/>
    <m/>
    <m/>
    <m/>
    <m/>
    <m/>
    <m/>
    <s v="0"/>
    <s v="0"/>
    <s v="1"/>
    <n v="1"/>
  </r>
  <r>
    <n v="2554519"/>
    <s v="Extrême-Nord"/>
    <s v="CMR004"/>
    <x v="0"/>
    <s v="CMR004001"/>
    <s v="Dargala"/>
    <s v="CMR004001004"/>
    <s v="DAG-0005"/>
    <s v="WOULMOYE"/>
    <m/>
    <x v="1"/>
    <n v="10.5049381"/>
    <n v="14.504698400000001"/>
    <x v="0"/>
    <b v="1"/>
    <b v="0"/>
    <b v="0"/>
    <m/>
    <n v="4"/>
    <s v="Accessible"/>
    <m/>
    <s v="Le village accueille une population"/>
    <s v="Le village est intact (construit)"/>
    <m/>
    <m/>
    <s v="Oui"/>
    <s v="Familles d'accueil"/>
    <s v="Non, pas du tout"/>
    <s v="Non"/>
    <m/>
    <m/>
    <n v="300"/>
    <s v="Non"/>
    <m/>
    <m/>
    <m/>
    <m/>
    <m/>
    <m/>
    <m/>
    <m/>
    <m/>
    <m/>
    <m/>
    <m/>
    <m/>
    <m/>
    <m/>
    <m/>
    <m/>
    <s v="Non"/>
    <m/>
    <m/>
    <m/>
    <m/>
    <m/>
    <m/>
    <m/>
    <m/>
    <m/>
    <m/>
    <m/>
    <m/>
    <m/>
    <m/>
    <m/>
    <s v="Oui"/>
    <n v="6"/>
    <n v="86"/>
    <n v="33"/>
    <n v="53"/>
    <s v="5 ans ou plus"/>
    <n v="0"/>
    <n v="6"/>
    <n v="0"/>
    <n v="0"/>
    <n v="0"/>
    <m/>
    <n v="0"/>
    <n v="0"/>
    <m/>
    <n v="0"/>
    <m/>
    <m/>
    <m/>
    <m/>
    <m/>
    <n v="0"/>
    <m/>
    <m/>
    <m/>
    <m/>
    <m/>
    <m/>
    <m/>
    <m/>
    <m/>
    <m/>
    <m/>
    <m/>
    <m/>
    <s v="0"/>
    <s v="0"/>
    <s v="1"/>
    <n v="1"/>
  </r>
  <r>
    <n v="2577103"/>
    <s v="Extrême-Nord"/>
    <s v="CMR004"/>
    <x v="0"/>
    <s v="CMR004001"/>
    <s v="Dargala"/>
    <s v="CMR004001004"/>
    <s v="DAG-0006"/>
    <s v="WOURO BOUBA"/>
    <m/>
    <x v="1"/>
    <n v="10.496203299999999"/>
    <n v="14.5187727"/>
    <x v="0"/>
    <b v="1"/>
    <b v="0"/>
    <b v="1"/>
    <m/>
    <n v="3"/>
    <s v="Accessible"/>
    <m/>
    <s v="Le village accueille une population"/>
    <s v="Le village est intact (construit)"/>
    <m/>
    <m/>
    <s v="Oui"/>
    <s v="Familles d'accueil"/>
    <s v="Non, pas du tout"/>
    <s v="Non"/>
    <m/>
    <m/>
    <n v="405"/>
    <s v="Non"/>
    <m/>
    <m/>
    <m/>
    <m/>
    <m/>
    <m/>
    <m/>
    <m/>
    <m/>
    <m/>
    <m/>
    <m/>
    <m/>
    <m/>
    <m/>
    <m/>
    <m/>
    <s v="Non"/>
    <m/>
    <m/>
    <m/>
    <m/>
    <m/>
    <m/>
    <m/>
    <m/>
    <m/>
    <m/>
    <m/>
    <m/>
    <m/>
    <m/>
    <m/>
    <s v="Oui"/>
    <n v="9"/>
    <n v="74"/>
    <n v="30"/>
    <n v="44"/>
    <s v="5 ans ou plus"/>
    <n v="0"/>
    <n v="9"/>
    <n v="0"/>
    <n v="0"/>
    <n v="0"/>
    <m/>
    <n v="0"/>
    <n v="0"/>
    <m/>
    <n v="0"/>
    <m/>
    <m/>
    <m/>
    <m/>
    <m/>
    <n v="0"/>
    <m/>
    <m/>
    <m/>
    <m/>
    <m/>
    <m/>
    <m/>
    <m/>
    <m/>
    <m/>
    <m/>
    <m/>
    <m/>
    <s v="0"/>
    <s v="0"/>
    <s v="1"/>
    <n v="1"/>
  </r>
  <r>
    <n v="2576953"/>
    <s v="Extrême-Nord"/>
    <s v="CMR004"/>
    <x v="0"/>
    <s v="CMR004001"/>
    <s v="Dargala"/>
    <s v="CMR004001004"/>
    <s v="DAG-0007"/>
    <s v="WOURO MAOUNDE"/>
    <m/>
    <x v="1"/>
    <n v="10.494880800000001"/>
    <n v="14.5489888"/>
    <x v="0"/>
    <b v="1"/>
    <b v="0"/>
    <b v="1"/>
    <m/>
    <n v="3"/>
    <s v="Accessible"/>
    <m/>
    <s v="Le village accueille une population"/>
    <s v="Le village est intact (construit)"/>
    <m/>
    <m/>
    <s v="Oui"/>
    <s v="Familles d'accueil"/>
    <s v="Non, pas du tout"/>
    <s v="Non"/>
    <m/>
    <m/>
    <n v="250"/>
    <s v="Non"/>
    <m/>
    <m/>
    <m/>
    <m/>
    <m/>
    <m/>
    <m/>
    <m/>
    <m/>
    <m/>
    <m/>
    <m/>
    <m/>
    <m/>
    <m/>
    <m/>
    <m/>
    <s v="Non"/>
    <m/>
    <m/>
    <m/>
    <m/>
    <m/>
    <m/>
    <m/>
    <m/>
    <m/>
    <m/>
    <m/>
    <m/>
    <m/>
    <m/>
    <m/>
    <s v="Oui"/>
    <n v="4"/>
    <n v="29"/>
    <n v="20"/>
    <n v="9"/>
    <s v="5 ans ou plus"/>
    <n v="0"/>
    <n v="4"/>
    <n v="0"/>
    <n v="0"/>
    <n v="0"/>
    <m/>
    <n v="0"/>
    <n v="0"/>
    <m/>
    <n v="0"/>
    <m/>
    <m/>
    <m/>
    <m/>
    <m/>
    <n v="0"/>
    <m/>
    <m/>
    <m/>
    <m/>
    <m/>
    <m/>
    <m/>
    <m/>
    <m/>
    <m/>
    <m/>
    <m/>
    <m/>
    <s v="0"/>
    <s v="0"/>
    <s v="1"/>
    <n v="1"/>
  </r>
  <r>
    <n v="2578034"/>
    <s v="Extrême-Nord"/>
    <s v="CMR004"/>
    <x v="0"/>
    <s v="CMR004001"/>
    <s v="Gazawa"/>
    <s v="CMR004001008"/>
    <s v="GAZ-0001"/>
    <s v="BANTADJE"/>
    <m/>
    <x v="1"/>
    <n v="10.534447800000001"/>
    <n v="14.14312739999999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545442"/>
    <s v="Extrême-Nord"/>
    <s v="CMR004"/>
    <x v="0"/>
    <s v="CMR004001"/>
    <s v="Gazawa"/>
    <s v="CMR004001008"/>
    <s v="GAZ-0002"/>
    <s v="CARREFOUR CLIPS"/>
    <m/>
    <x v="1"/>
    <n v="10.5400756"/>
    <n v="14.134853100000001"/>
    <x v="0"/>
    <b v="1"/>
    <b v="0"/>
    <b v="0"/>
    <m/>
    <n v="4"/>
    <s v="Accessible"/>
    <m/>
    <s v="Le village accueille une population"/>
    <s v="Le village est intact (construit)"/>
    <m/>
    <m/>
    <s v="Oui"/>
    <s v="Familles d'accueil"/>
    <s v="Non, pas du tout"/>
    <s v="Non"/>
    <m/>
    <n v="3"/>
    <n v="360"/>
    <s v="Oui"/>
    <s v="Premier déplacement"/>
    <n v="3"/>
    <n v="10"/>
    <n v="4"/>
    <n v="6"/>
    <n v="0"/>
    <n v="3"/>
    <n v="0"/>
    <n v="0"/>
    <m/>
    <m/>
    <n v="0"/>
    <n v="0"/>
    <m/>
    <m/>
    <n v="0"/>
    <s v="Les idps dans cette localité sont intégré "/>
    <s v="Non"/>
    <m/>
    <m/>
    <m/>
    <m/>
    <m/>
    <m/>
    <m/>
    <m/>
    <m/>
    <m/>
    <m/>
    <m/>
    <m/>
    <m/>
    <m/>
    <s v="Non"/>
    <m/>
    <m/>
    <m/>
    <m/>
    <m/>
    <m/>
    <m/>
    <m/>
    <m/>
    <m/>
    <m/>
    <m/>
    <m/>
    <m/>
    <m/>
    <m/>
    <m/>
    <m/>
    <m/>
    <m/>
    <n v="0"/>
    <m/>
    <m/>
    <m/>
    <m/>
    <m/>
    <m/>
    <m/>
    <m/>
    <m/>
    <m/>
    <m/>
    <m/>
    <m/>
    <s v="1"/>
    <s v="0"/>
    <s v="0"/>
    <n v="1"/>
  </r>
  <r>
    <n v="2550325"/>
    <s v="Extrême-Nord"/>
    <s v="CMR004"/>
    <x v="0"/>
    <s v="CMR004001"/>
    <s v="Gazawa"/>
    <s v="CMR004001008"/>
    <s v="GAZ-0007"/>
    <s v="GALLA KATOUAL"/>
    <m/>
    <x v="1"/>
    <n v="10.490811600000001"/>
    <n v="14.174263"/>
    <x v="0"/>
    <b v="1"/>
    <b v="0"/>
    <b v="1"/>
    <m/>
    <n v="3"/>
    <s v="Accessible"/>
    <m/>
    <s v="Le village accueille une population"/>
    <s v="Le village est intact (construit)"/>
    <m/>
    <m/>
    <s v="Oui"/>
    <s v="Familles d'accueil"/>
    <s v="Non, pas du tout"/>
    <s v="Non"/>
    <m/>
    <n v="8"/>
    <n v="814"/>
    <s v="Oui"/>
    <s v="Premier déplacement"/>
    <n v="8"/>
    <n v="62"/>
    <n v="32"/>
    <n v="30"/>
    <n v="0"/>
    <n v="8"/>
    <n v="0"/>
    <n v="0"/>
    <m/>
    <m/>
    <n v="0"/>
    <n v="0"/>
    <m/>
    <m/>
    <n v="0"/>
    <s v="Pas de changement,  le village  est  intact et les déplacés internes  sont  dans la localité "/>
    <s v="Non"/>
    <m/>
    <m/>
    <m/>
    <m/>
    <m/>
    <m/>
    <m/>
    <m/>
    <m/>
    <m/>
    <m/>
    <m/>
    <m/>
    <m/>
    <m/>
    <s v="Non"/>
    <m/>
    <m/>
    <m/>
    <m/>
    <m/>
    <m/>
    <m/>
    <m/>
    <m/>
    <m/>
    <m/>
    <m/>
    <m/>
    <m/>
    <m/>
    <m/>
    <m/>
    <m/>
    <m/>
    <m/>
    <n v="0"/>
    <m/>
    <m/>
    <m/>
    <m/>
    <m/>
    <m/>
    <m/>
    <m/>
    <m/>
    <m/>
    <m/>
    <m/>
    <m/>
    <s v="1"/>
    <s v="0"/>
    <s v="0"/>
    <n v="1"/>
  </r>
  <r>
    <n v="2580744"/>
    <s v="Extrême-Nord"/>
    <s v="CMR004"/>
    <x v="0"/>
    <s v="CMR004001"/>
    <s v="Gazawa"/>
    <s v="CMR004001008"/>
    <s v="GAZ-0004"/>
    <s v="GOUDOURWO"/>
    <m/>
    <x v="1"/>
    <n v="10.5418939"/>
    <n v="14.1334847"/>
    <x v="0"/>
    <b v="1"/>
    <b v="0"/>
    <b v="0"/>
    <m/>
    <n v="3"/>
    <s v="Accessible"/>
    <m/>
    <s v="Le village accueille une population"/>
    <s v="Le village est intact (construit)"/>
    <m/>
    <m/>
    <s v="Oui"/>
    <s v="Familles d'accueil"/>
    <s v="Non, pas du tout"/>
    <s v="Non"/>
    <m/>
    <n v="2"/>
    <n v="830"/>
    <s v="Oui"/>
    <s v="Premier déplacement"/>
    <n v="2"/>
    <n v="23"/>
    <n v="12"/>
    <n v="11"/>
    <n v="1"/>
    <n v="0"/>
    <n v="0"/>
    <n v="1"/>
    <s v="Logement indépendant (Maison indépendante)"/>
    <m/>
    <n v="0"/>
    <n v="0"/>
    <m/>
    <m/>
    <n v="0"/>
    <s v="Les idps de cette localité ont besoin d'aide pour relancer leur activité "/>
    <s v="Non"/>
    <m/>
    <m/>
    <m/>
    <m/>
    <m/>
    <m/>
    <m/>
    <m/>
    <m/>
    <m/>
    <m/>
    <m/>
    <m/>
    <m/>
    <m/>
    <s v="Non"/>
    <m/>
    <m/>
    <m/>
    <m/>
    <m/>
    <m/>
    <m/>
    <m/>
    <m/>
    <m/>
    <m/>
    <m/>
    <m/>
    <m/>
    <m/>
    <m/>
    <m/>
    <m/>
    <m/>
    <m/>
    <n v="0"/>
    <m/>
    <m/>
    <m/>
    <m/>
    <m/>
    <m/>
    <m/>
    <m/>
    <m/>
    <m/>
    <m/>
    <m/>
    <m/>
    <s v="1"/>
    <s v="0"/>
    <s v="0"/>
    <n v="1"/>
  </r>
  <r>
    <n v="2545443"/>
    <s v="Extrême-Nord"/>
    <s v="CMR004"/>
    <x v="0"/>
    <s v="CMR004001"/>
    <s v="Gazawa"/>
    <s v="CMR004001008"/>
    <s v="GAZ-0009"/>
    <s v="GRODOU FOULBE"/>
    <m/>
    <x v="1"/>
    <n v="10.537999299999999"/>
    <n v="14.136118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545444"/>
    <s v="Extrême-Nord"/>
    <s v="CMR004"/>
    <x v="0"/>
    <s v="CMR004001"/>
    <s v="Gazawa"/>
    <s v="CMR004001008"/>
    <s v="GAZ-0003"/>
    <s v="ILDINGOYANG"/>
    <m/>
    <x v="1"/>
    <n v="10.5321993"/>
    <n v="14.147785499999999"/>
    <x v="0"/>
    <b v="1"/>
    <b v="0"/>
    <b v="0"/>
    <m/>
    <n v="3"/>
    <s v="Accessible"/>
    <m/>
    <s v="Le village accueille une population"/>
    <s v="Le village est intact (construit)"/>
    <m/>
    <m/>
    <s v="Oui"/>
    <s v="Familles d'accueil"/>
    <s v="Non, pas du tout"/>
    <s v="Non"/>
    <m/>
    <n v="4"/>
    <n v="930"/>
    <s v="Oui"/>
    <s v="Premier déplacement"/>
    <n v="4"/>
    <n v="11"/>
    <n v="8"/>
    <n v="3"/>
    <n v="0"/>
    <n v="4"/>
    <n v="0"/>
    <n v="0"/>
    <m/>
    <m/>
    <n v="0"/>
    <n v="0"/>
    <m/>
    <m/>
    <n v="0"/>
    <s v="Les déplacés de cette localité font de petit commerce pour subvenir à leur besoin "/>
    <s v="Non"/>
    <m/>
    <m/>
    <m/>
    <m/>
    <m/>
    <m/>
    <m/>
    <m/>
    <m/>
    <m/>
    <m/>
    <m/>
    <m/>
    <m/>
    <m/>
    <s v="Non"/>
    <m/>
    <m/>
    <m/>
    <m/>
    <m/>
    <m/>
    <m/>
    <m/>
    <m/>
    <m/>
    <m/>
    <m/>
    <m/>
    <m/>
    <m/>
    <m/>
    <m/>
    <m/>
    <m/>
    <m/>
    <n v="0"/>
    <m/>
    <m/>
    <m/>
    <m/>
    <m/>
    <m/>
    <m/>
    <m/>
    <m/>
    <m/>
    <m/>
    <m/>
    <m/>
    <s v="1"/>
    <s v="0"/>
    <s v="0"/>
    <n v="1"/>
  </r>
  <r>
    <n v="2550324"/>
    <s v="Extrême-Nord"/>
    <s v="CMR004"/>
    <x v="0"/>
    <s v="CMR004001"/>
    <s v="Gazawa"/>
    <s v="CMR004001008"/>
    <s v="GAZ-0005"/>
    <s v="KATOUAL"/>
    <m/>
    <x v="0"/>
    <n v="10.522858599999999"/>
    <n v="14.205308"/>
    <x v="0"/>
    <b v="1"/>
    <b v="0"/>
    <b v="1"/>
    <m/>
    <n v="4"/>
    <s v="Accessible"/>
    <m/>
    <s v="Le village accueille une population"/>
    <s v="Le village est intact (construit)"/>
    <m/>
    <m/>
    <s v="Oui"/>
    <s v="Familles d'accueil"/>
    <s v="Non, pas du tout"/>
    <s v="Non"/>
    <m/>
    <n v="23"/>
    <n v="10496"/>
    <s v="Oui"/>
    <s v="Premier déplacement"/>
    <n v="23"/>
    <n v="151"/>
    <n v="55"/>
    <n v="96"/>
    <n v="0"/>
    <n v="23"/>
    <n v="0"/>
    <n v="0"/>
    <m/>
    <m/>
    <n v="0"/>
    <n v="0"/>
    <m/>
    <m/>
    <n v="0"/>
    <s v="Il y'a ajout des 10 individus  suites  aux naissances  et les origines  des enfants sont celles  de parents  de même que les raisons  de déplacements et les réalités , donc  le nombre  des ménages reste inchanger et le nombre d'individus a augmenté  de 10."/>
    <s v="Non"/>
    <m/>
    <m/>
    <m/>
    <m/>
    <m/>
    <m/>
    <m/>
    <m/>
    <m/>
    <m/>
    <m/>
    <m/>
    <m/>
    <m/>
    <m/>
    <s v="Non"/>
    <m/>
    <m/>
    <m/>
    <m/>
    <m/>
    <m/>
    <m/>
    <m/>
    <m/>
    <m/>
    <m/>
    <m/>
    <m/>
    <m/>
    <m/>
    <m/>
    <m/>
    <m/>
    <m/>
    <m/>
    <n v="0"/>
    <m/>
    <m/>
    <m/>
    <m/>
    <m/>
    <m/>
    <m/>
    <m/>
    <m/>
    <m/>
    <m/>
    <m/>
    <m/>
    <s v="1"/>
    <s v="0"/>
    <s v="0"/>
    <n v="1"/>
  </r>
  <r>
    <n v="2590523"/>
    <s v="Extrême-Nord"/>
    <s v="CMR004"/>
    <x v="0"/>
    <s v="CMR004001"/>
    <s v="Gazawa"/>
    <s v="CMR004001008"/>
    <s v="GAZ-0006"/>
    <s v="LOMORE"/>
    <m/>
    <x v="1"/>
    <n v="10.538515"/>
    <n v="14.140621100000001"/>
    <x v="0"/>
    <b v="1"/>
    <b v="0"/>
    <b v="0"/>
    <m/>
    <n v="3"/>
    <s v="Accessible"/>
    <m/>
    <s v="Le village accueille une population"/>
    <s v="Le village est intact (construit)"/>
    <m/>
    <m/>
    <s v="Oui"/>
    <s v="Familles d'accueil"/>
    <s v="Non, pas du tout"/>
    <s v="Non"/>
    <m/>
    <n v="2"/>
    <n v="1530"/>
    <s v="Oui"/>
    <s v="Premier déplacement"/>
    <n v="2"/>
    <n v="12"/>
    <n v="5"/>
    <n v="7"/>
    <n v="0"/>
    <n v="0"/>
    <n v="0"/>
    <n v="2"/>
    <s v="Logement indépendant (Maison indépendante)"/>
    <m/>
    <n v="0"/>
    <n v="0"/>
    <m/>
    <m/>
    <n v="0"/>
    <s v="Il y'a une diminution d'un ménage parti s'installe à Goudourwo"/>
    <s v="Non"/>
    <m/>
    <m/>
    <m/>
    <m/>
    <m/>
    <m/>
    <m/>
    <m/>
    <m/>
    <m/>
    <m/>
    <m/>
    <m/>
    <m/>
    <m/>
    <s v="Non"/>
    <m/>
    <m/>
    <m/>
    <m/>
    <m/>
    <m/>
    <m/>
    <m/>
    <m/>
    <m/>
    <m/>
    <m/>
    <m/>
    <m/>
    <m/>
    <m/>
    <m/>
    <m/>
    <m/>
    <m/>
    <n v="0"/>
    <m/>
    <m/>
    <m/>
    <m/>
    <m/>
    <m/>
    <m/>
    <m/>
    <m/>
    <m/>
    <m/>
    <m/>
    <m/>
    <s v="1"/>
    <s v="0"/>
    <s v="0"/>
    <n v="1"/>
  </r>
  <r>
    <n v="2549693"/>
    <s v="Extrême-Nord"/>
    <s v="CMR004"/>
    <x v="0"/>
    <s v="CMR004001"/>
    <s v="Gazawa"/>
    <s v="CMR004001008"/>
    <s v="GAZ-0008"/>
    <s v="YOLA MALIKI"/>
    <m/>
    <x v="1"/>
    <n v="10.5984657"/>
    <n v="14.0543254"/>
    <x v="0"/>
    <b v="1"/>
    <b v="0"/>
    <b v="0"/>
    <m/>
    <n v="3"/>
    <s v="Accessible"/>
    <m/>
    <s v="Le village accueille une population"/>
    <s v="Le village est intact (construit)"/>
    <m/>
    <m/>
    <s v="Oui"/>
    <s v="Familles d'accueil"/>
    <s v="Non, pas du tout"/>
    <s v="Non"/>
    <m/>
    <n v="3"/>
    <n v="1050"/>
    <s v="Oui"/>
    <s v="Premier déplacement"/>
    <n v="3"/>
    <n v="14"/>
    <n v="5"/>
    <n v="9"/>
    <n v="0"/>
    <n v="1"/>
    <n v="0"/>
    <n v="2"/>
    <s v="Logement indépendant (Maison indépendante)"/>
    <m/>
    <n v="0"/>
    <n v="0"/>
    <m/>
    <m/>
    <n v="0"/>
    <s v="Dans cette localité un IDPS est décédé mais sa famille reste dans localité "/>
    <s v="Non"/>
    <m/>
    <m/>
    <m/>
    <m/>
    <m/>
    <m/>
    <m/>
    <m/>
    <m/>
    <m/>
    <m/>
    <m/>
    <m/>
    <m/>
    <m/>
    <s v="Non"/>
    <m/>
    <m/>
    <m/>
    <m/>
    <m/>
    <m/>
    <m/>
    <m/>
    <m/>
    <m/>
    <m/>
    <m/>
    <m/>
    <m/>
    <m/>
    <m/>
    <m/>
    <m/>
    <m/>
    <m/>
    <n v="0"/>
    <m/>
    <m/>
    <m/>
    <m/>
    <m/>
    <m/>
    <m/>
    <m/>
    <m/>
    <m/>
    <m/>
    <m/>
    <m/>
    <s v="1"/>
    <s v="0"/>
    <s v="0"/>
    <n v="1"/>
  </r>
  <r>
    <n v="2646243"/>
    <s v="Extrême-Nord"/>
    <s v="CMR004"/>
    <x v="0"/>
    <s v="CMR004001"/>
    <s v="Maroua I"/>
    <s v="CMR004001009"/>
    <s v="MA1-0005"/>
    <s v="DIGUIRWO 1"/>
    <m/>
    <x v="1"/>
    <n v="10.5955972"/>
    <n v="14.3349197"/>
    <x v="0"/>
    <b v="1"/>
    <b v="0"/>
    <b v="1"/>
    <m/>
    <n v="3"/>
    <s v="Accessible"/>
    <m/>
    <s v="Le village accueille une population"/>
    <s v="Le village est intact (construit)"/>
    <m/>
    <m/>
    <s v="Oui"/>
    <s v="Familles d'accueil"/>
    <s v="Non, pas du tout"/>
    <s v="Non"/>
    <m/>
    <n v="8"/>
    <n v="528"/>
    <s v="Oui"/>
    <s v="Premier déplacement"/>
    <n v="8"/>
    <n v="44"/>
    <n v="24"/>
    <n v="20"/>
    <n v="0"/>
    <n v="0"/>
    <n v="0"/>
    <n v="8"/>
    <s v="Chez une famille d'accueil (contre loyer)"/>
    <m/>
    <n v="0"/>
    <n v="0"/>
    <m/>
    <m/>
    <n v="0"/>
    <s v="Constant"/>
    <s v="Non"/>
    <m/>
    <m/>
    <m/>
    <m/>
    <m/>
    <m/>
    <m/>
    <m/>
    <m/>
    <m/>
    <m/>
    <m/>
    <m/>
    <m/>
    <m/>
    <s v="Non"/>
    <m/>
    <m/>
    <m/>
    <m/>
    <m/>
    <m/>
    <m/>
    <m/>
    <m/>
    <m/>
    <m/>
    <m/>
    <m/>
    <m/>
    <m/>
    <m/>
    <m/>
    <m/>
    <m/>
    <m/>
    <n v="0"/>
    <m/>
    <m/>
    <m/>
    <m/>
    <m/>
    <m/>
    <m/>
    <m/>
    <m/>
    <m/>
    <m/>
    <m/>
    <m/>
    <s v="1"/>
    <s v="0"/>
    <s v="0"/>
    <n v="1"/>
  </r>
  <r>
    <n v="2543967"/>
    <s v="Extrême-Nord"/>
    <s v="CMR004"/>
    <x v="0"/>
    <s v="CMR004001"/>
    <s v="Maroua I"/>
    <s v="CMR004001009"/>
    <s v="MA1-0001"/>
    <s v="DOMAYO HARDÉ WALDÉ"/>
    <m/>
    <x v="0"/>
    <n v="10.5902105"/>
    <n v="14.3308818"/>
    <x v="0"/>
    <b v="1"/>
    <b v="0"/>
    <b v="1"/>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589207"/>
    <s v="Extrême-Nord"/>
    <s v="CMR004"/>
    <x v="0"/>
    <s v="CMR004001"/>
    <s v="Maroua I"/>
    <s v="CMR004001009"/>
    <s v="MA1-0002"/>
    <s v="DOMAYO MBONTA"/>
    <m/>
    <x v="1"/>
    <n v="10.5970985"/>
    <n v="14.335480199999999"/>
    <x v="0"/>
    <b v="1"/>
    <b v="0"/>
    <b v="0"/>
    <m/>
    <n v="3"/>
    <s v="Accessible"/>
    <m/>
    <s v="Le village accueille une population"/>
    <s v="Le village est intact (construit)"/>
    <m/>
    <m/>
    <s v="Oui"/>
    <s v="Familles d'accueil"/>
    <s v="Non, pas du tout"/>
    <s v="Non"/>
    <m/>
    <n v="2"/>
    <n v="500"/>
    <s v="Oui"/>
    <s v="Premier déplacement"/>
    <n v="2"/>
    <n v="11"/>
    <n v="5"/>
    <n v="6"/>
    <n v="0"/>
    <n v="2"/>
    <n v="0"/>
    <n v="0"/>
    <m/>
    <m/>
    <n v="0"/>
    <n v="0"/>
    <m/>
    <m/>
    <n v="0"/>
    <s v="Ras"/>
    <s v="Non"/>
    <m/>
    <m/>
    <m/>
    <m/>
    <m/>
    <m/>
    <m/>
    <m/>
    <m/>
    <m/>
    <m/>
    <m/>
    <m/>
    <m/>
    <m/>
    <s v="Non"/>
    <m/>
    <m/>
    <m/>
    <m/>
    <m/>
    <m/>
    <m/>
    <m/>
    <m/>
    <m/>
    <m/>
    <m/>
    <m/>
    <m/>
    <m/>
    <m/>
    <m/>
    <m/>
    <m/>
    <m/>
    <n v="0"/>
    <m/>
    <m/>
    <m/>
    <m/>
    <m/>
    <m/>
    <m/>
    <m/>
    <m/>
    <m/>
    <m/>
    <m/>
    <m/>
    <s v="1"/>
    <s v="0"/>
    <s v="0"/>
    <n v="1"/>
  </r>
  <r>
    <n v="2608198"/>
    <s v="Extrême-Nord"/>
    <s v="CMR004"/>
    <x v="0"/>
    <s v="CMR004001"/>
    <s v="Maroua I"/>
    <s v="CMR004001009"/>
    <s v="MA1-0003"/>
    <s v="DOMAYO PATCHIGUINARI"/>
    <m/>
    <x v="0"/>
    <n v="10.596422499999999"/>
    <n v="14.3335004"/>
    <x v="0"/>
    <b v="1"/>
    <b v="0"/>
    <b v="1"/>
    <m/>
    <n v="3"/>
    <s v="Accessible"/>
    <m/>
    <s v="Le village accueille une population"/>
    <s v="Le village est intact (construit)"/>
    <m/>
    <m/>
    <s v="Oui"/>
    <s v="Familles d'accueil"/>
    <s v="Non, pas du tout"/>
    <s v="Non"/>
    <m/>
    <n v="31"/>
    <n v="3010"/>
    <s v="Oui"/>
    <s v="Premier déplacement"/>
    <n v="31"/>
    <n v="166"/>
    <n v="76"/>
    <n v="90"/>
    <n v="0"/>
    <n v="0"/>
    <n v="0"/>
    <n v="31"/>
    <s v="Chez une famille d'accueil (contre loyer)"/>
    <m/>
    <n v="0"/>
    <n v="0"/>
    <m/>
    <m/>
    <n v="0"/>
    <s v="Il n'y a pas de changement  en ce qui concerne le déplacement  des PDIs "/>
    <s v="Non"/>
    <m/>
    <m/>
    <m/>
    <m/>
    <m/>
    <m/>
    <m/>
    <m/>
    <m/>
    <m/>
    <m/>
    <m/>
    <m/>
    <m/>
    <m/>
    <s v="Non"/>
    <m/>
    <m/>
    <m/>
    <m/>
    <m/>
    <m/>
    <m/>
    <m/>
    <m/>
    <m/>
    <m/>
    <m/>
    <m/>
    <m/>
    <m/>
    <m/>
    <m/>
    <m/>
    <m/>
    <m/>
    <n v="0"/>
    <m/>
    <m/>
    <m/>
    <m/>
    <m/>
    <m/>
    <m/>
    <m/>
    <m/>
    <m/>
    <m/>
    <m/>
    <m/>
    <s v="1"/>
    <s v="0"/>
    <s v="0"/>
    <n v="1"/>
  </r>
  <r>
    <n v="2617096"/>
    <s v="Extrême-Nord"/>
    <s v="CMR004"/>
    <x v="0"/>
    <s v="CMR004001"/>
    <s v="Maroua I"/>
    <s v="CMR004001009"/>
    <s v="MA1-0007"/>
    <s v="SITE DE DOMAYO COMPLEXE  (CAMP)"/>
    <m/>
    <x v="0"/>
    <n v="10.598816899999999"/>
    <n v="14.326483"/>
    <x v="1"/>
    <b v="0"/>
    <b v="1"/>
    <b v="1"/>
    <n v="6"/>
    <m/>
    <s v="Accessible"/>
    <m/>
    <s v="Le village accueille une population"/>
    <s v="Le village est intact (construit)"/>
    <m/>
    <m/>
    <s v="Oui"/>
    <s v="Sites de déplacement spontanés"/>
    <s v="Non, pas du tout"/>
    <m/>
    <m/>
    <n v="102"/>
    <n v="708"/>
    <s v="Oui"/>
    <s v="Premier déplacement"/>
    <n v="102"/>
    <n v="708"/>
    <n v="236"/>
    <n v="472"/>
    <n v="0"/>
    <n v="0"/>
    <n v="0"/>
    <n v="0"/>
    <m/>
    <m/>
    <n v="102"/>
    <n v="0"/>
    <m/>
    <m/>
    <n v="0"/>
    <s v="Départ  de 12 ménages  pour  72 individus  sont partis  à Aldjani et dans leur village de Provence"/>
    <s v="Non"/>
    <m/>
    <m/>
    <m/>
    <m/>
    <m/>
    <m/>
    <m/>
    <m/>
    <m/>
    <m/>
    <m/>
    <m/>
    <m/>
    <m/>
    <m/>
    <s v="Non"/>
    <m/>
    <m/>
    <m/>
    <m/>
    <m/>
    <m/>
    <m/>
    <m/>
    <m/>
    <m/>
    <m/>
    <m/>
    <m/>
    <m/>
    <m/>
    <m/>
    <m/>
    <m/>
    <m/>
    <m/>
    <n v="0"/>
    <m/>
    <m/>
    <m/>
    <m/>
    <m/>
    <m/>
    <m/>
    <m/>
    <m/>
    <m/>
    <m/>
    <m/>
    <m/>
    <s v="1"/>
    <s v="0"/>
    <s v="0"/>
    <n v="1"/>
  </r>
  <r>
    <n v="2679445"/>
    <s v="Extrême-Nord"/>
    <s v="CMR004"/>
    <x v="0"/>
    <s v="CMR004001"/>
    <s v="Maroua I"/>
    <s v="CMR004001009"/>
    <s v="MA1-0006"/>
    <s v="WOURO DOLE"/>
    <m/>
    <x v="1"/>
    <n v="10.596374600000001"/>
    <n v="14.3417341"/>
    <x v="0"/>
    <b v="1"/>
    <b v="0"/>
    <b v="1"/>
    <m/>
    <n v="3"/>
    <s v="Accessible"/>
    <m/>
    <s v="Le village accueille une population"/>
    <s v="Le village est intact (construit)"/>
    <m/>
    <m/>
    <s v="Oui"/>
    <s v="Familles d'accueil"/>
    <s v="Non, pas du tout"/>
    <s v="Non"/>
    <m/>
    <n v="3"/>
    <n v="1500"/>
    <s v="Oui"/>
    <s v="Premier déplacement"/>
    <n v="3"/>
    <n v="11"/>
    <n v="4"/>
    <n v="7"/>
    <n v="0"/>
    <n v="3"/>
    <n v="0"/>
    <n v="0"/>
    <m/>
    <m/>
    <n v="0"/>
    <n v="0"/>
    <m/>
    <m/>
    <n v="0"/>
    <s v="Il y'a eu diminution de  3 ménages et 9 individus retournés en zone de provenance  (logone et chari )dans les 6 dernier mois "/>
    <s v="Non"/>
    <m/>
    <m/>
    <m/>
    <m/>
    <m/>
    <m/>
    <m/>
    <m/>
    <m/>
    <m/>
    <m/>
    <m/>
    <m/>
    <m/>
    <m/>
    <s v="Non"/>
    <m/>
    <m/>
    <m/>
    <m/>
    <m/>
    <m/>
    <m/>
    <m/>
    <m/>
    <m/>
    <m/>
    <m/>
    <m/>
    <m/>
    <m/>
    <m/>
    <m/>
    <m/>
    <m/>
    <m/>
    <n v="0"/>
    <m/>
    <m/>
    <m/>
    <m/>
    <m/>
    <m/>
    <m/>
    <m/>
    <m/>
    <m/>
    <m/>
    <m/>
    <m/>
    <s v="1"/>
    <s v="0"/>
    <s v="0"/>
    <n v="1"/>
  </r>
  <r>
    <n v="2543966"/>
    <s v="Extrême-Nord"/>
    <s v="CMR004"/>
    <x v="0"/>
    <s v="CMR004001"/>
    <s v="Maroua I"/>
    <s v="CMR004001009"/>
    <s v="MA1-0004"/>
    <s v="ZOURMBAIWO 2"/>
    <m/>
    <x v="0"/>
    <n v="10.5935606"/>
    <n v="14.329261199999999"/>
    <x v="0"/>
    <b v="1"/>
    <b v="0"/>
    <b v="1"/>
    <m/>
    <n v="3"/>
    <s v="Accessible"/>
    <m/>
    <s v="Le village accueille une population"/>
    <s v="Le village est intact (construit)"/>
    <m/>
    <m/>
    <s v="Oui"/>
    <s v="Familles d'accueil"/>
    <s v="Non, pas du tout"/>
    <s v="Non"/>
    <m/>
    <n v="2"/>
    <n v="3000"/>
    <s v="Oui"/>
    <s v="Deuxième déplacement"/>
    <n v="2"/>
    <n v="12"/>
    <n v="5"/>
    <n v="7"/>
    <n v="0"/>
    <n v="0"/>
    <n v="0"/>
    <n v="2"/>
    <s v="Logement indépendant (Maison indépendante)"/>
    <m/>
    <n v="0"/>
    <n v="0"/>
    <m/>
    <m/>
    <n v="0"/>
    <s v="Il y'a  2 ménages de 12 individus  , pas d'assistance  ,pas  de changement "/>
    <s v="Non"/>
    <m/>
    <m/>
    <m/>
    <m/>
    <m/>
    <m/>
    <m/>
    <m/>
    <m/>
    <m/>
    <m/>
    <m/>
    <m/>
    <m/>
    <m/>
    <s v="Non"/>
    <m/>
    <m/>
    <m/>
    <m/>
    <m/>
    <m/>
    <m/>
    <m/>
    <m/>
    <m/>
    <m/>
    <m/>
    <m/>
    <m/>
    <m/>
    <m/>
    <m/>
    <m/>
    <m/>
    <m/>
    <n v="0"/>
    <m/>
    <m/>
    <m/>
    <m/>
    <m/>
    <m/>
    <m/>
    <m/>
    <m/>
    <m/>
    <m/>
    <m/>
    <m/>
    <s v="1"/>
    <s v="0"/>
    <s v="0"/>
    <n v="1"/>
  </r>
  <r>
    <n v="2548496"/>
    <s v="Extrême-Nord"/>
    <s v="CMR004"/>
    <x v="0"/>
    <s v="CMR004001"/>
    <s v="Maroua II"/>
    <s v="CMR004001002"/>
    <s v="MA2-0003"/>
    <s v="CEKANDE"/>
    <m/>
    <x v="0"/>
    <n v="10.6384243"/>
    <n v="14.303025"/>
    <x v="0"/>
    <b v="1"/>
    <b v="0"/>
    <b v="1"/>
    <m/>
    <n v="4"/>
    <s v="Accessible"/>
    <m/>
    <s v="Le village accueille une population"/>
    <s v="Le village est intact (construit)"/>
    <m/>
    <m/>
    <s v="Oui"/>
    <s v="Familles d'accueil"/>
    <s v="Non, pas du tout"/>
    <s v="Non"/>
    <m/>
    <n v="12"/>
    <n v="595"/>
    <s v="Oui"/>
    <s v="Premier déplacement"/>
    <n v="12"/>
    <n v="58"/>
    <n v="20"/>
    <n v="38"/>
    <n v="0"/>
    <n v="12"/>
    <n v="0"/>
    <n v="0"/>
    <m/>
    <m/>
    <n v="0"/>
    <n v="0"/>
    <m/>
    <m/>
    <n v="0"/>
    <s v="Ils sont  tous  logé par le chef  du  du village"/>
    <s v="Non"/>
    <m/>
    <m/>
    <m/>
    <m/>
    <m/>
    <m/>
    <m/>
    <m/>
    <m/>
    <m/>
    <m/>
    <m/>
    <m/>
    <m/>
    <m/>
    <s v="Non"/>
    <m/>
    <m/>
    <m/>
    <m/>
    <m/>
    <m/>
    <m/>
    <m/>
    <m/>
    <m/>
    <m/>
    <m/>
    <m/>
    <m/>
    <m/>
    <m/>
    <m/>
    <m/>
    <m/>
    <m/>
    <n v="0"/>
    <m/>
    <m/>
    <m/>
    <m/>
    <m/>
    <m/>
    <m/>
    <m/>
    <m/>
    <m/>
    <m/>
    <m/>
    <m/>
    <s v="1"/>
    <s v="0"/>
    <s v="0"/>
    <n v="1"/>
  </r>
  <r>
    <n v="2559313"/>
    <s v="Extrême-Nord"/>
    <s v="CMR004"/>
    <x v="0"/>
    <s v="CMR004001"/>
    <s v="Maroua II"/>
    <s v="CMR004001002"/>
    <s v="MA2-0001"/>
    <s v="DOUALARE 1"/>
    <m/>
    <x v="0"/>
    <n v="10.629131599999999"/>
    <n v="14.3303449"/>
    <x v="0"/>
    <b v="1"/>
    <b v="0"/>
    <b v="1"/>
    <m/>
    <n v="3"/>
    <s v="Accessible"/>
    <m/>
    <s v="Le village accueille une population"/>
    <s v="Le village est intact (construit)"/>
    <m/>
    <m/>
    <s v="Oui"/>
    <s v="Familles d'accueil"/>
    <s v="Location"/>
    <s v="Non"/>
    <m/>
    <n v="44"/>
    <n v="2074"/>
    <s v="Oui"/>
    <s v="Premier déplacement"/>
    <n v="44"/>
    <n v="374"/>
    <n v="174"/>
    <n v="200"/>
    <n v="0"/>
    <n v="0"/>
    <n v="0"/>
    <n v="44"/>
    <s v="Chez une famille d'accueil (contre loyer)"/>
    <m/>
    <n v="0"/>
    <n v="0"/>
    <m/>
    <m/>
    <n v="0"/>
    <s v="Diminution de 2 ménages et 10 individus partis pour doursoungo  depuis 4 mois pour joindre certains membres de famille. Ajoutez de naissances sexes feminins"/>
    <s v="Non"/>
    <m/>
    <m/>
    <m/>
    <m/>
    <m/>
    <m/>
    <m/>
    <m/>
    <m/>
    <m/>
    <m/>
    <m/>
    <m/>
    <m/>
    <m/>
    <s v="Non"/>
    <m/>
    <m/>
    <m/>
    <m/>
    <m/>
    <m/>
    <m/>
    <m/>
    <m/>
    <m/>
    <m/>
    <m/>
    <m/>
    <m/>
    <m/>
    <m/>
    <m/>
    <m/>
    <m/>
    <m/>
    <n v="0"/>
    <m/>
    <m/>
    <m/>
    <m/>
    <m/>
    <m/>
    <m/>
    <m/>
    <m/>
    <m/>
    <m/>
    <m/>
    <m/>
    <s v="1"/>
    <s v="0"/>
    <s v="0"/>
    <n v="1"/>
  </r>
  <r>
    <n v="2559338"/>
    <s v="Extrême-Nord"/>
    <s v="CMR004"/>
    <x v="0"/>
    <s v="CMR004001"/>
    <s v="Maroua II"/>
    <s v="CMR004001002"/>
    <s v="MA2-0002"/>
    <s v="DOUALARE 2"/>
    <m/>
    <x v="0"/>
    <n v="10.613902299999999"/>
    <n v="14.322095900000001"/>
    <x v="0"/>
    <b v="1"/>
    <b v="0"/>
    <b v="1"/>
    <m/>
    <n v="3"/>
    <s v="Accessible"/>
    <m/>
    <s v="Le village accueille une population"/>
    <s v="Le village est intact (construit)"/>
    <m/>
    <m/>
    <s v="Oui"/>
    <s v="Familles d'accueil"/>
    <s v="Location"/>
    <s v="Non"/>
    <m/>
    <n v="119"/>
    <n v="2104"/>
    <s v="Oui"/>
    <s v="Premier déplacement"/>
    <n v="119"/>
    <n v="831"/>
    <n v="331"/>
    <n v="500"/>
    <n v="0"/>
    <n v="0"/>
    <n v="0"/>
    <n v="119"/>
    <s v="Logement indépendant (Maison indépendante)"/>
    <m/>
    <n v="0"/>
    <n v="0"/>
    <m/>
    <m/>
    <n v="0"/>
    <s v="Diminution de 10 ménages 75 individus , partis pour guirvidig et maga depuis novembre pour rejoindre leur ancien domicile"/>
    <s v="Non"/>
    <m/>
    <m/>
    <m/>
    <m/>
    <m/>
    <m/>
    <m/>
    <m/>
    <m/>
    <m/>
    <m/>
    <m/>
    <m/>
    <m/>
    <m/>
    <s v="Non"/>
    <m/>
    <m/>
    <m/>
    <m/>
    <m/>
    <m/>
    <m/>
    <m/>
    <m/>
    <m/>
    <m/>
    <m/>
    <m/>
    <m/>
    <m/>
    <m/>
    <m/>
    <m/>
    <m/>
    <m/>
    <n v="0"/>
    <m/>
    <m/>
    <m/>
    <m/>
    <m/>
    <m/>
    <m/>
    <m/>
    <m/>
    <m/>
    <m/>
    <m/>
    <m/>
    <s v="1"/>
    <s v="0"/>
    <s v="0"/>
    <n v="1"/>
  </r>
  <r>
    <n v="2550054"/>
    <s v="Extrême-Nord"/>
    <s v="CMR004"/>
    <x v="0"/>
    <s v="CMR004001"/>
    <s v="Maroua II"/>
    <s v="CMR004001002"/>
    <s v="MA2-0006"/>
    <s v="DOUALARE FASAO"/>
    <m/>
    <x v="1"/>
    <n v="10.624539499999999"/>
    <n v="14.324343499999999"/>
    <x v="0"/>
    <b v="1"/>
    <b v="0"/>
    <b v="0"/>
    <m/>
    <n v="3"/>
    <s v="Accessible"/>
    <m/>
    <s v="Le village accueille une population"/>
    <s v="Le village est intact (construit)"/>
    <m/>
    <m/>
    <s v="Oui"/>
    <s v="Familles d'accueil"/>
    <s v="Location"/>
    <s v="Non"/>
    <m/>
    <n v="20"/>
    <n v="2500"/>
    <s v="Oui"/>
    <s v="Deuxième déplacement"/>
    <n v="20"/>
    <n v="252"/>
    <n v="140"/>
    <n v="112"/>
    <n v="0"/>
    <n v="0"/>
    <n v="0"/>
    <n v="20"/>
    <s v="Logement indépendant (Maison indépendante)"/>
    <m/>
    <n v="0"/>
    <n v="0"/>
    <m/>
    <m/>
    <n v="0"/>
    <s v="Ras"/>
    <s v="Non"/>
    <m/>
    <m/>
    <m/>
    <m/>
    <m/>
    <m/>
    <m/>
    <m/>
    <m/>
    <m/>
    <m/>
    <m/>
    <m/>
    <m/>
    <m/>
    <s v="Non"/>
    <m/>
    <m/>
    <m/>
    <m/>
    <m/>
    <m/>
    <m/>
    <m/>
    <m/>
    <m/>
    <m/>
    <m/>
    <m/>
    <m/>
    <m/>
    <m/>
    <m/>
    <m/>
    <m/>
    <m/>
    <n v="0"/>
    <m/>
    <m/>
    <m/>
    <m/>
    <m/>
    <m/>
    <m/>
    <m/>
    <m/>
    <m/>
    <m/>
    <m/>
    <m/>
    <s v="1"/>
    <s v="0"/>
    <s v="0"/>
    <n v="1"/>
  </r>
  <r>
    <n v="2597959"/>
    <s v="Extrême-Nord"/>
    <s v="CMR004"/>
    <x v="0"/>
    <s v="CMR004001"/>
    <s v="Maroua II"/>
    <s v="CMR004001002"/>
    <s v="MA2-0004"/>
    <s v="GADAMAHOL 4"/>
    <m/>
    <x v="1"/>
    <n v="10.602558399999999"/>
    <n v="14.333235"/>
    <x v="0"/>
    <b v="1"/>
    <b v="0"/>
    <b v="0"/>
    <m/>
    <n v="3"/>
    <s v="Accessible"/>
    <m/>
    <s v="Le village accueille une population"/>
    <s v="Le village est intact (construit)"/>
    <m/>
    <m/>
    <s v="Oui"/>
    <s v="Familles d'accueil"/>
    <s v="Location"/>
    <s v="Non"/>
    <m/>
    <n v="12"/>
    <n v="4960"/>
    <s v="Oui"/>
    <s v="Deuxième déplacement"/>
    <n v="12"/>
    <n v="203"/>
    <n v="103"/>
    <n v="100"/>
    <n v="0"/>
    <n v="0"/>
    <n v="0"/>
    <n v="12"/>
    <s v="Logement indépendant (Maison indépendante)"/>
    <m/>
    <n v="0"/>
    <n v="0"/>
    <m/>
    <m/>
    <n v="0"/>
    <s v="Ras"/>
    <s v="Non"/>
    <m/>
    <m/>
    <m/>
    <m/>
    <m/>
    <m/>
    <m/>
    <m/>
    <m/>
    <m/>
    <m/>
    <m/>
    <m/>
    <m/>
    <m/>
    <s v="Non"/>
    <m/>
    <m/>
    <m/>
    <m/>
    <m/>
    <m/>
    <m/>
    <m/>
    <m/>
    <m/>
    <m/>
    <m/>
    <m/>
    <m/>
    <m/>
    <m/>
    <m/>
    <m/>
    <m/>
    <m/>
    <n v="0"/>
    <m/>
    <m/>
    <m/>
    <m/>
    <m/>
    <m/>
    <m/>
    <m/>
    <m/>
    <m/>
    <m/>
    <m/>
    <m/>
    <s v="1"/>
    <s v="0"/>
    <s v="0"/>
    <n v="1"/>
  </r>
  <r>
    <n v="2629754"/>
    <s v="Extrême-Nord"/>
    <s v="CMR004"/>
    <x v="0"/>
    <s v="CMR004001"/>
    <s v="Maroua II"/>
    <s v="CMR004001002"/>
    <s v="MA2-0007"/>
    <s v="MISSINGLEO"/>
    <m/>
    <x v="0"/>
    <n v="10.617373600000001"/>
    <n v="14.3061632"/>
    <x v="0"/>
    <b v="1"/>
    <b v="0"/>
    <b v="1"/>
    <m/>
    <n v="3"/>
    <s v="Accessible"/>
    <m/>
    <s v="Le village accueille une population"/>
    <s v="Le village est intact (construit)"/>
    <m/>
    <m/>
    <s v="Oui"/>
    <s v="Familles d'accueil"/>
    <s v="Location"/>
    <s v="Non"/>
    <m/>
    <n v="21"/>
    <n v="5636"/>
    <s v="Oui"/>
    <s v="Premier déplacement"/>
    <n v="21"/>
    <n v="136"/>
    <n v="51"/>
    <n v="85"/>
    <n v="0"/>
    <n v="5"/>
    <n v="0"/>
    <n v="16"/>
    <s v="Logement indépendant (Maison indépendante)"/>
    <m/>
    <n v="0"/>
    <n v="0"/>
    <m/>
    <m/>
    <n v="0"/>
    <s v="Constant "/>
    <s v="Non"/>
    <m/>
    <m/>
    <m/>
    <m/>
    <m/>
    <m/>
    <m/>
    <m/>
    <m/>
    <m/>
    <m/>
    <m/>
    <m/>
    <m/>
    <m/>
    <s v="Non"/>
    <m/>
    <m/>
    <m/>
    <m/>
    <m/>
    <m/>
    <m/>
    <m/>
    <m/>
    <m/>
    <m/>
    <m/>
    <m/>
    <m/>
    <m/>
    <m/>
    <m/>
    <m/>
    <m/>
    <m/>
    <n v="0"/>
    <m/>
    <m/>
    <m/>
    <m/>
    <m/>
    <m/>
    <m/>
    <m/>
    <m/>
    <m/>
    <m/>
    <m/>
    <m/>
    <s v="1"/>
    <s v="0"/>
    <s v="0"/>
    <n v="1"/>
  </r>
  <r>
    <n v="2548495"/>
    <s v="Extrême-Nord"/>
    <s v="CMR004"/>
    <x v="0"/>
    <s v="CMR004001"/>
    <s v="Maroua II"/>
    <s v="CMR004001002"/>
    <s v="MA2-0005"/>
    <s v="WOURNDÉ 4"/>
    <m/>
    <x v="1"/>
    <n v="10.635570899999999"/>
    <n v="14.321247899999999"/>
    <x v="0"/>
    <b v="1"/>
    <b v="0"/>
    <b v="1"/>
    <m/>
    <n v="4"/>
    <s v="Accessible"/>
    <m/>
    <s v="Le village accueille une population"/>
    <s v="Le village est intact (construit)"/>
    <m/>
    <m/>
    <s v="Oui"/>
    <s v="Familles d'accueil"/>
    <s v="Non, pas du tout"/>
    <s v="Non"/>
    <m/>
    <n v="25"/>
    <n v="1500"/>
    <s v="Oui"/>
    <s v="Premier déplacement"/>
    <n v="25"/>
    <n v="134"/>
    <n v="53"/>
    <n v="81"/>
    <n v="0"/>
    <n v="0"/>
    <n v="0"/>
    <n v="25"/>
    <s v="Chez une famille d'accueil (contre loyer)"/>
    <m/>
    <n v="0"/>
    <n v="0"/>
    <m/>
    <m/>
    <n v="0"/>
    <s v="Le numéro de  ménages  de PDI est constant  avec  quelques  naissance  au sein  des familles"/>
    <s v="Non"/>
    <m/>
    <m/>
    <m/>
    <m/>
    <m/>
    <m/>
    <m/>
    <m/>
    <m/>
    <m/>
    <m/>
    <m/>
    <m/>
    <m/>
    <m/>
    <s v="Non"/>
    <m/>
    <m/>
    <m/>
    <m/>
    <m/>
    <m/>
    <m/>
    <m/>
    <m/>
    <m/>
    <m/>
    <m/>
    <m/>
    <m/>
    <m/>
    <m/>
    <m/>
    <m/>
    <m/>
    <m/>
    <n v="0"/>
    <m/>
    <m/>
    <m/>
    <m/>
    <m/>
    <m/>
    <m/>
    <m/>
    <m/>
    <m/>
    <m/>
    <m/>
    <m/>
    <s v="1"/>
    <s v="0"/>
    <s v="0"/>
    <n v="1"/>
  </r>
  <r>
    <n v="2616258"/>
    <s v="Extrême-Nord"/>
    <s v="CMR004"/>
    <x v="0"/>
    <s v="CMR004001"/>
    <s v="Maroua III"/>
    <s v="CMR004001001"/>
    <s v="MA3-0001"/>
    <s v="DOUGOI"/>
    <m/>
    <x v="0"/>
    <n v="10.6058144"/>
    <n v="14.349426299999999"/>
    <x v="0"/>
    <b v="1"/>
    <b v="0"/>
    <b v="0"/>
    <m/>
    <n v="3"/>
    <s v="Accessible"/>
    <m/>
    <s v="Le village accueille une population"/>
    <s v="Le village est intact (construit)"/>
    <m/>
    <m/>
    <s v="Oui"/>
    <s v="Familles d'accueil"/>
    <s v="Non, pas du tout"/>
    <s v="Non"/>
    <m/>
    <n v="75"/>
    <n v="33856"/>
    <s v="Oui"/>
    <s v="Deuxième déplacement"/>
    <n v="75"/>
    <n v="440"/>
    <n v="200"/>
    <n v="240"/>
    <n v="0"/>
    <n v="0"/>
    <n v="0"/>
    <n v="75"/>
    <s v="Chez une famille d'accueil (contre loyer)"/>
    <m/>
    <n v="0"/>
    <n v="0"/>
    <m/>
    <m/>
    <n v="0"/>
    <s v="Pas de changement"/>
    <s v="Non"/>
    <m/>
    <m/>
    <m/>
    <m/>
    <m/>
    <m/>
    <m/>
    <m/>
    <m/>
    <m/>
    <m/>
    <m/>
    <m/>
    <m/>
    <m/>
    <s v="Non"/>
    <m/>
    <m/>
    <m/>
    <m/>
    <m/>
    <m/>
    <m/>
    <m/>
    <m/>
    <m/>
    <m/>
    <m/>
    <m/>
    <m/>
    <m/>
    <m/>
    <m/>
    <m/>
    <m/>
    <m/>
    <n v="0"/>
    <m/>
    <m/>
    <m/>
    <m/>
    <m/>
    <m/>
    <m/>
    <m/>
    <m/>
    <m/>
    <m/>
    <m/>
    <m/>
    <s v="1"/>
    <s v="0"/>
    <s v="0"/>
    <n v="1"/>
  </r>
  <r>
    <n v="2629751"/>
    <s v="Extrême-Nord"/>
    <s v="CMR004"/>
    <x v="0"/>
    <s v="CMR004001"/>
    <s v="Maroua III"/>
    <s v="CMR004001001"/>
    <s v="MA3-0002"/>
    <s v="DOURSOUNGO"/>
    <m/>
    <x v="0"/>
    <n v="10.6002654"/>
    <n v="14.3560613"/>
    <x v="0"/>
    <b v="1"/>
    <b v="0"/>
    <b v="1"/>
    <m/>
    <n v="3"/>
    <s v="Accessible"/>
    <m/>
    <s v="Le village accueille une population"/>
    <s v="Le village est intact (construit)"/>
    <m/>
    <m/>
    <s v="Oui"/>
    <s v="Familles d'accueil"/>
    <s v="Non, pas du tout"/>
    <s v="Non"/>
    <m/>
    <n v="111"/>
    <n v="13540"/>
    <s v="Oui"/>
    <s v="Premier déplacement"/>
    <n v="111"/>
    <n v="580"/>
    <n v="254"/>
    <n v="326"/>
    <n v="1"/>
    <n v="0"/>
    <n v="0"/>
    <n v="110"/>
    <s v="Logement indépendant (Maison indépendante)"/>
    <m/>
    <n v="0"/>
    <n v="0"/>
    <m/>
    <m/>
    <n v="0"/>
    <s v="10 ménages de 75 individus sont partis à  banki Cameroun depuis décembre pour rejoindre leurs ancienne localité à  au-dessus de la cherete de vie à maroua.  Ajout de 2 ménage  de 10 individus venant de doualare 1  depuis décembre 2022 pour rejoindre leurs parentés. "/>
    <s v="Non"/>
    <m/>
    <m/>
    <m/>
    <m/>
    <m/>
    <m/>
    <m/>
    <m/>
    <m/>
    <m/>
    <m/>
    <m/>
    <m/>
    <m/>
    <m/>
    <s v="Non"/>
    <m/>
    <m/>
    <m/>
    <m/>
    <m/>
    <m/>
    <m/>
    <m/>
    <m/>
    <m/>
    <m/>
    <m/>
    <m/>
    <m/>
    <m/>
    <m/>
    <m/>
    <m/>
    <m/>
    <m/>
    <n v="0"/>
    <m/>
    <m/>
    <m/>
    <m/>
    <m/>
    <m/>
    <m/>
    <m/>
    <m/>
    <m/>
    <m/>
    <m/>
    <m/>
    <s v="1"/>
    <s v="0"/>
    <s v="0"/>
    <n v="1"/>
  </r>
  <r>
    <n v="2559341"/>
    <s v="Extrême-Nord"/>
    <s v="CMR004"/>
    <x v="0"/>
    <s v="CMR004001"/>
    <s v="Maroua III"/>
    <s v="CMR004001001"/>
    <s v="MA3-0005"/>
    <s v="KONGOLA DJIDDEO"/>
    <m/>
    <x v="1"/>
    <n v="10.617149299999999"/>
    <n v="14.370966299999999"/>
    <x v="0"/>
    <b v="1"/>
    <b v="0"/>
    <b v="1"/>
    <m/>
    <n v="3"/>
    <s v="Accessible"/>
    <m/>
    <s v="Le village accueille une population"/>
    <s v="Le village est intact (construit)"/>
    <m/>
    <m/>
    <s v="Oui"/>
    <s v="Familles d'accueil"/>
    <s v="Non, pas du tout"/>
    <s v="Non"/>
    <m/>
    <n v="6"/>
    <n v="1500"/>
    <s v="Oui"/>
    <s v="Premier déplacement"/>
    <n v="6"/>
    <n v="52"/>
    <n v="30"/>
    <n v="22"/>
    <n v="0"/>
    <n v="0"/>
    <n v="0"/>
    <n v="6"/>
    <s v="Logement indépendant (Maison indépendante)"/>
    <m/>
    <n v="0"/>
    <n v="0"/>
    <m/>
    <m/>
    <n v="0"/>
    <s v="Nombre de ménages constant, ajout d'un nouveau né du sexe masculin."/>
    <s v="Non"/>
    <m/>
    <m/>
    <m/>
    <m/>
    <m/>
    <m/>
    <m/>
    <m/>
    <m/>
    <m/>
    <m/>
    <m/>
    <m/>
    <m/>
    <m/>
    <s v="Non"/>
    <m/>
    <m/>
    <m/>
    <m/>
    <m/>
    <m/>
    <m/>
    <m/>
    <m/>
    <m/>
    <m/>
    <m/>
    <m/>
    <m/>
    <m/>
    <m/>
    <m/>
    <m/>
    <m/>
    <m/>
    <n v="0"/>
    <m/>
    <m/>
    <m/>
    <m/>
    <m/>
    <m/>
    <m/>
    <m/>
    <m/>
    <m/>
    <m/>
    <m/>
    <m/>
    <s v="1"/>
    <s v="0"/>
    <s v="0"/>
    <n v="1"/>
  </r>
  <r>
    <n v="2559669"/>
    <s v="Extrême-Nord"/>
    <s v="CMR004"/>
    <x v="0"/>
    <s v="CMR004001"/>
    <s v="Maroua III"/>
    <s v="CMR004001001"/>
    <s v="MA3-0006"/>
    <s v="KONGOLA TCHASDEO"/>
    <m/>
    <x v="0"/>
    <n v="10.6049816"/>
    <n v="14.367603000000001"/>
    <x v="0"/>
    <b v="0"/>
    <b v="1"/>
    <b v="0"/>
    <n v="7"/>
    <m/>
    <s v="Accessible"/>
    <m/>
    <s v="Le village accueille une population"/>
    <s v="Le village est intact (construit)"/>
    <m/>
    <m/>
    <s v="Oui"/>
    <s v="Familles d'accueil"/>
    <s v="Non, pas du tout"/>
    <s v="Non"/>
    <m/>
    <n v="20"/>
    <n v="7000"/>
    <s v="Oui"/>
    <s v="Premier déplacement"/>
    <n v="20"/>
    <n v="220"/>
    <n v="93"/>
    <n v="127"/>
    <n v="0"/>
    <n v="0"/>
    <n v="0"/>
    <n v="20"/>
    <s v="Chez une famille d'accueil (contre loyer)"/>
    <m/>
    <n v="0"/>
    <n v="0"/>
    <m/>
    <m/>
    <n v="0"/>
    <s v="Il y'a eu une augmentation de 4 individus  due aux naissances dont  un garçon et trois filles. Les idps sont toujours présent  dans la localité  , et n'ont reçu  aucune assistance,  venant  des organismes. "/>
    <s v="Non"/>
    <m/>
    <m/>
    <m/>
    <m/>
    <m/>
    <m/>
    <m/>
    <m/>
    <m/>
    <m/>
    <m/>
    <m/>
    <m/>
    <m/>
    <m/>
    <s v="Non"/>
    <m/>
    <m/>
    <m/>
    <m/>
    <m/>
    <m/>
    <m/>
    <m/>
    <m/>
    <m/>
    <m/>
    <m/>
    <m/>
    <m/>
    <m/>
    <m/>
    <m/>
    <m/>
    <m/>
    <m/>
    <n v="0"/>
    <m/>
    <m/>
    <m/>
    <m/>
    <m/>
    <m/>
    <m/>
    <m/>
    <m/>
    <m/>
    <m/>
    <m/>
    <m/>
    <s v="1"/>
    <s v="0"/>
    <s v="0"/>
    <n v="1"/>
  </r>
  <r>
    <n v="2580037"/>
    <s v="Extrême-Nord"/>
    <s v="CMR004"/>
    <x v="0"/>
    <s v="CMR004001"/>
    <s v="Maroua III"/>
    <s v="CMR004001001"/>
    <s v="MA3-0003"/>
    <s v="LOUGEO"/>
    <m/>
    <x v="0"/>
    <n v="10.615528599999999"/>
    <n v="14.344343"/>
    <x v="0"/>
    <b v="1"/>
    <b v="0"/>
    <b v="1"/>
    <m/>
    <n v="4"/>
    <s v="Accessible"/>
    <m/>
    <s v="Le village accueille une population"/>
    <s v="Le village est intact (construit)"/>
    <m/>
    <m/>
    <s v="Oui"/>
    <s v="Familles d'accueil"/>
    <s v="Non, pas du tout"/>
    <s v="Non"/>
    <m/>
    <n v="184"/>
    <n v="30000"/>
    <s v="Oui"/>
    <s v="Premier déplacement"/>
    <n v="184"/>
    <n v="1078"/>
    <n v="478"/>
    <n v="600"/>
    <n v="1"/>
    <n v="4"/>
    <n v="0"/>
    <n v="179"/>
    <s v="Logement indépendant (Maison indépendante)"/>
    <m/>
    <n v="0"/>
    <n v="0"/>
    <m/>
    <m/>
    <n v="0"/>
    <s v="Il y'a augmentation de  1 ménage des 7 individus venant  de  Dargala  pour des raisons économiques,  meilleurs subsistances,  et 4 individus  dûs aux naissances"/>
    <s v="Non"/>
    <m/>
    <m/>
    <m/>
    <m/>
    <m/>
    <m/>
    <m/>
    <m/>
    <m/>
    <m/>
    <m/>
    <m/>
    <m/>
    <m/>
    <m/>
    <s v="Non"/>
    <m/>
    <m/>
    <m/>
    <m/>
    <m/>
    <m/>
    <m/>
    <m/>
    <m/>
    <m/>
    <m/>
    <m/>
    <m/>
    <m/>
    <m/>
    <m/>
    <m/>
    <m/>
    <m/>
    <m/>
    <n v="0"/>
    <m/>
    <m/>
    <m/>
    <m/>
    <m/>
    <m/>
    <m/>
    <m/>
    <m/>
    <m/>
    <m/>
    <m/>
    <m/>
    <s v="1"/>
    <s v="0"/>
    <s v="0"/>
    <n v="1"/>
  </r>
  <r>
    <n v="2678274"/>
    <s v="Extrême-Nord"/>
    <s v="CMR004"/>
    <x v="0"/>
    <s v="CMR004001"/>
    <s v="Maroua III"/>
    <s v="CMR004001001"/>
    <s v="MA3-0007"/>
    <s v="MAYELIBE"/>
    <m/>
    <x v="0"/>
    <n v="10.621837299999999"/>
    <n v="14.334129900000001"/>
    <x v="0"/>
    <b v="1"/>
    <b v="0"/>
    <b v="0"/>
    <m/>
    <n v="3"/>
    <s v="Accessible"/>
    <m/>
    <s v="Le village accueille une population"/>
    <s v="Le village est intact (construit)"/>
    <m/>
    <m/>
    <s v="Oui"/>
    <s v="Familles d'accueil"/>
    <s v="Non, pas du tout"/>
    <s v="Non"/>
    <m/>
    <n v="78"/>
    <n v="8000"/>
    <s v="Oui"/>
    <s v="Premier déplacement"/>
    <n v="78"/>
    <n v="687"/>
    <n v="275"/>
    <n v="412"/>
    <n v="0"/>
    <n v="18"/>
    <n v="0"/>
    <n v="60"/>
    <s v="Logement indépendant (Maison indépendante)"/>
    <m/>
    <n v="0"/>
    <n v="0"/>
    <m/>
    <m/>
    <n v="0"/>
    <s v="Plus de 19 ménages et 139 individus ont retournés dans leurs localités"/>
    <s v="Non"/>
    <m/>
    <m/>
    <m/>
    <m/>
    <m/>
    <m/>
    <m/>
    <m/>
    <m/>
    <m/>
    <m/>
    <m/>
    <m/>
    <m/>
    <m/>
    <s v="Non"/>
    <m/>
    <m/>
    <m/>
    <m/>
    <m/>
    <m/>
    <m/>
    <m/>
    <m/>
    <m/>
    <m/>
    <m/>
    <m/>
    <m/>
    <m/>
    <m/>
    <m/>
    <m/>
    <m/>
    <m/>
    <n v="0"/>
    <m/>
    <m/>
    <m/>
    <m/>
    <m/>
    <m/>
    <m/>
    <m/>
    <m/>
    <m/>
    <m/>
    <m/>
    <m/>
    <s v="1"/>
    <s v="0"/>
    <s v="0"/>
    <n v="1"/>
  </r>
  <r>
    <n v="2604761"/>
    <s v="Extrême-Nord"/>
    <s v="CMR004"/>
    <x v="0"/>
    <s v="CMR004001"/>
    <s v="Maroua III"/>
    <s v="CMR004001001"/>
    <s v="MA3-0004"/>
    <s v="SARRARE"/>
    <m/>
    <x v="0"/>
    <n v="10.612289799999999"/>
    <n v="14.341066100000001"/>
    <x v="0"/>
    <b v="1"/>
    <b v="0"/>
    <b v="1"/>
    <m/>
    <n v="3"/>
    <s v="Accessible"/>
    <m/>
    <s v="Le village accueille une population"/>
    <s v="Le village est intact (construit)"/>
    <m/>
    <m/>
    <s v="Oui"/>
    <s v="Familles d'accueil"/>
    <s v="Non, pas du tout"/>
    <s v="Non"/>
    <m/>
    <n v="9"/>
    <n v="1517"/>
    <s v="Oui"/>
    <s v="Premier déplacement"/>
    <n v="9"/>
    <n v="110"/>
    <n v="50"/>
    <n v="60"/>
    <n v="0"/>
    <n v="0"/>
    <n v="0"/>
    <n v="9"/>
    <s v="Logement indépendant (Maison indépendante)"/>
    <m/>
    <n v="0"/>
    <n v="0"/>
    <m/>
    <m/>
    <n v="0"/>
    <s v="Il y'a pas de mouvement , pas de changement "/>
    <s v="Non"/>
    <m/>
    <m/>
    <m/>
    <m/>
    <m/>
    <m/>
    <m/>
    <m/>
    <m/>
    <m/>
    <m/>
    <m/>
    <m/>
    <m/>
    <m/>
    <s v="Non"/>
    <m/>
    <m/>
    <m/>
    <m/>
    <m/>
    <m/>
    <m/>
    <m/>
    <m/>
    <m/>
    <m/>
    <m/>
    <m/>
    <m/>
    <m/>
    <m/>
    <m/>
    <m/>
    <m/>
    <m/>
    <n v="0"/>
    <m/>
    <m/>
    <m/>
    <m/>
    <m/>
    <m/>
    <m/>
    <m/>
    <m/>
    <m/>
    <m/>
    <m/>
    <m/>
    <s v="1"/>
    <s v="0"/>
    <s v="0"/>
    <n v="1"/>
  </r>
  <r>
    <n v="2629753"/>
    <s v="Extrême-Nord"/>
    <s v="CMR004"/>
    <x v="0"/>
    <s v="CMR004001"/>
    <s v="Méri"/>
    <s v="CMR004001007"/>
    <s v="MER-0002"/>
    <s v="DOGBA ALHADJI"/>
    <m/>
    <x v="1"/>
    <n v="10.7781745"/>
    <n v="14.2861791"/>
    <x v="0"/>
    <b v="1"/>
    <b v="0"/>
    <b v="1"/>
    <m/>
    <n v="3"/>
    <s v="Accessible"/>
    <m/>
    <s v="Le village accueille une population"/>
    <s v="Le village est intact (construit)"/>
    <m/>
    <m/>
    <s v="Oui"/>
    <s v="Familles d'accueil"/>
    <s v="Non, pas du tout"/>
    <s v="Non"/>
    <m/>
    <n v="3"/>
    <n v="1200"/>
    <s v="Oui"/>
    <s v="Premier déplacement"/>
    <n v="3"/>
    <n v="23"/>
    <n v="13"/>
    <n v="10"/>
    <n v="0"/>
    <n v="3"/>
    <n v="0"/>
    <n v="0"/>
    <m/>
    <m/>
    <n v="0"/>
    <n v="0"/>
    <m/>
    <m/>
    <n v="0"/>
    <s v="Constant "/>
    <s v="Non"/>
    <m/>
    <m/>
    <m/>
    <m/>
    <m/>
    <m/>
    <m/>
    <m/>
    <m/>
    <m/>
    <m/>
    <m/>
    <m/>
    <m/>
    <m/>
    <s v="Non"/>
    <m/>
    <m/>
    <m/>
    <m/>
    <m/>
    <m/>
    <m/>
    <m/>
    <m/>
    <m/>
    <m/>
    <m/>
    <m/>
    <m/>
    <m/>
    <m/>
    <m/>
    <m/>
    <m/>
    <m/>
    <n v="0"/>
    <m/>
    <m/>
    <m/>
    <m/>
    <m/>
    <m/>
    <m/>
    <m/>
    <m/>
    <m/>
    <m/>
    <m/>
    <m/>
    <s v="1"/>
    <s v="0"/>
    <s v="0"/>
    <n v="1"/>
  </r>
  <r>
    <n v="2629752"/>
    <s v="Extrême-Nord"/>
    <s v="CMR004"/>
    <x v="0"/>
    <s v="CMR004001"/>
    <s v="Méri"/>
    <s v="CMR004001007"/>
    <s v="MER-0003"/>
    <s v="DOGBA GARRE"/>
    <m/>
    <x v="0"/>
    <n v="10.7877192"/>
    <n v="14.2950932"/>
    <x v="0"/>
    <b v="1"/>
    <b v="0"/>
    <b v="1"/>
    <m/>
    <n v="3"/>
    <s v="Accessible"/>
    <m/>
    <s v="Le village accueille une population"/>
    <s v="Le village est intact (construit)"/>
    <m/>
    <m/>
    <s v="Oui"/>
    <s v="Familles d'accueil"/>
    <s v="Non, pas du tout"/>
    <s v="Non"/>
    <m/>
    <n v="8"/>
    <n v="6500"/>
    <s v="Oui"/>
    <s v="Premier déplacement"/>
    <n v="8"/>
    <n v="79"/>
    <n v="50"/>
    <n v="29"/>
    <n v="0"/>
    <n v="8"/>
    <n v="0"/>
    <n v="0"/>
    <m/>
    <m/>
    <n v="0"/>
    <n v="0"/>
    <m/>
    <m/>
    <n v="0"/>
    <s v="Constant "/>
    <s v="Non"/>
    <m/>
    <m/>
    <m/>
    <m/>
    <m/>
    <m/>
    <m/>
    <m/>
    <m/>
    <m/>
    <m/>
    <m/>
    <m/>
    <m/>
    <m/>
    <s v="Non"/>
    <m/>
    <m/>
    <m/>
    <m/>
    <m/>
    <m/>
    <m/>
    <m/>
    <m/>
    <m/>
    <m/>
    <m/>
    <m/>
    <m/>
    <m/>
    <m/>
    <m/>
    <m/>
    <m/>
    <m/>
    <n v="0"/>
    <m/>
    <m/>
    <m/>
    <m/>
    <m/>
    <m/>
    <m/>
    <m/>
    <m/>
    <m/>
    <m/>
    <m/>
    <m/>
    <s v="1"/>
    <s v="0"/>
    <s v="0"/>
    <n v="1"/>
  </r>
  <r>
    <n v="2673411"/>
    <s v="Extrême-Nord"/>
    <s v="CMR004"/>
    <x v="0"/>
    <s v="CMR004001"/>
    <s v="Méri"/>
    <s v="CMR004001007"/>
    <s v="MER-0001"/>
    <s v="MANGAFE"/>
    <m/>
    <x v="1"/>
    <n v="10.6063764"/>
    <n v="14.343622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17134"/>
    <s v="Extrême-Nord"/>
    <s v="CMR004"/>
    <x v="0"/>
    <s v="CMR004001"/>
    <s v="Petté"/>
    <s v="CMR004001003"/>
    <s v="XXXX"/>
    <s v="SITE DE OURO DANDJI "/>
    <s v="SITE DE OURO DANDJI "/>
    <x v="1"/>
    <n v="10.9596213"/>
    <n v="14.616879900000001"/>
    <x v="1"/>
    <b v="1"/>
    <b v="0"/>
    <b v="1"/>
    <m/>
    <n v="3"/>
    <s v="Accessible"/>
    <m/>
    <s v="Le village accueille une population"/>
    <s v="Le village est intact (construit)"/>
    <m/>
    <m/>
    <s v="Oui"/>
    <s v="Sites de déplacement spontanés"/>
    <s v="Non, pas du tout"/>
    <m/>
    <m/>
    <n v="5"/>
    <n v="48"/>
    <s v="Oui"/>
    <s v="Premier déplacement"/>
    <n v="5"/>
    <n v="48"/>
    <n v="20"/>
    <n v="28"/>
    <n v="0"/>
    <n v="0"/>
    <n v="0"/>
    <n v="0"/>
    <m/>
    <m/>
    <n v="0"/>
    <n v="5"/>
    <s v="Bâche"/>
    <m/>
    <n v="0"/>
    <s v="D'après les informations déclarés par les informateurs clés ces déplacés étaient nombreux certains sont partis chez eux rejoindre leur famille. "/>
    <s v="Non"/>
    <m/>
    <m/>
    <m/>
    <m/>
    <m/>
    <m/>
    <m/>
    <m/>
    <m/>
    <m/>
    <m/>
    <m/>
    <m/>
    <m/>
    <m/>
    <s v="Non"/>
    <m/>
    <m/>
    <m/>
    <m/>
    <m/>
    <m/>
    <m/>
    <m/>
    <m/>
    <m/>
    <m/>
    <m/>
    <m/>
    <m/>
    <m/>
    <m/>
    <m/>
    <m/>
    <m/>
    <m/>
    <n v="0"/>
    <m/>
    <m/>
    <m/>
    <m/>
    <m/>
    <m/>
    <m/>
    <m/>
    <m/>
    <m/>
    <m/>
    <m/>
    <m/>
    <s v="1"/>
    <s v="0"/>
    <s v="0"/>
    <n v="1"/>
  </r>
  <r>
    <n v="2557895"/>
    <s v="Extrême-Nord"/>
    <s v="CMR004"/>
    <x v="0"/>
    <s v="CMR004001"/>
    <s v="Petté"/>
    <s v="CMR004001003"/>
    <s v="PET-0001"/>
    <s v="ALAGARNO"/>
    <m/>
    <x v="1"/>
    <n v="10.986589199999999"/>
    <n v="14.488194200000001"/>
    <x v="0"/>
    <b v="1"/>
    <b v="0"/>
    <b v="1"/>
    <m/>
    <n v="3"/>
    <s v="Accessible"/>
    <m/>
    <s v="Le village accueille une population"/>
    <s v="Le village est intact (construit)"/>
    <m/>
    <m/>
    <s v="Oui"/>
    <s v="Familles d'accueil"/>
    <s v="Non, pas du tout"/>
    <s v="Non"/>
    <m/>
    <n v="2"/>
    <n v="507"/>
    <s v="Oui"/>
    <s v="Premier déplacement"/>
    <n v="2"/>
    <n v="18"/>
    <n v="7"/>
    <n v="11"/>
    <n v="0"/>
    <n v="2"/>
    <n v="0"/>
    <n v="0"/>
    <m/>
    <m/>
    <n v="0"/>
    <n v="0"/>
    <m/>
    <m/>
    <n v="0"/>
    <s v="Il y'a diminution d'une personne partie vers chakamari"/>
    <s v="Non"/>
    <m/>
    <m/>
    <m/>
    <m/>
    <m/>
    <m/>
    <m/>
    <m/>
    <m/>
    <m/>
    <m/>
    <m/>
    <m/>
    <m/>
    <m/>
    <s v="Non"/>
    <m/>
    <m/>
    <m/>
    <m/>
    <m/>
    <m/>
    <m/>
    <m/>
    <m/>
    <m/>
    <m/>
    <m/>
    <m/>
    <m/>
    <m/>
    <m/>
    <m/>
    <m/>
    <m/>
    <m/>
    <n v="0"/>
    <m/>
    <m/>
    <m/>
    <m/>
    <m/>
    <m/>
    <m/>
    <m/>
    <m/>
    <m/>
    <m/>
    <m/>
    <m/>
    <s v="1"/>
    <s v="0"/>
    <s v="0"/>
    <n v="1"/>
  </r>
  <r>
    <n v="2558257"/>
    <s v="Extrême-Nord"/>
    <s v="CMR004"/>
    <x v="0"/>
    <s v="CMR004001"/>
    <s v="Petté"/>
    <s v="CMR004001003"/>
    <s v="PET-0027"/>
    <s v="BANDALARE"/>
    <m/>
    <x v="1"/>
    <n v="10.9828709"/>
    <n v="14.492362399999999"/>
    <x v="0"/>
    <b v="1"/>
    <b v="0"/>
    <b v="1"/>
    <m/>
    <n v="3"/>
    <s v="Accessible"/>
    <m/>
    <s v="Le village accueille une population"/>
    <s v="Le village est intact (construit)"/>
    <m/>
    <m/>
    <s v="Oui"/>
    <s v="Familles d'accueil"/>
    <s v="Non, pas du tout"/>
    <s v="Non"/>
    <m/>
    <n v="5"/>
    <n v="216"/>
    <s v="Oui"/>
    <s v="Premier déplacement"/>
    <n v="5"/>
    <n v="28"/>
    <n v="12"/>
    <n v="16"/>
    <n v="0"/>
    <n v="5"/>
    <n v="0"/>
    <n v="0"/>
    <m/>
    <m/>
    <n v="0"/>
    <n v="0"/>
    <m/>
    <m/>
    <n v="0"/>
    <s v="Il diminution de 2 individus  (décès ) au mois de novembre 2022 ."/>
    <s v="Non"/>
    <m/>
    <m/>
    <m/>
    <m/>
    <m/>
    <m/>
    <m/>
    <m/>
    <m/>
    <m/>
    <m/>
    <m/>
    <m/>
    <m/>
    <m/>
    <s v="Non"/>
    <m/>
    <m/>
    <m/>
    <m/>
    <m/>
    <m/>
    <m/>
    <m/>
    <m/>
    <m/>
    <m/>
    <m/>
    <m/>
    <m/>
    <m/>
    <m/>
    <m/>
    <m/>
    <m/>
    <m/>
    <n v="0"/>
    <m/>
    <m/>
    <m/>
    <m/>
    <m/>
    <m/>
    <m/>
    <m/>
    <m/>
    <m/>
    <m/>
    <m/>
    <m/>
    <s v="1"/>
    <s v="0"/>
    <s v="0"/>
    <n v="1"/>
  </r>
  <r>
    <n v="2533509"/>
    <s v="Extrême-Nord"/>
    <s v="CMR004"/>
    <x v="0"/>
    <s v="CMR004001"/>
    <s v="Petté"/>
    <s v="CMR004001003"/>
    <s v="PET-0003"/>
    <s v="DJAFGUE"/>
    <m/>
    <x v="1"/>
    <n v="11.0447472"/>
    <n v="14.4347642"/>
    <x v="0"/>
    <b v="1"/>
    <b v="0"/>
    <b v="1"/>
    <m/>
    <n v="3"/>
    <s v="Accessible"/>
    <m/>
    <s v="Le village accueille une population"/>
    <s v="Le village est intact (construit)"/>
    <m/>
    <m/>
    <s v="Oui"/>
    <s v="Familles d'accueil"/>
    <s v="Non, pas du tout"/>
    <s v="Non"/>
    <m/>
    <n v="15"/>
    <n v="1893"/>
    <s v="Oui"/>
    <s v="Premier déplacement"/>
    <n v="15"/>
    <n v="158"/>
    <n v="63"/>
    <n v="95"/>
    <n v="1"/>
    <n v="14"/>
    <n v="0"/>
    <n v="0"/>
    <m/>
    <m/>
    <n v="0"/>
    <n v="0"/>
    <m/>
    <m/>
    <n v="0"/>
    <s v="Il y'a diminution de deux personnes parties à BANKI"/>
    <s v="Non"/>
    <m/>
    <m/>
    <m/>
    <m/>
    <m/>
    <m/>
    <m/>
    <m/>
    <m/>
    <m/>
    <m/>
    <m/>
    <m/>
    <m/>
    <m/>
    <s v="Non"/>
    <m/>
    <m/>
    <m/>
    <m/>
    <m/>
    <m/>
    <m/>
    <m/>
    <m/>
    <m/>
    <m/>
    <m/>
    <m/>
    <m/>
    <m/>
    <m/>
    <m/>
    <m/>
    <m/>
    <m/>
    <n v="0"/>
    <m/>
    <m/>
    <m/>
    <m/>
    <m/>
    <m/>
    <m/>
    <m/>
    <m/>
    <m/>
    <m/>
    <m/>
    <m/>
    <s v="1"/>
    <s v="0"/>
    <s v="0"/>
    <n v="1"/>
  </r>
  <r>
    <n v="2533510"/>
    <s v="Extrême-Nord"/>
    <s v="CMR004"/>
    <x v="0"/>
    <s v="CMR004001"/>
    <s v="Petté"/>
    <s v="CMR004001003"/>
    <s v="PET-0004"/>
    <s v="DJAOUDE"/>
    <m/>
    <x v="1"/>
    <n v="11.0457316"/>
    <n v="14.434676100000001"/>
    <x v="0"/>
    <b v="1"/>
    <b v="0"/>
    <b v="0"/>
    <m/>
    <n v="3"/>
    <s v="Accessible"/>
    <m/>
    <s v="Le village accueille une population"/>
    <s v="Le village est intact (construit)"/>
    <m/>
    <m/>
    <s v="Oui"/>
    <s v="Familles d'accueil"/>
    <s v="Non, pas du tout"/>
    <s v="Non"/>
    <m/>
    <n v="135"/>
    <n v="2400"/>
    <s v="Oui"/>
    <s v="Deuxième déplacement"/>
    <n v="135"/>
    <n v="725"/>
    <n v="279"/>
    <n v="446"/>
    <n v="0"/>
    <n v="135"/>
    <n v="0"/>
    <n v="0"/>
    <m/>
    <m/>
    <n v="0"/>
    <n v="0"/>
    <m/>
    <m/>
    <n v="0"/>
    <s v="Constant pas de changement concernant les Idps du village"/>
    <s v="Non"/>
    <m/>
    <m/>
    <m/>
    <m/>
    <m/>
    <m/>
    <m/>
    <m/>
    <m/>
    <m/>
    <m/>
    <m/>
    <m/>
    <m/>
    <m/>
    <s v="Non"/>
    <m/>
    <m/>
    <m/>
    <m/>
    <m/>
    <m/>
    <m/>
    <m/>
    <m/>
    <m/>
    <m/>
    <m/>
    <m/>
    <m/>
    <m/>
    <m/>
    <m/>
    <m/>
    <m/>
    <m/>
    <n v="0"/>
    <m/>
    <m/>
    <m/>
    <m/>
    <m/>
    <m/>
    <m/>
    <m/>
    <m/>
    <m/>
    <m/>
    <m/>
    <m/>
    <s v="1"/>
    <s v="0"/>
    <s v="0"/>
    <n v="1"/>
  </r>
  <r>
    <n v="2574080"/>
    <s v="Extrême-Nord"/>
    <s v="CMR004"/>
    <x v="0"/>
    <s v="CMR004001"/>
    <s v="Petté"/>
    <s v="CMR004001003"/>
    <s v="PET-0005"/>
    <s v="DJOUTA-BEMBAL"/>
    <m/>
    <x v="1"/>
    <n v="10.977151299999999"/>
    <n v="14.488041600000001"/>
    <x v="0"/>
    <b v="1"/>
    <b v="0"/>
    <b v="1"/>
    <m/>
    <n v="3"/>
    <s v="Accessible"/>
    <m/>
    <s v="Le village accueille une population"/>
    <s v="Le village est intact (construit)"/>
    <m/>
    <m/>
    <s v="Oui"/>
    <s v="Familles d'accueil"/>
    <s v="Non, pas du tout"/>
    <s v="Non"/>
    <m/>
    <n v="3"/>
    <n v="774"/>
    <s v="Oui"/>
    <s v="Premier déplacement"/>
    <n v="3"/>
    <n v="17"/>
    <n v="7"/>
    <n v="10"/>
    <n v="0"/>
    <n v="3"/>
    <n v="0"/>
    <n v="0"/>
    <m/>
    <m/>
    <n v="0"/>
    <n v="0"/>
    <m/>
    <m/>
    <n v="0"/>
    <s v="Pas de changement concernant les Idps du village"/>
    <s v="Non"/>
    <m/>
    <m/>
    <m/>
    <m/>
    <m/>
    <m/>
    <m/>
    <m/>
    <m/>
    <m/>
    <m/>
    <m/>
    <m/>
    <m/>
    <m/>
    <s v="Oui"/>
    <n v="3"/>
    <n v="10"/>
    <n v="4"/>
    <n v="6"/>
    <s v="5 ans ou plus"/>
    <n v="0"/>
    <n v="3"/>
    <n v="0"/>
    <n v="0"/>
    <n v="0"/>
    <m/>
    <n v="0"/>
    <n v="0"/>
    <m/>
    <n v="0"/>
    <m/>
    <m/>
    <m/>
    <m/>
    <m/>
    <n v="0"/>
    <m/>
    <m/>
    <m/>
    <m/>
    <m/>
    <m/>
    <m/>
    <m/>
    <m/>
    <m/>
    <m/>
    <m/>
    <m/>
    <s v="1"/>
    <s v="0"/>
    <s v="1"/>
    <n v="2"/>
  </r>
  <r>
    <n v="2588738"/>
    <s v="Extrême-Nord"/>
    <s v="CMR004"/>
    <x v="0"/>
    <s v="CMR004001"/>
    <s v="Petté"/>
    <s v="CMR004001003"/>
    <s v="PET-0006"/>
    <s v="DOUTAROU"/>
    <m/>
    <x v="1"/>
    <n v="10.986561999999999"/>
    <n v="14.488154099999999"/>
    <x v="0"/>
    <b v="1"/>
    <b v="0"/>
    <b v="1"/>
    <m/>
    <n v="3"/>
    <s v="Accessible"/>
    <m/>
    <s v="Le village accueille une population"/>
    <s v="Le village est intact (construit)"/>
    <m/>
    <m/>
    <s v="Oui"/>
    <s v="Familles d'accueil"/>
    <s v="Non, pas du tout"/>
    <s v="Non"/>
    <m/>
    <n v="11"/>
    <n v="726"/>
    <s v="Oui"/>
    <s v="Premier déplacement"/>
    <n v="11"/>
    <n v="66"/>
    <n v="22"/>
    <n v="44"/>
    <n v="0"/>
    <n v="11"/>
    <n v="0"/>
    <n v="0"/>
    <m/>
    <m/>
    <n v="0"/>
    <n v="0"/>
    <m/>
    <m/>
    <n v="0"/>
    <s v="Il y'a augmentation de deux idps suite à la naissance "/>
    <s v="Non"/>
    <m/>
    <m/>
    <m/>
    <m/>
    <m/>
    <m/>
    <m/>
    <m/>
    <m/>
    <m/>
    <m/>
    <m/>
    <m/>
    <m/>
    <m/>
    <s v="Non"/>
    <m/>
    <m/>
    <m/>
    <m/>
    <m/>
    <m/>
    <m/>
    <m/>
    <m/>
    <m/>
    <m/>
    <m/>
    <m/>
    <m/>
    <m/>
    <m/>
    <m/>
    <m/>
    <m/>
    <m/>
    <n v="0"/>
    <m/>
    <m/>
    <m/>
    <m/>
    <m/>
    <m/>
    <m/>
    <m/>
    <m/>
    <m/>
    <m/>
    <m/>
    <m/>
    <s v="1"/>
    <s v="0"/>
    <s v="0"/>
    <n v="1"/>
  </r>
  <r>
    <n v="2605732"/>
    <s v="Extrême-Nord"/>
    <s v="CMR004"/>
    <x v="0"/>
    <s v="CMR004001"/>
    <s v="Petté"/>
    <s v="CMR004001003"/>
    <s v="PET-0007"/>
    <s v="EREO"/>
    <m/>
    <x v="1"/>
    <n v="10.9959785"/>
    <n v="14.515257"/>
    <x v="0"/>
    <b v="0"/>
    <b v="0"/>
    <b v="1"/>
    <m/>
    <m/>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539307"/>
    <s v="Extrême-Nord"/>
    <s v="CMR004"/>
    <x v="0"/>
    <s v="CMR004001"/>
    <s v="Petté"/>
    <s v="CMR004001003"/>
    <s v="PET-0008"/>
    <s v="FADARE"/>
    <m/>
    <x v="1"/>
    <n v="10.921776599999999"/>
    <n v="14.6016555"/>
    <x v="0"/>
    <b v="1"/>
    <b v="0"/>
    <b v="1"/>
    <m/>
    <n v="3"/>
    <s v="Accessible"/>
    <m/>
    <s v="Le village accueille une population"/>
    <s v="Le village est intact (construit)"/>
    <m/>
    <m/>
    <s v="Oui"/>
    <s v="Familles d'accueil"/>
    <s v="Non, pas du tout"/>
    <s v="Non"/>
    <m/>
    <n v="3"/>
    <n v="1079"/>
    <s v="Oui"/>
    <s v="Premier déplacement"/>
    <n v="3"/>
    <n v="31"/>
    <n v="9"/>
    <n v="22"/>
    <n v="0"/>
    <n v="3"/>
    <n v="0"/>
    <n v="0"/>
    <m/>
    <m/>
    <n v="0"/>
    <n v="0"/>
    <m/>
    <m/>
    <n v="0"/>
    <s v="Constant pas de changement concernant les Idps du village "/>
    <s v="Non"/>
    <m/>
    <m/>
    <m/>
    <m/>
    <m/>
    <m/>
    <m/>
    <m/>
    <m/>
    <m/>
    <m/>
    <m/>
    <m/>
    <m/>
    <m/>
    <s v="Non"/>
    <m/>
    <m/>
    <m/>
    <m/>
    <m/>
    <m/>
    <m/>
    <m/>
    <m/>
    <m/>
    <m/>
    <m/>
    <m/>
    <m/>
    <m/>
    <m/>
    <m/>
    <m/>
    <m/>
    <m/>
    <n v="0"/>
    <m/>
    <m/>
    <m/>
    <m/>
    <m/>
    <m/>
    <m/>
    <m/>
    <m/>
    <m/>
    <m/>
    <m/>
    <m/>
    <s v="1"/>
    <s v="0"/>
    <s v="0"/>
    <n v="1"/>
  </r>
  <r>
    <n v="2605736"/>
    <s v="Extrême-Nord"/>
    <s v="CMR004"/>
    <x v="0"/>
    <s v="CMR004001"/>
    <s v="Petté"/>
    <s v="CMR004001003"/>
    <s v="PET-0033"/>
    <s v="GAO ALI"/>
    <m/>
    <x v="1"/>
    <n v="11.070161499999999"/>
    <n v="14.485995300000001"/>
    <x v="0"/>
    <b v="1"/>
    <b v="0"/>
    <b v="1"/>
    <m/>
    <n v="3"/>
    <s v="Accessible"/>
    <m/>
    <s v="Le village accueille une population"/>
    <s v="Le village est intact (construit)"/>
    <m/>
    <m/>
    <s v="Oui"/>
    <s v="Familles d'accueil"/>
    <s v="Non, pas du tout"/>
    <s v="Non"/>
    <m/>
    <n v="5"/>
    <n v="300"/>
    <s v="Oui"/>
    <s v="Premier déplacement"/>
    <n v="5"/>
    <n v="30"/>
    <n v="12"/>
    <n v="18"/>
    <n v="0"/>
    <n v="5"/>
    <n v="0"/>
    <n v="0"/>
    <m/>
    <m/>
    <n v="0"/>
    <n v="0"/>
    <m/>
    <m/>
    <n v="0"/>
    <s v="Besoin des nécessaires pour faire les activités agricoles "/>
    <s v="Non"/>
    <m/>
    <m/>
    <m/>
    <m/>
    <m/>
    <m/>
    <m/>
    <m/>
    <m/>
    <m/>
    <m/>
    <m/>
    <m/>
    <m/>
    <m/>
    <s v="Non"/>
    <m/>
    <m/>
    <m/>
    <m/>
    <m/>
    <m/>
    <m/>
    <m/>
    <m/>
    <m/>
    <m/>
    <m/>
    <m/>
    <m/>
    <m/>
    <m/>
    <m/>
    <m/>
    <m/>
    <m/>
    <n v="0"/>
    <m/>
    <m/>
    <m/>
    <m/>
    <m/>
    <m/>
    <m/>
    <m/>
    <m/>
    <m/>
    <m/>
    <m/>
    <m/>
    <s v="1"/>
    <s v="0"/>
    <s v="0"/>
    <n v="1"/>
  </r>
  <r>
    <n v="2539306"/>
    <s v="Extrême-Nord"/>
    <s v="CMR004"/>
    <x v="0"/>
    <s v="CMR004001"/>
    <s v="Petté"/>
    <s v="CMR004001003"/>
    <s v="PET-0009"/>
    <s v="HAOUSSARE"/>
    <m/>
    <x v="1"/>
    <n v="10.9964701"/>
    <n v="14.4989107"/>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533512"/>
    <s v="Extrême-Nord"/>
    <s v="CMR004"/>
    <x v="0"/>
    <s v="CMR004001"/>
    <s v="Petté"/>
    <s v="CMR004001003"/>
    <s v="PET-0010"/>
    <s v="HODEMA"/>
    <m/>
    <x v="1"/>
    <n v="10.921801"/>
    <n v="14.6017557"/>
    <x v="0"/>
    <b v="1"/>
    <b v="0"/>
    <b v="1"/>
    <m/>
    <n v="3"/>
    <s v="Accessible"/>
    <m/>
    <s v="Le village accueille une population"/>
    <s v="Le village est intact (construit)"/>
    <m/>
    <m/>
    <s v="Oui"/>
    <s v="Familles d'accueil"/>
    <s v="Non, pas du tout"/>
    <s v="Non"/>
    <m/>
    <n v="5"/>
    <n v="730"/>
    <s v="Oui"/>
    <s v="Premier déplacement"/>
    <n v="5"/>
    <n v="36"/>
    <n v="14"/>
    <n v="22"/>
    <n v="0"/>
    <n v="5"/>
    <n v="0"/>
    <n v="0"/>
    <m/>
    <m/>
    <n v="0"/>
    <n v="0"/>
    <m/>
    <m/>
    <n v="0"/>
    <s v="Constant pas de changement concernant les Idps du village "/>
    <s v="Non"/>
    <m/>
    <m/>
    <m/>
    <m/>
    <m/>
    <m/>
    <m/>
    <m/>
    <m/>
    <m/>
    <m/>
    <m/>
    <m/>
    <m/>
    <m/>
    <s v="Non"/>
    <m/>
    <m/>
    <m/>
    <m/>
    <m/>
    <m/>
    <m/>
    <m/>
    <m/>
    <m/>
    <m/>
    <m/>
    <m/>
    <m/>
    <m/>
    <m/>
    <m/>
    <m/>
    <m/>
    <m/>
    <n v="0"/>
    <m/>
    <m/>
    <m/>
    <m/>
    <m/>
    <m/>
    <m/>
    <m/>
    <m/>
    <m/>
    <m/>
    <m/>
    <m/>
    <s v="1"/>
    <s v="0"/>
    <s v="0"/>
    <n v="1"/>
  </r>
  <r>
    <n v="2574078"/>
    <s v="Extrême-Nord"/>
    <s v="CMR004"/>
    <x v="0"/>
    <s v="CMR004001"/>
    <s v="Petté"/>
    <s v="CMR004001003"/>
    <s v="PET-0011"/>
    <s v="KARAL GUIE"/>
    <m/>
    <x v="1"/>
    <n v="10.9866682"/>
    <n v="14.488173400000001"/>
    <x v="0"/>
    <b v="1"/>
    <b v="0"/>
    <b v="1"/>
    <m/>
    <n v="3"/>
    <s v="Accessible"/>
    <m/>
    <s v="Le village accueille une population"/>
    <s v="Le village est intact (construit)"/>
    <m/>
    <m/>
    <s v="Oui"/>
    <s v="Familles d'accueil"/>
    <s v="Non, pas du tout"/>
    <s v="Non"/>
    <m/>
    <n v="5"/>
    <n v="1500"/>
    <s v="Oui"/>
    <s v="Premier déplacement"/>
    <n v="5"/>
    <n v="44"/>
    <n v="15"/>
    <n v="29"/>
    <n v="0"/>
    <n v="5"/>
    <n v="0"/>
    <n v="0"/>
    <m/>
    <m/>
    <n v="0"/>
    <n v="0"/>
    <m/>
    <m/>
    <n v="0"/>
    <s v="Il y'a augmentation de 4 idps naissances "/>
    <s v="Non"/>
    <m/>
    <m/>
    <m/>
    <m/>
    <m/>
    <m/>
    <m/>
    <m/>
    <m/>
    <m/>
    <m/>
    <m/>
    <m/>
    <m/>
    <m/>
    <s v="Non"/>
    <m/>
    <m/>
    <m/>
    <m/>
    <m/>
    <m/>
    <m/>
    <m/>
    <m/>
    <m/>
    <m/>
    <m/>
    <m/>
    <m/>
    <m/>
    <m/>
    <m/>
    <m/>
    <m/>
    <m/>
    <n v="0"/>
    <m/>
    <m/>
    <m/>
    <m/>
    <m/>
    <m/>
    <m/>
    <m/>
    <m/>
    <m/>
    <m/>
    <m/>
    <m/>
    <s v="1"/>
    <s v="0"/>
    <s v="0"/>
    <n v="1"/>
  </r>
  <r>
    <n v="2533513"/>
    <s v="Extrême-Nord"/>
    <s v="CMR004"/>
    <x v="0"/>
    <s v="CMR004001"/>
    <s v="Petté"/>
    <s v="CMR004001003"/>
    <s v="PET-0012"/>
    <s v="KARAL TANNE"/>
    <m/>
    <x v="1"/>
    <n v="10.9218519"/>
    <n v="14.601823700000001"/>
    <x v="0"/>
    <b v="1"/>
    <b v="0"/>
    <b v="1"/>
    <m/>
    <n v="3"/>
    <s v="Accessible"/>
    <m/>
    <s v="Le village accueille une population"/>
    <s v="Le village est intact (construit)"/>
    <m/>
    <m/>
    <s v="Oui"/>
    <s v="Familles d'accueil"/>
    <s v="Non, pas du tout"/>
    <s v="Non"/>
    <m/>
    <n v="10"/>
    <n v="307"/>
    <s v="Oui"/>
    <s v="Premier déplacement"/>
    <n v="10"/>
    <n v="50"/>
    <n v="20"/>
    <n v="30"/>
    <n v="0"/>
    <n v="10"/>
    <n v="0"/>
    <n v="0"/>
    <m/>
    <m/>
    <n v="0"/>
    <n v="0"/>
    <m/>
    <m/>
    <n v="0"/>
    <s v="Constant pas de changement concernant les Idps du village "/>
    <s v="Non"/>
    <m/>
    <m/>
    <m/>
    <m/>
    <m/>
    <m/>
    <m/>
    <m/>
    <m/>
    <m/>
    <m/>
    <m/>
    <m/>
    <m/>
    <m/>
    <s v="Non"/>
    <m/>
    <m/>
    <m/>
    <m/>
    <m/>
    <m/>
    <m/>
    <m/>
    <m/>
    <m/>
    <m/>
    <m/>
    <m/>
    <m/>
    <m/>
    <m/>
    <m/>
    <m/>
    <m/>
    <m/>
    <n v="0"/>
    <m/>
    <m/>
    <m/>
    <m/>
    <m/>
    <m/>
    <m/>
    <m/>
    <m/>
    <m/>
    <m/>
    <m/>
    <m/>
    <s v="1"/>
    <s v="0"/>
    <s v="0"/>
    <n v="1"/>
  </r>
  <r>
    <n v="2534352"/>
    <s v="Extrême-Nord"/>
    <s v="CMR004"/>
    <x v="0"/>
    <s v="CMR004001"/>
    <s v="Petté"/>
    <s v="CMR004001003"/>
    <s v="PET-0013"/>
    <s v="KLISSAWA"/>
    <m/>
    <x v="1"/>
    <n v="11.0422238"/>
    <n v="14.437255"/>
    <x v="0"/>
    <b v="1"/>
    <b v="0"/>
    <b v="0"/>
    <m/>
    <n v="3"/>
    <s v="Accessible"/>
    <m/>
    <s v="Le village accueille une population"/>
    <s v="Le village est intact (construit)"/>
    <m/>
    <m/>
    <s v="Oui"/>
    <s v="Familles d'accueil"/>
    <s v="Non, pas du tout"/>
    <s v="Non"/>
    <m/>
    <n v="22"/>
    <n v="1300"/>
    <s v="Oui"/>
    <s v="Premier déplacement"/>
    <n v="22"/>
    <n v="84"/>
    <n v="40"/>
    <n v="44"/>
    <n v="4"/>
    <n v="18"/>
    <n v="0"/>
    <n v="0"/>
    <m/>
    <m/>
    <n v="0"/>
    <n v="0"/>
    <m/>
    <m/>
    <n v="0"/>
    <s v="Pas de changement "/>
    <s v="Oui"/>
    <n v="1"/>
    <n v="5"/>
    <n v="2"/>
    <n v="3"/>
    <n v="1"/>
    <n v="0"/>
    <n v="0"/>
    <m/>
    <n v="0"/>
    <n v="0"/>
    <m/>
    <m/>
    <n v="0"/>
    <n v="0"/>
    <s v="Pas de changement "/>
    <s v="Oui"/>
    <n v="2"/>
    <n v="7"/>
    <n v="3"/>
    <n v="4"/>
    <s v="5 ans ou plus"/>
    <n v="0"/>
    <n v="2"/>
    <n v="0"/>
    <n v="0"/>
    <n v="0"/>
    <m/>
    <n v="0"/>
    <n v="0"/>
    <m/>
    <n v="0"/>
    <m/>
    <m/>
    <m/>
    <m/>
    <m/>
    <n v="0"/>
    <m/>
    <m/>
    <m/>
    <m/>
    <m/>
    <m/>
    <m/>
    <m/>
    <m/>
    <m/>
    <m/>
    <m/>
    <m/>
    <s v="1"/>
    <s v="1"/>
    <s v="1"/>
    <n v="3"/>
  </r>
  <r>
    <n v="2542319"/>
    <s v="Extrême-Nord"/>
    <s v="CMR004"/>
    <x v="0"/>
    <s v="CMR004001"/>
    <s v="Petté"/>
    <s v="CMR004001003"/>
    <s v="PET-0034"/>
    <s v="KONGHO 1"/>
    <m/>
    <x v="1"/>
    <n v="11.024314199999999"/>
    <n v="14.453508299999999"/>
    <x v="0"/>
    <b v="1"/>
    <b v="0"/>
    <b v="1"/>
    <m/>
    <n v="3"/>
    <s v="Accessible"/>
    <m/>
    <s v="Le village accueille une population"/>
    <s v="Le village est intact (construit)"/>
    <m/>
    <m/>
    <s v="Oui"/>
    <s v="Familles d'accueil"/>
    <s v="Non, pas du tout"/>
    <s v="Oui"/>
    <n v="1"/>
    <n v="40"/>
    <n v="1122"/>
    <s v="Oui"/>
    <s v="Premier déplacement"/>
    <n v="40"/>
    <n v="223"/>
    <n v="99"/>
    <n v="124"/>
    <n v="0"/>
    <n v="40"/>
    <n v="0"/>
    <n v="0"/>
    <m/>
    <m/>
    <n v="0"/>
    <n v="0"/>
    <m/>
    <m/>
    <n v="0"/>
    <s v="Pas de changement dans ce village"/>
    <s v="Non"/>
    <m/>
    <m/>
    <m/>
    <m/>
    <m/>
    <m/>
    <m/>
    <m/>
    <m/>
    <m/>
    <m/>
    <m/>
    <m/>
    <m/>
    <m/>
    <s v="Non"/>
    <m/>
    <m/>
    <m/>
    <m/>
    <m/>
    <m/>
    <m/>
    <m/>
    <m/>
    <m/>
    <m/>
    <m/>
    <m/>
    <m/>
    <m/>
    <m/>
    <m/>
    <m/>
    <m/>
    <m/>
    <n v="0"/>
    <m/>
    <m/>
    <m/>
    <m/>
    <m/>
    <m/>
    <m/>
    <m/>
    <m/>
    <m/>
    <m/>
    <m/>
    <m/>
    <s v="1"/>
    <s v="0"/>
    <s v="0"/>
    <n v="1"/>
  </r>
  <r>
    <n v="2542318"/>
    <s v="Extrême-Nord"/>
    <s v="CMR004"/>
    <x v="0"/>
    <s v="CMR004001"/>
    <s v="Petté"/>
    <s v="CMR004001003"/>
    <s v="PET-0032"/>
    <s v="KONGHO 2"/>
    <m/>
    <x v="1"/>
    <n v="11.0243445"/>
    <n v="14.453564099999999"/>
    <x v="0"/>
    <b v="1"/>
    <b v="0"/>
    <b v="1"/>
    <m/>
    <n v="3"/>
    <s v="Accessible"/>
    <m/>
    <s v="Le village accueille une population"/>
    <s v="Le village est intact (construit)"/>
    <m/>
    <m/>
    <s v="Oui"/>
    <s v="Familles d'accueil"/>
    <s v="Non, pas du tout"/>
    <s v="Oui"/>
    <n v="1"/>
    <n v="6"/>
    <n v="231"/>
    <s v="Oui"/>
    <s v="Premier déplacement"/>
    <n v="6"/>
    <n v="20"/>
    <n v="8"/>
    <n v="12"/>
    <n v="0"/>
    <n v="6"/>
    <n v="0"/>
    <n v="0"/>
    <m/>
    <m/>
    <n v="0"/>
    <n v="0"/>
    <m/>
    <m/>
    <n v="0"/>
    <s v="Pas de changement"/>
    <s v="Non"/>
    <m/>
    <m/>
    <m/>
    <m/>
    <m/>
    <m/>
    <m/>
    <m/>
    <m/>
    <m/>
    <m/>
    <m/>
    <m/>
    <m/>
    <m/>
    <s v="Non"/>
    <m/>
    <m/>
    <m/>
    <m/>
    <m/>
    <m/>
    <m/>
    <m/>
    <m/>
    <m/>
    <m/>
    <m/>
    <m/>
    <m/>
    <m/>
    <m/>
    <m/>
    <m/>
    <m/>
    <m/>
    <n v="0"/>
    <m/>
    <m/>
    <m/>
    <m/>
    <m/>
    <m/>
    <m/>
    <m/>
    <m/>
    <m/>
    <m/>
    <m/>
    <m/>
    <s v="1"/>
    <s v="0"/>
    <s v="0"/>
    <n v="1"/>
  </r>
  <r>
    <n v="2533131"/>
    <s v="Extrême-Nord"/>
    <s v="CMR004"/>
    <x v="0"/>
    <s v="CMR004001"/>
    <s v="Petté"/>
    <s v="CMR004001003"/>
    <s v="PET-0017"/>
    <s v="KOURWAMA ABDOU"/>
    <m/>
    <x v="1"/>
    <n v="11.003270799999999"/>
    <n v="14.4964788"/>
    <x v="0"/>
    <b v="1"/>
    <b v="0"/>
    <b v="0"/>
    <m/>
    <n v="3"/>
    <s v="Accessible"/>
    <m/>
    <s v="Le village accueille une population"/>
    <s v="Le village est intact (construit)"/>
    <m/>
    <m/>
    <s v="Oui"/>
    <s v="Familles d'accueil"/>
    <s v="Non, pas du tout"/>
    <s v="Non"/>
    <m/>
    <n v="4"/>
    <n v="850"/>
    <s v="Oui"/>
    <s v="Premier déplacement"/>
    <n v="4"/>
    <n v="21"/>
    <n v="8"/>
    <n v="13"/>
    <n v="0"/>
    <n v="4"/>
    <n v="0"/>
    <n v="0"/>
    <m/>
    <m/>
    <n v="0"/>
    <n v="0"/>
    <m/>
    <m/>
    <n v="0"/>
    <s v="Pas de mouvement, sauf une nouvelle naissance en décembre 2022"/>
    <s v="Non"/>
    <m/>
    <m/>
    <m/>
    <m/>
    <m/>
    <m/>
    <m/>
    <m/>
    <m/>
    <m/>
    <m/>
    <m/>
    <m/>
    <m/>
    <m/>
    <s v="Non"/>
    <m/>
    <m/>
    <m/>
    <m/>
    <m/>
    <m/>
    <m/>
    <m/>
    <m/>
    <m/>
    <m/>
    <m/>
    <m/>
    <m/>
    <m/>
    <m/>
    <m/>
    <m/>
    <m/>
    <m/>
    <n v="0"/>
    <m/>
    <m/>
    <m/>
    <m/>
    <m/>
    <m/>
    <m/>
    <m/>
    <m/>
    <m/>
    <m/>
    <m/>
    <m/>
    <s v="1"/>
    <s v="0"/>
    <s v="0"/>
    <n v="1"/>
  </r>
  <r>
    <n v="2533133"/>
    <s v="Extrême-Nord"/>
    <s v="CMR004"/>
    <x v="0"/>
    <s v="CMR004001"/>
    <s v="Petté"/>
    <s v="CMR004001003"/>
    <s v="PET-0018"/>
    <s v="KOURWAMA NDJIDDA"/>
    <m/>
    <x v="1"/>
    <n v="10.999458000000001"/>
    <n v="14.4974072"/>
    <x v="0"/>
    <b v="1"/>
    <b v="0"/>
    <b v="0"/>
    <m/>
    <n v="3"/>
    <s v="Accessible"/>
    <m/>
    <s v="Le village accueille une population"/>
    <s v="Le village est intact (construit)"/>
    <m/>
    <m/>
    <s v="Oui"/>
    <s v="Familles d'accueil"/>
    <s v="Non, pas du tout"/>
    <s v="Non"/>
    <m/>
    <n v="1"/>
    <n v="3322"/>
    <s v="Oui"/>
    <s v="Premier déplacement"/>
    <n v="1"/>
    <n v="8"/>
    <n v="4"/>
    <n v="4"/>
    <n v="0"/>
    <n v="1"/>
    <n v="0"/>
    <n v="0"/>
    <m/>
    <m/>
    <n v="0"/>
    <n v="0"/>
    <m/>
    <m/>
    <n v="0"/>
    <s v="Pas de changement"/>
    <s v="Non"/>
    <m/>
    <m/>
    <m/>
    <m/>
    <m/>
    <m/>
    <m/>
    <m/>
    <m/>
    <m/>
    <m/>
    <m/>
    <m/>
    <m/>
    <m/>
    <s v="Non"/>
    <m/>
    <m/>
    <m/>
    <m/>
    <m/>
    <m/>
    <m/>
    <m/>
    <m/>
    <m/>
    <m/>
    <m/>
    <m/>
    <m/>
    <m/>
    <m/>
    <m/>
    <m/>
    <m/>
    <m/>
    <n v="0"/>
    <m/>
    <m/>
    <m/>
    <m/>
    <m/>
    <m/>
    <m/>
    <m/>
    <m/>
    <m/>
    <m/>
    <m/>
    <m/>
    <s v="1"/>
    <s v="0"/>
    <s v="0"/>
    <n v="1"/>
  </r>
  <r>
    <n v="2533507"/>
    <s v="Extrême-Nord"/>
    <s v="CMR004"/>
    <x v="0"/>
    <s v="CMR004001"/>
    <s v="Petté"/>
    <s v="CMR004001003"/>
    <s v="PET-0019"/>
    <s v="KOURWAMAYEL"/>
    <m/>
    <x v="1"/>
    <n v="10.9990779"/>
    <n v="14.4916274"/>
    <x v="0"/>
    <b v="1"/>
    <b v="0"/>
    <b v="1"/>
    <m/>
    <n v="3"/>
    <s v="Accessible"/>
    <m/>
    <s v="Le village accueille une population"/>
    <s v="Le village est intact (construit)"/>
    <m/>
    <m/>
    <s v="Oui"/>
    <s v="Familles d'accueil"/>
    <s v="Non, pas du tout"/>
    <s v="Non"/>
    <m/>
    <n v="4"/>
    <n v="235"/>
    <s v="Oui"/>
    <s v="Premier déplacement"/>
    <n v="4"/>
    <n v="36"/>
    <n v="11"/>
    <n v="25"/>
    <n v="0"/>
    <n v="4"/>
    <n v="0"/>
    <n v="0"/>
    <m/>
    <m/>
    <n v="0"/>
    <n v="0"/>
    <m/>
    <m/>
    <n v="0"/>
    <s v="Il y'a augmentation de 5 idps suite à la naissance de trois enfants"/>
    <s v="Non"/>
    <m/>
    <m/>
    <m/>
    <m/>
    <m/>
    <m/>
    <m/>
    <m/>
    <m/>
    <m/>
    <m/>
    <m/>
    <m/>
    <m/>
    <m/>
    <s v="Oui"/>
    <n v="4"/>
    <n v="22"/>
    <n v="9"/>
    <n v="13"/>
    <s v="5 ans ou plus"/>
    <n v="0"/>
    <n v="4"/>
    <n v="0"/>
    <n v="0"/>
    <n v="0"/>
    <m/>
    <n v="0"/>
    <n v="0"/>
    <m/>
    <n v="0"/>
    <m/>
    <m/>
    <m/>
    <m/>
    <m/>
    <n v="0"/>
    <m/>
    <m/>
    <m/>
    <m/>
    <m/>
    <m/>
    <m/>
    <m/>
    <m/>
    <m/>
    <m/>
    <m/>
    <m/>
    <s v="1"/>
    <s v="0"/>
    <s v="1"/>
    <n v="2"/>
  </r>
  <r>
    <n v="2557896"/>
    <s v="Extrême-Nord"/>
    <s v="CMR004"/>
    <x v="0"/>
    <s v="CMR004001"/>
    <s v="Petté"/>
    <s v="CMR004001003"/>
    <s v="PET-0020"/>
    <s v="LOUBA LOUBA"/>
    <m/>
    <x v="1"/>
    <n v="10.9772055"/>
    <n v="14.4880975"/>
    <x v="0"/>
    <b v="1"/>
    <b v="0"/>
    <b v="1"/>
    <m/>
    <n v="3"/>
    <s v="Accessible"/>
    <m/>
    <s v="Le village accueille une population"/>
    <s v="Le village est intact (construit)"/>
    <m/>
    <m/>
    <s v="Oui"/>
    <s v="Familles d'accueil"/>
    <s v="Non, pas du tout"/>
    <s v="Non"/>
    <m/>
    <n v="20"/>
    <n v="738"/>
    <s v="Oui"/>
    <s v="Deuxième déplacement"/>
    <n v="20"/>
    <n v="228"/>
    <n v="105"/>
    <n v="123"/>
    <n v="0"/>
    <n v="20"/>
    <n v="0"/>
    <n v="0"/>
    <m/>
    <m/>
    <n v="0"/>
    <n v="0"/>
    <m/>
    <m/>
    <n v="0"/>
    <s v="Constant pas de changement concernant les Idps du village"/>
    <s v="Oui"/>
    <n v="2"/>
    <n v="10"/>
    <n v="4"/>
    <n v="6"/>
    <n v="2"/>
    <n v="0"/>
    <n v="0"/>
    <m/>
    <n v="0"/>
    <n v="0"/>
    <m/>
    <m/>
    <n v="0"/>
    <n v="0"/>
    <s v="Il y'a diminution de 10 idps partis vers guirvidik et yagoua"/>
    <s v="Non"/>
    <m/>
    <m/>
    <m/>
    <m/>
    <m/>
    <m/>
    <m/>
    <m/>
    <m/>
    <m/>
    <m/>
    <m/>
    <m/>
    <m/>
    <m/>
    <m/>
    <m/>
    <m/>
    <m/>
    <m/>
    <n v="0"/>
    <m/>
    <m/>
    <m/>
    <m/>
    <m/>
    <m/>
    <m/>
    <m/>
    <m/>
    <m/>
    <m/>
    <m/>
    <m/>
    <s v="1"/>
    <s v="1"/>
    <s v="0"/>
    <n v="2"/>
  </r>
  <r>
    <n v="2588736"/>
    <s v="Extrême-Nord"/>
    <s v="CMR004"/>
    <x v="0"/>
    <s v="CMR004001"/>
    <s v="Petté"/>
    <s v="CMR004001003"/>
    <s v="PET-0021"/>
    <s v="MOURGOUT"/>
    <m/>
    <x v="1"/>
    <n v="10.9217943"/>
    <n v="14.6016295"/>
    <x v="0"/>
    <b v="1"/>
    <b v="0"/>
    <b v="1"/>
    <m/>
    <n v="3"/>
    <s v="Accessible"/>
    <m/>
    <s v="Le village accueille une population"/>
    <s v="Le village est intact (construit)"/>
    <m/>
    <m/>
    <s v="Oui"/>
    <s v="Familles d'accueil"/>
    <s v="Non, pas du tout"/>
    <s v="Non"/>
    <m/>
    <n v="9"/>
    <n v="253"/>
    <s v="Oui"/>
    <s v="Premier déplacement"/>
    <n v="9"/>
    <n v="98"/>
    <n v="40"/>
    <n v="58"/>
    <n v="0"/>
    <n v="9"/>
    <n v="0"/>
    <n v="0"/>
    <m/>
    <m/>
    <n v="0"/>
    <n v="0"/>
    <m/>
    <m/>
    <n v="0"/>
    <s v="Il y'a augmentation de 3 idps suite à la naissance "/>
    <s v="Oui"/>
    <n v="2"/>
    <n v="16"/>
    <n v="8"/>
    <n v="8"/>
    <n v="2"/>
    <n v="0"/>
    <n v="0"/>
    <m/>
    <n v="0"/>
    <n v="0"/>
    <m/>
    <m/>
    <n v="0"/>
    <n v="2"/>
    <s v="16"/>
    <s v="Non"/>
    <m/>
    <m/>
    <m/>
    <m/>
    <m/>
    <m/>
    <m/>
    <m/>
    <m/>
    <m/>
    <m/>
    <m/>
    <m/>
    <m/>
    <m/>
    <m/>
    <m/>
    <m/>
    <m/>
    <m/>
    <n v="0"/>
    <m/>
    <m/>
    <m/>
    <m/>
    <m/>
    <m/>
    <m/>
    <m/>
    <m/>
    <m/>
    <m/>
    <m/>
    <m/>
    <s v="1"/>
    <s v="1"/>
    <s v="0"/>
    <n v="2"/>
  </r>
  <r>
    <n v="2602003"/>
    <s v="Extrême-Nord"/>
    <s v="CMR004"/>
    <x v="0"/>
    <s v="CMR004001"/>
    <s v="Petté"/>
    <s v="CMR004001003"/>
    <s v="PET-0022"/>
    <s v="NDJAMENA"/>
    <m/>
    <x v="1"/>
    <n v="10.9867042"/>
    <n v="14.488116"/>
    <x v="0"/>
    <b v="1"/>
    <b v="0"/>
    <b v="1"/>
    <m/>
    <n v="3"/>
    <s v="Accessible"/>
    <m/>
    <s v="Le village accueille une population"/>
    <s v="Le village est intact (construit)"/>
    <m/>
    <m/>
    <s v="Oui"/>
    <s v="Familles d'accueil"/>
    <s v="Non, pas du tout"/>
    <s v="Non"/>
    <m/>
    <n v="3"/>
    <n v="311"/>
    <s v="Oui"/>
    <s v="Premier déplacement"/>
    <n v="3"/>
    <n v="23"/>
    <n v="10"/>
    <n v="13"/>
    <n v="0"/>
    <n v="3"/>
    <n v="0"/>
    <n v="0"/>
    <m/>
    <m/>
    <n v="0"/>
    <n v="0"/>
    <m/>
    <m/>
    <n v="0"/>
    <s v="Constant pas de changement concernant les Idps du village "/>
    <s v="Non"/>
    <m/>
    <m/>
    <m/>
    <m/>
    <m/>
    <m/>
    <m/>
    <m/>
    <m/>
    <m/>
    <m/>
    <m/>
    <m/>
    <m/>
    <m/>
    <s v="Non"/>
    <m/>
    <m/>
    <m/>
    <m/>
    <m/>
    <m/>
    <m/>
    <m/>
    <m/>
    <m/>
    <m/>
    <m/>
    <m/>
    <m/>
    <m/>
    <m/>
    <m/>
    <m/>
    <m/>
    <m/>
    <n v="0"/>
    <m/>
    <m/>
    <m/>
    <m/>
    <m/>
    <m/>
    <m/>
    <m/>
    <m/>
    <m/>
    <m/>
    <m/>
    <m/>
    <s v="1"/>
    <s v="0"/>
    <s v="0"/>
    <n v="1"/>
  </r>
  <r>
    <n v="2533134"/>
    <s v="Extrême-Nord"/>
    <s v="CMR004"/>
    <x v="0"/>
    <s v="CMR004001"/>
    <s v="Petté"/>
    <s v="CMR004001003"/>
    <s v="PET-0023"/>
    <s v="NIWADJI"/>
    <m/>
    <x v="1"/>
    <n v="11.0449035"/>
    <n v="14.435389199999999"/>
    <x v="0"/>
    <b v="1"/>
    <b v="0"/>
    <b v="0"/>
    <m/>
    <n v="3"/>
    <s v="Accessible"/>
    <m/>
    <s v="Le village accueille une population"/>
    <s v="Le village est intact (construit)"/>
    <m/>
    <m/>
    <s v="Oui"/>
    <s v="Familles d'accueil"/>
    <s v="Non, pas du tout"/>
    <s v="Non"/>
    <m/>
    <n v="6"/>
    <n v="735"/>
    <s v="Oui"/>
    <s v="Premier déplacement"/>
    <n v="6"/>
    <n v="44"/>
    <n v="20"/>
    <n v="24"/>
    <n v="2"/>
    <n v="4"/>
    <n v="0"/>
    <n v="0"/>
    <m/>
    <m/>
    <n v="0"/>
    <n v="0"/>
    <m/>
    <m/>
    <n v="0"/>
    <s v="Pas de changement. Mais à la suite de formulaire j'ai commis  l'erreur en cochant 3 périodes au lieu de  une seule dont la tablette à mémorisé d'où vous allez constater la différence de 2 individus au de 44 individus déclarés c'est 46."/>
    <s v="Non"/>
    <m/>
    <m/>
    <m/>
    <m/>
    <m/>
    <m/>
    <m/>
    <m/>
    <m/>
    <m/>
    <m/>
    <m/>
    <m/>
    <m/>
    <m/>
    <s v="Non"/>
    <m/>
    <m/>
    <m/>
    <m/>
    <m/>
    <m/>
    <m/>
    <m/>
    <m/>
    <m/>
    <m/>
    <m/>
    <m/>
    <m/>
    <m/>
    <m/>
    <m/>
    <m/>
    <m/>
    <m/>
    <n v="0"/>
    <m/>
    <m/>
    <m/>
    <m/>
    <m/>
    <m/>
    <m/>
    <m/>
    <m/>
    <m/>
    <m/>
    <m/>
    <m/>
    <s v="1"/>
    <s v="0"/>
    <s v="0"/>
    <n v="1"/>
  </r>
  <r>
    <n v="2533508"/>
    <s v="Extrême-Nord"/>
    <s v="CMR004"/>
    <x v="0"/>
    <s v="CMR004001"/>
    <s v="Petté"/>
    <s v="CMR004001003"/>
    <s v="PET-0024"/>
    <s v="PETTE CENTRE"/>
    <m/>
    <x v="0"/>
    <n v="10.975389399999999"/>
    <n v="14.4958072"/>
    <x v="0"/>
    <b v="1"/>
    <b v="0"/>
    <b v="0"/>
    <m/>
    <n v="3"/>
    <s v="Accessible"/>
    <m/>
    <s v="Le village accueille une population"/>
    <s v="Le village est intact (construit)"/>
    <m/>
    <m/>
    <s v="Oui"/>
    <s v="Familles d'accueil"/>
    <s v="Location"/>
    <s v="Non"/>
    <m/>
    <n v="19"/>
    <n v="3010"/>
    <s v="Oui"/>
    <s v="Premier déplacement"/>
    <n v="19"/>
    <n v="127"/>
    <n v="49"/>
    <n v="78"/>
    <n v="0"/>
    <n v="5"/>
    <n v="0"/>
    <n v="14"/>
    <s v="Chez une famille d'accueil (contre loyer)"/>
    <m/>
    <n v="0"/>
    <n v="0"/>
    <m/>
    <m/>
    <n v="0"/>
    <s v="Il y'a augmentation de deux naissances "/>
    <s v="Non"/>
    <m/>
    <m/>
    <m/>
    <m/>
    <m/>
    <m/>
    <m/>
    <m/>
    <m/>
    <m/>
    <m/>
    <m/>
    <m/>
    <m/>
    <m/>
    <s v="Non"/>
    <m/>
    <m/>
    <m/>
    <m/>
    <m/>
    <m/>
    <m/>
    <m/>
    <m/>
    <m/>
    <m/>
    <m/>
    <m/>
    <m/>
    <m/>
    <m/>
    <m/>
    <m/>
    <m/>
    <m/>
    <n v="0"/>
    <m/>
    <m/>
    <m/>
    <m/>
    <m/>
    <m/>
    <m/>
    <m/>
    <m/>
    <m/>
    <m/>
    <m/>
    <m/>
    <s v="1"/>
    <s v="0"/>
    <s v="0"/>
    <n v="1"/>
  </r>
  <r>
    <n v="2533542"/>
    <s v="Extrême-Nord"/>
    <s v="CMR004"/>
    <x v="0"/>
    <s v="CMR004001"/>
    <s v="Petté"/>
    <s v="CMR004001003"/>
    <s v="PET-0025"/>
    <s v="SALAME ALIOUM"/>
    <m/>
    <x v="1"/>
    <n v="11.026663299999999"/>
    <n v="14.4566926"/>
    <x v="0"/>
    <b v="1"/>
    <b v="0"/>
    <b v="0"/>
    <m/>
    <n v="3"/>
    <s v="Accessible"/>
    <m/>
    <s v="Le village accueille une population"/>
    <s v="Le village est intact (construit)"/>
    <m/>
    <m/>
    <s v="Oui"/>
    <s v="Familles d'accueil"/>
    <s v="Non, pas du tout"/>
    <s v="Non"/>
    <m/>
    <n v="3"/>
    <n v="655"/>
    <s v="Oui"/>
    <s v="Premier déplacement"/>
    <n v="3"/>
    <n v="27"/>
    <n v="10"/>
    <n v="17"/>
    <n v="0"/>
    <n v="3"/>
    <n v="0"/>
    <n v="0"/>
    <m/>
    <m/>
    <n v="0"/>
    <n v="0"/>
    <m/>
    <m/>
    <n v="0"/>
    <s v="Pas de changement "/>
    <s v="Non"/>
    <m/>
    <m/>
    <m/>
    <m/>
    <m/>
    <m/>
    <m/>
    <m/>
    <m/>
    <m/>
    <m/>
    <m/>
    <m/>
    <m/>
    <m/>
    <s v="Non"/>
    <m/>
    <m/>
    <m/>
    <m/>
    <m/>
    <m/>
    <m/>
    <m/>
    <m/>
    <m/>
    <m/>
    <m/>
    <m/>
    <m/>
    <m/>
    <m/>
    <m/>
    <m/>
    <m/>
    <m/>
    <n v="0"/>
    <m/>
    <m/>
    <m/>
    <m/>
    <m/>
    <m/>
    <m/>
    <m/>
    <m/>
    <m/>
    <m/>
    <m/>
    <m/>
    <s v="1"/>
    <s v="0"/>
    <s v="0"/>
    <n v="1"/>
  </r>
  <r>
    <n v="2605730"/>
    <s v="Extrême-Nord"/>
    <s v="CMR004"/>
    <x v="0"/>
    <s v="CMR004001"/>
    <s v="Petté"/>
    <s v="CMR004001003"/>
    <s v="PET-0035"/>
    <s v="SITE DE ADOUMER"/>
    <m/>
    <x v="1"/>
    <n v="10.9593203"/>
    <n v="14.6166356"/>
    <x v="1"/>
    <b v="1"/>
    <b v="0"/>
    <b v="1"/>
    <m/>
    <n v="3"/>
    <s v="Accessible"/>
    <m/>
    <s v="Le village accueille une population"/>
    <s v="Le village est intact (construit)"/>
    <m/>
    <m/>
    <s v="Oui"/>
    <s v="Sites de déplacement spontanés"/>
    <s v="Non, pas du tout"/>
    <m/>
    <m/>
    <n v="30"/>
    <n v="235"/>
    <s v="Oui"/>
    <s v="Premier déplacement"/>
    <n v="30"/>
    <n v="235"/>
    <n v="99"/>
    <n v="136"/>
    <n v="0"/>
    <n v="0"/>
    <n v="0"/>
    <n v="0"/>
    <m/>
    <m/>
    <n v="0"/>
    <n v="30"/>
    <s v="Bâche"/>
    <m/>
    <n v="0"/>
    <s v="Il y'a diminution de  9 ménages et 71 individus ils sont répartis chez-eux à  Ablamkaï dans le canton de zina  arrondissement de zina département de logone et chari ."/>
    <s v="Non"/>
    <m/>
    <m/>
    <m/>
    <m/>
    <m/>
    <m/>
    <m/>
    <m/>
    <m/>
    <m/>
    <m/>
    <m/>
    <m/>
    <m/>
    <m/>
    <s v="Non"/>
    <m/>
    <m/>
    <m/>
    <m/>
    <m/>
    <m/>
    <m/>
    <m/>
    <m/>
    <m/>
    <m/>
    <m/>
    <m/>
    <m/>
    <m/>
    <m/>
    <m/>
    <m/>
    <m/>
    <m/>
    <n v="0"/>
    <m/>
    <m/>
    <m/>
    <m/>
    <m/>
    <m/>
    <m/>
    <m/>
    <m/>
    <m/>
    <m/>
    <m/>
    <m/>
    <s v="1"/>
    <s v="0"/>
    <s v="0"/>
    <n v="1"/>
  </r>
  <r>
    <n v="2589302"/>
    <s v="Extrême-Nord"/>
    <s v="CMR004"/>
    <x v="0"/>
    <s v="CMR004001"/>
    <s v="Petté"/>
    <s v="CMR004001003"/>
    <s v="PET-0002"/>
    <s v="SITE DE DJABIRE"/>
    <m/>
    <x v="1"/>
    <n v="10.9821712"/>
    <n v="14.493572"/>
    <x v="1"/>
    <b v="1"/>
    <b v="0"/>
    <b v="1"/>
    <m/>
    <n v="3"/>
    <s v="Accessible"/>
    <m/>
    <s v="Le village accueille une population"/>
    <s v="Le village est intact (construit)"/>
    <m/>
    <m/>
    <s v="Oui"/>
    <s v="Sites de déplacement spontanés"/>
    <s v="Non, pas du tout"/>
    <m/>
    <m/>
    <m/>
    <n v="191"/>
    <s v="Non"/>
    <m/>
    <m/>
    <m/>
    <m/>
    <m/>
    <m/>
    <m/>
    <m/>
    <m/>
    <m/>
    <m/>
    <m/>
    <m/>
    <m/>
    <m/>
    <m/>
    <m/>
    <s v="Oui"/>
    <n v="18"/>
    <n v="191"/>
    <n v="84"/>
    <n v="107"/>
    <n v="0"/>
    <n v="0"/>
    <n v="0"/>
    <m/>
    <n v="0"/>
    <n v="18"/>
    <s v="Pagne"/>
    <m/>
    <n v="0"/>
    <n v="0"/>
    <s v="Dans le site de Djabiré il y a eu diminution de  2 ménages et 18 individus partis dans leurs pays depuis le mois de septembre 2022"/>
    <s v="Non"/>
    <m/>
    <m/>
    <m/>
    <m/>
    <m/>
    <m/>
    <m/>
    <m/>
    <m/>
    <m/>
    <m/>
    <m/>
    <m/>
    <m/>
    <m/>
    <m/>
    <m/>
    <m/>
    <m/>
    <m/>
    <n v="0"/>
    <m/>
    <m/>
    <m/>
    <m/>
    <m/>
    <m/>
    <m/>
    <m/>
    <m/>
    <m/>
    <m/>
    <m/>
    <m/>
    <s v="0"/>
    <s v="1"/>
    <s v="0"/>
    <n v="1"/>
  </r>
  <r>
    <n v="2542316"/>
    <s v="Extrême-Nord"/>
    <s v="CMR004"/>
    <x v="0"/>
    <s v="CMR004001"/>
    <s v="Petté"/>
    <s v="CMR004001003"/>
    <s v="PET-0014"/>
    <s v="SITE DE KONGHO 1"/>
    <m/>
    <x v="1"/>
    <n v="11.0235947"/>
    <n v="14.453322200000001"/>
    <x v="1"/>
    <b v="1"/>
    <b v="0"/>
    <b v="1"/>
    <m/>
    <n v="3"/>
    <s v="Accessible"/>
    <m/>
    <s v="Le village accueille une population"/>
    <s v="Le village est intact (construit)"/>
    <m/>
    <m/>
    <s v="Oui"/>
    <s v="Sites de déplacement spontanés"/>
    <s v="Non, pas du tout"/>
    <m/>
    <m/>
    <n v="20"/>
    <n v="99"/>
    <s v="Oui"/>
    <s v="Premier déplacement"/>
    <n v="20"/>
    <n v="99"/>
    <n v="49"/>
    <n v="50"/>
    <n v="0"/>
    <n v="20"/>
    <n v="0"/>
    <n v="0"/>
    <m/>
    <m/>
    <n v="0"/>
    <n v="0"/>
    <m/>
    <m/>
    <n v="0"/>
    <s v="Pas de changement dans ce site"/>
    <s v="Non"/>
    <m/>
    <m/>
    <m/>
    <m/>
    <m/>
    <m/>
    <m/>
    <m/>
    <m/>
    <m/>
    <m/>
    <m/>
    <m/>
    <m/>
    <m/>
    <s v="Non"/>
    <m/>
    <m/>
    <m/>
    <m/>
    <m/>
    <m/>
    <m/>
    <m/>
    <m/>
    <m/>
    <m/>
    <m/>
    <m/>
    <m/>
    <m/>
    <m/>
    <m/>
    <m/>
    <m/>
    <m/>
    <n v="0"/>
    <m/>
    <m/>
    <m/>
    <m/>
    <m/>
    <m/>
    <m/>
    <m/>
    <m/>
    <m/>
    <m/>
    <m/>
    <m/>
    <s v="1"/>
    <s v="0"/>
    <s v="0"/>
    <n v="1"/>
  </r>
  <r>
    <n v="2542317"/>
    <s v="Extrême-Nord"/>
    <s v="CMR004"/>
    <x v="0"/>
    <s v="CMR004001"/>
    <s v="Petté"/>
    <s v="CMR004001003"/>
    <s v="PET-0015"/>
    <s v="SITE DE KONGHO 2"/>
    <m/>
    <x v="1"/>
    <n v="11.0242886"/>
    <n v="14.4535141"/>
    <x v="1"/>
    <b v="1"/>
    <b v="0"/>
    <b v="1"/>
    <m/>
    <n v="3"/>
    <s v="Accessible"/>
    <m/>
    <s v="Le village accueille une population"/>
    <s v="Le village est intact (construit)"/>
    <m/>
    <m/>
    <s v="Oui"/>
    <s v="Sites de déplacement spontanés"/>
    <s v="Non, pas du tout"/>
    <m/>
    <m/>
    <n v="13"/>
    <n v="77"/>
    <s v="Oui"/>
    <s v="Premier déplacement"/>
    <n v="13"/>
    <n v="77"/>
    <n v="37"/>
    <n v="40"/>
    <n v="0"/>
    <n v="0"/>
    <n v="0"/>
    <n v="0"/>
    <m/>
    <m/>
    <n v="0"/>
    <n v="13"/>
    <s v="Pagne"/>
    <m/>
    <n v="0"/>
    <s v="Pas de changement dans ce site"/>
    <s v="Non"/>
    <m/>
    <m/>
    <m/>
    <m/>
    <m/>
    <m/>
    <m/>
    <m/>
    <m/>
    <m/>
    <m/>
    <m/>
    <m/>
    <m/>
    <m/>
    <s v="Non"/>
    <m/>
    <m/>
    <m/>
    <m/>
    <m/>
    <m/>
    <m/>
    <m/>
    <m/>
    <m/>
    <m/>
    <m/>
    <m/>
    <m/>
    <m/>
    <m/>
    <m/>
    <m/>
    <m/>
    <m/>
    <n v="0"/>
    <m/>
    <m/>
    <m/>
    <m/>
    <m/>
    <m/>
    <m/>
    <m/>
    <m/>
    <m/>
    <m/>
    <m/>
    <m/>
    <s v="1"/>
    <s v="0"/>
    <s v="0"/>
    <n v="1"/>
  </r>
  <r>
    <n v="2605731"/>
    <s v="Extrême-Nord"/>
    <s v="CMR004"/>
    <x v="0"/>
    <s v="CMR004001"/>
    <s v="Petté"/>
    <s v="CMR004001003"/>
    <s v="PET-0016"/>
    <s v="SITE DE KOURGNOUGNOU"/>
    <m/>
    <x v="1"/>
    <n v="10.977638199999999"/>
    <n v="14.4886868"/>
    <x v="1"/>
    <b v="1"/>
    <b v="0"/>
    <b v="1"/>
    <m/>
    <n v="3"/>
    <s v="Accessible"/>
    <m/>
    <s v="Le village accueille une population"/>
    <s v="Le village est intact (construit)"/>
    <m/>
    <m/>
    <s v="Oui"/>
    <s v="Sites de déplacement spontanés"/>
    <s v="Non, pas du tout"/>
    <m/>
    <m/>
    <n v="30"/>
    <n v="254"/>
    <s v="Oui"/>
    <s v="Premier déplacement"/>
    <n v="30"/>
    <n v="254"/>
    <n v="110"/>
    <n v="144"/>
    <n v="0"/>
    <n v="0"/>
    <n v="0"/>
    <n v="0"/>
    <m/>
    <m/>
    <n v="0"/>
    <n v="30"/>
    <s v="Bâche"/>
    <m/>
    <n v="0"/>
    <s v="Il faut les points d'eaux et les nécessaires pour faire les jardins potages"/>
    <s v="Non"/>
    <m/>
    <m/>
    <m/>
    <m/>
    <m/>
    <m/>
    <m/>
    <m/>
    <m/>
    <m/>
    <m/>
    <m/>
    <m/>
    <m/>
    <m/>
    <s v="Non"/>
    <m/>
    <m/>
    <m/>
    <m/>
    <m/>
    <m/>
    <m/>
    <m/>
    <m/>
    <m/>
    <m/>
    <m/>
    <m/>
    <m/>
    <m/>
    <m/>
    <m/>
    <m/>
    <m/>
    <m/>
    <n v="0"/>
    <m/>
    <m/>
    <m/>
    <m/>
    <m/>
    <m/>
    <m/>
    <m/>
    <m/>
    <m/>
    <m/>
    <m/>
    <m/>
    <s v="1"/>
    <s v="0"/>
    <s v="0"/>
    <n v="1"/>
  </r>
  <r>
    <n v="2617135"/>
    <s v="Extrême-Nord"/>
    <s v="CMR004"/>
    <x v="0"/>
    <s v="CMR004001"/>
    <s v="Petté"/>
    <s v="CMR004001003"/>
    <s v="PET-0030"/>
    <s v="SITE DE OURO HABIROU"/>
    <m/>
    <x v="1"/>
    <n v="10.929840499999999"/>
    <n v="14.574747"/>
    <x v="1"/>
    <b v="1"/>
    <b v="0"/>
    <b v="1"/>
    <m/>
    <n v="3"/>
    <s v="Accessible"/>
    <m/>
    <s v="Le village accueille une population"/>
    <s v="Le village est intact (construit)"/>
    <m/>
    <m/>
    <s v="Oui"/>
    <s v="Sites de déplacement spontanés"/>
    <s v="Non, pas du tout"/>
    <m/>
    <m/>
    <n v="17"/>
    <n v="140"/>
    <s v="Oui"/>
    <s v="Premier déplacement"/>
    <n v="17"/>
    <n v="140"/>
    <n v="60"/>
    <n v="80"/>
    <n v="0"/>
    <n v="0"/>
    <n v="0"/>
    <n v="0"/>
    <m/>
    <m/>
    <n v="0"/>
    <n v="17"/>
    <s v="Pagne"/>
    <m/>
    <n v="0"/>
    <s v="Pas de changement"/>
    <s v="Non"/>
    <m/>
    <m/>
    <m/>
    <m/>
    <m/>
    <m/>
    <m/>
    <m/>
    <m/>
    <m/>
    <m/>
    <m/>
    <m/>
    <m/>
    <m/>
    <s v="Non"/>
    <m/>
    <m/>
    <m/>
    <m/>
    <m/>
    <m/>
    <m/>
    <m/>
    <m/>
    <m/>
    <m/>
    <m/>
    <m/>
    <m/>
    <m/>
    <m/>
    <m/>
    <m/>
    <m/>
    <m/>
    <n v="0"/>
    <m/>
    <m/>
    <m/>
    <m/>
    <m/>
    <m/>
    <m/>
    <m/>
    <m/>
    <m/>
    <m/>
    <m/>
    <m/>
    <s v="1"/>
    <s v="0"/>
    <s v="0"/>
    <n v="1"/>
  </r>
  <r>
    <n v="2605735"/>
    <s v="Extrême-Nord"/>
    <s v="CMR004"/>
    <x v="0"/>
    <s v="CMR004001"/>
    <s v="Petté"/>
    <s v="CMR004001003"/>
    <s v="PET-0031"/>
    <s v="SITE DE TINI"/>
    <m/>
    <x v="1"/>
    <n v="11.0773891"/>
    <n v="14.467543900000001"/>
    <x v="1"/>
    <b v="1"/>
    <b v="0"/>
    <b v="1"/>
    <m/>
    <n v="3"/>
    <s v="Accessible"/>
    <m/>
    <s v="Le village accueille une population"/>
    <s v="Le village est intact (construit)"/>
    <m/>
    <m/>
    <s v="Oui"/>
    <s v="Sites de déplacement spontanés"/>
    <s v="Non, pas du tout"/>
    <m/>
    <m/>
    <m/>
    <n v="112"/>
    <s v="Non"/>
    <m/>
    <m/>
    <m/>
    <m/>
    <m/>
    <m/>
    <m/>
    <m/>
    <m/>
    <m/>
    <m/>
    <m/>
    <m/>
    <m/>
    <m/>
    <m/>
    <m/>
    <s v="Oui"/>
    <n v="19"/>
    <n v="112"/>
    <n v="58"/>
    <n v="54"/>
    <n v="0"/>
    <n v="0"/>
    <n v="0"/>
    <m/>
    <n v="0"/>
    <n v="19"/>
    <s v="Bâche"/>
    <m/>
    <n v="0"/>
    <n v="0"/>
    <s v="Les réfugiés ont besoin des intrants et les points d'eaux pour faire les activités agricoles "/>
    <s v="Non"/>
    <m/>
    <m/>
    <m/>
    <m/>
    <m/>
    <m/>
    <m/>
    <m/>
    <m/>
    <m/>
    <m/>
    <m/>
    <m/>
    <m/>
    <m/>
    <m/>
    <m/>
    <m/>
    <m/>
    <m/>
    <n v="0"/>
    <m/>
    <m/>
    <m/>
    <m/>
    <m/>
    <m/>
    <m/>
    <m/>
    <m/>
    <m/>
    <m/>
    <m/>
    <m/>
    <s v="0"/>
    <s v="1"/>
    <s v="0"/>
    <n v="1"/>
  </r>
  <r>
    <n v="2605734"/>
    <s v="Extrême-Nord"/>
    <s v="CMR004"/>
    <x v="0"/>
    <s v="CMR004001"/>
    <s v="Petté"/>
    <s v="CMR004001003"/>
    <s v="PET-0029"/>
    <s v="SITE DE ZAOUZAOU"/>
    <m/>
    <x v="1"/>
    <n v="11.0773616"/>
    <n v="14.467405599999999"/>
    <x v="1"/>
    <b v="1"/>
    <b v="0"/>
    <b v="0"/>
    <m/>
    <n v="3"/>
    <s v="Accessible"/>
    <m/>
    <s v="Le village accueille une population"/>
    <s v="Le village est intact (construit)"/>
    <m/>
    <m/>
    <s v="Oui"/>
    <s v="Familles d'accueil"/>
    <s v="Non, pas du tout"/>
    <m/>
    <m/>
    <n v="3"/>
    <n v="220"/>
    <s v="Oui"/>
    <s v="Premier déplacement"/>
    <n v="3"/>
    <n v="30"/>
    <n v="16"/>
    <n v="14"/>
    <n v="0"/>
    <n v="3"/>
    <n v="0"/>
    <n v="0"/>
    <m/>
    <m/>
    <n v="0"/>
    <n v="0"/>
    <m/>
    <m/>
    <n v="0"/>
    <s v="Les idps ont besoin d'assistance pour faire les activités agricoles et élevages"/>
    <s v="Non"/>
    <m/>
    <m/>
    <m/>
    <m/>
    <m/>
    <m/>
    <m/>
    <m/>
    <m/>
    <m/>
    <m/>
    <m/>
    <m/>
    <m/>
    <m/>
    <s v="Non"/>
    <m/>
    <m/>
    <m/>
    <m/>
    <m/>
    <m/>
    <m/>
    <m/>
    <m/>
    <m/>
    <m/>
    <m/>
    <m/>
    <m/>
    <m/>
    <m/>
    <m/>
    <m/>
    <m/>
    <m/>
    <n v="0"/>
    <m/>
    <m/>
    <m/>
    <m/>
    <m/>
    <m/>
    <m/>
    <m/>
    <m/>
    <m/>
    <m/>
    <m/>
    <m/>
    <s v="1"/>
    <s v="0"/>
    <s v="0"/>
    <n v="1"/>
  </r>
  <r>
    <n v="2605733"/>
    <s v="Extrême-Nord"/>
    <s v="CMR004"/>
    <x v="0"/>
    <s v="CMR004001"/>
    <s v="Petté"/>
    <s v="CMR004001003"/>
    <s v="PET-0036"/>
    <s v="TCHALGA"/>
    <m/>
    <x v="1"/>
    <n v="10.9753814"/>
    <n v="14.5075506"/>
    <x v="0"/>
    <b v="1"/>
    <b v="0"/>
    <b v="0"/>
    <m/>
    <n v="3"/>
    <s v="Accessible"/>
    <m/>
    <s v="Le village accueille une population"/>
    <s v="Le village est intact (construit)"/>
    <m/>
    <m/>
    <s v="Oui"/>
    <s v="Familles d'accueil"/>
    <s v="Non, pas du tout"/>
    <s v="Non"/>
    <m/>
    <n v="2"/>
    <n v="1000"/>
    <s v="Oui"/>
    <s v="Premier déplacement"/>
    <n v="2"/>
    <n v="11"/>
    <n v="6"/>
    <n v="5"/>
    <n v="0"/>
    <n v="2"/>
    <n v="0"/>
    <n v="0"/>
    <m/>
    <m/>
    <n v="0"/>
    <n v="0"/>
    <m/>
    <m/>
    <n v="0"/>
    <s v="Les idps du village ont besoin d'assistance pour faire les activités "/>
    <s v="Non"/>
    <m/>
    <m/>
    <m/>
    <m/>
    <m/>
    <m/>
    <m/>
    <m/>
    <m/>
    <m/>
    <m/>
    <m/>
    <m/>
    <m/>
    <m/>
    <s v="Non"/>
    <m/>
    <m/>
    <m/>
    <m/>
    <m/>
    <m/>
    <m/>
    <m/>
    <m/>
    <m/>
    <m/>
    <m/>
    <m/>
    <m/>
    <m/>
    <m/>
    <m/>
    <m/>
    <m/>
    <m/>
    <n v="0"/>
    <m/>
    <m/>
    <m/>
    <m/>
    <m/>
    <m/>
    <m/>
    <m/>
    <m/>
    <m/>
    <m/>
    <m/>
    <m/>
    <s v="1"/>
    <s v="0"/>
    <s v="0"/>
    <n v="1"/>
  </r>
  <r>
    <n v="2576191"/>
    <s v="Extrême-Nord"/>
    <s v="CMR004"/>
    <x v="0"/>
    <s v="CMR004001"/>
    <s v="Petté"/>
    <s v="CMR004001003"/>
    <s v="PET-0028"/>
    <s v="TERRO"/>
    <m/>
    <x v="1"/>
    <n v="11.024341400000001"/>
    <n v="14.453550699999999"/>
    <x v="0"/>
    <b v="1"/>
    <b v="0"/>
    <b v="1"/>
    <m/>
    <n v="3"/>
    <s v="Accessible"/>
    <m/>
    <s v="Le village accueille une population"/>
    <s v="Le village est intact (construit)"/>
    <m/>
    <m/>
    <s v="Oui"/>
    <s v="Familles d'accueil"/>
    <s v="Non, pas du tout"/>
    <s v="Non"/>
    <m/>
    <n v="8"/>
    <n v="280"/>
    <s v="Oui"/>
    <s v="Premier déplacement"/>
    <n v="8"/>
    <n v="53"/>
    <n v="21"/>
    <n v="32"/>
    <n v="0"/>
    <n v="8"/>
    <n v="0"/>
    <n v="0"/>
    <m/>
    <m/>
    <n v="0"/>
    <n v="0"/>
    <m/>
    <m/>
    <n v="0"/>
    <s v="Pas de changement. Mais la population hote et déplacés ont besoin d'aide sur le plan nutritionnel  et les intrants pour renforcer la capacité de leur agriculture. "/>
    <s v="Non"/>
    <m/>
    <m/>
    <m/>
    <m/>
    <m/>
    <m/>
    <m/>
    <m/>
    <m/>
    <m/>
    <m/>
    <m/>
    <m/>
    <m/>
    <m/>
    <s v="Non"/>
    <m/>
    <m/>
    <m/>
    <m/>
    <m/>
    <m/>
    <m/>
    <m/>
    <m/>
    <m/>
    <m/>
    <m/>
    <m/>
    <m/>
    <m/>
    <m/>
    <m/>
    <m/>
    <m/>
    <m/>
    <n v="0"/>
    <m/>
    <m/>
    <m/>
    <m/>
    <m/>
    <m/>
    <m/>
    <m/>
    <m/>
    <m/>
    <m/>
    <m/>
    <m/>
    <s v="1"/>
    <s v="0"/>
    <s v="0"/>
    <n v="1"/>
  </r>
  <r>
    <n v="2621475"/>
    <s v="Extrême-Nord"/>
    <s v="CMR004"/>
    <x v="0"/>
    <s v="CMR004001"/>
    <s v="Petté"/>
    <s v="CMR004001003"/>
    <s v="PET-0026"/>
    <s v="TOUTKA"/>
    <m/>
    <x v="1"/>
    <n v="10.9596363"/>
    <n v="14.6168479"/>
    <x v="0"/>
    <b v="1"/>
    <b v="0"/>
    <b v="1"/>
    <m/>
    <n v="3"/>
    <s v="Accessible"/>
    <m/>
    <s v="Le village accueille une population"/>
    <s v="Le village est intact (construit)"/>
    <m/>
    <m/>
    <s v="Oui"/>
    <s v="Familles d'accueil"/>
    <s v="Non, pas du tout"/>
    <s v="Non"/>
    <m/>
    <n v="3"/>
    <n v="163"/>
    <s v="Oui"/>
    <s v="Premier déplacement"/>
    <n v="3"/>
    <n v="21"/>
    <n v="10"/>
    <n v="11"/>
    <n v="0"/>
    <n v="3"/>
    <n v="0"/>
    <n v="0"/>
    <m/>
    <m/>
    <n v="0"/>
    <n v="0"/>
    <m/>
    <m/>
    <n v="0"/>
    <s v="Pas de changement"/>
    <s v="Non"/>
    <m/>
    <m/>
    <m/>
    <m/>
    <m/>
    <m/>
    <m/>
    <m/>
    <m/>
    <m/>
    <m/>
    <m/>
    <m/>
    <m/>
    <m/>
    <s v="Non"/>
    <m/>
    <m/>
    <m/>
    <m/>
    <m/>
    <m/>
    <m/>
    <m/>
    <m/>
    <m/>
    <m/>
    <m/>
    <m/>
    <m/>
    <m/>
    <m/>
    <m/>
    <m/>
    <m/>
    <m/>
    <n v="0"/>
    <m/>
    <m/>
    <m/>
    <m/>
    <m/>
    <m/>
    <m/>
    <m/>
    <m/>
    <m/>
    <m/>
    <m/>
    <m/>
    <s v="1"/>
    <s v="0"/>
    <s v="0"/>
    <n v="1"/>
  </r>
  <r>
    <n v="2660377"/>
    <s v="Extrême-Nord"/>
    <s v="CMR004"/>
    <x v="1"/>
    <s v="CMR004002"/>
    <s v="Blangoua"/>
    <s v="CMR004002003"/>
    <s v="XXXX"/>
    <s v="SITE DE DINDO"/>
    <s v="SITE DE DINDO"/>
    <x v="1"/>
    <n v="12.7538418"/>
    <n v="14.6087968"/>
    <x v="1"/>
    <b v="1"/>
    <b v="0"/>
    <b v="0"/>
    <m/>
    <n v="3"/>
    <s v="Accessible"/>
    <m/>
    <s v="Le village accueille une population"/>
    <s v="Le village est totalement détruit"/>
    <s v="Intempéries (inondations, tempêtes etc.)"/>
    <m/>
    <s v="Oui"/>
    <s v="Sites de déplacement spontanés"/>
    <s v="Non, pas du tout"/>
    <m/>
    <m/>
    <n v="29"/>
    <n v="116"/>
    <s v="Oui"/>
    <s v="Premier déplacement"/>
    <n v="29"/>
    <n v="116"/>
    <n v="46"/>
    <n v="70"/>
    <n v="0"/>
    <n v="0"/>
    <n v="0"/>
    <n v="0"/>
    <m/>
    <m/>
    <n v="0"/>
    <n v="29"/>
    <s v="Paille/Natte/Nylon"/>
    <m/>
    <n v="0"/>
    <s v="Les déplacés sont dans des difficultés inédites. Ils ont les problèmes et demande de l'aide en vivres et la construction de leur maison."/>
    <s v="Non"/>
    <m/>
    <m/>
    <m/>
    <m/>
    <m/>
    <m/>
    <m/>
    <m/>
    <m/>
    <m/>
    <m/>
    <m/>
    <m/>
    <m/>
    <m/>
    <s v="Non"/>
    <m/>
    <m/>
    <m/>
    <m/>
    <m/>
    <m/>
    <m/>
    <m/>
    <m/>
    <m/>
    <m/>
    <m/>
    <m/>
    <m/>
    <m/>
    <m/>
    <m/>
    <m/>
    <m/>
    <m/>
    <n v="0"/>
    <m/>
    <m/>
    <m/>
    <m/>
    <m/>
    <m/>
    <m/>
    <m/>
    <m/>
    <m/>
    <m/>
    <m/>
    <m/>
    <s v="1"/>
    <s v="0"/>
    <s v="0"/>
    <n v="1"/>
  </r>
  <r>
    <n v="2577860"/>
    <s v="Extrême-Nord"/>
    <s v="CMR004"/>
    <x v="1"/>
    <s v="CMR004002"/>
    <s v="Blangoua"/>
    <s v="CMR004002003"/>
    <s v="XXXX"/>
    <s v="SITE DE KEKAYA MADAICK "/>
    <s v="SITE DE KEKAYA MADAICK "/>
    <x v="1"/>
    <n v="12.8451419"/>
    <n v="14.537535999999999"/>
    <x v="1"/>
    <b v="0"/>
    <b v="1"/>
    <b v="0"/>
    <n v="6"/>
    <m/>
    <s v="Accessible"/>
    <m/>
    <s v="Le village accueille une population"/>
    <s v="Le village est intact (construit)"/>
    <m/>
    <m/>
    <s v="Oui"/>
    <s v="Sites de déplacement spontanés"/>
    <s v="Non, pas du tout"/>
    <m/>
    <m/>
    <n v="669"/>
    <n v="2285"/>
    <s v="Oui"/>
    <s v="Premier déplacement"/>
    <n v="669"/>
    <n v="2285"/>
    <n v="1000"/>
    <n v="1285"/>
    <n v="0"/>
    <n v="0"/>
    <n v="0"/>
    <n v="0"/>
    <m/>
    <m/>
    <n v="0"/>
    <n v="669"/>
    <s v="Paille/Natte/Nylon"/>
    <m/>
    <n v="0"/>
    <s v="Besoins en eau en cache en vivres "/>
    <s v="Non"/>
    <m/>
    <m/>
    <m/>
    <m/>
    <m/>
    <m/>
    <m/>
    <m/>
    <m/>
    <m/>
    <m/>
    <m/>
    <m/>
    <m/>
    <m/>
    <s v="Non"/>
    <m/>
    <m/>
    <m/>
    <m/>
    <m/>
    <m/>
    <m/>
    <m/>
    <m/>
    <m/>
    <m/>
    <m/>
    <m/>
    <m/>
    <m/>
    <m/>
    <m/>
    <m/>
    <m/>
    <m/>
    <n v="0"/>
    <m/>
    <m/>
    <m/>
    <m/>
    <m/>
    <m/>
    <m/>
    <m/>
    <m/>
    <m/>
    <m/>
    <m/>
    <m/>
    <s v="1"/>
    <s v="0"/>
    <s v="0"/>
    <n v="1"/>
  </r>
  <r>
    <n v="2590842"/>
    <s v="Extrême-Nord"/>
    <s v="CMR004"/>
    <x v="1"/>
    <s v="CMR004002"/>
    <s v="Blangoua"/>
    <s v="CMR004002003"/>
    <s v="XXXX"/>
    <s v="SITE DE MANGALME DOUGOUMACHI"/>
    <s v="SITE DE MANGALME DOUGOUMACHI"/>
    <x v="1"/>
    <n v="12.7978386"/>
    <n v="14.5394381"/>
    <x v="1"/>
    <b v="1"/>
    <b v="0"/>
    <b v="0"/>
    <m/>
    <n v="4"/>
    <s v="Accessible"/>
    <m/>
    <s v="Le village accueille une population"/>
    <s v="Le village est intact (construit)"/>
    <m/>
    <m/>
    <s v="Oui"/>
    <s v="Sites de déplacement spontanés"/>
    <s v="Non, pas du tout"/>
    <m/>
    <m/>
    <n v="130"/>
    <n v="800"/>
    <s v="Oui"/>
    <s v="Premier déplacement"/>
    <n v="130"/>
    <n v="800"/>
    <n v="350"/>
    <n v="450"/>
    <n v="0"/>
    <n v="0"/>
    <n v="0"/>
    <n v="0"/>
    <m/>
    <m/>
    <n v="0"/>
    <n v="130"/>
    <s v="Paille/Natte/Nylon"/>
    <m/>
    <n v="0"/>
    <s v="La population a intégré récemment ce site et ne se retrouve pas encore."/>
    <s v="Non"/>
    <m/>
    <m/>
    <m/>
    <m/>
    <m/>
    <m/>
    <m/>
    <m/>
    <m/>
    <m/>
    <m/>
    <m/>
    <m/>
    <m/>
    <m/>
    <s v="Non"/>
    <m/>
    <m/>
    <m/>
    <m/>
    <m/>
    <m/>
    <m/>
    <m/>
    <m/>
    <m/>
    <m/>
    <m/>
    <m/>
    <m/>
    <m/>
    <m/>
    <m/>
    <m/>
    <m/>
    <m/>
    <n v="0"/>
    <m/>
    <m/>
    <m/>
    <m/>
    <m/>
    <m/>
    <m/>
    <m/>
    <m/>
    <m/>
    <m/>
    <m/>
    <m/>
    <s v="1"/>
    <s v="0"/>
    <s v="0"/>
    <n v="1"/>
  </r>
  <r>
    <n v="2622924"/>
    <s v="Extrême-Nord"/>
    <s v="CMR004"/>
    <x v="1"/>
    <s v="CMR004002"/>
    <s v="Blangoua"/>
    <s v="CMR004002003"/>
    <s v="BLA-0001"/>
    <s v="ANDOURMAN"/>
    <m/>
    <x v="1"/>
    <n v="12.764057899999999"/>
    <n v="14.575610599999999"/>
    <x v="0"/>
    <b v="1"/>
    <b v="0"/>
    <b v="0"/>
    <m/>
    <n v="3"/>
    <s v="Accessible"/>
    <m/>
    <s v="Le village accueille une population"/>
    <s v="Le village est intact (construit)"/>
    <m/>
    <m/>
    <s v="Oui"/>
    <s v="Familles d'accueil"/>
    <s v="Non, pas du tout"/>
    <s v="Non"/>
    <m/>
    <n v="14"/>
    <n v="198"/>
    <s v="Oui"/>
    <s v="Premier déplacement"/>
    <n v="14"/>
    <n v="38"/>
    <n v="14"/>
    <n v="24"/>
    <n v="10"/>
    <n v="3"/>
    <n v="1"/>
    <n v="0"/>
    <m/>
    <m/>
    <n v="0"/>
    <n v="0"/>
    <m/>
    <m/>
    <n v="0"/>
    <s v="Il y'a 4 naissances  dans le idps"/>
    <s v="Oui"/>
    <n v="1"/>
    <n v="4"/>
    <n v="2"/>
    <n v="2"/>
    <n v="1"/>
    <n v="0"/>
    <n v="0"/>
    <m/>
    <n v="0"/>
    <n v="0"/>
    <m/>
    <m/>
    <n v="0"/>
    <n v="0"/>
    <s v="Réfugiés ne sont pas enregistré"/>
    <s v="Non"/>
    <m/>
    <m/>
    <m/>
    <m/>
    <m/>
    <m/>
    <m/>
    <m/>
    <m/>
    <m/>
    <m/>
    <m/>
    <m/>
    <m/>
    <m/>
    <m/>
    <m/>
    <m/>
    <m/>
    <m/>
    <n v="0"/>
    <m/>
    <m/>
    <m/>
    <m/>
    <m/>
    <m/>
    <m/>
    <m/>
    <m/>
    <m/>
    <m/>
    <m/>
    <m/>
    <s v="1"/>
    <s v="1"/>
    <s v="0"/>
    <n v="2"/>
  </r>
  <r>
    <n v="2587753"/>
    <s v="Extrême-Nord"/>
    <s v="CMR004"/>
    <x v="1"/>
    <s v="CMR004002"/>
    <s v="Blangoua"/>
    <s v="CMR004002003"/>
    <s v="BLA-0019"/>
    <s v="BLABINE"/>
    <m/>
    <x v="1"/>
    <n v="12.786101199999999"/>
    <n v="14.5455896"/>
    <x v="0"/>
    <b v="1"/>
    <b v="0"/>
    <b v="0"/>
    <m/>
    <n v="3"/>
    <s v="Accessible"/>
    <m/>
    <s v="Le village accueille une population"/>
    <s v="Le village est partiellement détruit"/>
    <s v="Intempéries (inondations, tempêtes etc.)"/>
    <m/>
    <s v="Oui"/>
    <s v="Familles d'accueil"/>
    <s v="Non, pas du tout"/>
    <s v="Non"/>
    <m/>
    <n v="7"/>
    <n v="450"/>
    <s v="Oui"/>
    <s v="Premier déplacement"/>
    <n v="7"/>
    <n v="28"/>
    <n v="8"/>
    <n v="20"/>
    <n v="4"/>
    <n v="2"/>
    <n v="1"/>
    <n v="0"/>
    <m/>
    <m/>
    <n v="0"/>
    <n v="0"/>
    <m/>
    <m/>
    <n v="0"/>
    <s v="Ils ne sont pas enregistré la plupart"/>
    <s v="Oui"/>
    <n v="2"/>
    <n v="5"/>
    <n v="3"/>
    <n v="2"/>
    <n v="2"/>
    <n v="0"/>
    <n v="0"/>
    <m/>
    <n v="0"/>
    <n v="0"/>
    <m/>
    <m/>
    <n v="0"/>
    <n v="0"/>
    <s v="Réfugiés  ne sont pas enregistré"/>
    <s v="Non"/>
    <m/>
    <m/>
    <m/>
    <m/>
    <m/>
    <m/>
    <m/>
    <m/>
    <m/>
    <m/>
    <m/>
    <m/>
    <m/>
    <m/>
    <m/>
    <m/>
    <m/>
    <m/>
    <m/>
    <m/>
    <n v="2"/>
    <m/>
    <m/>
    <m/>
    <m/>
    <m/>
    <m/>
    <m/>
    <m/>
    <m/>
    <m/>
    <m/>
    <m/>
    <m/>
    <s v="1"/>
    <s v="1"/>
    <s v="0"/>
    <n v="2"/>
  </r>
  <r>
    <n v="2622926"/>
    <s v="Extrême-Nord"/>
    <s v="CMR004"/>
    <x v="1"/>
    <s v="CMR004002"/>
    <s v="Blangoua"/>
    <s v="CMR004002003"/>
    <s v="BLA-0002"/>
    <s v="BLANGOUA"/>
    <m/>
    <x v="0"/>
    <n v="12.771837100000001"/>
    <n v="14.5571723"/>
    <x v="0"/>
    <b v="1"/>
    <b v="0"/>
    <b v="0"/>
    <m/>
    <n v="3"/>
    <s v="Accessible"/>
    <m/>
    <s v="Le village accueille une population"/>
    <s v="Le village est intact (construit)"/>
    <m/>
    <m/>
    <s v="Oui"/>
    <s v="Familles d'accueil"/>
    <s v="Non, pas du tout"/>
    <s v="Non"/>
    <m/>
    <n v="900"/>
    <n v="24500"/>
    <s v="Oui"/>
    <s v="Premier déplacement"/>
    <n v="900"/>
    <n v="5010"/>
    <n v="1504"/>
    <n v="3506"/>
    <n v="450"/>
    <n v="200"/>
    <n v="100"/>
    <n v="100"/>
    <s v="Logement indépendant (Maison indépendante)"/>
    <m/>
    <n v="0"/>
    <n v="30"/>
    <s v="Terre cuite/Terre battue"/>
    <m/>
    <n v="20"/>
    <s v="La plupart des déplacées ont payé le terrain"/>
    <s v="Oui"/>
    <n v="152"/>
    <n v="410"/>
    <n v="102"/>
    <n v="308"/>
    <n v="80"/>
    <n v="32"/>
    <n v="20"/>
    <s v="Chez une famille d'accueil (contre loyer)"/>
    <n v="0"/>
    <n v="10"/>
    <s v="Pagne"/>
    <m/>
    <n v="10"/>
    <n v="50"/>
    <s v="Certains ménages ne sont pas enregistré"/>
    <s v="Oui"/>
    <n v="140"/>
    <n v="500"/>
    <n v="170"/>
    <n v="330"/>
    <s v="5 ans ou plus"/>
    <n v="100"/>
    <n v="10"/>
    <n v="20"/>
    <n v="0"/>
    <n v="10"/>
    <s v="Logement indépendant (Maison indépendante)"/>
    <n v="0"/>
    <n v="0"/>
    <m/>
    <n v="0"/>
    <m/>
    <m/>
    <m/>
    <m/>
    <m/>
    <n v="30"/>
    <m/>
    <m/>
    <m/>
    <m/>
    <m/>
    <m/>
    <m/>
    <m/>
    <m/>
    <m/>
    <m/>
    <m/>
    <m/>
    <s v="1"/>
    <s v="1"/>
    <s v="1"/>
    <n v="3"/>
  </r>
  <r>
    <n v="2627335"/>
    <s v="Extrême-Nord"/>
    <s v="CMR004"/>
    <x v="1"/>
    <s v="CMR004002"/>
    <s v="Blangoua"/>
    <s v="CMR004002003"/>
    <s v="BLA-0004"/>
    <s v="BLARAM"/>
    <m/>
    <x v="1"/>
    <n v="12.9006781"/>
    <n v="14.4532249"/>
    <x v="0"/>
    <b v="1"/>
    <b v="0"/>
    <b v="0"/>
    <m/>
    <n v="3"/>
    <s v="Accessible"/>
    <m/>
    <s v="Le village accueille une population"/>
    <s v="Le village est intact (construit)"/>
    <m/>
    <m/>
    <s v="Oui"/>
    <s v="Familles d'accueil"/>
    <s v="Non, pas du tout"/>
    <s v="Non"/>
    <m/>
    <n v="6"/>
    <n v="335"/>
    <s v="Oui"/>
    <s v="Premier déplacement"/>
    <n v="6"/>
    <n v="46"/>
    <n v="20"/>
    <n v="26"/>
    <n v="0"/>
    <n v="6"/>
    <n v="0"/>
    <n v="0"/>
    <m/>
    <m/>
    <n v="0"/>
    <n v="0"/>
    <m/>
    <m/>
    <n v="0"/>
    <s v="La pêche est menacé au lac pas de moyens pour survivre, manque d'assistance humanitaire dans notre localité , naissances 5 "/>
    <s v="Non"/>
    <m/>
    <m/>
    <m/>
    <m/>
    <m/>
    <m/>
    <m/>
    <m/>
    <m/>
    <m/>
    <m/>
    <m/>
    <m/>
    <m/>
    <m/>
    <s v="Non"/>
    <m/>
    <m/>
    <m/>
    <m/>
    <m/>
    <m/>
    <m/>
    <m/>
    <m/>
    <m/>
    <m/>
    <m/>
    <m/>
    <m/>
    <m/>
    <m/>
    <m/>
    <m/>
    <m/>
    <m/>
    <n v="0"/>
    <m/>
    <m/>
    <m/>
    <m/>
    <m/>
    <m/>
    <m/>
    <m/>
    <m/>
    <m/>
    <m/>
    <m/>
    <m/>
    <s v="1"/>
    <s v="0"/>
    <s v="0"/>
    <n v="1"/>
  </r>
  <r>
    <n v="2631741"/>
    <s v="Extrême-Nord"/>
    <s v="CMR004"/>
    <x v="1"/>
    <s v="CMR004002"/>
    <s v="Blangoua"/>
    <s v="CMR004002003"/>
    <s v="BLA-0027"/>
    <s v="BLARAM SIGNAKA"/>
    <m/>
    <x v="1"/>
    <n v="12.904188100000001"/>
    <n v="14.4548945"/>
    <x v="0"/>
    <b v="1"/>
    <b v="0"/>
    <b v="0"/>
    <m/>
    <n v="4"/>
    <s v="Accessible"/>
    <m/>
    <s v="Le village accueille une population"/>
    <s v="Le village est intact (construit)"/>
    <m/>
    <m/>
    <s v="Oui"/>
    <s v="Familles d'accueil"/>
    <s v="Non, pas du tout"/>
    <s v="Non"/>
    <m/>
    <n v="4"/>
    <n v="248"/>
    <s v="Oui"/>
    <s v="Premier déplacement"/>
    <n v="4"/>
    <n v="28"/>
    <n v="13"/>
    <n v="15"/>
    <n v="0"/>
    <n v="4"/>
    <n v="0"/>
    <n v="0"/>
    <m/>
    <m/>
    <n v="0"/>
    <n v="0"/>
    <m/>
    <m/>
    <n v="0"/>
    <s v="Il y a eu réduction  de 1 ménage qui est retourné  à darack soit  7 individus. Donc sur 28 déplacés il reste 21 individus  ,besoin de  vivre. Électricité. Et cash"/>
    <s v="Non"/>
    <m/>
    <m/>
    <m/>
    <m/>
    <m/>
    <m/>
    <m/>
    <m/>
    <m/>
    <m/>
    <m/>
    <m/>
    <m/>
    <m/>
    <m/>
    <s v="Non"/>
    <m/>
    <m/>
    <m/>
    <m/>
    <m/>
    <m/>
    <m/>
    <m/>
    <m/>
    <m/>
    <m/>
    <m/>
    <m/>
    <m/>
    <m/>
    <m/>
    <m/>
    <m/>
    <m/>
    <m/>
    <n v="0"/>
    <m/>
    <m/>
    <m/>
    <m/>
    <m/>
    <m/>
    <m/>
    <m/>
    <m/>
    <m/>
    <m/>
    <m/>
    <m/>
    <s v="1"/>
    <s v="0"/>
    <s v="0"/>
    <n v="1"/>
  </r>
  <r>
    <n v="2636394"/>
    <s v="Extrême-Nord"/>
    <s v="CMR004"/>
    <x v="1"/>
    <s v="CMR004002"/>
    <s v="Blangoua"/>
    <s v="CMR004002003"/>
    <s v="BLA-0005"/>
    <s v="CHAOUE"/>
    <m/>
    <x v="1"/>
    <n v="12.7161595"/>
    <n v="14.6721875"/>
    <x v="0"/>
    <b v="1"/>
    <b v="0"/>
    <b v="0"/>
    <m/>
    <n v="3"/>
    <s v="Accessible"/>
    <m/>
    <s v="Le village accueille une population"/>
    <s v="Le village est intact (construit)"/>
    <m/>
    <m/>
    <s v="Oui"/>
    <s v="Familles d'accueil"/>
    <s v="Non, pas du tout"/>
    <s v="Non"/>
    <m/>
    <n v="22"/>
    <n v="694"/>
    <s v="Oui"/>
    <s v="Premier déplacement"/>
    <n v="22"/>
    <n v="39"/>
    <n v="12"/>
    <n v="27"/>
    <n v="22"/>
    <n v="0"/>
    <n v="0"/>
    <n v="0"/>
    <m/>
    <m/>
    <n v="0"/>
    <n v="0"/>
    <m/>
    <m/>
    <n v="0"/>
    <s v="Par la cherté de la vie deux ménages de déplacés sont rentrés à fotokol pour se chercher."/>
    <s v="Non"/>
    <m/>
    <m/>
    <m/>
    <m/>
    <m/>
    <m/>
    <m/>
    <m/>
    <m/>
    <m/>
    <m/>
    <m/>
    <m/>
    <m/>
    <m/>
    <s v="Non"/>
    <m/>
    <m/>
    <m/>
    <m/>
    <m/>
    <m/>
    <m/>
    <m/>
    <m/>
    <m/>
    <m/>
    <m/>
    <m/>
    <m/>
    <m/>
    <m/>
    <m/>
    <m/>
    <m/>
    <m/>
    <n v="0"/>
    <m/>
    <m/>
    <m/>
    <m/>
    <m/>
    <m/>
    <m/>
    <m/>
    <m/>
    <m/>
    <m/>
    <m/>
    <m/>
    <s v="1"/>
    <s v="0"/>
    <s v="0"/>
    <n v="1"/>
  </r>
  <r>
    <n v="2605362"/>
    <s v="Extrême-Nord"/>
    <s v="CMR004"/>
    <x v="1"/>
    <s v="CMR004002"/>
    <s v="Blangoua"/>
    <s v="CMR004002003"/>
    <s v="BLA-0022"/>
    <s v="DOR IMAR"/>
    <m/>
    <x v="1"/>
    <n v="12.821731700000001"/>
    <n v="14.5029413"/>
    <x v="0"/>
    <b v="1"/>
    <b v="0"/>
    <b v="0"/>
    <m/>
    <n v="3"/>
    <s v="Accessible"/>
    <m/>
    <s v="Le village accueille une population"/>
    <s v="Le village est intact (construit)"/>
    <m/>
    <m/>
    <s v="Oui"/>
    <s v="Familles d'accueil"/>
    <s v="Non, pas du tout"/>
    <s v="Non"/>
    <m/>
    <n v="7"/>
    <n v="315"/>
    <s v="Oui"/>
    <s v="Premier déplacement"/>
    <n v="7"/>
    <n v="35"/>
    <n v="15"/>
    <n v="20"/>
    <n v="5"/>
    <n v="2"/>
    <n v="0"/>
    <n v="0"/>
    <m/>
    <m/>
    <n v="0"/>
    <n v="0"/>
    <m/>
    <m/>
    <n v="0"/>
    <s v="Les idps  n'ont jamais bénéficie l'assistance"/>
    <s v="Oui"/>
    <n v="2"/>
    <n v="8"/>
    <n v="2"/>
    <n v="6"/>
    <n v="2"/>
    <n v="0"/>
    <n v="0"/>
    <m/>
    <n v="0"/>
    <n v="0"/>
    <m/>
    <m/>
    <n v="0"/>
    <n v="0"/>
    <s v="Ras"/>
    <s v="Non"/>
    <m/>
    <m/>
    <m/>
    <m/>
    <m/>
    <m/>
    <m/>
    <m/>
    <m/>
    <m/>
    <m/>
    <m/>
    <m/>
    <m/>
    <m/>
    <m/>
    <m/>
    <m/>
    <m/>
    <m/>
    <n v="0"/>
    <m/>
    <m/>
    <m/>
    <m/>
    <m/>
    <m/>
    <m/>
    <m/>
    <m/>
    <m/>
    <m/>
    <m/>
    <m/>
    <s v="1"/>
    <s v="1"/>
    <s v="0"/>
    <n v="2"/>
  </r>
  <r>
    <n v="2590841"/>
    <s v="Extrême-Nord"/>
    <s v="CMR004"/>
    <x v="1"/>
    <s v="CMR004002"/>
    <s v="Blangoua"/>
    <s v="CMR004002003"/>
    <s v="BLA-0018"/>
    <s v="DOUGOUMACHI"/>
    <m/>
    <x v="1"/>
    <n v="12.7974461"/>
    <n v="14.544953899999999"/>
    <x v="0"/>
    <b v="1"/>
    <b v="0"/>
    <b v="0"/>
    <m/>
    <n v="3"/>
    <s v="Accessible"/>
    <m/>
    <s v="Le village accueille une population"/>
    <s v="Le village est intact (construit)"/>
    <m/>
    <m/>
    <s v="Oui"/>
    <s v="Familles d'accueil"/>
    <s v="Location"/>
    <s v="Oui"/>
    <n v="1"/>
    <n v="20"/>
    <n v="1719"/>
    <s v="Oui"/>
    <s v="Premier déplacement"/>
    <n v="20"/>
    <n v="35"/>
    <n v="15"/>
    <n v="20"/>
    <n v="5"/>
    <n v="0"/>
    <n v="3"/>
    <n v="7"/>
    <s v="Logement indépendant (Maison indépendante)"/>
    <m/>
    <n v="0"/>
    <n v="5"/>
    <s v="Paille/Natte/Nylon"/>
    <m/>
    <n v="0"/>
    <s v="Au moment des distributions dans le village certains individus viennent d'ailleurs par complicité et bénéficient au nom du village et repartent dans leurs villages respectifs laissant les vrais bénéficiaires dans l'impasse.  Et nous n'avons pas une éducation et soins de qualité."/>
    <s v="Oui"/>
    <n v="10"/>
    <n v="120"/>
    <n v="45"/>
    <n v="75"/>
    <n v="0"/>
    <n v="0"/>
    <n v="8"/>
    <s v="Logement indépendant (Maison indépendante)"/>
    <n v="0"/>
    <n v="2"/>
    <s v="Paille/Natte/Nylon"/>
    <m/>
    <n v="0"/>
    <n v="0"/>
    <s v="Ils sont là dans la localité se battent au quotidien mais l cherté de la vie gagne tout le monde."/>
    <s v="Oui"/>
    <n v="35"/>
    <n v="40"/>
    <n v="15"/>
    <n v="25"/>
    <s v="Entre 1 et 5 ans"/>
    <n v="10"/>
    <n v="18"/>
    <n v="7"/>
    <n v="0"/>
    <n v="0"/>
    <m/>
    <n v="0"/>
    <n v="0"/>
    <m/>
    <n v="0"/>
    <m/>
    <m/>
    <m/>
    <m/>
    <m/>
    <n v="0"/>
    <m/>
    <m/>
    <m/>
    <m/>
    <m/>
    <m/>
    <m/>
    <m/>
    <m/>
    <m/>
    <m/>
    <m/>
    <m/>
    <s v="1"/>
    <s v="1"/>
    <s v="1"/>
    <n v="3"/>
  </r>
  <r>
    <n v="2615554"/>
    <s v="Extrême-Nord"/>
    <s v="CMR004"/>
    <x v="1"/>
    <s v="CMR004002"/>
    <s v="Blangoua"/>
    <s v="CMR004002003"/>
    <s v="BLA-0006"/>
    <s v="GORE KOUBOU"/>
    <m/>
    <x v="1"/>
    <n v="12.917070000000001"/>
    <n v="14.5059647"/>
    <x v="0"/>
    <b v="1"/>
    <b v="0"/>
    <b v="0"/>
    <m/>
    <n v="3"/>
    <s v="Accessible"/>
    <m/>
    <s v="Le village accueille une population"/>
    <s v="Le village est partiellement détruit"/>
    <s v="Intempéries (inondations, tempêtes etc.)"/>
    <m/>
    <s v="Oui"/>
    <s v="Familles d'accueil"/>
    <s v="Non, pas du tout"/>
    <s v="Non"/>
    <m/>
    <n v="1"/>
    <n v="394"/>
    <s v="Oui"/>
    <s v="Premier déplacement"/>
    <n v="1"/>
    <n v="4"/>
    <n v="2"/>
    <n v="2"/>
    <n v="0"/>
    <n v="0"/>
    <n v="0"/>
    <n v="0"/>
    <m/>
    <m/>
    <n v="0"/>
    <n v="1"/>
    <s v="Paille/Natte/Nylon"/>
    <m/>
    <n v="0"/>
    <s v="La plupart de déplacés internes sont rentrés à fotokol, cette année l'inondation a menacé et la peur continue pour les GANEs. Le village est dans l'impasse. "/>
    <s v="Non"/>
    <m/>
    <m/>
    <m/>
    <m/>
    <m/>
    <m/>
    <m/>
    <m/>
    <m/>
    <m/>
    <m/>
    <m/>
    <m/>
    <m/>
    <m/>
    <s v="Non"/>
    <m/>
    <m/>
    <m/>
    <m/>
    <m/>
    <m/>
    <m/>
    <m/>
    <m/>
    <m/>
    <m/>
    <m/>
    <m/>
    <m/>
    <m/>
    <m/>
    <m/>
    <m/>
    <m/>
    <m/>
    <n v="0"/>
    <m/>
    <m/>
    <m/>
    <m/>
    <m/>
    <m/>
    <m/>
    <m/>
    <m/>
    <m/>
    <m/>
    <m/>
    <m/>
    <s v="1"/>
    <s v="0"/>
    <s v="0"/>
    <n v="1"/>
  </r>
  <r>
    <n v="2610161"/>
    <s v="Extrême-Nord"/>
    <s v="CMR004"/>
    <x v="1"/>
    <s v="CMR004002"/>
    <s v="Blangoua"/>
    <s v="CMR004002003"/>
    <s v="BLA-0007"/>
    <s v="KINZAYAKOU"/>
    <m/>
    <x v="1"/>
    <n v="12.8910713"/>
    <n v="14.469213999999999"/>
    <x v="0"/>
    <b v="1"/>
    <b v="0"/>
    <b v="0"/>
    <m/>
    <n v="3"/>
    <s v="Accessible"/>
    <m/>
    <s v="Le village accueille une population"/>
    <s v="Le village est intact (construit)"/>
    <m/>
    <m/>
    <s v="Oui"/>
    <s v="Familles d'accueil"/>
    <s v="Non, pas du tout"/>
    <s v="Non"/>
    <m/>
    <n v="16"/>
    <n v="1965"/>
    <s v="Oui"/>
    <s v="Premier déplacement"/>
    <n v="16"/>
    <n v="108"/>
    <n v="45"/>
    <n v="63"/>
    <n v="6"/>
    <n v="10"/>
    <n v="0"/>
    <n v="0"/>
    <m/>
    <m/>
    <n v="0"/>
    <n v="0"/>
    <m/>
    <m/>
    <n v="0"/>
    <s v="Les IDPS de cette localité n'ont jamais reçu de l'aide humanitaire et le besoin  en aide est solliciter "/>
    <s v="Non"/>
    <m/>
    <m/>
    <m/>
    <m/>
    <m/>
    <m/>
    <m/>
    <m/>
    <m/>
    <m/>
    <m/>
    <m/>
    <m/>
    <m/>
    <m/>
    <s v="Non"/>
    <m/>
    <m/>
    <m/>
    <m/>
    <m/>
    <m/>
    <m/>
    <m/>
    <m/>
    <m/>
    <m/>
    <m/>
    <m/>
    <m/>
    <m/>
    <m/>
    <m/>
    <m/>
    <m/>
    <m/>
    <n v="0"/>
    <m/>
    <m/>
    <m/>
    <m/>
    <m/>
    <m/>
    <m/>
    <m/>
    <m/>
    <m/>
    <m/>
    <m/>
    <m/>
    <s v="1"/>
    <s v="0"/>
    <s v="0"/>
    <n v="1"/>
  </r>
  <r>
    <n v="2646287"/>
    <s v="Extrême-Nord"/>
    <s v="CMR004"/>
    <x v="1"/>
    <s v="CMR004002"/>
    <s v="Blangoua"/>
    <s v="CMR004002003"/>
    <s v="BLA-0008"/>
    <s v="KOBRO"/>
    <m/>
    <x v="1"/>
    <n v="12.681111100000001"/>
    <n v="14.7009364"/>
    <x v="0"/>
    <b v="1"/>
    <b v="0"/>
    <b v="0"/>
    <m/>
    <n v="3"/>
    <s v="Accessible"/>
    <m/>
    <s v="Le village accueille une population"/>
    <s v="Le village est intact (construit)"/>
    <m/>
    <m/>
    <s v="Oui"/>
    <s v="Familles d'accueil"/>
    <s v="Non, pas du tout"/>
    <s v="Non"/>
    <m/>
    <n v="7"/>
    <n v="2653"/>
    <s v="Oui"/>
    <s v="Premier déplacement"/>
    <n v="7"/>
    <n v="48"/>
    <n v="20"/>
    <n v="28"/>
    <n v="5"/>
    <n v="2"/>
    <n v="0"/>
    <n v="0"/>
    <m/>
    <m/>
    <n v="0"/>
    <n v="0"/>
    <m/>
    <m/>
    <n v="0"/>
    <s v="Idps n'ont  jamais reçu  le dons"/>
    <s v="Oui"/>
    <n v="2"/>
    <n v="8"/>
    <n v="2"/>
    <n v="6"/>
    <n v="2"/>
    <n v="0"/>
    <n v="0"/>
    <m/>
    <n v="0"/>
    <n v="0"/>
    <m/>
    <m/>
    <n v="0"/>
    <n v="0"/>
    <s v="Ils ont besoin de bâche"/>
    <s v="Oui"/>
    <n v="2"/>
    <n v="7"/>
    <n v="2"/>
    <n v="5"/>
    <s v="Moins de 3 mois"/>
    <n v="0"/>
    <n v="0"/>
    <n v="2"/>
    <n v="0"/>
    <n v="0"/>
    <m/>
    <n v="0"/>
    <n v="0"/>
    <m/>
    <n v="0"/>
    <m/>
    <m/>
    <m/>
    <m/>
    <m/>
    <n v="2"/>
    <m/>
    <m/>
    <m/>
    <m/>
    <m/>
    <m/>
    <m/>
    <m/>
    <m/>
    <m/>
    <m/>
    <m/>
    <m/>
    <s v="1"/>
    <s v="1"/>
    <s v="1"/>
    <n v="3"/>
  </r>
  <r>
    <n v="2616922"/>
    <s v="Extrême-Nord"/>
    <s v="CMR004"/>
    <x v="1"/>
    <s v="CMR004002"/>
    <s v="Blangoua"/>
    <s v="CMR004002003"/>
    <s v="BLA-0009"/>
    <s v="KOFIA"/>
    <m/>
    <x v="1"/>
    <n v="12.949797500000001"/>
    <n v="14.5013231"/>
    <x v="0"/>
    <b v="1"/>
    <b v="0"/>
    <b v="0"/>
    <m/>
    <n v="4"/>
    <s v="Accessible"/>
    <m/>
    <s v="Le village accueille une population"/>
    <s v="Le village est intact (construit)"/>
    <m/>
    <m/>
    <s v="Oui"/>
    <s v="Familles d'accueil"/>
    <s v="Non, pas du tout"/>
    <s v="Non"/>
    <m/>
    <n v="300"/>
    <n v="15010"/>
    <s v="Oui"/>
    <s v="Premier déplacement"/>
    <n v="300"/>
    <n v="1209"/>
    <n v="406"/>
    <n v="803"/>
    <n v="200"/>
    <n v="50"/>
    <n v="20"/>
    <n v="20"/>
    <s v="Chez une famille d'accueil (contre loyer)"/>
    <m/>
    <n v="0"/>
    <n v="0"/>
    <m/>
    <m/>
    <n v="10"/>
    <s v="La plupart des  déplacées ont payé le terrain "/>
    <s v="Oui"/>
    <n v="61"/>
    <n v="208"/>
    <n v="61"/>
    <n v="147"/>
    <n v="30"/>
    <n v="5"/>
    <n v="21"/>
    <s v="Chez une famille d'accueil (contre loyer)"/>
    <n v="0"/>
    <n v="0"/>
    <m/>
    <m/>
    <n v="5"/>
    <n v="20"/>
    <s v="Les réfugiés ont besoin d'assistance "/>
    <s v="Oui"/>
    <n v="25"/>
    <n v="110"/>
    <n v="40"/>
    <n v="70"/>
    <s v="Moins de 3 mois"/>
    <n v="15"/>
    <n v="5"/>
    <n v="5"/>
    <n v="0"/>
    <n v="0"/>
    <m/>
    <n v="0"/>
    <n v="0"/>
    <m/>
    <n v="0"/>
    <m/>
    <m/>
    <m/>
    <m/>
    <m/>
    <n v="2"/>
    <m/>
    <m/>
    <m/>
    <m/>
    <m/>
    <m/>
    <m/>
    <m/>
    <m/>
    <m/>
    <m/>
    <m/>
    <m/>
    <s v="1"/>
    <s v="1"/>
    <s v="1"/>
    <n v="3"/>
  </r>
  <r>
    <n v="2616932"/>
    <s v="Extrême-Nord"/>
    <s v="CMR004"/>
    <x v="1"/>
    <s v="CMR004002"/>
    <s v="Blangoua"/>
    <s v="CMR004002003"/>
    <s v="BLA-0021"/>
    <s v="KOKI"/>
    <m/>
    <x v="1"/>
    <n v="12.8954985"/>
    <n v="14.4658491"/>
    <x v="0"/>
    <b v="1"/>
    <b v="0"/>
    <b v="0"/>
    <m/>
    <n v="5"/>
    <s v="Accessible"/>
    <m/>
    <s v="Le village accueille une population"/>
    <s v="Le village est intact (construit)"/>
    <m/>
    <m/>
    <s v="Oui"/>
    <s v="Familles d'accueil"/>
    <s v="Non, pas du tout"/>
    <s v="Non"/>
    <m/>
    <n v="18"/>
    <n v="416"/>
    <s v="Oui"/>
    <s v="Premier déplacement"/>
    <n v="18"/>
    <n v="126"/>
    <n v="56"/>
    <n v="70"/>
    <n v="0"/>
    <n v="18"/>
    <n v="0"/>
    <n v="0"/>
    <m/>
    <m/>
    <n v="0"/>
    <n v="0"/>
    <m/>
    <m/>
    <n v="0"/>
    <s v="Il y a eu une augmentation des IDPS venant de Mangalme de 13 ménages soit 91 individus "/>
    <s v="Non"/>
    <m/>
    <m/>
    <m/>
    <m/>
    <m/>
    <m/>
    <m/>
    <m/>
    <m/>
    <m/>
    <m/>
    <m/>
    <m/>
    <m/>
    <m/>
    <s v="Non"/>
    <m/>
    <m/>
    <m/>
    <m/>
    <m/>
    <m/>
    <m/>
    <m/>
    <m/>
    <m/>
    <m/>
    <m/>
    <m/>
    <m/>
    <m/>
    <m/>
    <m/>
    <m/>
    <m/>
    <m/>
    <n v="0"/>
    <m/>
    <m/>
    <m/>
    <m/>
    <m/>
    <m/>
    <m/>
    <m/>
    <m/>
    <m/>
    <m/>
    <m/>
    <m/>
    <s v="1"/>
    <s v="0"/>
    <s v="0"/>
    <n v="1"/>
  </r>
  <r>
    <n v="2601999"/>
    <s v="Extrême-Nord"/>
    <s v="CMR004"/>
    <x v="1"/>
    <s v="CMR004002"/>
    <s v="Blangoua"/>
    <s v="CMR004002003"/>
    <s v="BLA-0023"/>
    <s v="KOUK 2"/>
    <m/>
    <x v="1"/>
    <n v="12.819778599999999"/>
    <n v="14.5026796"/>
    <x v="0"/>
    <b v="1"/>
    <b v="0"/>
    <b v="0"/>
    <m/>
    <n v="4"/>
    <s v="Accessible"/>
    <m/>
    <s v="Le village accueille une population"/>
    <s v="Le village est intact (construit)"/>
    <m/>
    <m/>
    <s v="Oui"/>
    <s v="Sites de déplacement spontanés"/>
    <s v="Non, pas du tout"/>
    <s v="Non"/>
    <m/>
    <n v="89"/>
    <n v="287"/>
    <s v="Oui"/>
    <s v="Premier déplacement"/>
    <n v="89"/>
    <n v="287"/>
    <n v="109"/>
    <n v="178"/>
    <n v="0"/>
    <n v="0"/>
    <n v="0"/>
    <n v="0"/>
    <m/>
    <m/>
    <n v="0"/>
    <n v="89"/>
    <s v="Paille/Natte/Nylon"/>
    <m/>
    <n v="0"/>
    <s v="Un village n'ayant pas d'eau potable et s'approvisionne difficile en alimentation et se soigne difficilement à  côté d'eux un autre groupe de personnes venues suite aux menaces de GANE."/>
    <s v="Non"/>
    <m/>
    <m/>
    <m/>
    <m/>
    <m/>
    <m/>
    <m/>
    <m/>
    <m/>
    <m/>
    <m/>
    <m/>
    <m/>
    <m/>
    <m/>
    <s v="Non"/>
    <m/>
    <m/>
    <m/>
    <m/>
    <m/>
    <m/>
    <m/>
    <m/>
    <m/>
    <m/>
    <m/>
    <m/>
    <m/>
    <m/>
    <m/>
    <m/>
    <m/>
    <m/>
    <m/>
    <m/>
    <n v="0"/>
    <m/>
    <m/>
    <m/>
    <m/>
    <m/>
    <m/>
    <m/>
    <m/>
    <m/>
    <m/>
    <m/>
    <m/>
    <m/>
    <s v="1"/>
    <s v="0"/>
    <s v="0"/>
    <n v="1"/>
  </r>
  <r>
    <n v="2587754"/>
    <s v="Extrême-Nord"/>
    <s v="CMR004"/>
    <x v="1"/>
    <s v="CMR004002"/>
    <s v="Blangoua"/>
    <s v="CMR004002003"/>
    <s v="BLA-0010"/>
    <s v="KOUTOULA"/>
    <m/>
    <x v="1"/>
    <n v="12.811448800000001"/>
    <n v="14.549177800000001"/>
    <x v="0"/>
    <b v="1"/>
    <b v="0"/>
    <b v="0"/>
    <m/>
    <n v="3"/>
    <s v="Accessible"/>
    <m/>
    <s v="Le village accueille une population"/>
    <s v="Le village est partiellement détruit"/>
    <s v="Intempéries (inondations, tempêtes etc.)"/>
    <m/>
    <s v="Oui"/>
    <s v="Familles d'accueil"/>
    <s v="Non, pas du tout"/>
    <s v="Non"/>
    <m/>
    <n v="34"/>
    <n v="6664"/>
    <s v="Oui"/>
    <s v="Deuxième déplacement"/>
    <n v="34"/>
    <n v="350"/>
    <n v="150"/>
    <n v="200"/>
    <n v="30"/>
    <n v="4"/>
    <n v="0"/>
    <n v="0"/>
    <m/>
    <m/>
    <n v="0"/>
    <n v="0"/>
    <m/>
    <m/>
    <n v="0"/>
    <s v="Ces déplacer n'ont jamais reçu d'assistance  depuis leur  déplacement. "/>
    <s v="Oui"/>
    <n v="7"/>
    <n v="64"/>
    <n v="30"/>
    <n v="34"/>
    <n v="5"/>
    <n v="0"/>
    <n v="2"/>
    <s v="Logement indépendant (Maison indépendante)"/>
    <n v="0"/>
    <n v="0"/>
    <m/>
    <m/>
    <n v="0"/>
    <n v="0"/>
    <s v="Les réfugiés ne sont pas enregistré "/>
    <s v="Oui"/>
    <n v="6"/>
    <n v="46"/>
    <n v="16"/>
    <n v="30"/>
    <s v="5 ans ou plus"/>
    <n v="3"/>
    <n v="1"/>
    <n v="1"/>
    <n v="1"/>
    <n v="0"/>
    <m/>
    <n v="0"/>
    <n v="0"/>
    <m/>
    <n v="0"/>
    <m/>
    <m/>
    <m/>
    <m/>
    <m/>
    <n v="0"/>
    <m/>
    <m/>
    <m/>
    <m/>
    <m/>
    <m/>
    <m/>
    <m/>
    <m/>
    <m/>
    <m/>
    <m/>
    <m/>
    <s v="1"/>
    <s v="1"/>
    <s v="1"/>
    <n v="3"/>
  </r>
  <r>
    <n v="2648392"/>
    <s v="Extrême-Nord"/>
    <s v="CMR004"/>
    <x v="1"/>
    <s v="CMR004002"/>
    <s v="Blangoua"/>
    <s v="CMR004002003"/>
    <s v="BLA-0015"/>
    <s v="MADAGASCAR"/>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590843"/>
    <s v="Extrême-Nord"/>
    <s v="CMR004"/>
    <x v="1"/>
    <s v="CMR004002"/>
    <s v="Blangoua"/>
    <s v="CMR004002003"/>
    <s v="BLA-0024"/>
    <s v="MADAIK"/>
    <m/>
    <x v="1"/>
    <n v="12.859285699999999"/>
    <n v="14.538587"/>
    <x v="0"/>
    <b v="1"/>
    <b v="0"/>
    <b v="0"/>
    <m/>
    <n v="3"/>
    <s v="Accessible"/>
    <m/>
    <s v="Le village accueille une population"/>
    <s v="Le village est intact (construit)"/>
    <m/>
    <m/>
    <s v="Oui"/>
    <s v="Familles d'accueil"/>
    <s v="Non, pas du tout"/>
    <s v="Non"/>
    <m/>
    <n v="15"/>
    <n v="1907"/>
    <s v="Oui"/>
    <s v="Deuxième déplacement"/>
    <n v="15"/>
    <n v="120"/>
    <n v="45"/>
    <n v="75"/>
    <n v="0"/>
    <n v="15"/>
    <n v="0"/>
    <n v="0"/>
    <m/>
    <m/>
    <n v="0"/>
    <n v="0"/>
    <m/>
    <m/>
    <n v="0"/>
    <s v="Les déplacés vivent en harmonie avec la population d'accueil mais n'ont pas de moyens de subsistance."/>
    <s v="Non"/>
    <m/>
    <m/>
    <m/>
    <m/>
    <m/>
    <m/>
    <m/>
    <m/>
    <m/>
    <m/>
    <m/>
    <m/>
    <m/>
    <m/>
    <m/>
    <s v="Non"/>
    <m/>
    <m/>
    <m/>
    <m/>
    <m/>
    <m/>
    <m/>
    <m/>
    <m/>
    <m/>
    <m/>
    <m/>
    <m/>
    <m/>
    <m/>
    <m/>
    <m/>
    <m/>
    <m/>
    <m/>
    <n v="0"/>
    <m/>
    <m/>
    <m/>
    <m/>
    <m/>
    <m/>
    <m/>
    <m/>
    <m/>
    <m/>
    <m/>
    <m/>
    <m/>
    <s v="1"/>
    <s v="0"/>
    <s v="0"/>
    <n v="1"/>
  </r>
  <r>
    <n v="2626951"/>
    <s v="Extrême-Nord"/>
    <s v="CMR004"/>
    <x v="1"/>
    <s v="CMR004002"/>
    <s v="Blangoua"/>
    <s v="CMR004002003"/>
    <s v="BLA-0011"/>
    <s v="NDARABAYA"/>
    <m/>
    <x v="1"/>
    <n v="12.727396199999999"/>
    <n v="14.648778699999999"/>
    <x v="0"/>
    <b v="1"/>
    <b v="0"/>
    <b v="0"/>
    <m/>
    <n v="5"/>
    <s v="Accessible"/>
    <m/>
    <s v="Le village accueille une population"/>
    <s v="Le village est intact (construit)"/>
    <m/>
    <m/>
    <s v="Oui"/>
    <s v="Familles d'accueil"/>
    <s v="Location"/>
    <s v="Non"/>
    <m/>
    <n v="16"/>
    <n v="464"/>
    <s v="Oui"/>
    <s v="Deuxième déplacement"/>
    <n v="16"/>
    <n v="51"/>
    <n v="18"/>
    <n v="33"/>
    <n v="8"/>
    <n v="0"/>
    <n v="0"/>
    <n v="5"/>
    <s v="Chez une famille d'accueil (contre loyer)"/>
    <m/>
    <n v="0"/>
    <n v="3"/>
    <s v="Paille/Natte/Nylon"/>
    <m/>
    <n v="0"/>
    <s v="Les déplacés ont des difficultés à s'adapter dans le village."/>
    <s v="Non"/>
    <m/>
    <m/>
    <m/>
    <m/>
    <m/>
    <m/>
    <m/>
    <m/>
    <m/>
    <m/>
    <m/>
    <m/>
    <m/>
    <m/>
    <m/>
    <s v="Oui"/>
    <n v="7"/>
    <n v="27"/>
    <n v="10"/>
    <n v="17"/>
    <s v="Entre 3 mois et 1 an"/>
    <n v="0"/>
    <n v="0"/>
    <n v="3"/>
    <n v="0"/>
    <n v="4"/>
    <s v="Chez une famille d'accueil (contre loyer)"/>
    <n v="0"/>
    <n v="0"/>
    <m/>
    <n v="0"/>
    <m/>
    <m/>
    <m/>
    <m/>
    <m/>
    <n v="0"/>
    <m/>
    <m/>
    <m/>
    <m/>
    <m/>
    <m/>
    <m/>
    <m/>
    <m/>
    <m/>
    <m/>
    <m/>
    <m/>
    <s v="1"/>
    <s v="0"/>
    <s v="1"/>
    <n v="2"/>
  </r>
  <r>
    <n v="2577858"/>
    <s v="Extrême-Nord"/>
    <s v="CMR004"/>
    <x v="1"/>
    <s v="CMR004002"/>
    <s v="Blangoua"/>
    <s v="CMR004002003"/>
    <s v="BLA-0012"/>
    <s v="NDJARGOUDJA"/>
    <m/>
    <x v="1"/>
    <n v="12.863705700000001"/>
    <n v="14.503389500000001"/>
    <x v="0"/>
    <b v="1"/>
    <b v="0"/>
    <b v="0"/>
    <m/>
    <n v="3"/>
    <s v="Accessible"/>
    <m/>
    <s v="Le village accueille une population"/>
    <s v="Le village est partiellement détruit"/>
    <s v="Intempéries (inondations, tempêtes etc.)"/>
    <m/>
    <s v="Oui"/>
    <s v="Familles d'accueil"/>
    <s v="Non, pas du tout"/>
    <s v="Non"/>
    <m/>
    <n v="7"/>
    <n v="459"/>
    <s v="Oui"/>
    <s v="Premier déplacement"/>
    <n v="7"/>
    <n v="38"/>
    <n v="18"/>
    <n v="20"/>
    <n v="0"/>
    <n v="7"/>
    <n v="0"/>
    <n v="0"/>
    <m/>
    <m/>
    <n v="0"/>
    <n v="0"/>
    <m/>
    <m/>
    <n v="0"/>
    <s v="Besoin de secours  en cache et en matériaux de construction "/>
    <s v="Non"/>
    <m/>
    <m/>
    <m/>
    <m/>
    <m/>
    <m/>
    <m/>
    <m/>
    <m/>
    <m/>
    <m/>
    <m/>
    <m/>
    <m/>
    <m/>
    <s v="Non"/>
    <m/>
    <m/>
    <m/>
    <m/>
    <m/>
    <m/>
    <m/>
    <m/>
    <m/>
    <m/>
    <m/>
    <m/>
    <m/>
    <m/>
    <m/>
    <m/>
    <m/>
    <m/>
    <m/>
    <m/>
    <n v="0"/>
    <m/>
    <m/>
    <m/>
    <m/>
    <m/>
    <m/>
    <m/>
    <m/>
    <m/>
    <m/>
    <m/>
    <m/>
    <m/>
    <s v="1"/>
    <s v="0"/>
    <s v="0"/>
    <n v="1"/>
  </r>
  <r>
    <n v="2634500"/>
    <s v="Extrême-Nord"/>
    <s v="CMR004"/>
    <x v="1"/>
    <s v="CMR004002"/>
    <s v="Blangoua"/>
    <s v="CMR004002003"/>
    <s v="BLA-0017"/>
    <s v="SABOURA"/>
    <m/>
    <x v="1"/>
    <n v="12.7233351"/>
    <n v="14.649977"/>
    <x v="0"/>
    <b v="1"/>
    <b v="0"/>
    <b v="0"/>
    <m/>
    <n v="3"/>
    <s v="Accessible"/>
    <m/>
    <s v="Le village accueille une population"/>
    <s v="Le village est intact (construit)"/>
    <m/>
    <m/>
    <s v="Oui"/>
    <s v="Familles d'accueil"/>
    <s v="Non, pas du tout"/>
    <s v="Non"/>
    <m/>
    <n v="20"/>
    <n v="615"/>
    <s v="Oui"/>
    <s v="Premier déplacement"/>
    <n v="20"/>
    <n v="49"/>
    <n v="15"/>
    <n v="34"/>
    <n v="10"/>
    <n v="10"/>
    <n v="0"/>
    <n v="0"/>
    <m/>
    <m/>
    <n v="0"/>
    <n v="0"/>
    <m/>
    <m/>
    <n v="0"/>
    <s v="L'équipe idps n'ont rien à manger et ils n'ont jamais reçu d'assistance humanitaire"/>
    <s v="Oui"/>
    <n v="2"/>
    <n v="10"/>
    <n v="2"/>
    <n v="8"/>
    <n v="2"/>
    <n v="0"/>
    <n v="0"/>
    <m/>
    <n v="0"/>
    <n v="0"/>
    <m/>
    <m/>
    <n v="0"/>
    <n v="0"/>
    <s v="Besoin d'assistance"/>
    <s v="Oui"/>
    <n v="1"/>
    <n v="9"/>
    <n v="7"/>
    <n v="2"/>
    <s v="Moins de 3 mois"/>
    <n v="1"/>
    <n v="0"/>
    <n v="0"/>
    <n v="0"/>
    <n v="0"/>
    <m/>
    <n v="0"/>
    <n v="0"/>
    <m/>
    <n v="0"/>
    <m/>
    <m/>
    <m/>
    <m/>
    <m/>
    <n v="0"/>
    <m/>
    <m/>
    <m/>
    <m/>
    <m/>
    <m/>
    <m/>
    <m/>
    <m/>
    <m/>
    <m/>
    <m/>
    <m/>
    <s v="1"/>
    <s v="1"/>
    <s v="1"/>
    <n v="3"/>
  </r>
  <r>
    <n v="2646288"/>
    <s v="Extrême-Nord"/>
    <s v="CMR004"/>
    <x v="1"/>
    <s v="CMR004002"/>
    <s v="Blangoua"/>
    <s v="CMR004002003"/>
    <s v="BLA-0013"/>
    <s v="SERO ABOU"/>
    <m/>
    <x v="1"/>
    <n v="12.753413699999999"/>
    <n v="14.6185124"/>
    <x v="0"/>
    <b v="1"/>
    <b v="0"/>
    <b v="0"/>
    <m/>
    <n v="3"/>
    <s v="Accessible"/>
    <m/>
    <s v="Le village accueille une population"/>
    <s v="Le village est intact (construit)"/>
    <m/>
    <m/>
    <s v="Oui"/>
    <s v="Familles d'accueil"/>
    <s v="Non, pas du tout"/>
    <s v="Non"/>
    <m/>
    <n v="8"/>
    <n v="560"/>
    <s v="Oui"/>
    <s v="Premier déplacement"/>
    <n v="8"/>
    <n v="65"/>
    <n v="25"/>
    <n v="40"/>
    <n v="4"/>
    <n v="2"/>
    <n v="0"/>
    <n v="0"/>
    <m/>
    <m/>
    <n v="0"/>
    <n v="0"/>
    <m/>
    <m/>
    <n v="2"/>
    <s v="Besoin d'assistance"/>
    <s v="Non"/>
    <m/>
    <m/>
    <m/>
    <m/>
    <m/>
    <m/>
    <m/>
    <m/>
    <m/>
    <m/>
    <m/>
    <m/>
    <m/>
    <m/>
    <m/>
    <s v="Non"/>
    <m/>
    <m/>
    <m/>
    <m/>
    <m/>
    <m/>
    <m/>
    <m/>
    <m/>
    <m/>
    <m/>
    <m/>
    <m/>
    <m/>
    <m/>
    <m/>
    <m/>
    <m/>
    <m/>
    <m/>
    <n v="0"/>
    <m/>
    <m/>
    <m/>
    <m/>
    <m/>
    <m/>
    <m/>
    <m/>
    <m/>
    <m/>
    <m/>
    <m/>
    <m/>
    <s v="1"/>
    <s v="0"/>
    <s v="0"/>
    <n v="1"/>
  </r>
  <r>
    <n v="2626950"/>
    <s v="Extrême-Nord"/>
    <s v="CMR004"/>
    <x v="1"/>
    <s v="CMR004002"/>
    <s v="Blangoua"/>
    <s v="CMR004002003"/>
    <s v="BLA-0003"/>
    <s v="SITE DE BLANGOUA BACHE"/>
    <m/>
    <x v="1"/>
    <n v="12.785205700000001"/>
    <n v="14.539080800000001"/>
    <x v="1"/>
    <b v="1"/>
    <b v="0"/>
    <b v="0"/>
    <m/>
    <n v="3"/>
    <s v="Accessible"/>
    <m/>
    <s v="Le village accueille une population"/>
    <s v="Le village est intact (construit)"/>
    <m/>
    <m/>
    <s v="Oui"/>
    <s v="Familles d'accueil"/>
    <s v="Sites de déplacement spontanés"/>
    <m/>
    <m/>
    <n v="123"/>
    <n v="1753"/>
    <s v="Oui"/>
    <s v="Deuxième déplacement"/>
    <n v="123"/>
    <n v="1553"/>
    <n v="541"/>
    <n v="1012"/>
    <n v="109"/>
    <n v="3"/>
    <n v="0"/>
    <n v="6"/>
    <s v="Logement indépendant (Maison indépendante)"/>
    <m/>
    <n v="0"/>
    <n v="5"/>
    <s v="Bâche"/>
    <m/>
    <n v="0"/>
    <s v="Augmentation de déplacés suite aux conflits GANE"/>
    <s v="Non"/>
    <m/>
    <m/>
    <m/>
    <m/>
    <m/>
    <m/>
    <m/>
    <m/>
    <m/>
    <m/>
    <m/>
    <m/>
    <m/>
    <m/>
    <m/>
    <s v="Non"/>
    <m/>
    <m/>
    <m/>
    <m/>
    <m/>
    <m/>
    <m/>
    <m/>
    <m/>
    <m/>
    <m/>
    <m/>
    <m/>
    <m/>
    <m/>
    <m/>
    <m/>
    <m/>
    <m/>
    <m/>
    <n v="0"/>
    <m/>
    <m/>
    <m/>
    <m/>
    <m/>
    <m/>
    <m/>
    <m/>
    <m/>
    <m/>
    <m/>
    <m/>
    <m/>
    <s v="1"/>
    <s v="0"/>
    <s v="0"/>
    <n v="1"/>
  </r>
  <r>
    <n v="2648627"/>
    <s v="Extrême-Nord"/>
    <s v="CMR004"/>
    <x v="1"/>
    <s v="CMR004002"/>
    <s v="Blangoua"/>
    <s v="CMR004002003"/>
    <s v="BLA-0026"/>
    <s v="SITE DE IYA MAGRA"/>
    <m/>
    <x v="1"/>
    <n v="12.713586100000001"/>
    <n v="14.6949436"/>
    <x v="1"/>
    <b v="1"/>
    <b v="0"/>
    <b v="0"/>
    <m/>
    <n v="3"/>
    <s v="Accessible"/>
    <m/>
    <s v="Le village accueille une population"/>
    <s v="Le village est intact (construit)"/>
    <m/>
    <m/>
    <s v="Oui"/>
    <s v="Sites de déplacement spontanés"/>
    <s v="Non, pas du tout"/>
    <m/>
    <m/>
    <m/>
    <n v="182"/>
    <s v="Non"/>
    <m/>
    <m/>
    <m/>
    <m/>
    <m/>
    <m/>
    <m/>
    <m/>
    <m/>
    <m/>
    <m/>
    <m/>
    <m/>
    <m/>
    <m/>
    <m/>
    <m/>
    <s v="Non"/>
    <m/>
    <m/>
    <m/>
    <m/>
    <m/>
    <m/>
    <m/>
    <m/>
    <m/>
    <m/>
    <m/>
    <m/>
    <m/>
    <m/>
    <m/>
    <s v="Oui"/>
    <n v="18"/>
    <n v="182"/>
    <n v="21"/>
    <n v="161"/>
    <s v="Entre 1 et 5 ans"/>
    <n v="0"/>
    <n v="0"/>
    <n v="0"/>
    <n v="0"/>
    <n v="0"/>
    <m/>
    <n v="0"/>
    <n v="18"/>
    <s v="Bâche"/>
    <n v="0"/>
    <s v="La plupart de retournés sont des agriculteurs mais ne parviennent pas à se prendre en charge certains sont rentrés au Tchad parcequ' ils étaient dérangés par les éléphants."/>
    <m/>
    <m/>
    <m/>
    <m/>
    <n v="2"/>
    <m/>
    <m/>
    <m/>
    <m/>
    <m/>
    <m/>
    <m/>
    <m/>
    <m/>
    <m/>
    <m/>
    <m/>
    <m/>
    <s v="0"/>
    <s v="0"/>
    <s v="1"/>
    <n v="1"/>
  </r>
  <r>
    <n v="2592414"/>
    <s v="Extrême-Nord"/>
    <s v="CMR004"/>
    <x v="1"/>
    <s v="CMR004002"/>
    <s v="Blangoua"/>
    <s v="CMR004002003"/>
    <s v="BLA-0025"/>
    <s v="SITE DE MASSAKI"/>
    <m/>
    <x v="1"/>
    <n v="12.8759063"/>
    <n v="14.487231700000001"/>
    <x v="1"/>
    <b v="1"/>
    <b v="0"/>
    <b v="0"/>
    <m/>
    <n v="3"/>
    <s v="Accessible"/>
    <m/>
    <s v="Le village accueille une population"/>
    <s v="Le village est intact (construit)"/>
    <m/>
    <m/>
    <s v="Oui"/>
    <s v="Sites de déplacement spontanés"/>
    <s v="Non, pas du tout"/>
    <m/>
    <m/>
    <n v="28"/>
    <n v="220"/>
    <s v="Oui"/>
    <s v="Premier déplacement"/>
    <n v="28"/>
    <n v="220"/>
    <n v="100"/>
    <n v="120"/>
    <n v="28"/>
    <n v="0"/>
    <n v="0"/>
    <n v="0"/>
    <m/>
    <m/>
    <n v="0"/>
    <n v="0"/>
    <m/>
    <m/>
    <n v="0"/>
    <s v="La population demande de l'aide en matériaux de construction et besoins  d'eau  vivre et électricité"/>
    <s v="Non"/>
    <m/>
    <m/>
    <m/>
    <m/>
    <m/>
    <m/>
    <m/>
    <m/>
    <m/>
    <m/>
    <m/>
    <m/>
    <m/>
    <m/>
    <m/>
    <s v="Non"/>
    <m/>
    <m/>
    <m/>
    <m/>
    <m/>
    <m/>
    <m/>
    <m/>
    <m/>
    <m/>
    <m/>
    <m/>
    <m/>
    <m/>
    <m/>
    <m/>
    <m/>
    <m/>
    <m/>
    <m/>
    <n v="0"/>
    <m/>
    <m/>
    <m/>
    <m/>
    <m/>
    <m/>
    <m/>
    <m/>
    <m/>
    <m/>
    <m/>
    <m/>
    <m/>
    <s v="1"/>
    <s v="0"/>
    <s v="0"/>
    <n v="1"/>
  </r>
  <r>
    <n v="2610162"/>
    <s v="Extrême-Nord"/>
    <s v="CMR004"/>
    <x v="1"/>
    <s v="CMR004002"/>
    <s v="Blangoua"/>
    <s v="CMR004002003"/>
    <s v="BLA-0020"/>
    <s v="TAHA"/>
    <m/>
    <x v="1"/>
    <n v="12.895762899999999"/>
    <n v="14.4631945"/>
    <x v="0"/>
    <b v="1"/>
    <b v="0"/>
    <b v="0"/>
    <m/>
    <n v="3"/>
    <s v="Accessible"/>
    <m/>
    <s v="Le village accueille une population"/>
    <s v="Le village est intact (construit)"/>
    <m/>
    <m/>
    <s v="Oui"/>
    <s v="Familles d'accueil"/>
    <s v="Non, pas du tout"/>
    <s v="Non"/>
    <m/>
    <n v="26"/>
    <n v="335"/>
    <s v="Oui"/>
    <s v="Premier déplacement"/>
    <n v="26"/>
    <n v="182"/>
    <n v="82"/>
    <n v="100"/>
    <n v="20"/>
    <n v="6"/>
    <n v="0"/>
    <n v="0"/>
    <m/>
    <m/>
    <n v="0"/>
    <n v="0"/>
    <m/>
    <m/>
    <n v="0"/>
    <s v="Manque de moyens pour investir   que se soit dans la pêche ou l'agriculture "/>
    <s v="Non"/>
    <m/>
    <m/>
    <m/>
    <m/>
    <m/>
    <m/>
    <m/>
    <m/>
    <m/>
    <m/>
    <m/>
    <m/>
    <m/>
    <m/>
    <m/>
    <s v="Non"/>
    <m/>
    <m/>
    <m/>
    <m/>
    <m/>
    <m/>
    <m/>
    <m/>
    <m/>
    <m/>
    <m/>
    <m/>
    <m/>
    <m/>
    <m/>
    <m/>
    <m/>
    <m/>
    <m/>
    <m/>
    <n v="0"/>
    <m/>
    <m/>
    <m/>
    <m/>
    <m/>
    <m/>
    <m/>
    <m/>
    <m/>
    <m/>
    <m/>
    <m/>
    <m/>
    <s v="1"/>
    <s v="0"/>
    <s v="0"/>
    <n v="1"/>
  </r>
  <r>
    <n v="2592515"/>
    <s v="Extrême-Nord"/>
    <s v="CMR004"/>
    <x v="1"/>
    <s v="CMR004002"/>
    <s v="Blangoua"/>
    <s v="CMR004002003"/>
    <s v="BLA-0016"/>
    <s v="TCHOLLORE"/>
    <m/>
    <x v="1"/>
    <n v="12.8697009"/>
    <n v="14.466169600000001"/>
    <x v="0"/>
    <b v="1"/>
    <b v="0"/>
    <b v="0"/>
    <m/>
    <n v="3"/>
    <s v="Accessible"/>
    <m/>
    <s v="Le village accueille une population"/>
    <s v="Le village est intact (construit)"/>
    <m/>
    <m/>
    <s v="Oui"/>
    <s v="Familles d'accueil"/>
    <s v="Non, pas du tout"/>
    <s v="Non"/>
    <m/>
    <n v="25"/>
    <n v="385"/>
    <s v="Oui"/>
    <s v="Premier déplacement"/>
    <n v="25"/>
    <n v="117"/>
    <n v="50"/>
    <n v="67"/>
    <n v="15"/>
    <n v="10"/>
    <n v="0"/>
    <n v="0"/>
    <m/>
    <m/>
    <n v="0"/>
    <n v="0"/>
    <m/>
    <m/>
    <n v="0"/>
    <s v="La majorité des idp vivent des conditions difficiles  'manque de nourriture  et d'eau, et d'argent "/>
    <s v="Non"/>
    <m/>
    <m/>
    <m/>
    <m/>
    <m/>
    <m/>
    <m/>
    <m/>
    <m/>
    <m/>
    <m/>
    <m/>
    <m/>
    <m/>
    <m/>
    <s v="Non"/>
    <m/>
    <m/>
    <m/>
    <m/>
    <m/>
    <m/>
    <m/>
    <m/>
    <m/>
    <m/>
    <m/>
    <m/>
    <m/>
    <m/>
    <m/>
    <m/>
    <m/>
    <m/>
    <m/>
    <m/>
    <n v="0"/>
    <m/>
    <m/>
    <m/>
    <m/>
    <m/>
    <m/>
    <m/>
    <m/>
    <m/>
    <m/>
    <m/>
    <m/>
    <m/>
    <s v="1"/>
    <s v="0"/>
    <s v="0"/>
    <n v="1"/>
  </r>
  <r>
    <n v="2646797"/>
    <s v="Extrême-Nord"/>
    <s v="CMR004"/>
    <x v="1"/>
    <s v="CMR004002"/>
    <s v="Blangoua"/>
    <s v="CMR004002003"/>
    <s v="BLA-0014"/>
    <s v="WAYA-WAYA"/>
    <m/>
    <x v="1"/>
    <n v="12.910313"/>
    <n v="14.4369686"/>
    <x v="0"/>
    <b v="1"/>
    <b v="0"/>
    <b v="0"/>
    <m/>
    <n v="3"/>
    <s v="Accessible"/>
    <m/>
    <s v="Le village accueille une population"/>
    <s v="Le village est intact (construit)"/>
    <m/>
    <m/>
    <s v="Oui"/>
    <s v="Familles d'accueil"/>
    <s v="Non, pas du tout"/>
    <s v="Non"/>
    <m/>
    <n v="6"/>
    <n v="444"/>
    <s v="Oui"/>
    <s v="Premier déplacement"/>
    <n v="6"/>
    <n v="41"/>
    <n v="18"/>
    <n v="23"/>
    <n v="0"/>
    <n v="6"/>
    <n v="0"/>
    <n v="0"/>
    <m/>
    <m/>
    <n v="0"/>
    <n v="0"/>
    <m/>
    <m/>
    <n v="0"/>
    <s v="Demande d'un poste avancer de force. Il y a jamais eu de d'aide humanitaire dans la localité ''peur de pêcher, et de labouré. Besoins  de vivres et de cash"/>
    <s v="Non"/>
    <m/>
    <m/>
    <m/>
    <m/>
    <m/>
    <m/>
    <m/>
    <m/>
    <m/>
    <m/>
    <m/>
    <m/>
    <m/>
    <m/>
    <m/>
    <s v="Non"/>
    <m/>
    <m/>
    <m/>
    <m/>
    <m/>
    <m/>
    <m/>
    <m/>
    <m/>
    <m/>
    <m/>
    <m/>
    <m/>
    <m/>
    <m/>
    <m/>
    <m/>
    <m/>
    <m/>
    <m/>
    <n v="0"/>
    <m/>
    <m/>
    <m/>
    <m/>
    <m/>
    <m/>
    <m/>
    <m/>
    <m/>
    <m/>
    <m/>
    <m/>
    <m/>
    <s v="1"/>
    <s v="0"/>
    <s v="0"/>
    <n v="1"/>
  </r>
  <r>
    <n v="2636253"/>
    <s v="Extrême-Nord"/>
    <s v="CMR004"/>
    <x v="1"/>
    <s v="CMR004002"/>
    <s v="Darak"/>
    <s v="CMR004002007"/>
    <s v="XXXX"/>
    <s v="RIAD"/>
    <s v="RIAD"/>
    <x v="1"/>
    <n v="12.575118"/>
    <n v="14.4583721"/>
    <x v="0"/>
    <b v="1"/>
    <b v="0"/>
    <b v="0"/>
    <m/>
    <n v="3"/>
    <s v="Accessible"/>
    <m/>
    <s v="Le village accueille une population"/>
    <s v="Le village est intact (construit)"/>
    <m/>
    <m/>
    <s v="Oui"/>
    <s v="Familles d'accueil"/>
    <s v="Non, pas du tout"/>
    <s v="Non"/>
    <m/>
    <m/>
    <n v="300"/>
    <s v="Non"/>
    <m/>
    <m/>
    <m/>
    <m/>
    <m/>
    <m/>
    <m/>
    <m/>
    <m/>
    <m/>
    <m/>
    <m/>
    <m/>
    <m/>
    <m/>
    <m/>
    <m/>
    <s v="Non"/>
    <m/>
    <m/>
    <m/>
    <m/>
    <m/>
    <m/>
    <m/>
    <m/>
    <m/>
    <m/>
    <m/>
    <m/>
    <m/>
    <m/>
    <m/>
    <s v="Non"/>
    <m/>
    <m/>
    <m/>
    <m/>
    <m/>
    <m/>
    <m/>
    <m/>
    <m/>
    <m/>
    <m/>
    <m/>
    <m/>
    <m/>
    <m/>
    <m/>
    <m/>
    <m/>
    <m/>
    <m/>
    <n v="0"/>
    <m/>
    <m/>
    <m/>
    <m/>
    <m/>
    <m/>
    <m/>
    <m/>
    <m/>
    <m/>
    <m/>
    <m/>
    <m/>
    <s v="0"/>
    <s v="0"/>
    <s v="0"/>
    <n v="0"/>
  </r>
  <r>
    <n v="2636150"/>
    <s v="Extrême-Nord"/>
    <s v="CMR004"/>
    <x v="1"/>
    <s v="CMR004002"/>
    <s v="Darak"/>
    <s v="CMR004002007"/>
    <s v="DAR-0001"/>
    <s v="BIDEINE 2"/>
    <m/>
    <x v="1"/>
    <n v="12.718960900000001"/>
    <n v="14.356790800000001"/>
    <x v="0"/>
    <b v="1"/>
    <b v="0"/>
    <b v="0"/>
    <m/>
    <n v="3"/>
    <s v="Accessible"/>
    <m/>
    <s v="Le village accueille une population"/>
    <s v="Le village est intact (construit)"/>
    <m/>
    <m/>
    <s v="Oui"/>
    <s v="Familles d'accueil"/>
    <s v="Non, pas du tout"/>
    <s v="Non"/>
    <m/>
    <m/>
    <n v="3000"/>
    <s v="Non"/>
    <m/>
    <m/>
    <m/>
    <m/>
    <m/>
    <m/>
    <m/>
    <m/>
    <m/>
    <m/>
    <m/>
    <m/>
    <m/>
    <m/>
    <m/>
    <m/>
    <m/>
    <s v="Non"/>
    <m/>
    <m/>
    <m/>
    <m/>
    <m/>
    <m/>
    <m/>
    <m/>
    <m/>
    <m/>
    <m/>
    <m/>
    <m/>
    <m/>
    <m/>
    <s v="Non"/>
    <m/>
    <m/>
    <m/>
    <m/>
    <m/>
    <m/>
    <m/>
    <m/>
    <m/>
    <m/>
    <m/>
    <m/>
    <m/>
    <m/>
    <m/>
    <m/>
    <m/>
    <m/>
    <m/>
    <m/>
    <n v="0"/>
    <m/>
    <m/>
    <m/>
    <m/>
    <m/>
    <m/>
    <m/>
    <m/>
    <m/>
    <m/>
    <m/>
    <m/>
    <m/>
    <s v="0"/>
    <s v="0"/>
    <s v="0"/>
    <n v="0"/>
  </r>
  <r>
    <n v="2661739"/>
    <s v="Extrême-Nord"/>
    <s v="CMR004"/>
    <x v="1"/>
    <s v="CMR004002"/>
    <s v="Darak"/>
    <s v="CMR004002007"/>
    <s v="DAR-0021"/>
    <s v="BOUARAM"/>
    <m/>
    <x v="0"/>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36154"/>
    <s v="Extrême-Nord"/>
    <s v="CMR004"/>
    <x v="1"/>
    <s v="CMR004002"/>
    <s v="Darak"/>
    <s v="CMR004002007"/>
    <s v="DAR-0002"/>
    <s v="BOUSSAYA"/>
    <m/>
    <x v="1"/>
    <n v="12.7210222"/>
    <n v="14.3573395"/>
    <x v="0"/>
    <b v="1"/>
    <b v="0"/>
    <b v="0"/>
    <m/>
    <n v="3"/>
    <s v="Accessible"/>
    <m/>
    <s v="Le village est entièrement déserté"/>
    <m/>
    <m/>
    <m/>
    <m/>
    <m/>
    <m/>
    <m/>
    <m/>
    <m/>
    <m/>
    <m/>
    <m/>
    <m/>
    <m/>
    <m/>
    <m/>
    <m/>
    <m/>
    <m/>
    <m/>
    <m/>
    <m/>
    <m/>
    <m/>
    <m/>
    <m/>
    <m/>
    <m/>
    <m/>
    <m/>
    <m/>
    <m/>
    <m/>
    <m/>
    <m/>
    <m/>
    <m/>
    <m/>
    <m/>
    <m/>
    <m/>
    <m/>
    <m/>
    <m/>
    <m/>
    <m/>
    <m/>
    <m/>
    <m/>
    <m/>
    <m/>
    <m/>
    <m/>
    <m/>
    <m/>
    <m/>
    <m/>
    <m/>
    <m/>
    <m/>
    <m/>
    <m/>
    <m/>
    <m/>
    <m/>
    <m/>
    <m/>
    <m/>
    <m/>
    <m/>
    <m/>
    <m/>
    <m/>
    <m/>
    <m/>
    <m/>
    <m/>
    <m/>
    <m/>
    <s v="0"/>
    <s v="0"/>
    <s v="0"/>
    <n v="0"/>
  </r>
  <r>
    <n v="2636249"/>
    <s v="Extrême-Nord"/>
    <s v="CMR004"/>
    <x v="1"/>
    <s v="CMR004002"/>
    <s v="Darak"/>
    <s v="CMR004002007"/>
    <s v="DAR-0026"/>
    <s v="DABISSÉ"/>
    <m/>
    <x v="1"/>
    <n v="12.5753457"/>
    <n v="14.458568700000001"/>
    <x v="0"/>
    <b v="1"/>
    <b v="0"/>
    <b v="0"/>
    <m/>
    <n v="3"/>
    <s v="Accessible"/>
    <m/>
    <s v="Le village accueille une population"/>
    <s v="Le village est intact (construit)"/>
    <m/>
    <m/>
    <s v="Oui"/>
    <s v="Familles d'accueil"/>
    <s v="Non, pas du tout"/>
    <s v="Non"/>
    <m/>
    <m/>
    <n v="195"/>
    <s v="Non"/>
    <m/>
    <m/>
    <m/>
    <m/>
    <m/>
    <m/>
    <m/>
    <m/>
    <m/>
    <m/>
    <m/>
    <m/>
    <m/>
    <m/>
    <m/>
    <m/>
    <m/>
    <s v="Non"/>
    <m/>
    <m/>
    <m/>
    <m/>
    <m/>
    <m/>
    <m/>
    <m/>
    <m/>
    <m/>
    <m/>
    <m/>
    <m/>
    <m/>
    <m/>
    <s v="Non"/>
    <m/>
    <m/>
    <m/>
    <m/>
    <m/>
    <m/>
    <m/>
    <m/>
    <m/>
    <m/>
    <m/>
    <m/>
    <m/>
    <m/>
    <m/>
    <m/>
    <m/>
    <m/>
    <m/>
    <m/>
    <n v="0"/>
    <m/>
    <m/>
    <m/>
    <m/>
    <m/>
    <m/>
    <m/>
    <m/>
    <m/>
    <m/>
    <m/>
    <m/>
    <m/>
    <s v="0"/>
    <s v="0"/>
    <s v="0"/>
    <n v="0"/>
  </r>
  <r>
    <n v="2626179"/>
    <s v="Extrême-Nord"/>
    <s v="CMR004"/>
    <x v="1"/>
    <s v="CMR004002"/>
    <s v="Darak"/>
    <s v="CMR004002007"/>
    <s v="DAR-0003"/>
    <s v="DARAK"/>
    <m/>
    <x v="1"/>
    <n v="12.879042099999999"/>
    <n v="14.2985778"/>
    <x v="0"/>
    <b v="1"/>
    <b v="0"/>
    <b v="0"/>
    <m/>
    <n v="3"/>
    <s v="Accessible"/>
    <m/>
    <s v="Le village accueille une population"/>
    <s v="Le village est partiellement détruit"/>
    <s v="Intempéries (inondations, tempêtes etc.)"/>
    <m/>
    <s v="Oui"/>
    <s v="Familles d'accueil"/>
    <s v="Non, pas du tout"/>
    <s v="Non"/>
    <m/>
    <n v="80"/>
    <n v="13756"/>
    <s v="Oui"/>
    <s v="Premier déplacement"/>
    <n v="80"/>
    <n v="572"/>
    <n v="240"/>
    <n v="332"/>
    <n v="50"/>
    <n v="20"/>
    <n v="10"/>
    <n v="0"/>
    <m/>
    <m/>
    <n v="0"/>
    <n v="0"/>
    <m/>
    <m/>
    <n v="0"/>
    <s v="Ils sont besoin des aides"/>
    <s v="Non"/>
    <m/>
    <m/>
    <m/>
    <m/>
    <m/>
    <m/>
    <m/>
    <m/>
    <m/>
    <m/>
    <m/>
    <m/>
    <m/>
    <m/>
    <m/>
    <s v="Non"/>
    <m/>
    <m/>
    <m/>
    <m/>
    <m/>
    <m/>
    <m/>
    <m/>
    <m/>
    <m/>
    <m/>
    <m/>
    <m/>
    <m/>
    <m/>
    <m/>
    <m/>
    <m/>
    <m/>
    <m/>
    <n v="0"/>
    <m/>
    <m/>
    <m/>
    <m/>
    <m/>
    <m/>
    <m/>
    <m/>
    <m/>
    <m/>
    <m/>
    <m/>
    <m/>
    <s v="1"/>
    <s v="0"/>
    <s v="0"/>
    <n v="1"/>
  </r>
  <r>
    <n v="2646350"/>
    <s v="Extrême-Nord"/>
    <s v="CMR004"/>
    <x v="1"/>
    <s v="CMR004002"/>
    <s v="Darak"/>
    <s v="CMR004002007"/>
    <s v="DAR-0004"/>
    <s v="DJIREIB"/>
    <m/>
    <x v="1"/>
    <n v="12.5753173"/>
    <n v="14.458344800000001"/>
    <x v="0"/>
    <b v="1"/>
    <b v="0"/>
    <b v="0"/>
    <m/>
    <n v="3"/>
    <s v="Accessible"/>
    <m/>
    <s v="Le village accueille une population"/>
    <s v="Le village est intact (construit)"/>
    <m/>
    <m/>
    <s v="Oui"/>
    <s v="Familles d'accueil"/>
    <s v="Non, pas du tout"/>
    <s v="Non"/>
    <m/>
    <m/>
    <n v="107"/>
    <s v="Non"/>
    <m/>
    <m/>
    <m/>
    <m/>
    <m/>
    <m/>
    <m/>
    <m/>
    <m/>
    <m/>
    <m/>
    <m/>
    <m/>
    <m/>
    <m/>
    <m/>
    <m/>
    <s v="Non"/>
    <m/>
    <m/>
    <m/>
    <m/>
    <m/>
    <m/>
    <m/>
    <m/>
    <m/>
    <m/>
    <m/>
    <m/>
    <m/>
    <m/>
    <m/>
    <s v="Non"/>
    <m/>
    <m/>
    <m/>
    <m/>
    <m/>
    <m/>
    <m/>
    <m/>
    <m/>
    <m/>
    <m/>
    <m/>
    <m/>
    <m/>
    <m/>
    <m/>
    <m/>
    <m/>
    <m/>
    <m/>
    <n v="0"/>
    <m/>
    <m/>
    <m/>
    <m/>
    <m/>
    <m/>
    <m/>
    <m/>
    <m/>
    <m/>
    <m/>
    <m/>
    <m/>
    <s v="0"/>
    <s v="0"/>
    <s v="0"/>
    <n v="0"/>
  </r>
  <r>
    <n v="2636153"/>
    <s v="Extrême-Nord"/>
    <s v="CMR004"/>
    <x v="1"/>
    <s v="CMR004002"/>
    <s v="Darak"/>
    <s v="CMR004002007"/>
    <s v="DAR-0005"/>
    <s v="DOLE-ABOUNA"/>
    <m/>
    <x v="1"/>
    <n v="12.710430199999999"/>
    <n v="14.3682023"/>
    <x v="0"/>
    <b v="1"/>
    <b v="0"/>
    <b v="0"/>
    <m/>
    <n v="3"/>
    <s v="Accessible"/>
    <m/>
    <s v="Le village accueille une population"/>
    <s v="Le village est intact (construit)"/>
    <m/>
    <m/>
    <s v="Oui"/>
    <s v="Familles d'accueil"/>
    <s v="Non, pas du tout"/>
    <s v="Non"/>
    <m/>
    <m/>
    <n v="872"/>
    <s v="Non"/>
    <m/>
    <m/>
    <m/>
    <m/>
    <m/>
    <m/>
    <m/>
    <m/>
    <m/>
    <m/>
    <m/>
    <m/>
    <m/>
    <m/>
    <m/>
    <m/>
    <m/>
    <s v="Non"/>
    <m/>
    <m/>
    <m/>
    <m/>
    <m/>
    <m/>
    <m/>
    <m/>
    <m/>
    <m/>
    <m/>
    <m/>
    <m/>
    <m/>
    <m/>
    <s v="Non"/>
    <m/>
    <m/>
    <m/>
    <m/>
    <m/>
    <m/>
    <m/>
    <m/>
    <m/>
    <m/>
    <m/>
    <m/>
    <m/>
    <m/>
    <m/>
    <m/>
    <m/>
    <m/>
    <m/>
    <m/>
    <n v="0"/>
    <m/>
    <m/>
    <m/>
    <m/>
    <m/>
    <m/>
    <m/>
    <m/>
    <m/>
    <m/>
    <m/>
    <m/>
    <m/>
    <s v="0"/>
    <s v="0"/>
    <s v="0"/>
    <n v="0"/>
  </r>
  <r>
    <n v="2647668"/>
    <s v="Extrême-Nord"/>
    <s v="CMR004"/>
    <x v="1"/>
    <s v="CMR004002"/>
    <s v="Darak"/>
    <s v="CMR004002007"/>
    <s v="DAR-0020"/>
    <s v="DORO LIMANE"/>
    <m/>
    <x v="0"/>
    <n v="12.7927821"/>
    <n v="14.3113428"/>
    <x v="0"/>
    <b v="1"/>
    <b v="0"/>
    <b v="0"/>
    <m/>
    <n v="3"/>
    <s v="Accessible"/>
    <m/>
    <s v="Le village accueille une population"/>
    <s v="Le village est intact (construit)"/>
    <m/>
    <m/>
    <s v="Oui"/>
    <s v="Familles d'accueil"/>
    <s v="Non, pas du tout"/>
    <s v="Non"/>
    <m/>
    <m/>
    <n v="70"/>
    <s v="Non"/>
    <m/>
    <m/>
    <m/>
    <m/>
    <m/>
    <m/>
    <m/>
    <m/>
    <m/>
    <m/>
    <m/>
    <m/>
    <m/>
    <m/>
    <m/>
    <m/>
    <m/>
    <s v="Non"/>
    <m/>
    <m/>
    <m/>
    <m/>
    <m/>
    <m/>
    <m/>
    <m/>
    <m/>
    <m/>
    <m/>
    <m/>
    <m/>
    <m/>
    <m/>
    <s v="Oui"/>
    <n v="30"/>
    <n v="70"/>
    <n v="37"/>
    <n v="33"/>
    <s v="Moins de 3 mois"/>
    <n v="0"/>
    <n v="30"/>
    <n v="0"/>
    <n v="0"/>
    <n v="0"/>
    <m/>
    <n v="0"/>
    <n v="0"/>
    <m/>
    <n v="0"/>
    <m/>
    <m/>
    <m/>
    <m/>
    <m/>
    <n v="0"/>
    <m/>
    <m/>
    <m/>
    <m/>
    <m/>
    <m/>
    <m/>
    <m/>
    <m/>
    <m/>
    <m/>
    <m/>
    <m/>
    <s v="0"/>
    <s v="0"/>
    <s v="1"/>
    <n v="1"/>
  </r>
  <r>
    <n v="2647677"/>
    <s v="Extrême-Nord"/>
    <s v="CMR004"/>
    <x v="1"/>
    <s v="CMR004002"/>
    <s v="Darak"/>
    <s v="CMR004002007"/>
    <s v="DAR-0006"/>
    <s v="GORE TCHANDI"/>
    <m/>
    <x v="0"/>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43878"/>
    <s v="Extrême-Nord"/>
    <s v="CMR004"/>
    <x v="1"/>
    <s v="CMR004002"/>
    <s v="Darak"/>
    <s v="CMR004002007"/>
    <s v="DAR-0025"/>
    <s v="HERWA"/>
    <m/>
    <x v="1"/>
    <n v="12.6326321"/>
    <n v="14.463777199999999"/>
    <x v="0"/>
    <b v="1"/>
    <b v="0"/>
    <b v="0"/>
    <m/>
    <n v="3"/>
    <s v="Accessible"/>
    <m/>
    <s v="Le village accueille une population"/>
    <s v="Le village est intact (construit)"/>
    <m/>
    <m/>
    <s v="Oui"/>
    <s v="Familles d'accueil"/>
    <s v="Non, pas du tout"/>
    <s v="Non"/>
    <m/>
    <m/>
    <n v="276"/>
    <s v="Non"/>
    <m/>
    <m/>
    <m/>
    <m/>
    <m/>
    <m/>
    <m/>
    <m/>
    <m/>
    <m/>
    <m/>
    <m/>
    <m/>
    <m/>
    <m/>
    <m/>
    <m/>
    <s v="Non"/>
    <m/>
    <m/>
    <m/>
    <m/>
    <m/>
    <m/>
    <m/>
    <m/>
    <m/>
    <m/>
    <m/>
    <m/>
    <m/>
    <m/>
    <m/>
    <s v="Non"/>
    <m/>
    <m/>
    <m/>
    <m/>
    <m/>
    <m/>
    <m/>
    <m/>
    <m/>
    <m/>
    <m/>
    <m/>
    <m/>
    <m/>
    <m/>
    <m/>
    <m/>
    <m/>
    <m/>
    <m/>
    <n v="0"/>
    <m/>
    <m/>
    <m/>
    <m/>
    <m/>
    <m/>
    <m/>
    <m/>
    <m/>
    <m/>
    <m/>
    <m/>
    <m/>
    <s v="0"/>
    <s v="0"/>
    <s v="0"/>
    <n v="0"/>
  </r>
  <r>
    <n v="2753818"/>
    <s v="Extrême-Nord"/>
    <s v="CMR004"/>
    <x v="1"/>
    <s v="CMR004002"/>
    <s v="Darak"/>
    <s v="CMR004002007"/>
    <s v="DAR-0024"/>
    <s v="KADOUNA"/>
    <m/>
    <x v="1"/>
    <n v="12.406602100000001"/>
    <n v="14.493912399999999"/>
    <x v="0"/>
    <b v="0"/>
    <b v="0"/>
    <b v="1"/>
    <m/>
    <m/>
    <s v="Accessible"/>
    <m/>
    <s v="Le village accueille une population"/>
    <s v="Le village est intact (construit)"/>
    <m/>
    <m/>
    <s v="Oui"/>
    <s v="Familles d'accueil"/>
    <s v="Non, pas du tout"/>
    <s v="Non"/>
    <m/>
    <n v="16"/>
    <n v="350"/>
    <s v="Oui"/>
    <s v="Premier déplacement"/>
    <n v="16"/>
    <n v="92"/>
    <n v="40"/>
    <n v="52"/>
    <n v="0"/>
    <n v="16"/>
    <n v="0"/>
    <n v="0"/>
    <m/>
    <m/>
    <n v="0"/>
    <n v="0"/>
    <m/>
    <m/>
    <n v="0"/>
    <s v="Aucun changement"/>
    <s v="Oui"/>
    <n v="20"/>
    <n v="90"/>
    <n v="40"/>
    <n v="50"/>
    <n v="20"/>
    <n v="0"/>
    <n v="0"/>
    <m/>
    <n v="0"/>
    <n v="0"/>
    <m/>
    <m/>
    <n v="0"/>
    <n v="0"/>
    <s v="Aucun changement"/>
    <s v="Non"/>
    <m/>
    <m/>
    <m/>
    <m/>
    <m/>
    <m/>
    <m/>
    <m/>
    <m/>
    <m/>
    <m/>
    <m/>
    <m/>
    <m/>
    <m/>
    <m/>
    <m/>
    <m/>
    <m/>
    <m/>
    <n v="0"/>
    <m/>
    <m/>
    <m/>
    <m/>
    <m/>
    <m/>
    <m/>
    <m/>
    <m/>
    <m/>
    <m/>
    <m/>
    <m/>
    <s v="1"/>
    <s v="1"/>
    <s v="0"/>
    <n v="2"/>
  </r>
  <r>
    <n v="2626178"/>
    <s v="Extrême-Nord"/>
    <s v="CMR004"/>
    <x v="1"/>
    <s v="CMR004002"/>
    <s v="Darak"/>
    <s v="CMR004002007"/>
    <s v="DAR-0009"/>
    <s v="KARAMA 2"/>
    <m/>
    <x v="0"/>
    <n v="12.7646385"/>
    <n v="14.360384699999999"/>
    <x v="0"/>
    <b v="1"/>
    <b v="0"/>
    <b v="0"/>
    <m/>
    <n v="3"/>
    <s v="Accessible"/>
    <m/>
    <s v="Le village accueille une population"/>
    <s v="Le village est intact (construit)"/>
    <m/>
    <m/>
    <s v="Oui"/>
    <s v="Familles d'accueil"/>
    <s v="Non, pas du tout"/>
    <s v="Non"/>
    <m/>
    <n v="70"/>
    <n v="350"/>
    <s v="Oui"/>
    <s v="Premier déplacement"/>
    <n v="70"/>
    <n v="350"/>
    <n v="170"/>
    <n v="180"/>
    <n v="40"/>
    <n v="10"/>
    <n v="20"/>
    <n v="0"/>
    <m/>
    <m/>
    <n v="0"/>
    <n v="0"/>
    <m/>
    <m/>
    <n v="0"/>
    <s v="Ils besoin des aides"/>
    <s v="Non"/>
    <m/>
    <m/>
    <m/>
    <m/>
    <m/>
    <m/>
    <m/>
    <m/>
    <m/>
    <m/>
    <m/>
    <m/>
    <m/>
    <m/>
    <m/>
    <s v="Non"/>
    <m/>
    <m/>
    <m/>
    <m/>
    <m/>
    <m/>
    <m/>
    <m/>
    <m/>
    <m/>
    <m/>
    <m/>
    <m/>
    <m/>
    <m/>
    <m/>
    <m/>
    <m/>
    <m/>
    <m/>
    <n v="0"/>
    <m/>
    <m/>
    <m/>
    <m/>
    <m/>
    <m/>
    <m/>
    <m/>
    <m/>
    <m/>
    <m/>
    <m/>
    <m/>
    <s v="1"/>
    <s v="0"/>
    <s v="0"/>
    <n v="1"/>
  </r>
  <r>
    <n v="2626171"/>
    <s v="Extrême-Nord"/>
    <s v="CMR004"/>
    <x v="1"/>
    <s v="CMR004002"/>
    <s v="Darak"/>
    <s v="CMR004002007"/>
    <s v="DAR-0010"/>
    <s v="KARENA"/>
    <m/>
    <x v="0"/>
    <n v="12.7311549"/>
    <n v="14.344232099999999"/>
    <x v="0"/>
    <b v="1"/>
    <b v="0"/>
    <b v="0"/>
    <m/>
    <n v="3"/>
    <s v="Accessible"/>
    <m/>
    <s v="Le village accueille une population"/>
    <s v="Le village est intact (construit)"/>
    <m/>
    <m/>
    <s v="Oui"/>
    <s v="Familles d'accueil"/>
    <s v="Sites de déplacement spontanés"/>
    <s v="Non"/>
    <m/>
    <n v="743"/>
    <n v="8000"/>
    <s v="Oui"/>
    <s v="Premier déplacement"/>
    <n v="743"/>
    <n v="3499"/>
    <n v="1800"/>
    <n v="1699"/>
    <n v="33"/>
    <n v="600"/>
    <n v="110"/>
    <n v="0"/>
    <m/>
    <m/>
    <n v="0"/>
    <n v="0"/>
    <m/>
    <m/>
    <n v="0"/>
    <s v="Ils sont besoine des  aides"/>
    <s v="Non"/>
    <m/>
    <m/>
    <m/>
    <m/>
    <m/>
    <m/>
    <m/>
    <m/>
    <m/>
    <m/>
    <m/>
    <m/>
    <m/>
    <m/>
    <m/>
    <s v="Non"/>
    <m/>
    <m/>
    <m/>
    <m/>
    <m/>
    <m/>
    <m/>
    <m/>
    <m/>
    <m/>
    <m/>
    <m/>
    <m/>
    <m/>
    <m/>
    <m/>
    <m/>
    <m/>
    <m/>
    <m/>
    <n v="0"/>
    <m/>
    <m/>
    <m/>
    <m/>
    <m/>
    <m/>
    <m/>
    <m/>
    <m/>
    <m/>
    <m/>
    <m/>
    <m/>
    <s v="1"/>
    <s v="0"/>
    <s v="0"/>
    <n v="1"/>
  </r>
  <r>
    <n v="2626175"/>
    <s v="Extrême-Nord"/>
    <s v="CMR004"/>
    <x v="1"/>
    <s v="CMR004002"/>
    <s v="Darak"/>
    <s v="CMR004002007"/>
    <s v="DAR-0011"/>
    <s v="KATIKIME 1"/>
    <m/>
    <x v="0"/>
    <n v="12.788787599999999"/>
    <n v="14.305686100000001"/>
    <x v="0"/>
    <b v="1"/>
    <b v="0"/>
    <b v="0"/>
    <m/>
    <n v="3"/>
    <s v="Accessible"/>
    <m/>
    <s v="Le village accueille une population"/>
    <s v="Le village est intact (construit)"/>
    <m/>
    <m/>
    <s v="Oui"/>
    <s v="Familles d'accueil"/>
    <s v="Sites de déplacement spontanés"/>
    <s v="Non"/>
    <m/>
    <m/>
    <n v="70"/>
    <s v="Non"/>
    <m/>
    <m/>
    <m/>
    <m/>
    <m/>
    <m/>
    <m/>
    <m/>
    <m/>
    <m/>
    <m/>
    <m/>
    <m/>
    <m/>
    <m/>
    <m/>
    <m/>
    <s v="Non"/>
    <m/>
    <m/>
    <m/>
    <m/>
    <m/>
    <m/>
    <m/>
    <m/>
    <m/>
    <m/>
    <m/>
    <m/>
    <m/>
    <m/>
    <m/>
    <s v="Oui"/>
    <n v="25"/>
    <n v="70"/>
    <n v="40"/>
    <n v="30"/>
    <s v="Moins de 3 mois"/>
    <n v="0"/>
    <n v="25"/>
    <n v="0"/>
    <n v="0"/>
    <n v="0"/>
    <m/>
    <n v="0"/>
    <n v="0"/>
    <m/>
    <n v="0"/>
    <m/>
    <m/>
    <m/>
    <m/>
    <m/>
    <n v="0"/>
    <m/>
    <m/>
    <m/>
    <m/>
    <m/>
    <m/>
    <m/>
    <m/>
    <m/>
    <m/>
    <m/>
    <m/>
    <m/>
    <s v="0"/>
    <s v="0"/>
    <s v="1"/>
    <n v="1"/>
  </r>
  <r>
    <n v="2634920"/>
    <s v="Extrême-Nord"/>
    <s v="CMR004"/>
    <x v="1"/>
    <s v="CMR004002"/>
    <s v="Darak"/>
    <s v="CMR004002007"/>
    <s v="DAR-0022"/>
    <s v="KATIKIME 2"/>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36151"/>
    <s v="Extrême-Nord"/>
    <s v="CMR004"/>
    <x v="1"/>
    <s v="CMR004002"/>
    <s v="Darak"/>
    <s v="CMR004002007"/>
    <s v="DAR-0012"/>
    <s v="KOUNDJARA"/>
    <m/>
    <x v="1"/>
    <n v="12.709409600000001"/>
    <n v="14.394646"/>
    <x v="0"/>
    <b v="1"/>
    <b v="0"/>
    <b v="0"/>
    <m/>
    <n v="3"/>
    <s v="Accessible"/>
    <m/>
    <s v="Le village accueille une population"/>
    <s v="Le village est intact (construit)"/>
    <m/>
    <m/>
    <s v="Oui"/>
    <s v="Familles d'accueil"/>
    <s v="Non, pas du tout"/>
    <s v="Non"/>
    <m/>
    <m/>
    <n v="580"/>
    <s v="Non"/>
    <m/>
    <m/>
    <m/>
    <m/>
    <m/>
    <m/>
    <m/>
    <m/>
    <m/>
    <m/>
    <m/>
    <m/>
    <m/>
    <m/>
    <m/>
    <m/>
    <m/>
    <s v="Non"/>
    <m/>
    <m/>
    <m/>
    <m/>
    <m/>
    <m/>
    <m/>
    <m/>
    <m/>
    <m/>
    <m/>
    <m/>
    <m/>
    <m/>
    <m/>
    <s v="Non"/>
    <m/>
    <m/>
    <m/>
    <m/>
    <m/>
    <m/>
    <m/>
    <m/>
    <m/>
    <m/>
    <m/>
    <m/>
    <m/>
    <m/>
    <m/>
    <m/>
    <m/>
    <m/>
    <m/>
    <m/>
    <n v="0"/>
    <m/>
    <m/>
    <m/>
    <m/>
    <m/>
    <m/>
    <m/>
    <m/>
    <m/>
    <m/>
    <m/>
    <m/>
    <m/>
    <s v="0"/>
    <s v="0"/>
    <s v="0"/>
    <n v="0"/>
  </r>
  <r>
    <n v="2636149"/>
    <s v="Extrême-Nord"/>
    <s v="CMR004"/>
    <x v="1"/>
    <s v="CMR004002"/>
    <s v="Darak"/>
    <s v="CMR004002007"/>
    <s v="DAR-0013"/>
    <s v="MAGALA-DJOUGOUL"/>
    <m/>
    <x v="1"/>
    <n v="12.6911281"/>
    <n v="14.3183734"/>
    <x v="0"/>
    <b v="1"/>
    <b v="0"/>
    <b v="0"/>
    <m/>
    <n v="4"/>
    <s v="Accessible"/>
    <m/>
    <s v="Le village accueille une population"/>
    <s v="Le village est intact (construit)"/>
    <m/>
    <m/>
    <s v="Oui"/>
    <s v="Familles d'accueil"/>
    <s v="Non, pas du tout"/>
    <s v="Non"/>
    <m/>
    <m/>
    <n v="370"/>
    <s v="Non"/>
    <m/>
    <m/>
    <m/>
    <m/>
    <m/>
    <m/>
    <m/>
    <m/>
    <m/>
    <m/>
    <m/>
    <m/>
    <m/>
    <m/>
    <m/>
    <m/>
    <m/>
    <s v="Non"/>
    <m/>
    <m/>
    <m/>
    <m/>
    <m/>
    <m/>
    <m/>
    <m/>
    <m/>
    <m/>
    <m/>
    <m/>
    <m/>
    <m/>
    <m/>
    <s v="Non"/>
    <m/>
    <m/>
    <m/>
    <m/>
    <m/>
    <m/>
    <m/>
    <m/>
    <m/>
    <m/>
    <m/>
    <m/>
    <m/>
    <m/>
    <m/>
    <m/>
    <m/>
    <m/>
    <m/>
    <m/>
    <n v="0"/>
    <m/>
    <m/>
    <m/>
    <m/>
    <m/>
    <m/>
    <m/>
    <m/>
    <m/>
    <m/>
    <m/>
    <m/>
    <m/>
    <s v="0"/>
    <s v="0"/>
    <s v="0"/>
    <n v="0"/>
  </r>
  <r>
    <n v="2639604"/>
    <s v="Extrême-Nord"/>
    <s v="CMR004"/>
    <x v="1"/>
    <s v="CMR004002"/>
    <s v="Darak"/>
    <s v="CMR004002007"/>
    <s v="DAR-0014"/>
    <s v="MAGALA-KABIR 1"/>
    <m/>
    <x v="1"/>
    <n v="12.575323900000001"/>
    <n v="14.458425800000001"/>
    <x v="0"/>
    <b v="1"/>
    <b v="0"/>
    <b v="0"/>
    <m/>
    <n v="3"/>
    <s v="Accessible"/>
    <m/>
    <s v="Le village accueille une population"/>
    <s v="Le village est intact (construit)"/>
    <m/>
    <m/>
    <s v="Oui"/>
    <s v="Familles d'accueil"/>
    <s v="Non, pas du tout"/>
    <s v="Non"/>
    <m/>
    <m/>
    <n v="1545"/>
    <s v="Non"/>
    <m/>
    <m/>
    <m/>
    <m/>
    <m/>
    <m/>
    <m/>
    <m/>
    <m/>
    <m/>
    <m/>
    <m/>
    <m/>
    <m/>
    <m/>
    <m/>
    <m/>
    <s v="Non"/>
    <m/>
    <m/>
    <m/>
    <m/>
    <m/>
    <m/>
    <m/>
    <m/>
    <m/>
    <m/>
    <m/>
    <m/>
    <m/>
    <m/>
    <m/>
    <s v="Non"/>
    <m/>
    <m/>
    <m/>
    <m/>
    <m/>
    <m/>
    <m/>
    <m/>
    <m/>
    <m/>
    <m/>
    <m/>
    <m/>
    <m/>
    <m/>
    <m/>
    <m/>
    <m/>
    <m/>
    <m/>
    <n v="0"/>
    <m/>
    <m/>
    <m/>
    <m/>
    <m/>
    <m/>
    <m/>
    <m/>
    <m/>
    <m/>
    <m/>
    <m/>
    <m/>
    <s v="0"/>
    <s v="0"/>
    <s v="0"/>
    <n v="0"/>
  </r>
  <r>
    <n v="2753798"/>
    <s v="Extrême-Nord"/>
    <s v="CMR004"/>
    <x v="1"/>
    <s v="CMR004002"/>
    <s v="Darak"/>
    <s v="CMR004002007"/>
    <s v="DAR-0015"/>
    <s v="MAGALA-KABIR 2"/>
    <m/>
    <x v="1"/>
    <n v="12.4066665"/>
    <n v="14.493911199999999"/>
    <x v="0"/>
    <b v="0"/>
    <b v="0"/>
    <b v="1"/>
    <m/>
    <m/>
    <s v="Accessible"/>
    <m/>
    <s v="Le village accueille une population"/>
    <s v="Le village est intact (construit)"/>
    <m/>
    <m/>
    <s v="Oui"/>
    <s v="Familles d'accueil"/>
    <s v="Non, pas du tout"/>
    <s v="Non"/>
    <m/>
    <n v="10"/>
    <n v="500"/>
    <s v="Oui"/>
    <s v="Premier déplacement"/>
    <n v="10"/>
    <n v="33"/>
    <n v="15"/>
    <n v="18"/>
    <n v="0"/>
    <n v="10"/>
    <n v="0"/>
    <n v="0"/>
    <m/>
    <m/>
    <n v="0"/>
    <n v="0"/>
    <m/>
    <m/>
    <n v="0"/>
    <s v="Aucun changement"/>
    <s v="Oui"/>
    <n v="5"/>
    <n v="25"/>
    <n v="10"/>
    <n v="15"/>
    <n v="5"/>
    <n v="0"/>
    <n v="0"/>
    <m/>
    <n v="0"/>
    <n v="0"/>
    <m/>
    <m/>
    <n v="0"/>
    <n v="0"/>
    <s v="Aucun changement"/>
    <s v="Non"/>
    <m/>
    <m/>
    <m/>
    <m/>
    <m/>
    <m/>
    <m/>
    <m/>
    <m/>
    <m/>
    <m/>
    <m/>
    <m/>
    <m/>
    <m/>
    <m/>
    <m/>
    <m/>
    <m/>
    <m/>
    <n v="0"/>
    <m/>
    <m/>
    <m/>
    <m/>
    <m/>
    <m/>
    <m/>
    <m/>
    <m/>
    <m/>
    <m/>
    <m/>
    <m/>
    <s v="1"/>
    <s v="1"/>
    <s v="0"/>
    <n v="2"/>
  </r>
  <r>
    <n v="2626173"/>
    <s v="Extrême-Nord"/>
    <s v="CMR004"/>
    <x v="1"/>
    <s v="CMR004002"/>
    <s v="Darak"/>
    <s v="CMR004002007"/>
    <s v="DAR-0016"/>
    <s v="NAGA A"/>
    <m/>
    <x v="0"/>
    <n v="12.768592099999999"/>
    <n v="14.303426200000001"/>
    <x v="0"/>
    <b v="1"/>
    <b v="0"/>
    <b v="0"/>
    <m/>
    <n v="3"/>
    <s v="Accessible"/>
    <m/>
    <s v="Le village est déserté la nuit"/>
    <s v="Le village est intact (construit)"/>
    <m/>
    <m/>
    <s v="Oui"/>
    <s v="Familles d'accueil"/>
    <s v="Non, pas du tout"/>
    <s v="Non"/>
    <m/>
    <m/>
    <n v="315"/>
    <s v="Non"/>
    <m/>
    <m/>
    <m/>
    <m/>
    <m/>
    <m/>
    <m/>
    <m/>
    <m/>
    <m/>
    <m/>
    <m/>
    <m/>
    <m/>
    <m/>
    <m/>
    <m/>
    <s v="Non"/>
    <m/>
    <m/>
    <m/>
    <m/>
    <m/>
    <m/>
    <m/>
    <m/>
    <m/>
    <m/>
    <m/>
    <m/>
    <m/>
    <m/>
    <m/>
    <s v="Oui"/>
    <n v="50"/>
    <n v="315"/>
    <n v="150"/>
    <n v="165"/>
    <s v="Moins de 3 mois"/>
    <n v="0"/>
    <n v="50"/>
    <n v="0"/>
    <n v="0"/>
    <n v="0"/>
    <m/>
    <n v="0"/>
    <n v="0"/>
    <m/>
    <n v="0"/>
    <m/>
    <m/>
    <m/>
    <m/>
    <m/>
    <n v="0"/>
    <m/>
    <m/>
    <m/>
    <m/>
    <m/>
    <m/>
    <m/>
    <m/>
    <m/>
    <m/>
    <m/>
    <m/>
    <m/>
    <s v="0"/>
    <s v="0"/>
    <s v="1"/>
    <n v="1"/>
  </r>
  <r>
    <n v="2776128"/>
    <s v="Extrême-Nord"/>
    <s v="CMR004"/>
    <x v="1"/>
    <s v="CMR004002"/>
    <s v="Darak"/>
    <s v="CMR004002007"/>
    <s v="DAR-0027"/>
    <s v="NDJODA"/>
    <m/>
    <x v="1"/>
    <n v="12.4066305"/>
    <n v="14.493868300000001"/>
    <x v="0"/>
    <b v="0"/>
    <b v="0"/>
    <b v="1"/>
    <m/>
    <m/>
    <s v="Accessible"/>
    <m/>
    <s v="Le village accueille une population"/>
    <s v="Le village est intact (construit)"/>
    <m/>
    <m/>
    <s v="Oui"/>
    <s v="Familles d'accueil"/>
    <s v="Non, pas du tout"/>
    <s v="Non"/>
    <m/>
    <n v="7"/>
    <n v="400"/>
    <s v="Oui"/>
    <s v="Premier déplacement"/>
    <n v="7"/>
    <n v="40"/>
    <n v="15"/>
    <n v="25"/>
    <n v="0"/>
    <n v="7"/>
    <n v="0"/>
    <n v="0"/>
    <m/>
    <m/>
    <n v="0"/>
    <n v="0"/>
    <m/>
    <m/>
    <n v="0"/>
    <s v="Aucun changement"/>
    <s v="Non"/>
    <m/>
    <m/>
    <m/>
    <m/>
    <m/>
    <m/>
    <m/>
    <m/>
    <m/>
    <m/>
    <m/>
    <m/>
    <m/>
    <m/>
    <m/>
    <s v="Non"/>
    <m/>
    <m/>
    <m/>
    <m/>
    <m/>
    <m/>
    <m/>
    <m/>
    <m/>
    <m/>
    <m/>
    <m/>
    <m/>
    <m/>
    <m/>
    <m/>
    <m/>
    <m/>
    <m/>
    <m/>
    <n v="0"/>
    <m/>
    <m/>
    <m/>
    <m/>
    <m/>
    <m/>
    <m/>
    <m/>
    <m/>
    <m/>
    <m/>
    <m/>
    <m/>
    <s v="1"/>
    <s v="0"/>
    <s v="0"/>
    <n v="1"/>
  </r>
  <r>
    <n v="2636156"/>
    <s v="Extrême-Nord"/>
    <s v="CMR004"/>
    <x v="1"/>
    <s v="CMR004002"/>
    <s v="Darak"/>
    <s v="CMR004002007"/>
    <s v="DAR-0017"/>
    <s v="NGUEWA"/>
    <m/>
    <x v="1"/>
    <n v="12.6651484"/>
    <n v="14.395724400000001"/>
    <x v="0"/>
    <b v="1"/>
    <b v="0"/>
    <b v="0"/>
    <m/>
    <n v="3"/>
    <s v="Accessible"/>
    <m/>
    <s v="Le village accueille une population"/>
    <s v="Le village est intact (construit)"/>
    <m/>
    <m/>
    <s v="Oui"/>
    <s v="Familles d'accueil"/>
    <s v="Non, pas du tout"/>
    <s v="Non"/>
    <m/>
    <m/>
    <n v="295"/>
    <s v="Non"/>
    <m/>
    <m/>
    <m/>
    <m/>
    <m/>
    <m/>
    <m/>
    <m/>
    <m/>
    <m/>
    <m/>
    <m/>
    <m/>
    <m/>
    <m/>
    <m/>
    <m/>
    <s v="Non"/>
    <m/>
    <m/>
    <m/>
    <m/>
    <m/>
    <m/>
    <m/>
    <m/>
    <m/>
    <m/>
    <m/>
    <m/>
    <m/>
    <m/>
    <m/>
    <s v="Non"/>
    <m/>
    <m/>
    <m/>
    <m/>
    <m/>
    <m/>
    <m/>
    <m/>
    <m/>
    <m/>
    <m/>
    <m/>
    <m/>
    <m/>
    <m/>
    <m/>
    <m/>
    <m/>
    <m/>
    <m/>
    <n v="0"/>
    <m/>
    <m/>
    <m/>
    <m/>
    <m/>
    <m/>
    <m/>
    <m/>
    <m/>
    <m/>
    <m/>
    <m/>
    <m/>
    <s v="0"/>
    <s v="0"/>
    <s v="0"/>
    <n v="0"/>
  </r>
  <r>
    <n v="2653872"/>
    <s v="Extrême-Nord"/>
    <s v="CMR004"/>
    <x v="1"/>
    <s v="CMR004002"/>
    <s v="Darak"/>
    <s v="CMR004002007"/>
    <s v="DAR-0023"/>
    <s v="NGUIRKIMA"/>
    <m/>
    <x v="1"/>
    <n v="12.5750606"/>
    <n v="14.458289600000001"/>
    <x v="0"/>
    <b v="1"/>
    <b v="0"/>
    <b v="0"/>
    <m/>
    <n v="3"/>
    <s v="Accessible"/>
    <m/>
    <s v="Le village accueille une population"/>
    <s v="Le village est intact (construit)"/>
    <m/>
    <m/>
    <s v="Oui"/>
    <s v="Familles d'accueil"/>
    <s v="Non, pas du tout"/>
    <s v="Non"/>
    <m/>
    <m/>
    <n v="1273"/>
    <s v="Non"/>
    <m/>
    <m/>
    <m/>
    <m/>
    <m/>
    <m/>
    <m/>
    <m/>
    <m/>
    <m/>
    <m/>
    <m/>
    <m/>
    <m/>
    <m/>
    <m/>
    <m/>
    <s v="Non"/>
    <m/>
    <m/>
    <m/>
    <m/>
    <m/>
    <m/>
    <m/>
    <m/>
    <m/>
    <m/>
    <m/>
    <m/>
    <m/>
    <m/>
    <m/>
    <s v="Non"/>
    <m/>
    <m/>
    <m/>
    <m/>
    <m/>
    <m/>
    <m/>
    <m/>
    <m/>
    <m/>
    <m/>
    <m/>
    <m/>
    <m/>
    <m/>
    <m/>
    <m/>
    <m/>
    <m/>
    <m/>
    <n v="0"/>
    <m/>
    <m/>
    <m/>
    <m/>
    <m/>
    <m/>
    <m/>
    <m/>
    <m/>
    <m/>
    <m/>
    <m/>
    <m/>
    <s v="0"/>
    <s v="0"/>
    <s v="0"/>
    <n v="0"/>
  </r>
  <r>
    <n v="2647665"/>
    <s v="Extrême-Nord"/>
    <s v="CMR004"/>
    <x v="1"/>
    <s v="CMR004002"/>
    <s v="Darak"/>
    <s v="CMR004002007"/>
    <s v="DAR-0018"/>
    <s v="RAMIN DORINA"/>
    <m/>
    <x v="0"/>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34896"/>
    <s v="Extrême-Nord"/>
    <s v="CMR004"/>
    <x v="1"/>
    <s v="CMR004002"/>
    <s v="Darak"/>
    <s v="CMR004002007"/>
    <s v="DAR-0007"/>
    <s v="SITE DE HIL-WANZAN"/>
    <m/>
    <x v="1"/>
    <n v="12.730786999999999"/>
    <n v="14.3441788"/>
    <x v="1"/>
    <b v="1"/>
    <b v="0"/>
    <b v="0"/>
    <m/>
    <n v="3"/>
    <s v="Accessible"/>
    <m/>
    <s v="Le village accueille une population"/>
    <s v="Le village est partiellement détruit"/>
    <s v="Attaques armées"/>
    <m/>
    <s v="Oui"/>
    <s v="Sites de déplacement spontanés"/>
    <s v="Non, pas du tout"/>
    <m/>
    <m/>
    <n v="150"/>
    <n v="300"/>
    <s v="Oui"/>
    <s v="Premier déplacement"/>
    <n v="150"/>
    <n v="600"/>
    <n v="356"/>
    <n v="244"/>
    <n v="150"/>
    <n v="0"/>
    <n v="0"/>
    <n v="0"/>
    <m/>
    <m/>
    <n v="0"/>
    <n v="0"/>
    <m/>
    <m/>
    <n v="0"/>
    <s v="Ils besoin des aides"/>
    <s v="Non"/>
    <m/>
    <m/>
    <m/>
    <m/>
    <m/>
    <m/>
    <m/>
    <m/>
    <m/>
    <m/>
    <m/>
    <m/>
    <m/>
    <m/>
    <m/>
    <s v="Non"/>
    <m/>
    <m/>
    <m/>
    <m/>
    <m/>
    <m/>
    <m/>
    <m/>
    <m/>
    <m/>
    <m/>
    <m/>
    <m/>
    <m/>
    <m/>
    <m/>
    <m/>
    <m/>
    <m/>
    <m/>
    <n v="0"/>
    <m/>
    <m/>
    <m/>
    <m/>
    <m/>
    <m/>
    <m/>
    <m/>
    <m/>
    <m/>
    <m/>
    <m/>
    <m/>
    <s v="1"/>
    <s v="0"/>
    <s v="0"/>
    <n v="1"/>
  </r>
  <r>
    <n v="2626177"/>
    <s v="Extrême-Nord"/>
    <s v="CMR004"/>
    <x v="1"/>
    <s v="CMR004002"/>
    <s v="Darak"/>
    <s v="CMR004002007"/>
    <s v="DAR-0008"/>
    <s v="SITE DE KARAMA 1"/>
    <m/>
    <x v="0"/>
    <n v="12.7613238"/>
    <n v="14.3593545"/>
    <x v="1"/>
    <b v="1"/>
    <b v="0"/>
    <b v="0"/>
    <m/>
    <n v="3"/>
    <s v="Accessible"/>
    <m/>
    <s v="Le village accueille une population"/>
    <s v="Le village est partiellement détruit"/>
    <s v="Attaques armées"/>
    <m/>
    <s v="Oui"/>
    <s v="Familles d'accueil"/>
    <s v="Non, pas du tout"/>
    <m/>
    <m/>
    <n v="50"/>
    <n v="270"/>
    <s v="Oui"/>
    <s v="Premier déplacement"/>
    <n v="50"/>
    <n v="270"/>
    <n v="164"/>
    <n v="106"/>
    <n v="50"/>
    <n v="0"/>
    <n v="0"/>
    <n v="0"/>
    <m/>
    <m/>
    <n v="0"/>
    <n v="0"/>
    <m/>
    <m/>
    <n v="0"/>
    <s v="Ils besoin des aides"/>
    <s v="Non"/>
    <m/>
    <m/>
    <m/>
    <m/>
    <m/>
    <m/>
    <m/>
    <m/>
    <m/>
    <m/>
    <m/>
    <m/>
    <m/>
    <m/>
    <m/>
    <s v="Non"/>
    <m/>
    <m/>
    <m/>
    <m/>
    <m/>
    <m/>
    <m/>
    <m/>
    <m/>
    <m/>
    <m/>
    <m/>
    <m/>
    <m/>
    <m/>
    <m/>
    <m/>
    <m/>
    <m/>
    <m/>
    <n v="0"/>
    <m/>
    <m/>
    <m/>
    <m/>
    <m/>
    <m/>
    <m/>
    <m/>
    <m/>
    <m/>
    <m/>
    <m/>
    <m/>
    <s v="1"/>
    <s v="0"/>
    <s v="0"/>
    <n v="1"/>
  </r>
  <r>
    <n v="2634897"/>
    <s v="Extrême-Nord"/>
    <s v="CMR004"/>
    <x v="1"/>
    <s v="CMR004002"/>
    <s v="Darak"/>
    <s v="CMR004002007"/>
    <s v="DAR-0019"/>
    <s v="TOROROYA"/>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86057"/>
    <s v="Extrême-Nord"/>
    <s v="CMR004"/>
    <x v="1"/>
    <s v="CMR004002"/>
    <s v="Fotokol"/>
    <s v="CMR004002008"/>
    <s v="XXXX"/>
    <s v="BOROWADJI"/>
    <s v="BOROWADJI"/>
    <x v="1"/>
    <n v="12.4096519"/>
    <n v="14.2258323"/>
    <x v="0"/>
    <b v="1"/>
    <b v="0"/>
    <b v="0"/>
    <m/>
    <n v="3"/>
    <s v="Accessible"/>
    <m/>
    <s v="Le village accueille une population"/>
    <s v="Le village est intact (construit)"/>
    <m/>
    <m/>
    <s v="Oui"/>
    <s v="Familles d'accueil"/>
    <s v="Non, pas du tout"/>
    <s v="Non"/>
    <m/>
    <m/>
    <n v="70"/>
    <s v="Non"/>
    <m/>
    <m/>
    <m/>
    <m/>
    <m/>
    <m/>
    <m/>
    <m/>
    <m/>
    <m/>
    <m/>
    <m/>
    <m/>
    <m/>
    <m/>
    <m/>
    <m/>
    <s v="Non"/>
    <m/>
    <m/>
    <m/>
    <m/>
    <m/>
    <m/>
    <m/>
    <m/>
    <m/>
    <m/>
    <m/>
    <m/>
    <m/>
    <m/>
    <m/>
    <s v="Oui"/>
    <n v="12"/>
    <n v="67"/>
    <n v="28"/>
    <n v="39"/>
    <s v="Entre 3 mois et 1 an"/>
    <n v="0"/>
    <n v="12"/>
    <n v="0"/>
    <n v="0"/>
    <n v="0"/>
    <m/>
    <n v="0"/>
    <n v="0"/>
    <m/>
    <n v="0"/>
    <m/>
    <m/>
    <m/>
    <m/>
    <m/>
    <n v="0"/>
    <m/>
    <m/>
    <m/>
    <m/>
    <m/>
    <m/>
    <m/>
    <m/>
    <m/>
    <m/>
    <m/>
    <m/>
    <m/>
    <s v="0"/>
    <s v="0"/>
    <s v="1"/>
    <n v="1"/>
  </r>
  <r>
    <n v="2659164"/>
    <s v="Extrême-Nord"/>
    <s v="CMR004"/>
    <x v="1"/>
    <s v="CMR004002"/>
    <s v="Fotokol"/>
    <s v="CMR004002008"/>
    <s v="FOT-0001"/>
    <s v="AMTCHOUKOULI"/>
    <m/>
    <x v="1"/>
    <n v="12.372641"/>
    <n v="14.3838189"/>
    <x v="0"/>
    <b v="1"/>
    <b v="0"/>
    <b v="0"/>
    <m/>
    <n v="3"/>
    <s v="Accessible"/>
    <m/>
    <s v="Le village accueille une population"/>
    <s v="Le village est intact (construit)"/>
    <m/>
    <m/>
    <s v="Oui"/>
    <s v="Familles d'accueil"/>
    <s v="Non, pas du tout"/>
    <s v="Non"/>
    <m/>
    <n v="22"/>
    <n v="1998"/>
    <s v="Oui"/>
    <s v="Premier déplacement"/>
    <n v="22"/>
    <n v="158"/>
    <n v="71"/>
    <n v="87"/>
    <n v="0"/>
    <n v="22"/>
    <n v="0"/>
    <n v="0"/>
    <m/>
    <m/>
    <n v="0"/>
    <n v="0"/>
    <m/>
    <m/>
    <n v="0"/>
    <s v="Aucun changement depuis le round passé"/>
    <s v="Oui"/>
    <n v="24"/>
    <n v="160"/>
    <n v="78"/>
    <n v="82"/>
    <n v="24"/>
    <n v="0"/>
    <n v="0"/>
    <m/>
    <n v="0"/>
    <n v="0"/>
    <m/>
    <m/>
    <n v="0"/>
    <n v="0"/>
    <s v="Nous marquons 3 naissances (1 garçon  et 2 filles )de ce côté"/>
    <s v="Oui"/>
    <n v="73"/>
    <n v="565"/>
    <n v="263"/>
    <n v="302"/>
    <s v="Entre 3 mois et 1 an"/>
    <n v="0"/>
    <n v="73"/>
    <n v="0"/>
    <n v="0"/>
    <n v="0"/>
    <m/>
    <n v="0"/>
    <n v="0"/>
    <m/>
    <n v="0"/>
    <m/>
    <m/>
    <m/>
    <m/>
    <m/>
    <n v="0"/>
    <m/>
    <m/>
    <m/>
    <m/>
    <m/>
    <m/>
    <m/>
    <m/>
    <m/>
    <m/>
    <m/>
    <m/>
    <m/>
    <s v="1"/>
    <s v="1"/>
    <s v="1"/>
    <n v="3"/>
  </r>
  <r>
    <n v="2622958"/>
    <s v="Extrême-Nord"/>
    <s v="CMR004"/>
    <x v="1"/>
    <s v="CMR004002"/>
    <s v="Fotokol"/>
    <s v="CMR004002008"/>
    <s v="FOT-0040"/>
    <s v="ARDEBE"/>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31830"/>
    <s v="Extrême-Nord"/>
    <s v="CMR004"/>
    <x v="1"/>
    <s v="CMR004002"/>
    <s v="Fotokol"/>
    <s v="CMR004002008"/>
    <s v="FOT-0022"/>
    <s v="BELGUEDE"/>
    <m/>
    <x v="1"/>
    <n v="12.4032158"/>
    <n v="14.3455359"/>
    <x v="0"/>
    <b v="1"/>
    <b v="0"/>
    <b v="0"/>
    <m/>
    <n v="3"/>
    <s v="Accessible"/>
    <m/>
    <s v="Le village accueille une population"/>
    <s v="Le village est intact (construit)"/>
    <m/>
    <m/>
    <s v="Oui"/>
    <s v="Familles d'accueil"/>
    <s v="Non, pas du tout"/>
    <s v="Non"/>
    <m/>
    <n v="67"/>
    <n v="836"/>
    <s v="Oui"/>
    <s v="Premier déplacement"/>
    <n v="67"/>
    <n v="419"/>
    <n v="199"/>
    <n v="220"/>
    <n v="0"/>
    <n v="67"/>
    <n v="0"/>
    <n v="0"/>
    <m/>
    <m/>
    <n v="0"/>
    <n v="0"/>
    <m/>
    <m/>
    <n v="0"/>
    <s v="Nous notons ici 11 naissances  (4 garçons et 7 filles )"/>
    <s v="Non"/>
    <m/>
    <m/>
    <m/>
    <m/>
    <m/>
    <m/>
    <m/>
    <m/>
    <m/>
    <m/>
    <m/>
    <m/>
    <m/>
    <m/>
    <m/>
    <s v="Non"/>
    <m/>
    <m/>
    <m/>
    <m/>
    <m/>
    <m/>
    <m/>
    <m/>
    <m/>
    <m/>
    <m/>
    <m/>
    <m/>
    <m/>
    <m/>
    <m/>
    <m/>
    <m/>
    <m/>
    <m/>
    <n v="0"/>
    <m/>
    <m/>
    <m/>
    <m/>
    <m/>
    <m/>
    <m/>
    <m/>
    <m/>
    <m/>
    <m/>
    <m/>
    <m/>
    <s v="1"/>
    <s v="0"/>
    <s v="0"/>
    <n v="1"/>
  </r>
  <r>
    <n v="2647725"/>
    <s v="Extrême-Nord"/>
    <s v="CMR004"/>
    <x v="1"/>
    <s v="CMR004002"/>
    <s v="Fotokol"/>
    <s v="CMR004002008"/>
    <s v="FOT-0039"/>
    <s v="BIDEINE"/>
    <m/>
    <x v="0"/>
    <n v="12.5490727"/>
    <n v="14.2874424"/>
    <x v="0"/>
    <b v="1"/>
    <b v="0"/>
    <b v="0"/>
    <m/>
    <n v="3"/>
    <s v="Accessible"/>
    <m/>
    <s v="Le village accueille une population"/>
    <s v="Le village est intact (construit)"/>
    <m/>
    <m/>
    <s v="Oui"/>
    <s v="Familles d'accueil"/>
    <s v="Non, pas du tout"/>
    <s v="Non"/>
    <m/>
    <n v="38"/>
    <n v="959"/>
    <s v="Oui"/>
    <s v="Premier déplacement"/>
    <n v="38"/>
    <n v="124"/>
    <n v="45"/>
    <n v="79"/>
    <n v="0"/>
    <n v="38"/>
    <n v="0"/>
    <n v="0"/>
    <m/>
    <m/>
    <n v="0"/>
    <n v="0"/>
    <m/>
    <m/>
    <n v="0"/>
    <s v="RAS"/>
    <s v="Non"/>
    <m/>
    <m/>
    <m/>
    <m/>
    <m/>
    <m/>
    <m/>
    <m/>
    <m/>
    <m/>
    <m/>
    <m/>
    <m/>
    <m/>
    <m/>
    <s v="Non"/>
    <m/>
    <m/>
    <m/>
    <m/>
    <m/>
    <m/>
    <m/>
    <m/>
    <m/>
    <m/>
    <m/>
    <m/>
    <m/>
    <m/>
    <m/>
    <m/>
    <m/>
    <m/>
    <m/>
    <m/>
    <n v="3"/>
    <m/>
    <m/>
    <m/>
    <m/>
    <m/>
    <m/>
    <m/>
    <m/>
    <m/>
    <m/>
    <m/>
    <m/>
    <m/>
    <s v="1"/>
    <s v="0"/>
    <s v="0"/>
    <n v="1"/>
  </r>
  <r>
    <n v="2631828"/>
    <s v="Extrême-Nord"/>
    <s v="CMR004"/>
    <x v="1"/>
    <s v="CMR004002"/>
    <s v="Fotokol"/>
    <s v="CMR004002008"/>
    <s v="FOT-0037"/>
    <s v="BIDI"/>
    <m/>
    <x v="1"/>
    <n v="12.399345800000001"/>
    <n v="14.2867234"/>
    <x v="0"/>
    <b v="1"/>
    <b v="0"/>
    <b v="0"/>
    <m/>
    <n v="3"/>
    <s v="Accessible"/>
    <m/>
    <s v="Le village accueille une population"/>
    <s v="Le village est intact (construit)"/>
    <m/>
    <m/>
    <s v="Oui"/>
    <s v="Familles d'accueil"/>
    <s v="Non, pas du tout"/>
    <s v="Non"/>
    <m/>
    <n v="1"/>
    <n v="538"/>
    <s v="Oui"/>
    <s v="Premier déplacement"/>
    <n v="1"/>
    <n v="8"/>
    <n v="3"/>
    <n v="5"/>
    <n v="0"/>
    <n v="1"/>
    <n v="0"/>
    <n v="0"/>
    <m/>
    <m/>
    <n v="0"/>
    <n v="0"/>
    <m/>
    <m/>
    <n v="0"/>
    <s v="Pas de changement depuis le round passé"/>
    <s v="Oui"/>
    <n v="17"/>
    <n v="93"/>
    <n v="35"/>
    <n v="58"/>
    <n v="17"/>
    <n v="0"/>
    <n v="0"/>
    <m/>
    <n v="0"/>
    <n v="0"/>
    <m/>
    <m/>
    <n v="0"/>
    <n v="0"/>
    <s v="Nous notons une augmentation de 4 ménages de 22 individus de Meinari  (Nigeria dans )le Balgue"/>
    <s v="Non"/>
    <m/>
    <m/>
    <m/>
    <m/>
    <m/>
    <m/>
    <m/>
    <m/>
    <m/>
    <m/>
    <m/>
    <m/>
    <m/>
    <m/>
    <m/>
    <m/>
    <m/>
    <m/>
    <m/>
    <m/>
    <n v="0"/>
    <m/>
    <m/>
    <m/>
    <m/>
    <m/>
    <m/>
    <m/>
    <m/>
    <m/>
    <m/>
    <m/>
    <m/>
    <m/>
    <s v="1"/>
    <s v="1"/>
    <s v="0"/>
    <n v="2"/>
  </r>
  <r>
    <n v="2631829"/>
    <s v="Extrême-Nord"/>
    <s v="CMR004"/>
    <x v="1"/>
    <s v="CMR004002"/>
    <s v="Fotokol"/>
    <s v="CMR004002008"/>
    <s v="FOT-0002"/>
    <s v="BLANGAFE"/>
    <m/>
    <x v="0"/>
    <n v="12.403949300000001"/>
    <n v="14.306281200000001"/>
    <x v="0"/>
    <b v="1"/>
    <b v="0"/>
    <b v="0"/>
    <m/>
    <n v="3"/>
    <s v="Accessible"/>
    <m/>
    <s v="Le village accueille une population"/>
    <s v="Le village est intact (construit)"/>
    <m/>
    <m/>
    <s v="Oui"/>
    <s v="Familles d'accueil"/>
    <s v="Non, pas du tout"/>
    <s v="Non"/>
    <m/>
    <n v="75"/>
    <n v="1779"/>
    <s v="Oui"/>
    <s v="Premier déplacement"/>
    <n v="75"/>
    <n v="428"/>
    <n v="188"/>
    <n v="240"/>
    <n v="0"/>
    <n v="75"/>
    <n v="0"/>
    <n v="0"/>
    <m/>
    <m/>
    <n v="0"/>
    <n v="0"/>
    <m/>
    <m/>
    <n v="0"/>
    <s v="nous notons 9 naissances (3 garçons et 6 filles )et  4 décès  (2 garçons et 2  filles  )de ce  côté. "/>
    <s v="Non"/>
    <m/>
    <m/>
    <m/>
    <m/>
    <m/>
    <m/>
    <m/>
    <m/>
    <m/>
    <m/>
    <m/>
    <m/>
    <m/>
    <m/>
    <m/>
    <s v="Non"/>
    <m/>
    <m/>
    <m/>
    <m/>
    <m/>
    <m/>
    <m/>
    <m/>
    <m/>
    <m/>
    <m/>
    <m/>
    <m/>
    <m/>
    <m/>
    <m/>
    <m/>
    <m/>
    <m/>
    <m/>
    <n v="0"/>
    <m/>
    <m/>
    <m/>
    <m/>
    <m/>
    <m/>
    <m/>
    <m/>
    <m/>
    <m/>
    <m/>
    <m/>
    <m/>
    <s v="1"/>
    <s v="0"/>
    <s v="0"/>
    <n v="1"/>
  </r>
  <r>
    <n v="2612124"/>
    <s v="Extrême-Nord"/>
    <s v="CMR004"/>
    <x v="1"/>
    <s v="CMR004002"/>
    <s v="Fotokol"/>
    <s v="CMR004002008"/>
    <s v="FOT-0020"/>
    <s v="CHOLOBA"/>
    <m/>
    <x v="1"/>
    <n v="12.476104599999999"/>
    <n v="14.249660199999999"/>
    <x v="0"/>
    <b v="1"/>
    <b v="0"/>
    <b v="0"/>
    <m/>
    <n v="3"/>
    <s v="Accessible"/>
    <m/>
    <s v="Le village accueille une population"/>
    <s v="Le village est intact (construit)"/>
    <m/>
    <m/>
    <s v="Oui"/>
    <s v="Familles d'accueil"/>
    <s v="Non, pas du tout"/>
    <s v="Non"/>
    <m/>
    <n v="10"/>
    <n v="878"/>
    <s v="Oui"/>
    <s v="Premier déplacement"/>
    <n v="10"/>
    <n v="70"/>
    <n v="30"/>
    <n v="40"/>
    <n v="0"/>
    <n v="10"/>
    <n v="0"/>
    <n v="0"/>
    <m/>
    <m/>
    <n v="0"/>
    <n v="0"/>
    <m/>
    <m/>
    <n v="0"/>
    <s v="Pas changement depuis le round précédent"/>
    <s v="Oui"/>
    <n v="6"/>
    <n v="56"/>
    <n v="25"/>
    <n v="31"/>
    <n v="6"/>
    <n v="0"/>
    <n v="0"/>
    <m/>
    <n v="0"/>
    <n v="0"/>
    <m/>
    <m/>
    <n v="0"/>
    <n v="2"/>
    <s v="Pas changement depuis le round précédent"/>
    <s v="Non"/>
    <m/>
    <m/>
    <m/>
    <m/>
    <m/>
    <m/>
    <m/>
    <m/>
    <m/>
    <m/>
    <m/>
    <m/>
    <m/>
    <m/>
    <m/>
    <m/>
    <m/>
    <m/>
    <m/>
    <m/>
    <n v="0"/>
    <m/>
    <m/>
    <m/>
    <m/>
    <m/>
    <m/>
    <m/>
    <m/>
    <m/>
    <m/>
    <m/>
    <m/>
    <m/>
    <s v="1"/>
    <s v="1"/>
    <s v="0"/>
    <n v="2"/>
  </r>
  <r>
    <n v="2663930"/>
    <s v="Extrême-Nord"/>
    <s v="CMR004"/>
    <x v="1"/>
    <s v="CMR004002"/>
    <s v="Fotokol"/>
    <s v="CMR004002008"/>
    <s v="FOT-0003"/>
    <s v="DAMBORE"/>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59070"/>
    <s v="Extrême-Nord"/>
    <s v="CMR004"/>
    <x v="1"/>
    <s v="CMR004002"/>
    <s v="Fotokol"/>
    <s v="CMR004002008"/>
    <s v="FOT-0016"/>
    <s v="DEGA"/>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31832"/>
    <s v="Extrême-Nord"/>
    <s v="CMR004"/>
    <x v="1"/>
    <s v="CMR004002"/>
    <s v="Fotokol"/>
    <s v="CMR004002008"/>
    <s v="FOT-0004"/>
    <s v="FADJE HALITE"/>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45298"/>
    <s v="Extrême-Nord"/>
    <s v="CMR004"/>
    <x v="1"/>
    <s v="CMR004002"/>
    <s v="Fotokol"/>
    <s v="CMR004002008"/>
    <s v="FOT-0005"/>
    <s v="FIMA"/>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72369"/>
    <s v="Extrême-Nord"/>
    <s v="CMR004"/>
    <x v="1"/>
    <s v="CMR004002"/>
    <s v="Fotokol"/>
    <s v="CMR004002008"/>
    <s v="FOT-0006"/>
    <s v="FOTOKOL VILLE"/>
    <m/>
    <x v="0"/>
    <n v="12.378484800000001"/>
    <n v="14.226212500000001"/>
    <x v="0"/>
    <b v="1"/>
    <b v="0"/>
    <b v="0"/>
    <m/>
    <n v="3"/>
    <s v="Accessible"/>
    <m/>
    <s v="Le village accueille une population"/>
    <s v="Le village est intact (construit)"/>
    <m/>
    <m/>
    <s v="Oui"/>
    <s v="Familles d'accueil"/>
    <s v="Sites de déplacement spontanés"/>
    <s v="Oui"/>
    <n v="2"/>
    <n v="2394"/>
    <n v="35632"/>
    <s v="Oui"/>
    <s v="Premier déplacement"/>
    <n v="2394"/>
    <n v="12380"/>
    <n v="5981"/>
    <n v="6399"/>
    <n v="0"/>
    <n v="2189"/>
    <n v="0"/>
    <n v="0"/>
    <m/>
    <m/>
    <n v="0"/>
    <n v="205"/>
    <s v="Terre cuite/Terre battue"/>
    <m/>
    <n v="0"/>
    <s v="Départ  de  6 ménages de 47 individus pour Borowadji leur village d'origine"/>
    <s v="Oui"/>
    <n v="680"/>
    <n v="3808"/>
    <n v="1830"/>
    <n v="1978"/>
    <n v="680"/>
    <n v="0"/>
    <n v="0"/>
    <m/>
    <n v="0"/>
    <n v="0"/>
    <m/>
    <m/>
    <n v="0"/>
    <n v="320"/>
    <s v="Dimunition de 7 ménages de 37 individus pour Gambaru  (Nigeria ) leur village d'origine"/>
    <s v="Oui"/>
    <n v="1386"/>
    <n v="10504"/>
    <n v="5000"/>
    <n v="5504"/>
    <s v="Entre 1 et 5 ans"/>
    <n v="0"/>
    <n v="1386"/>
    <n v="0"/>
    <n v="0"/>
    <n v="0"/>
    <m/>
    <n v="0"/>
    <n v="0"/>
    <m/>
    <n v="0"/>
    <m/>
    <m/>
    <m/>
    <m/>
    <m/>
    <n v="0"/>
    <m/>
    <m/>
    <m/>
    <m/>
    <m/>
    <m/>
    <m/>
    <m/>
    <m/>
    <m/>
    <m/>
    <m/>
    <m/>
    <s v="1"/>
    <s v="1"/>
    <s v="1"/>
    <n v="3"/>
  </r>
  <r>
    <n v="2647594"/>
    <s v="Extrême-Nord"/>
    <s v="CMR004"/>
    <x v="1"/>
    <s v="CMR004002"/>
    <s v="Fotokol"/>
    <s v="CMR004002008"/>
    <s v="FOT-0031"/>
    <s v="GADAFAI"/>
    <m/>
    <x v="1"/>
    <n v="12.435344499999999"/>
    <n v="14.2451889"/>
    <x v="0"/>
    <b v="1"/>
    <b v="0"/>
    <b v="0"/>
    <m/>
    <n v="3"/>
    <s v="Accessible"/>
    <m/>
    <s v="Le village accueille une population"/>
    <s v="Le village est intact (construit)"/>
    <m/>
    <m/>
    <s v="Oui"/>
    <s v="Familles d'accueil"/>
    <s v="Non, pas du tout"/>
    <s v="Non"/>
    <m/>
    <n v="115"/>
    <n v="545"/>
    <s v="Oui"/>
    <s v="Premier déplacement"/>
    <n v="115"/>
    <n v="545"/>
    <n v="155"/>
    <n v="390"/>
    <n v="0"/>
    <n v="115"/>
    <n v="0"/>
    <n v="0"/>
    <m/>
    <m/>
    <n v="0"/>
    <n v="0"/>
    <m/>
    <m/>
    <n v="0"/>
    <s v="Il y a eu une augmentation de 25 individus dont  8 hommes,  8 femmes, 6 filles et 3 garçons, un seul décès  (depuis les 6 derniers mois ) et 5 nouveaux  nés. Nous nous fions juste à  la  déclaration du blama."/>
    <s v="Non"/>
    <m/>
    <m/>
    <m/>
    <m/>
    <m/>
    <m/>
    <m/>
    <m/>
    <m/>
    <m/>
    <m/>
    <m/>
    <m/>
    <m/>
    <m/>
    <s v="Non"/>
    <m/>
    <m/>
    <m/>
    <m/>
    <m/>
    <m/>
    <m/>
    <m/>
    <m/>
    <m/>
    <m/>
    <m/>
    <m/>
    <m/>
    <m/>
    <m/>
    <m/>
    <m/>
    <m/>
    <m/>
    <n v="0"/>
    <m/>
    <m/>
    <m/>
    <m/>
    <m/>
    <m/>
    <m/>
    <m/>
    <m/>
    <m/>
    <m/>
    <m/>
    <m/>
    <s v="1"/>
    <s v="0"/>
    <s v="0"/>
    <n v="1"/>
  </r>
  <r>
    <n v="2630611"/>
    <s v="Extrême-Nord"/>
    <s v="CMR004"/>
    <x v="1"/>
    <s v="CMR004002"/>
    <s v="Fotokol"/>
    <s v="CMR004002008"/>
    <s v="FOT-0025"/>
    <s v="GOLMO ARABE"/>
    <m/>
    <x v="1"/>
    <n v="12.554420500000001"/>
    <n v="14.282188100000001"/>
    <x v="0"/>
    <b v="1"/>
    <b v="0"/>
    <b v="0"/>
    <m/>
    <n v="3"/>
    <s v="Accessible"/>
    <m/>
    <s v="Le village accueille une population"/>
    <s v="Le village est intact (construit)"/>
    <m/>
    <m/>
    <s v="Oui"/>
    <s v="Familles d'accueil"/>
    <s v="Non, pas du tout"/>
    <s v="Non"/>
    <m/>
    <n v="10"/>
    <n v="562"/>
    <s v="Oui"/>
    <s v="Premier déplacement"/>
    <n v="10"/>
    <n v="99"/>
    <n v="44"/>
    <n v="55"/>
    <n v="0"/>
    <n v="10"/>
    <n v="0"/>
    <n v="0"/>
    <m/>
    <m/>
    <n v="0"/>
    <n v="0"/>
    <m/>
    <m/>
    <n v="0"/>
    <s v="Il y a eu 3 décès homme et des naissances 2 garçons et 3 filles"/>
    <s v="Non"/>
    <m/>
    <m/>
    <m/>
    <m/>
    <m/>
    <m/>
    <m/>
    <m/>
    <m/>
    <m/>
    <m/>
    <m/>
    <m/>
    <m/>
    <m/>
    <s v="Non"/>
    <m/>
    <m/>
    <m/>
    <m/>
    <m/>
    <m/>
    <m/>
    <m/>
    <m/>
    <m/>
    <m/>
    <m/>
    <m/>
    <m/>
    <m/>
    <m/>
    <m/>
    <m/>
    <m/>
    <m/>
    <n v="0"/>
    <m/>
    <m/>
    <m/>
    <m/>
    <m/>
    <m/>
    <m/>
    <m/>
    <m/>
    <m/>
    <m/>
    <m/>
    <m/>
    <s v="1"/>
    <s v="0"/>
    <s v="0"/>
    <n v="1"/>
  </r>
  <r>
    <n v="2634148"/>
    <s v="Extrême-Nord"/>
    <s v="CMR004"/>
    <x v="1"/>
    <s v="CMR004002"/>
    <s v="Fotokol"/>
    <s v="CMR004002008"/>
    <s v="FOT-0026"/>
    <s v="GOLMO KOTOKO"/>
    <m/>
    <x v="1"/>
    <n v="12.558052699999999"/>
    <n v="14.267679599999999"/>
    <x v="0"/>
    <b v="1"/>
    <b v="0"/>
    <b v="0"/>
    <m/>
    <n v="3"/>
    <s v="Accessible"/>
    <m/>
    <s v="Le village accueille une population"/>
    <s v="Le village est intact (construit)"/>
    <m/>
    <m/>
    <s v="Oui"/>
    <s v="Familles d'accueil"/>
    <s v="Non, pas du tout"/>
    <s v="Non"/>
    <m/>
    <n v="15"/>
    <n v="2514"/>
    <s v="Oui"/>
    <s v="Premier déplacement"/>
    <n v="15"/>
    <n v="42"/>
    <n v="19"/>
    <n v="23"/>
    <n v="0"/>
    <n v="15"/>
    <n v="0"/>
    <n v="0"/>
    <m/>
    <m/>
    <n v="0"/>
    <n v="0"/>
    <m/>
    <m/>
    <n v="0"/>
    <s v="Il y a 7 naissances au niveau des déplacés internes"/>
    <s v="Oui"/>
    <n v="53"/>
    <n v="268"/>
    <n v="114"/>
    <n v="154"/>
    <n v="53"/>
    <n v="0"/>
    <n v="0"/>
    <m/>
    <n v="0"/>
    <n v="0"/>
    <m/>
    <m/>
    <n v="0"/>
    <n v="9"/>
    <s v="Il y a 5 décès et 3 naissances"/>
    <s v="Non"/>
    <m/>
    <m/>
    <m/>
    <m/>
    <m/>
    <m/>
    <m/>
    <m/>
    <m/>
    <m/>
    <m/>
    <m/>
    <m/>
    <m/>
    <m/>
    <m/>
    <m/>
    <m/>
    <m/>
    <m/>
    <n v="0"/>
    <m/>
    <m/>
    <m/>
    <m/>
    <m/>
    <m/>
    <m/>
    <m/>
    <m/>
    <m/>
    <m/>
    <m/>
    <m/>
    <s v="1"/>
    <s v="1"/>
    <s v="0"/>
    <n v="2"/>
  </r>
  <r>
    <n v="2647726"/>
    <s v="Extrême-Nord"/>
    <s v="CMR004"/>
    <x v="1"/>
    <s v="CMR004002"/>
    <s v="Fotokol"/>
    <s v="CMR004002008"/>
    <s v="FOT-0034"/>
    <s v="GUEGUERI"/>
    <m/>
    <x v="0"/>
    <n v="12.4603783"/>
    <n v="14.276494899999999"/>
    <x v="0"/>
    <b v="1"/>
    <b v="0"/>
    <b v="0"/>
    <m/>
    <n v="3"/>
    <s v="Accessible"/>
    <m/>
    <s v="Le village accueille une population"/>
    <s v="Le village est intact (construit)"/>
    <m/>
    <m/>
    <s v="Oui"/>
    <s v="Familles d'accueil"/>
    <s v="Non, pas du tout"/>
    <s v="Non"/>
    <m/>
    <n v="38"/>
    <n v="959"/>
    <s v="Oui"/>
    <s v="Premier déplacement"/>
    <n v="38"/>
    <n v="124"/>
    <n v="50"/>
    <n v="74"/>
    <n v="0"/>
    <n v="38"/>
    <n v="0"/>
    <n v="0"/>
    <m/>
    <m/>
    <n v="0"/>
    <n v="0"/>
    <m/>
    <m/>
    <n v="0"/>
    <s v="Pas de changement"/>
    <s v="Oui"/>
    <n v="12"/>
    <n v="90"/>
    <n v="39"/>
    <n v="51"/>
    <n v="12"/>
    <n v="0"/>
    <n v="0"/>
    <m/>
    <n v="0"/>
    <n v="0"/>
    <m/>
    <m/>
    <n v="0"/>
    <n v="6"/>
    <s v="Pas de vivre"/>
    <s v="Non"/>
    <m/>
    <m/>
    <m/>
    <m/>
    <m/>
    <m/>
    <m/>
    <m/>
    <m/>
    <m/>
    <m/>
    <m/>
    <m/>
    <m/>
    <m/>
    <m/>
    <m/>
    <m/>
    <m/>
    <m/>
    <n v="5"/>
    <m/>
    <m/>
    <m/>
    <m/>
    <m/>
    <m/>
    <m/>
    <m/>
    <m/>
    <m/>
    <m/>
    <m/>
    <m/>
    <s v="1"/>
    <s v="1"/>
    <s v="0"/>
    <n v="2"/>
  </r>
  <r>
    <n v="2650445"/>
    <s v="Extrême-Nord"/>
    <s v="CMR004"/>
    <x v="1"/>
    <s v="CMR004002"/>
    <s v="Fotokol"/>
    <s v="CMR004002008"/>
    <s v="FOT-0027"/>
    <s v="HAÏGAYO"/>
    <m/>
    <x v="1"/>
    <n v="12.5585393"/>
    <n v="14.2950713"/>
    <x v="0"/>
    <b v="1"/>
    <b v="0"/>
    <b v="1"/>
    <m/>
    <n v="5"/>
    <s v="Accessible"/>
    <m/>
    <s v="Le village accueille une population"/>
    <s v="Le village est intact (construit)"/>
    <m/>
    <m/>
    <s v="Oui"/>
    <s v="Familles d'accueil"/>
    <s v="Non, pas du tout"/>
    <s v="Non"/>
    <m/>
    <n v="35"/>
    <n v="1246"/>
    <s v="Oui"/>
    <s v="Premier déplacement"/>
    <n v="35"/>
    <n v="251"/>
    <n v="78"/>
    <n v="173"/>
    <n v="10"/>
    <n v="25"/>
    <n v="0"/>
    <n v="0"/>
    <m/>
    <m/>
    <n v="0"/>
    <n v="0"/>
    <m/>
    <m/>
    <n v="0"/>
    <s v="Il y a eu des IDPS  du village qui ont quitté  le village pour s'installer ailleurs et plus ou moins  5 ménages qui sont venus  d'ailleurs pour s'installer ici ( Nous  n'avons pas  pu noter leur Provenance )"/>
    <s v="Non"/>
    <m/>
    <m/>
    <m/>
    <m/>
    <m/>
    <m/>
    <m/>
    <m/>
    <m/>
    <m/>
    <m/>
    <m/>
    <m/>
    <m/>
    <m/>
    <s v="Non"/>
    <m/>
    <m/>
    <m/>
    <m/>
    <m/>
    <m/>
    <m/>
    <m/>
    <m/>
    <m/>
    <m/>
    <m/>
    <m/>
    <m/>
    <m/>
    <m/>
    <m/>
    <m/>
    <m/>
    <m/>
    <n v="0"/>
    <m/>
    <m/>
    <m/>
    <m/>
    <m/>
    <m/>
    <m/>
    <m/>
    <m/>
    <m/>
    <m/>
    <m/>
    <m/>
    <s v="1"/>
    <s v="0"/>
    <s v="0"/>
    <n v="1"/>
  </r>
  <r>
    <n v="2631831"/>
    <s v="Extrême-Nord"/>
    <s v="CMR004"/>
    <x v="1"/>
    <s v="CMR004002"/>
    <s v="Fotokol"/>
    <s v="CMR004002008"/>
    <s v="FOT-0007"/>
    <s v="KALOUE"/>
    <m/>
    <x v="1"/>
    <n v="12.402078700000001"/>
    <n v="14.332343"/>
    <x v="0"/>
    <b v="1"/>
    <b v="0"/>
    <b v="0"/>
    <m/>
    <n v="3"/>
    <s v="Accessible"/>
    <m/>
    <s v="Le village accueille une population"/>
    <s v="Le village est intact (construit)"/>
    <m/>
    <m/>
    <s v="Oui"/>
    <s v="Familles d'accueil"/>
    <s v="Non, pas du tout"/>
    <s v="Non"/>
    <m/>
    <n v="10"/>
    <n v="408"/>
    <s v="Oui"/>
    <s v="Premier déplacement"/>
    <n v="10"/>
    <n v="59"/>
    <n v="25"/>
    <n v="34"/>
    <n v="0"/>
    <n v="10"/>
    <n v="0"/>
    <n v="0"/>
    <m/>
    <m/>
    <n v="0"/>
    <n v="0"/>
    <m/>
    <m/>
    <n v="0"/>
    <s v="Nous notons ici 10 Naissances (4garçons et  6 filles) et 4 décès  (2 hommes et 2 femmes )"/>
    <s v="Oui"/>
    <n v="2"/>
    <n v="18"/>
    <n v="5"/>
    <n v="13"/>
    <n v="2"/>
    <n v="0"/>
    <n v="0"/>
    <m/>
    <n v="0"/>
    <n v="0"/>
    <m/>
    <m/>
    <n v="0"/>
    <n v="0"/>
    <s v="Aucun changement depuis le round précédent "/>
    <s v="Non"/>
    <m/>
    <m/>
    <m/>
    <m/>
    <m/>
    <m/>
    <m/>
    <m/>
    <m/>
    <m/>
    <m/>
    <m/>
    <m/>
    <m/>
    <m/>
    <m/>
    <m/>
    <m/>
    <m/>
    <m/>
    <n v="0"/>
    <m/>
    <m/>
    <m/>
    <m/>
    <m/>
    <m/>
    <m/>
    <m/>
    <m/>
    <m/>
    <m/>
    <m/>
    <m/>
    <s v="1"/>
    <s v="1"/>
    <s v="0"/>
    <n v="2"/>
  </r>
  <r>
    <n v="2663975"/>
    <s v="Extrême-Nord"/>
    <s v="CMR004"/>
    <x v="1"/>
    <s v="CMR004002"/>
    <s v="Fotokol"/>
    <s v="CMR004002008"/>
    <s v="FOT-0008"/>
    <s v="KOUBOUGUE"/>
    <m/>
    <x v="1"/>
    <n v="12.379022900000001"/>
    <n v="14.2321288"/>
    <x v="0"/>
    <b v="1"/>
    <b v="0"/>
    <b v="0"/>
    <m/>
    <n v="3"/>
    <s v="Accessible"/>
    <m/>
    <s v="Le village est entièrement déserté"/>
    <m/>
    <m/>
    <m/>
    <m/>
    <m/>
    <m/>
    <m/>
    <m/>
    <m/>
    <m/>
    <m/>
    <m/>
    <m/>
    <m/>
    <m/>
    <m/>
    <m/>
    <m/>
    <m/>
    <m/>
    <m/>
    <m/>
    <m/>
    <m/>
    <m/>
    <m/>
    <m/>
    <m/>
    <m/>
    <m/>
    <m/>
    <m/>
    <m/>
    <m/>
    <m/>
    <m/>
    <m/>
    <m/>
    <m/>
    <m/>
    <m/>
    <m/>
    <m/>
    <m/>
    <m/>
    <m/>
    <m/>
    <m/>
    <m/>
    <m/>
    <m/>
    <m/>
    <m/>
    <m/>
    <m/>
    <m/>
    <m/>
    <m/>
    <m/>
    <m/>
    <m/>
    <m/>
    <m/>
    <m/>
    <m/>
    <m/>
    <m/>
    <m/>
    <m/>
    <m/>
    <m/>
    <m/>
    <m/>
    <m/>
    <m/>
    <m/>
    <m/>
    <m/>
    <m/>
    <s v="0"/>
    <s v="0"/>
    <s v="0"/>
    <n v="0"/>
  </r>
  <r>
    <n v="2645450"/>
    <s v="Extrême-Nord"/>
    <s v="CMR004"/>
    <x v="1"/>
    <s v="CMR004002"/>
    <s v="Fotokol"/>
    <s v="CMR004002008"/>
    <s v="FOT-0009"/>
    <s v="LEIMARI"/>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5461"/>
    <s v="Extrême-Nord"/>
    <s v="CMR004"/>
    <x v="1"/>
    <s v="CMR004002"/>
    <s v="Fotokol"/>
    <s v="CMR004002008"/>
    <s v="FOT-0010"/>
    <s v="LIOROMARI"/>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7570"/>
    <s v="Extrême-Nord"/>
    <s v="CMR004"/>
    <x v="1"/>
    <s v="CMR004002"/>
    <s v="Fotokol"/>
    <s v="CMR004002008"/>
    <s v="FOT-0038"/>
    <s v="MADINA"/>
    <m/>
    <x v="1"/>
    <n v="12.3741843"/>
    <n v="14.303262"/>
    <x v="0"/>
    <b v="1"/>
    <b v="0"/>
    <b v="0"/>
    <m/>
    <n v="5"/>
    <s v="Accessible"/>
    <m/>
    <s v="Le village accueille une population"/>
    <s v="Le village est intact (construit)"/>
    <m/>
    <m/>
    <s v="Oui"/>
    <s v="Familles d'accueil"/>
    <s v="Non, pas du tout"/>
    <s v="Non"/>
    <m/>
    <n v="42"/>
    <n v="587"/>
    <s v="Oui"/>
    <s v="Premier déplacement"/>
    <n v="42"/>
    <n v="255"/>
    <n v="150"/>
    <n v="105"/>
    <n v="10"/>
    <n v="32"/>
    <n v="0"/>
    <n v="0"/>
    <m/>
    <m/>
    <n v="0"/>
    <n v="0"/>
    <m/>
    <m/>
    <n v="0"/>
    <s v="7 nouveaux nés,  le reste sans changement"/>
    <s v="Non"/>
    <m/>
    <m/>
    <m/>
    <m/>
    <m/>
    <m/>
    <m/>
    <m/>
    <m/>
    <m/>
    <m/>
    <m/>
    <m/>
    <m/>
    <m/>
    <s v="Non"/>
    <m/>
    <m/>
    <m/>
    <m/>
    <m/>
    <m/>
    <m/>
    <m/>
    <m/>
    <m/>
    <m/>
    <m/>
    <m/>
    <m/>
    <m/>
    <m/>
    <m/>
    <m/>
    <m/>
    <m/>
    <n v="0"/>
    <m/>
    <m/>
    <m/>
    <m/>
    <m/>
    <m/>
    <m/>
    <m/>
    <m/>
    <m/>
    <m/>
    <m/>
    <m/>
    <s v="1"/>
    <s v="0"/>
    <s v="0"/>
    <n v="1"/>
  </r>
  <r>
    <n v="2639601"/>
    <s v="Extrême-Nord"/>
    <s v="CMR004"/>
    <x v="1"/>
    <s v="CMR004002"/>
    <s v="Fotokol"/>
    <s v="CMR004002008"/>
    <s v="FOT-0028"/>
    <s v="MAGADI 1"/>
    <m/>
    <x v="1"/>
    <n v="12.5301201"/>
    <n v="14.306887400000001"/>
    <x v="0"/>
    <b v="0"/>
    <b v="1"/>
    <b v="0"/>
    <n v="6"/>
    <m/>
    <s v="Accessible"/>
    <m/>
    <s v="Le village accueille une population"/>
    <s v="Le village est intact (construit)"/>
    <m/>
    <m/>
    <s v="Oui"/>
    <s v="Familles d'accueil"/>
    <s v="Non, pas du tout"/>
    <s v="Non"/>
    <m/>
    <n v="39"/>
    <n v="730"/>
    <s v="Oui"/>
    <s v="Premier déplacement"/>
    <n v="39"/>
    <n v="321"/>
    <n v="208"/>
    <n v="113"/>
    <n v="0"/>
    <n v="39"/>
    <n v="0"/>
    <n v="0"/>
    <m/>
    <m/>
    <n v="0"/>
    <n v="0"/>
    <m/>
    <m/>
    <n v="0"/>
    <s v="En dehors de  8 nouveaux nés,  il n'y a pas eu de changement majeur à  signaler."/>
    <s v="Non"/>
    <m/>
    <m/>
    <m/>
    <m/>
    <m/>
    <m/>
    <m/>
    <m/>
    <m/>
    <m/>
    <m/>
    <m/>
    <m/>
    <m/>
    <m/>
    <s v="Non"/>
    <m/>
    <m/>
    <m/>
    <m/>
    <m/>
    <m/>
    <m/>
    <m/>
    <m/>
    <m/>
    <m/>
    <m/>
    <m/>
    <m/>
    <m/>
    <m/>
    <m/>
    <m/>
    <m/>
    <m/>
    <n v="0"/>
    <m/>
    <m/>
    <m/>
    <m/>
    <m/>
    <m/>
    <m/>
    <m/>
    <m/>
    <m/>
    <m/>
    <m/>
    <m/>
    <s v="1"/>
    <s v="0"/>
    <s v="0"/>
    <n v="1"/>
  </r>
  <r>
    <n v="2647646"/>
    <s v="Extrême-Nord"/>
    <s v="CMR004"/>
    <x v="1"/>
    <s v="CMR004002"/>
    <s v="Fotokol"/>
    <s v="CMR004002008"/>
    <s v="FOT-0029"/>
    <s v="MAGADI 2"/>
    <m/>
    <x v="1"/>
    <n v="12.518713200000001"/>
    <n v="14.3201292"/>
    <x v="0"/>
    <b v="0"/>
    <b v="1"/>
    <b v="1"/>
    <n v="7"/>
    <m/>
    <s v="Accessible"/>
    <m/>
    <s v="Le village accueille une population"/>
    <s v="Le village est partiellement détruit"/>
    <s v="Conflit intercommunautaire"/>
    <m/>
    <s v="Oui"/>
    <s v="Familles d'accueil"/>
    <s v="Non, pas du tout"/>
    <s v="Non"/>
    <m/>
    <n v="18"/>
    <n v="736"/>
    <s v="Oui"/>
    <s v="Premier déplacement"/>
    <n v="18"/>
    <n v="150"/>
    <n v="54"/>
    <n v="96"/>
    <n v="8"/>
    <n v="10"/>
    <n v="0"/>
    <n v="0"/>
    <m/>
    <m/>
    <n v="0"/>
    <n v="0"/>
    <m/>
    <m/>
    <n v="0"/>
    <s v="Rien à  signaler"/>
    <s v="Non"/>
    <m/>
    <m/>
    <m/>
    <m/>
    <m/>
    <m/>
    <m/>
    <m/>
    <m/>
    <m/>
    <m/>
    <m/>
    <m/>
    <m/>
    <m/>
    <s v="Non"/>
    <m/>
    <m/>
    <m/>
    <m/>
    <m/>
    <m/>
    <m/>
    <m/>
    <m/>
    <m/>
    <m/>
    <m/>
    <m/>
    <m/>
    <m/>
    <m/>
    <m/>
    <m/>
    <m/>
    <m/>
    <n v="0"/>
    <m/>
    <m/>
    <m/>
    <m/>
    <m/>
    <m/>
    <m/>
    <m/>
    <m/>
    <m/>
    <m/>
    <m/>
    <m/>
    <s v="1"/>
    <s v="0"/>
    <s v="0"/>
    <n v="1"/>
  </r>
  <r>
    <n v="2691182"/>
    <s v="Extrême-Nord"/>
    <s v="CMR004"/>
    <x v="1"/>
    <s v="CMR004002"/>
    <s v="Fotokol"/>
    <s v="CMR004002008"/>
    <s v="FOT-0011"/>
    <s v="MAGAM"/>
    <m/>
    <x v="1"/>
    <n v="12.360336500000001"/>
    <n v="14.459212600000001"/>
    <x v="0"/>
    <b v="0"/>
    <b v="0"/>
    <b v="1"/>
    <m/>
    <m/>
    <s v="Accessible"/>
    <m/>
    <s v="Le village est entièrement déserté"/>
    <m/>
    <m/>
    <m/>
    <m/>
    <m/>
    <m/>
    <m/>
    <m/>
    <m/>
    <m/>
    <m/>
    <m/>
    <m/>
    <m/>
    <m/>
    <m/>
    <m/>
    <m/>
    <m/>
    <m/>
    <m/>
    <m/>
    <m/>
    <m/>
    <m/>
    <m/>
    <m/>
    <m/>
    <m/>
    <m/>
    <m/>
    <m/>
    <m/>
    <m/>
    <m/>
    <m/>
    <m/>
    <m/>
    <m/>
    <m/>
    <m/>
    <m/>
    <m/>
    <m/>
    <m/>
    <m/>
    <m/>
    <m/>
    <m/>
    <m/>
    <m/>
    <m/>
    <m/>
    <m/>
    <m/>
    <m/>
    <m/>
    <m/>
    <m/>
    <m/>
    <m/>
    <m/>
    <m/>
    <m/>
    <m/>
    <m/>
    <m/>
    <m/>
    <m/>
    <m/>
    <m/>
    <m/>
    <m/>
    <m/>
    <m/>
    <m/>
    <m/>
    <m/>
    <m/>
    <s v="0"/>
    <s v="0"/>
    <s v="0"/>
    <n v="0"/>
  </r>
  <r>
    <n v="2622892"/>
    <s v="Extrême-Nord"/>
    <s v="CMR004"/>
    <x v="1"/>
    <s v="CMR004002"/>
    <s v="Fotokol"/>
    <s v="CMR004002008"/>
    <s v="FOT-0035"/>
    <s v="MAKAMBARA"/>
    <m/>
    <x v="1"/>
    <n v="12.382565700000001"/>
    <n v="14.215538"/>
    <x v="0"/>
    <b v="1"/>
    <b v="0"/>
    <b v="0"/>
    <m/>
    <n v="3"/>
    <s v="Accessible"/>
    <m/>
    <s v="Le village accueille une population"/>
    <s v="Le village est intact (construit)"/>
    <m/>
    <m/>
    <s v="Oui"/>
    <s v="Familles d'accueil"/>
    <s v="Non, pas du tout"/>
    <s v="Non"/>
    <m/>
    <n v="13"/>
    <n v="1208"/>
    <s v="Oui"/>
    <s v="Premier déplacement"/>
    <n v="13"/>
    <n v="112"/>
    <n v="44"/>
    <n v="68"/>
    <n v="0"/>
    <n v="13"/>
    <n v="0"/>
    <n v="0"/>
    <m/>
    <m/>
    <n v="0"/>
    <n v="0"/>
    <m/>
    <m/>
    <n v="0"/>
    <s v="Il y a diminution de 5 ménagés et 21 individus pour Worogadji partant comme retourner dans leurs villages d'origine , dans le même arrondissement"/>
    <s v="Non"/>
    <m/>
    <m/>
    <m/>
    <m/>
    <m/>
    <m/>
    <m/>
    <m/>
    <m/>
    <m/>
    <m/>
    <m/>
    <m/>
    <m/>
    <m/>
    <s v="Non"/>
    <m/>
    <m/>
    <m/>
    <m/>
    <m/>
    <m/>
    <m/>
    <m/>
    <m/>
    <m/>
    <m/>
    <m/>
    <m/>
    <m/>
    <m/>
    <m/>
    <m/>
    <m/>
    <m/>
    <m/>
    <n v="0"/>
    <m/>
    <m/>
    <m/>
    <m/>
    <m/>
    <m/>
    <m/>
    <m/>
    <m/>
    <m/>
    <m/>
    <m/>
    <m/>
    <s v="1"/>
    <s v="0"/>
    <s v="0"/>
    <n v="1"/>
  </r>
  <r>
    <n v="2658142"/>
    <s v="Extrême-Nord"/>
    <s v="CMR004"/>
    <x v="1"/>
    <s v="CMR004002"/>
    <s v="Fotokol"/>
    <s v="CMR004002008"/>
    <s v="FOT-0017"/>
    <s v="MALMADJA"/>
    <m/>
    <x v="0"/>
    <n v="12.3784773"/>
    <n v="14.226131199999999"/>
    <x v="0"/>
    <b v="1"/>
    <b v="0"/>
    <b v="0"/>
    <m/>
    <n v="3"/>
    <s v="Accessible"/>
    <m/>
    <s v="Le village est entièrement déserté"/>
    <m/>
    <m/>
    <m/>
    <m/>
    <m/>
    <m/>
    <m/>
    <m/>
    <m/>
    <m/>
    <m/>
    <m/>
    <m/>
    <m/>
    <m/>
    <m/>
    <m/>
    <m/>
    <m/>
    <m/>
    <m/>
    <m/>
    <m/>
    <m/>
    <m/>
    <m/>
    <m/>
    <m/>
    <m/>
    <m/>
    <m/>
    <m/>
    <m/>
    <m/>
    <m/>
    <m/>
    <m/>
    <m/>
    <m/>
    <m/>
    <m/>
    <m/>
    <m/>
    <m/>
    <m/>
    <m/>
    <m/>
    <m/>
    <m/>
    <m/>
    <m/>
    <m/>
    <m/>
    <m/>
    <m/>
    <m/>
    <m/>
    <m/>
    <m/>
    <m/>
    <m/>
    <m/>
    <m/>
    <m/>
    <m/>
    <m/>
    <m/>
    <m/>
    <m/>
    <m/>
    <m/>
    <m/>
    <m/>
    <m/>
    <m/>
    <m/>
    <m/>
    <m/>
    <m/>
    <s v="0"/>
    <s v="0"/>
    <s v="0"/>
    <n v="0"/>
  </r>
  <r>
    <n v="2650171"/>
    <s v="Extrême-Nord"/>
    <s v="CMR004"/>
    <x v="1"/>
    <s v="CMR004002"/>
    <s v="Fotokol"/>
    <s v="CMR004002008"/>
    <s v="FOT-0012"/>
    <s v="MARGAMA"/>
    <m/>
    <x v="0"/>
    <n v="12.5071093"/>
    <n v="14.323237499999999"/>
    <x v="0"/>
    <b v="0"/>
    <b v="0"/>
    <b v="1"/>
    <m/>
    <m/>
    <s v="Accessible"/>
    <m/>
    <s v="Le village accueille une population"/>
    <s v="Le village est intact (construit)"/>
    <m/>
    <m/>
    <s v="Oui"/>
    <s v="Familles d'accueil"/>
    <s v="Non, pas du tout"/>
    <s v="Non"/>
    <m/>
    <n v="29"/>
    <n v="570"/>
    <s v="Oui"/>
    <s v="Premier déplacement"/>
    <n v="29"/>
    <n v="159"/>
    <n v="77"/>
    <n v="82"/>
    <n v="0"/>
    <n v="29"/>
    <n v="0"/>
    <n v="0"/>
    <m/>
    <m/>
    <n v="0"/>
    <n v="0"/>
    <m/>
    <m/>
    <n v="0"/>
    <s v="Ils sont pris comme les membres de communauté,  ils vaquent  normalement aux occupation  comme tout le monde (aller puiser  de l'eau, au champ, au marché etc.)_x000a_Il y a 3 ménages  qui sont venus  dans les 3 mois  derniers, ils seraient vénus  de Haïgayo, un village accueillant des populations cibles  (PDI)"/>
    <s v="Non"/>
    <m/>
    <m/>
    <m/>
    <m/>
    <m/>
    <m/>
    <m/>
    <m/>
    <m/>
    <m/>
    <m/>
    <m/>
    <m/>
    <m/>
    <m/>
    <s v="Non"/>
    <m/>
    <m/>
    <m/>
    <m/>
    <m/>
    <m/>
    <m/>
    <m/>
    <m/>
    <m/>
    <m/>
    <m/>
    <m/>
    <m/>
    <m/>
    <m/>
    <m/>
    <m/>
    <m/>
    <m/>
    <n v="0"/>
    <m/>
    <m/>
    <m/>
    <m/>
    <m/>
    <m/>
    <m/>
    <m/>
    <m/>
    <m/>
    <m/>
    <m/>
    <m/>
    <s v="1"/>
    <s v="0"/>
    <s v="0"/>
    <n v="1"/>
  </r>
  <r>
    <n v="2658144"/>
    <s v="Extrême-Nord"/>
    <s v="CMR004"/>
    <x v="1"/>
    <s v="CMR004002"/>
    <s v="Fotokol"/>
    <s v="CMR004002008"/>
    <s v="FOT-0018"/>
    <s v="MEINARI"/>
    <m/>
    <x v="0"/>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47727"/>
    <s v="Extrême-Nord"/>
    <s v="CMR004"/>
    <x v="1"/>
    <s v="CMR004002"/>
    <s v="Fotokol"/>
    <s v="CMR004002008"/>
    <s v="FOT-0036"/>
    <s v="MILIMARI"/>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61985"/>
    <s v="Extrême-Nord"/>
    <s v="CMR004"/>
    <x v="1"/>
    <s v="CMR004002"/>
    <s v="Fotokol"/>
    <s v="CMR004002008"/>
    <s v="FOT-0032"/>
    <s v="NGANAWAI"/>
    <m/>
    <x v="0"/>
    <n v="12.4485071"/>
    <n v="14.268243500000001"/>
    <x v="0"/>
    <b v="1"/>
    <b v="0"/>
    <b v="0"/>
    <m/>
    <n v="3"/>
    <s v="Accessible"/>
    <m/>
    <s v="Le village accueille une population"/>
    <s v="Le village est partiellement détruit"/>
    <s v="Conflit intercommunautaire"/>
    <m/>
    <s v="Oui"/>
    <s v="Familles d'accueil"/>
    <s v="Non, pas du tout"/>
    <s v="Non"/>
    <m/>
    <n v="7"/>
    <n v="1062"/>
    <s v="Oui"/>
    <s v="Premier déplacement"/>
    <n v="7"/>
    <n v="50"/>
    <n v="20"/>
    <n v="30"/>
    <n v="0"/>
    <n v="7"/>
    <n v="0"/>
    <n v="0"/>
    <m/>
    <m/>
    <n v="0"/>
    <n v="0"/>
    <m/>
    <m/>
    <n v="0"/>
    <s v="RAS"/>
    <s v="Non"/>
    <m/>
    <m/>
    <m/>
    <m/>
    <m/>
    <m/>
    <m/>
    <m/>
    <m/>
    <m/>
    <m/>
    <m/>
    <m/>
    <m/>
    <m/>
    <s v="Non"/>
    <m/>
    <m/>
    <m/>
    <m/>
    <m/>
    <m/>
    <m/>
    <m/>
    <m/>
    <m/>
    <m/>
    <m/>
    <m/>
    <m/>
    <m/>
    <m/>
    <m/>
    <m/>
    <m/>
    <m/>
    <n v="0"/>
    <m/>
    <m/>
    <m/>
    <m/>
    <m/>
    <m/>
    <m/>
    <m/>
    <m/>
    <m/>
    <m/>
    <m/>
    <m/>
    <s v="1"/>
    <s v="0"/>
    <s v="0"/>
    <n v="1"/>
  </r>
  <r>
    <n v="2661983"/>
    <s v="Extrême-Nord"/>
    <s v="CMR004"/>
    <x v="1"/>
    <s v="CMR004002"/>
    <s v="Fotokol"/>
    <s v="CMR004002008"/>
    <s v="FOT-0021"/>
    <s v="NIGUE"/>
    <m/>
    <x v="0"/>
    <n v="12.3784683"/>
    <n v="14.2261445"/>
    <x v="0"/>
    <b v="1"/>
    <b v="0"/>
    <b v="0"/>
    <m/>
    <n v="3"/>
    <s v="Accessible"/>
    <m/>
    <s v="Le village accueille une population"/>
    <s v="Le village est intact (construit)"/>
    <m/>
    <m/>
    <s v="Oui"/>
    <s v="Familles d'accueil"/>
    <s v="Non, pas du tout"/>
    <s v="Non"/>
    <m/>
    <n v="150"/>
    <n v="3030"/>
    <s v="Oui"/>
    <s v="Premier déplacement"/>
    <n v="150"/>
    <n v="450"/>
    <n v="215"/>
    <n v="235"/>
    <n v="0"/>
    <n v="150"/>
    <n v="0"/>
    <n v="0"/>
    <m/>
    <m/>
    <n v="0"/>
    <n v="0"/>
    <m/>
    <m/>
    <n v="0"/>
    <s v="Le population idps il pas de leou"/>
    <s v="Non"/>
    <m/>
    <m/>
    <m/>
    <m/>
    <m/>
    <m/>
    <m/>
    <m/>
    <m/>
    <m/>
    <m/>
    <m/>
    <m/>
    <m/>
    <m/>
    <s v="Non"/>
    <m/>
    <m/>
    <m/>
    <m/>
    <m/>
    <m/>
    <m/>
    <m/>
    <m/>
    <m/>
    <m/>
    <m/>
    <m/>
    <m/>
    <m/>
    <m/>
    <m/>
    <m/>
    <m/>
    <m/>
    <n v="0"/>
    <m/>
    <m/>
    <m/>
    <m/>
    <m/>
    <m/>
    <m/>
    <m/>
    <m/>
    <m/>
    <m/>
    <m/>
    <m/>
    <s v="1"/>
    <s v="0"/>
    <s v="0"/>
    <n v="1"/>
  </r>
  <r>
    <n v="2661986"/>
    <s v="Extrême-Nord"/>
    <s v="CMR004"/>
    <x v="1"/>
    <s v="CMR004002"/>
    <s v="Fotokol"/>
    <s v="CMR004002008"/>
    <s v="FOT-0030"/>
    <s v="ROUNDE"/>
    <m/>
    <x v="0"/>
    <n v="12.4343565"/>
    <n v="14.231408099999999"/>
    <x v="0"/>
    <b v="1"/>
    <b v="0"/>
    <b v="0"/>
    <m/>
    <n v="3"/>
    <s v="Accessible"/>
    <m/>
    <s v="Le village accueille une population"/>
    <s v="Le village est intact (construit)"/>
    <m/>
    <m/>
    <s v="Oui"/>
    <s v="Familles d'accueil"/>
    <s v="Non, pas du tout"/>
    <s v="Non"/>
    <m/>
    <n v="40"/>
    <n v="235"/>
    <s v="Oui"/>
    <s v="Premier déplacement"/>
    <n v="40"/>
    <n v="85"/>
    <n v="35"/>
    <n v="50"/>
    <n v="0"/>
    <n v="40"/>
    <n v="0"/>
    <n v="0"/>
    <m/>
    <m/>
    <n v="0"/>
    <n v="0"/>
    <m/>
    <m/>
    <n v="0"/>
    <s v="Population idps ils non pas de bâche"/>
    <s v="Non"/>
    <m/>
    <m/>
    <m/>
    <m/>
    <m/>
    <m/>
    <m/>
    <m/>
    <m/>
    <m/>
    <m/>
    <m/>
    <m/>
    <m/>
    <m/>
    <s v="Non"/>
    <m/>
    <m/>
    <m/>
    <m/>
    <m/>
    <m/>
    <m/>
    <m/>
    <m/>
    <m/>
    <m/>
    <m/>
    <m/>
    <m/>
    <m/>
    <m/>
    <m/>
    <m/>
    <m/>
    <m/>
    <n v="2"/>
    <m/>
    <m/>
    <m/>
    <m/>
    <m/>
    <m/>
    <m/>
    <m/>
    <m/>
    <m/>
    <m/>
    <m/>
    <m/>
    <s v="1"/>
    <s v="0"/>
    <s v="0"/>
    <n v="1"/>
  </r>
  <r>
    <n v="2674846"/>
    <s v="Extrême-Nord"/>
    <s v="CMR004"/>
    <x v="1"/>
    <s v="CMR004002"/>
    <s v="Fotokol"/>
    <s v="CMR004002008"/>
    <s v="FOT-0013"/>
    <s v="SAGME"/>
    <m/>
    <x v="1"/>
    <n v="12.5507857"/>
    <n v="14.2577272"/>
    <x v="0"/>
    <b v="1"/>
    <b v="0"/>
    <b v="0"/>
    <m/>
    <n v="3"/>
    <s v="Accessible"/>
    <m/>
    <s v="Le village accueille une population"/>
    <s v="Le village est intact (construit)"/>
    <m/>
    <m/>
    <s v="Oui"/>
    <s v="Familles d'accueil"/>
    <s v="Non, pas du tout"/>
    <s v="Non"/>
    <m/>
    <n v="8"/>
    <n v="3887"/>
    <s v="Oui"/>
    <s v="Premier déplacement"/>
    <n v="8"/>
    <n v="37"/>
    <n v="17"/>
    <n v="20"/>
    <n v="0"/>
    <n v="8"/>
    <n v="0"/>
    <n v="0"/>
    <m/>
    <m/>
    <n v="0"/>
    <n v="0"/>
    <m/>
    <m/>
    <n v="0"/>
    <s v="Pas de changement depuis le round précédent"/>
    <s v="Oui"/>
    <n v="66"/>
    <n v="318"/>
    <n v="150"/>
    <n v="168"/>
    <n v="0"/>
    <n v="66"/>
    <n v="0"/>
    <m/>
    <n v="0"/>
    <n v="0"/>
    <m/>
    <m/>
    <n v="0"/>
    <n v="15"/>
    <s v="Pas de changement depuis le round précédent"/>
    <s v="Oui"/>
    <n v="197"/>
    <n v="1427"/>
    <n v="698"/>
    <n v="729"/>
    <s v="Entre 1 et 5 ans"/>
    <n v="0"/>
    <n v="197"/>
    <n v="0"/>
    <n v="0"/>
    <n v="0"/>
    <m/>
    <n v="0"/>
    <n v="0"/>
    <m/>
    <n v="0"/>
    <m/>
    <m/>
    <m/>
    <m/>
    <m/>
    <n v="0"/>
    <m/>
    <m/>
    <m/>
    <m/>
    <m/>
    <m/>
    <m/>
    <m/>
    <m/>
    <m/>
    <m/>
    <m/>
    <m/>
    <s v="1"/>
    <s v="1"/>
    <s v="1"/>
    <n v="3"/>
  </r>
  <r>
    <n v="2661987"/>
    <s v="Extrême-Nord"/>
    <s v="CMR004"/>
    <x v="1"/>
    <s v="CMR004002"/>
    <s v="Fotokol"/>
    <s v="CMR004002008"/>
    <s v="FOT-0023"/>
    <s v="SITE DE GLO KOTOKO"/>
    <m/>
    <x v="0"/>
    <n v="12.4406727"/>
    <n v="14.340533799999999"/>
    <x v="1"/>
    <b v="1"/>
    <b v="0"/>
    <b v="0"/>
    <m/>
    <n v="3"/>
    <s v="Accessible"/>
    <m/>
    <s v="Le village accueille une population"/>
    <s v="Le village est intact (construit)"/>
    <m/>
    <m/>
    <s v="Oui"/>
    <s v="Familles d'accueil"/>
    <s v="Non, pas du tout"/>
    <m/>
    <m/>
    <n v="51"/>
    <n v="3980"/>
    <s v="Oui"/>
    <s v="Premier déplacement"/>
    <n v="51"/>
    <n v="233"/>
    <n v="105"/>
    <n v="128"/>
    <n v="0"/>
    <n v="51"/>
    <n v="0"/>
    <n v="0"/>
    <m/>
    <m/>
    <n v="0"/>
    <n v="0"/>
    <m/>
    <m/>
    <n v="0"/>
    <s v="il y de naissances et bokou de décès"/>
    <s v="Non"/>
    <m/>
    <m/>
    <m/>
    <m/>
    <m/>
    <m/>
    <m/>
    <m/>
    <m/>
    <m/>
    <m/>
    <m/>
    <m/>
    <m/>
    <m/>
    <s v="Non"/>
    <m/>
    <m/>
    <m/>
    <m/>
    <m/>
    <m/>
    <m/>
    <m/>
    <m/>
    <m/>
    <m/>
    <m/>
    <m/>
    <m/>
    <m/>
    <m/>
    <m/>
    <m/>
    <m/>
    <m/>
    <n v="3"/>
    <m/>
    <m/>
    <m/>
    <m/>
    <m/>
    <m/>
    <m/>
    <m/>
    <m/>
    <m/>
    <m/>
    <m/>
    <m/>
    <s v="1"/>
    <s v="0"/>
    <s v="0"/>
    <n v="1"/>
  </r>
  <r>
    <n v="2612127"/>
    <s v="Extrême-Nord"/>
    <s v="CMR004"/>
    <x v="1"/>
    <s v="CMR004002"/>
    <s v="Fotokol"/>
    <s v="CMR004002008"/>
    <s v="FOT-0019"/>
    <s v="SITE DE WAROU"/>
    <m/>
    <x v="1"/>
    <n v="12.5195218"/>
    <n v="14.2720334"/>
    <x v="1"/>
    <b v="1"/>
    <b v="0"/>
    <b v="0"/>
    <m/>
    <n v="5"/>
    <s v="Accessible"/>
    <m/>
    <s v="Le village accueille une population"/>
    <s v="Le village est intact (construit)"/>
    <m/>
    <m/>
    <s v="Oui"/>
    <s v="Sites de déplacement spontanés"/>
    <s v="Non, pas du tout"/>
    <m/>
    <m/>
    <n v="16"/>
    <n v="971"/>
    <s v="Oui"/>
    <s v="Premier déplacement"/>
    <n v="16"/>
    <n v="102"/>
    <n v="42"/>
    <n v="60"/>
    <n v="0"/>
    <n v="0"/>
    <n v="0"/>
    <n v="0"/>
    <m/>
    <m/>
    <n v="0"/>
    <n v="16"/>
    <s v="Paille/Natte/Nylon"/>
    <m/>
    <n v="0"/>
    <s v="Pas de changement pour les PDIs"/>
    <s v="Oui"/>
    <n v="24"/>
    <n v="140"/>
    <n v="45"/>
    <n v="95"/>
    <n v="0"/>
    <n v="0"/>
    <n v="0"/>
    <m/>
    <n v="0"/>
    <n v="24"/>
    <s v="Paille/Natte/Nylon"/>
    <m/>
    <n v="0"/>
    <n v="11"/>
    <s v="Il y a augmentation de 12 ménagés pour 52 individu"/>
    <s v="Non"/>
    <m/>
    <m/>
    <m/>
    <m/>
    <m/>
    <m/>
    <m/>
    <m/>
    <m/>
    <m/>
    <m/>
    <m/>
    <m/>
    <m/>
    <m/>
    <m/>
    <m/>
    <m/>
    <m/>
    <m/>
    <n v="0"/>
    <m/>
    <m/>
    <m/>
    <m/>
    <m/>
    <m/>
    <m/>
    <m/>
    <m/>
    <m/>
    <m/>
    <m/>
    <m/>
    <s v="1"/>
    <s v="1"/>
    <s v="0"/>
    <n v="2"/>
  </r>
  <r>
    <n v="2645057"/>
    <s v="Extrême-Nord"/>
    <s v="CMR004"/>
    <x v="1"/>
    <s v="CMR004002"/>
    <s v="Fotokol"/>
    <s v="CMR004002008"/>
    <s v="FOT-0014"/>
    <s v="SOUERAM"/>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63844"/>
    <s v="Extrême-Nord"/>
    <s v="CMR004"/>
    <x v="1"/>
    <s v="CMR004002"/>
    <s v="Fotokol"/>
    <s v="CMR004002008"/>
    <s v="FOT-0033"/>
    <s v="WANGARA"/>
    <m/>
    <x v="1"/>
    <n v="12.3789628"/>
    <n v="14.2322595"/>
    <x v="0"/>
    <b v="1"/>
    <b v="0"/>
    <b v="0"/>
    <m/>
    <n v="3"/>
    <s v="Accessible"/>
    <m/>
    <s v="Le village est entièrement déserté"/>
    <m/>
    <m/>
    <m/>
    <m/>
    <m/>
    <m/>
    <m/>
    <m/>
    <m/>
    <m/>
    <m/>
    <m/>
    <m/>
    <m/>
    <m/>
    <m/>
    <m/>
    <m/>
    <m/>
    <m/>
    <m/>
    <m/>
    <m/>
    <m/>
    <m/>
    <m/>
    <m/>
    <m/>
    <m/>
    <m/>
    <m/>
    <m/>
    <m/>
    <m/>
    <m/>
    <m/>
    <m/>
    <m/>
    <m/>
    <m/>
    <m/>
    <m/>
    <m/>
    <m/>
    <m/>
    <m/>
    <m/>
    <m/>
    <m/>
    <m/>
    <m/>
    <m/>
    <m/>
    <m/>
    <m/>
    <m/>
    <m/>
    <m/>
    <m/>
    <m/>
    <m/>
    <m/>
    <m/>
    <m/>
    <m/>
    <m/>
    <m/>
    <m/>
    <m/>
    <m/>
    <m/>
    <m/>
    <m/>
    <m/>
    <m/>
    <m/>
    <m/>
    <m/>
    <m/>
    <s v="0"/>
    <s v="0"/>
    <s v="0"/>
    <n v="0"/>
  </r>
  <r>
    <n v="2645054"/>
    <s v="Extrême-Nord"/>
    <s v="CMR004"/>
    <x v="1"/>
    <s v="CMR004002"/>
    <s v="Fotokol"/>
    <s v="CMR004002008"/>
    <s v="FOT-0024"/>
    <s v="WORO KEYME"/>
    <m/>
    <x v="1"/>
    <n v="12.3940248"/>
    <n v="14.378383700000001"/>
    <x v="0"/>
    <b v="1"/>
    <b v="0"/>
    <b v="0"/>
    <m/>
    <n v="3"/>
    <s v="Accessible"/>
    <m/>
    <s v="Le village accueille une population"/>
    <s v="Le village est intact (construit)"/>
    <m/>
    <m/>
    <s v="Oui"/>
    <s v="Familles d'accueil"/>
    <s v="Non, pas du tout"/>
    <s v="Non"/>
    <m/>
    <n v="7"/>
    <n v="574"/>
    <s v="Oui"/>
    <s v="Premier déplacement"/>
    <n v="7"/>
    <n v="55"/>
    <n v="22"/>
    <n v="33"/>
    <n v="0"/>
    <n v="7"/>
    <n v="0"/>
    <n v="0"/>
    <m/>
    <m/>
    <n v="0"/>
    <n v="0"/>
    <m/>
    <m/>
    <n v="0"/>
    <s v="Aucun changement depuis le round passé"/>
    <s v="Oui"/>
    <n v="15"/>
    <n v="108"/>
    <n v="45"/>
    <n v="63"/>
    <n v="15"/>
    <n v="0"/>
    <n v="0"/>
    <m/>
    <n v="0"/>
    <n v="0"/>
    <m/>
    <m/>
    <n v="0"/>
    <n v="0"/>
    <s v="Nous notons une augmentation de 3 ménages de 17 individus _x000a_Venant de Rhan  (Nigeria )pour les travaux champêtres "/>
    <s v="Non"/>
    <m/>
    <m/>
    <m/>
    <m/>
    <m/>
    <m/>
    <m/>
    <m/>
    <m/>
    <m/>
    <m/>
    <m/>
    <m/>
    <m/>
    <m/>
    <m/>
    <m/>
    <m/>
    <m/>
    <m/>
    <n v="0"/>
    <m/>
    <m/>
    <m/>
    <m/>
    <m/>
    <m/>
    <m/>
    <m/>
    <m/>
    <m/>
    <m/>
    <m/>
    <m/>
    <s v="1"/>
    <s v="1"/>
    <s v="0"/>
    <n v="2"/>
  </r>
  <r>
    <n v="2658143"/>
    <s v="Extrême-Nord"/>
    <s v="CMR004"/>
    <x v="1"/>
    <s v="CMR004002"/>
    <s v="Fotokol"/>
    <s v="CMR004002008"/>
    <s v="FOT-0015"/>
    <s v="WOROMARI"/>
    <m/>
    <x v="0"/>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57064"/>
    <s v="Extrême-Nord"/>
    <s v="CMR004"/>
    <x v="1"/>
    <s v="CMR004002"/>
    <s v="Goulfey"/>
    <s v="CMR004002002"/>
    <s v="XXXX"/>
    <s v="DOUGUYA SITE"/>
    <s v="DOUGUYA SITE"/>
    <x v="0"/>
    <n v="12.6220797"/>
    <n v="14.832557"/>
    <x v="0"/>
    <b v="1"/>
    <b v="0"/>
    <b v="0"/>
    <m/>
    <n v="4"/>
    <s v="Accessible"/>
    <m/>
    <s v="Le village accueille une population"/>
    <s v="Le village est partiellement détruit"/>
    <s v="Intempéries (inondations, tempêtes etc.)"/>
    <m/>
    <s v="Oui"/>
    <s v="Familles d'accueil"/>
    <s v="Non, pas du tout"/>
    <s v="Non"/>
    <m/>
    <m/>
    <n v="375"/>
    <s v="Non"/>
    <m/>
    <m/>
    <m/>
    <m/>
    <m/>
    <m/>
    <m/>
    <m/>
    <m/>
    <m/>
    <m/>
    <m/>
    <m/>
    <m/>
    <m/>
    <m/>
    <m/>
    <s v="Non"/>
    <m/>
    <m/>
    <m/>
    <m/>
    <m/>
    <m/>
    <m/>
    <m/>
    <m/>
    <m/>
    <m/>
    <m/>
    <m/>
    <m/>
    <m/>
    <s v="Non"/>
    <m/>
    <m/>
    <m/>
    <m/>
    <m/>
    <m/>
    <m/>
    <m/>
    <m/>
    <m/>
    <m/>
    <m/>
    <m/>
    <m/>
    <m/>
    <m/>
    <m/>
    <m/>
    <m/>
    <m/>
    <n v="0"/>
    <m/>
    <m/>
    <m/>
    <m/>
    <m/>
    <m/>
    <m/>
    <m/>
    <m/>
    <m/>
    <m/>
    <m/>
    <m/>
    <s v="0"/>
    <s v="0"/>
    <s v="0"/>
    <n v="0"/>
  </r>
  <r>
    <n v="2657066"/>
    <s v="Extrême-Nord"/>
    <s v="CMR004"/>
    <x v="1"/>
    <s v="CMR004002"/>
    <s v="Goulfey"/>
    <s v="CMR004002002"/>
    <s v="XXXX"/>
    <s v="SITE MOURA "/>
    <s v="SITE MOURA "/>
    <x v="1"/>
    <n v="12.5616565"/>
    <n v="14.847720799999999"/>
    <x v="0"/>
    <b v="0"/>
    <b v="0"/>
    <b v="1"/>
    <m/>
    <m/>
    <s v="Accessible"/>
    <m/>
    <s v="Le village est entièrement déserté"/>
    <m/>
    <m/>
    <m/>
    <m/>
    <m/>
    <m/>
    <m/>
    <m/>
    <m/>
    <m/>
    <m/>
    <m/>
    <m/>
    <m/>
    <m/>
    <m/>
    <m/>
    <m/>
    <m/>
    <m/>
    <m/>
    <m/>
    <m/>
    <m/>
    <m/>
    <m/>
    <m/>
    <m/>
    <m/>
    <m/>
    <m/>
    <m/>
    <m/>
    <m/>
    <m/>
    <m/>
    <m/>
    <m/>
    <m/>
    <m/>
    <m/>
    <m/>
    <m/>
    <m/>
    <m/>
    <m/>
    <m/>
    <m/>
    <m/>
    <m/>
    <m/>
    <m/>
    <m/>
    <m/>
    <m/>
    <m/>
    <m/>
    <m/>
    <m/>
    <m/>
    <m/>
    <m/>
    <m/>
    <m/>
    <m/>
    <m/>
    <m/>
    <m/>
    <m/>
    <m/>
    <m/>
    <m/>
    <m/>
    <m/>
    <m/>
    <m/>
    <m/>
    <m/>
    <m/>
    <s v="0"/>
    <s v="0"/>
    <s v="0"/>
    <n v="0"/>
  </r>
  <r>
    <n v="2586820"/>
    <s v="Extrême-Nord"/>
    <s v="CMR004"/>
    <x v="1"/>
    <s v="CMR004002"/>
    <s v="Goulfey"/>
    <s v="CMR004002002"/>
    <s v="XXXX"/>
    <s v="SITE DE AFIE 1"/>
    <s v="SITE DE AFIE 1"/>
    <x v="1"/>
    <n v="12.331104399999999"/>
    <n v="14.8993234"/>
    <x v="1"/>
    <b v="1"/>
    <b v="0"/>
    <b v="0"/>
    <m/>
    <n v="3"/>
    <s v="Accessible"/>
    <m/>
    <s v="Le village accueille une population"/>
    <s v="Le village est intact (construit)"/>
    <m/>
    <m/>
    <s v="Oui"/>
    <s v="Sites de déplacement spontanés"/>
    <s v="Air libre"/>
    <m/>
    <m/>
    <n v="12"/>
    <n v="122"/>
    <s v="Oui"/>
    <s v="Premier déplacement"/>
    <n v="12"/>
    <n v="122"/>
    <n v="62"/>
    <n v="60"/>
    <n v="0"/>
    <n v="0"/>
    <n v="0"/>
    <n v="0"/>
    <m/>
    <m/>
    <n v="0"/>
    <n v="12"/>
    <s v="Paille/Natte/Nylon"/>
    <m/>
    <n v="0"/>
    <s v="Suite aux innovations du mois d'octobre 2022,les communautés de Afie ont été contraint de quitter leur lieu d'origine pour un lieu sûre appelé AFIE SITE1"/>
    <s v="Non"/>
    <m/>
    <m/>
    <m/>
    <m/>
    <m/>
    <m/>
    <m/>
    <m/>
    <m/>
    <m/>
    <m/>
    <m/>
    <m/>
    <m/>
    <m/>
    <s v="Non"/>
    <m/>
    <m/>
    <m/>
    <m/>
    <m/>
    <m/>
    <m/>
    <m/>
    <m/>
    <m/>
    <m/>
    <m/>
    <m/>
    <m/>
    <m/>
    <m/>
    <m/>
    <m/>
    <m/>
    <m/>
    <n v="0"/>
    <m/>
    <m/>
    <m/>
    <m/>
    <m/>
    <m/>
    <m/>
    <m/>
    <m/>
    <m/>
    <m/>
    <m/>
    <m/>
    <s v="1"/>
    <s v="0"/>
    <s v="0"/>
    <n v="1"/>
  </r>
  <r>
    <n v="2598096"/>
    <s v="Extrême-Nord"/>
    <s v="CMR004"/>
    <x v="1"/>
    <s v="CMR004002"/>
    <s v="Goulfey"/>
    <s v="CMR004002002"/>
    <s v="XXXX"/>
    <s v="SITE DE ANGROWO (GOURLE)"/>
    <s v="SITE DE ANGROWO (GOURLE)"/>
    <x v="1"/>
    <n v="12.469363599999999"/>
    <n v="14.821830200000001"/>
    <x v="1"/>
    <b v="0"/>
    <b v="1"/>
    <b v="0"/>
    <n v="6"/>
    <m/>
    <s v="Accessible"/>
    <m/>
    <s v="Le village accueille une population"/>
    <s v="Le village est totalement détruit"/>
    <s v="Intempéries (inondations, tempêtes etc.)"/>
    <m/>
    <s v="Oui"/>
    <s v="Sites de déplacement spontanés"/>
    <s v="Non, pas du tout"/>
    <m/>
    <m/>
    <n v="15"/>
    <n v="172"/>
    <s v="Oui"/>
    <s v="Premier déplacement"/>
    <n v="15"/>
    <n v="172"/>
    <n v="75"/>
    <n v="97"/>
    <n v="0"/>
    <n v="0"/>
    <n v="0"/>
    <n v="0"/>
    <m/>
    <m/>
    <n v="0"/>
    <n v="15"/>
    <s v="Tôle"/>
    <m/>
    <n v="0"/>
    <s v="Les  IDPS de cette localité sont arrives en Novembre suite aux innondations de 2022,la localité d'origine a été endommagé par les eaux._x000a__x000a_"/>
    <s v="Non"/>
    <m/>
    <m/>
    <m/>
    <m/>
    <m/>
    <m/>
    <m/>
    <m/>
    <m/>
    <m/>
    <m/>
    <m/>
    <m/>
    <m/>
    <m/>
    <s v="Non"/>
    <m/>
    <m/>
    <m/>
    <m/>
    <m/>
    <m/>
    <m/>
    <m/>
    <m/>
    <m/>
    <m/>
    <m/>
    <m/>
    <m/>
    <m/>
    <m/>
    <m/>
    <m/>
    <m/>
    <m/>
    <n v="0"/>
    <m/>
    <m/>
    <m/>
    <m/>
    <m/>
    <m/>
    <m/>
    <m/>
    <m/>
    <m/>
    <m/>
    <m/>
    <m/>
    <s v="1"/>
    <s v="0"/>
    <s v="0"/>
    <n v="1"/>
  </r>
  <r>
    <n v="2584781"/>
    <s v="Extrême-Nord"/>
    <s v="CMR004"/>
    <x v="1"/>
    <s v="CMR004002"/>
    <s v="Goulfey"/>
    <s v="CMR004002002"/>
    <s v="XXXX"/>
    <s v="SITE DE SIGUET"/>
    <s v="SITE DE SIGUET"/>
    <x v="1"/>
    <n v="12.415631899999999"/>
    <n v="14.8146749"/>
    <x v="1"/>
    <b v="0"/>
    <b v="1"/>
    <b v="0"/>
    <n v="6"/>
    <m/>
    <s v="Accessible"/>
    <m/>
    <s v="Le village accueille une population"/>
    <s v="Le village est intact (construit)"/>
    <m/>
    <m/>
    <s v="Oui"/>
    <s v="Sites de déplacement spontanés"/>
    <s v="Non, pas du tout"/>
    <m/>
    <m/>
    <n v="50"/>
    <n v="350"/>
    <s v="Oui"/>
    <s v="Premier déplacement"/>
    <n v="50"/>
    <n v="350"/>
    <n v="140"/>
    <n v="210"/>
    <n v="0"/>
    <n v="0"/>
    <n v="0"/>
    <n v="0"/>
    <m/>
    <m/>
    <n v="0"/>
    <n v="50"/>
    <s v="Paille/Natte/Nylon"/>
    <m/>
    <n v="0"/>
    <s v="Suite aux inondation de mois d'octobre,la populations de Siguet a été contrainte  a quitter ce lieu afin de se réfugier dans un Site appelé Site. SIGUET"/>
    <s v="Non"/>
    <m/>
    <m/>
    <m/>
    <m/>
    <m/>
    <m/>
    <m/>
    <m/>
    <m/>
    <m/>
    <m/>
    <m/>
    <m/>
    <m/>
    <m/>
    <s v="Non"/>
    <m/>
    <m/>
    <m/>
    <m/>
    <m/>
    <m/>
    <m/>
    <m/>
    <m/>
    <m/>
    <m/>
    <m/>
    <m/>
    <m/>
    <m/>
    <m/>
    <m/>
    <m/>
    <m/>
    <m/>
    <n v="0"/>
    <m/>
    <m/>
    <m/>
    <m/>
    <m/>
    <m/>
    <m/>
    <m/>
    <m/>
    <m/>
    <m/>
    <m/>
    <m/>
    <s v="1"/>
    <s v="0"/>
    <s v="0"/>
    <n v="1"/>
  </r>
  <r>
    <n v="2779314"/>
    <s v="Extrême-Nord"/>
    <s v="CMR004"/>
    <x v="1"/>
    <s v="CMR004002"/>
    <s v="Goulfey"/>
    <s v="CMR004002002"/>
    <s v="GOU-0037"/>
    <s v="AFIE 2"/>
    <m/>
    <x v="1"/>
    <n v="12.3256111"/>
    <n v="14.903702600000001"/>
    <x v="0"/>
    <b v="1"/>
    <b v="0"/>
    <b v="0"/>
    <m/>
    <n v="3"/>
    <s v="Accessible"/>
    <m/>
    <s v="Le village accueille une population"/>
    <s v="Le village est intact (construit)"/>
    <m/>
    <m/>
    <s v="Oui"/>
    <s v="Familles d'accueil"/>
    <s v="Non, pas du tout"/>
    <s v="Non"/>
    <m/>
    <m/>
    <n v="251"/>
    <s v="Non"/>
    <m/>
    <m/>
    <m/>
    <m/>
    <m/>
    <m/>
    <m/>
    <m/>
    <m/>
    <m/>
    <m/>
    <m/>
    <m/>
    <m/>
    <m/>
    <m/>
    <m/>
    <s v="Non"/>
    <m/>
    <m/>
    <m/>
    <m/>
    <m/>
    <m/>
    <m/>
    <m/>
    <m/>
    <m/>
    <m/>
    <m/>
    <m/>
    <m/>
    <m/>
    <s v="Oui"/>
    <n v="30"/>
    <n v="251"/>
    <n v="111"/>
    <n v="140"/>
    <s v="Moins de 3 mois"/>
    <n v="12"/>
    <n v="6"/>
    <n v="0"/>
    <n v="0"/>
    <n v="0"/>
    <m/>
    <n v="0"/>
    <n v="12"/>
    <s v="Terre cuite/Terre battue"/>
    <n v="0"/>
    <m/>
    <m/>
    <m/>
    <m/>
    <m/>
    <n v="0"/>
    <m/>
    <m/>
    <m/>
    <m/>
    <m/>
    <m/>
    <m/>
    <m/>
    <m/>
    <m/>
    <m/>
    <m/>
    <m/>
    <s v="0"/>
    <s v="0"/>
    <s v="1"/>
    <n v="1"/>
  </r>
  <r>
    <n v="2673892"/>
    <s v="Extrême-Nord"/>
    <s v="CMR004"/>
    <x v="1"/>
    <s v="CMR004002"/>
    <s v="Goulfey"/>
    <s v="CMR004002002"/>
    <s v="GOU-0024"/>
    <s v="AKMASSIRAK"/>
    <m/>
    <x v="1"/>
    <n v="12.560614599999999"/>
    <n v="14.739059900000001"/>
    <x v="0"/>
    <b v="1"/>
    <b v="0"/>
    <b v="0"/>
    <m/>
    <n v="3"/>
    <s v="Accessible"/>
    <m/>
    <s v="Le village accueille une population"/>
    <s v="Le village est intact (construit)"/>
    <m/>
    <m/>
    <s v="Oui"/>
    <s v="Familles d'accueil"/>
    <s v="Non, pas du tout"/>
    <s v="Non"/>
    <m/>
    <n v="70"/>
    <n v="431"/>
    <s v="Oui"/>
    <s v="Premier déplacement"/>
    <n v="70"/>
    <n v="70"/>
    <n v="30"/>
    <n v="40"/>
    <n v="0"/>
    <n v="70"/>
    <n v="0"/>
    <n v="0"/>
    <m/>
    <m/>
    <n v="0"/>
    <n v="0"/>
    <m/>
    <m/>
    <n v="0"/>
    <s v="Augmentation d'une naissance du côté de ipds"/>
    <s v="Non"/>
    <m/>
    <m/>
    <m/>
    <m/>
    <m/>
    <m/>
    <m/>
    <m/>
    <m/>
    <m/>
    <m/>
    <m/>
    <m/>
    <m/>
    <m/>
    <s v="Non"/>
    <m/>
    <m/>
    <m/>
    <m/>
    <m/>
    <m/>
    <m/>
    <m/>
    <m/>
    <m/>
    <m/>
    <m/>
    <m/>
    <m/>
    <m/>
    <m/>
    <m/>
    <m/>
    <m/>
    <m/>
    <n v="0"/>
    <m/>
    <m/>
    <m/>
    <m/>
    <m/>
    <m/>
    <m/>
    <m/>
    <m/>
    <m/>
    <m/>
    <m/>
    <m/>
    <s v="1"/>
    <s v="0"/>
    <s v="0"/>
    <n v="1"/>
  </r>
  <r>
    <n v="2662514"/>
    <s v="Extrême-Nord"/>
    <s v="CMR004"/>
    <x v="1"/>
    <s v="CMR004002"/>
    <s v="Goulfey"/>
    <s v="CMR004002002"/>
    <s v="GOU-0038"/>
    <s v="AMBASSANA"/>
    <m/>
    <x v="1"/>
    <n v="12.6720252"/>
    <n v="14.575969499999999"/>
    <x v="0"/>
    <b v="1"/>
    <b v="0"/>
    <b v="0"/>
    <m/>
    <n v="4"/>
    <s v="Accessible"/>
    <m/>
    <s v="Le village accueille une population"/>
    <s v="Le village est intact (construit)"/>
    <m/>
    <m/>
    <s v="Oui"/>
    <s v="Familles d'accueil"/>
    <s v="Non, pas du tout"/>
    <s v="Non"/>
    <m/>
    <n v="10"/>
    <n v="4020"/>
    <s v="Oui"/>
    <s v="Premier déplacement"/>
    <n v="10"/>
    <n v="30"/>
    <n v="8"/>
    <n v="22"/>
    <n v="0"/>
    <n v="10"/>
    <n v="0"/>
    <n v="0"/>
    <m/>
    <m/>
    <n v="0"/>
    <n v="0"/>
    <m/>
    <m/>
    <n v="0"/>
    <s v="Pas de changement dans la localité "/>
    <s v="Oui"/>
    <n v="15"/>
    <n v="60"/>
    <n v="15"/>
    <n v="45"/>
    <n v="10"/>
    <n v="0"/>
    <n v="5"/>
    <s v="Chez une famille d'accueil (contre loyer)"/>
    <n v="0"/>
    <n v="0"/>
    <m/>
    <m/>
    <n v="0"/>
    <n v="0"/>
    <s v="Il ya eu changement par rapport au rond précédent.il ya diminution de 40 individus"/>
    <s v="Non"/>
    <m/>
    <m/>
    <m/>
    <m/>
    <m/>
    <m/>
    <m/>
    <m/>
    <m/>
    <m/>
    <m/>
    <m/>
    <m/>
    <m/>
    <m/>
    <m/>
    <m/>
    <m/>
    <m/>
    <m/>
    <n v="0"/>
    <m/>
    <m/>
    <m/>
    <m/>
    <m/>
    <m/>
    <m/>
    <m/>
    <m/>
    <m/>
    <m/>
    <m/>
    <m/>
    <s v="1"/>
    <s v="1"/>
    <s v="0"/>
    <n v="2"/>
  </r>
  <r>
    <n v="2628115"/>
    <s v="Extrême-Nord"/>
    <s v="CMR004"/>
    <x v="1"/>
    <s v="CMR004002"/>
    <s v="Goulfey"/>
    <s v="CMR004002002"/>
    <s v="GOU-0001"/>
    <s v="AMDANE"/>
    <m/>
    <x v="1"/>
    <n v="12.4099086"/>
    <n v="14.805614200000001"/>
    <x v="0"/>
    <b v="1"/>
    <b v="0"/>
    <b v="0"/>
    <m/>
    <n v="3"/>
    <s v="Accessible"/>
    <m/>
    <s v="Le village accueille une population"/>
    <s v="Le village est intact (construit)"/>
    <m/>
    <m/>
    <s v="Oui"/>
    <s v="Familles d'accueil"/>
    <s v="Non, pas du tout"/>
    <s v="Non"/>
    <m/>
    <n v="50"/>
    <n v="3002"/>
    <s v="Oui"/>
    <s v="Premier déplacement"/>
    <n v="50"/>
    <n v="50"/>
    <n v="20"/>
    <n v="30"/>
    <n v="0"/>
    <n v="50"/>
    <n v="0"/>
    <n v="0"/>
    <m/>
    <m/>
    <n v="0"/>
    <n v="0"/>
    <m/>
    <m/>
    <n v="0"/>
    <s v="Les constructions sont partiellement détruite"/>
    <s v="Non"/>
    <m/>
    <m/>
    <m/>
    <m/>
    <m/>
    <m/>
    <m/>
    <m/>
    <m/>
    <m/>
    <m/>
    <m/>
    <m/>
    <m/>
    <m/>
    <s v="Non"/>
    <m/>
    <m/>
    <m/>
    <m/>
    <m/>
    <m/>
    <m/>
    <m/>
    <m/>
    <m/>
    <m/>
    <m/>
    <m/>
    <m/>
    <m/>
    <m/>
    <m/>
    <m/>
    <m/>
    <m/>
    <n v="0"/>
    <m/>
    <m/>
    <m/>
    <m/>
    <m/>
    <m/>
    <m/>
    <m/>
    <m/>
    <m/>
    <m/>
    <m/>
    <m/>
    <s v="1"/>
    <s v="0"/>
    <s v="0"/>
    <n v="1"/>
  </r>
  <r>
    <n v="2662507"/>
    <s v="Extrême-Nord"/>
    <s v="CMR004"/>
    <x v="1"/>
    <s v="CMR004002"/>
    <s v="Goulfey"/>
    <s v="CMR004002002"/>
    <s v="GOU-0036"/>
    <s v="AMFADENA"/>
    <m/>
    <x v="1"/>
    <n v="12.669370199999999"/>
    <n v="14.652741199999999"/>
    <x v="0"/>
    <b v="1"/>
    <b v="0"/>
    <b v="0"/>
    <m/>
    <n v="5"/>
    <s v="Accessible"/>
    <m/>
    <s v="Le village accueille une population"/>
    <s v="Le village est intact (construit)"/>
    <m/>
    <m/>
    <s v="Oui"/>
    <s v="Familles d'accueil"/>
    <s v="Non, pas du tout"/>
    <s v="Non"/>
    <m/>
    <n v="11"/>
    <n v="1350"/>
    <s v="Oui"/>
    <s v="Premier déplacement"/>
    <n v="11"/>
    <n v="50"/>
    <n v="15"/>
    <n v="35"/>
    <n v="0"/>
    <n v="8"/>
    <n v="0"/>
    <n v="3"/>
    <s v="Chez une famille d'accueil (contre loyer)"/>
    <m/>
    <n v="0"/>
    <n v="0"/>
    <m/>
    <m/>
    <n v="0"/>
    <s v="Pas de changement dans la localité "/>
    <s v="Oui"/>
    <n v="9"/>
    <n v="40"/>
    <n v="16"/>
    <n v="24"/>
    <n v="7"/>
    <n v="0"/>
    <n v="2"/>
    <s v="Chez une famille d'accueil (contre loyer)"/>
    <n v="0"/>
    <n v="0"/>
    <m/>
    <m/>
    <n v="0"/>
    <n v="0"/>
    <s v="Pas de changement dans la localité "/>
    <s v="Non"/>
    <m/>
    <m/>
    <m/>
    <m/>
    <m/>
    <m/>
    <m/>
    <m/>
    <m/>
    <m/>
    <m/>
    <m/>
    <m/>
    <m/>
    <m/>
    <m/>
    <m/>
    <m/>
    <m/>
    <m/>
    <n v="0"/>
    <m/>
    <m/>
    <m/>
    <m/>
    <m/>
    <m/>
    <m/>
    <m/>
    <m/>
    <m/>
    <m/>
    <m/>
    <m/>
    <s v="1"/>
    <s v="1"/>
    <s v="0"/>
    <n v="2"/>
  </r>
  <r>
    <n v="2631453"/>
    <s v="Extrême-Nord"/>
    <s v="CMR004"/>
    <x v="1"/>
    <s v="CMR004002"/>
    <s v="Goulfey"/>
    <s v="CMR004002002"/>
    <s v="GOU-0051"/>
    <s v="AMFARA 1"/>
    <m/>
    <x v="1"/>
    <n v="12.219715600000001"/>
    <n v="14.8479531"/>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1454"/>
    <s v="Extrême-Nord"/>
    <s v="CMR004"/>
    <x v="1"/>
    <s v="CMR004002"/>
    <s v="Goulfey"/>
    <s v="CMR004002002"/>
    <s v="GOU-0053"/>
    <s v="AMFARA 2"/>
    <m/>
    <x v="1"/>
    <n v="12.218952699999999"/>
    <n v="14.848005300000001"/>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1455"/>
    <s v="Extrême-Nord"/>
    <s v="CMR004"/>
    <x v="1"/>
    <s v="CMR004002"/>
    <s v="Goulfey"/>
    <s v="CMR004002002"/>
    <s v="GOU-0054"/>
    <s v="AMFARA 4"/>
    <m/>
    <x v="1"/>
    <n v="12.2187261"/>
    <n v="14.8470114"/>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1456"/>
    <s v="Extrême-Nord"/>
    <s v="CMR004"/>
    <x v="1"/>
    <s v="CMR004002"/>
    <s v="Goulfey"/>
    <s v="CMR004002002"/>
    <s v="GOU-0055"/>
    <s v="AMFARA 5"/>
    <m/>
    <x v="1"/>
    <n v="12.217968900000001"/>
    <n v="14.846873199999999"/>
    <x v="0"/>
    <b v="1"/>
    <b v="0"/>
    <b v="1"/>
    <m/>
    <n v="3"/>
    <s v="Accessible"/>
    <m/>
    <s v="Le village accueille une population"/>
    <s v="Le village est partiellement détruit"/>
    <s v="Intempéries (inondations, tempêtes etc.)"/>
    <m/>
    <s v="Oui"/>
    <s v="Familles d'accueil"/>
    <s v="Non, pas du tout"/>
    <s v="Non"/>
    <m/>
    <m/>
    <n v="201"/>
    <s v="Non"/>
    <m/>
    <m/>
    <m/>
    <m/>
    <m/>
    <m/>
    <m/>
    <m/>
    <m/>
    <m/>
    <m/>
    <m/>
    <m/>
    <m/>
    <m/>
    <m/>
    <m/>
    <s v="Oui"/>
    <n v="1"/>
    <n v="2"/>
    <n v="1"/>
    <n v="1"/>
    <n v="1"/>
    <n v="0"/>
    <n v="0"/>
    <m/>
    <n v="0"/>
    <n v="0"/>
    <m/>
    <m/>
    <n v="0"/>
    <n v="1"/>
    <s v="Les réfugiés hors camp de cette localité vivent en harmonie avec la population hôtes et n'ont pas besoin de partir pour le moment mais néanmoins ils ont besoin d'assistance vue que le chef de ménage est une femme  handicapée "/>
    <s v="Non"/>
    <m/>
    <m/>
    <m/>
    <m/>
    <m/>
    <m/>
    <m/>
    <m/>
    <m/>
    <m/>
    <m/>
    <m/>
    <m/>
    <m/>
    <m/>
    <m/>
    <m/>
    <m/>
    <m/>
    <m/>
    <n v="1"/>
    <m/>
    <m/>
    <m/>
    <m/>
    <m/>
    <m/>
    <m/>
    <m/>
    <m/>
    <m/>
    <m/>
    <m/>
    <m/>
    <s v="0"/>
    <s v="1"/>
    <s v="0"/>
    <n v="1"/>
  </r>
  <r>
    <n v="2631460"/>
    <s v="Extrême-Nord"/>
    <s v="CMR004"/>
    <x v="1"/>
    <s v="CMR004002"/>
    <s v="Goulfey"/>
    <s v="CMR004002002"/>
    <s v="GOU-0056"/>
    <s v="AMKEFA"/>
    <m/>
    <x v="1"/>
    <n v="12.1820775"/>
    <n v="14.831875200000001"/>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57067"/>
    <s v="Extrême-Nord"/>
    <s v="CMR004"/>
    <x v="1"/>
    <s v="CMR004002"/>
    <s v="Goulfey"/>
    <s v="CMR004002002"/>
    <s v="GOU-0049"/>
    <s v="ANDOURMAN"/>
    <m/>
    <x v="1"/>
    <n v="12.1883076"/>
    <n v="14.857051800000001"/>
    <x v="0"/>
    <b v="1"/>
    <b v="1"/>
    <b v="0"/>
    <n v="9"/>
    <n v="3"/>
    <s v="Accessible"/>
    <m/>
    <s v="Le village accueille une population"/>
    <s v="Le village est intact (construit)"/>
    <m/>
    <m/>
    <s v="Oui"/>
    <s v="Familles d'accueil"/>
    <s v="Non, pas du tout"/>
    <s v="Non"/>
    <m/>
    <n v="52"/>
    <n v="1250"/>
    <s v="Oui"/>
    <s v="Premier déplacement"/>
    <n v="52"/>
    <n v="300"/>
    <n v="136"/>
    <n v="164"/>
    <n v="0"/>
    <n v="52"/>
    <n v="0"/>
    <n v="0"/>
    <m/>
    <m/>
    <n v="0"/>
    <n v="0"/>
    <m/>
    <m/>
    <n v="0"/>
    <s v="Aide humanitaire "/>
    <s v="Non"/>
    <m/>
    <m/>
    <m/>
    <m/>
    <m/>
    <m/>
    <m/>
    <m/>
    <m/>
    <m/>
    <m/>
    <m/>
    <m/>
    <m/>
    <m/>
    <s v="Oui"/>
    <n v="20"/>
    <n v="128"/>
    <n v="72"/>
    <n v="56"/>
    <s v="Entre 3 mois et 1 an"/>
    <n v="0"/>
    <n v="0"/>
    <n v="20"/>
    <n v="0"/>
    <n v="0"/>
    <m/>
    <n v="0"/>
    <n v="0"/>
    <m/>
    <n v="0"/>
    <m/>
    <m/>
    <m/>
    <m/>
    <m/>
    <n v="0"/>
    <m/>
    <m/>
    <m/>
    <m/>
    <m/>
    <m/>
    <m/>
    <m/>
    <m/>
    <m/>
    <m/>
    <m/>
    <m/>
    <s v="1"/>
    <s v="0"/>
    <s v="1"/>
    <n v="2"/>
  </r>
  <r>
    <n v="2662492"/>
    <s v="Extrême-Nord"/>
    <s v="CMR004"/>
    <x v="1"/>
    <s v="CMR004002"/>
    <s v="Goulfey"/>
    <s v="CMR004002002"/>
    <s v="GOU-0058"/>
    <s v="ANFARA6 (HILELE)"/>
    <m/>
    <x v="1"/>
    <n v="12.219761099999999"/>
    <n v="14.848874500000001"/>
    <x v="0"/>
    <b v="1"/>
    <b v="0"/>
    <b v="0"/>
    <m/>
    <n v="4"/>
    <s v="Accessible"/>
    <m/>
    <s v="Le village accueille une population"/>
    <s v="Le village est intact (construit)"/>
    <m/>
    <m/>
    <s v="Oui"/>
    <s v="Familles d'accueil"/>
    <s v="Non, pas du tout"/>
    <s v="Non"/>
    <m/>
    <n v="1"/>
    <n v="130"/>
    <s v="Oui"/>
    <s v="Premier déplacement"/>
    <n v="1"/>
    <n v="2"/>
    <n v="1"/>
    <n v="1"/>
    <n v="0"/>
    <n v="1"/>
    <n v="0"/>
    <n v="0"/>
    <m/>
    <m/>
    <n v="0"/>
    <n v="0"/>
    <m/>
    <m/>
    <n v="0"/>
    <s v="Il y'a eu changement par rapport au rond précédent "/>
    <s v="Non"/>
    <m/>
    <m/>
    <m/>
    <m/>
    <m/>
    <m/>
    <m/>
    <m/>
    <m/>
    <m/>
    <m/>
    <m/>
    <m/>
    <m/>
    <m/>
    <s v="Non"/>
    <m/>
    <m/>
    <m/>
    <m/>
    <m/>
    <m/>
    <m/>
    <m/>
    <m/>
    <m/>
    <m/>
    <m/>
    <m/>
    <m/>
    <m/>
    <m/>
    <m/>
    <m/>
    <m/>
    <m/>
    <n v="0"/>
    <m/>
    <m/>
    <m/>
    <m/>
    <m/>
    <m/>
    <m/>
    <m/>
    <m/>
    <m/>
    <m/>
    <m/>
    <m/>
    <s v="1"/>
    <s v="0"/>
    <s v="0"/>
    <n v="1"/>
  </r>
  <r>
    <n v="2628119"/>
    <s v="Extrême-Nord"/>
    <s v="CMR004"/>
    <x v="1"/>
    <s v="CMR004002"/>
    <s v="Goulfey"/>
    <s v="CMR004002002"/>
    <s v="GOU-0047"/>
    <s v="ANKOUMBOULA"/>
    <m/>
    <x v="1"/>
    <n v="12.4251632"/>
    <n v="14.648107"/>
    <x v="0"/>
    <b v="1"/>
    <b v="0"/>
    <b v="0"/>
    <m/>
    <n v="3"/>
    <s v="Accessible"/>
    <m/>
    <s v="Le village accueille une population"/>
    <s v="Le village est intact (construit)"/>
    <m/>
    <m/>
    <s v="Oui"/>
    <s v="Familles d'accueil"/>
    <s v="Non, pas du tout"/>
    <s v="Non"/>
    <m/>
    <n v="10"/>
    <n v="1002"/>
    <s v="Oui"/>
    <s v="Premier déplacement"/>
    <n v="10"/>
    <n v="10"/>
    <n v="4"/>
    <n v="6"/>
    <n v="10"/>
    <n v="0"/>
    <n v="0"/>
    <n v="0"/>
    <m/>
    <m/>
    <n v="0"/>
    <n v="0"/>
    <m/>
    <m/>
    <n v="0"/>
    <s v="Deux nouveaux nés du côté des idps"/>
    <s v="Non"/>
    <m/>
    <m/>
    <m/>
    <m/>
    <m/>
    <m/>
    <m/>
    <m/>
    <m/>
    <m/>
    <m/>
    <m/>
    <m/>
    <m/>
    <m/>
    <s v="Non"/>
    <m/>
    <m/>
    <m/>
    <m/>
    <m/>
    <m/>
    <m/>
    <m/>
    <m/>
    <m/>
    <m/>
    <m/>
    <m/>
    <m/>
    <m/>
    <m/>
    <m/>
    <m/>
    <m/>
    <m/>
    <n v="0"/>
    <m/>
    <m/>
    <m/>
    <m/>
    <m/>
    <m/>
    <m/>
    <m/>
    <m/>
    <m/>
    <m/>
    <m/>
    <m/>
    <s v="1"/>
    <s v="0"/>
    <s v="0"/>
    <n v="1"/>
  </r>
  <r>
    <n v="2597410"/>
    <s v="Extrême-Nord"/>
    <s v="CMR004"/>
    <x v="1"/>
    <s v="CMR004002"/>
    <s v="Goulfey"/>
    <s v="CMR004002002"/>
    <s v="GOU-0002"/>
    <s v="ARDEBE"/>
    <m/>
    <x v="1"/>
    <n v="12.4429961"/>
    <n v="14.873230299999999"/>
    <x v="0"/>
    <b v="1"/>
    <b v="0"/>
    <b v="0"/>
    <m/>
    <n v="3"/>
    <s v="Accessible"/>
    <m/>
    <s v="Le village accueille une population"/>
    <s v="Le village est intact (construit)"/>
    <m/>
    <m/>
    <s v="Oui"/>
    <s v="Familles d'accueil"/>
    <s v="Non, pas du tout"/>
    <s v="Non"/>
    <m/>
    <n v="7"/>
    <n v="602"/>
    <s v="Oui"/>
    <s v="Premier déplacement"/>
    <n v="7"/>
    <n v="29"/>
    <n v="12"/>
    <n v="17"/>
    <n v="2"/>
    <n v="0"/>
    <n v="5"/>
    <n v="0"/>
    <m/>
    <m/>
    <n v="0"/>
    <n v="0"/>
    <m/>
    <m/>
    <n v="0"/>
    <s v="2 ménages de 12 individus sont arrives en Novembre lors des innondations faisant un total de 7 ménages de 29 individus"/>
    <s v="Non"/>
    <m/>
    <m/>
    <m/>
    <m/>
    <m/>
    <m/>
    <m/>
    <m/>
    <m/>
    <m/>
    <m/>
    <m/>
    <m/>
    <m/>
    <m/>
    <s v="Non"/>
    <m/>
    <m/>
    <m/>
    <m/>
    <m/>
    <m/>
    <m/>
    <m/>
    <m/>
    <m/>
    <m/>
    <m/>
    <m/>
    <m/>
    <m/>
    <m/>
    <m/>
    <m/>
    <m/>
    <m/>
    <n v="0"/>
    <m/>
    <m/>
    <m/>
    <m/>
    <m/>
    <m/>
    <m/>
    <m/>
    <m/>
    <m/>
    <m/>
    <m/>
    <m/>
    <s v="1"/>
    <s v="0"/>
    <s v="0"/>
    <n v="1"/>
  </r>
  <r>
    <n v="2662518"/>
    <s v="Extrême-Nord"/>
    <s v="CMR004"/>
    <x v="1"/>
    <s v="CMR004002"/>
    <s v="Goulfey"/>
    <s v="CMR004002002"/>
    <s v="GOU-0034"/>
    <s v="BOUTAL-HADOUM"/>
    <m/>
    <x v="1"/>
    <n v="12.4993889"/>
    <n v="14.707239599999999"/>
    <x v="0"/>
    <b v="1"/>
    <b v="0"/>
    <b v="0"/>
    <m/>
    <n v="5"/>
    <s v="Accessible"/>
    <m/>
    <s v="Le village accueille une population"/>
    <s v="Le village est intact (construit)"/>
    <m/>
    <m/>
    <s v="Oui"/>
    <s v="Familles d'accueil"/>
    <s v="Non, pas du tout"/>
    <s v="Non"/>
    <m/>
    <n v="18"/>
    <n v="650"/>
    <s v="Oui"/>
    <s v="Premier déplacement"/>
    <n v="18"/>
    <n v="50"/>
    <n v="20"/>
    <n v="30"/>
    <n v="2"/>
    <n v="10"/>
    <n v="0"/>
    <n v="6"/>
    <s v="Chez une famille d'accueil (contre loyer)"/>
    <m/>
    <n v="0"/>
    <n v="0"/>
    <m/>
    <m/>
    <n v="0"/>
    <s v="Il ya eu changement par rapport au rond précédent "/>
    <s v="Non"/>
    <m/>
    <m/>
    <m/>
    <m/>
    <m/>
    <m/>
    <m/>
    <m/>
    <m/>
    <m/>
    <m/>
    <m/>
    <m/>
    <m/>
    <m/>
    <s v="Non"/>
    <m/>
    <m/>
    <m/>
    <m/>
    <m/>
    <m/>
    <m/>
    <m/>
    <m/>
    <m/>
    <m/>
    <m/>
    <m/>
    <m/>
    <m/>
    <m/>
    <m/>
    <m/>
    <m/>
    <m/>
    <n v="0"/>
    <m/>
    <m/>
    <m/>
    <m/>
    <m/>
    <m/>
    <m/>
    <m/>
    <m/>
    <m/>
    <m/>
    <m/>
    <m/>
    <s v="1"/>
    <s v="0"/>
    <s v="0"/>
    <n v="1"/>
  </r>
  <r>
    <n v="2647887"/>
    <s v="Extrême-Nord"/>
    <s v="CMR004"/>
    <x v="1"/>
    <s v="CMR004002"/>
    <s v="Goulfey"/>
    <s v="CMR004002002"/>
    <s v="GOU-0003"/>
    <s v="DALEIB"/>
    <m/>
    <x v="1"/>
    <n v="12.5942819"/>
    <n v="14.7963834"/>
    <x v="0"/>
    <b v="1"/>
    <b v="0"/>
    <b v="0"/>
    <m/>
    <n v="4"/>
    <s v="Accessible"/>
    <m/>
    <s v="Le village accueille une population"/>
    <s v="Le village est intact (construit)"/>
    <m/>
    <m/>
    <s v="Oui"/>
    <s v="Familles d'accueil"/>
    <s v="Non, pas du tout"/>
    <s v="Non"/>
    <m/>
    <m/>
    <n v="2000"/>
    <s v="Non"/>
    <m/>
    <m/>
    <m/>
    <m/>
    <m/>
    <m/>
    <m/>
    <m/>
    <m/>
    <m/>
    <m/>
    <m/>
    <m/>
    <m/>
    <m/>
    <m/>
    <m/>
    <s v="Non"/>
    <m/>
    <m/>
    <m/>
    <m/>
    <m/>
    <m/>
    <m/>
    <m/>
    <m/>
    <m/>
    <m/>
    <m/>
    <m/>
    <m/>
    <m/>
    <s v="Non"/>
    <m/>
    <m/>
    <m/>
    <m/>
    <m/>
    <m/>
    <m/>
    <m/>
    <m/>
    <m/>
    <m/>
    <m/>
    <m/>
    <m/>
    <m/>
    <m/>
    <m/>
    <m/>
    <m/>
    <m/>
    <n v="0"/>
    <m/>
    <m/>
    <m/>
    <m/>
    <m/>
    <m/>
    <m/>
    <m/>
    <m/>
    <m/>
    <m/>
    <m/>
    <m/>
    <s v="0"/>
    <s v="0"/>
    <s v="0"/>
    <n v="0"/>
  </r>
  <r>
    <n v="2657069"/>
    <s v="Extrême-Nord"/>
    <s v="CMR004"/>
    <x v="1"/>
    <s v="CMR004002"/>
    <s v="Goulfey"/>
    <s v="CMR004002002"/>
    <s v="GOU-0050"/>
    <s v="DJINENE"/>
    <m/>
    <x v="1"/>
    <n v="12.1941814"/>
    <n v="14.8240935"/>
    <x v="0"/>
    <b v="1"/>
    <b v="0"/>
    <b v="0"/>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7068"/>
    <s v="Extrême-Nord"/>
    <s v="CMR004"/>
    <x v="1"/>
    <s v="CMR004002"/>
    <s v="Goulfey"/>
    <s v="CMR004002002"/>
    <s v="GOU-0044"/>
    <s v="FADJE"/>
    <m/>
    <x v="1"/>
    <n v="12.1685129"/>
    <n v="14.8812999"/>
    <x v="0"/>
    <b v="1"/>
    <b v="1"/>
    <b v="0"/>
    <n v="8"/>
    <n v="4"/>
    <s v="Accessible"/>
    <m/>
    <s v="Le village accueille une population"/>
    <s v="Le village est intact (construit)"/>
    <m/>
    <m/>
    <s v="Oui"/>
    <s v="Familles d'accueil"/>
    <s v="Non, pas du tout"/>
    <s v="Non"/>
    <m/>
    <n v="67"/>
    <n v="1335"/>
    <s v="Oui"/>
    <s v="Premier déplacement"/>
    <n v="67"/>
    <n v="232"/>
    <n v="110"/>
    <n v="122"/>
    <n v="67"/>
    <n v="0"/>
    <n v="0"/>
    <n v="0"/>
    <m/>
    <m/>
    <n v="0"/>
    <n v="0"/>
    <m/>
    <m/>
    <n v="0"/>
    <s v="R.a.s"/>
    <s v="Non"/>
    <m/>
    <m/>
    <m/>
    <m/>
    <m/>
    <m/>
    <m/>
    <m/>
    <m/>
    <m/>
    <m/>
    <m/>
    <m/>
    <m/>
    <m/>
    <s v="Oui"/>
    <n v="56"/>
    <n v="204"/>
    <n v="97"/>
    <n v="107"/>
    <s v="5 ans ou plus"/>
    <n v="0"/>
    <n v="0"/>
    <n v="56"/>
    <n v="0"/>
    <n v="0"/>
    <m/>
    <n v="0"/>
    <n v="0"/>
    <m/>
    <n v="0"/>
    <m/>
    <m/>
    <m/>
    <m/>
    <m/>
    <n v="0"/>
    <m/>
    <m/>
    <m/>
    <m/>
    <m/>
    <m/>
    <m/>
    <m/>
    <m/>
    <m/>
    <m/>
    <m/>
    <m/>
    <s v="1"/>
    <s v="0"/>
    <s v="1"/>
    <n v="2"/>
  </r>
  <r>
    <n v="2662511"/>
    <s v="Extrême-Nord"/>
    <s v="CMR004"/>
    <x v="1"/>
    <s v="CMR004002"/>
    <s v="Goulfey"/>
    <s v="CMR004002002"/>
    <s v="GOU-0035"/>
    <s v="FADJE-BAKARI"/>
    <m/>
    <x v="1"/>
    <n v="12.6735238"/>
    <n v="14.605931"/>
    <x v="0"/>
    <b v="1"/>
    <b v="0"/>
    <b v="0"/>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584780"/>
    <s v="Extrême-Nord"/>
    <s v="CMR004"/>
    <x v="1"/>
    <s v="CMR004002"/>
    <s v="Goulfey"/>
    <s v="CMR004002002"/>
    <s v="GOU-0006"/>
    <s v="GOULFEY"/>
    <m/>
    <x v="0"/>
    <n v="12.383850600000001"/>
    <n v="14.904031700000001"/>
    <x v="0"/>
    <b v="1"/>
    <b v="0"/>
    <b v="0"/>
    <m/>
    <n v="3"/>
    <s v="Accessible"/>
    <m/>
    <s v="Le village accueille une population"/>
    <s v="Le village est intact (construit)"/>
    <m/>
    <m/>
    <s v="Oui"/>
    <s v="Familles d'accueil"/>
    <s v="Non, pas du tout"/>
    <s v="Non"/>
    <m/>
    <n v="61"/>
    <n v="12669"/>
    <s v="Oui"/>
    <s v="Premier déplacement"/>
    <n v="61"/>
    <n v="369"/>
    <n v="190"/>
    <n v="179"/>
    <n v="6"/>
    <n v="50"/>
    <n v="0"/>
    <n v="5"/>
    <s v="Logement indépendant (Maison indépendante)"/>
    <m/>
    <n v="0"/>
    <n v="0"/>
    <m/>
    <m/>
    <n v="0"/>
    <s v="Les ODPS de cette localité font face au problème d'abris"/>
    <s v="Non"/>
    <m/>
    <m/>
    <m/>
    <m/>
    <m/>
    <m/>
    <m/>
    <m/>
    <m/>
    <m/>
    <m/>
    <m/>
    <m/>
    <m/>
    <m/>
    <s v="Non"/>
    <m/>
    <m/>
    <m/>
    <m/>
    <m/>
    <m/>
    <m/>
    <m/>
    <m/>
    <m/>
    <m/>
    <m/>
    <m/>
    <m/>
    <m/>
    <m/>
    <m/>
    <m/>
    <m/>
    <m/>
    <n v="0"/>
    <m/>
    <m/>
    <m/>
    <m/>
    <m/>
    <m/>
    <m/>
    <m/>
    <m/>
    <m/>
    <m/>
    <m/>
    <m/>
    <s v="1"/>
    <s v="0"/>
    <s v="0"/>
    <n v="1"/>
  </r>
  <r>
    <n v="2636810"/>
    <s v="Extrême-Nord"/>
    <s v="CMR004"/>
    <x v="1"/>
    <s v="CMR004002"/>
    <s v="Goulfey"/>
    <s v="CMR004002002"/>
    <s v="GOU-0007"/>
    <s v="GOULFEY-GANA"/>
    <m/>
    <x v="1"/>
    <n v="12.529044499999999"/>
    <n v="14.8474609"/>
    <x v="0"/>
    <b v="1"/>
    <b v="0"/>
    <b v="0"/>
    <m/>
    <n v="3"/>
    <s v="Accessible"/>
    <m/>
    <s v="Le village accueille une population"/>
    <s v="Le village est intact (construit)"/>
    <m/>
    <m/>
    <s v="Oui"/>
    <s v="Familles d'accueil"/>
    <s v="Non, pas du tout"/>
    <s v="Non"/>
    <m/>
    <n v="68"/>
    <n v="1502"/>
    <s v="Oui"/>
    <s v="Premier déplacement"/>
    <n v="68"/>
    <n v="270"/>
    <n v="70"/>
    <n v="200"/>
    <n v="0"/>
    <n v="68"/>
    <n v="0"/>
    <n v="0"/>
    <m/>
    <m/>
    <n v="0"/>
    <n v="0"/>
    <m/>
    <m/>
    <n v="0"/>
    <s v="Il y a eu augmentation de deux naissance du côté de pdis"/>
    <s v="Non"/>
    <m/>
    <m/>
    <m/>
    <m/>
    <m/>
    <m/>
    <m/>
    <m/>
    <m/>
    <m/>
    <m/>
    <m/>
    <m/>
    <m/>
    <m/>
    <s v="Non"/>
    <m/>
    <m/>
    <m/>
    <m/>
    <m/>
    <m/>
    <m/>
    <m/>
    <m/>
    <m/>
    <m/>
    <m/>
    <m/>
    <m/>
    <m/>
    <m/>
    <m/>
    <m/>
    <m/>
    <m/>
    <n v="0"/>
    <m/>
    <m/>
    <m/>
    <m/>
    <m/>
    <m/>
    <m/>
    <m/>
    <m/>
    <m/>
    <m/>
    <m/>
    <m/>
    <s v="1"/>
    <s v="0"/>
    <s v="0"/>
    <n v="1"/>
  </r>
  <r>
    <n v="2653315"/>
    <s v="Extrême-Nord"/>
    <s v="CMR004"/>
    <x v="1"/>
    <s v="CMR004002"/>
    <s v="Goulfey"/>
    <s v="CMR004002002"/>
    <s v="GOU-0030"/>
    <s v="GOUMRI"/>
    <m/>
    <x v="1"/>
    <n v="12.6254843"/>
    <n v="14.6052856"/>
    <x v="0"/>
    <b v="1"/>
    <b v="0"/>
    <b v="0"/>
    <m/>
    <n v="3"/>
    <s v="Accessible"/>
    <m/>
    <s v="Le village accueille une population"/>
    <s v="Le village est intact (construit)"/>
    <m/>
    <m/>
    <s v="Oui"/>
    <s v="Familles d'accueil"/>
    <s v="Non, pas du tout"/>
    <s v="Non"/>
    <m/>
    <n v="3"/>
    <n v="1000"/>
    <s v="Oui"/>
    <s v="Premier déplacement"/>
    <n v="3"/>
    <n v="12"/>
    <n v="4"/>
    <n v="8"/>
    <n v="0"/>
    <n v="3"/>
    <n v="0"/>
    <n v="0"/>
    <m/>
    <m/>
    <n v="0"/>
    <n v="0"/>
    <m/>
    <m/>
    <n v="0"/>
    <s v="Pas de commentaire"/>
    <s v="Non"/>
    <m/>
    <m/>
    <m/>
    <m/>
    <m/>
    <m/>
    <m/>
    <m/>
    <m/>
    <m/>
    <m/>
    <m/>
    <m/>
    <m/>
    <m/>
    <s v="Non"/>
    <m/>
    <m/>
    <m/>
    <m/>
    <m/>
    <m/>
    <m/>
    <m/>
    <m/>
    <m/>
    <m/>
    <m/>
    <m/>
    <m/>
    <m/>
    <m/>
    <m/>
    <m/>
    <m/>
    <m/>
    <n v="0"/>
    <m/>
    <m/>
    <m/>
    <m/>
    <m/>
    <m/>
    <m/>
    <m/>
    <m/>
    <m/>
    <m/>
    <m/>
    <m/>
    <s v="1"/>
    <s v="0"/>
    <s v="0"/>
    <n v="1"/>
  </r>
  <r>
    <n v="2628117"/>
    <s v="Extrême-Nord"/>
    <s v="CMR004"/>
    <x v="1"/>
    <s v="CMR004002"/>
    <s v="Goulfey"/>
    <s v="CMR004002002"/>
    <s v="GOU-0045"/>
    <s v="HABOBA"/>
    <m/>
    <x v="1"/>
    <n v="12.409115999999999"/>
    <n v="14.7320517"/>
    <x v="0"/>
    <b v="1"/>
    <b v="0"/>
    <b v="0"/>
    <m/>
    <n v="3"/>
    <s v="Accessible"/>
    <m/>
    <s v="Le village accueille une population"/>
    <s v="Le village est intact (construit)"/>
    <m/>
    <m/>
    <s v="Oui"/>
    <s v="Familles d'accueil"/>
    <s v="Non, pas du tout"/>
    <s v="Non"/>
    <m/>
    <n v="55"/>
    <n v="903"/>
    <s v="Oui"/>
    <s v="Premier déplacement"/>
    <n v="55"/>
    <n v="55"/>
    <n v="20"/>
    <n v="35"/>
    <n v="55"/>
    <n v="0"/>
    <n v="0"/>
    <n v="0"/>
    <m/>
    <m/>
    <n v="0"/>
    <n v="0"/>
    <m/>
    <m/>
    <n v="0"/>
    <s v="Un eu ménage avec sa famille arrivé du Nigeria"/>
    <s v="Non"/>
    <m/>
    <m/>
    <m/>
    <m/>
    <m/>
    <m/>
    <m/>
    <m/>
    <m/>
    <m/>
    <m/>
    <m/>
    <m/>
    <m/>
    <m/>
    <s v="Non"/>
    <m/>
    <m/>
    <m/>
    <m/>
    <m/>
    <m/>
    <m/>
    <m/>
    <m/>
    <m/>
    <m/>
    <m/>
    <m/>
    <m/>
    <m/>
    <m/>
    <m/>
    <m/>
    <m/>
    <m/>
    <n v="0"/>
    <m/>
    <m/>
    <m/>
    <m/>
    <m/>
    <m/>
    <m/>
    <m/>
    <m/>
    <m/>
    <m/>
    <m/>
    <m/>
    <s v="1"/>
    <s v="0"/>
    <s v="0"/>
    <n v="1"/>
  </r>
  <r>
    <n v="2631457"/>
    <s v="Extrême-Nord"/>
    <s v="CMR004"/>
    <x v="1"/>
    <s v="CMR004002"/>
    <s v="Goulfey"/>
    <s v="CMR004002002"/>
    <s v="GOU-0052"/>
    <s v="HILEGUIME"/>
    <m/>
    <x v="1"/>
    <n v="12.190726700000001"/>
    <n v="14.8628839"/>
    <x v="0"/>
    <b v="1"/>
    <b v="0"/>
    <b v="1"/>
    <m/>
    <n v="3"/>
    <s v="Accessible"/>
    <m/>
    <s v="Le village accueille une population"/>
    <s v="Le village est partiellement détruit"/>
    <s v="Intempéries (inondations, tempêtes etc.)"/>
    <m/>
    <s v="Oui"/>
    <s v="Familles d'accueil"/>
    <s v="Non, pas du tout"/>
    <s v="Non"/>
    <m/>
    <n v="10"/>
    <n v="380"/>
    <s v="Oui"/>
    <s v="Premier déplacement"/>
    <n v="10"/>
    <n v="40"/>
    <n v="15"/>
    <n v="25"/>
    <n v="10"/>
    <n v="0"/>
    <n v="0"/>
    <n v="0"/>
    <m/>
    <m/>
    <n v="0"/>
    <n v="0"/>
    <m/>
    <m/>
    <n v="0"/>
    <s v="Les IDP  de cette localité malgré rencontres des problèmes d'accès au service de base et experts une aide humanitaire "/>
    <s v="Non"/>
    <m/>
    <m/>
    <m/>
    <m/>
    <m/>
    <m/>
    <m/>
    <m/>
    <m/>
    <m/>
    <m/>
    <m/>
    <m/>
    <m/>
    <m/>
    <s v="Oui"/>
    <n v="15"/>
    <n v="70"/>
    <n v="30"/>
    <n v="40"/>
    <s v="Entre 1 et 5 ans"/>
    <n v="15"/>
    <n v="0"/>
    <n v="0"/>
    <n v="0"/>
    <n v="0"/>
    <m/>
    <n v="0"/>
    <n v="0"/>
    <m/>
    <n v="0"/>
    <m/>
    <m/>
    <m/>
    <m/>
    <m/>
    <n v="0"/>
    <m/>
    <m/>
    <m/>
    <m/>
    <m/>
    <m/>
    <m/>
    <m/>
    <m/>
    <m/>
    <m/>
    <m/>
    <m/>
    <s v="1"/>
    <s v="0"/>
    <s v="1"/>
    <n v="2"/>
  </r>
  <r>
    <n v="2662488"/>
    <s v="Extrême-Nord"/>
    <s v="CMR004"/>
    <x v="1"/>
    <s v="CMR004002"/>
    <s v="Goulfey"/>
    <s v="CMR004002002"/>
    <s v="GOU-0008"/>
    <s v="HILELE"/>
    <m/>
    <x v="1"/>
    <n v="12.2179851"/>
    <n v="14.846292500000001"/>
    <x v="0"/>
    <b v="1"/>
    <b v="0"/>
    <b v="0"/>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798151"/>
    <s v="Extrême-Nord"/>
    <s v="CMR004"/>
    <x v="1"/>
    <s v="CMR004002"/>
    <s v="Goulfey"/>
    <s v="CMR004002002"/>
    <s v="GOU-0059"/>
    <s v="HILE-NIMR"/>
    <m/>
    <x v="1"/>
    <n v="12.556052599999999"/>
    <n v="14.849320199999999"/>
    <x v="0"/>
    <b v="1"/>
    <b v="0"/>
    <b v="0"/>
    <m/>
    <n v="3"/>
    <s v="Accessible"/>
    <m/>
    <s v="Le village est entièrement déserté"/>
    <m/>
    <m/>
    <m/>
    <m/>
    <m/>
    <m/>
    <m/>
    <m/>
    <m/>
    <m/>
    <m/>
    <m/>
    <m/>
    <m/>
    <m/>
    <m/>
    <m/>
    <m/>
    <m/>
    <m/>
    <m/>
    <m/>
    <m/>
    <m/>
    <m/>
    <m/>
    <m/>
    <m/>
    <m/>
    <m/>
    <m/>
    <m/>
    <m/>
    <m/>
    <m/>
    <m/>
    <m/>
    <m/>
    <m/>
    <m/>
    <m/>
    <m/>
    <m/>
    <m/>
    <m/>
    <m/>
    <m/>
    <m/>
    <m/>
    <m/>
    <m/>
    <m/>
    <m/>
    <m/>
    <m/>
    <m/>
    <m/>
    <m/>
    <m/>
    <m/>
    <m/>
    <m/>
    <m/>
    <m/>
    <m/>
    <m/>
    <m/>
    <m/>
    <m/>
    <m/>
    <m/>
    <m/>
    <m/>
    <m/>
    <m/>
    <m/>
    <m/>
    <m/>
    <m/>
    <s v="0"/>
    <s v="0"/>
    <s v="0"/>
    <n v="0"/>
  </r>
  <r>
    <n v="2668994"/>
    <s v="Extrême-Nord"/>
    <s v="CMR004"/>
    <x v="1"/>
    <s v="CMR004002"/>
    <s v="Goulfey"/>
    <s v="CMR004002002"/>
    <s v="GOU-0026"/>
    <s v="LABADO"/>
    <m/>
    <x v="1"/>
    <n v="12.385329"/>
    <n v="14.8633413"/>
    <x v="0"/>
    <b v="1"/>
    <b v="0"/>
    <b v="0"/>
    <m/>
    <n v="3"/>
    <s v="Accessible"/>
    <m/>
    <s v="Le village accueille une population"/>
    <s v="Le village est intact (construit)"/>
    <m/>
    <m/>
    <s v="Oui"/>
    <s v="Familles d'accueil"/>
    <s v="Non, pas du tout"/>
    <s v="Non"/>
    <m/>
    <n v="4"/>
    <n v="488"/>
    <s v="Oui"/>
    <s v="Premier déplacement"/>
    <n v="4"/>
    <n v="29"/>
    <n v="12"/>
    <n v="17"/>
    <n v="1"/>
    <n v="3"/>
    <n v="0"/>
    <n v="0"/>
    <m/>
    <m/>
    <n v="0"/>
    <n v="0"/>
    <m/>
    <m/>
    <n v="0"/>
    <s v="Pas de changement"/>
    <s v="Non"/>
    <m/>
    <m/>
    <m/>
    <m/>
    <m/>
    <m/>
    <m/>
    <m/>
    <m/>
    <m/>
    <m/>
    <m/>
    <m/>
    <m/>
    <m/>
    <s v="Non"/>
    <m/>
    <m/>
    <m/>
    <m/>
    <m/>
    <m/>
    <m/>
    <m/>
    <m/>
    <m/>
    <m/>
    <m/>
    <m/>
    <m/>
    <m/>
    <m/>
    <m/>
    <m/>
    <m/>
    <m/>
    <n v="0"/>
    <m/>
    <m/>
    <m/>
    <m/>
    <m/>
    <m/>
    <m/>
    <m/>
    <m/>
    <m/>
    <m/>
    <m/>
    <m/>
    <s v="1"/>
    <s v="0"/>
    <s v="0"/>
    <n v="1"/>
  </r>
  <r>
    <n v="2668975"/>
    <s v="Extrême-Nord"/>
    <s v="CMR004"/>
    <x v="1"/>
    <s v="CMR004002"/>
    <s v="Goulfey"/>
    <s v="CMR004002002"/>
    <s v="GOU-0027"/>
    <s v="MADINA"/>
    <m/>
    <x v="1"/>
    <n v="12.3400836"/>
    <n v="14.790038300000001"/>
    <x v="0"/>
    <b v="1"/>
    <b v="0"/>
    <b v="1"/>
    <m/>
    <n v="3"/>
    <s v="Accessible"/>
    <m/>
    <s v="Le village accueille une population"/>
    <s v="Le village est partiellement détruit"/>
    <s v="Intempéries (inondations, tempêtes etc.)"/>
    <m/>
    <s v="Oui"/>
    <s v="Familles d'accueil"/>
    <s v="Non, pas du tout"/>
    <s v="Non"/>
    <m/>
    <n v="3"/>
    <n v="550"/>
    <s v="Oui"/>
    <s v="Premier déplacement"/>
    <n v="3"/>
    <n v="19"/>
    <n v="8"/>
    <n v="11"/>
    <n v="1"/>
    <n v="2"/>
    <n v="0"/>
    <n v="0"/>
    <m/>
    <m/>
    <n v="0"/>
    <n v="0"/>
    <m/>
    <m/>
    <n v="0"/>
    <s v="R AS"/>
    <s v="Non"/>
    <m/>
    <m/>
    <m/>
    <m/>
    <m/>
    <m/>
    <m/>
    <m/>
    <m/>
    <m/>
    <m/>
    <m/>
    <m/>
    <m/>
    <m/>
    <s v="Non"/>
    <m/>
    <m/>
    <m/>
    <m/>
    <m/>
    <m/>
    <m/>
    <m/>
    <m/>
    <m/>
    <m/>
    <m/>
    <m/>
    <m/>
    <m/>
    <m/>
    <m/>
    <m/>
    <m/>
    <m/>
    <n v="10"/>
    <m/>
    <m/>
    <m/>
    <m/>
    <m/>
    <m/>
    <m/>
    <m/>
    <m/>
    <m/>
    <m/>
    <m/>
    <m/>
    <s v="1"/>
    <s v="0"/>
    <s v="0"/>
    <n v="1"/>
  </r>
  <r>
    <n v="2647889"/>
    <s v="Extrême-Nord"/>
    <s v="CMR004"/>
    <x v="1"/>
    <s v="CMR004002"/>
    <s v="Goulfey"/>
    <s v="CMR004002002"/>
    <s v="GOU-0009"/>
    <s v="MAFANG"/>
    <m/>
    <x v="1"/>
    <n v="12.507668600000001"/>
    <n v="14.851868100000001"/>
    <x v="0"/>
    <b v="1"/>
    <b v="1"/>
    <b v="0"/>
    <n v="12"/>
    <n v="3"/>
    <s v="Accessible"/>
    <m/>
    <s v="Le village accueille une population"/>
    <s v="Le village est partiellement détruit"/>
    <s v="Intempéries (inondations, tempêtes etc.)"/>
    <m/>
    <s v="Oui"/>
    <s v="Familles d'accueil"/>
    <s v="Non, pas du tout"/>
    <s v="Non"/>
    <m/>
    <n v="20"/>
    <n v="850"/>
    <s v="Oui"/>
    <s v="Premier déplacement"/>
    <n v="20"/>
    <n v="119"/>
    <n v="50"/>
    <n v="69"/>
    <n v="0"/>
    <n v="20"/>
    <n v="0"/>
    <n v="0"/>
    <m/>
    <m/>
    <n v="0"/>
    <n v="0"/>
    <m/>
    <m/>
    <n v="0"/>
    <s v="Les ménages manque logement et d'espace pour construire "/>
    <s v="Non"/>
    <m/>
    <m/>
    <m/>
    <m/>
    <m/>
    <m/>
    <m/>
    <m/>
    <m/>
    <m/>
    <m/>
    <m/>
    <m/>
    <m/>
    <m/>
    <s v="Non"/>
    <m/>
    <m/>
    <m/>
    <m/>
    <m/>
    <m/>
    <m/>
    <m/>
    <m/>
    <m/>
    <m/>
    <m/>
    <m/>
    <m/>
    <m/>
    <m/>
    <m/>
    <m/>
    <m/>
    <m/>
    <n v="62"/>
    <m/>
    <m/>
    <m/>
    <m/>
    <m/>
    <m/>
    <m/>
    <m/>
    <m/>
    <m/>
    <m/>
    <m/>
    <m/>
    <s v="1"/>
    <s v="0"/>
    <s v="0"/>
    <n v="1"/>
  </r>
  <r>
    <n v="2628116"/>
    <s v="Extrême-Nord"/>
    <s v="CMR004"/>
    <x v="1"/>
    <s v="CMR004002"/>
    <s v="Goulfey"/>
    <s v="CMR004002002"/>
    <s v="GOU-0010"/>
    <s v="MAHADJIRI"/>
    <m/>
    <x v="1"/>
    <n v="12.4100331"/>
    <n v="14.750027100000001"/>
    <x v="0"/>
    <b v="1"/>
    <b v="0"/>
    <b v="0"/>
    <m/>
    <n v="3"/>
    <s v="Accessible"/>
    <m/>
    <s v="Le village accueille une population"/>
    <s v="Le village est intact (construit)"/>
    <m/>
    <m/>
    <s v="Oui"/>
    <s v="Familles d'accueil"/>
    <s v="Non, pas du tout"/>
    <s v="Non"/>
    <m/>
    <n v="60"/>
    <n v="1110"/>
    <s v="Oui"/>
    <s v="Deuxième déplacement"/>
    <n v="60"/>
    <n v="60"/>
    <n v="25"/>
    <n v="35"/>
    <n v="30"/>
    <n v="30"/>
    <n v="0"/>
    <n v="0"/>
    <m/>
    <m/>
    <n v="0"/>
    <n v="0"/>
    <m/>
    <m/>
    <n v="0"/>
    <s v="Augmentation d'une naissance"/>
    <s v="Non"/>
    <m/>
    <m/>
    <m/>
    <m/>
    <m/>
    <m/>
    <m/>
    <m/>
    <m/>
    <m/>
    <m/>
    <m/>
    <m/>
    <m/>
    <m/>
    <s v="Non"/>
    <m/>
    <m/>
    <m/>
    <m/>
    <m/>
    <m/>
    <m/>
    <m/>
    <m/>
    <m/>
    <m/>
    <m/>
    <m/>
    <m/>
    <m/>
    <m/>
    <m/>
    <m/>
    <m/>
    <m/>
    <n v="0"/>
    <m/>
    <m/>
    <m/>
    <m/>
    <m/>
    <m/>
    <m/>
    <m/>
    <m/>
    <m/>
    <m/>
    <m/>
    <m/>
    <s v="1"/>
    <s v="0"/>
    <s v="0"/>
    <n v="1"/>
  </r>
  <r>
    <n v="2673893"/>
    <s v="Extrême-Nord"/>
    <s v="CMR004"/>
    <x v="1"/>
    <s v="CMR004002"/>
    <s v="Goulfey"/>
    <s v="CMR004002002"/>
    <s v="GOU-0028"/>
    <s v="MALA"/>
    <m/>
    <x v="1"/>
    <n v="12.5348357"/>
    <n v="14.778556399999999"/>
    <x v="0"/>
    <b v="1"/>
    <b v="0"/>
    <b v="0"/>
    <m/>
    <n v="3"/>
    <s v="Accessible"/>
    <m/>
    <s v="Le village accueille une population"/>
    <s v="Le village est intact (construit)"/>
    <m/>
    <m/>
    <s v="Oui"/>
    <s v="Familles d'accueil"/>
    <s v="Non, pas du tout"/>
    <s v="Non"/>
    <m/>
    <n v="30"/>
    <n v="1088"/>
    <s v="Oui"/>
    <s v="Premier déplacement"/>
    <n v="30"/>
    <n v="30"/>
    <n v="12"/>
    <n v="18"/>
    <n v="0"/>
    <n v="30"/>
    <n v="0"/>
    <n v="0"/>
    <m/>
    <m/>
    <n v="0"/>
    <n v="0"/>
    <m/>
    <m/>
    <n v="0"/>
    <s v="Deux naissance du côté de idps"/>
    <s v="Non"/>
    <m/>
    <m/>
    <m/>
    <m/>
    <m/>
    <m/>
    <m/>
    <m/>
    <m/>
    <m/>
    <m/>
    <m/>
    <m/>
    <m/>
    <m/>
    <s v="Non"/>
    <m/>
    <m/>
    <m/>
    <m/>
    <m/>
    <m/>
    <m/>
    <m/>
    <m/>
    <m/>
    <m/>
    <m/>
    <m/>
    <m/>
    <m/>
    <m/>
    <m/>
    <m/>
    <m/>
    <m/>
    <n v="0"/>
    <m/>
    <m/>
    <m/>
    <m/>
    <m/>
    <m/>
    <m/>
    <m/>
    <m/>
    <m/>
    <m/>
    <m/>
    <m/>
    <s v="1"/>
    <s v="0"/>
    <s v="0"/>
    <n v="1"/>
  </r>
  <r>
    <n v="2647896"/>
    <s v="Extrême-Nord"/>
    <s v="CMR004"/>
    <x v="1"/>
    <s v="CMR004002"/>
    <s v="Goulfey"/>
    <s v="CMR004002002"/>
    <s v="GOU-0011"/>
    <s v="MALTAM GOULFEY"/>
    <m/>
    <x v="1"/>
    <n v="12.1822155"/>
    <n v="14.8212425"/>
    <x v="0"/>
    <b v="1"/>
    <b v="0"/>
    <b v="0"/>
    <m/>
    <n v="5"/>
    <s v="Accessible"/>
    <m/>
    <s v="Le village accueille une population"/>
    <s v="Le village est intact (construit)"/>
    <m/>
    <m/>
    <s v="Oui"/>
    <s v="Familles d'accueil"/>
    <s v="Non, pas du tout"/>
    <s v="Non"/>
    <m/>
    <n v="2"/>
    <n v="245"/>
    <s v="Oui"/>
    <s v="Premier déplacement"/>
    <n v="2"/>
    <n v="4"/>
    <n v="4"/>
    <n v="0"/>
    <n v="0"/>
    <n v="2"/>
    <n v="0"/>
    <n v="0"/>
    <m/>
    <m/>
    <n v="0"/>
    <n v="0"/>
    <m/>
    <m/>
    <n v="0"/>
    <s v="0"/>
    <s v="Non"/>
    <m/>
    <m/>
    <m/>
    <m/>
    <m/>
    <m/>
    <m/>
    <m/>
    <m/>
    <m/>
    <m/>
    <m/>
    <m/>
    <m/>
    <m/>
    <s v="Non"/>
    <m/>
    <m/>
    <m/>
    <m/>
    <m/>
    <m/>
    <m/>
    <m/>
    <m/>
    <m/>
    <m/>
    <m/>
    <m/>
    <m/>
    <m/>
    <m/>
    <m/>
    <m/>
    <m/>
    <m/>
    <n v="0"/>
    <m/>
    <m/>
    <m/>
    <m/>
    <m/>
    <m/>
    <m/>
    <m/>
    <m/>
    <m/>
    <m/>
    <m/>
    <m/>
    <s v="1"/>
    <s v="0"/>
    <s v="0"/>
    <n v="1"/>
  </r>
  <r>
    <n v="2727720"/>
    <s v="Extrême-Nord"/>
    <s v="CMR004"/>
    <x v="1"/>
    <s v="CMR004002"/>
    <s v="Goulfey"/>
    <s v="CMR004002002"/>
    <s v="GOU-0012"/>
    <s v="MARA 1"/>
    <m/>
    <x v="1"/>
    <n v="12.221251799999999"/>
    <n v="14.8987338"/>
    <x v="0"/>
    <b v="1"/>
    <b v="0"/>
    <b v="0"/>
    <m/>
    <n v="3"/>
    <s v="Accessible"/>
    <m/>
    <s v="Le village accueille une population"/>
    <s v="Le village est intact (construit)"/>
    <m/>
    <m/>
    <s v="Oui"/>
    <s v="Familles d'accueil"/>
    <s v="Non, pas du tout"/>
    <s v="Non"/>
    <m/>
    <n v="12"/>
    <n v="1492"/>
    <s v="Oui"/>
    <s v="Premier déplacement"/>
    <n v="12"/>
    <n v="72"/>
    <n v="31"/>
    <n v="41"/>
    <n v="0"/>
    <n v="12"/>
    <n v="0"/>
    <n v="0"/>
    <m/>
    <m/>
    <n v="0"/>
    <n v="0"/>
    <m/>
    <m/>
    <n v="0"/>
    <s v="2 naissances survenues dans les familles IDPS au courant de ce round ,le reste sans changement"/>
    <s v="Non"/>
    <m/>
    <m/>
    <m/>
    <m/>
    <m/>
    <m/>
    <m/>
    <m/>
    <m/>
    <m/>
    <m/>
    <m/>
    <m/>
    <m/>
    <m/>
    <s v="Non"/>
    <m/>
    <m/>
    <m/>
    <m/>
    <m/>
    <m/>
    <m/>
    <m/>
    <m/>
    <m/>
    <m/>
    <m/>
    <m/>
    <m/>
    <m/>
    <m/>
    <m/>
    <m/>
    <m/>
    <m/>
    <n v="0"/>
    <m/>
    <m/>
    <m/>
    <m/>
    <m/>
    <m/>
    <m/>
    <m/>
    <m/>
    <m/>
    <m/>
    <m/>
    <m/>
    <s v="1"/>
    <s v="0"/>
    <s v="0"/>
    <n v="1"/>
  </r>
  <r>
    <n v="2727721"/>
    <s v="Extrême-Nord"/>
    <s v="CMR004"/>
    <x v="1"/>
    <s v="CMR004002"/>
    <s v="Goulfey"/>
    <s v="CMR004002002"/>
    <s v="GOU-0013"/>
    <s v="MARA 2"/>
    <m/>
    <x v="1"/>
    <n v="12.220262999999999"/>
    <n v="14.897303600000001"/>
    <x v="0"/>
    <b v="1"/>
    <b v="0"/>
    <b v="0"/>
    <m/>
    <n v="3"/>
    <s v="Accessible"/>
    <m/>
    <s v="Le village accueille une population"/>
    <s v="Le village est intact (construit)"/>
    <m/>
    <m/>
    <s v="Oui"/>
    <s v="Familles d'accueil"/>
    <s v="Non, pas du tout"/>
    <s v="Non"/>
    <m/>
    <n v="12"/>
    <n v="1625"/>
    <s v="Oui"/>
    <s v="Premier déplacement"/>
    <n v="12"/>
    <n v="81"/>
    <n v="31"/>
    <n v="50"/>
    <n v="0"/>
    <n v="12"/>
    <n v="0"/>
    <n v="0"/>
    <m/>
    <m/>
    <n v="0"/>
    <n v="0"/>
    <m/>
    <m/>
    <n v="0"/>
    <s v="1 naissance survenue dans les familles IDPS au courant de ce round, les leaders traditionnelles de MARA vu les nombres des populations totale avec doute ont repris les décomptes des 3 MARA ainsi voici le résultat trouvé  1625 individus. "/>
    <s v="Non"/>
    <m/>
    <m/>
    <m/>
    <m/>
    <m/>
    <m/>
    <m/>
    <m/>
    <m/>
    <m/>
    <m/>
    <m/>
    <m/>
    <m/>
    <m/>
    <s v="Non"/>
    <m/>
    <m/>
    <m/>
    <m/>
    <m/>
    <m/>
    <m/>
    <m/>
    <m/>
    <m/>
    <m/>
    <m/>
    <m/>
    <m/>
    <m/>
    <m/>
    <m/>
    <m/>
    <m/>
    <m/>
    <n v="0"/>
    <m/>
    <m/>
    <m/>
    <m/>
    <m/>
    <m/>
    <m/>
    <m/>
    <m/>
    <m/>
    <m/>
    <m/>
    <m/>
    <s v="1"/>
    <s v="0"/>
    <s v="0"/>
    <n v="1"/>
  </r>
  <r>
    <n v="2659461"/>
    <s v="Extrême-Nord"/>
    <s v="CMR004"/>
    <x v="1"/>
    <s v="CMR004002"/>
    <s v="Goulfey"/>
    <s v="CMR004002002"/>
    <s v="GOU-0029"/>
    <s v="MARAFAINE"/>
    <m/>
    <x v="1"/>
    <n v="12.351505100000001"/>
    <n v="14.7093471"/>
    <x v="0"/>
    <b v="1"/>
    <b v="0"/>
    <b v="0"/>
    <m/>
    <n v="3"/>
    <s v="Accessible"/>
    <m/>
    <s v="Le village accueille une population"/>
    <s v="Le village est intact (construit)"/>
    <m/>
    <m/>
    <s v="Oui"/>
    <s v="Familles d'accueil"/>
    <s v="Non, pas du tout"/>
    <s v="Non"/>
    <m/>
    <n v="3"/>
    <n v="470"/>
    <s v="Oui"/>
    <s v="Premier déplacement"/>
    <n v="3"/>
    <n v="15"/>
    <n v="7"/>
    <n v="8"/>
    <n v="0"/>
    <n v="3"/>
    <n v="0"/>
    <n v="0"/>
    <m/>
    <m/>
    <n v="0"/>
    <n v="0"/>
    <m/>
    <m/>
    <n v="0"/>
    <s v="Pas de changement"/>
    <s v="Non"/>
    <m/>
    <m/>
    <m/>
    <m/>
    <m/>
    <m/>
    <m/>
    <m/>
    <m/>
    <m/>
    <m/>
    <m/>
    <m/>
    <m/>
    <m/>
    <s v="Non"/>
    <m/>
    <m/>
    <m/>
    <m/>
    <m/>
    <m/>
    <m/>
    <m/>
    <m/>
    <m/>
    <m/>
    <m/>
    <m/>
    <m/>
    <m/>
    <m/>
    <m/>
    <m/>
    <m/>
    <m/>
    <n v="0"/>
    <m/>
    <m/>
    <m/>
    <m/>
    <m/>
    <m/>
    <m/>
    <m/>
    <m/>
    <m/>
    <m/>
    <m/>
    <m/>
    <s v="1"/>
    <s v="0"/>
    <s v="0"/>
    <n v="1"/>
  </r>
  <r>
    <n v="2628120"/>
    <s v="Extrême-Nord"/>
    <s v="CMR004"/>
    <x v="1"/>
    <s v="CMR004002"/>
    <s v="Goulfey"/>
    <s v="CMR004002002"/>
    <s v="GOU-0014"/>
    <s v="MAYA"/>
    <m/>
    <x v="1"/>
    <n v="12.425643000000001"/>
    <n v="14.6667261"/>
    <x v="0"/>
    <b v="1"/>
    <b v="0"/>
    <b v="0"/>
    <m/>
    <n v="3"/>
    <s v="Accessible"/>
    <m/>
    <s v="Le village accueille une population"/>
    <s v="Le village est intact (construit)"/>
    <m/>
    <m/>
    <s v="Oui"/>
    <s v="Familles d'accueil"/>
    <s v="Non, pas du tout"/>
    <s v="Non"/>
    <m/>
    <n v="30"/>
    <n v="900"/>
    <s v="Oui"/>
    <s v="Premier déplacement"/>
    <n v="30"/>
    <n v="30"/>
    <n v="12"/>
    <n v="18"/>
    <n v="30"/>
    <n v="0"/>
    <n v="0"/>
    <n v="0"/>
    <m/>
    <m/>
    <n v="0"/>
    <n v="0"/>
    <m/>
    <m/>
    <n v="0"/>
    <s v="Pas de commentaire"/>
    <s v="Non"/>
    <m/>
    <m/>
    <m/>
    <m/>
    <m/>
    <m/>
    <m/>
    <m/>
    <m/>
    <m/>
    <m/>
    <m/>
    <m/>
    <m/>
    <m/>
    <s v="Non"/>
    <m/>
    <m/>
    <m/>
    <m/>
    <m/>
    <m/>
    <m/>
    <m/>
    <m/>
    <m/>
    <m/>
    <m/>
    <m/>
    <m/>
    <m/>
    <m/>
    <m/>
    <m/>
    <m/>
    <m/>
    <n v="0"/>
    <m/>
    <m/>
    <m/>
    <m/>
    <m/>
    <m/>
    <m/>
    <m/>
    <m/>
    <m/>
    <m/>
    <m/>
    <m/>
    <s v="1"/>
    <s v="0"/>
    <s v="0"/>
    <n v="1"/>
  </r>
  <r>
    <n v="2636809"/>
    <s v="Extrême-Nord"/>
    <s v="CMR004"/>
    <x v="1"/>
    <s v="CMR004002"/>
    <s v="Goulfey"/>
    <s v="CMR004002002"/>
    <s v="GOU-0046"/>
    <s v="MAYA KOTOKO"/>
    <m/>
    <x v="1"/>
    <n v="12.4136939"/>
    <n v="14.6763756"/>
    <x v="0"/>
    <b v="1"/>
    <b v="0"/>
    <b v="0"/>
    <m/>
    <n v="3"/>
    <s v="Accessible"/>
    <m/>
    <s v="Le village accueille une population"/>
    <s v="Le village est intact (construit)"/>
    <m/>
    <m/>
    <s v="Oui"/>
    <s v="Familles d'accueil"/>
    <s v="Non, pas du tout"/>
    <s v="Non"/>
    <m/>
    <n v="70"/>
    <n v="400"/>
    <s v="Oui"/>
    <s v="Premier déplacement"/>
    <n v="70"/>
    <n v="70"/>
    <n v="30"/>
    <n v="40"/>
    <n v="70"/>
    <n v="0"/>
    <n v="0"/>
    <n v="0"/>
    <m/>
    <m/>
    <n v="0"/>
    <n v="0"/>
    <m/>
    <m/>
    <n v="0"/>
    <s v="Pas de commentaire"/>
    <s v="Non"/>
    <m/>
    <m/>
    <m/>
    <m/>
    <m/>
    <m/>
    <m/>
    <m/>
    <m/>
    <m/>
    <m/>
    <m/>
    <m/>
    <m/>
    <m/>
    <s v="Non"/>
    <m/>
    <m/>
    <m/>
    <m/>
    <m/>
    <m/>
    <m/>
    <m/>
    <m/>
    <m/>
    <m/>
    <m/>
    <m/>
    <m/>
    <m/>
    <m/>
    <m/>
    <m/>
    <m/>
    <m/>
    <n v="0"/>
    <m/>
    <m/>
    <m/>
    <m/>
    <m/>
    <m/>
    <m/>
    <m/>
    <m/>
    <m/>
    <m/>
    <m/>
    <m/>
    <s v="1"/>
    <s v="0"/>
    <s v="0"/>
    <n v="1"/>
  </r>
  <r>
    <n v="2668977"/>
    <s v="Extrême-Nord"/>
    <s v="CMR004"/>
    <x v="1"/>
    <s v="CMR004002"/>
    <s v="Goulfey"/>
    <s v="CMR004002002"/>
    <s v="GOU-0025"/>
    <s v="MICHKA-MALIE"/>
    <m/>
    <x v="1"/>
    <n v="12.3169176"/>
    <n v="14.7437983"/>
    <x v="0"/>
    <b v="1"/>
    <b v="0"/>
    <b v="1"/>
    <m/>
    <n v="3"/>
    <s v="Accessible"/>
    <m/>
    <s v="Le village accueille une population"/>
    <s v="Le village est partiellement détruit"/>
    <s v="Intempéries (inondations, tempêtes etc.)"/>
    <m/>
    <s v="Oui"/>
    <s v="Familles d'accueil"/>
    <s v="Non, pas du tout"/>
    <s v="Non"/>
    <m/>
    <m/>
    <n v="170"/>
    <s v="Non"/>
    <m/>
    <m/>
    <m/>
    <m/>
    <m/>
    <m/>
    <m/>
    <m/>
    <m/>
    <m/>
    <m/>
    <m/>
    <m/>
    <m/>
    <m/>
    <m/>
    <m/>
    <s v="Oui"/>
    <n v="4"/>
    <n v="23"/>
    <n v="8"/>
    <n v="15"/>
    <n v="4"/>
    <n v="0"/>
    <n v="0"/>
    <m/>
    <n v="0"/>
    <n v="0"/>
    <m/>
    <m/>
    <n v="0"/>
    <n v="4"/>
    <s v="R AS"/>
    <s v="Non"/>
    <m/>
    <m/>
    <m/>
    <m/>
    <m/>
    <m/>
    <m/>
    <m/>
    <m/>
    <m/>
    <m/>
    <m/>
    <m/>
    <m/>
    <m/>
    <m/>
    <m/>
    <m/>
    <m/>
    <m/>
    <n v="5"/>
    <m/>
    <m/>
    <m/>
    <m/>
    <m/>
    <m/>
    <m/>
    <m/>
    <m/>
    <m/>
    <m/>
    <m/>
    <m/>
    <s v="0"/>
    <s v="1"/>
    <s v="0"/>
    <n v="1"/>
  </r>
  <r>
    <n v="2668974"/>
    <s v="Extrême-Nord"/>
    <s v="CMR004"/>
    <x v="1"/>
    <s v="CMR004002"/>
    <s v="Goulfey"/>
    <s v="CMR004002002"/>
    <s v="GOU-0015"/>
    <s v="MICH-MICH"/>
    <m/>
    <x v="1"/>
    <n v="12.293808500000001"/>
    <n v="14.8146035"/>
    <x v="0"/>
    <b v="1"/>
    <b v="0"/>
    <b v="1"/>
    <m/>
    <n v="3"/>
    <s v="Accessible"/>
    <m/>
    <s v="Le village accueille une population"/>
    <s v="Le village est intact (construit)"/>
    <m/>
    <m/>
    <s v="Oui"/>
    <s v="Familles d'accueil"/>
    <s v="Non, pas du tout"/>
    <s v="Non"/>
    <m/>
    <n v="6"/>
    <n v="400"/>
    <s v="Oui"/>
    <s v="Deuxième déplacement"/>
    <n v="6"/>
    <n v="30"/>
    <n v="10"/>
    <n v="20"/>
    <n v="6"/>
    <n v="0"/>
    <n v="0"/>
    <n v="0"/>
    <m/>
    <m/>
    <n v="0"/>
    <n v="0"/>
    <m/>
    <m/>
    <n v="0"/>
    <s v="Les PDIs de cette localité ont trouvé une zone qui paraît être une zone où ils se sentent en sécurité mais les intempéries menacent leur tranquillité car ils sont dans le besoin de base"/>
    <s v="Oui"/>
    <n v="1"/>
    <n v="4"/>
    <n v="3"/>
    <n v="1"/>
    <n v="1"/>
    <n v="0"/>
    <n v="0"/>
    <m/>
    <n v="0"/>
    <n v="0"/>
    <m/>
    <m/>
    <n v="0"/>
    <n v="0"/>
    <s v="Les réfugiés hors camp de cette localité vivent dans des conditions climatiques désastreuse qui les empêchent de s'épanouir car les champs leurs champs ont été envahi par l'eau "/>
    <s v="Non"/>
    <m/>
    <m/>
    <m/>
    <m/>
    <m/>
    <m/>
    <m/>
    <m/>
    <m/>
    <m/>
    <m/>
    <m/>
    <m/>
    <m/>
    <m/>
    <m/>
    <m/>
    <m/>
    <m/>
    <m/>
    <n v="1"/>
    <m/>
    <m/>
    <m/>
    <m/>
    <m/>
    <m/>
    <m/>
    <m/>
    <m/>
    <m/>
    <m/>
    <m/>
    <m/>
    <s v="1"/>
    <s v="1"/>
    <s v="0"/>
    <n v="2"/>
  </r>
  <r>
    <n v="2662505"/>
    <s v="Extrême-Nord"/>
    <s v="CMR004"/>
    <x v="1"/>
    <s v="CMR004002"/>
    <s v="Goulfey"/>
    <s v="CMR004002002"/>
    <s v="GOU-0016"/>
    <s v="MOLODIA"/>
    <m/>
    <x v="1"/>
    <n v="12.5992204"/>
    <n v="14.833361200000001"/>
    <x v="0"/>
    <b v="1"/>
    <b v="0"/>
    <b v="0"/>
    <m/>
    <n v="5"/>
    <s v="Accessible"/>
    <m/>
    <s v="Le village accueille une population"/>
    <s v="Le village est intact (construit)"/>
    <m/>
    <m/>
    <s v="Oui"/>
    <s v="Familles d'accueil"/>
    <s v="Non, pas du tout"/>
    <s v="Non"/>
    <m/>
    <n v="16"/>
    <n v="2000"/>
    <s v="Oui"/>
    <s v="Premier déplacement"/>
    <n v="16"/>
    <n v="106"/>
    <n v="38"/>
    <n v="68"/>
    <n v="1"/>
    <n v="15"/>
    <n v="0"/>
    <n v="0"/>
    <m/>
    <m/>
    <n v="0"/>
    <n v="0"/>
    <m/>
    <m/>
    <n v="0"/>
    <s v="Pas de changement dans la localité "/>
    <s v="Non"/>
    <m/>
    <m/>
    <m/>
    <m/>
    <m/>
    <m/>
    <m/>
    <m/>
    <m/>
    <m/>
    <m/>
    <m/>
    <m/>
    <m/>
    <m/>
    <s v="Non"/>
    <m/>
    <m/>
    <m/>
    <m/>
    <m/>
    <m/>
    <m/>
    <m/>
    <m/>
    <m/>
    <m/>
    <m/>
    <m/>
    <m/>
    <m/>
    <m/>
    <m/>
    <m/>
    <m/>
    <m/>
    <n v="0"/>
    <m/>
    <m/>
    <m/>
    <m/>
    <m/>
    <m/>
    <m/>
    <m/>
    <m/>
    <m/>
    <m/>
    <m/>
    <m/>
    <s v="1"/>
    <s v="0"/>
    <s v="0"/>
    <n v="1"/>
  </r>
  <r>
    <n v="2586804"/>
    <s v="Extrême-Nord"/>
    <s v="CMR004"/>
    <x v="1"/>
    <s v="CMR004002"/>
    <s v="Goulfey"/>
    <s v="CMR004002002"/>
    <s v="GOU-0017"/>
    <s v="MOUGALAM"/>
    <m/>
    <x v="1"/>
    <n v="12.3172599"/>
    <n v="14.895360999999999"/>
    <x v="0"/>
    <b v="1"/>
    <b v="0"/>
    <b v="0"/>
    <m/>
    <n v="3"/>
    <s v="Accessible"/>
    <m/>
    <s v="Le village accueille une population"/>
    <s v="Le village est intact (construit)"/>
    <m/>
    <m/>
    <s v="Oui"/>
    <s v="Familles d'accueil"/>
    <s v="Non, pas du tout"/>
    <s v="Non"/>
    <m/>
    <n v="21"/>
    <n v="1500"/>
    <s v="Oui"/>
    <s v="Premier déplacement"/>
    <n v="21"/>
    <n v="112"/>
    <n v="52"/>
    <n v="60"/>
    <n v="3"/>
    <n v="18"/>
    <n v="0"/>
    <n v="0"/>
    <m/>
    <m/>
    <n v="0"/>
    <n v="0"/>
    <m/>
    <m/>
    <n v="0"/>
    <s v="Les  IDPS de cette localité font face à des problème d'abris car malgré la coalition sociale très bonne avec les communautés de Mougalam."/>
    <s v="Non"/>
    <m/>
    <m/>
    <m/>
    <m/>
    <m/>
    <m/>
    <m/>
    <m/>
    <m/>
    <m/>
    <m/>
    <m/>
    <m/>
    <m/>
    <m/>
    <s v="Non"/>
    <m/>
    <m/>
    <m/>
    <m/>
    <m/>
    <m/>
    <m/>
    <m/>
    <m/>
    <m/>
    <m/>
    <m/>
    <m/>
    <m/>
    <m/>
    <m/>
    <m/>
    <m/>
    <m/>
    <m/>
    <n v="0"/>
    <m/>
    <m/>
    <m/>
    <m/>
    <m/>
    <m/>
    <m/>
    <m/>
    <m/>
    <m/>
    <m/>
    <m/>
    <m/>
    <s v="1"/>
    <s v="0"/>
    <s v="0"/>
    <n v="1"/>
  </r>
  <r>
    <n v="2647891"/>
    <s v="Extrême-Nord"/>
    <s v="CMR004"/>
    <x v="1"/>
    <s v="CMR004002"/>
    <s v="Goulfey"/>
    <s v="CMR004002002"/>
    <s v="GOU-0018"/>
    <s v="MOULOUANG"/>
    <m/>
    <x v="1"/>
    <n v="12.4525492"/>
    <n v="14.860223100000001"/>
    <x v="0"/>
    <b v="1"/>
    <b v="1"/>
    <b v="0"/>
    <n v="8"/>
    <n v="3"/>
    <s v="Accessible"/>
    <m/>
    <s v="Le village accueille une population"/>
    <s v="Le village est intact (construit)"/>
    <m/>
    <m/>
    <s v="Oui"/>
    <s v="Familles d'accueil"/>
    <s v="Non, pas du tout"/>
    <s v="Non"/>
    <m/>
    <m/>
    <n v="4000"/>
    <s v="Non"/>
    <m/>
    <m/>
    <m/>
    <m/>
    <m/>
    <m/>
    <m/>
    <m/>
    <m/>
    <m/>
    <m/>
    <m/>
    <m/>
    <m/>
    <m/>
    <m/>
    <m/>
    <s v="Non"/>
    <m/>
    <m/>
    <m/>
    <m/>
    <m/>
    <m/>
    <m/>
    <m/>
    <m/>
    <m/>
    <m/>
    <m/>
    <m/>
    <m/>
    <m/>
    <s v="Non"/>
    <m/>
    <m/>
    <m/>
    <m/>
    <m/>
    <m/>
    <m/>
    <m/>
    <m/>
    <m/>
    <m/>
    <m/>
    <m/>
    <m/>
    <m/>
    <m/>
    <m/>
    <m/>
    <m/>
    <m/>
    <n v="0"/>
    <m/>
    <m/>
    <m/>
    <m/>
    <m/>
    <m/>
    <m/>
    <m/>
    <m/>
    <m/>
    <m/>
    <m/>
    <m/>
    <s v="0"/>
    <s v="0"/>
    <s v="0"/>
    <n v="0"/>
  </r>
  <r>
    <n v="2822584"/>
    <s v="Extrême-Nord"/>
    <s v="CMR004"/>
    <x v="1"/>
    <s v="CMR004002"/>
    <s v="Goulfey"/>
    <s v="CMR004002002"/>
    <s v="GOU-0057"/>
    <s v="MOUR"/>
    <m/>
    <x v="1"/>
    <n v="12.377976500000001"/>
    <n v="14.67890869999999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3313"/>
    <s v="Extrême-Nord"/>
    <s v="CMR004"/>
    <x v="1"/>
    <s v="CMR004002"/>
    <s v="Goulfey"/>
    <s v="CMR004002002"/>
    <s v="GOU-0043"/>
    <s v="MOURA"/>
    <m/>
    <x v="1"/>
    <n v="12.5628159"/>
    <n v="14.8390602"/>
    <x v="0"/>
    <b v="1"/>
    <b v="0"/>
    <b v="0"/>
    <m/>
    <n v="3"/>
    <s v="Accessible"/>
    <m/>
    <s v="Le village accueille une population"/>
    <s v="Le village est intact (construit)"/>
    <m/>
    <m/>
    <s v="Oui"/>
    <s v="Familles d'accueil"/>
    <s v="Non, pas du tout"/>
    <s v="Non"/>
    <m/>
    <n v="8"/>
    <n v="853"/>
    <s v="Oui"/>
    <s v="Premier déplacement"/>
    <n v="8"/>
    <n v="16"/>
    <n v="6"/>
    <n v="10"/>
    <n v="0"/>
    <n v="8"/>
    <n v="0"/>
    <n v="0"/>
    <m/>
    <m/>
    <n v="0"/>
    <n v="0"/>
    <m/>
    <m/>
    <n v="0"/>
    <s v="Il y a eu trois naissance du côté idps"/>
    <s v="Non"/>
    <m/>
    <m/>
    <m/>
    <m/>
    <m/>
    <m/>
    <m/>
    <m/>
    <m/>
    <m/>
    <m/>
    <m/>
    <m/>
    <m/>
    <m/>
    <s v="Non"/>
    <m/>
    <m/>
    <m/>
    <m/>
    <m/>
    <m/>
    <m/>
    <m/>
    <m/>
    <m/>
    <m/>
    <m/>
    <m/>
    <m/>
    <m/>
    <m/>
    <m/>
    <m/>
    <m/>
    <m/>
    <n v="0"/>
    <m/>
    <m/>
    <m/>
    <m/>
    <m/>
    <m/>
    <m/>
    <m/>
    <m/>
    <m/>
    <m/>
    <m/>
    <m/>
    <s v="1"/>
    <s v="0"/>
    <s v="0"/>
    <n v="1"/>
  </r>
  <r>
    <n v="2662516"/>
    <s v="Extrême-Nord"/>
    <s v="CMR004"/>
    <x v="1"/>
    <s v="CMR004002"/>
    <s v="Goulfey"/>
    <s v="CMR004002002"/>
    <s v="GOU-0039"/>
    <s v="NADJI"/>
    <m/>
    <x v="1"/>
    <n v="12.6245292"/>
    <n v="14.611627500000001"/>
    <x v="0"/>
    <b v="1"/>
    <b v="0"/>
    <b v="0"/>
    <m/>
    <n v="4"/>
    <s v="Accessible"/>
    <m/>
    <s v="Le village accueille une population"/>
    <s v="Le village est intact (construit)"/>
    <m/>
    <m/>
    <s v="Oui"/>
    <s v="Familles d'accueil"/>
    <s v="Non, pas du tout"/>
    <s v="Non"/>
    <m/>
    <n v="22"/>
    <n v="2560"/>
    <s v="Oui"/>
    <s v="Premier déplacement"/>
    <n v="22"/>
    <n v="185"/>
    <n v="75"/>
    <n v="110"/>
    <n v="7"/>
    <n v="15"/>
    <n v="0"/>
    <n v="0"/>
    <m/>
    <m/>
    <n v="0"/>
    <n v="0"/>
    <m/>
    <m/>
    <n v="0"/>
    <s v="Pas de changement dans la localité"/>
    <s v="Non"/>
    <m/>
    <m/>
    <m/>
    <m/>
    <m/>
    <m/>
    <m/>
    <m/>
    <m/>
    <m/>
    <m/>
    <m/>
    <m/>
    <m/>
    <m/>
    <s v="Non"/>
    <m/>
    <m/>
    <m/>
    <m/>
    <m/>
    <m/>
    <m/>
    <m/>
    <m/>
    <m/>
    <m/>
    <m/>
    <m/>
    <m/>
    <m/>
    <m/>
    <m/>
    <m/>
    <m/>
    <m/>
    <n v="2"/>
    <m/>
    <m/>
    <m/>
    <m/>
    <m/>
    <m/>
    <m/>
    <m/>
    <m/>
    <m/>
    <m/>
    <m/>
    <m/>
    <s v="1"/>
    <s v="0"/>
    <s v="0"/>
    <n v="1"/>
  </r>
  <r>
    <n v="2653314"/>
    <s v="Extrême-Nord"/>
    <s v="CMR004"/>
    <x v="1"/>
    <s v="CMR004002"/>
    <s v="Goulfey"/>
    <s v="CMR004002002"/>
    <s v="GOU-0040"/>
    <s v="NAGABAYA"/>
    <m/>
    <x v="1"/>
    <n v="12.606660400000001"/>
    <n v="14.658808799999999"/>
    <x v="0"/>
    <b v="1"/>
    <b v="0"/>
    <b v="0"/>
    <m/>
    <n v="3"/>
    <s v="Accessible"/>
    <m/>
    <s v="Le village accueille une population"/>
    <s v="Le village est intact (construit)"/>
    <m/>
    <m/>
    <s v="Oui"/>
    <s v="Familles d'accueil"/>
    <s v="Non, pas du tout"/>
    <s v="Non"/>
    <m/>
    <n v="20"/>
    <n v="1000"/>
    <s v="Oui"/>
    <s v="Premier déplacement"/>
    <n v="20"/>
    <n v="49"/>
    <n v="19"/>
    <n v="30"/>
    <n v="0"/>
    <n v="20"/>
    <n v="0"/>
    <n v="0"/>
    <m/>
    <m/>
    <n v="0"/>
    <n v="0"/>
    <m/>
    <m/>
    <n v="0"/>
    <s v="Pas de commentaire"/>
    <s v="Non"/>
    <m/>
    <m/>
    <m/>
    <m/>
    <m/>
    <m/>
    <m/>
    <m/>
    <m/>
    <m/>
    <m/>
    <m/>
    <m/>
    <m/>
    <m/>
    <s v="Non"/>
    <m/>
    <m/>
    <m/>
    <m/>
    <m/>
    <m/>
    <m/>
    <m/>
    <m/>
    <m/>
    <m/>
    <m/>
    <m/>
    <m/>
    <m/>
    <m/>
    <m/>
    <m/>
    <m/>
    <m/>
    <n v="0"/>
    <m/>
    <m/>
    <m/>
    <m/>
    <m/>
    <m/>
    <m/>
    <m/>
    <m/>
    <m/>
    <m/>
    <m/>
    <m/>
    <s v="1"/>
    <s v="0"/>
    <s v="0"/>
    <n v="1"/>
  </r>
  <r>
    <n v="2662500"/>
    <s v="Extrême-Nord"/>
    <s v="CMR004"/>
    <x v="1"/>
    <s v="CMR004002"/>
    <s v="Goulfey"/>
    <s v="CMR004002002"/>
    <s v="GOU-0033"/>
    <s v="NGOULOU"/>
    <m/>
    <x v="1"/>
    <n v="12.465204099999999"/>
    <n v="14.734477800000001"/>
    <x v="0"/>
    <b v="1"/>
    <b v="0"/>
    <b v="0"/>
    <m/>
    <n v="5"/>
    <s v="Accessible"/>
    <m/>
    <s v="Le village accueille une population"/>
    <s v="Le village est intact (construit)"/>
    <m/>
    <m/>
    <s v="Oui"/>
    <s v="Familles d'accueil"/>
    <s v="Non, pas du tout"/>
    <s v="Non"/>
    <m/>
    <n v="15"/>
    <n v="430"/>
    <s v="Oui"/>
    <s v="Premier déplacement"/>
    <n v="15"/>
    <n v="60"/>
    <n v="25"/>
    <n v="35"/>
    <n v="0"/>
    <n v="15"/>
    <n v="0"/>
    <n v="0"/>
    <m/>
    <m/>
    <n v="0"/>
    <n v="0"/>
    <m/>
    <m/>
    <n v="0"/>
    <s v="Il ya eu changement augmentation des individus déplacées dans la localité "/>
    <s v="Non"/>
    <m/>
    <m/>
    <m/>
    <m/>
    <m/>
    <m/>
    <m/>
    <m/>
    <m/>
    <m/>
    <m/>
    <m/>
    <m/>
    <m/>
    <m/>
    <s v="Non"/>
    <m/>
    <m/>
    <m/>
    <m/>
    <m/>
    <m/>
    <m/>
    <m/>
    <m/>
    <m/>
    <m/>
    <m/>
    <m/>
    <m/>
    <m/>
    <m/>
    <m/>
    <m/>
    <m/>
    <m/>
    <n v="2"/>
    <m/>
    <m/>
    <m/>
    <m/>
    <m/>
    <m/>
    <m/>
    <m/>
    <m/>
    <m/>
    <m/>
    <m/>
    <m/>
    <s v="1"/>
    <s v="0"/>
    <s v="0"/>
    <n v="1"/>
  </r>
  <r>
    <n v="2647894"/>
    <s v="Extrême-Nord"/>
    <s v="CMR004"/>
    <x v="1"/>
    <s v="CMR004002"/>
    <s v="Goulfey"/>
    <s v="CMR004002002"/>
    <s v="GOU-0019"/>
    <s v="NGRAN"/>
    <m/>
    <x v="1"/>
    <n v="12.1812548"/>
    <n v="14.9034019"/>
    <x v="0"/>
    <b v="1"/>
    <b v="0"/>
    <b v="0"/>
    <m/>
    <n v="3"/>
    <s v="Accessible"/>
    <m/>
    <s v="Le village accueille une population"/>
    <s v="Le village est intact (construit)"/>
    <m/>
    <m/>
    <s v="Oui"/>
    <s v="Familles d'accueil"/>
    <s v="Sites de déplacement spontanés"/>
    <s v="Oui"/>
    <n v="1"/>
    <n v="60"/>
    <n v="5000"/>
    <s v="Oui"/>
    <s v="Premier déplacement"/>
    <n v="60"/>
    <n v="750"/>
    <n v="300"/>
    <n v="450"/>
    <n v="0"/>
    <n v="60"/>
    <n v="0"/>
    <n v="0"/>
    <m/>
    <m/>
    <n v="0"/>
    <n v="0"/>
    <m/>
    <m/>
    <n v="0"/>
    <s v="Demande d'aide humanitaire "/>
    <s v="Non"/>
    <m/>
    <m/>
    <m/>
    <m/>
    <m/>
    <m/>
    <m/>
    <m/>
    <m/>
    <m/>
    <m/>
    <m/>
    <m/>
    <m/>
    <m/>
    <s v="Non"/>
    <m/>
    <m/>
    <m/>
    <m/>
    <m/>
    <m/>
    <m/>
    <m/>
    <m/>
    <m/>
    <m/>
    <m/>
    <m/>
    <m/>
    <m/>
    <m/>
    <m/>
    <m/>
    <m/>
    <m/>
    <n v="0"/>
    <m/>
    <m/>
    <m/>
    <m/>
    <m/>
    <m/>
    <m/>
    <m/>
    <m/>
    <m/>
    <m/>
    <m/>
    <m/>
    <s v="1"/>
    <s v="0"/>
    <s v="0"/>
    <n v="1"/>
  </r>
  <r>
    <n v="2586803"/>
    <s v="Extrême-Nord"/>
    <s v="CMR004"/>
    <x v="1"/>
    <s v="CMR004002"/>
    <s v="Goulfey"/>
    <s v="CMR004002002"/>
    <s v="GOU-0020"/>
    <s v="NIMIA"/>
    <m/>
    <x v="1"/>
    <n v="12.359834599999999"/>
    <n v="14.8318406"/>
    <x v="0"/>
    <b v="1"/>
    <b v="0"/>
    <b v="0"/>
    <m/>
    <n v="3"/>
    <s v="Accessible"/>
    <m/>
    <s v="Le village accueille une population"/>
    <s v="Le village est intact (construit)"/>
    <m/>
    <m/>
    <s v="Oui"/>
    <s v="Familles d'accueil"/>
    <s v="Non, pas du tout"/>
    <s v="Non"/>
    <m/>
    <n v="2"/>
    <n v="362"/>
    <s v="Oui"/>
    <s v="Premier déplacement"/>
    <n v="2"/>
    <n v="17"/>
    <n v="8"/>
    <n v="9"/>
    <n v="0"/>
    <n v="2"/>
    <n v="0"/>
    <n v="0"/>
    <m/>
    <m/>
    <n v="0"/>
    <n v="0"/>
    <m/>
    <m/>
    <n v="0"/>
    <s v="Ras"/>
    <s v="Non"/>
    <m/>
    <m/>
    <m/>
    <m/>
    <m/>
    <m/>
    <m/>
    <m/>
    <m/>
    <m/>
    <m/>
    <m/>
    <m/>
    <m/>
    <m/>
    <s v="Non"/>
    <m/>
    <m/>
    <m/>
    <m/>
    <m/>
    <m/>
    <m/>
    <m/>
    <m/>
    <m/>
    <m/>
    <m/>
    <m/>
    <m/>
    <m/>
    <m/>
    <m/>
    <m/>
    <m/>
    <m/>
    <n v="0"/>
    <m/>
    <m/>
    <m/>
    <m/>
    <m/>
    <m/>
    <m/>
    <m/>
    <m/>
    <m/>
    <m/>
    <m/>
    <m/>
    <s v="1"/>
    <s v="0"/>
    <s v="0"/>
    <n v="1"/>
  </r>
  <r>
    <n v="2668973"/>
    <s v="Extrême-Nord"/>
    <s v="CMR004"/>
    <x v="1"/>
    <s v="CMR004002"/>
    <s v="Goulfey"/>
    <s v="CMR004002002"/>
    <s v="GOU-0021"/>
    <s v="SAO"/>
    <m/>
    <x v="1"/>
    <n v="12.2590576"/>
    <n v="14.811537899999999"/>
    <x v="0"/>
    <b v="1"/>
    <b v="0"/>
    <b v="1"/>
    <m/>
    <n v="3"/>
    <s v="Accessible"/>
    <m/>
    <s v="Le village accueille une population"/>
    <s v="Le village est partiellement détruit"/>
    <s v="Intempéries (inondations, tempêtes etc.)"/>
    <m/>
    <s v="Oui"/>
    <s v="Familles d'accueil"/>
    <s v="Non, pas du tout"/>
    <s v="Non"/>
    <m/>
    <n v="38"/>
    <n v="2000"/>
    <s v="Oui"/>
    <s v="Premier déplacement"/>
    <n v="38"/>
    <n v="238"/>
    <n v="89"/>
    <n v="149"/>
    <n v="28"/>
    <n v="10"/>
    <n v="0"/>
    <n v="0"/>
    <m/>
    <m/>
    <n v="0"/>
    <n v="0"/>
    <m/>
    <m/>
    <n v="0"/>
    <s v=" R AS"/>
    <s v="Non"/>
    <m/>
    <m/>
    <m/>
    <m/>
    <m/>
    <m/>
    <m/>
    <m/>
    <m/>
    <m/>
    <m/>
    <m/>
    <m/>
    <m/>
    <m/>
    <s v="Oui"/>
    <n v="5"/>
    <n v="17"/>
    <n v="7"/>
    <n v="10"/>
    <s v="Entre 1 et 5 ans"/>
    <n v="5"/>
    <n v="0"/>
    <n v="0"/>
    <n v="0"/>
    <n v="0"/>
    <m/>
    <n v="0"/>
    <n v="0"/>
    <m/>
    <n v="0"/>
    <m/>
    <m/>
    <m/>
    <m/>
    <m/>
    <n v="0"/>
    <m/>
    <m/>
    <m/>
    <m/>
    <m/>
    <m/>
    <m/>
    <m/>
    <m/>
    <m/>
    <m/>
    <m/>
    <m/>
    <s v="1"/>
    <s v="0"/>
    <s v="1"/>
    <n v="2"/>
  </r>
  <r>
    <n v="2647884"/>
    <s v="Extrême-Nord"/>
    <s v="CMR004"/>
    <x v="1"/>
    <s v="CMR004002"/>
    <s v="Goulfey"/>
    <s v="CMR004002002"/>
    <s v="GOU-0005"/>
    <s v="SITE DE DOUGUYA"/>
    <m/>
    <x v="1"/>
    <n v="12.628576300000001"/>
    <n v="14.824357300000001"/>
    <x v="1"/>
    <b v="1"/>
    <b v="0"/>
    <b v="0"/>
    <m/>
    <n v="3"/>
    <s v="Accessible"/>
    <m/>
    <s v="Le village accueille une population"/>
    <s v="Le village est partiellement détruit"/>
    <s v="Intempéries (inondations, tempêtes etc.)"/>
    <m/>
    <s v="Oui"/>
    <s v="Familles d'accueil"/>
    <s v="Non, pas du tout"/>
    <m/>
    <m/>
    <m/>
    <n v="700"/>
    <s v="Non"/>
    <m/>
    <m/>
    <m/>
    <m/>
    <m/>
    <m/>
    <m/>
    <m/>
    <m/>
    <m/>
    <m/>
    <m/>
    <m/>
    <m/>
    <m/>
    <m/>
    <m/>
    <s v="Non"/>
    <m/>
    <m/>
    <m/>
    <m/>
    <m/>
    <m/>
    <m/>
    <m/>
    <m/>
    <m/>
    <m/>
    <m/>
    <m/>
    <m/>
    <m/>
    <s v="Non"/>
    <m/>
    <m/>
    <m/>
    <m/>
    <m/>
    <m/>
    <m/>
    <m/>
    <m/>
    <m/>
    <m/>
    <m/>
    <m/>
    <m/>
    <m/>
    <m/>
    <m/>
    <m/>
    <m/>
    <m/>
    <n v="0"/>
    <m/>
    <m/>
    <m/>
    <m/>
    <m/>
    <m/>
    <m/>
    <m/>
    <m/>
    <m/>
    <m/>
    <m/>
    <m/>
    <s v="0"/>
    <s v="0"/>
    <s v="0"/>
    <n v="0"/>
  </r>
  <r>
    <n v="2636811"/>
    <s v="Extrême-Nord"/>
    <s v="CMR004"/>
    <x v="1"/>
    <s v="CMR004002"/>
    <s v="Goulfey"/>
    <s v="CMR004002002"/>
    <s v="GOU-0041"/>
    <s v="SITE HILE-NIMR"/>
    <m/>
    <x v="1"/>
    <n v="12.5523037"/>
    <n v="14.8405115"/>
    <x v="0"/>
    <b v="1"/>
    <b v="0"/>
    <b v="0"/>
    <m/>
    <n v="3"/>
    <s v="Accessible"/>
    <m/>
    <s v="Le village accueille une population"/>
    <s v="Le village est intact (construit)"/>
    <m/>
    <m/>
    <s v="Oui"/>
    <s v="Familles d'accueil"/>
    <s v="Non, pas du tout"/>
    <s v="Non"/>
    <m/>
    <n v="1"/>
    <n v="2500"/>
    <s v="Oui"/>
    <s v="Premier déplacement"/>
    <n v="1"/>
    <n v="3"/>
    <n v="1"/>
    <n v="2"/>
    <n v="0"/>
    <n v="1"/>
    <n v="0"/>
    <n v="0"/>
    <m/>
    <m/>
    <n v="0"/>
    <n v="0"/>
    <m/>
    <m/>
    <n v="0"/>
    <s v="Pas de commentaire"/>
    <s v="Non"/>
    <m/>
    <m/>
    <m/>
    <m/>
    <m/>
    <m/>
    <m/>
    <m/>
    <m/>
    <m/>
    <m/>
    <m/>
    <m/>
    <m/>
    <m/>
    <s v="Non"/>
    <m/>
    <m/>
    <m/>
    <m/>
    <m/>
    <m/>
    <m/>
    <m/>
    <m/>
    <m/>
    <m/>
    <m/>
    <m/>
    <m/>
    <m/>
    <m/>
    <m/>
    <m/>
    <m/>
    <m/>
    <n v="0"/>
    <m/>
    <m/>
    <m/>
    <m/>
    <m/>
    <m/>
    <m/>
    <m/>
    <m/>
    <m/>
    <m/>
    <m/>
    <m/>
    <s v="1"/>
    <s v="0"/>
    <s v="0"/>
    <n v="1"/>
  </r>
  <r>
    <n v="2662748"/>
    <s v="Extrême-Nord"/>
    <s v="CMR004"/>
    <x v="1"/>
    <s v="CMR004002"/>
    <s v="Goulfey"/>
    <s v="CMR004002002"/>
    <s v="GOU-0042"/>
    <s v="SITE WASHINGTON"/>
    <m/>
    <x v="1"/>
    <n v="12.2204716"/>
    <n v="14.849173800000001"/>
    <x v="0"/>
    <b v="0"/>
    <b v="0"/>
    <b v="1"/>
    <m/>
    <m/>
    <s v="Accessible"/>
    <m/>
    <s v="Le village est entièrement déserté"/>
    <m/>
    <m/>
    <m/>
    <m/>
    <m/>
    <m/>
    <m/>
    <m/>
    <m/>
    <m/>
    <m/>
    <m/>
    <m/>
    <m/>
    <m/>
    <m/>
    <m/>
    <m/>
    <m/>
    <m/>
    <m/>
    <m/>
    <m/>
    <m/>
    <m/>
    <m/>
    <m/>
    <m/>
    <m/>
    <m/>
    <m/>
    <m/>
    <m/>
    <m/>
    <m/>
    <m/>
    <m/>
    <m/>
    <m/>
    <m/>
    <m/>
    <m/>
    <m/>
    <m/>
    <m/>
    <m/>
    <m/>
    <m/>
    <m/>
    <m/>
    <m/>
    <m/>
    <m/>
    <m/>
    <m/>
    <m/>
    <m/>
    <m/>
    <m/>
    <m/>
    <m/>
    <m/>
    <m/>
    <m/>
    <m/>
    <m/>
    <m/>
    <m/>
    <m/>
    <m/>
    <m/>
    <m/>
    <m/>
    <m/>
    <m/>
    <m/>
    <m/>
    <m/>
    <m/>
    <s v="0"/>
    <s v="0"/>
    <s v="0"/>
    <n v="0"/>
  </r>
  <r>
    <n v="2628118"/>
    <s v="Extrême-Nord"/>
    <s v="CMR004"/>
    <x v="1"/>
    <s v="CMR004002"/>
    <s v="Goulfey"/>
    <s v="CMR004002002"/>
    <s v="GOU-0022"/>
    <s v="TILAM 1"/>
    <m/>
    <x v="1"/>
    <n v="12.3600817"/>
    <n v="14.690530000000001"/>
    <x v="0"/>
    <b v="1"/>
    <b v="0"/>
    <b v="0"/>
    <m/>
    <n v="3"/>
    <s v="Accessible"/>
    <m/>
    <s v="Le village accueille une population"/>
    <s v="Le village est intact (construit)"/>
    <m/>
    <m/>
    <s v="Oui"/>
    <s v="Familles d'accueil"/>
    <s v="Non, pas du tout"/>
    <s v="Non"/>
    <m/>
    <n v="40"/>
    <n v="300"/>
    <s v="Oui"/>
    <s v="Premier déplacement"/>
    <n v="40"/>
    <n v="40"/>
    <n v="15"/>
    <n v="25"/>
    <n v="40"/>
    <n v="0"/>
    <n v="0"/>
    <n v="0"/>
    <m/>
    <m/>
    <n v="0"/>
    <n v="0"/>
    <m/>
    <m/>
    <n v="0"/>
    <s v="Pas de commentaire"/>
    <s v="Non"/>
    <m/>
    <m/>
    <m/>
    <m/>
    <m/>
    <m/>
    <m/>
    <m/>
    <m/>
    <m/>
    <m/>
    <m/>
    <m/>
    <m/>
    <m/>
    <s v="Non"/>
    <m/>
    <m/>
    <m/>
    <m/>
    <m/>
    <m/>
    <m/>
    <m/>
    <m/>
    <m/>
    <m/>
    <m/>
    <m/>
    <m/>
    <m/>
    <m/>
    <m/>
    <m/>
    <m/>
    <m/>
    <n v="0"/>
    <m/>
    <m/>
    <m/>
    <m/>
    <m/>
    <m/>
    <m/>
    <m/>
    <m/>
    <m/>
    <m/>
    <m/>
    <m/>
    <s v="1"/>
    <s v="0"/>
    <s v="0"/>
    <n v="1"/>
  </r>
  <r>
    <n v="2631458"/>
    <s v="Extrême-Nord"/>
    <s v="CMR004"/>
    <x v="1"/>
    <s v="CMR004002"/>
    <s v="Goulfey"/>
    <s v="CMR004002002"/>
    <s v="GOU-0031"/>
    <s v="TOE 2"/>
    <m/>
    <x v="1"/>
    <n v="12.222212499999999"/>
    <n v="14.835711"/>
    <x v="0"/>
    <b v="1"/>
    <b v="0"/>
    <b v="1"/>
    <m/>
    <n v="3"/>
    <s v="Accessible"/>
    <m/>
    <s v="Le village accueille une population"/>
    <s v="Le village est partiellement détruit"/>
    <s v="Intempéries (inondations, tempêtes etc.)"/>
    <m/>
    <s v="Oui"/>
    <s v="Familles d'accueil"/>
    <s v="Non, pas du tout"/>
    <s v="Non"/>
    <m/>
    <m/>
    <n v="500"/>
    <s v="Non"/>
    <m/>
    <m/>
    <m/>
    <m/>
    <m/>
    <m/>
    <m/>
    <m/>
    <m/>
    <m/>
    <m/>
    <m/>
    <m/>
    <m/>
    <m/>
    <m/>
    <m/>
    <s v="Oui"/>
    <n v="5"/>
    <n v="15"/>
    <n v="7"/>
    <n v="8"/>
    <n v="5"/>
    <n v="0"/>
    <n v="0"/>
    <m/>
    <n v="0"/>
    <n v="0"/>
    <m/>
    <m/>
    <n v="0"/>
    <n v="0"/>
    <s v="Les populations réfugiés de cette localité ont besoin d'assistance car les inondations ont envahi leurs champs"/>
    <s v="Non"/>
    <m/>
    <m/>
    <m/>
    <m/>
    <m/>
    <m/>
    <m/>
    <m/>
    <m/>
    <m/>
    <m/>
    <m/>
    <m/>
    <m/>
    <m/>
    <m/>
    <m/>
    <m/>
    <m/>
    <m/>
    <n v="2"/>
    <m/>
    <m/>
    <m/>
    <m/>
    <m/>
    <m/>
    <m/>
    <m/>
    <m/>
    <m/>
    <m/>
    <m/>
    <m/>
    <s v="0"/>
    <s v="1"/>
    <s v="0"/>
    <n v="1"/>
  </r>
  <r>
    <n v="2662496"/>
    <s v="Extrême-Nord"/>
    <s v="CMR004"/>
    <x v="1"/>
    <s v="CMR004002"/>
    <s v="Goulfey"/>
    <s v="CMR004002002"/>
    <s v="GOU-0032"/>
    <s v="TOUYOUS"/>
    <m/>
    <x v="1"/>
    <n v="12.464461099999999"/>
    <n v="14.755865500000001"/>
    <x v="0"/>
    <b v="1"/>
    <b v="0"/>
    <b v="0"/>
    <m/>
    <n v="4"/>
    <s v="Accessible"/>
    <m/>
    <s v="Le village accueille une population"/>
    <s v="Le village est intact (construit)"/>
    <m/>
    <m/>
    <s v="Oui"/>
    <s v="Familles d'accueil"/>
    <s v="Non, pas du tout"/>
    <s v="Non"/>
    <m/>
    <n v="10"/>
    <n v="600"/>
    <s v="Oui"/>
    <s v="Premier déplacement"/>
    <n v="10"/>
    <n v="50"/>
    <n v="15"/>
    <n v="35"/>
    <n v="0"/>
    <n v="5"/>
    <n v="0"/>
    <n v="5"/>
    <s v="Chez une famille d'accueil (contre loyer)"/>
    <m/>
    <n v="0"/>
    <n v="0"/>
    <m/>
    <m/>
    <n v="0"/>
    <s v="Il ya eu changement par rapport au rond précédent  augmentation déplacées internes dans la localité "/>
    <s v="Non"/>
    <m/>
    <m/>
    <m/>
    <m/>
    <m/>
    <m/>
    <m/>
    <m/>
    <m/>
    <m/>
    <m/>
    <m/>
    <m/>
    <m/>
    <m/>
    <s v="Non"/>
    <m/>
    <m/>
    <m/>
    <m/>
    <m/>
    <m/>
    <m/>
    <m/>
    <m/>
    <m/>
    <m/>
    <m/>
    <m/>
    <m/>
    <m/>
    <m/>
    <m/>
    <m/>
    <m/>
    <m/>
    <n v="0"/>
    <m/>
    <m/>
    <m/>
    <m/>
    <m/>
    <m/>
    <m/>
    <m/>
    <m/>
    <m/>
    <m/>
    <m/>
    <m/>
    <s v="1"/>
    <s v="0"/>
    <s v="0"/>
    <n v="1"/>
  </r>
  <r>
    <n v="2722399"/>
    <s v="Extrême-Nord"/>
    <s v="CMR004"/>
    <x v="1"/>
    <s v="CMR004002"/>
    <s v="Goulfey"/>
    <s v="CMR004002002"/>
    <s v="GOU-0023"/>
    <s v="WALAGA"/>
    <m/>
    <x v="1"/>
    <n v="12.3219122"/>
    <n v="14.8538082"/>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798155"/>
    <s v="Extrême-Nord"/>
    <s v="CMR004"/>
    <x v="1"/>
    <s v="CMR004002"/>
    <s v="Goulfey"/>
    <s v="CMR004002002"/>
    <s v="GOU-0048"/>
    <s v="WASHINGTONE VILLE"/>
    <m/>
    <x v="1"/>
    <n v="12.6825311"/>
    <n v="14.752444300000001"/>
    <x v="0"/>
    <b v="0"/>
    <b v="0"/>
    <b v="1"/>
    <m/>
    <m/>
    <s v="Accessible"/>
    <m/>
    <s v="Le village est entièrement déserté"/>
    <m/>
    <m/>
    <m/>
    <m/>
    <m/>
    <m/>
    <m/>
    <m/>
    <m/>
    <m/>
    <m/>
    <m/>
    <m/>
    <m/>
    <m/>
    <m/>
    <m/>
    <m/>
    <m/>
    <m/>
    <m/>
    <m/>
    <m/>
    <m/>
    <m/>
    <m/>
    <m/>
    <m/>
    <m/>
    <m/>
    <m/>
    <m/>
    <m/>
    <m/>
    <m/>
    <m/>
    <m/>
    <m/>
    <m/>
    <m/>
    <m/>
    <m/>
    <m/>
    <m/>
    <m/>
    <m/>
    <m/>
    <m/>
    <m/>
    <m/>
    <m/>
    <m/>
    <m/>
    <m/>
    <m/>
    <m/>
    <m/>
    <m/>
    <m/>
    <m/>
    <m/>
    <m/>
    <m/>
    <m/>
    <m/>
    <m/>
    <m/>
    <m/>
    <m/>
    <m/>
    <m/>
    <m/>
    <m/>
    <m/>
    <m/>
    <m/>
    <m/>
    <m/>
    <m/>
    <s v="0"/>
    <s v="0"/>
    <s v="0"/>
    <n v="0"/>
  </r>
  <r>
    <n v="2659458"/>
    <s v="Extrême-Nord"/>
    <s v="CMR004"/>
    <x v="1"/>
    <s v="CMR004002"/>
    <s v="Goulfey"/>
    <s v="CMR004002002"/>
    <s v="GOU-0004"/>
    <s v="ZALAT DORO-ROYA"/>
    <m/>
    <x v="1"/>
    <n v="12.3514895"/>
    <n v="14.742597099999999"/>
    <x v="0"/>
    <b v="1"/>
    <b v="0"/>
    <b v="0"/>
    <m/>
    <n v="3"/>
    <s v="Accessible"/>
    <m/>
    <s v="Le village accueille une population"/>
    <s v="Le village est intact (construit)"/>
    <m/>
    <m/>
    <s v="Oui"/>
    <s v="Familles d'accueil"/>
    <s v="Non, pas du tout"/>
    <s v="Non"/>
    <m/>
    <n v="5"/>
    <n v="410"/>
    <s v="Oui"/>
    <s v="Premier déplacement"/>
    <n v="5"/>
    <n v="35"/>
    <n v="15"/>
    <n v="20"/>
    <n v="0"/>
    <n v="5"/>
    <n v="0"/>
    <n v="0"/>
    <m/>
    <m/>
    <n v="0"/>
    <n v="0"/>
    <m/>
    <m/>
    <n v="0"/>
    <s v="Pas de changement"/>
    <s v="Non"/>
    <m/>
    <m/>
    <m/>
    <m/>
    <m/>
    <m/>
    <m/>
    <m/>
    <m/>
    <m/>
    <m/>
    <m/>
    <m/>
    <m/>
    <m/>
    <s v="Non"/>
    <m/>
    <m/>
    <m/>
    <m/>
    <m/>
    <m/>
    <m/>
    <m/>
    <m/>
    <m/>
    <m/>
    <m/>
    <m/>
    <m/>
    <m/>
    <m/>
    <m/>
    <m/>
    <m/>
    <m/>
    <n v="0"/>
    <m/>
    <m/>
    <m/>
    <m/>
    <m/>
    <m/>
    <m/>
    <m/>
    <m/>
    <m/>
    <m/>
    <m/>
    <m/>
    <s v="1"/>
    <s v="0"/>
    <s v="0"/>
    <n v="1"/>
  </r>
  <r>
    <n v="2603579"/>
    <s v="Extrême-Nord"/>
    <s v="CMR004"/>
    <x v="1"/>
    <s v="CMR004002"/>
    <s v="Hile-Alifa"/>
    <s v="CMR004002010"/>
    <s v="XXXX"/>
    <s v="SITE DE ANCIEN MAIRIE"/>
    <s v="SITE DE ANCIEN MAIRIE"/>
    <x v="1"/>
    <n v="12.6923818"/>
    <n v="14.31682"/>
    <x v="1"/>
    <b v="1"/>
    <b v="0"/>
    <b v="0"/>
    <m/>
    <n v="3"/>
    <s v="Accessible"/>
    <m/>
    <s v="Le village accueille une population"/>
    <s v="Le village est intact (construit)"/>
    <m/>
    <m/>
    <s v="Oui"/>
    <s v="Sites de déplacement spontanés"/>
    <s v="Centre Collectif"/>
    <m/>
    <m/>
    <n v="350"/>
    <n v="2450"/>
    <s v="Oui"/>
    <s v="Premier déplacement"/>
    <n v="350"/>
    <n v="2450"/>
    <n v="1000"/>
    <n v="1450"/>
    <n v="0"/>
    <n v="10"/>
    <n v="0"/>
    <n v="0"/>
    <m/>
    <m/>
    <n v="50"/>
    <n v="290"/>
    <s v="Paille/Natte/Nylon"/>
    <m/>
    <n v="0"/>
    <s v="Les déplacés déclaraient que  depuis  leurs  arriver  dans  le ce  lieu  aucune  assistance  humanitaire"/>
    <s v="Non"/>
    <m/>
    <m/>
    <m/>
    <m/>
    <m/>
    <m/>
    <m/>
    <m/>
    <m/>
    <m/>
    <m/>
    <m/>
    <m/>
    <m/>
    <m/>
    <s v="Non"/>
    <m/>
    <m/>
    <m/>
    <m/>
    <m/>
    <m/>
    <m/>
    <m/>
    <m/>
    <m/>
    <m/>
    <m/>
    <m/>
    <m/>
    <m/>
    <m/>
    <m/>
    <m/>
    <m/>
    <m/>
    <n v="0"/>
    <m/>
    <m/>
    <m/>
    <m/>
    <m/>
    <m/>
    <m/>
    <m/>
    <m/>
    <m/>
    <m/>
    <m/>
    <m/>
    <s v="1"/>
    <s v="0"/>
    <s v="0"/>
    <n v="1"/>
  </r>
  <r>
    <n v="2627845"/>
    <s v="Extrême-Nord"/>
    <s v="CMR004"/>
    <x v="1"/>
    <s v="CMR004002"/>
    <s v="Hile-Alifa"/>
    <s v="CMR004002010"/>
    <s v="XXXX"/>
    <s v="SITE DE BARARA"/>
    <s v="SITE DE BARARA"/>
    <x v="1"/>
    <n v="12.691589199999999"/>
    <n v="14.322217999999999"/>
    <x v="1"/>
    <b v="1"/>
    <b v="0"/>
    <b v="0"/>
    <m/>
    <n v="3"/>
    <s v="Accessible"/>
    <m/>
    <s v="Le village accueille une population"/>
    <s v="Le village est intact (construit)"/>
    <m/>
    <m/>
    <s v="Oui"/>
    <s v="Sites de déplacement spontanés"/>
    <s v="Non, pas du tout"/>
    <m/>
    <m/>
    <n v="100"/>
    <n v="700"/>
    <s v="Oui"/>
    <s v="Premier déplacement"/>
    <n v="100"/>
    <n v="700"/>
    <n v="380"/>
    <n v="320"/>
    <n v="0"/>
    <n v="33"/>
    <n v="0"/>
    <n v="0"/>
    <m/>
    <m/>
    <n v="0"/>
    <n v="67"/>
    <s v="Pagne"/>
    <m/>
    <n v="0"/>
    <s v="Nouveau site Barara 100 ménages de 700 provenant de l'arrondissement de Darak"/>
    <s v="Non"/>
    <m/>
    <m/>
    <m/>
    <m/>
    <m/>
    <m/>
    <m/>
    <m/>
    <m/>
    <m/>
    <m/>
    <m/>
    <m/>
    <m/>
    <m/>
    <s v="Non"/>
    <m/>
    <m/>
    <m/>
    <m/>
    <m/>
    <m/>
    <m/>
    <m/>
    <m/>
    <m/>
    <m/>
    <m/>
    <m/>
    <m/>
    <m/>
    <m/>
    <m/>
    <m/>
    <m/>
    <m/>
    <n v="0"/>
    <m/>
    <m/>
    <m/>
    <m/>
    <m/>
    <m/>
    <m/>
    <m/>
    <m/>
    <m/>
    <m/>
    <m/>
    <m/>
    <s v="1"/>
    <s v="0"/>
    <s v="0"/>
    <n v="1"/>
  </r>
  <r>
    <n v="2598243"/>
    <s v="Extrême-Nord"/>
    <s v="CMR004"/>
    <x v="1"/>
    <s v="CMR004002"/>
    <s v="Hile-Alifa"/>
    <s v="CMR004002010"/>
    <s v="XXXX"/>
    <s v="SITE DE HILE-ALIFA II"/>
    <s v="SITE DE HILE-ALIFA II"/>
    <x v="1"/>
    <n v="12.6907534"/>
    <n v="14.304665099999999"/>
    <x v="1"/>
    <b v="1"/>
    <b v="0"/>
    <b v="1"/>
    <m/>
    <n v="3"/>
    <s v="Accessible"/>
    <m/>
    <s v="Le village accueille une population"/>
    <s v="Le village est intact (construit)"/>
    <m/>
    <m/>
    <s v="Oui"/>
    <s v="Sites de déplacement spontanés"/>
    <s v="Non, pas du tout"/>
    <m/>
    <m/>
    <n v="146"/>
    <n v="1100"/>
    <s v="Oui"/>
    <s v="Premier déplacement"/>
    <n v="146"/>
    <n v="1100"/>
    <n v="509"/>
    <n v="591"/>
    <n v="0"/>
    <n v="0"/>
    <n v="0"/>
    <n v="0"/>
    <m/>
    <m/>
    <n v="0"/>
    <n v="146"/>
    <s v="Paille/Natte/Nylon"/>
    <m/>
    <n v="0"/>
    <s v="Nouveau site qui vient de s'installer à hile-Alifa Il,  suite aux attaques perpétré de Boko haram, depuis novembre décembre 2022."/>
    <s v="Non"/>
    <m/>
    <m/>
    <m/>
    <m/>
    <m/>
    <m/>
    <m/>
    <m/>
    <m/>
    <m/>
    <m/>
    <m/>
    <m/>
    <m/>
    <m/>
    <s v="Non"/>
    <m/>
    <m/>
    <m/>
    <m/>
    <m/>
    <m/>
    <m/>
    <m/>
    <m/>
    <m/>
    <m/>
    <m/>
    <m/>
    <m/>
    <m/>
    <m/>
    <m/>
    <m/>
    <m/>
    <m/>
    <n v="0"/>
    <m/>
    <m/>
    <m/>
    <m/>
    <m/>
    <m/>
    <m/>
    <m/>
    <m/>
    <m/>
    <m/>
    <m/>
    <m/>
    <s v="1"/>
    <s v="0"/>
    <s v="0"/>
    <n v="1"/>
  </r>
  <r>
    <n v="2586696"/>
    <s v="Extrême-Nord"/>
    <s v="CMR004"/>
    <x v="1"/>
    <s v="CMR004002"/>
    <s v="Hile-Alifa"/>
    <s v="CMR004002010"/>
    <s v="XXXX"/>
    <s v="SITE DE MARCHÉ-HILE-ALIFA I"/>
    <s v="SITE DE MARCHÉ-HILE-ALIFA I"/>
    <x v="1"/>
    <n v="12.6955046"/>
    <n v="14.319676100000001"/>
    <x v="1"/>
    <b v="1"/>
    <b v="0"/>
    <b v="0"/>
    <m/>
    <n v="3"/>
    <s v="Accessible"/>
    <m/>
    <s v="Le village accueille une population"/>
    <s v="Le village est intact (construit)"/>
    <m/>
    <m/>
    <s v="Oui"/>
    <s v="Sites de déplacement spontanés"/>
    <s v="Non, pas du tout"/>
    <m/>
    <m/>
    <n v="400"/>
    <n v="2800"/>
    <s v="Oui"/>
    <s v="Premier déplacement"/>
    <n v="400"/>
    <n v="2800"/>
    <n v="1350"/>
    <n v="1450"/>
    <n v="0"/>
    <n v="0"/>
    <n v="0"/>
    <n v="0"/>
    <m/>
    <m/>
    <n v="0"/>
    <n v="400"/>
    <s v="Pagne"/>
    <m/>
    <n v="0"/>
    <s v="Nouveau site à quelques mettre de hile-Alifa I, nouvellement installé par les autorités de l'arrondissement,  suite à l'attaque BH mis novembre à Tchika,  katikime , hiletandalgui. Donc s'est un site de 400 ménages et 2800 individus venant de villages ci-cité."/>
    <s v="Non"/>
    <m/>
    <m/>
    <m/>
    <m/>
    <m/>
    <m/>
    <m/>
    <m/>
    <m/>
    <m/>
    <m/>
    <m/>
    <m/>
    <m/>
    <m/>
    <s v="Non"/>
    <m/>
    <m/>
    <m/>
    <m/>
    <m/>
    <m/>
    <m/>
    <m/>
    <m/>
    <m/>
    <m/>
    <m/>
    <m/>
    <m/>
    <m/>
    <m/>
    <m/>
    <m/>
    <m/>
    <m/>
    <n v="0"/>
    <m/>
    <m/>
    <m/>
    <m/>
    <m/>
    <m/>
    <m/>
    <m/>
    <m/>
    <m/>
    <m/>
    <m/>
    <m/>
    <s v="1"/>
    <s v="0"/>
    <s v="0"/>
    <n v="1"/>
  </r>
  <r>
    <n v="2666649"/>
    <s v="Extrême-Nord"/>
    <s v="CMR004"/>
    <x v="1"/>
    <s v="CMR004002"/>
    <s v="Hile-Alifa"/>
    <s v="CMR004002010"/>
    <s v="XXXX"/>
    <s v="SITE DE RAMIDORINA"/>
    <s v="SITE DE RAMIDORINA"/>
    <x v="1"/>
    <n v="12.688281999999999"/>
    <n v="14.3196691"/>
    <x v="1"/>
    <b v="1"/>
    <b v="0"/>
    <b v="0"/>
    <m/>
    <n v="3"/>
    <s v="Accessible"/>
    <m/>
    <s v="Le village accueille une population"/>
    <s v="Le village est intact (construit)"/>
    <m/>
    <m/>
    <s v="Oui"/>
    <s v="Sites de déplacement spontanés"/>
    <s v="Familles d'accueil"/>
    <m/>
    <m/>
    <n v="94"/>
    <n v="658"/>
    <s v="Oui"/>
    <s v="Premier déplacement"/>
    <n v="94"/>
    <n v="658"/>
    <n v="250"/>
    <n v="408"/>
    <n v="0"/>
    <n v="0"/>
    <n v="0"/>
    <n v="0"/>
    <m/>
    <m/>
    <n v="0"/>
    <n v="94"/>
    <s v="Paille/Natte/Nylon"/>
    <m/>
    <n v="0"/>
    <s v="Les déplacés    n'ont pas  d accès  des  terres  pour  cultiver, nouveau site"/>
    <s v="Non"/>
    <m/>
    <m/>
    <m/>
    <m/>
    <m/>
    <m/>
    <m/>
    <m/>
    <m/>
    <m/>
    <m/>
    <m/>
    <m/>
    <m/>
    <m/>
    <s v="Non"/>
    <m/>
    <m/>
    <m/>
    <m/>
    <m/>
    <m/>
    <m/>
    <m/>
    <m/>
    <m/>
    <m/>
    <m/>
    <m/>
    <m/>
    <m/>
    <m/>
    <m/>
    <m/>
    <m/>
    <m/>
    <n v="0"/>
    <m/>
    <m/>
    <m/>
    <m/>
    <m/>
    <m/>
    <m/>
    <m/>
    <m/>
    <m/>
    <m/>
    <m/>
    <m/>
    <s v="1"/>
    <s v="0"/>
    <s v="0"/>
    <n v="1"/>
  </r>
  <r>
    <n v="2615009"/>
    <s v="Extrême-Nord"/>
    <s v="CMR004"/>
    <x v="1"/>
    <s v="CMR004002"/>
    <s v="Hile-Alifa"/>
    <s v="CMR004002010"/>
    <s v="HIL-0002"/>
    <s v="ABASSOUNI 1"/>
    <m/>
    <x v="1"/>
    <n v="12.6739028"/>
    <n v="14.279859699999999"/>
    <x v="0"/>
    <b v="1"/>
    <b v="0"/>
    <b v="0"/>
    <m/>
    <n v="3"/>
    <s v="Accessible"/>
    <m/>
    <s v="Le village accueille une population"/>
    <s v="Le village est intact (construit)"/>
    <m/>
    <m/>
    <s v="Oui"/>
    <s v="Familles d'accueil"/>
    <s v="Non, pas du tout"/>
    <s v="Non"/>
    <m/>
    <n v="140"/>
    <n v="3074"/>
    <s v="Oui"/>
    <s v="Premier déplacement"/>
    <n v="140"/>
    <n v="1054"/>
    <n v="500"/>
    <n v="554"/>
    <n v="35"/>
    <n v="74"/>
    <n v="0"/>
    <n v="0"/>
    <m/>
    <m/>
    <n v="0"/>
    <n v="31"/>
    <s v="Pagne"/>
    <m/>
    <n v="0"/>
    <s v="Ajout de 31 ménages de 217 individus venant de Tchika en janvier 2023."/>
    <s v="Non"/>
    <m/>
    <m/>
    <m/>
    <m/>
    <m/>
    <m/>
    <m/>
    <m/>
    <m/>
    <m/>
    <m/>
    <m/>
    <m/>
    <m/>
    <m/>
    <s v="Non"/>
    <m/>
    <m/>
    <m/>
    <m/>
    <m/>
    <m/>
    <m/>
    <m/>
    <m/>
    <m/>
    <m/>
    <m/>
    <m/>
    <m/>
    <m/>
    <m/>
    <m/>
    <m/>
    <m/>
    <m/>
    <n v="0"/>
    <m/>
    <m/>
    <m/>
    <m/>
    <m/>
    <m/>
    <m/>
    <m/>
    <m/>
    <m/>
    <m/>
    <m/>
    <m/>
    <s v="1"/>
    <s v="0"/>
    <s v="0"/>
    <n v="1"/>
  </r>
  <r>
    <n v="2575166"/>
    <s v="Extrême-Nord"/>
    <s v="CMR004"/>
    <x v="1"/>
    <s v="CMR004002"/>
    <s v="Hile-Alifa"/>
    <s v="CMR004002010"/>
    <s v="HIL-0003"/>
    <s v="ABASSOUNI 2"/>
    <m/>
    <x v="0"/>
    <n v="12.677808600000001"/>
    <n v="14.2881518"/>
    <x v="0"/>
    <b v="1"/>
    <b v="0"/>
    <b v="0"/>
    <m/>
    <n v="3"/>
    <s v="Accessible"/>
    <m/>
    <s v="Le village accueille une population"/>
    <s v="Le village est intact (construit)"/>
    <m/>
    <m/>
    <s v="Oui"/>
    <s v="Familles d'accueil"/>
    <s v="Non, pas du tout"/>
    <s v="Non"/>
    <m/>
    <n v="55"/>
    <n v="2082"/>
    <s v="Oui"/>
    <s v="Premier déplacement"/>
    <n v="55"/>
    <n v="383"/>
    <n v="198"/>
    <n v="185"/>
    <n v="0"/>
    <n v="40"/>
    <n v="0"/>
    <n v="0"/>
    <m/>
    <m/>
    <n v="0"/>
    <n v="15"/>
    <s v="Pagne"/>
    <m/>
    <n v="0"/>
    <s v="Il ya 20 ménages de  160 individus nouvellement arriver suite à l'attaque et enlèvement de Tchika."/>
    <s v="Non"/>
    <m/>
    <m/>
    <m/>
    <m/>
    <m/>
    <m/>
    <m/>
    <m/>
    <m/>
    <m/>
    <m/>
    <m/>
    <m/>
    <m/>
    <m/>
    <s v="Non"/>
    <m/>
    <m/>
    <m/>
    <m/>
    <m/>
    <m/>
    <m/>
    <m/>
    <m/>
    <m/>
    <m/>
    <m/>
    <m/>
    <m/>
    <m/>
    <m/>
    <m/>
    <m/>
    <m/>
    <m/>
    <n v="0"/>
    <m/>
    <m/>
    <m/>
    <m/>
    <m/>
    <m/>
    <m/>
    <m/>
    <m/>
    <m/>
    <m/>
    <m/>
    <m/>
    <s v="1"/>
    <s v="0"/>
    <s v="0"/>
    <n v="1"/>
  </r>
  <r>
    <n v="2625264"/>
    <s v="Extrême-Nord"/>
    <s v="CMR004"/>
    <x v="1"/>
    <s v="CMR004002"/>
    <s v="Hile-Alifa"/>
    <s v="CMR004002010"/>
    <s v="HIL-0004"/>
    <s v="ABASSOUNI 3"/>
    <m/>
    <x v="1"/>
    <n v="12.6747858"/>
    <n v="14.285841700000001"/>
    <x v="0"/>
    <b v="1"/>
    <b v="0"/>
    <b v="0"/>
    <m/>
    <n v="3"/>
    <s v="Accessible"/>
    <m/>
    <s v="Le village accueille une population"/>
    <s v="Le village est intact (construit)"/>
    <m/>
    <m/>
    <s v="Oui"/>
    <s v="Familles d'accueil"/>
    <s v="Non, pas du tout"/>
    <s v="Non"/>
    <m/>
    <n v="31"/>
    <n v="605"/>
    <s v="Oui"/>
    <s v="Premier déplacement"/>
    <n v="31"/>
    <n v="259"/>
    <n v="124"/>
    <n v="135"/>
    <n v="0"/>
    <n v="21"/>
    <n v="0"/>
    <n v="0"/>
    <m/>
    <m/>
    <n v="0"/>
    <n v="10"/>
    <s v="Paille/Natte/Nylon"/>
    <m/>
    <n v="0"/>
    <s v="Ajout de   10 ménages et de100  individus venant de Tchika suite aux attaques perpétré ce dernier"/>
    <s v="Non"/>
    <m/>
    <m/>
    <m/>
    <m/>
    <m/>
    <m/>
    <m/>
    <m/>
    <m/>
    <m/>
    <m/>
    <m/>
    <m/>
    <m/>
    <m/>
    <s v="Non"/>
    <m/>
    <m/>
    <m/>
    <m/>
    <m/>
    <m/>
    <m/>
    <m/>
    <m/>
    <m/>
    <m/>
    <m/>
    <m/>
    <m/>
    <m/>
    <m/>
    <m/>
    <m/>
    <m/>
    <m/>
    <n v="0"/>
    <m/>
    <m/>
    <m/>
    <m/>
    <m/>
    <m/>
    <m/>
    <m/>
    <m/>
    <m/>
    <m/>
    <m/>
    <m/>
    <s v="1"/>
    <s v="0"/>
    <s v="0"/>
    <n v="1"/>
  </r>
  <r>
    <n v="2645885"/>
    <s v="Extrême-Nord"/>
    <s v="CMR004"/>
    <x v="1"/>
    <s v="CMR004002"/>
    <s v="Hile-Alifa"/>
    <s v="CMR004002010"/>
    <s v="HIL-0005"/>
    <s v="BARGARAM"/>
    <m/>
    <x v="1"/>
    <n v="12.7012366"/>
    <n v="14.218123800000001"/>
    <x v="0"/>
    <b v="1"/>
    <b v="0"/>
    <b v="0"/>
    <m/>
    <n v="3"/>
    <s v="Accessible"/>
    <m/>
    <s v="Le village accueille une population"/>
    <s v="Le village est intact (construit)"/>
    <m/>
    <m/>
    <s v="Oui"/>
    <s v="Familles d'accueil"/>
    <s v="Non, pas du tout"/>
    <s v="Non"/>
    <m/>
    <n v="57"/>
    <n v="1632"/>
    <s v="Oui"/>
    <s v="Premier déplacement"/>
    <n v="57"/>
    <n v="420"/>
    <n v="215"/>
    <n v="205"/>
    <n v="0"/>
    <n v="57"/>
    <n v="0"/>
    <n v="0"/>
    <m/>
    <m/>
    <n v="0"/>
    <n v="0"/>
    <m/>
    <m/>
    <n v="0"/>
    <s v="Arrivée de 25 ménages de 150 individus venant de l'arrondissement de DARAK"/>
    <s v="Oui"/>
    <n v="65"/>
    <n v="544"/>
    <n v="264"/>
    <n v="280"/>
    <n v="65"/>
    <n v="0"/>
    <n v="0"/>
    <m/>
    <n v="0"/>
    <n v="0"/>
    <m/>
    <m/>
    <n v="0"/>
    <n v="0"/>
    <s v="Ras"/>
    <s v="Oui"/>
    <n v="60"/>
    <n v="449"/>
    <n v="210"/>
    <n v="239"/>
    <s v="Entre 1 et 5 ans"/>
    <n v="11"/>
    <n v="31"/>
    <n v="18"/>
    <n v="0"/>
    <n v="0"/>
    <m/>
    <n v="0"/>
    <n v="0"/>
    <m/>
    <n v="0"/>
    <m/>
    <m/>
    <m/>
    <m/>
    <m/>
    <n v="0"/>
    <m/>
    <m/>
    <m/>
    <m/>
    <m/>
    <m/>
    <m/>
    <m/>
    <m/>
    <m/>
    <m/>
    <m/>
    <m/>
    <s v="1"/>
    <s v="1"/>
    <s v="1"/>
    <n v="3"/>
  </r>
  <r>
    <n v="2639472"/>
    <s v="Extrême-Nord"/>
    <s v="CMR004"/>
    <x v="1"/>
    <s v="CMR004002"/>
    <s v="Hile-Alifa"/>
    <s v="CMR004002010"/>
    <s v="HIL-0006"/>
    <s v="DJIBOUNIBA"/>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68649"/>
    <s v="Extrême-Nord"/>
    <s v="CMR004"/>
    <x v="1"/>
    <s v="CMR004002"/>
    <s v="Hile-Alifa"/>
    <s v="CMR004002010"/>
    <s v="HIL-0014"/>
    <s v="DOLE MILIMI"/>
    <m/>
    <x v="1"/>
    <n v="12.6663876"/>
    <n v="14.370104400000001"/>
    <x v="0"/>
    <b v="1"/>
    <b v="0"/>
    <b v="0"/>
    <m/>
    <n v="3"/>
    <s v="Accessible"/>
    <m/>
    <s v="Le village accueille une population"/>
    <s v="Le village est intact (construit)"/>
    <m/>
    <m/>
    <s v="Oui"/>
    <s v="Familles d'accueil"/>
    <s v="Sites de déplacement spontanés"/>
    <s v="Non"/>
    <m/>
    <n v="90"/>
    <n v="2420"/>
    <s v="Oui"/>
    <s v="Premier déplacement"/>
    <n v="90"/>
    <n v="558"/>
    <n v="275"/>
    <n v="283"/>
    <n v="0"/>
    <n v="30"/>
    <n v="0"/>
    <n v="0"/>
    <m/>
    <m/>
    <n v="0"/>
    <n v="60"/>
    <s v="Paille/Natte/Nylon"/>
    <m/>
    <n v="0"/>
    <s v="Ajout de 70 ménage dans le village venant de tchika"/>
    <s v="Oui"/>
    <n v="5"/>
    <n v="18"/>
    <n v="8"/>
    <n v="10"/>
    <n v="5"/>
    <n v="0"/>
    <n v="0"/>
    <m/>
    <n v="0"/>
    <n v="0"/>
    <m/>
    <m/>
    <n v="0"/>
    <n v="0"/>
    <s v="RAS"/>
    <s v="Non"/>
    <m/>
    <m/>
    <m/>
    <m/>
    <m/>
    <m/>
    <m/>
    <m/>
    <m/>
    <m/>
    <m/>
    <m/>
    <m/>
    <m/>
    <m/>
    <m/>
    <m/>
    <m/>
    <m/>
    <m/>
    <n v="0"/>
    <m/>
    <m/>
    <m/>
    <m/>
    <m/>
    <m/>
    <m/>
    <m/>
    <m/>
    <m/>
    <m/>
    <m/>
    <m/>
    <s v="1"/>
    <s v="1"/>
    <s v="0"/>
    <n v="2"/>
  </r>
  <r>
    <n v="2657906"/>
    <s v="Extrême-Nord"/>
    <s v="CMR004"/>
    <x v="1"/>
    <s v="CMR004002"/>
    <s v="Hile-Alifa"/>
    <s v="CMR004002010"/>
    <s v="HIL-0015"/>
    <s v="DOUGOUMSILIO 1"/>
    <m/>
    <x v="1"/>
    <n v="12.600592499999999"/>
    <n v="14.3830293"/>
    <x v="0"/>
    <b v="1"/>
    <b v="0"/>
    <b v="0"/>
    <m/>
    <n v="3"/>
    <s v="Accessible"/>
    <m/>
    <s v="Le village accueille une population"/>
    <s v="Le village est intact (construit)"/>
    <m/>
    <m/>
    <s v="Oui"/>
    <s v="Familles d'accueil"/>
    <s v="Non, pas du tout"/>
    <s v="Non"/>
    <m/>
    <n v="31"/>
    <n v="1870"/>
    <s v="Oui"/>
    <s v="Premier déplacement"/>
    <n v="31"/>
    <n v="234"/>
    <n v="108"/>
    <n v="126"/>
    <n v="0"/>
    <n v="31"/>
    <n v="0"/>
    <n v="0"/>
    <m/>
    <m/>
    <n v="0"/>
    <n v="0"/>
    <m/>
    <m/>
    <n v="0"/>
    <s v="Pas de changement"/>
    <s v="Oui"/>
    <n v="3"/>
    <n v="11"/>
    <n v="3"/>
    <n v="8"/>
    <n v="3"/>
    <n v="0"/>
    <n v="0"/>
    <m/>
    <n v="0"/>
    <n v="0"/>
    <m/>
    <m/>
    <n v="0"/>
    <n v="0"/>
    <s v="RAS"/>
    <s v="Non"/>
    <m/>
    <m/>
    <m/>
    <m/>
    <m/>
    <m/>
    <m/>
    <m/>
    <m/>
    <m/>
    <m/>
    <m/>
    <m/>
    <m/>
    <m/>
    <m/>
    <m/>
    <m/>
    <m/>
    <m/>
    <n v="0"/>
    <m/>
    <m/>
    <m/>
    <m/>
    <m/>
    <m/>
    <m/>
    <m/>
    <m/>
    <m/>
    <m/>
    <m/>
    <m/>
    <s v="1"/>
    <s v="1"/>
    <s v="0"/>
    <n v="2"/>
  </r>
  <r>
    <n v="2632518"/>
    <s v="Extrême-Nord"/>
    <s v="CMR004"/>
    <x v="1"/>
    <s v="CMR004002"/>
    <s v="Hile-Alifa"/>
    <s v="CMR004002010"/>
    <s v="HIL-0016"/>
    <s v="DOUGOUMSILIO 2"/>
    <m/>
    <x v="1"/>
    <n v="12.604093199999999"/>
    <n v="14.3858932"/>
    <x v="0"/>
    <b v="1"/>
    <b v="0"/>
    <b v="0"/>
    <m/>
    <n v="3"/>
    <s v="Accessible"/>
    <m/>
    <s v="Le village accueille une population"/>
    <s v="Le village est intact (construit)"/>
    <m/>
    <m/>
    <s v="Oui"/>
    <s v="Familles d'accueil"/>
    <s v="Non, pas du tout"/>
    <s v="Non"/>
    <m/>
    <n v="29"/>
    <n v="1030"/>
    <s v="Oui"/>
    <s v="Premier déplacement"/>
    <n v="29"/>
    <n v="194"/>
    <n v="84"/>
    <n v="110"/>
    <n v="0"/>
    <n v="29"/>
    <n v="0"/>
    <n v="0"/>
    <m/>
    <m/>
    <n v="0"/>
    <n v="0"/>
    <m/>
    <m/>
    <n v="0"/>
    <s v="Arrivée de 5 ménages de 30 individus venant de Tchika"/>
    <s v="Oui"/>
    <n v="7"/>
    <n v="49"/>
    <n v="20"/>
    <n v="29"/>
    <n v="7"/>
    <n v="0"/>
    <n v="0"/>
    <m/>
    <n v="0"/>
    <n v="0"/>
    <m/>
    <m/>
    <n v="0"/>
    <n v="0"/>
    <s v="Ras"/>
    <s v="Non"/>
    <m/>
    <m/>
    <m/>
    <m/>
    <m/>
    <m/>
    <m/>
    <m/>
    <m/>
    <m/>
    <m/>
    <m/>
    <m/>
    <m/>
    <m/>
    <m/>
    <m/>
    <m/>
    <m/>
    <m/>
    <n v="0"/>
    <m/>
    <m/>
    <m/>
    <m/>
    <m/>
    <m/>
    <m/>
    <m/>
    <m/>
    <m/>
    <m/>
    <m/>
    <m/>
    <s v="1"/>
    <s v="1"/>
    <s v="0"/>
    <n v="2"/>
  </r>
  <r>
    <n v="2632170"/>
    <s v="Extrême-Nord"/>
    <s v="CMR004"/>
    <x v="1"/>
    <s v="CMR004002"/>
    <s v="Hile-Alifa"/>
    <s v="CMR004002010"/>
    <s v="HIL-0022"/>
    <s v="FADJA"/>
    <m/>
    <x v="1"/>
    <n v="12.629335599999999"/>
    <n v="14.388799799999999"/>
    <x v="0"/>
    <b v="1"/>
    <b v="0"/>
    <b v="0"/>
    <m/>
    <n v="3"/>
    <s v="Accessible"/>
    <m/>
    <s v="Le village accueille une population"/>
    <s v="Le village est intact (construit)"/>
    <m/>
    <m/>
    <s v="Oui"/>
    <s v="Familles d'accueil"/>
    <s v="Non, pas du tout"/>
    <s v="Non"/>
    <m/>
    <n v="11"/>
    <n v="2042"/>
    <s v="Oui"/>
    <s v="Premier déplacement"/>
    <n v="11"/>
    <n v="77"/>
    <n v="40"/>
    <n v="37"/>
    <n v="0"/>
    <n v="11"/>
    <n v="0"/>
    <n v="0"/>
    <m/>
    <m/>
    <n v="0"/>
    <n v="0"/>
    <m/>
    <m/>
    <n v="0"/>
    <s v="Ajout de 6 ménages et de 42 individus venant de l'arrondissement de DARAK. Plus précisément katikime "/>
    <s v="Oui"/>
    <n v="4"/>
    <n v="40"/>
    <n v="20"/>
    <n v="20"/>
    <n v="4"/>
    <n v="0"/>
    <n v="0"/>
    <m/>
    <n v="0"/>
    <n v="0"/>
    <m/>
    <m/>
    <n v="0"/>
    <n v="0"/>
    <s v="RAS"/>
    <s v="Non"/>
    <m/>
    <m/>
    <m/>
    <m/>
    <m/>
    <m/>
    <m/>
    <m/>
    <m/>
    <m/>
    <m/>
    <m/>
    <m/>
    <m/>
    <m/>
    <m/>
    <m/>
    <m/>
    <m/>
    <m/>
    <n v="0"/>
    <m/>
    <m/>
    <m/>
    <m/>
    <m/>
    <m/>
    <m/>
    <m/>
    <m/>
    <m/>
    <m/>
    <m/>
    <m/>
    <s v="1"/>
    <s v="1"/>
    <s v="0"/>
    <n v="2"/>
  </r>
  <r>
    <n v="2639473"/>
    <s v="Extrême-Nord"/>
    <s v="CMR004"/>
    <x v="1"/>
    <s v="CMR004002"/>
    <s v="Hile-Alifa"/>
    <s v="CMR004002010"/>
    <s v="HIL-0021"/>
    <s v="FAMARE"/>
    <m/>
    <x v="1"/>
    <n v="12.7132562"/>
    <n v="14.331371600000001"/>
    <x v="0"/>
    <b v="1"/>
    <b v="0"/>
    <b v="0"/>
    <m/>
    <n v="3"/>
    <s v="Accessible"/>
    <m/>
    <s v="Le village accueille une population"/>
    <s v="Le village est intact (construit)"/>
    <m/>
    <m/>
    <s v="Oui"/>
    <s v="Familles d'accueil"/>
    <s v="Sites de déplacement spontanés"/>
    <s v="Non"/>
    <m/>
    <n v="51"/>
    <n v="458"/>
    <s v="Oui"/>
    <s v="Premier déplacement"/>
    <n v="51"/>
    <n v="308"/>
    <n v="150"/>
    <n v="158"/>
    <n v="0"/>
    <n v="1"/>
    <n v="0"/>
    <n v="0"/>
    <m/>
    <m/>
    <n v="0"/>
    <n v="50"/>
    <s v="Paille/Natte/Nylon"/>
    <m/>
    <n v="0"/>
    <s v="Ajout des 50 ménages déplacés de 300 dans le village venant de l'arrondissement de Darak"/>
    <s v="Oui"/>
    <n v="7"/>
    <n v="41"/>
    <n v="20"/>
    <n v="21"/>
    <n v="7"/>
    <n v="0"/>
    <n v="0"/>
    <m/>
    <n v="0"/>
    <n v="0"/>
    <m/>
    <m/>
    <n v="0"/>
    <n v="0"/>
    <s v="RAS"/>
    <s v="Non"/>
    <m/>
    <m/>
    <m/>
    <m/>
    <m/>
    <m/>
    <m/>
    <m/>
    <m/>
    <m/>
    <m/>
    <m/>
    <m/>
    <m/>
    <m/>
    <m/>
    <m/>
    <m/>
    <m/>
    <m/>
    <n v="0"/>
    <m/>
    <m/>
    <m/>
    <m/>
    <m/>
    <m/>
    <m/>
    <m/>
    <m/>
    <m/>
    <m/>
    <m/>
    <m/>
    <s v="1"/>
    <s v="1"/>
    <s v="0"/>
    <n v="2"/>
  </r>
  <r>
    <n v="2632171"/>
    <s v="Extrême-Nord"/>
    <s v="CMR004"/>
    <x v="1"/>
    <s v="CMR004002"/>
    <s v="Hile-Alifa"/>
    <s v="CMR004002010"/>
    <s v="HIL-0023"/>
    <s v="GONONI"/>
    <m/>
    <x v="1"/>
    <n v="12.640125299999999"/>
    <n v="14.368553"/>
    <x v="0"/>
    <b v="1"/>
    <b v="0"/>
    <b v="0"/>
    <m/>
    <n v="3"/>
    <s v="Accessible"/>
    <m/>
    <s v="Le village accueille une population"/>
    <s v="Le village est intact (construit)"/>
    <m/>
    <m/>
    <s v="Oui"/>
    <s v="Familles d'accueil"/>
    <s v="Non, pas du tout"/>
    <s v="Non"/>
    <m/>
    <n v="42"/>
    <n v="1231"/>
    <s v="Oui"/>
    <s v="Premier déplacement"/>
    <n v="42"/>
    <n v="272"/>
    <n v="134"/>
    <n v="138"/>
    <n v="0"/>
    <n v="42"/>
    <n v="0"/>
    <n v="0"/>
    <m/>
    <m/>
    <n v="0"/>
    <n v="0"/>
    <m/>
    <m/>
    <n v="0"/>
    <s v="Ajout de 35 ménages et de 201 individus venant de Gariwanzam et katikime de l'arrondissement de DARAK"/>
    <s v="Oui"/>
    <n v="4"/>
    <n v="31"/>
    <n v="16"/>
    <n v="15"/>
    <n v="4"/>
    <n v="0"/>
    <n v="0"/>
    <m/>
    <n v="0"/>
    <n v="0"/>
    <m/>
    <m/>
    <n v="0"/>
    <n v="0"/>
    <s v="RAS"/>
    <s v="Non"/>
    <m/>
    <m/>
    <m/>
    <m/>
    <m/>
    <m/>
    <m/>
    <m/>
    <m/>
    <m/>
    <m/>
    <m/>
    <m/>
    <m/>
    <m/>
    <m/>
    <m/>
    <m/>
    <m/>
    <m/>
    <n v="0"/>
    <m/>
    <m/>
    <m/>
    <m/>
    <m/>
    <m/>
    <m/>
    <m/>
    <m/>
    <m/>
    <m/>
    <m/>
    <m/>
    <s v="1"/>
    <s v="1"/>
    <s v="0"/>
    <n v="2"/>
  </r>
  <r>
    <n v="2657907"/>
    <s v="Extrême-Nord"/>
    <s v="CMR004"/>
    <x v="1"/>
    <s v="CMR004002"/>
    <s v="Hile-Alifa"/>
    <s v="CMR004002010"/>
    <s v="HIL-0007"/>
    <s v="GORETAL GOUTOUN"/>
    <m/>
    <x v="1"/>
    <s v="N/A"/>
    <s v="N/A"/>
    <x v="0"/>
    <b v="1"/>
    <b v="0"/>
    <b v="0"/>
    <m/>
    <n v="3"/>
    <s v="Inaccessible - insécurité"/>
    <m/>
    <s v="Le village accueille une population"/>
    <s v="Le village est intact (construit)"/>
    <m/>
    <m/>
    <s v="Oui"/>
    <s v="Familles d'accueil"/>
    <s v="Non, pas du tout"/>
    <s v="Non"/>
    <m/>
    <n v="21"/>
    <n v="2207"/>
    <s v="Oui"/>
    <s v="Premier déplacement"/>
    <n v="21"/>
    <n v="157"/>
    <n v="75"/>
    <n v="82"/>
    <n v="0"/>
    <n v="21"/>
    <n v="0"/>
    <n v="0"/>
    <m/>
    <m/>
    <n v="0"/>
    <n v="0"/>
    <m/>
    <m/>
    <n v="0"/>
    <s v="RAS"/>
    <s v="Oui"/>
    <n v="41"/>
    <n v="342"/>
    <n v="159"/>
    <n v="183"/>
    <n v="41"/>
    <n v="0"/>
    <n v="0"/>
    <m/>
    <n v="0"/>
    <n v="0"/>
    <m/>
    <m/>
    <n v="0"/>
    <n v="0"/>
    <s v="RAS"/>
    <s v="Oui"/>
    <n v="144"/>
    <n v="1159"/>
    <n v="479"/>
    <n v="680"/>
    <s v="Entre 1 et 5 ans"/>
    <n v="0"/>
    <n v="133"/>
    <n v="11"/>
    <n v="0"/>
    <n v="0"/>
    <m/>
    <n v="0"/>
    <n v="0"/>
    <m/>
    <n v="0"/>
    <m/>
    <m/>
    <m/>
    <m/>
    <m/>
    <n v="0"/>
    <m/>
    <m/>
    <m/>
    <m/>
    <m/>
    <m/>
    <m/>
    <m/>
    <m/>
    <m/>
    <m/>
    <m/>
    <m/>
    <s v="1"/>
    <s v="1"/>
    <s v="1"/>
    <n v="3"/>
  </r>
  <r>
    <n v="2603578"/>
    <s v="Extrême-Nord"/>
    <s v="CMR004"/>
    <x v="1"/>
    <s v="CMR004002"/>
    <s v="Hile-Alifa"/>
    <s v="CMR004002010"/>
    <s v="HIL-0008"/>
    <s v="HILE ALIFA 1"/>
    <m/>
    <x v="0"/>
    <n v="12.691938499999999"/>
    <n v="14.3147822"/>
    <x v="0"/>
    <b v="1"/>
    <b v="0"/>
    <b v="0"/>
    <m/>
    <n v="3"/>
    <s v="Accessible"/>
    <m/>
    <s v="Le village accueille une population"/>
    <s v="Le village est intact (construit)"/>
    <m/>
    <m/>
    <s v="Oui"/>
    <s v="Familles d'accueil"/>
    <s v="Sites de déplacement spontanés"/>
    <s v="Non"/>
    <m/>
    <n v="448"/>
    <n v="6269"/>
    <s v="Oui"/>
    <s v="Premier déplacement"/>
    <n v="448"/>
    <n v="3304"/>
    <n v="1578"/>
    <n v="1726"/>
    <n v="0"/>
    <n v="350"/>
    <n v="0"/>
    <n v="0"/>
    <m/>
    <m/>
    <n v="0"/>
    <n v="98"/>
    <s v="Pagne"/>
    <m/>
    <n v="0"/>
    <s v="Augmentation des  270 ménages  de 1890 individu déplacés venant de l'arrondissement de Darak  depuis décembre 2022"/>
    <s v="Non"/>
    <m/>
    <m/>
    <m/>
    <m/>
    <m/>
    <m/>
    <m/>
    <m/>
    <m/>
    <m/>
    <m/>
    <m/>
    <m/>
    <m/>
    <m/>
    <s v="Non"/>
    <m/>
    <m/>
    <m/>
    <m/>
    <m/>
    <m/>
    <m/>
    <m/>
    <m/>
    <m/>
    <m/>
    <m/>
    <m/>
    <m/>
    <m/>
    <m/>
    <m/>
    <m/>
    <m/>
    <m/>
    <n v="0"/>
    <m/>
    <m/>
    <m/>
    <m/>
    <m/>
    <m/>
    <m/>
    <m/>
    <m/>
    <m/>
    <m/>
    <m/>
    <m/>
    <s v="1"/>
    <s v="0"/>
    <s v="0"/>
    <n v="1"/>
  </r>
  <r>
    <n v="2598053"/>
    <s v="Extrême-Nord"/>
    <s v="CMR004"/>
    <x v="1"/>
    <s v="CMR004002"/>
    <s v="Hile-Alifa"/>
    <s v="CMR004002010"/>
    <s v="HIL-0009"/>
    <s v="HILE ALIFA 2"/>
    <m/>
    <x v="0"/>
    <n v="12.6954984"/>
    <n v="14.3071413"/>
    <x v="0"/>
    <b v="1"/>
    <b v="0"/>
    <b v="0"/>
    <m/>
    <n v="3"/>
    <s v="Accessible"/>
    <m/>
    <s v="Le village accueille une population"/>
    <s v="Le village est intact (construit)"/>
    <m/>
    <m/>
    <s v="Oui"/>
    <s v="Familles d'accueil"/>
    <s v="Non, pas du tout"/>
    <s v="Non"/>
    <m/>
    <n v="823"/>
    <n v="7343"/>
    <s v="Oui"/>
    <s v="Premier déplacement"/>
    <n v="823"/>
    <n v="5044"/>
    <n v="2504"/>
    <n v="2540"/>
    <n v="33"/>
    <n v="390"/>
    <n v="0"/>
    <n v="0"/>
    <m/>
    <m/>
    <n v="0"/>
    <n v="400"/>
    <s v="Paille/Natte/Nylon"/>
    <m/>
    <n v="0"/>
    <s v="Augmentation de 700 ménages de 4200 individus, venant de la,'arrondissement de DARAK, tel que des villages ci-après : Naga'a, Tchika,  Gariwanzam, Doreliman et hilekatchou."/>
    <s v="Oui"/>
    <n v="15"/>
    <n v="100"/>
    <n v="45"/>
    <n v="55"/>
    <n v="10"/>
    <n v="0"/>
    <n v="0"/>
    <m/>
    <n v="0"/>
    <n v="5"/>
    <s v="Pagne"/>
    <m/>
    <n v="0"/>
    <n v="0"/>
    <s v="Pas de changement"/>
    <s v="Non"/>
    <m/>
    <m/>
    <m/>
    <m/>
    <m/>
    <m/>
    <m/>
    <m/>
    <m/>
    <m/>
    <m/>
    <m/>
    <m/>
    <m/>
    <m/>
    <m/>
    <m/>
    <m/>
    <m/>
    <m/>
    <n v="0"/>
    <m/>
    <m/>
    <m/>
    <m/>
    <m/>
    <m/>
    <m/>
    <m/>
    <m/>
    <m/>
    <m/>
    <m/>
    <m/>
    <s v="1"/>
    <s v="1"/>
    <s v="0"/>
    <n v="2"/>
  </r>
  <r>
    <n v="2615010"/>
    <s v="Extrême-Nord"/>
    <s v="CMR004"/>
    <x v="1"/>
    <s v="CMR004002"/>
    <s v="Hile-Alifa"/>
    <s v="CMR004002010"/>
    <s v="HIL-0013"/>
    <s v="HILE-KATCHOU"/>
    <m/>
    <x v="1"/>
    <s v="N/A"/>
    <s v="N/A"/>
    <x v="0"/>
    <b v="1"/>
    <b v="0"/>
    <b v="1"/>
    <m/>
    <n v="3"/>
    <s v="Inaccessible - insécurité"/>
    <m/>
    <s v="Le village est entièrement déserté"/>
    <m/>
    <m/>
    <m/>
    <m/>
    <m/>
    <m/>
    <m/>
    <m/>
    <m/>
    <m/>
    <m/>
    <m/>
    <m/>
    <m/>
    <m/>
    <m/>
    <m/>
    <m/>
    <m/>
    <m/>
    <m/>
    <m/>
    <m/>
    <m/>
    <m/>
    <m/>
    <m/>
    <m/>
    <m/>
    <m/>
    <m/>
    <m/>
    <m/>
    <m/>
    <m/>
    <m/>
    <m/>
    <m/>
    <m/>
    <m/>
    <m/>
    <m/>
    <m/>
    <m/>
    <m/>
    <m/>
    <m/>
    <m/>
    <m/>
    <m/>
    <m/>
    <m/>
    <m/>
    <m/>
    <m/>
    <m/>
    <m/>
    <m/>
    <m/>
    <m/>
    <m/>
    <m/>
    <m/>
    <m/>
    <m/>
    <m/>
    <m/>
    <m/>
    <m/>
    <m/>
    <m/>
    <m/>
    <m/>
    <m/>
    <m/>
    <m/>
    <m/>
    <m/>
    <m/>
    <s v="0"/>
    <s v="0"/>
    <s v="0"/>
    <n v="0"/>
  </r>
  <r>
    <n v="2646283"/>
    <s v="Extrême-Nord"/>
    <s v="CMR004"/>
    <x v="1"/>
    <s v="CMR004002"/>
    <s v="Hile-Alifa"/>
    <s v="CMR004002010"/>
    <s v="HIL-0010"/>
    <s v="KAMOUNA"/>
    <m/>
    <x v="1"/>
    <s v="N/A"/>
    <s v="N/A"/>
    <x v="0"/>
    <b v="1"/>
    <b v="0"/>
    <b v="1"/>
    <m/>
    <n v="3"/>
    <s v="Inaccessible - insécurité"/>
    <m/>
    <s v="Le village est entièrement déserté"/>
    <m/>
    <m/>
    <m/>
    <m/>
    <m/>
    <m/>
    <m/>
    <m/>
    <m/>
    <m/>
    <m/>
    <m/>
    <m/>
    <m/>
    <m/>
    <m/>
    <m/>
    <m/>
    <m/>
    <m/>
    <m/>
    <m/>
    <m/>
    <m/>
    <m/>
    <m/>
    <m/>
    <m/>
    <m/>
    <m/>
    <m/>
    <m/>
    <m/>
    <m/>
    <m/>
    <m/>
    <m/>
    <m/>
    <m/>
    <m/>
    <m/>
    <m/>
    <m/>
    <m/>
    <m/>
    <m/>
    <m/>
    <m/>
    <m/>
    <m/>
    <m/>
    <m/>
    <m/>
    <m/>
    <m/>
    <m/>
    <m/>
    <m/>
    <m/>
    <m/>
    <m/>
    <m/>
    <m/>
    <m/>
    <m/>
    <m/>
    <m/>
    <m/>
    <m/>
    <m/>
    <m/>
    <m/>
    <m/>
    <m/>
    <m/>
    <m/>
    <m/>
    <m/>
    <m/>
    <s v="0"/>
    <s v="0"/>
    <s v="0"/>
    <n v="0"/>
  </r>
  <r>
    <n v="2627943"/>
    <s v="Extrême-Nord"/>
    <s v="CMR004"/>
    <x v="1"/>
    <s v="CMR004002"/>
    <s v="Hile-Alifa"/>
    <s v="CMR004002010"/>
    <s v="HIL-0001"/>
    <s v="MADINA"/>
    <m/>
    <x v="1"/>
    <n v="12.676858299999999"/>
    <n v="14.349694700000001"/>
    <x v="0"/>
    <b v="1"/>
    <b v="0"/>
    <b v="0"/>
    <m/>
    <n v="3"/>
    <s v="Accessible"/>
    <m/>
    <s v="Le village accueille une population"/>
    <s v="Le village est intact (construit)"/>
    <m/>
    <m/>
    <s v="Oui"/>
    <s v="Familles d'accueil"/>
    <s v="Sites de déplacement spontanés"/>
    <s v="Non"/>
    <m/>
    <n v="129"/>
    <n v="1055"/>
    <s v="Oui"/>
    <s v="Premier déplacement"/>
    <n v="129"/>
    <n v="900"/>
    <n v="493"/>
    <n v="407"/>
    <n v="9"/>
    <n v="20"/>
    <n v="0"/>
    <n v="0"/>
    <m/>
    <m/>
    <n v="0"/>
    <n v="100"/>
    <s v="Paille/Natte/Nylon"/>
    <m/>
    <n v="0"/>
    <s v="Ajout des  115 ménages déplacés 805 individus venant de katikime village de l'arrondissement de Darak"/>
    <s v="Non"/>
    <m/>
    <m/>
    <m/>
    <m/>
    <m/>
    <m/>
    <m/>
    <m/>
    <m/>
    <m/>
    <m/>
    <m/>
    <m/>
    <m/>
    <m/>
    <s v="Non"/>
    <m/>
    <m/>
    <m/>
    <m/>
    <m/>
    <m/>
    <m/>
    <m/>
    <m/>
    <m/>
    <m/>
    <m/>
    <m/>
    <m/>
    <m/>
    <m/>
    <m/>
    <m/>
    <m/>
    <m/>
    <n v="0"/>
    <m/>
    <m/>
    <m/>
    <m/>
    <m/>
    <m/>
    <m/>
    <m/>
    <m/>
    <m/>
    <m/>
    <m/>
    <m/>
    <s v="1"/>
    <s v="0"/>
    <s v="0"/>
    <n v="1"/>
  </r>
  <r>
    <n v="2627846"/>
    <s v="Extrême-Nord"/>
    <s v="CMR004"/>
    <x v="1"/>
    <s v="CMR004002"/>
    <s v="Hile-Alifa"/>
    <s v="CMR004002010"/>
    <s v="HIL-0017"/>
    <s v="MAFOULSO 1"/>
    <m/>
    <x v="1"/>
    <n v="12.679225799999999"/>
    <n v="14.3512436"/>
    <x v="0"/>
    <b v="1"/>
    <b v="0"/>
    <b v="0"/>
    <m/>
    <n v="3"/>
    <s v="Accessible"/>
    <m/>
    <s v="Le village accueille une population"/>
    <s v="Le village est intact (construit)"/>
    <m/>
    <m/>
    <s v="Oui"/>
    <s v="Familles d'accueil"/>
    <s v="Non, pas du tout"/>
    <s v="Non"/>
    <m/>
    <n v="80"/>
    <n v="2376"/>
    <s v="Oui"/>
    <s v="Premier déplacement"/>
    <n v="80"/>
    <n v="534"/>
    <n v="281"/>
    <n v="253"/>
    <n v="0"/>
    <n v="19"/>
    <n v="0"/>
    <n v="0"/>
    <m/>
    <m/>
    <n v="0"/>
    <n v="61"/>
    <s v="Paille/Natte/Nylon"/>
    <m/>
    <n v="0"/>
    <s v="Augmentation des 61 ménages déplacés et 366 individus venant de l'arrondissement de Darak."/>
    <s v="Oui"/>
    <n v="4"/>
    <n v="40"/>
    <n v="20"/>
    <n v="20"/>
    <n v="4"/>
    <n v="0"/>
    <n v="0"/>
    <m/>
    <n v="0"/>
    <n v="0"/>
    <m/>
    <m/>
    <n v="0"/>
    <n v="0"/>
    <s v="RAS"/>
    <s v="Non"/>
    <m/>
    <m/>
    <m/>
    <m/>
    <m/>
    <m/>
    <m/>
    <m/>
    <m/>
    <m/>
    <m/>
    <m/>
    <m/>
    <m/>
    <m/>
    <m/>
    <m/>
    <m/>
    <m/>
    <m/>
    <n v="0"/>
    <m/>
    <m/>
    <m/>
    <m/>
    <m/>
    <m/>
    <m/>
    <m/>
    <m/>
    <m/>
    <m/>
    <m/>
    <m/>
    <s v="1"/>
    <s v="1"/>
    <s v="0"/>
    <n v="2"/>
  </r>
  <r>
    <n v="2639471"/>
    <s v="Extrême-Nord"/>
    <s v="CMR004"/>
    <x v="1"/>
    <s v="CMR004002"/>
    <s v="Hile-Alifa"/>
    <s v="CMR004002010"/>
    <s v="HIL-0018"/>
    <s v="MAFOULSO 2"/>
    <m/>
    <x v="1"/>
    <n v="12.6798158"/>
    <n v="14.3434142"/>
    <x v="0"/>
    <b v="1"/>
    <b v="0"/>
    <b v="0"/>
    <m/>
    <n v="3"/>
    <s v="Accessible"/>
    <m/>
    <s v="Le village accueille une population"/>
    <s v="Le village est intact (construit)"/>
    <m/>
    <m/>
    <s v="Oui"/>
    <s v="Familles d'accueil"/>
    <s v="Sites de déplacement spontanés"/>
    <s v="Non"/>
    <m/>
    <n v="29"/>
    <n v="300"/>
    <s v="Oui"/>
    <s v="Premier déplacement"/>
    <n v="29"/>
    <n v="211"/>
    <n v="100"/>
    <n v="111"/>
    <n v="0"/>
    <n v="29"/>
    <n v="0"/>
    <n v="0"/>
    <m/>
    <m/>
    <n v="0"/>
    <n v="0"/>
    <m/>
    <m/>
    <n v="0"/>
    <s v="Ajout des  20 ménages déplacés  et de 140 individus venant de katikime"/>
    <s v="Non"/>
    <m/>
    <m/>
    <m/>
    <m/>
    <m/>
    <m/>
    <m/>
    <m/>
    <m/>
    <m/>
    <m/>
    <m/>
    <m/>
    <m/>
    <m/>
    <s v="Non"/>
    <m/>
    <m/>
    <m/>
    <m/>
    <m/>
    <m/>
    <m/>
    <m/>
    <m/>
    <m/>
    <m/>
    <m/>
    <m/>
    <m/>
    <m/>
    <m/>
    <m/>
    <m/>
    <m/>
    <m/>
    <n v="0"/>
    <m/>
    <m/>
    <m/>
    <m/>
    <m/>
    <m/>
    <m/>
    <m/>
    <m/>
    <m/>
    <m/>
    <m/>
    <m/>
    <s v="1"/>
    <s v="0"/>
    <s v="0"/>
    <n v="1"/>
  </r>
  <r>
    <n v="2666650"/>
    <s v="Extrême-Nord"/>
    <s v="CMR004"/>
    <x v="1"/>
    <s v="CMR004002"/>
    <s v="Hile-Alifa"/>
    <s v="CMR004002010"/>
    <s v="HIL-0019"/>
    <s v="MAFOULSO 3"/>
    <m/>
    <x v="1"/>
    <n v="12.68153"/>
    <n v="14.340975"/>
    <x v="0"/>
    <b v="1"/>
    <b v="0"/>
    <b v="0"/>
    <m/>
    <n v="3"/>
    <s v="Accessible"/>
    <m/>
    <s v="Le village accueille une population"/>
    <s v="Le village est intact (construit)"/>
    <m/>
    <m/>
    <s v="Oui"/>
    <s v="Familles d'accueil"/>
    <s v="Sites de déplacement spontanés"/>
    <s v="Non"/>
    <m/>
    <n v="51"/>
    <n v="587"/>
    <s v="Oui"/>
    <s v="Premier déplacement"/>
    <n v="51"/>
    <n v="330"/>
    <n v="150"/>
    <n v="180"/>
    <n v="0"/>
    <n v="30"/>
    <n v="0"/>
    <n v="0"/>
    <m/>
    <m/>
    <n v="0"/>
    <n v="21"/>
    <s v="Paille/Natte/Nylon"/>
    <m/>
    <n v="0"/>
    <s v="Augmentation des ménages déplacés dans le village"/>
    <s v="Non"/>
    <m/>
    <m/>
    <m/>
    <m/>
    <m/>
    <m/>
    <m/>
    <m/>
    <m/>
    <m/>
    <m/>
    <m/>
    <m/>
    <m/>
    <m/>
    <s v="Non"/>
    <m/>
    <m/>
    <m/>
    <m/>
    <m/>
    <m/>
    <m/>
    <m/>
    <m/>
    <m/>
    <m/>
    <m/>
    <m/>
    <m/>
    <m/>
    <m/>
    <m/>
    <m/>
    <m/>
    <m/>
    <n v="0"/>
    <m/>
    <m/>
    <m/>
    <m/>
    <m/>
    <m/>
    <m/>
    <m/>
    <m/>
    <m/>
    <m/>
    <m/>
    <m/>
    <s v="1"/>
    <s v="0"/>
    <s v="0"/>
    <n v="1"/>
  </r>
  <r>
    <n v="2666651"/>
    <s v="Extrême-Nord"/>
    <s v="CMR004"/>
    <x v="1"/>
    <s v="CMR004002"/>
    <s v="Hile-Alifa"/>
    <s v="CMR004002010"/>
    <s v="HIL-0024"/>
    <s v="MAITO"/>
    <m/>
    <x v="1"/>
    <n v="12.677063"/>
    <n v="14.3517695"/>
    <x v="0"/>
    <b v="1"/>
    <b v="0"/>
    <b v="0"/>
    <m/>
    <n v="3"/>
    <s v="Accessible"/>
    <m/>
    <s v="Le village accueille une population"/>
    <s v="Le village est intact (construit)"/>
    <m/>
    <m/>
    <s v="Oui"/>
    <s v="Familles d'accueil"/>
    <s v="Sites de déplacement spontanés"/>
    <s v="Non"/>
    <m/>
    <n v="70"/>
    <n v="2700"/>
    <s v="Oui"/>
    <s v="Premier déplacement"/>
    <n v="70"/>
    <n v="489"/>
    <n v="244"/>
    <n v="245"/>
    <n v="0"/>
    <n v="5"/>
    <n v="0"/>
    <n v="0"/>
    <m/>
    <m/>
    <n v="0"/>
    <n v="65"/>
    <s v="Paille/Natte/Nylon"/>
    <m/>
    <n v="0"/>
    <s v="Ajout des  65 ménages déplacés dans le village"/>
    <s v="Non"/>
    <m/>
    <m/>
    <m/>
    <m/>
    <m/>
    <m/>
    <m/>
    <m/>
    <m/>
    <m/>
    <m/>
    <m/>
    <m/>
    <m/>
    <m/>
    <s v="Non"/>
    <m/>
    <m/>
    <m/>
    <m/>
    <m/>
    <m/>
    <m/>
    <m/>
    <m/>
    <m/>
    <m/>
    <m/>
    <m/>
    <m/>
    <m/>
    <m/>
    <m/>
    <m/>
    <m/>
    <m/>
    <n v="0"/>
    <m/>
    <m/>
    <m/>
    <m/>
    <m/>
    <m/>
    <m/>
    <m/>
    <m/>
    <m/>
    <m/>
    <m/>
    <m/>
    <s v="1"/>
    <s v="0"/>
    <s v="0"/>
    <n v="1"/>
  </r>
  <r>
    <n v="2625267"/>
    <s v="Extrême-Nord"/>
    <s v="CMR004"/>
    <x v="1"/>
    <s v="CMR004002"/>
    <s v="Hile-Alifa"/>
    <s v="CMR004002010"/>
    <s v="HIL-0011"/>
    <s v="TCHIKA"/>
    <m/>
    <x v="0"/>
    <s v="N/A"/>
    <s v="N/A"/>
    <x v="0"/>
    <b v="1"/>
    <b v="0"/>
    <b v="1"/>
    <m/>
    <n v="3"/>
    <s v="Inaccessible - insécurité"/>
    <m/>
    <s v="Le village est entièrement déserté"/>
    <m/>
    <m/>
    <m/>
    <m/>
    <m/>
    <m/>
    <m/>
    <m/>
    <m/>
    <m/>
    <m/>
    <m/>
    <m/>
    <m/>
    <m/>
    <m/>
    <m/>
    <m/>
    <m/>
    <m/>
    <m/>
    <m/>
    <m/>
    <m/>
    <m/>
    <m/>
    <m/>
    <m/>
    <m/>
    <m/>
    <m/>
    <m/>
    <m/>
    <m/>
    <m/>
    <m/>
    <m/>
    <m/>
    <m/>
    <m/>
    <m/>
    <m/>
    <m/>
    <m/>
    <m/>
    <m/>
    <m/>
    <m/>
    <m/>
    <m/>
    <m/>
    <m/>
    <m/>
    <m/>
    <m/>
    <m/>
    <m/>
    <m/>
    <m/>
    <m/>
    <m/>
    <m/>
    <m/>
    <m/>
    <m/>
    <m/>
    <m/>
    <m/>
    <m/>
    <m/>
    <m/>
    <m/>
    <m/>
    <m/>
    <m/>
    <m/>
    <m/>
    <m/>
    <m/>
    <s v="0"/>
    <s v="0"/>
    <s v="0"/>
    <n v="0"/>
  </r>
  <r>
    <n v="2666652"/>
    <s v="Extrême-Nord"/>
    <s v="CMR004"/>
    <x v="1"/>
    <s v="CMR004002"/>
    <s v="Hile-Alifa"/>
    <s v="CMR004002010"/>
    <s v="HIL-0012"/>
    <s v="TERBOU"/>
    <m/>
    <x v="1"/>
    <s v="N/A"/>
    <s v="N/A"/>
    <x v="0"/>
    <b v="0"/>
    <b v="0"/>
    <b v="1"/>
    <m/>
    <m/>
    <s v="Inaccessible - pas d'accès physique"/>
    <s v="Aléas climatiques (inondations)"/>
    <s v="Le village accueille une population"/>
    <s v="Le village est intact (construit)"/>
    <m/>
    <m/>
    <s v="Oui"/>
    <s v="Familles d'accueil"/>
    <s v="Non, pas du tout"/>
    <s v="Non"/>
    <m/>
    <n v="34"/>
    <n v="1344"/>
    <s v="Oui"/>
    <s v="Deuxième déplacement"/>
    <n v="34"/>
    <n v="295"/>
    <n v="95"/>
    <n v="200"/>
    <n v="0"/>
    <n v="34"/>
    <n v="0"/>
    <n v="0"/>
    <m/>
    <m/>
    <n v="0"/>
    <n v="0"/>
    <m/>
    <m/>
    <n v="0"/>
    <s v="RAS"/>
    <s v="Non"/>
    <m/>
    <m/>
    <m/>
    <m/>
    <m/>
    <m/>
    <m/>
    <m/>
    <m/>
    <m/>
    <m/>
    <m/>
    <m/>
    <m/>
    <m/>
    <s v="Oui"/>
    <n v="90"/>
    <n v="472"/>
    <n v="280"/>
    <n v="192"/>
    <s v="Entre 1 et 5 ans"/>
    <n v="0"/>
    <n v="90"/>
    <n v="0"/>
    <n v="0"/>
    <n v="0"/>
    <m/>
    <n v="0"/>
    <n v="0"/>
    <m/>
    <n v="0"/>
    <m/>
    <m/>
    <m/>
    <m/>
    <m/>
    <n v="0"/>
    <m/>
    <m/>
    <m/>
    <m/>
    <m/>
    <m/>
    <m/>
    <m/>
    <m/>
    <m/>
    <m/>
    <m/>
    <m/>
    <s v="1"/>
    <s v="0"/>
    <s v="1"/>
    <n v="2"/>
  </r>
  <r>
    <n v="2668650"/>
    <s v="Extrême-Nord"/>
    <s v="CMR004"/>
    <x v="1"/>
    <s v="CMR004002"/>
    <s v="Hile-Alifa"/>
    <s v="CMR004002010"/>
    <s v="HIL-0020"/>
    <s v="WADAK"/>
    <m/>
    <x v="1"/>
    <n v="12.663312299999999"/>
    <n v="14.372972900000001"/>
    <x v="0"/>
    <b v="1"/>
    <b v="0"/>
    <b v="0"/>
    <m/>
    <n v="3"/>
    <s v="Accessible"/>
    <m/>
    <s v="Le village accueille une population"/>
    <s v="Le village est intact (construit)"/>
    <m/>
    <m/>
    <s v="Oui"/>
    <s v="Familles d'accueil"/>
    <s v="Sites de déplacement spontanés"/>
    <s v="Non"/>
    <m/>
    <n v="87"/>
    <n v="3420"/>
    <s v="Oui"/>
    <s v="Premier déplacement"/>
    <n v="87"/>
    <n v="528"/>
    <n v="245"/>
    <n v="283"/>
    <n v="0"/>
    <n v="17"/>
    <n v="0"/>
    <n v="0"/>
    <m/>
    <m/>
    <n v="0"/>
    <n v="70"/>
    <s v="Paille/Natte/Nylon"/>
    <m/>
    <n v="0"/>
    <s v="AJOUT 70 ménages déplacés dans le village VENANT DE L'ARRONDISSEMENT DE DARAK"/>
    <s v="Oui"/>
    <n v="5"/>
    <n v="20"/>
    <n v="10"/>
    <n v="10"/>
    <n v="5"/>
    <n v="0"/>
    <n v="0"/>
    <m/>
    <n v="0"/>
    <n v="0"/>
    <m/>
    <m/>
    <n v="0"/>
    <n v="0"/>
    <s v="Ras"/>
    <s v="Non"/>
    <m/>
    <m/>
    <m/>
    <m/>
    <m/>
    <m/>
    <m/>
    <m/>
    <m/>
    <m/>
    <m/>
    <m/>
    <m/>
    <m/>
    <m/>
    <m/>
    <m/>
    <m/>
    <m/>
    <m/>
    <n v="0"/>
    <m/>
    <m/>
    <m/>
    <m/>
    <m/>
    <m/>
    <m/>
    <m/>
    <m/>
    <m/>
    <m/>
    <m/>
    <m/>
    <s v="1"/>
    <s v="1"/>
    <s v="0"/>
    <n v="2"/>
  </r>
  <r>
    <n v="2722415"/>
    <s v="Extrême-Nord"/>
    <s v="CMR004"/>
    <x v="1"/>
    <s v="CMR004002"/>
    <s v="Kousséri"/>
    <s v="CMR004002006"/>
    <s v="XXXX"/>
    <s v="SITE DE MADAGASCAR 1"/>
    <s v="SITE DE MADAGASCAR 1"/>
    <x v="0"/>
    <n v="12.097565700000001"/>
    <n v="15.030333000000001"/>
    <x v="0"/>
    <b v="1"/>
    <b v="0"/>
    <b v="1"/>
    <m/>
    <n v="3"/>
    <s v="Accessible"/>
    <m/>
    <s v="Le village accueille une population"/>
    <s v="Le village est partiellement détruit"/>
    <s v="Intempéries (inondations, tempêtes etc.)"/>
    <m/>
    <s v="Oui"/>
    <s v="Familles d'accueil"/>
    <s v="Sites de déplacement spontanés"/>
    <s v="Non"/>
    <m/>
    <n v="277"/>
    <n v="5986"/>
    <s v="Oui"/>
    <s v="Premier déplacement"/>
    <n v="277"/>
    <n v="3500"/>
    <n v="1000"/>
    <n v="2500"/>
    <n v="0"/>
    <n v="77"/>
    <n v="0"/>
    <n v="200"/>
    <s v="Chez une famille d'accueil (contre loyer)"/>
    <m/>
    <n v="0"/>
    <n v="0"/>
    <m/>
    <m/>
    <n v="0"/>
    <s v="Les villages accueille  bcp des idps suite au inondations "/>
    <s v="Non"/>
    <m/>
    <m/>
    <m/>
    <m/>
    <m/>
    <m/>
    <m/>
    <m/>
    <m/>
    <m/>
    <m/>
    <m/>
    <m/>
    <m/>
    <m/>
    <s v="Non"/>
    <m/>
    <m/>
    <m/>
    <m/>
    <m/>
    <m/>
    <m/>
    <m/>
    <m/>
    <m/>
    <m/>
    <m/>
    <m/>
    <m/>
    <m/>
    <m/>
    <m/>
    <m/>
    <m/>
    <m/>
    <n v="0"/>
    <m/>
    <m/>
    <m/>
    <m/>
    <m/>
    <m/>
    <m/>
    <m/>
    <m/>
    <m/>
    <m/>
    <m/>
    <m/>
    <s v="1"/>
    <s v="0"/>
    <s v="0"/>
    <n v="1"/>
  </r>
  <r>
    <n v="2627401"/>
    <s v="Extrême-Nord"/>
    <s v="CMR004"/>
    <x v="1"/>
    <s v="CMR004002"/>
    <s v="Kousséri"/>
    <s v="CMR004002006"/>
    <s v="XXXX"/>
    <s v="SITE DE KAWADJI 1"/>
    <s v="SITE DE KAWADJI 1"/>
    <x v="1"/>
    <n v="12.041566599999999"/>
    <n v="15.048506100000001"/>
    <x v="1"/>
    <b v="1"/>
    <b v="0"/>
    <b v="0"/>
    <m/>
    <n v="3"/>
    <s v="Accessible"/>
    <m/>
    <s v="Le village accueille une population"/>
    <s v="Le village est intact (construit)"/>
    <m/>
    <m/>
    <s v="Oui"/>
    <s v="Sites de déplacement spontanés"/>
    <s v="Familles d'accueil"/>
    <m/>
    <m/>
    <n v="100"/>
    <n v="1350"/>
    <s v="Oui"/>
    <s v="Premier déplacement"/>
    <n v="100"/>
    <n v="1150"/>
    <n v="150"/>
    <n v="1000"/>
    <n v="0"/>
    <n v="0"/>
    <n v="0"/>
    <n v="0"/>
    <m/>
    <m/>
    <n v="0"/>
    <n v="100"/>
    <s v="Bâche"/>
    <m/>
    <n v="0"/>
    <s v="Notons 100 ménages  pour 1150 individus  soit 1000 femmes  et 150 hommes provenant de massil al kanam,  ardebe  ville  suites aux inondations . Ils entreprennent  de rentrer après constructions  des maisons detruite"/>
    <s v="Oui"/>
    <n v="21"/>
    <n v="200"/>
    <n v="70"/>
    <n v="130"/>
    <n v="0"/>
    <n v="0"/>
    <n v="0"/>
    <m/>
    <n v="0"/>
    <n v="21"/>
    <s v="Bâche"/>
    <m/>
    <n v="0"/>
    <n v="21"/>
    <s v="21 ménages pour 200 individus à savoir 130 femmes et 70 hommes  provenant  du Tchad suite au  inondations."/>
    <s v="Non"/>
    <m/>
    <m/>
    <m/>
    <m/>
    <m/>
    <m/>
    <m/>
    <m/>
    <m/>
    <m/>
    <m/>
    <m/>
    <m/>
    <m/>
    <m/>
    <m/>
    <m/>
    <m/>
    <m/>
    <m/>
    <n v="0"/>
    <m/>
    <m/>
    <m/>
    <m/>
    <m/>
    <m/>
    <m/>
    <m/>
    <m/>
    <m/>
    <m/>
    <m/>
    <m/>
    <s v="1"/>
    <s v="1"/>
    <s v="0"/>
    <n v="2"/>
  </r>
  <r>
    <n v="2619962"/>
    <s v="Extrême-Nord"/>
    <s v="CMR004"/>
    <x v="1"/>
    <s v="CMR004002"/>
    <s v="Kousséri"/>
    <s v="CMR004002006"/>
    <s v="XXXX"/>
    <s v="SITE DE KAWADJI 2"/>
    <s v="SITE DE KAWADJI 2"/>
    <x v="1"/>
    <n v="12.0274535"/>
    <n v="15.039388799999999"/>
    <x v="1"/>
    <b v="1"/>
    <b v="0"/>
    <b v="0"/>
    <m/>
    <n v="3"/>
    <s v="Accessible"/>
    <m/>
    <s v="Le village accueille une population"/>
    <s v="Le village est intact (construit)"/>
    <m/>
    <m/>
    <s v="Oui"/>
    <s v="Sites de déplacement spontanés"/>
    <s v="Familles d'accueil"/>
    <m/>
    <m/>
    <m/>
    <n v="5"/>
    <s v="Non"/>
    <m/>
    <m/>
    <m/>
    <m/>
    <m/>
    <m/>
    <m/>
    <m/>
    <m/>
    <m/>
    <m/>
    <m/>
    <m/>
    <m/>
    <m/>
    <m/>
    <m/>
    <s v="Oui"/>
    <n v="2"/>
    <n v="5"/>
    <n v="1"/>
    <n v="4"/>
    <n v="0"/>
    <n v="0"/>
    <n v="0"/>
    <m/>
    <n v="0"/>
    <n v="2"/>
    <s v="Pagne"/>
    <m/>
    <n v="0"/>
    <n v="2"/>
    <s v="Nous notons 2 ménages pour 5 individus constitués d'un  hommes et 4 femmes provenant  du Tchad suite au inondations.  Le seule 'homme en question  est malade allongé"/>
    <s v="Non"/>
    <m/>
    <m/>
    <m/>
    <m/>
    <m/>
    <m/>
    <m/>
    <m/>
    <m/>
    <m/>
    <m/>
    <m/>
    <m/>
    <m/>
    <m/>
    <m/>
    <m/>
    <m/>
    <m/>
    <m/>
    <n v="0"/>
    <m/>
    <m/>
    <m/>
    <m/>
    <m/>
    <m/>
    <m/>
    <m/>
    <m/>
    <m/>
    <m/>
    <m/>
    <m/>
    <s v="0"/>
    <s v="1"/>
    <s v="0"/>
    <n v="1"/>
  </r>
  <r>
    <n v="2623457"/>
    <s v="Extrême-Nord"/>
    <s v="CMR004"/>
    <x v="1"/>
    <s v="CMR004002"/>
    <s v="Kousséri"/>
    <s v="CMR004002006"/>
    <s v="XXXX"/>
    <s v="SITE DE KROUANG 2"/>
    <s v="SITE DE KROUANG 2"/>
    <x v="0"/>
    <n v="12.0938418"/>
    <n v="15.002198999999999"/>
    <x v="1"/>
    <b v="1"/>
    <b v="0"/>
    <b v="1"/>
    <m/>
    <n v="3"/>
    <s v="Accessible"/>
    <m/>
    <s v="Le village accueille une population"/>
    <s v="Le village est partiellement détruit"/>
    <s v="Intempéries (inondations, tempêtes etc.)"/>
    <m/>
    <s v="Oui"/>
    <s v="Sites de déplacement spontanés"/>
    <s v="Familles d'accueil"/>
    <m/>
    <m/>
    <n v="300"/>
    <n v="15000"/>
    <s v="Oui"/>
    <s v="Troisième déplacement"/>
    <n v="300"/>
    <n v="577"/>
    <n v="277"/>
    <n v="300"/>
    <n v="0"/>
    <n v="200"/>
    <n v="0"/>
    <n v="100"/>
    <s v="Chez une famille d'accueil (contre loyer)"/>
    <m/>
    <n v="0"/>
    <n v="0"/>
    <m/>
    <m/>
    <n v="0"/>
    <s v="Les maisons  détruits et  les  champs inondé "/>
    <s v="Non"/>
    <m/>
    <m/>
    <m/>
    <m/>
    <m/>
    <m/>
    <m/>
    <m/>
    <m/>
    <m/>
    <m/>
    <m/>
    <m/>
    <m/>
    <m/>
    <s v="Non"/>
    <m/>
    <m/>
    <m/>
    <m/>
    <m/>
    <m/>
    <m/>
    <m/>
    <m/>
    <m/>
    <m/>
    <m/>
    <m/>
    <m/>
    <m/>
    <m/>
    <m/>
    <m/>
    <m/>
    <m/>
    <n v="0"/>
    <m/>
    <m/>
    <m/>
    <m/>
    <m/>
    <m/>
    <m/>
    <m/>
    <m/>
    <m/>
    <m/>
    <m/>
    <m/>
    <s v="1"/>
    <s v="0"/>
    <s v="0"/>
    <n v="1"/>
  </r>
  <r>
    <n v="2626880"/>
    <s v="Extrême-Nord"/>
    <s v="CMR004"/>
    <x v="1"/>
    <s v="CMR004002"/>
    <s v="Kousséri"/>
    <s v="CMR004002006"/>
    <s v="KOU-0024"/>
    <s v="ADJEINE 1"/>
    <m/>
    <x v="1"/>
    <n v="12.0902295"/>
    <n v="14.9389048"/>
    <x v="0"/>
    <b v="1"/>
    <b v="0"/>
    <b v="0"/>
    <m/>
    <n v="3"/>
    <s v="Accessible"/>
    <m/>
    <s v="Le village accueille une population"/>
    <s v="Le village est partiellement détruit"/>
    <s v="Intempéries (inondations, tempêtes etc.)"/>
    <m/>
    <s v="Oui"/>
    <s v="Familles d'accueil"/>
    <s v="Non, pas du tout"/>
    <s v="Non"/>
    <m/>
    <n v="77"/>
    <n v="1028"/>
    <s v="Oui"/>
    <s v="Deuxième déplacement"/>
    <n v="77"/>
    <n v="280"/>
    <n v="110"/>
    <n v="170"/>
    <n v="0"/>
    <n v="77"/>
    <n v="0"/>
    <n v="0"/>
    <m/>
    <m/>
    <n v="0"/>
    <n v="0"/>
    <m/>
    <m/>
    <n v="0"/>
    <s v="RAS"/>
    <s v="Non"/>
    <m/>
    <m/>
    <m/>
    <m/>
    <m/>
    <m/>
    <m/>
    <m/>
    <m/>
    <m/>
    <m/>
    <m/>
    <m/>
    <m/>
    <m/>
    <s v="Non"/>
    <m/>
    <m/>
    <m/>
    <m/>
    <m/>
    <m/>
    <m/>
    <m/>
    <m/>
    <m/>
    <m/>
    <m/>
    <m/>
    <m/>
    <m/>
    <m/>
    <m/>
    <m/>
    <m/>
    <m/>
    <n v="0"/>
    <m/>
    <m/>
    <m/>
    <m/>
    <m/>
    <m/>
    <m/>
    <m/>
    <m/>
    <m/>
    <m/>
    <m/>
    <m/>
    <s v="1"/>
    <s v="0"/>
    <s v="0"/>
    <n v="1"/>
  </r>
  <r>
    <n v="2630742"/>
    <s v="Extrême-Nord"/>
    <s v="CMR004"/>
    <x v="1"/>
    <s v="CMR004002"/>
    <s v="Kousséri"/>
    <s v="CMR004002006"/>
    <s v="KOU-0001"/>
    <s v="ALAYA"/>
    <m/>
    <x v="0"/>
    <n v="12.078917799999999"/>
    <n v="15.010463700000001"/>
    <x v="0"/>
    <b v="1"/>
    <b v="0"/>
    <b v="0"/>
    <m/>
    <n v="3"/>
    <s v="Accessible"/>
    <m/>
    <s v="Le village accueille une population"/>
    <s v="Le village est intact (construit)"/>
    <m/>
    <m/>
    <s v="Oui"/>
    <s v="Familles d'accueil"/>
    <s v="Location"/>
    <s v="Non"/>
    <m/>
    <n v="52"/>
    <n v="5070"/>
    <s v="Oui"/>
    <s v="Deuxième déplacement"/>
    <n v="52"/>
    <n v="272"/>
    <n v="80"/>
    <n v="192"/>
    <n v="0"/>
    <n v="6"/>
    <n v="0"/>
    <n v="46"/>
    <s v="Logement indépendant (Maison indépendante)"/>
    <m/>
    <n v="0"/>
    <n v="0"/>
    <m/>
    <m/>
    <n v="0"/>
    <s v="7 ménages de 25 individus sont retournés à amalgache,  firkilwa ,woulidelebe et 2 menages de 18 individus  viennent de logone birni ne sont toujours pas reparts"/>
    <s v="Non"/>
    <m/>
    <m/>
    <m/>
    <m/>
    <m/>
    <m/>
    <m/>
    <m/>
    <m/>
    <m/>
    <m/>
    <m/>
    <m/>
    <m/>
    <m/>
    <s v="Non"/>
    <m/>
    <m/>
    <m/>
    <m/>
    <m/>
    <m/>
    <m/>
    <m/>
    <m/>
    <m/>
    <m/>
    <m/>
    <m/>
    <m/>
    <m/>
    <m/>
    <m/>
    <m/>
    <m/>
    <m/>
    <n v="0"/>
    <m/>
    <m/>
    <m/>
    <m/>
    <m/>
    <m/>
    <m/>
    <m/>
    <m/>
    <m/>
    <m/>
    <m/>
    <m/>
    <s v="1"/>
    <s v="0"/>
    <s v="0"/>
    <n v="1"/>
  </r>
  <r>
    <n v="2647614"/>
    <s v="Extrême-Nord"/>
    <s v="CMR004"/>
    <x v="1"/>
    <s v="CMR004002"/>
    <s v="Kousséri"/>
    <s v="CMR004002006"/>
    <s v="KOU-0002"/>
    <s v="AMCHEDIRE"/>
    <m/>
    <x v="0"/>
    <n v="12.065743599999999"/>
    <n v="15.0212106"/>
    <x v="0"/>
    <b v="1"/>
    <b v="0"/>
    <b v="1"/>
    <m/>
    <n v="3"/>
    <s v="Accessible"/>
    <m/>
    <s v="Le village accueille une population"/>
    <s v="Le village est partiellement détruit"/>
    <s v="Intempéries (inondations, tempêtes etc.)"/>
    <m/>
    <s v="Oui"/>
    <s v="Familles d'accueil"/>
    <s v="Non, pas du tout"/>
    <s v="Non"/>
    <m/>
    <n v="683"/>
    <n v="7826"/>
    <s v="Oui"/>
    <s v="Premier déplacement"/>
    <n v="683"/>
    <n v="2420"/>
    <n v="1020"/>
    <n v="1400"/>
    <n v="5"/>
    <n v="50"/>
    <n v="0"/>
    <n v="620"/>
    <s v="Chez une famille d'accueil (contre loyer)"/>
    <m/>
    <n v="0"/>
    <n v="8"/>
    <s v="Terre cuite/Terre battue"/>
    <m/>
    <n v="0"/>
    <s v="Le village  accueille  plus de 683 ménages depuis  2014 lors de conflits Bh on suivi les conflits  intercommunal et ensuite  les  inondations de octobre 2022 dans  le logne et chari "/>
    <s v="Non"/>
    <m/>
    <m/>
    <m/>
    <m/>
    <m/>
    <m/>
    <m/>
    <m/>
    <m/>
    <m/>
    <m/>
    <m/>
    <m/>
    <m/>
    <m/>
    <s v="Non"/>
    <m/>
    <m/>
    <m/>
    <m/>
    <m/>
    <m/>
    <m/>
    <m/>
    <m/>
    <m/>
    <m/>
    <m/>
    <m/>
    <m/>
    <m/>
    <m/>
    <m/>
    <m/>
    <m/>
    <m/>
    <n v="0"/>
    <m/>
    <m/>
    <m/>
    <m/>
    <m/>
    <m/>
    <m/>
    <m/>
    <m/>
    <m/>
    <m/>
    <m/>
    <m/>
    <s v="1"/>
    <s v="0"/>
    <s v="0"/>
    <n v="1"/>
  </r>
  <r>
    <n v="2679824"/>
    <s v="Extrême-Nord"/>
    <s v="CMR004"/>
    <x v="1"/>
    <s v="CMR004002"/>
    <s v="Kousséri"/>
    <s v="CMR004002006"/>
    <s v="KOU-0038"/>
    <s v="ARDEBE NGADJAM"/>
    <m/>
    <x v="1"/>
    <n v="12.049477"/>
    <n v="15.057338100000001"/>
    <x v="0"/>
    <b v="1"/>
    <b v="0"/>
    <b v="0"/>
    <m/>
    <n v="3"/>
    <s v="Accessible"/>
    <m/>
    <s v="Le village accueille une population"/>
    <s v="Le village est intact (construit)"/>
    <m/>
    <m/>
    <s v="Oui"/>
    <s v="Familles d'accueil"/>
    <s v="Location"/>
    <s v="Non"/>
    <m/>
    <n v="5"/>
    <n v="1500"/>
    <s v="Oui"/>
    <s v="Premier déplacement"/>
    <n v="5"/>
    <n v="20"/>
    <n v="5"/>
    <n v="15"/>
    <n v="1"/>
    <n v="1"/>
    <n v="0"/>
    <n v="3"/>
    <s v="Chez une famille d'accueil (contre loyer)"/>
    <m/>
    <n v="0"/>
    <n v="0"/>
    <m/>
    <m/>
    <n v="0"/>
    <s v="5 ménages  pour  20 individu  soit 15 femmes et 5 hommes venant de madana suite à la montée des eaux"/>
    <s v="Oui"/>
    <n v="1"/>
    <n v="3"/>
    <n v="1"/>
    <n v="2"/>
    <n v="0"/>
    <n v="0"/>
    <n v="1"/>
    <s v="Chez une famille d'accueil (contre loyer)"/>
    <n v="0"/>
    <n v="0"/>
    <m/>
    <m/>
    <n v="0"/>
    <n v="0"/>
    <s v="1 ménages pour  3 individus soit 1 homme  et 2 femmes venant du Tchad suite à la montée des eaux"/>
    <s v="Non"/>
    <m/>
    <m/>
    <m/>
    <m/>
    <m/>
    <m/>
    <m/>
    <m/>
    <m/>
    <m/>
    <m/>
    <m/>
    <m/>
    <m/>
    <m/>
    <m/>
    <m/>
    <m/>
    <m/>
    <m/>
    <n v="0"/>
    <m/>
    <m/>
    <m/>
    <m/>
    <m/>
    <m/>
    <m/>
    <m/>
    <m/>
    <m/>
    <m/>
    <m/>
    <m/>
    <s v="1"/>
    <s v="1"/>
    <s v="0"/>
    <n v="2"/>
  </r>
  <r>
    <n v="2710006"/>
    <s v="Extrême-Nord"/>
    <s v="CMR004"/>
    <x v="1"/>
    <s v="CMR004002"/>
    <s v="Kousséri"/>
    <s v="CMR004002006"/>
    <s v="KOU-0003"/>
    <s v="ARDEBE VILLE"/>
    <m/>
    <x v="1"/>
    <n v="12.0783156"/>
    <n v="15.033159400000001"/>
    <x v="0"/>
    <b v="1"/>
    <b v="0"/>
    <b v="0"/>
    <m/>
    <n v="3"/>
    <s v="Accessible"/>
    <m/>
    <s v="Le village accueille une population"/>
    <s v="Le village est intact (construit)"/>
    <m/>
    <m/>
    <s v="Oui"/>
    <s v="Familles d'accueil"/>
    <s v="Location"/>
    <s v="Non"/>
    <m/>
    <m/>
    <n v="2800"/>
    <s v="Non"/>
    <m/>
    <m/>
    <m/>
    <m/>
    <m/>
    <m/>
    <m/>
    <m/>
    <m/>
    <m/>
    <m/>
    <m/>
    <m/>
    <m/>
    <m/>
    <m/>
    <m/>
    <s v="Oui"/>
    <n v="2"/>
    <n v="10"/>
    <n v="2"/>
    <n v="8"/>
    <n v="1"/>
    <n v="0"/>
    <n v="1"/>
    <s v="Autre"/>
    <n v="0"/>
    <n v="0"/>
    <m/>
    <m/>
    <n v="0"/>
    <n v="2"/>
    <s v="Nous notons 2 ménages pour 10 individus soit 8 femmes et 2 hommes provenant du tchad suite à la montée  des eaux "/>
    <s v="Oui"/>
    <n v="3"/>
    <n v="15"/>
    <n v="3"/>
    <n v="12"/>
    <s v="Entre 3 mois et 1 an"/>
    <n v="0"/>
    <n v="3"/>
    <n v="0"/>
    <n v="0"/>
    <n v="0"/>
    <m/>
    <n v="0"/>
    <n v="0"/>
    <m/>
    <n v="0"/>
    <m/>
    <m/>
    <m/>
    <m/>
    <m/>
    <n v="0"/>
    <m/>
    <m/>
    <m/>
    <m/>
    <m/>
    <m/>
    <m/>
    <m/>
    <m/>
    <m/>
    <m/>
    <m/>
    <m/>
    <s v="0"/>
    <s v="1"/>
    <s v="1"/>
    <n v="2"/>
  </r>
  <r>
    <n v="2797716"/>
    <s v="Extrême-Nord"/>
    <s v="CMR004"/>
    <x v="1"/>
    <s v="CMR004002"/>
    <s v="Kousséri"/>
    <s v="CMR004002006"/>
    <s v="KOU-0004"/>
    <s v="ARKIS"/>
    <m/>
    <x v="1"/>
    <n v="12.007748400000001"/>
    <n v="15.028555900000001"/>
    <x v="0"/>
    <b v="1"/>
    <b v="0"/>
    <b v="0"/>
    <m/>
    <n v="3"/>
    <s v="Accessible"/>
    <m/>
    <s v="Le village accueille une population"/>
    <s v="Le village est partiellement détruit"/>
    <s v="Conflit intercommunautaire"/>
    <m/>
    <s v="Oui"/>
    <s v="Familles d'accueil"/>
    <s v="Non, pas du tout"/>
    <s v="Non"/>
    <m/>
    <n v="11"/>
    <n v="1016"/>
    <s v="Oui"/>
    <s v="Deuxième déplacement"/>
    <n v="11"/>
    <n v="35"/>
    <n v="14"/>
    <n v="21"/>
    <n v="3"/>
    <n v="8"/>
    <n v="0"/>
    <n v="0"/>
    <m/>
    <m/>
    <n v="0"/>
    <n v="0"/>
    <m/>
    <m/>
    <n v="0"/>
    <s v="Les idps et les hôtes sont en extrême besoin en vivre et nécessite une sensibilisation sur la cohésion sociale dans la localité"/>
    <s v="Non"/>
    <m/>
    <m/>
    <m/>
    <m/>
    <m/>
    <m/>
    <m/>
    <m/>
    <m/>
    <m/>
    <m/>
    <m/>
    <m/>
    <m/>
    <m/>
    <s v="Oui"/>
    <n v="107"/>
    <n v="1022"/>
    <n v="422"/>
    <n v="600"/>
    <s v="Entre 3 mois et 1 an"/>
    <n v="0"/>
    <n v="97"/>
    <n v="10"/>
    <n v="0"/>
    <n v="0"/>
    <m/>
    <n v="0"/>
    <n v="0"/>
    <m/>
    <n v="0"/>
    <m/>
    <m/>
    <m/>
    <m/>
    <m/>
    <n v="0"/>
    <m/>
    <m/>
    <m/>
    <m/>
    <m/>
    <m/>
    <m/>
    <m/>
    <m/>
    <m/>
    <m/>
    <m/>
    <m/>
    <s v="1"/>
    <s v="0"/>
    <s v="1"/>
    <n v="2"/>
  </r>
  <r>
    <n v="2623320"/>
    <s v="Extrême-Nord"/>
    <s v="CMR004"/>
    <x v="1"/>
    <s v="CMR004002"/>
    <s v="Kousséri"/>
    <s v="CMR004002006"/>
    <s v="KOU-0005"/>
    <s v="BABOU"/>
    <m/>
    <x v="0"/>
    <n v="12.1000104"/>
    <n v="15.013477099999999"/>
    <x v="0"/>
    <b v="1"/>
    <b v="0"/>
    <b v="0"/>
    <m/>
    <n v="3"/>
    <s v="Accessible"/>
    <m/>
    <s v="Le village accueille une population"/>
    <s v="Le village est partiellement détruit"/>
    <s v="Intempéries (inondations, tempêtes etc.)"/>
    <m/>
    <s v="Oui"/>
    <s v="Familles d'accueil"/>
    <s v="Sites de déplacement spontanés"/>
    <s v="Non"/>
    <m/>
    <n v="100"/>
    <n v="7000"/>
    <s v="Oui"/>
    <s v="Premier déplacement"/>
    <n v="100"/>
    <n v="355"/>
    <n v="155"/>
    <n v="200"/>
    <n v="0"/>
    <n v="30"/>
    <n v="0"/>
    <n v="60"/>
    <s v="Chez une famille d'accueil (contre loyer)"/>
    <m/>
    <n v="0"/>
    <n v="10"/>
    <s v="Terre cuite/Terre battue"/>
    <m/>
    <n v="0"/>
    <s v="Plus 100 maisons écroulé"/>
    <s v="Non"/>
    <m/>
    <m/>
    <m/>
    <m/>
    <m/>
    <m/>
    <m/>
    <m/>
    <m/>
    <m/>
    <m/>
    <m/>
    <m/>
    <m/>
    <m/>
    <s v="Non"/>
    <m/>
    <m/>
    <m/>
    <m/>
    <m/>
    <m/>
    <m/>
    <m/>
    <m/>
    <m/>
    <m/>
    <m/>
    <m/>
    <m/>
    <m/>
    <m/>
    <m/>
    <m/>
    <m/>
    <m/>
    <n v="0"/>
    <m/>
    <m/>
    <m/>
    <m/>
    <m/>
    <m/>
    <m/>
    <m/>
    <m/>
    <m/>
    <m/>
    <m/>
    <m/>
    <s v="1"/>
    <s v="0"/>
    <s v="0"/>
    <n v="1"/>
  </r>
  <r>
    <n v="2666745"/>
    <s v="Extrême-Nord"/>
    <s v="CMR004"/>
    <x v="1"/>
    <s v="CMR004002"/>
    <s v="Kousséri"/>
    <s v="CMR004002006"/>
    <s v="KOU-0006"/>
    <s v="DJAMBAL BAR"/>
    <m/>
    <x v="0"/>
    <n v="12.106187"/>
    <n v="15.026571799999999"/>
    <x v="0"/>
    <b v="1"/>
    <b v="0"/>
    <b v="0"/>
    <m/>
    <n v="3"/>
    <s v="Accessible"/>
    <m/>
    <s v="Le village accueille une population"/>
    <s v="Le village est partiellement détruit"/>
    <s v="Intempéries (inondations, tempêtes etc.)"/>
    <m/>
    <s v="Oui"/>
    <s v="Familles d'accueil"/>
    <s v="Location"/>
    <s v="Non"/>
    <m/>
    <n v="100"/>
    <n v="4000"/>
    <s v="Oui"/>
    <s v="Deuxième déplacement"/>
    <n v="100"/>
    <n v="900"/>
    <n v="100"/>
    <n v="800"/>
    <n v="0"/>
    <n v="20"/>
    <n v="0"/>
    <n v="20"/>
    <s v="Chez une famille d'accueil (contre loyer)"/>
    <m/>
    <n v="0"/>
    <n v="60"/>
    <s v="Pagne"/>
    <m/>
    <n v="0"/>
    <s v="Nous notons 100 ménages  pour 900 individu soit 800 femmes et 100 hommes . 40 ménages  à farcha  et ngueli  et 50 ménagés  au site de Madagascar. Suite à la montée des eaux"/>
    <s v="Non"/>
    <m/>
    <m/>
    <m/>
    <m/>
    <m/>
    <m/>
    <m/>
    <m/>
    <m/>
    <m/>
    <m/>
    <m/>
    <m/>
    <m/>
    <m/>
    <s v="Non"/>
    <m/>
    <m/>
    <m/>
    <m/>
    <m/>
    <m/>
    <m/>
    <m/>
    <m/>
    <m/>
    <m/>
    <m/>
    <m/>
    <m/>
    <m/>
    <m/>
    <m/>
    <m/>
    <m/>
    <m/>
    <n v="0"/>
    <m/>
    <m/>
    <m/>
    <m/>
    <m/>
    <m/>
    <m/>
    <m/>
    <m/>
    <m/>
    <m/>
    <m/>
    <m/>
    <s v="1"/>
    <s v="0"/>
    <s v="0"/>
    <n v="1"/>
  </r>
  <r>
    <n v="2725196"/>
    <s v="Extrême-Nord"/>
    <s v="CMR004"/>
    <x v="1"/>
    <s v="CMR004002"/>
    <s v="Kousséri"/>
    <s v="CMR004002006"/>
    <s v="KOU-0007"/>
    <s v="GAROUA"/>
    <m/>
    <x v="0"/>
    <n v="12.077807699999999"/>
    <n v="15.0307371"/>
    <x v="0"/>
    <b v="1"/>
    <b v="0"/>
    <b v="0"/>
    <m/>
    <n v="3"/>
    <s v="Accessible"/>
    <m/>
    <s v="Le village accueille une population"/>
    <s v="Le village est intact (construit)"/>
    <m/>
    <m/>
    <s v="Oui"/>
    <s v="Familles d'accueil"/>
    <s v="Location"/>
    <s v="Non"/>
    <m/>
    <n v="4"/>
    <n v="6780"/>
    <s v="Oui"/>
    <s v="Premier déplacement"/>
    <n v="4"/>
    <n v="25"/>
    <n v="5"/>
    <n v="20"/>
    <n v="0"/>
    <n v="1"/>
    <n v="0"/>
    <n v="3"/>
    <s v="Chez une famille d'accueil (contre loyer)"/>
    <m/>
    <n v="0"/>
    <n v="0"/>
    <m/>
    <m/>
    <n v="0"/>
    <s v="Nous notons 4 ménages pour 25 individus  soit 5 hommes et 20 femmes venant de krouang 1 suite à  l'inondation "/>
    <s v="Non"/>
    <m/>
    <m/>
    <m/>
    <m/>
    <m/>
    <m/>
    <m/>
    <m/>
    <m/>
    <m/>
    <m/>
    <m/>
    <m/>
    <m/>
    <m/>
    <s v="Non"/>
    <m/>
    <m/>
    <m/>
    <m/>
    <m/>
    <m/>
    <m/>
    <m/>
    <m/>
    <m/>
    <m/>
    <m/>
    <m/>
    <m/>
    <m/>
    <m/>
    <m/>
    <m/>
    <m/>
    <m/>
    <n v="0"/>
    <m/>
    <m/>
    <m/>
    <m/>
    <m/>
    <m/>
    <m/>
    <m/>
    <m/>
    <m/>
    <m/>
    <m/>
    <m/>
    <s v="1"/>
    <s v="0"/>
    <s v="0"/>
    <n v="1"/>
  </r>
  <r>
    <n v="2647610"/>
    <s v="Extrême-Nord"/>
    <s v="CMR004"/>
    <x v="1"/>
    <s v="CMR004002"/>
    <s v="Kousséri"/>
    <s v="CMR004002006"/>
    <s v="KOU-0008"/>
    <s v="GUERGUE RABAH"/>
    <m/>
    <x v="0"/>
    <n v="12.0928001"/>
    <n v="15.0049429"/>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1787"/>
    <s v="Extrême-Nord"/>
    <s v="CMR004"/>
    <x v="1"/>
    <s v="CMR004002"/>
    <s v="Kousséri"/>
    <s v="CMR004002006"/>
    <s v="KOU-0009"/>
    <s v="HARAZAYA"/>
    <m/>
    <x v="0"/>
    <n v="12.086554899999999"/>
    <n v="14.993369599999999"/>
    <x v="0"/>
    <b v="1"/>
    <b v="0"/>
    <b v="0"/>
    <m/>
    <n v="3"/>
    <s v="Accessible"/>
    <m/>
    <s v="Le village accueille une population"/>
    <s v="Le village est intact (construit)"/>
    <m/>
    <m/>
    <s v="Oui"/>
    <s v="Familles d'accueil"/>
    <s v="Location"/>
    <s v="Non"/>
    <m/>
    <n v="122"/>
    <n v="3080"/>
    <s v="Oui"/>
    <s v="Premier déplacement"/>
    <n v="122"/>
    <n v="638"/>
    <n v="220"/>
    <n v="418"/>
    <n v="0"/>
    <n v="22"/>
    <n v="0"/>
    <n v="100"/>
    <s v="Logement indépendant (Maison indépendante)"/>
    <m/>
    <n v="0"/>
    <n v="0"/>
    <m/>
    <m/>
    <n v="0"/>
    <s v="IL Y'A EU 3 MENAGES 26 INDIVIDUS VÉNUS SUITE À L'INONDATION "/>
    <s v="Non"/>
    <m/>
    <m/>
    <m/>
    <m/>
    <m/>
    <m/>
    <m/>
    <m/>
    <m/>
    <m/>
    <m/>
    <m/>
    <m/>
    <m/>
    <m/>
    <s v="Non"/>
    <m/>
    <m/>
    <m/>
    <m/>
    <m/>
    <m/>
    <m/>
    <m/>
    <m/>
    <m/>
    <m/>
    <m/>
    <m/>
    <m/>
    <m/>
    <m/>
    <m/>
    <m/>
    <m/>
    <m/>
    <n v="0"/>
    <m/>
    <m/>
    <m/>
    <m/>
    <m/>
    <m/>
    <m/>
    <m/>
    <m/>
    <m/>
    <m/>
    <m/>
    <m/>
    <s v="1"/>
    <s v="0"/>
    <s v="0"/>
    <n v="1"/>
  </r>
  <r>
    <n v="2655582"/>
    <s v="Extrême-Nord"/>
    <s v="CMR004"/>
    <x v="1"/>
    <s v="CMR004002"/>
    <s v="Kousséri"/>
    <s v="CMR004002006"/>
    <s v="KOU-0010"/>
    <s v="HILE HAOUSSA"/>
    <m/>
    <x v="0"/>
    <n v="12.088843000000001"/>
    <n v="15.002302500000001"/>
    <x v="0"/>
    <b v="1"/>
    <b v="0"/>
    <b v="0"/>
    <m/>
    <n v="3"/>
    <s v="Accessible"/>
    <m/>
    <s v="Le village accueille une population"/>
    <s v="Le village est intact (construit)"/>
    <m/>
    <m/>
    <s v="Oui"/>
    <s v="Familles d'accueil"/>
    <s v="Location"/>
    <s v="Non"/>
    <m/>
    <n v="68"/>
    <n v="5085"/>
    <s v="Oui"/>
    <s v="Premier déplacement"/>
    <n v="68"/>
    <n v="359"/>
    <n v="131"/>
    <n v="228"/>
    <n v="0"/>
    <n v="8"/>
    <n v="0"/>
    <n v="60"/>
    <s v="Logement indépendant (Maison indépendante)"/>
    <m/>
    <n v="0"/>
    <n v="0"/>
    <m/>
    <m/>
    <n v="0"/>
    <s v="IL Y'A EU 2 MENAGES DE 18 INDIVIDUS QUI 'E SONT PLUS RÉPARTIS DEPUIS L'INONDATION ET 4 NAISSANCES"/>
    <s v="Non"/>
    <m/>
    <m/>
    <m/>
    <m/>
    <m/>
    <m/>
    <m/>
    <m/>
    <m/>
    <m/>
    <m/>
    <m/>
    <m/>
    <m/>
    <m/>
    <s v="Non"/>
    <m/>
    <m/>
    <m/>
    <m/>
    <m/>
    <m/>
    <m/>
    <m/>
    <m/>
    <m/>
    <m/>
    <m/>
    <m/>
    <m/>
    <m/>
    <m/>
    <m/>
    <m/>
    <m/>
    <m/>
    <n v="0"/>
    <m/>
    <m/>
    <m/>
    <m/>
    <m/>
    <m/>
    <m/>
    <m/>
    <m/>
    <m/>
    <m/>
    <m/>
    <m/>
    <s v="1"/>
    <s v="0"/>
    <s v="0"/>
    <n v="1"/>
  </r>
  <r>
    <n v="2666747"/>
    <s v="Extrême-Nord"/>
    <s v="CMR004"/>
    <x v="1"/>
    <s v="CMR004002"/>
    <s v="Kousséri"/>
    <s v="CMR004002006"/>
    <s v="KOU-0011"/>
    <s v="IBOU"/>
    <m/>
    <x v="0"/>
    <n v="12.057316200000001"/>
    <n v="15.019764"/>
    <x v="0"/>
    <b v="1"/>
    <b v="0"/>
    <b v="0"/>
    <m/>
    <n v="3"/>
    <s v="Accessible"/>
    <m/>
    <s v="Le village accueille une population"/>
    <s v="Le village est partiellement détruit"/>
    <s v="Intempéries (inondations, tempêtes etc.)"/>
    <m/>
    <s v="Oui"/>
    <s v="Familles d'accueil"/>
    <s v="Non, pas du tout"/>
    <s v="Non"/>
    <m/>
    <n v="10"/>
    <n v="7000"/>
    <s v="Oui"/>
    <s v="Premier déplacement"/>
    <n v="10"/>
    <n v="30"/>
    <n v="5"/>
    <n v="25"/>
    <n v="0"/>
    <n v="3"/>
    <n v="0"/>
    <n v="7"/>
    <s v="Chez une famille d'accueil (contre loyer)"/>
    <m/>
    <n v="0"/>
    <n v="0"/>
    <m/>
    <m/>
    <n v="0"/>
    <s v="10 ménages  pour 30 individus soit 20 femmes 10 hommes  venant de logone birni suite à la montée des eaux "/>
    <s v="Non"/>
    <m/>
    <m/>
    <m/>
    <m/>
    <m/>
    <m/>
    <m/>
    <m/>
    <m/>
    <m/>
    <m/>
    <m/>
    <m/>
    <m/>
    <m/>
    <s v="Oui"/>
    <n v="30"/>
    <n v="150"/>
    <n v="30"/>
    <n v="120"/>
    <s v="Moins de 3 mois"/>
    <n v="23"/>
    <n v="0"/>
    <n v="0"/>
    <n v="0"/>
    <n v="7"/>
    <s v="Logement indépendant (Maison indépendante)"/>
    <n v="0"/>
    <n v="0"/>
    <m/>
    <n v="0"/>
    <m/>
    <m/>
    <m/>
    <m/>
    <m/>
    <n v="0"/>
    <m/>
    <m/>
    <m/>
    <m/>
    <m/>
    <m/>
    <m/>
    <m/>
    <m/>
    <m/>
    <m/>
    <m/>
    <m/>
    <s v="1"/>
    <s v="0"/>
    <s v="1"/>
    <n v="2"/>
  </r>
  <r>
    <n v="2656652"/>
    <s v="Extrême-Nord"/>
    <s v="CMR004"/>
    <x v="1"/>
    <s v="CMR004002"/>
    <s v="Kousséri"/>
    <s v="CMR004002006"/>
    <s v="KOU-0036"/>
    <s v="KAWADJI 1"/>
    <m/>
    <x v="1"/>
    <n v="12.038748099999999"/>
    <n v="15.043683400000001"/>
    <x v="0"/>
    <b v="1"/>
    <b v="0"/>
    <b v="0"/>
    <m/>
    <n v="3"/>
    <s v="Accessible"/>
    <m/>
    <s v="Le village accueille une population"/>
    <s v="Le village est partiellement détruit"/>
    <s v="Intempéries (inondations, tempêtes etc.)"/>
    <m/>
    <s v="Oui"/>
    <s v="Familles d'accueil"/>
    <s v="Location"/>
    <s v="Oui"/>
    <n v="1"/>
    <n v="4"/>
    <n v="1000"/>
    <s v="Oui"/>
    <s v="Premier déplacement"/>
    <n v="4"/>
    <n v="25"/>
    <n v="3"/>
    <n v="22"/>
    <n v="0"/>
    <n v="4"/>
    <n v="0"/>
    <n v="0"/>
    <m/>
    <m/>
    <n v="0"/>
    <n v="0"/>
    <m/>
    <m/>
    <n v="0"/>
    <s v="4 ménages  pour  25 individus  soit 3 hommes  et femmes 22 venant de lacka madana suite à la montée des eaux "/>
    <s v="Oui"/>
    <n v="87"/>
    <n v="420"/>
    <n v="100"/>
    <n v="320"/>
    <n v="7"/>
    <n v="0"/>
    <n v="80"/>
    <s v="Chez une famille d'accueil (contre loyer)"/>
    <n v="0"/>
    <n v="0"/>
    <m/>
    <m/>
    <n v="0"/>
    <n v="87"/>
    <s v="87 ménages pour 420 individus  soit femmes 320 et hommes 100  venant du Tchad suite au inondations "/>
    <s v="Oui"/>
    <n v="60"/>
    <n v="400"/>
    <n v="150"/>
    <n v="250"/>
    <s v="Entre 3 mois et 1 an"/>
    <n v="40"/>
    <n v="0"/>
    <n v="10"/>
    <n v="0"/>
    <n v="10"/>
    <s v="Logement indépendant (Maison indépendante)"/>
    <n v="0"/>
    <n v="0"/>
    <m/>
    <n v="0"/>
    <m/>
    <m/>
    <m/>
    <m/>
    <m/>
    <n v="0"/>
    <m/>
    <m/>
    <m/>
    <m/>
    <m/>
    <m/>
    <m/>
    <m/>
    <m/>
    <m/>
    <m/>
    <m/>
    <m/>
    <s v="1"/>
    <s v="1"/>
    <s v="1"/>
    <n v="3"/>
  </r>
  <r>
    <n v="2627402"/>
    <s v="Extrême-Nord"/>
    <s v="CMR004"/>
    <x v="1"/>
    <s v="CMR004002"/>
    <s v="Kousséri"/>
    <s v="CMR004002006"/>
    <s v="KOU-0037"/>
    <s v="KAWADJI 2"/>
    <m/>
    <x v="1"/>
    <n v="12.0380337"/>
    <n v="15.0429415"/>
    <x v="0"/>
    <b v="1"/>
    <b v="0"/>
    <b v="0"/>
    <m/>
    <n v="3"/>
    <s v="Accessible"/>
    <m/>
    <s v="Le village accueille une population"/>
    <s v="Le village est intact (construit)"/>
    <m/>
    <m/>
    <s v="Oui"/>
    <s v="Sites de déplacement spontanés"/>
    <s v="Familles d'accueil"/>
    <s v="Oui"/>
    <n v="2"/>
    <n v="11"/>
    <n v="1050"/>
    <s v="Oui"/>
    <s v="Premier déplacement"/>
    <n v="11"/>
    <n v="80"/>
    <n v="20"/>
    <n v="60"/>
    <n v="0"/>
    <n v="3"/>
    <n v="5"/>
    <n v="3"/>
    <s v="Chez une famille d'accueil (contre loyer)"/>
    <m/>
    <n v="0"/>
    <n v="0"/>
    <m/>
    <m/>
    <n v="0"/>
    <s v="11 ménages pour 80 individus soit 20 hommes et 60 femmes provenant de lacka  et madana suite aux inondations"/>
    <s v="Oui"/>
    <n v="23"/>
    <n v="200"/>
    <n v="40"/>
    <n v="160"/>
    <n v="5"/>
    <n v="5"/>
    <n v="13"/>
    <s v="Logement indépendant (Maison indépendante)"/>
    <n v="0"/>
    <n v="0"/>
    <m/>
    <m/>
    <n v="0"/>
    <n v="23"/>
    <s v="Ils manquent de couverture en cette période de fraîcheur  et  non pas d'activité  pour leur permettre de nourrir la famine . Demande de l'aide, des fonds de commerce pour subvenir à leur besoin"/>
    <s v="Oui"/>
    <n v="60"/>
    <n v="500"/>
    <n v="150"/>
    <n v="350"/>
    <s v="Entre 3 mois et 1 an"/>
    <n v="45"/>
    <n v="5"/>
    <n v="0"/>
    <n v="0"/>
    <n v="10"/>
    <s v="Logement indépendant (Maison indépendante)"/>
    <n v="0"/>
    <n v="0"/>
    <m/>
    <n v="0"/>
    <s v="60 ménages pour 500 individus  soit 350 femmes et 150 hommes  provenant  de  djamena  suite aux inondations"/>
    <m/>
    <m/>
    <m/>
    <m/>
    <n v="0"/>
    <m/>
    <m/>
    <m/>
    <m/>
    <m/>
    <m/>
    <m/>
    <m/>
    <m/>
    <m/>
    <m/>
    <m/>
    <m/>
    <s v="1"/>
    <s v="1"/>
    <s v="1"/>
    <n v="3"/>
  </r>
  <r>
    <n v="2679826"/>
    <s v="Extrême-Nord"/>
    <s v="CMR004"/>
    <x v="1"/>
    <s v="CMR004002"/>
    <s v="Kousséri"/>
    <s v="CMR004002006"/>
    <s v="KOU-0012"/>
    <s v="KODOGO"/>
    <m/>
    <x v="1"/>
    <n v="12.079062199999999"/>
    <n v="15.0265697"/>
    <x v="0"/>
    <b v="1"/>
    <b v="0"/>
    <b v="0"/>
    <m/>
    <n v="3"/>
    <s v="Accessible"/>
    <m/>
    <s v="Le village accueille une population"/>
    <s v="Le village est intact (construit)"/>
    <m/>
    <m/>
    <s v="Oui"/>
    <s v="Familles d'accueil"/>
    <s v="Location"/>
    <s v="Non"/>
    <m/>
    <n v="2"/>
    <n v="2020"/>
    <s v="Oui"/>
    <s v="Premier déplacement"/>
    <n v="2"/>
    <n v="15"/>
    <n v="5"/>
    <n v="10"/>
    <n v="0"/>
    <n v="0"/>
    <n v="0"/>
    <n v="2"/>
    <s v="Chez une famille d'accueil (contre loyer)"/>
    <m/>
    <n v="0"/>
    <n v="0"/>
    <m/>
    <m/>
    <n v="0"/>
    <s v="2 ménages pour  15 individu  soit 10 femmes et 5 hommes venant  du secteur zero suite à linondation "/>
    <s v="Non"/>
    <m/>
    <m/>
    <m/>
    <m/>
    <m/>
    <m/>
    <m/>
    <m/>
    <m/>
    <m/>
    <m/>
    <m/>
    <m/>
    <m/>
    <m/>
    <s v="Non"/>
    <m/>
    <m/>
    <m/>
    <m/>
    <m/>
    <m/>
    <m/>
    <m/>
    <m/>
    <m/>
    <m/>
    <m/>
    <m/>
    <m/>
    <m/>
    <m/>
    <m/>
    <m/>
    <m/>
    <m/>
    <n v="0"/>
    <m/>
    <m/>
    <m/>
    <m/>
    <m/>
    <m/>
    <m/>
    <m/>
    <m/>
    <m/>
    <m/>
    <m/>
    <m/>
    <s v="1"/>
    <s v="0"/>
    <s v="0"/>
    <n v="1"/>
  </r>
  <r>
    <n v="2671463"/>
    <s v="Extrême-Nord"/>
    <s v="CMR004"/>
    <x v="1"/>
    <s v="CMR004002"/>
    <s v="Kousséri"/>
    <s v="CMR004002006"/>
    <s v="KOU-0013"/>
    <s v="KOULKADA"/>
    <m/>
    <x v="0"/>
    <n v="12.082990199999999"/>
    <n v="15.021243200000001"/>
    <x v="0"/>
    <b v="1"/>
    <b v="0"/>
    <b v="1"/>
    <m/>
    <n v="3"/>
    <s v="Accessible"/>
    <m/>
    <s v="Le village accueille une population"/>
    <s v="Le village est intact (construit)"/>
    <m/>
    <m/>
    <s v="Oui"/>
    <s v="Familles d'accueil"/>
    <s v="Non, pas du tout"/>
    <s v="Non"/>
    <m/>
    <n v="60"/>
    <n v="8077"/>
    <s v="Oui"/>
    <s v="Premier déplacement"/>
    <n v="60"/>
    <n v="255"/>
    <n v="100"/>
    <n v="155"/>
    <n v="0"/>
    <n v="10"/>
    <n v="0"/>
    <n v="50"/>
    <s v="Chez une famille d'accueil (contre loyer)"/>
    <m/>
    <n v="0"/>
    <n v="0"/>
    <m/>
    <m/>
    <n v="0"/>
    <s v="Arrivée de  10 ménages et 55 individus dans le village  venu de logone birni et non reçu  aucune aide humanitaire "/>
    <s v="Non"/>
    <m/>
    <m/>
    <m/>
    <m/>
    <m/>
    <m/>
    <m/>
    <m/>
    <m/>
    <m/>
    <m/>
    <m/>
    <m/>
    <m/>
    <m/>
    <s v="Non"/>
    <m/>
    <m/>
    <m/>
    <m/>
    <m/>
    <m/>
    <m/>
    <m/>
    <m/>
    <m/>
    <m/>
    <m/>
    <m/>
    <m/>
    <m/>
    <m/>
    <m/>
    <m/>
    <m/>
    <m/>
    <n v="0"/>
    <m/>
    <m/>
    <m/>
    <m/>
    <m/>
    <m/>
    <m/>
    <m/>
    <m/>
    <m/>
    <m/>
    <m/>
    <m/>
    <s v="1"/>
    <s v="0"/>
    <s v="0"/>
    <n v="1"/>
  </r>
  <r>
    <n v="2639072"/>
    <s v="Extrême-Nord"/>
    <s v="CMR004"/>
    <x v="1"/>
    <s v="CMR004002"/>
    <s v="Kousséri"/>
    <s v="CMR004002006"/>
    <s v="KOU-0014"/>
    <s v="KOULOUK"/>
    <m/>
    <x v="1"/>
    <n v="12.082698499999999"/>
    <n v="15.024581700000001"/>
    <x v="0"/>
    <b v="1"/>
    <b v="0"/>
    <b v="0"/>
    <m/>
    <n v="3"/>
    <s v="Accessible"/>
    <m/>
    <s v="Le village accueille une population"/>
    <s v="Le village est intact (construit)"/>
    <m/>
    <m/>
    <s v="Oui"/>
    <s v="Familles d'accueil"/>
    <s v="Location"/>
    <s v="Non"/>
    <m/>
    <m/>
    <n v="800"/>
    <s v="Non"/>
    <m/>
    <m/>
    <m/>
    <m/>
    <m/>
    <m/>
    <m/>
    <m/>
    <m/>
    <m/>
    <m/>
    <m/>
    <m/>
    <m/>
    <m/>
    <m/>
    <m/>
    <s v="Oui"/>
    <n v="7"/>
    <n v="30"/>
    <n v="10"/>
    <n v="20"/>
    <n v="7"/>
    <n v="0"/>
    <n v="0"/>
    <m/>
    <n v="0"/>
    <n v="0"/>
    <m/>
    <m/>
    <n v="0"/>
    <n v="7"/>
    <s v="7 ménages pour 30 individus  soit 10 hommes et 20 femmes venant du Tchad suite à l'inondation"/>
    <s v="Non"/>
    <m/>
    <m/>
    <m/>
    <m/>
    <m/>
    <m/>
    <m/>
    <m/>
    <m/>
    <m/>
    <m/>
    <m/>
    <m/>
    <m/>
    <m/>
    <m/>
    <m/>
    <m/>
    <m/>
    <m/>
    <n v="0"/>
    <m/>
    <m/>
    <m/>
    <m/>
    <m/>
    <m/>
    <m/>
    <m/>
    <m/>
    <m/>
    <m/>
    <m/>
    <m/>
    <s v="0"/>
    <s v="1"/>
    <s v="0"/>
    <n v="1"/>
  </r>
  <r>
    <n v="2671462"/>
    <s v="Extrême-Nord"/>
    <s v="CMR004"/>
    <x v="1"/>
    <s v="CMR004002"/>
    <s v="Kousséri"/>
    <s v="CMR004002006"/>
    <s v="KOU-0015"/>
    <s v="KROUANG 1"/>
    <m/>
    <x v="0"/>
    <n v="12.119784599999999"/>
    <n v="15.002578400000001"/>
    <x v="0"/>
    <b v="1"/>
    <b v="0"/>
    <b v="1"/>
    <m/>
    <n v="3"/>
    <s v="Accessible"/>
    <m/>
    <s v="Le village accueille une population"/>
    <s v="Le village est totalement détruit"/>
    <s v="Intempéries (inondations, tempêtes etc.)"/>
    <m/>
    <s v="Oui"/>
    <s v="Location"/>
    <s v="Sites de déplacement spontanés"/>
    <s v="Non"/>
    <m/>
    <m/>
    <m/>
    <m/>
    <m/>
    <m/>
    <m/>
    <m/>
    <m/>
    <m/>
    <m/>
    <m/>
    <m/>
    <m/>
    <m/>
    <m/>
    <m/>
    <m/>
    <m/>
    <m/>
    <m/>
    <m/>
    <m/>
    <m/>
    <m/>
    <m/>
    <m/>
    <m/>
    <m/>
    <m/>
    <m/>
    <m/>
    <m/>
    <m/>
    <m/>
    <m/>
    <m/>
    <m/>
    <m/>
    <m/>
    <m/>
    <m/>
    <m/>
    <m/>
    <m/>
    <m/>
    <m/>
    <m/>
    <m/>
    <m/>
    <m/>
    <m/>
    <m/>
    <m/>
    <m/>
    <m/>
    <m/>
    <m/>
    <m/>
    <m/>
    <m/>
    <m/>
    <m/>
    <m/>
    <m/>
    <m/>
    <m/>
    <m/>
    <m/>
    <m/>
    <m/>
    <m/>
    <s v="0"/>
    <s v="0"/>
    <s v="0"/>
    <n v="0"/>
  </r>
  <r>
    <n v="2656572"/>
    <s v="Extrême-Nord"/>
    <s v="CMR004"/>
    <x v="1"/>
    <s v="CMR004002"/>
    <s v="Kousséri"/>
    <s v="CMR004002006"/>
    <s v="KOU-0016"/>
    <s v="KROUANG 2"/>
    <m/>
    <x v="0"/>
    <n v="12.094579299999999"/>
    <n v="15.0037895"/>
    <x v="0"/>
    <b v="1"/>
    <b v="0"/>
    <b v="0"/>
    <m/>
    <n v="3"/>
    <s v="Accessible"/>
    <m/>
    <s v="Le village accueille une population"/>
    <s v="Le village est partiellement détruit"/>
    <s v="Intempéries (inondations, tempêtes etc.)"/>
    <m/>
    <s v="Oui"/>
    <s v="Familles d'accueil"/>
    <s v="Non, pas du tout"/>
    <s v="Non"/>
    <m/>
    <m/>
    <n v="7888"/>
    <s v="Non"/>
    <m/>
    <m/>
    <m/>
    <m/>
    <m/>
    <m/>
    <m/>
    <m/>
    <m/>
    <m/>
    <m/>
    <m/>
    <m/>
    <m/>
    <m/>
    <m/>
    <m/>
    <s v="Non"/>
    <m/>
    <m/>
    <m/>
    <m/>
    <m/>
    <m/>
    <m/>
    <m/>
    <m/>
    <m/>
    <m/>
    <m/>
    <m/>
    <m/>
    <m/>
    <s v="Oui"/>
    <n v="10"/>
    <n v="56"/>
    <n v="16"/>
    <n v="40"/>
    <s v="Entre 3 mois et 1 an"/>
    <n v="0"/>
    <n v="0"/>
    <n v="2"/>
    <n v="0"/>
    <n v="8"/>
    <s v="Logement indépendant (Maison indépendante)"/>
    <n v="0"/>
    <n v="0"/>
    <m/>
    <n v="0"/>
    <m/>
    <m/>
    <m/>
    <m/>
    <m/>
    <n v="0"/>
    <m/>
    <m/>
    <m/>
    <m/>
    <m/>
    <m/>
    <m/>
    <m/>
    <m/>
    <m/>
    <m/>
    <m/>
    <m/>
    <s v="0"/>
    <s v="0"/>
    <s v="1"/>
    <n v="1"/>
  </r>
  <r>
    <n v="2725195"/>
    <s v="Extrême-Nord"/>
    <s v="CMR004"/>
    <x v="1"/>
    <s v="CMR004002"/>
    <s v="Kousséri"/>
    <s v="CMR004002006"/>
    <s v="KOU-0017"/>
    <s v="LACKA"/>
    <m/>
    <x v="0"/>
    <n v="12.0725014"/>
    <n v="15.040528500000001"/>
    <x v="0"/>
    <b v="1"/>
    <b v="0"/>
    <b v="0"/>
    <m/>
    <n v="3"/>
    <s v="Accessible"/>
    <m/>
    <s v="Le village accueille une population"/>
    <s v="Le village est intact (construit)"/>
    <m/>
    <m/>
    <s v="Oui"/>
    <s v="Familles d'accueil"/>
    <s v="Location"/>
    <s v="Non"/>
    <m/>
    <m/>
    <n v="5050"/>
    <s v="Non"/>
    <m/>
    <m/>
    <m/>
    <m/>
    <m/>
    <m/>
    <m/>
    <m/>
    <m/>
    <m/>
    <m/>
    <m/>
    <m/>
    <m/>
    <m/>
    <m/>
    <m/>
    <s v="Oui"/>
    <n v="6"/>
    <n v="50"/>
    <n v="10"/>
    <n v="40"/>
    <n v="3"/>
    <n v="1"/>
    <n v="2"/>
    <s v="Chez une famille d'accueil (contre loyer)"/>
    <n v="0"/>
    <n v="0"/>
    <m/>
    <m/>
    <n v="0"/>
    <n v="6"/>
    <s v="Nous notons 6 ménages  pour  50 individus  soit 40 femmes pour 10 hommes venant du tchad suite à l'inondation "/>
    <s v="Non"/>
    <m/>
    <m/>
    <m/>
    <m/>
    <m/>
    <m/>
    <m/>
    <m/>
    <m/>
    <m/>
    <m/>
    <m/>
    <m/>
    <m/>
    <m/>
    <m/>
    <m/>
    <m/>
    <m/>
    <m/>
    <n v="0"/>
    <m/>
    <m/>
    <m/>
    <m/>
    <m/>
    <m/>
    <m/>
    <m/>
    <m/>
    <m/>
    <m/>
    <m/>
    <m/>
    <s v="0"/>
    <s v="1"/>
    <s v="0"/>
    <n v="1"/>
  </r>
  <r>
    <n v="2617954"/>
    <s v="Extrême-Nord"/>
    <s v="CMR004"/>
    <x v="1"/>
    <s v="CMR004002"/>
    <s v="Kousséri"/>
    <s v="CMR004002006"/>
    <s v="KOU-0042"/>
    <s v="LAKTA 1"/>
    <m/>
    <x v="1"/>
    <n v="12.1053657"/>
    <n v="14.8798143"/>
    <x v="0"/>
    <b v="1"/>
    <b v="0"/>
    <b v="0"/>
    <m/>
    <n v="3"/>
    <s v="Accessible"/>
    <m/>
    <s v="Le village accueille une population"/>
    <s v="Le village est intact (construit)"/>
    <m/>
    <m/>
    <s v="Oui"/>
    <s v="Familles d'accueil"/>
    <s v="Non, pas du tout"/>
    <s v="Non"/>
    <m/>
    <n v="32"/>
    <n v="484"/>
    <s v="Oui"/>
    <s v="Premier déplacement"/>
    <n v="32"/>
    <n v="167"/>
    <n v="62"/>
    <n v="105"/>
    <n v="0"/>
    <n v="32"/>
    <n v="0"/>
    <n v="0"/>
    <m/>
    <m/>
    <n v="0"/>
    <n v="0"/>
    <m/>
    <m/>
    <n v="0"/>
    <s v="Il y'a eu le départ de 3 ménages de 18 individus  soient 11 femmes et 7 hommes vers les villages de logone birni et 2 naissances"/>
    <s v="Non"/>
    <m/>
    <m/>
    <m/>
    <m/>
    <m/>
    <m/>
    <m/>
    <m/>
    <m/>
    <m/>
    <m/>
    <m/>
    <m/>
    <m/>
    <m/>
    <s v="Non"/>
    <m/>
    <m/>
    <m/>
    <m/>
    <m/>
    <m/>
    <m/>
    <m/>
    <m/>
    <m/>
    <m/>
    <m/>
    <m/>
    <m/>
    <m/>
    <m/>
    <m/>
    <m/>
    <m/>
    <m/>
    <n v="0"/>
    <m/>
    <m/>
    <m/>
    <m/>
    <m/>
    <m/>
    <m/>
    <m/>
    <m/>
    <m/>
    <m/>
    <m/>
    <m/>
    <s v="1"/>
    <s v="0"/>
    <s v="0"/>
    <n v="1"/>
  </r>
  <r>
    <n v="2617995"/>
    <s v="Extrême-Nord"/>
    <s v="CMR004"/>
    <x v="1"/>
    <s v="CMR004002"/>
    <s v="Kousséri"/>
    <s v="CMR004002006"/>
    <s v="KOU-0043"/>
    <s v="LAKTA 2"/>
    <m/>
    <x v="1"/>
    <n v="12.105173499999999"/>
    <n v="14.893217099999999"/>
    <x v="0"/>
    <b v="1"/>
    <b v="0"/>
    <b v="0"/>
    <m/>
    <n v="3"/>
    <s v="Accessible"/>
    <m/>
    <s v="Le village accueille une population"/>
    <s v="Le village est intact (construit)"/>
    <m/>
    <m/>
    <s v="Oui"/>
    <s v="Familles d'accueil"/>
    <s v="Non, pas du tout"/>
    <s v="Non"/>
    <m/>
    <n v="5"/>
    <n v="200"/>
    <s v="Oui"/>
    <s v="Premier déplacement"/>
    <n v="5"/>
    <n v="32"/>
    <n v="13"/>
    <n v="19"/>
    <n v="0"/>
    <n v="5"/>
    <n v="0"/>
    <n v="0"/>
    <m/>
    <m/>
    <n v="0"/>
    <n v="0"/>
    <m/>
    <m/>
    <n v="0"/>
    <s v="Il y'a eu deux naissances"/>
    <s v="Non"/>
    <m/>
    <m/>
    <m/>
    <m/>
    <m/>
    <m/>
    <m/>
    <m/>
    <m/>
    <m/>
    <m/>
    <m/>
    <m/>
    <m/>
    <m/>
    <s v="Non"/>
    <m/>
    <m/>
    <m/>
    <m/>
    <m/>
    <m/>
    <m/>
    <m/>
    <m/>
    <m/>
    <m/>
    <m/>
    <m/>
    <m/>
    <m/>
    <m/>
    <m/>
    <m/>
    <m/>
    <m/>
    <n v="0"/>
    <m/>
    <m/>
    <m/>
    <m/>
    <m/>
    <m/>
    <m/>
    <m/>
    <m/>
    <m/>
    <m/>
    <m/>
    <m/>
    <s v="1"/>
    <s v="0"/>
    <s v="0"/>
    <n v="1"/>
  </r>
  <r>
    <n v="2656648"/>
    <s v="Extrême-Nord"/>
    <s v="CMR004"/>
    <x v="1"/>
    <s v="CMR004002"/>
    <s v="Kousséri"/>
    <s v="CMR004002006"/>
    <s v="KOU-0044"/>
    <s v="LAKTA 3"/>
    <m/>
    <x v="1"/>
    <n v="12.1291893"/>
    <n v="14.885498200000001"/>
    <x v="0"/>
    <b v="0"/>
    <b v="1"/>
    <b v="0"/>
    <n v="8"/>
    <m/>
    <s v="Accessible"/>
    <m/>
    <s v="Le village accueille une population"/>
    <s v="Le village est intact (construit)"/>
    <m/>
    <m/>
    <s v="Oui"/>
    <s v="Familles d'accueil"/>
    <s v="Non, pas du tout"/>
    <s v="Non"/>
    <m/>
    <n v="7"/>
    <n v="288"/>
    <s v="Oui"/>
    <s v="Premier déplacement"/>
    <n v="7"/>
    <n v="48"/>
    <n v="15"/>
    <n v="33"/>
    <n v="0"/>
    <n v="7"/>
    <n v="0"/>
    <n v="0"/>
    <m/>
    <m/>
    <n v="0"/>
    <n v="0"/>
    <m/>
    <m/>
    <n v="0"/>
    <s v="Il y,à eu 1 menage de 8 individus qui sont là suite à l'inondation"/>
    <s v="Non"/>
    <m/>
    <m/>
    <m/>
    <m/>
    <m/>
    <m/>
    <m/>
    <m/>
    <m/>
    <m/>
    <m/>
    <m/>
    <m/>
    <m/>
    <m/>
    <s v="Non"/>
    <m/>
    <m/>
    <m/>
    <m/>
    <m/>
    <m/>
    <m/>
    <m/>
    <m/>
    <m/>
    <m/>
    <m/>
    <m/>
    <m/>
    <m/>
    <m/>
    <m/>
    <m/>
    <m/>
    <m/>
    <n v="0"/>
    <m/>
    <m/>
    <m/>
    <m/>
    <m/>
    <m/>
    <m/>
    <m/>
    <m/>
    <m/>
    <m/>
    <m/>
    <m/>
    <s v="1"/>
    <s v="0"/>
    <s v="0"/>
    <n v="1"/>
  </r>
  <r>
    <n v="2623047"/>
    <s v="Extrême-Nord"/>
    <s v="CMR004"/>
    <x v="1"/>
    <s v="CMR004002"/>
    <s v="Kousséri"/>
    <s v="CMR004002006"/>
    <s v="KOU-0018"/>
    <s v="MADAGASCAR 1"/>
    <m/>
    <x v="0"/>
    <n v="12.097846199999999"/>
    <n v="15.0303161"/>
    <x v="0"/>
    <b v="1"/>
    <b v="0"/>
    <b v="0"/>
    <m/>
    <n v="3"/>
    <s v="Accessible"/>
    <m/>
    <s v="Le village accueille une population"/>
    <s v="Le village est partiellement détruit"/>
    <s v="Intempéries (inondations, tempêtes etc.)"/>
    <m/>
    <s v="Oui"/>
    <s v="Sites de déplacement spontanés"/>
    <s v="Location"/>
    <s v="Oui"/>
    <n v="1"/>
    <n v="105"/>
    <n v="3500"/>
    <s v="Oui"/>
    <s v="Premier déplacement"/>
    <n v="105"/>
    <n v="301"/>
    <n v="100"/>
    <n v="201"/>
    <n v="0"/>
    <n v="0"/>
    <n v="0"/>
    <n v="30"/>
    <s v="Chez une famille d'accueil (contre loyer)"/>
    <m/>
    <n v="0"/>
    <n v="75"/>
    <s v="Bâche"/>
    <m/>
    <n v="0"/>
    <s v="Les sinistre  c'est  plein de  n'ont assistance "/>
    <s v="Non"/>
    <m/>
    <m/>
    <m/>
    <m/>
    <m/>
    <m/>
    <m/>
    <m/>
    <m/>
    <m/>
    <m/>
    <m/>
    <m/>
    <m/>
    <m/>
    <s v="Non"/>
    <m/>
    <m/>
    <m/>
    <m/>
    <m/>
    <m/>
    <m/>
    <m/>
    <m/>
    <m/>
    <m/>
    <m/>
    <m/>
    <m/>
    <m/>
    <m/>
    <m/>
    <m/>
    <m/>
    <m/>
    <n v="0"/>
    <m/>
    <m/>
    <m/>
    <m/>
    <m/>
    <m/>
    <m/>
    <m/>
    <m/>
    <m/>
    <m/>
    <m/>
    <m/>
    <s v="1"/>
    <s v="0"/>
    <s v="0"/>
    <n v="1"/>
  </r>
  <r>
    <n v="2647611"/>
    <s v="Extrême-Nord"/>
    <s v="CMR004"/>
    <x v="1"/>
    <s v="CMR004002"/>
    <s v="Kousséri"/>
    <s v="CMR004002006"/>
    <s v="KOU-0019"/>
    <s v="MADAGASCAR 2"/>
    <m/>
    <x v="0"/>
    <n v="12.1002299"/>
    <n v="15.023171"/>
    <x v="0"/>
    <b v="0"/>
    <b v="0"/>
    <b v="1"/>
    <m/>
    <m/>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9073"/>
    <s v="Extrême-Nord"/>
    <s v="CMR004"/>
    <x v="1"/>
    <s v="CMR004002"/>
    <s v="Kousséri"/>
    <s v="CMR004002006"/>
    <s v="KOU-0020"/>
    <s v="MADANA"/>
    <m/>
    <x v="1"/>
    <n v="12.062747399999999"/>
    <n v="15.0528361"/>
    <x v="0"/>
    <b v="1"/>
    <b v="0"/>
    <b v="0"/>
    <m/>
    <n v="3"/>
    <s v="Accessible"/>
    <m/>
    <s v="Le village accueille une population"/>
    <s v="Le village est intact (construit)"/>
    <m/>
    <m/>
    <s v="Oui"/>
    <s v="Familles d'accueil"/>
    <s v="Location"/>
    <s v="Non"/>
    <m/>
    <m/>
    <n v="600"/>
    <s v="Non"/>
    <m/>
    <m/>
    <m/>
    <m/>
    <m/>
    <m/>
    <m/>
    <m/>
    <m/>
    <m/>
    <m/>
    <m/>
    <m/>
    <m/>
    <m/>
    <m/>
    <m/>
    <s v="Oui"/>
    <n v="45"/>
    <n v="150"/>
    <n v="30"/>
    <n v="120"/>
    <n v="30"/>
    <n v="0"/>
    <n v="15"/>
    <s v="Logement indépendant (Maison indépendante)"/>
    <n v="0"/>
    <n v="0"/>
    <m/>
    <m/>
    <n v="0"/>
    <n v="45"/>
    <s v="Nous avons 45 ménages pour 150 individus à savoir 120 femmes et  30 hommes  venant du Tchad suite au inondations "/>
    <s v="Oui"/>
    <n v="15"/>
    <n v="34"/>
    <n v="15"/>
    <n v="19"/>
    <s v="Entre 3 mois et 1 an"/>
    <n v="5"/>
    <n v="5"/>
    <n v="0"/>
    <n v="0"/>
    <n v="5"/>
    <s v="Chez une famille d'accueil (contre loyer)"/>
    <n v="0"/>
    <n v="0"/>
    <m/>
    <n v="0"/>
    <m/>
    <m/>
    <m/>
    <m/>
    <m/>
    <n v="0"/>
    <m/>
    <m/>
    <m/>
    <m/>
    <m/>
    <m/>
    <m/>
    <m/>
    <m/>
    <m/>
    <m/>
    <m/>
    <m/>
    <s v="0"/>
    <s v="1"/>
    <s v="1"/>
    <n v="2"/>
  </r>
  <r>
    <n v="2656654"/>
    <s v="Extrême-Nord"/>
    <s v="CMR004"/>
    <x v="1"/>
    <s v="CMR004002"/>
    <s v="Kousséri"/>
    <s v="CMR004002006"/>
    <s v="KOU-0021"/>
    <s v="MADANA GABAG"/>
    <m/>
    <x v="0"/>
    <n v="12.062203800000001"/>
    <n v="15.052514499999999"/>
    <x v="0"/>
    <b v="1"/>
    <b v="0"/>
    <b v="0"/>
    <m/>
    <n v="3"/>
    <s v="Accessible"/>
    <m/>
    <s v="Le village accueille une population"/>
    <s v="Le village est partiellement détruit"/>
    <s v="Intempéries (inondations, tempêtes etc.)"/>
    <m/>
    <s v="Oui"/>
    <s v="Familles d'accueil"/>
    <s v="Location"/>
    <s v="Non"/>
    <m/>
    <m/>
    <n v="5000"/>
    <s v="Non"/>
    <m/>
    <m/>
    <m/>
    <m/>
    <m/>
    <m/>
    <m/>
    <m/>
    <m/>
    <m/>
    <m/>
    <m/>
    <m/>
    <m/>
    <m/>
    <m/>
    <m/>
    <s v="Oui"/>
    <n v="44"/>
    <n v="150"/>
    <n v="25"/>
    <n v="125"/>
    <n v="11"/>
    <n v="0"/>
    <n v="33"/>
    <s v="Chez une famille d'accueil (contre loyer)"/>
    <n v="0"/>
    <n v="0"/>
    <m/>
    <m/>
    <n v="0"/>
    <n v="44"/>
    <s v="Nous avons 44 ménages pour 150 individu soit 125 femmes et 25 hommes"/>
    <s v="Oui"/>
    <n v="60"/>
    <n v="300"/>
    <n v="30"/>
    <n v="270"/>
    <s v="Entre 3 mois et 1 an"/>
    <n v="20"/>
    <n v="5"/>
    <n v="0"/>
    <n v="0"/>
    <n v="35"/>
    <s v="Logement indépendant (Maison indépendante)"/>
    <n v="0"/>
    <n v="0"/>
    <m/>
    <n v="0"/>
    <m/>
    <m/>
    <m/>
    <m/>
    <m/>
    <n v="0"/>
    <m/>
    <m/>
    <m/>
    <m/>
    <m/>
    <m/>
    <m/>
    <m/>
    <m/>
    <m/>
    <m/>
    <m/>
    <m/>
    <s v="0"/>
    <s v="1"/>
    <s v="1"/>
    <n v="2"/>
  </r>
  <r>
    <n v="2722414"/>
    <s v="Extrême-Nord"/>
    <s v="CMR004"/>
    <x v="1"/>
    <s v="CMR004002"/>
    <s v="Kousséri"/>
    <s v="CMR004002006"/>
    <s v="KOU-0022"/>
    <s v="MAINANI"/>
    <m/>
    <x v="0"/>
    <n v="12.111663699999999"/>
    <n v="15.021293399999999"/>
    <x v="0"/>
    <b v="1"/>
    <b v="0"/>
    <b v="1"/>
    <m/>
    <n v="3"/>
    <s v="Accessible"/>
    <m/>
    <s v="Le village accueille une population"/>
    <s v="Le village est totalement détruit"/>
    <s v="Intempéries (inondations, tempêtes etc.)"/>
    <m/>
    <s v="Oui"/>
    <s v="Familles d'accueil"/>
    <s v="Sites de déplacement spontanés"/>
    <s v="Non"/>
    <m/>
    <n v="50"/>
    <n v="5067"/>
    <s v="Oui"/>
    <s v="Premier déplacement"/>
    <n v="50"/>
    <n v="205"/>
    <n v="100"/>
    <n v="105"/>
    <n v="0"/>
    <n v="10"/>
    <n v="0"/>
    <n v="40"/>
    <s v="Logement indépendant (Maison indépendante)"/>
    <m/>
    <n v="0"/>
    <n v="0"/>
    <m/>
    <m/>
    <n v="0"/>
    <s v="Les villages  et totalement  detru6"/>
    <s v="Non"/>
    <m/>
    <m/>
    <m/>
    <m/>
    <m/>
    <m/>
    <m/>
    <m/>
    <m/>
    <m/>
    <m/>
    <m/>
    <m/>
    <m/>
    <m/>
    <s v="Oui"/>
    <n v="100"/>
    <n v="445"/>
    <n v="200"/>
    <n v="245"/>
    <s v="Moins de 3 mois"/>
    <n v="0"/>
    <n v="80"/>
    <n v="0"/>
    <n v="0"/>
    <n v="10"/>
    <s v="Logement indépendant (Maison indépendante)"/>
    <n v="0"/>
    <n v="10"/>
    <s v="Bâche"/>
    <n v="0"/>
    <m/>
    <m/>
    <m/>
    <m/>
    <m/>
    <n v="0"/>
    <m/>
    <m/>
    <m/>
    <m/>
    <m/>
    <m/>
    <m/>
    <m/>
    <m/>
    <m/>
    <m/>
    <m/>
    <m/>
    <s v="1"/>
    <s v="0"/>
    <s v="1"/>
    <n v="2"/>
  </r>
  <r>
    <n v="2678350"/>
    <s v="Extrême-Nord"/>
    <s v="CMR004"/>
    <x v="1"/>
    <s v="CMR004002"/>
    <s v="Kousséri"/>
    <s v="CMR004002006"/>
    <s v="KOU-0023"/>
    <s v="MALACK"/>
    <m/>
    <x v="1"/>
    <n v="12.0356945"/>
    <n v="15.022816799999999"/>
    <x v="0"/>
    <b v="1"/>
    <b v="0"/>
    <b v="0"/>
    <m/>
    <n v="3"/>
    <s v="Accessible"/>
    <m/>
    <s v="Le village accueille une population"/>
    <s v="Le village est intact (construit)"/>
    <m/>
    <m/>
    <s v="Oui"/>
    <s v="Familles d'accueil"/>
    <s v="Location"/>
    <s v="Non"/>
    <m/>
    <n v="4"/>
    <n v="690"/>
    <s v="Oui"/>
    <s v="Premier déplacement"/>
    <n v="4"/>
    <n v="15"/>
    <n v="12"/>
    <n v="3"/>
    <n v="0"/>
    <n v="2"/>
    <n v="0"/>
    <n v="2"/>
    <s v="Chez une famille d'accueil (contre loyer)"/>
    <m/>
    <n v="0"/>
    <n v="0"/>
    <m/>
    <m/>
    <n v="0"/>
    <s v="Nous notons l'arrivée  de  4 ménages  pour  15 individus soit 12 femmes et  3 hommes  venant de firkiliwa  suite à la montée des eaux"/>
    <s v="Non"/>
    <m/>
    <m/>
    <m/>
    <m/>
    <m/>
    <m/>
    <m/>
    <m/>
    <m/>
    <m/>
    <m/>
    <m/>
    <m/>
    <m/>
    <m/>
    <s v="Oui"/>
    <n v="2"/>
    <n v="15"/>
    <n v="5"/>
    <n v="10"/>
    <s v="Entre 3 mois et 1 an"/>
    <n v="2"/>
    <n v="0"/>
    <n v="0"/>
    <n v="0"/>
    <n v="0"/>
    <m/>
    <n v="0"/>
    <n v="0"/>
    <m/>
    <n v="0"/>
    <m/>
    <m/>
    <m/>
    <m/>
    <m/>
    <n v="0"/>
    <m/>
    <m/>
    <m/>
    <m/>
    <m/>
    <m/>
    <m/>
    <m/>
    <m/>
    <m/>
    <m/>
    <m/>
    <m/>
    <s v="1"/>
    <s v="0"/>
    <s v="1"/>
    <n v="2"/>
  </r>
  <r>
    <n v="2655581"/>
    <s v="Extrême-Nord"/>
    <s v="CMR004"/>
    <x v="1"/>
    <s v="CMR004002"/>
    <s v="Kousséri"/>
    <s v="CMR004002006"/>
    <s v="KOU-0039"/>
    <s v="MASSAKI"/>
    <m/>
    <x v="1"/>
    <n v="12.0876678"/>
    <n v="14.963383800000001"/>
    <x v="0"/>
    <b v="1"/>
    <b v="0"/>
    <b v="0"/>
    <m/>
    <n v="3"/>
    <s v="Accessible"/>
    <m/>
    <s v="Le village accueille une population"/>
    <s v="Le village est intact (construit)"/>
    <m/>
    <m/>
    <s v="Oui"/>
    <s v="Familles d'accueil"/>
    <s v="Non, pas du tout"/>
    <s v="Non"/>
    <m/>
    <n v="32"/>
    <n v="1386"/>
    <s v="Oui"/>
    <s v="Premier déplacement"/>
    <n v="32"/>
    <n v="290"/>
    <n v="110"/>
    <n v="180"/>
    <n v="0"/>
    <n v="32"/>
    <n v="0"/>
    <n v="0"/>
    <m/>
    <m/>
    <n v="0"/>
    <n v="0"/>
    <m/>
    <m/>
    <n v="0"/>
    <s v="Il y'a eu 3 ménages de 18 individus venus à cause de l'inondation _x000a_2 menages de 15 personnes sont retournés dans les villages de logone birni et il y'a eu 2 naissances"/>
    <s v="Non"/>
    <m/>
    <m/>
    <m/>
    <m/>
    <m/>
    <m/>
    <m/>
    <m/>
    <m/>
    <m/>
    <m/>
    <m/>
    <m/>
    <m/>
    <m/>
    <s v="Non"/>
    <m/>
    <m/>
    <m/>
    <m/>
    <m/>
    <m/>
    <m/>
    <m/>
    <m/>
    <m/>
    <m/>
    <m/>
    <m/>
    <m/>
    <m/>
    <m/>
    <m/>
    <m/>
    <m/>
    <m/>
    <n v="0"/>
    <m/>
    <m/>
    <m/>
    <m/>
    <m/>
    <m/>
    <m/>
    <m/>
    <m/>
    <m/>
    <m/>
    <m/>
    <m/>
    <s v="1"/>
    <s v="0"/>
    <s v="0"/>
    <n v="1"/>
  </r>
  <r>
    <n v="2666746"/>
    <s v="Extrême-Nord"/>
    <s v="CMR004"/>
    <x v="1"/>
    <s v="CMR004002"/>
    <s v="Kousséri"/>
    <s v="CMR004002006"/>
    <s v="KOU-0025"/>
    <s v="MASSIL-AL-KANAM"/>
    <m/>
    <x v="1"/>
    <n v="12.040955200000001"/>
    <n v="15.0366284"/>
    <x v="0"/>
    <b v="1"/>
    <b v="0"/>
    <b v="0"/>
    <m/>
    <n v="3"/>
    <s v="Accessible"/>
    <m/>
    <s v="Le village accueille une population"/>
    <s v="Le village est intact (construit)"/>
    <m/>
    <m/>
    <s v="Oui"/>
    <s v="Familles d'accueil"/>
    <s v="Location"/>
    <s v="Non"/>
    <m/>
    <n v="10"/>
    <n v="1000"/>
    <s v="Oui"/>
    <s v="Premier déplacement"/>
    <n v="10"/>
    <n v="100"/>
    <n v="10"/>
    <n v="90"/>
    <n v="0"/>
    <n v="0"/>
    <n v="0"/>
    <n v="0"/>
    <m/>
    <m/>
    <n v="0"/>
    <n v="10"/>
    <s v="Pagne"/>
    <m/>
    <n v="0"/>
    <s v="10 ménages  pour 100 individus  soit 90 femme  et 10 hommes  étant de abo et du site kawadji suite à l'inondation "/>
    <s v="Non"/>
    <m/>
    <m/>
    <m/>
    <m/>
    <m/>
    <m/>
    <m/>
    <m/>
    <m/>
    <m/>
    <m/>
    <m/>
    <m/>
    <m/>
    <m/>
    <s v="Oui"/>
    <n v="4"/>
    <n v="30"/>
    <n v="5"/>
    <n v="25"/>
    <s v="Entre 3 mois et 1 an"/>
    <n v="4"/>
    <n v="0"/>
    <n v="0"/>
    <n v="0"/>
    <n v="0"/>
    <m/>
    <n v="0"/>
    <n v="0"/>
    <m/>
    <n v="0"/>
    <m/>
    <m/>
    <m/>
    <m/>
    <m/>
    <n v="0"/>
    <m/>
    <m/>
    <m/>
    <m/>
    <m/>
    <m/>
    <m/>
    <m/>
    <m/>
    <m/>
    <m/>
    <m/>
    <m/>
    <s v="1"/>
    <s v="0"/>
    <s v="1"/>
    <n v="2"/>
  </r>
  <r>
    <n v="2627394"/>
    <s v="Extrême-Nord"/>
    <s v="CMR004"/>
    <x v="1"/>
    <s v="CMR004002"/>
    <s v="Kousséri"/>
    <s v="CMR004002006"/>
    <s v="KOU-0026"/>
    <s v="MAWAK"/>
    <m/>
    <x v="0"/>
    <n v="12.0769223"/>
    <n v="15.014055600000001"/>
    <x v="0"/>
    <b v="1"/>
    <b v="0"/>
    <b v="0"/>
    <m/>
    <n v="3"/>
    <s v="Accessible"/>
    <m/>
    <s v="Le village accueille une population"/>
    <s v="Le village est intact (construit)"/>
    <m/>
    <m/>
    <s v="Oui"/>
    <s v="Familles d'accueil"/>
    <s v="Location"/>
    <s v="Non"/>
    <m/>
    <n v="67"/>
    <n v="7600"/>
    <s v="Oui"/>
    <s v="Premier déplacement"/>
    <n v="67"/>
    <n v="422"/>
    <n v="200"/>
    <n v="222"/>
    <n v="0"/>
    <n v="6"/>
    <n v="0"/>
    <n v="61"/>
    <s v="Logement indépendant (Maison indépendante)"/>
    <m/>
    <n v="0"/>
    <n v="0"/>
    <m/>
    <m/>
    <n v="0"/>
    <s v="ILS ONT BEAUCOUP DE DIFFICULTÉS À TROUVER UNE ACTIVITÉ AFIN DE'SUBVENIR À LEURS BESOINS ( LOYER , NUTRITION. ....)"/>
    <s v="Non"/>
    <m/>
    <m/>
    <m/>
    <m/>
    <m/>
    <m/>
    <m/>
    <m/>
    <m/>
    <m/>
    <m/>
    <m/>
    <m/>
    <m/>
    <m/>
    <s v="Non"/>
    <m/>
    <m/>
    <m/>
    <m/>
    <m/>
    <m/>
    <m/>
    <m/>
    <m/>
    <m/>
    <m/>
    <m/>
    <m/>
    <m/>
    <m/>
    <m/>
    <m/>
    <m/>
    <m/>
    <m/>
    <n v="0"/>
    <m/>
    <m/>
    <m/>
    <m/>
    <m/>
    <m/>
    <m/>
    <m/>
    <m/>
    <m/>
    <m/>
    <m/>
    <m/>
    <s v="1"/>
    <s v="0"/>
    <s v="0"/>
    <n v="1"/>
  </r>
  <r>
    <n v="2626696"/>
    <s v="Extrême-Nord"/>
    <s v="CMR004"/>
    <x v="1"/>
    <s v="CMR004002"/>
    <s v="Kousséri"/>
    <s v="CMR004002006"/>
    <s v="KOU-0027"/>
    <s v="NAGA"/>
    <m/>
    <x v="1"/>
    <n v="12.092640299999999"/>
    <n v="14.9212551"/>
    <x v="0"/>
    <b v="1"/>
    <b v="0"/>
    <b v="0"/>
    <m/>
    <n v="3"/>
    <s v="Accessible"/>
    <m/>
    <s v="Le village accueille une population"/>
    <s v="Le village est intact (construit)"/>
    <m/>
    <m/>
    <s v="Oui"/>
    <s v="Familles d'accueil"/>
    <s v="Non, pas du tout"/>
    <s v="Non"/>
    <m/>
    <n v="8"/>
    <n v="210"/>
    <s v="Oui"/>
    <s v="Premier déplacement"/>
    <n v="8"/>
    <n v="45"/>
    <n v="17"/>
    <n v="28"/>
    <n v="0"/>
    <n v="8"/>
    <n v="0"/>
    <n v="0"/>
    <m/>
    <m/>
    <n v="0"/>
    <n v="0"/>
    <m/>
    <m/>
    <n v="0"/>
    <s v="RAS"/>
    <s v="Non"/>
    <m/>
    <m/>
    <m/>
    <m/>
    <m/>
    <m/>
    <m/>
    <m/>
    <m/>
    <m/>
    <m/>
    <m/>
    <m/>
    <m/>
    <m/>
    <s v="Non"/>
    <m/>
    <m/>
    <m/>
    <m/>
    <m/>
    <m/>
    <m/>
    <m/>
    <m/>
    <m/>
    <m/>
    <m/>
    <m/>
    <m/>
    <m/>
    <m/>
    <m/>
    <m/>
    <m/>
    <m/>
    <n v="0"/>
    <m/>
    <m/>
    <m/>
    <m/>
    <m/>
    <m/>
    <m/>
    <m/>
    <m/>
    <m/>
    <m/>
    <m/>
    <m/>
    <s v="1"/>
    <s v="0"/>
    <s v="0"/>
    <n v="1"/>
  </r>
  <r>
    <n v="2617953"/>
    <s v="Extrême-Nord"/>
    <s v="CMR004"/>
    <x v="1"/>
    <s v="CMR004002"/>
    <s v="Kousséri"/>
    <s v="CMR004002006"/>
    <s v="KOU-0040"/>
    <s v="NDJAMENA"/>
    <m/>
    <x v="0"/>
    <n v="12.084524500000001"/>
    <n v="15.006454"/>
    <x v="0"/>
    <b v="1"/>
    <b v="0"/>
    <b v="0"/>
    <m/>
    <n v="4"/>
    <s v="Accessible"/>
    <m/>
    <s v="Le village accueille une population"/>
    <s v="Le village est intact (construit)"/>
    <m/>
    <m/>
    <s v="Oui"/>
    <s v="Familles d'accueil"/>
    <s v="Location"/>
    <s v="Non"/>
    <m/>
    <n v="23"/>
    <n v="7888"/>
    <s v="Oui"/>
    <s v="Deuxième déplacement"/>
    <n v="23"/>
    <n v="204"/>
    <n v="98"/>
    <n v="106"/>
    <n v="0"/>
    <n v="5"/>
    <n v="0"/>
    <n v="18"/>
    <s v="Logement indépendant (Maison indépendante)"/>
    <m/>
    <n v="0"/>
    <n v="0"/>
    <m/>
    <m/>
    <n v="0"/>
    <s v="RAS"/>
    <s v="Non"/>
    <m/>
    <m/>
    <m/>
    <m/>
    <m/>
    <m/>
    <m/>
    <m/>
    <m/>
    <m/>
    <m/>
    <m/>
    <m/>
    <m/>
    <m/>
    <s v="Non"/>
    <m/>
    <m/>
    <m/>
    <m/>
    <m/>
    <m/>
    <m/>
    <m/>
    <m/>
    <m/>
    <m/>
    <m/>
    <m/>
    <m/>
    <m/>
    <m/>
    <m/>
    <m/>
    <m/>
    <m/>
    <n v="0"/>
    <m/>
    <m/>
    <m/>
    <m/>
    <m/>
    <m/>
    <m/>
    <m/>
    <m/>
    <m/>
    <m/>
    <m/>
    <m/>
    <s v="1"/>
    <s v="0"/>
    <s v="0"/>
    <n v="1"/>
  </r>
  <r>
    <n v="2620186"/>
    <s v="Extrême-Nord"/>
    <s v="CMR004"/>
    <x v="1"/>
    <s v="CMR004002"/>
    <s v="Kousséri"/>
    <s v="CMR004002006"/>
    <s v="KOU-0028"/>
    <s v="NGALLO"/>
    <m/>
    <x v="1"/>
    <n v="12.070573899999999"/>
    <n v="15.0291595"/>
    <x v="0"/>
    <b v="1"/>
    <b v="0"/>
    <b v="0"/>
    <m/>
    <n v="3"/>
    <s v="Accessible"/>
    <m/>
    <s v="Le village accueille une population"/>
    <s v="Le village est intact (construit)"/>
    <m/>
    <m/>
    <s v="Oui"/>
    <s v="Familles d'accueil"/>
    <s v="Location"/>
    <s v="Non"/>
    <m/>
    <n v="10"/>
    <n v="3000"/>
    <s v="Oui"/>
    <s v="Premier déplacement"/>
    <n v="10"/>
    <n v="120"/>
    <n v="20"/>
    <n v="100"/>
    <n v="0"/>
    <n v="3"/>
    <n v="0"/>
    <n v="7"/>
    <s v="Logement indépendant (Maison indépendante)"/>
    <m/>
    <n v="0"/>
    <n v="0"/>
    <m/>
    <m/>
    <n v="0"/>
    <s v="10 ménages pour 120 individus  soit 20 hommes et 100 femmes venant de de madana , lacka , suite à la mode tee des eaux "/>
    <s v="Oui"/>
    <n v="7"/>
    <n v="80"/>
    <n v="20"/>
    <n v="60"/>
    <n v="2"/>
    <n v="0"/>
    <n v="5"/>
    <s v="Logement indépendant (Maison indépendante)"/>
    <n v="0"/>
    <n v="0"/>
    <m/>
    <m/>
    <n v="0"/>
    <n v="7"/>
    <s v="Nous avons 7 ménages pour 80 individus soit 20 hommes et 60 femmes venant du Tchad  suite à la montée des eaux"/>
    <s v="Non"/>
    <m/>
    <m/>
    <m/>
    <m/>
    <m/>
    <m/>
    <m/>
    <m/>
    <m/>
    <m/>
    <m/>
    <m/>
    <m/>
    <m/>
    <m/>
    <m/>
    <m/>
    <m/>
    <m/>
    <m/>
    <n v="0"/>
    <m/>
    <m/>
    <m/>
    <m/>
    <m/>
    <m/>
    <m/>
    <m/>
    <m/>
    <m/>
    <m/>
    <m/>
    <m/>
    <s v="1"/>
    <s v="1"/>
    <s v="0"/>
    <n v="2"/>
  </r>
  <r>
    <n v="2656573"/>
    <s v="Extrême-Nord"/>
    <s v="CMR004"/>
    <x v="1"/>
    <s v="CMR004002"/>
    <s v="Kousséri"/>
    <s v="CMR004002006"/>
    <s v="KOU-0029"/>
    <s v="NGARGOUZO"/>
    <m/>
    <x v="0"/>
    <n v="12.103777300000001"/>
    <n v="15.0223382"/>
    <x v="0"/>
    <b v="1"/>
    <b v="0"/>
    <b v="0"/>
    <m/>
    <n v="4"/>
    <s v="Accessible"/>
    <m/>
    <s v="Le village accueille une population"/>
    <s v="Le village est partiellement détruit"/>
    <s v="Intempéries (inondations, tempêtes etc.)"/>
    <m/>
    <s v="Oui"/>
    <s v="Location"/>
    <s v="Familles d'accueil"/>
    <s v="Non"/>
    <m/>
    <m/>
    <m/>
    <m/>
    <m/>
    <m/>
    <m/>
    <m/>
    <m/>
    <m/>
    <m/>
    <m/>
    <m/>
    <m/>
    <m/>
    <m/>
    <m/>
    <m/>
    <m/>
    <m/>
    <m/>
    <m/>
    <m/>
    <m/>
    <m/>
    <m/>
    <m/>
    <m/>
    <m/>
    <m/>
    <m/>
    <m/>
    <m/>
    <m/>
    <m/>
    <m/>
    <m/>
    <m/>
    <m/>
    <m/>
    <m/>
    <m/>
    <m/>
    <m/>
    <m/>
    <m/>
    <m/>
    <m/>
    <m/>
    <m/>
    <m/>
    <m/>
    <m/>
    <m/>
    <m/>
    <m/>
    <m/>
    <m/>
    <m/>
    <m/>
    <m/>
    <m/>
    <m/>
    <m/>
    <m/>
    <m/>
    <m/>
    <m/>
    <m/>
    <m/>
    <m/>
    <m/>
    <s v="0"/>
    <s v="0"/>
    <s v="0"/>
    <n v="0"/>
  </r>
  <r>
    <n v="2617955"/>
    <s v="Extrême-Nord"/>
    <s v="CMR004"/>
    <x v="1"/>
    <s v="CMR004002"/>
    <s v="Kousséri"/>
    <s v="CMR004002006"/>
    <s v="KOU-0045"/>
    <s v="NIGUE"/>
    <m/>
    <x v="1"/>
    <n v="12.095195800000001"/>
    <n v="14.891110599999999"/>
    <x v="0"/>
    <b v="1"/>
    <b v="0"/>
    <b v="0"/>
    <m/>
    <n v="4"/>
    <s v="Accessible"/>
    <m/>
    <s v="Le village accueille une population"/>
    <s v="Le village est intact (construit)"/>
    <m/>
    <m/>
    <s v="Oui"/>
    <s v="Familles d'accueil"/>
    <s v="Non, pas du tout"/>
    <s v="Non"/>
    <m/>
    <n v="4"/>
    <n v="180"/>
    <s v="Oui"/>
    <s v="Deuxième déplacement"/>
    <n v="4"/>
    <n v="20"/>
    <n v="7"/>
    <n v="13"/>
    <n v="0"/>
    <n v="4"/>
    <n v="0"/>
    <n v="0"/>
    <m/>
    <m/>
    <n v="0"/>
    <n v="0"/>
    <m/>
    <m/>
    <n v="0"/>
    <s v="RAS"/>
    <s v="Non"/>
    <m/>
    <m/>
    <m/>
    <m/>
    <m/>
    <m/>
    <m/>
    <m/>
    <m/>
    <m/>
    <m/>
    <m/>
    <m/>
    <m/>
    <m/>
    <s v="Non"/>
    <m/>
    <m/>
    <m/>
    <m/>
    <m/>
    <m/>
    <m/>
    <m/>
    <m/>
    <m/>
    <m/>
    <m/>
    <m/>
    <m/>
    <m/>
    <m/>
    <m/>
    <m/>
    <m/>
    <m/>
    <n v="0"/>
    <m/>
    <m/>
    <m/>
    <m/>
    <m/>
    <m/>
    <m/>
    <m/>
    <m/>
    <m/>
    <m/>
    <m/>
    <m/>
    <s v="1"/>
    <s v="0"/>
    <s v="0"/>
    <n v="1"/>
  </r>
  <r>
    <n v="2722416"/>
    <s v="Extrême-Nord"/>
    <s v="CMR004"/>
    <x v="1"/>
    <s v="CMR004002"/>
    <s v="Kousséri"/>
    <s v="CMR004002006"/>
    <s v="KOU-0030"/>
    <s v="PAGUI"/>
    <m/>
    <x v="0"/>
    <n v="12.092090799999999"/>
    <n v="15.0298517"/>
    <x v="0"/>
    <b v="1"/>
    <b v="0"/>
    <b v="1"/>
    <m/>
    <n v="3"/>
    <s v="Accessible"/>
    <m/>
    <s v="Le village accueille une population"/>
    <s v="Le village est intact (construit)"/>
    <m/>
    <m/>
    <s v="Oui"/>
    <s v="Familles d'accueil"/>
    <s v="Non, pas du tout"/>
    <s v="Non"/>
    <m/>
    <n v="35"/>
    <n v="6777"/>
    <s v="Oui"/>
    <s v="Premier déplacement"/>
    <n v="35"/>
    <n v="105"/>
    <n v="40"/>
    <n v="65"/>
    <n v="0"/>
    <n v="5"/>
    <n v="0"/>
    <n v="30"/>
    <s v="Chez une famille d'accueil (contre loyer)"/>
    <m/>
    <n v="0"/>
    <n v="0"/>
    <m/>
    <m/>
    <n v="0"/>
    <s v="Nouveau  arrive de 5 ménage et 15 indivis "/>
    <s v="Non"/>
    <m/>
    <m/>
    <m/>
    <m/>
    <m/>
    <m/>
    <m/>
    <m/>
    <m/>
    <m/>
    <m/>
    <m/>
    <m/>
    <m/>
    <m/>
    <s v="Non"/>
    <m/>
    <m/>
    <m/>
    <m/>
    <m/>
    <m/>
    <m/>
    <m/>
    <m/>
    <m/>
    <m/>
    <m/>
    <m/>
    <m/>
    <m/>
    <m/>
    <m/>
    <m/>
    <m/>
    <m/>
    <n v="0"/>
    <m/>
    <m/>
    <m/>
    <m/>
    <m/>
    <m/>
    <m/>
    <m/>
    <m/>
    <m/>
    <m/>
    <m/>
    <m/>
    <s v="1"/>
    <s v="0"/>
    <s v="0"/>
    <n v="1"/>
  </r>
  <r>
    <n v="2656653"/>
    <s v="Extrême-Nord"/>
    <s v="CMR004"/>
    <x v="1"/>
    <s v="CMR004002"/>
    <s v="Kousséri"/>
    <s v="CMR004002006"/>
    <s v="KOU-0031"/>
    <s v="PAR-PAR"/>
    <m/>
    <x v="1"/>
    <n v="12.071158"/>
    <n v="15.0314899"/>
    <x v="0"/>
    <b v="1"/>
    <b v="0"/>
    <b v="0"/>
    <m/>
    <n v="3"/>
    <s v="Accessible"/>
    <m/>
    <s v="Le village accueille une population"/>
    <s v="Le village est intact (construit)"/>
    <m/>
    <m/>
    <s v="Oui"/>
    <s v="Familles d'accueil"/>
    <s v="Location"/>
    <s v="Non"/>
    <m/>
    <n v="3"/>
    <n v="6000"/>
    <s v="Oui"/>
    <s v="Premier déplacement"/>
    <n v="3"/>
    <n v="15"/>
    <n v="5"/>
    <n v="10"/>
    <n v="0"/>
    <n v="1"/>
    <n v="0"/>
    <n v="2"/>
    <s v="Chez une famille d'accueil (contre loyer)"/>
    <m/>
    <n v="0"/>
    <n v="0"/>
    <m/>
    <m/>
    <n v="0"/>
    <s v="3 ménages pour 15 individu soit 5 hommes et 10 femmes venu de madana suite à l'inondation "/>
    <s v="Non"/>
    <m/>
    <m/>
    <m/>
    <m/>
    <m/>
    <m/>
    <m/>
    <m/>
    <m/>
    <m/>
    <m/>
    <m/>
    <m/>
    <m/>
    <m/>
    <s v="Non"/>
    <m/>
    <m/>
    <m/>
    <m/>
    <m/>
    <m/>
    <m/>
    <m/>
    <m/>
    <m/>
    <m/>
    <m/>
    <m/>
    <m/>
    <m/>
    <m/>
    <m/>
    <m/>
    <m/>
    <m/>
    <n v="0"/>
    <m/>
    <m/>
    <m/>
    <m/>
    <m/>
    <m/>
    <m/>
    <m/>
    <m/>
    <m/>
    <m/>
    <m/>
    <m/>
    <s v="1"/>
    <s v="0"/>
    <s v="0"/>
    <n v="1"/>
  </r>
  <r>
    <n v="2620246"/>
    <s v="Extrême-Nord"/>
    <s v="CMR004"/>
    <x v="1"/>
    <s v="CMR004002"/>
    <s v="Kousséri"/>
    <s v="CMR004002006"/>
    <s v="KOU-0032"/>
    <s v="RIGGIL KOTOKO"/>
    <m/>
    <x v="1"/>
    <n v="12.0866933"/>
    <n v="14.9836014"/>
    <x v="0"/>
    <b v="1"/>
    <b v="0"/>
    <b v="0"/>
    <m/>
    <n v="4"/>
    <s v="Accessible"/>
    <m/>
    <s v="Le village accueille une population"/>
    <s v="Le village est intact (construit)"/>
    <m/>
    <m/>
    <s v="Oui"/>
    <s v="Familles d'accueil"/>
    <s v="Location"/>
    <s v="Non"/>
    <m/>
    <n v="21"/>
    <n v="1000"/>
    <s v="Oui"/>
    <s v="Premier déplacement"/>
    <n v="21"/>
    <n v="78"/>
    <n v="25"/>
    <n v="53"/>
    <n v="0"/>
    <n v="21"/>
    <n v="0"/>
    <n v="0"/>
    <m/>
    <m/>
    <n v="0"/>
    <n v="0"/>
    <m/>
    <m/>
    <n v="0"/>
    <s v="1 ménage de 6 personnes rentré dans le logone birni"/>
    <s v="Non"/>
    <m/>
    <m/>
    <m/>
    <m/>
    <m/>
    <m/>
    <m/>
    <m/>
    <m/>
    <m/>
    <m/>
    <m/>
    <m/>
    <m/>
    <m/>
    <s v="Non"/>
    <m/>
    <m/>
    <m/>
    <m/>
    <m/>
    <m/>
    <m/>
    <m/>
    <m/>
    <m/>
    <m/>
    <m/>
    <m/>
    <m/>
    <m/>
    <m/>
    <m/>
    <m/>
    <m/>
    <m/>
    <n v="0"/>
    <m/>
    <m/>
    <m/>
    <m/>
    <m/>
    <m/>
    <m/>
    <m/>
    <m/>
    <m/>
    <m/>
    <m/>
    <m/>
    <s v="1"/>
    <s v="0"/>
    <s v="0"/>
    <n v="1"/>
  </r>
  <r>
    <n v="2619938"/>
    <s v="Extrême-Nord"/>
    <s v="CMR004"/>
    <x v="1"/>
    <s v="CMR004002"/>
    <s v="Kousséri"/>
    <s v="CMR004002006"/>
    <s v="KOU-0033"/>
    <s v="SEHEBA"/>
    <m/>
    <x v="1"/>
    <n v="12.095943500000001"/>
    <n v="14.950041799999999"/>
    <x v="0"/>
    <b v="1"/>
    <b v="0"/>
    <b v="0"/>
    <m/>
    <n v="4"/>
    <s v="Accessible"/>
    <m/>
    <s v="Le village accueille une population"/>
    <s v="Le village est partiellement détruit"/>
    <s v="Autre"/>
    <s v="Suite à l'inondation  et la pluie"/>
    <s v="Oui"/>
    <s v="Familles d'accueil"/>
    <s v="Non, pas du tout"/>
    <s v="Non"/>
    <m/>
    <n v="6"/>
    <n v="1250"/>
    <s v="Oui"/>
    <s v="Premier déplacement"/>
    <n v="6"/>
    <n v="50"/>
    <n v="20"/>
    <n v="30"/>
    <n v="0"/>
    <n v="6"/>
    <n v="0"/>
    <n v="0"/>
    <m/>
    <m/>
    <n v="0"/>
    <n v="0"/>
    <m/>
    <m/>
    <n v="0"/>
    <s v="Il y'a eu de 2 menages de 10 individus  qui sont répartis dans Arkis et ibou"/>
    <s v="Non"/>
    <m/>
    <m/>
    <m/>
    <m/>
    <m/>
    <m/>
    <m/>
    <m/>
    <m/>
    <m/>
    <m/>
    <m/>
    <m/>
    <m/>
    <m/>
    <s v="Oui"/>
    <n v="6"/>
    <n v="54"/>
    <n v="20"/>
    <n v="34"/>
    <s v="Entre 3 mois et 1 an"/>
    <n v="0"/>
    <n v="6"/>
    <n v="0"/>
    <n v="0"/>
    <n v="0"/>
    <m/>
    <n v="0"/>
    <n v="0"/>
    <m/>
    <n v="0"/>
    <m/>
    <m/>
    <m/>
    <m/>
    <m/>
    <n v="0"/>
    <m/>
    <m/>
    <m/>
    <m/>
    <m/>
    <m/>
    <m/>
    <m/>
    <m/>
    <m/>
    <m/>
    <m/>
    <m/>
    <s v="1"/>
    <s v="0"/>
    <s v="1"/>
    <n v="2"/>
  </r>
  <r>
    <n v="2678351"/>
    <s v="Extrême-Nord"/>
    <s v="CMR004"/>
    <x v="1"/>
    <s v="CMR004002"/>
    <s v="Kousséri"/>
    <s v="CMR004002006"/>
    <s v="KOU-0034"/>
    <s v="SOKOTO"/>
    <m/>
    <x v="1"/>
    <n v="12.083178"/>
    <n v="15.0278054"/>
    <x v="0"/>
    <b v="1"/>
    <b v="0"/>
    <b v="0"/>
    <m/>
    <n v="3"/>
    <s v="Accessible"/>
    <m/>
    <s v="Le village accueille une population"/>
    <s v="Le village est intact (construit)"/>
    <m/>
    <m/>
    <s v="Oui"/>
    <s v="Familles d'accueil"/>
    <s v="Location"/>
    <s v="Non"/>
    <m/>
    <n v="5"/>
    <n v="2050"/>
    <s v="Oui"/>
    <s v="Premier déplacement"/>
    <n v="5"/>
    <n v="20"/>
    <n v="5"/>
    <n v="15"/>
    <n v="0"/>
    <n v="1"/>
    <n v="0"/>
    <n v="4"/>
    <s v="Chez une famille d'accueil (contre loyer)"/>
    <m/>
    <n v="0"/>
    <n v="0"/>
    <m/>
    <m/>
    <n v="0"/>
    <s v="5 ménages pour 20 individu SOIT 10 HOMMES ET 10 femmes  venant de blame 'afade"/>
    <s v="Oui"/>
    <n v="3"/>
    <n v="20"/>
    <n v="5"/>
    <n v="15"/>
    <n v="2"/>
    <n v="0"/>
    <n v="1"/>
    <s v="Chez une famille d'accueil (contre loyer)"/>
    <n v="0"/>
    <n v="0"/>
    <m/>
    <m/>
    <n v="0"/>
    <n v="3"/>
    <s v="Nous notons 3 ménages pour 20 individu venant du Tchad "/>
    <s v="Non"/>
    <m/>
    <m/>
    <m/>
    <m/>
    <m/>
    <m/>
    <m/>
    <m/>
    <m/>
    <m/>
    <m/>
    <m/>
    <m/>
    <m/>
    <m/>
    <m/>
    <m/>
    <m/>
    <m/>
    <m/>
    <n v="0"/>
    <m/>
    <m/>
    <m/>
    <m/>
    <m/>
    <m/>
    <m/>
    <m/>
    <m/>
    <m/>
    <m/>
    <m/>
    <m/>
    <s v="1"/>
    <s v="1"/>
    <s v="0"/>
    <n v="2"/>
  </r>
  <r>
    <n v="2617956"/>
    <s v="Extrême-Nord"/>
    <s v="CMR004"/>
    <x v="1"/>
    <s v="CMR004002"/>
    <s v="Kousséri"/>
    <s v="CMR004002006"/>
    <s v="KOU-0041"/>
    <s v="TAMARAYA"/>
    <m/>
    <x v="1"/>
    <n v="12.0812192"/>
    <n v="14.949046600000001"/>
    <x v="0"/>
    <b v="1"/>
    <b v="0"/>
    <b v="0"/>
    <m/>
    <n v="3"/>
    <s v="Accessible"/>
    <m/>
    <s v="Le village accueille une population"/>
    <s v="Le village est intact (construit)"/>
    <m/>
    <m/>
    <s v="Oui"/>
    <s v="Familles d'accueil"/>
    <s v="Non, pas du tout"/>
    <s v="Non"/>
    <m/>
    <n v="16"/>
    <n v="300"/>
    <s v="Oui"/>
    <s v="Premier déplacement"/>
    <n v="16"/>
    <n v="100"/>
    <n v="40"/>
    <n v="60"/>
    <n v="0"/>
    <n v="16"/>
    <n v="0"/>
    <n v="0"/>
    <m/>
    <m/>
    <n v="0"/>
    <n v="0"/>
    <m/>
    <m/>
    <n v="0"/>
    <s v="3 ménages soient 26 individus, 9 homme 17 femmes sont retournés à logone birni"/>
    <s v="Non"/>
    <m/>
    <m/>
    <m/>
    <m/>
    <m/>
    <m/>
    <m/>
    <m/>
    <m/>
    <m/>
    <m/>
    <m/>
    <m/>
    <m/>
    <m/>
    <s v="Non"/>
    <m/>
    <m/>
    <m/>
    <m/>
    <m/>
    <m/>
    <m/>
    <m/>
    <m/>
    <m/>
    <m/>
    <m/>
    <m/>
    <m/>
    <m/>
    <m/>
    <m/>
    <m/>
    <m/>
    <m/>
    <n v="0"/>
    <m/>
    <m/>
    <m/>
    <m/>
    <m/>
    <m/>
    <m/>
    <m/>
    <m/>
    <m/>
    <m/>
    <m/>
    <m/>
    <s v="1"/>
    <s v="0"/>
    <s v="0"/>
    <n v="1"/>
  </r>
  <r>
    <n v="2797717"/>
    <s v="Extrême-Nord"/>
    <s v="CMR004"/>
    <x v="1"/>
    <s v="CMR004002"/>
    <s v="Kousséri"/>
    <s v="CMR004002006"/>
    <s v="KOU-0035"/>
    <s v="WALI"/>
    <m/>
    <x v="1"/>
    <n v="12.078920200000001"/>
    <n v="15.034244599999999"/>
    <x v="0"/>
    <b v="1"/>
    <b v="0"/>
    <b v="0"/>
    <m/>
    <n v="3"/>
    <s v="Accessible"/>
    <m/>
    <s v="Le village accueille une population"/>
    <s v="Le village est intact (construit)"/>
    <m/>
    <m/>
    <s v="Oui"/>
    <s v="Location"/>
    <s v="Familles d'accueil"/>
    <s v="Non"/>
    <m/>
    <m/>
    <m/>
    <m/>
    <m/>
    <m/>
    <m/>
    <m/>
    <m/>
    <m/>
    <m/>
    <m/>
    <m/>
    <m/>
    <m/>
    <m/>
    <m/>
    <m/>
    <m/>
    <m/>
    <m/>
    <m/>
    <m/>
    <m/>
    <m/>
    <m/>
    <m/>
    <m/>
    <m/>
    <m/>
    <m/>
    <m/>
    <m/>
    <m/>
    <m/>
    <m/>
    <m/>
    <m/>
    <m/>
    <m/>
    <m/>
    <m/>
    <m/>
    <m/>
    <m/>
    <m/>
    <m/>
    <m/>
    <m/>
    <m/>
    <m/>
    <m/>
    <m/>
    <m/>
    <m/>
    <m/>
    <m/>
    <m/>
    <m/>
    <m/>
    <m/>
    <m/>
    <m/>
    <m/>
    <m/>
    <m/>
    <m/>
    <m/>
    <m/>
    <m/>
    <m/>
    <m/>
    <s v="0"/>
    <s v="0"/>
    <s v="0"/>
    <n v="0"/>
  </r>
  <r>
    <n v="2619957"/>
    <s v="Extrême-Nord"/>
    <s v="CMR004"/>
    <x v="1"/>
    <s v="CMR004002"/>
    <s v="Logone-Birni"/>
    <s v="CMR004002004"/>
    <s v="XXXX"/>
    <s v="SITE DE MARIAM"/>
    <s v="SITE DE MARIAM"/>
    <x v="1"/>
    <n v="11.802445799999999"/>
    <n v="15.103286900000001"/>
    <x v="0"/>
    <b v="0"/>
    <b v="1"/>
    <b v="1"/>
    <n v="11"/>
    <m/>
    <s v="Accessible"/>
    <m/>
    <s v="Le village accueille une population"/>
    <s v="Le village est intact (construit)"/>
    <m/>
    <m/>
    <s v="Oui"/>
    <s v="Sites de déplacement spontanés"/>
    <s v="Non, pas du tout"/>
    <s v="Non"/>
    <m/>
    <m/>
    <n v="350"/>
    <s v="Non"/>
    <m/>
    <m/>
    <m/>
    <m/>
    <m/>
    <m/>
    <m/>
    <m/>
    <m/>
    <m/>
    <m/>
    <m/>
    <m/>
    <m/>
    <m/>
    <m/>
    <m/>
    <s v="Oui"/>
    <n v="50"/>
    <n v="350"/>
    <n v="150"/>
    <n v="200"/>
    <n v="0"/>
    <n v="0"/>
    <n v="0"/>
    <m/>
    <n v="0"/>
    <n v="50"/>
    <s v="Pagne"/>
    <m/>
    <n v="0"/>
    <n v="0"/>
    <s v="Certains réfugiés sont sur le point de partir"/>
    <s v="Non"/>
    <m/>
    <m/>
    <m/>
    <m/>
    <m/>
    <m/>
    <m/>
    <m/>
    <m/>
    <m/>
    <m/>
    <m/>
    <m/>
    <m/>
    <m/>
    <m/>
    <m/>
    <m/>
    <m/>
    <m/>
    <n v="0"/>
    <m/>
    <m/>
    <m/>
    <m/>
    <m/>
    <m/>
    <m/>
    <m/>
    <m/>
    <m/>
    <m/>
    <m/>
    <m/>
    <s v="0"/>
    <s v="1"/>
    <s v="0"/>
    <n v="1"/>
  </r>
  <r>
    <n v="2621518"/>
    <s v="Extrême-Nord"/>
    <s v="CMR004"/>
    <x v="1"/>
    <s v="CMR004002"/>
    <s v="Logone-Birni"/>
    <s v="CMR004002004"/>
    <s v="XXXX"/>
    <s v="NGOUDOUM"/>
    <s v="NGOUDOUM"/>
    <x v="1"/>
    <n v="11.8503749"/>
    <n v="15.0766536"/>
    <x v="0"/>
    <b v="1"/>
    <b v="0"/>
    <b v="1"/>
    <m/>
    <n v="3"/>
    <s v="Accessible"/>
    <m/>
    <s v="Le village accueille une population"/>
    <s v="Le village est partiellement détruit"/>
    <s v="Intempéries (inondations, tempêtes etc.)"/>
    <m/>
    <s v="Oui"/>
    <s v="Familles d'accueil"/>
    <s v="Non, pas du tout"/>
    <s v="Non"/>
    <m/>
    <m/>
    <n v="200"/>
    <s v="Non"/>
    <m/>
    <m/>
    <m/>
    <m/>
    <m/>
    <m/>
    <m/>
    <m/>
    <m/>
    <m/>
    <m/>
    <m/>
    <m/>
    <m/>
    <m/>
    <m/>
    <m/>
    <s v="Non"/>
    <m/>
    <m/>
    <m/>
    <m/>
    <m/>
    <m/>
    <m/>
    <m/>
    <m/>
    <m/>
    <m/>
    <m/>
    <m/>
    <m/>
    <m/>
    <s v="Oui"/>
    <n v="5"/>
    <n v="30"/>
    <n v="10"/>
    <n v="20"/>
    <s v="Entre 1 et 5 ans"/>
    <n v="0"/>
    <n v="0"/>
    <n v="5"/>
    <n v="0"/>
    <n v="0"/>
    <m/>
    <n v="0"/>
    <n v="0"/>
    <m/>
    <n v="0"/>
    <m/>
    <m/>
    <m/>
    <m/>
    <m/>
    <n v="6"/>
    <m/>
    <m/>
    <m/>
    <m/>
    <m/>
    <m/>
    <m/>
    <m/>
    <m/>
    <m/>
    <m/>
    <m/>
    <m/>
    <s v="0"/>
    <s v="0"/>
    <s v="1"/>
    <n v="1"/>
  </r>
  <r>
    <n v="2621521"/>
    <s v="Extrême-Nord"/>
    <s v="CMR004"/>
    <x v="1"/>
    <s v="CMR004002"/>
    <s v="Logone-Birni"/>
    <s v="CMR004002004"/>
    <s v="XXXX"/>
    <s v="DILGA ARABE"/>
    <s v="DILGA ARABE"/>
    <x v="1"/>
    <n v="11.7246615"/>
    <n v="15.053910500000001"/>
    <x v="0"/>
    <b v="1"/>
    <b v="0"/>
    <b v="1"/>
    <m/>
    <n v="3"/>
    <s v="Accessible"/>
    <m/>
    <s v="Le village accueille une population"/>
    <s v="Le village est partiellement détruit"/>
    <s v="Conflit intercommunautaire"/>
    <m/>
    <s v="Oui"/>
    <s v="Familles d'accueil"/>
    <s v="Non, pas du tout"/>
    <s v="Non"/>
    <m/>
    <n v="15"/>
    <n v="510"/>
    <s v="Oui"/>
    <s v="Premier déplacement"/>
    <n v="15"/>
    <n v="50"/>
    <n v="15"/>
    <n v="35"/>
    <n v="0"/>
    <n v="15"/>
    <n v="0"/>
    <n v="0"/>
    <m/>
    <m/>
    <n v="0"/>
    <n v="0"/>
    <m/>
    <m/>
    <n v="0"/>
    <s v="Les PDIs ont fuis à  cause de l'inondation et ont tout perdu pendant cette catastrophe"/>
    <s v="Non"/>
    <m/>
    <m/>
    <m/>
    <m/>
    <m/>
    <m/>
    <m/>
    <m/>
    <m/>
    <m/>
    <m/>
    <m/>
    <m/>
    <m/>
    <m/>
    <s v="Oui"/>
    <n v="6"/>
    <n v="20"/>
    <n v="13"/>
    <n v="7"/>
    <s v="Entre 1 et 5 ans"/>
    <n v="0"/>
    <n v="0"/>
    <n v="6"/>
    <n v="0"/>
    <n v="0"/>
    <m/>
    <n v="0"/>
    <n v="0"/>
    <m/>
    <n v="0"/>
    <m/>
    <m/>
    <m/>
    <m/>
    <m/>
    <n v="5"/>
    <m/>
    <m/>
    <m/>
    <m/>
    <m/>
    <m/>
    <m/>
    <m/>
    <m/>
    <m/>
    <m/>
    <m/>
    <m/>
    <s v="1"/>
    <s v="0"/>
    <s v="1"/>
    <n v="2"/>
  </r>
  <r>
    <n v="2659544"/>
    <s v="Extrême-Nord"/>
    <s v="CMR004"/>
    <x v="1"/>
    <s v="CMR004002"/>
    <s v="Logone-Birni"/>
    <s v="CMR004002004"/>
    <s v="XXXX"/>
    <s v="MAHANA 2"/>
    <s v="MAHANA 2"/>
    <x v="1"/>
    <n v="11.522138200000001"/>
    <n v="14.983771000000001"/>
    <x v="0"/>
    <b v="1"/>
    <b v="0"/>
    <b v="1"/>
    <m/>
    <n v="4"/>
    <s v="Accessible"/>
    <m/>
    <s v="Le village accueille une population"/>
    <s v="Le village est totalement détruit"/>
    <s v="Conflit intercommunautaire"/>
    <m/>
    <s v="Oui"/>
    <s v="Familles d'accueil"/>
    <s v="Non, pas du tout"/>
    <s v="Non"/>
    <m/>
    <m/>
    <n v="217"/>
    <s v="Non"/>
    <m/>
    <m/>
    <m/>
    <m/>
    <m/>
    <m/>
    <m/>
    <m/>
    <m/>
    <m/>
    <m/>
    <m/>
    <m/>
    <m/>
    <m/>
    <m/>
    <m/>
    <s v="Non"/>
    <m/>
    <m/>
    <m/>
    <m/>
    <m/>
    <m/>
    <m/>
    <m/>
    <m/>
    <m/>
    <m/>
    <m/>
    <m/>
    <m/>
    <m/>
    <s v="Oui"/>
    <n v="24"/>
    <n v="168"/>
    <n v="80"/>
    <n v="88"/>
    <s v="Entre 3 mois et 1 an"/>
    <n v="0"/>
    <n v="24"/>
    <n v="0"/>
    <n v="0"/>
    <n v="0"/>
    <m/>
    <n v="0"/>
    <n v="0"/>
    <m/>
    <n v="0"/>
    <m/>
    <m/>
    <m/>
    <m/>
    <m/>
    <n v="0"/>
    <m/>
    <m/>
    <m/>
    <m/>
    <m/>
    <m/>
    <m/>
    <m/>
    <m/>
    <m/>
    <m/>
    <m/>
    <m/>
    <s v="0"/>
    <s v="0"/>
    <s v="1"/>
    <n v="1"/>
  </r>
  <r>
    <n v="2659545"/>
    <s v="Extrême-Nord"/>
    <s v="CMR004"/>
    <x v="1"/>
    <s v="CMR004002"/>
    <s v="Logone-Birni"/>
    <s v="CMR004002004"/>
    <s v="XXXX"/>
    <s v="MARDIA"/>
    <s v="MARDIA"/>
    <x v="1"/>
    <n v="11.5145266"/>
    <n v="14.9861846"/>
    <x v="0"/>
    <b v="1"/>
    <b v="0"/>
    <b v="1"/>
    <m/>
    <n v="4"/>
    <s v="Accessible"/>
    <m/>
    <s v="Le village accueille une population"/>
    <s v="Le village est totalement détruit"/>
    <s v="Conflit intercommunautaire"/>
    <m/>
    <s v="Oui"/>
    <s v="Familles d'accueil"/>
    <s v="Non, pas du tout"/>
    <s v="Non"/>
    <m/>
    <m/>
    <n v="343"/>
    <s v="Non"/>
    <m/>
    <m/>
    <m/>
    <m/>
    <m/>
    <m/>
    <m/>
    <m/>
    <m/>
    <m/>
    <m/>
    <m/>
    <m/>
    <m/>
    <m/>
    <m/>
    <m/>
    <s v="Non"/>
    <m/>
    <m/>
    <m/>
    <m/>
    <m/>
    <m/>
    <m/>
    <m/>
    <m/>
    <m/>
    <m/>
    <m/>
    <m/>
    <m/>
    <m/>
    <s v="Oui"/>
    <n v="46"/>
    <n v="322"/>
    <n v="159"/>
    <n v="163"/>
    <s v="Entre 3 mois et 1 an"/>
    <n v="0"/>
    <n v="30"/>
    <n v="0"/>
    <n v="0"/>
    <n v="0"/>
    <m/>
    <n v="0"/>
    <n v="16"/>
    <s v="Paille/Natte/Nylon"/>
    <n v="0"/>
    <m/>
    <m/>
    <m/>
    <m/>
    <m/>
    <n v="0"/>
    <m/>
    <m/>
    <m/>
    <m/>
    <m/>
    <m/>
    <m/>
    <m/>
    <m/>
    <m/>
    <m/>
    <m/>
    <m/>
    <s v="0"/>
    <s v="0"/>
    <s v="1"/>
    <n v="1"/>
  </r>
  <r>
    <n v="2659576"/>
    <s v="Extrême-Nord"/>
    <s v="CMR004"/>
    <x v="1"/>
    <s v="CMR004002"/>
    <s v="Logone-Birni"/>
    <s v="CMR004002004"/>
    <s v="XXXX"/>
    <s v="GRINGAYWA"/>
    <s v="GRINGAYWA"/>
    <x v="1"/>
    <n v="11.48889"/>
    <n v="14.9680667"/>
    <x v="0"/>
    <b v="1"/>
    <b v="0"/>
    <b v="1"/>
    <m/>
    <n v="4"/>
    <s v="Accessible"/>
    <m/>
    <s v="Le village accueille une population"/>
    <s v="Le village est totalement détruit"/>
    <s v="Conflit intercommunautaire"/>
    <m/>
    <s v="Oui"/>
    <s v="Familles d'accueil"/>
    <s v="Non, pas du tout"/>
    <s v="Non"/>
    <m/>
    <m/>
    <n v="260"/>
    <s v="Non"/>
    <m/>
    <m/>
    <m/>
    <m/>
    <m/>
    <m/>
    <m/>
    <m/>
    <m/>
    <m/>
    <m/>
    <m/>
    <m/>
    <m/>
    <m/>
    <m/>
    <m/>
    <s v="Non"/>
    <m/>
    <m/>
    <m/>
    <m/>
    <m/>
    <m/>
    <m/>
    <m/>
    <m/>
    <m/>
    <m/>
    <m/>
    <m/>
    <m/>
    <m/>
    <s v="Oui"/>
    <n v="28"/>
    <n v="160"/>
    <n v="71"/>
    <n v="89"/>
    <s v="Entre 3 mois et 1 an"/>
    <n v="0"/>
    <n v="28"/>
    <n v="0"/>
    <n v="0"/>
    <n v="0"/>
    <m/>
    <n v="0"/>
    <n v="0"/>
    <m/>
    <n v="0"/>
    <m/>
    <m/>
    <m/>
    <m/>
    <m/>
    <n v="0"/>
    <m/>
    <m/>
    <m/>
    <m/>
    <m/>
    <m/>
    <m/>
    <m/>
    <m/>
    <m/>
    <m/>
    <m/>
    <m/>
    <s v="0"/>
    <s v="0"/>
    <s v="1"/>
    <n v="1"/>
  </r>
  <r>
    <n v="2659577"/>
    <s v="Extrême-Nord"/>
    <s v="CMR004"/>
    <x v="1"/>
    <s v="CMR004002"/>
    <s v="Logone-Birni"/>
    <s v="CMR004002004"/>
    <s v="XXXX"/>
    <s v="BLAGANA"/>
    <s v="BLAGANA"/>
    <x v="1"/>
    <n v="11.4591648"/>
    <n v="14.9826877"/>
    <x v="0"/>
    <b v="1"/>
    <b v="0"/>
    <b v="1"/>
    <m/>
    <n v="4"/>
    <s v="Accessible"/>
    <m/>
    <s v="Le village accueille une population"/>
    <s v="Le village est totalement détruit"/>
    <s v="Conflit intercommunautaire"/>
    <m/>
    <s v="Oui"/>
    <s v="Familles d'accueil"/>
    <s v="Non, pas du tout"/>
    <s v="Non"/>
    <m/>
    <m/>
    <n v="350"/>
    <s v="Non"/>
    <m/>
    <m/>
    <m/>
    <m/>
    <m/>
    <m/>
    <m/>
    <m/>
    <m/>
    <m/>
    <m/>
    <m/>
    <m/>
    <m/>
    <m/>
    <m/>
    <m/>
    <s v="Non"/>
    <m/>
    <m/>
    <m/>
    <m/>
    <m/>
    <m/>
    <m/>
    <m/>
    <m/>
    <m/>
    <m/>
    <m/>
    <m/>
    <m/>
    <m/>
    <s v="Oui"/>
    <n v="30"/>
    <n v="200"/>
    <n v="80"/>
    <n v="120"/>
    <s v="Entre 3 mois et 1 an"/>
    <n v="0"/>
    <n v="22"/>
    <n v="0"/>
    <n v="0"/>
    <n v="0"/>
    <m/>
    <n v="0"/>
    <n v="8"/>
    <s v="Paille/Natte/Nylon"/>
    <n v="0"/>
    <m/>
    <m/>
    <m/>
    <m/>
    <m/>
    <n v="0"/>
    <m/>
    <m/>
    <m/>
    <m/>
    <m/>
    <m/>
    <m/>
    <m/>
    <m/>
    <m/>
    <m/>
    <m/>
    <m/>
    <s v="0"/>
    <s v="0"/>
    <s v="1"/>
    <n v="1"/>
  </r>
  <r>
    <n v="2659578"/>
    <s v="Extrême-Nord"/>
    <s v="CMR004"/>
    <x v="1"/>
    <s v="CMR004002"/>
    <s v="Logone-Birni"/>
    <s v="CMR004002004"/>
    <s v="XXXX"/>
    <s v="HILE DJADID"/>
    <s v="HILE DJADID"/>
    <x v="1"/>
    <n v="11.5898152"/>
    <n v="14.9473292"/>
    <x v="0"/>
    <b v="1"/>
    <b v="0"/>
    <b v="1"/>
    <m/>
    <n v="4"/>
    <s v="Accessible"/>
    <m/>
    <s v="Le village accueille une population"/>
    <s v="Le village est totalement détruit"/>
    <s v="Conflit intercommunautaire"/>
    <m/>
    <s v="Oui"/>
    <s v="Familles d'accueil"/>
    <s v="Non, pas du tout"/>
    <s v="Non"/>
    <m/>
    <m/>
    <n v="47"/>
    <s v="Non"/>
    <m/>
    <m/>
    <m/>
    <m/>
    <m/>
    <m/>
    <m/>
    <m/>
    <m/>
    <m/>
    <m/>
    <m/>
    <m/>
    <m/>
    <m/>
    <m/>
    <m/>
    <s v="Non"/>
    <m/>
    <m/>
    <m/>
    <m/>
    <m/>
    <m/>
    <m/>
    <m/>
    <m/>
    <m/>
    <m/>
    <m/>
    <m/>
    <m/>
    <m/>
    <s v="Oui"/>
    <n v="18"/>
    <n v="36"/>
    <n v="16"/>
    <n v="20"/>
    <s v="Entre 3 mois et 1 an"/>
    <n v="0"/>
    <n v="18"/>
    <n v="0"/>
    <n v="0"/>
    <n v="0"/>
    <m/>
    <n v="0"/>
    <n v="0"/>
    <m/>
    <n v="0"/>
    <m/>
    <m/>
    <m/>
    <m/>
    <m/>
    <n v="0"/>
    <m/>
    <m/>
    <m/>
    <m/>
    <m/>
    <m/>
    <m/>
    <m/>
    <m/>
    <m/>
    <m/>
    <m/>
    <m/>
    <s v="0"/>
    <s v="0"/>
    <s v="1"/>
    <n v="1"/>
  </r>
  <r>
    <n v="2659579"/>
    <s v="Extrême-Nord"/>
    <s v="CMR004"/>
    <x v="1"/>
    <s v="CMR004002"/>
    <s v="Logone-Birni"/>
    <s v="CMR004002004"/>
    <s v="XXXX"/>
    <s v="SARA"/>
    <s v="SARA"/>
    <x v="1"/>
    <n v="11.519691699999999"/>
    <n v="14.9565693"/>
    <x v="0"/>
    <b v="1"/>
    <b v="0"/>
    <b v="1"/>
    <m/>
    <n v="4"/>
    <s v="Accessible"/>
    <m/>
    <s v="Le village accueille une population"/>
    <s v="Le village est totalement détruit"/>
    <s v="Conflit intercommunautaire"/>
    <m/>
    <s v="Oui"/>
    <s v="Familles d'accueil"/>
    <s v="Non, pas du tout"/>
    <s v="Non"/>
    <m/>
    <m/>
    <n v="210"/>
    <s v="Non"/>
    <m/>
    <m/>
    <m/>
    <m/>
    <m/>
    <m/>
    <m/>
    <m/>
    <m/>
    <m/>
    <m/>
    <m/>
    <m/>
    <m/>
    <m/>
    <m/>
    <m/>
    <s v="Non"/>
    <m/>
    <m/>
    <m/>
    <m/>
    <m/>
    <m/>
    <m/>
    <m/>
    <m/>
    <m/>
    <m/>
    <m/>
    <m/>
    <m/>
    <m/>
    <s v="Oui"/>
    <n v="19"/>
    <n v="150"/>
    <n v="71"/>
    <n v="79"/>
    <s v="Entre 3 mois et 1 an"/>
    <n v="0"/>
    <n v="12"/>
    <n v="0"/>
    <n v="0"/>
    <n v="0"/>
    <m/>
    <n v="0"/>
    <n v="7"/>
    <s v="Paille/Natte/Nylon"/>
    <n v="0"/>
    <m/>
    <m/>
    <m/>
    <m/>
    <m/>
    <n v="0"/>
    <m/>
    <m/>
    <m/>
    <m/>
    <m/>
    <m/>
    <m/>
    <m/>
    <m/>
    <m/>
    <m/>
    <m/>
    <m/>
    <s v="0"/>
    <s v="0"/>
    <s v="1"/>
    <n v="1"/>
  </r>
  <r>
    <n v="2659580"/>
    <s v="Extrême-Nord"/>
    <s v="CMR004"/>
    <x v="1"/>
    <s v="CMR004002"/>
    <s v="Logone-Birni"/>
    <s v="CMR004002004"/>
    <s v="XXXX"/>
    <s v="MALOUMRI"/>
    <s v="MALOUMRI"/>
    <x v="1"/>
    <n v="11.5513537"/>
    <n v="14.915429899999999"/>
    <x v="0"/>
    <b v="1"/>
    <b v="0"/>
    <b v="1"/>
    <m/>
    <n v="4"/>
    <s v="Accessible"/>
    <m/>
    <s v="Le village accueille une population"/>
    <s v="Le village est totalement détruit"/>
    <s v="Conflit intercommunautaire"/>
    <m/>
    <s v="Oui"/>
    <s v="Familles d'accueil"/>
    <s v="Non, pas du tout"/>
    <s v="Non"/>
    <m/>
    <m/>
    <n v="350"/>
    <s v="Non"/>
    <m/>
    <m/>
    <m/>
    <m/>
    <m/>
    <m/>
    <m/>
    <m/>
    <m/>
    <m/>
    <m/>
    <m/>
    <m/>
    <m/>
    <m/>
    <m/>
    <m/>
    <s v="Non"/>
    <m/>
    <m/>
    <m/>
    <m/>
    <m/>
    <m/>
    <m/>
    <m/>
    <m/>
    <m/>
    <m/>
    <m/>
    <m/>
    <m/>
    <m/>
    <s v="Oui"/>
    <n v="11"/>
    <n v="77"/>
    <n v="40"/>
    <n v="37"/>
    <s v="Entre 3 mois et 1 an"/>
    <n v="0"/>
    <n v="7"/>
    <n v="0"/>
    <n v="0"/>
    <n v="0"/>
    <m/>
    <n v="0"/>
    <n v="4"/>
    <s v="Paille/Natte/Nylon"/>
    <n v="0"/>
    <m/>
    <m/>
    <m/>
    <m/>
    <m/>
    <n v="0"/>
    <m/>
    <m/>
    <m/>
    <m/>
    <m/>
    <m/>
    <m/>
    <m/>
    <m/>
    <m/>
    <m/>
    <m/>
    <m/>
    <s v="0"/>
    <s v="0"/>
    <s v="1"/>
    <n v="1"/>
  </r>
  <r>
    <n v="2680255"/>
    <s v="Extrême-Nord"/>
    <s v="CMR004"/>
    <x v="1"/>
    <s v="CMR004002"/>
    <s v="Logone-Birni"/>
    <s v="CMR004002004"/>
    <s v="XXXX"/>
    <s v="BOURBEDE"/>
    <s v="BOURBEDE"/>
    <x v="1"/>
    <n v="12.0243389"/>
    <n v="14.8727144"/>
    <x v="0"/>
    <b v="1"/>
    <b v="0"/>
    <b v="0"/>
    <m/>
    <n v="4"/>
    <s v="Accessible"/>
    <m/>
    <s v="Le village accueille une population"/>
    <s v="Le village est intact (construit)"/>
    <m/>
    <m/>
    <s v="Oui"/>
    <s v="Familles d'accueil"/>
    <s v="Non, pas du tout"/>
    <s v="Non"/>
    <m/>
    <n v="40"/>
    <n v="540"/>
    <s v="Oui"/>
    <s v="Deuxième déplacement"/>
    <n v="40"/>
    <n v="250"/>
    <n v="105"/>
    <n v="145"/>
    <n v="0"/>
    <n v="40"/>
    <n v="0"/>
    <n v="0"/>
    <m/>
    <m/>
    <n v="0"/>
    <n v="0"/>
    <m/>
    <m/>
    <n v="0"/>
    <s v="Présence de 40 ménages pour 250 individus en provenance de GOURLE  suite aux inondations.  Mais ils risquent de  répartir dans les prochains jours  en raison de l'assèchement de leur village."/>
    <s v="Oui"/>
    <n v="7"/>
    <n v="60"/>
    <n v="24"/>
    <n v="36"/>
    <n v="7"/>
    <n v="0"/>
    <n v="0"/>
    <m/>
    <n v="0"/>
    <n v="0"/>
    <m/>
    <m/>
    <n v="0"/>
    <n v="0"/>
    <s v="Présence de 7 ménages pour 60 individus réfugiés hors camp en provenance de GOURLE suite aux inondations. Mais  ils risquent de répartir bientôt raison de l'assèchement de leur village."/>
    <s v="Non"/>
    <m/>
    <m/>
    <m/>
    <m/>
    <m/>
    <m/>
    <m/>
    <m/>
    <m/>
    <m/>
    <m/>
    <m/>
    <m/>
    <m/>
    <m/>
    <m/>
    <m/>
    <m/>
    <m/>
    <m/>
    <n v="0"/>
    <m/>
    <m/>
    <m/>
    <m/>
    <m/>
    <m/>
    <m/>
    <m/>
    <m/>
    <m/>
    <m/>
    <m/>
    <m/>
    <s v="1"/>
    <s v="1"/>
    <s v="0"/>
    <n v="2"/>
  </r>
  <r>
    <n v="2692389"/>
    <s v="Extrême-Nord"/>
    <s v="CMR004"/>
    <x v="1"/>
    <s v="CMR004002"/>
    <s v="Logone-Birni"/>
    <s v="CMR004002004"/>
    <s v="XXXX"/>
    <s v="GOUDOUGOUNI MOUSGOUM "/>
    <s v="GOUDOUGOUNI MOUSGOUM "/>
    <x v="1"/>
    <n v="11.846534800000001"/>
    <n v="14.9708448"/>
    <x v="0"/>
    <b v="1"/>
    <b v="0"/>
    <b v="0"/>
    <m/>
    <n v="3"/>
    <s v="Accessible"/>
    <m/>
    <s v="Le village accueille une population"/>
    <s v="Le village est partiellement détruit"/>
    <s v="Conflit intercommunautaire"/>
    <m/>
    <s v="Oui"/>
    <s v="Familles d'accueil"/>
    <s v="Non, pas du tout"/>
    <s v="Non"/>
    <m/>
    <m/>
    <n v="103"/>
    <s v="Non"/>
    <m/>
    <m/>
    <m/>
    <m/>
    <m/>
    <m/>
    <m/>
    <m/>
    <m/>
    <m/>
    <m/>
    <m/>
    <m/>
    <m/>
    <m/>
    <m/>
    <m/>
    <s v="Non"/>
    <m/>
    <m/>
    <m/>
    <m/>
    <m/>
    <m/>
    <m/>
    <m/>
    <m/>
    <m/>
    <m/>
    <m/>
    <m/>
    <m/>
    <m/>
    <s v="Non"/>
    <m/>
    <m/>
    <m/>
    <m/>
    <m/>
    <m/>
    <m/>
    <m/>
    <m/>
    <m/>
    <m/>
    <m/>
    <m/>
    <m/>
    <m/>
    <m/>
    <m/>
    <m/>
    <m/>
    <m/>
    <n v="15"/>
    <m/>
    <m/>
    <m/>
    <m/>
    <m/>
    <m/>
    <m/>
    <m/>
    <m/>
    <m/>
    <m/>
    <m/>
    <m/>
    <s v="0"/>
    <s v="0"/>
    <s v="0"/>
    <n v="0"/>
  </r>
  <r>
    <n v="2680257"/>
    <s v="Extrême-Nord"/>
    <s v="CMR004"/>
    <x v="1"/>
    <s v="CMR004002"/>
    <s v="Logone-Birni"/>
    <s v="CMR004002004"/>
    <s v="XXXX"/>
    <s v="SITE DE DEIMA"/>
    <s v="SITE DE DEIMA"/>
    <x v="1"/>
    <n v="11.9612429"/>
    <n v="14.939162899999999"/>
    <x v="1"/>
    <b v="1"/>
    <b v="0"/>
    <b v="0"/>
    <m/>
    <n v="4"/>
    <s v="Accessible"/>
    <m/>
    <s v="Le village accueille une population"/>
    <s v="Le village est intact (construit)"/>
    <m/>
    <m/>
    <s v="Oui"/>
    <s v="Sites de déplacement spontanés"/>
    <s v="Non, pas du tout"/>
    <m/>
    <m/>
    <n v="131"/>
    <n v="1265"/>
    <s v="Oui"/>
    <s v="Premier déplacement"/>
    <n v="131"/>
    <n v="1186"/>
    <n v="507"/>
    <n v="679"/>
    <n v="131"/>
    <n v="0"/>
    <n v="0"/>
    <n v="0"/>
    <m/>
    <m/>
    <n v="0"/>
    <n v="0"/>
    <m/>
    <m/>
    <n v="0"/>
    <s v="Tous sont quittés de DEIMA à cause des inondations. Toutes les habitations ont été détruites et des biens perdus. Absence d'eau potable dans le site Les populations risquent de retourner dans leur village initiale dans les jours à venir en raison de l'assèchement de la zone."/>
    <s v="Oui"/>
    <n v="15"/>
    <n v="79"/>
    <n v="35"/>
    <n v="44"/>
    <n v="0"/>
    <n v="0"/>
    <n v="0"/>
    <m/>
    <n v="0"/>
    <n v="15"/>
    <s v="Paille/Natte/Nylon"/>
    <m/>
    <n v="0"/>
    <n v="0"/>
    <s v="Pas de changement, le nombre des réfugiés demeure celui du village de provenance."/>
    <s v="Non"/>
    <m/>
    <m/>
    <m/>
    <m/>
    <m/>
    <m/>
    <m/>
    <m/>
    <m/>
    <m/>
    <m/>
    <m/>
    <m/>
    <m/>
    <m/>
    <m/>
    <m/>
    <m/>
    <m/>
    <m/>
    <n v="0"/>
    <m/>
    <m/>
    <m/>
    <m/>
    <m/>
    <m/>
    <m/>
    <m/>
    <m/>
    <m/>
    <m/>
    <m/>
    <m/>
    <s v="1"/>
    <s v="1"/>
    <s v="0"/>
    <n v="2"/>
  </r>
  <r>
    <n v="2667495"/>
    <s v="Extrême-Nord"/>
    <s v="CMR004"/>
    <x v="1"/>
    <s v="CMR004002"/>
    <s v="Logone-Birni"/>
    <s v="CMR004002004"/>
    <s v="XXXX"/>
    <s v="SITE DE DJARANGOUBOU MOUSGOUM"/>
    <s v="SITE DE DJARANGOUBOU MOUSGOUM"/>
    <x v="1"/>
    <n v="12.0203291"/>
    <n v="15.0411473"/>
    <x v="1"/>
    <b v="1"/>
    <b v="0"/>
    <b v="1"/>
    <m/>
    <n v="3"/>
    <s v="Accessible"/>
    <m/>
    <s v="Le village accueille une population"/>
    <s v="Le village est intact (construit)"/>
    <m/>
    <m/>
    <s v="Oui"/>
    <s v="Sites de déplacement spontanés"/>
    <s v="Non, pas du tout"/>
    <m/>
    <m/>
    <m/>
    <n v="238"/>
    <s v="Non"/>
    <m/>
    <m/>
    <m/>
    <m/>
    <m/>
    <m/>
    <m/>
    <m/>
    <m/>
    <m/>
    <m/>
    <m/>
    <m/>
    <m/>
    <m/>
    <m/>
    <m/>
    <s v="Oui"/>
    <n v="34"/>
    <n v="238"/>
    <n v="108"/>
    <n v="130"/>
    <n v="0"/>
    <n v="0"/>
    <n v="0"/>
    <m/>
    <n v="0"/>
    <n v="34"/>
    <s v="Paille/Natte/Nylon"/>
    <m/>
    <n v="0"/>
    <n v="0"/>
    <s v="Ces réfugiés passent la plupart du temps au tchad pour la reconstruction de leurs maisons "/>
    <s v="Non"/>
    <m/>
    <m/>
    <m/>
    <m/>
    <m/>
    <m/>
    <m/>
    <m/>
    <m/>
    <m/>
    <m/>
    <m/>
    <m/>
    <m/>
    <m/>
    <m/>
    <m/>
    <m/>
    <m/>
    <m/>
    <n v="0"/>
    <m/>
    <m/>
    <m/>
    <m/>
    <m/>
    <m/>
    <m/>
    <m/>
    <m/>
    <m/>
    <m/>
    <m/>
    <m/>
    <s v="0"/>
    <s v="1"/>
    <s v="0"/>
    <n v="1"/>
  </r>
  <r>
    <n v="2614400"/>
    <s v="Extrême-Nord"/>
    <s v="CMR004"/>
    <x v="1"/>
    <s v="CMR004002"/>
    <s v="Logone-Birni"/>
    <s v="CMR004002004"/>
    <s v="XXXX"/>
    <s v="SITE DE SALERI"/>
    <s v="SITE DE SALERI"/>
    <x v="1"/>
    <n v="12.117950499999999"/>
    <n v="14.7316395"/>
    <x v="1"/>
    <b v="1"/>
    <b v="0"/>
    <b v="0"/>
    <m/>
    <n v="3"/>
    <s v="Accessible"/>
    <m/>
    <s v="Le village accueille une population"/>
    <s v="Le village est intact (construit)"/>
    <m/>
    <m/>
    <s v="Oui"/>
    <s v="Sites de déplacement spontanés"/>
    <s v="Non, pas du tout"/>
    <m/>
    <m/>
    <n v="82"/>
    <n v="6050"/>
    <s v="Oui"/>
    <s v="Premier déplacement"/>
    <n v="82"/>
    <n v="567"/>
    <n v="250"/>
    <n v="317"/>
    <n v="0"/>
    <n v="0"/>
    <n v="0"/>
    <n v="0"/>
    <m/>
    <m/>
    <n v="0"/>
    <n v="82"/>
    <s v="Paille/Natte/Nylon"/>
    <m/>
    <n v="0"/>
    <s v="Pas de changement"/>
    <s v="Non"/>
    <m/>
    <m/>
    <m/>
    <m/>
    <m/>
    <m/>
    <m/>
    <m/>
    <m/>
    <m/>
    <m/>
    <m/>
    <m/>
    <m/>
    <m/>
    <s v="Non"/>
    <m/>
    <m/>
    <m/>
    <m/>
    <m/>
    <m/>
    <m/>
    <m/>
    <m/>
    <m/>
    <m/>
    <m/>
    <m/>
    <m/>
    <m/>
    <m/>
    <m/>
    <m/>
    <m/>
    <m/>
    <n v="0"/>
    <m/>
    <m/>
    <m/>
    <m/>
    <m/>
    <m/>
    <m/>
    <m/>
    <m/>
    <m/>
    <m/>
    <m/>
    <m/>
    <s v="1"/>
    <s v="0"/>
    <s v="0"/>
    <n v="1"/>
  </r>
  <r>
    <n v="2614606"/>
    <s v="Extrême-Nord"/>
    <s v="CMR004"/>
    <x v="1"/>
    <s v="CMR004002"/>
    <s v="Logone-Birni"/>
    <s v="CMR004002004"/>
    <s v="XXXX"/>
    <s v="SITE DE TABOYE"/>
    <s v="SITE DE TABOYE"/>
    <x v="1"/>
    <n v="12.1187734"/>
    <n v="14.731441200000001"/>
    <x v="1"/>
    <b v="1"/>
    <b v="0"/>
    <b v="0"/>
    <m/>
    <n v="3"/>
    <s v="Accessible"/>
    <m/>
    <s v="Le village accueille une population"/>
    <s v="Le village est intact (construit)"/>
    <m/>
    <m/>
    <s v="Oui"/>
    <s v="Familles d'accueil"/>
    <s v="Non, pas du tout"/>
    <m/>
    <m/>
    <n v="74"/>
    <n v="1794"/>
    <s v="Oui"/>
    <s v="Premier déplacement"/>
    <n v="74"/>
    <n v="622"/>
    <n v="308"/>
    <n v="314"/>
    <n v="0"/>
    <n v="0"/>
    <n v="0"/>
    <n v="0"/>
    <m/>
    <m/>
    <n v="0"/>
    <n v="74"/>
    <s v="Paille/Natte/Nylon"/>
    <m/>
    <n v="0"/>
    <s v="Nouveau site il se retrouve à côté de l'école publique de tilde à cause de inondations.le nombre de la population globale ,les ménages, les idps ont diminué par ce que 7ménages et 35 individus  dont  16 hommes et 19 femmes sont allés à kabe  3 dans  l arrondissement de waza à cause des inondations ."/>
    <s v="Oui"/>
    <n v="44"/>
    <n v="254"/>
    <n v="124"/>
    <n v="130"/>
    <n v="0"/>
    <n v="0"/>
    <n v="0"/>
    <m/>
    <n v="0"/>
    <n v="44"/>
    <s v="Paille/Natte/Nylon"/>
    <m/>
    <n v="0"/>
    <n v="44"/>
    <s v="Pas de changement par rapport au round 25 les données restent les mêmes ."/>
    <s v="Non"/>
    <m/>
    <m/>
    <m/>
    <m/>
    <m/>
    <m/>
    <m/>
    <m/>
    <m/>
    <m/>
    <m/>
    <m/>
    <m/>
    <m/>
    <m/>
    <m/>
    <m/>
    <m/>
    <m/>
    <m/>
    <n v="0"/>
    <m/>
    <m/>
    <m/>
    <m/>
    <m/>
    <m/>
    <m/>
    <m/>
    <m/>
    <m/>
    <m/>
    <m/>
    <m/>
    <s v="1"/>
    <s v="1"/>
    <s v="0"/>
    <n v="2"/>
  </r>
  <r>
    <n v="2621519"/>
    <s v="Extrême-Nord"/>
    <s v="CMR004"/>
    <x v="1"/>
    <s v="CMR004002"/>
    <s v="Logone-Birni"/>
    <s v="CMR004002004"/>
    <s v="XXXX"/>
    <s v="SITE DE TARADONA"/>
    <s v="SITE DE TARADONA"/>
    <x v="1"/>
    <n v="11.954100499999999"/>
    <n v="15.043093900000001"/>
    <x v="1"/>
    <b v="1"/>
    <b v="0"/>
    <b v="1"/>
    <m/>
    <n v="3"/>
    <s v="Accessible"/>
    <m/>
    <s v="Le village accueille une population"/>
    <s v="Le village est intact (construit)"/>
    <m/>
    <m/>
    <s v="Oui"/>
    <s v="Sites de déplacement spontanés"/>
    <s v="Non, pas du tout"/>
    <m/>
    <m/>
    <m/>
    <n v="1050"/>
    <s v="Non"/>
    <m/>
    <m/>
    <m/>
    <m/>
    <m/>
    <m/>
    <m/>
    <m/>
    <m/>
    <m/>
    <m/>
    <m/>
    <m/>
    <m/>
    <m/>
    <m/>
    <m/>
    <s v="Oui"/>
    <n v="200"/>
    <n v="1050"/>
    <n v="700"/>
    <n v="350"/>
    <n v="0"/>
    <n v="0"/>
    <n v="0"/>
    <m/>
    <n v="0"/>
    <n v="200"/>
    <s v="Paille/Natte/Nylon"/>
    <m/>
    <n v="0"/>
    <n v="150"/>
    <s v="Les réfugiés hors camps vivent dans les maisons en paille ou en pagnes en p sans portes et leur conditions de vie n'est pas bonne"/>
    <s v="Non"/>
    <m/>
    <m/>
    <m/>
    <m/>
    <m/>
    <m/>
    <m/>
    <m/>
    <m/>
    <m/>
    <m/>
    <m/>
    <m/>
    <m/>
    <m/>
    <m/>
    <m/>
    <m/>
    <m/>
    <m/>
    <n v="50"/>
    <m/>
    <m/>
    <m/>
    <m/>
    <m/>
    <m/>
    <m/>
    <m/>
    <m/>
    <m/>
    <m/>
    <m/>
    <m/>
    <s v="0"/>
    <s v="1"/>
    <s v="0"/>
    <n v="1"/>
  </r>
  <r>
    <n v="2663638"/>
    <s v="Extrême-Nord"/>
    <s v="CMR004"/>
    <x v="1"/>
    <s v="CMR004002"/>
    <s v="Logone-Birni"/>
    <s v="CMR004002004"/>
    <s v="LBI-0109"/>
    <s v="ADA"/>
    <m/>
    <x v="1"/>
    <n v="11.5404298"/>
    <n v="14.9949222"/>
    <x v="0"/>
    <b v="1"/>
    <b v="0"/>
    <b v="1"/>
    <m/>
    <n v="4"/>
    <s v="Accessible"/>
    <m/>
    <s v="Le village accueille une population"/>
    <s v="Le village est totalement détruit"/>
    <s v="Conflit intercommunautaire"/>
    <m/>
    <s v="Oui"/>
    <s v="Familles d'accueil"/>
    <s v="Non, pas du tout"/>
    <s v="Non"/>
    <m/>
    <m/>
    <n v="120"/>
    <s v="Non"/>
    <m/>
    <m/>
    <m/>
    <m/>
    <m/>
    <m/>
    <m/>
    <m/>
    <m/>
    <m/>
    <m/>
    <m/>
    <m/>
    <m/>
    <m/>
    <m/>
    <m/>
    <s v="Non"/>
    <m/>
    <m/>
    <m/>
    <m/>
    <m/>
    <m/>
    <m/>
    <m/>
    <m/>
    <m/>
    <m/>
    <m/>
    <m/>
    <m/>
    <m/>
    <s v="Oui"/>
    <n v="23"/>
    <n v="100"/>
    <n v="45"/>
    <n v="55"/>
    <s v="Entre 3 mois et 1 an"/>
    <n v="0"/>
    <n v="12"/>
    <n v="0"/>
    <n v="0"/>
    <n v="0"/>
    <m/>
    <n v="0"/>
    <n v="11"/>
    <s v="Paille/Natte/Nylon"/>
    <n v="0"/>
    <m/>
    <m/>
    <m/>
    <m/>
    <m/>
    <n v="0"/>
    <m/>
    <m/>
    <m/>
    <m/>
    <m/>
    <m/>
    <m/>
    <m/>
    <m/>
    <m/>
    <m/>
    <m/>
    <m/>
    <s v="0"/>
    <s v="0"/>
    <s v="1"/>
    <n v="1"/>
  </r>
  <r>
    <n v="2691070"/>
    <s v="Extrême-Nord"/>
    <s v="CMR004"/>
    <x v="1"/>
    <s v="CMR004002"/>
    <s v="Logone-Birni"/>
    <s v="CMR004002004"/>
    <s v="LBI-0019"/>
    <s v="AMALGOCH"/>
    <m/>
    <x v="1"/>
    <n v="11.926659900000001"/>
    <n v="15.0412699"/>
    <x v="0"/>
    <b v="1"/>
    <b v="0"/>
    <b v="0"/>
    <m/>
    <n v="4"/>
    <s v="Accessible"/>
    <m/>
    <s v="Le village accueille une population"/>
    <s v="Le village est intact (construit)"/>
    <m/>
    <m/>
    <s v="Oui"/>
    <s v="Familles d'accueil"/>
    <s v="Non, pas du tout"/>
    <s v="Non"/>
    <m/>
    <m/>
    <n v="500"/>
    <s v="Non"/>
    <m/>
    <m/>
    <m/>
    <m/>
    <m/>
    <m/>
    <m/>
    <m/>
    <m/>
    <m/>
    <m/>
    <m/>
    <m/>
    <m/>
    <m/>
    <m/>
    <m/>
    <s v="Oui"/>
    <n v="2"/>
    <n v="9"/>
    <n v="4"/>
    <n v="5"/>
    <n v="2"/>
    <n v="0"/>
    <n v="0"/>
    <m/>
    <n v="0"/>
    <n v="0"/>
    <m/>
    <m/>
    <n v="0"/>
    <n v="0"/>
    <s v="Ils sont épanouie "/>
    <s v="Oui"/>
    <n v="100"/>
    <n v="491"/>
    <n v="202"/>
    <n v="289"/>
    <s v="Entre 3 mois et 1 an"/>
    <n v="3"/>
    <n v="95"/>
    <n v="2"/>
    <n v="0"/>
    <n v="0"/>
    <m/>
    <n v="0"/>
    <n v="0"/>
    <m/>
    <n v="0"/>
    <m/>
    <m/>
    <m/>
    <m/>
    <m/>
    <n v="0"/>
    <m/>
    <m/>
    <m/>
    <m/>
    <m/>
    <m/>
    <m/>
    <m/>
    <m/>
    <m/>
    <m/>
    <m/>
    <m/>
    <s v="0"/>
    <s v="1"/>
    <s v="1"/>
    <n v="2"/>
  </r>
  <r>
    <n v="2659679"/>
    <s v="Extrême-Nord"/>
    <s v="CMR004"/>
    <x v="1"/>
    <s v="CMR004002"/>
    <s v="Logone-Birni"/>
    <s v="CMR004002004"/>
    <s v="LBI-0106"/>
    <s v="AMBALAKA"/>
    <m/>
    <x v="1"/>
    <n v="11.760133"/>
    <n v="15.013432399999999"/>
    <x v="0"/>
    <b v="1"/>
    <b v="0"/>
    <b v="0"/>
    <m/>
    <n v="3"/>
    <s v="Accessible"/>
    <m/>
    <s v="Le village accueille une population"/>
    <s v="Le village est intact (construit)"/>
    <m/>
    <m/>
    <s v="Oui"/>
    <s v="Familles d'accueil"/>
    <s v="Non, pas du tout"/>
    <s v="Non"/>
    <m/>
    <m/>
    <n v="295"/>
    <s v="Non"/>
    <m/>
    <m/>
    <m/>
    <m/>
    <m/>
    <m/>
    <m/>
    <m/>
    <m/>
    <m/>
    <m/>
    <m/>
    <m/>
    <m/>
    <m/>
    <m/>
    <m/>
    <s v="Non"/>
    <m/>
    <m/>
    <m/>
    <m/>
    <m/>
    <m/>
    <m/>
    <m/>
    <m/>
    <m/>
    <m/>
    <m/>
    <m/>
    <m/>
    <m/>
    <s v="Oui"/>
    <n v="68"/>
    <n v="291"/>
    <n v="116"/>
    <n v="175"/>
    <s v="Entre 3 mois et 1 an"/>
    <n v="0"/>
    <n v="0"/>
    <n v="0"/>
    <n v="0"/>
    <n v="0"/>
    <m/>
    <n v="0"/>
    <n v="68"/>
    <s v="Paille/Natte/Nylon"/>
    <n v="0"/>
    <m/>
    <m/>
    <m/>
    <m/>
    <m/>
    <n v="0"/>
    <m/>
    <m/>
    <m/>
    <m/>
    <m/>
    <m/>
    <m/>
    <m/>
    <m/>
    <m/>
    <m/>
    <m/>
    <m/>
    <s v="0"/>
    <s v="0"/>
    <s v="1"/>
    <n v="1"/>
  </r>
  <r>
    <n v="2634713"/>
    <s v="Extrême-Nord"/>
    <s v="CMR004"/>
    <x v="1"/>
    <s v="CMR004002"/>
    <s v="Logone-Birni"/>
    <s v="CMR004002004"/>
    <s v="LBI-0101"/>
    <s v="AMRE"/>
    <m/>
    <x v="1"/>
    <n v="11.766348900000001"/>
    <n v="15.025127599999999"/>
    <x v="0"/>
    <b v="1"/>
    <b v="0"/>
    <b v="0"/>
    <m/>
    <n v="3"/>
    <s v="Accessible"/>
    <m/>
    <s v="Le village accueille une population"/>
    <s v="Le village est partiellement détruit"/>
    <s v="Conflit intercommunautaire"/>
    <m/>
    <s v="Oui"/>
    <s v="Familles d'accueil"/>
    <s v="Non, pas du tout"/>
    <s v="Non"/>
    <m/>
    <m/>
    <n v="143"/>
    <s v="Non"/>
    <m/>
    <m/>
    <m/>
    <m/>
    <m/>
    <m/>
    <m/>
    <m/>
    <m/>
    <m/>
    <m/>
    <m/>
    <m/>
    <m/>
    <m/>
    <m/>
    <m/>
    <s v="Non"/>
    <m/>
    <m/>
    <m/>
    <m/>
    <m/>
    <m/>
    <m/>
    <m/>
    <m/>
    <m/>
    <m/>
    <m/>
    <m/>
    <m/>
    <m/>
    <s v="Oui"/>
    <n v="13"/>
    <n v="72"/>
    <n v="35"/>
    <n v="37"/>
    <s v="Entre 3 mois et 1 an"/>
    <n v="0"/>
    <n v="13"/>
    <n v="0"/>
    <n v="0"/>
    <n v="0"/>
    <m/>
    <n v="0"/>
    <n v="0"/>
    <m/>
    <n v="0"/>
    <m/>
    <m/>
    <m/>
    <m/>
    <m/>
    <n v="0"/>
    <m/>
    <m/>
    <m/>
    <m/>
    <m/>
    <m/>
    <m/>
    <m/>
    <m/>
    <m/>
    <m/>
    <m/>
    <m/>
    <s v="0"/>
    <s v="0"/>
    <s v="1"/>
    <n v="1"/>
  </r>
  <r>
    <n v="2706284"/>
    <s v="Extrême-Nord"/>
    <s v="CMR004"/>
    <x v="1"/>
    <s v="CMR004002"/>
    <s v="Logone-Birni"/>
    <s v="CMR004002004"/>
    <s v="LBI-0020"/>
    <s v="AMREF"/>
    <m/>
    <x v="1"/>
    <n v="11.965176599999999"/>
    <n v="14.9345734"/>
    <x v="0"/>
    <b v="1"/>
    <b v="0"/>
    <b v="0"/>
    <m/>
    <n v="3"/>
    <s v="Accessible"/>
    <m/>
    <s v="Le village accueille une population"/>
    <s v="Le village est intact (construit)"/>
    <m/>
    <m/>
    <s v="Oui"/>
    <s v="Familles d'accueil"/>
    <s v="Non, pas du tout"/>
    <s v="Non"/>
    <m/>
    <n v="85"/>
    <n v="449"/>
    <s v="Oui"/>
    <s v="Premier déplacement"/>
    <n v="85"/>
    <n v="242"/>
    <n v="102"/>
    <n v="140"/>
    <n v="0"/>
    <n v="85"/>
    <n v="0"/>
    <n v="0"/>
    <m/>
    <m/>
    <n v="0"/>
    <n v="0"/>
    <m/>
    <m/>
    <n v="0"/>
    <s v="Il sont bien traités"/>
    <s v="Non"/>
    <m/>
    <m/>
    <m/>
    <m/>
    <m/>
    <m/>
    <m/>
    <m/>
    <m/>
    <m/>
    <m/>
    <m/>
    <m/>
    <m/>
    <m/>
    <s v="Oui"/>
    <n v="45"/>
    <n v="150"/>
    <n v="60"/>
    <n v="90"/>
    <s v="Moins de 3 mois"/>
    <n v="0"/>
    <n v="45"/>
    <n v="0"/>
    <n v="0"/>
    <n v="0"/>
    <m/>
    <n v="0"/>
    <n v="0"/>
    <m/>
    <n v="0"/>
    <m/>
    <m/>
    <m/>
    <m/>
    <m/>
    <n v="0"/>
    <m/>
    <m/>
    <m/>
    <m/>
    <m/>
    <m/>
    <m/>
    <m/>
    <m/>
    <m/>
    <m/>
    <m/>
    <m/>
    <s v="1"/>
    <s v="0"/>
    <s v="1"/>
    <n v="2"/>
  </r>
  <r>
    <n v="2706283"/>
    <s v="Extrême-Nord"/>
    <s v="CMR004"/>
    <x v="1"/>
    <s v="CMR004002"/>
    <s v="Logone-Birni"/>
    <s v="CMR004002004"/>
    <s v="LBI-0021"/>
    <s v="ANGOCH"/>
    <m/>
    <x v="1"/>
    <n v="11.9153153"/>
    <n v="14.949242399999999"/>
    <x v="0"/>
    <b v="1"/>
    <b v="0"/>
    <b v="0"/>
    <m/>
    <n v="3"/>
    <s v="Accessible"/>
    <m/>
    <s v="Le village accueille une population"/>
    <s v="Le village est partiellement détruit"/>
    <s v="Conflit intercommunautaire"/>
    <m/>
    <s v="Oui"/>
    <s v="Familles d'accueil"/>
    <s v="Non, pas du tout"/>
    <s v="Non"/>
    <m/>
    <m/>
    <n v="321"/>
    <s v="Non"/>
    <m/>
    <m/>
    <m/>
    <m/>
    <m/>
    <m/>
    <m/>
    <m/>
    <m/>
    <m/>
    <m/>
    <m/>
    <m/>
    <m/>
    <m/>
    <m/>
    <m/>
    <s v="Non"/>
    <m/>
    <m/>
    <m/>
    <m/>
    <m/>
    <m/>
    <m/>
    <m/>
    <m/>
    <m/>
    <m/>
    <m/>
    <m/>
    <m/>
    <m/>
    <s v="Oui"/>
    <n v="44"/>
    <n v="321"/>
    <n v="121"/>
    <n v="200"/>
    <s v="Moins de 3 mois"/>
    <n v="40"/>
    <n v="4"/>
    <n v="0"/>
    <n v="0"/>
    <n v="0"/>
    <m/>
    <n v="0"/>
    <n v="0"/>
    <m/>
    <n v="0"/>
    <m/>
    <m/>
    <m/>
    <m/>
    <m/>
    <n v="0"/>
    <m/>
    <m/>
    <m/>
    <m/>
    <m/>
    <m/>
    <m/>
    <m/>
    <m/>
    <m/>
    <m/>
    <m/>
    <m/>
    <s v="0"/>
    <s v="0"/>
    <s v="1"/>
    <n v="1"/>
  </r>
  <r>
    <n v="2617521"/>
    <s v="Extrême-Nord"/>
    <s v="CMR004"/>
    <x v="1"/>
    <s v="CMR004002"/>
    <s v="Logone-Birni"/>
    <s v="CMR004002004"/>
    <s v="LBI-0094"/>
    <s v="BANSAZALA2"/>
    <m/>
    <x v="1"/>
    <n v="11.7122723"/>
    <n v="15.0449845"/>
    <x v="0"/>
    <b v="1"/>
    <b v="0"/>
    <b v="0"/>
    <m/>
    <n v="3"/>
    <s v="Accessible"/>
    <m/>
    <s v="Le village accueille une population"/>
    <s v="Le village est intact (construit)"/>
    <m/>
    <m/>
    <s v="Oui"/>
    <s v="Familles d'accueil"/>
    <s v="Non, pas du tout"/>
    <s v="Non"/>
    <m/>
    <m/>
    <n v="239"/>
    <s v="Non"/>
    <m/>
    <m/>
    <m/>
    <m/>
    <m/>
    <m/>
    <m/>
    <m/>
    <m/>
    <m/>
    <m/>
    <m/>
    <m/>
    <m/>
    <m/>
    <m/>
    <m/>
    <s v="Non"/>
    <m/>
    <m/>
    <m/>
    <m/>
    <m/>
    <m/>
    <m/>
    <m/>
    <m/>
    <m/>
    <m/>
    <m/>
    <m/>
    <m/>
    <m/>
    <s v="Oui"/>
    <n v="24"/>
    <n v="104"/>
    <n v="59"/>
    <n v="45"/>
    <s v="Entre 3 mois et 1 an"/>
    <n v="0"/>
    <n v="24"/>
    <n v="0"/>
    <n v="0"/>
    <n v="0"/>
    <m/>
    <n v="0"/>
    <n v="0"/>
    <m/>
    <n v="0"/>
    <m/>
    <m/>
    <m/>
    <m/>
    <m/>
    <n v="0"/>
    <m/>
    <m/>
    <m/>
    <m/>
    <m/>
    <m/>
    <m/>
    <m/>
    <m/>
    <m/>
    <m/>
    <m/>
    <m/>
    <s v="0"/>
    <s v="0"/>
    <s v="1"/>
    <n v="1"/>
  </r>
  <r>
    <n v="2617522"/>
    <s v="Extrême-Nord"/>
    <s v="CMR004"/>
    <x v="1"/>
    <s v="CMR004002"/>
    <s v="Logone-Birni"/>
    <s v="CMR004002004"/>
    <s v="LBI-0093"/>
    <s v="BANZALA 1"/>
    <m/>
    <x v="1"/>
    <n v="11.714086699999999"/>
    <n v="15.0422586"/>
    <x v="0"/>
    <b v="1"/>
    <b v="0"/>
    <b v="0"/>
    <m/>
    <n v="3"/>
    <s v="Accessible"/>
    <m/>
    <s v="Le village accueille une population"/>
    <s v="Le village est intact (construit)"/>
    <m/>
    <m/>
    <s v="Oui"/>
    <s v="Familles d'accueil"/>
    <s v="Non, pas du tout"/>
    <s v="Non"/>
    <m/>
    <m/>
    <n v="174"/>
    <s v="Non"/>
    <m/>
    <m/>
    <m/>
    <m/>
    <m/>
    <m/>
    <m/>
    <m/>
    <m/>
    <m/>
    <m/>
    <m/>
    <m/>
    <m/>
    <m/>
    <m/>
    <m/>
    <s v="Non"/>
    <m/>
    <m/>
    <m/>
    <m/>
    <m/>
    <m/>
    <m/>
    <m/>
    <m/>
    <m/>
    <m/>
    <m/>
    <m/>
    <m/>
    <m/>
    <s v="Oui"/>
    <n v="20"/>
    <n v="65"/>
    <n v="34"/>
    <n v="31"/>
    <s v="Entre 3 mois et 1 an"/>
    <n v="4"/>
    <n v="16"/>
    <n v="0"/>
    <n v="0"/>
    <n v="0"/>
    <m/>
    <n v="0"/>
    <n v="0"/>
    <m/>
    <n v="0"/>
    <m/>
    <m/>
    <m/>
    <m/>
    <m/>
    <n v="0"/>
    <m/>
    <m/>
    <m/>
    <m/>
    <m/>
    <m/>
    <m/>
    <m/>
    <m/>
    <m/>
    <m/>
    <m/>
    <m/>
    <s v="0"/>
    <s v="0"/>
    <s v="1"/>
    <n v="1"/>
  </r>
  <r>
    <n v="2621525"/>
    <s v="Extrême-Nord"/>
    <s v="CMR004"/>
    <x v="1"/>
    <s v="CMR004002"/>
    <s v="Logone-Birni"/>
    <s v="CMR004002004"/>
    <s v="LBI-0097"/>
    <s v="BARAK 1"/>
    <m/>
    <x v="1"/>
    <n v="11.758141999999999"/>
    <n v="15.0476572"/>
    <x v="0"/>
    <b v="1"/>
    <b v="0"/>
    <b v="1"/>
    <m/>
    <n v="3"/>
    <s v="Accessible"/>
    <m/>
    <s v="Le village accueille une population"/>
    <s v="Le village est intact (construit)"/>
    <m/>
    <m/>
    <s v="Oui"/>
    <s v="Familles d'accueil"/>
    <s v="Non, pas du tout"/>
    <s v="Non"/>
    <m/>
    <m/>
    <n v="200"/>
    <s v="Non"/>
    <m/>
    <m/>
    <m/>
    <m/>
    <m/>
    <m/>
    <m/>
    <m/>
    <m/>
    <m/>
    <m/>
    <m/>
    <m/>
    <m/>
    <m/>
    <m/>
    <m/>
    <s v="Oui"/>
    <n v="5"/>
    <n v="10"/>
    <n v="5"/>
    <n v="5"/>
    <n v="5"/>
    <n v="0"/>
    <n v="0"/>
    <m/>
    <n v="0"/>
    <n v="0"/>
    <m/>
    <m/>
    <n v="0"/>
    <n v="0"/>
    <s v="RAS"/>
    <s v="Non"/>
    <m/>
    <m/>
    <m/>
    <m/>
    <m/>
    <m/>
    <m/>
    <m/>
    <m/>
    <m/>
    <m/>
    <m/>
    <m/>
    <m/>
    <m/>
    <m/>
    <m/>
    <m/>
    <m/>
    <m/>
    <n v="2"/>
    <m/>
    <m/>
    <m/>
    <m/>
    <m/>
    <m/>
    <m/>
    <m/>
    <m/>
    <m/>
    <m/>
    <m/>
    <m/>
    <s v="0"/>
    <s v="1"/>
    <s v="0"/>
    <n v="1"/>
  </r>
  <r>
    <n v="2621526"/>
    <s v="Extrême-Nord"/>
    <s v="CMR004"/>
    <x v="1"/>
    <s v="CMR004002"/>
    <s v="Logone-Birni"/>
    <s v="CMR004002004"/>
    <s v="LBI-0098"/>
    <s v="BARAK2"/>
    <m/>
    <x v="1"/>
    <n v="11.763968500000001"/>
    <n v="15.0435813"/>
    <x v="0"/>
    <b v="1"/>
    <b v="0"/>
    <b v="1"/>
    <m/>
    <n v="3"/>
    <s v="Accessible"/>
    <m/>
    <s v="Le village accueille une population"/>
    <s v="Le village est partiellement détruit"/>
    <s v="Conflit intercommunautaire"/>
    <m/>
    <s v="Oui"/>
    <s v="Familles d'accueil"/>
    <s v="Non, pas du tout"/>
    <s v="Non"/>
    <m/>
    <m/>
    <n v="120"/>
    <s v="Non"/>
    <m/>
    <m/>
    <m/>
    <m/>
    <m/>
    <m/>
    <m/>
    <m/>
    <m/>
    <m/>
    <m/>
    <m/>
    <m/>
    <m/>
    <m/>
    <m/>
    <m/>
    <s v="Oui"/>
    <n v="4"/>
    <n v="9"/>
    <n v="5"/>
    <n v="4"/>
    <n v="4"/>
    <n v="0"/>
    <n v="0"/>
    <m/>
    <n v="0"/>
    <n v="0"/>
    <m/>
    <m/>
    <n v="0"/>
    <n v="0"/>
    <s v="Les réfugiés hors camps sont venus du Nigeria"/>
    <s v="Non"/>
    <m/>
    <m/>
    <m/>
    <m/>
    <m/>
    <m/>
    <m/>
    <m/>
    <m/>
    <m/>
    <m/>
    <m/>
    <m/>
    <m/>
    <m/>
    <m/>
    <m/>
    <m/>
    <m/>
    <m/>
    <n v="2"/>
    <m/>
    <m/>
    <m/>
    <m/>
    <m/>
    <m/>
    <m/>
    <m/>
    <m/>
    <m/>
    <m/>
    <m/>
    <m/>
    <s v="0"/>
    <s v="1"/>
    <s v="0"/>
    <n v="1"/>
  </r>
  <r>
    <n v="2659628"/>
    <s v="Extrême-Nord"/>
    <s v="CMR004"/>
    <x v="1"/>
    <s v="CMR004002"/>
    <s v="Logone-Birni"/>
    <s v="CMR004002004"/>
    <s v="LBI-0076"/>
    <s v="BLABILINE"/>
    <m/>
    <x v="1"/>
    <n v="11.8720046"/>
    <n v="15.038086699999999"/>
    <x v="0"/>
    <b v="1"/>
    <b v="0"/>
    <b v="0"/>
    <m/>
    <n v="3"/>
    <s v="Accessible"/>
    <m/>
    <s v="Le village accueille une population"/>
    <s v="Le village est intact (construit)"/>
    <m/>
    <m/>
    <s v="Oui"/>
    <s v="Familles d'accueil"/>
    <s v="Non, pas du tout"/>
    <s v="Non"/>
    <m/>
    <m/>
    <n v="1230"/>
    <s v="Non"/>
    <m/>
    <m/>
    <m/>
    <m/>
    <m/>
    <m/>
    <m/>
    <m/>
    <m/>
    <m/>
    <m/>
    <m/>
    <m/>
    <m/>
    <m/>
    <m/>
    <m/>
    <s v="Non"/>
    <m/>
    <m/>
    <m/>
    <m/>
    <m/>
    <m/>
    <m/>
    <m/>
    <m/>
    <m/>
    <m/>
    <m/>
    <m/>
    <m/>
    <m/>
    <s v="Oui"/>
    <n v="179"/>
    <n v="1130"/>
    <n v="484"/>
    <n v="646"/>
    <s v="Entre 3 mois et 1 an"/>
    <n v="19"/>
    <n v="160"/>
    <n v="0"/>
    <n v="0"/>
    <n v="0"/>
    <m/>
    <n v="0"/>
    <n v="0"/>
    <m/>
    <n v="0"/>
    <m/>
    <m/>
    <m/>
    <m/>
    <m/>
    <n v="0"/>
    <m/>
    <m/>
    <m/>
    <m/>
    <m/>
    <m/>
    <m/>
    <m/>
    <m/>
    <m/>
    <m/>
    <m/>
    <m/>
    <s v="0"/>
    <s v="0"/>
    <s v="1"/>
    <n v="1"/>
  </r>
  <r>
    <n v="2621522"/>
    <s v="Extrême-Nord"/>
    <s v="CMR004"/>
    <x v="1"/>
    <s v="CMR004002"/>
    <s v="Logone-Birni"/>
    <s v="CMR004002004"/>
    <s v="LBI-0110"/>
    <s v="BOULAKORE 1,2,3"/>
    <m/>
    <x v="1"/>
    <n v="11.7359182"/>
    <n v="15.085742400000001"/>
    <x v="0"/>
    <b v="0"/>
    <b v="1"/>
    <b v="1"/>
    <n v="6"/>
    <m/>
    <s v="Accessible"/>
    <m/>
    <s v="Le village accueille une population"/>
    <s v="Le village est partiellement détruit"/>
    <s v="Intempéries (inondations, tempêtes etc.)"/>
    <m/>
    <s v="Oui"/>
    <s v="Familles d'accueil"/>
    <s v="Non, pas du tout"/>
    <s v="Non"/>
    <m/>
    <m/>
    <n v="2000"/>
    <s v="Non"/>
    <m/>
    <m/>
    <m/>
    <m/>
    <m/>
    <m/>
    <m/>
    <m/>
    <m/>
    <m/>
    <m/>
    <m/>
    <m/>
    <m/>
    <m/>
    <m/>
    <m/>
    <s v="Non"/>
    <m/>
    <m/>
    <m/>
    <m/>
    <m/>
    <m/>
    <m/>
    <m/>
    <m/>
    <m/>
    <m/>
    <m/>
    <m/>
    <m/>
    <m/>
    <s v="Oui"/>
    <n v="100"/>
    <n v="1500"/>
    <n v="700"/>
    <n v="800"/>
    <s v="Entre 3 mois et 1 an"/>
    <n v="100"/>
    <n v="0"/>
    <n v="0"/>
    <n v="0"/>
    <n v="0"/>
    <m/>
    <n v="0"/>
    <n v="0"/>
    <m/>
    <n v="0"/>
    <m/>
    <m/>
    <m/>
    <m/>
    <m/>
    <n v="15"/>
    <m/>
    <m/>
    <m/>
    <m/>
    <m/>
    <m/>
    <m/>
    <m/>
    <m/>
    <m/>
    <m/>
    <m/>
    <m/>
    <s v="0"/>
    <s v="0"/>
    <s v="1"/>
    <n v="1"/>
  </r>
  <r>
    <n v="2691075"/>
    <s v="Extrême-Nord"/>
    <s v="CMR004"/>
    <x v="1"/>
    <s v="CMR004002"/>
    <s v="Logone-Birni"/>
    <s v="CMR004002004"/>
    <s v="LBI-0044"/>
    <s v="BOURGOUMA"/>
    <m/>
    <x v="1"/>
    <n v="11.8981254"/>
    <n v="15.0380082"/>
    <x v="0"/>
    <b v="1"/>
    <b v="0"/>
    <b v="0"/>
    <m/>
    <n v="4"/>
    <s v="Accessible"/>
    <m/>
    <s v="Le village accueille une population"/>
    <s v="Le village est partiellement détruit"/>
    <s v="Conflit intercommunautaire"/>
    <m/>
    <s v="Oui"/>
    <s v="Familles d'accueil"/>
    <s v="Non, pas du tout"/>
    <s v="Non"/>
    <m/>
    <m/>
    <n v="1550"/>
    <s v="Non"/>
    <m/>
    <m/>
    <m/>
    <m/>
    <m/>
    <m/>
    <m/>
    <m/>
    <m/>
    <m/>
    <m/>
    <m/>
    <m/>
    <m/>
    <m/>
    <m/>
    <m/>
    <s v="Non"/>
    <m/>
    <m/>
    <m/>
    <m/>
    <m/>
    <m/>
    <m/>
    <m/>
    <m/>
    <m/>
    <m/>
    <m/>
    <m/>
    <m/>
    <m/>
    <s v="Oui"/>
    <n v="204"/>
    <n v="1510"/>
    <n v="700"/>
    <n v="810"/>
    <s v="Entre 3 mois et 1 an"/>
    <n v="180"/>
    <n v="20"/>
    <n v="4"/>
    <n v="0"/>
    <n v="0"/>
    <m/>
    <n v="0"/>
    <n v="0"/>
    <m/>
    <n v="0"/>
    <m/>
    <m/>
    <m/>
    <m/>
    <m/>
    <n v="0"/>
    <m/>
    <m/>
    <m/>
    <m/>
    <m/>
    <m/>
    <m/>
    <m/>
    <m/>
    <m/>
    <m/>
    <m/>
    <m/>
    <s v="0"/>
    <s v="0"/>
    <s v="1"/>
    <n v="1"/>
  </r>
  <r>
    <n v="2634712"/>
    <s v="Extrême-Nord"/>
    <s v="CMR004"/>
    <x v="1"/>
    <s v="CMR004002"/>
    <s v="Logone-Birni"/>
    <s v="CMR004002004"/>
    <s v="LBI-0100"/>
    <s v="CHALAN"/>
    <m/>
    <x v="1"/>
    <n v="11.7382116"/>
    <n v="15.0350854"/>
    <x v="0"/>
    <b v="1"/>
    <b v="0"/>
    <b v="0"/>
    <m/>
    <n v="3"/>
    <s v="Accessible"/>
    <m/>
    <s v="Le village accueille une population"/>
    <s v="Le village est partiellement détruit"/>
    <s v="Conflit intercommunautaire"/>
    <m/>
    <s v="Oui"/>
    <s v="Familles d'accueil"/>
    <s v="Non, pas du tout"/>
    <s v="Non"/>
    <m/>
    <m/>
    <n v="613"/>
    <s v="Non"/>
    <m/>
    <m/>
    <m/>
    <m/>
    <m/>
    <m/>
    <m/>
    <m/>
    <m/>
    <m/>
    <m/>
    <m/>
    <m/>
    <m/>
    <m/>
    <m/>
    <m/>
    <s v="Non"/>
    <m/>
    <m/>
    <m/>
    <m/>
    <m/>
    <m/>
    <m/>
    <m/>
    <m/>
    <m/>
    <m/>
    <m/>
    <m/>
    <m/>
    <m/>
    <s v="Oui"/>
    <n v="84"/>
    <n v="613"/>
    <n v="245"/>
    <n v="368"/>
    <s v="Entre 1 et 5 ans"/>
    <n v="0"/>
    <n v="13"/>
    <n v="71"/>
    <n v="0"/>
    <n v="0"/>
    <m/>
    <n v="0"/>
    <n v="0"/>
    <m/>
    <n v="0"/>
    <m/>
    <m/>
    <m/>
    <m/>
    <m/>
    <n v="0"/>
    <m/>
    <m/>
    <m/>
    <m/>
    <m/>
    <m/>
    <m/>
    <m/>
    <m/>
    <m/>
    <m/>
    <m/>
    <m/>
    <s v="0"/>
    <s v="0"/>
    <s v="1"/>
    <n v="1"/>
  </r>
  <r>
    <n v="2600746"/>
    <s v="Extrême-Nord"/>
    <s v="CMR004"/>
    <x v="1"/>
    <s v="CMR004002"/>
    <s v="Logone-Birni"/>
    <s v="CMR004002004"/>
    <s v="LBI-0045"/>
    <s v="DABANGA 1"/>
    <m/>
    <x v="1"/>
    <n v="11.920172000000001"/>
    <n v="14.644015400000001"/>
    <x v="0"/>
    <b v="1"/>
    <b v="0"/>
    <b v="0"/>
    <m/>
    <n v="3"/>
    <s v="Accessible"/>
    <m/>
    <s v="Le village accueille une population"/>
    <s v="Le village est intact (construit)"/>
    <m/>
    <m/>
    <s v="Oui"/>
    <s v="Familles d'accueil"/>
    <s v="Non, pas du tout"/>
    <s v="Non"/>
    <m/>
    <n v="81"/>
    <n v="967"/>
    <s v="Oui"/>
    <s v="Premier déplacement"/>
    <n v="81"/>
    <n v="635"/>
    <n v="310"/>
    <n v="325"/>
    <n v="0"/>
    <n v="81"/>
    <n v="0"/>
    <n v="0"/>
    <m/>
    <m/>
    <n v="0"/>
    <n v="0"/>
    <m/>
    <m/>
    <n v="0"/>
    <s v="Pas de changement par rapport au round  25 les données restent les mêmes."/>
    <s v="Non"/>
    <m/>
    <m/>
    <m/>
    <m/>
    <m/>
    <m/>
    <m/>
    <m/>
    <m/>
    <m/>
    <m/>
    <m/>
    <m/>
    <m/>
    <m/>
    <s v="Non"/>
    <m/>
    <m/>
    <m/>
    <m/>
    <m/>
    <m/>
    <m/>
    <m/>
    <m/>
    <m/>
    <m/>
    <m/>
    <m/>
    <m/>
    <m/>
    <m/>
    <m/>
    <m/>
    <m/>
    <m/>
    <n v="0"/>
    <m/>
    <m/>
    <m/>
    <m/>
    <m/>
    <m/>
    <m/>
    <m/>
    <m/>
    <m/>
    <m/>
    <m/>
    <m/>
    <s v="1"/>
    <s v="0"/>
    <s v="0"/>
    <n v="1"/>
  </r>
  <r>
    <n v="2614368"/>
    <s v="Extrême-Nord"/>
    <s v="CMR004"/>
    <x v="1"/>
    <s v="CMR004002"/>
    <s v="Logone-Birni"/>
    <s v="CMR004002004"/>
    <s v="LBI-0046"/>
    <s v="DABANGA 2"/>
    <m/>
    <x v="1"/>
    <n v="11.9186461"/>
    <n v="14.643742100000001"/>
    <x v="0"/>
    <b v="1"/>
    <b v="0"/>
    <b v="0"/>
    <m/>
    <n v="3"/>
    <s v="Accessible"/>
    <m/>
    <s v="Le village accueille une population"/>
    <s v="Le village est intact (construit)"/>
    <m/>
    <m/>
    <s v="Oui"/>
    <s v="Familles d'accueil"/>
    <s v="Non, pas du tout"/>
    <s v="Non"/>
    <m/>
    <n v="25"/>
    <n v="900"/>
    <s v="Oui"/>
    <s v="Premier déplacement"/>
    <n v="25"/>
    <n v="215"/>
    <n v="100"/>
    <n v="115"/>
    <n v="0"/>
    <n v="25"/>
    <n v="0"/>
    <n v="0"/>
    <m/>
    <m/>
    <n v="0"/>
    <n v="0"/>
    <m/>
    <m/>
    <n v="0"/>
    <s v="Pas de changement par rapport au round 25 les données restent les mêmes. "/>
    <s v="Non"/>
    <m/>
    <m/>
    <m/>
    <m/>
    <m/>
    <m/>
    <m/>
    <m/>
    <m/>
    <m/>
    <m/>
    <m/>
    <m/>
    <m/>
    <m/>
    <s v="Non"/>
    <m/>
    <m/>
    <m/>
    <m/>
    <m/>
    <m/>
    <m/>
    <m/>
    <m/>
    <m/>
    <m/>
    <m/>
    <m/>
    <m/>
    <m/>
    <m/>
    <m/>
    <m/>
    <m/>
    <m/>
    <n v="0"/>
    <m/>
    <m/>
    <m/>
    <m/>
    <m/>
    <m/>
    <m/>
    <m/>
    <m/>
    <m/>
    <m/>
    <m/>
    <m/>
    <s v="1"/>
    <s v="0"/>
    <s v="0"/>
    <n v="1"/>
  </r>
  <r>
    <n v="2647033"/>
    <s v="Extrême-Nord"/>
    <s v="CMR004"/>
    <x v="1"/>
    <s v="CMR004002"/>
    <s v="Logone-Birni"/>
    <s v="CMR004002004"/>
    <s v="LBI-0047"/>
    <s v="DABANGA ABANI"/>
    <m/>
    <x v="1"/>
    <n v="11.7863012"/>
    <n v="14.972618799999999"/>
    <x v="0"/>
    <b v="1"/>
    <b v="0"/>
    <b v="0"/>
    <m/>
    <n v="3"/>
    <s v="Accessible"/>
    <m/>
    <s v="Le village accueille une population"/>
    <s v="Le village est intact (construit)"/>
    <m/>
    <m/>
    <s v="Oui"/>
    <s v="Familles d'accueil"/>
    <s v="Non, pas du tout"/>
    <s v="Non"/>
    <m/>
    <m/>
    <n v="370"/>
    <s v="Non"/>
    <m/>
    <m/>
    <m/>
    <m/>
    <m/>
    <m/>
    <m/>
    <m/>
    <m/>
    <m/>
    <m/>
    <m/>
    <m/>
    <m/>
    <m/>
    <m/>
    <m/>
    <s v="Non"/>
    <m/>
    <m/>
    <m/>
    <m/>
    <m/>
    <m/>
    <m/>
    <m/>
    <m/>
    <m/>
    <m/>
    <m/>
    <m/>
    <m/>
    <m/>
    <s v="Oui"/>
    <n v="56"/>
    <n v="370"/>
    <n v="180"/>
    <n v="190"/>
    <s v="Moins de 3 mois"/>
    <n v="0"/>
    <n v="0"/>
    <n v="0"/>
    <n v="0"/>
    <n v="0"/>
    <m/>
    <n v="0"/>
    <n v="56"/>
    <s v="Paille/Natte/Nylon"/>
    <n v="0"/>
    <m/>
    <m/>
    <m/>
    <m/>
    <m/>
    <n v="1"/>
    <m/>
    <m/>
    <m/>
    <m/>
    <m/>
    <m/>
    <m/>
    <m/>
    <m/>
    <m/>
    <m/>
    <m/>
    <m/>
    <s v="0"/>
    <s v="0"/>
    <s v="1"/>
    <n v="1"/>
  </r>
  <r>
    <n v="2613509"/>
    <s v="Extrême-Nord"/>
    <s v="CMR004"/>
    <x v="1"/>
    <s v="CMR004002"/>
    <s v="Logone-Birni"/>
    <s v="CMR004002004"/>
    <s v="LBI-0048"/>
    <s v="DABANGA ARDEBE"/>
    <m/>
    <x v="1"/>
    <n v="11.9087253"/>
    <n v="14.643809600000001"/>
    <x v="0"/>
    <b v="1"/>
    <b v="0"/>
    <b v="0"/>
    <m/>
    <n v="3"/>
    <s v="Accessible"/>
    <m/>
    <s v="Le village accueille une population"/>
    <s v="Le village est intact (construit)"/>
    <m/>
    <m/>
    <s v="Oui"/>
    <s v="Familles d'accueil"/>
    <s v="Non, pas du tout"/>
    <s v="Non"/>
    <m/>
    <n v="3"/>
    <n v="150"/>
    <s v="Oui"/>
    <s v="Premier déplacement"/>
    <n v="3"/>
    <n v="18"/>
    <n v="8"/>
    <n v="10"/>
    <n v="0"/>
    <n v="3"/>
    <n v="0"/>
    <n v="0"/>
    <m/>
    <m/>
    <n v="0"/>
    <n v="0"/>
    <m/>
    <m/>
    <n v="0"/>
    <s v="Pas de changement"/>
    <s v="Non"/>
    <m/>
    <m/>
    <m/>
    <m/>
    <m/>
    <m/>
    <m/>
    <m/>
    <m/>
    <m/>
    <m/>
    <m/>
    <m/>
    <m/>
    <m/>
    <s v="Non"/>
    <m/>
    <m/>
    <m/>
    <m/>
    <m/>
    <m/>
    <m/>
    <m/>
    <m/>
    <m/>
    <m/>
    <m/>
    <m/>
    <m/>
    <m/>
    <m/>
    <m/>
    <m/>
    <m/>
    <m/>
    <n v="0"/>
    <m/>
    <m/>
    <m/>
    <m/>
    <m/>
    <m/>
    <m/>
    <m/>
    <m/>
    <m/>
    <m/>
    <m/>
    <m/>
    <s v="1"/>
    <s v="0"/>
    <s v="0"/>
    <n v="1"/>
  </r>
  <r>
    <n v="2613510"/>
    <s v="Extrême-Nord"/>
    <s v="CMR004"/>
    <x v="1"/>
    <s v="CMR004002"/>
    <s v="Logone-Birni"/>
    <s v="CMR004002004"/>
    <s v="LBI-0049"/>
    <s v="DABANGA MOULHIYE"/>
    <m/>
    <x v="1"/>
    <n v="11.915216900000001"/>
    <n v="14.645429699999999"/>
    <x v="0"/>
    <b v="1"/>
    <b v="0"/>
    <b v="0"/>
    <m/>
    <n v="3"/>
    <s v="Accessible"/>
    <m/>
    <s v="Le village accueille une population"/>
    <s v="Le village est intact (construit)"/>
    <m/>
    <m/>
    <s v="Oui"/>
    <s v="Familles d'accueil"/>
    <s v="Non, pas du tout"/>
    <s v="Non"/>
    <m/>
    <n v="30"/>
    <n v="780"/>
    <s v="Oui"/>
    <s v="Deuxième déplacement"/>
    <n v="30"/>
    <n v="183"/>
    <n v="85"/>
    <n v="98"/>
    <n v="0"/>
    <n v="30"/>
    <n v="0"/>
    <n v="0"/>
    <m/>
    <m/>
    <n v="0"/>
    <n v="0"/>
    <m/>
    <m/>
    <n v="0"/>
    <s v="5 ménages de 20 individus dont 8 hommes et 12 femmes ont quitté Dabanga Moulhié pour Kabé 3 arrondissement de Waza pour inondations."/>
    <s v="Non"/>
    <m/>
    <m/>
    <m/>
    <m/>
    <m/>
    <m/>
    <m/>
    <m/>
    <m/>
    <m/>
    <m/>
    <m/>
    <m/>
    <m/>
    <m/>
    <s v="Non"/>
    <m/>
    <m/>
    <m/>
    <m/>
    <m/>
    <m/>
    <m/>
    <m/>
    <m/>
    <m/>
    <m/>
    <m/>
    <m/>
    <m/>
    <m/>
    <m/>
    <m/>
    <m/>
    <m/>
    <m/>
    <n v="0"/>
    <m/>
    <m/>
    <m/>
    <m/>
    <m/>
    <m/>
    <m/>
    <m/>
    <m/>
    <m/>
    <m/>
    <m/>
    <m/>
    <s v="1"/>
    <s v="0"/>
    <s v="0"/>
    <n v="1"/>
  </r>
  <r>
    <n v="2680251"/>
    <s v="Extrême-Nord"/>
    <s v="CMR004"/>
    <x v="1"/>
    <s v="CMR004002"/>
    <s v="Logone-Birni"/>
    <s v="CMR004002004"/>
    <s v="LBI-0050"/>
    <s v="DAGA"/>
    <m/>
    <x v="1"/>
    <s v="N/A"/>
    <s v="N/A"/>
    <x v="0"/>
    <b v="1"/>
    <b v="0"/>
    <b v="0"/>
    <m/>
    <n v="4"/>
    <s v="Inaccessible - pas d'accès physique"/>
    <s v="Aléas climatiques (inondations)"/>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90383"/>
    <s v="Extrême-Nord"/>
    <s v="CMR004"/>
    <x v="1"/>
    <s v="CMR004002"/>
    <s v="Logone-Birni"/>
    <s v="CMR004002004"/>
    <s v="LBI-0051"/>
    <s v="DAMBE"/>
    <m/>
    <x v="1"/>
    <n v="12.0847058"/>
    <n v="14.9107278"/>
    <x v="0"/>
    <b v="1"/>
    <b v="0"/>
    <b v="0"/>
    <m/>
    <n v="3"/>
    <s v="Accessible"/>
    <m/>
    <s v="Le village accueille une population"/>
    <s v="Le village est intact (construit)"/>
    <m/>
    <m/>
    <s v="Oui"/>
    <s v="Familles d'accueil"/>
    <s v="Non, pas du tout"/>
    <s v="Non"/>
    <m/>
    <n v="6"/>
    <n v="205"/>
    <s v="Oui"/>
    <s v="Premier déplacement"/>
    <n v="6"/>
    <n v="40"/>
    <n v="23"/>
    <n v="17"/>
    <n v="0"/>
    <n v="0"/>
    <n v="0"/>
    <n v="0"/>
    <m/>
    <m/>
    <n v="0"/>
    <n v="6"/>
    <s v="Terre cuite/Terre battue"/>
    <m/>
    <n v="0"/>
    <s v="Pas des de changement "/>
    <s v="Non"/>
    <m/>
    <m/>
    <m/>
    <m/>
    <m/>
    <m/>
    <m/>
    <m/>
    <m/>
    <m/>
    <m/>
    <m/>
    <m/>
    <m/>
    <m/>
    <s v="Non"/>
    <m/>
    <m/>
    <m/>
    <m/>
    <m/>
    <m/>
    <m/>
    <m/>
    <m/>
    <m/>
    <m/>
    <m/>
    <m/>
    <m/>
    <m/>
    <m/>
    <m/>
    <m/>
    <m/>
    <m/>
    <n v="0"/>
    <m/>
    <m/>
    <m/>
    <m/>
    <m/>
    <m/>
    <m/>
    <m/>
    <m/>
    <m/>
    <m/>
    <m/>
    <m/>
    <s v="1"/>
    <s v="0"/>
    <s v="0"/>
    <n v="1"/>
  </r>
  <r>
    <n v="2715701"/>
    <s v="Extrême-Nord"/>
    <s v="CMR004"/>
    <x v="1"/>
    <s v="CMR004002"/>
    <s v="Logone-Birni"/>
    <s v="CMR004002004"/>
    <s v="LBI-0096"/>
    <s v="DAMROU 1"/>
    <m/>
    <x v="1"/>
    <n v="11.6813251"/>
    <n v="15.0740883"/>
    <x v="0"/>
    <b v="1"/>
    <b v="0"/>
    <b v="0"/>
    <m/>
    <n v="3"/>
    <s v="Accessible"/>
    <m/>
    <s v="Le village accueille une population"/>
    <s v="Le village est intact (construit)"/>
    <m/>
    <m/>
    <s v="Oui"/>
    <s v="Familles d'accueil"/>
    <s v="Non, pas du tout"/>
    <s v="Non"/>
    <m/>
    <m/>
    <n v="210"/>
    <s v="Non"/>
    <m/>
    <m/>
    <m/>
    <m/>
    <m/>
    <m/>
    <m/>
    <m/>
    <m/>
    <m/>
    <m/>
    <m/>
    <m/>
    <m/>
    <m/>
    <m/>
    <m/>
    <s v="Non"/>
    <m/>
    <m/>
    <m/>
    <m/>
    <m/>
    <m/>
    <m/>
    <m/>
    <m/>
    <m/>
    <m/>
    <m/>
    <m/>
    <m/>
    <m/>
    <s v="Oui"/>
    <n v="27"/>
    <n v="210"/>
    <n v="80"/>
    <n v="130"/>
    <s v="Entre 3 mois et 1 an"/>
    <n v="0"/>
    <n v="27"/>
    <n v="0"/>
    <n v="0"/>
    <n v="0"/>
    <m/>
    <n v="0"/>
    <n v="0"/>
    <m/>
    <n v="0"/>
    <m/>
    <m/>
    <m/>
    <m/>
    <m/>
    <n v="0"/>
    <m/>
    <m/>
    <m/>
    <m/>
    <m/>
    <m/>
    <m/>
    <m/>
    <m/>
    <m/>
    <m/>
    <m/>
    <m/>
    <s v="0"/>
    <s v="0"/>
    <s v="1"/>
    <n v="1"/>
  </r>
  <r>
    <n v="2715698"/>
    <s v="Extrême-Nord"/>
    <s v="CMR004"/>
    <x v="1"/>
    <s v="CMR004002"/>
    <s v="Logone-Birni"/>
    <s v="CMR004002004"/>
    <s v="LBI-0095"/>
    <s v="DAMROU 2"/>
    <m/>
    <x v="1"/>
    <n v="11.7141073"/>
    <n v="15.0586609"/>
    <x v="0"/>
    <b v="1"/>
    <b v="0"/>
    <b v="0"/>
    <m/>
    <n v="3"/>
    <s v="Accessible"/>
    <m/>
    <s v="Le village accueille une population"/>
    <s v="Le village est intact (construit)"/>
    <m/>
    <m/>
    <s v="Oui"/>
    <s v="Familles d'accueil"/>
    <s v="Non, pas du tout"/>
    <s v="Non"/>
    <m/>
    <m/>
    <n v="391"/>
    <s v="Non"/>
    <m/>
    <m/>
    <m/>
    <m/>
    <m/>
    <m/>
    <m/>
    <m/>
    <m/>
    <m/>
    <m/>
    <m/>
    <m/>
    <m/>
    <m/>
    <m/>
    <m/>
    <s v="Non"/>
    <m/>
    <m/>
    <m/>
    <m/>
    <m/>
    <m/>
    <m/>
    <m/>
    <m/>
    <m/>
    <m/>
    <m/>
    <m/>
    <m/>
    <m/>
    <s v="Oui"/>
    <n v="33"/>
    <n v="391"/>
    <n v="151"/>
    <n v="240"/>
    <s v="Entre 3 mois et 1 an"/>
    <n v="8"/>
    <n v="25"/>
    <n v="0"/>
    <n v="0"/>
    <n v="0"/>
    <m/>
    <n v="0"/>
    <n v="0"/>
    <m/>
    <n v="0"/>
    <m/>
    <m/>
    <m/>
    <m/>
    <m/>
    <n v="0"/>
    <m/>
    <m/>
    <m/>
    <m/>
    <m/>
    <m/>
    <m/>
    <m/>
    <m/>
    <m/>
    <m/>
    <m/>
    <m/>
    <s v="0"/>
    <s v="0"/>
    <s v="1"/>
    <n v="1"/>
  </r>
  <r>
    <n v="2621725"/>
    <s v="Extrême-Nord"/>
    <s v="CMR004"/>
    <x v="1"/>
    <s v="CMR004002"/>
    <s v="Logone-Birni"/>
    <s v="CMR004002004"/>
    <s v="LBI-0084"/>
    <s v="DAMZA"/>
    <m/>
    <x v="1"/>
    <n v="11.8287572"/>
    <n v="15.0601234"/>
    <x v="0"/>
    <b v="1"/>
    <b v="0"/>
    <b v="0"/>
    <m/>
    <n v="3"/>
    <s v="Accessible"/>
    <m/>
    <s v="Le village accueille une population"/>
    <s v="Le village est partiellement détruit"/>
    <s v="Conflit intercommunautaire"/>
    <m/>
    <s v="Oui"/>
    <s v="Familles d'accueil"/>
    <s v="Non, pas du tout"/>
    <s v="Non"/>
    <m/>
    <m/>
    <n v="266"/>
    <s v="Non"/>
    <m/>
    <m/>
    <m/>
    <m/>
    <m/>
    <m/>
    <m/>
    <m/>
    <m/>
    <m/>
    <m/>
    <m/>
    <m/>
    <m/>
    <m/>
    <m/>
    <m/>
    <s v="Non"/>
    <m/>
    <m/>
    <m/>
    <m/>
    <m/>
    <m/>
    <m/>
    <m/>
    <m/>
    <m/>
    <m/>
    <m/>
    <m/>
    <m/>
    <m/>
    <s v="Oui"/>
    <n v="52"/>
    <n v="264"/>
    <n v="107"/>
    <n v="157"/>
    <s v="Entre 3 mois et 1 an"/>
    <n v="0"/>
    <n v="52"/>
    <n v="0"/>
    <n v="0"/>
    <n v="0"/>
    <m/>
    <n v="0"/>
    <n v="0"/>
    <m/>
    <n v="0"/>
    <m/>
    <m/>
    <m/>
    <m/>
    <m/>
    <n v="0"/>
    <m/>
    <m/>
    <m/>
    <m/>
    <m/>
    <m/>
    <m/>
    <m/>
    <m/>
    <m/>
    <m/>
    <m/>
    <m/>
    <s v="0"/>
    <s v="0"/>
    <s v="1"/>
    <n v="1"/>
  </r>
  <r>
    <n v="2680250"/>
    <s v="Extrême-Nord"/>
    <s v="CMR004"/>
    <x v="1"/>
    <s v="CMR004002"/>
    <s v="Logone-Birni"/>
    <s v="CMR004002004"/>
    <s v="LBI-0052"/>
    <s v="DARSALAM"/>
    <m/>
    <x v="1"/>
    <n v="11.828234500000001"/>
    <n v="14.9601168"/>
    <x v="0"/>
    <b v="1"/>
    <b v="0"/>
    <b v="0"/>
    <m/>
    <n v="3"/>
    <s v="Accessible"/>
    <m/>
    <s v="Le village accueille une population"/>
    <s v="Le village est partiellement détruit"/>
    <s v="Conflit intercommunautaire"/>
    <m/>
    <s v="Oui"/>
    <s v="Familles d'accueil"/>
    <s v="Non, pas du tout"/>
    <s v="Non"/>
    <m/>
    <m/>
    <n v="2000"/>
    <s v="Non"/>
    <m/>
    <m/>
    <m/>
    <m/>
    <m/>
    <m/>
    <m/>
    <m/>
    <m/>
    <m/>
    <m/>
    <m/>
    <m/>
    <m/>
    <m/>
    <m/>
    <m/>
    <s v="Non"/>
    <m/>
    <m/>
    <m/>
    <m/>
    <m/>
    <m/>
    <m/>
    <m/>
    <m/>
    <m/>
    <m/>
    <m/>
    <m/>
    <m/>
    <m/>
    <s v="Oui"/>
    <n v="250"/>
    <n v="2000"/>
    <n v="840"/>
    <n v="1160"/>
    <s v="Moins de 3 mois"/>
    <n v="0"/>
    <n v="250"/>
    <n v="0"/>
    <n v="0"/>
    <n v="0"/>
    <m/>
    <n v="0"/>
    <n v="0"/>
    <m/>
    <n v="0"/>
    <m/>
    <m/>
    <m/>
    <m/>
    <m/>
    <n v="0"/>
    <m/>
    <m/>
    <m/>
    <m/>
    <m/>
    <m/>
    <m/>
    <m/>
    <m/>
    <m/>
    <m/>
    <m/>
    <m/>
    <s v="0"/>
    <s v="0"/>
    <s v="1"/>
    <n v="1"/>
  </r>
  <r>
    <n v="2680246"/>
    <s v="Extrême-Nord"/>
    <s v="CMR004"/>
    <x v="1"/>
    <s v="CMR004002"/>
    <s v="Logone-Birni"/>
    <s v="CMR004002004"/>
    <s v="LBI-0022"/>
    <s v="DEIMA"/>
    <m/>
    <x v="1"/>
    <n v="11.9795503"/>
    <n v="14.9285067"/>
    <x v="0"/>
    <b v="0"/>
    <b v="0"/>
    <b v="1"/>
    <m/>
    <m/>
    <s v="Accessible"/>
    <m/>
    <s v="Le village est entièrement déserté"/>
    <m/>
    <m/>
    <m/>
    <m/>
    <m/>
    <m/>
    <m/>
    <m/>
    <m/>
    <m/>
    <m/>
    <m/>
    <m/>
    <m/>
    <m/>
    <m/>
    <m/>
    <m/>
    <m/>
    <m/>
    <m/>
    <m/>
    <m/>
    <m/>
    <m/>
    <m/>
    <m/>
    <m/>
    <m/>
    <m/>
    <m/>
    <m/>
    <m/>
    <m/>
    <m/>
    <m/>
    <m/>
    <m/>
    <m/>
    <m/>
    <m/>
    <m/>
    <m/>
    <m/>
    <m/>
    <m/>
    <m/>
    <m/>
    <m/>
    <m/>
    <m/>
    <m/>
    <m/>
    <m/>
    <m/>
    <m/>
    <m/>
    <m/>
    <m/>
    <m/>
    <m/>
    <m/>
    <m/>
    <m/>
    <m/>
    <m/>
    <m/>
    <m/>
    <m/>
    <m/>
    <m/>
    <m/>
    <m/>
    <m/>
    <m/>
    <m/>
    <m/>
    <m/>
    <m/>
    <s v="0"/>
    <s v="0"/>
    <s v="0"/>
    <n v="0"/>
  </r>
  <r>
    <n v="2721265"/>
    <s v="Extrême-Nord"/>
    <s v="CMR004"/>
    <x v="1"/>
    <s v="CMR004002"/>
    <s v="Logone-Birni"/>
    <s v="CMR004002004"/>
    <s v="LBI-0053"/>
    <s v="DILGA"/>
    <m/>
    <x v="1"/>
    <n v="11.7243259"/>
    <n v="15.053536599999999"/>
    <x v="0"/>
    <b v="1"/>
    <b v="1"/>
    <b v="1"/>
    <n v="7"/>
    <n v="3"/>
    <s v="Accessible"/>
    <m/>
    <s v="Le village accueille une population"/>
    <s v="Le village est partiellement détruit"/>
    <s v="Conflit intercommunautaire"/>
    <m/>
    <s v="Oui"/>
    <s v="Familles d'accueil"/>
    <s v="Non, pas du tout"/>
    <s v="Non"/>
    <m/>
    <m/>
    <n v="154"/>
    <s v="Non"/>
    <m/>
    <m/>
    <m/>
    <m/>
    <m/>
    <m/>
    <m/>
    <m/>
    <m/>
    <m/>
    <m/>
    <m/>
    <m/>
    <m/>
    <m/>
    <m/>
    <m/>
    <s v="Non"/>
    <m/>
    <m/>
    <m/>
    <m/>
    <m/>
    <m/>
    <m/>
    <m/>
    <m/>
    <m/>
    <m/>
    <m/>
    <m/>
    <m/>
    <m/>
    <s v="Oui"/>
    <n v="66"/>
    <n v="154"/>
    <n v="61"/>
    <n v="93"/>
    <s v="Entre 3 mois et 1 an"/>
    <n v="16"/>
    <n v="50"/>
    <n v="0"/>
    <n v="0"/>
    <n v="0"/>
    <m/>
    <n v="0"/>
    <n v="0"/>
    <m/>
    <n v="0"/>
    <m/>
    <m/>
    <m/>
    <m/>
    <m/>
    <n v="0"/>
    <m/>
    <m/>
    <m/>
    <m/>
    <m/>
    <m/>
    <m/>
    <m/>
    <m/>
    <m/>
    <m/>
    <m/>
    <m/>
    <s v="0"/>
    <s v="0"/>
    <s v="1"/>
    <n v="1"/>
  </r>
  <r>
    <n v="2721263"/>
    <s v="Extrême-Nord"/>
    <s v="CMR004"/>
    <x v="1"/>
    <s v="CMR004002"/>
    <s v="Logone-Birni"/>
    <s v="CMR004002004"/>
    <s v="LBI-0111"/>
    <s v="DILGA ELI"/>
    <m/>
    <x v="1"/>
    <n v="11.734109800000001"/>
    <n v="15.0533898"/>
    <x v="0"/>
    <b v="1"/>
    <b v="0"/>
    <b v="1"/>
    <m/>
    <n v="3"/>
    <s v="Accessible"/>
    <m/>
    <s v="Le village accueille une population"/>
    <s v="Le village est partiellement détruit"/>
    <s v="Conflit intercommunautaire"/>
    <m/>
    <s v="Oui"/>
    <s v="Familles d'accueil"/>
    <s v="Non, pas du tout"/>
    <s v="Non"/>
    <m/>
    <m/>
    <n v="66"/>
    <s v="Non"/>
    <m/>
    <m/>
    <m/>
    <m/>
    <m/>
    <m/>
    <m/>
    <m/>
    <m/>
    <m/>
    <m/>
    <m/>
    <m/>
    <m/>
    <m/>
    <m/>
    <m/>
    <s v="Non"/>
    <m/>
    <m/>
    <m/>
    <m/>
    <m/>
    <m/>
    <m/>
    <m/>
    <m/>
    <m/>
    <m/>
    <m/>
    <m/>
    <m/>
    <m/>
    <s v="Oui"/>
    <n v="21"/>
    <n v="66"/>
    <n v="28"/>
    <n v="38"/>
    <s v="Entre 3 mois et 1 an"/>
    <n v="3"/>
    <n v="18"/>
    <n v="0"/>
    <n v="0"/>
    <n v="0"/>
    <m/>
    <n v="0"/>
    <n v="0"/>
    <m/>
    <n v="0"/>
    <m/>
    <m/>
    <m/>
    <m/>
    <m/>
    <n v="0"/>
    <m/>
    <m/>
    <m/>
    <m/>
    <m/>
    <m/>
    <m/>
    <m/>
    <m/>
    <m/>
    <m/>
    <m/>
    <m/>
    <s v="0"/>
    <s v="0"/>
    <s v="1"/>
    <n v="1"/>
  </r>
  <r>
    <n v="2721264"/>
    <s v="Extrême-Nord"/>
    <s v="CMR004"/>
    <x v="1"/>
    <s v="CMR004002"/>
    <s v="Logone-Birni"/>
    <s v="CMR004002004"/>
    <s v="LBI-0112"/>
    <s v="DILGA GOGOM"/>
    <m/>
    <x v="1"/>
    <n v="11.7323594"/>
    <n v="15.0534176"/>
    <x v="0"/>
    <b v="1"/>
    <b v="0"/>
    <b v="0"/>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21523"/>
    <s v="Extrême-Nord"/>
    <s v="CMR004"/>
    <x v="1"/>
    <s v="CMR004002"/>
    <s v="Logone-Birni"/>
    <s v="CMR004002004"/>
    <s v="LBI-0099"/>
    <s v="DILGA HEMDAN"/>
    <m/>
    <x v="1"/>
    <n v="11.737582400000001"/>
    <n v="15.053649200000001"/>
    <x v="0"/>
    <b v="1"/>
    <b v="0"/>
    <b v="1"/>
    <m/>
    <n v="3"/>
    <s v="Accessible"/>
    <m/>
    <s v="Le village accueille une population"/>
    <s v="Le village est partiellement détruit"/>
    <s v="Conflit intercommunautaire"/>
    <m/>
    <s v="Oui"/>
    <s v="Familles d'accueil"/>
    <s v="Non, pas du tout"/>
    <s v="Non"/>
    <m/>
    <m/>
    <n v="200"/>
    <s v="Non"/>
    <m/>
    <m/>
    <m/>
    <m/>
    <m/>
    <m/>
    <m/>
    <m/>
    <m/>
    <m/>
    <m/>
    <m/>
    <m/>
    <m/>
    <m/>
    <m/>
    <m/>
    <s v="Non"/>
    <m/>
    <m/>
    <m/>
    <m/>
    <m/>
    <m/>
    <m/>
    <m/>
    <m/>
    <m/>
    <m/>
    <m/>
    <m/>
    <m/>
    <m/>
    <s v="Oui"/>
    <n v="16"/>
    <n v="200"/>
    <n v="80"/>
    <n v="120"/>
    <s v="Moins de 3 mois"/>
    <n v="0"/>
    <n v="16"/>
    <n v="0"/>
    <n v="0"/>
    <n v="0"/>
    <m/>
    <n v="0"/>
    <n v="0"/>
    <m/>
    <n v="0"/>
    <m/>
    <m/>
    <m/>
    <m/>
    <m/>
    <n v="1"/>
    <m/>
    <m/>
    <m/>
    <m/>
    <m/>
    <m/>
    <m/>
    <m/>
    <m/>
    <m/>
    <m/>
    <m/>
    <m/>
    <s v="0"/>
    <s v="0"/>
    <s v="1"/>
    <n v="1"/>
  </r>
  <r>
    <n v="2621520"/>
    <s v="Extrême-Nord"/>
    <s v="CMR004"/>
    <x v="1"/>
    <s v="CMR004002"/>
    <s v="Logone-Birni"/>
    <s v="CMR004002004"/>
    <s v="LBI-0091"/>
    <s v="DILGA MOUSGOUM"/>
    <m/>
    <x v="1"/>
    <n v="11.725715900000001"/>
    <n v="15.0656377"/>
    <x v="0"/>
    <b v="1"/>
    <b v="0"/>
    <b v="1"/>
    <m/>
    <n v="3"/>
    <s v="Accessible"/>
    <m/>
    <s v="Le village accueille une population"/>
    <s v="Le village est intact (construit)"/>
    <m/>
    <m/>
    <s v="Oui"/>
    <s v="Familles d'accueil"/>
    <s v="Non, pas du tout"/>
    <s v="Non"/>
    <m/>
    <n v="3"/>
    <n v="210"/>
    <s v="Oui"/>
    <s v="Deuxième déplacement"/>
    <n v="3"/>
    <n v="9"/>
    <n v="5"/>
    <n v="4"/>
    <n v="0"/>
    <n v="3"/>
    <n v="0"/>
    <n v="0"/>
    <m/>
    <m/>
    <n v="0"/>
    <n v="0"/>
    <m/>
    <m/>
    <n v="0"/>
    <s v="Les déplacés internes de cette localité proviennent du Mayo-Danay et ont tout perdu pendant l'inondation"/>
    <s v="Non"/>
    <m/>
    <m/>
    <m/>
    <m/>
    <m/>
    <m/>
    <m/>
    <m/>
    <m/>
    <m/>
    <m/>
    <m/>
    <m/>
    <m/>
    <m/>
    <s v="Non"/>
    <m/>
    <m/>
    <m/>
    <m/>
    <m/>
    <m/>
    <m/>
    <m/>
    <m/>
    <m/>
    <m/>
    <m/>
    <m/>
    <m/>
    <m/>
    <m/>
    <m/>
    <m/>
    <m/>
    <m/>
    <n v="1"/>
    <m/>
    <m/>
    <m/>
    <m/>
    <m/>
    <m/>
    <m/>
    <m/>
    <m/>
    <m/>
    <m/>
    <m/>
    <m/>
    <s v="1"/>
    <s v="0"/>
    <s v="0"/>
    <n v="1"/>
  </r>
  <r>
    <n v="2721487"/>
    <s v="Extrême-Nord"/>
    <s v="CMR004"/>
    <x v="1"/>
    <s v="CMR004002"/>
    <s v="Logone-Birni"/>
    <s v="CMR004002004"/>
    <s v="LBI-0113"/>
    <s v="DJIDABALI"/>
    <m/>
    <x v="1"/>
    <s v="N/A"/>
    <s v="N/A"/>
    <x v="0"/>
    <b v="1"/>
    <b v="0"/>
    <b v="0"/>
    <m/>
    <n v="3"/>
    <s v="Inaccessible - pas d'accès physique"/>
    <s v="Aléas climatiques (inondations)"/>
    <s v="Le village accueille une population"/>
    <s v="Le village est partiellement détruit"/>
    <s v="Conflit intercommunautaire"/>
    <m/>
    <s v="Oui"/>
    <s v="Familles d'accueil"/>
    <s v="Non, pas du tout"/>
    <s v="Non"/>
    <m/>
    <m/>
    <n v="40"/>
    <s v="Non"/>
    <m/>
    <m/>
    <m/>
    <m/>
    <m/>
    <m/>
    <m/>
    <m/>
    <m/>
    <m/>
    <m/>
    <m/>
    <m/>
    <m/>
    <m/>
    <m/>
    <m/>
    <s v="Non"/>
    <m/>
    <m/>
    <m/>
    <m/>
    <m/>
    <m/>
    <m/>
    <m/>
    <m/>
    <m/>
    <m/>
    <m/>
    <m/>
    <m/>
    <m/>
    <s v="Oui"/>
    <n v="18"/>
    <n v="40"/>
    <n v="26"/>
    <n v="14"/>
    <s v="Entre 3 mois et 1 an"/>
    <n v="8"/>
    <n v="10"/>
    <n v="0"/>
    <n v="0"/>
    <n v="0"/>
    <m/>
    <n v="0"/>
    <n v="0"/>
    <m/>
    <n v="0"/>
    <m/>
    <m/>
    <m/>
    <m/>
    <m/>
    <n v="0"/>
    <m/>
    <m/>
    <m/>
    <m/>
    <m/>
    <m/>
    <m/>
    <m/>
    <m/>
    <m/>
    <m/>
    <m/>
    <m/>
    <s v="0"/>
    <s v="0"/>
    <s v="1"/>
    <n v="1"/>
  </r>
  <r>
    <n v="2715700"/>
    <s v="Extrême-Nord"/>
    <s v="CMR004"/>
    <x v="1"/>
    <s v="CMR004002"/>
    <s v="Logone-Birni"/>
    <s v="CMR004002004"/>
    <s v="LBI-0054"/>
    <s v="DOCDORI 1"/>
    <m/>
    <x v="1"/>
    <n v="11.685132299999999"/>
    <n v="15.0729568"/>
    <x v="0"/>
    <b v="1"/>
    <b v="0"/>
    <b v="0"/>
    <m/>
    <n v="3"/>
    <s v="Accessible"/>
    <m/>
    <s v="Le village accueille une population"/>
    <s v="Le village est intact (construit)"/>
    <m/>
    <m/>
    <s v="Oui"/>
    <s v="Familles d'accueil"/>
    <s v="Non, pas du tout"/>
    <s v="Non"/>
    <m/>
    <m/>
    <n v="800"/>
    <s v="Non"/>
    <m/>
    <m/>
    <m/>
    <m/>
    <m/>
    <m/>
    <m/>
    <m/>
    <m/>
    <m/>
    <m/>
    <m/>
    <m/>
    <m/>
    <m/>
    <m/>
    <m/>
    <s v="Non"/>
    <m/>
    <m/>
    <m/>
    <m/>
    <m/>
    <m/>
    <m/>
    <m/>
    <m/>
    <m/>
    <m/>
    <m/>
    <m/>
    <m/>
    <m/>
    <s v="Oui"/>
    <n v="146"/>
    <n v="800"/>
    <n v="384"/>
    <n v="416"/>
    <s v="Entre 3 mois et 1 an"/>
    <n v="0"/>
    <n v="146"/>
    <n v="0"/>
    <n v="0"/>
    <n v="0"/>
    <m/>
    <n v="0"/>
    <n v="0"/>
    <m/>
    <n v="0"/>
    <m/>
    <m/>
    <m/>
    <m/>
    <m/>
    <n v="0"/>
    <m/>
    <m/>
    <m/>
    <m/>
    <m/>
    <m/>
    <m/>
    <m/>
    <m/>
    <m/>
    <m/>
    <m/>
    <m/>
    <s v="0"/>
    <s v="0"/>
    <s v="1"/>
    <n v="1"/>
  </r>
  <r>
    <n v="2715699"/>
    <s v="Extrême-Nord"/>
    <s v="CMR004"/>
    <x v="1"/>
    <s v="CMR004002"/>
    <s v="Logone-Birni"/>
    <s v="CMR004002004"/>
    <s v="LBI-0108"/>
    <s v="DOGDORI ISSA BELLO"/>
    <m/>
    <x v="1"/>
    <n v="11.6901124"/>
    <n v="15.0708632"/>
    <x v="0"/>
    <b v="1"/>
    <b v="0"/>
    <b v="0"/>
    <m/>
    <n v="3"/>
    <s v="Accessible"/>
    <m/>
    <s v="Le village est déserté la nuit"/>
    <s v="Le village est intact (construit)"/>
    <m/>
    <m/>
    <s v="Oui"/>
    <s v="Familles d'accueil"/>
    <s v="Non, pas du tout"/>
    <s v="Non"/>
    <m/>
    <m/>
    <n v="127"/>
    <s v="Non"/>
    <m/>
    <m/>
    <m/>
    <m/>
    <m/>
    <m/>
    <m/>
    <m/>
    <m/>
    <m/>
    <m/>
    <m/>
    <m/>
    <m/>
    <m/>
    <m/>
    <m/>
    <s v="Non"/>
    <m/>
    <m/>
    <m/>
    <m/>
    <m/>
    <m/>
    <m/>
    <m/>
    <m/>
    <m/>
    <m/>
    <m/>
    <m/>
    <m/>
    <m/>
    <s v="Oui"/>
    <n v="66"/>
    <n v="127"/>
    <n v="63"/>
    <n v="64"/>
    <s v="Entre 3 mois et 1 an"/>
    <n v="6"/>
    <n v="60"/>
    <n v="0"/>
    <n v="0"/>
    <n v="0"/>
    <m/>
    <n v="0"/>
    <n v="0"/>
    <m/>
    <n v="0"/>
    <m/>
    <m/>
    <m/>
    <m/>
    <m/>
    <n v="0"/>
    <m/>
    <m/>
    <m/>
    <m/>
    <m/>
    <m/>
    <m/>
    <m/>
    <m/>
    <m/>
    <m/>
    <m/>
    <m/>
    <s v="0"/>
    <s v="0"/>
    <s v="1"/>
    <n v="1"/>
  </r>
  <r>
    <n v="2613508"/>
    <s v="Extrême-Nord"/>
    <s v="CMR004"/>
    <x v="1"/>
    <s v="CMR004002"/>
    <s v="Logone-Birni"/>
    <s v="CMR004002004"/>
    <s v="LBI-0036"/>
    <s v="DOKI"/>
    <m/>
    <x v="1"/>
    <n v="12.136302499999999"/>
    <n v="14.726627300000001"/>
    <x v="0"/>
    <b v="1"/>
    <b v="0"/>
    <b v="0"/>
    <m/>
    <n v="3"/>
    <s v="Accessible"/>
    <m/>
    <s v="Le village accueille une population"/>
    <s v="Le village est intact (construit)"/>
    <m/>
    <m/>
    <s v="Oui"/>
    <s v="Familles d'accueil"/>
    <s v="Non, pas du tout"/>
    <s v="Non"/>
    <m/>
    <n v="8"/>
    <n v="150"/>
    <s v="Oui"/>
    <s v="Premier déplacement"/>
    <n v="8"/>
    <n v="53"/>
    <n v="31"/>
    <n v="22"/>
    <n v="0"/>
    <n v="8"/>
    <n v="0"/>
    <n v="0"/>
    <m/>
    <m/>
    <n v="0"/>
    <n v="0"/>
    <m/>
    <m/>
    <n v="0"/>
    <s v="Aucun changement n'est constaté"/>
    <s v="Oui"/>
    <n v="6"/>
    <n v="29"/>
    <n v="14"/>
    <n v="15"/>
    <n v="6"/>
    <n v="0"/>
    <n v="0"/>
    <m/>
    <n v="0"/>
    <n v="0"/>
    <m/>
    <m/>
    <n v="0"/>
    <n v="0"/>
    <s v="Pas de changement"/>
    <s v="Non"/>
    <m/>
    <m/>
    <m/>
    <m/>
    <m/>
    <m/>
    <m/>
    <m/>
    <m/>
    <m/>
    <m/>
    <m/>
    <m/>
    <m/>
    <m/>
    <m/>
    <m/>
    <m/>
    <m/>
    <m/>
    <n v="0"/>
    <m/>
    <m/>
    <m/>
    <m/>
    <m/>
    <m/>
    <m/>
    <m/>
    <m/>
    <m/>
    <m/>
    <m/>
    <m/>
    <s v="1"/>
    <s v="1"/>
    <s v="0"/>
    <n v="2"/>
  </r>
  <r>
    <n v="2655284"/>
    <s v="Extrême-Nord"/>
    <s v="CMR004"/>
    <x v="1"/>
    <s v="CMR004002"/>
    <s v="Logone-Birni"/>
    <s v="CMR004002004"/>
    <s v="LBI-0114"/>
    <s v="DOLE"/>
    <m/>
    <x v="1"/>
    <n v="11.7698768"/>
    <n v="15.036322999999999"/>
    <x v="0"/>
    <b v="0"/>
    <b v="1"/>
    <b v="1"/>
    <n v="7"/>
    <m/>
    <s v="Accessible"/>
    <m/>
    <s v="Le village accueille une population"/>
    <s v="Le village est partiellement détruit"/>
    <s v="Conflit intercommunautaire"/>
    <m/>
    <s v="Oui"/>
    <s v="Familles d'accueil"/>
    <s v="Non, pas du tout"/>
    <s v="Non"/>
    <m/>
    <m/>
    <n v="500"/>
    <s v="Non"/>
    <m/>
    <m/>
    <m/>
    <m/>
    <m/>
    <m/>
    <m/>
    <m/>
    <m/>
    <m/>
    <m/>
    <m/>
    <m/>
    <m/>
    <m/>
    <m/>
    <m/>
    <s v="Non"/>
    <m/>
    <m/>
    <m/>
    <m/>
    <m/>
    <m/>
    <m/>
    <m/>
    <m/>
    <m/>
    <m/>
    <m/>
    <m/>
    <m/>
    <m/>
    <s v="Oui"/>
    <n v="64"/>
    <n v="500"/>
    <n v="220"/>
    <n v="280"/>
    <s v="Entre 3 mois et 1 an"/>
    <n v="0"/>
    <n v="64"/>
    <n v="0"/>
    <n v="0"/>
    <n v="0"/>
    <m/>
    <n v="0"/>
    <n v="0"/>
    <m/>
    <n v="0"/>
    <m/>
    <m/>
    <m/>
    <m/>
    <m/>
    <n v="0"/>
    <m/>
    <m/>
    <m/>
    <m/>
    <m/>
    <m/>
    <m/>
    <m/>
    <m/>
    <m/>
    <m/>
    <m/>
    <m/>
    <s v="0"/>
    <s v="0"/>
    <s v="1"/>
    <n v="1"/>
  </r>
  <r>
    <n v="2621527"/>
    <s v="Extrême-Nord"/>
    <s v="CMR004"/>
    <x v="1"/>
    <s v="CMR004002"/>
    <s v="Logone-Birni"/>
    <s v="CMR004002004"/>
    <s v="LBI-0105"/>
    <s v="DOLE BLÂMA MOUSSA"/>
    <m/>
    <x v="1"/>
    <n v="11.768717199999999"/>
    <n v="15.035046599999999"/>
    <x v="0"/>
    <b v="1"/>
    <b v="0"/>
    <b v="1"/>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9516"/>
    <s v="Extrême-Nord"/>
    <s v="CMR004"/>
    <x v="1"/>
    <s v="CMR004002"/>
    <s v="Logone-Birni"/>
    <s v="CMR004002004"/>
    <s v="LBI-0023"/>
    <s v="DOUGOUMBRA"/>
    <m/>
    <x v="1"/>
    <n v="11.5201011"/>
    <n v="14.9255852"/>
    <x v="0"/>
    <b v="1"/>
    <b v="0"/>
    <b v="1"/>
    <m/>
    <n v="4"/>
    <s v="Accessible"/>
    <m/>
    <s v="Le village accueille une population"/>
    <s v="Le village est totalement détruit"/>
    <s v="Conflit intercommunautaire"/>
    <m/>
    <s v="Oui"/>
    <s v="Familles d'accueil"/>
    <s v="Non, pas du tout"/>
    <s v="Non"/>
    <m/>
    <n v="29"/>
    <n v="428"/>
    <s v="Oui"/>
    <s v="Premier déplacement"/>
    <n v="29"/>
    <n v="137"/>
    <n v="68"/>
    <n v="69"/>
    <n v="0"/>
    <n v="22"/>
    <n v="0"/>
    <n v="0"/>
    <m/>
    <m/>
    <n v="0"/>
    <n v="7"/>
    <s v="Paille/Natte/Nylon"/>
    <m/>
    <n v="0"/>
    <s v="Ce village viens d'accueillir 7 ménages de 30 individus Venant du village DARAZI arrondissement de Zina"/>
    <s v="Non"/>
    <m/>
    <m/>
    <m/>
    <m/>
    <m/>
    <m/>
    <m/>
    <m/>
    <m/>
    <m/>
    <m/>
    <m/>
    <m/>
    <m/>
    <m/>
    <s v="Oui"/>
    <n v="32"/>
    <n v="315"/>
    <n v="155"/>
    <n v="160"/>
    <s v="Entre 3 mois et 1 an"/>
    <n v="0"/>
    <n v="32"/>
    <n v="0"/>
    <n v="0"/>
    <n v="0"/>
    <m/>
    <n v="0"/>
    <n v="0"/>
    <m/>
    <n v="0"/>
    <m/>
    <m/>
    <m/>
    <m/>
    <m/>
    <n v="0"/>
    <m/>
    <m/>
    <m/>
    <m/>
    <m/>
    <m/>
    <m/>
    <m/>
    <m/>
    <m/>
    <m/>
    <m/>
    <m/>
    <s v="1"/>
    <s v="0"/>
    <s v="1"/>
    <n v="2"/>
  </r>
  <r>
    <n v="2691073"/>
    <s v="Extrême-Nord"/>
    <s v="CMR004"/>
    <x v="1"/>
    <s v="CMR004002"/>
    <s v="Logone-Birni"/>
    <s v="CMR004002004"/>
    <s v="LBI-0115"/>
    <s v="FADJÉ"/>
    <m/>
    <x v="1"/>
    <n v="11.7801381"/>
    <n v="15.0726973"/>
    <x v="0"/>
    <b v="1"/>
    <b v="0"/>
    <b v="0"/>
    <m/>
    <n v="4"/>
    <s v="Accessible"/>
    <m/>
    <s v="Le village accueille une population"/>
    <s v="Le village est partiellement détruit"/>
    <s v="Conflit intercommunautaire"/>
    <m/>
    <s v="Oui"/>
    <s v="Familles d'accueil"/>
    <s v="Non, pas du tout"/>
    <s v="Non"/>
    <m/>
    <m/>
    <n v="300"/>
    <s v="Non"/>
    <m/>
    <m/>
    <m/>
    <m/>
    <m/>
    <m/>
    <m/>
    <m/>
    <m/>
    <m/>
    <m/>
    <m/>
    <m/>
    <m/>
    <m/>
    <m/>
    <m/>
    <s v="Non"/>
    <m/>
    <m/>
    <m/>
    <m/>
    <m/>
    <m/>
    <m/>
    <m/>
    <m/>
    <m/>
    <m/>
    <m/>
    <m/>
    <m/>
    <m/>
    <s v="Oui"/>
    <n v="46"/>
    <n v="300"/>
    <n v="140"/>
    <n v="160"/>
    <s v="Entre 3 mois et 1 an"/>
    <n v="40"/>
    <n v="6"/>
    <n v="0"/>
    <n v="0"/>
    <n v="0"/>
    <m/>
    <n v="0"/>
    <n v="0"/>
    <m/>
    <n v="0"/>
    <m/>
    <m/>
    <m/>
    <m/>
    <m/>
    <n v="0"/>
    <m/>
    <m/>
    <m/>
    <m/>
    <m/>
    <m/>
    <m/>
    <m/>
    <m/>
    <m/>
    <m/>
    <m/>
    <m/>
    <s v="0"/>
    <s v="0"/>
    <s v="1"/>
    <n v="1"/>
  </r>
  <r>
    <n v="2659664"/>
    <s v="Extrême-Nord"/>
    <s v="CMR004"/>
    <x v="1"/>
    <s v="CMR004002"/>
    <s v="Logone-Birni"/>
    <s v="CMR004002004"/>
    <s v="LBI-0088"/>
    <s v="FIRKLIWA"/>
    <m/>
    <x v="1"/>
    <n v="11.9100462"/>
    <n v="15.0234904"/>
    <x v="0"/>
    <b v="1"/>
    <b v="0"/>
    <b v="0"/>
    <m/>
    <n v="3"/>
    <s v="Accessible"/>
    <m/>
    <s v="Le village accueille une population"/>
    <s v="Le village est intact (construit)"/>
    <m/>
    <m/>
    <s v="Oui"/>
    <s v="Familles d'accueil"/>
    <s v="Non, pas du tout"/>
    <s v="Non"/>
    <m/>
    <m/>
    <n v="1813"/>
    <s v="Non"/>
    <m/>
    <m/>
    <m/>
    <m/>
    <m/>
    <m/>
    <m/>
    <m/>
    <m/>
    <m/>
    <m/>
    <m/>
    <m/>
    <m/>
    <m/>
    <m/>
    <m/>
    <s v="Non"/>
    <m/>
    <m/>
    <m/>
    <m/>
    <m/>
    <m/>
    <m/>
    <m/>
    <m/>
    <m/>
    <m/>
    <m/>
    <m/>
    <m/>
    <m/>
    <s v="Oui"/>
    <n v="5"/>
    <n v="20"/>
    <n v="8"/>
    <n v="12"/>
    <s v="Entre 1 et 5 ans"/>
    <n v="0"/>
    <n v="5"/>
    <n v="0"/>
    <n v="0"/>
    <n v="0"/>
    <m/>
    <n v="0"/>
    <n v="0"/>
    <m/>
    <n v="0"/>
    <m/>
    <m/>
    <m/>
    <m/>
    <m/>
    <n v="0"/>
    <m/>
    <m/>
    <m/>
    <m/>
    <m/>
    <m/>
    <m/>
    <m/>
    <m/>
    <m/>
    <m/>
    <m/>
    <m/>
    <s v="0"/>
    <s v="0"/>
    <s v="1"/>
    <n v="1"/>
  </r>
  <r>
    <n v="2600739"/>
    <s v="Extrême-Nord"/>
    <s v="CMR004"/>
    <x v="1"/>
    <s v="CMR004002"/>
    <s v="Logone-Birni"/>
    <s v="CMR004002004"/>
    <s v="LBI-0006"/>
    <s v="GACHALMEDIK"/>
    <m/>
    <x v="1"/>
    <n v="12.1205783"/>
    <n v="14.731120900000001"/>
    <x v="0"/>
    <b v="1"/>
    <b v="0"/>
    <b v="0"/>
    <m/>
    <n v="3"/>
    <s v="Accessible"/>
    <m/>
    <s v="Le village accueille une population"/>
    <s v="Le village est intact (construit)"/>
    <m/>
    <m/>
    <s v="Oui"/>
    <s v="Sites de déplacement spontanés"/>
    <s v="Non, pas du tout"/>
    <s v="Non"/>
    <m/>
    <n v="65"/>
    <n v="276"/>
    <s v="Oui"/>
    <s v="Premier déplacement"/>
    <n v="65"/>
    <n v="276"/>
    <n v="150"/>
    <n v="126"/>
    <n v="0"/>
    <n v="0"/>
    <n v="0"/>
    <n v="0"/>
    <m/>
    <m/>
    <n v="0"/>
    <n v="65"/>
    <s v="Terre cuite/Terre battue"/>
    <m/>
    <n v="0"/>
    <s v="Pas de changement par rapport au round  25 les données restent  les mêmes."/>
    <s v="Non"/>
    <m/>
    <m/>
    <m/>
    <m/>
    <m/>
    <m/>
    <m/>
    <m/>
    <m/>
    <m/>
    <m/>
    <m/>
    <m/>
    <m/>
    <m/>
    <s v="Non"/>
    <m/>
    <m/>
    <m/>
    <m/>
    <m/>
    <m/>
    <m/>
    <m/>
    <m/>
    <m/>
    <m/>
    <m/>
    <m/>
    <m/>
    <m/>
    <m/>
    <m/>
    <m/>
    <m/>
    <m/>
    <n v="0"/>
    <m/>
    <m/>
    <m/>
    <m/>
    <m/>
    <m/>
    <m/>
    <m/>
    <m/>
    <m/>
    <m/>
    <m/>
    <m/>
    <s v="1"/>
    <s v="0"/>
    <s v="0"/>
    <n v="1"/>
  </r>
  <r>
    <n v="2617952"/>
    <s v="Extrême-Nord"/>
    <s v="CMR004"/>
    <x v="1"/>
    <s v="CMR004002"/>
    <s v="Logone-Birni"/>
    <s v="CMR004002004"/>
    <s v="LBI-0092"/>
    <s v="GADOUDJI"/>
    <m/>
    <x v="1"/>
    <n v="11.7248809"/>
    <n v="15.032349999999999"/>
    <x v="0"/>
    <b v="1"/>
    <b v="0"/>
    <b v="0"/>
    <m/>
    <n v="3"/>
    <s v="Accessible"/>
    <m/>
    <s v="Le village accueille une population"/>
    <s v="Le village est intact (construit)"/>
    <m/>
    <m/>
    <s v="Oui"/>
    <s v="Familles d'accueil"/>
    <s v="Non, pas du tout"/>
    <s v="Non"/>
    <m/>
    <m/>
    <n v="211"/>
    <s v="Non"/>
    <m/>
    <m/>
    <m/>
    <m/>
    <m/>
    <m/>
    <m/>
    <m/>
    <m/>
    <m/>
    <m/>
    <m/>
    <m/>
    <m/>
    <m/>
    <m/>
    <m/>
    <s v="Non"/>
    <m/>
    <m/>
    <m/>
    <m/>
    <m/>
    <m/>
    <m/>
    <m/>
    <m/>
    <m/>
    <m/>
    <m/>
    <m/>
    <m/>
    <m/>
    <s v="Oui"/>
    <n v="28"/>
    <n v="107"/>
    <n v="55"/>
    <n v="52"/>
    <s v="Entre 3 mois et 1 an"/>
    <n v="0"/>
    <n v="28"/>
    <n v="0"/>
    <n v="0"/>
    <n v="0"/>
    <m/>
    <n v="0"/>
    <n v="0"/>
    <m/>
    <n v="0"/>
    <m/>
    <m/>
    <m/>
    <m/>
    <m/>
    <n v="0"/>
    <m/>
    <m/>
    <m/>
    <m/>
    <m/>
    <m/>
    <m/>
    <m/>
    <m/>
    <m/>
    <m/>
    <m/>
    <m/>
    <s v="0"/>
    <s v="0"/>
    <s v="1"/>
    <n v="1"/>
  </r>
  <r>
    <n v="2680244"/>
    <s v="Extrême-Nord"/>
    <s v="CMR004"/>
    <x v="1"/>
    <s v="CMR004002"/>
    <s v="Logone-Birni"/>
    <s v="CMR004002004"/>
    <s v="LBI-0024"/>
    <s v="GALESS"/>
    <m/>
    <x v="1"/>
    <n v="12.0246534"/>
    <n v="14.8700306"/>
    <x v="0"/>
    <b v="1"/>
    <b v="0"/>
    <b v="0"/>
    <m/>
    <n v="4"/>
    <s v="Accessible"/>
    <m/>
    <s v="Le village accueille une population"/>
    <s v="Le village est intact (construit)"/>
    <m/>
    <m/>
    <s v="Oui"/>
    <s v="Familles d'accueil"/>
    <s v="Non, pas du tout"/>
    <s v="Non"/>
    <m/>
    <n v="87"/>
    <n v="744"/>
    <s v="Oui"/>
    <s v="Premier déplacement"/>
    <n v="87"/>
    <n v="429"/>
    <n v="190"/>
    <n v="239"/>
    <n v="0"/>
    <n v="67"/>
    <n v="0"/>
    <n v="0"/>
    <m/>
    <m/>
    <n v="0"/>
    <n v="20"/>
    <s v="Paille/Natte/Nylon"/>
    <m/>
    <n v="0"/>
    <s v="Augmentation de 35 ménages pour  203 individus en provenance de GOURLE suite à l'inondation du village. Les habitations ont été détruites et des biens perdus. Mais les populations vont y retourner  dans les jours à venir dès l'assèchement du village."/>
    <s v="Oui"/>
    <n v="2"/>
    <n v="12"/>
    <n v="4"/>
    <n v="8"/>
    <n v="2"/>
    <n v="0"/>
    <n v="0"/>
    <m/>
    <n v="0"/>
    <n v="0"/>
    <m/>
    <m/>
    <n v="0"/>
    <n v="0"/>
    <s v="Présence de deux ménages pour 12 individus dans le village en provenance de GOURLE.  Il sont à leur deuxième déplacement et risquent de retourner à GOURLE dans les jours à venir."/>
    <s v="Non"/>
    <m/>
    <m/>
    <m/>
    <m/>
    <m/>
    <m/>
    <m/>
    <m/>
    <m/>
    <m/>
    <m/>
    <m/>
    <m/>
    <m/>
    <m/>
    <m/>
    <m/>
    <m/>
    <m/>
    <m/>
    <n v="0"/>
    <m/>
    <m/>
    <m/>
    <m/>
    <m/>
    <m/>
    <m/>
    <m/>
    <m/>
    <m/>
    <m/>
    <m/>
    <m/>
    <s v="1"/>
    <s v="1"/>
    <s v="0"/>
    <n v="2"/>
  </r>
  <r>
    <n v="2691072"/>
    <s v="Extrême-Nord"/>
    <s v="CMR004"/>
    <x v="1"/>
    <s v="CMR004002"/>
    <s v="Logone-Birni"/>
    <s v="CMR004002004"/>
    <s v="LBI-0055"/>
    <s v="GAMBAROU BORNO"/>
    <m/>
    <x v="1"/>
    <n v="11.831254400000001"/>
    <n v="15.0619546"/>
    <x v="0"/>
    <b v="1"/>
    <b v="0"/>
    <b v="0"/>
    <m/>
    <n v="4"/>
    <s v="Accessible"/>
    <m/>
    <s v="Le village accueille une population"/>
    <s v="Le village est intact (construit)"/>
    <m/>
    <m/>
    <s v="Oui"/>
    <s v="Familles d'accueil"/>
    <s v="Non, pas du tout"/>
    <s v="Non"/>
    <m/>
    <m/>
    <n v="500"/>
    <s v="Non"/>
    <m/>
    <m/>
    <m/>
    <m/>
    <m/>
    <m/>
    <m/>
    <m/>
    <m/>
    <m/>
    <m/>
    <m/>
    <m/>
    <m/>
    <m/>
    <m/>
    <m/>
    <s v="Non"/>
    <m/>
    <m/>
    <m/>
    <m/>
    <m/>
    <m/>
    <m/>
    <m/>
    <m/>
    <m/>
    <m/>
    <m/>
    <m/>
    <m/>
    <m/>
    <s v="Oui"/>
    <n v="64"/>
    <n v="500"/>
    <n v="200"/>
    <n v="300"/>
    <s v="Entre 3 mois et 1 an"/>
    <n v="60"/>
    <n v="4"/>
    <n v="0"/>
    <n v="0"/>
    <n v="0"/>
    <m/>
    <n v="0"/>
    <n v="0"/>
    <m/>
    <n v="0"/>
    <m/>
    <m/>
    <m/>
    <m/>
    <m/>
    <n v="0"/>
    <m/>
    <m/>
    <m/>
    <m/>
    <m/>
    <m/>
    <m/>
    <m/>
    <m/>
    <m/>
    <m/>
    <m/>
    <m/>
    <s v="0"/>
    <s v="0"/>
    <s v="1"/>
    <n v="1"/>
  </r>
  <r>
    <n v="2713441"/>
    <s v="Extrême-Nord"/>
    <s v="CMR004"/>
    <x v="1"/>
    <s v="CMR004002"/>
    <s v="Logone-Birni"/>
    <s v="CMR004002004"/>
    <s v="LBI-0116"/>
    <s v="GAMBAROU MOUSGOUM"/>
    <m/>
    <x v="1"/>
    <n v="11.823957699999999"/>
    <n v="15.0662482"/>
    <x v="0"/>
    <b v="0"/>
    <b v="1"/>
    <b v="1"/>
    <n v="6"/>
    <m/>
    <s v="Accessible"/>
    <m/>
    <s v="Le village accueille une population"/>
    <s v="Le village est intact (construit)"/>
    <m/>
    <m/>
    <s v="Oui"/>
    <s v="Familles d'accueil"/>
    <s v="Non, pas du tout"/>
    <s v="Non"/>
    <m/>
    <m/>
    <n v="406"/>
    <s v="Non"/>
    <m/>
    <m/>
    <m/>
    <m/>
    <m/>
    <m/>
    <m/>
    <m/>
    <m/>
    <m/>
    <m/>
    <m/>
    <m/>
    <m/>
    <m/>
    <m/>
    <m/>
    <s v="Non"/>
    <m/>
    <m/>
    <m/>
    <m/>
    <m/>
    <m/>
    <m/>
    <m/>
    <m/>
    <m/>
    <m/>
    <m/>
    <m/>
    <m/>
    <m/>
    <s v="Oui"/>
    <n v="71"/>
    <n v="406"/>
    <n v="206"/>
    <n v="200"/>
    <s v="Entre 3 mois et 1 an"/>
    <n v="0"/>
    <n v="71"/>
    <n v="0"/>
    <n v="0"/>
    <n v="0"/>
    <m/>
    <n v="0"/>
    <n v="0"/>
    <m/>
    <n v="0"/>
    <m/>
    <m/>
    <m/>
    <m/>
    <m/>
    <n v="0"/>
    <m/>
    <m/>
    <m/>
    <m/>
    <m/>
    <m/>
    <m/>
    <m/>
    <m/>
    <m/>
    <m/>
    <m/>
    <m/>
    <s v="0"/>
    <s v="0"/>
    <s v="1"/>
    <n v="1"/>
  </r>
  <r>
    <n v="2593182"/>
    <s v="Extrême-Nord"/>
    <s v="CMR004"/>
    <x v="1"/>
    <s v="CMR004002"/>
    <s v="Logone-Birni"/>
    <s v="CMR004002004"/>
    <s v="LBI-0056"/>
    <s v="GAWI"/>
    <m/>
    <x v="1"/>
    <n v="11.778871199999999"/>
    <n v="15.1001508"/>
    <x v="0"/>
    <b v="1"/>
    <b v="0"/>
    <b v="1"/>
    <m/>
    <n v="4"/>
    <s v="Accessible"/>
    <m/>
    <s v="Le village accueille une population"/>
    <s v="Le village est intact (construit)"/>
    <m/>
    <m/>
    <s v="Oui"/>
    <s v="Familles d'accueil"/>
    <s v="Non, pas du tout"/>
    <s v="Non"/>
    <m/>
    <n v="5"/>
    <n v="365"/>
    <s v="Oui"/>
    <s v="Premier déplacement"/>
    <n v="5"/>
    <n v="21"/>
    <n v="6"/>
    <n v="15"/>
    <n v="0"/>
    <n v="5"/>
    <n v="0"/>
    <n v="0"/>
    <m/>
    <m/>
    <n v="0"/>
    <n v="0"/>
    <m/>
    <m/>
    <n v="0"/>
    <s v="Une augmentation d'un individu suite à la naissance"/>
    <s v="Non"/>
    <m/>
    <m/>
    <m/>
    <m/>
    <m/>
    <m/>
    <m/>
    <m/>
    <m/>
    <m/>
    <m/>
    <m/>
    <m/>
    <m/>
    <m/>
    <s v="Oui"/>
    <n v="15"/>
    <n v="65"/>
    <n v="37"/>
    <n v="28"/>
    <s v="Entre 3 mois et 1 an"/>
    <n v="0"/>
    <n v="15"/>
    <n v="0"/>
    <n v="0"/>
    <n v="0"/>
    <m/>
    <n v="0"/>
    <n v="0"/>
    <m/>
    <n v="0"/>
    <m/>
    <m/>
    <m/>
    <m/>
    <m/>
    <n v="0"/>
    <m/>
    <m/>
    <m/>
    <m/>
    <m/>
    <m/>
    <m/>
    <m/>
    <m/>
    <m/>
    <m/>
    <m/>
    <m/>
    <s v="1"/>
    <s v="0"/>
    <s v="1"/>
    <n v="2"/>
  </r>
  <r>
    <n v="2659539"/>
    <s v="Extrême-Nord"/>
    <s v="CMR004"/>
    <x v="1"/>
    <s v="CMR004002"/>
    <s v="Logone-Birni"/>
    <s v="CMR004002004"/>
    <s v="LBI-0117"/>
    <s v="GO"/>
    <m/>
    <x v="1"/>
    <n v="11.468955299999999"/>
    <n v="14.964462599999999"/>
    <x v="0"/>
    <b v="1"/>
    <b v="0"/>
    <b v="1"/>
    <m/>
    <n v="4"/>
    <s v="Accessible"/>
    <m/>
    <s v="Le village accueille une population"/>
    <s v="Le village est totalement détruit"/>
    <s v="Conflit intercommunautaire"/>
    <m/>
    <s v="Oui"/>
    <s v="Familles d'accueil"/>
    <s v="Non, pas du tout"/>
    <s v="Non"/>
    <m/>
    <m/>
    <n v="216"/>
    <s v="Non"/>
    <m/>
    <m/>
    <m/>
    <m/>
    <m/>
    <m/>
    <m/>
    <m/>
    <m/>
    <m/>
    <m/>
    <m/>
    <m/>
    <m/>
    <m/>
    <m/>
    <m/>
    <s v="Non"/>
    <m/>
    <m/>
    <m/>
    <m/>
    <m/>
    <m/>
    <m/>
    <m/>
    <m/>
    <m/>
    <m/>
    <m/>
    <m/>
    <m/>
    <m/>
    <s v="Oui"/>
    <n v="28"/>
    <n v="208"/>
    <n v="101"/>
    <n v="107"/>
    <s v="Entre 3 mois et 1 an"/>
    <n v="0"/>
    <n v="28"/>
    <n v="0"/>
    <n v="0"/>
    <n v="0"/>
    <m/>
    <n v="0"/>
    <n v="0"/>
    <m/>
    <n v="0"/>
    <m/>
    <m/>
    <m/>
    <m/>
    <m/>
    <n v="0"/>
    <m/>
    <m/>
    <m/>
    <m/>
    <m/>
    <m/>
    <m/>
    <m/>
    <m/>
    <m/>
    <m/>
    <m/>
    <m/>
    <s v="0"/>
    <s v="0"/>
    <s v="1"/>
    <n v="1"/>
  </r>
  <r>
    <n v="2692390"/>
    <s v="Extrême-Nord"/>
    <s v="CMR004"/>
    <x v="1"/>
    <s v="CMR004002"/>
    <s v="Logone-Birni"/>
    <s v="CMR004002004"/>
    <s v="LBI-0057"/>
    <s v="GOUDOUGOUNI"/>
    <m/>
    <x v="1"/>
    <n v="11.8436457"/>
    <n v="14.9632337"/>
    <x v="0"/>
    <b v="1"/>
    <b v="0"/>
    <b v="0"/>
    <m/>
    <n v="3"/>
    <s v="Accessible"/>
    <m/>
    <s v="Le village accueille une population"/>
    <s v="Le village est partiellement détruit"/>
    <s v="Conflit intercommunautaire"/>
    <m/>
    <s v="Oui"/>
    <s v="Familles d'accueil"/>
    <s v="Non, pas du tout"/>
    <s v="Non"/>
    <m/>
    <m/>
    <n v="189"/>
    <s v="Non"/>
    <m/>
    <m/>
    <m/>
    <m/>
    <m/>
    <m/>
    <m/>
    <m/>
    <m/>
    <m/>
    <m/>
    <m/>
    <m/>
    <m/>
    <m/>
    <m/>
    <m/>
    <s v="Non"/>
    <m/>
    <m/>
    <m/>
    <m/>
    <m/>
    <m/>
    <m/>
    <m/>
    <m/>
    <m/>
    <m/>
    <m/>
    <m/>
    <m/>
    <m/>
    <s v="Oui"/>
    <n v="37"/>
    <n v="189"/>
    <n v="88"/>
    <n v="101"/>
    <s v="Entre 3 mois et 1 an"/>
    <n v="0"/>
    <n v="37"/>
    <n v="0"/>
    <n v="0"/>
    <n v="0"/>
    <m/>
    <n v="0"/>
    <n v="0"/>
    <m/>
    <n v="0"/>
    <m/>
    <m/>
    <m/>
    <m/>
    <m/>
    <n v="0"/>
    <m/>
    <m/>
    <m/>
    <m/>
    <m/>
    <m/>
    <m/>
    <m/>
    <m/>
    <m/>
    <m/>
    <m/>
    <m/>
    <s v="0"/>
    <s v="0"/>
    <s v="1"/>
    <n v="1"/>
  </r>
  <r>
    <n v="2680245"/>
    <s v="Extrême-Nord"/>
    <s v="CMR004"/>
    <x v="1"/>
    <s v="CMR004002"/>
    <s v="Logone-Birni"/>
    <s v="CMR004002004"/>
    <s v="LBI-0010"/>
    <s v="GOURLE"/>
    <m/>
    <x v="1"/>
    <s v="N/A"/>
    <s v="N/A"/>
    <x v="0"/>
    <b v="1"/>
    <b v="0"/>
    <b v="0"/>
    <m/>
    <n v="3"/>
    <s v="Inaccessible - pas d'accès physique"/>
    <s v="Aléas climatiques (inondations)"/>
    <s v="Le village est entièrement déserté"/>
    <m/>
    <m/>
    <m/>
    <m/>
    <m/>
    <m/>
    <m/>
    <m/>
    <m/>
    <m/>
    <m/>
    <m/>
    <m/>
    <m/>
    <m/>
    <m/>
    <m/>
    <m/>
    <m/>
    <m/>
    <m/>
    <m/>
    <m/>
    <m/>
    <m/>
    <m/>
    <m/>
    <m/>
    <m/>
    <m/>
    <m/>
    <m/>
    <m/>
    <m/>
    <m/>
    <m/>
    <m/>
    <m/>
    <m/>
    <m/>
    <m/>
    <m/>
    <m/>
    <m/>
    <m/>
    <m/>
    <m/>
    <m/>
    <m/>
    <m/>
    <m/>
    <m/>
    <m/>
    <m/>
    <m/>
    <m/>
    <m/>
    <m/>
    <m/>
    <m/>
    <m/>
    <m/>
    <m/>
    <m/>
    <m/>
    <m/>
    <m/>
    <m/>
    <m/>
    <m/>
    <m/>
    <m/>
    <m/>
    <m/>
    <m/>
    <m/>
    <m/>
    <m/>
    <m/>
    <s v="0"/>
    <s v="0"/>
    <s v="0"/>
    <n v="0"/>
  </r>
  <r>
    <n v="2659518"/>
    <s v="Extrême-Nord"/>
    <s v="CMR004"/>
    <x v="1"/>
    <s v="CMR004002"/>
    <s v="Logone-Birni"/>
    <s v="CMR004002004"/>
    <s v="LBI-0025"/>
    <s v="GUESH"/>
    <m/>
    <x v="1"/>
    <n v="11.489525"/>
    <n v="14.9556033"/>
    <x v="0"/>
    <b v="1"/>
    <b v="0"/>
    <b v="1"/>
    <m/>
    <n v="4"/>
    <s v="Accessible"/>
    <m/>
    <s v="Le village accueille une population"/>
    <s v="Le village est totalement détruit"/>
    <s v="Conflit intercommunautaire"/>
    <m/>
    <s v="Oui"/>
    <s v="Familles d'accueil"/>
    <s v="Non, pas du tout"/>
    <s v="Non"/>
    <m/>
    <n v="17"/>
    <n v="620"/>
    <s v="Oui"/>
    <s v="Premier déplacement"/>
    <n v="17"/>
    <n v="107"/>
    <n v="55"/>
    <n v="52"/>
    <n v="0"/>
    <n v="17"/>
    <n v="0"/>
    <n v="0"/>
    <m/>
    <m/>
    <n v="0"/>
    <n v="0"/>
    <m/>
    <m/>
    <n v="0"/>
    <s v="Concernant les idps il y a aucun changement mais le problème c'est l'accès à l'eau"/>
    <s v="Non"/>
    <m/>
    <m/>
    <m/>
    <m/>
    <m/>
    <m/>
    <m/>
    <m/>
    <m/>
    <m/>
    <m/>
    <m/>
    <m/>
    <m/>
    <m/>
    <s v="Oui"/>
    <n v="11"/>
    <n v="88"/>
    <n v="42"/>
    <n v="46"/>
    <s v="Entre 3 mois et 1 an"/>
    <n v="0"/>
    <n v="11"/>
    <n v="0"/>
    <n v="0"/>
    <n v="0"/>
    <m/>
    <n v="0"/>
    <n v="0"/>
    <m/>
    <n v="0"/>
    <m/>
    <m/>
    <m/>
    <m/>
    <m/>
    <n v="0"/>
    <m/>
    <m/>
    <m/>
    <m/>
    <m/>
    <m/>
    <m/>
    <m/>
    <m/>
    <m/>
    <m/>
    <m/>
    <m/>
    <s v="1"/>
    <s v="0"/>
    <s v="1"/>
    <n v="2"/>
  </r>
  <r>
    <n v="2621517"/>
    <s v="Extrême-Nord"/>
    <s v="CMR004"/>
    <x v="1"/>
    <s v="CMR004002"/>
    <s v="Logone-Birni"/>
    <s v="CMR004002004"/>
    <s v="LBI-0089"/>
    <s v="HERWA BAGTABA"/>
    <m/>
    <x v="1"/>
    <n v="11.9208926"/>
    <n v="15.026644599999999"/>
    <x v="0"/>
    <b v="1"/>
    <b v="0"/>
    <b v="1"/>
    <m/>
    <n v="3"/>
    <s v="Accessible"/>
    <m/>
    <s v="Le village accueille une population"/>
    <s v="Le village est partiellement détruit"/>
    <s v="Intempéries (inondations, tempêtes etc.)"/>
    <m/>
    <s v="Oui"/>
    <s v="Familles d'accueil"/>
    <s v="Non, pas du tout"/>
    <s v="Non"/>
    <m/>
    <n v="25"/>
    <n v="800"/>
    <s v="Oui"/>
    <s v="Premier déplacement"/>
    <n v="25"/>
    <n v="250"/>
    <n v="150"/>
    <n v="100"/>
    <n v="0"/>
    <n v="25"/>
    <n v="0"/>
    <n v="0"/>
    <m/>
    <m/>
    <n v="0"/>
    <n v="0"/>
    <m/>
    <m/>
    <n v="0"/>
    <s v="Ras"/>
    <s v="Non"/>
    <m/>
    <m/>
    <m/>
    <m/>
    <m/>
    <m/>
    <m/>
    <m/>
    <m/>
    <m/>
    <m/>
    <m/>
    <m/>
    <m/>
    <m/>
    <s v="Oui"/>
    <n v="5"/>
    <n v="30"/>
    <n v="15"/>
    <n v="15"/>
    <s v="Moins de 3 mois"/>
    <n v="0"/>
    <n v="0"/>
    <n v="0"/>
    <n v="0"/>
    <n v="0"/>
    <m/>
    <n v="0"/>
    <n v="0"/>
    <m/>
    <n v="5"/>
    <m/>
    <m/>
    <m/>
    <m/>
    <m/>
    <n v="0"/>
    <m/>
    <m/>
    <m/>
    <m/>
    <m/>
    <m/>
    <m/>
    <m/>
    <m/>
    <m/>
    <m/>
    <m/>
    <m/>
    <s v="1"/>
    <s v="0"/>
    <s v="1"/>
    <n v="2"/>
  </r>
  <r>
    <n v="2690384"/>
    <s v="Extrême-Nord"/>
    <s v="CMR004"/>
    <x v="1"/>
    <s v="CMR004002"/>
    <s v="Logone-Birni"/>
    <s v="CMR004002004"/>
    <s v="LBI-0058"/>
    <s v="HILE WAYA 1"/>
    <m/>
    <x v="1"/>
    <n v="12.080660200000001"/>
    <n v="14.917831400000001"/>
    <x v="0"/>
    <b v="1"/>
    <b v="0"/>
    <b v="0"/>
    <m/>
    <n v="3"/>
    <s v="Accessible"/>
    <m/>
    <s v="Le village accueille une population"/>
    <s v="Le village est intact (construit)"/>
    <m/>
    <m/>
    <s v="Oui"/>
    <s v="Familles d'accueil"/>
    <s v="Non, pas du tout"/>
    <s v="Non"/>
    <m/>
    <n v="10"/>
    <n v="1010"/>
    <s v="Oui"/>
    <s v="Premier déplacement"/>
    <n v="10"/>
    <n v="50"/>
    <n v="32"/>
    <n v="18"/>
    <n v="0"/>
    <n v="0"/>
    <n v="0"/>
    <n v="0"/>
    <m/>
    <m/>
    <n v="0"/>
    <n v="10"/>
    <s v="Terre cuite/Terre battue"/>
    <m/>
    <n v="0"/>
    <s v="Pas de changement. "/>
    <s v="Non"/>
    <m/>
    <m/>
    <m/>
    <m/>
    <m/>
    <m/>
    <m/>
    <m/>
    <m/>
    <m/>
    <m/>
    <m/>
    <m/>
    <m/>
    <m/>
    <s v="Non"/>
    <m/>
    <m/>
    <m/>
    <m/>
    <m/>
    <m/>
    <m/>
    <m/>
    <m/>
    <m/>
    <m/>
    <m/>
    <m/>
    <m/>
    <m/>
    <m/>
    <m/>
    <m/>
    <m/>
    <m/>
    <n v="0"/>
    <m/>
    <m/>
    <m/>
    <m/>
    <m/>
    <m/>
    <m/>
    <m/>
    <m/>
    <m/>
    <m/>
    <m/>
    <m/>
    <s v="1"/>
    <s v="0"/>
    <s v="0"/>
    <n v="1"/>
  </r>
  <r>
    <n v="2690385"/>
    <s v="Extrême-Nord"/>
    <s v="CMR004"/>
    <x v="1"/>
    <s v="CMR004002"/>
    <s v="Logone-Birni"/>
    <s v="CMR004002004"/>
    <s v="LBI-0059"/>
    <s v="HILE WAYA 2"/>
    <m/>
    <x v="1"/>
    <n v="12.070376599999999"/>
    <n v="14.924559800000001"/>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9521"/>
    <s v="Extrême-Nord"/>
    <s v="CMR004"/>
    <x v="1"/>
    <s v="CMR004002"/>
    <s v="Logone-Birni"/>
    <s v="CMR004002004"/>
    <s v="LBI-0026"/>
    <s v="HINALE"/>
    <m/>
    <x v="1"/>
    <n v="11.5869824"/>
    <n v="14.9923079"/>
    <x v="0"/>
    <b v="1"/>
    <b v="0"/>
    <b v="1"/>
    <m/>
    <n v="4"/>
    <s v="Accessible"/>
    <m/>
    <s v="Le village accueille une population"/>
    <s v="Le village est intact (construit)"/>
    <m/>
    <m/>
    <s v="Oui"/>
    <s v="Familles d'accueil"/>
    <s v="Non, pas du tout"/>
    <s v="Non"/>
    <m/>
    <n v="33"/>
    <n v="892"/>
    <s v="Oui"/>
    <s v="Premier déplacement"/>
    <n v="33"/>
    <n v="209"/>
    <n v="113"/>
    <n v="96"/>
    <n v="0"/>
    <n v="33"/>
    <n v="0"/>
    <n v="0"/>
    <m/>
    <m/>
    <n v="0"/>
    <n v="0"/>
    <m/>
    <m/>
    <n v="0"/>
    <s v="Le nombre de idps reste le même"/>
    <s v="Non"/>
    <m/>
    <m/>
    <m/>
    <m/>
    <m/>
    <m/>
    <m/>
    <m/>
    <m/>
    <m/>
    <m/>
    <m/>
    <m/>
    <m/>
    <m/>
    <s v="Non"/>
    <m/>
    <m/>
    <m/>
    <m/>
    <m/>
    <m/>
    <m/>
    <m/>
    <m/>
    <m/>
    <m/>
    <m/>
    <m/>
    <m/>
    <m/>
    <m/>
    <m/>
    <m/>
    <m/>
    <m/>
    <n v="0"/>
    <m/>
    <m/>
    <m/>
    <m/>
    <m/>
    <m/>
    <m/>
    <m/>
    <m/>
    <m/>
    <m/>
    <m/>
    <m/>
    <s v="1"/>
    <s v="0"/>
    <s v="0"/>
    <n v="1"/>
  </r>
  <r>
    <n v="2680249"/>
    <s v="Extrême-Nord"/>
    <s v="CMR004"/>
    <x v="1"/>
    <s v="CMR004002"/>
    <s v="Logone-Birni"/>
    <s v="CMR004002004"/>
    <s v="LBI-0060"/>
    <s v="HOULOUF"/>
    <m/>
    <x v="1"/>
    <n v="12.037183799999999"/>
    <n v="14.9176587"/>
    <x v="0"/>
    <b v="1"/>
    <b v="0"/>
    <b v="0"/>
    <m/>
    <n v="3"/>
    <s v="Accessible"/>
    <m/>
    <s v="Le village accueille une population"/>
    <s v="Le village est intact (construit)"/>
    <m/>
    <m/>
    <s v="Oui"/>
    <s v="Familles d'accueil"/>
    <s v="Non, pas du tout"/>
    <s v="Non"/>
    <m/>
    <n v="30"/>
    <n v="3010"/>
    <s v="Oui"/>
    <s v="Premier déplacement"/>
    <n v="30"/>
    <n v="150"/>
    <n v="80"/>
    <n v="70"/>
    <n v="0"/>
    <n v="30"/>
    <n v="0"/>
    <n v="0"/>
    <m/>
    <m/>
    <n v="0"/>
    <n v="0"/>
    <m/>
    <m/>
    <n v="0"/>
    <s v="Il n'y a pas de changement."/>
    <s v="Non"/>
    <m/>
    <m/>
    <m/>
    <m/>
    <m/>
    <m/>
    <m/>
    <m/>
    <m/>
    <m/>
    <m/>
    <m/>
    <m/>
    <m/>
    <m/>
    <s v="Non"/>
    <m/>
    <m/>
    <m/>
    <m/>
    <m/>
    <m/>
    <m/>
    <m/>
    <m/>
    <m/>
    <m/>
    <m/>
    <m/>
    <m/>
    <m/>
    <m/>
    <m/>
    <m/>
    <m/>
    <m/>
    <n v="0"/>
    <m/>
    <m/>
    <m/>
    <m/>
    <m/>
    <m/>
    <m/>
    <m/>
    <m/>
    <m/>
    <m/>
    <m/>
    <m/>
    <s v="1"/>
    <s v="0"/>
    <s v="0"/>
    <n v="1"/>
  </r>
  <r>
    <n v="2659524"/>
    <s v="Extrême-Nord"/>
    <s v="CMR004"/>
    <x v="1"/>
    <s v="CMR004002"/>
    <s v="Logone-Birni"/>
    <s v="CMR004002004"/>
    <s v="LBI-0027"/>
    <s v="HOUNANGARE"/>
    <m/>
    <x v="1"/>
    <n v="11.4727786"/>
    <n v="14.973857199999999"/>
    <x v="0"/>
    <b v="1"/>
    <b v="0"/>
    <b v="0"/>
    <m/>
    <n v="4"/>
    <s v="Accessible"/>
    <m/>
    <s v="Le village accueille une population"/>
    <s v="Le village est intact (construit)"/>
    <m/>
    <m/>
    <s v="Oui"/>
    <s v="Familles d'accueil"/>
    <s v="Non, pas du tout"/>
    <s v="Non"/>
    <m/>
    <n v="34"/>
    <n v="853"/>
    <s v="Oui"/>
    <s v="Premier déplacement"/>
    <n v="34"/>
    <n v="139"/>
    <n v="74"/>
    <n v="65"/>
    <n v="0"/>
    <n v="34"/>
    <n v="0"/>
    <n v="0"/>
    <m/>
    <m/>
    <n v="0"/>
    <n v="0"/>
    <m/>
    <m/>
    <n v="0"/>
    <s v="Pas de changement"/>
    <s v="Non"/>
    <m/>
    <m/>
    <m/>
    <m/>
    <m/>
    <m/>
    <m/>
    <m/>
    <m/>
    <m/>
    <m/>
    <m/>
    <m/>
    <m/>
    <m/>
    <s v="Non"/>
    <m/>
    <m/>
    <m/>
    <m/>
    <m/>
    <m/>
    <m/>
    <m/>
    <m/>
    <m/>
    <m/>
    <m/>
    <m/>
    <m/>
    <m/>
    <m/>
    <m/>
    <m/>
    <m/>
    <m/>
    <n v="0"/>
    <m/>
    <m/>
    <m/>
    <m/>
    <m/>
    <m/>
    <m/>
    <m/>
    <m/>
    <m/>
    <m/>
    <m/>
    <m/>
    <s v="1"/>
    <s v="0"/>
    <s v="0"/>
    <n v="1"/>
  </r>
  <r>
    <n v="2706285"/>
    <s v="Extrême-Nord"/>
    <s v="CMR004"/>
    <x v="1"/>
    <s v="CMR004002"/>
    <s v="Logone-Birni"/>
    <s v="CMR004002004"/>
    <s v="LBI-0028"/>
    <s v="HOUNDOUK"/>
    <m/>
    <x v="1"/>
    <n v="11.9577329"/>
    <n v="14.9133391"/>
    <x v="0"/>
    <b v="1"/>
    <b v="0"/>
    <b v="0"/>
    <m/>
    <n v="3"/>
    <s v="Accessible"/>
    <m/>
    <s v="Le village accueille une population"/>
    <s v="Le village est intact (construit)"/>
    <m/>
    <m/>
    <s v="Oui"/>
    <s v="Familles d'accueil"/>
    <s v="Non, pas du tout"/>
    <s v="Non"/>
    <m/>
    <n v="85"/>
    <n v="1060"/>
    <s v="Oui"/>
    <s v="Premier déplacement"/>
    <n v="85"/>
    <n v="354"/>
    <n v="150"/>
    <n v="204"/>
    <n v="0"/>
    <n v="85"/>
    <n v="0"/>
    <n v="0"/>
    <m/>
    <m/>
    <n v="0"/>
    <n v="0"/>
    <m/>
    <m/>
    <n v="0"/>
    <s v="Ils sont bien accueilli "/>
    <s v="Non"/>
    <m/>
    <m/>
    <m/>
    <m/>
    <m/>
    <m/>
    <m/>
    <m/>
    <m/>
    <m/>
    <m/>
    <m/>
    <m/>
    <m/>
    <m/>
    <s v="Oui"/>
    <n v="75"/>
    <n v="395"/>
    <n v="170"/>
    <n v="225"/>
    <s v="Moins de 3 mois"/>
    <n v="3"/>
    <n v="72"/>
    <n v="0"/>
    <n v="0"/>
    <n v="0"/>
    <m/>
    <n v="0"/>
    <n v="0"/>
    <m/>
    <n v="0"/>
    <m/>
    <m/>
    <m/>
    <m/>
    <m/>
    <n v="0"/>
    <m/>
    <m/>
    <m/>
    <m/>
    <m/>
    <m/>
    <m/>
    <m/>
    <m/>
    <m/>
    <m/>
    <m/>
    <m/>
    <s v="1"/>
    <s v="0"/>
    <s v="1"/>
    <n v="2"/>
  </r>
  <r>
    <n v="2621516"/>
    <s v="Extrême-Nord"/>
    <s v="CMR004"/>
    <x v="1"/>
    <s v="CMR004002"/>
    <s v="Logone-Birni"/>
    <s v="CMR004002004"/>
    <s v="LBI-0081"/>
    <s v="KABELA GOUDOUM"/>
    <m/>
    <x v="1"/>
    <n v="11.956362800000001"/>
    <n v="15.0425413"/>
    <x v="0"/>
    <b v="1"/>
    <b v="0"/>
    <b v="1"/>
    <m/>
    <n v="3"/>
    <s v="Accessible"/>
    <m/>
    <s v="Le village accueille une population"/>
    <s v="Le village est partiellement détruit"/>
    <s v="Intempéries (inondations, tempêtes etc.)"/>
    <m/>
    <s v="Oui"/>
    <s v="Sites de déplacement spontanés"/>
    <s v="Non, pas du tout"/>
    <s v="Oui"/>
    <n v="1"/>
    <m/>
    <n v="1300"/>
    <s v="Non"/>
    <m/>
    <m/>
    <m/>
    <m/>
    <m/>
    <m/>
    <m/>
    <m/>
    <m/>
    <m/>
    <m/>
    <m/>
    <m/>
    <m/>
    <m/>
    <m/>
    <m/>
    <s v="Oui"/>
    <n v="200"/>
    <n v="1050"/>
    <n v="700"/>
    <n v="350"/>
    <n v="0"/>
    <n v="0"/>
    <n v="0"/>
    <m/>
    <n v="0"/>
    <n v="200"/>
    <s v="Paille/Natte/Nylon"/>
    <m/>
    <n v="0"/>
    <n v="150"/>
    <s v="La population du village à augmenté avec l'arrivée des réfugiés et ces derniers vivent dans des conditions défavorables"/>
    <s v="Non"/>
    <m/>
    <m/>
    <m/>
    <m/>
    <m/>
    <m/>
    <m/>
    <m/>
    <m/>
    <m/>
    <m/>
    <m/>
    <m/>
    <m/>
    <m/>
    <m/>
    <m/>
    <m/>
    <m/>
    <m/>
    <n v="0"/>
    <m/>
    <m/>
    <m/>
    <m/>
    <m/>
    <m/>
    <m/>
    <m/>
    <m/>
    <m/>
    <m/>
    <m/>
    <m/>
    <s v="0"/>
    <s v="1"/>
    <s v="0"/>
    <n v="1"/>
  </r>
  <r>
    <n v="2613511"/>
    <s v="Extrême-Nord"/>
    <s v="CMR004"/>
    <x v="1"/>
    <s v="CMR004002"/>
    <s v="Logone-Birni"/>
    <s v="CMR004002004"/>
    <s v="LBI-0001"/>
    <s v="KABO"/>
    <m/>
    <x v="1"/>
    <n v="12.0992392"/>
    <n v="14.692685300000001"/>
    <x v="0"/>
    <b v="1"/>
    <b v="0"/>
    <b v="0"/>
    <m/>
    <n v="3"/>
    <s v="Accessible"/>
    <m/>
    <s v="Le village accueille une population"/>
    <s v="Le village est intact (construit)"/>
    <m/>
    <m/>
    <s v="Oui"/>
    <s v="Familles d'accueil"/>
    <s v="Non, pas du tout"/>
    <s v="Non"/>
    <m/>
    <n v="116"/>
    <n v="3442"/>
    <s v="Oui"/>
    <s v="Premier déplacement"/>
    <n v="116"/>
    <n v="778"/>
    <n v="387"/>
    <n v="391"/>
    <n v="0"/>
    <n v="116"/>
    <n v="0"/>
    <n v="0"/>
    <m/>
    <m/>
    <n v="0"/>
    <n v="0"/>
    <m/>
    <m/>
    <n v="0"/>
    <s v="Pas de changement"/>
    <s v="Oui"/>
    <n v="57"/>
    <n v="349"/>
    <n v="172"/>
    <n v="177"/>
    <n v="57"/>
    <n v="0"/>
    <n v="0"/>
    <m/>
    <n v="0"/>
    <n v="0"/>
    <m/>
    <m/>
    <n v="0"/>
    <n v="0"/>
    <s v="Pas de changement"/>
    <s v="Non"/>
    <m/>
    <m/>
    <m/>
    <m/>
    <m/>
    <m/>
    <m/>
    <m/>
    <m/>
    <m/>
    <m/>
    <m/>
    <m/>
    <m/>
    <m/>
    <m/>
    <m/>
    <m/>
    <m/>
    <m/>
    <n v="0"/>
    <m/>
    <m/>
    <m/>
    <m/>
    <m/>
    <m/>
    <m/>
    <m/>
    <m/>
    <m/>
    <m/>
    <m/>
    <m/>
    <s v="1"/>
    <s v="1"/>
    <s v="0"/>
    <n v="2"/>
  </r>
  <r>
    <n v="2690388"/>
    <s v="Extrême-Nord"/>
    <s v="CMR004"/>
    <x v="1"/>
    <s v="CMR004002"/>
    <s v="Logone-Birni"/>
    <s v="CMR004002004"/>
    <s v="LBI-0003"/>
    <s v="KALAKAFRA"/>
    <m/>
    <x v="1"/>
    <n v="12.0930173"/>
    <n v="14.8400529"/>
    <x v="0"/>
    <b v="1"/>
    <b v="0"/>
    <b v="0"/>
    <m/>
    <n v="3"/>
    <s v="Accessible"/>
    <m/>
    <s v="Le village accueille une population"/>
    <s v="Le village est intact (construit)"/>
    <m/>
    <m/>
    <s v="Oui"/>
    <s v="Familles d'accueil"/>
    <s v="Non, pas du tout"/>
    <s v="Non"/>
    <m/>
    <n v="210"/>
    <n v="2505"/>
    <s v="Oui"/>
    <s v="Premier déplacement"/>
    <n v="210"/>
    <n v="1087"/>
    <n v="509"/>
    <n v="578"/>
    <n v="0"/>
    <n v="0"/>
    <n v="0"/>
    <n v="0"/>
    <m/>
    <m/>
    <n v="0"/>
    <n v="210"/>
    <s v="Terre cuite/Terre battue"/>
    <m/>
    <n v="0"/>
    <s v="Augmentation de 4 ménages et 26 individus vénus de Fadje site "/>
    <s v="Non"/>
    <m/>
    <m/>
    <m/>
    <m/>
    <m/>
    <m/>
    <m/>
    <m/>
    <m/>
    <m/>
    <m/>
    <m/>
    <m/>
    <m/>
    <m/>
    <s v="Non"/>
    <m/>
    <m/>
    <m/>
    <m/>
    <m/>
    <m/>
    <m/>
    <m/>
    <m/>
    <m/>
    <m/>
    <m/>
    <m/>
    <m/>
    <m/>
    <m/>
    <m/>
    <m/>
    <m/>
    <m/>
    <n v="0"/>
    <m/>
    <m/>
    <m/>
    <m/>
    <m/>
    <m/>
    <m/>
    <m/>
    <m/>
    <m/>
    <m/>
    <m/>
    <m/>
    <s v="1"/>
    <s v="0"/>
    <s v="0"/>
    <n v="1"/>
  </r>
  <r>
    <n v="2663641"/>
    <s v="Extrême-Nord"/>
    <s v="CMR004"/>
    <x v="1"/>
    <s v="CMR004002"/>
    <s v="Logone-Birni"/>
    <s v="CMR004002004"/>
    <s v="LBI-0118"/>
    <s v="KALGOULOU 1"/>
    <m/>
    <x v="1"/>
    <n v="11.552657999999999"/>
    <n v="14.9959554"/>
    <x v="0"/>
    <b v="1"/>
    <b v="0"/>
    <b v="1"/>
    <m/>
    <n v="4"/>
    <s v="Accessible"/>
    <m/>
    <s v="Le village accueille une population"/>
    <s v="Le village est totalement détruit"/>
    <s v="Conflit intercommunautaire"/>
    <m/>
    <s v="Oui"/>
    <s v="Familles d'accueil"/>
    <s v="Non, pas du tout"/>
    <s v="Non"/>
    <m/>
    <m/>
    <n v="251"/>
    <s v="Non"/>
    <m/>
    <m/>
    <m/>
    <m/>
    <m/>
    <m/>
    <m/>
    <m/>
    <m/>
    <m/>
    <m/>
    <m/>
    <m/>
    <m/>
    <m/>
    <m/>
    <m/>
    <s v="Non"/>
    <m/>
    <m/>
    <m/>
    <m/>
    <m/>
    <m/>
    <m/>
    <m/>
    <m/>
    <m/>
    <m/>
    <m/>
    <m/>
    <m/>
    <m/>
    <s v="Oui"/>
    <n v="47"/>
    <n v="211"/>
    <n v="103"/>
    <n v="108"/>
    <s v="Entre 3 mois et 1 an"/>
    <n v="0"/>
    <n v="47"/>
    <n v="0"/>
    <n v="0"/>
    <n v="0"/>
    <m/>
    <n v="0"/>
    <n v="0"/>
    <m/>
    <n v="0"/>
    <m/>
    <m/>
    <m/>
    <m/>
    <m/>
    <n v="0"/>
    <m/>
    <m/>
    <m/>
    <m/>
    <m/>
    <m/>
    <m/>
    <m/>
    <m/>
    <m/>
    <m/>
    <m/>
    <m/>
    <s v="0"/>
    <s v="0"/>
    <s v="1"/>
    <n v="1"/>
  </r>
  <r>
    <n v="2663642"/>
    <s v="Extrême-Nord"/>
    <s v="CMR004"/>
    <x v="1"/>
    <s v="CMR004002"/>
    <s v="Logone-Birni"/>
    <s v="CMR004002004"/>
    <s v="LBI-0119"/>
    <s v="KALGOULOU 2"/>
    <m/>
    <x v="1"/>
    <n v="11.5525126"/>
    <n v="14.9946091"/>
    <x v="0"/>
    <b v="1"/>
    <b v="0"/>
    <b v="1"/>
    <m/>
    <n v="3"/>
    <s v="Accessible"/>
    <m/>
    <s v="Le village accueille une population"/>
    <s v="Le village est totalement détruit"/>
    <s v="Conflit intercommunautaire"/>
    <m/>
    <s v="Oui"/>
    <s v="Familles d'accueil"/>
    <s v="Non, pas du tout"/>
    <s v="Non"/>
    <m/>
    <m/>
    <n v="206"/>
    <s v="Non"/>
    <m/>
    <m/>
    <m/>
    <m/>
    <m/>
    <m/>
    <m/>
    <m/>
    <m/>
    <m/>
    <m/>
    <m/>
    <m/>
    <m/>
    <m/>
    <m/>
    <m/>
    <s v="Non"/>
    <m/>
    <m/>
    <m/>
    <m/>
    <m/>
    <m/>
    <m/>
    <m/>
    <m/>
    <m/>
    <m/>
    <m/>
    <m/>
    <m/>
    <m/>
    <s v="Oui"/>
    <n v="46"/>
    <n v="206"/>
    <n v="100"/>
    <n v="106"/>
    <s v="Entre 3 mois et 1 an"/>
    <n v="0"/>
    <n v="46"/>
    <n v="0"/>
    <n v="0"/>
    <n v="0"/>
    <m/>
    <n v="0"/>
    <n v="0"/>
    <m/>
    <n v="0"/>
    <m/>
    <m/>
    <m/>
    <m/>
    <m/>
    <n v="0"/>
    <m/>
    <m/>
    <m/>
    <m/>
    <m/>
    <m/>
    <m/>
    <m/>
    <m/>
    <m/>
    <m/>
    <m/>
    <m/>
    <s v="0"/>
    <s v="0"/>
    <s v="1"/>
    <n v="1"/>
  </r>
  <r>
    <n v="2680242"/>
    <s v="Extrême-Nord"/>
    <s v="CMR004"/>
    <x v="1"/>
    <s v="CMR004002"/>
    <s v="Logone-Birni"/>
    <s v="CMR004002004"/>
    <s v="LBI-0002"/>
    <s v="KALKOUSSAM"/>
    <m/>
    <x v="1"/>
    <n v="11.7727904"/>
    <n v="14.970495700000001"/>
    <x v="0"/>
    <b v="1"/>
    <b v="0"/>
    <b v="0"/>
    <m/>
    <n v="3"/>
    <s v="Accessible"/>
    <m/>
    <s v="Le village accueille une population"/>
    <s v="Le village est intact (construit)"/>
    <m/>
    <m/>
    <s v="Oui"/>
    <s v="Familles d'accueil"/>
    <s v="Non, pas du tout"/>
    <s v="Non"/>
    <m/>
    <n v="18"/>
    <n v="950"/>
    <s v="Oui"/>
    <s v="Premier déplacement"/>
    <n v="18"/>
    <n v="100"/>
    <n v="58"/>
    <n v="42"/>
    <n v="0"/>
    <n v="18"/>
    <n v="0"/>
    <n v="0"/>
    <m/>
    <m/>
    <n v="0"/>
    <n v="0"/>
    <m/>
    <m/>
    <n v="0"/>
    <s v="Il n'y a pas de changement car Il y a ni arrivée ni départ. Néanmoins les déplacés non jamais reçu une aide quelconque."/>
    <s v="Non"/>
    <m/>
    <m/>
    <m/>
    <m/>
    <m/>
    <m/>
    <m/>
    <m/>
    <m/>
    <m/>
    <m/>
    <m/>
    <m/>
    <m/>
    <m/>
    <s v="Non"/>
    <m/>
    <m/>
    <m/>
    <m/>
    <m/>
    <m/>
    <m/>
    <m/>
    <m/>
    <m/>
    <m/>
    <m/>
    <m/>
    <m/>
    <m/>
    <m/>
    <m/>
    <m/>
    <m/>
    <m/>
    <n v="0"/>
    <m/>
    <m/>
    <m/>
    <m/>
    <m/>
    <m/>
    <m/>
    <m/>
    <m/>
    <m/>
    <m/>
    <m/>
    <m/>
    <s v="1"/>
    <s v="0"/>
    <s v="0"/>
    <n v="1"/>
  </r>
  <r>
    <n v="2680248"/>
    <s v="Extrême-Nord"/>
    <s v="CMR004"/>
    <x v="1"/>
    <s v="CMR004002"/>
    <s v="Logone-Birni"/>
    <s v="CMR004002004"/>
    <s v="LBI-0062"/>
    <s v="KARA GANA"/>
    <m/>
    <x v="1"/>
    <n v="12.0806249"/>
    <n v="14.868676900000001"/>
    <x v="0"/>
    <b v="1"/>
    <b v="0"/>
    <b v="0"/>
    <m/>
    <n v="3"/>
    <s v="Accessible"/>
    <m/>
    <s v="Le village accueille une population"/>
    <s v="Le village est intact (construit)"/>
    <m/>
    <m/>
    <s v="Oui"/>
    <s v="Familles d'accueil"/>
    <s v="Non, pas du tout"/>
    <s v="Non"/>
    <m/>
    <n v="10"/>
    <n v="498"/>
    <s v="Oui"/>
    <s v="Premier déplacement"/>
    <n v="10"/>
    <n v="73"/>
    <n v="32"/>
    <n v="41"/>
    <n v="10"/>
    <n v="0"/>
    <n v="0"/>
    <n v="0"/>
    <m/>
    <m/>
    <n v="0"/>
    <n v="0"/>
    <m/>
    <m/>
    <n v="0"/>
    <s v="IL N'Y A PAS DE CHANGEMENT.  LES  PDI Y ONT CONSTRUIT ET N'ENVISAGE PAS QUITTER."/>
    <s v="Non"/>
    <m/>
    <m/>
    <m/>
    <m/>
    <m/>
    <m/>
    <m/>
    <m/>
    <m/>
    <m/>
    <m/>
    <m/>
    <m/>
    <m/>
    <m/>
    <s v="Non"/>
    <m/>
    <m/>
    <m/>
    <m/>
    <m/>
    <m/>
    <m/>
    <m/>
    <m/>
    <m/>
    <m/>
    <m/>
    <m/>
    <m/>
    <m/>
    <m/>
    <m/>
    <m/>
    <m/>
    <m/>
    <n v="0"/>
    <m/>
    <m/>
    <m/>
    <m/>
    <m/>
    <m/>
    <m/>
    <m/>
    <m/>
    <m/>
    <m/>
    <m/>
    <m/>
    <s v="1"/>
    <s v="0"/>
    <s v="0"/>
    <n v="1"/>
  </r>
  <r>
    <n v="2680256"/>
    <s v="Extrême-Nord"/>
    <s v="CMR004"/>
    <x v="1"/>
    <s v="CMR004002"/>
    <s v="Logone-Birni"/>
    <s v="CMR004002004"/>
    <s v="LBI-0063"/>
    <s v="KASHAL"/>
    <m/>
    <x v="1"/>
    <n v="12.104748000000001"/>
    <n v="14.802991799999999"/>
    <x v="0"/>
    <b v="1"/>
    <b v="0"/>
    <b v="0"/>
    <m/>
    <n v="3"/>
    <s v="Accessible"/>
    <m/>
    <s v="Le village accueille une population"/>
    <s v="Le village est intact (construit)"/>
    <m/>
    <m/>
    <s v="Oui"/>
    <s v="Familles d'accueil"/>
    <s v="Non, pas du tout"/>
    <s v="Non"/>
    <m/>
    <n v="25"/>
    <n v="190"/>
    <s v="Oui"/>
    <s v="Deuxième déplacement"/>
    <n v="25"/>
    <n v="135"/>
    <n v="65"/>
    <n v="70"/>
    <n v="0"/>
    <n v="9"/>
    <n v="0"/>
    <n v="0"/>
    <m/>
    <m/>
    <n v="0"/>
    <n v="16"/>
    <s v="Terre cuite/Terre battue"/>
    <m/>
    <n v="0"/>
    <s v="Augmentation de 16 ménages pour 85 individus dont 36 hommes et 49 femmes en provenance de NGADA. Un besoin d'aide diverses s'impose."/>
    <s v="Non"/>
    <m/>
    <m/>
    <m/>
    <m/>
    <m/>
    <m/>
    <m/>
    <m/>
    <m/>
    <m/>
    <m/>
    <m/>
    <m/>
    <m/>
    <m/>
    <s v="Non"/>
    <m/>
    <m/>
    <m/>
    <m/>
    <m/>
    <m/>
    <m/>
    <m/>
    <m/>
    <m/>
    <m/>
    <m/>
    <m/>
    <m/>
    <m/>
    <m/>
    <m/>
    <m/>
    <m/>
    <m/>
    <n v="0"/>
    <m/>
    <m/>
    <m/>
    <m/>
    <m/>
    <m/>
    <m/>
    <m/>
    <m/>
    <m/>
    <m/>
    <m/>
    <m/>
    <s v="1"/>
    <s v="0"/>
    <s v="0"/>
    <n v="1"/>
  </r>
  <r>
    <n v="2691071"/>
    <s v="Extrême-Nord"/>
    <s v="CMR004"/>
    <x v="1"/>
    <s v="CMR004002"/>
    <s v="Logone-Birni"/>
    <s v="CMR004002004"/>
    <s v="LBI-0064"/>
    <s v="KIDAM"/>
    <m/>
    <x v="1"/>
    <n v="11.863892699999999"/>
    <n v="15.0462902"/>
    <x v="0"/>
    <b v="1"/>
    <b v="0"/>
    <b v="0"/>
    <m/>
    <n v="4"/>
    <s v="Accessible"/>
    <m/>
    <s v="Le village accueille une population"/>
    <s v="Le village est intact (construit)"/>
    <m/>
    <m/>
    <s v="Oui"/>
    <s v="Familles d'accueil"/>
    <s v="Non, pas du tout"/>
    <s v="Non"/>
    <m/>
    <m/>
    <n v="3500"/>
    <s v="Non"/>
    <m/>
    <m/>
    <m/>
    <m/>
    <m/>
    <m/>
    <m/>
    <m/>
    <m/>
    <m/>
    <m/>
    <m/>
    <m/>
    <m/>
    <m/>
    <m/>
    <m/>
    <s v="Non"/>
    <m/>
    <m/>
    <m/>
    <m/>
    <m/>
    <m/>
    <m/>
    <m/>
    <m/>
    <m/>
    <m/>
    <m/>
    <m/>
    <m/>
    <m/>
    <s v="Oui"/>
    <n v="500"/>
    <n v="3500"/>
    <n v="1500"/>
    <n v="2000"/>
    <s v="Entre 3 mois et 1 an"/>
    <n v="430"/>
    <n v="70"/>
    <n v="0"/>
    <n v="0"/>
    <n v="0"/>
    <m/>
    <n v="0"/>
    <n v="0"/>
    <m/>
    <n v="0"/>
    <m/>
    <m/>
    <m/>
    <m/>
    <m/>
    <n v="0"/>
    <m/>
    <m/>
    <m/>
    <m/>
    <m/>
    <m/>
    <m/>
    <m/>
    <m/>
    <m/>
    <m/>
    <m/>
    <m/>
    <s v="0"/>
    <s v="0"/>
    <s v="1"/>
    <n v="1"/>
  </r>
  <r>
    <n v="2626751"/>
    <s v="Extrême-Nord"/>
    <s v="CMR004"/>
    <x v="1"/>
    <s v="CMR004002"/>
    <s v="Logone-Birni"/>
    <s v="CMR004002004"/>
    <s v="LBI-0038"/>
    <s v="KRENACK"/>
    <m/>
    <x v="1"/>
    <n v="12.1054411"/>
    <n v="14.7475357"/>
    <x v="0"/>
    <b v="1"/>
    <b v="0"/>
    <b v="0"/>
    <m/>
    <n v="3"/>
    <s v="Accessible"/>
    <m/>
    <s v="Le village accueille une population"/>
    <s v="Le village est intact (construit)"/>
    <m/>
    <m/>
    <s v="Oui"/>
    <s v="Familles d'accueil"/>
    <s v="Non, pas du tout"/>
    <s v="Non"/>
    <m/>
    <n v="22"/>
    <n v="480"/>
    <s v="Oui"/>
    <s v="Premier déplacement"/>
    <n v="22"/>
    <n v="90"/>
    <n v="39"/>
    <n v="51"/>
    <n v="0"/>
    <n v="22"/>
    <n v="0"/>
    <n v="0"/>
    <m/>
    <m/>
    <n v="0"/>
    <n v="0"/>
    <m/>
    <m/>
    <n v="0"/>
    <s v="Pas de changement"/>
    <s v="Oui"/>
    <n v="30"/>
    <n v="100"/>
    <n v="45"/>
    <n v="55"/>
    <n v="30"/>
    <n v="0"/>
    <n v="0"/>
    <m/>
    <n v="0"/>
    <n v="0"/>
    <m/>
    <m/>
    <n v="0"/>
    <n v="0"/>
    <s v="Pas de changement"/>
    <s v="Non"/>
    <m/>
    <m/>
    <m/>
    <m/>
    <m/>
    <m/>
    <m/>
    <m/>
    <m/>
    <m/>
    <m/>
    <m/>
    <m/>
    <m/>
    <m/>
    <m/>
    <m/>
    <m/>
    <m/>
    <m/>
    <n v="0"/>
    <m/>
    <m/>
    <m/>
    <m/>
    <m/>
    <m/>
    <m/>
    <m/>
    <m/>
    <m/>
    <m/>
    <m/>
    <m/>
    <s v="1"/>
    <s v="1"/>
    <s v="0"/>
    <n v="2"/>
  </r>
  <r>
    <n v="2600744"/>
    <s v="Extrême-Nord"/>
    <s v="CMR004"/>
    <x v="1"/>
    <s v="CMR004002"/>
    <s v="Logone-Birni"/>
    <s v="CMR004002004"/>
    <s v="LBI-0039"/>
    <s v="LABADO"/>
    <m/>
    <x v="1"/>
    <n v="11.896127"/>
    <n v="14.628086400000001"/>
    <x v="0"/>
    <b v="1"/>
    <b v="0"/>
    <b v="0"/>
    <m/>
    <n v="3"/>
    <s v="Accessible"/>
    <m/>
    <s v="Le village accueille une population"/>
    <s v="Le village est intact (construit)"/>
    <m/>
    <m/>
    <s v="Oui"/>
    <s v="Familles d'accueil"/>
    <s v="Non, pas du tout"/>
    <s v="Non"/>
    <m/>
    <n v="35"/>
    <n v="1000"/>
    <s v="Oui"/>
    <s v="Premier déplacement"/>
    <n v="35"/>
    <n v="370"/>
    <n v="198"/>
    <n v="172"/>
    <n v="0"/>
    <n v="35"/>
    <n v="0"/>
    <n v="0"/>
    <m/>
    <m/>
    <n v="0"/>
    <n v="0"/>
    <m/>
    <m/>
    <n v="0"/>
    <s v="La population globale ,les ménages idps ont diminué par ce que 05 ménages  20 individus qui sont venus pendant le conflit  intercommunautaires et sont retournés à wouli délébe."/>
    <s v="Non"/>
    <m/>
    <m/>
    <m/>
    <m/>
    <m/>
    <m/>
    <m/>
    <m/>
    <m/>
    <m/>
    <m/>
    <m/>
    <m/>
    <m/>
    <m/>
    <s v="Oui"/>
    <n v="5"/>
    <n v="20"/>
    <n v="7"/>
    <n v="13"/>
    <s v="Ne sait pas"/>
    <n v="0"/>
    <n v="0"/>
    <n v="0"/>
    <n v="0"/>
    <n v="0"/>
    <m/>
    <n v="0"/>
    <n v="5"/>
    <s v="Paille/Natte/Nylon"/>
    <n v="0"/>
    <m/>
    <m/>
    <m/>
    <m/>
    <m/>
    <n v="0"/>
    <m/>
    <m/>
    <m/>
    <m/>
    <m/>
    <m/>
    <m/>
    <m/>
    <m/>
    <m/>
    <m/>
    <m/>
    <m/>
    <s v="1"/>
    <s v="0"/>
    <s v="1"/>
    <n v="2"/>
  </r>
  <r>
    <n v="2680258"/>
    <s v="Extrême-Nord"/>
    <s v="CMR004"/>
    <x v="1"/>
    <s v="CMR004002"/>
    <s v="Logone-Birni"/>
    <s v="CMR004002004"/>
    <s v="LBI-0120"/>
    <s v="LERKEI"/>
    <m/>
    <x v="1"/>
    <n v="11.8783408"/>
    <n v="14.993027100000001"/>
    <x v="0"/>
    <b v="1"/>
    <b v="0"/>
    <b v="0"/>
    <m/>
    <n v="3"/>
    <s v="Accessible"/>
    <m/>
    <s v="Le village accueille une population"/>
    <s v="Le village est partiellement détruit"/>
    <s v="Conflit intercommunautaire"/>
    <m/>
    <s v="Non"/>
    <m/>
    <m/>
    <m/>
    <m/>
    <m/>
    <m/>
    <m/>
    <m/>
    <m/>
    <m/>
    <m/>
    <m/>
    <m/>
    <m/>
    <m/>
    <m/>
    <m/>
    <m/>
    <m/>
    <m/>
    <m/>
    <m/>
    <m/>
    <m/>
    <m/>
    <m/>
    <m/>
    <m/>
    <m/>
    <m/>
    <m/>
    <m/>
    <m/>
    <m/>
    <m/>
    <m/>
    <m/>
    <m/>
    <m/>
    <m/>
    <m/>
    <m/>
    <m/>
    <m/>
    <m/>
    <m/>
    <m/>
    <m/>
    <m/>
    <m/>
    <m/>
    <m/>
    <m/>
    <m/>
    <m/>
    <m/>
    <m/>
    <m/>
    <m/>
    <m/>
    <m/>
    <m/>
    <m/>
    <m/>
    <m/>
    <m/>
    <m/>
    <m/>
    <m/>
    <m/>
    <m/>
    <m/>
    <m/>
    <m/>
    <m/>
    <s v="0"/>
    <s v="0"/>
    <s v="0"/>
    <n v="0"/>
  </r>
  <r>
    <n v="2619968"/>
    <s v="Extrême-Nord"/>
    <s v="CMR004"/>
    <x v="1"/>
    <s v="CMR004002"/>
    <s v="Logone-Birni"/>
    <s v="CMR004002004"/>
    <s v="LBI-0066"/>
    <s v="LOGONE BIRNI (SAGOULA)"/>
    <m/>
    <x v="1"/>
    <n v="11.780147599999999"/>
    <n v="15.102642100000001"/>
    <x v="0"/>
    <b v="1"/>
    <b v="0"/>
    <b v="1"/>
    <m/>
    <n v="4"/>
    <s v="Accessible"/>
    <m/>
    <s v="Le village accueille une population"/>
    <s v="Le village est intact (construit)"/>
    <m/>
    <m/>
    <s v="Oui"/>
    <s v="Familles d'accueil"/>
    <s v="Non, pas du tout"/>
    <s v="Non"/>
    <m/>
    <n v="35"/>
    <n v="452"/>
    <s v="Oui"/>
    <s v="Premier déplacement"/>
    <n v="35"/>
    <n v="100"/>
    <n v="27"/>
    <n v="73"/>
    <n v="0"/>
    <n v="35"/>
    <n v="0"/>
    <n v="0"/>
    <m/>
    <m/>
    <n v="0"/>
    <n v="0"/>
    <m/>
    <m/>
    <n v="0"/>
    <s v="Il n'y a pas de changement "/>
    <s v="Oui"/>
    <n v="10"/>
    <n v="80"/>
    <n v="30"/>
    <n v="50"/>
    <n v="10"/>
    <n v="0"/>
    <n v="0"/>
    <m/>
    <n v="0"/>
    <n v="0"/>
    <m/>
    <m/>
    <n v="0"/>
    <n v="0"/>
    <s v="Ces réfugiés sont sur le point de partir car ils sont entrain de reconstruire leurs habitats initiale "/>
    <s v="Oui"/>
    <n v="35"/>
    <n v="170"/>
    <n v="70"/>
    <n v="100"/>
    <s v="Entre 3 mois et 1 an"/>
    <n v="0"/>
    <n v="35"/>
    <n v="0"/>
    <n v="0"/>
    <n v="0"/>
    <m/>
    <n v="0"/>
    <n v="0"/>
    <m/>
    <n v="0"/>
    <m/>
    <m/>
    <m/>
    <m/>
    <m/>
    <n v="0"/>
    <m/>
    <m/>
    <m/>
    <m/>
    <m/>
    <m/>
    <m/>
    <m/>
    <m/>
    <m/>
    <m/>
    <m/>
    <m/>
    <s v="1"/>
    <s v="1"/>
    <s v="1"/>
    <n v="3"/>
  </r>
  <r>
    <n v="2706286"/>
    <s v="Extrême-Nord"/>
    <s v="CMR004"/>
    <x v="1"/>
    <s v="CMR004002"/>
    <s v="Logone-Birni"/>
    <s v="CMR004002004"/>
    <s v="LBI-0030"/>
    <s v="MACHOKA"/>
    <m/>
    <x v="1"/>
    <n v="11.9392412"/>
    <n v="14.9091728"/>
    <x v="0"/>
    <b v="1"/>
    <b v="0"/>
    <b v="0"/>
    <m/>
    <n v="3"/>
    <s v="Accessible"/>
    <m/>
    <s v="Le village accueille une population"/>
    <s v="Le village est intact (construit)"/>
    <m/>
    <m/>
    <s v="Oui"/>
    <s v="Familles d'accueil"/>
    <s v="Non, pas du tout"/>
    <s v="Non"/>
    <m/>
    <n v="9"/>
    <n v="1021"/>
    <s v="Oui"/>
    <s v="Premier déplacement"/>
    <n v="9"/>
    <n v="61"/>
    <n v="25"/>
    <n v="36"/>
    <n v="0"/>
    <n v="9"/>
    <n v="0"/>
    <n v="0"/>
    <m/>
    <m/>
    <n v="0"/>
    <n v="0"/>
    <m/>
    <m/>
    <n v="0"/>
    <s v="Les idps sont bien accueilli "/>
    <s v="Non"/>
    <m/>
    <m/>
    <m/>
    <m/>
    <m/>
    <m/>
    <m/>
    <m/>
    <m/>
    <m/>
    <m/>
    <m/>
    <m/>
    <m/>
    <m/>
    <s v="Oui"/>
    <n v="60"/>
    <n v="352"/>
    <n v="150"/>
    <n v="202"/>
    <s v="Moins de 3 mois"/>
    <n v="3"/>
    <n v="57"/>
    <n v="0"/>
    <n v="0"/>
    <n v="0"/>
    <m/>
    <n v="0"/>
    <n v="0"/>
    <m/>
    <n v="0"/>
    <m/>
    <m/>
    <m/>
    <m/>
    <m/>
    <n v="0"/>
    <m/>
    <m/>
    <m/>
    <m/>
    <m/>
    <m/>
    <m/>
    <m/>
    <m/>
    <m/>
    <m/>
    <m/>
    <m/>
    <s v="1"/>
    <s v="0"/>
    <s v="1"/>
    <n v="2"/>
  </r>
  <r>
    <n v="2680243"/>
    <s v="Extrême-Nord"/>
    <s v="CMR004"/>
    <x v="1"/>
    <s v="CMR004002"/>
    <s v="Logone-Birni"/>
    <s v="CMR004002004"/>
    <s v="LBI-0031"/>
    <s v="MADEF"/>
    <m/>
    <x v="1"/>
    <n v="12.020873399999999"/>
    <n v="14.8744438"/>
    <x v="0"/>
    <b v="1"/>
    <b v="0"/>
    <b v="0"/>
    <m/>
    <n v="3"/>
    <s v="Accessible"/>
    <m/>
    <s v="Le village accueille une population"/>
    <s v="Le village est intact (construit)"/>
    <m/>
    <m/>
    <s v="Oui"/>
    <s v="Familles d'accueil"/>
    <s v="Non, pas du tout"/>
    <s v="Non"/>
    <m/>
    <n v="35"/>
    <n v="400"/>
    <s v="Oui"/>
    <s v="Premier déplacement"/>
    <n v="35"/>
    <n v="114"/>
    <n v="48"/>
    <n v="66"/>
    <n v="0"/>
    <n v="35"/>
    <n v="0"/>
    <n v="0"/>
    <m/>
    <m/>
    <n v="0"/>
    <n v="0"/>
    <m/>
    <m/>
    <n v="0"/>
    <s v="Augmentation de 10 ménages pour 54 individus en provenance de NGADA à cause des inondations."/>
    <s v="Non"/>
    <m/>
    <m/>
    <m/>
    <m/>
    <m/>
    <m/>
    <m/>
    <m/>
    <m/>
    <m/>
    <m/>
    <m/>
    <m/>
    <m/>
    <m/>
    <s v="Non"/>
    <m/>
    <m/>
    <m/>
    <m/>
    <m/>
    <m/>
    <m/>
    <m/>
    <m/>
    <m/>
    <m/>
    <m/>
    <m/>
    <m/>
    <m/>
    <m/>
    <m/>
    <m/>
    <m/>
    <m/>
    <n v="0"/>
    <m/>
    <m/>
    <m/>
    <m/>
    <m/>
    <m/>
    <m/>
    <m/>
    <m/>
    <m/>
    <m/>
    <m/>
    <m/>
    <s v="1"/>
    <s v="0"/>
    <s v="0"/>
    <n v="1"/>
  </r>
  <r>
    <n v="2655283"/>
    <s v="Extrême-Nord"/>
    <s v="CMR004"/>
    <x v="1"/>
    <s v="CMR004002"/>
    <s v="Logone-Birni"/>
    <s v="CMR004002004"/>
    <s v="LBI-0067"/>
    <s v="MAGO"/>
    <m/>
    <x v="1"/>
    <n v="11.779833999999999"/>
    <n v="15.101520900000001"/>
    <x v="0"/>
    <b v="1"/>
    <b v="0"/>
    <b v="1"/>
    <m/>
    <n v="3"/>
    <s v="Accessible"/>
    <m/>
    <s v="Le village accueille une population"/>
    <s v="Le village est intact (construit)"/>
    <m/>
    <m/>
    <s v="Oui"/>
    <s v="Familles d'accueil"/>
    <s v="Non, pas du tout"/>
    <s v="Non"/>
    <m/>
    <n v="25"/>
    <n v="1060"/>
    <s v="Oui"/>
    <s v="Premier déplacement"/>
    <n v="25"/>
    <n v="53"/>
    <n v="21"/>
    <n v="32"/>
    <n v="0"/>
    <n v="25"/>
    <n v="0"/>
    <n v="0"/>
    <m/>
    <m/>
    <n v="0"/>
    <n v="0"/>
    <m/>
    <m/>
    <n v="0"/>
    <s v="Aucun changement "/>
    <s v="Oui"/>
    <n v="1"/>
    <n v="7"/>
    <n v="3"/>
    <n v="4"/>
    <n v="1"/>
    <n v="0"/>
    <n v="0"/>
    <m/>
    <n v="0"/>
    <n v="0"/>
    <m/>
    <m/>
    <n v="0"/>
    <n v="0"/>
    <s v="Ce ménage est bien installé en famille d'accueil "/>
    <s v="Non"/>
    <m/>
    <m/>
    <m/>
    <m/>
    <m/>
    <m/>
    <m/>
    <m/>
    <m/>
    <m/>
    <m/>
    <m/>
    <m/>
    <m/>
    <m/>
    <m/>
    <m/>
    <m/>
    <m/>
    <m/>
    <n v="0"/>
    <m/>
    <m/>
    <m/>
    <m/>
    <m/>
    <m/>
    <m/>
    <m/>
    <m/>
    <m/>
    <m/>
    <m/>
    <m/>
    <s v="1"/>
    <s v="1"/>
    <s v="0"/>
    <n v="2"/>
  </r>
  <r>
    <n v="2606858"/>
    <s v="Extrême-Nord"/>
    <s v="CMR004"/>
    <x v="1"/>
    <s v="CMR004002"/>
    <s v="Logone-Birni"/>
    <s v="CMR004002004"/>
    <s v="LBI-0068"/>
    <s v="MAHAM"/>
    <m/>
    <x v="1"/>
    <n v="11.843356699999999"/>
    <n v="15.0586763"/>
    <x v="0"/>
    <b v="1"/>
    <b v="0"/>
    <b v="1"/>
    <m/>
    <n v="3"/>
    <s v="Accessible"/>
    <m/>
    <s v="Le village accueille une population"/>
    <s v="Le village est partiellement détruit"/>
    <s v="Conflit intercommunautaire"/>
    <m/>
    <s v="Oui"/>
    <s v="Familles d'accueil"/>
    <s v="Non, pas du tout"/>
    <s v="Non"/>
    <m/>
    <m/>
    <n v="2763"/>
    <s v="Non"/>
    <m/>
    <m/>
    <m/>
    <m/>
    <m/>
    <m/>
    <m/>
    <m/>
    <m/>
    <m/>
    <m/>
    <m/>
    <m/>
    <m/>
    <m/>
    <m/>
    <m/>
    <s v="Oui"/>
    <n v="2"/>
    <n v="2"/>
    <n v="0"/>
    <n v="2"/>
    <n v="2"/>
    <n v="0"/>
    <n v="0"/>
    <m/>
    <n v="0"/>
    <n v="0"/>
    <m/>
    <m/>
    <n v="0"/>
    <n v="0"/>
    <s v="Pas de changement"/>
    <s v="Oui"/>
    <n v="100"/>
    <n v="877"/>
    <n v="342"/>
    <n v="535"/>
    <s v="Entre 3 mois et 1 an"/>
    <n v="0"/>
    <n v="100"/>
    <n v="0"/>
    <n v="0"/>
    <n v="0"/>
    <m/>
    <n v="0"/>
    <n v="0"/>
    <m/>
    <n v="0"/>
    <m/>
    <m/>
    <m/>
    <m/>
    <m/>
    <n v="0"/>
    <m/>
    <m/>
    <m/>
    <m/>
    <m/>
    <m/>
    <m/>
    <m/>
    <m/>
    <m/>
    <m/>
    <m/>
    <m/>
    <s v="0"/>
    <s v="1"/>
    <s v="1"/>
    <n v="2"/>
  </r>
  <r>
    <n v="2659538"/>
    <s v="Extrême-Nord"/>
    <s v="CMR004"/>
    <x v="1"/>
    <s v="CMR004002"/>
    <s v="Logone-Birni"/>
    <s v="CMR004002004"/>
    <s v="LBI-0032"/>
    <s v="MAHANA"/>
    <m/>
    <x v="1"/>
    <n v="11.523764099999999"/>
    <n v="14.983700300000001"/>
    <x v="0"/>
    <b v="1"/>
    <b v="0"/>
    <b v="1"/>
    <m/>
    <n v="4"/>
    <s v="Accessible"/>
    <m/>
    <s v="Le village accueille une population"/>
    <s v="Le village est totalement détruit"/>
    <s v="Conflit intercommunautaire"/>
    <m/>
    <s v="Oui"/>
    <s v="Familles d'accueil"/>
    <s v="Non, pas du tout"/>
    <s v="Non"/>
    <m/>
    <n v="22"/>
    <n v="470"/>
    <s v="Oui"/>
    <s v="Premier déplacement"/>
    <n v="22"/>
    <n v="148"/>
    <n v="72"/>
    <n v="76"/>
    <n v="0"/>
    <n v="22"/>
    <n v="0"/>
    <n v="0"/>
    <m/>
    <m/>
    <n v="0"/>
    <n v="0"/>
    <m/>
    <m/>
    <n v="0"/>
    <s v="Pas de changement"/>
    <s v="Non"/>
    <m/>
    <m/>
    <m/>
    <m/>
    <m/>
    <m/>
    <m/>
    <m/>
    <m/>
    <m/>
    <m/>
    <m/>
    <m/>
    <m/>
    <m/>
    <s v="Oui"/>
    <n v="65"/>
    <n v="400"/>
    <n v="192"/>
    <n v="208"/>
    <s v="Entre 3 mois et 1 an"/>
    <n v="0"/>
    <n v="30"/>
    <n v="0"/>
    <n v="0"/>
    <n v="0"/>
    <m/>
    <n v="0"/>
    <n v="35"/>
    <s v="Paille/Natte/Nylon"/>
    <n v="0"/>
    <m/>
    <m/>
    <m/>
    <m/>
    <m/>
    <n v="0"/>
    <m/>
    <m/>
    <m/>
    <m/>
    <m/>
    <m/>
    <m/>
    <m/>
    <m/>
    <m/>
    <m/>
    <m/>
    <m/>
    <s v="1"/>
    <s v="0"/>
    <s v="1"/>
    <n v="2"/>
  </r>
  <r>
    <n v="2621524"/>
    <s v="Extrême-Nord"/>
    <s v="CMR004"/>
    <x v="1"/>
    <s v="CMR004002"/>
    <s v="Logone-Birni"/>
    <s v="CMR004002004"/>
    <s v="LBI-0069"/>
    <s v="MANAWADI"/>
    <m/>
    <x v="1"/>
    <n v="11.685878799999999"/>
    <n v="15.031759600000001"/>
    <x v="0"/>
    <b v="0"/>
    <b v="1"/>
    <b v="1"/>
    <n v="7"/>
    <m/>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0241"/>
    <s v="Extrême-Nord"/>
    <s v="CMR004"/>
    <x v="1"/>
    <s v="CMR004002"/>
    <s v="Logone-Birni"/>
    <s v="CMR004002004"/>
    <s v="LBI-0007"/>
    <s v="MANNA"/>
    <m/>
    <x v="1"/>
    <n v="12.049589599999999"/>
    <n v="14.893611699999999"/>
    <x v="0"/>
    <b v="1"/>
    <b v="0"/>
    <b v="0"/>
    <m/>
    <n v="3"/>
    <s v="Accessible"/>
    <m/>
    <s v="Le village accueille une population"/>
    <s v="Le village est intact (construit)"/>
    <m/>
    <m/>
    <s v="Oui"/>
    <s v="Familles d'accueil"/>
    <s v="Non, pas du tout"/>
    <s v="Non"/>
    <m/>
    <n v="39"/>
    <n v="603"/>
    <s v="Oui"/>
    <s v="Premier déplacement"/>
    <n v="39"/>
    <n v="307"/>
    <n v="122"/>
    <n v="185"/>
    <n v="0"/>
    <n v="39"/>
    <n v="0"/>
    <n v="0"/>
    <m/>
    <m/>
    <n v="0"/>
    <n v="0"/>
    <m/>
    <m/>
    <n v="0"/>
    <s v="Augmentation de 4 ménages pour 30 individus dont 12 hommes et 18 femmes en provenance de  NGADA à cause des inondations."/>
    <s v="Non"/>
    <m/>
    <m/>
    <m/>
    <m/>
    <m/>
    <m/>
    <m/>
    <m/>
    <m/>
    <m/>
    <m/>
    <m/>
    <m/>
    <m/>
    <m/>
    <s v="Non"/>
    <m/>
    <m/>
    <m/>
    <m/>
    <m/>
    <m/>
    <m/>
    <m/>
    <m/>
    <m/>
    <m/>
    <m/>
    <m/>
    <m/>
    <m/>
    <m/>
    <m/>
    <m/>
    <m/>
    <m/>
    <n v="0"/>
    <m/>
    <m/>
    <m/>
    <m/>
    <m/>
    <m/>
    <m/>
    <m/>
    <m/>
    <m/>
    <m/>
    <m/>
    <m/>
    <s v="1"/>
    <s v="0"/>
    <s v="0"/>
    <n v="1"/>
  </r>
  <r>
    <n v="2619966"/>
    <s v="Extrême-Nord"/>
    <s v="CMR004"/>
    <x v="1"/>
    <s v="CMR004002"/>
    <s v="Logone-Birni"/>
    <s v="CMR004002004"/>
    <s v="LBI-0090"/>
    <s v="MARIAM"/>
    <m/>
    <x v="1"/>
    <n v="11.803857499999999"/>
    <n v="15.104497"/>
    <x v="0"/>
    <b v="1"/>
    <b v="0"/>
    <b v="1"/>
    <m/>
    <n v="4"/>
    <s v="Accessible"/>
    <m/>
    <s v="Le village accueille une population"/>
    <s v="Le village est intact (construit)"/>
    <m/>
    <m/>
    <s v="Oui"/>
    <s v="Familles d'accueil"/>
    <s v="Non, pas du tout"/>
    <s v="Non"/>
    <m/>
    <m/>
    <n v="890"/>
    <s v="Non"/>
    <m/>
    <m/>
    <m/>
    <m/>
    <m/>
    <m/>
    <m/>
    <m/>
    <m/>
    <m/>
    <m/>
    <m/>
    <m/>
    <m/>
    <m/>
    <m/>
    <m/>
    <s v="Oui"/>
    <n v="17"/>
    <n v="72"/>
    <n v="30"/>
    <n v="42"/>
    <n v="17"/>
    <n v="0"/>
    <n v="0"/>
    <m/>
    <n v="0"/>
    <n v="0"/>
    <m/>
    <m/>
    <n v="0"/>
    <n v="0"/>
    <s v="Ces réfugiés sont sur le point de partir car ils passent la journée au tchad pour la reconstruction de leurs maisons et ne reviennent que le soir"/>
    <s v="Oui"/>
    <n v="89"/>
    <n v="567"/>
    <n v="291"/>
    <n v="276"/>
    <s v="Entre 3 mois et 1 an"/>
    <n v="0"/>
    <n v="89"/>
    <n v="0"/>
    <n v="0"/>
    <n v="0"/>
    <m/>
    <n v="0"/>
    <n v="0"/>
    <m/>
    <n v="0"/>
    <m/>
    <m/>
    <m/>
    <m/>
    <m/>
    <n v="0"/>
    <m/>
    <m/>
    <m/>
    <m/>
    <m/>
    <m/>
    <m/>
    <m/>
    <m/>
    <m/>
    <m/>
    <m/>
    <m/>
    <s v="0"/>
    <s v="1"/>
    <s v="1"/>
    <n v="2"/>
  </r>
  <r>
    <n v="2647034"/>
    <s v="Extrême-Nord"/>
    <s v="CMR004"/>
    <x v="1"/>
    <s v="CMR004002"/>
    <s v="Logone-Birni"/>
    <s v="CMR004002004"/>
    <s v="LBI-0121"/>
    <s v="MAROUFA"/>
    <m/>
    <x v="1"/>
    <n v="11.7890195"/>
    <n v="15.0699781"/>
    <x v="0"/>
    <b v="1"/>
    <b v="0"/>
    <b v="0"/>
    <m/>
    <n v="3"/>
    <s v="Accessible"/>
    <m/>
    <s v="Le village accueille une population"/>
    <s v="Le village est intact (construit)"/>
    <m/>
    <m/>
    <s v="Oui"/>
    <s v="Sites de déplacement spontanés"/>
    <s v="Non, pas du tout"/>
    <s v="Non"/>
    <m/>
    <m/>
    <n v="100"/>
    <s v="Non"/>
    <m/>
    <m/>
    <m/>
    <m/>
    <m/>
    <m/>
    <m/>
    <m/>
    <m/>
    <m/>
    <m/>
    <m/>
    <m/>
    <m/>
    <m/>
    <m/>
    <m/>
    <s v="Non"/>
    <m/>
    <m/>
    <m/>
    <m/>
    <m/>
    <m/>
    <m/>
    <m/>
    <m/>
    <m/>
    <m/>
    <m/>
    <m/>
    <m/>
    <m/>
    <s v="Oui"/>
    <n v="19"/>
    <n v="100"/>
    <n v="40"/>
    <n v="60"/>
    <s v="Moins de 3 mois"/>
    <n v="0"/>
    <n v="0"/>
    <n v="2"/>
    <n v="0"/>
    <n v="0"/>
    <m/>
    <n v="0"/>
    <n v="17"/>
    <s v="Paille/Natte/Nylon"/>
    <n v="0"/>
    <s v="Pas de changement par rapport au round précédente les données restent les mêmes."/>
    <m/>
    <m/>
    <m/>
    <m/>
    <n v="0"/>
    <m/>
    <m/>
    <m/>
    <m/>
    <m/>
    <m/>
    <m/>
    <m/>
    <m/>
    <m/>
    <m/>
    <m/>
    <m/>
    <s v="0"/>
    <s v="0"/>
    <s v="1"/>
    <n v="1"/>
  </r>
  <r>
    <n v="2692388"/>
    <s v="Extrême-Nord"/>
    <s v="CMR004"/>
    <x v="1"/>
    <s v="CMR004002"/>
    <s v="Logone-Birni"/>
    <s v="CMR004002004"/>
    <s v="LBI-0070"/>
    <s v="MARTE"/>
    <m/>
    <x v="1"/>
    <n v="11.8775984"/>
    <n v="14.953185400000001"/>
    <x v="0"/>
    <b v="1"/>
    <b v="0"/>
    <b v="0"/>
    <m/>
    <n v="3"/>
    <s v="Accessible"/>
    <m/>
    <s v="Le village accueille une population"/>
    <s v="Le village est partiellement détruit"/>
    <s v="Conflit intercommunautaire"/>
    <m/>
    <s v="Oui"/>
    <s v="Familles d'accueil"/>
    <s v="Non, pas du tout"/>
    <s v="Non"/>
    <m/>
    <m/>
    <n v="247"/>
    <s v="Non"/>
    <m/>
    <m/>
    <m/>
    <m/>
    <m/>
    <m/>
    <m/>
    <m/>
    <m/>
    <m/>
    <m/>
    <m/>
    <m/>
    <m/>
    <m/>
    <m/>
    <m/>
    <s v="Non"/>
    <m/>
    <m/>
    <m/>
    <m/>
    <m/>
    <m/>
    <m/>
    <m/>
    <m/>
    <m/>
    <m/>
    <m/>
    <m/>
    <m/>
    <m/>
    <s v="Oui"/>
    <n v="56"/>
    <n v="247"/>
    <n v="101"/>
    <n v="146"/>
    <s v="Entre 3 mois et 1 an"/>
    <n v="0"/>
    <n v="0"/>
    <n v="0"/>
    <n v="0"/>
    <n v="0"/>
    <m/>
    <n v="0"/>
    <n v="56"/>
    <s v="Terre cuite/Terre battue"/>
    <n v="0"/>
    <m/>
    <m/>
    <m/>
    <m/>
    <m/>
    <n v="0"/>
    <m/>
    <m/>
    <m/>
    <m/>
    <m/>
    <m/>
    <m/>
    <m/>
    <m/>
    <m/>
    <m/>
    <m/>
    <m/>
    <s v="0"/>
    <s v="0"/>
    <s v="1"/>
    <n v="1"/>
  </r>
  <r>
    <n v="2667497"/>
    <s v="Extrême-Nord"/>
    <s v="CMR004"/>
    <x v="1"/>
    <s v="CMR004002"/>
    <s v="Logone-Birni"/>
    <s v="CMR004002004"/>
    <s v="LBI-0071"/>
    <s v="MBANAMAMTE"/>
    <m/>
    <x v="1"/>
    <n v="11.780435000000001"/>
    <n v="15.106123699999999"/>
    <x v="0"/>
    <b v="1"/>
    <b v="0"/>
    <b v="1"/>
    <m/>
    <n v="3"/>
    <s v="Accessible"/>
    <m/>
    <s v="Le village accueille une population"/>
    <s v="Le village est intact (construit)"/>
    <m/>
    <m/>
    <s v="Oui"/>
    <s v="Familles d'accueil"/>
    <s v="Non, pas du tout"/>
    <s v="Non"/>
    <m/>
    <n v="35"/>
    <n v="350"/>
    <s v="Oui"/>
    <s v="Premier déplacement"/>
    <n v="35"/>
    <n v="80"/>
    <n v="32"/>
    <n v="48"/>
    <n v="0"/>
    <n v="35"/>
    <n v="0"/>
    <n v="0"/>
    <m/>
    <m/>
    <n v="0"/>
    <n v="0"/>
    <m/>
    <m/>
    <n v="0"/>
    <s v="Aucun changement "/>
    <s v="Oui"/>
    <n v="5"/>
    <n v="35"/>
    <n v="15"/>
    <n v="20"/>
    <n v="5"/>
    <n v="0"/>
    <n v="0"/>
    <m/>
    <n v="0"/>
    <n v="0"/>
    <m/>
    <m/>
    <n v="0"/>
    <n v="0"/>
    <s v="Ces réfugiés sont sur le point de partir car ils sont entrain de reconstruire leurs habitats initiale "/>
    <s v="Oui"/>
    <n v="10"/>
    <n v="54"/>
    <n v="18"/>
    <n v="36"/>
    <s v="Entre 3 mois et 1 an"/>
    <n v="0"/>
    <n v="10"/>
    <n v="0"/>
    <n v="0"/>
    <n v="0"/>
    <m/>
    <n v="0"/>
    <n v="0"/>
    <m/>
    <n v="0"/>
    <m/>
    <m/>
    <m/>
    <m/>
    <m/>
    <n v="0"/>
    <m/>
    <m/>
    <m/>
    <m/>
    <m/>
    <m/>
    <m/>
    <m/>
    <m/>
    <m/>
    <m/>
    <m/>
    <m/>
    <s v="1"/>
    <s v="1"/>
    <s v="1"/>
    <n v="3"/>
  </r>
  <r>
    <n v="2621724"/>
    <s v="Extrême-Nord"/>
    <s v="CMR004"/>
    <x v="1"/>
    <s v="CMR004002"/>
    <s v="Logone-Birni"/>
    <s v="CMR004002004"/>
    <s v="LBI-0072"/>
    <s v="MBOUTOUFKA"/>
    <m/>
    <x v="1"/>
    <n v="11.7400334"/>
    <n v="15.020904700000001"/>
    <x v="0"/>
    <b v="1"/>
    <b v="0"/>
    <b v="0"/>
    <m/>
    <n v="3"/>
    <s v="Accessible"/>
    <m/>
    <s v="Le village accueille une population"/>
    <s v="Le village est intact (construit)"/>
    <m/>
    <m/>
    <s v="Oui"/>
    <s v="Familles d'accueil"/>
    <s v="Non, pas du tout"/>
    <s v="Non"/>
    <m/>
    <n v="10"/>
    <n v="475"/>
    <s v="Oui"/>
    <s v="Premier déplacement"/>
    <n v="10"/>
    <n v="55"/>
    <n v="29"/>
    <n v="26"/>
    <n v="0"/>
    <n v="10"/>
    <n v="0"/>
    <n v="0"/>
    <m/>
    <m/>
    <n v="0"/>
    <n v="0"/>
    <m/>
    <m/>
    <n v="0"/>
    <s v="Pas de changement "/>
    <s v="Non"/>
    <m/>
    <m/>
    <m/>
    <m/>
    <m/>
    <m/>
    <m/>
    <m/>
    <m/>
    <m/>
    <m/>
    <m/>
    <m/>
    <m/>
    <m/>
    <s v="Oui"/>
    <n v="4"/>
    <n v="10"/>
    <n v="4"/>
    <n v="6"/>
    <s v="Entre 3 mois et 1 an"/>
    <n v="0"/>
    <n v="4"/>
    <n v="0"/>
    <n v="0"/>
    <n v="0"/>
    <m/>
    <n v="0"/>
    <n v="0"/>
    <m/>
    <n v="0"/>
    <m/>
    <m/>
    <m/>
    <m/>
    <m/>
    <n v="0"/>
    <m/>
    <m/>
    <m/>
    <m/>
    <m/>
    <m/>
    <m/>
    <m/>
    <m/>
    <m/>
    <m/>
    <m/>
    <m/>
    <s v="1"/>
    <s v="0"/>
    <s v="1"/>
    <n v="2"/>
  </r>
  <r>
    <n v="2633734"/>
    <s v="Extrême-Nord"/>
    <s v="CMR004"/>
    <x v="1"/>
    <s v="CMR004002"/>
    <s v="Logone-Birni"/>
    <s v="CMR004002004"/>
    <s v="LBI-0011"/>
    <s v="MELARI"/>
    <m/>
    <x v="1"/>
    <n v="12.019505199999999"/>
    <n v="14.703415100000001"/>
    <x v="0"/>
    <b v="1"/>
    <b v="0"/>
    <b v="0"/>
    <m/>
    <n v="3"/>
    <s v="Accessible"/>
    <m/>
    <s v="Le village accueille une population"/>
    <s v="Le village est intact (construit)"/>
    <m/>
    <m/>
    <s v="Oui"/>
    <s v="Familles d'accueil"/>
    <s v="Non, pas du tout"/>
    <s v="Non"/>
    <m/>
    <n v="18"/>
    <n v="266"/>
    <s v="Oui"/>
    <s v="Premier déplacement"/>
    <n v="18"/>
    <n v="138"/>
    <n v="60"/>
    <n v="78"/>
    <n v="0"/>
    <n v="0"/>
    <n v="0"/>
    <n v="0"/>
    <m/>
    <m/>
    <n v="0"/>
    <n v="18"/>
    <s v="Paille/Natte/Nylon"/>
    <m/>
    <n v="0"/>
    <s v="Pas de changement par rapport au round 26 les données restent les mêmes."/>
    <s v="Non"/>
    <m/>
    <m/>
    <m/>
    <m/>
    <m/>
    <m/>
    <m/>
    <m/>
    <m/>
    <m/>
    <m/>
    <m/>
    <m/>
    <m/>
    <m/>
    <s v="Non"/>
    <m/>
    <m/>
    <m/>
    <m/>
    <m/>
    <m/>
    <m/>
    <m/>
    <m/>
    <m/>
    <m/>
    <m/>
    <m/>
    <m/>
    <m/>
    <m/>
    <m/>
    <m/>
    <m/>
    <m/>
    <n v="0"/>
    <m/>
    <m/>
    <m/>
    <m/>
    <m/>
    <m/>
    <m/>
    <m/>
    <m/>
    <m/>
    <m/>
    <m/>
    <m/>
    <s v="1"/>
    <s v="0"/>
    <s v="0"/>
    <n v="1"/>
  </r>
  <r>
    <n v="2706281"/>
    <s v="Extrême-Nord"/>
    <s v="CMR004"/>
    <x v="1"/>
    <s v="CMR004002"/>
    <s v="Logone-Birni"/>
    <s v="CMR004002004"/>
    <s v="LBI-0086"/>
    <s v="MICHKETE"/>
    <m/>
    <x v="1"/>
    <n v="11.8685434"/>
    <n v="14.9640255"/>
    <x v="0"/>
    <b v="1"/>
    <b v="0"/>
    <b v="0"/>
    <m/>
    <n v="3"/>
    <s v="Accessible"/>
    <m/>
    <s v="Le village accueille une population"/>
    <s v="Le village est partiellement détruit"/>
    <s v="Conflit intercommunautaire"/>
    <m/>
    <s v="Oui"/>
    <s v="Familles d'accueil"/>
    <s v="Non, pas du tout"/>
    <s v="Non"/>
    <m/>
    <m/>
    <n v="252"/>
    <s v="Non"/>
    <m/>
    <m/>
    <m/>
    <m/>
    <m/>
    <m/>
    <m/>
    <m/>
    <m/>
    <m/>
    <m/>
    <m/>
    <m/>
    <m/>
    <m/>
    <m/>
    <m/>
    <s v="Non"/>
    <m/>
    <m/>
    <m/>
    <m/>
    <m/>
    <m/>
    <m/>
    <m/>
    <m/>
    <m/>
    <m/>
    <m/>
    <m/>
    <m/>
    <m/>
    <s v="Oui"/>
    <n v="126"/>
    <n v="402"/>
    <n v="176"/>
    <n v="226"/>
    <s v="Moins de 3 mois"/>
    <n v="0"/>
    <n v="126"/>
    <n v="0"/>
    <n v="0"/>
    <n v="0"/>
    <m/>
    <n v="0"/>
    <n v="0"/>
    <m/>
    <n v="0"/>
    <m/>
    <m/>
    <m/>
    <m/>
    <m/>
    <n v="0"/>
    <m/>
    <m/>
    <m/>
    <m/>
    <m/>
    <m/>
    <m/>
    <m/>
    <m/>
    <m/>
    <m/>
    <m/>
    <m/>
    <s v="0"/>
    <s v="0"/>
    <s v="1"/>
    <n v="1"/>
  </r>
  <r>
    <n v="2695926"/>
    <s v="Extrême-Nord"/>
    <s v="CMR004"/>
    <x v="1"/>
    <s v="CMR004002"/>
    <s v="Logone-Birni"/>
    <s v="CMR004002004"/>
    <s v="LBI-0122"/>
    <s v="MISHISKA"/>
    <m/>
    <x v="1"/>
    <n v="11.9468824"/>
    <n v="14.902907600000001"/>
    <x v="0"/>
    <b v="1"/>
    <b v="0"/>
    <b v="0"/>
    <m/>
    <n v="4"/>
    <s v="Accessible"/>
    <m/>
    <s v="Le village accueille une population"/>
    <s v="Le village est partiellement détruit"/>
    <s v="Conflit intercommunautaire"/>
    <m/>
    <s v="Oui"/>
    <s v="Familles d'accueil"/>
    <s v="Non, pas du tout"/>
    <s v="Non"/>
    <m/>
    <m/>
    <n v="360"/>
    <s v="Non"/>
    <m/>
    <m/>
    <m/>
    <m/>
    <m/>
    <m/>
    <m/>
    <m/>
    <m/>
    <m/>
    <m/>
    <m/>
    <m/>
    <m/>
    <m/>
    <m/>
    <m/>
    <s v="Non"/>
    <m/>
    <m/>
    <m/>
    <m/>
    <m/>
    <m/>
    <m/>
    <m/>
    <m/>
    <m/>
    <m/>
    <m/>
    <m/>
    <m/>
    <m/>
    <s v="Oui"/>
    <n v="35"/>
    <n v="360"/>
    <n v="153"/>
    <n v="207"/>
    <s v="Moins de 3 mois"/>
    <n v="10"/>
    <n v="25"/>
    <n v="0"/>
    <n v="0"/>
    <n v="0"/>
    <m/>
    <n v="0"/>
    <n v="0"/>
    <m/>
    <n v="0"/>
    <m/>
    <m/>
    <m/>
    <m/>
    <m/>
    <n v="0"/>
    <m/>
    <m/>
    <m/>
    <m/>
    <m/>
    <m/>
    <m/>
    <m/>
    <m/>
    <m/>
    <m/>
    <m/>
    <m/>
    <s v="0"/>
    <s v="0"/>
    <s v="1"/>
    <n v="1"/>
  </r>
  <r>
    <n v="2647032"/>
    <s v="Extrême-Nord"/>
    <s v="CMR004"/>
    <x v="1"/>
    <s v="CMR004002"/>
    <s v="Logone-Birni"/>
    <s v="CMR004002004"/>
    <s v="LBI-0012"/>
    <s v="MOULADOCK 1"/>
    <m/>
    <x v="1"/>
    <n v="12.064470399999999"/>
    <n v="14.806678700000001"/>
    <x v="0"/>
    <b v="1"/>
    <b v="0"/>
    <b v="0"/>
    <m/>
    <n v="3"/>
    <s v="Accessible"/>
    <m/>
    <s v="Le village accueille une population"/>
    <s v="Le village est intact (construit)"/>
    <m/>
    <m/>
    <s v="Oui"/>
    <s v="Familles d'accueil"/>
    <s v="Non, pas du tout"/>
    <s v="Non"/>
    <m/>
    <n v="7"/>
    <n v="290"/>
    <s v="Oui"/>
    <s v="Premier déplacement"/>
    <n v="7"/>
    <n v="72"/>
    <n v="44"/>
    <n v="28"/>
    <n v="0"/>
    <n v="0"/>
    <n v="0"/>
    <n v="0"/>
    <m/>
    <m/>
    <n v="0"/>
    <n v="7"/>
    <s v="Paille/Natte/Nylon"/>
    <m/>
    <n v="0"/>
    <s v="Pas de changement par rapport au round  25 les données restent les mêmes."/>
    <s v="Non"/>
    <m/>
    <m/>
    <m/>
    <m/>
    <m/>
    <m/>
    <m/>
    <m/>
    <m/>
    <m/>
    <m/>
    <m/>
    <m/>
    <m/>
    <m/>
    <s v="Non"/>
    <m/>
    <m/>
    <m/>
    <m/>
    <m/>
    <m/>
    <m/>
    <m/>
    <m/>
    <m/>
    <m/>
    <m/>
    <m/>
    <m/>
    <m/>
    <m/>
    <m/>
    <m/>
    <m/>
    <m/>
    <n v="0"/>
    <m/>
    <m/>
    <m/>
    <m/>
    <m/>
    <m/>
    <m/>
    <m/>
    <m/>
    <m/>
    <m/>
    <m/>
    <m/>
    <s v="1"/>
    <s v="0"/>
    <s v="0"/>
    <n v="1"/>
  </r>
  <r>
    <n v="2633750"/>
    <s v="Extrême-Nord"/>
    <s v="CMR004"/>
    <x v="1"/>
    <s v="CMR004002"/>
    <s v="Logone-Birni"/>
    <s v="CMR004002004"/>
    <s v="LBI-0013"/>
    <s v="MOULADOCK 2"/>
    <m/>
    <x v="1"/>
    <n v="12.0625757"/>
    <n v="14.7927198"/>
    <x v="0"/>
    <b v="1"/>
    <b v="0"/>
    <b v="0"/>
    <m/>
    <n v="3"/>
    <s v="Accessible"/>
    <m/>
    <s v="Le village accueille une population"/>
    <s v="Le village est intact (construit)"/>
    <m/>
    <m/>
    <s v="Oui"/>
    <s v="Familles d'accueil"/>
    <s v="Non, pas du tout"/>
    <s v="Non"/>
    <m/>
    <n v="14"/>
    <n v="908"/>
    <s v="Oui"/>
    <s v="Premier déplacement"/>
    <n v="14"/>
    <n v="85"/>
    <n v="37"/>
    <n v="48"/>
    <n v="0"/>
    <n v="10"/>
    <n v="0"/>
    <n v="0"/>
    <m/>
    <m/>
    <n v="0"/>
    <n v="4"/>
    <s v="Paille/Natte/Nylon"/>
    <m/>
    <n v="0"/>
    <s v="Pas de changement par rapport au round précédente les données restent les mêmes"/>
    <s v="Oui"/>
    <n v="44"/>
    <n v="244"/>
    <n v="109"/>
    <n v="135"/>
    <n v="0"/>
    <n v="0"/>
    <n v="0"/>
    <m/>
    <n v="0"/>
    <n v="44"/>
    <s v="Paille/Natte/Nylon"/>
    <m/>
    <n v="0"/>
    <n v="44"/>
    <s v="Pas de changement par rapport au round précédente les données restent les mêmes."/>
    <s v="Non"/>
    <m/>
    <m/>
    <m/>
    <m/>
    <m/>
    <m/>
    <m/>
    <m/>
    <m/>
    <m/>
    <m/>
    <m/>
    <m/>
    <m/>
    <m/>
    <m/>
    <m/>
    <m/>
    <m/>
    <m/>
    <n v="0"/>
    <m/>
    <m/>
    <m/>
    <m/>
    <m/>
    <m/>
    <m/>
    <m/>
    <m/>
    <m/>
    <m/>
    <m/>
    <m/>
    <s v="1"/>
    <s v="1"/>
    <s v="0"/>
    <n v="2"/>
  </r>
  <r>
    <n v="2619955"/>
    <s v="Extrême-Nord"/>
    <s v="CMR004"/>
    <x v="1"/>
    <s v="CMR004002"/>
    <s v="Logone-Birni"/>
    <s v="CMR004002004"/>
    <s v="LBI-0102"/>
    <s v="MOULOUMSA MASSA"/>
    <m/>
    <x v="1"/>
    <n v="11.8124137"/>
    <n v="15.0973883"/>
    <x v="0"/>
    <b v="1"/>
    <b v="0"/>
    <b v="1"/>
    <m/>
    <n v="3"/>
    <s v="Accessible"/>
    <m/>
    <s v="Le village accueille une population"/>
    <s v="Le village est partiellement détruit"/>
    <s v="Conflit intercommunautaire"/>
    <m/>
    <s v="Oui"/>
    <s v="Familles d'accueil"/>
    <s v="Non, pas du tout"/>
    <s v="Non"/>
    <m/>
    <m/>
    <n v="550"/>
    <s v="Non"/>
    <m/>
    <m/>
    <m/>
    <m/>
    <m/>
    <m/>
    <m/>
    <m/>
    <m/>
    <m/>
    <m/>
    <m/>
    <m/>
    <m/>
    <m/>
    <m/>
    <m/>
    <s v="Oui"/>
    <n v="10"/>
    <n v="36"/>
    <n v="16"/>
    <n v="20"/>
    <n v="10"/>
    <n v="0"/>
    <n v="0"/>
    <m/>
    <n v="0"/>
    <n v="0"/>
    <m/>
    <m/>
    <n v="0"/>
    <n v="0"/>
    <s v="Ces réfugiés passent la journée au tchad pour la reconstruction de leurs maisons et ne reviennent que le soir "/>
    <s v="Oui"/>
    <n v="61"/>
    <n v="240"/>
    <n v="100"/>
    <n v="140"/>
    <s v="Entre 3 mois et 1 an"/>
    <n v="0"/>
    <n v="61"/>
    <n v="0"/>
    <n v="0"/>
    <n v="0"/>
    <m/>
    <n v="0"/>
    <n v="0"/>
    <m/>
    <n v="0"/>
    <m/>
    <m/>
    <m/>
    <m/>
    <m/>
    <n v="0"/>
    <m/>
    <m/>
    <m/>
    <m/>
    <m/>
    <m/>
    <m/>
    <m/>
    <m/>
    <m/>
    <m/>
    <m/>
    <m/>
    <s v="0"/>
    <s v="1"/>
    <s v="1"/>
    <n v="2"/>
  </r>
  <r>
    <n v="2704545"/>
    <s v="Extrême-Nord"/>
    <s v="CMR004"/>
    <x v="1"/>
    <s v="CMR004002"/>
    <s v="Logone-Birni"/>
    <s v="CMR004002004"/>
    <s v="LBI-0123"/>
    <s v="MOUNK"/>
    <m/>
    <x v="1"/>
    <n v="11.8933751"/>
    <n v="14.998868999999999"/>
    <x v="0"/>
    <b v="1"/>
    <b v="0"/>
    <b v="0"/>
    <m/>
    <n v="3"/>
    <s v="Accessible"/>
    <m/>
    <s v="Le village accueille une population"/>
    <s v="Le village est partiellement détruit"/>
    <s v="Conflit intercommunautaire"/>
    <m/>
    <s v="Non"/>
    <m/>
    <m/>
    <m/>
    <m/>
    <m/>
    <m/>
    <m/>
    <m/>
    <m/>
    <m/>
    <m/>
    <m/>
    <m/>
    <m/>
    <m/>
    <m/>
    <m/>
    <m/>
    <m/>
    <m/>
    <m/>
    <m/>
    <m/>
    <m/>
    <m/>
    <m/>
    <m/>
    <m/>
    <m/>
    <m/>
    <m/>
    <m/>
    <m/>
    <m/>
    <m/>
    <m/>
    <m/>
    <m/>
    <m/>
    <m/>
    <m/>
    <m/>
    <m/>
    <m/>
    <m/>
    <m/>
    <m/>
    <m/>
    <m/>
    <m/>
    <m/>
    <m/>
    <m/>
    <m/>
    <m/>
    <m/>
    <m/>
    <m/>
    <m/>
    <m/>
    <m/>
    <m/>
    <m/>
    <m/>
    <m/>
    <m/>
    <m/>
    <m/>
    <m/>
    <m/>
    <m/>
    <m/>
    <m/>
    <m/>
    <m/>
    <s v="0"/>
    <s v="0"/>
    <s v="0"/>
    <n v="0"/>
  </r>
  <r>
    <n v="2578475"/>
    <s v="Extrême-Nord"/>
    <s v="CMR004"/>
    <x v="1"/>
    <s v="CMR004002"/>
    <s v="Logone-Birni"/>
    <s v="CMR004002004"/>
    <s v="LBI-0107"/>
    <s v="MRÉ - MRÉ"/>
    <m/>
    <x v="1"/>
    <n v="11.688308299999999"/>
    <n v="15.028704899999999"/>
    <x v="0"/>
    <b v="1"/>
    <b v="0"/>
    <b v="0"/>
    <m/>
    <n v="3"/>
    <s v="Accessible"/>
    <m/>
    <s v="Le village accueille une population"/>
    <s v="Le village est intact (construit)"/>
    <m/>
    <m/>
    <s v="Oui"/>
    <s v="Familles d'accueil"/>
    <s v="Non, pas du tout"/>
    <s v="Non"/>
    <m/>
    <m/>
    <n v="353"/>
    <s v="Non"/>
    <m/>
    <m/>
    <m/>
    <m/>
    <m/>
    <m/>
    <m/>
    <m/>
    <m/>
    <m/>
    <m/>
    <m/>
    <m/>
    <m/>
    <m/>
    <m/>
    <m/>
    <s v="Non"/>
    <m/>
    <m/>
    <m/>
    <m/>
    <m/>
    <m/>
    <m/>
    <m/>
    <m/>
    <m/>
    <m/>
    <m/>
    <m/>
    <m/>
    <m/>
    <s v="Oui"/>
    <n v="1"/>
    <n v="3"/>
    <n v="1"/>
    <n v="2"/>
    <s v="Entre 3 mois et 1 an"/>
    <n v="0"/>
    <n v="1"/>
    <n v="0"/>
    <n v="0"/>
    <n v="0"/>
    <m/>
    <n v="0"/>
    <n v="0"/>
    <m/>
    <n v="0"/>
    <m/>
    <m/>
    <m/>
    <m/>
    <m/>
    <n v="0"/>
    <m/>
    <m/>
    <m/>
    <m/>
    <m/>
    <m/>
    <m/>
    <m/>
    <m/>
    <m/>
    <m/>
    <m/>
    <m/>
    <s v="0"/>
    <s v="0"/>
    <s v="1"/>
    <n v="1"/>
  </r>
  <r>
    <n v="2659540"/>
    <s v="Extrême-Nord"/>
    <s v="CMR004"/>
    <x v="1"/>
    <s v="CMR004002"/>
    <s v="Logone-Birni"/>
    <s v="CMR004002004"/>
    <s v="LBI-0037"/>
    <s v="NDJAMENA"/>
    <m/>
    <x v="1"/>
    <n v="11.538675700000001"/>
    <n v="14.9336901"/>
    <x v="0"/>
    <b v="1"/>
    <b v="0"/>
    <b v="1"/>
    <m/>
    <n v="4"/>
    <s v="Accessible"/>
    <m/>
    <s v="Le village accueille une population"/>
    <s v="Le village est totalement détruit"/>
    <s v="Conflit intercommunautaire"/>
    <m/>
    <s v="Oui"/>
    <s v="Familles d'accueil"/>
    <s v="Non, pas du tout"/>
    <s v="Non"/>
    <m/>
    <n v="8"/>
    <n v="522"/>
    <s v="Oui"/>
    <s v="Premier déplacement"/>
    <n v="8"/>
    <n v="39"/>
    <n v="19"/>
    <n v="20"/>
    <n v="0"/>
    <n v="8"/>
    <n v="0"/>
    <n v="0"/>
    <m/>
    <m/>
    <n v="0"/>
    <n v="0"/>
    <m/>
    <m/>
    <n v="0"/>
    <s v="8 ménages de 39 individus sont arrivés du village tineri dans le même arrondissement suite aux conflits intercommunautaires"/>
    <s v="Oui"/>
    <n v="22"/>
    <n v="113"/>
    <n v="60"/>
    <n v="53"/>
    <n v="22"/>
    <n v="0"/>
    <n v="0"/>
    <m/>
    <n v="0"/>
    <n v="0"/>
    <m/>
    <m/>
    <n v="0"/>
    <n v="0"/>
    <s v="Pas de changement"/>
    <s v="Oui"/>
    <n v="49"/>
    <n v="450"/>
    <n v="208"/>
    <n v="242"/>
    <s v="Entre 3 mois et 1 an"/>
    <n v="0"/>
    <n v="49"/>
    <n v="0"/>
    <n v="0"/>
    <n v="0"/>
    <m/>
    <n v="0"/>
    <n v="0"/>
    <m/>
    <n v="0"/>
    <m/>
    <m/>
    <m/>
    <m/>
    <m/>
    <n v="0"/>
    <m/>
    <m/>
    <m/>
    <m/>
    <m/>
    <m/>
    <m/>
    <m/>
    <m/>
    <m/>
    <m/>
    <m/>
    <m/>
    <s v="1"/>
    <s v="1"/>
    <s v="1"/>
    <n v="3"/>
  </r>
  <r>
    <n v="2691074"/>
    <s v="Extrême-Nord"/>
    <s v="CMR004"/>
    <x v="1"/>
    <s v="CMR004002"/>
    <s v="Logone-Birni"/>
    <s v="CMR004002004"/>
    <s v="LBI-0124"/>
    <s v="NDJAMENA ISSA"/>
    <m/>
    <x v="1"/>
    <n v="11.7770283"/>
    <n v="15.0704119"/>
    <x v="0"/>
    <b v="1"/>
    <b v="0"/>
    <b v="0"/>
    <m/>
    <n v="4"/>
    <s v="Accessible"/>
    <m/>
    <s v="Le village accueille une population"/>
    <s v="Le village est partiellement détruit"/>
    <s v="Conflit intercommunautaire"/>
    <m/>
    <s v="Oui"/>
    <s v="Familles d'accueil"/>
    <s v="Non, pas du tout"/>
    <s v="Non"/>
    <m/>
    <m/>
    <n v="360"/>
    <s v="Non"/>
    <m/>
    <m/>
    <m/>
    <m/>
    <m/>
    <m/>
    <m/>
    <m/>
    <m/>
    <m/>
    <m/>
    <m/>
    <m/>
    <m/>
    <m/>
    <m/>
    <m/>
    <s v="Non"/>
    <m/>
    <m/>
    <m/>
    <m/>
    <m/>
    <m/>
    <m/>
    <m/>
    <m/>
    <m/>
    <m/>
    <m/>
    <m/>
    <m/>
    <m/>
    <s v="Oui"/>
    <n v="46"/>
    <n v="360"/>
    <n v="160"/>
    <n v="200"/>
    <s v="Entre 3 mois et 1 an"/>
    <n v="40"/>
    <n v="6"/>
    <n v="0"/>
    <n v="0"/>
    <n v="0"/>
    <m/>
    <n v="0"/>
    <n v="0"/>
    <m/>
    <n v="0"/>
    <m/>
    <m/>
    <m/>
    <m/>
    <m/>
    <n v="0"/>
    <m/>
    <m/>
    <m/>
    <m/>
    <m/>
    <m/>
    <m/>
    <m/>
    <m/>
    <m/>
    <m/>
    <m/>
    <m/>
    <s v="0"/>
    <s v="0"/>
    <s v="1"/>
    <n v="1"/>
  </r>
  <r>
    <n v="2720961"/>
    <s v="Extrême-Nord"/>
    <s v="CMR004"/>
    <x v="1"/>
    <s v="CMR004002"/>
    <s v="Logone-Birni"/>
    <s v="CMR004002004"/>
    <s v="LBI-0083"/>
    <s v="NDJAMENA SABLA"/>
    <m/>
    <x v="1"/>
    <n v="11.9048154"/>
    <n v="14.957391700000001"/>
    <x v="0"/>
    <b v="1"/>
    <b v="0"/>
    <b v="0"/>
    <m/>
    <n v="3"/>
    <s v="Accessible"/>
    <m/>
    <s v="Le village accueille une population"/>
    <s v="Le village est partiellement détruit"/>
    <s v="Conflit intercommunautaire"/>
    <m/>
    <s v="Oui"/>
    <s v="Familles d'accueil"/>
    <s v="Non, pas du tout"/>
    <s v="Non"/>
    <m/>
    <m/>
    <n v="255"/>
    <s v="Non"/>
    <m/>
    <m/>
    <m/>
    <m/>
    <m/>
    <m/>
    <m/>
    <m/>
    <m/>
    <m/>
    <m/>
    <m/>
    <m/>
    <m/>
    <m/>
    <m/>
    <m/>
    <s v="Non"/>
    <m/>
    <m/>
    <m/>
    <m/>
    <m/>
    <m/>
    <m/>
    <m/>
    <m/>
    <m/>
    <m/>
    <m/>
    <m/>
    <m/>
    <m/>
    <s v="Oui"/>
    <n v="127"/>
    <n v="255"/>
    <n v="110"/>
    <n v="145"/>
    <s v="Moins de 3 mois"/>
    <n v="93"/>
    <n v="34"/>
    <n v="0"/>
    <n v="0"/>
    <n v="0"/>
    <m/>
    <n v="0"/>
    <n v="0"/>
    <m/>
    <n v="0"/>
    <m/>
    <m/>
    <m/>
    <m/>
    <m/>
    <n v="0"/>
    <m/>
    <m/>
    <m/>
    <m/>
    <m/>
    <m/>
    <m/>
    <m/>
    <m/>
    <m/>
    <m/>
    <m/>
    <m/>
    <s v="0"/>
    <s v="0"/>
    <s v="1"/>
    <n v="1"/>
  </r>
  <r>
    <n v="2682900"/>
    <s v="Extrême-Nord"/>
    <s v="CMR004"/>
    <x v="1"/>
    <s v="CMR004002"/>
    <s v="Logone-Birni"/>
    <s v="CMR004002004"/>
    <s v="LBI-0033"/>
    <s v="NDOM"/>
    <m/>
    <x v="1"/>
    <n v="12.0525444"/>
    <n v="14.8901661"/>
    <x v="0"/>
    <b v="1"/>
    <b v="0"/>
    <b v="0"/>
    <m/>
    <n v="4"/>
    <s v="Accessible"/>
    <m/>
    <s v="Le village accueille une population"/>
    <s v="Le village est intact (construit)"/>
    <m/>
    <m/>
    <s v="Oui"/>
    <s v="Familles d'accueil"/>
    <s v="Non, pas du tout"/>
    <s v="Non"/>
    <m/>
    <n v="16"/>
    <n v="500"/>
    <s v="Oui"/>
    <s v="Premier déplacement"/>
    <n v="16"/>
    <n v="117"/>
    <n v="52"/>
    <n v="65"/>
    <n v="0"/>
    <n v="0"/>
    <n v="0"/>
    <n v="0"/>
    <m/>
    <m/>
    <n v="0"/>
    <n v="16"/>
    <s v="Terre cuite/Terre battue"/>
    <m/>
    <n v="0"/>
    <s v="Pas de changement. Il n'y a ni arrivée ni départ."/>
    <s v="Oui"/>
    <n v="18"/>
    <n v="205"/>
    <n v="82"/>
    <n v="123"/>
    <n v="0"/>
    <n v="0"/>
    <n v="0"/>
    <m/>
    <n v="0"/>
    <n v="18"/>
    <s v="Terre cuite/Terre battue"/>
    <m/>
    <n v="0"/>
    <n v="0"/>
    <s v="Il n'y a ni arrivée ni départ.  Donc, pas de changement."/>
    <s v="Non"/>
    <m/>
    <m/>
    <m/>
    <m/>
    <m/>
    <m/>
    <m/>
    <m/>
    <m/>
    <m/>
    <m/>
    <m/>
    <m/>
    <m/>
    <m/>
    <m/>
    <m/>
    <m/>
    <m/>
    <m/>
    <n v="0"/>
    <m/>
    <m/>
    <m/>
    <m/>
    <m/>
    <m/>
    <m/>
    <m/>
    <m/>
    <m/>
    <m/>
    <m/>
    <m/>
    <s v="1"/>
    <s v="1"/>
    <s v="0"/>
    <n v="2"/>
  </r>
  <r>
    <n v="2713442"/>
    <s v="Extrême-Nord"/>
    <s v="CMR004"/>
    <x v="1"/>
    <s v="CMR004002"/>
    <s v="Logone-Birni"/>
    <s v="CMR004002004"/>
    <s v="LBI-0080"/>
    <s v="NDOUDOUM"/>
    <m/>
    <x v="1"/>
    <n v="11.8504697"/>
    <n v="15.076551800000001"/>
    <x v="0"/>
    <b v="0"/>
    <b v="1"/>
    <b v="1"/>
    <n v="6"/>
    <m/>
    <s v="Accessible"/>
    <m/>
    <s v="Le village accueille une population"/>
    <s v="Le village est intact (construit)"/>
    <m/>
    <m/>
    <s v="Oui"/>
    <s v="Familles d'accueil"/>
    <s v="Non, pas du tout"/>
    <s v="Non"/>
    <m/>
    <n v="15"/>
    <n v="242"/>
    <s v="Oui"/>
    <s v="Deuxième déplacement"/>
    <n v="15"/>
    <n v="20"/>
    <n v="5"/>
    <n v="15"/>
    <n v="0"/>
    <n v="15"/>
    <n v="0"/>
    <n v="0"/>
    <m/>
    <m/>
    <n v="0"/>
    <n v="0"/>
    <m/>
    <m/>
    <n v="0"/>
    <s v="Aucun changement "/>
    <s v="Non"/>
    <m/>
    <m/>
    <m/>
    <m/>
    <m/>
    <m/>
    <m/>
    <m/>
    <m/>
    <m/>
    <m/>
    <m/>
    <m/>
    <m/>
    <m/>
    <s v="Oui"/>
    <n v="15"/>
    <n v="107"/>
    <n v="45"/>
    <n v="62"/>
    <s v="Entre 3 mois et 1 an"/>
    <n v="0"/>
    <n v="15"/>
    <n v="0"/>
    <n v="0"/>
    <n v="0"/>
    <m/>
    <n v="0"/>
    <n v="0"/>
    <m/>
    <n v="0"/>
    <m/>
    <m/>
    <m/>
    <m/>
    <m/>
    <n v="0"/>
    <m/>
    <m/>
    <m/>
    <m/>
    <m/>
    <m/>
    <m/>
    <m/>
    <m/>
    <m/>
    <m/>
    <m/>
    <m/>
    <s v="1"/>
    <s v="0"/>
    <s v="1"/>
    <n v="2"/>
  </r>
  <r>
    <n v="2680247"/>
    <s v="Extrême-Nord"/>
    <s v="CMR004"/>
    <x v="1"/>
    <s v="CMR004002"/>
    <s v="Logone-Birni"/>
    <s v="CMR004002004"/>
    <s v="LBI-0015"/>
    <s v="NGADA"/>
    <m/>
    <x v="1"/>
    <s v="N/A"/>
    <s v="N/A"/>
    <x v="0"/>
    <b v="1"/>
    <b v="0"/>
    <b v="0"/>
    <m/>
    <n v="3"/>
    <s v="Inaccessible - pas d'accès physique"/>
    <s v="Aléas climatiques (inondations)"/>
    <s v="Le village accueille une population"/>
    <s v="Le village est partiellement détruit"/>
    <s v="Intempéries (inondations, tempêtes etc.)"/>
    <m/>
    <s v="Oui"/>
    <s v="Familles d'accueil"/>
    <s v="Non, pas du tout"/>
    <s v="Non"/>
    <m/>
    <n v="59"/>
    <n v="890"/>
    <s v="Oui"/>
    <s v="Premier déplacement"/>
    <n v="59"/>
    <n v="309"/>
    <n v="120"/>
    <n v="189"/>
    <n v="0"/>
    <n v="0"/>
    <n v="0"/>
    <n v="0"/>
    <m/>
    <m/>
    <n v="0"/>
    <n v="59"/>
    <s v="Terre cuite/Terre battue"/>
    <m/>
    <n v="0"/>
    <s v="Diminution de 30 ménages pour 309 individus partis à KASHAL, MADEF et MANNA."/>
    <s v="Oui"/>
    <n v="50"/>
    <n v="198"/>
    <n v="86"/>
    <n v="112"/>
    <n v="0"/>
    <n v="0"/>
    <n v="0"/>
    <m/>
    <n v="0"/>
    <n v="50"/>
    <s v="Paille/Natte/Nylon"/>
    <m/>
    <n v="0"/>
    <n v="0"/>
    <s v="Pas de changement"/>
    <s v="Oui"/>
    <n v="58"/>
    <n v="581"/>
    <n v="200"/>
    <n v="381"/>
    <s v="Moins de 3 mois"/>
    <n v="0"/>
    <n v="58"/>
    <n v="0"/>
    <n v="0"/>
    <n v="0"/>
    <m/>
    <n v="0"/>
    <n v="0"/>
    <m/>
    <n v="0"/>
    <m/>
    <m/>
    <m/>
    <m/>
    <m/>
    <n v="0"/>
    <m/>
    <m/>
    <m/>
    <m/>
    <m/>
    <m/>
    <m/>
    <m/>
    <m/>
    <m/>
    <m/>
    <m/>
    <m/>
    <s v="1"/>
    <s v="1"/>
    <s v="1"/>
    <n v="3"/>
  </r>
  <r>
    <n v="2619958"/>
    <s v="Extrême-Nord"/>
    <s v="CMR004"/>
    <x v="1"/>
    <s v="CMR004002"/>
    <s v="Logone-Birni"/>
    <s v="CMR004002004"/>
    <s v="LBI-0073"/>
    <s v="NGOUAMA"/>
    <m/>
    <x v="1"/>
    <n v="11.7792926"/>
    <n v="15.104868099999999"/>
    <x v="0"/>
    <b v="1"/>
    <b v="0"/>
    <b v="1"/>
    <m/>
    <n v="3"/>
    <s v="Accessible"/>
    <m/>
    <s v="Le village accueille une population"/>
    <s v="Le village est intact (construit)"/>
    <m/>
    <m/>
    <s v="Oui"/>
    <s v="Familles d'accueil"/>
    <s v="Non, pas du tout"/>
    <s v="Non"/>
    <m/>
    <n v="20"/>
    <n v="371"/>
    <s v="Oui"/>
    <s v="Premier déplacement"/>
    <n v="20"/>
    <n v="75"/>
    <n v="30"/>
    <n v="45"/>
    <n v="0"/>
    <n v="20"/>
    <n v="0"/>
    <n v="0"/>
    <m/>
    <m/>
    <n v="0"/>
    <n v="0"/>
    <m/>
    <m/>
    <n v="0"/>
    <s v="Augmentation de 2 individus suite à la naissance "/>
    <s v="Oui"/>
    <n v="4"/>
    <n v="16"/>
    <n v="6"/>
    <n v="10"/>
    <n v="4"/>
    <n v="0"/>
    <n v="0"/>
    <m/>
    <n v="0"/>
    <n v="0"/>
    <m/>
    <m/>
    <n v="0"/>
    <n v="0"/>
    <s v="Ces réfugiés sont sur le point de partir car ils sont entrain de reconstruire leurs habitats "/>
    <s v="Oui"/>
    <n v="29"/>
    <n v="123"/>
    <n v="53"/>
    <n v="70"/>
    <s v="Entre 3 mois et 1 an"/>
    <n v="0"/>
    <n v="29"/>
    <n v="0"/>
    <n v="0"/>
    <n v="0"/>
    <m/>
    <n v="0"/>
    <n v="0"/>
    <m/>
    <n v="0"/>
    <m/>
    <m/>
    <m/>
    <m/>
    <m/>
    <n v="0"/>
    <m/>
    <m/>
    <m/>
    <m/>
    <m/>
    <m/>
    <m/>
    <m/>
    <m/>
    <m/>
    <m/>
    <m/>
    <m/>
    <s v="1"/>
    <s v="1"/>
    <s v="1"/>
    <n v="3"/>
  </r>
  <r>
    <n v="2659452"/>
    <s v="Extrême-Nord"/>
    <s v="CMR004"/>
    <x v="1"/>
    <s v="CMR004002"/>
    <s v="Logone-Birni"/>
    <s v="CMR004002004"/>
    <s v="LBI-0034"/>
    <s v="NGOYKOKA"/>
    <m/>
    <x v="1"/>
    <n v="12.0683074"/>
    <n v="14.7240544"/>
    <x v="0"/>
    <b v="1"/>
    <b v="0"/>
    <b v="0"/>
    <m/>
    <n v="3"/>
    <s v="Accessible"/>
    <m/>
    <s v="Le village accueille une population"/>
    <s v="Le village est intact (construit)"/>
    <m/>
    <m/>
    <s v="Oui"/>
    <s v="Familles d'accueil"/>
    <s v="Non, pas du tout"/>
    <s v="Non"/>
    <m/>
    <n v="15"/>
    <n v="4049"/>
    <s v="Oui"/>
    <s v="Premier déplacement"/>
    <n v="15"/>
    <n v="31"/>
    <n v="16"/>
    <n v="15"/>
    <n v="0"/>
    <n v="15"/>
    <n v="0"/>
    <n v="0"/>
    <m/>
    <m/>
    <n v="0"/>
    <n v="0"/>
    <m/>
    <m/>
    <n v="0"/>
    <s v="Pas de changement"/>
    <s v="Oui"/>
    <n v="20"/>
    <n v="130"/>
    <n v="63"/>
    <n v="67"/>
    <n v="20"/>
    <n v="0"/>
    <n v="0"/>
    <m/>
    <n v="0"/>
    <n v="0"/>
    <m/>
    <m/>
    <n v="0"/>
    <n v="0"/>
    <s v="Pas de changement"/>
    <s v="Non"/>
    <m/>
    <m/>
    <m/>
    <m/>
    <m/>
    <m/>
    <m/>
    <m/>
    <m/>
    <m/>
    <m/>
    <m/>
    <m/>
    <m/>
    <m/>
    <m/>
    <m/>
    <m/>
    <m/>
    <m/>
    <n v="0"/>
    <m/>
    <m/>
    <m/>
    <m/>
    <m/>
    <m/>
    <m/>
    <m/>
    <m/>
    <m/>
    <m/>
    <m/>
    <m/>
    <s v="1"/>
    <s v="1"/>
    <s v="0"/>
    <n v="2"/>
  </r>
  <r>
    <n v="2578476"/>
    <s v="Extrême-Nord"/>
    <s v="CMR004"/>
    <x v="1"/>
    <s v="CMR004002"/>
    <s v="Logone-Birni"/>
    <s v="CMR004002004"/>
    <s v="LBI-0077"/>
    <s v="OULI ANKARENA"/>
    <m/>
    <x v="1"/>
    <n v="11.8259209"/>
    <n v="15.0568233"/>
    <x v="0"/>
    <b v="1"/>
    <b v="0"/>
    <b v="0"/>
    <m/>
    <n v="3"/>
    <s v="Accessible"/>
    <m/>
    <s v="Le village accueille une population"/>
    <s v="Le village est partiellement détruit"/>
    <s v="Conflit intercommunautaire"/>
    <m/>
    <s v="Non"/>
    <m/>
    <m/>
    <m/>
    <m/>
    <m/>
    <m/>
    <m/>
    <m/>
    <m/>
    <m/>
    <m/>
    <m/>
    <m/>
    <m/>
    <m/>
    <m/>
    <m/>
    <m/>
    <m/>
    <m/>
    <m/>
    <m/>
    <m/>
    <m/>
    <m/>
    <m/>
    <m/>
    <m/>
    <m/>
    <m/>
    <m/>
    <m/>
    <m/>
    <m/>
    <m/>
    <m/>
    <m/>
    <m/>
    <m/>
    <m/>
    <m/>
    <m/>
    <m/>
    <m/>
    <m/>
    <m/>
    <m/>
    <m/>
    <m/>
    <m/>
    <m/>
    <m/>
    <m/>
    <m/>
    <m/>
    <m/>
    <m/>
    <m/>
    <m/>
    <m/>
    <m/>
    <m/>
    <m/>
    <m/>
    <m/>
    <m/>
    <m/>
    <m/>
    <m/>
    <m/>
    <m/>
    <m/>
    <m/>
    <m/>
    <m/>
    <s v="0"/>
    <s v="0"/>
    <s v="0"/>
    <n v="0"/>
  </r>
  <r>
    <n v="2634714"/>
    <s v="Extrême-Nord"/>
    <s v="CMR004"/>
    <x v="1"/>
    <s v="CMR004002"/>
    <s v="Logone-Birni"/>
    <s v="CMR004002004"/>
    <s v="LBI-0103"/>
    <s v="OULI DELIBE"/>
    <m/>
    <x v="1"/>
    <n v="11.811223399999999"/>
    <n v="15.051394500000001"/>
    <x v="0"/>
    <b v="1"/>
    <b v="0"/>
    <b v="0"/>
    <m/>
    <n v="3"/>
    <s v="Accessible"/>
    <m/>
    <s v="Le village accueille une population"/>
    <s v="Le village est partiellement détruit"/>
    <s v="Conflit intercommunautaire"/>
    <m/>
    <s v="Oui"/>
    <s v="Familles d'accueil"/>
    <s v="Non, pas du tout"/>
    <s v="Non"/>
    <m/>
    <m/>
    <n v="310"/>
    <s v="Non"/>
    <m/>
    <m/>
    <m/>
    <m/>
    <m/>
    <m/>
    <m/>
    <m/>
    <m/>
    <m/>
    <m/>
    <m/>
    <m/>
    <m/>
    <m/>
    <m/>
    <m/>
    <s v="Non"/>
    <m/>
    <m/>
    <m/>
    <m/>
    <m/>
    <m/>
    <m/>
    <m/>
    <m/>
    <m/>
    <m/>
    <m/>
    <m/>
    <m/>
    <m/>
    <s v="Oui"/>
    <n v="51"/>
    <n v="310"/>
    <n v="123"/>
    <n v="187"/>
    <s v="Entre 3 mois et 1 an"/>
    <n v="3"/>
    <n v="48"/>
    <n v="0"/>
    <n v="0"/>
    <n v="0"/>
    <m/>
    <n v="0"/>
    <n v="0"/>
    <m/>
    <n v="0"/>
    <m/>
    <m/>
    <m/>
    <m/>
    <m/>
    <n v="0"/>
    <m/>
    <m/>
    <m/>
    <m/>
    <m/>
    <m/>
    <m/>
    <m/>
    <m/>
    <m/>
    <m/>
    <m/>
    <m/>
    <s v="0"/>
    <s v="0"/>
    <s v="1"/>
    <n v="1"/>
  </r>
  <r>
    <n v="2590746"/>
    <s v="Extrême-Nord"/>
    <s v="CMR004"/>
    <x v="1"/>
    <s v="CMR004002"/>
    <s v="Logone-Birni"/>
    <s v="CMR004002004"/>
    <s v="LBI-0079"/>
    <s v="OULI HERAS"/>
    <m/>
    <x v="1"/>
    <n v="11.819635699999999"/>
    <n v="15.0561658"/>
    <x v="0"/>
    <b v="1"/>
    <b v="0"/>
    <b v="0"/>
    <m/>
    <n v="3"/>
    <s v="Accessible"/>
    <m/>
    <s v="Le village accueille une population"/>
    <s v="Le village est intact (construit)"/>
    <m/>
    <m/>
    <s v="Oui"/>
    <s v="Familles d'accueil"/>
    <s v="Non, pas du tout"/>
    <s v="Non"/>
    <m/>
    <m/>
    <n v="336"/>
    <s v="Non"/>
    <m/>
    <m/>
    <m/>
    <m/>
    <m/>
    <m/>
    <m/>
    <m/>
    <m/>
    <m/>
    <m/>
    <m/>
    <m/>
    <m/>
    <m/>
    <m/>
    <m/>
    <s v="Non"/>
    <m/>
    <m/>
    <m/>
    <m/>
    <m/>
    <m/>
    <m/>
    <m/>
    <m/>
    <m/>
    <m/>
    <m/>
    <m/>
    <m/>
    <m/>
    <s v="Oui"/>
    <n v="43"/>
    <n v="336"/>
    <n v="129"/>
    <n v="207"/>
    <s v="Moins de 3 mois"/>
    <n v="0"/>
    <n v="43"/>
    <n v="0"/>
    <n v="0"/>
    <n v="0"/>
    <m/>
    <n v="0"/>
    <n v="0"/>
    <m/>
    <n v="0"/>
    <m/>
    <m/>
    <m/>
    <m/>
    <m/>
    <n v="0"/>
    <m/>
    <m/>
    <m/>
    <m/>
    <m/>
    <m/>
    <m/>
    <m/>
    <m/>
    <m/>
    <m/>
    <m/>
    <m/>
    <s v="0"/>
    <s v="0"/>
    <s v="1"/>
    <n v="1"/>
  </r>
  <r>
    <n v="2630233"/>
    <s v="Extrême-Nord"/>
    <s v="CMR004"/>
    <x v="1"/>
    <s v="CMR004002"/>
    <s v="Logone-Birni"/>
    <s v="CMR004002004"/>
    <s v="LBI-0104"/>
    <s v="OULI MAGNAKO"/>
    <m/>
    <x v="1"/>
    <n v="11.801254800000001"/>
    <n v="15.0547512"/>
    <x v="0"/>
    <b v="0"/>
    <b v="1"/>
    <b v="1"/>
    <n v="6"/>
    <m/>
    <s v="Accessible"/>
    <m/>
    <s v="Le village accueille une population"/>
    <s v="Le village est partiellement détruit"/>
    <s v="Conflit intercommunautaire"/>
    <m/>
    <s v="Oui"/>
    <s v="Familles d'accueil"/>
    <s v="Non, pas du tout"/>
    <s v="Non"/>
    <m/>
    <m/>
    <n v="620"/>
    <s v="Non"/>
    <m/>
    <m/>
    <m/>
    <m/>
    <m/>
    <m/>
    <m/>
    <m/>
    <m/>
    <m/>
    <m/>
    <m/>
    <m/>
    <m/>
    <m/>
    <m/>
    <m/>
    <s v="Non"/>
    <m/>
    <m/>
    <m/>
    <m/>
    <m/>
    <m/>
    <m/>
    <m/>
    <m/>
    <m/>
    <m/>
    <m/>
    <m/>
    <m/>
    <m/>
    <s v="Oui"/>
    <n v="99"/>
    <n v="620"/>
    <n v="245"/>
    <n v="375"/>
    <s v="Entre 3 mois et 1 an"/>
    <n v="0"/>
    <n v="99"/>
    <n v="0"/>
    <n v="0"/>
    <n v="0"/>
    <m/>
    <n v="0"/>
    <n v="0"/>
    <m/>
    <n v="0"/>
    <m/>
    <m/>
    <m/>
    <m/>
    <m/>
    <n v="0"/>
    <m/>
    <m/>
    <m/>
    <m/>
    <m/>
    <m/>
    <m/>
    <m/>
    <m/>
    <m/>
    <m/>
    <m/>
    <m/>
    <s v="0"/>
    <s v="0"/>
    <s v="1"/>
    <n v="1"/>
  </r>
  <r>
    <n v="2583648"/>
    <s v="Extrême-Nord"/>
    <s v="CMR004"/>
    <x v="1"/>
    <s v="CMR004002"/>
    <s v="Logone-Birni"/>
    <s v="CMR004002004"/>
    <s v="LBI-0078"/>
    <s v="OULI MAM"/>
    <m/>
    <x v="1"/>
    <n v="11.823494"/>
    <n v="15.05512279999999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95925"/>
    <s v="Extrême-Nord"/>
    <s v="CMR004"/>
    <x v="1"/>
    <s v="CMR004002"/>
    <s v="Logone-Birni"/>
    <s v="CMR004002004"/>
    <s v="LBI-0085"/>
    <s v="RIDINA"/>
    <m/>
    <x v="1"/>
    <n v="11.900793699999999"/>
    <n v="14.958211"/>
    <x v="0"/>
    <b v="1"/>
    <b v="0"/>
    <b v="0"/>
    <m/>
    <n v="3"/>
    <s v="Accessible"/>
    <m/>
    <s v="Le village accueille une population"/>
    <s v="Le village est partiellement détruit"/>
    <s v="Conflit intercommunautaire"/>
    <m/>
    <s v="Oui"/>
    <s v="Familles d'accueil"/>
    <s v="Non, pas du tout"/>
    <s v="Non"/>
    <m/>
    <m/>
    <n v="815"/>
    <s v="Non"/>
    <m/>
    <m/>
    <m/>
    <m/>
    <m/>
    <m/>
    <m/>
    <m/>
    <m/>
    <m/>
    <m/>
    <m/>
    <m/>
    <m/>
    <m/>
    <m/>
    <m/>
    <s v="Non"/>
    <m/>
    <m/>
    <m/>
    <m/>
    <m/>
    <m/>
    <m/>
    <m/>
    <m/>
    <m/>
    <m/>
    <m/>
    <m/>
    <m/>
    <m/>
    <s v="Oui"/>
    <n v="122"/>
    <n v="800"/>
    <n v="350"/>
    <n v="450"/>
    <s v="Entre 3 mois et 1 an"/>
    <n v="50"/>
    <n v="42"/>
    <n v="0"/>
    <n v="0"/>
    <n v="0"/>
    <m/>
    <n v="0"/>
    <n v="30"/>
    <s v="Terre cuite/Terre battue"/>
    <n v="0"/>
    <m/>
    <m/>
    <m/>
    <m/>
    <m/>
    <n v="0"/>
    <m/>
    <m/>
    <m/>
    <m/>
    <m/>
    <m/>
    <m/>
    <m/>
    <m/>
    <m/>
    <m/>
    <m/>
    <m/>
    <s v="0"/>
    <s v="0"/>
    <s v="1"/>
    <n v="1"/>
  </r>
  <r>
    <n v="2659534"/>
    <s v="Extrême-Nord"/>
    <s v="CMR004"/>
    <x v="1"/>
    <s v="CMR004002"/>
    <s v="Logone-Birni"/>
    <s v="CMR004002004"/>
    <s v="LBI-0016"/>
    <s v="SAHABA 3"/>
    <m/>
    <x v="1"/>
    <n v="12.0356328"/>
    <n v="14.7980541"/>
    <x v="0"/>
    <b v="1"/>
    <b v="0"/>
    <b v="0"/>
    <m/>
    <n v="3"/>
    <s v="Accessible"/>
    <m/>
    <s v="Le village accueille une population"/>
    <s v="Le village est intact (construit)"/>
    <m/>
    <m/>
    <s v="Oui"/>
    <s v="Familles d'accueil"/>
    <s v="Non, pas du tout"/>
    <s v="Non"/>
    <m/>
    <n v="98"/>
    <n v="1388"/>
    <s v="Oui"/>
    <s v="Premier déplacement"/>
    <n v="98"/>
    <n v="492"/>
    <n v="238"/>
    <n v="254"/>
    <n v="0"/>
    <n v="98"/>
    <n v="0"/>
    <n v="0"/>
    <m/>
    <m/>
    <n v="0"/>
    <n v="0"/>
    <m/>
    <m/>
    <n v="0"/>
    <s v="Départ d'un ménage de 7 individus pour Michidiré arrondissement de Waza"/>
    <s v="Oui"/>
    <n v="104"/>
    <n v="525"/>
    <n v="240"/>
    <n v="285"/>
    <n v="15"/>
    <n v="0"/>
    <n v="0"/>
    <m/>
    <n v="0"/>
    <n v="89"/>
    <s v="Paille/Natte/Nylon"/>
    <m/>
    <n v="0"/>
    <n v="0"/>
    <s v="Pas de changement"/>
    <s v="Non"/>
    <m/>
    <m/>
    <m/>
    <m/>
    <m/>
    <m/>
    <m/>
    <m/>
    <m/>
    <m/>
    <m/>
    <m/>
    <m/>
    <m/>
    <m/>
    <m/>
    <m/>
    <m/>
    <m/>
    <m/>
    <n v="0"/>
    <m/>
    <m/>
    <m/>
    <m/>
    <m/>
    <m/>
    <m/>
    <m/>
    <m/>
    <m/>
    <m/>
    <m/>
    <m/>
    <s v="1"/>
    <s v="1"/>
    <s v="0"/>
    <n v="2"/>
  </r>
  <r>
    <n v="2613512"/>
    <s v="Extrême-Nord"/>
    <s v="CMR004"/>
    <x v="1"/>
    <s v="CMR004002"/>
    <s v="Logone-Birni"/>
    <s v="CMR004002004"/>
    <s v="LBI-0008"/>
    <s v="SALERI"/>
    <m/>
    <x v="1"/>
    <n v="12.0452092"/>
    <n v="14.694851"/>
    <x v="0"/>
    <b v="1"/>
    <b v="0"/>
    <b v="0"/>
    <m/>
    <n v="3"/>
    <s v="Accessible"/>
    <m/>
    <s v="Le village est entièrement déserté"/>
    <m/>
    <m/>
    <m/>
    <m/>
    <m/>
    <m/>
    <m/>
    <m/>
    <m/>
    <m/>
    <m/>
    <m/>
    <m/>
    <m/>
    <m/>
    <m/>
    <m/>
    <m/>
    <m/>
    <m/>
    <m/>
    <m/>
    <m/>
    <m/>
    <m/>
    <m/>
    <m/>
    <m/>
    <m/>
    <m/>
    <m/>
    <m/>
    <m/>
    <m/>
    <m/>
    <m/>
    <m/>
    <m/>
    <m/>
    <m/>
    <m/>
    <m/>
    <m/>
    <m/>
    <m/>
    <m/>
    <m/>
    <m/>
    <m/>
    <m/>
    <m/>
    <m/>
    <m/>
    <m/>
    <m/>
    <m/>
    <m/>
    <m/>
    <m/>
    <m/>
    <m/>
    <m/>
    <m/>
    <m/>
    <m/>
    <m/>
    <m/>
    <m/>
    <m/>
    <m/>
    <m/>
    <m/>
    <m/>
    <m/>
    <m/>
    <m/>
    <m/>
    <m/>
    <m/>
    <s v="0"/>
    <s v="0"/>
    <s v="0"/>
    <n v="0"/>
  </r>
  <r>
    <n v="2667496"/>
    <s v="Extrême-Nord"/>
    <s v="CMR004"/>
    <x v="1"/>
    <s v="CMR004002"/>
    <s v="Logone-Birni"/>
    <s v="CMR004002004"/>
    <s v="LBI-0082"/>
    <s v="SAMAKALE"/>
    <m/>
    <x v="1"/>
    <n v="11.980467600000001"/>
    <n v="15.0438659"/>
    <x v="0"/>
    <b v="1"/>
    <b v="0"/>
    <b v="1"/>
    <m/>
    <n v="3"/>
    <s v="Accessible"/>
    <m/>
    <s v="Le village accueille une population"/>
    <s v="Le village est partiellement détruit"/>
    <s v="Conflit intercommunautaire"/>
    <m/>
    <s v="Oui"/>
    <s v="Familles d'accueil"/>
    <s v="Non, pas du tout"/>
    <s v="Non"/>
    <m/>
    <m/>
    <n v="350"/>
    <s v="Non"/>
    <m/>
    <m/>
    <m/>
    <m/>
    <m/>
    <m/>
    <m/>
    <m/>
    <m/>
    <m/>
    <m/>
    <m/>
    <m/>
    <m/>
    <m/>
    <m/>
    <m/>
    <s v="Oui"/>
    <n v="10"/>
    <n v="40"/>
    <n v="15"/>
    <n v="25"/>
    <n v="10"/>
    <n v="0"/>
    <n v="0"/>
    <m/>
    <n v="0"/>
    <n v="0"/>
    <m/>
    <m/>
    <n v="0"/>
    <n v="0"/>
    <s v="Certains réfugiés sont sur le point de partir "/>
    <s v="Oui"/>
    <n v="103"/>
    <n v="315"/>
    <n v="120"/>
    <n v="195"/>
    <s v="Entre 3 mois et 1 an"/>
    <n v="0"/>
    <n v="90"/>
    <n v="13"/>
    <n v="0"/>
    <n v="0"/>
    <m/>
    <n v="0"/>
    <n v="0"/>
    <m/>
    <n v="0"/>
    <m/>
    <m/>
    <m/>
    <m/>
    <m/>
    <n v="0"/>
    <m/>
    <m/>
    <m/>
    <m/>
    <m/>
    <m/>
    <m/>
    <m/>
    <m/>
    <m/>
    <m/>
    <m/>
    <m/>
    <s v="0"/>
    <s v="1"/>
    <s v="1"/>
    <n v="2"/>
  </r>
  <r>
    <n v="2690389"/>
    <s v="Extrême-Nord"/>
    <s v="CMR004"/>
    <x v="1"/>
    <s v="CMR004002"/>
    <s v="Logone-Birni"/>
    <s v="CMR004002004"/>
    <s v="LBI-0005"/>
    <s v="SITE DE CHAFOU IDJELIDJE"/>
    <m/>
    <x v="1"/>
    <n v="12.1071142"/>
    <n v="14.8308576"/>
    <x v="1"/>
    <b v="1"/>
    <b v="0"/>
    <b v="0"/>
    <m/>
    <n v="3"/>
    <s v="Accessible"/>
    <m/>
    <s v="Le village accueille une population"/>
    <s v="Le village est intact (construit)"/>
    <m/>
    <m/>
    <s v="Oui"/>
    <s v="Sites de déplacement spontanés"/>
    <s v="Non, pas du tout"/>
    <m/>
    <m/>
    <n v="53"/>
    <n v="228"/>
    <s v="Oui"/>
    <s v="Deuxième déplacement"/>
    <n v="53"/>
    <n v="228"/>
    <n v="110"/>
    <n v="118"/>
    <n v="0"/>
    <n v="0"/>
    <n v="0"/>
    <n v="0"/>
    <m/>
    <m/>
    <n v="0"/>
    <n v="53"/>
    <s v="Terre cuite/Terre battue"/>
    <m/>
    <n v="0"/>
    <s v="Pas de changement"/>
    <s v="Non"/>
    <m/>
    <m/>
    <m/>
    <m/>
    <m/>
    <m/>
    <m/>
    <m/>
    <m/>
    <m/>
    <m/>
    <m/>
    <m/>
    <m/>
    <m/>
    <s v="Non"/>
    <m/>
    <m/>
    <m/>
    <m/>
    <m/>
    <m/>
    <m/>
    <m/>
    <m/>
    <m/>
    <m/>
    <m/>
    <m/>
    <m/>
    <m/>
    <m/>
    <m/>
    <m/>
    <m/>
    <m/>
    <n v="0"/>
    <m/>
    <m/>
    <m/>
    <m/>
    <m/>
    <m/>
    <m/>
    <m/>
    <m/>
    <m/>
    <m/>
    <m/>
    <m/>
    <s v="1"/>
    <s v="0"/>
    <s v="0"/>
    <n v="1"/>
  </r>
  <r>
    <n v="2690386"/>
    <s v="Extrême-Nord"/>
    <s v="CMR004"/>
    <x v="1"/>
    <s v="CMR004002"/>
    <s v="Logone-Birni"/>
    <s v="CMR004002004"/>
    <s v="LBI-0009"/>
    <s v="SITE DE FADJE"/>
    <m/>
    <x v="1"/>
    <n v="12.090597799999999"/>
    <n v="14.8367868"/>
    <x v="1"/>
    <b v="1"/>
    <b v="0"/>
    <b v="0"/>
    <m/>
    <n v="3"/>
    <s v="Accessible"/>
    <m/>
    <s v="Le village accueille une population"/>
    <s v="Le village est intact (construit)"/>
    <m/>
    <m/>
    <s v="Oui"/>
    <s v="Sites de déplacement spontanés"/>
    <s v="Non, pas du tout"/>
    <m/>
    <m/>
    <n v="15"/>
    <n v="122"/>
    <s v="Oui"/>
    <s v="Premier déplacement"/>
    <n v="15"/>
    <n v="82"/>
    <n v="47"/>
    <n v="35"/>
    <n v="0"/>
    <n v="0"/>
    <n v="0"/>
    <n v="0"/>
    <m/>
    <m/>
    <n v="0"/>
    <n v="15"/>
    <s v="Terre cuite/Terre battue"/>
    <m/>
    <n v="0"/>
    <s v="Départ de  2 ménages et 26 individus parti à kala kafra pour les raisons d'inondation  ."/>
    <s v="Oui"/>
    <n v="6"/>
    <n v="42"/>
    <n v="24"/>
    <n v="18"/>
    <n v="0"/>
    <n v="0"/>
    <n v="0"/>
    <m/>
    <n v="0"/>
    <n v="6"/>
    <s v="Terre cuite/Terre battue"/>
    <m/>
    <n v="0"/>
    <n v="0"/>
    <s v="Pas de changement "/>
    <s v="Non"/>
    <m/>
    <m/>
    <m/>
    <m/>
    <m/>
    <m/>
    <m/>
    <m/>
    <m/>
    <m/>
    <m/>
    <m/>
    <m/>
    <m/>
    <m/>
    <m/>
    <m/>
    <m/>
    <m/>
    <m/>
    <n v="0"/>
    <m/>
    <m/>
    <m/>
    <m/>
    <m/>
    <m/>
    <m/>
    <m/>
    <m/>
    <m/>
    <m/>
    <m/>
    <m/>
    <s v="1"/>
    <s v="1"/>
    <s v="0"/>
    <n v="2"/>
  </r>
  <r>
    <n v="2690387"/>
    <s v="Extrême-Nord"/>
    <s v="CMR004"/>
    <x v="1"/>
    <s v="CMR004002"/>
    <s v="Logone-Birni"/>
    <s v="CMR004002004"/>
    <s v="LBI-0061"/>
    <s v="SITE DE KALA KAFRA"/>
    <m/>
    <x v="1"/>
    <n v="12.093319299999999"/>
    <n v="14.8387987"/>
    <x v="1"/>
    <b v="1"/>
    <b v="0"/>
    <b v="0"/>
    <m/>
    <n v="3"/>
    <s v="Accessible"/>
    <m/>
    <s v="Le village est entièrement déserté"/>
    <m/>
    <m/>
    <m/>
    <m/>
    <m/>
    <m/>
    <m/>
    <m/>
    <m/>
    <m/>
    <m/>
    <m/>
    <m/>
    <m/>
    <m/>
    <m/>
    <m/>
    <m/>
    <m/>
    <m/>
    <m/>
    <m/>
    <m/>
    <m/>
    <m/>
    <m/>
    <m/>
    <m/>
    <m/>
    <m/>
    <m/>
    <m/>
    <m/>
    <m/>
    <m/>
    <m/>
    <m/>
    <m/>
    <m/>
    <m/>
    <m/>
    <m/>
    <m/>
    <m/>
    <m/>
    <m/>
    <m/>
    <m/>
    <m/>
    <m/>
    <m/>
    <m/>
    <m/>
    <m/>
    <m/>
    <m/>
    <m/>
    <m/>
    <m/>
    <m/>
    <m/>
    <m/>
    <m/>
    <m/>
    <m/>
    <m/>
    <m/>
    <m/>
    <m/>
    <m/>
    <m/>
    <m/>
    <m/>
    <m/>
    <m/>
    <m/>
    <m/>
    <m/>
    <m/>
    <s v="0"/>
    <s v="0"/>
    <s v="0"/>
    <n v="0"/>
  </r>
  <r>
    <n v="2614358"/>
    <s v="Extrême-Nord"/>
    <s v="CMR004"/>
    <x v="1"/>
    <s v="CMR004002"/>
    <s v="Logone-Birni"/>
    <s v="CMR004002004"/>
    <s v="LBI-0029"/>
    <s v="SITE DE KOMA"/>
    <m/>
    <x v="1"/>
    <n v="12.108480699999999"/>
    <n v="14.749345999999999"/>
    <x v="1"/>
    <b v="1"/>
    <b v="0"/>
    <b v="0"/>
    <m/>
    <n v="3"/>
    <s v="Accessible"/>
    <m/>
    <s v="Le village est entièrement déserté"/>
    <m/>
    <m/>
    <m/>
    <m/>
    <m/>
    <m/>
    <m/>
    <m/>
    <m/>
    <m/>
    <m/>
    <m/>
    <m/>
    <m/>
    <m/>
    <m/>
    <m/>
    <m/>
    <m/>
    <m/>
    <m/>
    <m/>
    <m/>
    <m/>
    <m/>
    <m/>
    <m/>
    <m/>
    <m/>
    <m/>
    <m/>
    <m/>
    <m/>
    <m/>
    <m/>
    <m/>
    <m/>
    <m/>
    <m/>
    <m/>
    <m/>
    <m/>
    <m/>
    <m/>
    <m/>
    <m/>
    <m/>
    <m/>
    <m/>
    <m/>
    <m/>
    <m/>
    <m/>
    <m/>
    <m/>
    <m/>
    <m/>
    <m/>
    <m/>
    <m/>
    <m/>
    <m/>
    <m/>
    <m/>
    <m/>
    <m/>
    <m/>
    <m/>
    <m/>
    <m/>
    <m/>
    <m/>
    <m/>
    <m/>
    <m/>
    <m/>
    <m/>
    <m/>
    <m/>
    <s v="0"/>
    <s v="0"/>
    <s v="0"/>
    <n v="0"/>
  </r>
  <r>
    <n v="2621878"/>
    <s v="Extrême-Nord"/>
    <s v="CMR004"/>
    <x v="1"/>
    <s v="CMR004002"/>
    <s v="Logone-Birni"/>
    <s v="CMR004002004"/>
    <s v="LBI-0065"/>
    <s v="SITE DE LIKAPPE"/>
    <m/>
    <x v="1"/>
    <n v="11.6995714"/>
    <n v="15.0099514"/>
    <x v="1"/>
    <b v="0"/>
    <b v="0"/>
    <b v="1"/>
    <m/>
    <m/>
    <s v="Accessible"/>
    <m/>
    <s v="Le village est entièrement déserté"/>
    <m/>
    <m/>
    <m/>
    <m/>
    <m/>
    <m/>
    <m/>
    <m/>
    <m/>
    <m/>
    <m/>
    <m/>
    <m/>
    <m/>
    <m/>
    <m/>
    <m/>
    <m/>
    <m/>
    <m/>
    <m/>
    <m/>
    <m/>
    <m/>
    <m/>
    <m/>
    <m/>
    <m/>
    <m/>
    <m/>
    <m/>
    <m/>
    <m/>
    <m/>
    <m/>
    <m/>
    <m/>
    <m/>
    <m/>
    <m/>
    <m/>
    <m/>
    <m/>
    <m/>
    <m/>
    <m/>
    <m/>
    <m/>
    <m/>
    <m/>
    <m/>
    <m/>
    <m/>
    <m/>
    <m/>
    <m/>
    <m/>
    <m/>
    <m/>
    <m/>
    <m/>
    <m/>
    <m/>
    <m/>
    <m/>
    <m/>
    <m/>
    <m/>
    <m/>
    <m/>
    <m/>
    <m/>
    <m/>
    <m/>
    <m/>
    <m/>
    <m/>
    <m/>
    <m/>
    <s v="0"/>
    <s v="0"/>
    <s v="0"/>
    <n v="0"/>
  </r>
  <r>
    <n v="2659454"/>
    <s v="Extrême-Nord"/>
    <s v="CMR004"/>
    <x v="1"/>
    <s v="CMR004002"/>
    <s v="Logone-Birni"/>
    <s v="CMR004002004"/>
    <s v="LBI-0014"/>
    <s v="SITE DE MOULADOCK"/>
    <m/>
    <x v="1"/>
    <n v="12.065493699999999"/>
    <n v="14.7938901"/>
    <x v="1"/>
    <b v="1"/>
    <b v="0"/>
    <b v="0"/>
    <m/>
    <n v="3"/>
    <s v="Accessible"/>
    <m/>
    <s v="Le village accueille une population"/>
    <s v="Le village est intact (construit)"/>
    <m/>
    <m/>
    <s v="Oui"/>
    <s v="Familles d'accueil"/>
    <s v="Non, pas du tout"/>
    <m/>
    <m/>
    <n v="31"/>
    <n v="184"/>
    <s v="Oui"/>
    <s v="Premier déplacement"/>
    <n v="31"/>
    <n v="207"/>
    <n v="95"/>
    <n v="112"/>
    <n v="0"/>
    <n v="31"/>
    <n v="0"/>
    <n v="0"/>
    <m/>
    <m/>
    <n v="0"/>
    <n v="0"/>
    <m/>
    <m/>
    <n v="0"/>
    <s v="Pas de changement"/>
    <s v="Non"/>
    <m/>
    <m/>
    <m/>
    <m/>
    <m/>
    <m/>
    <m/>
    <m/>
    <m/>
    <m/>
    <m/>
    <m/>
    <m/>
    <m/>
    <m/>
    <s v="Non"/>
    <m/>
    <m/>
    <m/>
    <m/>
    <m/>
    <m/>
    <m/>
    <m/>
    <m/>
    <m/>
    <m/>
    <m/>
    <m/>
    <m/>
    <m/>
    <m/>
    <m/>
    <m/>
    <m/>
    <m/>
    <n v="0"/>
    <m/>
    <m/>
    <m/>
    <m/>
    <m/>
    <m/>
    <m/>
    <m/>
    <m/>
    <m/>
    <m/>
    <m/>
    <m/>
    <s v="1"/>
    <s v="0"/>
    <s v="0"/>
    <n v="1"/>
  </r>
  <r>
    <n v="2600742"/>
    <s v="Extrême-Nord"/>
    <s v="CMR004"/>
    <x v="1"/>
    <s v="CMR004002"/>
    <s v="Logone-Birni"/>
    <s v="CMR004002004"/>
    <s v="LBI-0040"/>
    <s v="SITE DE TILDE"/>
    <m/>
    <x v="1"/>
    <n v="12.119414900000001"/>
    <n v="14.7353574"/>
    <x v="1"/>
    <b v="1"/>
    <b v="0"/>
    <b v="0"/>
    <m/>
    <n v="3"/>
    <s v="Accessible"/>
    <m/>
    <s v="Le village accueille une population"/>
    <s v="Le village est intact (construit)"/>
    <m/>
    <m/>
    <s v="Oui"/>
    <s v="Sites de déplacement spontanés"/>
    <s v="Non, pas du tout"/>
    <m/>
    <m/>
    <n v="153"/>
    <n v="2538"/>
    <s v="Oui"/>
    <s v="Premier déplacement"/>
    <n v="153"/>
    <n v="1332"/>
    <n v="660"/>
    <n v="672"/>
    <n v="0"/>
    <n v="0"/>
    <n v="0"/>
    <n v="0"/>
    <m/>
    <m/>
    <n v="0"/>
    <n v="153"/>
    <s v="Terre cuite/Terre battue"/>
    <m/>
    <n v="0"/>
    <s v="Pas de changement par rapport au round  25 les données restent les mêmes."/>
    <s v="Oui"/>
    <n v="115"/>
    <n v="674"/>
    <n v="327"/>
    <n v="347"/>
    <n v="0"/>
    <n v="0"/>
    <n v="0"/>
    <m/>
    <n v="0"/>
    <n v="115"/>
    <s v="Terre cuite/Terre battue"/>
    <m/>
    <n v="0"/>
    <n v="0"/>
    <s v="Pas de changement par rapport au round 25 les données restent."/>
    <s v="Non"/>
    <m/>
    <m/>
    <m/>
    <m/>
    <m/>
    <m/>
    <m/>
    <m/>
    <m/>
    <m/>
    <m/>
    <m/>
    <m/>
    <m/>
    <m/>
    <m/>
    <m/>
    <m/>
    <m/>
    <m/>
    <n v="0"/>
    <m/>
    <m/>
    <m/>
    <m/>
    <m/>
    <m/>
    <m/>
    <m/>
    <m/>
    <m/>
    <m/>
    <m/>
    <m/>
    <s v="1"/>
    <s v="1"/>
    <s v="0"/>
    <n v="2"/>
  </r>
  <r>
    <n v="2633743"/>
    <s v="Extrême-Nord"/>
    <s v="CMR004"/>
    <x v="1"/>
    <s v="CMR004002"/>
    <s v="Logone-Birni"/>
    <s v="CMR004002004"/>
    <s v="LBI-0017"/>
    <s v="SKLIO"/>
    <m/>
    <x v="1"/>
    <n v="12.0172025"/>
    <n v="14.7365396"/>
    <x v="0"/>
    <b v="1"/>
    <b v="0"/>
    <b v="0"/>
    <m/>
    <n v="3"/>
    <s v="Accessible"/>
    <m/>
    <s v="Le village accueille une population"/>
    <s v="Le village est intact (construit)"/>
    <m/>
    <m/>
    <s v="Oui"/>
    <s v="Familles d'accueil"/>
    <s v="Non, pas du tout"/>
    <s v="Non"/>
    <m/>
    <n v="98"/>
    <n v="1117"/>
    <s v="Oui"/>
    <s v="Premier déplacement"/>
    <n v="98"/>
    <n v="552"/>
    <n v="288"/>
    <n v="264"/>
    <n v="0"/>
    <n v="14"/>
    <n v="0"/>
    <n v="0"/>
    <m/>
    <m/>
    <n v="0"/>
    <n v="84"/>
    <s v="Paille/Natte/Nylon"/>
    <m/>
    <n v="0"/>
    <s v="La population globale ,le nombre de personnes  et le nombre de ménages ont changé par ce que 3 ménages et 13 individus dont 6 hommes et 7 femmes  sont  allés à kabe 3 dans l arrondissement de waza à cause d inondations ."/>
    <s v="Oui"/>
    <n v="40"/>
    <n v="119"/>
    <n v="45"/>
    <n v="74"/>
    <n v="0"/>
    <n v="0"/>
    <n v="0"/>
    <m/>
    <n v="0"/>
    <n v="40"/>
    <s v="Paille/Natte/Nylon"/>
    <m/>
    <n v="0"/>
    <n v="0"/>
    <s v="Pas de changement par rapport au round précédente les données restent les mêmes."/>
    <s v="Non"/>
    <m/>
    <m/>
    <m/>
    <m/>
    <m/>
    <m/>
    <m/>
    <m/>
    <m/>
    <m/>
    <m/>
    <m/>
    <m/>
    <m/>
    <m/>
    <m/>
    <m/>
    <m/>
    <m/>
    <m/>
    <n v="0"/>
    <m/>
    <m/>
    <m/>
    <m/>
    <m/>
    <m/>
    <m/>
    <m/>
    <m/>
    <m/>
    <m/>
    <m/>
    <m/>
    <s v="1"/>
    <s v="1"/>
    <s v="0"/>
    <n v="2"/>
  </r>
  <r>
    <n v="2630232"/>
    <s v="Extrême-Nord"/>
    <s v="CMR004"/>
    <x v="1"/>
    <s v="CMR004002"/>
    <s v="Logone-Birni"/>
    <s v="CMR004002004"/>
    <s v="LBI-0074"/>
    <s v="SOUHARA"/>
    <m/>
    <x v="1"/>
    <n v="11.7824797"/>
    <n v="15.103171"/>
    <x v="0"/>
    <b v="1"/>
    <b v="0"/>
    <b v="1"/>
    <m/>
    <n v="3"/>
    <s v="Accessible"/>
    <m/>
    <s v="Le village accueille une population"/>
    <s v="Le village est intact (construit)"/>
    <m/>
    <m/>
    <s v="Oui"/>
    <s v="Familles d'accueil"/>
    <s v="Non, pas du tout"/>
    <s v="Non"/>
    <m/>
    <n v="10"/>
    <n v="780"/>
    <s v="Oui"/>
    <s v="Premier déplacement"/>
    <n v="10"/>
    <n v="50"/>
    <n v="15"/>
    <n v="35"/>
    <n v="0"/>
    <n v="10"/>
    <n v="0"/>
    <n v="0"/>
    <m/>
    <m/>
    <n v="0"/>
    <n v="0"/>
    <m/>
    <m/>
    <n v="0"/>
    <s v="Aucun changement "/>
    <s v="Oui"/>
    <n v="11"/>
    <n v="48"/>
    <n v="19"/>
    <n v="29"/>
    <n v="11"/>
    <n v="0"/>
    <n v="0"/>
    <m/>
    <n v="0"/>
    <n v="0"/>
    <m/>
    <m/>
    <n v="0"/>
    <n v="0"/>
    <s v="La plupart des réfugiés passent la journée au tchad pour la reconstruction de leurs maisons "/>
    <s v="Oui"/>
    <n v="5"/>
    <n v="30"/>
    <n v="12"/>
    <n v="18"/>
    <s v="Entre 3 mois et 1 an"/>
    <n v="0"/>
    <n v="5"/>
    <n v="0"/>
    <n v="0"/>
    <n v="0"/>
    <m/>
    <n v="0"/>
    <n v="0"/>
    <m/>
    <n v="0"/>
    <m/>
    <m/>
    <m/>
    <m/>
    <m/>
    <n v="0"/>
    <m/>
    <m/>
    <m/>
    <m/>
    <m/>
    <m/>
    <m/>
    <m/>
    <m/>
    <m/>
    <m/>
    <m/>
    <m/>
    <s v="1"/>
    <s v="1"/>
    <s v="1"/>
    <n v="3"/>
  </r>
  <r>
    <n v="2614355"/>
    <s v="Extrême-Nord"/>
    <s v="CMR004"/>
    <x v="1"/>
    <s v="CMR004002"/>
    <s v="Logone-Birni"/>
    <s v="CMR004002004"/>
    <s v="LBI-0035"/>
    <s v="TABOYE"/>
    <m/>
    <x v="1"/>
    <n v="12.0729639"/>
    <n v="14.7341357"/>
    <x v="0"/>
    <b v="1"/>
    <b v="0"/>
    <b v="0"/>
    <m/>
    <n v="3"/>
    <s v="Accessible"/>
    <m/>
    <s v="Le village est entièrement déserté"/>
    <m/>
    <m/>
    <m/>
    <m/>
    <m/>
    <m/>
    <m/>
    <m/>
    <m/>
    <m/>
    <m/>
    <m/>
    <m/>
    <m/>
    <m/>
    <m/>
    <m/>
    <m/>
    <m/>
    <m/>
    <m/>
    <m/>
    <m/>
    <m/>
    <m/>
    <m/>
    <m/>
    <m/>
    <m/>
    <m/>
    <m/>
    <m/>
    <m/>
    <m/>
    <m/>
    <m/>
    <m/>
    <m/>
    <m/>
    <m/>
    <m/>
    <m/>
    <m/>
    <m/>
    <m/>
    <m/>
    <m/>
    <m/>
    <m/>
    <m/>
    <m/>
    <m/>
    <m/>
    <m/>
    <m/>
    <m/>
    <m/>
    <m/>
    <m/>
    <m/>
    <m/>
    <m/>
    <m/>
    <m/>
    <m/>
    <m/>
    <m/>
    <m/>
    <m/>
    <m/>
    <m/>
    <m/>
    <m/>
    <m/>
    <m/>
    <m/>
    <m/>
    <m/>
    <m/>
    <s v="0"/>
    <s v="0"/>
    <s v="0"/>
    <n v="0"/>
  </r>
  <r>
    <n v="2593167"/>
    <s v="Extrême-Nord"/>
    <s v="CMR004"/>
    <x v="1"/>
    <s v="CMR004002"/>
    <s v="Logone-Birni"/>
    <s v="CMR004002004"/>
    <s v="LBI-0041"/>
    <s v="TIKINI"/>
    <m/>
    <x v="1"/>
    <n v="11.7825913"/>
    <n v="15.1056223"/>
    <x v="0"/>
    <b v="1"/>
    <b v="0"/>
    <b v="1"/>
    <m/>
    <n v="3"/>
    <s v="Accessible"/>
    <m/>
    <s v="Le village accueille une population"/>
    <s v="Le village est intact (construit)"/>
    <m/>
    <m/>
    <s v="Oui"/>
    <s v="Familles d'accueil"/>
    <s v="Non, pas du tout"/>
    <s v="Non"/>
    <m/>
    <n v="11"/>
    <n v="748"/>
    <s v="Oui"/>
    <s v="Premier déplacement"/>
    <n v="11"/>
    <n v="42"/>
    <n v="10"/>
    <n v="32"/>
    <n v="0"/>
    <n v="11"/>
    <n v="0"/>
    <n v="0"/>
    <m/>
    <m/>
    <n v="0"/>
    <n v="0"/>
    <m/>
    <m/>
    <n v="0"/>
    <s v="Il n'y a pas eu de changement depuis le round précédent"/>
    <s v="Oui"/>
    <n v="32"/>
    <n v="224"/>
    <n v="100"/>
    <n v="124"/>
    <n v="20"/>
    <n v="0"/>
    <n v="0"/>
    <m/>
    <n v="0"/>
    <n v="12"/>
    <s v="Bâche"/>
    <m/>
    <n v="0"/>
    <n v="0"/>
    <s v="Ces réfugiés font souvent le va et vient du côté du Tchad pour arranger leurs habitats initiale"/>
    <s v="Oui"/>
    <n v="44"/>
    <n v="89"/>
    <n v="51"/>
    <n v="38"/>
    <s v="Entre 3 mois et 1 an"/>
    <n v="0"/>
    <n v="44"/>
    <n v="0"/>
    <n v="0"/>
    <n v="0"/>
    <m/>
    <n v="0"/>
    <n v="0"/>
    <m/>
    <n v="0"/>
    <m/>
    <m/>
    <m/>
    <m/>
    <m/>
    <n v="0"/>
    <m/>
    <m/>
    <m/>
    <m/>
    <m/>
    <m/>
    <m/>
    <m/>
    <m/>
    <m/>
    <m/>
    <m/>
    <m/>
    <s v="1"/>
    <s v="1"/>
    <s v="1"/>
    <n v="3"/>
  </r>
  <r>
    <n v="2659541"/>
    <s v="Extrême-Nord"/>
    <s v="CMR004"/>
    <x v="1"/>
    <s v="CMR004002"/>
    <s v="Logone-Birni"/>
    <s v="CMR004002004"/>
    <s v="LBI-0125"/>
    <s v="TINERI 1"/>
    <m/>
    <x v="1"/>
    <n v="11.583618599999999"/>
    <n v="14.9809705"/>
    <x v="0"/>
    <b v="1"/>
    <b v="0"/>
    <b v="1"/>
    <m/>
    <n v="4"/>
    <s v="Accessible"/>
    <m/>
    <s v="Le village accueille une population"/>
    <s v="Le village est totalement détruit"/>
    <s v="Conflit intercommunautaire"/>
    <m/>
    <s v="Oui"/>
    <s v="Familles d'accueil"/>
    <s v="Non, pas du tout"/>
    <s v="Non"/>
    <m/>
    <m/>
    <n v="78"/>
    <s v="Non"/>
    <m/>
    <m/>
    <m/>
    <m/>
    <m/>
    <m/>
    <m/>
    <m/>
    <m/>
    <m/>
    <m/>
    <m/>
    <m/>
    <m/>
    <m/>
    <m/>
    <m/>
    <s v="Non"/>
    <m/>
    <m/>
    <m/>
    <m/>
    <m/>
    <m/>
    <m/>
    <m/>
    <m/>
    <m/>
    <m/>
    <m/>
    <m/>
    <m/>
    <m/>
    <s v="Oui"/>
    <n v="10"/>
    <n v="63"/>
    <n v="24"/>
    <n v="39"/>
    <s v="Entre 3 mois et 1 an"/>
    <n v="0"/>
    <n v="3"/>
    <n v="0"/>
    <n v="0"/>
    <n v="0"/>
    <m/>
    <n v="0"/>
    <n v="7"/>
    <s v="Paille/Natte/Nylon"/>
    <n v="0"/>
    <m/>
    <m/>
    <m/>
    <m/>
    <m/>
    <n v="0"/>
    <m/>
    <m/>
    <m/>
    <m/>
    <m/>
    <m/>
    <m/>
    <m/>
    <m/>
    <m/>
    <m/>
    <m/>
    <m/>
    <s v="0"/>
    <s v="0"/>
    <s v="1"/>
    <n v="1"/>
  </r>
  <r>
    <n v="2659542"/>
    <s v="Extrême-Nord"/>
    <s v="CMR004"/>
    <x v="1"/>
    <s v="CMR004002"/>
    <s v="Logone-Birni"/>
    <s v="CMR004002004"/>
    <s v="LBI-0126"/>
    <s v="TINERI 2"/>
    <m/>
    <x v="1"/>
    <n v="11.579902499999999"/>
    <n v="14.982384400000001"/>
    <x v="0"/>
    <b v="1"/>
    <b v="0"/>
    <b v="1"/>
    <m/>
    <n v="4"/>
    <s v="Accessible"/>
    <m/>
    <s v="Le village accueille une population"/>
    <s v="Le village est totalement détruit"/>
    <s v="Conflit intercommunautaire"/>
    <m/>
    <s v="Oui"/>
    <s v="Familles d'accueil"/>
    <s v="Non, pas du tout"/>
    <s v="Non"/>
    <m/>
    <m/>
    <n v="98"/>
    <s v="Non"/>
    <m/>
    <m/>
    <m/>
    <m/>
    <m/>
    <m/>
    <m/>
    <m/>
    <m/>
    <m/>
    <m/>
    <m/>
    <m/>
    <m/>
    <m/>
    <m/>
    <m/>
    <s v="Non"/>
    <m/>
    <m/>
    <m/>
    <m/>
    <m/>
    <m/>
    <m/>
    <m/>
    <m/>
    <m/>
    <m/>
    <m/>
    <m/>
    <m/>
    <m/>
    <s v="Oui"/>
    <n v="20"/>
    <n v="97"/>
    <n v="47"/>
    <n v="50"/>
    <s v="Entre 3 mois et 1 an"/>
    <n v="0"/>
    <n v="10"/>
    <n v="0"/>
    <n v="0"/>
    <n v="0"/>
    <m/>
    <n v="0"/>
    <n v="10"/>
    <s v="Paille/Natte/Nylon"/>
    <n v="0"/>
    <m/>
    <m/>
    <m/>
    <m/>
    <m/>
    <n v="0"/>
    <m/>
    <m/>
    <m/>
    <m/>
    <m/>
    <m/>
    <m/>
    <m/>
    <m/>
    <m/>
    <m/>
    <m/>
    <m/>
    <s v="0"/>
    <s v="0"/>
    <s v="1"/>
    <n v="1"/>
  </r>
  <r>
    <n v="2659565"/>
    <s v="Extrême-Nord"/>
    <s v="CMR004"/>
    <x v="1"/>
    <s v="CMR004002"/>
    <s v="Logone-Birni"/>
    <s v="CMR004002004"/>
    <s v="LBI-0018"/>
    <s v="TRAYA"/>
    <m/>
    <x v="1"/>
    <n v="12.0529016"/>
    <n v="14.8038288"/>
    <x v="0"/>
    <b v="1"/>
    <b v="0"/>
    <b v="0"/>
    <m/>
    <n v="3"/>
    <s v="Accessible"/>
    <m/>
    <s v="Le village accueille une population"/>
    <s v="Le village est intact (construit)"/>
    <m/>
    <m/>
    <s v="Oui"/>
    <s v="Familles d'accueil"/>
    <s v="Non, pas du tout"/>
    <s v="Non"/>
    <m/>
    <n v="18"/>
    <n v="1707"/>
    <s v="Oui"/>
    <s v="Premier déplacement"/>
    <n v="18"/>
    <n v="142"/>
    <n v="58"/>
    <n v="84"/>
    <n v="0"/>
    <n v="18"/>
    <n v="0"/>
    <n v="0"/>
    <m/>
    <m/>
    <n v="0"/>
    <n v="0"/>
    <m/>
    <m/>
    <n v="0"/>
    <s v="Pas de changement"/>
    <s v="Oui"/>
    <n v="5"/>
    <n v="40"/>
    <n v="15"/>
    <n v="25"/>
    <n v="0"/>
    <n v="0"/>
    <n v="0"/>
    <m/>
    <n v="0"/>
    <n v="5"/>
    <s v="Paille/Natte/Nylon"/>
    <m/>
    <n v="0"/>
    <n v="0"/>
    <s v="Pas de changement"/>
    <s v="Non"/>
    <m/>
    <m/>
    <m/>
    <m/>
    <m/>
    <m/>
    <m/>
    <m/>
    <m/>
    <m/>
    <m/>
    <m/>
    <m/>
    <m/>
    <m/>
    <m/>
    <m/>
    <m/>
    <m/>
    <m/>
    <n v="0"/>
    <m/>
    <m/>
    <m/>
    <m/>
    <m/>
    <m/>
    <m/>
    <m/>
    <m/>
    <m/>
    <m/>
    <m/>
    <m/>
    <s v="1"/>
    <s v="1"/>
    <s v="0"/>
    <n v="2"/>
  </r>
  <r>
    <n v="2621528"/>
    <s v="Extrême-Nord"/>
    <s v="CMR004"/>
    <x v="1"/>
    <s v="CMR004002"/>
    <s v="Logone-Birni"/>
    <s v="CMR004002004"/>
    <s v="LBI-0075"/>
    <s v="WOULI GOLMADE"/>
    <m/>
    <x v="1"/>
    <n v="11.812299400000001"/>
    <n v="15.0578653"/>
    <x v="0"/>
    <b v="0"/>
    <b v="1"/>
    <b v="1"/>
    <n v="8"/>
    <m/>
    <s v="Accessible"/>
    <m/>
    <s v="Le village accueille une population"/>
    <s v="Le village est partiellement détruit"/>
    <s v="Conflit intercommunautaire"/>
    <m/>
    <s v="Oui"/>
    <s v="Familles d'accueil"/>
    <s v="Non, pas du tout"/>
    <s v="Non"/>
    <m/>
    <m/>
    <n v="400"/>
    <s v="Non"/>
    <m/>
    <m/>
    <m/>
    <m/>
    <m/>
    <m/>
    <m/>
    <m/>
    <m/>
    <m/>
    <m/>
    <m/>
    <m/>
    <m/>
    <m/>
    <m/>
    <m/>
    <s v="Non"/>
    <m/>
    <m/>
    <m/>
    <m/>
    <m/>
    <m/>
    <m/>
    <m/>
    <m/>
    <m/>
    <m/>
    <m/>
    <m/>
    <m/>
    <m/>
    <s v="Oui"/>
    <n v="125"/>
    <n v="400"/>
    <n v="250"/>
    <n v="150"/>
    <s v="Moins de 3 mois"/>
    <n v="0"/>
    <n v="125"/>
    <n v="0"/>
    <n v="0"/>
    <n v="0"/>
    <m/>
    <n v="0"/>
    <n v="0"/>
    <m/>
    <n v="0"/>
    <m/>
    <m/>
    <m/>
    <m/>
    <m/>
    <n v="5"/>
    <m/>
    <m/>
    <m/>
    <m/>
    <m/>
    <m/>
    <m/>
    <m/>
    <m/>
    <m/>
    <m/>
    <m/>
    <m/>
    <s v="0"/>
    <s v="0"/>
    <s v="1"/>
    <n v="1"/>
  </r>
  <r>
    <n v="2720962"/>
    <s v="Extrême-Nord"/>
    <s v="CMR004"/>
    <x v="1"/>
    <s v="CMR004002"/>
    <s v="Logone-Birni"/>
    <s v="CMR004002004"/>
    <s v="LBI-0087"/>
    <s v="ZABAN"/>
    <m/>
    <x v="1"/>
    <n v="11.8518606"/>
    <n v="14.9813633"/>
    <x v="0"/>
    <b v="1"/>
    <b v="0"/>
    <b v="0"/>
    <m/>
    <n v="3"/>
    <s v="Accessible"/>
    <m/>
    <s v="Le village accueille une population"/>
    <s v="Le village est partiellement détruit"/>
    <s v="Conflit intercommunautaire"/>
    <m/>
    <s v="Oui"/>
    <s v="Familles d'accueil"/>
    <s v="Non, pas du tout"/>
    <s v="Non"/>
    <m/>
    <m/>
    <n v="685"/>
    <s v="Non"/>
    <m/>
    <m/>
    <m/>
    <m/>
    <m/>
    <m/>
    <m/>
    <m/>
    <m/>
    <m/>
    <m/>
    <m/>
    <m/>
    <m/>
    <m/>
    <m/>
    <m/>
    <s v="Non"/>
    <m/>
    <m/>
    <m/>
    <m/>
    <m/>
    <m/>
    <m/>
    <m/>
    <m/>
    <m/>
    <m/>
    <m/>
    <m/>
    <m/>
    <m/>
    <s v="Oui"/>
    <n v="196"/>
    <n v="685"/>
    <n v="255"/>
    <n v="430"/>
    <s v="Moins de 3 mois"/>
    <n v="56"/>
    <n v="140"/>
    <n v="0"/>
    <n v="0"/>
    <n v="0"/>
    <m/>
    <n v="0"/>
    <n v="0"/>
    <m/>
    <n v="0"/>
    <m/>
    <m/>
    <m/>
    <m/>
    <m/>
    <n v="0"/>
    <m/>
    <m/>
    <m/>
    <m/>
    <m/>
    <m/>
    <m/>
    <m/>
    <m/>
    <m/>
    <m/>
    <m/>
    <m/>
    <s v="0"/>
    <s v="0"/>
    <s v="1"/>
    <n v="1"/>
  </r>
  <r>
    <n v="2721996"/>
    <s v="Extrême-Nord"/>
    <s v="CMR004"/>
    <x v="1"/>
    <s v="CMR004002"/>
    <s v="Logone-Birni"/>
    <s v="CMR004002004"/>
    <s v="LBI-0004"/>
    <s v="ZIMADO"/>
    <m/>
    <x v="0"/>
    <n v="11.668883299999999"/>
    <n v="15.074465"/>
    <x v="0"/>
    <b v="1"/>
    <b v="0"/>
    <b v="0"/>
    <m/>
    <n v="4"/>
    <s v="Accessible"/>
    <m/>
    <s v="Le village accueille une population"/>
    <s v="Le village est intact (construit)"/>
    <m/>
    <m/>
    <s v="Oui"/>
    <s v="Familles d'accueil"/>
    <s v="Non, pas du tout"/>
    <s v="Non"/>
    <m/>
    <n v="100"/>
    <n v="1322"/>
    <s v="Oui"/>
    <s v="Premier déplacement"/>
    <n v="100"/>
    <n v="724"/>
    <n v="376"/>
    <n v="348"/>
    <n v="0"/>
    <n v="100"/>
    <n v="0"/>
    <n v="0"/>
    <m/>
    <m/>
    <n v="0"/>
    <n v="0"/>
    <m/>
    <m/>
    <n v="0"/>
    <s v="Augmentation de 12 naissances "/>
    <s v="Non"/>
    <m/>
    <m/>
    <m/>
    <m/>
    <m/>
    <m/>
    <m/>
    <m/>
    <m/>
    <m/>
    <m/>
    <m/>
    <m/>
    <m/>
    <m/>
    <s v="Oui"/>
    <n v="51"/>
    <n v="249"/>
    <n v="133"/>
    <n v="116"/>
    <s v="Entre 3 mois et 1 an"/>
    <n v="0"/>
    <n v="51"/>
    <n v="0"/>
    <n v="0"/>
    <n v="0"/>
    <m/>
    <n v="0"/>
    <n v="0"/>
    <m/>
    <n v="0"/>
    <m/>
    <m/>
    <m/>
    <m/>
    <m/>
    <n v="0"/>
    <m/>
    <m/>
    <m/>
    <m/>
    <m/>
    <m/>
    <m/>
    <m/>
    <m/>
    <m/>
    <m/>
    <m/>
    <m/>
    <s v="1"/>
    <s v="0"/>
    <s v="1"/>
    <n v="2"/>
  </r>
  <r>
    <n v="2721900"/>
    <s v="Extrême-Nord"/>
    <s v="CMR004"/>
    <x v="1"/>
    <s v="CMR004002"/>
    <s v="Logone-Birni"/>
    <s v="CMR004002004"/>
    <s v="LBI-0042"/>
    <s v="ZIMADO 1-4"/>
    <m/>
    <x v="1"/>
    <n v="11.667543200000001"/>
    <n v="15.0742645"/>
    <x v="0"/>
    <b v="1"/>
    <b v="0"/>
    <b v="1"/>
    <m/>
    <n v="4"/>
    <s v="Accessible"/>
    <m/>
    <s v="Le village accueille une population"/>
    <s v="Le village est intact (construit)"/>
    <m/>
    <m/>
    <s v="Oui"/>
    <s v="Familles d'accueil"/>
    <s v="Non, pas du tout"/>
    <s v="Non"/>
    <m/>
    <n v="7"/>
    <n v="638"/>
    <s v="Oui"/>
    <s v="Premier déplacement"/>
    <n v="7"/>
    <n v="65"/>
    <n v="36"/>
    <n v="29"/>
    <n v="0"/>
    <n v="7"/>
    <n v="0"/>
    <n v="0"/>
    <m/>
    <m/>
    <n v="0"/>
    <n v="0"/>
    <m/>
    <m/>
    <n v="0"/>
    <s v="Aucun changement "/>
    <s v="Non"/>
    <m/>
    <m/>
    <m/>
    <m/>
    <m/>
    <m/>
    <m/>
    <m/>
    <m/>
    <m/>
    <m/>
    <m/>
    <m/>
    <m/>
    <m/>
    <s v="Oui"/>
    <n v="150"/>
    <n v="629"/>
    <n v="326"/>
    <n v="303"/>
    <s v="Entre 3 mois et 1 an"/>
    <n v="0"/>
    <n v="150"/>
    <n v="0"/>
    <n v="0"/>
    <n v="0"/>
    <m/>
    <n v="0"/>
    <n v="0"/>
    <m/>
    <n v="0"/>
    <m/>
    <m/>
    <m/>
    <m/>
    <m/>
    <n v="0"/>
    <m/>
    <m/>
    <m/>
    <m/>
    <m/>
    <m/>
    <m/>
    <m/>
    <m/>
    <m/>
    <m/>
    <m/>
    <m/>
    <s v="1"/>
    <s v="0"/>
    <s v="1"/>
    <n v="2"/>
  </r>
  <r>
    <n v="2721899"/>
    <s v="Extrême-Nord"/>
    <s v="CMR004"/>
    <x v="1"/>
    <s v="CMR004002"/>
    <s v="Logone-Birni"/>
    <s v="CMR004002004"/>
    <s v="LBI-0043"/>
    <s v="ZIMADO KOTOKO"/>
    <m/>
    <x v="1"/>
    <n v="11.6674407"/>
    <n v="15.072086000000001"/>
    <x v="0"/>
    <b v="1"/>
    <b v="0"/>
    <b v="1"/>
    <m/>
    <n v="4"/>
    <s v="Accessible"/>
    <m/>
    <s v="Le village accueille une population"/>
    <s v="Le village est intact (construit)"/>
    <m/>
    <m/>
    <s v="Oui"/>
    <s v="Familles d'accueil"/>
    <s v="Non, pas du tout"/>
    <s v="Non"/>
    <m/>
    <n v="21"/>
    <n v="458"/>
    <s v="Oui"/>
    <s v="Premier déplacement"/>
    <n v="21"/>
    <n v="198"/>
    <n v="97"/>
    <n v="101"/>
    <n v="0"/>
    <n v="21"/>
    <n v="0"/>
    <n v="0"/>
    <m/>
    <m/>
    <n v="0"/>
    <n v="0"/>
    <m/>
    <m/>
    <n v="0"/>
    <s v="Il y a augmentation de 5 individus naissances 2 garçons et 3 filles "/>
    <s v="Non"/>
    <m/>
    <m/>
    <m/>
    <m/>
    <m/>
    <m/>
    <m/>
    <m/>
    <m/>
    <m/>
    <m/>
    <m/>
    <m/>
    <m/>
    <m/>
    <s v="Oui"/>
    <n v="20"/>
    <n v="100"/>
    <n v="55"/>
    <n v="45"/>
    <s v="Entre 3 mois et 1 an"/>
    <n v="0"/>
    <n v="20"/>
    <n v="0"/>
    <n v="0"/>
    <n v="0"/>
    <m/>
    <n v="0"/>
    <n v="0"/>
    <m/>
    <n v="0"/>
    <m/>
    <m/>
    <m/>
    <m/>
    <m/>
    <n v="0"/>
    <m/>
    <m/>
    <m/>
    <m/>
    <m/>
    <m/>
    <m/>
    <m/>
    <m/>
    <m/>
    <m/>
    <m/>
    <m/>
    <s v="1"/>
    <s v="0"/>
    <s v="1"/>
    <n v="2"/>
  </r>
  <r>
    <n v="2669134"/>
    <s v="Extrême-Nord"/>
    <s v="CMR004"/>
    <x v="1"/>
    <s v="CMR004002"/>
    <s v="Makary"/>
    <s v="CMR004002009"/>
    <s v="XXXX"/>
    <s v="SITE DE BIAMO"/>
    <s v="SITE DE BIAMO"/>
    <x v="1"/>
    <n v="12.4123948"/>
    <n v="14.490505600000001"/>
    <x v="1"/>
    <b v="1"/>
    <b v="0"/>
    <b v="0"/>
    <m/>
    <n v="3"/>
    <s v="Accessible"/>
    <m/>
    <s v="Le village accueille une population"/>
    <s v="Le village est intact (construit)"/>
    <m/>
    <m/>
    <s v="Oui"/>
    <s v="Sites de déplacement spontanés"/>
    <s v="Non, pas du tout"/>
    <m/>
    <m/>
    <n v="100"/>
    <n v="360"/>
    <s v="Oui"/>
    <s v="Premier déplacement"/>
    <n v="100"/>
    <n v="200"/>
    <n v="150"/>
    <n v="50"/>
    <n v="0"/>
    <n v="0"/>
    <n v="0"/>
    <n v="0"/>
    <m/>
    <m/>
    <n v="0"/>
    <n v="100"/>
    <s v="Bâche"/>
    <m/>
    <n v="0"/>
    <s v="C'est un site nouvellement habité par une partie de la population  de BIAMO village suite aux inondations. 100 ménages  de 200 individus installés  dans les bâches.  Les besoins  s'imposent en eau, latrines  et soins médicaux."/>
    <s v="Oui"/>
    <n v="50"/>
    <n v="150"/>
    <n v="100"/>
    <n v="50"/>
    <n v="0"/>
    <n v="0"/>
    <n v="0"/>
    <m/>
    <n v="0"/>
    <n v="50"/>
    <s v="Bâche"/>
    <m/>
    <n v="0"/>
    <n v="0"/>
    <s v="Les réfugiés sont au nombre  de 150 avec 50 ménages.  Ils ont  besoin  d'appui  en eau' latrines  et soins médicaux."/>
    <s v="Non"/>
    <m/>
    <m/>
    <m/>
    <m/>
    <m/>
    <m/>
    <m/>
    <m/>
    <m/>
    <m/>
    <m/>
    <m/>
    <m/>
    <m/>
    <m/>
    <m/>
    <m/>
    <m/>
    <m/>
    <m/>
    <n v="0"/>
    <m/>
    <m/>
    <m/>
    <m/>
    <m/>
    <m/>
    <m/>
    <m/>
    <m/>
    <m/>
    <m/>
    <m/>
    <m/>
    <s v="1"/>
    <s v="1"/>
    <s v="0"/>
    <n v="2"/>
  </r>
  <r>
    <n v="2592211"/>
    <s v="Extrême-Nord"/>
    <s v="CMR004"/>
    <x v="1"/>
    <s v="CMR004002"/>
    <s v="Makary"/>
    <s v="CMR004002009"/>
    <s v="XXXX"/>
    <s v="SITE DE MAKARY - KATIKIME"/>
    <s v="SITE DE MAKARY - KATIKIME"/>
    <x v="1"/>
    <n v="12.5725225"/>
    <n v="14.4699744"/>
    <x v="1"/>
    <b v="1"/>
    <b v="0"/>
    <b v="0"/>
    <m/>
    <n v="4"/>
    <s v="Accessible"/>
    <m/>
    <s v="Le village accueille une population"/>
    <s v="Le village est intact (construit)"/>
    <m/>
    <m/>
    <s v="Oui"/>
    <s v="Sites de déplacement spontanés"/>
    <s v="Non, pas du tout"/>
    <m/>
    <m/>
    <n v="263"/>
    <n v="401"/>
    <s v="Oui"/>
    <s v="Deuxième déplacement"/>
    <n v="263"/>
    <n v="401"/>
    <n v="150"/>
    <n v="251"/>
    <n v="0"/>
    <n v="0"/>
    <n v="0"/>
    <n v="0"/>
    <m/>
    <m/>
    <n v="0"/>
    <n v="263"/>
    <s v="Bâche"/>
    <m/>
    <n v="0"/>
    <s v="Ils sont dans les bâches mais le vent est entrain de détruire d'où ils ont besoin des constructions "/>
    <s v="Non"/>
    <m/>
    <m/>
    <m/>
    <m/>
    <m/>
    <m/>
    <m/>
    <m/>
    <m/>
    <m/>
    <m/>
    <m/>
    <m/>
    <m/>
    <m/>
    <s v="Non"/>
    <m/>
    <m/>
    <m/>
    <m/>
    <m/>
    <m/>
    <m/>
    <m/>
    <m/>
    <m/>
    <m/>
    <m/>
    <m/>
    <m/>
    <m/>
    <m/>
    <m/>
    <m/>
    <m/>
    <m/>
    <n v="0"/>
    <m/>
    <m/>
    <m/>
    <m/>
    <m/>
    <m/>
    <m/>
    <m/>
    <m/>
    <m/>
    <m/>
    <m/>
    <m/>
    <s v="1"/>
    <s v="0"/>
    <s v="0"/>
    <n v="1"/>
  </r>
  <r>
    <n v="2630389"/>
    <s v="Extrême-Nord"/>
    <s v="CMR004"/>
    <x v="1"/>
    <s v="CMR004002"/>
    <s v="Makary"/>
    <s v="CMR004002009"/>
    <s v="MAK-0184"/>
    <s v="ABANKOURI"/>
    <m/>
    <x v="1"/>
    <n v="12.6769148"/>
    <n v="14.244514799999999"/>
    <x v="0"/>
    <b v="0"/>
    <b v="0"/>
    <b v="1"/>
    <m/>
    <m/>
    <s v="Accessible"/>
    <m/>
    <s v="Le village accueille une population"/>
    <s v="Le village est intact (construit)"/>
    <m/>
    <m/>
    <s v="Oui"/>
    <s v="Sites de déplacement spontanés"/>
    <s v="Non, pas du tout"/>
    <s v="Oui"/>
    <n v="1"/>
    <n v="326"/>
    <n v="3311"/>
    <s v="Oui"/>
    <s v="Premier déplacement"/>
    <n v="326"/>
    <n v="3143"/>
    <n v="1468"/>
    <n v="1675"/>
    <n v="0"/>
    <n v="15"/>
    <n v="0"/>
    <n v="0"/>
    <m/>
    <m/>
    <n v="0"/>
    <n v="311"/>
    <s v="Paille/Natte/Nylon"/>
    <m/>
    <n v="0"/>
    <s v="Augmentation de 11 ménages de venant de tchika "/>
    <s v="Oui"/>
    <n v="74"/>
    <n v="240"/>
    <n v="100"/>
    <n v="140"/>
    <n v="0"/>
    <n v="0"/>
    <n v="0"/>
    <m/>
    <n v="0"/>
    <n v="74"/>
    <s v="Paille/Natte/Nylon"/>
    <m/>
    <n v="0"/>
    <n v="0"/>
    <s v="Ras "/>
    <s v="Non"/>
    <m/>
    <m/>
    <m/>
    <m/>
    <m/>
    <m/>
    <m/>
    <m/>
    <m/>
    <m/>
    <m/>
    <m/>
    <m/>
    <m/>
    <m/>
    <m/>
    <m/>
    <m/>
    <m/>
    <m/>
    <n v="0"/>
    <m/>
    <m/>
    <m/>
    <m/>
    <m/>
    <m/>
    <m/>
    <m/>
    <m/>
    <m/>
    <m/>
    <m/>
    <m/>
    <s v="1"/>
    <s v="1"/>
    <s v="0"/>
    <n v="2"/>
  </r>
  <r>
    <n v="2635973"/>
    <s v="Extrême-Nord"/>
    <s v="CMR004"/>
    <x v="1"/>
    <s v="CMR004002"/>
    <s v="Makary"/>
    <s v="CMR004002009"/>
    <s v="MAK-0001"/>
    <s v="ABBARI"/>
    <m/>
    <x v="1"/>
    <n v="12.530218700000001"/>
    <n v="14.3469354"/>
    <x v="0"/>
    <b v="1"/>
    <b v="0"/>
    <b v="0"/>
    <m/>
    <n v="3"/>
    <s v="Accessible"/>
    <m/>
    <s v="Le village accueille une population"/>
    <s v="Le village est partiellement détruit"/>
    <s v="Intempéries (inondations, tempêtes etc.)"/>
    <m/>
    <s v="Oui"/>
    <s v="Familles d'accueil"/>
    <s v="Non, pas du tout"/>
    <s v="Non"/>
    <m/>
    <n v="20"/>
    <n v="794"/>
    <s v="Oui"/>
    <s v="Premier déplacement"/>
    <n v="20"/>
    <n v="100"/>
    <n v="43"/>
    <n v="57"/>
    <n v="7"/>
    <n v="13"/>
    <n v="0"/>
    <n v="0"/>
    <m/>
    <m/>
    <n v="0"/>
    <n v="0"/>
    <m/>
    <m/>
    <n v="0"/>
    <s v="Ras"/>
    <s v="Non"/>
    <m/>
    <m/>
    <m/>
    <m/>
    <m/>
    <m/>
    <m/>
    <m/>
    <m/>
    <m/>
    <m/>
    <m/>
    <m/>
    <m/>
    <m/>
    <s v="Non"/>
    <m/>
    <m/>
    <m/>
    <m/>
    <m/>
    <m/>
    <m/>
    <m/>
    <m/>
    <m/>
    <m/>
    <m/>
    <m/>
    <m/>
    <m/>
    <m/>
    <m/>
    <m/>
    <m/>
    <m/>
    <n v="0"/>
    <m/>
    <m/>
    <m/>
    <m/>
    <m/>
    <m/>
    <m/>
    <m/>
    <m/>
    <m/>
    <m/>
    <m/>
    <m/>
    <s v="1"/>
    <s v="0"/>
    <s v="0"/>
    <n v="1"/>
  </r>
  <r>
    <n v="2626367"/>
    <s v="Extrême-Nord"/>
    <s v="CMR004"/>
    <x v="1"/>
    <s v="CMR004002"/>
    <s v="Makary"/>
    <s v="CMR004002009"/>
    <s v="MAK-0157"/>
    <s v="ABOKI"/>
    <m/>
    <x v="0"/>
    <n v="12.5351257"/>
    <n v="14.6148562"/>
    <x v="0"/>
    <b v="1"/>
    <b v="0"/>
    <b v="1"/>
    <m/>
    <n v="3"/>
    <s v="Accessible"/>
    <m/>
    <s v="Le village accueille une population"/>
    <s v="Le village est partiellement détruit"/>
    <s v="Intempéries (inondations, tempêtes etc.)"/>
    <m/>
    <s v="Oui"/>
    <s v="Familles d'accueil"/>
    <s v="Non, pas du tout"/>
    <s v="Non"/>
    <m/>
    <n v="11"/>
    <n v="534"/>
    <s v="Oui"/>
    <s v="Troisième déplacement"/>
    <n v="11"/>
    <n v="67"/>
    <n v="32"/>
    <n v="35"/>
    <n v="4"/>
    <n v="4"/>
    <n v="3"/>
    <n v="0"/>
    <m/>
    <m/>
    <n v="0"/>
    <n v="0"/>
    <m/>
    <m/>
    <n v="0"/>
    <s v="4 nouveau  ménages de  27 individus venant de mada"/>
    <s v="Non"/>
    <m/>
    <m/>
    <m/>
    <m/>
    <m/>
    <m/>
    <m/>
    <m/>
    <m/>
    <m/>
    <m/>
    <m/>
    <m/>
    <m/>
    <m/>
    <s v="Non"/>
    <m/>
    <m/>
    <m/>
    <m/>
    <m/>
    <m/>
    <m/>
    <m/>
    <m/>
    <m/>
    <m/>
    <m/>
    <m/>
    <m/>
    <m/>
    <m/>
    <m/>
    <m/>
    <m/>
    <m/>
    <n v="0"/>
    <m/>
    <m/>
    <m/>
    <m/>
    <m/>
    <m/>
    <m/>
    <m/>
    <m/>
    <m/>
    <m/>
    <m/>
    <m/>
    <s v="1"/>
    <s v="0"/>
    <s v="0"/>
    <n v="1"/>
  </r>
  <r>
    <n v="2626909"/>
    <s v="Extrême-Nord"/>
    <s v="CMR004"/>
    <x v="1"/>
    <s v="CMR004002"/>
    <s v="Makary"/>
    <s v="CMR004002009"/>
    <s v="MAK-0158"/>
    <s v="ABOUDANGALA"/>
    <m/>
    <x v="1"/>
    <n v="12.671008199999999"/>
    <n v="14.543723999999999"/>
    <x v="0"/>
    <b v="1"/>
    <b v="0"/>
    <b v="0"/>
    <m/>
    <n v="3"/>
    <s v="Accessible"/>
    <m/>
    <s v="Le village accueille une population"/>
    <s v="Le village est intact (construit)"/>
    <m/>
    <m/>
    <s v="Oui"/>
    <s v="Familles d'accueil"/>
    <s v="Non, pas du tout"/>
    <s v="Non"/>
    <m/>
    <n v="16"/>
    <n v="152"/>
    <s v="Oui"/>
    <s v="Premier déplacement"/>
    <n v="16"/>
    <n v="109"/>
    <n v="53"/>
    <n v="56"/>
    <n v="0"/>
    <n v="16"/>
    <n v="0"/>
    <n v="0"/>
    <m/>
    <m/>
    <n v="0"/>
    <n v="0"/>
    <m/>
    <m/>
    <n v="0"/>
    <s v="Pas de changement "/>
    <s v="Non"/>
    <m/>
    <m/>
    <m/>
    <m/>
    <m/>
    <m/>
    <m/>
    <m/>
    <m/>
    <m/>
    <m/>
    <m/>
    <m/>
    <m/>
    <m/>
    <s v="Non"/>
    <m/>
    <m/>
    <m/>
    <m/>
    <m/>
    <m/>
    <m/>
    <m/>
    <m/>
    <m/>
    <m/>
    <m/>
    <m/>
    <m/>
    <m/>
    <m/>
    <m/>
    <m/>
    <m/>
    <m/>
    <n v="0"/>
    <m/>
    <m/>
    <m/>
    <m/>
    <m/>
    <m/>
    <m/>
    <m/>
    <m/>
    <m/>
    <m/>
    <m/>
    <m/>
    <s v="1"/>
    <s v="0"/>
    <s v="0"/>
    <n v="1"/>
  </r>
  <r>
    <n v="2634572"/>
    <s v="Extrême-Nord"/>
    <s v="CMR004"/>
    <x v="1"/>
    <s v="CMR004002"/>
    <s v="Makary"/>
    <s v="CMR004002009"/>
    <s v="MAK-0159"/>
    <s v="ABOUSOULTAN"/>
    <m/>
    <x v="0"/>
    <n v="12.548584200000001"/>
    <n v="14.6963604"/>
    <x v="0"/>
    <b v="1"/>
    <b v="0"/>
    <b v="1"/>
    <m/>
    <n v="3"/>
    <s v="Accessible"/>
    <m/>
    <s v="Le village accueille une population"/>
    <s v="Le village est partiellement détruit"/>
    <s v="Intempéries (inondations, tempêtes etc.)"/>
    <m/>
    <s v="Oui"/>
    <s v="Familles d'accueil"/>
    <s v="Non, pas du tout"/>
    <s v="Non"/>
    <m/>
    <n v="4"/>
    <n v="613"/>
    <s v="Oui"/>
    <s v="Deuxième déplacement"/>
    <n v="4"/>
    <n v="22"/>
    <n v="10"/>
    <n v="12"/>
    <n v="1"/>
    <n v="3"/>
    <n v="0"/>
    <n v="0"/>
    <m/>
    <m/>
    <n v="0"/>
    <n v="0"/>
    <m/>
    <m/>
    <n v="0"/>
    <s v="Pas de changement"/>
    <s v="Non"/>
    <m/>
    <m/>
    <m/>
    <m/>
    <m/>
    <m/>
    <m/>
    <m/>
    <m/>
    <m/>
    <m/>
    <m/>
    <m/>
    <m/>
    <m/>
    <s v="Non"/>
    <m/>
    <m/>
    <m/>
    <m/>
    <m/>
    <m/>
    <m/>
    <m/>
    <m/>
    <m/>
    <m/>
    <m/>
    <m/>
    <m/>
    <m/>
    <m/>
    <m/>
    <m/>
    <m/>
    <m/>
    <n v="0"/>
    <m/>
    <m/>
    <m/>
    <m/>
    <m/>
    <m/>
    <m/>
    <m/>
    <m/>
    <m/>
    <m/>
    <m/>
    <m/>
    <s v="1"/>
    <s v="0"/>
    <s v="0"/>
    <n v="1"/>
  </r>
  <r>
    <n v="2627010"/>
    <s v="Extrême-Nord"/>
    <s v="CMR004"/>
    <x v="1"/>
    <s v="CMR004002"/>
    <s v="Makary"/>
    <s v="CMR004002009"/>
    <s v="MAK-0002"/>
    <s v="ABOUYAKOUBA"/>
    <m/>
    <x v="1"/>
    <n v="12.411975099999999"/>
    <n v="14.454150200000001"/>
    <x v="0"/>
    <b v="1"/>
    <b v="0"/>
    <b v="0"/>
    <m/>
    <n v="4"/>
    <s v="Accessible"/>
    <m/>
    <s v="Le village accueille une population"/>
    <s v="Le village est partiellement détruit"/>
    <s v="Intempéries (inondations, tempêtes etc.)"/>
    <m/>
    <s v="Oui"/>
    <s v="Familles d'accueil"/>
    <s v="Non, pas du tout"/>
    <s v="Non"/>
    <m/>
    <n v="16"/>
    <n v="1244"/>
    <s v="Oui"/>
    <s v="Premier déplacement"/>
    <n v="16"/>
    <n v="92"/>
    <n v="38"/>
    <n v="54"/>
    <n v="10"/>
    <n v="6"/>
    <n v="0"/>
    <n v="0"/>
    <m/>
    <m/>
    <n v="0"/>
    <n v="0"/>
    <m/>
    <m/>
    <n v="0"/>
    <s v="Il y a eu 6 nouveaux ménages venant de tikka"/>
    <s v="Oui"/>
    <n v="25"/>
    <n v="76"/>
    <n v="34"/>
    <n v="42"/>
    <n v="25"/>
    <n v="0"/>
    <n v="0"/>
    <m/>
    <n v="0"/>
    <n v="0"/>
    <m/>
    <m/>
    <n v="0"/>
    <n v="0"/>
    <s v="Il n'ya pas eu de nouveau venant "/>
    <s v="Oui"/>
    <n v="4"/>
    <n v="28"/>
    <n v="11"/>
    <n v="17"/>
    <s v="Entre 3 mois et 1 an"/>
    <n v="4"/>
    <n v="0"/>
    <n v="0"/>
    <n v="0"/>
    <n v="0"/>
    <m/>
    <n v="0"/>
    <n v="0"/>
    <m/>
    <n v="0"/>
    <m/>
    <m/>
    <m/>
    <m/>
    <m/>
    <n v="0"/>
    <m/>
    <m/>
    <m/>
    <m/>
    <m/>
    <m/>
    <m/>
    <m/>
    <m/>
    <m/>
    <m/>
    <m/>
    <m/>
    <s v="1"/>
    <s v="1"/>
    <s v="1"/>
    <n v="3"/>
  </r>
  <r>
    <n v="2639009"/>
    <s v="Extrême-Nord"/>
    <s v="CMR004"/>
    <x v="1"/>
    <s v="CMR004002"/>
    <s v="Makary"/>
    <s v="CMR004002009"/>
    <s v="MAK-0121"/>
    <s v="ABTABILO FADJAWA"/>
    <m/>
    <x v="1"/>
    <n v="12.4519494"/>
    <n v="14.656349499999999"/>
    <x v="0"/>
    <b v="1"/>
    <b v="0"/>
    <b v="0"/>
    <m/>
    <n v="3"/>
    <s v="Accessible"/>
    <m/>
    <s v="Le village accueille une population"/>
    <s v="Le village est intact (construit)"/>
    <m/>
    <m/>
    <s v="Oui"/>
    <s v="Familles d'accueil"/>
    <s v="Non, pas du tout"/>
    <s v="Non"/>
    <m/>
    <n v="2"/>
    <n v="420"/>
    <s v="Oui"/>
    <s v="Premier déplacement"/>
    <n v="2"/>
    <n v="19"/>
    <n v="7"/>
    <n v="12"/>
    <n v="0"/>
    <n v="2"/>
    <n v="0"/>
    <n v="0"/>
    <m/>
    <m/>
    <n v="0"/>
    <n v="0"/>
    <m/>
    <m/>
    <n v="0"/>
    <s v="Ce deux ménages de 19 d'individus venant du village Mangalmi dans l'arrondissement de blangoua, suite à une attaque par groupe armes (bh)il y a deux mois à peine"/>
    <s v="Oui"/>
    <n v="12"/>
    <n v="115"/>
    <n v="50"/>
    <n v="65"/>
    <n v="12"/>
    <n v="0"/>
    <n v="0"/>
    <m/>
    <n v="0"/>
    <n v="0"/>
    <m/>
    <m/>
    <n v="0"/>
    <n v="0"/>
    <s v="Pas de changement"/>
    <s v="Non"/>
    <m/>
    <m/>
    <m/>
    <m/>
    <m/>
    <m/>
    <m/>
    <m/>
    <m/>
    <m/>
    <m/>
    <m/>
    <m/>
    <m/>
    <m/>
    <m/>
    <m/>
    <m/>
    <m/>
    <m/>
    <n v="0"/>
    <m/>
    <m/>
    <m/>
    <m/>
    <m/>
    <m/>
    <m/>
    <m/>
    <m/>
    <m/>
    <m/>
    <m/>
    <m/>
    <s v="1"/>
    <s v="1"/>
    <s v="0"/>
    <n v="2"/>
  </r>
  <r>
    <n v="2632791"/>
    <s v="Extrême-Nord"/>
    <s v="CMR004"/>
    <x v="1"/>
    <s v="CMR004002"/>
    <s v="Makary"/>
    <s v="CMR004002009"/>
    <s v="MAK-0003"/>
    <s v="AFADE (village)"/>
    <m/>
    <x v="1"/>
    <n v="12.233819"/>
    <n v="14.6376531"/>
    <x v="0"/>
    <b v="1"/>
    <b v="0"/>
    <b v="0"/>
    <m/>
    <n v="3"/>
    <s v="Accessible"/>
    <m/>
    <s v="Le village accueille une population"/>
    <s v="Le village est intact (construit)"/>
    <m/>
    <m/>
    <s v="Oui"/>
    <s v="Familles d'accueil"/>
    <s v="Non, pas du tout"/>
    <s v="Non"/>
    <m/>
    <n v="936"/>
    <n v="3335"/>
    <s v="Oui"/>
    <s v="Premier déplacement"/>
    <n v="936"/>
    <n v="8361"/>
    <n v="4135"/>
    <n v="4226"/>
    <n v="0"/>
    <n v="936"/>
    <n v="0"/>
    <n v="0"/>
    <m/>
    <m/>
    <n v="0"/>
    <n v="0"/>
    <m/>
    <m/>
    <n v="0"/>
    <s v="Augmentation de  5 ménages pour  15 individus venant du site de Dagué suite aux inondations en septembre 2022"/>
    <s v="Oui"/>
    <n v="52"/>
    <n v="474"/>
    <n v="224"/>
    <n v="250"/>
    <n v="52"/>
    <n v="0"/>
    <n v="0"/>
    <m/>
    <n v="0"/>
    <n v="0"/>
    <m/>
    <m/>
    <n v="0"/>
    <n v="0"/>
    <s v="Aucun changement"/>
    <s v="Oui"/>
    <n v="887"/>
    <n v="7299"/>
    <n v="3611"/>
    <n v="3688"/>
    <s v="Entre 1 et 5 ans"/>
    <n v="487"/>
    <n v="100"/>
    <n v="100"/>
    <n v="100"/>
    <n v="100"/>
    <s v="Chez une famille d'accueil (contre loyer)"/>
    <n v="0"/>
    <n v="0"/>
    <m/>
    <n v="0"/>
    <m/>
    <m/>
    <m/>
    <m/>
    <m/>
    <n v="0"/>
    <m/>
    <m/>
    <m/>
    <m/>
    <m/>
    <m/>
    <m/>
    <m/>
    <m/>
    <m/>
    <m/>
    <m/>
    <m/>
    <s v="1"/>
    <s v="1"/>
    <s v="1"/>
    <n v="3"/>
  </r>
  <r>
    <n v="2627133"/>
    <s v="Extrême-Nord"/>
    <s v="CMR004"/>
    <x v="1"/>
    <s v="CMR004002"/>
    <s v="Makary"/>
    <s v="CMR004002009"/>
    <s v="MAK-0122"/>
    <s v="ALAK 1"/>
    <m/>
    <x v="1"/>
    <n v="12.375724999999999"/>
    <n v="14.526203300000001"/>
    <x v="0"/>
    <b v="1"/>
    <b v="0"/>
    <b v="0"/>
    <m/>
    <n v="3"/>
    <s v="Accessible"/>
    <m/>
    <s v="Le village accueille une population"/>
    <s v="Le village est intact (construit)"/>
    <m/>
    <m/>
    <s v="Oui"/>
    <s v="Familles d'accueil"/>
    <s v="Non, pas du tout"/>
    <s v="Non"/>
    <m/>
    <n v="7"/>
    <n v="200"/>
    <s v="Oui"/>
    <s v="Premier déplacement"/>
    <n v="7"/>
    <n v="30"/>
    <n v="20"/>
    <n v="10"/>
    <n v="0"/>
    <n v="7"/>
    <n v="0"/>
    <n v="0"/>
    <m/>
    <m/>
    <n v="0"/>
    <n v="0"/>
    <m/>
    <m/>
    <n v="0"/>
    <s v="Pas de changement."/>
    <s v="Oui"/>
    <n v="10"/>
    <n v="40"/>
    <n v="25"/>
    <n v="15"/>
    <n v="10"/>
    <n v="0"/>
    <n v="0"/>
    <m/>
    <n v="0"/>
    <n v="0"/>
    <m/>
    <m/>
    <n v="0"/>
    <n v="0"/>
    <s v="Pas de changement."/>
    <s v="Non"/>
    <m/>
    <m/>
    <m/>
    <m/>
    <m/>
    <m/>
    <m/>
    <m/>
    <m/>
    <m/>
    <m/>
    <m/>
    <m/>
    <m/>
    <m/>
    <m/>
    <m/>
    <m/>
    <m/>
    <m/>
    <n v="0"/>
    <m/>
    <m/>
    <m/>
    <m/>
    <m/>
    <m/>
    <m/>
    <m/>
    <m/>
    <m/>
    <m/>
    <m/>
    <m/>
    <s v="1"/>
    <s v="1"/>
    <s v="0"/>
    <n v="2"/>
  </r>
  <r>
    <n v="2627134"/>
    <s v="Extrême-Nord"/>
    <s v="CMR004"/>
    <x v="1"/>
    <s v="CMR004002"/>
    <s v="Makary"/>
    <s v="CMR004002009"/>
    <s v="MAK-0123"/>
    <s v="ALAK 2"/>
    <m/>
    <x v="1"/>
    <n v="12.370705600000001"/>
    <n v="14.5445137"/>
    <x v="0"/>
    <b v="1"/>
    <b v="0"/>
    <b v="0"/>
    <m/>
    <n v="3"/>
    <s v="Accessible"/>
    <m/>
    <s v="Le village accueille une population"/>
    <s v="Le village est intact (construit)"/>
    <m/>
    <m/>
    <s v="Oui"/>
    <s v="Familles d'accueil"/>
    <s v="Non, pas du tout"/>
    <s v="Non"/>
    <m/>
    <n v="4"/>
    <n v="613"/>
    <s v="Oui"/>
    <s v="Premier déplacement"/>
    <n v="4"/>
    <n v="30"/>
    <n v="20"/>
    <n v="10"/>
    <n v="0"/>
    <n v="4"/>
    <n v="0"/>
    <n v="0"/>
    <m/>
    <m/>
    <n v="0"/>
    <n v="0"/>
    <m/>
    <m/>
    <n v="0"/>
    <s v="Pas de changement."/>
    <s v="Non"/>
    <m/>
    <m/>
    <m/>
    <m/>
    <m/>
    <m/>
    <m/>
    <m/>
    <m/>
    <m/>
    <m/>
    <m/>
    <m/>
    <m/>
    <m/>
    <s v="Non"/>
    <m/>
    <m/>
    <m/>
    <m/>
    <m/>
    <m/>
    <m/>
    <m/>
    <m/>
    <m/>
    <m/>
    <m/>
    <m/>
    <m/>
    <m/>
    <m/>
    <m/>
    <m/>
    <m/>
    <m/>
    <n v="0"/>
    <m/>
    <m/>
    <m/>
    <m/>
    <m/>
    <m/>
    <m/>
    <m/>
    <m/>
    <m/>
    <m/>
    <m/>
    <m/>
    <s v="1"/>
    <s v="0"/>
    <s v="0"/>
    <n v="1"/>
  </r>
  <r>
    <n v="2626366"/>
    <s v="Extrême-Nord"/>
    <s v="CMR004"/>
    <x v="1"/>
    <s v="CMR004002"/>
    <s v="Makary"/>
    <s v="CMR004002009"/>
    <s v="MAK-0160"/>
    <s v="ALMITERAP"/>
    <m/>
    <x v="1"/>
    <n v="12.5784298"/>
    <n v="14.6699375"/>
    <x v="0"/>
    <b v="1"/>
    <b v="0"/>
    <b v="1"/>
    <m/>
    <n v="3"/>
    <s v="Accessible"/>
    <m/>
    <s v="Le village accueille une population"/>
    <s v="Le village est partiellement détruit"/>
    <s v="Intempéries (inondations, tempêtes etc.)"/>
    <m/>
    <s v="Oui"/>
    <s v="Familles d'accueil"/>
    <s v="Non, pas du tout"/>
    <s v="Non"/>
    <m/>
    <n v="8"/>
    <n v="334"/>
    <s v="Oui"/>
    <s v="Deuxième déplacement"/>
    <n v="8"/>
    <n v="32"/>
    <n v="15"/>
    <n v="17"/>
    <n v="3"/>
    <n v="3"/>
    <n v="2"/>
    <n v="0"/>
    <m/>
    <m/>
    <n v="0"/>
    <n v="0"/>
    <m/>
    <m/>
    <n v="0"/>
    <s v="Augmentation de PDi de 17 individues sortants de  blangoua suite à  l’inondation"/>
    <s v="Non"/>
    <m/>
    <m/>
    <m/>
    <m/>
    <m/>
    <m/>
    <m/>
    <m/>
    <m/>
    <m/>
    <m/>
    <m/>
    <m/>
    <m/>
    <m/>
    <s v="Non"/>
    <m/>
    <m/>
    <m/>
    <m/>
    <m/>
    <m/>
    <m/>
    <m/>
    <m/>
    <m/>
    <m/>
    <m/>
    <m/>
    <m/>
    <m/>
    <m/>
    <m/>
    <m/>
    <m/>
    <m/>
    <n v="0"/>
    <m/>
    <m/>
    <m/>
    <m/>
    <m/>
    <m/>
    <m/>
    <m/>
    <m/>
    <m/>
    <m/>
    <m/>
    <m/>
    <s v="1"/>
    <s v="0"/>
    <s v="0"/>
    <n v="1"/>
  </r>
  <r>
    <n v="2652397"/>
    <s v="Extrême-Nord"/>
    <s v="CMR004"/>
    <x v="1"/>
    <s v="CMR004002"/>
    <s v="Makary"/>
    <s v="CMR004002009"/>
    <s v="MAK-0195"/>
    <s v="AMADABO 1"/>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26913"/>
    <s v="Extrême-Nord"/>
    <s v="CMR004"/>
    <x v="1"/>
    <s v="CMR004002"/>
    <s v="Makary"/>
    <s v="CMR004002009"/>
    <s v="MAK-0005"/>
    <s v="AMADABO 2"/>
    <m/>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46285"/>
    <s v="Extrême-Nord"/>
    <s v="CMR004"/>
    <x v="1"/>
    <s v="CMR004002"/>
    <s v="Makary"/>
    <s v="CMR004002009"/>
    <s v="MAK-0006"/>
    <s v="AMCHILGA"/>
    <m/>
    <x v="1"/>
    <n v="12.5263288"/>
    <n v="14.381569600000001"/>
    <x v="0"/>
    <b v="1"/>
    <b v="0"/>
    <b v="0"/>
    <m/>
    <n v="3"/>
    <s v="Accessible"/>
    <m/>
    <s v="Le village accueille une population"/>
    <s v="Le village est partiellement détruit"/>
    <s v="Intempéries (inondations, tempêtes etc.)"/>
    <m/>
    <s v="Oui"/>
    <s v="Familles d'accueil"/>
    <s v="Non, pas du tout"/>
    <s v="Non"/>
    <m/>
    <n v="50"/>
    <n v="1235"/>
    <s v="Oui"/>
    <s v="Premier déplacement"/>
    <n v="50"/>
    <n v="210"/>
    <n v="130"/>
    <n v="80"/>
    <n v="3"/>
    <n v="47"/>
    <n v="0"/>
    <n v="0"/>
    <m/>
    <m/>
    <n v="0"/>
    <n v="0"/>
    <m/>
    <m/>
    <n v="0"/>
    <s v="Lors du Round précédent (round 25)le village était inaccessible à cause des pluies et inondations . C'est la raison pour laquelle les informations n'apparaissent pas sur la data liste de ce Round la._x000a_Pour ce Round 26, nous avons pu accéder au villages et il y a eu une augmentation de 7 ménages pour 30 individus ( periodes de septembre -janvier 2023) venus de Darak suites aux attaques de Boko Haram"/>
    <s v="Non"/>
    <m/>
    <m/>
    <m/>
    <m/>
    <m/>
    <m/>
    <m/>
    <m/>
    <m/>
    <m/>
    <m/>
    <m/>
    <m/>
    <m/>
    <m/>
    <s v="Non"/>
    <m/>
    <m/>
    <m/>
    <m/>
    <m/>
    <m/>
    <m/>
    <m/>
    <m/>
    <m/>
    <m/>
    <m/>
    <m/>
    <m/>
    <m/>
    <m/>
    <m/>
    <m/>
    <m/>
    <m/>
    <n v="0"/>
    <m/>
    <m/>
    <m/>
    <m/>
    <m/>
    <m/>
    <m/>
    <m/>
    <m/>
    <m/>
    <m/>
    <m/>
    <m/>
    <s v="1"/>
    <s v="0"/>
    <s v="0"/>
    <n v="1"/>
  </r>
  <r>
    <n v="2627011"/>
    <s v="Extrême-Nord"/>
    <s v="CMR004"/>
    <x v="1"/>
    <s v="CMR004002"/>
    <s v="Makary"/>
    <s v="CMR004002009"/>
    <s v="MAK-0007"/>
    <s v="AMCHITIRE"/>
    <m/>
    <x v="1"/>
    <n v="12.4347218"/>
    <n v="14.465491200000001"/>
    <x v="0"/>
    <b v="1"/>
    <b v="0"/>
    <b v="0"/>
    <m/>
    <n v="3"/>
    <s v="Accessible"/>
    <m/>
    <s v="Le village accueille une population"/>
    <s v="Le village est partiellement détruit"/>
    <s v="Intempéries (inondations, tempêtes etc.)"/>
    <m/>
    <s v="Oui"/>
    <s v="Familles d'accueil"/>
    <s v="Non, pas du tout"/>
    <s v="Non"/>
    <m/>
    <n v="11"/>
    <n v="462"/>
    <s v="Oui"/>
    <s v="Premier déplacement"/>
    <n v="11"/>
    <n v="53"/>
    <n v="17"/>
    <n v="36"/>
    <n v="8"/>
    <n v="3"/>
    <n v="0"/>
    <n v="0"/>
    <m/>
    <m/>
    <n v="0"/>
    <n v="0"/>
    <m/>
    <m/>
    <n v="0"/>
    <s v="Il y a eu 3 nouveaux ménages idp de 15 indivus 6M et 9 F"/>
    <s v="Oui"/>
    <n v="2"/>
    <n v="13"/>
    <n v="4"/>
    <n v="9"/>
    <n v="2"/>
    <n v="0"/>
    <n v="0"/>
    <m/>
    <n v="0"/>
    <n v="0"/>
    <m/>
    <m/>
    <n v="0"/>
    <n v="0"/>
    <s v="Il n'y a pas eu de nouveau réfugiés "/>
    <s v="Non"/>
    <m/>
    <m/>
    <m/>
    <m/>
    <m/>
    <m/>
    <m/>
    <m/>
    <m/>
    <m/>
    <m/>
    <m/>
    <m/>
    <m/>
    <m/>
    <m/>
    <m/>
    <m/>
    <m/>
    <m/>
    <n v="0"/>
    <m/>
    <m/>
    <m/>
    <m/>
    <m/>
    <m/>
    <m/>
    <m/>
    <m/>
    <m/>
    <m/>
    <m/>
    <m/>
    <s v="1"/>
    <s v="1"/>
    <s v="0"/>
    <n v="2"/>
  </r>
  <r>
    <n v="2639017"/>
    <s v="Extrême-Nord"/>
    <s v="CMR004"/>
    <x v="1"/>
    <s v="CMR004002"/>
    <s v="Makary"/>
    <s v="CMR004002009"/>
    <s v="MAK-0008"/>
    <s v="AMSABANG"/>
    <m/>
    <x v="1"/>
    <n v="12.3472616"/>
    <n v="14.595614100000001"/>
    <x v="0"/>
    <b v="1"/>
    <b v="0"/>
    <b v="0"/>
    <m/>
    <n v="4"/>
    <s v="Accessible"/>
    <m/>
    <s v="Le village accueille une population"/>
    <s v="Le village est intact (construit)"/>
    <m/>
    <m/>
    <s v="Oui"/>
    <s v="Familles d'accueil"/>
    <s v="Non, pas du tout"/>
    <s v="Non"/>
    <m/>
    <n v="66"/>
    <n v="1138"/>
    <s v="Oui"/>
    <s v="Premier déplacement"/>
    <n v="66"/>
    <n v="552"/>
    <n v="256"/>
    <n v="296"/>
    <n v="46"/>
    <n v="20"/>
    <n v="0"/>
    <n v="0"/>
    <m/>
    <m/>
    <n v="0"/>
    <n v="0"/>
    <m/>
    <m/>
    <n v="0"/>
    <s v="Pas de changement"/>
    <s v="Non"/>
    <m/>
    <m/>
    <m/>
    <m/>
    <m/>
    <m/>
    <m/>
    <m/>
    <m/>
    <m/>
    <m/>
    <m/>
    <m/>
    <m/>
    <m/>
    <s v="Non"/>
    <m/>
    <m/>
    <m/>
    <m/>
    <m/>
    <m/>
    <m/>
    <m/>
    <m/>
    <m/>
    <m/>
    <m/>
    <m/>
    <m/>
    <m/>
    <m/>
    <m/>
    <m/>
    <m/>
    <m/>
    <n v="0"/>
    <m/>
    <m/>
    <m/>
    <m/>
    <m/>
    <m/>
    <m/>
    <m/>
    <m/>
    <m/>
    <m/>
    <m/>
    <m/>
    <s v="1"/>
    <s v="0"/>
    <s v="0"/>
    <n v="1"/>
  </r>
  <r>
    <n v="2639018"/>
    <s v="Extrême-Nord"/>
    <s v="CMR004"/>
    <x v="1"/>
    <s v="CMR004002"/>
    <s v="Makary"/>
    <s v="CMR004002009"/>
    <s v="MAK-0009"/>
    <s v="AMSABANG 2"/>
    <m/>
    <x v="1"/>
    <n v="12.3455166"/>
    <n v="14.597160300000001"/>
    <x v="0"/>
    <b v="1"/>
    <b v="0"/>
    <b v="0"/>
    <m/>
    <n v="3"/>
    <s v="Accessible"/>
    <m/>
    <s v="Le village accueille une population"/>
    <s v="Le village est intact (construit)"/>
    <m/>
    <m/>
    <s v="Oui"/>
    <s v="Familles d'accueil"/>
    <s v="Non, pas du tout"/>
    <s v="Non"/>
    <m/>
    <n v="10"/>
    <n v="1022"/>
    <s v="Oui"/>
    <s v="Premier déplacement"/>
    <n v="10"/>
    <n v="69"/>
    <n v="30"/>
    <n v="39"/>
    <n v="7"/>
    <n v="3"/>
    <n v="0"/>
    <n v="0"/>
    <m/>
    <m/>
    <n v="0"/>
    <n v="0"/>
    <m/>
    <m/>
    <n v="0"/>
    <s v="Pas de changement"/>
    <s v="Non"/>
    <m/>
    <m/>
    <m/>
    <m/>
    <m/>
    <m/>
    <m/>
    <m/>
    <m/>
    <m/>
    <m/>
    <m/>
    <m/>
    <m/>
    <m/>
    <s v="Non"/>
    <m/>
    <m/>
    <m/>
    <m/>
    <m/>
    <m/>
    <m/>
    <m/>
    <m/>
    <m/>
    <m/>
    <m/>
    <m/>
    <m/>
    <m/>
    <m/>
    <m/>
    <m/>
    <m/>
    <m/>
    <n v="0"/>
    <m/>
    <m/>
    <m/>
    <m/>
    <m/>
    <m/>
    <m/>
    <m/>
    <m/>
    <m/>
    <m/>
    <m/>
    <m/>
    <s v="1"/>
    <s v="0"/>
    <s v="0"/>
    <n v="1"/>
  </r>
  <r>
    <n v="2590998"/>
    <s v="Extrême-Nord"/>
    <s v="CMR004"/>
    <x v="1"/>
    <s v="CMR004002"/>
    <s v="Makary"/>
    <s v="CMR004002009"/>
    <s v="MAK-0183"/>
    <s v="AMSAMKA"/>
    <m/>
    <x v="1"/>
    <n v="12.514591100000001"/>
    <n v="14.722775"/>
    <x v="0"/>
    <b v="1"/>
    <b v="0"/>
    <b v="0"/>
    <m/>
    <n v="4"/>
    <s v="Accessible"/>
    <m/>
    <s v="Le village accueille une population"/>
    <s v="Le village est partiellement détruit"/>
    <s v="Intempéries (inondations, tempêtes etc.)"/>
    <m/>
    <s v="Oui"/>
    <s v="Familles d'accueil"/>
    <s v="Non, pas du tout"/>
    <s v="Non"/>
    <m/>
    <n v="5"/>
    <n v="407"/>
    <s v="Oui"/>
    <s v="Troisième déplacement"/>
    <n v="5"/>
    <n v="31"/>
    <n v="12"/>
    <n v="19"/>
    <n v="3"/>
    <n v="2"/>
    <n v="0"/>
    <n v="0"/>
    <m/>
    <m/>
    <n v="0"/>
    <n v="0"/>
    <m/>
    <m/>
    <n v="0"/>
    <s v="2 ménages de 11 individus, 4 hommes et 7 femmes."/>
    <s v="Non"/>
    <m/>
    <m/>
    <m/>
    <m/>
    <m/>
    <m/>
    <m/>
    <m/>
    <m/>
    <m/>
    <m/>
    <m/>
    <m/>
    <m/>
    <m/>
    <s v="Non"/>
    <m/>
    <m/>
    <m/>
    <m/>
    <m/>
    <m/>
    <m/>
    <m/>
    <m/>
    <m/>
    <m/>
    <m/>
    <m/>
    <m/>
    <m/>
    <m/>
    <m/>
    <m/>
    <m/>
    <m/>
    <n v="0"/>
    <m/>
    <m/>
    <m/>
    <m/>
    <m/>
    <m/>
    <m/>
    <m/>
    <m/>
    <m/>
    <m/>
    <m/>
    <m/>
    <s v="1"/>
    <s v="0"/>
    <s v="0"/>
    <n v="1"/>
  </r>
  <r>
    <n v="2646286"/>
    <s v="Extrême-Nord"/>
    <s v="CMR004"/>
    <x v="1"/>
    <s v="CMR004002"/>
    <s v="Makary"/>
    <s v="CMR004002009"/>
    <s v="MAK-0161"/>
    <s v="AMSAOURA"/>
    <m/>
    <x v="1"/>
    <n v="12.5514536"/>
    <n v="14.683995299999999"/>
    <x v="0"/>
    <b v="1"/>
    <b v="0"/>
    <b v="0"/>
    <m/>
    <n v="4"/>
    <s v="Accessible"/>
    <m/>
    <s v="Le village accueille une population"/>
    <s v="Le village est partiellement détruit"/>
    <s v="Intempéries (inondations, tempêtes etc.)"/>
    <m/>
    <s v="Oui"/>
    <s v="Familles d'accueil"/>
    <s v="Non, pas du tout"/>
    <s v="Non"/>
    <m/>
    <n v="6"/>
    <n v="204"/>
    <s v="Oui"/>
    <s v="Plus de trois déplacements"/>
    <n v="6"/>
    <n v="31"/>
    <n v="11"/>
    <n v="20"/>
    <n v="0"/>
    <n v="6"/>
    <n v="0"/>
    <n v="0"/>
    <m/>
    <m/>
    <n v="0"/>
    <n v="0"/>
    <m/>
    <m/>
    <n v="0"/>
    <s v="Augmentation de 1 ménage pour 4 individus dont 1 homme et 3 femmes vénus de Darak suite à l'inondation"/>
    <s v="Non"/>
    <m/>
    <m/>
    <m/>
    <m/>
    <m/>
    <m/>
    <m/>
    <m/>
    <m/>
    <m/>
    <m/>
    <m/>
    <m/>
    <m/>
    <m/>
    <s v="Non"/>
    <m/>
    <m/>
    <m/>
    <m/>
    <m/>
    <m/>
    <m/>
    <m/>
    <m/>
    <m/>
    <m/>
    <m/>
    <m/>
    <m/>
    <m/>
    <m/>
    <m/>
    <m/>
    <m/>
    <m/>
    <n v="0"/>
    <m/>
    <m/>
    <m/>
    <m/>
    <m/>
    <m/>
    <m/>
    <m/>
    <m/>
    <m/>
    <m/>
    <m/>
    <m/>
    <s v="1"/>
    <s v="0"/>
    <s v="0"/>
    <n v="1"/>
  </r>
  <r>
    <n v="2754131"/>
    <s v="Extrême-Nord"/>
    <s v="CMR004"/>
    <x v="1"/>
    <s v="CMR004002"/>
    <s v="Makary"/>
    <s v="CMR004002009"/>
    <s v="MAK-0162"/>
    <s v="AMSOUFA"/>
    <m/>
    <x v="1"/>
    <n v="12.4064037"/>
    <n v="14.4939251"/>
    <x v="0"/>
    <b v="0"/>
    <b v="0"/>
    <b v="1"/>
    <m/>
    <m/>
    <s v="Accessible"/>
    <m/>
    <s v="Le village accueille une population"/>
    <s v="Le village est intact (construit)"/>
    <m/>
    <m/>
    <s v="Oui"/>
    <s v="Familles d'accueil"/>
    <s v="Non, pas du tout"/>
    <s v="Non"/>
    <m/>
    <n v="10"/>
    <n v="500"/>
    <s v="Oui"/>
    <s v="Premier déplacement"/>
    <n v="10"/>
    <n v="96"/>
    <n v="40"/>
    <n v="56"/>
    <n v="0"/>
    <n v="10"/>
    <n v="0"/>
    <n v="0"/>
    <m/>
    <m/>
    <n v="0"/>
    <n v="0"/>
    <m/>
    <m/>
    <n v="0"/>
    <s v="Aucun changement"/>
    <s v="Oui"/>
    <n v="1"/>
    <n v="6"/>
    <n v="2"/>
    <n v="4"/>
    <n v="1"/>
    <n v="0"/>
    <n v="0"/>
    <m/>
    <n v="0"/>
    <n v="0"/>
    <m/>
    <m/>
    <n v="0"/>
    <n v="0"/>
    <s v="Aucun changement"/>
    <s v="Non"/>
    <m/>
    <m/>
    <m/>
    <m/>
    <m/>
    <m/>
    <m/>
    <m/>
    <m/>
    <m/>
    <m/>
    <m/>
    <m/>
    <m/>
    <m/>
    <m/>
    <m/>
    <m/>
    <m/>
    <m/>
    <n v="0"/>
    <m/>
    <m/>
    <m/>
    <m/>
    <m/>
    <m/>
    <m/>
    <m/>
    <m/>
    <m/>
    <m/>
    <m/>
    <m/>
    <s v="1"/>
    <s v="1"/>
    <s v="0"/>
    <n v="2"/>
  </r>
  <r>
    <n v="2631790"/>
    <s v="Extrême-Nord"/>
    <s v="CMR004"/>
    <x v="1"/>
    <s v="CMR004002"/>
    <s v="Makary"/>
    <s v="CMR004002009"/>
    <s v="MAK-0124"/>
    <s v="AMSOUMOU"/>
    <m/>
    <x v="1"/>
    <n v="12.1813714"/>
    <n v="14.7295906"/>
    <x v="0"/>
    <b v="1"/>
    <b v="0"/>
    <b v="0"/>
    <m/>
    <n v="3"/>
    <s v="Accessible"/>
    <m/>
    <s v="Le village accueille une population"/>
    <s v="Le village est intact (construit)"/>
    <m/>
    <m/>
    <s v="Oui"/>
    <s v="Familles d'accueil"/>
    <s v="Non, pas du tout"/>
    <s v="Non"/>
    <m/>
    <m/>
    <n v="348"/>
    <s v="Non"/>
    <m/>
    <m/>
    <m/>
    <m/>
    <m/>
    <m/>
    <m/>
    <m/>
    <m/>
    <m/>
    <m/>
    <m/>
    <m/>
    <m/>
    <m/>
    <m/>
    <m/>
    <s v="Oui"/>
    <n v="22"/>
    <n v="180"/>
    <n v="70"/>
    <n v="110"/>
    <n v="22"/>
    <n v="0"/>
    <n v="0"/>
    <m/>
    <n v="0"/>
    <n v="0"/>
    <m/>
    <m/>
    <n v="0"/>
    <n v="0"/>
    <s v="Ras"/>
    <s v="Non"/>
    <m/>
    <m/>
    <m/>
    <m/>
    <m/>
    <m/>
    <m/>
    <m/>
    <m/>
    <m/>
    <m/>
    <m/>
    <m/>
    <m/>
    <m/>
    <m/>
    <m/>
    <m/>
    <m/>
    <m/>
    <n v="0"/>
    <m/>
    <m/>
    <m/>
    <m/>
    <m/>
    <m/>
    <m/>
    <m/>
    <m/>
    <m/>
    <m/>
    <m/>
    <m/>
    <s v="0"/>
    <s v="1"/>
    <s v="0"/>
    <n v="1"/>
  </r>
  <r>
    <n v="2583522"/>
    <s v="Extrême-Nord"/>
    <s v="CMR004"/>
    <x v="1"/>
    <s v="CMR004002"/>
    <s v="Makary"/>
    <s v="CMR004002009"/>
    <s v="MAK-0163"/>
    <s v="AMTCHIKO"/>
    <m/>
    <x v="1"/>
    <n v="12.5034698"/>
    <n v="14.621143699999999"/>
    <x v="0"/>
    <b v="1"/>
    <b v="0"/>
    <b v="0"/>
    <m/>
    <n v="4"/>
    <s v="Accessible"/>
    <m/>
    <s v="Le village accueille une population"/>
    <s v="Le village est partiellement détruit"/>
    <s v="Intempéries (inondations, tempêtes etc.)"/>
    <m/>
    <s v="Oui"/>
    <s v="Familles d'accueil"/>
    <s v="Non, pas du tout"/>
    <s v="Non"/>
    <m/>
    <n v="9"/>
    <n v="168"/>
    <s v="Oui"/>
    <s v="Premier déplacement"/>
    <n v="9"/>
    <n v="43"/>
    <n v="17"/>
    <n v="26"/>
    <n v="4"/>
    <n v="5"/>
    <n v="0"/>
    <n v="0"/>
    <m/>
    <m/>
    <n v="0"/>
    <n v="0"/>
    <m/>
    <m/>
    <n v="0"/>
    <s v="6 ménages PDI, 18(11femmes et 7hommes)."/>
    <s v="Non"/>
    <m/>
    <m/>
    <m/>
    <m/>
    <m/>
    <m/>
    <m/>
    <m/>
    <m/>
    <m/>
    <m/>
    <m/>
    <m/>
    <m/>
    <m/>
    <s v="Non"/>
    <m/>
    <m/>
    <m/>
    <m/>
    <m/>
    <m/>
    <m/>
    <m/>
    <m/>
    <m/>
    <m/>
    <m/>
    <m/>
    <m/>
    <m/>
    <m/>
    <m/>
    <m/>
    <m/>
    <m/>
    <n v="0"/>
    <m/>
    <m/>
    <m/>
    <m/>
    <m/>
    <m/>
    <m/>
    <m/>
    <m/>
    <m/>
    <m/>
    <m/>
    <m/>
    <s v="1"/>
    <s v="0"/>
    <s v="0"/>
    <n v="1"/>
  </r>
  <r>
    <n v="2627145"/>
    <s v="Extrême-Nord"/>
    <s v="CMR004"/>
    <x v="1"/>
    <s v="CMR004002"/>
    <s v="Makary"/>
    <s v="CMR004002009"/>
    <s v="MAK-0010"/>
    <s v="ANAMBARI"/>
    <m/>
    <x v="1"/>
    <n v="12.4070751"/>
    <n v="14.532660099999999"/>
    <x v="0"/>
    <b v="1"/>
    <b v="0"/>
    <b v="0"/>
    <m/>
    <n v="3"/>
    <s v="Accessible"/>
    <m/>
    <s v="Le village accueille une population"/>
    <s v="Le village est intact (construit)"/>
    <m/>
    <m/>
    <s v="Oui"/>
    <s v="Familles d'accueil"/>
    <s v="Non, pas du tout"/>
    <s v="Non"/>
    <m/>
    <n v="5"/>
    <n v="495"/>
    <s v="Oui"/>
    <s v="Premier déplacement"/>
    <n v="5"/>
    <n v="22"/>
    <n v="17"/>
    <n v="5"/>
    <n v="0"/>
    <n v="5"/>
    <n v="0"/>
    <n v="0"/>
    <m/>
    <m/>
    <n v="0"/>
    <n v="0"/>
    <m/>
    <m/>
    <n v="0"/>
    <s v="Pas de changement. Mais un ménage de deux individus venant de logone birni suite au conflit intercommunautaire."/>
    <s v="Oui"/>
    <n v="10"/>
    <n v="40"/>
    <n v="25"/>
    <n v="15"/>
    <n v="10"/>
    <n v="0"/>
    <n v="0"/>
    <m/>
    <n v="0"/>
    <n v="0"/>
    <m/>
    <m/>
    <n v="0"/>
    <n v="0"/>
    <s v="Pas de changement."/>
    <s v="Non"/>
    <m/>
    <m/>
    <m/>
    <m/>
    <m/>
    <m/>
    <m/>
    <m/>
    <m/>
    <m/>
    <m/>
    <m/>
    <m/>
    <m/>
    <m/>
    <m/>
    <m/>
    <m/>
    <m/>
    <m/>
    <n v="0"/>
    <m/>
    <m/>
    <m/>
    <m/>
    <m/>
    <m/>
    <m/>
    <m/>
    <m/>
    <m/>
    <m/>
    <m/>
    <m/>
    <s v="1"/>
    <s v="1"/>
    <s v="0"/>
    <n v="2"/>
  </r>
  <r>
    <n v="2627137"/>
    <s v="Extrême-Nord"/>
    <s v="CMR004"/>
    <x v="1"/>
    <s v="CMR004002"/>
    <s v="Makary"/>
    <s v="CMR004002009"/>
    <s v="MAK-0125"/>
    <s v="ARDEB 1"/>
    <m/>
    <x v="1"/>
    <n v="12.3743315"/>
    <n v="14.5183538"/>
    <x v="0"/>
    <b v="1"/>
    <b v="0"/>
    <b v="0"/>
    <m/>
    <n v="3"/>
    <s v="Accessible"/>
    <m/>
    <s v="Le village accueille une population"/>
    <s v="Le village est intact (construit)"/>
    <m/>
    <m/>
    <s v="Oui"/>
    <s v="Familles d'accueil"/>
    <s v="Non, pas du tout"/>
    <s v="Non"/>
    <m/>
    <n v="5"/>
    <n v="263"/>
    <s v="Oui"/>
    <s v="Premier déplacement"/>
    <n v="5"/>
    <n v="15"/>
    <n v="10"/>
    <n v="5"/>
    <n v="0"/>
    <n v="5"/>
    <n v="0"/>
    <n v="0"/>
    <m/>
    <m/>
    <n v="0"/>
    <n v="0"/>
    <m/>
    <m/>
    <n v="0"/>
    <s v="Pas de changement."/>
    <s v="Oui"/>
    <n v="3"/>
    <n v="11"/>
    <n v="5"/>
    <n v="6"/>
    <n v="3"/>
    <n v="0"/>
    <n v="0"/>
    <m/>
    <n v="0"/>
    <n v="0"/>
    <m/>
    <m/>
    <n v="0"/>
    <n v="0"/>
    <s v="Pas de changement."/>
    <s v="Non"/>
    <m/>
    <m/>
    <m/>
    <m/>
    <m/>
    <m/>
    <m/>
    <m/>
    <m/>
    <m/>
    <m/>
    <m/>
    <m/>
    <m/>
    <m/>
    <m/>
    <m/>
    <m/>
    <m/>
    <m/>
    <n v="0"/>
    <m/>
    <m/>
    <m/>
    <m/>
    <m/>
    <m/>
    <m/>
    <m/>
    <m/>
    <m/>
    <m/>
    <m/>
    <m/>
    <s v="1"/>
    <s v="1"/>
    <s v="0"/>
    <n v="2"/>
  </r>
  <r>
    <n v="2627136"/>
    <s v="Extrême-Nord"/>
    <s v="CMR004"/>
    <x v="1"/>
    <s v="CMR004002"/>
    <s v="Makary"/>
    <s v="CMR004002009"/>
    <s v="MAK-0126"/>
    <s v="ARDEB 2"/>
    <m/>
    <x v="1"/>
    <n v="12.379171400000001"/>
    <n v="14.5141527"/>
    <x v="0"/>
    <b v="1"/>
    <b v="0"/>
    <b v="0"/>
    <m/>
    <n v="3"/>
    <s v="Accessible"/>
    <m/>
    <s v="Le village accueille une population"/>
    <s v="Le village est intact (construit)"/>
    <m/>
    <m/>
    <s v="Oui"/>
    <s v="Familles d'accueil"/>
    <s v="Non, pas du tout"/>
    <s v="Non"/>
    <m/>
    <n v="8"/>
    <n v="531"/>
    <s v="Oui"/>
    <s v="Premier déplacement"/>
    <n v="8"/>
    <n v="29"/>
    <n v="10"/>
    <n v="19"/>
    <n v="0"/>
    <n v="8"/>
    <n v="0"/>
    <n v="0"/>
    <m/>
    <m/>
    <n v="0"/>
    <n v="0"/>
    <m/>
    <m/>
    <n v="0"/>
    <s v="Pas de changement."/>
    <s v="Oui"/>
    <n v="3"/>
    <n v="9"/>
    <n v="5"/>
    <n v="4"/>
    <n v="3"/>
    <n v="0"/>
    <n v="0"/>
    <m/>
    <n v="0"/>
    <n v="0"/>
    <m/>
    <m/>
    <n v="0"/>
    <n v="0"/>
    <s v="Pas de changement."/>
    <s v="Non"/>
    <m/>
    <m/>
    <m/>
    <m/>
    <m/>
    <m/>
    <m/>
    <m/>
    <m/>
    <m/>
    <m/>
    <m/>
    <m/>
    <m/>
    <m/>
    <m/>
    <m/>
    <m/>
    <m/>
    <m/>
    <n v="0"/>
    <m/>
    <m/>
    <m/>
    <m/>
    <m/>
    <m/>
    <m/>
    <m/>
    <m/>
    <m/>
    <m/>
    <m/>
    <m/>
    <s v="1"/>
    <s v="1"/>
    <s v="0"/>
    <n v="2"/>
  </r>
  <r>
    <n v="2616244"/>
    <s v="Extrême-Nord"/>
    <s v="CMR004"/>
    <x v="1"/>
    <s v="CMR004002"/>
    <s v="Makary"/>
    <s v="CMR004002009"/>
    <s v="MAK-0215"/>
    <s v="ARDEBE"/>
    <m/>
    <x v="1"/>
    <n v="12.567181"/>
    <n v="14.601096999999999"/>
    <x v="0"/>
    <b v="1"/>
    <b v="0"/>
    <b v="0"/>
    <m/>
    <n v="3"/>
    <s v="Accessible"/>
    <m/>
    <s v="Le village accueille une population"/>
    <s v="Le village est intact (construit)"/>
    <m/>
    <m/>
    <s v="Oui"/>
    <s v="Familles d'accueil"/>
    <s v="Non, pas du tout"/>
    <s v="Non"/>
    <m/>
    <n v="16"/>
    <n v="260"/>
    <s v="Oui"/>
    <s v="Premier déplacement"/>
    <n v="16"/>
    <n v="113"/>
    <n v="40"/>
    <n v="73"/>
    <n v="0"/>
    <n v="16"/>
    <n v="0"/>
    <n v="0"/>
    <m/>
    <m/>
    <n v="0"/>
    <n v="0"/>
    <m/>
    <m/>
    <n v="0"/>
    <s v="Manque des moyens financiers "/>
    <s v="Non"/>
    <m/>
    <m/>
    <m/>
    <m/>
    <m/>
    <m/>
    <m/>
    <m/>
    <m/>
    <m/>
    <m/>
    <m/>
    <m/>
    <m/>
    <m/>
    <s v="Non"/>
    <m/>
    <m/>
    <m/>
    <m/>
    <m/>
    <m/>
    <m/>
    <m/>
    <m/>
    <m/>
    <m/>
    <m/>
    <m/>
    <m/>
    <m/>
    <m/>
    <m/>
    <m/>
    <m/>
    <m/>
    <n v="0"/>
    <m/>
    <m/>
    <m/>
    <m/>
    <m/>
    <m/>
    <m/>
    <m/>
    <m/>
    <m/>
    <m/>
    <m/>
    <m/>
    <s v="1"/>
    <s v="0"/>
    <s v="0"/>
    <n v="1"/>
  </r>
  <r>
    <n v="2634621"/>
    <s v="Extrême-Nord"/>
    <s v="CMR004"/>
    <x v="1"/>
    <s v="CMR004002"/>
    <s v="Makary"/>
    <s v="CMR004002009"/>
    <s v="MAK-0043"/>
    <s v="ATTRI-FALATA"/>
    <m/>
    <x v="1"/>
    <n v="12.503410300000001"/>
    <n v="14.4180788"/>
    <x v="0"/>
    <b v="1"/>
    <b v="0"/>
    <b v="0"/>
    <m/>
    <n v="3"/>
    <s v="Accessible"/>
    <m/>
    <s v="Le village est entièrement déserté"/>
    <m/>
    <m/>
    <m/>
    <m/>
    <m/>
    <m/>
    <m/>
    <m/>
    <m/>
    <m/>
    <m/>
    <m/>
    <m/>
    <m/>
    <m/>
    <m/>
    <m/>
    <m/>
    <m/>
    <m/>
    <m/>
    <m/>
    <m/>
    <m/>
    <m/>
    <m/>
    <m/>
    <m/>
    <m/>
    <m/>
    <m/>
    <m/>
    <m/>
    <m/>
    <m/>
    <m/>
    <m/>
    <m/>
    <m/>
    <m/>
    <m/>
    <m/>
    <m/>
    <m/>
    <m/>
    <m/>
    <m/>
    <m/>
    <m/>
    <m/>
    <m/>
    <m/>
    <m/>
    <m/>
    <m/>
    <m/>
    <m/>
    <m/>
    <m/>
    <m/>
    <m/>
    <m/>
    <m/>
    <m/>
    <m/>
    <m/>
    <m/>
    <m/>
    <m/>
    <m/>
    <m/>
    <m/>
    <m/>
    <m/>
    <m/>
    <m/>
    <m/>
    <m/>
    <m/>
    <s v="0"/>
    <s v="0"/>
    <s v="0"/>
    <n v="0"/>
  </r>
  <r>
    <n v="2644464"/>
    <s v="Extrême-Nord"/>
    <s v="CMR004"/>
    <x v="1"/>
    <s v="CMR004002"/>
    <s v="Makary"/>
    <s v="CMR004002009"/>
    <s v="MAK-0011"/>
    <s v="ATTRI-SALAMAT"/>
    <m/>
    <x v="1"/>
    <n v="12.5077991"/>
    <n v="14.404502799999999"/>
    <x v="0"/>
    <b v="1"/>
    <b v="0"/>
    <b v="0"/>
    <m/>
    <n v="3"/>
    <s v="Accessible"/>
    <m/>
    <s v="Le village accueille une population"/>
    <s v="Le village est intact (construit)"/>
    <m/>
    <m/>
    <s v="Oui"/>
    <s v="Familles d'accueil"/>
    <s v="Non, pas du tout"/>
    <s v="Non"/>
    <m/>
    <n v="16"/>
    <n v="1091"/>
    <s v="Oui"/>
    <s v="Premier déplacement"/>
    <n v="16"/>
    <n v="109"/>
    <n v="40"/>
    <n v="69"/>
    <n v="0"/>
    <n v="16"/>
    <n v="0"/>
    <n v="0"/>
    <m/>
    <m/>
    <n v="0"/>
    <n v="0"/>
    <m/>
    <m/>
    <n v="0"/>
    <s v="Pas de changement "/>
    <s v="Non"/>
    <m/>
    <m/>
    <m/>
    <m/>
    <m/>
    <m/>
    <m/>
    <m/>
    <m/>
    <m/>
    <m/>
    <m/>
    <m/>
    <m/>
    <m/>
    <s v="Non"/>
    <m/>
    <m/>
    <m/>
    <m/>
    <m/>
    <m/>
    <m/>
    <m/>
    <m/>
    <m/>
    <m/>
    <m/>
    <m/>
    <m/>
    <m/>
    <m/>
    <m/>
    <m/>
    <m/>
    <m/>
    <n v="0"/>
    <m/>
    <m/>
    <m/>
    <m/>
    <m/>
    <m/>
    <m/>
    <m/>
    <m/>
    <m/>
    <m/>
    <m/>
    <m/>
    <s v="1"/>
    <s v="0"/>
    <s v="0"/>
    <n v="1"/>
  </r>
  <r>
    <n v="2666078"/>
    <s v="Extrême-Nord"/>
    <s v="CMR004"/>
    <x v="1"/>
    <s v="CMR004002"/>
    <s v="Makary"/>
    <s v="CMR004002009"/>
    <s v="MAK-0223"/>
    <s v="BACKE"/>
    <m/>
    <x v="1"/>
    <n v="12.272155700000001"/>
    <n v="14.758543"/>
    <x v="0"/>
    <b v="1"/>
    <b v="0"/>
    <b v="0"/>
    <m/>
    <n v="3"/>
    <s v="Accessible"/>
    <m/>
    <s v="Le village accueille une population"/>
    <s v="Le village est intact (construit)"/>
    <m/>
    <m/>
    <s v="Oui"/>
    <s v="Familles d'accueil"/>
    <s v="Non, pas du tout"/>
    <s v="Non"/>
    <m/>
    <n v="13"/>
    <n v="1997"/>
    <s v="Oui"/>
    <s v="Premier déplacement"/>
    <n v="13"/>
    <n v="42"/>
    <n v="25"/>
    <n v="17"/>
    <n v="0"/>
    <n v="13"/>
    <n v="0"/>
    <n v="0"/>
    <m/>
    <m/>
    <n v="0"/>
    <n v="0"/>
    <m/>
    <m/>
    <n v="0"/>
    <s v="Il y a pas de changement concernant les personnes déplacées"/>
    <s v="Non"/>
    <m/>
    <m/>
    <m/>
    <m/>
    <m/>
    <m/>
    <m/>
    <m/>
    <m/>
    <m/>
    <m/>
    <m/>
    <m/>
    <m/>
    <m/>
    <s v="Non"/>
    <m/>
    <m/>
    <m/>
    <m/>
    <m/>
    <m/>
    <m/>
    <m/>
    <m/>
    <m/>
    <m/>
    <m/>
    <m/>
    <m/>
    <m/>
    <m/>
    <m/>
    <m/>
    <m/>
    <m/>
    <n v="0"/>
    <m/>
    <m/>
    <m/>
    <m/>
    <m/>
    <m/>
    <m/>
    <m/>
    <m/>
    <m/>
    <m/>
    <m/>
    <m/>
    <s v="1"/>
    <s v="0"/>
    <s v="0"/>
    <n v="1"/>
  </r>
  <r>
    <n v="2670833"/>
    <s v="Extrême-Nord"/>
    <s v="CMR004"/>
    <x v="1"/>
    <s v="CMR004002"/>
    <s v="Makary"/>
    <s v="CMR004002009"/>
    <s v="MAK-0012"/>
    <s v="BADRA"/>
    <m/>
    <x v="1"/>
    <n v="12.4472591"/>
    <n v="14.435306199999999"/>
    <x v="0"/>
    <b v="1"/>
    <b v="0"/>
    <b v="0"/>
    <m/>
    <n v="3"/>
    <s v="Accessible"/>
    <m/>
    <s v="Le village accueille une population"/>
    <s v="Le village est partiellement détruit"/>
    <s v="Intempéries (inondations, tempêtes etc.)"/>
    <m/>
    <s v="Oui"/>
    <s v="Familles d'accueil"/>
    <s v="Non, pas du tout"/>
    <s v="Non"/>
    <m/>
    <n v="8"/>
    <n v="630"/>
    <s v="Oui"/>
    <s v="Premier déplacement"/>
    <n v="8"/>
    <n v="38"/>
    <n v="15"/>
    <n v="23"/>
    <n v="6"/>
    <n v="2"/>
    <n v="0"/>
    <n v="0"/>
    <m/>
    <m/>
    <n v="0"/>
    <n v="0"/>
    <m/>
    <m/>
    <n v="0"/>
    <s v="Les nouveaux ménages viennent de tikka"/>
    <s v="Oui"/>
    <n v="8"/>
    <n v="9"/>
    <n v="1"/>
    <n v="8"/>
    <n v="8"/>
    <n v="0"/>
    <n v="0"/>
    <m/>
    <n v="0"/>
    <n v="0"/>
    <m/>
    <m/>
    <n v="0"/>
    <n v="0"/>
    <s v="3 individus 2 hommes et 1 femmes sont répartis au Nigeria pour insuffisance de soutien alimentaire "/>
    <s v="Non"/>
    <m/>
    <m/>
    <m/>
    <m/>
    <m/>
    <m/>
    <m/>
    <m/>
    <m/>
    <m/>
    <m/>
    <m/>
    <m/>
    <m/>
    <m/>
    <m/>
    <m/>
    <m/>
    <m/>
    <m/>
    <n v="0"/>
    <m/>
    <m/>
    <m/>
    <m/>
    <m/>
    <m/>
    <m/>
    <m/>
    <m/>
    <m/>
    <m/>
    <m/>
    <m/>
    <s v="1"/>
    <s v="1"/>
    <s v="0"/>
    <n v="2"/>
  </r>
  <r>
    <n v="2753821"/>
    <s v="Extrême-Nord"/>
    <s v="CMR004"/>
    <x v="1"/>
    <s v="CMR004002"/>
    <s v="Makary"/>
    <s v="CMR004002009"/>
    <s v="MAK-0013"/>
    <s v="BAGARA"/>
    <m/>
    <x v="1"/>
    <n v="12.406588599999999"/>
    <n v="14.493888500000001"/>
    <x v="0"/>
    <b v="0"/>
    <b v="0"/>
    <b v="1"/>
    <m/>
    <m/>
    <s v="Accessible"/>
    <m/>
    <s v="Le village accueille une population"/>
    <s v="Le village est intact (construit)"/>
    <m/>
    <m/>
    <s v="Oui"/>
    <s v="Familles d'accueil"/>
    <s v="Non, pas du tout"/>
    <s v="Non"/>
    <m/>
    <n v="4"/>
    <n v="250"/>
    <s v="Oui"/>
    <s v="Premier déplacement"/>
    <n v="4"/>
    <n v="37"/>
    <n v="15"/>
    <n v="22"/>
    <n v="0"/>
    <n v="4"/>
    <n v="0"/>
    <n v="0"/>
    <m/>
    <m/>
    <n v="0"/>
    <n v="0"/>
    <m/>
    <m/>
    <n v="0"/>
    <s v="Aucun changement"/>
    <s v="Non"/>
    <m/>
    <m/>
    <m/>
    <m/>
    <m/>
    <m/>
    <m/>
    <m/>
    <m/>
    <m/>
    <m/>
    <m/>
    <m/>
    <m/>
    <m/>
    <s v="Non"/>
    <m/>
    <m/>
    <m/>
    <m/>
    <m/>
    <m/>
    <m/>
    <m/>
    <m/>
    <m/>
    <m/>
    <m/>
    <m/>
    <m/>
    <m/>
    <m/>
    <m/>
    <m/>
    <m/>
    <m/>
    <n v="0"/>
    <m/>
    <m/>
    <m/>
    <m/>
    <m/>
    <m/>
    <m/>
    <m/>
    <m/>
    <m/>
    <m/>
    <m/>
    <m/>
    <s v="1"/>
    <s v="0"/>
    <s v="0"/>
    <n v="1"/>
  </r>
  <r>
    <n v="2657643"/>
    <s v="Extrême-Nord"/>
    <s v="CMR004"/>
    <x v="1"/>
    <s v="CMR004002"/>
    <s v="Makary"/>
    <s v="CMR004002009"/>
    <s v="MAK-0014"/>
    <s v="BAOURI"/>
    <m/>
    <x v="1"/>
    <n v="12.483588900000001"/>
    <n v="14.3937381"/>
    <x v="0"/>
    <b v="1"/>
    <b v="0"/>
    <b v="0"/>
    <m/>
    <n v="3"/>
    <s v="Accessible"/>
    <m/>
    <s v="Le village accueille une population"/>
    <s v="Le village est intact (construit)"/>
    <m/>
    <m/>
    <s v="Oui"/>
    <s v="Familles d'accueil"/>
    <s v="Non, pas du tout"/>
    <s v="Non"/>
    <m/>
    <n v="20"/>
    <n v="1100"/>
    <s v="Oui"/>
    <s v="Premier déplacement"/>
    <n v="20"/>
    <n v="123"/>
    <n v="53"/>
    <n v="70"/>
    <n v="0"/>
    <n v="20"/>
    <n v="0"/>
    <n v="0"/>
    <m/>
    <m/>
    <n v="0"/>
    <n v="0"/>
    <m/>
    <m/>
    <n v="0"/>
    <s v="Manque des moyens de subsistance à cause de l' inondation qui a détruit les champs "/>
    <s v="Non"/>
    <m/>
    <m/>
    <m/>
    <m/>
    <m/>
    <m/>
    <m/>
    <m/>
    <m/>
    <m/>
    <m/>
    <m/>
    <m/>
    <m/>
    <m/>
    <s v="Non"/>
    <m/>
    <m/>
    <m/>
    <m/>
    <m/>
    <m/>
    <m/>
    <m/>
    <m/>
    <m/>
    <m/>
    <m/>
    <m/>
    <m/>
    <m/>
    <m/>
    <m/>
    <m/>
    <m/>
    <m/>
    <n v="0"/>
    <m/>
    <m/>
    <m/>
    <m/>
    <m/>
    <m/>
    <m/>
    <m/>
    <m/>
    <m/>
    <m/>
    <m/>
    <m/>
    <s v="1"/>
    <s v="0"/>
    <s v="0"/>
    <n v="1"/>
  </r>
  <r>
    <n v="2631825"/>
    <s v="Extrême-Nord"/>
    <s v="CMR004"/>
    <x v="1"/>
    <s v="CMR004002"/>
    <s v="Makary"/>
    <s v="CMR004002009"/>
    <s v="MAK-0097"/>
    <s v="BEDAT"/>
    <m/>
    <x v="1"/>
    <n v="12.3053054"/>
    <n v="14.5836027"/>
    <x v="0"/>
    <b v="0"/>
    <b v="0"/>
    <b v="1"/>
    <m/>
    <m/>
    <s v="Accessible"/>
    <m/>
    <s v="Le village est entièrement déserté"/>
    <m/>
    <m/>
    <m/>
    <m/>
    <m/>
    <m/>
    <m/>
    <m/>
    <m/>
    <m/>
    <m/>
    <m/>
    <m/>
    <m/>
    <m/>
    <m/>
    <m/>
    <m/>
    <m/>
    <m/>
    <m/>
    <m/>
    <m/>
    <m/>
    <m/>
    <m/>
    <m/>
    <m/>
    <m/>
    <m/>
    <m/>
    <m/>
    <m/>
    <m/>
    <m/>
    <m/>
    <m/>
    <m/>
    <m/>
    <m/>
    <m/>
    <m/>
    <m/>
    <m/>
    <m/>
    <m/>
    <m/>
    <m/>
    <m/>
    <m/>
    <m/>
    <m/>
    <m/>
    <m/>
    <m/>
    <m/>
    <m/>
    <m/>
    <m/>
    <m/>
    <m/>
    <m/>
    <m/>
    <m/>
    <m/>
    <m/>
    <m/>
    <m/>
    <m/>
    <m/>
    <m/>
    <m/>
    <m/>
    <m/>
    <m/>
    <m/>
    <m/>
    <m/>
    <m/>
    <s v="0"/>
    <s v="0"/>
    <s v="0"/>
    <n v="0"/>
  </r>
  <r>
    <n v="2631801"/>
    <s v="Extrême-Nord"/>
    <s v="CMR004"/>
    <x v="1"/>
    <s v="CMR004002"/>
    <s v="Makary"/>
    <s v="CMR004002009"/>
    <s v="MAK-0210"/>
    <s v="BEDEO VILLAGE"/>
    <m/>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69132"/>
    <s v="Extrême-Nord"/>
    <s v="CMR004"/>
    <x v="1"/>
    <s v="CMR004002"/>
    <s v="Makary"/>
    <s v="CMR004002009"/>
    <s v="MAK-0211"/>
    <s v="BHARAM"/>
    <m/>
    <x v="1"/>
    <n v="12.307744400000001"/>
    <n v="14.6352651"/>
    <x v="0"/>
    <b v="1"/>
    <b v="0"/>
    <b v="0"/>
    <m/>
    <n v="3"/>
    <s v="Accessible"/>
    <m/>
    <s v="Le village accueille une population"/>
    <s v="Le village est intact (construit)"/>
    <m/>
    <m/>
    <s v="Oui"/>
    <s v="Familles d'accueil"/>
    <s v="Non, pas du tout"/>
    <s v="Non"/>
    <m/>
    <n v="6"/>
    <n v="165"/>
    <s v="Oui"/>
    <s v="Premier déplacement"/>
    <n v="6"/>
    <n v="28"/>
    <n v="15"/>
    <n v="13"/>
    <n v="0"/>
    <n v="6"/>
    <n v="0"/>
    <n v="0"/>
    <m/>
    <m/>
    <n v="0"/>
    <n v="0"/>
    <m/>
    <m/>
    <n v="0"/>
    <s v="Ras"/>
    <s v="Oui"/>
    <n v="9"/>
    <n v="41"/>
    <n v="18"/>
    <n v="23"/>
    <n v="9"/>
    <n v="0"/>
    <n v="0"/>
    <m/>
    <n v="0"/>
    <n v="0"/>
    <m/>
    <m/>
    <n v="0"/>
    <n v="0"/>
    <s v="Ras"/>
    <s v="Non"/>
    <m/>
    <m/>
    <m/>
    <m/>
    <m/>
    <m/>
    <m/>
    <m/>
    <m/>
    <m/>
    <m/>
    <m/>
    <m/>
    <m/>
    <m/>
    <m/>
    <m/>
    <m/>
    <m/>
    <m/>
    <n v="0"/>
    <m/>
    <m/>
    <m/>
    <m/>
    <m/>
    <m/>
    <m/>
    <m/>
    <m/>
    <m/>
    <m/>
    <m/>
    <m/>
    <s v="1"/>
    <s v="1"/>
    <s v="0"/>
    <n v="2"/>
  </r>
  <r>
    <n v="2627132"/>
    <s v="Extrême-Nord"/>
    <s v="CMR004"/>
    <x v="1"/>
    <s v="CMR004002"/>
    <s v="Makary"/>
    <s v="CMR004002009"/>
    <s v="MAK-0016"/>
    <s v="BIAMO"/>
    <m/>
    <x v="1"/>
    <n v="12.409444000000001"/>
    <n v="14.495482900000001"/>
    <x v="0"/>
    <b v="1"/>
    <b v="0"/>
    <b v="0"/>
    <m/>
    <n v="3"/>
    <s v="Accessible"/>
    <m/>
    <s v="Le village accueille une population"/>
    <s v="Le village est intact (construit)"/>
    <m/>
    <m/>
    <s v="Oui"/>
    <s v="Familles d'accueil"/>
    <s v="Non, pas du tout"/>
    <s v="Non"/>
    <m/>
    <n v="86"/>
    <n v="14534"/>
    <s v="Oui"/>
    <s v="Premier déplacement"/>
    <n v="86"/>
    <n v="300"/>
    <n v="200"/>
    <n v="100"/>
    <n v="0"/>
    <n v="86"/>
    <n v="0"/>
    <n v="0"/>
    <m/>
    <m/>
    <n v="0"/>
    <n v="0"/>
    <m/>
    <m/>
    <n v="0"/>
    <s v="Il y a diminution de la population globale suite aux inondations pour nouveau village ( Biamo site)."/>
    <s v="Oui"/>
    <n v="95"/>
    <n v="845"/>
    <n v="600"/>
    <n v="245"/>
    <n v="95"/>
    <n v="0"/>
    <n v="0"/>
    <m/>
    <n v="0"/>
    <n v="0"/>
    <m/>
    <m/>
    <n v="0"/>
    <n v="0"/>
    <s v="Il y a diminution de 150 individus réfugiés pour nouveau village ( site Biamo )."/>
    <s v="Oui"/>
    <n v="6"/>
    <n v="30"/>
    <n v="20"/>
    <n v="10"/>
    <s v="Entre 1 et 5 ans"/>
    <n v="0"/>
    <n v="6"/>
    <n v="0"/>
    <n v="0"/>
    <n v="0"/>
    <m/>
    <n v="0"/>
    <n v="0"/>
    <m/>
    <n v="0"/>
    <m/>
    <m/>
    <m/>
    <m/>
    <m/>
    <n v="0"/>
    <m/>
    <m/>
    <m/>
    <m/>
    <m/>
    <m/>
    <m/>
    <m/>
    <m/>
    <m/>
    <m/>
    <m/>
    <m/>
    <s v="1"/>
    <s v="1"/>
    <s v="1"/>
    <n v="3"/>
  </r>
  <r>
    <n v="2604285"/>
    <s v="Extrême-Nord"/>
    <s v="CMR004"/>
    <x v="1"/>
    <s v="CMR004002"/>
    <s v="Makary"/>
    <s v="CMR004002009"/>
    <s v="MAK-0164"/>
    <s v="BIANG"/>
    <m/>
    <x v="1"/>
    <n v="12.5701806"/>
    <n v="14.6035474"/>
    <x v="0"/>
    <b v="1"/>
    <b v="0"/>
    <b v="0"/>
    <m/>
    <n v="3"/>
    <s v="Accessible"/>
    <m/>
    <s v="Le village accueille une population"/>
    <s v="Le village est intact (construit)"/>
    <m/>
    <m/>
    <s v="Oui"/>
    <s v="Familles d'accueil"/>
    <s v="Non, pas du tout"/>
    <s v="Non"/>
    <m/>
    <n v="12"/>
    <n v="1301"/>
    <s v="Oui"/>
    <s v="Premier déplacement"/>
    <n v="12"/>
    <n v="89"/>
    <n v="36"/>
    <n v="53"/>
    <n v="0"/>
    <n v="12"/>
    <n v="0"/>
    <n v="0"/>
    <m/>
    <m/>
    <n v="0"/>
    <n v="0"/>
    <m/>
    <m/>
    <n v="0"/>
    <s v="Manque de la nourriture "/>
    <s v="Non"/>
    <m/>
    <m/>
    <m/>
    <m/>
    <m/>
    <m/>
    <m/>
    <m/>
    <m/>
    <m/>
    <m/>
    <m/>
    <m/>
    <m/>
    <m/>
    <s v="Non"/>
    <m/>
    <m/>
    <m/>
    <m/>
    <m/>
    <m/>
    <m/>
    <m/>
    <m/>
    <m/>
    <m/>
    <m/>
    <m/>
    <m/>
    <m/>
    <m/>
    <m/>
    <m/>
    <m/>
    <m/>
    <n v="0"/>
    <m/>
    <m/>
    <m/>
    <m/>
    <m/>
    <m/>
    <m/>
    <m/>
    <m/>
    <m/>
    <m/>
    <m/>
    <m/>
    <s v="1"/>
    <s v="0"/>
    <s v="0"/>
    <n v="1"/>
  </r>
  <r>
    <n v="2657860"/>
    <s v="Extrême-Nord"/>
    <s v="CMR004"/>
    <x v="1"/>
    <s v="CMR004002"/>
    <s v="Makary"/>
    <s v="CMR004002009"/>
    <s v="MAK-0217"/>
    <s v="BIDEINE"/>
    <m/>
    <x v="1"/>
    <n v="12.541975300000001"/>
    <n v="14.5341985"/>
    <x v="0"/>
    <b v="1"/>
    <b v="0"/>
    <b v="0"/>
    <m/>
    <n v="3"/>
    <s v="Accessible"/>
    <m/>
    <s v="Le village accueille une population"/>
    <s v="Le village est intact (construit)"/>
    <m/>
    <m/>
    <s v="Oui"/>
    <s v="Familles d'accueil"/>
    <s v="Non, pas du tout"/>
    <s v="Non"/>
    <m/>
    <n v="38"/>
    <n v="959"/>
    <s v="Oui"/>
    <s v="Premier déplacement"/>
    <n v="38"/>
    <n v="135"/>
    <n v="52"/>
    <n v="83"/>
    <n v="0"/>
    <n v="38"/>
    <n v="0"/>
    <n v="0"/>
    <m/>
    <m/>
    <n v="0"/>
    <n v="0"/>
    <m/>
    <m/>
    <n v="0"/>
    <s v="Pas de changement"/>
    <s v="Non"/>
    <m/>
    <m/>
    <m/>
    <m/>
    <m/>
    <m/>
    <m/>
    <m/>
    <m/>
    <m/>
    <m/>
    <m/>
    <m/>
    <m/>
    <m/>
    <s v="Non"/>
    <m/>
    <m/>
    <m/>
    <m/>
    <m/>
    <m/>
    <m/>
    <m/>
    <m/>
    <m/>
    <m/>
    <m/>
    <m/>
    <m/>
    <m/>
    <m/>
    <m/>
    <m/>
    <m/>
    <m/>
    <n v="0"/>
    <m/>
    <m/>
    <m/>
    <m/>
    <m/>
    <m/>
    <m/>
    <m/>
    <m/>
    <m/>
    <m/>
    <m/>
    <m/>
    <s v="1"/>
    <s v="0"/>
    <s v="0"/>
    <n v="1"/>
  </r>
  <r>
    <n v="2625727"/>
    <s v="Extrême-Nord"/>
    <s v="CMR004"/>
    <x v="1"/>
    <s v="CMR004002"/>
    <s v="Makary"/>
    <s v="CMR004002009"/>
    <s v="MAK-0017"/>
    <s v="BLABLIN VILLAGE"/>
    <m/>
    <x v="1"/>
    <n v="12.352253299999999"/>
    <n v="14.530696799999999"/>
    <x v="0"/>
    <b v="1"/>
    <b v="0"/>
    <b v="0"/>
    <m/>
    <n v="3"/>
    <s v="Accessible"/>
    <m/>
    <s v="Le village accueille une population"/>
    <s v="Le village est intact (construit)"/>
    <m/>
    <m/>
    <s v="Oui"/>
    <s v="Familles d'accueil"/>
    <s v="Non, pas du tout"/>
    <s v="Non"/>
    <m/>
    <n v="7"/>
    <n v="250"/>
    <s v="Oui"/>
    <s v="Premier déplacement"/>
    <n v="7"/>
    <n v="20"/>
    <n v="15"/>
    <n v="5"/>
    <n v="0"/>
    <n v="7"/>
    <n v="0"/>
    <n v="0"/>
    <m/>
    <m/>
    <n v="0"/>
    <n v="0"/>
    <m/>
    <m/>
    <n v="0"/>
    <s v="Pas de changement "/>
    <s v="Non"/>
    <m/>
    <m/>
    <m/>
    <m/>
    <m/>
    <m/>
    <m/>
    <m/>
    <m/>
    <m/>
    <m/>
    <m/>
    <m/>
    <m/>
    <m/>
    <s v="Non"/>
    <m/>
    <m/>
    <m/>
    <m/>
    <m/>
    <m/>
    <m/>
    <m/>
    <m/>
    <m/>
    <m/>
    <m/>
    <m/>
    <m/>
    <m/>
    <m/>
    <m/>
    <m/>
    <m/>
    <m/>
    <n v="0"/>
    <m/>
    <m/>
    <m/>
    <m/>
    <m/>
    <m/>
    <m/>
    <m/>
    <m/>
    <m/>
    <m/>
    <m/>
    <m/>
    <s v="1"/>
    <s v="0"/>
    <s v="0"/>
    <n v="1"/>
  </r>
  <r>
    <n v="2670834"/>
    <s v="Extrême-Nord"/>
    <s v="CMR004"/>
    <x v="1"/>
    <s v="CMR004002"/>
    <s v="Makary"/>
    <s v="CMR004002009"/>
    <s v="MAK-0018"/>
    <s v="BLAHE"/>
    <m/>
    <x v="1"/>
    <n v="12.471149499999999"/>
    <n v="14.4248879"/>
    <x v="0"/>
    <b v="1"/>
    <b v="0"/>
    <b v="0"/>
    <m/>
    <n v="3"/>
    <s v="Accessible"/>
    <m/>
    <s v="Le village accueille une population"/>
    <s v="Le village est partiellement détruit"/>
    <s v="Intempéries (inondations, tempêtes etc.)"/>
    <m/>
    <s v="Oui"/>
    <s v="Familles d'accueil"/>
    <s v="Non, pas du tout"/>
    <s v="Non"/>
    <m/>
    <n v="14"/>
    <n v="862"/>
    <s v="Oui"/>
    <s v="Premier déplacement"/>
    <n v="14"/>
    <n v="70"/>
    <n v="27"/>
    <n v="43"/>
    <n v="3"/>
    <n v="11"/>
    <n v="0"/>
    <n v="0"/>
    <m/>
    <m/>
    <n v="0"/>
    <n v="0"/>
    <m/>
    <m/>
    <n v="0"/>
    <s v="Les nouveaux idp viennent de naga"/>
    <s v="Oui"/>
    <n v="51"/>
    <n v="431"/>
    <n v="199"/>
    <n v="232"/>
    <n v="51"/>
    <n v="0"/>
    <n v="0"/>
    <m/>
    <n v="0"/>
    <n v="0"/>
    <m/>
    <m/>
    <n v="0"/>
    <n v="0"/>
    <s v="Il n'y a pas 3u de nouveau arrivé "/>
    <s v="Non"/>
    <m/>
    <m/>
    <m/>
    <m/>
    <m/>
    <m/>
    <m/>
    <m/>
    <m/>
    <m/>
    <m/>
    <m/>
    <m/>
    <m/>
    <m/>
    <m/>
    <m/>
    <m/>
    <m/>
    <m/>
    <n v="0"/>
    <m/>
    <m/>
    <m/>
    <m/>
    <m/>
    <m/>
    <m/>
    <m/>
    <m/>
    <m/>
    <m/>
    <m/>
    <m/>
    <s v="1"/>
    <s v="1"/>
    <s v="0"/>
    <n v="2"/>
  </r>
  <r>
    <n v="2631795"/>
    <s v="Extrême-Nord"/>
    <s v="CMR004"/>
    <x v="1"/>
    <s v="CMR004002"/>
    <s v="Makary"/>
    <s v="CMR004002009"/>
    <s v="MAK-0153"/>
    <s v="BLO"/>
    <m/>
    <x v="1"/>
    <n v="12.200454799999999"/>
    <n v="14.711287799999999"/>
    <x v="0"/>
    <b v="1"/>
    <b v="0"/>
    <b v="0"/>
    <m/>
    <n v="3"/>
    <s v="Accessible"/>
    <m/>
    <s v="Le village accueille une population"/>
    <s v="Le village est intact (construit)"/>
    <m/>
    <m/>
    <s v="Oui"/>
    <s v="Familles d'accueil"/>
    <s v="Non, pas du tout"/>
    <s v="Non"/>
    <m/>
    <m/>
    <n v="907"/>
    <s v="Non"/>
    <m/>
    <m/>
    <m/>
    <m/>
    <m/>
    <m/>
    <m/>
    <m/>
    <m/>
    <m/>
    <m/>
    <m/>
    <m/>
    <m/>
    <m/>
    <m/>
    <m/>
    <s v="Oui"/>
    <n v="47"/>
    <n v="422"/>
    <n v="200"/>
    <n v="222"/>
    <n v="47"/>
    <n v="0"/>
    <n v="0"/>
    <m/>
    <n v="0"/>
    <n v="0"/>
    <m/>
    <m/>
    <n v="0"/>
    <n v="0"/>
    <s v="RAS"/>
    <s v="Non"/>
    <m/>
    <m/>
    <m/>
    <m/>
    <m/>
    <m/>
    <m/>
    <m/>
    <m/>
    <m/>
    <m/>
    <m/>
    <m/>
    <m/>
    <m/>
    <m/>
    <m/>
    <m/>
    <m/>
    <m/>
    <n v="0"/>
    <m/>
    <m/>
    <m/>
    <m/>
    <m/>
    <m/>
    <m/>
    <m/>
    <m/>
    <m/>
    <m/>
    <m/>
    <m/>
    <s v="0"/>
    <s v="1"/>
    <s v="0"/>
    <n v="1"/>
  </r>
  <r>
    <n v="2615538"/>
    <s v="Extrême-Nord"/>
    <s v="CMR004"/>
    <x v="1"/>
    <s v="CMR004002"/>
    <s v="Makary"/>
    <s v="CMR004002009"/>
    <s v="MAK-0019"/>
    <s v="BLOUMTAGUI"/>
    <m/>
    <x v="1"/>
    <n v="12.394570099999999"/>
    <n v="14.441183499999999"/>
    <x v="0"/>
    <b v="1"/>
    <b v="0"/>
    <b v="0"/>
    <m/>
    <n v="3"/>
    <s v="Accessible"/>
    <m/>
    <s v="Le village accueille une population"/>
    <s v="Le village est intact (construit)"/>
    <m/>
    <m/>
    <s v="Oui"/>
    <s v="Familles d'accueil"/>
    <s v="Non, pas du tout"/>
    <s v="Non"/>
    <m/>
    <n v="7"/>
    <n v="222"/>
    <s v="Oui"/>
    <s v="Premier déplacement"/>
    <n v="7"/>
    <n v="30"/>
    <n v="15"/>
    <n v="15"/>
    <n v="0"/>
    <n v="7"/>
    <n v="0"/>
    <n v="0"/>
    <m/>
    <m/>
    <n v="0"/>
    <n v="0"/>
    <m/>
    <m/>
    <n v="0"/>
    <s v="1 nouveau ménage de 2 personnes de sexe masculin provenant de Naga  arrondissement de Darak"/>
    <s v="Oui"/>
    <n v="13"/>
    <n v="68"/>
    <n v="30"/>
    <n v="38"/>
    <n v="13"/>
    <n v="0"/>
    <n v="0"/>
    <m/>
    <n v="0"/>
    <n v="0"/>
    <m/>
    <m/>
    <n v="0"/>
    <n v="0"/>
    <s v="Pas de changement"/>
    <s v="Non"/>
    <m/>
    <m/>
    <m/>
    <m/>
    <m/>
    <m/>
    <m/>
    <m/>
    <m/>
    <m/>
    <m/>
    <m/>
    <m/>
    <m/>
    <m/>
    <m/>
    <m/>
    <m/>
    <m/>
    <m/>
    <n v="0"/>
    <m/>
    <m/>
    <m/>
    <m/>
    <m/>
    <m/>
    <m/>
    <m/>
    <m/>
    <m/>
    <m/>
    <m/>
    <m/>
    <s v="1"/>
    <s v="1"/>
    <s v="0"/>
    <n v="2"/>
  </r>
  <r>
    <n v="2602994"/>
    <s v="Extrême-Nord"/>
    <s v="CMR004"/>
    <x v="1"/>
    <s v="CMR004002"/>
    <s v="Makary"/>
    <s v="CMR004002009"/>
    <s v="MAK-0020"/>
    <s v="BODO"/>
    <m/>
    <x v="0"/>
    <n v="12.359439999999999"/>
    <n v="14.458085799999999"/>
    <x v="0"/>
    <b v="1"/>
    <b v="0"/>
    <b v="0"/>
    <m/>
    <n v="3"/>
    <s v="Accessible"/>
    <m/>
    <s v="Le village accueille une population"/>
    <s v="Le village est intact (construit)"/>
    <m/>
    <m/>
    <s v="Oui"/>
    <s v="Familles d'accueil"/>
    <s v="Non, pas du tout"/>
    <s v="Non"/>
    <m/>
    <n v="40"/>
    <n v="11200"/>
    <s v="Oui"/>
    <s v="Premier déplacement"/>
    <n v="40"/>
    <n v="301"/>
    <n v="140"/>
    <n v="161"/>
    <n v="0"/>
    <n v="40"/>
    <n v="0"/>
    <n v="0"/>
    <m/>
    <m/>
    <n v="0"/>
    <n v="0"/>
    <m/>
    <m/>
    <n v="0"/>
    <s v="Pas de changement"/>
    <s v="Oui"/>
    <n v="185"/>
    <n v="1122"/>
    <n v="552"/>
    <n v="570"/>
    <n v="185"/>
    <n v="0"/>
    <n v="0"/>
    <m/>
    <n v="0"/>
    <n v="0"/>
    <m/>
    <m/>
    <n v="0"/>
    <n v="0"/>
    <s v="Pas de changement"/>
    <s v="Oui"/>
    <n v="10"/>
    <n v="51"/>
    <n v="20"/>
    <n v="31"/>
    <s v="Entre 1 et 5 ans"/>
    <n v="0"/>
    <n v="10"/>
    <n v="0"/>
    <n v="0"/>
    <n v="0"/>
    <m/>
    <n v="0"/>
    <n v="0"/>
    <m/>
    <n v="0"/>
    <m/>
    <m/>
    <m/>
    <m/>
    <m/>
    <n v="0"/>
    <m/>
    <m/>
    <m/>
    <m/>
    <m/>
    <m/>
    <m/>
    <m/>
    <m/>
    <m/>
    <m/>
    <m/>
    <m/>
    <s v="1"/>
    <s v="1"/>
    <s v="1"/>
    <n v="3"/>
  </r>
  <r>
    <n v="2607718"/>
    <s v="Extrême-Nord"/>
    <s v="CMR004"/>
    <x v="1"/>
    <s v="CMR004002"/>
    <s v="Makary"/>
    <s v="CMR004002009"/>
    <s v="MAK-0165"/>
    <s v="BOMBOYO"/>
    <m/>
    <x v="0"/>
    <n v="12.554193700000001"/>
    <n v="14.650964800000001"/>
    <x v="0"/>
    <b v="1"/>
    <b v="0"/>
    <b v="1"/>
    <m/>
    <n v="3"/>
    <s v="Accessible"/>
    <m/>
    <s v="Le village accueille une population"/>
    <s v="Le village est partiellement détruit"/>
    <s v="Intempéries (inondations, tempêtes etc.)"/>
    <m/>
    <s v="Oui"/>
    <s v="Familles d'accueil"/>
    <s v="Non, pas du tout"/>
    <s v="Non"/>
    <m/>
    <n v="23"/>
    <n v="1071"/>
    <s v="Oui"/>
    <s v="Premier déplacement"/>
    <n v="23"/>
    <n v="312"/>
    <n v="142"/>
    <n v="170"/>
    <n v="5"/>
    <n v="5"/>
    <n v="6"/>
    <n v="7"/>
    <s v="Chez une famille d'accueil (contre loyer)"/>
    <m/>
    <n v="0"/>
    <n v="0"/>
    <m/>
    <m/>
    <n v="0"/>
    <s v="Augmentation des PDIs de 8 ménages et 62  individue ,sortants de karena et de blangoua suite a l’inondations"/>
    <s v="Non"/>
    <m/>
    <m/>
    <m/>
    <m/>
    <m/>
    <m/>
    <m/>
    <m/>
    <m/>
    <m/>
    <m/>
    <m/>
    <m/>
    <m/>
    <m/>
    <s v="Non"/>
    <m/>
    <m/>
    <m/>
    <m/>
    <m/>
    <m/>
    <m/>
    <m/>
    <m/>
    <m/>
    <m/>
    <m/>
    <m/>
    <m/>
    <m/>
    <m/>
    <m/>
    <m/>
    <m/>
    <m/>
    <n v="0"/>
    <m/>
    <m/>
    <m/>
    <m/>
    <m/>
    <m/>
    <m/>
    <m/>
    <m/>
    <m/>
    <m/>
    <m/>
    <m/>
    <s v="1"/>
    <s v="0"/>
    <s v="0"/>
    <n v="1"/>
  </r>
  <r>
    <n v="2657514"/>
    <s v="Extrême-Nord"/>
    <s v="CMR004"/>
    <x v="1"/>
    <s v="CMR004002"/>
    <s v="Makary"/>
    <s v="CMR004002009"/>
    <s v="MAK-0198"/>
    <s v="BOUNGOUR 1"/>
    <m/>
    <x v="1"/>
    <n v="12.660967299999999"/>
    <n v="14.216468600000001"/>
    <x v="0"/>
    <b v="1"/>
    <b v="0"/>
    <b v="0"/>
    <m/>
    <n v="3"/>
    <s v="Accessible"/>
    <m/>
    <s v="Le village accueille une population"/>
    <s v="Le village est partiellement détruit"/>
    <s v="Attaques armées"/>
    <m/>
    <s v="Oui"/>
    <s v="Familles d'accueil"/>
    <s v="Non, pas du tout"/>
    <s v="Non"/>
    <m/>
    <m/>
    <n v="785"/>
    <s v="Non"/>
    <m/>
    <m/>
    <m/>
    <m/>
    <m/>
    <m/>
    <m/>
    <m/>
    <m/>
    <m/>
    <m/>
    <m/>
    <m/>
    <m/>
    <m/>
    <m/>
    <m/>
    <s v="Non"/>
    <m/>
    <m/>
    <m/>
    <m/>
    <m/>
    <m/>
    <m/>
    <m/>
    <m/>
    <m/>
    <m/>
    <m/>
    <m/>
    <m/>
    <m/>
    <s v="Oui"/>
    <n v="117"/>
    <n v="774"/>
    <n v="300"/>
    <n v="474"/>
    <s v="5 ans ou plus"/>
    <n v="0"/>
    <n v="117"/>
    <n v="0"/>
    <n v="0"/>
    <n v="0"/>
    <m/>
    <n v="0"/>
    <n v="0"/>
    <m/>
    <n v="0"/>
    <m/>
    <m/>
    <m/>
    <m/>
    <m/>
    <n v="0"/>
    <m/>
    <m/>
    <m/>
    <m/>
    <m/>
    <m/>
    <m/>
    <m/>
    <m/>
    <m/>
    <m/>
    <m/>
    <m/>
    <s v="0"/>
    <s v="0"/>
    <s v="1"/>
    <n v="1"/>
  </r>
  <r>
    <n v="2587544"/>
    <s v="Extrême-Nord"/>
    <s v="CMR004"/>
    <x v="1"/>
    <s v="CMR004002"/>
    <s v="Makary"/>
    <s v="CMR004002009"/>
    <s v="MAK-0021"/>
    <s v="CHAGAMA 1"/>
    <m/>
    <x v="1"/>
    <n v="12.4643245"/>
    <n v="14.3675186"/>
    <x v="0"/>
    <b v="1"/>
    <b v="0"/>
    <b v="0"/>
    <m/>
    <n v="3"/>
    <s v="Accessible"/>
    <m/>
    <s v="Le village accueille une population"/>
    <s v="Le village est intact (construit)"/>
    <m/>
    <m/>
    <s v="Oui"/>
    <s v="Familles d'accueil"/>
    <s v="Non, pas du tout"/>
    <s v="Non"/>
    <m/>
    <n v="13"/>
    <n v="1200"/>
    <s v="Oui"/>
    <s v="Premier déplacement"/>
    <n v="13"/>
    <n v="39"/>
    <n v="19"/>
    <n v="20"/>
    <n v="0"/>
    <n v="13"/>
    <n v="0"/>
    <n v="0"/>
    <m/>
    <m/>
    <n v="0"/>
    <n v="0"/>
    <m/>
    <m/>
    <n v="0"/>
    <s v="Pas de changement "/>
    <s v="Non"/>
    <m/>
    <m/>
    <m/>
    <m/>
    <m/>
    <m/>
    <m/>
    <m/>
    <m/>
    <m/>
    <m/>
    <m/>
    <m/>
    <m/>
    <m/>
    <s v="Non"/>
    <m/>
    <m/>
    <m/>
    <m/>
    <m/>
    <m/>
    <m/>
    <m/>
    <m/>
    <m/>
    <m/>
    <m/>
    <m/>
    <m/>
    <m/>
    <m/>
    <m/>
    <m/>
    <m/>
    <m/>
    <n v="0"/>
    <m/>
    <m/>
    <m/>
    <m/>
    <m/>
    <m/>
    <m/>
    <m/>
    <m/>
    <m/>
    <m/>
    <m/>
    <m/>
    <s v="1"/>
    <s v="0"/>
    <s v="0"/>
    <n v="1"/>
  </r>
  <r>
    <n v="2574933"/>
    <s v="Extrême-Nord"/>
    <s v="CMR004"/>
    <x v="1"/>
    <s v="CMR004002"/>
    <s v="Makary"/>
    <s v="CMR004002009"/>
    <s v="MAK-0022"/>
    <s v="CHAGAMA 2"/>
    <m/>
    <x v="1"/>
    <n v="12.470982299999999"/>
    <n v="14.365204"/>
    <x v="0"/>
    <b v="1"/>
    <b v="0"/>
    <b v="0"/>
    <m/>
    <n v="3"/>
    <s v="Accessible"/>
    <m/>
    <s v="Le village accueille une population"/>
    <s v="Le village est intact (construit)"/>
    <m/>
    <m/>
    <s v="Oui"/>
    <s v="Familles d'accueil"/>
    <s v="Non, pas du tout"/>
    <s v="Non"/>
    <m/>
    <n v="9"/>
    <n v="239"/>
    <s v="Oui"/>
    <s v="Premier déplacement"/>
    <n v="9"/>
    <n v="37"/>
    <n v="20"/>
    <n v="17"/>
    <n v="0"/>
    <n v="9"/>
    <n v="0"/>
    <n v="0"/>
    <m/>
    <m/>
    <n v="0"/>
    <n v="0"/>
    <m/>
    <m/>
    <n v="0"/>
    <s v="Pas de changement "/>
    <s v="Non"/>
    <m/>
    <m/>
    <m/>
    <m/>
    <m/>
    <m/>
    <m/>
    <m/>
    <m/>
    <m/>
    <m/>
    <m/>
    <m/>
    <m/>
    <m/>
    <s v="Non"/>
    <m/>
    <m/>
    <m/>
    <m/>
    <m/>
    <m/>
    <m/>
    <m/>
    <m/>
    <m/>
    <m/>
    <m/>
    <m/>
    <m/>
    <m/>
    <m/>
    <m/>
    <m/>
    <m/>
    <m/>
    <n v="0"/>
    <m/>
    <m/>
    <m/>
    <m/>
    <m/>
    <m/>
    <m/>
    <m/>
    <m/>
    <m/>
    <m/>
    <m/>
    <m/>
    <s v="1"/>
    <s v="0"/>
    <s v="0"/>
    <n v="1"/>
  </r>
  <r>
    <n v="2647514"/>
    <s v="Extrême-Nord"/>
    <s v="CMR004"/>
    <x v="1"/>
    <s v="CMR004002"/>
    <s v="Makary"/>
    <s v="CMR004002009"/>
    <s v="MAK-0199"/>
    <s v="CHAHAK"/>
    <m/>
    <x v="1"/>
    <n v="12.6959936"/>
    <n v="14.206551299999999"/>
    <x v="0"/>
    <b v="1"/>
    <b v="0"/>
    <b v="0"/>
    <m/>
    <n v="3"/>
    <s v="Accessible"/>
    <m/>
    <s v="Le village accueille une population"/>
    <s v="Le village est partiellement détruit"/>
    <s v="Intempéries (inondations, tempêtes etc.)"/>
    <m/>
    <s v="Oui"/>
    <s v="Familles d'accueil"/>
    <s v="Non, pas du tout"/>
    <s v="Non"/>
    <m/>
    <n v="89"/>
    <n v="420"/>
    <s v="Oui"/>
    <s v="Premier déplacement"/>
    <n v="89"/>
    <n v="404"/>
    <n v="166"/>
    <n v="238"/>
    <n v="0"/>
    <n v="89"/>
    <n v="0"/>
    <n v="0"/>
    <m/>
    <m/>
    <n v="0"/>
    <n v="0"/>
    <m/>
    <m/>
    <n v="0"/>
    <s v="Augmentation de 11 ménages venant de katikime "/>
    <s v="Non"/>
    <m/>
    <m/>
    <m/>
    <m/>
    <m/>
    <m/>
    <m/>
    <m/>
    <m/>
    <m/>
    <m/>
    <m/>
    <m/>
    <m/>
    <m/>
    <s v="Non"/>
    <m/>
    <m/>
    <m/>
    <m/>
    <m/>
    <m/>
    <m/>
    <m/>
    <m/>
    <m/>
    <m/>
    <m/>
    <m/>
    <m/>
    <m/>
    <m/>
    <m/>
    <m/>
    <m/>
    <m/>
    <n v="0"/>
    <m/>
    <m/>
    <m/>
    <m/>
    <m/>
    <m/>
    <m/>
    <m/>
    <m/>
    <m/>
    <m/>
    <m/>
    <m/>
    <s v="1"/>
    <s v="0"/>
    <s v="0"/>
    <n v="1"/>
  </r>
  <r>
    <n v="2636289"/>
    <s v="Extrême-Nord"/>
    <s v="CMR004"/>
    <x v="1"/>
    <s v="CMR004002"/>
    <s v="Makary"/>
    <s v="CMR004002009"/>
    <s v="MAK-0166"/>
    <s v="CHAIBOU"/>
    <m/>
    <x v="1"/>
    <n v="12.5424238"/>
    <n v="14.593754000000001"/>
    <x v="0"/>
    <b v="1"/>
    <b v="0"/>
    <b v="0"/>
    <m/>
    <n v="3"/>
    <s v="Accessible"/>
    <m/>
    <s v="Le village accueille une population"/>
    <s v="Le village est intact (construit)"/>
    <m/>
    <m/>
    <s v="Oui"/>
    <s v="Familles d'accueil"/>
    <s v="Non, pas du tout"/>
    <s v="Non"/>
    <m/>
    <n v="18"/>
    <n v="706"/>
    <s v="Oui"/>
    <s v="Premier déplacement"/>
    <n v="18"/>
    <n v="98"/>
    <n v="40"/>
    <n v="58"/>
    <n v="0"/>
    <n v="18"/>
    <n v="0"/>
    <n v="0"/>
    <m/>
    <m/>
    <n v="0"/>
    <n v="0"/>
    <m/>
    <m/>
    <n v="0"/>
    <s v="Pas de changement "/>
    <s v="Non"/>
    <m/>
    <m/>
    <m/>
    <m/>
    <m/>
    <m/>
    <m/>
    <m/>
    <m/>
    <m/>
    <m/>
    <m/>
    <m/>
    <m/>
    <m/>
    <s v="Non"/>
    <m/>
    <m/>
    <m/>
    <m/>
    <m/>
    <m/>
    <m/>
    <m/>
    <m/>
    <m/>
    <m/>
    <m/>
    <m/>
    <m/>
    <m/>
    <m/>
    <m/>
    <m/>
    <m/>
    <m/>
    <n v="0"/>
    <m/>
    <m/>
    <m/>
    <m/>
    <m/>
    <m/>
    <m/>
    <m/>
    <m/>
    <m/>
    <m/>
    <m/>
    <m/>
    <s v="1"/>
    <s v="0"/>
    <s v="0"/>
    <n v="1"/>
  </r>
  <r>
    <n v="2626914"/>
    <s v="Extrême-Nord"/>
    <s v="CMR004"/>
    <x v="1"/>
    <s v="CMR004002"/>
    <s v="Makary"/>
    <s v="CMR004002009"/>
    <s v="MAK-0023"/>
    <s v="CHALAMTINI"/>
    <m/>
    <x v="1"/>
    <n v="12.3372805"/>
    <n v="14.5563374"/>
    <x v="0"/>
    <b v="1"/>
    <b v="0"/>
    <b v="0"/>
    <m/>
    <n v="3"/>
    <s v="Accessible"/>
    <m/>
    <s v="Le village accueille une population"/>
    <s v="Le village est intact (construit)"/>
    <m/>
    <m/>
    <s v="Oui"/>
    <s v="Familles d'accueil"/>
    <s v="Non, pas du tout"/>
    <s v="Non"/>
    <m/>
    <n v="50"/>
    <n v="10079"/>
    <s v="Oui"/>
    <s v="Premier déplacement"/>
    <n v="50"/>
    <n v="369"/>
    <n v="168"/>
    <n v="201"/>
    <n v="0"/>
    <n v="50"/>
    <n v="0"/>
    <n v="0"/>
    <m/>
    <m/>
    <n v="0"/>
    <n v="0"/>
    <m/>
    <m/>
    <n v="0"/>
    <s v="Il y a  augmentation chez les IDPS d 1 ménage de 2 individues  venant du village DJAMOUS"/>
    <s v="Oui"/>
    <n v="5"/>
    <n v="27"/>
    <n v="9"/>
    <n v="18"/>
    <n v="5"/>
    <n v="0"/>
    <n v="0"/>
    <m/>
    <n v="0"/>
    <n v="0"/>
    <m/>
    <m/>
    <n v="0"/>
    <n v="0"/>
    <s v="RAS"/>
    <s v="Oui"/>
    <n v="35"/>
    <n v="220"/>
    <n v="95"/>
    <n v="125"/>
    <s v="5 ans ou plus"/>
    <n v="12"/>
    <n v="0"/>
    <n v="0"/>
    <n v="8"/>
    <n v="0"/>
    <m/>
    <n v="0"/>
    <n v="15"/>
    <s v="Bâche"/>
    <n v="0"/>
    <m/>
    <m/>
    <m/>
    <m/>
    <m/>
    <n v="0"/>
    <m/>
    <m/>
    <m/>
    <m/>
    <m/>
    <m/>
    <m/>
    <m/>
    <m/>
    <m/>
    <m/>
    <m/>
    <m/>
    <s v="1"/>
    <s v="1"/>
    <s v="1"/>
    <n v="3"/>
  </r>
  <r>
    <n v="2587543"/>
    <s v="Extrême-Nord"/>
    <s v="CMR004"/>
    <x v="1"/>
    <s v="CMR004002"/>
    <s v="Makary"/>
    <s v="CMR004002009"/>
    <s v="MAK-0128"/>
    <s v="CHIMTILI"/>
    <m/>
    <x v="1"/>
    <n v="12.4945349"/>
    <n v="14.3625176"/>
    <x v="0"/>
    <b v="1"/>
    <b v="0"/>
    <b v="0"/>
    <m/>
    <n v="3"/>
    <s v="Accessible"/>
    <m/>
    <s v="Le village accueille une population"/>
    <s v="Le village est intact (construit)"/>
    <m/>
    <m/>
    <s v="Oui"/>
    <s v="Familles d'accueil"/>
    <s v="Non, pas du tout"/>
    <s v="Non"/>
    <m/>
    <n v="29"/>
    <n v="134"/>
    <s v="Oui"/>
    <s v="Premier déplacement"/>
    <n v="29"/>
    <n v="102"/>
    <n v="48"/>
    <n v="54"/>
    <n v="7"/>
    <n v="22"/>
    <n v="0"/>
    <n v="0"/>
    <m/>
    <m/>
    <n v="0"/>
    <n v="0"/>
    <m/>
    <m/>
    <n v="0"/>
    <s v="Ajout de 5 ménages de 20 individus venant de tchika suite aux attaques par les bh"/>
    <s v="Non"/>
    <m/>
    <m/>
    <m/>
    <m/>
    <m/>
    <m/>
    <m/>
    <m/>
    <m/>
    <m/>
    <m/>
    <m/>
    <m/>
    <m/>
    <m/>
    <s v="Non"/>
    <m/>
    <m/>
    <m/>
    <m/>
    <m/>
    <m/>
    <m/>
    <m/>
    <m/>
    <m/>
    <m/>
    <m/>
    <m/>
    <m/>
    <m/>
    <m/>
    <m/>
    <m/>
    <m/>
    <m/>
    <n v="0"/>
    <m/>
    <m/>
    <m/>
    <m/>
    <m/>
    <m/>
    <m/>
    <m/>
    <m/>
    <m/>
    <m/>
    <m/>
    <m/>
    <s v="1"/>
    <s v="0"/>
    <s v="0"/>
    <n v="1"/>
  </r>
  <r>
    <n v="2631792"/>
    <s v="Extrême-Nord"/>
    <s v="CMR004"/>
    <x v="1"/>
    <s v="CMR004002"/>
    <s v="Makary"/>
    <s v="CMR004002009"/>
    <s v="MAK-0105"/>
    <s v="CHOU-KOTOKO"/>
    <m/>
    <x v="1"/>
    <n v="12.216464"/>
    <n v="14.6999584"/>
    <x v="0"/>
    <b v="1"/>
    <b v="0"/>
    <b v="0"/>
    <m/>
    <n v="3"/>
    <s v="Accessible"/>
    <m/>
    <s v="Le village accueille une population"/>
    <s v="Le village est intact (construit)"/>
    <m/>
    <m/>
    <s v="Oui"/>
    <s v="Familles d'accueil"/>
    <s v="Non, pas du tout"/>
    <s v="Non"/>
    <m/>
    <n v="11"/>
    <n v="344"/>
    <s v="Oui"/>
    <s v="Premier déplacement"/>
    <n v="11"/>
    <n v="50"/>
    <n v="23"/>
    <n v="27"/>
    <n v="0"/>
    <n v="11"/>
    <n v="0"/>
    <n v="0"/>
    <m/>
    <m/>
    <n v="0"/>
    <n v="0"/>
    <m/>
    <m/>
    <n v="0"/>
    <s v="Ras"/>
    <s v="Oui"/>
    <n v="9"/>
    <n v="12"/>
    <n v="3"/>
    <n v="9"/>
    <n v="9"/>
    <n v="0"/>
    <n v="0"/>
    <m/>
    <n v="0"/>
    <n v="0"/>
    <m/>
    <m/>
    <n v="0"/>
    <n v="0"/>
    <s v="RAS "/>
    <s v="Oui"/>
    <n v="7"/>
    <n v="20"/>
    <n v="7"/>
    <n v="13"/>
    <s v="Entre 3 mois et 1 an"/>
    <n v="7"/>
    <n v="0"/>
    <n v="0"/>
    <n v="0"/>
    <n v="0"/>
    <m/>
    <n v="0"/>
    <n v="0"/>
    <m/>
    <n v="0"/>
    <m/>
    <m/>
    <m/>
    <m/>
    <m/>
    <n v="0"/>
    <m/>
    <m/>
    <m/>
    <m/>
    <m/>
    <m/>
    <m/>
    <m/>
    <m/>
    <m/>
    <m/>
    <m/>
    <m/>
    <s v="1"/>
    <s v="1"/>
    <s v="1"/>
    <n v="3"/>
  </r>
  <r>
    <n v="2631791"/>
    <s v="Extrême-Nord"/>
    <s v="CMR004"/>
    <x v="1"/>
    <s v="CMR004002"/>
    <s v="Makary"/>
    <s v="CMR004002009"/>
    <s v="MAK-0106"/>
    <s v="CHOU-SALAMAT"/>
    <m/>
    <x v="1"/>
    <n v="12.210738600000001"/>
    <n v="14.7032828"/>
    <x v="0"/>
    <b v="1"/>
    <b v="0"/>
    <b v="0"/>
    <m/>
    <n v="3"/>
    <s v="Accessible"/>
    <m/>
    <s v="Le village accueille une population"/>
    <s v="Le village est intact (construit)"/>
    <m/>
    <m/>
    <s v="Oui"/>
    <s v="Familles d'accueil"/>
    <s v="Non, pas du tout"/>
    <s v="Non"/>
    <m/>
    <n v="10"/>
    <n v="974"/>
    <s v="Oui"/>
    <s v="Premier déplacement"/>
    <n v="10"/>
    <n v="29"/>
    <n v="12"/>
    <n v="17"/>
    <n v="0"/>
    <n v="10"/>
    <n v="0"/>
    <n v="0"/>
    <m/>
    <m/>
    <n v="0"/>
    <n v="0"/>
    <m/>
    <m/>
    <n v="0"/>
    <s v="RAS"/>
    <s v="Oui"/>
    <n v="5"/>
    <n v="11"/>
    <n v="3"/>
    <n v="8"/>
    <n v="5"/>
    <n v="0"/>
    <n v="0"/>
    <m/>
    <n v="0"/>
    <n v="0"/>
    <m/>
    <m/>
    <n v="0"/>
    <n v="0"/>
    <s v="Il augmentation de 2menages , 3 individus venant de grand du a l inondation."/>
    <s v="Non"/>
    <m/>
    <m/>
    <m/>
    <m/>
    <m/>
    <m/>
    <m/>
    <m/>
    <m/>
    <m/>
    <m/>
    <m/>
    <m/>
    <m/>
    <m/>
    <m/>
    <m/>
    <m/>
    <m/>
    <m/>
    <n v="0"/>
    <m/>
    <m/>
    <m/>
    <m/>
    <m/>
    <m/>
    <m/>
    <m/>
    <m/>
    <m/>
    <m/>
    <m/>
    <m/>
    <s v="1"/>
    <s v="1"/>
    <s v="0"/>
    <n v="2"/>
  </r>
  <r>
    <n v="2620546"/>
    <s v="Extrême-Nord"/>
    <s v="CMR004"/>
    <x v="1"/>
    <s v="CMR004002"/>
    <s v="Makary"/>
    <s v="CMR004002009"/>
    <s v="MAK-0129"/>
    <s v="DAGLE"/>
    <m/>
    <x v="1"/>
    <n v="12.142765000000001"/>
    <n v="14.7992817"/>
    <x v="0"/>
    <b v="1"/>
    <b v="0"/>
    <b v="0"/>
    <m/>
    <n v="3"/>
    <s v="Accessible"/>
    <m/>
    <s v="Le village accueille une population"/>
    <s v="Le village est partiellement détruit"/>
    <s v="Intempéries (inondations, tempêtes etc.)"/>
    <m/>
    <s v="Oui"/>
    <s v="Familles d'accueil"/>
    <s v="Non, pas du tout"/>
    <s v="Non"/>
    <m/>
    <n v="48"/>
    <n v="778"/>
    <s v="Oui"/>
    <s v="Premier déplacement"/>
    <n v="48"/>
    <n v="308"/>
    <n v="136"/>
    <n v="172"/>
    <n v="0"/>
    <n v="48"/>
    <n v="0"/>
    <n v="0"/>
    <m/>
    <m/>
    <n v="0"/>
    <n v="0"/>
    <m/>
    <m/>
    <n v="0"/>
    <s v="Naissance de 6 individus( 4 filles et 2 garçons). Décès de 3 enfants de plus de 5 ans(2filles, 1 garçon). Reste RAS."/>
    <s v="Oui"/>
    <n v="37"/>
    <n v="207"/>
    <n v="102"/>
    <n v="105"/>
    <n v="37"/>
    <n v="0"/>
    <n v="0"/>
    <m/>
    <n v="0"/>
    <n v="0"/>
    <m/>
    <m/>
    <n v="0"/>
    <n v="20"/>
    <s v="Naissance de 3 individus :1 fille et 2 garçons. Reste RAS"/>
    <s v="Non"/>
    <m/>
    <m/>
    <m/>
    <m/>
    <m/>
    <m/>
    <m/>
    <m/>
    <m/>
    <m/>
    <m/>
    <m/>
    <m/>
    <m/>
    <m/>
    <m/>
    <m/>
    <m/>
    <m/>
    <m/>
    <n v="0"/>
    <m/>
    <m/>
    <m/>
    <m/>
    <m/>
    <m/>
    <m/>
    <m/>
    <m/>
    <m/>
    <m/>
    <m/>
    <m/>
    <s v="1"/>
    <s v="1"/>
    <s v="0"/>
    <n v="2"/>
  </r>
  <r>
    <n v="2658133"/>
    <s v="Extrême-Nord"/>
    <s v="CMR004"/>
    <x v="1"/>
    <s v="CMR004002"/>
    <s v="Makary"/>
    <s v="CMR004002009"/>
    <s v="MAK-0224"/>
    <s v="DAGUE"/>
    <m/>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15168"/>
    <s v="Extrême-Nord"/>
    <s v="CMR004"/>
    <x v="1"/>
    <s v="CMR004002"/>
    <s v="Makary"/>
    <s v="CMR004002009"/>
    <s v="MAK-0024"/>
    <s v="DAMBA 1"/>
    <m/>
    <x v="1"/>
    <n v="12.2923934"/>
    <n v="14.663074699999999"/>
    <x v="0"/>
    <b v="1"/>
    <b v="0"/>
    <b v="0"/>
    <m/>
    <n v="3"/>
    <s v="Accessible"/>
    <m/>
    <s v="Le village accueille une population"/>
    <s v="Le village est intact (construit)"/>
    <m/>
    <m/>
    <s v="Oui"/>
    <s v="Familles d'accueil"/>
    <s v="Non, pas du tout"/>
    <s v="Non"/>
    <m/>
    <n v="6"/>
    <n v="532"/>
    <s v="Oui"/>
    <s v="Premier déplacement"/>
    <n v="6"/>
    <n v="50"/>
    <n v="23"/>
    <n v="27"/>
    <n v="0"/>
    <n v="6"/>
    <n v="0"/>
    <n v="0"/>
    <m/>
    <m/>
    <n v="0"/>
    <n v="0"/>
    <m/>
    <m/>
    <n v="0"/>
    <s v="Pas de changement"/>
    <s v="Non"/>
    <m/>
    <m/>
    <m/>
    <m/>
    <m/>
    <m/>
    <m/>
    <m/>
    <m/>
    <m/>
    <m/>
    <m/>
    <m/>
    <m/>
    <m/>
    <s v="Non"/>
    <m/>
    <m/>
    <m/>
    <m/>
    <m/>
    <m/>
    <m/>
    <m/>
    <m/>
    <m/>
    <m/>
    <m/>
    <m/>
    <m/>
    <m/>
    <m/>
    <m/>
    <m/>
    <m/>
    <m/>
    <n v="0"/>
    <m/>
    <m/>
    <m/>
    <m/>
    <m/>
    <m/>
    <m/>
    <m/>
    <m/>
    <m/>
    <m/>
    <m/>
    <m/>
    <s v="1"/>
    <s v="0"/>
    <s v="0"/>
    <n v="1"/>
  </r>
  <r>
    <n v="2704536"/>
    <s v="Extrême-Nord"/>
    <s v="CMR004"/>
    <x v="1"/>
    <s v="CMR004002"/>
    <s v="Makary"/>
    <s v="CMR004002009"/>
    <s v="MAK-0167"/>
    <s v="DARSALAM"/>
    <m/>
    <x v="1"/>
    <n v="12.580909699999999"/>
    <n v="14.669013"/>
    <x v="0"/>
    <b v="1"/>
    <b v="0"/>
    <b v="1"/>
    <m/>
    <n v="3"/>
    <s v="Accessible"/>
    <m/>
    <s v="Le village accueille une population"/>
    <s v="Le village est partiellement détruit"/>
    <s v="Intempéries (inondations, tempêtes etc.)"/>
    <m/>
    <s v="Oui"/>
    <s v="Familles d'accueil"/>
    <s v="Non, pas du tout"/>
    <s v="Non"/>
    <m/>
    <n v="11"/>
    <n v="315"/>
    <s v="Oui"/>
    <s v="Troisième déplacement"/>
    <n v="11"/>
    <n v="65"/>
    <n v="29"/>
    <n v="36"/>
    <n v="4"/>
    <n v="4"/>
    <n v="3"/>
    <n v="0"/>
    <m/>
    <m/>
    <n v="0"/>
    <n v="0"/>
    <m/>
    <m/>
    <n v="0"/>
    <s v="Ras"/>
    <s v="Non"/>
    <m/>
    <m/>
    <m/>
    <m/>
    <m/>
    <m/>
    <m/>
    <m/>
    <m/>
    <m/>
    <m/>
    <m/>
    <m/>
    <m/>
    <m/>
    <s v="Non"/>
    <m/>
    <m/>
    <m/>
    <m/>
    <m/>
    <m/>
    <m/>
    <m/>
    <m/>
    <m/>
    <m/>
    <m/>
    <m/>
    <m/>
    <m/>
    <m/>
    <m/>
    <m/>
    <m/>
    <m/>
    <n v="0"/>
    <m/>
    <m/>
    <m/>
    <m/>
    <m/>
    <m/>
    <m/>
    <m/>
    <m/>
    <m/>
    <m/>
    <m/>
    <m/>
    <s v="1"/>
    <s v="0"/>
    <s v="0"/>
    <n v="1"/>
  </r>
  <r>
    <n v="2629301"/>
    <s v="Extrême-Nord"/>
    <s v="CMR004"/>
    <x v="1"/>
    <s v="CMR004002"/>
    <s v="Makary"/>
    <s v="CMR004002009"/>
    <s v="MAK-0130"/>
    <s v="DIAM 1"/>
    <m/>
    <x v="1"/>
    <n v="12.1270159"/>
    <n v="14.7798245"/>
    <x v="0"/>
    <b v="1"/>
    <b v="0"/>
    <b v="0"/>
    <m/>
    <n v="3"/>
    <s v="Accessible"/>
    <m/>
    <s v="Le village accueille une population"/>
    <s v="Le village est partiellement détruit"/>
    <s v="Intempéries (inondations, tempêtes etc.)"/>
    <m/>
    <s v="Oui"/>
    <s v="Familles d'accueil"/>
    <s v="Non, pas du tout"/>
    <s v="Non"/>
    <m/>
    <n v="27"/>
    <n v="263"/>
    <s v="Oui"/>
    <s v="Premier déplacement"/>
    <n v="27"/>
    <n v="180"/>
    <n v="74"/>
    <n v="106"/>
    <n v="0"/>
    <n v="27"/>
    <n v="0"/>
    <n v="0"/>
    <m/>
    <m/>
    <n v="0"/>
    <n v="0"/>
    <m/>
    <m/>
    <n v="0"/>
    <s v="Décès d'une femme de plus de 40ans arrivée avant 2020. Départ de 4 individus pour logone Birni (Dilga). Naissance de 7 individus 4 garçons et 3 filles."/>
    <s v="Oui"/>
    <n v="16"/>
    <n v="93"/>
    <n v="33"/>
    <n v="60"/>
    <n v="16"/>
    <n v="0"/>
    <n v="0"/>
    <m/>
    <n v="0"/>
    <n v="0"/>
    <m/>
    <m/>
    <n v="0"/>
    <n v="9"/>
    <s v="Naissance de 8 individus 5 garçons et 3filles."/>
    <s v="Non"/>
    <m/>
    <m/>
    <m/>
    <m/>
    <m/>
    <m/>
    <m/>
    <m/>
    <m/>
    <m/>
    <m/>
    <m/>
    <m/>
    <m/>
    <m/>
    <m/>
    <m/>
    <m/>
    <m/>
    <m/>
    <n v="0"/>
    <m/>
    <m/>
    <m/>
    <m/>
    <m/>
    <m/>
    <m/>
    <m/>
    <m/>
    <m/>
    <m/>
    <m/>
    <m/>
    <s v="1"/>
    <s v="1"/>
    <s v="0"/>
    <n v="2"/>
  </r>
  <r>
    <n v="2636344"/>
    <s v="Extrême-Nord"/>
    <s v="CMR004"/>
    <x v="1"/>
    <s v="CMR004002"/>
    <s v="Makary"/>
    <s v="CMR004002009"/>
    <s v="MAK-0131"/>
    <s v="DIAM 2"/>
    <m/>
    <x v="1"/>
    <n v="12.123987899999999"/>
    <n v="14.772391900000001"/>
    <x v="0"/>
    <b v="1"/>
    <b v="0"/>
    <b v="0"/>
    <m/>
    <n v="4"/>
    <s v="Accessible"/>
    <m/>
    <s v="Le village accueille une population"/>
    <s v="Le village est partiellement détruit"/>
    <s v="Intempéries (inondations, tempêtes etc.)"/>
    <m/>
    <s v="Oui"/>
    <s v="Familles d'accueil"/>
    <s v="Non, pas du tout"/>
    <s v="Non"/>
    <m/>
    <n v="23"/>
    <n v="477"/>
    <s v="Oui"/>
    <s v="Premier déplacement"/>
    <n v="23"/>
    <n v="173"/>
    <n v="76"/>
    <n v="97"/>
    <n v="0"/>
    <n v="23"/>
    <n v="0"/>
    <n v="0"/>
    <m/>
    <m/>
    <n v="0"/>
    <n v="0"/>
    <m/>
    <m/>
    <n v="0"/>
    <s v="Naissance de 2 individus 1 fille et 1 garçon. Reste RAS."/>
    <s v="Non"/>
    <m/>
    <m/>
    <m/>
    <m/>
    <m/>
    <m/>
    <m/>
    <m/>
    <m/>
    <m/>
    <m/>
    <m/>
    <m/>
    <m/>
    <m/>
    <s v="Non"/>
    <m/>
    <m/>
    <m/>
    <m/>
    <m/>
    <m/>
    <m/>
    <m/>
    <m/>
    <m/>
    <m/>
    <m/>
    <m/>
    <m/>
    <m/>
    <m/>
    <m/>
    <m/>
    <m/>
    <m/>
    <n v="0"/>
    <m/>
    <m/>
    <m/>
    <m/>
    <m/>
    <m/>
    <m/>
    <m/>
    <m/>
    <m/>
    <m/>
    <m/>
    <m/>
    <s v="1"/>
    <s v="0"/>
    <s v="0"/>
    <n v="1"/>
  </r>
  <r>
    <n v="2639013"/>
    <s v="Extrême-Nord"/>
    <s v="CMR004"/>
    <x v="1"/>
    <s v="CMR004002"/>
    <s v="Makary"/>
    <s v="CMR004002009"/>
    <s v="MAK-0098"/>
    <s v="DIGAM BAR"/>
    <m/>
    <x v="1"/>
    <n v="12.381856300000001"/>
    <n v="14.619306999999999"/>
    <x v="0"/>
    <b v="1"/>
    <b v="0"/>
    <b v="0"/>
    <m/>
    <n v="3"/>
    <s v="Accessible"/>
    <m/>
    <s v="Le village accueille une population"/>
    <s v="Le village est intact (construit)"/>
    <m/>
    <m/>
    <s v="Oui"/>
    <s v="Familles d'accueil"/>
    <s v="Non, pas du tout"/>
    <s v="Non"/>
    <m/>
    <n v="8"/>
    <n v="2500"/>
    <s v="Oui"/>
    <s v="Premier déplacement"/>
    <n v="8"/>
    <n v="65"/>
    <n v="30"/>
    <n v="35"/>
    <n v="0"/>
    <n v="8"/>
    <n v="0"/>
    <n v="0"/>
    <m/>
    <m/>
    <n v="0"/>
    <n v="0"/>
    <m/>
    <m/>
    <n v="0"/>
    <s v="Pas de changement"/>
    <s v="Oui"/>
    <n v="12"/>
    <n v="120"/>
    <n v="50"/>
    <n v="70"/>
    <n v="12"/>
    <n v="0"/>
    <n v="0"/>
    <m/>
    <n v="0"/>
    <n v="0"/>
    <m/>
    <m/>
    <n v="0"/>
    <n v="0"/>
    <s v="Pas de changement"/>
    <s v="Non"/>
    <m/>
    <m/>
    <m/>
    <m/>
    <m/>
    <m/>
    <m/>
    <m/>
    <m/>
    <m/>
    <m/>
    <m/>
    <m/>
    <m/>
    <m/>
    <m/>
    <m/>
    <m/>
    <m/>
    <m/>
    <n v="0"/>
    <m/>
    <m/>
    <m/>
    <m/>
    <m/>
    <m/>
    <m/>
    <m/>
    <m/>
    <m/>
    <m/>
    <m/>
    <m/>
    <s v="1"/>
    <s v="1"/>
    <s v="0"/>
    <n v="2"/>
  </r>
  <r>
    <n v="2639010"/>
    <s v="Extrême-Nord"/>
    <s v="CMR004"/>
    <x v="1"/>
    <s v="CMR004002"/>
    <s v="Makary"/>
    <s v="CMR004002009"/>
    <s v="MAK-0026"/>
    <s v="DIGAM-AFADE"/>
    <m/>
    <x v="1"/>
    <n v="12.3787615"/>
    <n v="14.617813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13049"/>
    <s v="Extrême-Nord"/>
    <s v="CMR004"/>
    <x v="1"/>
    <s v="CMR004002"/>
    <s v="Makary"/>
    <s v="CMR004002009"/>
    <s v="MAK-0132"/>
    <s v="DILEBE"/>
    <m/>
    <x v="1"/>
    <n v="12.5382169"/>
    <n v="14.363096499999999"/>
    <x v="0"/>
    <b v="1"/>
    <b v="0"/>
    <b v="0"/>
    <m/>
    <n v="3"/>
    <s v="Accessible"/>
    <m/>
    <s v="Le village accueille une population"/>
    <s v="Le village est intact (construit)"/>
    <m/>
    <m/>
    <s v="Oui"/>
    <s v="Familles d'accueil"/>
    <s v="Non, pas du tout"/>
    <s v="Non"/>
    <m/>
    <n v="3"/>
    <n v="263"/>
    <s v="Oui"/>
    <s v="Premier déplacement"/>
    <n v="3"/>
    <n v="51"/>
    <n v="23"/>
    <n v="28"/>
    <n v="0"/>
    <n v="3"/>
    <n v="0"/>
    <n v="0"/>
    <m/>
    <m/>
    <n v="0"/>
    <n v="0"/>
    <m/>
    <m/>
    <n v="0"/>
    <s v="Manque des moyens de subsistance "/>
    <s v="Non"/>
    <m/>
    <m/>
    <m/>
    <m/>
    <m/>
    <m/>
    <m/>
    <m/>
    <m/>
    <m/>
    <m/>
    <m/>
    <m/>
    <m/>
    <m/>
    <s v="Non"/>
    <m/>
    <m/>
    <m/>
    <m/>
    <m/>
    <m/>
    <m/>
    <m/>
    <m/>
    <m/>
    <m/>
    <m/>
    <m/>
    <m/>
    <m/>
    <m/>
    <m/>
    <m/>
    <m/>
    <m/>
    <n v="0"/>
    <m/>
    <m/>
    <m/>
    <m/>
    <m/>
    <m/>
    <m/>
    <m/>
    <m/>
    <m/>
    <m/>
    <m/>
    <m/>
    <s v="1"/>
    <s v="0"/>
    <s v="0"/>
    <n v="1"/>
  </r>
  <r>
    <n v="2626553"/>
    <s v="Extrême-Nord"/>
    <s v="CMR004"/>
    <x v="1"/>
    <s v="CMR004002"/>
    <s v="Makary"/>
    <s v="CMR004002009"/>
    <s v="MAK-0107"/>
    <s v="DJADJAYA"/>
    <m/>
    <x v="1"/>
    <n v="12.5137175"/>
    <n v="14.3564823"/>
    <x v="0"/>
    <b v="1"/>
    <b v="0"/>
    <b v="0"/>
    <m/>
    <n v="4"/>
    <s v="Accessible"/>
    <m/>
    <s v="Le village accueille une population"/>
    <s v="Le village est partiellement détruit"/>
    <s v="Intempéries (inondations, tempêtes etc.)"/>
    <m/>
    <s v="Oui"/>
    <s v="Familles d'accueil"/>
    <s v="Non, pas du tout"/>
    <s v="Non"/>
    <m/>
    <n v="55"/>
    <n v="1446"/>
    <s v="Oui"/>
    <s v="Premier déplacement"/>
    <n v="55"/>
    <n v="265"/>
    <n v="124"/>
    <n v="141"/>
    <n v="0"/>
    <n v="55"/>
    <n v="0"/>
    <n v="0"/>
    <m/>
    <m/>
    <n v="0"/>
    <n v="0"/>
    <m/>
    <m/>
    <n v="0"/>
    <s v="Ras"/>
    <s v="Oui"/>
    <n v="5"/>
    <n v="37"/>
    <n v="16"/>
    <n v="21"/>
    <n v="5"/>
    <n v="0"/>
    <n v="0"/>
    <m/>
    <n v="0"/>
    <n v="0"/>
    <m/>
    <m/>
    <n v="0"/>
    <n v="0"/>
    <s v="Il y'a eu augmentation d'un ménage réfugiés pour 4 individus venus du Nigeria  par crainte"/>
    <s v="Non"/>
    <m/>
    <m/>
    <m/>
    <m/>
    <m/>
    <m/>
    <m/>
    <m/>
    <m/>
    <m/>
    <m/>
    <m/>
    <m/>
    <m/>
    <m/>
    <m/>
    <m/>
    <m/>
    <m/>
    <m/>
    <n v="0"/>
    <m/>
    <m/>
    <m/>
    <m/>
    <m/>
    <m/>
    <m/>
    <m/>
    <m/>
    <m/>
    <m/>
    <m/>
    <m/>
    <s v="1"/>
    <s v="1"/>
    <s v="0"/>
    <n v="2"/>
  </r>
  <r>
    <n v="2629277"/>
    <s v="Extrême-Nord"/>
    <s v="CMR004"/>
    <x v="1"/>
    <s v="CMR004002"/>
    <s v="Makary"/>
    <s v="CMR004002009"/>
    <s v="MAK-0133"/>
    <s v="DJAKDJAKKAYA 2"/>
    <m/>
    <x v="1"/>
    <n v="12.324914100000001"/>
    <n v="14.599322300000001"/>
    <x v="0"/>
    <b v="1"/>
    <b v="0"/>
    <b v="0"/>
    <m/>
    <n v="3"/>
    <s v="Accessible"/>
    <m/>
    <s v="Le village accueille une population"/>
    <s v="Le village est partiellement détruit"/>
    <s v="Intempéries (inondations, tempêtes etc.)"/>
    <m/>
    <s v="Oui"/>
    <s v="Familles d'accueil"/>
    <s v="Non, pas du tout"/>
    <s v="Non"/>
    <m/>
    <n v="10"/>
    <n v="466"/>
    <s v="Oui"/>
    <s v="Premier déplacement"/>
    <n v="10"/>
    <n v="75"/>
    <n v="35"/>
    <n v="40"/>
    <n v="0"/>
    <n v="10"/>
    <n v="0"/>
    <n v="0"/>
    <m/>
    <m/>
    <n v="0"/>
    <n v="0"/>
    <m/>
    <m/>
    <n v="0"/>
    <s v="Il y a des personnes déplacées en provenance de glao bardaï (04 ménages) de (75) personnes venues de glao -bardaï"/>
    <s v="Non"/>
    <m/>
    <m/>
    <m/>
    <m/>
    <m/>
    <m/>
    <m/>
    <m/>
    <m/>
    <m/>
    <m/>
    <m/>
    <m/>
    <m/>
    <m/>
    <s v="Non"/>
    <m/>
    <m/>
    <m/>
    <m/>
    <m/>
    <m/>
    <m/>
    <m/>
    <m/>
    <m/>
    <m/>
    <m/>
    <m/>
    <m/>
    <m/>
    <m/>
    <m/>
    <m/>
    <m/>
    <m/>
    <n v="0"/>
    <m/>
    <m/>
    <m/>
    <m/>
    <m/>
    <m/>
    <m/>
    <m/>
    <m/>
    <m/>
    <m/>
    <m/>
    <m/>
    <s v="1"/>
    <s v="0"/>
    <s v="0"/>
    <n v="1"/>
  </r>
  <r>
    <n v="2627138"/>
    <s v="Extrême-Nord"/>
    <s v="CMR004"/>
    <x v="1"/>
    <s v="CMR004002"/>
    <s v="Makary"/>
    <s v="CMR004002009"/>
    <s v="MAK-0027"/>
    <s v="DJAMOUS"/>
    <m/>
    <x v="1"/>
    <n v="12.3430043"/>
    <n v="14.548527500000001"/>
    <x v="0"/>
    <b v="1"/>
    <b v="0"/>
    <b v="0"/>
    <m/>
    <n v="3"/>
    <s v="Accessible"/>
    <m/>
    <s v="Le village accueille une population"/>
    <s v="Le village est intact (construit)"/>
    <m/>
    <m/>
    <s v="Oui"/>
    <s v="Familles d'accueil"/>
    <s v="Non, pas du tout"/>
    <s v="Non"/>
    <m/>
    <n v="2"/>
    <n v="200"/>
    <s v="Oui"/>
    <s v="Premier déplacement"/>
    <n v="2"/>
    <n v="8"/>
    <n v="5"/>
    <n v="3"/>
    <n v="0"/>
    <n v="2"/>
    <n v="0"/>
    <n v="0"/>
    <m/>
    <m/>
    <n v="0"/>
    <n v="0"/>
    <m/>
    <m/>
    <n v="0"/>
    <s v="Pas de changement."/>
    <s v="Non"/>
    <m/>
    <m/>
    <m/>
    <m/>
    <m/>
    <m/>
    <m/>
    <m/>
    <m/>
    <m/>
    <m/>
    <m/>
    <m/>
    <m/>
    <m/>
    <s v="Non"/>
    <m/>
    <m/>
    <m/>
    <m/>
    <m/>
    <m/>
    <m/>
    <m/>
    <m/>
    <m/>
    <m/>
    <m/>
    <m/>
    <m/>
    <m/>
    <m/>
    <m/>
    <m/>
    <m/>
    <m/>
    <n v="0"/>
    <m/>
    <m/>
    <m/>
    <m/>
    <m/>
    <m/>
    <m/>
    <m/>
    <m/>
    <m/>
    <m/>
    <m/>
    <m/>
    <s v="1"/>
    <s v="0"/>
    <s v="0"/>
    <n v="1"/>
  </r>
  <r>
    <n v="2627135"/>
    <s v="Extrême-Nord"/>
    <s v="CMR004"/>
    <x v="1"/>
    <s v="CMR004002"/>
    <s v="Makary"/>
    <s v="CMR004002009"/>
    <s v="MAK-0028"/>
    <s v="DJIDANSAMA"/>
    <m/>
    <x v="1"/>
    <n v="12.336618100000001"/>
    <n v="14.583243899999999"/>
    <x v="0"/>
    <b v="1"/>
    <b v="0"/>
    <b v="0"/>
    <m/>
    <n v="3"/>
    <s v="Accessible"/>
    <m/>
    <s v="Le village accueille une population"/>
    <s v="Le village est intact (construit)"/>
    <m/>
    <m/>
    <s v="Oui"/>
    <s v="Familles d'accueil"/>
    <s v="Non, pas du tout"/>
    <s v="Non"/>
    <m/>
    <n v="9"/>
    <n v="432"/>
    <s v="Oui"/>
    <s v="Premier déplacement"/>
    <n v="9"/>
    <n v="71"/>
    <n v="40"/>
    <n v="31"/>
    <n v="0"/>
    <n v="9"/>
    <n v="0"/>
    <n v="0"/>
    <m/>
    <m/>
    <n v="0"/>
    <n v="0"/>
    <m/>
    <m/>
    <n v="0"/>
    <s v="Pas de changement."/>
    <s v="Non"/>
    <m/>
    <m/>
    <m/>
    <m/>
    <m/>
    <m/>
    <m/>
    <m/>
    <m/>
    <m/>
    <m/>
    <m/>
    <m/>
    <m/>
    <m/>
    <s v="Non"/>
    <m/>
    <m/>
    <m/>
    <m/>
    <m/>
    <m/>
    <m/>
    <m/>
    <m/>
    <m/>
    <m/>
    <m/>
    <m/>
    <m/>
    <m/>
    <m/>
    <m/>
    <m/>
    <m/>
    <m/>
    <n v="0"/>
    <m/>
    <m/>
    <m/>
    <m/>
    <m/>
    <m/>
    <m/>
    <m/>
    <m/>
    <m/>
    <m/>
    <m/>
    <m/>
    <s v="1"/>
    <s v="0"/>
    <s v="0"/>
    <n v="1"/>
  </r>
  <r>
    <n v="2615537"/>
    <s v="Extrême-Nord"/>
    <s v="CMR004"/>
    <x v="1"/>
    <s v="CMR004002"/>
    <s v="Makary"/>
    <s v="CMR004002009"/>
    <s v="MAK-0029"/>
    <s v="DJIMTILO"/>
    <m/>
    <x v="1"/>
    <n v="12.385943599999999"/>
    <n v="14.4692077"/>
    <x v="0"/>
    <b v="1"/>
    <b v="0"/>
    <b v="0"/>
    <m/>
    <n v="3"/>
    <s v="Accessible"/>
    <m/>
    <s v="Le village accueille une population"/>
    <s v="Le village est intact (construit)"/>
    <m/>
    <m/>
    <s v="Oui"/>
    <s v="Familles d'accueil"/>
    <s v="Non, pas du tout"/>
    <s v="Non"/>
    <m/>
    <n v="15"/>
    <n v="473"/>
    <s v="Oui"/>
    <s v="Premier déplacement"/>
    <n v="15"/>
    <n v="87"/>
    <n v="35"/>
    <n v="52"/>
    <n v="0"/>
    <n v="15"/>
    <n v="0"/>
    <n v="0"/>
    <m/>
    <m/>
    <n v="0"/>
    <n v="0"/>
    <m/>
    <m/>
    <n v="0"/>
    <s v="Changement 1menage de 3 individus provenant du site d Afade "/>
    <s v="Oui"/>
    <n v="10"/>
    <n v="45"/>
    <n v="20"/>
    <n v="25"/>
    <n v="10"/>
    <n v="0"/>
    <n v="0"/>
    <m/>
    <n v="0"/>
    <n v="0"/>
    <m/>
    <m/>
    <n v="0"/>
    <n v="0"/>
    <s v="Pas de changement "/>
    <s v="Non"/>
    <m/>
    <m/>
    <m/>
    <m/>
    <m/>
    <m/>
    <m/>
    <m/>
    <m/>
    <m/>
    <m/>
    <m/>
    <m/>
    <m/>
    <m/>
    <m/>
    <m/>
    <m/>
    <m/>
    <m/>
    <n v="0"/>
    <m/>
    <m/>
    <m/>
    <m/>
    <m/>
    <m/>
    <m/>
    <m/>
    <m/>
    <m/>
    <m/>
    <m/>
    <m/>
    <s v="1"/>
    <s v="1"/>
    <s v="0"/>
    <n v="2"/>
  </r>
  <r>
    <n v="2639007"/>
    <s v="Extrême-Nord"/>
    <s v="CMR004"/>
    <x v="1"/>
    <s v="CMR004002"/>
    <s v="Makary"/>
    <s v="CMR004002009"/>
    <s v="MAK-0030"/>
    <s v="DOLE-AFADE"/>
    <m/>
    <x v="1"/>
    <n v="12.391473299999999"/>
    <n v="14.5823163"/>
    <x v="0"/>
    <b v="1"/>
    <b v="0"/>
    <b v="0"/>
    <m/>
    <n v="3"/>
    <s v="Accessible"/>
    <m/>
    <s v="Le village accueille une population"/>
    <s v="Le village est intact (construit)"/>
    <m/>
    <m/>
    <s v="Oui"/>
    <s v="Familles d'accueil"/>
    <s v="Non, pas du tout"/>
    <s v="Non"/>
    <m/>
    <n v="9"/>
    <n v="1770"/>
    <s v="Oui"/>
    <s v="Premier déplacement"/>
    <n v="9"/>
    <n v="79"/>
    <n v="35"/>
    <n v="44"/>
    <n v="0"/>
    <n v="9"/>
    <n v="0"/>
    <n v="0"/>
    <m/>
    <m/>
    <n v="0"/>
    <n v="0"/>
    <m/>
    <m/>
    <n v="0"/>
    <s v="Pas de nouveaux idp"/>
    <s v="Non"/>
    <m/>
    <m/>
    <m/>
    <m/>
    <m/>
    <m/>
    <m/>
    <m/>
    <m/>
    <m/>
    <m/>
    <m/>
    <m/>
    <m/>
    <m/>
    <s v="Non"/>
    <m/>
    <m/>
    <m/>
    <m/>
    <m/>
    <m/>
    <m/>
    <m/>
    <m/>
    <m/>
    <m/>
    <m/>
    <m/>
    <m/>
    <m/>
    <m/>
    <m/>
    <m/>
    <m/>
    <m/>
    <n v="0"/>
    <m/>
    <m/>
    <m/>
    <m/>
    <m/>
    <m/>
    <m/>
    <m/>
    <m/>
    <m/>
    <m/>
    <m/>
    <m/>
    <s v="1"/>
    <s v="0"/>
    <s v="0"/>
    <n v="1"/>
  </r>
  <r>
    <n v="2580362"/>
    <s v="Extrême-Nord"/>
    <s v="CMR004"/>
    <x v="1"/>
    <s v="CMR004002"/>
    <s v="Makary"/>
    <s v="CMR004002009"/>
    <s v="MAK-0031"/>
    <s v="DOLE-NAGA"/>
    <m/>
    <x v="1"/>
    <n v="12.6381047"/>
    <n v="14.2791754"/>
    <x v="0"/>
    <b v="1"/>
    <b v="0"/>
    <b v="0"/>
    <m/>
    <n v="3"/>
    <s v="Accessible"/>
    <m/>
    <s v="Le village accueille une population"/>
    <s v="Le village est intact (construit)"/>
    <m/>
    <m/>
    <s v="Oui"/>
    <s v="Familles d'accueil"/>
    <s v="Non, pas du tout"/>
    <s v="Non"/>
    <m/>
    <n v="56"/>
    <n v="781"/>
    <s v="Oui"/>
    <s v="Premier déplacement"/>
    <n v="56"/>
    <n v="200"/>
    <n v="93"/>
    <n v="107"/>
    <n v="0"/>
    <n v="56"/>
    <n v="0"/>
    <n v="0"/>
    <m/>
    <m/>
    <n v="0"/>
    <n v="0"/>
    <m/>
    <m/>
    <n v="0"/>
    <s v="Augmentation de 43 ménages venant de tchika et de naga"/>
    <s v="Non"/>
    <m/>
    <m/>
    <m/>
    <m/>
    <m/>
    <m/>
    <m/>
    <m/>
    <m/>
    <m/>
    <m/>
    <m/>
    <m/>
    <m/>
    <m/>
    <s v="Non"/>
    <m/>
    <m/>
    <m/>
    <m/>
    <m/>
    <m/>
    <m/>
    <m/>
    <m/>
    <m/>
    <m/>
    <m/>
    <m/>
    <m/>
    <m/>
    <m/>
    <m/>
    <m/>
    <m/>
    <m/>
    <n v="0"/>
    <m/>
    <m/>
    <m/>
    <m/>
    <m/>
    <m/>
    <m/>
    <m/>
    <m/>
    <m/>
    <m/>
    <m/>
    <m/>
    <s v="1"/>
    <s v="0"/>
    <s v="0"/>
    <n v="1"/>
  </r>
  <r>
    <n v="2574931"/>
    <s v="Extrême-Nord"/>
    <s v="CMR004"/>
    <x v="1"/>
    <s v="CMR004002"/>
    <s v="Makary"/>
    <s v="CMR004002009"/>
    <s v="MAK-0025"/>
    <s v="DONGOLO"/>
    <m/>
    <x v="1"/>
    <n v="12.479086000000001"/>
    <n v="14.356161999999999"/>
    <x v="0"/>
    <b v="1"/>
    <b v="0"/>
    <b v="0"/>
    <m/>
    <n v="3"/>
    <s v="Accessible"/>
    <m/>
    <s v="Le village accueille une population"/>
    <s v="Le village est intact (construit)"/>
    <m/>
    <m/>
    <s v="Oui"/>
    <s v="Familles d'accueil"/>
    <s v="Non, pas du tout"/>
    <s v="Non"/>
    <m/>
    <n v="27"/>
    <n v="429"/>
    <s v="Oui"/>
    <s v="Premier déplacement"/>
    <n v="27"/>
    <n v="90"/>
    <n v="35"/>
    <n v="55"/>
    <n v="0"/>
    <n v="27"/>
    <n v="0"/>
    <n v="0"/>
    <m/>
    <m/>
    <n v="0"/>
    <n v="0"/>
    <m/>
    <m/>
    <n v="0"/>
    <s v="Ils sont en difficulté financière "/>
    <s v="Non"/>
    <m/>
    <m/>
    <m/>
    <m/>
    <m/>
    <m/>
    <m/>
    <m/>
    <m/>
    <m/>
    <m/>
    <m/>
    <m/>
    <m/>
    <m/>
    <s v="Non"/>
    <m/>
    <m/>
    <m/>
    <m/>
    <m/>
    <m/>
    <m/>
    <m/>
    <m/>
    <m/>
    <m/>
    <m/>
    <m/>
    <m/>
    <m/>
    <m/>
    <m/>
    <m/>
    <m/>
    <m/>
    <n v="0"/>
    <m/>
    <m/>
    <m/>
    <m/>
    <m/>
    <m/>
    <m/>
    <m/>
    <m/>
    <m/>
    <m/>
    <m/>
    <m/>
    <s v="1"/>
    <s v="0"/>
    <s v="0"/>
    <n v="1"/>
  </r>
  <r>
    <n v="2597114"/>
    <s v="Extrême-Nord"/>
    <s v="CMR004"/>
    <x v="1"/>
    <s v="CMR004002"/>
    <s v="Makary"/>
    <s v="CMR004002009"/>
    <s v="MAK-0032"/>
    <s v="DOROROYA 1"/>
    <m/>
    <x v="1"/>
    <n v="12.433090999999999"/>
    <n v="14.4658075"/>
    <x v="0"/>
    <b v="1"/>
    <b v="0"/>
    <b v="0"/>
    <m/>
    <n v="3"/>
    <s v="Accessible"/>
    <m/>
    <s v="Le village accueille une population"/>
    <s v="Le village est partiellement détruit"/>
    <s v="Intempéries (inondations, tempêtes etc.)"/>
    <m/>
    <s v="Oui"/>
    <s v="Familles d'accueil"/>
    <s v="Non, pas du tout"/>
    <s v="Non"/>
    <m/>
    <n v="27"/>
    <n v="1367"/>
    <s v="Oui"/>
    <s v="Premier déplacement"/>
    <n v="27"/>
    <n v="123"/>
    <n v="63"/>
    <n v="60"/>
    <n v="20"/>
    <n v="7"/>
    <n v="0"/>
    <n v="0"/>
    <m/>
    <m/>
    <n v="0"/>
    <n v="0"/>
    <m/>
    <m/>
    <n v="0"/>
    <s v="il y a eu  17 ménage de 50 individus venant de tikka"/>
    <s v="Oui"/>
    <n v="3"/>
    <n v="21"/>
    <n v="9"/>
    <n v="12"/>
    <n v="3"/>
    <n v="0"/>
    <n v="0"/>
    <m/>
    <n v="0"/>
    <n v="0"/>
    <m/>
    <m/>
    <n v="0"/>
    <n v="0"/>
    <s v="il n'ya pas eu de nouveau refugiè"/>
    <s v="Non"/>
    <m/>
    <m/>
    <m/>
    <m/>
    <m/>
    <m/>
    <m/>
    <m/>
    <m/>
    <m/>
    <m/>
    <m/>
    <m/>
    <m/>
    <m/>
    <m/>
    <m/>
    <m/>
    <m/>
    <m/>
    <n v="0"/>
    <m/>
    <m/>
    <m/>
    <m/>
    <m/>
    <m/>
    <m/>
    <m/>
    <m/>
    <m/>
    <m/>
    <m/>
    <m/>
    <s v="1"/>
    <s v="1"/>
    <s v="0"/>
    <n v="2"/>
  </r>
  <r>
    <n v="2605221"/>
    <s v="Extrême-Nord"/>
    <s v="CMR004"/>
    <x v="1"/>
    <s v="CMR004002"/>
    <s v="Makary"/>
    <s v="CMR004002009"/>
    <s v="MAK-0033"/>
    <s v="DOUBABEL GOSS"/>
    <m/>
    <x v="1"/>
    <n v="12.1760305"/>
    <n v="14.7806397"/>
    <x v="0"/>
    <b v="1"/>
    <b v="0"/>
    <b v="0"/>
    <m/>
    <n v="3"/>
    <s v="Accessible"/>
    <m/>
    <s v="Le village accueille une population"/>
    <s v="Le village est intact (construit)"/>
    <m/>
    <m/>
    <s v="Oui"/>
    <s v="Familles d'accueil"/>
    <s v="Non, pas du tout"/>
    <s v="Non"/>
    <m/>
    <n v="29"/>
    <n v="450"/>
    <s v="Oui"/>
    <s v="Premier déplacement"/>
    <n v="29"/>
    <n v="85"/>
    <n v="40"/>
    <n v="45"/>
    <n v="7"/>
    <n v="22"/>
    <n v="0"/>
    <n v="0"/>
    <m/>
    <m/>
    <n v="0"/>
    <n v="0"/>
    <m/>
    <m/>
    <n v="0"/>
    <s v="Augmentation des ménages dû à l'inondation en provenance de Bella et Soumou village voisin"/>
    <s v="Non"/>
    <m/>
    <m/>
    <m/>
    <m/>
    <m/>
    <m/>
    <m/>
    <m/>
    <m/>
    <m/>
    <m/>
    <m/>
    <m/>
    <m/>
    <m/>
    <s v="Non"/>
    <m/>
    <m/>
    <m/>
    <m/>
    <m/>
    <m/>
    <m/>
    <m/>
    <m/>
    <m/>
    <m/>
    <m/>
    <m/>
    <m/>
    <m/>
    <m/>
    <m/>
    <m/>
    <m/>
    <m/>
    <n v="0"/>
    <m/>
    <m/>
    <m/>
    <m/>
    <m/>
    <m/>
    <m/>
    <m/>
    <m/>
    <m/>
    <m/>
    <m/>
    <m/>
    <s v="1"/>
    <s v="0"/>
    <s v="0"/>
    <n v="1"/>
  </r>
  <r>
    <n v="2580173"/>
    <s v="Extrême-Nord"/>
    <s v="CMR004"/>
    <x v="1"/>
    <s v="CMR004002"/>
    <s v="Makary"/>
    <s v="CMR004002009"/>
    <s v="MAK-0134"/>
    <s v="DOUGMO"/>
    <m/>
    <x v="1"/>
    <n v="12.584093299999999"/>
    <n v="14.4945191"/>
    <x v="0"/>
    <b v="1"/>
    <b v="0"/>
    <b v="0"/>
    <m/>
    <n v="3"/>
    <s v="Accessible"/>
    <m/>
    <s v="Le village accueille une population"/>
    <s v="Le village est intact (construit)"/>
    <m/>
    <m/>
    <s v="Oui"/>
    <s v="Familles d'accueil"/>
    <s v="Non, pas du tout"/>
    <s v="Non"/>
    <m/>
    <m/>
    <n v="2750"/>
    <s v="Non"/>
    <m/>
    <m/>
    <m/>
    <m/>
    <m/>
    <m/>
    <m/>
    <m/>
    <m/>
    <m/>
    <m/>
    <m/>
    <m/>
    <m/>
    <m/>
    <m/>
    <m/>
    <s v="Non"/>
    <m/>
    <m/>
    <m/>
    <m/>
    <m/>
    <m/>
    <m/>
    <m/>
    <m/>
    <m/>
    <m/>
    <m/>
    <m/>
    <m/>
    <m/>
    <s v="Non"/>
    <m/>
    <m/>
    <m/>
    <m/>
    <m/>
    <m/>
    <m/>
    <m/>
    <m/>
    <m/>
    <m/>
    <m/>
    <m/>
    <m/>
    <m/>
    <m/>
    <m/>
    <m/>
    <m/>
    <m/>
    <n v="0"/>
    <m/>
    <m/>
    <m/>
    <m/>
    <m/>
    <m/>
    <m/>
    <m/>
    <m/>
    <m/>
    <m/>
    <m/>
    <m/>
    <s v="0"/>
    <s v="0"/>
    <s v="0"/>
    <n v="0"/>
  </r>
  <r>
    <n v="2605220"/>
    <s v="Extrême-Nord"/>
    <s v="CMR004"/>
    <x v="1"/>
    <s v="CMR004002"/>
    <s v="Makary"/>
    <s v="CMR004002009"/>
    <s v="MAK-0135"/>
    <s v="DOUGOUM"/>
    <m/>
    <x v="1"/>
    <n v="12.2858629"/>
    <n v="14.7667599"/>
    <x v="0"/>
    <b v="1"/>
    <b v="0"/>
    <b v="0"/>
    <m/>
    <n v="3"/>
    <s v="Accessible"/>
    <m/>
    <s v="Le village accueille une population"/>
    <s v="Le village est intact (construit)"/>
    <m/>
    <m/>
    <s v="Oui"/>
    <s v="Familles d'accueil"/>
    <s v="Non, pas du tout"/>
    <s v="Non"/>
    <m/>
    <n v="6"/>
    <n v="380"/>
    <s v="Oui"/>
    <s v="Premier déplacement"/>
    <n v="6"/>
    <n v="38"/>
    <n v="18"/>
    <n v="20"/>
    <n v="3"/>
    <n v="3"/>
    <n v="0"/>
    <n v="0"/>
    <m/>
    <m/>
    <n v="0"/>
    <n v="0"/>
    <m/>
    <m/>
    <n v="0"/>
    <s v="Augmentation d'individus venant de Nigué dû à l'inondation"/>
    <s v="Non"/>
    <m/>
    <m/>
    <m/>
    <m/>
    <m/>
    <m/>
    <m/>
    <m/>
    <m/>
    <m/>
    <m/>
    <m/>
    <m/>
    <m/>
    <m/>
    <s v="Non"/>
    <m/>
    <m/>
    <m/>
    <m/>
    <m/>
    <m/>
    <m/>
    <m/>
    <m/>
    <m/>
    <m/>
    <m/>
    <m/>
    <m/>
    <m/>
    <m/>
    <m/>
    <m/>
    <m/>
    <m/>
    <n v="0"/>
    <m/>
    <m/>
    <m/>
    <m/>
    <m/>
    <m/>
    <m/>
    <m/>
    <m/>
    <m/>
    <m/>
    <m/>
    <m/>
    <s v="1"/>
    <s v="0"/>
    <s v="0"/>
    <n v="1"/>
  </r>
  <r>
    <n v="2591098"/>
    <s v="Extrême-Nord"/>
    <s v="CMR004"/>
    <x v="1"/>
    <s v="CMR004002"/>
    <s v="Makary"/>
    <s v="CMR004002009"/>
    <s v="MAK-0099"/>
    <s v="DOUGOUMMANGO"/>
    <m/>
    <x v="1"/>
    <n v="12.571547900000001"/>
    <n v="14.4345088"/>
    <x v="0"/>
    <b v="1"/>
    <b v="0"/>
    <b v="0"/>
    <m/>
    <n v="3"/>
    <s v="Accessible"/>
    <m/>
    <s v="Le village accueille une population"/>
    <s v="Le village est intact (construit)"/>
    <m/>
    <m/>
    <s v="Oui"/>
    <s v="Familles d'accueil"/>
    <s v="Non, pas du tout"/>
    <s v="Non"/>
    <m/>
    <n v="24"/>
    <n v="909"/>
    <s v="Oui"/>
    <s v="Premier déplacement"/>
    <n v="24"/>
    <n v="167"/>
    <n v="71"/>
    <n v="96"/>
    <n v="0"/>
    <n v="24"/>
    <n v="0"/>
    <n v="0"/>
    <m/>
    <m/>
    <n v="0"/>
    <n v="0"/>
    <m/>
    <m/>
    <n v="0"/>
    <s v="Nous observons une augmentation de 9 ménages idps pour 30 individus.  Ils viennent de darak suite au attaque des BH"/>
    <s v="Non"/>
    <m/>
    <m/>
    <m/>
    <m/>
    <m/>
    <m/>
    <m/>
    <m/>
    <m/>
    <m/>
    <m/>
    <m/>
    <m/>
    <m/>
    <m/>
    <s v="Non"/>
    <m/>
    <m/>
    <m/>
    <m/>
    <m/>
    <m/>
    <m/>
    <m/>
    <m/>
    <m/>
    <m/>
    <m/>
    <m/>
    <m/>
    <m/>
    <m/>
    <m/>
    <m/>
    <m/>
    <m/>
    <n v="0"/>
    <m/>
    <m/>
    <m/>
    <m/>
    <m/>
    <m/>
    <m/>
    <m/>
    <m/>
    <m/>
    <m/>
    <m/>
    <m/>
    <s v="1"/>
    <s v="0"/>
    <s v="0"/>
    <n v="1"/>
  </r>
  <r>
    <n v="2670837"/>
    <s v="Extrême-Nord"/>
    <s v="CMR004"/>
    <x v="1"/>
    <s v="CMR004002"/>
    <s v="Makary"/>
    <s v="CMR004002009"/>
    <s v="MAK-0219"/>
    <s v="FADJE"/>
    <m/>
    <x v="1"/>
    <n v="12.4917243"/>
    <n v="14.4912709"/>
    <x v="0"/>
    <b v="1"/>
    <b v="0"/>
    <b v="0"/>
    <m/>
    <n v="3"/>
    <s v="Accessible"/>
    <m/>
    <s v="Le village accueille une population"/>
    <s v="Le village est partiellement détruit"/>
    <s v="Intempéries (inondations, tempêtes etc.)"/>
    <m/>
    <s v="Oui"/>
    <s v="Familles d'accueil"/>
    <s v="Non, pas du tout"/>
    <s v="Non"/>
    <m/>
    <n v="15"/>
    <n v="2417"/>
    <s v="Oui"/>
    <s v="Premier déplacement"/>
    <n v="15"/>
    <n v="85"/>
    <n v="29"/>
    <n v="56"/>
    <n v="11"/>
    <n v="4"/>
    <n v="0"/>
    <n v="0"/>
    <m/>
    <m/>
    <n v="0"/>
    <n v="0"/>
    <m/>
    <m/>
    <n v="0"/>
    <s v="Es nouveau pdi on du mal à avoir des ressources de base "/>
    <s v="Oui"/>
    <n v="12"/>
    <n v="74"/>
    <n v="20"/>
    <n v="54"/>
    <n v="12"/>
    <n v="0"/>
    <n v="0"/>
    <m/>
    <n v="0"/>
    <n v="0"/>
    <m/>
    <m/>
    <n v="0"/>
    <n v="0"/>
    <s v="Il n'y a pas de nouveau réfugiés "/>
    <s v="Non"/>
    <m/>
    <m/>
    <m/>
    <m/>
    <m/>
    <m/>
    <m/>
    <m/>
    <m/>
    <m/>
    <m/>
    <m/>
    <m/>
    <m/>
    <m/>
    <m/>
    <m/>
    <m/>
    <m/>
    <m/>
    <n v="0"/>
    <m/>
    <m/>
    <m/>
    <m/>
    <m/>
    <m/>
    <m/>
    <m/>
    <m/>
    <m/>
    <m/>
    <m/>
    <m/>
    <s v="1"/>
    <s v="1"/>
    <s v="0"/>
    <n v="2"/>
  </r>
  <r>
    <n v="2690775"/>
    <s v="Extrême-Nord"/>
    <s v="CMR004"/>
    <x v="1"/>
    <s v="CMR004002"/>
    <s v="Makary"/>
    <s v="CMR004002009"/>
    <s v="MAK-0234"/>
    <s v="FADJÉ ABISSO 2"/>
    <m/>
    <x v="1"/>
    <n v="12.3626567"/>
    <n v="14.459605099999999"/>
    <x v="0"/>
    <b v="0"/>
    <b v="0"/>
    <b v="1"/>
    <m/>
    <m/>
    <s v="Accessible"/>
    <m/>
    <s v="Le village accueille une population"/>
    <s v="Le village est intact (construit)"/>
    <m/>
    <m/>
    <s v="Oui"/>
    <s v="Familles d'accueil"/>
    <s v="Non, pas du tout"/>
    <s v="Non"/>
    <m/>
    <n v="17"/>
    <n v="250"/>
    <s v="Oui"/>
    <s v="Premier déplacement"/>
    <n v="17"/>
    <n v="67"/>
    <n v="30"/>
    <n v="37"/>
    <n v="0"/>
    <n v="17"/>
    <n v="0"/>
    <n v="0"/>
    <m/>
    <m/>
    <n v="0"/>
    <n v="0"/>
    <m/>
    <m/>
    <n v="0"/>
    <s v="Aucun changement"/>
    <s v="Non"/>
    <m/>
    <m/>
    <m/>
    <m/>
    <m/>
    <m/>
    <m/>
    <m/>
    <m/>
    <m/>
    <m/>
    <m/>
    <m/>
    <m/>
    <m/>
    <s v="Non"/>
    <m/>
    <m/>
    <m/>
    <m/>
    <m/>
    <m/>
    <m/>
    <m/>
    <m/>
    <m/>
    <m/>
    <m/>
    <m/>
    <m/>
    <m/>
    <m/>
    <m/>
    <m/>
    <m/>
    <m/>
    <n v="0"/>
    <m/>
    <m/>
    <m/>
    <m/>
    <m/>
    <m/>
    <m/>
    <m/>
    <m/>
    <m/>
    <m/>
    <m/>
    <m/>
    <s v="1"/>
    <s v="0"/>
    <s v="0"/>
    <n v="1"/>
  </r>
  <r>
    <n v="2613505"/>
    <s v="Extrême-Nord"/>
    <s v="CMR004"/>
    <x v="1"/>
    <s v="CMR004002"/>
    <s v="Makary"/>
    <s v="CMR004002009"/>
    <s v="MAK-0168"/>
    <s v="FADJE ADOUM"/>
    <m/>
    <x v="1"/>
    <n v="12.5864776"/>
    <n v="14.671645099999999"/>
    <x v="0"/>
    <b v="1"/>
    <b v="0"/>
    <b v="1"/>
    <m/>
    <n v="3"/>
    <s v="Accessible"/>
    <m/>
    <s v="Le village accueille une population"/>
    <s v="Le village est partiellement détruit"/>
    <s v="Intempéries (inondations, tempêtes etc.)"/>
    <m/>
    <s v="Oui"/>
    <s v="Familles d'accueil"/>
    <s v="Non, pas du tout"/>
    <s v="Non"/>
    <m/>
    <n v="13"/>
    <n v="324"/>
    <s v="Oui"/>
    <s v="Premier déplacement"/>
    <n v="13"/>
    <n v="90"/>
    <n v="40"/>
    <n v="50"/>
    <n v="5"/>
    <n v="5"/>
    <n v="3"/>
    <n v="0"/>
    <m/>
    <m/>
    <n v="0"/>
    <n v="0"/>
    <m/>
    <m/>
    <n v="0"/>
    <s v="Pas de  changements"/>
    <s v="Non"/>
    <m/>
    <m/>
    <m/>
    <m/>
    <m/>
    <m/>
    <m/>
    <m/>
    <m/>
    <m/>
    <m/>
    <m/>
    <m/>
    <m/>
    <m/>
    <s v="Non"/>
    <m/>
    <m/>
    <m/>
    <m/>
    <m/>
    <m/>
    <m/>
    <m/>
    <m/>
    <m/>
    <m/>
    <m/>
    <m/>
    <m/>
    <m/>
    <m/>
    <m/>
    <m/>
    <m/>
    <m/>
    <n v="0"/>
    <m/>
    <m/>
    <m/>
    <m/>
    <m/>
    <m/>
    <m/>
    <m/>
    <m/>
    <m/>
    <m/>
    <m/>
    <m/>
    <s v="1"/>
    <s v="0"/>
    <s v="0"/>
    <n v="1"/>
  </r>
  <r>
    <n v="2615172"/>
    <s v="Extrême-Nord"/>
    <s v="CMR004"/>
    <x v="1"/>
    <s v="CMR004002"/>
    <s v="Makary"/>
    <s v="CMR004002009"/>
    <s v="MAK-0108"/>
    <s v="FADJE-FOTA"/>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30808"/>
    <s v="Extrême-Nord"/>
    <s v="CMR004"/>
    <x v="1"/>
    <s v="CMR004002"/>
    <s v="Makary"/>
    <s v="CMR004002009"/>
    <s v="MAK-0034"/>
    <s v="FARCH 1"/>
    <m/>
    <x v="1"/>
    <n v="12.361559400000001"/>
    <n v="14.489609"/>
    <x v="0"/>
    <b v="1"/>
    <b v="0"/>
    <b v="0"/>
    <m/>
    <n v="3"/>
    <s v="Accessible"/>
    <m/>
    <s v="Le village accueille une population"/>
    <s v="Le village est intact (construit)"/>
    <m/>
    <m/>
    <s v="Oui"/>
    <s v="Familles d'accueil"/>
    <s v="Non, pas du tout"/>
    <s v="Non"/>
    <m/>
    <n v="12"/>
    <n v="204"/>
    <s v="Oui"/>
    <s v="Premier déplacement"/>
    <n v="12"/>
    <n v="157"/>
    <n v="57"/>
    <n v="100"/>
    <n v="0"/>
    <n v="12"/>
    <n v="0"/>
    <n v="0"/>
    <m/>
    <m/>
    <n v="0"/>
    <n v="0"/>
    <m/>
    <m/>
    <n v="0"/>
    <s v="Pas de changement"/>
    <s v="Non"/>
    <m/>
    <m/>
    <m/>
    <m/>
    <m/>
    <m/>
    <m/>
    <m/>
    <m/>
    <m/>
    <m/>
    <m/>
    <m/>
    <m/>
    <m/>
    <s v="Non"/>
    <m/>
    <m/>
    <m/>
    <m/>
    <m/>
    <m/>
    <m/>
    <m/>
    <m/>
    <m/>
    <m/>
    <m/>
    <m/>
    <m/>
    <m/>
    <m/>
    <m/>
    <m/>
    <m/>
    <m/>
    <n v="0"/>
    <m/>
    <m/>
    <m/>
    <m/>
    <m/>
    <m/>
    <m/>
    <m/>
    <m/>
    <m/>
    <m/>
    <m/>
    <m/>
    <s v="1"/>
    <s v="0"/>
    <s v="0"/>
    <n v="1"/>
  </r>
  <r>
    <n v="2634568"/>
    <s v="Extrême-Nord"/>
    <s v="CMR004"/>
    <x v="1"/>
    <s v="CMR004002"/>
    <s v="Makary"/>
    <s v="CMR004002009"/>
    <s v="MAK-0035"/>
    <s v="FARCH 2"/>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74263"/>
    <s v="Extrême-Nord"/>
    <s v="CMR004"/>
    <x v="1"/>
    <s v="CMR004002"/>
    <s v="Makary"/>
    <s v="CMR004002009"/>
    <s v="MAK-0136"/>
    <s v="FARFARA 1"/>
    <m/>
    <x v="1"/>
    <n v="12.122376900000001"/>
    <n v="14.7678981"/>
    <x v="0"/>
    <b v="1"/>
    <b v="0"/>
    <b v="0"/>
    <m/>
    <n v="3"/>
    <s v="Accessible"/>
    <m/>
    <s v="Le village accueille une population"/>
    <s v="Le village est intact (construit)"/>
    <m/>
    <m/>
    <s v="Oui"/>
    <s v="Familles d'accueil"/>
    <s v="Non, pas du tout"/>
    <s v="Non"/>
    <m/>
    <n v="17"/>
    <n v="522"/>
    <s v="Oui"/>
    <s v="Premier déplacement"/>
    <n v="17"/>
    <n v="102"/>
    <n v="55"/>
    <n v="47"/>
    <n v="0"/>
    <n v="17"/>
    <n v="0"/>
    <n v="0"/>
    <m/>
    <m/>
    <n v="0"/>
    <n v="0"/>
    <m/>
    <m/>
    <n v="0"/>
    <s v="Départ de 6 ménages de 24 individus 10 garçons et 14 filles pour logone Birni à Miguil._x000a_Naissance de 12 individus 4 filles et 8 garçons."/>
    <s v="Oui"/>
    <n v="42"/>
    <n v="262"/>
    <n v="117"/>
    <n v="145"/>
    <n v="42"/>
    <n v="0"/>
    <n v="0"/>
    <m/>
    <n v="0"/>
    <n v="0"/>
    <m/>
    <m/>
    <n v="0"/>
    <n v="30"/>
    <s v="Arrivée d'un ménage de 7 individus 4 filles et 3 garçons provenant de Onitsa. _x000a_Naissance de 6 individus dont 3 filles et 3 garçons."/>
    <s v="Non"/>
    <m/>
    <m/>
    <m/>
    <m/>
    <m/>
    <m/>
    <m/>
    <m/>
    <m/>
    <m/>
    <m/>
    <m/>
    <m/>
    <m/>
    <m/>
    <m/>
    <m/>
    <m/>
    <m/>
    <m/>
    <n v="0"/>
    <m/>
    <m/>
    <m/>
    <m/>
    <m/>
    <m/>
    <m/>
    <m/>
    <m/>
    <m/>
    <m/>
    <m/>
    <m/>
    <s v="1"/>
    <s v="1"/>
    <s v="0"/>
    <n v="2"/>
  </r>
  <r>
    <n v="2668470"/>
    <s v="Extrême-Nord"/>
    <s v="CMR004"/>
    <x v="1"/>
    <s v="CMR004002"/>
    <s v="Makary"/>
    <s v="CMR004002009"/>
    <s v="MAK-0225"/>
    <s v="FOURKOURI"/>
    <m/>
    <x v="1"/>
    <n v="12.1121996"/>
    <n v="14.8194415"/>
    <x v="0"/>
    <b v="1"/>
    <b v="0"/>
    <b v="0"/>
    <m/>
    <n v="3"/>
    <s v="Accessible"/>
    <m/>
    <s v="Le village accueille une population"/>
    <s v="Le village est intact (construit)"/>
    <m/>
    <m/>
    <s v="Oui"/>
    <s v="Familles d'accueil"/>
    <s v="Non, pas du tout"/>
    <s v="Non"/>
    <m/>
    <n v="3"/>
    <n v="160"/>
    <s v="Oui"/>
    <s v="Premier déplacement"/>
    <n v="3"/>
    <n v="30"/>
    <n v="12"/>
    <n v="18"/>
    <n v="0"/>
    <n v="3"/>
    <n v="0"/>
    <n v="0"/>
    <m/>
    <m/>
    <n v="0"/>
    <n v="0"/>
    <m/>
    <m/>
    <n v="0"/>
    <s v="Il y a pas de nouveaux venus chez les personnes déplacées"/>
    <s v="Non"/>
    <m/>
    <m/>
    <m/>
    <m/>
    <m/>
    <m/>
    <m/>
    <m/>
    <m/>
    <m/>
    <m/>
    <m/>
    <m/>
    <m/>
    <m/>
    <s v="Non"/>
    <m/>
    <m/>
    <m/>
    <m/>
    <m/>
    <m/>
    <m/>
    <m/>
    <m/>
    <m/>
    <m/>
    <m/>
    <m/>
    <m/>
    <m/>
    <m/>
    <m/>
    <m/>
    <m/>
    <m/>
    <n v="0"/>
    <m/>
    <m/>
    <m/>
    <m/>
    <m/>
    <m/>
    <m/>
    <m/>
    <m/>
    <m/>
    <m/>
    <m/>
    <m/>
    <s v="1"/>
    <s v="0"/>
    <s v="0"/>
    <n v="1"/>
  </r>
  <r>
    <n v="2613256"/>
    <s v="Extrême-Nord"/>
    <s v="CMR004"/>
    <x v="1"/>
    <s v="CMR004002"/>
    <s v="Makary"/>
    <s v="CMR004002009"/>
    <s v="MAK-0109"/>
    <s v="GALE-GALE"/>
    <m/>
    <x v="1"/>
    <n v="12.2090408"/>
    <n v="14.6809137"/>
    <x v="0"/>
    <b v="1"/>
    <b v="0"/>
    <b v="0"/>
    <m/>
    <n v="3"/>
    <s v="Accessible"/>
    <m/>
    <s v="Le village accueille une population"/>
    <s v="Le village est intact (construit)"/>
    <m/>
    <m/>
    <s v="Oui"/>
    <s v="Familles d'accueil"/>
    <s v="Non, pas du tout"/>
    <s v="Non"/>
    <m/>
    <n v="7"/>
    <n v="430"/>
    <s v="Oui"/>
    <s v="Premier déplacement"/>
    <n v="7"/>
    <n v="107"/>
    <n v="34"/>
    <n v="73"/>
    <n v="0"/>
    <n v="7"/>
    <n v="0"/>
    <n v="0"/>
    <m/>
    <m/>
    <n v="0"/>
    <n v="0"/>
    <m/>
    <m/>
    <n v="0"/>
    <s v="Pas de changement, des idps"/>
    <s v="Oui"/>
    <n v="24"/>
    <n v="142"/>
    <n v="48"/>
    <n v="94"/>
    <n v="24"/>
    <n v="0"/>
    <n v="0"/>
    <m/>
    <n v="0"/>
    <n v="0"/>
    <m/>
    <m/>
    <n v="0"/>
    <n v="3"/>
    <s v="Pas de changement"/>
    <s v="Non"/>
    <m/>
    <m/>
    <m/>
    <m/>
    <m/>
    <m/>
    <m/>
    <m/>
    <m/>
    <m/>
    <m/>
    <m/>
    <m/>
    <m/>
    <m/>
    <m/>
    <m/>
    <m/>
    <m/>
    <m/>
    <n v="0"/>
    <m/>
    <m/>
    <m/>
    <m/>
    <m/>
    <m/>
    <m/>
    <m/>
    <m/>
    <m/>
    <m/>
    <m/>
    <m/>
    <s v="1"/>
    <s v="1"/>
    <s v="0"/>
    <n v="2"/>
  </r>
  <r>
    <n v="2666350"/>
    <s v="Extrême-Nord"/>
    <s v="CMR004"/>
    <x v="1"/>
    <s v="CMR004002"/>
    <s v="Makary"/>
    <s v="CMR004002009"/>
    <s v="MAK-0036"/>
    <s v="GAMBAROU"/>
    <m/>
    <x v="1"/>
    <n v="12.488285899999999"/>
    <n v="14.445221699999999"/>
    <x v="0"/>
    <b v="1"/>
    <b v="0"/>
    <b v="0"/>
    <m/>
    <n v="3"/>
    <s v="Accessible"/>
    <m/>
    <s v="Le village accueille une population"/>
    <s v="Le village est partiellement détruit"/>
    <s v="Intempéries (inondations, tempêtes etc.)"/>
    <m/>
    <s v="Oui"/>
    <s v="Familles d'accueil"/>
    <s v="Non, pas du tout"/>
    <s v="Non"/>
    <m/>
    <n v="14"/>
    <n v="679"/>
    <s v="Oui"/>
    <s v="Deuxième déplacement"/>
    <n v="14"/>
    <n v="68"/>
    <n v="25"/>
    <n v="43"/>
    <n v="14"/>
    <n v="0"/>
    <n v="0"/>
    <n v="0"/>
    <m/>
    <m/>
    <n v="0"/>
    <n v="0"/>
    <m/>
    <m/>
    <n v="0"/>
    <s v="Il y a eu 4 nouveaux ménages venant tika "/>
    <s v="Oui"/>
    <n v="10"/>
    <n v="36"/>
    <n v="16"/>
    <n v="20"/>
    <n v="10"/>
    <n v="0"/>
    <n v="0"/>
    <m/>
    <n v="0"/>
    <n v="0"/>
    <m/>
    <m/>
    <n v="0"/>
    <n v="0"/>
    <s v="Il y a eu 5 nouveaux ménages idp"/>
    <s v="Non"/>
    <m/>
    <m/>
    <m/>
    <m/>
    <m/>
    <m/>
    <m/>
    <m/>
    <m/>
    <m/>
    <m/>
    <m/>
    <m/>
    <m/>
    <m/>
    <m/>
    <m/>
    <m/>
    <m/>
    <m/>
    <n v="3"/>
    <m/>
    <m/>
    <m/>
    <m/>
    <m/>
    <m/>
    <m/>
    <m/>
    <m/>
    <m/>
    <m/>
    <m/>
    <m/>
    <s v="1"/>
    <s v="1"/>
    <s v="0"/>
    <n v="2"/>
  </r>
  <r>
    <n v="2623454"/>
    <s v="Extrême-Nord"/>
    <s v="CMR004"/>
    <x v="1"/>
    <s v="CMR004002"/>
    <s v="Makary"/>
    <s v="CMR004002009"/>
    <s v="MAK-0202"/>
    <s v="GANGARI ALGOS"/>
    <m/>
    <x v="1"/>
    <n v="12.505508600000001"/>
    <n v="14.3843044"/>
    <x v="0"/>
    <b v="1"/>
    <b v="0"/>
    <b v="0"/>
    <m/>
    <n v="3"/>
    <s v="Accessible"/>
    <m/>
    <s v="Le village accueille une population"/>
    <s v="Le village est intact (construit)"/>
    <m/>
    <m/>
    <s v="Oui"/>
    <s v="Familles d'accueil"/>
    <s v="Non, pas du tout"/>
    <s v="Non"/>
    <m/>
    <m/>
    <n v="114"/>
    <s v="Non"/>
    <m/>
    <m/>
    <m/>
    <m/>
    <m/>
    <m/>
    <m/>
    <m/>
    <m/>
    <m/>
    <m/>
    <m/>
    <m/>
    <m/>
    <m/>
    <m/>
    <m/>
    <s v="Non"/>
    <m/>
    <m/>
    <m/>
    <m/>
    <m/>
    <m/>
    <m/>
    <m/>
    <m/>
    <m/>
    <m/>
    <m/>
    <m/>
    <m/>
    <m/>
    <s v="Non"/>
    <m/>
    <m/>
    <m/>
    <m/>
    <m/>
    <m/>
    <m/>
    <m/>
    <m/>
    <m/>
    <m/>
    <m/>
    <m/>
    <m/>
    <m/>
    <m/>
    <m/>
    <m/>
    <m/>
    <m/>
    <n v="0"/>
    <m/>
    <m/>
    <m/>
    <m/>
    <m/>
    <m/>
    <m/>
    <m/>
    <m/>
    <m/>
    <m/>
    <m/>
    <m/>
    <s v="0"/>
    <s v="0"/>
    <s v="0"/>
    <n v="0"/>
  </r>
  <r>
    <n v="2645443"/>
    <s v="Extrême-Nord"/>
    <s v="CMR004"/>
    <x v="1"/>
    <s v="CMR004002"/>
    <s v="Makary"/>
    <s v="CMR004002009"/>
    <s v="MAK-0169"/>
    <s v="GAWAWA"/>
    <m/>
    <x v="1"/>
    <n v="12.5303772"/>
    <n v="14.6791962"/>
    <x v="0"/>
    <b v="1"/>
    <b v="0"/>
    <b v="1"/>
    <m/>
    <n v="3"/>
    <s v="Accessible"/>
    <m/>
    <s v="Le village accueille une population"/>
    <s v="Le village est partiellement détruit"/>
    <s v="Intempéries (inondations, tempêtes etc.)"/>
    <m/>
    <s v="Oui"/>
    <s v="Familles d'accueil"/>
    <s v="Non, pas du tout"/>
    <s v="Non"/>
    <m/>
    <n v="8"/>
    <n v="315"/>
    <s v="Oui"/>
    <s v="Troisième déplacement"/>
    <n v="8"/>
    <n v="74"/>
    <n v="34"/>
    <n v="40"/>
    <n v="2"/>
    <n v="2"/>
    <n v="4"/>
    <n v="0"/>
    <m/>
    <m/>
    <n v="0"/>
    <n v="0"/>
    <m/>
    <m/>
    <n v="0"/>
    <s v="Augmentation des 3 ménages PDIs ,de 27 individues  suite  aux  inondations,"/>
    <s v="Non"/>
    <m/>
    <m/>
    <m/>
    <m/>
    <m/>
    <m/>
    <m/>
    <m/>
    <m/>
    <m/>
    <m/>
    <m/>
    <m/>
    <m/>
    <m/>
    <s v="Non"/>
    <m/>
    <m/>
    <m/>
    <m/>
    <m/>
    <m/>
    <m/>
    <m/>
    <m/>
    <m/>
    <m/>
    <m/>
    <m/>
    <m/>
    <m/>
    <m/>
    <m/>
    <m/>
    <m/>
    <m/>
    <n v="0"/>
    <m/>
    <m/>
    <m/>
    <m/>
    <m/>
    <m/>
    <m/>
    <m/>
    <m/>
    <m/>
    <m/>
    <m/>
    <m/>
    <s v="1"/>
    <s v="0"/>
    <s v="0"/>
    <n v="1"/>
  </r>
  <r>
    <n v="2632785"/>
    <s v="Extrême-Nord"/>
    <s v="CMR004"/>
    <x v="1"/>
    <s v="CMR004002"/>
    <s v="Makary"/>
    <s v="CMR004002009"/>
    <s v="MAK-0203"/>
    <s v="GLAM 1"/>
    <m/>
    <x v="1"/>
    <n v="12.282780600000001"/>
    <n v="14.6127672"/>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39014"/>
    <s v="Extrême-Nord"/>
    <s v="CMR004"/>
    <x v="1"/>
    <s v="CMR004002"/>
    <s v="Makary"/>
    <s v="CMR004002009"/>
    <s v="MAK-0037"/>
    <s v="GLAO"/>
    <m/>
    <x v="1"/>
    <n v="12.396016700000001"/>
    <n v="14.57976"/>
    <x v="0"/>
    <b v="1"/>
    <b v="0"/>
    <b v="0"/>
    <m/>
    <n v="3"/>
    <s v="Accessible"/>
    <m/>
    <s v="Le village accueille une population"/>
    <s v="Le village est intact (construit)"/>
    <m/>
    <m/>
    <s v="Oui"/>
    <s v="Familles d'accueil"/>
    <s v="Non, pas du tout"/>
    <s v="Non"/>
    <m/>
    <n v="2"/>
    <n v="480"/>
    <s v="Oui"/>
    <s v="Premier déplacement"/>
    <n v="2"/>
    <n v="15"/>
    <n v="6"/>
    <n v="9"/>
    <n v="0"/>
    <n v="2"/>
    <n v="0"/>
    <n v="0"/>
    <m/>
    <m/>
    <n v="0"/>
    <n v="0"/>
    <m/>
    <m/>
    <n v="0"/>
    <s v="Pas de changement"/>
    <s v="Oui"/>
    <n v="9"/>
    <n v="82"/>
    <n v="37"/>
    <n v="45"/>
    <n v="9"/>
    <n v="0"/>
    <n v="0"/>
    <m/>
    <n v="0"/>
    <n v="0"/>
    <m/>
    <m/>
    <n v="0"/>
    <n v="0"/>
    <s v="Pas de changement"/>
    <s v="Non"/>
    <m/>
    <m/>
    <m/>
    <m/>
    <m/>
    <m/>
    <m/>
    <m/>
    <m/>
    <m/>
    <m/>
    <m/>
    <m/>
    <m/>
    <m/>
    <m/>
    <m/>
    <m/>
    <m/>
    <m/>
    <n v="0"/>
    <m/>
    <m/>
    <m/>
    <m/>
    <m/>
    <m/>
    <m/>
    <m/>
    <m/>
    <m/>
    <m/>
    <m/>
    <m/>
    <s v="1"/>
    <s v="1"/>
    <s v="0"/>
    <n v="2"/>
  </r>
  <r>
    <n v="2629278"/>
    <s v="Extrême-Nord"/>
    <s v="CMR004"/>
    <x v="1"/>
    <s v="CMR004002"/>
    <s v="Makary"/>
    <s v="CMR004002009"/>
    <s v="MAK-0154"/>
    <s v="GLAO AFADE"/>
    <m/>
    <x v="1"/>
    <n v="12.3074995"/>
    <n v="14.618017200000001"/>
    <x v="0"/>
    <b v="1"/>
    <b v="0"/>
    <b v="0"/>
    <m/>
    <n v="3"/>
    <s v="Accessible"/>
    <m/>
    <s v="Le village accueille une population"/>
    <s v="Le village est partiellement détruit"/>
    <s v="Intempéries (inondations, tempêtes etc.)"/>
    <m/>
    <s v="Oui"/>
    <s v="Familles d'accueil"/>
    <s v="Non, pas du tout"/>
    <s v="Non"/>
    <m/>
    <n v="10"/>
    <n v="648"/>
    <s v="Oui"/>
    <s v="Premier déplacement"/>
    <n v="10"/>
    <n v="62"/>
    <n v="24"/>
    <n v="38"/>
    <n v="10"/>
    <n v="0"/>
    <n v="0"/>
    <n v="0"/>
    <m/>
    <m/>
    <n v="0"/>
    <n v="0"/>
    <m/>
    <m/>
    <n v="0"/>
    <s v="Léger augmentation  des IDP dû à des naissances "/>
    <s v="Non"/>
    <m/>
    <m/>
    <m/>
    <m/>
    <m/>
    <m/>
    <m/>
    <m/>
    <m/>
    <m/>
    <m/>
    <m/>
    <m/>
    <m/>
    <m/>
    <s v="Non"/>
    <m/>
    <m/>
    <m/>
    <m/>
    <m/>
    <m/>
    <m/>
    <m/>
    <m/>
    <m/>
    <m/>
    <m/>
    <m/>
    <m/>
    <m/>
    <m/>
    <m/>
    <m/>
    <m/>
    <m/>
    <n v="0"/>
    <m/>
    <m/>
    <m/>
    <m/>
    <m/>
    <m/>
    <m/>
    <m/>
    <m/>
    <m/>
    <m/>
    <m/>
    <m/>
    <s v="1"/>
    <s v="0"/>
    <s v="0"/>
    <n v="1"/>
  </r>
  <r>
    <n v="2629279"/>
    <s v="Extrême-Nord"/>
    <s v="CMR004"/>
    <x v="1"/>
    <s v="CMR004002"/>
    <s v="Makary"/>
    <s v="CMR004002009"/>
    <s v="MAK-0155"/>
    <s v="GLAO BARDAI"/>
    <m/>
    <x v="1"/>
    <n v="12.3268477"/>
    <n v="14.6084113"/>
    <x v="0"/>
    <b v="1"/>
    <b v="0"/>
    <b v="0"/>
    <m/>
    <n v="3"/>
    <s v="Accessible"/>
    <m/>
    <s v="Le village accueille une population"/>
    <s v="Le village est partiellement détruit"/>
    <s v="Intempéries (inondations, tempêtes etc.)"/>
    <m/>
    <s v="Oui"/>
    <s v="Familles d'accueil"/>
    <s v="Non, pas du tout"/>
    <s v="Non"/>
    <m/>
    <n v="4"/>
    <n v="362"/>
    <s v="Oui"/>
    <s v="Premier déplacement"/>
    <n v="4"/>
    <n v="79"/>
    <n v="39"/>
    <n v="40"/>
    <n v="2"/>
    <n v="2"/>
    <n v="0"/>
    <n v="0"/>
    <m/>
    <m/>
    <n v="0"/>
    <n v="0"/>
    <m/>
    <m/>
    <n v="0"/>
    <s v="Diminution de 04 ménages de 12 individu en destination de djakdjakaya2 dû aux inondations "/>
    <s v="Non"/>
    <m/>
    <m/>
    <m/>
    <m/>
    <m/>
    <m/>
    <m/>
    <m/>
    <m/>
    <m/>
    <m/>
    <m/>
    <m/>
    <m/>
    <m/>
    <s v="Non"/>
    <m/>
    <m/>
    <m/>
    <m/>
    <m/>
    <m/>
    <m/>
    <m/>
    <m/>
    <m/>
    <m/>
    <m/>
    <m/>
    <m/>
    <m/>
    <m/>
    <m/>
    <m/>
    <m/>
    <m/>
    <n v="0"/>
    <m/>
    <m/>
    <m/>
    <m/>
    <m/>
    <m/>
    <m/>
    <m/>
    <m/>
    <m/>
    <m/>
    <m/>
    <m/>
    <s v="1"/>
    <s v="0"/>
    <s v="0"/>
    <n v="1"/>
  </r>
  <r>
    <n v="2592151"/>
    <s v="Extrême-Nord"/>
    <s v="CMR004"/>
    <x v="1"/>
    <s v="CMR004002"/>
    <s v="Makary"/>
    <s v="CMR004002009"/>
    <s v="MAK-0038"/>
    <s v="GLESSALAO"/>
    <m/>
    <x v="1"/>
    <n v="12.265727999999999"/>
    <n v="14.7818296"/>
    <x v="0"/>
    <b v="0"/>
    <b v="1"/>
    <b v="0"/>
    <n v="6"/>
    <m/>
    <s v="Accessible"/>
    <m/>
    <s v="Le village accueille une population"/>
    <s v="Le village est intact (construit)"/>
    <m/>
    <m/>
    <s v="Oui"/>
    <s v="Familles d'accueil"/>
    <s v="Non, pas du tout"/>
    <s v="Non"/>
    <m/>
    <n v="19"/>
    <n v="554"/>
    <s v="Oui"/>
    <s v="Premier déplacement"/>
    <n v="19"/>
    <n v="107"/>
    <n v="45"/>
    <n v="62"/>
    <n v="13"/>
    <n v="6"/>
    <n v="0"/>
    <n v="0"/>
    <m/>
    <m/>
    <n v="0"/>
    <n v="0"/>
    <m/>
    <m/>
    <n v="0"/>
    <s v="Augmentation d'individus venant de Michka et Aboki"/>
    <s v="Non"/>
    <m/>
    <m/>
    <m/>
    <m/>
    <m/>
    <m/>
    <m/>
    <m/>
    <m/>
    <m/>
    <m/>
    <m/>
    <m/>
    <m/>
    <m/>
    <s v="Non"/>
    <m/>
    <m/>
    <m/>
    <m/>
    <m/>
    <m/>
    <m/>
    <m/>
    <m/>
    <m/>
    <m/>
    <m/>
    <m/>
    <m/>
    <m/>
    <m/>
    <m/>
    <m/>
    <m/>
    <m/>
    <n v="0"/>
    <m/>
    <m/>
    <m/>
    <m/>
    <m/>
    <m/>
    <m/>
    <m/>
    <m/>
    <m/>
    <m/>
    <m/>
    <m/>
    <s v="1"/>
    <s v="0"/>
    <s v="0"/>
    <n v="1"/>
  </r>
  <r>
    <n v="2648095"/>
    <s v="Extrême-Nord"/>
    <s v="CMR004"/>
    <x v="1"/>
    <s v="CMR004002"/>
    <s v="Makary"/>
    <s v="CMR004002009"/>
    <s v="MAK-0039"/>
    <s v="GOLALA"/>
    <m/>
    <x v="1"/>
    <n v="12.513018499999999"/>
    <n v="14.4702661"/>
    <x v="0"/>
    <b v="1"/>
    <b v="0"/>
    <b v="0"/>
    <m/>
    <n v="3"/>
    <s v="Accessible"/>
    <m/>
    <s v="Le village accueille une population"/>
    <s v="Le village est intact (construit)"/>
    <m/>
    <m/>
    <s v="Oui"/>
    <s v="Familles d'accueil"/>
    <s v="Non, pas du tout"/>
    <s v="Non"/>
    <m/>
    <n v="39"/>
    <n v="1215"/>
    <s v="Oui"/>
    <s v="Premier déplacement"/>
    <n v="39"/>
    <n v="247"/>
    <n v="57"/>
    <n v="190"/>
    <n v="0"/>
    <n v="39"/>
    <n v="0"/>
    <n v="0"/>
    <m/>
    <m/>
    <n v="0"/>
    <n v="0"/>
    <m/>
    <m/>
    <n v="0"/>
    <s v="Pas de changement "/>
    <s v="Non"/>
    <m/>
    <m/>
    <m/>
    <m/>
    <m/>
    <m/>
    <m/>
    <m/>
    <m/>
    <m/>
    <m/>
    <m/>
    <m/>
    <m/>
    <m/>
    <s v="Non"/>
    <m/>
    <m/>
    <m/>
    <m/>
    <m/>
    <m/>
    <m/>
    <m/>
    <m/>
    <m/>
    <m/>
    <m/>
    <m/>
    <m/>
    <m/>
    <m/>
    <m/>
    <m/>
    <m/>
    <m/>
    <n v="0"/>
    <m/>
    <m/>
    <m/>
    <m/>
    <m/>
    <m/>
    <m/>
    <m/>
    <m/>
    <m/>
    <m/>
    <m/>
    <m/>
    <s v="1"/>
    <s v="0"/>
    <s v="0"/>
    <n v="1"/>
  </r>
  <r>
    <n v="2635971"/>
    <s v="Extrême-Nord"/>
    <s v="CMR004"/>
    <x v="1"/>
    <s v="CMR004002"/>
    <s v="Makary"/>
    <s v="CMR004002009"/>
    <s v="MAK-0170"/>
    <s v="GOLGOLO"/>
    <m/>
    <x v="1"/>
    <n v="12.571045700000001"/>
    <n v="14.6972124"/>
    <x v="0"/>
    <b v="0"/>
    <b v="0"/>
    <b v="1"/>
    <m/>
    <m/>
    <s v="Accessible"/>
    <m/>
    <s v="Le village est entièrement déserté"/>
    <m/>
    <m/>
    <m/>
    <m/>
    <m/>
    <m/>
    <m/>
    <m/>
    <m/>
    <m/>
    <m/>
    <m/>
    <m/>
    <m/>
    <m/>
    <m/>
    <m/>
    <m/>
    <m/>
    <m/>
    <m/>
    <m/>
    <m/>
    <m/>
    <m/>
    <m/>
    <m/>
    <m/>
    <m/>
    <m/>
    <m/>
    <m/>
    <m/>
    <m/>
    <m/>
    <m/>
    <m/>
    <m/>
    <m/>
    <m/>
    <m/>
    <m/>
    <m/>
    <m/>
    <m/>
    <m/>
    <m/>
    <m/>
    <m/>
    <m/>
    <m/>
    <m/>
    <m/>
    <m/>
    <m/>
    <m/>
    <m/>
    <m/>
    <m/>
    <m/>
    <m/>
    <m/>
    <m/>
    <m/>
    <m/>
    <m/>
    <m/>
    <m/>
    <m/>
    <m/>
    <m/>
    <m/>
    <m/>
    <m/>
    <m/>
    <m/>
    <m/>
    <m/>
    <m/>
    <s v="0"/>
    <s v="0"/>
    <s v="0"/>
    <n v="0"/>
  </r>
  <r>
    <n v="2656576"/>
    <s v="Extrême-Nord"/>
    <s v="CMR004"/>
    <x v="1"/>
    <s v="CMR004002"/>
    <s v="Makary"/>
    <s v="CMR004002009"/>
    <s v="MAK-0040"/>
    <s v="GOUBAGO"/>
    <m/>
    <x v="1"/>
    <n v="12.4489985"/>
    <n v="14.435486900000001"/>
    <x v="0"/>
    <b v="1"/>
    <b v="0"/>
    <b v="0"/>
    <m/>
    <n v="3"/>
    <s v="Accessible"/>
    <m/>
    <s v="Le village accueille une population"/>
    <s v="Le village est partiellement détruit"/>
    <s v="Intempéries (inondations, tempêtes etc.)"/>
    <m/>
    <s v="Oui"/>
    <s v="Familles d'accueil"/>
    <s v="Non, pas du tout"/>
    <s v="Non"/>
    <m/>
    <n v="10"/>
    <n v="282"/>
    <s v="Oui"/>
    <s v="Deuxième déplacement"/>
    <n v="10"/>
    <n v="82"/>
    <n v="41"/>
    <n v="41"/>
    <n v="10"/>
    <n v="0"/>
    <n v="0"/>
    <n v="0"/>
    <m/>
    <m/>
    <n v="0"/>
    <n v="0"/>
    <m/>
    <m/>
    <n v="0"/>
    <s v="Il n'y a pas eu de nouveau venant mais 6 naissance 1 fille et  5 garçon "/>
    <s v="Oui"/>
    <n v="12"/>
    <n v="59"/>
    <n v="20"/>
    <n v="39"/>
    <n v="12"/>
    <n v="0"/>
    <n v="0"/>
    <m/>
    <n v="0"/>
    <n v="0"/>
    <m/>
    <m/>
    <n v="0"/>
    <n v="0"/>
    <s v="Il n'ya pas eu de nouveau réfugiés "/>
    <s v="Non"/>
    <m/>
    <m/>
    <m/>
    <m/>
    <m/>
    <m/>
    <m/>
    <m/>
    <m/>
    <m/>
    <m/>
    <m/>
    <m/>
    <m/>
    <m/>
    <m/>
    <m/>
    <m/>
    <m/>
    <m/>
    <n v="0"/>
    <m/>
    <m/>
    <m/>
    <m/>
    <m/>
    <m/>
    <m/>
    <m/>
    <m/>
    <m/>
    <m/>
    <m/>
    <m/>
    <s v="1"/>
    <s v="1"/>
    <s v="0"/>
    <n v="2"/>
  </r>
  <r>
    <n v="2613258"/>
    <s v="Extrême-Nord"/>
    <s v="CMR004"/>
    <x v="1"/>
    <s v="CMR004002"/>
    <s v="Makary"/>
    <s v="CMR004002009"/>
    <s v="MAK-0137"/>
    <s v="GOULOUMBO"/>
    <m/>
    <x v="1"/>
    <n v="12.2216016"/>
    <n v="14.675769900000001"/>
    <x v="0"/>
    <b v="1"/>
    <b v="0"/>
    <b v="0"/>
    <m/>
    <n v="3"/>
    <s v="Accessible"/>
    <m/>
    <s v="Le village accueille une population"/>
    <s v="Le village est intact (construit)"/>
    <m/>
    <m/>
    <s v="Oui"/>
    <s v="Familles d'accueil"/>
    <s v="Non, pas du tout"/>
    <s v="Non"/>
    <m/>
    <n v="11"/>
    <n v="382"/>
    <s v="Oui"/>
    <s v="Premier déplacement"/>
    <n v="11"/>
    <n v="112"/>
    <n v="46"/>
    <n v="66"/>
    <n v="0"/>
    <n v="11"/>
    <n v="0"/>
    <n v="0"/>
    <m/>
    <m/>
    <n v="0"/>
    <n v="0"/>
    <m/>
    <m/>
    <n v="0"/>
    <s v="RAS"/>
    <s v="Oui"/>
    <n v="21"/>
    <n v="135"/>
    <n v="57"/>
    <n v="78"/>
    <n v="21"/>
    <n v="0"/>
    <n v="0"/>
    <m/>
    <n v="0"/>
    <n v="0"/>
    <m/>
    <m/>
    <n v="0"/>
    <n v="0"/>
    <s v="RAS"/>
    <s v="Non"/>
    <m/>
    <m/>
    <m/>
    <m/>
    <m/>
    <m/>
    <m/>
    <m/>
    <m/>
    <m/>
    <m/>
    <m/>
    <m/>
    <m/>
    <m/>
    <m/>
    <m/>
    <m/>
    <m/>
    <m/>
    <n v="0"/>
    <m/>
    <m/>
    <m/>
    <m/>
    <m/>
    <m/>
    <m/>
    <m/>
    <m/>
    <m/>
    <m/>
    <m/>
    <m/>
    <s v="1"/>
    <s v="1"/>
    <s v="0"/>
    <n v="2"/>
  </r>
  <r>
    <n v="2629387"/>
    <s v="Extrême-Nord"/>
    <s v="CMR004"/>
    <x v="1"/>
    <s v="CMR004002"/>
    <s v="Makary"/>
    <s v="CMR004002009"/>
    <s v="MAK-0041"/>
    <s v="GOURA 2"/>
    <m/>
    <x v="1"/>
    <n v="12.351878599999999"/>
    <n v="14.536907899999999"/>
    <x v="0"/>
    <b v="1"/>
    <b v="0"/>
    <b v="0"/>
    <m/>
    <n v="3"/>
    <s v="Accessible"/>
    <m/>
    <s v="Le village accueille une population"/>
    <s v="Le village est intact (construit)"/>
    <m/>
    <m/>
    <s v="Oui"/>
    <s v="Familles d'accueil"/>
    <s v="Non, pas du tout"/>
    <s v="Non"/>
    <m/>
    <m/>
    <n v="800"/>
    <s v="Non"/>
    <m/>
    <m/>
    <m/>
    <m/>
    <m/>
    <m/>
    <m/>
    <m/>
    <m/>
    <m/>
    <m/>
    <m/>
    <m/>
    <m/>
    <m/>
    <m/>
    <m/>
    <s v="Oui"/>
    <n v="20"/>
    <n v="140"/>
    <n v="100"/>
    <n v="40"/>
    <n v="20"/>
    <n v="0"/>
    <n v="0"/>
    <m/>
    <n v="0"/>
    <n v="0"/>
    <m/>
    <m/>
    <n v="0"/>
    <n v="0"/>
    <s v="Les réfugiés ne bénéficient pas d'aide. Tout le monde est sur place. Pas de changement."/>
    <s v="Non"/>
    <m/>
    <m/>
    <m/>
    <m/>
    <m/>
    <m/>
    <m/>
    <m/>
    <m/>
    <m/>
    <m/>
    <m/>
    <m/>
    <m/>
    <m/>
    <m/>
    <m/>
    <m/>
    <m/>
    <m/>
    <n v="0"/>
    <m/>
    <m/>
    <m/>
    <m/>
    <m/>
    <m/>
    <m/>
    <m/>
    <m/>
    <m/>
    <m/>
    <m/>
    <m/>
    <s v="0"/>
    <s v="1"/>
    <s v="0"/>
    <n v="1"/>
  </r>
  <r>
    <n v="2629388"/>
    <s v="Extrême-Nord"/>
    <s v="CMR004"/>
    <x v="1"/>
    <s v="CMR004002"/>
    <s v="Makary"/>
    <s v="CMR004002009"/>
    <s v="MAK-0190"/>
    <s v="GOURA 3"/>
    <m/>
    <x v="1"/>
    <n v="12.346496399999999"/>
    <n v="14.5431787"/>
    <x v="0"/>
    <b v="1"/>
    <b v="0"/>
    <b v="0"/>
    <m/>
    <n v="3"/>
    <s v="Accessible"/>
    <m/>
    <s v="Le village accueille une population"/>
    <s v="Le village est intact (construit)"/>
    <m/>
    <m/>
    <s v="Oui"/>
    <s v="Familles d'accueil"/>
    <s v="Non, pas du tout"/>
    <s v="Non"/>
    <m/>
    <n v="21"/>
    <n v="263"/>
    <s v="Oui"/>
    <s v="Premier déplacement"/>
    <n v="21"/>
    <n v="119"/>
    <n v="100"/>
    <n v="19"/>
    <n v="0"/>
    <n v="21"/>
    <n v="0"/>
    <n v="0"/>
    <m/>
    <m/>
    <n v="0"/>
    <n v="0"/>
    <m/>
    <m/>
    <n v="0"/>
    <s v="Pas de changement."/>
    <s v="Oui"/>
    <n v="2"/>
    <n v="11"/>
    <n v="6"/>
    <n v="5"/>
    <n v="2"/>
    <n v="0"/>
    <n v="0"/>
    <m/>
    <n v="0"/>
    <n v="0"/>
    <m/>
    <m/>
    <n v="0"/>
    <n v="0"/>
    <s v="Pas de changement."/>
    <s v="Non"/>
    <m/>
    <m/>
    <m/>
    <m/>
    <m/>
    <m/>
    <m/>
    <m/>
    <m/>
    <m/>
    <m/>
    <m/>
    <m/>
    <m/>
    <m/>
    <m/>
    <m/>
    <m/>
    <m/>
    <m/>
    <n v="0"/>
    <m/>
    <m/>
    <m/>
    <m/>
    <m/>
    <m/>
    <m/>
    <m/>
    <m/>
    <m/>
    <m/>
    <m/>
    <m/>
    <s v="1"/>
    <s v="1"/>
    <s v="0"/>
    <n v="2"/>
  </r>
  <r>
    <n v="2629389"/>
    <s v="Extrême-Nord"/>
    <s v="CMR004"/>
    <x v="1"/>
    <s v="CMR004002"/>
    <s v="Makary"/>
    <s v="CMR004002009"/>
    <s v="MAK-0204"/>
    <s v="GOURA ABOUNOUMRE"/>
    <m/>
    <x v="1"/>
    <n v="12.338923599999999"/>
    <n v="14.5420383"/>
    <x v="0"/>
    <b v="1"/>
    <b v="0"/>
    <b v="0"/>
    <m/>
    <n v="3"/>
    <s v="Accessible"/>
    <m/>
    <s v="Le village accueille une population"/>
    <s v="Le village est intact (construit)"/>
    <m/>
    <m/>
    <s v="Oui"/>
    <s v="Familles d'accueil"/>
    <s v="Non, pas du tout"/>
    <s v="Non"/>
    <m/>
    <n v="2"/>
    <n v="675"/>
    <s v="Oui"/>
    <s v="Premier déplacement"/>
    <n v="2"/>
    <n v="10"/>
    <n v="6"/>
    <n v="4"/>
    <n v="0"/>
    <n v="2"/>
    <n v="0"/>
    <n v="0"/>
    <m/>
    <m/>
    <n v="0"/>
    <n v="0"/>
    <m/>
    <m/>
    <n v="0"/>
    <s v="Pa de changement."/>
    <s v="Oui"/>
    <n v="2"/>
    <n v="12"/>
    <n v="8"/>
    <n v="4"/>
    <n v="2"/>
    <n v="0"/>
    <n v="0"/>
    <m/>
    <n v="0"/>
    <n v="0"/>
    <m/>
    <m/>
    <n v="0"/>
    <n v="0"/>
    <s v="Pas de changement."/>
    <s v="Non"/>
    <m/>
    <m/>
    <m/>
    <m/>
    <m/>
    <m/>
    <m/>
    <m/>
    <m/>
    <m/>
    <m/>
    <m/>
    <m/>
    <m/>
    <m/>
    <m/>
    <m/>
    <m/>
    <m/>
    <m/>
    <n v="0"/>
    <m/>
    <m/>
    <m/>
    <m/>
    <m/>
    <m/>
    <m/>
    <m/>
    <m/>
    <m/>
    <m/>
    <m/>
    <m/>
    <s v="1"/>
    <s v="1"/>
    <s v="0"/>
    <n v="2"/>
  </r>
  <r>
    <n v="2627838"/>
    <s v="Extrême-Nord"/>
    <s v="CMR004"/>
    <x v="1"/>
    <s v="CMR004002"/>
    <s v="Makary"/>
    <s v="CMR004002009"/>
    <s v="MAK-0205"/>
    <s v="GOURA LEIFA"/>
    <m/>
    <x v="1"/>
    <n v="12.3404367"/>
    <n v="14.5455536"/>
    <x v="0"/>
    <b v="1"/>
    <b v="0"/>
    <b v="0"/>
    <m/>
    <n v="3"/>
    <s v="Accessible"/>
    <m/>
    <s v="Le village accueille une population"/>
    <s v="Le village est intact (construit)"/>
    <m/>
    <m/>
    <s v="Oui"/>
    <s v="Familles d'accueil"/>
    <s v="Non, pas du tout"/>
    <s v="Non"/>
    <m/>
    <n v="2"/>
    <n v="448"/>
    <s v="Oui"/>
    <s v="Premier déplacement"/>
    <n v="2"/>
    <n v="19"/>
    <n v="10"/>
    <n v="9"/>
    <n v="0"/>
    <n v="2"/>
    <n v="0"/>
    <n v="0"/>
    <m/>
    <m/>
    <n v="0"/>
    <n v="0"/>
    <m/>
    <m/>
    <n v="0"/>
    <s v="Pas de changement."/>
    <s v="Non"/>
    <m/>
    <m/>
    <m/>
    <m/>
    <m/>
    <m/>
    <m/>
    <m/>
    <m/>
    <m/>
    <m/>
    <m/>
    <m/>
    <m/>
    <m/>
    <s v="Non"/>
    <m/>
    <m/>
    <m/>
    <m/>
    <m/>
    <m/>
    <m/>
    <m/>
    <m/>
    <m/>
    <m/>
    <m/>
    <m/>
    <m/>
    <m/>
    <m/>
    <m/>
    <m/>
    <m/>
    <m/>
    <n v="0"/>
    <m/>
    <m/>
    <m/>
    <m/>
    <m/>
    <m/>
    <m/>
    <m/>
    <m/>
    <m/>
    <m/>
    <m/>
    <m/>
    <s v="1"/>
    <s v="0"/>
    <s v="0"/>
    <n v="1"/>
  </r>
  <r>
    <n v="2670838"/>
    <s v="Extrême-Nord"/>
    <s v="CMR004"/>
    <x v="1"/>
    <s v="CMR004002"/>
    <s v="Makary"/>
    <s v="CMR004002009"/>
    <s v="MAK-0042"/>
    <s v="GOURGOURA"/>
    <m/>
    <x v="1"/>
    <n v="12.494572700000001"/>
    <n v="14.457125400000001"/>
    <x v="0"/>
    <b v="1"/>
    <b v="0"/>
    <b v="0"/>
    <m/>
    <n v="3"/>
    <s v="Accessible"/>
    <m/>
    <s v="Le village accueille une population"/>
    <s v="Le village est partiellement détruit"/>
    <s v="Intempéries (inondations, tempêtes etc.)"/>
    <m/>
    <s v="Oui"/>
    <s v="Familles d'accueil"/>
    <s v="Non, pas du tout"/>
    <s v="Non"/>
    <m/>
    <n v="20"/>
    <n v="322"/>
    <s v="Oui"/>
    <s v="Premier déplacement"/>
    <n v="20"/>
    <n v="115"/>
    <n v="55"/>
    <n v="60"/>
    <n v="10"/>
    <n v="10"/>
    <n v="0"/>
    <n v="0"/>
    <m/>
    <m/>
    <n v="0"/>
    <n v="0"/>
    <m/>
    <m/>
    <n v="0"/>
    <s v="Les nouveaux idp viennent de naga"/>
    <s v="Oui"/>
    <n v="12"/>
    <n v="59"/>
    <n v="20"/>
    <n v="39"/>
    <n v="12"/>
    <n v="0"/>
    <n v="0"/>
    <m/>
    <n v="0"/>
    <n v="0"/>
    <m/>
    <m/>
    <n v="0"/>
    <n v="0"/>
    <s v="Il n'y a pas de nouveaux venant"/>
    <s v="Non"/>
    <m/>
    <m/>
    <m/>
    <m/>
    <m/>
    <m/>
    <m/>
    <m/>
    <m/>
    <m/>
    <m/>
    <m/>
    <m/>
    <m/>
    <m/>
    <m/>
    <m/>
    <m/>
    <m/>
    <m/>
    <n v="3"/>
    <m/>
    <m/>
    <m/>
    <m/>
    <m/>
    <m/>
    <m/>
    <m/>
    <m/>
    <m/>
    <m/>
    <m/>
    <m/>
    <s v="1"/>
    <s v="1"/>
    <s v="0"/>
    <n v="2"/>
  </r>
  <r>
    <n v="2669130"/>
    <s v="Extrême-Nord"/>
    <s v="CMR004"/>
    <x v="1"/>
    <s v="CMR004002"/>
    <s v="Makary"/>
    <s v="CMR004002009"/>
    <s v="MAK-0138"/>
    <s v="GOURLE 2"/>
    <m/>
    <x v="1"/>
    <n v="12.314747799999999"/>
    <n v="14.719383300000001"/>
    <x v="0"/>
    <b v="1"/>
    <b v="0"/>
    <b v="0"/>
    <m/>
    <n v="3"/>
    <s v="Accessible"/>
    <m/>
    <s v="Le village accueille une population"/>
    <s v="Le village est intact (construit)"/>
    <m/>
    <m/>
    <s v="Oui"/>
    <s v="Familles d'accueil"/>
    <s v="Non, pas du tout"/>
    <s v="Non"/>
    <m/>
    <n v="4"/>
    <n v="491"/>
    <s v="Oui"/>
    <s v="Premier déplacement"/>
    <n v="4"/>
    <n v="46"/>
    <n v="26"/>
    <n v="20"/>
    <n v="0"/>
    <n v="4"/>
    <n v="0"/>
    <n v="0"/>
    <m/>
    <m/>
    <n v="0"/>
    <n v="0"/>
    <m/>
    <m/>
    <n v="0"/>
    <s v="Ras"/>
    <s v="Non"/>
    <m/>
    <m/>
    <m/>
    <m/>
    <m/>
    <m/>
    <m/>
    <m/>
    <m/>
    <m/>
    <m/>
    <m/>
    <m/>
    <m/>
    <m/>
    <s v="Non"/>
    <m/>
    <m/>
    <m/>
    <m/>
    <m/>
    <m/>
    <m/>
    <m/>
    <m/>
    <m/>
    <m/>
    <m/>
    <m/>
    <m/>
    <m/>
    <m/>
    <m/>
    <m/>
    <m/>
    <m/>
    <n v="0"/>
    <m/>
    <m/>
    <m/>
    <m/>
    <m/>
    <m/>
    <m/>
    <m/>
    <m/>
    <m/>
    <m/>
    <m/>
    <m/>
    <s v="1"/>
    <s v="0"/>
    <s v="0"/>
    <n v="1"/>
  </r>
  <r>
    <n v="2627837"/>
    <s v="Extrême-Nord"/>
    <s v="CMR004"/>
    <x v="1"/>
    <s v="CMR004002"/>
    <s v="Makary"/>
    <s v="CMR004002009"/>
    <s v="MAK-0139"/>
    <s v="GRELIE"/>
    <m/>
    <x v="1"/>
    <n v="12.3855968"/>
    <n v="14.497940099999999"/>
    <x v="0"/>
    <b v="1"/>
    <b v="0"/>
    <b v="0"/>
    <m/>
    <n v="3"/>
    <s v="Accessible"/>
    <m/>
    <s v="Le village accueille une population"/>
    <s v="Le village est intact (construit)"/>
    <m/>
    <m/>
    <s v="Oui"/>
    <s v="Familles d'accueil"/>
    <s v="Non, pas du tout"/>
    <s v="Non"/>
    <m/>
    <n v="13"/>
    <n v="521"/>
    <s v="Oui"/>
    <s v="Premier déplacement"/>
    <n v="13"/>
    <n v="127"/>
    <n v="95"/>
    <n v="32"/>
    <n v="0"/>
    <n v="13"/>
    <n v="0"/>
    <n v="0"/>
    <m/>
    <m/>
    <n v="0"/>
    <n v="0"/>
    <m/>
    <m/>
    <n v="0"/>
    <s v="Pas de changement."/>
    <s v="Oui"/>
    <n v="2"/>
    <n v="10"/>
    <n v="7"/>
    <n v="3"/>
    <n v="2"/>
    <n v="0"/>
    <n v="0"/>
    <m/>
    <n v="0"/>
    <n v="0"/>
    <m/>
    <m/>
    <n v="0"/>
    <n v="0"/>
    <s v="Pas de changement."/>
    <s v="Non"/>
    <m/>
    <m/>
    <m/>
    <m/>
    <m/>
    <m/>
    <m/>
    <m/>
    <m/>
    <m/>
    <m/>
    <m/>
    <m/>
    <m/>
    <m/>
    <m/>
    <m/>
    <m/>
    <m/>
    <m/>
    <n v="0"/>
    <m/>
    <m/>
    <m/>
    <m/>
    <m/>
    <m/>
    <m/>
    <m/>
    <m/>
    <m/>
    <m/>
    <m/>
    <m/>
    <s v="1"/>
    <s v="1"/>
    <s v="0"/>
    <n v="2"/>
  </r>
  <r>
    <n v="2576326"/>
    <s v="Extrême-Nord"/>
    <s v="CMR004"/>
    <x v="1"/>
    <s v="CMR004002"/>
    <s v="Makary"/>
    <s v="CMR004002009"/>
    <s v="MAK-0185"/>
    <s v="GUEILALA"/>
    <m/>
    <x v="1"/>
    <n v="12.383233300000001"/>
    <n v="14.4313643"/>
    <x v="0"/>
    <b v="1"/>
    <b v="0"/>
    <b v="0"/>
    <m/>
    <n v="3"/>
    <s v="Accessible"/>
    <m/>
    <s v="Le village accueille une population"/>
    <s v="Le village est intact (construit)"/>
    <m/>
    <m/>
    <s v="Oui"/>
    <s v="Familles d'accueil"/>
    <s v="Non, pas du tout"/>
    <s v="Non"/>
    <m/>
    <n v="13"/>
    <n v="1300"/>
    <s v="Oui"/>
    <s v="Deuxième déplacement"/>
    <n v="13"/>
    <n v="86"/>
    <n v="42"/>
    <n v="44"/>
    <n v="0"/>
    <n v="13"/>
    <n v="0"/>
    <n v="0"/>
    <m/>
    <m/>
    <n v="0"/>
    <n v="0"/>
    <m/>
    <m/>
    <n v="0"/>
    <s v="Pas de changement"/>
    <s v="Oui"/>
    <n v="15"/>
    <n v="115"/>
    <n v="55"/>
    <n v="60"/>
    <n v="15"/>
    <n v="0"/>
    <n v="0"/>
    <m/>
    <n v="0"/>
    <n v="0"/>
    <m/>
    <m/>
    <n v="0"/>
    <n v="0"/>
    <s v="Pas de changement"/>
    <s v="Non"/>
    <m/>
    <m/>
    <m/>
    <m/>
    <m/>
    <m/>
    <m/>
    <m/>
    <m/>
    <m/>
    <m/>
    <m/>
    <m/>
    <m/>
    <m/>
    <m/>
    <m/>
    <m/>
    <m/>
    <m/>
    <n v="0"/>
    <m/>
    <m/>
    <m/>
    <m/>
    <m/>
    <m/>
    <m/>
    <m/>
    <m/>
    <m/>
    <m/>
    <m/>
    <m/>
    <s v="1"/>
    <s v="1"/>
    <s v="0"/>
    <n v="2"/>
  </r>
  <r>
    <n v="2613506"/>
    <s v="Extrême-Nord"/>
    <s v="CMR004"/>
    <x v="1"/>
    <s v="CMR004002"/>
    <s v="Makary"/>
    <s v="CMR004002009"/>
    <s v="MAK-0218"/>
    <s v="HABOBA"/>
    <m/>
    <x v="1"/>
    <n v="12.5723222"/>
    <n v="14.6798384"/>
    <x v="0"/>
    <b v="1"/>
    <b v="0"/>
    <b v="1"/>
    <m/>
    <n v="3"/>
    <s v="Accessible"/>
    <m/>
    <s v="Le village accueille une population"/>
    <s v="Le village est partiellement détruit"/>
    <s v="Intempéries (inondations, tempêtes etc.)"/>
    <m/>
    <s v="Oui"/>
    <s v="Familles d'accueil"/>
    <s v="Non, pas du tout"/>
    <s v="Non"/>
    <m/>
    <n v="2"/>
    <n v="121"/>
    <s v="Oui"/>
    <s v="Premier déplacement"/>
    <n v="2"/>
    <n v="8"/>
    <n v="3"/>
    <n v="5"/>
    <n v="2"/>
    <n v="0"/>
    <n v="0"/>
    <n v="0"/>
    <m/>
    <m/>
    <n v="0"/>
    <n v="0"/>
    <m/>
    <m/>
    <n v="0"/>
    <s v="Pas des changements"/>
    <s v="Non"/>
    <m/>
    <m/>
    <m/>
    <m/>
    <m/>
    <m/>
    <m/>
    <m/>
    <m/>
    <m/>
    <m/>
    <m/>
    <m/>
    <m/>
    <m/>
    <s v="Non"/>
    <m/>
    <m/>
    <m/>
    <m/>
    <m/>
    <m/>
    <m/>
    <m/>
    <m/>
    <m/>
    <m/>
    <m/>
    <m/>
    <m/>
    <m/>
    <m/>
    <m/>
    <m/>
    <m/>
    <m/>
    <n v="0"/>
    <m/>
    <m/>
    <m/>
    <m/>
    <m/>
    <m/>
    <m/>
    <m/>
    <m/>
    <m/>
    <m/>
    <m/>
    <m/>
    <s v="1"/>
    <s v="0"/>
    <s v="0"/>
    <n v="1"/>
  </r>
  <r>
    <n v="2605517"/>
    <s v="Extrême-Nord"/>
    <s v="CMR004"/>
    <x v="1"/>
    <s v="CMR004002"/>
    <s v="Makary"/>
    <s v="CMR004002009"/>
    <s v="MAK-0140"/>
    <s v="HADAMARI"/>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32789"/>
    <s v="Extrême-Nord"/>
    <s v="CMR004"/>
    <x v="1"/>
    <s v="CMR004002"/>
    <s v="Makary"/>
    <s v="CMR004002009"/>
    <s v="MAK-0110"/>
    <s v="HELISNA"/>
    <m/>
    <x v="1"/>
    <n v="12.255989400000001"/>
    <n v="14.623258999999999"/>
    <x v="0"/>
    <b v="1"/>
    <b v="0"/>
    <b v="0"/>
    <m/>
    <n v="3"/>
    <s v="Accessible"/>
    <m/>
    <s v="Le village accueille une population"/>
    <s v="Le village est intact (construit)"/>
    <m/>
    <m/>
    <s v="Oui"/>
    <s v="Familles d'accueil"/>
    <s v="Non, pas du tout"/>
    <s v="Non"/>
    <m/>
    <n v="12"/>
    <n v="492"/>
    <s v="Oui"/>
    <s v="Deuxième déplacement"/>
    <n v="12"/>
    <n v="87"/>
    <n v="39"/>
    <n v="48"/>
    <n v="0"/>
    <n v="12"/>
    <n v="0"/>
    <n v="0"/>
    <m/>
    <m/>
    <n v="0"/>
    <n v="0"/>
    <m/>
    <m/>
    <n v="0"/>
    <s v="RAS"/>
    <s v="Oui"/>
    <n v="5"/>
    <n v="47"/>
    <n v="18"/>
    <n v="29"/>
    <n v="5"/>
    <n v="0"/>
    <n v="0"/>
    <m/>
    <n v="0"/>
    <n v="0"/>
    <m/>
    <m/>
    <n v="0"/>
    <n v="0"/>
    <s v="Ras"/>
    <s v="Oui"/>
    <n v="21"/>
    <n v="257"/>
    <n v="101"/>
    <n v="156"/>
    <s v="Entre 1 et 5 ans"/>
    <n v="7"/>
    <n v="0"/>
    <n v="8"/>
    <n v="0"/>
    <n v="0"/>
    <m/>
    <n v="0"/>
    <n v="6"/>
    <s v="Paille/Natte/Nylon"/>
    <n v="0"/>
    <m/>
    <m/>
    <m/>
    <m/>
    <m/>
    <n v="0"/>
    <m/>
    <m/>
    <m/>
    <m/>
    <m/>
    <m/>
    <m/>
    <m/>
    <m/>
    <m/>
    <m/>
    <m/>
    <m/>
    <s v="1"/>
    <s v="1"/>
    <s v="1"/>
    <n v="3"/>
  </r>
  <r>
    <n v="2657859"/>
    <s v="Extrême-Nord"/>
    <s v="CMR004"/>
    <x v="1"/>
    <s v="CMR004002"/>
    <s v="Makary"/>
    <s v="CMR004002009"/>
    <s v="MAK-0044"/>
    <s v="HEREDIBE"/>
    <m/>
    <x v="1"/>
    <n v="12.5559475"/>
    <n v="14.5254122"/>
    <x v="0"/>
    <b v="1"/>
    <b v="0"/>
    <b v="0"/>
    <m/>
    <n v="3"/>
    <s v="Accessible"/>
    <m/>
    <s v="Le village accueille une population"/>
    <s v="Le village est intact (construit)"/>
    <m/>
    <m/>
    <s v="Oui"/>
    <s v="Familles d'accueil"/>
    <s v="Non, pas du tout"/>
    <s v="Non"/>
    <m/>
    <n v="19"/>
    <n v="1143"/>
    <s v="Oui"/>
    <s v="Premier déplacement"/>
    <n v="19"/>
    <n v="171"/>
    <n v="71"/>
    <n v="100"/>
    <n v="0"/>
    <n v="19"/>
    <n v="0"/>
    <n v="0"/>
    <m/>
    <m/>
    <n v="0"/>
    <n v="0"/>
    <m/>
    <m/>
    <n v="0"/>
    <s v="Pas de changement"/>
    <s v="Non"/>
    <m/>
    <m/>
    <m/>
    <m/>
    <m/>
    <m/>
    <m/>
    <m/>
    <m/>
    <m/>
    <m/>
    <m/>
    <m/>
    <m/>
    <m/>
    <s v="Non"/>
    <m/>
    <m/>
    <m/>
    <m/>
    <m/>
    <m/>
    <m/>
    <m/>
    <m/>
    <m/>
    <m/>
    <m/>
    <m/>
    <m/>
    <m/>
    <m/>
    <m/>
    <m/>
    <m/>
    <m/>
    <n v="0"/>
    <m/>
    <m/>
    <m/>
    <m/>
    <m/>
    <m/>
    <m/>
    <m/>
    <m/>
    <m/>
    <m/>
    <m/>
    <m/>
    <s v="1"/>
    <s v="0"/>
    <s v="0"/>
    <n v="1"/>
  </r>
  <r>
    <n v="2613263"/>
    <s v="Extrême-Nord"/>
    <s v="CMR004"/>
    <x v="1"/>
    <s v="CMR004002"/>
    <s v="Makary"/>
    <s v="CMR004002009"/>
    <s v="MAK-0187"/>
    <s v="HEREDIBE MOUSSA"/>
    <m/>
    <x v="1"/>
    <n v="12.216911899999999"/>
    <n v="14.665027200000001"/>
    <x v="0"/>
    <b v="1"/>
    <b v="0"/>
    <b v="0"/>
    <m/>
    <n v="3"/>
    <s v="Accessible"/>
    <m/>
    <s v="Le village accueille une population"/>
    <s v="Le village est intact (construit)"/>
    <m/>
    <m/>
    <s v="Oui"/>
    <s v="Familles d'accueil"/>
    <s v="Non, pas du tout"/>
    <s v="Non"/>
    <m/>
    <n v="7"/>
    <n v="291"/>
    <s v="Oui"/>
    <s v="Premier déplacement"/>
    <n v="7"/>
    <n v="74"/>
    <n v="27"/>
    <n v="47"/>
    <n v="0"/>
    <n v="7"/>
    <n v="0"/>
    <n v="0"/>
    <m/>
    <m/>
    <n v="0"/>
    <n v="0"/>
    <m/>
    <m/>
    <n v="0"/>
    <s v="RAS"/>
    <s v="Oui"/>
    <n v="11"/>
    <n v="93"/>
    <n v="41"/>
    <n v="52"/>
    <n v="11"/>
    <n v="0"/>
    <n v="0"/>
    <m/>
    <n v="0"/>
    <n v="0"/>
    <m/>
    <m/>
    <n v="0"/>
    <n v="0"/>
    <s v="RAS"/>
    <s v="Non"/>
    <m/>
    <m/>
    <m/>
    <m/>
    <m/>
    <m/>
    <m/>
    <m/>
    <m/>
    <m/>
    <m/>
    <m/>
    <m/>
    <m/>
    <m/>
    <m/>
    <m/>
    <m/>
    <m/>
    <m/>
    <n v="0"/>
    <m/>
    <m/>
    <m/>
    <m/>
    <m/>
    <m/>
    <m/>
    <m/>
    <m/>
    <m/>
    <m/>
    <m/>
    <m/>
    <s v="1"/>
    <s v="1"/>
    <s v="0"/>
    <n v="2"/>
  </r>
  <r>
    <n v="2657846"/>
    <s v="Extrême-Nord"/>
    <s v="CMR004"/>
    <x v="1"/>
    <s v="CMR004002"/>
    <s v="Makary"/>
    <s v="CMR004002009"/>
    <s v="MAK-0120"/>
    <s v="HEREZAYA SITE"/>
    <m/>
    <x v="1"/>
    <n v="12.246513800000001"/>
    <n v="14.6454488"/>
    <x v="0"/>
    <b v="1"/>
    <b v="0"/>
    <b v="0"/>
    <m/>
    <n v="3"/>
    <s v="Accessible"/>
    <m/>
    <s v="Le village accueille une population"/>
    <s v="Le village est partiellement détruit"/>
    <s v="Intempéries (inondations, tempêtes etc.)"/>
    <m/>
    <s v="Oui"/>
    <s v="Familles d'accueil"/>
    <s v="Non, pas du tout"/>
    <s v="Non"/>
    <m/>
    <n v="30"/>
    <n v="102"/>
    <s v="Oui"/>
    <s v="Premier déplacement"/>
    <n v="30"/>
    <n v="82"/>
    <n v="40"/>
    <n v="42"/>
    <n v="30"/>
    <n v="0"/>
    <n v="0"/>
    <n v="0"/>
    <m/>
    <m/>
    <n v="0"/>
    <n v="0"/>
    <m/>
    <m/>
    <n v="0"/>
    <s v="Aucun changement "/>
    <s v="Non"/>
    <m/>
    <m/>
    <m/>
    <m/>
    <m/>
    <m/>
    <m/>
    <m/>
    <m/>
    <m/>
    <m/>
    <m/>
    <m/>
    <m/>
    <m/>
    <s v="Non"/>
    <m/>
    <m/>
    <m/>
    <m/>
    <m/>
    <m/>
    <m/>
    <m/>
    <m/>
    <m/>
    <m/>
    <m/>
    <m/>
    <m/>
    <m/>
    <m/>
    <m/>
    <m/>
    <m/>
    <m/>
    <n v="0"/>
    <m/>
    <m/>
    <m/>
    <m/>
    <m/>
    <m/>
    <m/>
    <m/>
    <m/>
    <m/>
    <m/>
    <m/>
    <m/>
    <s v="1"/>
    <s v="0"/>
    <s v="0"/>
    <n v="1"/>
  </r>
  <r>
    <n v="2657676"/>
    <s v="Extrême-Nord"/>
    <s v="CMR004"/>
    <x v="1"/>
    <s v="CMR004002"/>
    <s v="Makary"/>
    <s v="CMR004002009"/>
    <s v="MAK-0045"/>
    <s v="HISSAINIE"/>
    <m/>
    <x v="1"/>
    <n v="12.513274900000001"/>
    <n v="14.368744700000001"/>
    <x v="0"/>
    <b v="1"/>
    <b v="0"/>
    <b v="0"/>
    <m/>
    <n v="4"/>
    <s v="Accessible"/>
    <m/>
    <s v="Le village accueille une population"/>
    <s v="Le village est intact (construit)"/>
    <m/>
    <m/>
    <s v="Oui"/>
    <s v="Familles d'accueil"/>
    <s v="Non, pas du tout"/>
    <s v="Non"/>
    <m/>
    <n v="11"/>
    <n v="767"/>
    <s v="Oui"/>
    <s v="Premier déplacement"/>
    <n v="11"/>
    <n v="60"/>
    <n v="27"/>
    <n v="33"/>
    <n v="3"/>
    <n v="8"/>
    <n v="0"/>
    <n v="0"/>
    <m/>
    <m/>
    <n v="0"/>
    <n v="0"/>
    <m/>
    <m/>
    <n v="0"/>
    <s v="Nous notons une diminution de 2 ménages idps pour 6 individus  ils sont partis ailleurs"/>
    <s v="Non"/>
    <m/>
    <m/>
    <m/>
    <m/>
    <m/>
    <m/>
    <m/>
    <m/>
    <m/>
    <m/>
    <m/>
    <m/>
    <m/>
    <m/>
    <m/>
    <s v="Non"/>
    <m/>
    <m/>
    <m/>
    <m/>
    <m/>
    <m/>
    <m/>
    <m/>
    <m/>
    <m/>
    <m/>
    <m/>
    <m/>
    <m/>
    <m/>
    <m/>
    <m/>
    <m/>
    <m/>
    <m/>
    <n v="0"/>
    <m/>
    <m/>
    <m/>
    <m/>
    <m/>
    <m/>
    <m/>
    <m/>
    <m/>
    <m/>
    <m/>
    <m/>
    <m/>
    <s v="1"/>
    <s v="0"/>
    <s v="0"/>
    <n v="1"/>
  </r>
  <r>
    <n v="2647201"/>
    <s v="Extrême-Nord"/>
    <s v="CMR004"/>
    <x v="1"/>
    <s v="CMR004002"/>
    <s v="Makary"/>
    <s v="CMR004002009"/>
    <s v="MAK-0111"/>
    <s v="HOLIO"/>
    <m/>
    <x v="1"/>
    <n v="12.2411397"/>
    <n v="14.6420566"/>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6023"/>
    <s v="Extrême-Nord"/>
    <s v="CMR004"/>
    <x v="1"/>
    <s v="CMR004002"/>
    <s v="Makary"/>
    <s v="CMR004002009"/>
    <s v="MAK-0150"/>
    <s v="HOURAHOURI"/>
    <m/>
    <x v="1"/>
    <n v="12.1127071"/>
    <n v="14.8184708"/>
    <x v="0"/>
    <b v="1"/>
    <b v="0"/>
    <b v="0"/>
    <m/>
    <n v="3"/>
    <s v="Accessible"/>
    <m/>
    <s v="Le village accueille une population"/>
    <s v="Le village est intact (construit)"/>
    <m/>
    <m/>
    <s v="Oui"/>
    <s v="Familles d'accueil"/>
    <s v="Non, pas du tout"/>
    <s v="Non"/>
    <m/>
    <n v="15"/>
    <n v="305"/>
    <s v="Oui"/>
    <s v="Premier déplacement"/>
    <n v="15"/>
    <n v="80"/>
    <n v="42"/>
    <n v="38"/>
    <n v="15"/>
    <n v="0"/>
    <n v="0"/>
    <n v="0"/>
    <m/>
    <m/>
    <n v="0"/>
    <n v="0"/>
    <m/>
    <m/>
    <n v="0"/>
    <s v="L'augmentation est dû à la naissance donc les restes pas de changement."/>
    <s v="Non"/>
    <m/>
    <m/>
    <m/>
    <m/>
    <m/>
    <m/>
    <m/>
    <m/>
    <m/>
    <m/>
    <m/>
    <m/>
    <m/>
    <m/>
    <m/>
    <s v="Non"/>
    <m/>
    <m/>
    <m/>
    <m/>
    <m/>
    <m/>
    <m/>
    <m/>
    <m/>
    <m/>
    <m/>
    <m/>
    <m/>
    <m/>
    <m/>
    <m/>
    <m/>
    <m/>
    <m/>
    <m/>
    <n v="0"/>
    <m/>
    <m/>
    <m/>
    <m/>
    <m/>
    <m/>
    <m/>
    <m/>
    <m/>
    <m/>
    <m/>
    <m/>
    <m/>
    <s v="1"/>
    <s v="0"/>
    <s v="0"/>
    <n v="1"/>
  </r>
  <r>
    <n v="2601991"/>
    <s v="Extrême-Nord"/>
    <s v="CMR004"/>
    <x v="1"/>
    <s v="CMR004002"/>
    <s v="Makary"/>
    <s v="CMR004002009"/>
    <s v="MAK-0046"/>
    <s v="KAOUSSE"/>
    <m/>
    <x v="1"/>
    <n v="12.4745331"/>
    <n v="14.377545100000001"/>
    <x v="0"/>
    <b v="1"/>
    <b v="0"/>
    <b v="0"/>
    <m/>
    <n v="3"/>
    <s v="Accessible"/>
    <m/>
    <s v="Le village accueille une population"/>
    <s v="Le village est intact (construit)"/>
    <m/>
    <m/>
    <s v="Oui"/>
    <s v="Familles d'accueil"/>
    <s v="Non, pas du tout"/>
    <s v="Non"/>
    <m/>
    <n v="20"/>
    <n v="810"/>
    <s v="Oui"/>
    <s v="Premier déplacement"/>
    <n v="20"/>
    <n v="121"/>
    <n v="55"/>
    <n v="66"/>
    <n v="0"/>
    <n v="20"/>
    <n v="0"/>
    <n v="0"/>
    <m/>
    <m/>
    <n v="0"/>
    <n v="0"/>
    <m/>
    <m/>
    <n v="0"/>
    <s v="Pas de changement "/>
    <s v="Non"/>
    <m/>
    <m/>
    <m/>
    <m/>
    <m/>
    <m/>
    <m/>
    <m/>
    <m/>
    <m/>
    <m/>
    <m/>
    <m/>
    <m/>
    <m/>
    <s v="Non"/>
    <m/>
    <m/>
    <m/>
    <m/>
    <m/>
    <m/>
    <m/>
    <m/>
    <m/>
    <m/>
    <m/>
    <m/>
    <m/>
    <m/>
    <m/>
    <m/>
    <m/>
    <m/>
    <m/>
    <m/>
    <n v="0"/>
    <m/>
    <m/>
    <m/>
    <m/>
    <m/>
    <m/>
    <m/>
    <m/>
    <m/>
    <m/>
    <m/>
    <m/>
    <m/>
    <s v="1"/>
    <s v="0"/>
    <s v="0"/>
    <n v="1"/>
  </r>
  <r>
    <n v="2673256"/>
    <s v="Extrême-Nord"/>
    <s v="CMR004"/>
    <x v="1"/>
    <s v="CMR004002"/>
    <s v="Makary"/>
    <s v="CMR004002009"/>
    <s v="MAK-0226"/>
    <s v="KARENA"/>
    <m/>
    <x v="1"/>
    <n v="12.108772800000001"/>
    <n v="14.8175835"/>
    <x v="0"/>
    <b v="1"/>
    <b v="0"/>
    <b v="0"/>
    <m/>
    <n v="3"/>
    <s v="Accessible"/>
    <m/>
    <s v="Le village accueille une population"/>
    <s v="Le village est intact (construit)"/>
    <m/>
    <m/>
    <s v="Oui"/>
    <s v="Familles d'accueil"/>
    <s v="Non, pas du tout"/>
    <s v="Non"/>
    <m/>
    <n v="6"/>
    <n v="65"/>
    <s v="Oui"/>
    <s v="Premier déplacement"/>
    <n v="6"/>
    <n v="23"/>
    <n v="7"/>
    <n v="16"/>
    <n v="0"/>
    <n v="6"/>
    <n v="0"/>
    <n v="0"/>
    <m/>
    <m/>
    <n v="0"/>
    <n v="0"/>
    <m/>
    <m/>
    <n v="0"/>
    <s v="Il y a eu une augmentation de 5 ménage de 5hommes et 10 Femmes venant de logone birni plus précisément du village wouli le motif de déplacement est l'inondation"/>
    <s v="Non"/>
    <m/>
    <m/>
    <m/>
    <m/>
    <m/>
    <m/>
    <m/>
    <m/>
    <m/>
    <m/>
    <m/>
    <m/>
    <m/>
    <m/>
    <m/>
    <s v="Non"/>
    <m/>
    <m/>
    <m/>
    <m/>
    <m/>
    <m/>
    <m/>
    <m/>
    <m/>
    <m/>
    <m/>
    <m/>
    <m/>
    <m/>
    <m/>
    <m/>
    <m/>
    <m/>
    <m/>
    <m/>
    <n v="0"/>
    <m/>
    <m/>
    <m/>
    <m/>
    <m/>
    <m/>
    <m/>
    <m/>
    <m/>
    <m/>
    <m/>
    <m/>
    <m/>
    <s v="1"/>
    <s v="0"/>
    <s v="0"/>
    <n v="1"/>
  </r>
  <r>
    <n v="2626552"/>
    <s v="Extrême-Nord"/>
    <s v="CMR004"/>
    <x v="1"/>
    <s v="CMR004002"/>
    <s v="Makary"/>
    <s v="CMR004002009"/>
    <s v="MAK-0047"/>
    <s v="KARTCHE"/>
    <m/>
    <x v="1"/>
    <n v="12.5339303"/>
    <n v="14.4163563"/>
    <x v="0"/>
    <b v="1"/>
    <b v="0"/>
    <b v="0"/>
    <m/>
    <n v="3"/>
    <s v="Accessible"/>
    <m/>
    <s v="Le village accueille une population"/>
    <s v="Le village est partiellement détruit"/>
    <s v="Intempéries (inondations, tempêtes etc.)"/>
    <m/>
    <s v="Oui"/>
    <s v="Familles d'accueil"/>
    <s v="Non, pas du tout"/>
    <s v="Non"/>
    <m/>
    <n v="5"/>
    <n v="496"/>
    <s v="Oui"/>
    <s v="Premier déplacement"/>
    <n v="5"/>
    <n v="32"/>
    <n v="17"/>
    <n v="15"/>
    <n v="0"/>
    <n v="5"/>
    <n v="0"/>
    <n v="0"/>
    <m/>
    <m/>
    <n v="0"/>
    <n v="0"/>
    <m/>
    <m/>
    <n v="0"/>
    <s v="Augmentation de 2 ménages idps pour 7 individus venus de Naga  dans l'arrondissement de Darak"/>
    <s v="Non"/>
    <m/>
    <m/>
    <m/>
    <m/>
    <m/>
    <m/>
    <m/>
    <m/>
    <m/>
    <m/>
    <m/>
    <m/>
    <m/>
    <m/>
    <m/>
    <s v="Non"/>
    <m/>
    <m/>
    <m/>
    <m/>
    <m/>
    <m/>
    <m/>
    <m/>
    <m/>
    <m/>
    <m/>
    <m/>
    <m/>
    <m/>
    <m/>
    <m/>
    <m/>
    <m/>
    <m/>
    <m/>
    <n v="1"/>
    <m/>
    <m/>
    <m/>
    <m/>
    <m/>
    <m/>
    <m/>
    <m/>
    <m/>
    <m/>
    <m/>
    <m/>
    <m/>
    <s v="1"/>
    <s v="0"/>
    <s v="0"/>
    <n v="1"/>
  </r>
  <r>
    <n v="2602650"/>
    <s v="Extrême-Nord"/>
    <s v="CMR004"/>
    <x v="1"/>
    <s v="CMR004002"/>
    <s v="Makary"/>
    <s v="CMR004002009"/>
    <s v="MAK-0048"/>
    <s v="KASSIBE"/>
    <m/>
    <x v="1"/>
    <n v="12.5697337"/>
    <n v="14.385442100000001"/>
    <x v="0"/>
    <b v="0"/>
    <b v="1"/>
    <b v="0"/>
    <n v="6"/>
    <m/>
    <s v="Accessible"/>
    <m/>
    <s v="Le village accueille une population"/>
    <s v="Le village est partiellement détruit"/>
    <s v="Intempéries (inondations, tempêtes etc.)"/>
    <m/>
    <s v="Oui"/>
    <s v="Familles d'accueil"/>
    <s v="Non, pas du tout"/>
    <s v="Non"/>
    <m/>
    <n v="27"/>
    <n v="504"/>
    <s v="Oui"/>
    <s v="Premier déplacement"/>
    <n v="27"/>
    <n v="245"/>
    <n v="87"/>
    <n v="158"/>
    <n v="0"/>
    <n v="27"/>
    <n v="0"/>
    <n v="0"/>
    <m/>
    <m/>
    <n v="0"/>
    <n v="0"/>
    <m/>
    <m/>
    <n v="0"/>
    <s v="4 nouveau ménages pour 13 individus venu de doré liman dans l'arrondissement de darak par crainte"/>
    <s v="Non"/>
    <m/>
    <m/>
    <m/>
    <m/>
    <m/>
    <m/>
    <m/>
    <m/>
    <m/>
    <m/>
    <m/>
    <m/>
    <m/>
    <m/>
    <m/>
    <s v="Non"/>
    <m/>
    <m/>
    <m/>
    <m/>
    <m/>
    <m/>
    <m/>
    <m/>
    <m/>
    <m/>
    <m/>
    <m/>
    <m/>
    <m/>
    <m/>
    <m/>
    <m/>
    <m/>
    <m/>
    <m/>
    <n v="0"/>
    <m/>
    <m/>
    <m/>
    <m/>
    <m/>
    <m/>
    <m/>
    <m/>
    <m/>
    <m/>
    <m/>
    <m/>
    <m/>
    <s v="1"/>
    <s v="0"/>
    <s v="0"/>
    <n v="1"/>
  </r>
  <r>
    <n v="2632781"/>
    <s v="Extrême-Nord"/>
    <s v="CMR004"/>
    <x v="1"/>
    <s v="CMR004002"/>
    <s v="Makary"/>
    <s v="CMR004002009"/>
    <s v="MAK-0049"/>
    <s v="KESAWA"/>
    <m/>
    <x v="1"/>
    <n v="12.2609995"/>
    <n v="14.644051599999999"/>
    <x v="0"/>
    <b v="1"/>
    <b v="0"/>
    <b v="0"/>
    <m/>
    <n v="3"/>
    <s v="Accessible"/>
    <m/>
    <s v="Le village accueille une population"/>
    <s v="Le village est intact (construit)"/>
    <m/>
    <m/>
    <s v="Oui"/>
    <s v="Familles d'accueil"/>
    <s v="Non, pas du tout"/>
    <s v="Non"/>
    <m/>
    <n v="21"/>
    <n v="449"/>
    <s v="Oui"/>
    <s v="Premier déplacement"/>
    <n v="21"/>
    <n v="175"/>
    <n v="77"/>
    <n v="98"/>
    <n v="0"/>
    <n v="21"/>
    <n v="0"/>
    <n v="0"/>
    <m/>
    <m/>
    <n v="0"/>
    <n v="0"/>
    <m/>
    <m/>
    <n v="0"/>
    <s v="Ras"/>
    <s v="Oui"/>
    <n v="15"/>
    <n v="139"/>
    <n v="60"/>
    <n v="79"/>
    <n v="15"/>
    <n v="0"/>
    <n v="0"/>
    <m/>
    <n v="0"/>
    <n v="0"/>
    <m/>
    <m/>
    <n v="0"/>
    <n v="0"/>
    <s v="Ras"/>
    <s v="Non"/>
    <m/>
    <m/>
    <m/>
    <m/>
    <m/>
    <m/>
    <m/>
    <m/>
    <m/>
    <m/>
    <m/>
    <m/>
    <m/>
    <m/>
    <m/>
    <m/>
    <m/>
    <m/>
    <m/>
    <m/>
    <n v="0"/>
    <m/>
    <m/>
    <m/>
    <m/>
    <m/>
    <m/>
    <m/>
    <m/>
    <m/>
    <m/>
    <m/>
    <m/>
    <m/>
    <s v="1"/>
    <s v="1"/>
    <s v="0"/>
    <n v="2"/>
  </r>
  <r>
    <n v="2632774"/>
    <s v="Extrême-Nord"/>
    <s v="CMR004"/>
    <x v="1"/>
    <s v="CMR004002"/>
    <s v="Makary"/>
    <s v="CMR004002009"/>
    <s v="MAK-0100"/>
    <s v="KESSAWA"/>
    <m/>
    <x v="1"/>
    <n v="12.2582366"/>
    <n v="14.6429651"/>
    <x v="0"/>
    <b v="1"/>
    <b v="0"/>
    <b v="0"/>
    <m/>
    <n v="3"/>
    <s v="Accessible"/>
    <m/>
    <s v="Le village accueille une population"/>
    <s v="Le village est intact (construit)"/>
    <m/>
    <m/>
    <s v="Oui"/>
    <s v="Familles d'accueil"/>
    <s v="Non, pas du tout"/>
    <s v="Non"/>
    <m/>
    <n v="165"/>
    <n v="1423"/>
    <s v="Oui"/>
    <s v="Premier déplacement"/>
    <n v="165"/>
    <n v="1229"/>
    <n v="515"/>
    <n v="714"/>
    <n v="0"/>
    <n v="165"/>
    <n v="0"/>
    <n v="0"/>
    <m/>
    <m/>
    <n v="0"/>
    <n v="0"/>
    <m/>
    <m/>
    <n v="0"/>
    <s v="Ras"/>
    <s v="Oui"/>
    <n v="49"/>
    <n v="341"/>
    <n v="146"/>
    <n v="195"/>
    <n v="49"/>
    <n v="0"/>
    <n v="0"/>
    <m/>
    <n v="0"/>
    <n v="0"/>
    <m/>
    <m/>
    <n v="0"/>
    <n v="0"/>
    <s v="Augmentation de 10 ménages pour  80 individus  réfugiés  venant de  Rhann  au NIGERIA "/>
    <s v="Non"/>
    <m/>
    <m/>
    <m/>
    <m/>
    <m/>
    <m/>
    <m/>
    <m/>
    <m/>
    <m/>
    <m/>
    <m/>
    <m/>
    <m/>
    <m/>
    <m/>
    <m/>
    <m/>
    <m/>
    <m/>
    <n v="0"/>
    <m/>
    <m/>
    <m/>
    <m/>
    <m/>
    <m/>
    <m/>
    <m/>
    <m/>
    <m/>
    <m/>
    <m/>
    <m/>
    <s v="1"/>
    <s v="1"/>
    <s v="0"/>
    <n v="2"/>
  </r>
  <r>
    <n v="2647206"/>
    <s v="Extrême-Nord"/>
    <s v="CMR004"/>
    <x v="1"/>
    <s v="CMR004002"/>
    <s v="Makary"/>
    <s v="CMR004002009"/>
    <s v="MAK-0119"/>
    <s v="KLEHE"/>
    <m/>
    <x v="1"/>
    <n v="12.2406799"/>
    <n v="14.6423016"/>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56575"/>
    <s v="Extrême-Nord"/>
    <s v="CMR004"/>
    <x v="1"/>
    <s v="CMR004002"/>
    <s v="Makary"/>
    <s v="CMR004002009"/>
    <s v="MAK-0050"/>
    <s v="KOKIO 1"/>
    <m/>
    <x v="1"/>
    <n v="12.4564229"/>
    <n v="14.443292899999999"/>
    <x v="0"/>
    <b v="1"/>
    <b v="0"/>
    <b v="0"/>
    <m/>
    <n v="3"/>
    <s v="Accessible"/>
    <m/>
    <s v="Le village accueille une population"/>
    <s v="Le village est partiellement détruit"/>
    <s v="Intempéries (inondations, tempêtes etc.)"/>
    <m/>
    <s v="Oui"/>
    <s v="Familles d'accueil"/>
    <s v="Non, pas du tout"/>
    <s v="Non"/>
    <m/>
    <n v="27"/>
    <n v="840"/>
    <s v="Oui"/>
    <s v="Deuxième déplacement"/>
    <n v="27"/>
    <n v="145"/>
    <n v="46"/>
    <n v="99"/>
    <n v="20"/>
    <n v="7"/>
    <n v="0"/>
    <n v="0"/>
    <m/>
    <m/>
    <n v="0"/>
    <n v="0"/>
    <m/>
    <m/>
    <n v="0"/>
    <s v="Il n 'ya pas eu de nouveau idp"/>
    <s v="Oui"/>
    <n v="17"/>
    <n v="87"/>
    <n v="23"/>
    <n v="64"/>
    <n v="17"/>
    <n v="0"/>
    <n v="0"/>
    <m/>
    <n v="0"/>
    <n v="0"/>
    <m/>
    <m/>
    <n v="0"/>
    <n v="0"/>
    <s v="In n'ya pas eu de nouveau réfugiés "/>
    <s v="Non"/>
    <m/>
    <m/>
    <m/>
    <m/>
    <m/>
    <m/>
    <m/>
    <m/>
    <m/>
    <m/>
    <m/>
    <m/>
    <m/>
    <m/>
    <m/>
    <m/>
    <m/>
    <m/>
    <m/>
    <m/>
    <n v="0"/>
    <m/>
    <m/>
    <m/>
    <m/>
    <m/>
    <m/>
    <m/>
    <m/>
    <m/>
    <m/>
    <m/>
    <m/>
    <m/>
    <s v="1"/>
    <s v="1"/>
    <s v="0"/>
    <n v="2"/>
  </r>
  <r>
    <n v="2666351"/>
    <s v="Extrême-Nord"/>
    <s v="CMR004"/>
    <x v="1"/>
    <s v="CMR004002"/>
    <s v="Makary"/>
    <s v="CMR004002009"/>
    <s v="MAK-0104"/>
    <s v="KOKIO 2"/>
    <m/>
    <x v="1"/>
    <n v="12.474039599999999"/>
    <n v="14.4858227"/>
    <x v="0"/>
    <b v="1"/>
    <b v="0"/>
    <b v="0"/>
    <m/>
    <n v="3"/>
    <s v="Accessible"/>
    <m/>
    <s v="Le village accueille une population"/>
    <s v="Le village est partiellement détruit"/>
    <s v="Intempéries (inondations, tempêtes etc.)"/>
    <m/>
    <s v="Oui"/>
    <s v="Familles d'accueil"/>
    <s v="Non, pas du tout"/>
    <s v="Non"/>
    <m/>
    <n v="6"/>
    <n v="520"/>
    <s v="Oui"/>
    <s v="Deuxième déplacement"/>
    <n v="6"/>
    <n v="43"/>
    <n v="16"/>
    <n v="27"/>
    <n v="4"/>
    <n v="2"/>
    <n v="0"/>
    <n v="0"/>
    <m/>
    <m/>
    <n v="0"/>
    <n v="0"/>
    <m/>
    <m/>
    <n v="0"/>
    <s v="Il y a eu 2 ménage de 11 idividu venant de naga "/>
    <s v="Oui"/>
    <n v="3"/>
    <n v="28"/>
    <n v="8"/>
    <n v="20"/>
    <n v="3"/>
    <n v="0"/>
    <n v="0"/>
    <m/>
    <n v="0"/>
    <n v="0"/>
    <m/>
    <m/>
    <n v="0"/>
    <n v="0"/>
    <s v="Les 8 nouveaux  réfugiés sont des adolescents  sans parent "/>
    <s v="Non"/>
    <m/>
    <m/>
    <m/>
    <m/>
    <m/>
    <m/>
    <m/>
    <m/>
    <m/>
    <m/>
    <m/>
    <m/>
    <m/>
    <m/>
    <m/>
    <m/>
    <m/>
    <m/>
    <m/>
    <m/>
    <n v="8"/>
    <m/>
    <m/>
    <m/>
    <m/>
    <m/>
    <m/>
    <m/>
    <m/>
    <m/>
    <m/>
    <m/>
    <m/>
    <m/>
    <s v="1"/>
    <s v="1"/>
    <s v="0"/>
    <n v="2"/>
  </r>
  <r>
    <n v="2631838"/>
    <s v="Extrême-Nord"/>
    <s v="CMR004"/>
    <x v="1"/>
    <s v="CMR004002"/>
    <s v="Makary"/>
    <s v="CMR004002009"/>
    <s v="MAK-0141"/>
    <s v="KOUMBOULA"/>
    <m/>
    <x v="1"/>
    <n v="12.285063900000001"/>
    <n v="14.6096343"/>
    <x v="0"/>
    <b v="1"/>
    <b v="0"/>
    <b v="0"/>
    <m/>
    <n v="3"/>
    <s v="Accessible"/>
    <m/>
    <s v="Le village accueille une population"/>
    <s v="Le village est partiellement détruit"/>
    <s v="Intempéries (inondations, tempêtes etc.)"/>
    <m/>
    <s v="Oui"/>
    <s v="Familles d'accueil"/>
    <s v="Non, pas du tout"/>
    <s v="Non"/>
    <m/>
    <n v="21"/>
    <n v="732"/>
    <s v="Oui"/>
    <s v="Premier déplacement"/>
    <n v="21"/>
    <n v="77"/>
    <n v="35"/>
    <n v="42"/>
    <n v="0"/>
    <n v="0"/>
    <n v="21"/>
    <n v="0"/>
    <m/>
    <m/>
    <n v="0"/>
    <n v="0"/>
    <m/>
    <m/>
    <n v="0"/>
    <s v="Aucun changement"/>
    <s v="Non"/>
    <m/>
    <m/>
    <m/>
    <m/>
    <m/>
    <m/>
    <m/>
    <m/>
    <m/>
    <m/>
    <m/>
    <m/>
    <m/>
    <m/>
    <m/>
    <s v="Non"/>
    <m/>
    <m/>
    <m/>
    <m/>
    <m/>
    <m/>
    <m/>
    <m/>
    <m/>
    <m/>
    <m/>
    <m/>
    <m/>
    <m/>
    <m/>
    <m/>
    <m/>
    <m/>
    <m/>
    <m/>
    <n v="0"/>
    <m/>
    <m/>
    <m/>
    <m/>
    <m/>
    <m/>
    <m/>
    <m/>
    <m/>
    <m/>
    <m/>
    <m/>
    <m/>
    <s v="1"/>
    <s v="0"/>
    <s v="0"/>
    <n v="1"/>
  </r>
  <r>
    <n v="2629280"/>
    <s v="Extrême-Nord"/>
    <s v="CMR004"/>
    <x v="1"/>
    <s v="CMR004002"/>
    <s v="Makary"/>
    <s v="CMR004002009"/>
    <s v="MAK-0156"/>
    <s v="KOUMBOULA SITE"/>
    <m/>
    <x v="1"/>
    <n v="12.282849199999999"/>
    <n v="14.6075078"/>
    <x v="0"/>
    <b v="0"/>
    <b v="0"/>
    <b v="1"/>
    <m/>
    <m/>
    <s v="Accessible"/>
    <m/>
    <s v="Le village est entièrement déserté"/>
    <m/>
    <m/>
    <m/>
    <m/>
    <m/>
    <m/>
    <m/>
    <m/>
    <m/>
    <m/>
    <m/>
    <m/>
    <m/>
    <m/>
    <m/>
    <m/>
    <m/>
    <m/>
    <m/>
    <m/>
    <m/>
    <m/>
    <m/>
    <m/>
    <m/>
    <m/>
    <m/>
    <m/>
    <m/>
    <m/>
    <m/>
    <m/>
    <m/>
    <m/>
    <m/>
    <m/>
    <m/>
    <m/>
    <m/>
    <m/>
    <m/>
    <m/>
    <m/>
    <m/>
    <m/>
    <m/>
    <m/>
    <m/>
    <m/>
    <m/>
    <m/>
    <m/>
    <m/>
    <m/>
    <m/>
    <m/>
    <m/>
    <m/>
    <m/>
    <m/>
    <m/>
    <m/>
    <m/>
    <m/>
    <m/>
    <m/>
    <m/>
    <m/>
    <m/>
    <m/>
    <m/>
    <m/>
    <m/>
    <m/>
    <m/>
    <m/>
    <m/>
    <m/>
    <m/>
    <s v="0"/>
    <s v="0"/>
    <s v="0"/>
    <n v="0"/>
  </r>
  <r>
    <n v="2625720"/>
    <s v="Extrême-Nord"/>
    <s v="CMR004"/>
    <x v="1"/>
    <s v="CMR004002"/>
    <s v="Makary"/>
    <s v="CMR004002009"/>
    <s v="MAK-0221"/>
    <s v="KRENACK"/>
    <m/>
    <x v="1"/>
    <n v="12.3623478"/>
    <n v="14.4691341"/>
    <x v="0"/>
    <b v="1"/>
    <b v="0"/>
    <b v="0"/>
    <m/>
    <n v="3"/>
    <s v="Accessible"/>
    <m/>
    <s v="Le village accueille une population"/>
    <s v="Le village est intact (construit)"/>
    <m/>
    <m/>
    <s v="Oui"/>
    <s v="Familles d'accueil"/>
    <s v="Non, pas du tout"/>
    <s v="Non"/>
    <m/>
    <n v="27"/>
    <n v="219"/>
    <s v="Oui"/>
    <s v="Premier déplacement"/>
    <n v="27"/>
    <n v="208"/>
    <n v="100"/>
    <n v="108"/>
    <n v="0"/>
    <n v="27"/>
    <n v="0"/>
    <n v="0"/>
    <m/>
    <m/>
    <n v="0"/>
    <n v="0"/>
    <m/>
    <m/>
    <n v="0"/>
    <s v="Pas de changement "/>
    <s v="Non"/>
    <m/>
    <m/>
    <m/>
    <m/>
    <m/>
    <m/>
    <m/>
    <m/>
    <m/>
    <m/>
    <m/>
    <m/>
    <m/>
    <m/>
    <m/>
    <s v="Non"/>
    <m/>
    <m/>
    <m/>
    <m/>
    <m/>
    <m/>
    <m/>
    <m/>
    <m/>
    <m/>
    <m/>
    <m/>
    <m/>
    <m/>
    <m/>
    <m/>
    <m/>
    <m/>
    <m/>
    <m/>
    <n v="0"/>
    <m/>
    <m/>
    <m/>
    <m/>
    <m/>
    <m/>
    <m/>
    <m/>
    <m/>
    <m/>
    <m/>
    <m/>
    <m/>
    <s v="1"/>
    <s v="0"/>
    <s v="0"/>
    <n v="1"/>
  </r>
  <r>
    <n v="2645444"/>
    <s v="Extrême-Nord"/>
    <s v="CMR004"/>
    <x v="1"/>
    <s v="CMR004002"/>
    <s v="Makary"/>
    <s v="CMR004002009"/>
    <s v="MAK-0051"/>
    <s v="KRENAK"/>
    <m/>
    <x v="1"/>
    <n v="12.575184"/>
    <n v="14.458270600000001"/>
    <x v="0"/>
    <b v="1"/>
    <b v="0"/>
    <b v="1"/>
    <m/>
    <n v="3"/>
    <s v="Accessible"/>
    <m/>
    <s v="Le village accueille une population"/>
    <s v="Le village est partiellement détruit"/>
    <s v="Intempéries (inondations, tempêtes etc.)"/>
    <m/>
    <s v="Oui"/>
    <s v="Familles d'accueil"/>
    <s v="Non, pas du tout"/>
    <s v="Non"/>
    <m/>
    <n v="27"/>
    <n v="462"/>
    <s v="Oui"/>
    <s v="Premier déplacement"/>
    <n v="27"/>
    <n v="164"/>
    <n v="67"/>
    <n v="97"/>
    <n v="12"/>
    <n v="7"/>
    <n v="3"/>
    <n v="5"/>
    <s v="Chez une famille d'accueil (contre loyer)"/>
    <m/>
    <n v="0"/>
    <n v="0"/>
    <m/>
    <m/>
    <n v="0"/>
    <s v="Augmentation des  PDIs de 6 ménages et 27 individue sortants de  karena ,la  peur ."/>
    <s v="Non"/>
    <m/>
    <m/>
    <m/>
    <m/>
    <m/>
    <m/>
    <m/>
    <m/>
    <m/>
    <m/>
    <m/>
    <m/>
    <m/>
    <m/>
    <m/>
    <s v="Non"/>
    <m/>
    <m/>
    <m/>
    <m/>
    <m/>
    <m/>
    <m/>
    <m/>
    <m/>
    <m/>
    <m/>
    <m/>
    <m/>
    <m/>
    <m/>
    <m/>
    <m/>
    <m/>
    <m/>
    <m/>
    <n v="0"/>
    <m/>
    <m/>
    <m/>
    <m/>
    <m/>
    <m/>
    <m/>
    <m/>
    <m/>
    <m/>
    <m/>
    <m/>
    <m/>
    <s v="1"/>
    <s v="0"/>
    <s v="0"/>
    <n v="1"/>
  </r>
  <r>
    <n v="2646369"/>
    <s v="Extrême-Nord"/>
    <s v="CMR004"/>
    <x v="1"/>
    <s v="CMR004002"/>
    <s v="Makary"/>
    <s v="CMR004002009"/>
    <s v="MAK-0222"/>
    <s v="LABADO"/>
    <m/>
    <x v="1"/>
    <n v="12.3441423"/>
    <n v="14.5465286"/>
    <x v="0"/>
    <b v="1"/>
    <b v="0"/>
    <b v="0"/>
    <m/>
    <n v="3"/>
    <s v="Accessible"/>
    <m/>
    <s v="Le village accueille une population"/>
    <s v="Le village est intact (construit)"/>
    <m/>
    <m/>
    <s v="Oui"/>
    <s v="Familles d'accueil"/>
    <s v="Non, pas du tout"/>
    <s v="Non"/>
    <m/>
    <n v="5"/>
    <n v="150"/>
    <s v="Oui"/>
    <s v="Premier déplacement"/>
    <n v="5"/>
    <n v="20"/>
    <n v="15"/>
    <n v="5"/>
    <n v="0"/>
    <n v="5"/>
    <n v="0"/>
    <n v="0"/>
    <m/>
    <m/>
    <n v="0"/>
    <n v="0"/>
    <m/>
    <m/>
    <n v="0"/>
    <s v="Pas de changement."/>
    <s v="Oui"/>
    <n v="15"/>
    <n v="50"/>
    <n v="35"/>
    <n v="15"/>
    <n v="15"/>
    <n v="0"/>
    <n v="0"/>
    <m/>
    <n v="0"/>
    <n v="0"/>
    <m/>
    <m/>
    <n v="0"/>
    <n v="0"/>
    <s v="Pas de changement."/>
    <s v="Non"/>
    <m/>
    <m/>
    <m/>
    <m/>
    <m/>
    <m/>
    <m/>
    <m/>
    <m/>
    <m/>
    <m/>
    <m/>
    <m/>
    <m/>
    <m/>
    <m/>
    <m/>
    <m/>
    <m/>
    <m/>
    <n v="0"/>
    <m/>
    <m/>
    <m/>
    <m/>
    <m/>
    <m/>
    <m/>
    <m/>
    <m/>
    <m/>
    <m/>
    <m/>
    <m/>
    <s v="1"/>
    <s v="1"/>
    <s v="0"/>
    <n v="2"/>
  </r>
  <r>
    <n v="2646368"/>
    <s v="Extrême-Nord"/>
    <s v="CMR004"/>
    <x v="1"/>
    <s v="CMR004002"/>
    <s v="Makary"/>
    <s v="CMR004002009"/>
    <s v="MAK-0206"/>
    <s v="LABADO SITE"/>
    <m/>
    <x v="1"/>
    <n v="12.346339199999999"/>
    <n v="14.5434477"/>
    <x v="0"/>
    <b v="1"/>
    <b v="0"/>
    <b v="0"/>
    <m/>
    <n v="3"/>
    <s v="Accessible"/>
    <m/>
    <s v="Le village accueille une population"/>
    <s v="Le village est intact (construit)"/>
    <m/>
    <m/>
    <s v="Oui"/>
    <s v="Sites de déplacement spontanés"/>
    <s v="Non, pas du tout"/>
    <s v="Non"/>
    <m/>
    <n v="110"/>
    <n v="1716"/>
    <s v="Oui"/>
    <s v="Premier déplacement"/>
    <n v="110"/>
    <n v="1000"/>
    <n v="750"/>
    <n v="250"/>
    <n v="0"/>
    <n v="0"/>
    <n v="0"/>
    <n v="0"/>
    <m/>
    <m/>
    <n v="0"/>
    <n v="110"/>
    <s v="Terre cuite/Terre battue"/>
    <m/>
    <n v="0"/>
    <s v="Pas de changement."/>
    <s v="Non"/>
    <m/>
    <m/>
    <m/>
    <m/>
    <m/>
    <m/>
    <m/>
    <m/>
    <m/>
    <m/>
    <m/>
    <m/>
    <m/>
    <m/>
    <m/>
    <s v="Non"/>
    <m/>
    <m/>
    <m/>
    <m/>
    <m/>
    <m/>
    <m/>
    <m/>
    <m/>
    <m/>
    <m/>
    <m/>
    <m/>
    <m/>
    <m/>
    <m/>
    <m/>
    <m/>
    <m/>
    <m/>
    <n v="0"/>
    <m/>
    <m/>
    <m/>
    <m/>
    <m/>
    <m/>
    <m/>
    <m/>
    <m/>
    <m/>
    <m/>
    <m/>
    <m/>
    <s v="1"/>
    <s v="0"/>
    <s v="0"/>
    <n v="1"/>
  </r>
  <r>
    <n v="2590774"/>
    <s v="Extrême-Nord"/>
    <s v="CMR004"/>
    <x v="1"/>
    <s v="CMR004002"/>
    <s v="Makary"/>
    <s v="CMR004002009"/>
    <s v="MAK-0052"/>
    <s v="LAFIA-ARABE"/>
    <m/>
    <x v="0"/>
    <n v="12.545443799999999"/>
    <n v="14.627867"/>
    <x v="0"/>
    <b v="1"/>
    <b v="0"/>
    <b v="1"/>
    <m/>
    <n v="3"/>
    <s v="Accessible"/>
    <m/>
    <s v="Le village accueille une population"/>
    <s v="Le village est partiellement détruit"/>
    <s v="Intempéries (inondations, tempêtes etc.)"/>
    <m/>
    <s v="Oui"/>
    <s v="Familles d'accueil"/>
    <s v="Non, pas du tout"/>
    <s v="Non"/>
    <m/>
    <n v="19"/>
    <n v="809"/>
    <s v="Oui"/>
    <s v="Premier déplacement"/>
    <n v="19"/>
    <n v="98"/>
    <n v="46"/>
    <n v="52"/>
    <n v="4"/>
    <n v="3"/>
    <n v="7"/>
    <n v="5"/>
    <s v="Chez une famille d'accueil (contre loyer)"/>
    <m/>
    <n v="0"/>
    <n v="0"/>
    <m/>
    <m/>
    <n v="0"/>
    <s v="Augmentation de 10 PDi et  morts de  3 de  leur  enfants"/>
    <s v="Non"/>
    <m/>
    <m/>
    <m/>
    <m/>
    <m/>
    <m/>
    <m/>
    <m/>
    <m/>
    <m/>
    <m/>
    <m/>
    <m/>
    <m/>
    <m/>
    <s v="Non"/>
    <m/>
    <m/>
    <m/>
    <m/>
    <m/>
    <m/>
    <m/>
    <m/>
    <m/>
    <m/>
    <m/>
    <m/>
    <m/>
    <m/>
    <m/>
    <m/>
    <m/>
    <m/>
    <m/>
    <m/>
    <n v="0"/>
    <m/>
    <m/>
    <m/>
    <m/>
    <m/>
    <m/>
    <m/>
    <m/>
    <m/>
    <m/>
    <m/>
    <m/>
    <m/>
    <s v="1"/>
    <s v="0"/>
    <s v="0"/>
    <n v="1"/>
  </r>
  <r>
    <n v="2648094"/>
    <s v="Extrême-Nord"/>
    <s v="CMR004"/>
    <x v="1"/>
    <s v="CMR004002"/>
    <s v="Makary"/>
    <s v="CMR004002009"/>
    <s v="MAK-0053"/>
    <s v="MADA"/>
    <m/>
    <x v="1"/>
    <n v="12.635963200000001"/>
    <n v="14.4730645"/>
    <x v="0"/>
    <b v="1"/>
    <b v="0"/>
    <b v="0"/>
    <m/>
    <n v="5"/>
    <s v="Accessible"/>
    <m/>
    <s v="Le village accueille une population"/>
    <s v="Le village est intact (construit)"/>
    <m/>
    <m/>
    <s v="Oui"/>
    <s v="Familles d'accueil"/>
    <s v="Non, pas du tout"/>
    <s v="Non"/>
    <m/>
    <n v="211"/>
    <n v="1277"/>
    <s v="Oui"/>
    <s v="Premier déplacement"/>
    <n v="211"/>
    <n v="847"/>
    <n v="347"/>
    <n v="500"/>
    <n v="100"/>
    <n v="111"/>
    <n v="0"/>
    <n v="0"/>
    <m/>
    <m/>
    <n v="0"/>
    <n v="0"/>
    <m/>
    <m/>
    <n v="0"/>
    <s v="Pas de changement "/>
    <s v="Non"/>
    <m/>
    <m/>
    <m/>
    <m/>
    <m/>
    <m/>
    <m/>
    <m/>
    <m/>
    <m/>
    <m/>
    <m/>
    <m/>
    <m/>
    <m/>
    <s v="Non"/>
    <m/>
    <m/>
    <m/>
    <m/>
    <m/>
    <m/>
    <m/>
    <m/>
    <m/>
    <m/>
    <m/>
    <m/>
    <m/>
    <m/>
    <m/>
    <m/>
    <m/>
    <m/>
    <m/>
    <m/>
    <n v="0"/>
    <m/>
    <m/>
    <m/>
    <m/>
    <m/>
    <m/>
    <m/>
    <m/>
    <m/>
    <m/>
    <m/>
    <m/>
    <m/>
    <s v="1"/>
    <s v="0"/>
    <s v="0"/>
    <n v="1"/>
  </r>
  <r>
    <n v="2722674"/>
    <s v="Extrême-Nord"/>
    <s v="CMR004"/>
    <x v="1"/>
    <s v="CMR004002"/>
    <s v="Makary"/>
    <s v="CMR004002009"/>
    <s v="MAK-0070"/>
    <s v="MADEGOUA"/>
    <m/>
    <x v="1"/>
    <n v="12.596175000000001"/>
    <n v="14.369558700000001"/>
    <x v="0"/>
    <b v="1"/>
    <b v="0"/>
    <b v="0"/>
    <m/>
    <n v="3"/>
    <s v="Accessible"/>
    <m/>
    <s v="Le village accueille une population"/>
    <s v="Le village est intact (construit)"/>
    <m/>
    <m/>
    <s v="Oui"/>
    <s v="Familles d'accueil"/>
    <s v="Non, pas du tout"/>
    <s v="Non"/>
    <m/>
    <n v="22"/>
    <n v="336"/>
    <s v="Oui"/>
    <s v="Premier déplacement"/>
    <n v="22"/>
    <n v="170"/>
    <n v="108"/>
    <n v="62"/>
    <n v="0"/>
    <n v="22"/>
    <n v="0"/>
    <n v="0"/>
    <m/>
    <m/>
    <n v="0"/>
    <n v="0"/>
    <m/>
    <m/>
    <n v="0"/>
    <s v="Pas de changement "/>
    <s v="Non"/>
    <m/>
    <m/>
    <m/>
    <m/>
    <m/>
    <m/>
    <m/>
    <m/>
    <m/>
    <m/>
    <m/>
    <m/>
    <m/>
    <m/>
    <m/>
    <s v="Oui"/>
    <n v="10"/>
    <n v="45"/>
    <n v="20"/>
    <n v="25"/>
    <s v="5 ans ou plus"/>
    <n v="0"/>
    <n v="0"/>
    <n v="10"/>
    <n v="0"/>
    <n v="0"/>
    <m/>
    <n v="0"/>
    <n v="0"/>
    <m/>
    <n v="0"/>
    <m/>
    <m/>
    <m/>
    <m/>
    <m/>
    <n v="0"/>
    <m/>
    <m/>
    <m/>
    <m/>
    <m/>
    <m/>
    <m/>
    <m/>
    <m/>
    <m/>
    <m/>
    <m/>
    <m/>
    <s v="1"/>
    <s v="0"/>
    <s v="1"/>
    <n v="2"/>
  </r>
  <r>
    <n v="2625726"/>
    <s v="Extrême-Nord"/>
    <s v="CMR004"/>
    <x v="1"/>
    <s v="CMR004002"/>
    <s v="Makary"/>
    <s v="CMR004002009"/>
    <s v="MAK-0054"/>
    <s v="MADINA 1"/>
    <m/>
    <x v="1"/>
    <n v="12.354443399999999"/>
    <n v="14.5066314"/>
    <x v="0"/>
    <b v="1"/>
    <b v="0"/>
    <b v="0"/>
    <m/>
    <n v="3"/>
    <s v="Accessible"/>
    <m/>
    <s v="Le village accueille une population"/>
    <s v="Le village est intact (construit)"/>
    <m/>
    <m/>
    <s v="Oui"/>
    <s v="Familles d'accueil"/>
    <s v="Non, pas du tout"/>
    <s v="Non"/>
    <m/>
    <n v="4"/>
    <n v="115"/>
    <s v="Oui"/>
    <s v="Premier déplacement"/>
    <n v="4"/>
    <n v="15"/>
    <n v="10"/>
    <n v="5"/>
    <n v="0"/>
    <n v="4"/>
    <n v="0"/>
    <n v="0"/>
    <m/>
    <m/>
    <n v="0"/>
    <n v="0"/>
    <m/>
    <m/>
    <n v="0"/>
    <s v="Pas de changement "/>
    <s v="Non"/>
    <m/>
    <m/>
    <m/>
    <m/>
    <m/>
    <m/>
    <m/>
    <m/>
    <m/>
    <m/>
    <m/>
    <m/>
    <m/>
    <m/>
    <m/>
    <s v="Non"/>
    <m/>
    <m/>
    <m/>
    <m/>
    <m/>
    <m/>
    <m/>
    <m/>
    <m/>
    <m/>
    <m/>
    <m/>
    <m/>
    <m/>
    <m/>
    <m/>
    <m/>
    <m/>
    <m/>
    <m/>
    <n v="0"/>
    <m/>
    <m/>
    <m/>
    <m/>
    <m/>
    <m/>
    <m/>
    <m/>
    <m/>
    <m/>
    <m/>
    <m/>
    <m/>
    <s v="1"/>
    <s v="0"/>
    <s v="0"/>
    <n v="1"/>
  </r>
  <r>
    <n v="2630807"/>
    <s v="Extrême-Nord"/>
    <s v="CMR004"/>
    <x v="1"/>
    <s v="CMR004002"/>
    <s v="Makary"/>
    <s v="CMR004002009"/>
    <s v="MAK-0055"/>
    <s v="MADINA 2"/>
    <m/>
    <x v="1"/>
    <n v="12.351875"/>
    <n v="14.516569799999999"/>
    <x v="0"/>
    <b v="1"/>
    <b v="0"/>
    <b v="0"/>
    <m/>
    <n v="3"/>
    <s v="Accessible"/>
    <m/>
    <s v="Le village accueille une population"/>
    <s v="Le village est intact (construit)"/>
    <m/>
    <m/>
    <s v="Oui"/>
    <s v="Familles d'accueil"/>
    <s v="Non, pas du tout"/>
    <s v="Non"/>
    <m/>
    <n v="10"/>
    <n v="130"/>
    <s v="Oui"/>
    <s v="Premier déplacement"/>
    <n v="10"/>
    <n v="56"/>
    <n v="25"/>
    <n v="31"/>
    <n v="0"/>
    <n v="10"/>
    <n v="0"/>
    <n v="0"/>
    <m/>
    <m/>
    <n v="0"/>
    <n v="0"/>
    <m/>
    <m/>
    <n v="0"/>
    <s v="Pas de changement"/>
    <s v="Non"/>
    <m/>
    <m/>
    <m/>
    <m/>
    <m/>
    <m/>
    <m/>
    <m/>
    <m/>
    <m/>
    <m/>
    <m/>
    <m/>
    <m/>
    <m/>
    <s v="Non"/>
    <m/>
    <m/>
    <m/>
    <m/>
    <m/>
    <m/>
    <m/>
    <m/>
    <m/>
    <m/>
    <m/>
    <m/>
    <m/>
    <m/>
    <m/>
    <m/>
    <m/>
    <m/>
    <m/>
    <m/>
    <n v="0"/>
    <m/>
    <m/>
    <m/>
    <m/>
    <m/>
    <m/>
    <m/>
    <m/>
    <m/>
    <m/>
    <m/>
    <m/>
    <m/>
    <s v="1"/>
    <s v="0"/>
    <s v="0"/>
    <n v="1"/>
  </r>
  <r>
    <n v="2621750"/>
    <s v="Extrême-Nord"/>
    <s v="CMR004"/>
    <x v="1"/>
    <s v="CMR004002"/>
    <s v="Makary"/>
    <s v="CMR004002009"/>
    <s v="MAK-0056"/>
    <s v="MAFANDE"/>
    <m/>
    <x v="1"/>
    <n v="12.4553309"/>
    <n v="14.3798884"/>
    <x v="0"/>
    <b v="1"/>
    <b v="0"/>
    <b v="0"/>
    <m/>
    <n v="3"/>
    <s v="Accessible"/>
    <m/>
    <s v="Le village accueille une population"/>
    <s v="Le village est intact (construit)"/>
    <m/>
    <m/>
    <s v="Oui"/>
    <s v="Familles d'accueil"/>
    <s v="Non, pas du tout"/>
    <s v="Non"/>
    <m/>
    <n v="20"/>
    <n v="1700"/>
    <s v="Oui"/>
    <s v="Premier déplacement"/>
    <n v="20"/>
    <n v="56"/>
    <n v="25"/>
    <n v="31"/>
    <n v="0"/>
    <n v="20"/>
    <n v="0"/>
    <n v="0"/>
    <m/>
    <m/>
    <n v="0"/>
    <n v="0"/>
    <m/>
    <m/>
    <n v="0"/>
    <s v="Ras "/>
    <s v="Non"/>
    <m/>
    <m/>
    <m/>
    <m/>
    <m/>
    <m/>
    <m/>
    <m/>
    <m/>
    <m/>
    <m/>
    <m/>
    <m/>
    <m/>
    <m/>
    <s v="Non"/>
    <m/>
    <m/>
    <m/>
    <m/>
    <m/>
    <m/>
    <m/>
    <m/>
    <m/>
    <m/>
    <m/>
    <m/>
    <m/>
    <m/>
    <m/>
    <m/>
    <m/>
    <m/>
    <m/>
    <m/>
    <n v="0"/>
    <m/>
    <m/>
    <m/>
    <m/>
    <m/>
    <m/>
    <m/>
    <m/>
    <m/>
    <m/>
    <m/>
    <m/>
    <m/>
    <s v="1"/>
    <s v="0"/>
    <s v="0"/>
    <n v="1"/>
  </r>
  <r>
    <n v="2626952"/>
    <s v="Extrême-Nord"/>
    <s v="CMR004"/>
    <x v="1"/>
    <s v="CMR004002"/>
    <s v="Makary"/>
    <s v="CMR004002009"/>
    <s v="MAK-0057"/>
    <s v="MAFOUFOU"/>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592210"/>
    <s v="Extrême-Nord"/>
    <s v="CMR004"/>
    <x v="1"/>
    <s v="CMR004002"/>
    <s v="Makary"/>
    <s v="CMR004002009"/>
    <s v="MAK-0058"/>
    <s v="MAKARY CENTRE"/>
    <m/>
    <x v="0"/>
    <n v="12.5845053"/>
    <n v="14.4548659"/>
    <x v="0"/>
    <b v="1"/>
    <b v="0"/>
    <b v="0"/>
    <m/>
    <n v="3"/>
    <s v="Accessible"/>
    <m/>
    <s v="Le village accueille une population"/>
    <s v="Le village est intact (construit)"/>
    <m/>
    <m/>
    <s v="Oui"/>
    <s v="Sites de déplacement spontanés"/>
    <s v="Non, pas du tout"/>
    <s v="Non"/>
    <m/>
    <n v="5869"/>
    <n v="19855"/>
    <s v="Oui"/>
    <s v="Premier déplacement"/>
    <n v="5869"/>
    <n v="16341"/>
    <n v="3285"/>
    <n v="13056"/>
    <n v="0"/>
    <n v="2356"/>
    <n v="0"/>
    <n v="3513"/>
    <s v="Chez une famille d'accueil (contre loyer)"/>
    <m/>
    <n v="0"/>
    <n v="0"/>
    <m/>
    <m/>
    <n v="0"/>
    <s v="Pas de changement"/>
    <s v="Non"/>
    <m/>
    <m/>
    <m/>
    <m/>
    <m/>
    <m/>
    <m/>
    <m/>
    <m/>
    <m/>
    <m/>
    <m/>
    <m/>
    <m/>
    <m/>
    <s v="Non"/>
    <m/>
    <m/>
    <m/>
    <m/>
    <m/>
    <m/>
    <m/>
    <m/>
    <m/>
    <m/>
    <m/>
    <m/>
    <m/>
    <m/>
    <m/>
    <m/>
    <m/>
    <m/>
    <m/>
    <m/>
    <n v="0"/>
    <m/>
    <m/>
    <m/>
    <m/>
    <m/>
    <m/>
    <m/>
    <m/>
    <m/>
    <m/>
    <m/>
    <m/>
    <m/>
    <s v="1"/>
    <s v="0"/>
    <s v="0"/>
    <n v="1"/>
  </r>
  <r>
    <n v="2666352"/>
    <s v="Extrême-Nord"/>
    <s v="CMR004"/>
    <x v="1"/>
    <s v="CMR004002"/>
    <s v="Makary"/>
    <s v="CMR004002009"/>
    <s v="MAK-0059"/>
    <s v="MALADI"/>
    <m/>
    <x v="0"/>
    <n v="12.474033"/>
    <n v="14.485826899999999"/>
    <x v="0"/>
    <b v="1"/>
    <b v="0"/>
    <b v="0"/>
    <m/>
    <n v="3"/>
    <s v="Accessible"/>
    <m/>
    <s v="Le village accueille une population"/>
    <s v="Le village est partiellement détruit"/>
    <s v="Intempéries (inondations, tempêtes etc.)"/>
    <m/>
    <s v="Oui"/>
    <s v="Familles d'accueil"/>
    <s v="Non, pas du tout"/>
    <s v="Non"/>
    <m/>
    <n v="32"/>
    <n v="5593"/>
    <s v="Oui"/>
    <s v="Deuxième déplacement"/>
    <n v="32"/>
    <n v="169"/>
    <n v="65"/>
    <n v="104"/>
    <n v="27"/>
    <n v="5"/>
    <n v="0"/>
    <n v="0"/>
    <m/>
    <m/>
    <n v="0"/>
    <n v="0"/>
    <m/>
    <m/>
    <n v="0"/>
    <s v="Les nouveaux points ont besoin des bâtiments "/>
    <s v="Oui"/>
    <n v="2"/>
    <n v="5"/>
    <n v="2"/>
    <n v="3"/>
    <n v="2"/>
    <n v="0"/>
    <n v="0"/>
    <m/>
    <n v="0"/>
    <n v="0"/>
    <m/>
    <m/>
    <n v="0"/>
    <n v="0"/>
    <s v="Les nouveaux réfugiés  veulent rester  dans le village actuel  mais futé de ressources de base"/>
    <s v="Non"/>
    <m/>
    <m/>
    <m/>
    <m/>
    <m/>
    <m/>
    <m/>
    <m/>
    <m/>
    <m/>
    <m/>
    <m/>
    <m/>
    <m/>
    <m/>
    <m/>
    <m/>
    <m/>
    <m/>
    <m/>
    <n v="0"/>
    <m/>
    <m/>
    <m/>
    <m/>
    <m/>
    <m/>
    <m/>
    <m/>
    <m/>
    <m/>
    <m/>
    <m/>
    <m/>
    <s v="1"/>
    <s v="1"/>
    <s v="0"/>
    <n v="2"/>
  </r>
  <r>
    <n v="2639008"/>
    <s v="Extrême-Nord"/>
    <s v="CMR004"/>
    <x v="1"/>
    <s v="CMR004002"/>
    <s v="Makary"/>
    <s v="CMR004002009"/>
    <s v="MAK-0060"/>
    <s v="MALIE"/>
    <m/>
    <x v="1"/>
    <n v="12.3953164"/>
    <n v="14.64134589999999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66000"/>
    <s v="Extrême-Nord"/>
    <s v="CMR004"/>
    <x v="1"/>
    <s v="CMR004002"/>
    <s v="Makary"/>
    <s v="CMR004002009"/>
    <s v="MAK-0061"/>
    <s v="MALTAM"/>
    <m/>
    <x v="1"/>
    <n v="12.1800164"/>
    <n v="14.8150233"/>
    <x v="0"/>
    <b v="1"/>
    <b v="0"/>
    <b v="0"/>
    <m/>
    <n v="3"/>
    <s v="Accessible"/>
    <m/>
    <s v="Le village accueille une population"/>
    <s v="Le village est intact (construit)"/>
    <m/>
    <m/>
    <s v="Oui"/>
    <s v="Familles d'accueil"/>
    <s v="Non, pas du tout"/>
    <s v="Non"/>
    <m/>
    <n v="40"/>
    <n v="1275"/>
    <s v="Oui"/>
    <s v="Premier déplacement"/>
    <n v="40"/>
    <n v="670"/>
    <n v="220"/>
    <n v="450"/>
    <n v="20"/>
    <n v="14"/>
    <n v="4"/>
    <n v="2"/>
    <s v="Chez une famille d'accueil (contre loyer)"/>
    <m/>
    <n v="0"/>
    <n v="0"/>
    <m/>
    <m/>
    <n v="0"/>
    <s v="Augmentation de la population dû à l'inondation en provenance de maltam goulfé"/>
    <s v="Oui"/>
    <n v="5"/>
    <n v="58"/>
    <n v="27"/>
    <n v="31"/>
    <n v="5"/>
    <n v="0"/>
    <n v="0"/>
    <m/>
    <n v="0"/>
    <n v="0"/>
    <m/>
    <m/>
    <n v="0"/>
    <n v="5"/>
    <s v="L'augmentation des individus est dû ici au naissance, il y'a pas eu des nouveaux venus"/>
    <s v="Oui"/>
    <n v="20"/>
    <n v="102"/>
    <n v="33"/>
    <n v="69"/>
    <s v="Entre 3 mois et 1 an"/>
    <n v="5"/>
    <n v="5"/>
    <n v="10"/>
    <n v="0"/>
    <n v="0"/>
    <m/>
    <n v="0"/>
    <n v="0"/>
    <m/>
    <n v="0"/>
    <m/>
    <m/>
    <m/>
    <m/>
    <m/>
    <n v="0"/>
    <m/>
    <m/>
    <m/>
    <m/>
    <m/>
    <m/>
    <m/>
    <m/>
    <m/>
    <m/>
    <m/>
    <m/>
    <m/>
    <s v="1"/>
    <s v="1"/>
    <s v="1"/>
    <n v="3"/>
  </r>
  <r>
    <n v="2650790"/>
    <s v="Extrême-Nord"/>
    <s v="CMR004"/>
    <x v="1"/>
    <s v="CMR004002"/>
    <s v="Makary"/>
    <s v="CMR004002009"/>
    <s v="MAK-0227"/>
    <s v="MALTAM (QUARTIER TOUPOURI)"/>
    <m/>
    <x v="1"/>
    <n v="12.177145700000001"/>
    <n v="14.819702899999999"/>
    <x v="0"/>
    <b v="1"/>
    <b v="0"/>
    <b v="0"/>
    <m/>
    <n v="3"/>
    <s v="Accessible"/>
    <m/>
    <s v="Le village accueille une population"/>
    <s v="Le village est intact (construit)"/>
    <m/>
    <m/>
    <s v="Oui"/>
    <s v="Familles d'accueil"/>
    <s v="Sites de déplacement spontanés"/>
    <s v="Non"/>
    <m/>
    <n v="20"/>
    <n v="440"/>
    <s v="Oui"/>
    <s v="Premier déplacement"/>
    <n v="20"/>
    <n v="202"/>
    <n v="127"/>
    <n v="75"/>
    <n v="4"/>
    <n v="6"/>
    <n v="0"/>
    <n v="0"/>
    <m/>
    <m/>
    <n v="0"/>
    <n v="10"/>
    <s v="Paille/Natte/Nylon"/>
    <m/>
    <n v="0"/>
    <s v="Augmentation des ménages dû à l'inondation en provenance de maltam goulfé1, les ménages sont dans des abris spontanés et on besoin d'assistance"/>
    <s v="Non"/>
    <m/>
    <m/>
    <m/>
    <m/>
    <m/>
    <m/>
    <m/>
    <m/>
    <m/>
    <m/>
    <m/>
    <m/>
    <m/>
    <m/>
    <m/>
    <s v="Non"/>
    <m/>
    <m/>
    <m/>
    <m/>
    <m/>
    <m/>
    <m/>
    <m/>
    <m/>
    <m/>
    <m/>
    <m/>
    <m/>
    <m/>
    <m/>
    <m/>
    <m/>
    <m/>
    <m/>
    <m/>
    <n v="0"/>
    <m/>
    <m/>
    <m/>
    <m/>
    <m/>
    <m/>
    <m/>
    <m/>
    <m/>
    <m/>
    <m/>
    <m/>
    <m/>
    <s v="1"/>
    <s v="0"/>
    <s v="0"/>
    <n v="1"/>
  </r>
  <r>
    <n v="2650789"/>
    <s v="Extrême-Nord"/>
    <s v="CMR004"/>
    <x v="1"/>
    <s v="CMR004002"/>
    <s v="Makary"/>
    <s v="CMR004002009"/>
    <s v="MAK-0228"/>
    <s v="MALTAM CENTRE"/>
    <m/>
    <x v="1"/>
    <n v="12.1811679"/>
    <n v="14.8183136"/>
    <x v="0"/>
    <b v="1"/>
    <b v="0"/>
    <b v="0"/>
    <m/>
    <n v="3"/>
    <s v="Accessible"/>
    <m/>
    <s v="Le village accueille une population"/>
    <s v="Le village est intact (construit)"/>
    <m/>
    <m/>
    <s v="Oui"/>
    <s v="Familles d'accueil"/>
    <s v="Non, pas du tout"/>
    <s v="Non"/>
    <m/>
    <n v="60"/>
    <n v="4072"/>
    <s v="Oui"/>
    <s v="Premier déplacement"/>
    <n v="60"/>
    <n v="462"/>
    <n v="349"/>
    <n v="113"/>
    <n v="10"/>
    <n v="40"/>
    <n v="10"/>
    <n v="0"/>
    <m/>
    <m/>
    <n v="0"/>
    <n v="0"/>
    <m/>
    <m/>
    <n v="0"/>
    <s v="Augmentation de la population dû à l'inondation en provenance de maltam goulfé."/>
    <s v="Non"/>
    <m/>
    <m/>
    <m/>
    <m/>
    <m/>
    <m/>
    <m/>
    <m/>
    <m/>
    <m/>
    <m/>
    <m/>
    <m/>
    <m/>
    <m/>
    <s v="Non"/>
    <m/>
    <m/>
    <m/>
    <m/>
    <m/>
    <m/>
    <m/>
    <m/>
    <m/>
    <m/>
    <m/>
    <m/>
    <m/>
    <m/>
    <m/>
    <m/>
    <m/>
    <m/>
    <m/>
    <m/>
    <n v="0"/>
    <m/>
    <m/>
    <m/>
    <m/>
    <m/>
    <m/>
    <m/>
    <m/>
    <m/>
    <m/>
    <m/>
    <m/>
    <m/>
    <s v="1"/>
    <s v="0"/>
    <s v="0"/>
    <n v="1"/>
  </r>
  <r>
    <n v="2592223"/>
    <s v="Extrême-Nord"/>
    <s v="CMR004"/>
    <x v="1"/>
    <s v="CMR004002"/>
    <s v="Makary"/>
    <s v="CMR004002009"/>
    <s v="MAK-0062"/>
    <s v="MANAWADJI"/>
    <m/>
    <x v="1"/>
    <n v="12.640204199999999"/>
    <n v="14.279120900000001"/>
    <x v="0"/>
    <b v="1"/>
    <b v="0"/>
    <b v="0"/>
    <m/>
    <n v="3"/>
    <s v="Accessible"/>
    <m/>
    <s v="Le village accueille une population"/>
    <s v="Le village est intact (construit)"/>
    <m/>
    <m/>
    <s v="Oui"/>
    <s v="Familles d'accueil"/>
    <s v="Non, pas du tout"/>
    <s v="Non"/>
    <m/>
    <n v="24"/>
    <n v="2615"/>
    <s v="Oui"/>
    <s v="Premier déplacement"/>
    <n v="24"/>
    <n v="347"/>
    <n v="204"/>
    <n v="143"/>
    <n v="0"/>
    <n v="24"/>
    <n v="0"/>
    <n v="0"/>
    <m/>
    <m/>
    <n v="0"/>
    <n v="0"/>
    <m/>
    <m/>
    <n v="0"/>
    <s v="Aucun changement "/>
    <s v="Non"/>
    <m/>
    <m/>
    <m/>
    <m/>
    <m/>
    <m/>
    <m/>
    <m/>
    <m/>
    <m/>
    <m/>
    <m/>
    <m/>
    <m/>
    <m/>
    <s v="Non"/>
    <m/>
    <m/>
    <m/>
    <m/>
    <m/>
    <m/>
    <m/>
    <m/>
    <m/>
    <m/>
    <m/>
    <m/>
    <m/>
    <m/>
    <m/>
    <m/>
    <m/>
    <m/>
    <m/>
    <m/>
    <n v="0"/>
    <m/>
    <m/>
    <m/>
    <m/>
    <m/>
    <m/>
    <m/>
    <m/>
    <m/>
    <m/>
    <m/>
    <m/>
    <m/>
    <s v="1"/>
    <s v="0"/>
    <s v="0"/>
    <n v="1"/>
  </r>
  <r>
    <n v="2602651"/>
    <s v="Extrême-Nord"/>
    <s v="CMR004"/>
    <x v="1"/>
    <s v="CMR004002"/>
    <s v="Makary"/>
    <s v="CMR004002009"/>
    <s v="MAK-0063"/>
    <s v="MANDA 1"/>
    <m/>
    <x v="1"/>
    <n v="12.548860899999999"/>
    <n v="14.382910499999999"/>
    <x v="0"/>
    <b v="1"/>
    <b v="0"/>
    <b v="0"/>
    <m/>
    <n v="3"/>
    <s v="Accessible"/>
    <m/>
    <s v="Le village accueille une population"/>
    <s v="Le village est partiellement détruit"/>
    <s v="Intempéries (inondations, tempêtes etc.)"/>
    <m/>
    <s v="Oui"/>
    <s v="Familles d'accueil"/>
    <s v="Non, pas du tout"/>
    <s v="Non"/>
    <m/>
    <n v="16"/>
    <n v="204"/>
    <s v="Oui"/>
    <s v="Premier déplacement"/>
    <n v="16"/>
    <n v="120"/>
    <n v="54"/>
    <n v="66"/>
    <n v="5"/>
    <n v="11"/>
    <n v="0"/>
    <n v="0"/>
    <m/>
    <m/>
    <n v="0"/>
    <n v="0"/>
    <m/>
    <m/>
    <n v="0"/>
    <s v="Augmentation de 2 ménages pour 6 individus  venus de tchika dans l'arrondissement de hile alifa"/>
    <s v="Non"/>
    <m/>
    <m/>
    <m/>
    <m/>
    <m/>
    <m/>
    <m/>
    <m/>
    <m/>
    <m/>
    <m/>
    <m/>
    <m/>
    <m/>
    <m/>
    <s v="Oui"/>
    <n v="1"/>
    <n v="3"/>
    <n v="0"/>
    <n v="3"/>
    <s v="Moins de 3 mois"/>
    <n v="0"/>
    <n v="0"/>
    <n v="1"/>
    <n v="0"/>
    <n v="0"/>
    <m/>
    <n v="0"/>
    <n v="0"/>
    <m/>
    <n v="0"/>
    <m/>
    <m/>
    <m/>
    <m/>
    <m/>
    <n v="0"/>
    <m/>
    <m/>
    <m/>
    <m/>
    <m/>
    <m/>
    <m/>
    <m/>
    <m/>
    <m/>
    <m/>
    <m/>
    <m/>
    <s v="1"/>
    <s v="0"/>
    <s v="1"/>
    <n v="2"/>
  </r>
  <r>
    <n v="2647171"/>
    <s v="Extrême-Nord"/>
    <s v="CMR004"/>
    <x v="1"/>
    <s v="CMR004002"/>
    <s v="Makary"/>
    <s v="CMR004002009"/>
    <s v="MAK-0112"/>
    <s v="MANIGUEIDE"/>
    <m/>
    <x v="1"/>
    <n v="12.2393362"/>
    <n v="14.642441"/>
    <x v="0"/>
    <b v="0"/>
    <b v="0"/>
    <b v="1"/>
    <m/>
    <m/>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14633"/>
    <s v="Extrême-Nord"/>
    <s v="CMR004"/>
    <x v="1"/>
    <s v="CMR004002"/>
    <s v="Makary"/>
    <s v="CMR004002009"/>
    <s v="MAK-0064"/>
    <s v="MARGUI"/>
    <m/>
    <x v="1"/>
    <n v="12.5644051"/>
    <n v="14.3882233"/>
    <x v="0"/>
    <b v="1"/>
    <b v="0"/>
    <b v="0"/>
    <m/>
    <n v="4"/>
    <s v="Accessible"/>
    <m/>
    <s v="Le village accueille une population"/>
    <s v="Le village est partiellement détruit"/>
    <s v="Intempéries (inondations, tempêtes etc.)"/>
    <m/>
    <s v="Oui"/>
    <s v="Familles d'accueil"/>
    <s v="Non, pas du tout"/>
    <s v="Non"/>
    <m/>
    <n v="23"/>
    <n v="491"/>
    <s v="Oui"/>
    <s v="Premier déplacement"/>
    <n v="23"/>
    <n v="231"/>
    <n v="81"/>
    <n v="150"/>
    <n v="0"/>
    <n v="23"/>
    <n v="0"/>
    <n v="0"/>
    <m/>
    <m/>
    <n v="0"/>
    <n v="0"/>
    <m/>
    <m/>
    <n v="0"/>
    <s v="RAS"/>
    <s v="Non"/>
    <m/>
    <m/>
    <m/>
    <m/>
    <m/>
    <m/>
    <m/>
    <m/>
    <m/>
    <m/>
    <m/>
    <m/>
    <m/>
    <m/>
    <m/>
    <s v="Non"/>
    <m/>
    <m/>
    <m/>
    <m/>
    <m/>
    <m/>
    <m/>
    <m/>
    <m/>
    <m/>
    <m/>
    <m/>
    <m/>
    <m/>
    <m/>
    <m/>
    <m/>
    <m/>
    <m/>
    <m/>
    <n v="0"/>
    <m/>
    <m/>
    <m/>
    <m/>
    <m/>
    <m/>
    <m/>
    <m/>
    <m/>
    <m/>
    <m/>
    <m/>
    <m/>
    <s v="1"/>
    <s v="0"/>
    <s v="0"/>
    <n v="1"/>
  </r>
  <r>
    <n v="2658583"/>
    <s v="Extrême-Nord"/>
    <s v="CMR004"/>
    <x v="1"/>
    <s v="CMR004002"/>
    <s v="Makary"/>
    <s v="CMR004002009"/>
    <s v="MAK-0065"/>
    <s v="MASSIO"/>
    <m/>
    <x v="1"/>
    <n v="12.5373871"/>
    <n v="14.4675026"/>
    <x v="0"/>
    <b v="1"/>
    <b v="0"/>
    <b v="0"/>
    <m/>
    <n v="3"/>
    <s v="Accessible"/>
    <m/>
    <s v="Le village accueille une population"/>
    <s v="Le village est intact (construit)"/>
    <m/>
    <m/>
    <s v="Oui"/>
    <s v="Familles d'accueil"/>
    <s v="Non, pas du tout"/>
    <s v="Non"/>
    <m/>
    <n v="47"/>
    <n v="1555"/>
    <s v="Oui"/>
    <s v="Premier déplacement"/>
    <n v="47"/>
    <n v="440"/>
    <n v="224"/>
    <n v="216"/>
    <n v="0"/>
    <n v="47"/>
    <n v="0"/>
    <n v="0"/>
    <m/>
    <m/>
    <n v="0"/>
    <n v="0"/>
    <m/>
    <m/>
    <n v="0"/>
    <s v="Ras"/>
    <s v="Non"/>
    <m/>
    <m/>
    <m/>
    <m/>
    <m/>
    <m/>
    <m/>
    <m/>
    <m/>
    <m/>
    <m/>
    <m/>
    <m/>
    <m/>
    <m/>
    <s v="Non"/>
    <m/>
    <m/>
    <m/>
    <m/>
    <m/>
    <m/>
    <m/>
    <m/>
    <m/>
    <m/>
    <m/>
    <m/>
    <m/>
    <m/>
    <m/>
    <m/>
    <m/>
    <m/>
    <m/>
    <m/>
    <n v="0"/>
    <m/>
    <m/>
    <m/>
    <m/>
    <m/>
    <m/>
    <m/>
    <m/>
    <m/>
    <m/>
    <m/>
    <m/>
    <m/>
    <s v="1"/>
    <s v="0"/>
    <s v="0"/>
    <n v="1"/>
  </r>
  <r>
    <n v="2631796"/>
    <s v="Extrême-Nord"/>
    <s v="CMR004"/>
    <x v="1"/>
    <s v="CMR004002"/>
    <s v="Makary"/>
    <s v="CMR004002009"/>
    <s v="MAK-0113"/>
    <s v="MATKOUS 1"/>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31798"/>
    <s v="Extrême-Nord"/>
    <s v="CMR004"/>
    <x v="1"/>
    <s v="CMR004002"/>
    <s v="Makary"/>
    <s v="CMR004002009"/>
    <s v="MAK-0114"/>
    <s v="MATKOUS 2"/>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31802"/>
    <s v="Extrême-Nord"/>
    <s v="CMR004"/>
    <x v="1"/>
    <s v="CMR004002"/>
    <s v="Makary"/>
    <s v="CMR004002009"/>
    <s v="MAK-0101"/>
    <s v="MBEE"/>
    <m/>
    <x v="1"/>
    <n v="12.307623299999999"/>
    <n v="14.5864364"/>
    <x v="0"/>
    <b v="1"/>
    <b v="0"/>
    <b v="0"/>
    <m/>
    <n v="3"/>
    <s v="Accessible"/>
    <m/>
    <s v="Le village accueille une population"/>
    <s v="Le village est intact (construit)"/>
    <m/>
    <m/>
    <s v="Oui"/>
    <s v="Familles d'accueil"/>
    <s v="Non, pas du tout"/>
    <s v="Non"/>
    <m/>
    <n v="24"/>
    <n v="330"/>
    <s v="Oui"/>
    <s v="Premier déplacement"/>
    <n v="24"/>
    <n v="182"/>
    <n v="84"/>
    <n v="98"/>
    <n v="0"/>
    <n v="24"/>
    <n v="0"/>
    <n v="0"/>
    <m/>
    <m/>
    <n v="0"/>
    <n v="0"/>
    <m/>
    <m/>
    <n v="0"/>
    <s v="RAS"/>
    <s v="Oui"/>
    <n v="16"/>
    <n v="83"/>
    <n v="26"/>
    <n v="57"/>
    <n v="16"/>
    <n v="0"/>
    <n v="0"/>
    <m/>
    <n v="0"/>
    <n v="0"/>
    <m/>
    <m/>
    <n v="0"/>
    <n v="0"/>
    <s v="RAS"/>
    <s v="Oui"/>
    <n v="30"/>
    <n v="158"/>
    <n v="67"/>
    <n v="91"/>
    <s v="5 ans ou plus"/>
    <n v="0"/>
    <n v="20"/>
    <n v="0"/>
    <n v="0"/>
    <n v="0"/>
    <m/>
    <n v="0"/>
    <n v="10"/>
    <s v="Bâche"/>
    <n v="0"/>
    <m/>
    <m/>
    <m/>
    <m/>
    <m/>
    <n v="0"/>
    <m/>
    <m/>
    <m/>
    <m/>
    <m/>
    <m/>
    <m/>
    <m/>
    <m/>
    <m/>
    <m/>
    <m/>
    <m/>
    <s v="1"/>
    <s v="1"/>
    <s v="1"/>
    <n v="3"/>
  </r>
  <r>
    <n v="2626953"/>
    <s v="Extrême-Nord"/>
    <s v="CMR004"/>
    <x v="1"/>
    <s v="CMR004002"/>
    <s v="Makary"/>
    <s v="CMR004002009"/>
    <s v="MAK-0066"/>
    <s v="MBLAME"/>
    <m/>
    <x v="1"/>
    <n v="12.325946099999999"/>
    <n v="14.559594499999999"/>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25723"/>
    <s v="Extrême-Nord"/>
    <s v="CMR004"/>
    <x v="1"/>
    <s v="CMR004002"/>
    <s v="Makary"/>
    <s v="CMR004002009"/>
    <s v="MAK-0067"/>
    <s v="MEDINA 3"/>
    <m/>
    <x v="1"/>
    <n v="12.3542535"/>
    <n v="14.5041993"/>
    <x v="0"/>
    <b v="1"/>
    <b v="0"/>
    <b v="0"/>
    <m/>
    <n v="3"/>
    <s v="Accessible"/>
    <m/>
    <s v="Le village accueille une population"/>
    <s v="Le village est intact (construit)"/>
    <m/>
    <m/>
    <s v="Oui"/>
    <s v="Familles d'accueil"/>
    <s v="Non, pas du tout"/>
    <s v="Non"/>
    <m/>
    <n v="4"/>
    <n v="105"/>
    <s v="Oui"/>
    <s v="Premier déplacement"/>
    <n v="4"/>
    <n v="20"/>
    <n v="12"/>
    <n v="8"/>
    <n v="0"/>
    <n v="4"/>
    <n v="0"/>
    <n v="0"/>
    <m/>
    <m/>
    <n v="0"/>
    <n v="0"/>
    <m/>
    <m/>
    <n v="0"/>
    <s v="Pas de changement "/>
    <s v="Oui"/>
    <n v="1"/>
    <n v="6"/>
    <n v="2"/>
    <n v="4"/>
    <n v="1"/>
    <n v="0"/>
    <n v="0"/>
    <m/>
    <n v="0"/>
    <n v="0"/>
    <m/>
    <m/>
    <n v="0"/>
    <n v="0"/>
    <s v="Pas de changement "/>
    <s v="Non"/>
    <m/>
    <m/>
    <m/>
    <m/>
    <m/>
    <m/>
    <m/>
    <m/>
    <m/>
    <m/>
    <m/>
    <m/>
    <m/>
    <m/>
    <m/>
    <m/>
    <m/>
    <m/>
    <m/>
    <m/>
    <n v="0"/>
    <m/>
    <m/>
    <m/>
    <m/>
    <m/>
    <m/>
    <m/>
    <m/>
    <m/>
    <m/>
    <m/>
    <m/>
    <m/>
    <s v="1"/>
    <s v="1"/>
    <s v="0"/>
    <n v="2"/>
  </r>
  <r>
    <n v="2615169"/>
    <s v="Extrême-Nord"/>
    <s v="CMR004"/>
    <x v="1"/>
    <s v="CMR004002"/>
    <s v="Makary"/>
    <s v="CMR004002009"/>
    <s v="MAK-0068"/>
    <s v="MEITO"/>
    <m/>
    <x v="1"/>
    <n v="12.3396816"/>
    <n v="14.678406799999999"/>
    <x v="0"/>
    <b v="1"/>
    <b v="0"/>
    <b v="0"/>
    <m/>
    <n v="3"/>
    <s v="Accessible"/>
    <m/>
    <s v="Le village accueille une population"/>
    <s v="Le village est intact (construit)"/>
    <m/>
    <m/>
    <s v="Oui"/>
    <s v="Familles d'accueil"/>
    <s v="Non, pas du tout"/>
    <s v="Non"/>
    <m/>
    <n v="12"/>
    <n v="834"/>
    <s v="Oui"/>
    <s v="Premier déplacement"/>
    <n v="12"/>
    <n v="74"/>
    <n v="40"/>
    <n v="34"/>
    <n v="0"/>
    <n v="12"/>
    <n v="0"/>
    <n v="0"/>
    <m/>
    <m/>
    <n v="0"/>
    <n v="0"/>
    <m/>
    <m/>
    <n v="0"/>
    <s v="RAS"/>
    <s v="Oui"/>
    <n v="13"/>
    <n v="77"/>
    <n v="35"/>
    <n v="42"/>
    <n v="13"/>
    <n v="0"/>
    <n v="0"/>
    <m/>
    <n v="0"/>
    <n v="0"/>
    <m/>
    <m/>
    <n v="0"/>
    <n v="0"/>
    <s v="Ras"/>
    <s v="Oui"/>
    <n v="16"/>
    <n v="88"/>
    <n v="36"/>
    <n v="52"/>
    <s v="Moins de 3 mois"/>
    <n v="16"/>
    <n v="0"/>
    <n v="0"/>
    <n v="0"/>
    <n v="0"/>
    <m/>
    <n v="0"/>
    <n v="0"/>
    <m/>
    <n v="0"/>
    <m/>
    <m/>
    <m/>
    <m/>
    <m/>
    <n v="0"/>
    <m/>
    <m/>
    <m/>
    <m/>
    <m/>
    <m/>
    <m/>
    <m/>
    <m/>
    <m/>
    <m/>
    <m/>
    <m/>
    <s v="1"/>
    <s v="1"/>
    <s v="1"/>
    <n v="3"/>
  </r>
  <r>
    <n v="2634571"/>
    <s v="Extrême-Nord"/>
    <s v="CMR004"/>
    <x v="1"/>
    <s v="CMR004002"/>
    <s v="Makary"/>
    <s v="CMR004002009"/>
    <s v="MAK-0171"/>
    <s v="MELEKI"/>
    <m/>
    <x v="1"/>
    <n v="12.5196925"/>
    <n v="14.6710443"/>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04862"/>
    <s v="Extrême-Nord"/>
    <s v="CMR004"/>
    <x v="1"/>
    <s v="CMR004002"/>
    <s v="Makary"/>
    <s v="CMR004002009"/>
    <s v="MAK-0172"/>
    <s v="MERAHA"/>
    <m/>
    <x v="1"/>
    <n v="12.5760633"/>
    <n v="14.621955"/>
    <x v="0"/>
    <b v="1"/>
    <b v="0"/>
    <b v="0"/>
    <m/>
    <n v="4"/>
    <s v="Accessible"/>
    <m/>
    <s v="Le village accueille une population"/>
    <s v="Le village est partiellement détruit"/>
    <s v="Intempéries (inondations, tempêtes etc.)"/>
    <m/>
    <s v="Oui"/>
    <s v="Familles d'accueil"/>
    <s v="Non, pas du tout"/>
    <s v="Non"/>
    <m/>
    <n v="55"/>
    <n v="1325"/>
    <s v="Oui"/>
    <s v="Deuxième déplacement"/>
    <n v="55"/>
    <n v="233"/>
    <n v="33"/>
    <n v="200"/>
    <n v="35"/>
    <n v="20"/>
    <n v="0"/>
    <n v="0"/>
    <m/>
    <m/>
    <n v="0"/>
    <n v="0"/>
    <m/>
    <m/>
    <n v="0"/>
    <s v="4 ménages , 10 individus donc 2 hommes et femmes ressortissants de mada."/>
    <s v="Non"/>
    <m/>
    <m/>
    <m/>
    <m/>
    <m/>
    <m/>
    <m/>
    <m/>
    <m/>
    <m/>
    <m/>
    <m/>
    <m/>
    <m/>
    <m/>
    <s v="Non"/>
    <m/>
    <m/>
    <m/>
    <m/>
    <m/>
    <m/>
    <m/>
    <m/>
    <m/>
    <m/>
    <m/>
    <m/>
    <m/>
    <m/>
    <m/>
    <m/>
    <m/>
    <m/>
    <m/>
    <m/>
    <n v="0"/>
    <m/>
    <m/>
    <m/>
    <m/>
    <m/>
    <m/>
    <m/>
    <m/>
    <m/>
    <m/>
    <m/>
    <m/>
    <m/>
    <s v="1"/>
    <s v="0"/>
    <s v="0"/>
    <n v="1"/>
  </r>
  <r>
    <n v="2615536"/>
    <s v="Extrême-Nord"/>
    <s v="CMR004"/>
    <x v="1"/>
    <s v="CMR004002"/>
    <s v="Makary"/>
    <s v="CMR004002009"/>
    <s v="MAK-0096"/>
    <s v="MESSIO"/>
    <m/>
    <x v="1"/>
    <n v="12.378931"/>
    <n v="14.4275377"/>
    <x v="0"/>
    <b v="1"/>
    <b v="0"/>
    <b v="0"/>
    <m/>
    <n v="3"/>
    <s v="Accessible"/>
    <m/>
    <s v="Le village accueille une population"/>
    <s v="Le village est intact (construit)"/>
    <m/>
    <m/>
    <s v="Oui"/>
    <s v="Familles d'accueil"/>
    <s v="Non, pas du tout"/>
    <s v="Non"/>
    <m/>
    <n v="14"/>
    <n v="1515"/>
    <s v="Oui"/>
    <s v="Premier déplacement"/>
    <n v="14"/>
    <n v="94"/>
    <n v="46"/>
    <n v="48"/>
    <n v="0"/>
    <n v="14"/>
    <n v="0"/>
    <n v="0"/>
    <m/>
    <m/>
    <n v="0"/>
    <n v="0"/>
    <m/>
    <m/>
    <n v="0"/>
    <s v="Pas de changement"/>
    <s v="Oui"/>
    <n v="16"/>
    <n v="94"/>
    <n v="40"/>
    <n v="54"/>
    <n v="16"/>
    <n v="0"/>
    <n v="0"/>
    <m/>
    <n v="0"/>
    <n v="0"/>
    <m/>
    <m/>
    <n v="0"/>
    <n v="0"/>
    <s v="Pas de changement"/>
    <s v="Non"/>
    <m/>
    <m/>
    <m/>
    <m/>
    <m/>
    <m/>
    <m/>
    <m/>
    <m/>
    <m/>
    <m/>
    <m/>
    <m/>
    <m/>
    <m/>
    <m/>
    <m/>
    <m/>
    <m/>
    <m/>
    <n v="0"/>
    <m/>
    <m/>
    <m/>
    <m/>
    <m/>
    <m/>
    <m/>
    <m/>
    <m/>
    <m/>
    <m/>
    <m/>
    <m/>
    <s v="1"/>
    <s v="1"/>
    <s v="0"/>
    <n v="2"/>
  </r>
  <r>
    <n v="2631804"/>
    <s v="Extrême-Nord"/>
    <s v="CMR004"/>
    <x v="1"/>
    <s v="CMR004002"/>
    <s v="Makary"/>
    <s v="CMR004002009"/>
    <s v="MAK-0102"/>
    <s v="MICHKIDIN"/>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6366"/>
    <s v="Extrême-Nord"/>
    <s v="CMR004"/>
    <x v="1"/>
    <s v="CMR004002"/>
    <s v="Makary"/>
    <s v="CMR004002009"/>
    <s v="MAK-0208"/>
    <s v="MIDJOKHINE"/>
    <m/>
    <x v="1"/>
    <n v="12.3504969"/>
    <n v="14.5693178"/>
    <x v="0"/>
    <b v="1"/>
    <b v="0"/>
    <b v="0"/>
    <m/>
    <n v="3"/>
    <s v="Accessible"/>
    <m/>
    <s v="Le village accueille une population"/>
    <s v="Le village est intact (construit)"/>
    <m/>
    <m/>
    <s v="Oui"/>
    <s v="Familles d'accueil"/>
    <s v="Non, pas du tout"/>
    <s v="Non"/>
    <m/>
    <n v="1"/>
    <n v="500"/>
    <s v="Oui"/>
    <s v="Premier déplacement"/>
    <n v="1"/>
    <n v="4"/>
    <n v="1"/>
    <n v="3"/>
    <n v="0"/>
    <n v="1"/>
    <n v="0"/>
    <n v="0"/>
    <m/>
    <m/>
    <n v="0"/>
    <n v="0"/>
    <m/>
    <m/>
    <n v="0"/>
    <s v="Pas de changement."/>
    <s v="Non"/>
    <m/>
    <m/>
    <m/>
    <m/>
    <m/>
    <m/>
    <m/>
    <m/>
    <m/>
    <m/>
    <m/>
    <m/>
    <m/>
    <m/>
    <m/>
    <s v="Non"/>
    <m/>
    <m/>
    <m/>
    <m/>
    <m/>
    <m/>
    <m/>
    <m/>
    <m/>
    <m/>
    <m/>
    <m/>
    <m/>
    <m/>
    <m/>
    <m/>
    <m/>
    <m/>
    <m/>
    <m/>
    <n v="0"/>
    <m/>
    <m/>
    <m/>
    <m/>
    <m/>
    <m/>
    <m/>
    <m/>
    <m/>
    <m/>
    <m/>
    <m/>
    <m/>
    <s v="1"/>
    <s v="0"/>
    <s v="0"/>
    <n v="1"/>
  </r>
  <r>
    <n v="2590997"/>
    <s v="Extrême-Nord"/>
    <s v="CMR004"/>
    <x v="1"/>
    <s v="CMR004002"/>
    <s v="Makary"/>
    <s v="CMR004002009"/>
    <s v="MAK-0173"/>
    <s v="MINA"/>
    <m/>
    <x v="1"/>
    <n v="12.5243155"/>
    <n v="14.6791543"/>
    <x v="0"/>
    <b v="1"/>
    <b v="0"/>
    <b v="0"/>
    <m/>
    <n v="4"/>
    <s v="Accessible"/>
    <m/>
    <s v="Le village accueille une population"/>
    <s v="Le village est partiellement détruit"/>
    <s v="Intempéries (inondations, tempêtes etc.)"/>
    <m/>
    <s v="Oui"/>
    <s v="Familles d'accueil"/>
    <s v="Non, pas du tout"/>
    <s v="Non"/>
    <m/>
    <n v="6"/>
    <n v="101"/>
    <s v="Oui"/>
    <s v="Troisième déplacement"/>
    <n v="6"/>
    <n v="51"/>
    <n v="19"/>
    <n v="32"/>
    <n v="2"/>
    <n v="4"/>
    <n v="0"/>
    <n v="0"/>
    <m/>
    <m/>
    <n v="0"/>
    <n v="0"/>
    <m/>
    <m/>
    <n v="0"/>
    <s v="3 ménages de 21 individus sortant de mada."/>
    <s v="Non"/>
    <m/>
    <m/>
    <m/>
    <m/>
    <m/>
    <m/>
    <m/>
    <m/>
    <m/>
    <m/>
    <m/>
    <m/>
    <m/>
    <m/>
    <m/>
    <s v="Non"/>
    <m/>
    <m/>
    <m/>
    <m/>
    <m/>
    <m/>
    <m/>
    <m/>
    <m/>
    <m/>
    <m/>
    <m/>
    <m/>
    <m/>
    <m/>
    <m/>
    <m/>
    <m/>
    <m/>
    <m/>
    <n v="0"/>
    <m/>
    <m/>
    <m/>
    <m/>
    <m/>
    <m/>
    <m/>
    <m/>
    <m/>
    <m/>
    <m/>
    <m/>
    <m/>
    <s v="1"/>
    <s v="0"/>
    <s v="0"/>
    <n v="1"/>
  </r>
  <r>
    <n v="2657677"/>
    <s v="Extrême-Nord"/>
    <s v="CMR004"/>
    <x v="1"/>
    <s v="CMR004002"/>
    <s v="Makary"/>
    <s v="CMR004002009"/>
    <s v="MAK-0174"/>
    <s v="MIREMIE"/>
    <m/>
    <x v="1"/>
    <n v="12.5468639"/>
    <n v="14.7117369"/>
    <x v="0"/>
    <b v="1"/>
    <b v="0"/>
    <b v="0"/>
    <m/>
    <n v="4"/>
    <s v="Accessible"/>
    <m/>
    <s v="Le village accueille une population"/>
    <s v="Le village est partiellement détruit"/>
    <s v="Intempéries (inondations, tempêtes etc.)"/>
    <m/>
    <s v="Oui"/>
    <s v="Familles d'accueil"/>
    <s v="Non, pas du tout"/>
    <s v="Non"/>
    <m/>
    <n v="18"/>
    <n v="156"/>
    <s v="Oui"/>
    <s v="Plus de trois déplacements"/>
    <n v="18"/>
    <n v="89"/>
    <n v="35"/>
    <n v="54"/>
    <n v="0"/>
    <n v="18"/>
    <n v="0"/>
    <n v="0"/>
    <m/>
    <m/>
    <n v="0"/>
    <n v="0"/>
    <m/>
    <m/>
    <n v="0"/>
    <s v="Augmentation de 2 ménages pour 6 individus dont 2 hommes et 4 femmes ressortissants du village voisin"/>
    <s v="Non"/>
    <m/>
    <m/>
    <m/>
    <m/>
    <m/>
    <m/>
    <m/>
    <m/>
    <m/>
    <m/>
    <m/>
    <m/>
    <m/>
    <m/>
    <m/>
    <s v="Non"/>
    <m/>
    <m/>
    <m/>
    <m/>
    <m/>
    <m/>
    <m/>
    <m/>
    <m/>
    <m/>
    <m/>
    <m/>
    <m/>
    <m/>
    <m/>
    <m/>
    <m/>
    <m/>
    <m/>
    <m/>
    <n v="0"/>
    <m/>
    <m/>
    <m/>
    <m/>
    <m/>
    <m/>
    <m/>
    <m/>
    <m/>
    <m/>
    <m/>
    <m/>
    <m/>
    <s v="1"/>
    <s v="0"/>
    <s v="0"/>
    <n v="1"/>
  </r>
  <r>
    <n v="2615171"/>
    <s v="Extrême-Nord"/>
    <s v="CMR004"/>
    <x v="1"/>
    <s v="CMR004002"/>
    <s v="Makary"/>
    <s v="CMR004002009"/>
    <s v="MAK-0069"/>
    <s v="MISKA-AFADE"/>
    <m/>
    <x v="1"/>
    <n v="12.3143466"/>
    <n v="14.742806699999999"/>
    <x v="0"/>
    <b v="1"/>
    <b v="0"/>
    <b v="0"/>
    <m/>
    <n v="3"/>
    <s v="Accessible"/>
    <m/>
    <s v="Le village accueille une population"/>
    <s v="Le village est intact (construit)"/>
    <m/>
    <m/>
    <s v="Oui"/>
    <s v="Familles d'accueil"/>
    <s v="Non, pas du tout"/>
    <s v="Non"/>
    <m/>
    <n v="15"/>
    <n v="835"/>
    <s v="Oui"/>
    <s v="Premier déplacement"/>
    <n v="15"/>
    <n v="98"/>
    <n v="51"/>
    <n v="47"/>
    <n v="0"/>
    <n v="15"/>
    <n v="0"/>
    <n v="0"/>
    <m/>
    <m/>
    <n v="0"/>
    <n v="0"/>
    <m/>
    <m/>
    <n v="0"/>
    <s v="Ras"/>
    <s v="Non"/>
    <m/>
    <m/>
    <m/>
    <m/>
    <m/>
    <m/>
    <m/>
    <m/>
    <m/>
    <m/>
    <m/>
    <m/>
    <m/>
    <m/>
    <m/>
    <s v="Non"/>
    <m/>
    <m/>
    <m/>
    <m/>
    <m/>
    <m/>
    <m/>
    <m/>
    <m/>
    <m/>
    <m/>
    <m/>
    <m/>
    <m/>
    <m/>
    <m/>
    <m/>
    <m/>
    <m/>
    <m/>
    <n v="0"/>
    <m/>
    <m/>
    <m/>
    <m/>
    <m/>
    <m/>
    <m/>
    <m/>
    <m/>
    <m/>
    <m/>
    <m/>
    <m/>
    <s v="1"/>
    <s v="0"/>
    <s v="0"/>
    <n v="1"/>
  </r>
  <r>
    <n v="2639768"/>
    <s v="Extrême-Nord"/>
    <s v="CMR004"/>
    <x v="1"/>
    <s v="CMR004002"/>
    <s v="Makary"/>
    <s v="CMR004002009"/>
    <s v="MAK-0196"/>
    <s v="MOGNOGO"/>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13264"/>
    <s v="Extrême-Nord"/>
    <s v="CMR004"/>
    <x v="1"/>
    <s v="CMR004002"/>
    <s v="Makary"/>
    <s v="CMR004002009"/>
    <s v="MAK-0142"/>
    <s v="MONGNOKO"/>
    <m/>
    <x v="1"/>
    <n v="12.2158374"/>
    <n v="14.6784502"/>
    <x v="0"/>
    <b v="1"/>
    <b v="0"/>
    <b v="0"/>
    <m/>
    <n v="3"/>
    <s v="Accessible"/>
    <m/>
    <s v="Le village accueille une population"/>
    <s v="Le village est intact (construit)"/>
    <m/>
    <m/>
    <s v="Oui"/>
    <s v="Familles d'accueil"/>
    <s v="Non, pas du tout"/>
    <s v="Non"/>
    <m/>
    <n v="35"/>
    <n v="525"/>
    <s v="Oui"/>
    <s v="Premier déplacement"/>
    <n v="35"/>
    <n v="330"/>
    <n v="155"/>
    <n v="175"/>
    <n v="0"/>
    <n v="35"/>
    <n v="0"/>
    <n v="0"/>
    <m/>
    <m/>
    <n v="0"/>
    <n v="0"/>
    <m/>
    <m/>
    <n v="0"/>
    <s v="RAS"/>
    <s v="Non"/>
    <m/>
    <m/>
    <m/>
    <m/>
    <m/>
    <m/>
    <m/>
    <m/>
    <m/>
    <m/>
    <m/>
    <m/>
    <m/>
    <m/>
    <m/>
    <s v="Non"/>
    <m/>
    <m/>
    <m/>
    <m/>
    <m/>
    <m/>
    <m/>
    <m/>
    <m/>
    <m/>
    <m/>
    <m/>
    <m/>
    <m/>
    <m/>
    <m/>
    <m/>
    <m/>
    <m/>
    <m/>
    <n v="0"/>
    <m/>
    <m/>
    <m/>
    <m/>
    <m/>
    <m/>
    <m/>
    <m/>
    <m/>
    <m/>
    <m/>
    <m/>
    <m/>
    <s v="1"/>
    <s v="0"/>
    <s v="0"/>
    <n v="1"/>
  </r>
  <r>
    <n v="2583521"/>
    <s v="Extrême-Nord"/>
    <s v="CMR004"/>
    <x v="1"/>
    <s v="CMR004002"/>
    <s v="Makary"/>
    <s v="CMR004002009"/>
    <s v="MAK-0175"/>
    <s v="MOUGRAN"/>
    <m/>
    <x v="1"/>
    <n v="12.567843099999999"/>
    <n v="14.623707700000001"/>
    <x v="0"/>
    <b v="1"/>
    <b v="0"/>
    <b v="0"/>
    <m/>
    <n v="4"/>
    <s v="Accessible"/>
    <m/>
    <s v="Le village accueille une population"/>
    <s v="Le village est partiellement détruit"/>
    <s v="Intempéries (inondations, tempêtes etc.)"/>
    <m/>
    <s v="Oui"/>
    <s v="Familles d'accueil"/>
    <s v="Non, pas du tout"/>
    <s v="Non"/>
    <m/>
    <n v="8"/>
    <n v="150"/>
    <s v="Oui"/>
    <s v="Deuxième déplacement"/>
    <n v="8"/>
    <n v="39"/>
    <n v="22"/>
    <n v="17"/>
    <n v="3"/>
    <n v="5"/>
    <n v="0"/>
    <n v="0"/>
    <m/>
    <m/>
    <n v="0"/>
    <n v="0"/>
    <m/>
    <m/>
    <n v="0"/>
    <s v="Augmentation des PDis de 3 ménages, 11 individus."/>
    <s v="Non"/>
    <m/>
    <m/>
    <m/>
    <m/>
    <m/>
    <m/>
    <m/>
    <m/>
    <m/>
    <m/>
    <m/>
    <m/>
    <m/>
    <m/>
    <m/>
    <s v="Non"/>
    <m/>
    <m/>
    <m/>
    <m/>
    <m/>
    <m/>
    <m/>
    <m/>
    <m/>
    <m/>
    <m/>
    <m/>
    <m/>
    <m/>
    <m/>
    <m/>
    <m/>
    <m/>
    <m/>
    <m/>
    <n v="0"/>
    <m/>
    <m/>
    <m/>
    <m/>
    <m/>
    <m/>
    <m/>
    <m/>
    <m/>
    <m/>
    <m/>
    <m/>
    <m/>
    <s v="1"/>
    <s v="0"/>
    <s v="0"/>
    <n v="1"/>
  </r>
  <r>
    <n v="2613504"/>
    <s v="Extrême-Nord"/>
    <s v="CMR004"/>
    <x v="1"/>
    <s v="CMR004002"/>
    <s v="Makary"/>
    <s v="CMR004002009"/>
    <s v="MAK-0176"/>
    <s v="NAÏRA"/>
    <m/>
    <x v="0"/>
    <n v="12.580909699999999"/>
    <n v="14.6690348"/>
    <x v="0"/>
    <b v="1"/>
    <b v="0"/>
    <b v="1"/>
    <m/>
    <n v="3"/>
    <s v="Accessible"/>
    <m/>
    <s v="Le village accueille une population"/>
    <s v="Le village est intact (construit)"/>
    <m/>
    <m/>
    <s v="Oui"/>
    <s v="Familles d'accueil"/>
    <s v="Non, pas du tout"/>
    <s v="Non"/>
    <m/>
    <n v="29"/>
    <n v="1103"/>
    <s v="Oui"/>
    <s v="Premier déplacement"/>
    <n v="29"/>
    <n v="165"/>
    <n v="82"/>
    <n v="83"/>
    <n v="8"/>
    <n v="12"/>
    <n v="6"/>
    <n v="3"/>
    <s v="Chez une famille d'accueil (contre loyer)"/>
    <m/>
    <n v="0"/>
    <n v="0"/>
    <m/>
    <m/>
    <n v="0"/>
    <s v="Augmentation des PDIs, 9 ménages de 53 individues"/>
    <s v="Non"/>
    <m/>
    <m/>
    <m/>
    <m/>
    <m/>
    <m/>
    <m/>
    <m/>
    <m/>
    <m/>
    <m/>
    <m/>
    <m/>
    <m/>
    <m/>
    <s v="Non"/>
    <m/>
    <m/>
    <m/>
    <m/>
    <m/>
    <m/>
    <m/>
    <m/>
    <m/>
    <m/>
    <m/>
    <m/>
    <m/>
    <m/>
    <m/>
    <m/>
    <m/>
    <m/>
    <m/>
    <m/>
    <n v="0"/>
    <m/>
    <m/>
    <m/>
    <m/>
    <m/>
    <m/>
    <m/>
    <m/>
    <m/>
    <m/>
    <m/>
    <m/>
    <m/>
    <s v="1"/>
    <s v="0"/>
    <s v="0"/>
    <n v="1"/>
  </r>
  <r>
    <n v="2683100"/>
    <s v="Extrême-Nord"/>
    <s v="CMR004"/>
    <x v="1"/>
    <s v="CMR004002"/>
    <s v="Makary"/>
    <s v="CMR004002009"/>
    <s v="MAK-0229"/>
    <s v="NALA 1"/>
    <m/>
    <x v="1"/>
    <n v="12.228467500000001"/>
    <n v="14.761712299999999"/>
    <x v="0"/>
    <b v="1"/>
    <b v="0"/>
    <b v="0"/>
    <m/>
    <n v="3"/>
    <s v="Accessible"/>
    <m/>
    <s v="Le village accueille une population"/>
    <s v="Le village est intact (construit)"/>
    <m/>
    <m/>
    <s v="Oui"/>
    <s v="Familles d'accueil"/>
    <s v="Non, pas du tout"/>
    <s v="Non"/>
    <m/>
    <n v="10"/>
    <n v="102"/>
    <s v="Oui"/>
    <s v="Premier déplacement"/>
    <n v="10"/>
    <n v="25"/>
    <n v="10"/>
    <n v="15"/>
    <n v="0"/>
    <n v="10"/>
    <n v="0"/>
    <n v="0"/>
    <m/>
    <m/>
    <n v="0"/>
    <n v="0"/>
    <m/>
    <m/>
    <n v="0"/>
    <s v="Il y a 10 menage IDP de 10hommes et 15 femme venant de Sadik la raison de leur déplacement c'est inondations"/>
    <s v="Non"/>
    <m/>
    <m/>
    <m/>
    <m/>
    <m/>
    <m/>
    <m/>
    <m/>
    <m/>
    <m/>
    <m/>
    <m/>
    <m/>
    <m/>
    <m/>
    <s v="Non"/>
    <m/>
    <m/>
    <m/>
    <m/>
    <m/>
    <m/>
    <m/>
    <m/>
    <m/>
    <m/>
    <m/>
    <m/>
    <m/>
    <m/>
    <m/>
    <m/>
    <m/>
    <m/>
    <m/>
    <m/>
    <n v="0"/>
    <m/>
    <m/>
    <m/>
    <m/>
    <m/>
    <m/>
    <m/>
    <m/>
    <m/>
    <m/>
    <m/>
    <m/>
    <m/>
    <s v="1"/>
    <s v="0"/>
    <s v="0"/>
    <n v="1"/>
  </r>
  <r>
    <n v="2576321"/>
    <s v="Extrême-Nord"/>
    <s v="CMR004"/>
    <x v="1"/>
    <s v="CMR004002"/>
    <s v="Makary"/>
    <s v="CMR004002009"/>
    <s v="MAK-0071"/>
    <s v="NANAMI"/>
    <m/>
    <x v="1"/>
    <n v="12.3856118"/>
    <n v="14.438980000000001"/>
    <x v="0"/>
    <b v="1"/>
    <b v="0"/>
    <b v="0"/>
    <m/>
    <n v="3"/>
    <s v="Accessible"/>
    <m/>
    <s v="Le village accueille une population"/>
    <s v="Le village est intact (construit)"/>
    <m/>
    <m/>
    <s v="Oui"/>
    <s v="Familles d'accueil"/>
    <s v="Non, pas du tout"/>
    <s v="Non"/>
    <m/>
    <n v="6"/>
    <n v="708"/>
    <s v="Oui"/>
    <s v="Premier déplacement"/>
    <n v="6"/>
    <n v="34"/>
    <n v="14"/>
    <n v="20"/>
    <n v="0"/>
    <n v="6"/>
    <n v="0"/>
    <n v="0"/>
    <m/>
    <m/>
    <n v="0"/>
    <n v="0"/>
    <m/>
    <m/>
    <n v="0"/>
    <s v="Sans changement"/>
    <s v="Oui"/>
    <n v="6"/>
    <n v="21"/>
    <n v="13"/>
    <n v="8"/>
    <n v="6"/>
    <n v="0"/>
    <n v="0"/>
    <m/>
    <n v="0"/>
    <n v="0"/>
    <m/>
    <m/>
    <n v="0"/>
    <n v="0"/>
    <s v="Sans changement"/>
    <s v="Oui"/>
    <n v="8"/>
    <n v="42"/>
    <n v="19"/>
    <n v="23"/>
    <s v="5 ans ou plus"/>
    <n v="0"/>
    <n v="8"/>
    <n v="0"/>
    <n v="0"/>
    <n v="0"/>
    <m/>
    <n v="0"/>
    <n v="0"/>
    <m/>
    <n v="0"/>
    <m/>
    <m/>
    <m/>
    <m/>
    <m/>
    <n v="0"/>
    <m/>
    <m/>
    <m/>
    <m/>
    <m/>
    <m/>
    <m/>
    <m/>
    <m/>
    <m/>
    <m/>
    <m/>
    <m/>
    <s v="1"/>
    <s v="1"/>
    <s v="1"/>
    <n v="3"/>
  </r>
  <r>
    <n v="2639011"/>
    <s v="Extrême-Nord"/>
    <s v="CMR004"/>
    <x v="1"/>
    <s v="CMR004002"/>
    <s v="Makary"/>
    <s v="CMR004002009"/>
    <s v="MAK-0146"/>
    <s v="NBOUNG"/>
    <m/>
    <x v="1"/>
    <n v="12.442519300000001"/>
    <n v="14.5505116"/>
    <x v="0"/>
    <b v="1"/>
    <b v="0"/>
    <b v="0"/>
    <m/>
    <n v="3"/>
    <s v="Accessible"/>
    <m/>
    <s v="Le village accueille une population"/>
    <s v="Le village est intact (construit)"/>
    <m/>
    <m/>
    <s v="Oui"/>
    <s v="Familles d'accueil"/>
    <s v="Non, pas du tout"/>
    <s v="Non"/>
    <m/>
    <n v="14"/>
    <n v="443"/>
    <s v="Oui"/>
    <s v="Troisième déplacement"/>
    <n v="14"/>
    <n v="128"/>
    <n v="53"/>
    <n v="75"/>
    <n v="0"/>
    <n v="14"/>
    <n v="0"/>
    <n v="0"/>
    <m/>
    <m/>
    <n v="0"/>
    <n v="0"/>
    <m/>
    <m/>
    <n v="0"/>
    <s v="Pas de changement"/>
    <s v="Non"/>
    <m/>
    <m/>
    <m/>
    <m/>
    <m/>
    <m/>
    <m/>
    <m/>
    <m/>
    <m/>
    <m/>
    <m/>
    <m/>
    <m/>
    <m/>
    <s v="Non"/>
    <m/>
    <m/>
    <m/>
    <m/>
    <m/>
    <m/>
    <m/>
    <m/>
    <m/>
    <m/>
    <m/>
    <m/>
    <m/>
    <m/>
    <m/>
    <m/>
    <m/>
    <m/>
    <m/>
    <m/>
    <n v="0"/>
    <m/>
    <m/>
    <m/>
    <m/>
    <m/>
    <m/>
    <m/>
    <m/>
    <m/>
    <m/>
    <m/>
    <m/>
    <m/>
    <s v="1"/>
    <s v="0"/>
    <s v="0"/>
    <n v="1"/>
  </r>
  <r>
    <n v="2591099"/>
    <s v="Extrême-Nord"/>
    <s v="CMR004"/>
    <x v="1"/>
    <s v="CMR004002"/>
    <s v="Makary"/>
    <s v="CMR004002009"/>
    <s v="MAK-0072"/>
    <s v="NDAGA"/>
    <m/>
    <x v="1"/>
    <n v="12.5728899"/>
    <n v="14.416708099999999"/>
    <x v="0"/>
    <b v="1"/>
    <b v="0"/>
    <b v="0"/>
    <m/>
    <n v="3"/>
    <s v="Accessible"/>
    <m/>
    <s v="Le village accueille une population"/>
    <s v="Le village est partiellement détruit"/>
    <s v="Intempéries (inondations, tempêtes etc.)"/>
    <m/>
    <s v="Oui"/>
    <s v="Familles d'accueil"/>
    <s v="Non, pas du tout"/>
    <s v="Non"/>
    <m/>
    <n v="33"/>
    <n v="898"/>
    <s v="Oui"/>
    <s v="Premier déplacement"/>
    <n v="33"/>
    <n v="178"/>
    <n v="80"/>
    <n v="98"/>
    <n v="0"/>
    <n v="33"/>
    <n v="0"/>
    <n v="0"/>
    <m/>
    <m/>
    <n v="0"/>
    <n v="0"/>
    <m/>
    <m/>
    <n v="0"/>
    <s v="Il y'a la vénus de 5 nouveau ménages déplacés  pour 15 individus ils viennent de Naga dans l'arrondissement de darak suite aux attaques de Boko Haram "/>
    <s v="Non"/>
    <m/>
    <m/>
    <m/>
    <m/>
    <m/>
    <m/>
    <m/>
    <m/>
    <m/>
    <m/>
    <m/>
    <m/>
    <m/>
    <m/>
    <m/>
    <s v="Non"/>
    <m/>
    <m/>
    <m/>
    <m/>
    <m/>
    <m/>
    <m/>
    <m/>
    <m/>
    <m/>
    <m/>
    <m/>
    <m/>
    <m/>
    <m/>
    <m/>
    <m/>
    <m/>
    <m/>
    <m/>
    <n v="0"/>
    <m/>
    <m/>
    <m/>
    <m/>
    <m/>
    <m/>
    <m/>
    <m/>
    <m/>
    <m/>
    <m/>
    <m/>
    <m/>
    <s v="1"/>
    <s v="0"/>
    <s v="0"/>
    <n v="1"/>
  </r>
  <r>
    <n v="2602057"/>
    <s v="Extrême-Nord"/>
    <s v="CMR004"/>
    <x v="1"/>
    <s v="CMR004002"/>
    <s v="Makary"/>
    <s v="CMR004002009"/>
    <s v="MAK-0073"/>
    <s v="NDAGALGUI"/>
    <m/>
    <x v="1"/>
    <n v="12.6056138"/>
    <n v="14.290890299999999"/>
    <x v="0"/>
    <b v="1"/>
    <b v="0"/>
    <b v="0"/>
    <m/>
    <n v="3"/>
    <s v="Accessible"/>
    <m/>
    <s v="Le village accueille une population"/>
    <s v="Le village est intact (construit)"/>
    <m/>
    <m/>
    <s v="Oui"/>
    <s v="Familles d'accueil"/>
    <s v="Non, pas du tout"/>
    <s v="Non"/>
    <m/>
    <n v="32"/>
    <n v="374"/>
    <s v="Oui"/>
    <s v="Deuxième déplacement"/>
    <n v="32"/>
    <n v="280"/>
    <n v="107"/>
    <n v="173"/>
    <n v="0"/>
    <n v="32"/>
    <n v="0"/>
    <n v="0"/>
    <m/>
    <m/>
    <n v="0"/>
    <n v="0"/>
    <m/>
    <m/>
    <n v="0"/>
    <s v="Augmentation de 19 ménages "/>
    <s v="Non"/>
    <m/>
    <m/>
    <m/>
    <m/>
    <m/>
    <m/>
    <m/>
    <m/>
    <m/>
    <m/>
    <m/>
    <m/>
    <m/>
    <m/>
    <m/>
    <s v="Non"/>
    <m/>
    <m/>
    <m/>
    <m/>
    <m/>
    <m/>
    <m/>
    <m/>
    <m/>
    <m/>
    <m/>
    <m/>
    <m/>
    <m/>
    <m/>
    <m/>
    <m/>
    <m/>
    <m/>
    <m/>
    <n v="0"/>
    <m/>
    <m/>
    <m/>
    <m/>
    <m/>
    <m/>
    <m/>
    <m/>
    <m/>
    <m/>
    <m/>
    <m/>
    <m/>
    <s v="1"/>
    <s v="0"/>
    <s v="0"/>
    <n v="1"/>
  </r>
  <r>
    <n v="2613052"/>
    <s v="Extrême-Nord"/>
    <s v="CMR004"/>
    <x v="1"/>
    <s v="CMR004002"/>
    <s v="Makary"/>
    <s v="CMR004002009"/>
    <s v="MAK-0143"/>
    <s v="NDARKA"/>
    <m/>
    <x v="1"/>
    <n v="12.5224843"/>
    <n v="14.385299099999999"/>
    <x v="0"/>
    <b v="1"/>
    <b v="0"/>
    <b v="0"/>
    <m/>
    <n v="3"/>
    <s v="Accessible"/>
    <m/>
    <s v="Le village accueille une population"/>
    <s v="Le village est intact (construit)"/>
    <m/>
    <m/>
    <s v="Oui"/>
    <s v="Familles d'accueil"/>
    <s v="Non, pas du tout"/>
    <s v="Non"/>
    <m/>
    <n v="28"/>
    <n v="352"/>
    <s v="Oui"/>
    <s v="Premier déplacement"/>
    <n v="28"/>
    <n v="158"/>
    <n v="75"/>
    <n v="83"/>
    <n v="0"/>
    <n v="28"/>
    <n v="0"/>
    <n v="0"/>
    <m/>
    <m/>
    <n v="0"/>
    <n v="0"/>
    <m/>
    <m/>
    <n v="0"/>
    <s v="Manque des moyens pour survivre "/>
    <s v="Non"/>
    <m/>
    <m/>
    <m/>
    <m/>
    <m/>
    <m/>
    <m/>
    <m/>
    <m/>
    <m/>
    <m/>
    <m/>
    <m/>
    <m/>
    <m/>
    <s v="Non"/>
    <m/>
    <m/>
    <m/>
    <m/>
    <m/>
    <m/>
    <m/>
    <m/>
    <m/>
    <m/>
    <m/>
    <m/>
    <m/>
    <m/>
    <m/>
    <m/>
    <m/>
    <m/>
    <m/>
    <m/>
    <n v="0"/>
    <m/>
    <m/>
    <m/>
    <m/>
    <m/>
    <m/>
    <m/>
    <m/>
    <m/>
    <m/>
    <m/>
    <m/>
    <m/>
    <s v="1"/>
    <s v="0"/>
    <s v="0"/>
    <n v="1"/>
  </r>
  <r>
    <n v="2613252"/>
    <s v="Extrême-Nord"/>
    <s v="CMR004"/>
    <x v="1"/>
    <s v="CMR004002"/>
    <s v="Makary"/>
    <s v="CMR004002009"/>
    <s v="MAK-0074"/>
    <s v="NDEGO 1"/>
    <m/>
    <x v="1"/>
    <n v="12.572533099999999"/>
    <n v="14.337051600000001"/>
    <x v="0"/>
    <b v="1"/>
    <b v="0"/>
    <b v="0"/>
    <m/>
    <n v="3"/>
    <s v="Accessible"/>
    <m/>
    <s v="Le village accueille une population"/>
    <s v="Le village est intact (construit)"/>
    <m/>
    <m/>
    <s v="Oui"/>
    <s v="Familles d'accueil"/>
    <s v="Non, pas du tout"/>
    <s v="Non"/>
    <m/>
    <n v="31"/>
    <n v="250"/>
    <s v="Oui"/>
    <s v="Premier déplacement"/>
    <n v="31"/>
    <n v="135"/>
    <n v="57"/>
    <n v="78"/>
    <n v="0"/>
    <n v="31"/>
    <n v="0"/>
    <n v="0"/>
    <m/>
    <m/>
    <n v="0"/>
    <n v="0"/>
    <m/>
    <m/>
    <n v="0"/>
    <s v="Pas de changement "/>
    <s v="Non"/>
    <m/>
    <m/>
    <m/>
    <m/>
    <m/>
    <m/>
    <m/>
    <m/>
    <m/>
    <m/>
    <m/>
    <m/>
    <m/>
    <m/>
    <m/>
    <s v="Non"/>
    <m/>
    <m/>
    <m/>
    <m/>
    <m/>
    <m/>
    <m/>
    <m/>
    <m/>
    <m/>
    <m/>
    <m/>
    <m/>
    <m/>
    <m/>
    <m/>
    <m/>
    <m/>
    <m/>
    <m/>
    <n v="0"/>
    <m/>
    <m/>
    <m/>
    <m/>
    <m/>
    <m/>
    <m/>
    <m/>
    <m/>
    <m/>
    <m/>
    <m/>
    <m/>
    <s v="1"/>
    <s v="0"/>
    <s v="0"/>
    <n v="1"/>
  </r>
  <r>
    <n v="2602497"/>
    <s v="Extrême-Nord"/>
    <s v="CMR004"/>
    <x v="1"/>
    <s v="CMR004002"/>
    <s v="Makary"/>
    <s v="CMR004002009"/>
    <s v="MAK-0076"/>
    <s v="NDEGO 3"/>
    <m/>
    <x v="1"/>
    <n v="12.570337200000001"/>
    <n v="14.337928"/>
    <x v="0"/>
    <b v="1"/>
    <b v="0"/>
    <b v="0"/>
    <m/>
    <n v="3"/>
    <s v="Accessible"/>
    <m/>
    <s v="Le village accueille une population"/>
    <s v="Le village est intact (construit)"/>
    <m/>
    <m/>
    <s v="Oui"/>
    <s v="Familles d'accueil"/>
    <s v="Non, pas du tout"/>
    <s v="Non"/>
    <m/>
    <n v="23"/>
    <n v="218"/>
    <s v="Oui"/>
    <s v="Troisième déplacement"/>
    <n v="23"/>
    <n v="154"/>
    <n v="65"/>
    <n v="89"/>
    <n v="0"/>
    <n v="23"/>
    <n v="0"/>
    <n v="0"/>
    <m/>
    <m/>
    <n v="0"/>
    <n v="0"/>
    <m/>
    <m/>
    <n v="0"/>
    <s v="Il y a augmentation de 3 ménages venant de tchika "/>
    <s v="Non"/>
    <m/>
    <m/>
    <m/>
    <m/>
    <m/>
    <m/>
    <m/>
    <m/>
    <m/>
    <m/>
    <m/>
    <m/>
    <m/>
    <m/>
    <m/>
    <s v="Non"/>
    <m/>
    <m/>
    <m/>
    <m/>
    <m/>
    <m/>
    <m/>
    <m/>
    <m/>
    <m/>
    <m/>
    <m/>
    <m/>
    <m/>
    <m/>
    <m/>
    <m/>
    <m/>
    <m/>
    <m/>
    <n v="0"/>
    <m/>
    <m/>
    <m/>
    <m/>
    <m/>
    <m/>
    <m/>
    <m/>
    <m/>
    <m/>
    <m/>
    <m/>
    <m/>
    <s v="1"/>
    <s v="0"/>
    <s v="0"/>
    <n v="1"/>
  </r>
  <r>
    <n v="2613251"/>
    <s v="Extrême-Nord"/>
    <s v="CMR004"/>
    <x v="1"/>
    <s v="CMR004002"/>
    <s v="Makary"/>
    <s v="CMR004002009"/>
    <s v="MAK-0075"/>
    <s v="NDEGO 4"/>
    <m/>
    <x v="1"/>
    <n v="12.571202"/>
    <n v="14.3370464"/>
    <x v="0"/>
    <b v="1"/>
    <b v="0"/>
    <b v="0"/>
    <m/>
    <n v="3"/>
    <s v="Accessible"/>
    <m/>
    <s v="Le village accueille une population"/>
    <s v="Le village est intact (construit)"/>
    <m/>
    <m/>
    <s v="Oui"/>
    <s v="Familles d'accueil"/>
    <s v="Non, pas du tout"/>
    <s v="Non"/>
    <m/>
    <n v="22"/>
    <n v="752"/>
    <s v="Oui"/>
    <s v="Deuxième déplacement"/>
    <n v="22"/>
    <n v="86"/>
    <n v="39"/>
    <n v="47"/>
    <n v="0"/>
    <n v="22"/>
    <n v="0"/>
    <n v="0"/>
    <m/>
    <m/>
    <n v="0"/>
    <n v="0"/>
    <m/>
    <m/>
    <n v="0"/>
    <s v="Augmentation de 11 ménages de 31 individus venant de karena "/>
    <s v="Non"/>
    <m/>
    <m/>
    <m/>
    <m/>
    <m/>
    <m/>
    <m/>
    <m/>
    <m/>
    <m/>
    <m/>
    <m/>
    <m/>
    <m/>
    <m/>
    <s v="Non"/>
    <m/>
    <m/>
    <m/>
    <m/>
    <m/>
    <m/>
    <m/>
    <m/>
    <m/>
    <m/>
    <m/>
    <m/>
    <m/>
    <m/>
    <m/>
    <m/>
    <m/>
    <m/>
    <m/>
    <m/>
    <n v="0"/>
    <m/>
    <m/>
    <m/>
    <m/>
    <m/>
    <m/>
    <m/>
    <m/>
    <m/>
    <m/>
    <m/>
    <m/>
    <m/>
    <s v="1"/>
    <s v="0"/>
    <s v="0"/>
    <n v="1"/>
  </r>
  <r>
    <n v="2639012"/>
    <s v="Extrême-Nord"/>
    <s v="CMR004"/>
    <x v="1"/>
    <s v="CMR004002"/>
    <s v="Makary"/>
    <s v="CMR004002009"/>
    <s v="MAK-0077"/>
    <s v="NDIGUINI"/>
    <m/>
    <x v="1"/>
    <n v="12.507484399999999"/>
    <n v="14.5316837"/>
    <x v="0"/>
    <b v="1"/>
    <b v="0"/>
    <b v="0"/>
    <m/>
    <n v="3"/>
    <s v="Accessible"/>
    <m/>
    <s v="Le village accueille une population"/>
    <s v="Le village est intact (construit)"/>
    <m/>
    <m/>
    <s v="Oui"/>
    <s v="Familles d'accueil"/>
    <s v="Non, pas du tout"/>
    <s v="Non"/>
    <m/>
    <n v="39"/>
    <n v="931"/>
    <s v="Oui"/>
    <s v="Premier déplacement"/>
    <n v="39"/>
    <n v="250"/>
    <n v="118"/>
    <n v="132"/>
    <n v="8"/>
    <n v="31"/>
    <n v="0"/>
    <n v="0"/>
    <m/>
    <m/>
    <n v="0"/>
    <n v="0"/>
    <m/>
    <m/>
    <n v="0"/>
    <s v="Augmentation de 4 ménages venant de Mangalmi, arrondissement de blangoua suite à une attaque par Les bh ,il y a deux mois à peine"/>
    <s v="Non"/>
    <m/>
    <m/>
    <m/>
    <m/>
    <m/>
    <m/>
    <m/>
    <m/>
    <m/>
    <m/>
    <m/>
    <m/>
    <m/>
    <m/>
    <m/>
    <s v="Non"/>
    <m/>
    <m/>
    <m/>
    <m/>
    <m/>
    <m/>
    <m/>
    <m/>
    <m/>
    <m/>
    <m/>
    <m/>
    <m/>
    <m/>
    <m/>
    <m/>
    <m/>
    <m/>
    <m/>
    <m/>
    <n v="0"/>
    <m/>
    <m/>
    <m/>
    <m/>
    <m/>
    <m/>
    <m/>
    <m/>
    <m/>
    <m/>
    <m/>
    <m/>
    <m/>
    <s v="1"/>
    <s v="0"/>
    <s v="0"/>
    <n v="1"/>
  </r>
  <r>
    <n v="2652392"/>
    <s v="Extrême-Nord"/>
    <s v="CMR004"/>
    <x v="1"/>
    <s v="CMR004002"/>
    <s v="Makary"/>
    <s v="CMR004002009"/>
    <s v="MAK-0078"/>
    <s v="NDJAMENA 3"/>
    <m/>
    <x v="1"/>
    <n v="12.3440636"/>
    <n v="14.564084599999999"/>
    <x v="0"/>
    <b v="1"/>
    <b v="0"/>
    <b v="0"/>
    <m/>
    <n v="3"/>
    <s v="Accessible"/>
    <m/>
    <s v="Le village accueille une population"/>
    <s v="Le village est intact (construit)"/>
    <m/>
    <m/>
    <s v="Oui"/>
    <s v="Familles d'accueil"/>
    <s v="Non, pas du tout"/>
    <s v="Non"/>
    <m/>
    <n v="18"/>
    <n v="109"/>
    <s v="Oui"/>
    <s v="Premier déplacement"/>
    <n v="18"/>
    <n v="109"/>
    <n v="49"/>
    <n v="60"/>
    <n v="0"/>
    <n v="18"/>
    <n v="0"/>
    <n v="0"/>
    <m/>
    <m/>
    <n v="0"/>
    <n v="0"/>
    <m/>
    <m/>
    <n v="0"/>
    <s v="RAS"/>
    <s v="Oui"/>
    <n v="6"/>
    <n v="9"/>
    <n v="4"/>
    <n v="5"/>
    <n v="6"/>
    <n v="0"/>
    <n v="0"/>
    <m/>
    <n v="0"/>
    <n v="0"/>
    <m/>
    <m/>
    <n v="0"/>
    <n v="0"/>
    <s v="Il y a le départ d un 《1》ménage de six《 6》individues pour RHANN'"/>
    <s v="Non"/>
    <m/>
    <m/>
    <m/>
    <m/>
    <m/>
    <m/>
    <m/>
    <m/>
    <m/>
    <m/>
    <m/>
    <m/>
    <m/>
    <m/>
    <m/>
    <m/>
    <m/>
    <m/>
    <m/>
    <m/>
    <n v="0"/>
    <m/>
    <m/>
    <m/>
    <m/>
    <m/>
    <m/>
    <m/>
    <m/>
    <m/>
    <m/>
    <m/>
    <m/>
    <m/>
    <s v="1"/>
    <s v="1"/>
    <s v="0"/>
    <n v="2"/>
  </r>
  <r>
    <n v="2669131"/>
    <s v="Extrême-Nord"/>
    <s v="CMR004"/>
    <x v="1"/>
    <s v="CMR004002"/>
    <s v="Makary"/>
    <s v="CMR004002009"/>
    <s v="MAK-0212"/>
    <s v="NDJAMENA KADAT"/>
    <m/>
    <x v="1"/>
    <n v="12.3162161"/>
    <n v="14.639616"/>
    <x v="0"/>
    <b v="1"/>
    <b v="0"/>
    <b v="0"/>
    <m/>
    <n v="3"/>
    <s v="Accessible"/>
    <m/>
    <s v="Le village accueille une population"/>
    <s v="Le village est intact (construit)"/>
    <m/>
    <m/>
    <s v="Oui"/>
    <s v="Familles d'accueil"/>
    <s v="Non, pas du tout"/>
    <s v="Non"/>
    <m/>
    <m/>
    <n v="125"/>
    <s v="Non"/>
    <m/>
    <m/>
    <m/>
    <m/>
    <m/>
    <m/>
    <m/>
    <m/>
    <m/>
    <m/>
    <m/>
    <m/>
    <m/>
    <m/>
    <m/>
    <m/>
    <m/>
    <s v="Oui"/>
    <n v="15"/>
    <n v="78"/>
    <n v="39"/>
    <n v="39"/>
    <n v="15"/>
    <n v="0"/>
    <n v="0"/>
    <m/>
    <n v="0"/>
    <n v="0"/>
    <m/>
    <m/>
    <n v="0"/>
    <n v="0"/>
    <s v="Ras"/>
    <s v="Non"/>
    <m/>
    <m/>
    <m/>
    <m/>
    <m/>
    <m/>
    <m/>
    <m/>
    <m/>
    <m/>
    <m/>
    <m/>
    <m/>
    <m/>
    <m/>
    <m/>
    <m/>
    <m/>
    <m/>
    <m/>
    <n v="0"/>
    <m/>
    <m/>
    <m/>
    <m/>
    <m/>
    <m/>
    <m/>
    <m/>
    <m/>
    <m/>
    <m/>
    <m/>
    <m/>
    <s v="0"/>
    <s v="1"/>
    <s v="0"/>
    <n v="1"/>
  </r>
  <r>
    <n v="2670835"/>
    <s v="Extrême-Nord"/>
    <s v="CMR004"/>
    <x v="1"/>
    <s v="CMR004002"/>
    <s v="Makary"/>
    <s v="CMR004002009"/>
    <s v="MAK-0079"/>
    <s v="NDODOHE KALIA"/>
    <m/>
    <x v="1"/>
    <n v="12.4697561"/>
    <n v="14.422075299999999"/>
    <x v="0"/>
    <b v="1"/>
    <b v="0"/>
    <b v="0"/>
    <m/>
    <n v="3"/>
    <s v="Accessible"/>
    <m/>
    <s v="Le village accueille une population"/>
    <s v="Le village est partiellement détruit"/>
    <s v="Intempéries (inondations, tempêtes etc.)"/>
    <m/>
    <s v="Oui"/>
    <s v="Familles d'accueil"/>
    <s v="Non, pas du tout"/>
    <s v="Non"/>
    <m/>
    <n v="7"/>
    <n v="443"/>
    <s v="Oui"/>
    <s v="Deuxième déplacement"/>
    <n v="7"/>
    <n v="41"/>
    <n v="17"/>
    <n v="24"/>
    <n v="4"/>
    <n v="3"/>
    <n v="0"/>
    <n v="0"/>
    <m/>
    <m/>
    <n v="0"/>
    <n v="0"/>
    <m/>
    <m/>
    <n v="0"/>
    <s v="Les nouveaux points viennent de tikka"/>
    <s v="Oui"/>
    <n v="9"/>
    <n v="36"/>
    <n v="12"/>
    <n v="24"/>
    <n v="9"/>
    <n v="0"/>
    <n v="0"/>
    <m/>
    <n v="0"/>
    <n v="0"/>
    <m/>
    <m/>
    <n v="0"/>
    <n v="0"/>
    <s v="Il n'ya pas de nouveaux venant "/>
    <s v="Non"/>
    <m/>
    <m/>
    <m/>
    <m/>
    <m/>
    <m/>
    <m/>
    <m/>
    <m/>
    <m/>
    <m/>
    <m/>
    <m/>
    <m/>
    <m/>
    <m/>
    <m/>
    <m/>
    <m/>
    <m/>
    <n v="0"/>
    <m/>
    <m/>
    <m/>
    <m/>
    <m/>
    <m/>
    <m/>
    <m/>
    <m/>
    <m/>
    <m/>
    <m/>
    <m/>
    <s v="1"/>
    <s v="1"/>
    <s v="0"/>
    <n v="2"/>
  </r>
  <r>
    <n v="2670836"/>
    <s v="Extrême-Nord"/>
    <s v="CMR004"/>
    <x v="1"/>
    <s v="CMR004002"/>
    <s v="Makary"/>
    <s v="CMR004002009"/>
    <s v="MAK-0080"/>
    <s v="NDODOHE YOUSSOUF"/>
    <m/>
    <x v="1"/>
    <n v="12.4697836"/>
    <n v="14.420730000000001"/>
    <x v="0"/>
    <b v="1"/>
    <b v="0"/>
    <b v="0"/>
    <m/>
    <n v="3"/>
    <s v="Accessible"/>
    <m/>
    <s v="Le village accueille une population"/>
    <s v="Le village est partiellement détruit"/>
    <s v="Intempéries (inondations, tempêtes etc.)"/>
    <m/>
    <s v="Oui"/>
    <s v="Familles d'accueil"/>
    <s v="Non, pas du tout"/>
    <s v="Non"/>
    <m/>
    <n v="14"/>
    <n v="558"/>
    <s v="Oui"/>
    <s v="Premier déplacement"/>
    <n v="14"/>
    <n v="104"/>
    <n v="62"/>
    <n v="42"/>
    <n v="6"/>
    <n v="8"/>
    <n v="0"/>
    <n v="0"/>
    <m/>
    <m/>
    <n v="0"/>
    <n v="0"/>
    <m/>
    <m/>
    <n v="0"/>
    <s v="Il y a eu 8 nouveaux ménages idp"/>
    <s v="Oui"/>
    <n v="4"/>
    <n v="27"/>
    <n v="19"/>
    <n v="8"/>
    <n v="4"/>
    <n v="0"/>
    <n v="0"/>
    <m/>
    <n v="0"/>
    <n v="0"/>
    <m/>
    <m/>
    <n v="0"/>
    <n v="0"/>
    <s v="Il n'y a pas eu de nouveau venant"/>
    <s v="Non"/>
    <m/>
    <m/>
    <m/>
    <m/>
    <m/>
    <m/>
    <m/>
    <m/>
    <m/>
    <m/>
    <m/>
    <m/>
    <m/>
    <m/>
    <m/>
    <m/>
    <m/>
    <m/>
    <m/>
    <m/>
    <n v="0"/>
    <m/>
    <m/>
    <m/>
    <m/>
    <m/>
    <m/>
    <m/>
    <m/>
    <m/>
    <m/>
    <m/>
    <m/>
    <m/>
    <s v="1"/>
    <s v="1"/>
    <s v="0"/>
    <n v="2"/>
  </r>
  <r>
    <n v="2666348"/>
    <s v="Extrême-Nord"/>
    <s v="CMR004"/>
    <x v="1"/>
    <s v="CMR004002"/>
    <s v="Makary"/>
    <s v="CMR004002009"/>
    <s v="MAK-0081"/>
    <s v="NDOLOHE ARABE"/>
    <m/>
    <x v="1"/>
    <n v="12.463473799999999"/>
    <n v="14.4378469"/>
    <x v="0"/>
    <b v="1"/>
    <b v="0"/>
    <b v="0"/>
    <m/>
    <n v="4"/>
    <s v="Accessible"/>
    <m/>
    <s v="Le village accueille une population"/>
    <s v="Le village est partiellement détruit"/>
    <s v="Intempéries (inondations, tempêtes etc.)"/>
    <m/>
    <s v="Oui"/>
    <s v="Familles d'accueil"/>
    <s v="Non, pas du tout"/>
    <s v="Non"/>
    <m/>
    <n v="10"/>
    <n v="1219"/>
    <s v="Oui"/>
    <s v="Premier déplacement"/>
    <n v="10"/>
    <n v="62"/>
    <n v="28"/>
    <n v="34"/>
    <n v="5"/>
    <n v="5"/>
    <n v="0"/>
    <n v="0"/>
    <m/>
    <m/>
    <n v="0"/>
    <n v="0"/>
    <m/>
    <m/>
    <n v="0"/>
    <s v="Les nouveaux idp se santé gêner dans les familles d'accueil  "/>
    <s v="Oui"/>
    <n v="4"/>
    <n v="29"/>
    <n v="11"/>
    <n v="18"/>
    <n v="4"/>
    <n v="0"/>
    <n v="0"/>
    <m/>
    <n v="0"/>
    <n v="0"/>
    <m/>
    <m/>
    <n v="0"/>
    <n v="0"/>
    <s v="In n'ya pas eu de nouveau réfugiés "/>
    <s v="Non"/>
    <m/>
    <m/>
    <m/>
    <m/>
    <m/>
    <m/>
    <m/>
    <m/>
    <m/>
    <m/>
    <m/>
    <m/>
    <m/>
    <m/>
    <m/>
    <m/>
    <m/>
    <m/>
    <m/>
    <m/>
    <n v="2"/>
    <m/>
    <m/>
    <m/>
    <m/>
    <m/>
    <m/>
    <m/>
    <m/>
    <m/>
    <m/>
    <m/>
    <m/>
    <m/>
    <s v="1"/>
    <s v="1"/>
    <s v="0"/>
    <n v="2"/>
  </r>
  <r>
    <n v="2623453"/>
    <s v="Extrême-Nord"/>
    <s v="CMR004"/>
    <x v="1"/>
    <s v="CMR004002"/>
    <s v="Makary"/>
    <s v="CMR004002009"/>
    <s v="MAK-0144"/>
    <s v="NGAIWA"/>
    <m/>
    <x v="1"/>
    <n v="12.502302"/>
    <n v="14.3814578"/>
    <x v="0"/>
    <b v="1"/>
    <b v="0"/>
    <b v="0"/>
    <m/>
    <n v="3"/>
    <s v="Accessible"/>
    <m/>
    <s v="Le village accueille une population"/>
    <s v="Le village est intact (construit)"/>
    <m/>
    <m/>
    <s v="Oui"/>
    <s v="Familles d'accueil"/>
    <s v="Non, pas du tout"/>
    <s v="Non"/>
    <m/>
    <n v="30"/>
    <n v="711"/>
    <s v="Oui"/>
    <s v="Premier déplacement"/>
    <n v="30"/>
    <n v="107"/>
    <n v="63"/>
    <n v="44"/>
    <n v="4"/>
    <n v="23"/>
    <n v="3"/>
    <n v="0"/>
    <m/>
    <m/>
    <n v="0"/>
    <n v="0"/>
    <m/>
    <m/>
    <n v="0"/>
    <s v="Manque de vivres "/>
    <s v="Non"/>
    <m/>
    <m/>
    <m/>
    <m/>
    <m/>
    <m/>
    <m/>
    <m/>
    <m/>
    <m/>
    <m/>
    <m/>
    <m/>
    <m/>
    <m/>
    <s v="Non"/>
    <m/>
    <m/>
    <m/>
    <m/>
    <m/>
    <m/>
    <m/>
    <m/>
    <m/>
    <m/>
    <m/>
    <m/>
    <m/>
    <m/>
    <m/>
    <m/>
    <m/>
    <m/>
    <m/>
    <m/>
    <n v="0"/>
    <m/>
    <m/>
    <m/>
    <m/>
    <m/>
    <m/>
    <m/>
    <m/>
    <m/>
    <m/>
    <m/>
    <m/>
    <m/>
    <s v="1"/>
    <s v="0"/>
    <s v="0"/>
    <n v="1"/>
  </r>
  <r>
    <n v="2636288"/>
    <s v="Extrême-Nord"/>
    <s v="CMR004"/>
    <x v="1"/>
    <s v="CMR004002"/>
    <s v="Makary"/>
    <s v="CMR004002009"/>
    <s v="MAK-0177"/>
    <s v="NGAME"/>
    <m/>
    <x v="1"/>
    <n v="12.6671929"/>
    <n v="14.5625625"/>
    <x v="0"/>
    <b v="1"/>
    <b v="0"/>
    <b v="0"/>
    <m/>
    <n v="3"/>
    <s v="Accessible"/>
    <m/>
    <s v="Le village accueille une population"/>
    <s v="Le village est intact (construit)"/>
    <m/>
    <m/>
    <s v="Oui"/>
    <s v="Familles d'accueil"/>
    <s v="Non, pas du tout"/>
    <s v="Non"/>
    <m/>
    <n v="43"/>
    <n v="250"/>
    <s v="Oui"/>
    <s v="Premier déplacement"/>
    <n v="43"/>
    <n v="231"/>
    <n v="100"/>
    <n v="131"/>
    <n v="0"/>
    <n v="43"/>
    <n v="0"/>
    <n v="0"/>
    <m/>
    <m/>
    <n v="0"/>
    <n v="0"/>
    <m/>
    <m/>
    <n v="0"/>
    <s v="Pas de changement "/>
    <s v="Non"/>
    <m/>
    <m/>
    <m/>
    <m/>
    <m/>
    <m/>
    <m/>
    <m/>
    <m/>
    <m/>
    <m/>
    <m/>
    <m/>
    <m/>
    <m/>
    <s v="Non"/>
    <m/>
    <m/>
    <m/>
    <m/>
    <m/>
    <m/>
    <m/>
    <m/>
    <m/>
    <m/>
    <m/>
    <m/>
    <m/>
    <m/>
    <m/>
    <m/>
    <m/>
    <m/>
    <m/>
    <m/>
    <n v="0"/>
    <m/>
    <m/>
    <m/>
    <m/>
    <m/>
    <m/>
    <m/>
    <m/>
    <m/>
    <m/>
    <m/>
    <m/>
    <m/>
    <s v="1"/>
    <s v="0"/>
    <s v="0"/>
    <n v="1"/>
  </r>
  <r>
    <n v="2631794"/>
    <s v="Extrême-Nord"/>
    <s v="CMR004"/>
    <x v="1"/>
    <s v="CMR004002"/>
    <s v="Makary"/>
    <s v="CMR004002009"/>
    <s v="MAK-0082"/>
    <s v="NGARDOUGOUM"/>
    <m/>
    <x v="1"/>
    <n v="12.2296403"/>
    <n v="14.6918372"/>
    <x v="0"/>
    <b v="1"/>
    <b v="0"/>
    <b v="0"/>
    <m/>
    <n v="3"/>
    <s v="Accessible"/>
    <m/>
    <s v="Le village accueille une population"/>
    <s v="Le village est intact (construit)"/>
    <m/>
    <m/>
    <s v="Oui"/>
    <s v="Familles d'accueil"/>
    <s v="Non, pas du tout"/>
    <s v="Non"/>
    <m/>
    <n v="37"/>
    <n v="963"/>
    <s v="Oui"/>
    <s v="Premier déplacement"/>
    <n v="37"/>
    <n v="339"/>
    <n v="125"/>
    <n v="214"/>
    <n v="0"/>
    <n v="37"/>
    <n v="0"/>
    <n v="0"/>
    <m/>
    <m/>
    <n v="0"/>
    <n v="0"/>
    <m/>
    <m/>
    <n v="0"/>
    <s v="RAS"/>
    <s v="Non"/>
    <m/>
    <m/>
    <m/>
    <m/>
    <m/>
    <m/>
    <m/>
    <m/>
    <m/>
    <m/>
    <m/>
    <m/>
    <m/>
    <m/>
    <m/>
    <s v="Non"/>
    <m/>
    <m/>
    <m/>
    <m/>
    <m/>
    <m/>
    <m/>
    <m/>
    <m/>
    <m/>
    <m/>
    <m/>
    <m/>
    <m/>
    <m/>
    <m/>
    <m/>
    <m/>
    <m/>
    <m/>
    <n v="0"/>
    <m/>
    <m/>
    <m/>
    <m/>
    <m/>
    <m/>
    <m/>
    <m/>
    <m/>
    <m/>
    <m/>
    <m/>
    <m/>
    <s v="1"/>
    <s v="0"/>
    <s v="0"/>
    <n v="1"/>
  </r>
  <r>
    <n v="2775457"/>
    <s v="Extrême-Nord"/>
    <s v="CMR004"/>
    <x v="1"/>
    <s v="CMR004002"/>
    <s v="Makary"/>
    <s v="CMR004002009"/>
    <s v="MAK-0083"/>
    <s v="NGARDOUKOUM 2"/>
    <m/>
    <x v="1"/>
    <n v="12.4065338"/>
    <n v="14.4938137"/>
    <x v="0"/>
    <b v="0"/>
    <b v="0"/>
    <b v="1"/>
    <m/>
    <m/>
    <s v="Accessible"/>
    <m/>
    <s v="Le village accueille une population"/>
    <s v="Le village est intact (construit)"/>
    <m/>
    <m/>
    <s v="Oui"/>
    <s v="Familles d'accueil"/>
    <s v="Non, pas du tout"/>
    <s v="Non"/>
    <m/>
    <m/>
    <n v="400"/>
    <s v="Non"/>
    <m/>
    <m/>
    <m/>
    <m/>
    <m/>
    <m/>
    <m/>
    <m/>
    <m/>
    <m/>
    <m/>
    <m/>
    <m/>
    <m/>
    <m/>
    <m/>
    <m/>
    <s v="Oui"/>
    <n v="10"/>
    <n v="79"/>
    <n v="30"/>
    <n v="49"/>
    <n v="10"/>
    <n v="0"/>
    <n v="0"/>
    <m/>
    <n v="0"/>
    <n v="0"/>
    <m/>
    <m/>
    <n v="0"/>
    <n v="0"/>
    <s v="Aucun changement"/>
    <s v="Non"/>
    <m/>
    <m/>
    <m/>
    <m/>
    <m/>
    <m/>
    <m/>
    <m/>
    <m/>
    <m/>
    <m/>
    <m/>
    <m/>
    <m/>
    <m/>
    <m/>
    <m/>
    <m/>
    <m/>
    <m/>
    <n v="0"/>
    <m/>
    <m/>
    <m/>
    <m/>
    <m/>
    <m/>
    <m/>
    <m/>
    <m/>
    <m/>
    <m/>
    <m/>
    <m/>
    <s v="0"/>
    <s v="1"/>
    <s v="0"/>
    <n v="1"/>
  </r>
  <r>
    <n v="2616246"/>
    <s v="Extrême-Nord"/>
    <s v="CMR004"/>
    <x v="1"/>
    <s v="CMR004002"/>
    <s v="Makary"/>
    <s v="CMR004002009"/>
    <s v="MAK-0084"/>
    <s v="NGLEME"/>
    <m/>
    <x v="1"/>
    <n v="12.5494755"/>
    <n v="14.4600838"/>
    <x v="0"/>
    <b v="1"/>
    <b v="0"/>
    <b v="0"/>
    <m/>
    <n v="3"/>
    <s v="Accessible"/>
    <m/>
    <s v="Le village accueille une population"/>
    <s v="Le village est intact (construit)"/>
    <m/>
    <m/>
    <s v="Oui"/>
    <s v="Familles d'accueil"/>
    <s v="Non, pas du tout"/>
    <s v="Non"/>
    <m/>
    <n v="20"/>
    <n v="820"/>
    <s v="Oui"/>
    <s v="Premier déplacement"/>
    <n v="20"/>
    <n v="189"/>
    <n v="83"/>
    <n v="106"/>
    <n v="0"/>
    <n v="20"/>
    <n v="0"/>
    <n v="0"/>
    <m/>
    <m/>
    <n v="0"/>
    <n v="0"/>
    <m/>
    <m/>
    <n v="0"/>
    <s v="R À S"/>
    <s v="Non"/>
    <m/>
    <m/>
    <m/>
    <m/>
    <m/>
    <m/>
    <m/>
    <m/>
    <m/>
    <m/>
    <m/>
    <m/>
    <m/>
    <m/>
    <m/>
    <s v="Non"/>
    <m/>
    <m/>
    <m/>
    <m/>
    <m/>
    <m/>
    <m/>
    <m/>
    <m/>
    <m/>
    <m/>
    <m/>
    <m/>
    <m/>
    <m/>
    <m/>
    <m/>
    <m/>
    <m/>
    <m/>
    <n v="0"/>
    <m/>
    <m/>
    <m/>
    <m/>
    <m/>
    <m/>
    <m/>
    <m/>
    <m/>
    <m/>
    <m/>
    <m/>
    <m/>
    <s v="1"/>
    <s v="0"/>
    <s v="0"/>
    <n v="1"/>
  </r>
  <r>
    <n v="2615170"/>
    <s v="Extrême-Nord"/>
    <s v="CMR004"/>
    <x v="1"/>
    <s v="CMR004002"/>
    <s v="Makary"/>
    <s v="CMR004002009"/>
    <s v="MAK-0085"/>
    <s v="NGONFLA 2"/>
    <m/>
    <x v="1"/>
    <n v="12.2611253"/>
    <n v="14.6743483"/>
    <x v="0"/>
    <b v="1"/>
    <b v="0"/>
    <b v="0"/>
    <m/>
    <n v="3"/>
    <s v="Accessible"/>
    <m/>
    <s v="Le village accueille une population"/>
    <s v="Le village est intact (construit)"/>
    <m/>
    <m/>
    <s v="Oui"/>
    <s v="Familles d'accueil"/>
    <s v="Non, pas du tout"/>
    <s v="Non"/>
    <m/>
    <n v="1"/>
    <n v="482"/>
    <s v="Oui"/>
    <s v="Premier déplacement"/>
    <n v="1"/>
    <n v="9"/>
    <n v="4"/>
    <n v="5"/>
    <n v="1"/>
    <n v="0"/>
    <n v="0"/>
    <n v="0"/>
    <m/>
    <m/>
    <n v="0"/>
    <n v="0"/>
    <m/>
    <m/>
    <n v="0"/>
    <s v="Pas de changement "/>
    <s v="Non"/>
    <m/>
    <m/>
    <m/>
    <m/>
    <m/>
    <m/>
    <m/>
    <m/>
    <m/>
    <m/>
    <m/>
    <m/>
    <m/>
    <m/>
    <m/>
    <s v="Non"/>
    <m/>
    <m/>
    <m/>
    <m/>
    <m/>
    <m/>
    <m/>
    <m/>
    <m/>
    <m/>
    <m/>
    <m/>
    <m/>
    <m/>
    <m/>
    <m/>
    <m/>
    <m/>
    <m/>
    <m/>
    <n v="0"/>
    <m/>
    <m/>
    <m/>
    <m/>
    <m/>
    <m/>
    <m/>
    <m/>
    <m/>
    <m/>
    <m/>
    <m/>
    <m/>
    <s v="1"/>
    <s v="0"/>
    <s v="0"/>
    <n v="1"/>
  </r>
  <r>
    <n v="2631839"/>
    <s v="Extrême-Nord"/>
    <s v="CMR004"/>
    <x v="1"/>
    <s v="CMR004002"/>
    <s v="Makary"/>
    <s v="CMR004002009"/>
    <s v="MAK-0145"/>
    <s v="NGORTCHONO 1"/>
    <m/>
    <x v="1"/>
    <n v="12.293230700000001"/>
    <n v="14.5958612"/>
    <x v="0"/>
    <b v="1"/>
    <b v="0"/>
    <b v="0"/>
    <m/>
    <n v="3"/>
    <s v="Accessible"/>
    <m/>
    <s v="Le village accueille une population"/>
    <s v="Le village est partiellement détruit"/>
    <s v="Intempéries (inondations, tempêtes etc.)"/>
    <m/>
    <s v="Oui"/>
    <s v="Familles d'accueil"/>
    <s v="Non, pas du tout"/>
    <s v="Non"/>
    <m/>
    <n v="3"/>
    <n v="337"/>
    <s v="Oui"/>
    <s v="Premier déplacement"/>
    <n v="3"/>
    <n v="47"/>
    <n v="22"/>
    <n v="25"/>
    <n v="3"/>
    <n v="0"/>
    <n v="0"/>
    <n v="0"/>
    <m/>
    <m/>
    <n v="0"/>
    <n v="0"/>
    <m/>
    <m/>
    <n v="0"/>
    <s v="Diminution d'1 ménage de 9 individus IDPS en déplacement vers le site de michkinding"/>
    <s v="Non"/>
    <m/>
    <m/>
    <m/>
    <m/>
    <m/>
    <m/>
    <m/>
    <m/>
    <m/>
    <m/>
    <m/>
    <m/>
    <m/>
    <m/>
    <m/>
    <s v="Non"/>
    <m/>
    <m/>
    <m/>
    <m/>
    <m/>
    <m/>
    <m/>
    <m/>
    <m/>
    <m/>
    <m/>
    <m/>
    <m/>
    <m/>
    <m/>
    <m/>
    <m/>
    <m/>
    <m/>
    <m/>
    <n v="0"/>
    <m/>
    <m/>
    <m/>
    <m/>
    <m/>
    <m/>
    <m/>
    <m/>
    <m/>
    <m/>
    <m/>
    <m/>
    <m/>
    <s v="1"/>
    <s v="0"/>
    <s v="0"/>
    <n v="1"/>
  </r>
  <r>
    <n v="2631793"/>
    <s v="Extrême-Nord"/>
    <s v="CMR004"/>
    <x v="1"/>
    <s v="CMR004002"/>
    <s v="Makary"/>
    <s v="CMR004002009"/>
    <s v="MAK-0115"/>
    <s v="NGORTCHONO 2"/>
    <m/>
    <x v="1"/>
    <n v="12.2302119"/>
    <n v="14.687773"/>
    <x v="0"/>
    <b v="1"/>
    <b v="0"/>
    <b v="0"/>
    <m/>
    <n v="3"/>
    <s v="Accessible"/>
    <m/>
    <s v="Le village accueille une population"/>
    <s v="Le village est intact (construit)"/>
    <m/>
    <m/>
    <s v="Oui"/>
    <s v="Familles d'accueil"/>
    <s v="Non, pas du tout"/>
    <s v="Non"/>
    <m/>
    <n v="14"/>
    <n v="820"/>
    <s v="Oui"/>
    <s v="Premier déplacement"/>
    <n v="14"/>
    <n v="110"/>
    <n v="44"/>
    <n v="66"/>
    <n v="0"/>
    <n v="14"/>
    <n v="0"/>
    <n v="0"/>
    <m/>
    <m/>
    <n v="0"/>
    <n v="0"/>
    <m/>
    <m/>
    <n v="0"/>
    <s v="RAS"/>
    <s v="Oui"/>
    <n v="19"/>
    <n v="154"/>
    <n v="67"/>
    <n v="87"/>
    <n v="0"/>
    <n v="19"/>
    <n v="0"/>
    <m/>
    <n v="0"/>
    <n v="0"/>
    <m/>
    <m/>
    <n v="0"/>
    <n v="0"/>
    <s v="Ras"/>
    <s v="Non"/>
    <m/>
    <m/>
    <m/>
    <m/>
    <m/>
    <m/>
    <m/>
    <m/>
    <m/>
    <m/>
    <m/>
    <m/>
    <m/>
    <m/>
    <m/>
    <m/>
    <m/>
    <m/>
    <m/>
    <m/>
    <n v="0"/>
    <m/>
    <m/>
    <m/>
    <m/>
    <m/>
    <m/>
    <m/>
    <m/>
    <m/>
    <m/>
    <m/>
    <m/>
    <m/>
    <s v="1"/>
    <s v="1"/>
    <s v="0"/>
    <n v="2"/>
  </r>
  <r>
    <n v="2630391"/>
    <s v="Extrême-Nord"/>
    <s v="CMR004"/>
    <x v="1"/>
    <s v="CMR004002"/>
    <s v="Makary"/>
    <s v="CMR004002009"/>
    <s v="MAK-0086"/>
    <s v="NGOUMA"/>
    <m/>
    <x v="0"/>
    <n v="12.626618499999999"/>
    <n v="14.299909899999999"/>
    <x v="0"/>
    <b v="1"/>
    <b v="0"/>
    <b v="0"/>
    <m/>
    <n v="3"/>
    <s v="Accessible"/>
    <m/>
    <s v="Le village accueille une population"/>
    <s v="Le village est intact (construit)"/>
    <m/>
    <m/>
    <s v="Oui"/>
    <s v="Familles d'accueil"/>
    <s v="Non, pas du tout"/>
    <s v="Oui"/>
    <n v="1"/>
    <n v="401"/>
    <n v="7472"/>
    <s v="Oui"/>
    <s v="Deuxième déplacement"/>
    <n v="401"/>
    <n v="1173"/>
    <n v="481"/>
    <n v="692"/>
    <n v="0"/>
    <n v="276"/>
    <n v="0"/>
    <n v="0"/>
    <m/>
    <m/>
    <n v="0"/>
    <n v="125"/>
    <s v="Paille/Natte/Nylon"/>
    <m/>
    <n v="0"/>
    <s v="Augmentation de 225 ménages à NGOUMA "/>
    <s v="Oui"/>
    <n v="18"/>
    <n v="96"/>
    <n v="40"/>
    <n v="56"/>
    <n v="18"/>
    <n v="0"/>
    <n v="0"/>
    <m/>
    <n v="0"/>
    <n v="0"/>
    <m/>
    <m/>
    <n v="0"/>
    <n v="0"/>
    <s v="Ras "/>
    <s v="Oui"/>
    <n v="18"/>
    <n v="96"/>
    <n v="42"/>
    <n v="54"/>
    <s v="5 ans ou plus"/>
    <n v="6"/>
    <n v="0"/>
    <n v="12"/>
    <n v="0"/>
    <n v="0"/>
    <m/>
    <n v="0"/>
    <n v="0"/>
    <m/>
    <n v="0"/>
    <m/>
    <m/>
    <m/>
    <m/>
    <m/>
    <n v="0"/>
    <m/>
    <m/>
    <m/>
    <m/>
    <m/>
    <m/>
    <m/>
    <m/>
    <m/>
    <m/>
    <m/>
    <m/>
    <m/>
    <s v="1"/>
    <s v="1"/>
    <s v="1"/>
    <n v="3"/>
  </r>
  <r>
    <n v="2631800"/>
    <s v="Extrême-Nord"/>
    <s v="CMR004"/>
    <x v="1"/>
    <s v="CMR004002"/>
    <s v="Makary"/>
    <s v="CMR004002009"/>
    <s v="MAK-0103"/>
    <s v="NGOURNOU"/>
    <m/>
    <x v="1"/>
    <n v="12.315225399999999"/>
    <n v="14.578526200000001"/>
    <x v="0"/>
    <b v="1"/>
    <b v="0"/>
    <b v="0"/>
    <m/>
    <n v="3"/>
    <s v="Accessible"/>
    <m/>
    <s v="Le village accueille une population"/>
    <s v="Le village est intact (construit)"/>
    <m/>
    <m/>
    <s v="Oui"/>
    <s v="Familles d'accueil"/>
    <s v="Non, pas du tout"/>
    <s v="Non"/>
    <m/>
    <n v="130"/>
    <n v="2549"/>
    <s v="Oui"/>
    <s v="Premier déplacement"/>
    <n v="130"/>
    <n v="246"/>
    <n v="106"/>
    <n v="140"/>
    <n v="0"/>
    <n v="0"/>
    <n v="0"/>
    <n v="0"/>
    <m/>
    <m/>
    <n v="0"/>
    <n v="130"/>
    <s v="Paille/Natte/Nylon"/>
    <m/>
    <n v="0"/>
    <s v="RAS"/>
    <s v="Oui"/>
    <n v="42"/>
    <n v="152"/>
    <n v="63"/>
    <n v="89"/>
    <n v="42"/>
    <n v="0"/>
    <n v="0"/>
    <m/>
    <n v="0"/>
    <n v="0"/>
    <m/>
    <m/>
    <n v="0"/>
    <n v="27"/>
    <s v="RAS"/>
    <s v="Oui"/>
    <n v="12"/>
    <n v="60"/>
    <n v="22"/>
    <n v="38"/>
    <s v="5 ans ou plus"/>
    <n v="12"/>
    <n v="0"/>
    <n v="0"/>
    <n v="0"/>
    <n v="0"/>
    <m/>
    <n v="0"/>
    <n v="0"/>
    <m/>
    <n v="0"/>
    <m/>
    <m/>
    <m/>
    <m/>
    <m/>
    <n v="0"/>
    <m/>
    <m/>
    <m/>
    <m/>
    <m/>
    <m/>
    <m/>
    <m/>
    <m/>
    <m/>
    <m/>
    <m/>
    <m/>
    <s v="1"/>
    <s v="1"/>
    <s v="1"/>
    <n v="3"/>
  </r>
  <r>
    <n v="2635970"/>
    <s v="Extrême-Nord"/>
    <s v="CMR004"/>
    <x v="1"/>
    <s v="CMR004002"/>
    <s v="Makary"/>
    <s v="CMR004002009"/>
    <s v="MAK-0178"/>
    <s v="NGOUSSIRE"/>
    <m/>
    <x v="1"/>
    <n v="12.609477"/>
    <n v="14.5818756"/>
    <x v="0"/>
    <b v="1"/>
    <b v="0"/>
    <b v="0"/>
    <m/>
    <n v="4"/>
    <s v="Accessible"/>
    <m/>
    <s v="Le village accueille une population"/>
    <s v="Le village est partiellement détruit"/>
    <s v="Intempéries (inondations, tempêtes etc.)"/>
    <m/>
    <s v="Oui"/>
    <s v="Familles d'accueil"/>
    <s v="Non, pas du tout"/>
    <s v="Non"/>
    <m/>
    <n v="6"/>
    <n v="500"/>
    <s v="Oui"/>
    <s v="Plus de trois déplacements"/>
    <n v="6"/>
    <n v="30"/>
    <n v="12"/>
    <n v="18"/>
    <n v="0"/>
    <n v="6"/>
    <n v="0"/>
    <n v="0"/>
    <m/>
    <m/>
    <n v="0"/>
    <n v="0"/>
    <m/>
    <m/>
    <n v="0"/>
    <s v="Augmentation de 2 ménages pour 6 individus idps venu de Mada."/>
    <s v="Non"/>
    <m/>
    <m/>
    <m/>
    <m/>
    <m/>
    <m/>
    <m/>
    <m/>
    <m/>
    <m/>
    <m/>
    <m/>
    <m/>
    <m/>
    <m/>
    <s v="Non"/>
    <m/>
    <m/>
    <m/>
    <m/>
    <m/>
    <m/>
    <m/>
    <m/>
    <m/>
    <m/>
    <m/>
    <m/>
    <m/>
    <m/>
    <m/>
    <m/>
    <m/>
    <m/>
    <m/>
    <m/>
    <n v="0"/>
    <m/>
    <m/>
    <m/>
    <m/>
    <m/>
    <m/>
    <m/>
    <m/>
    <m/>
    <m/>
    <m/>
    <m/>
    <m/>
    <s v="1"/>
    <s v="0"/>
    <s v="0"/>
    <n v="1"/>
  </r>
  <r>
    <n v="2753823"/>
    <s v="Extrême-Nord"/>
    <s v="CMR004"/>
    <x v="1"/>
    <s v="CMR004002"/>
    <s v="Makary"/>
    <s v="CMR004002009"/>
    <s v="MAK-0147"/>
    <s v="NGOUT"/>
    <m/>
    <x v="1"/>
    <n v="12.4064719"/>
    <n v="14.4939018"/>
    <x v="0"/>
    <b v="0"/>
    <b v="0"/>
    <b v="1"/>
    <m/>
    <m/>
    <s v="Accessible"/>
    <m/>
    <s v="Le village accueille une population"/>
    <s v="Le village est intact (construit)"/>
    <m/>
    <m/>
    <s v="Oui"/>
    <s v="Familles d'accueil"/>
    <s v="Non, pas du tout"/>
    <s v="Non"/>
    <m/>
    <n v="29"/>
    <n v="500"/>
    <s v="Oui"/>
    <s v="Premier déplacement"/>
    <n v="29"/>
    <n v="199"/>
    <n v="99"/>
    <n v="100"/>
    <n v="0"/>
    <n v="29"/>
    <n v="0"/>
    <n v="0"/>
    <m/>
    <m/>
    <n v="0"/>
    <n v="0"/>
    <m/>
    <m/>
    <n v="0"/>
    <s v="Aucun changement"/>
    <s v="Non"/>
    <m/>
    <m/>
    <m/>
    <m/>
    <m/>
    <m/>
    <m/>
    <m/>
    <m/>
    <m/>
    <m/>
    <m/>
    <m/>
    <m/>
    <m/>
    <s v="Non"/>
    <m/>
    <m/>
    <m/>
    <m/>
    <m/>
    <m/>
    <m/>
    <m/>
    <m/>
    <m/>
    <m/>
    <m/>
    <m/>
    <m/>
    <m/>
    <m/>
    <m/>
    <m/>
    <m/>
    <m/>
    <n v="0"/>
    <m/>
    <m/>
    <m/>
    <m/>
    <m/>
    <m/>
    <m/>
    <m/>
    <m/>
    <m/>
    <m/>
    <m/>
    <m/>
    <s v="1"/>
    <s v="0"/>
    <s v="0"/>
    <n v="1"/>
  </r>
  <r>
    <n v="2617583"/>
    <s v="Extrême-Nord"/>
    <s v="CMR004"/>
    <x v="1"/>
    <s v="CMR004002"/>
    <s v="Makary"/>
    <s v="CMR004002009"/>
    <s v="MAK-0230"/>
    <s v="NGOUT 1"/>
    <m/>
    <x v="1"/>
    <n v="12.1261052"/>
    <n v="14.798447599999999"/>
    <x v="0"/>
    <b v="1"/>
    <b v="0"/>
    <b v="0"/>
    <m/>
    <n v="3"/>
    <s v="Accessible"/>
    <m/>
    <s v="Le village accueille une population"/>
    <s v="Le village est partiellement détruit"/>
    <s v="Intempéries (inondations, tempêtes etc.)"/>
    <m/>
    <s v="Oui"/>
    <s v="Familles d'accueil"/>
    <s v="Non, pas du tout"/>
    <s v="Non"/>
    <m/>
    <n v="65"/>
    <n v="265"/>
    <s v="Oui"/>
    <s v="Premier déplacement"/>
    <n v="65"/>
    <n v="105"/>
    <n v="83"/>
    <n v="22"/>
    <n v="10"/>
    <n v="55"/>
    <n v="0"/>
    <n v="0"/>
    <m/>
    <m/>
    <n v="0"/>
    <n v="0"/>
    <m/>
    <m/>
    <n v="0"/>
    <s v="Augmentation de la population dû à l'inondation en provenance de guelguel"/>
    <s v="Non"/>
    <m/>
    <m/>
    <m/>
    <m/>
    <m/>
    <m/>
    <m/>
    <m/>
    <m/>
    <m/>
    <m/>
    <m/>
    <m/>
    <m/>
    <m/>
    <s v="Non"/>
    <m/>
    <m/>
    <m/>
    <m/>
    <m/>
    <m/>
    <m/>
    <m/>
    <m/>
    <m/>
    <m/>
    <m/>
    <m/>
    <m/>
    <m/>
    <m/>
    <m/>
    <m/>
    <m/>
    <m/>
    <n v="0"/>
    <m/>
    <m/>
    <m/>
    <m/>
    <m/>
    <m/>
    <m/>
    <m/>
    <m/>
    <m/>
    <m/>
    <m/>
    <m/>
    <s v="1"/>
    <s v="0"/>
    <s v="0"/>
    <n v="1"/>
  </r>
  <r>
    <n v="2617582"/>
    <s v="Extrême-Nord"/>
    <s v="CMR004"/>
    <x v="1"/>
    <s v="CMR004002"/>
    <s v="Makary"/>
    <s v="CMR004002009"/>
    <s v="MAK-0231"/>
    <s v="NGOUT 2"/>
    <m/>
    <x v="1"/>
    <n v="12.129033099999999"/>
    <n v="14.791535400000001"/>
    <x v="0"/>
    <b v="1"/>
    <b v="0"/>
    <b v="0"/>
    <m/>
    <n v="3"/>
    <s v="Accessible"/>
    <m/>
    <s v="Le village accueille une population"/>
    <s v="Le village est partiellement détruit"/>
    <s v="Intempéries (inondations, tempêtes etc.)"/>
    <m/>
    <s v="Oui"/>
    <s v="Familles d'accueil"/>
    <s v="Non, pas du tout"/>
    <s v="Non"/>
    <m/>
    <n v="18"/>
    <n v="371"/>
    <s v="Oui"/>
    <s v="Premier déplacement"/>
    <n v="18"/>
    <n v="141"/>
    <n v="75"/>
    <n v="66"/>
    <n v="10"/>
    <n v="8"/>
    <n v="0"/>
    <n v="0"/>
    <m/>
    <m/>
    <n v="0"/>
    <n v="0"/>
    <m/>
    <m/>
    <n v="0"/>
    <s v="Augmentation de la population dû à l'inondation,  en provenance de matoukouss et galégalé village voisin"/>
    <s v="Non"/>
    <m/>
    <m/>
    <m/>
    <m/>
    <m/>
    <m/>
    <m/>
    <m/>
    <m/>
    <m/>
    <m/>
    <m/>
    <m/>
    <m/>
    <m/>
    <s v="Non"/>
    <m/>
    <m/>
    <m/>
    <m/>
    <m/>
    <m/>
    <m/>
    <m/>
    <m/>
    <m/>
    <m/>
    <m/>
    <m/>
    <m/>
    <m/>
    <m/>
    <m/>
    <m/>
    <m/>
    <m/>
    <n v="0"/>
    <m/>
    <m/>
    <m/>
    <m/>
    <m/>
    <m/>
    <m/>
    <m/>
    <m/>
    <m/>
    <m/>
    <m/>
    <m/>
    <s v="1"/>
    <s v="0"/>
    <s v="0"/>
    <n v="1"/>
  </r>
  <r>
    <n v="2627570"/>
    <s v="Extrême-Nord"/>
    <s v="CMR004"/>
    <x v="1"/>
    <s v="CMR004002"/>
    <s v="Makary"/>
    <s v="CMR004002009"/>
    <s v="MAK-0087"/>
    <s v="NGREE 1"/>
    <m/>
    <x v="1"/>
    <n v="12.1537831"/>
    <n v="14.829938500000001"/>
    <x v="0"/>
    <b v="1"/>
    <b v="0"/>
    <b v="0"/>
    <m/>
    <n v="3"/>
    <s v="Accessible"/>
    <m/>
    <s v="Le village accueille une population"/>
    <s v="Le village est intact (construit)"/>
    <m/>
    <m/>
    <s v="Oui"/>
    <s v="Familles d'accueil"/>
    <s v="Non, pas du tout"/>
    <s v="Non"/>
    <m/>
    <n v="35"/>
    <n v="400"/>
    <s v="Oui"/>
    <s v="Premier déplacement"/>
    <n v="35"/>
    <n v="308"/>
    <n v="115"/>
    <n v="193"/>
    <n v="25"/>
    <n v="10"/>
    <n v="0"/>
    <n v="0"/>
    <m/>
    <m/>
    <n v="0"/>
    <n v="0"/>
    <m/>
    <m/>
    <n v="0"/>
    <s v="Augmentation dû au naissance"/>
    <s v="Non"/>
    <m/>
    <m/>
    <m/>
    <m/>
    <m/>
    <m/>
    <m/>
    <m/>
    <m/>
    <m/>
    <m/>
    <m/>
    <m/>
    <m/>
    <m/>
    <s v="Non"/>
    <m/>
    <m/>
    <m/>
    <m/>
    <m/>
    <m/>
    <m/>
    <m/>
    <m/>
    <m/>
    <m/>
    <m/>
    <m/>
    <m/>
    <m/>
    <m/>
    <m/>
    <m/>
    <m/>
    <m/>
    <n v="0"/>
    <m/>
    <m/>
    <m/>
    <m/>
    <m/>
    <m/>
    <m/>
    <m/>
    <m/>
    <m/>
    <m/>
    <m/>
    <m/>
    <s v="1"/>
    <s v="0"/>
    <s v="0"/>
    <n v="1"/>
  </r>
  <r>
    <n v="2627571"/>
    <s v="Extrême-Nord"/>
    <s v="CMR004"/>
    <x v="1"/>
    <s v="CMR004002"/>
    <s v="Makary"/>
    <s v="CMR004002009"/>
    <s v="MAK-0088"/>
    <s v="NGREE 2"/>
    <m/>
    <x v="1"/>
    <n v="12.144262299999999"/>
    <n v="14.8235277"/>
    <x v="0"/>
    <b v="1"/>
    <b v="0"/>
    <b v="0"/>
    <m/>
    <n v="3"/>
    <s v="Accessible"/>
    <m/>
    <s v="Le village accueille une population"/>
    <s v="Le village est intact (construit)"/>
    <m/>
    <m/>
    <s v="Oui"/>
    <s v="Familles d'accueil"/>
    <s v="Non, pas du tout"/>
    <s v="Non"/>
    <m/>
    <n v="51"/>
    <n v="280"/>
    <s v="Oui"/>
    <s v="Premier déplacement"/>
    <n v="51"/>
    <n v="280"/>
    <n v="110"/>
    <n v="170"/>
    <n v="40"/>
    <n v="11"/>
    <n v="0"/>
    <n v="0"/>
    <m/>
    <m/>
    <n v="0"/>
    <n v="0"/>
    <m/>
    <m/>
    <n v="0"/>
    <s v="Augmentation de la population dû à l'inondation en provenance de Falatiyé"/>
    <s v="Non"/>
    <m/>
    <m/>
    <m/>
    <m/>
    <m/>
    <m/>
    <m/>
    <m/>
    <m/>
    <m/>
    <m/>
    <m/>
    <m/>
    <m/>
    <m/>
    <s v="Non"/>
    <m/>
    <m/>
    <m/>
    <m/>
    <m/>
    <m/>
    <m/>
    <m/>
    <m/>
    <m/>
    <m/>
    <m/>
    <m/>
    <m/>
    <m/>
    <m/>
    <m/>
    <m/>
    <m/>
    <m/>
    <n v="0"/>
    <m/>
    <m/>
    <m/>
    <m/>
    <m/>
    <m/>
    <m/>
    <m/>
    <m/>
    <m/>
    <m/>
    <m/>
    <m/>
    <s v="1"/>
    <s v="0"/>
    <s v="0"/>
    <n v="1"/>
  </r>
  <r>
    <n v="2647204"/>
    <s v="Extrême-Nord"/>
    <s v="CMR004"/>
    <x v="1"/>
    <s v="CMR004002"/>
    <s v="Makary"/>
    <s v="CMR004002009"/>
    <s v="MAK-0116"/>
    <s v="NIGUE"/>
    <m/>
    <x v="1"/>
    <n v="12.238855900000001"/>
    <n v="14.6423416"/>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58132"/>
    <s v="Extrême-Nord"/>
    <s v="CMR004"/>
    <x v="1"/>
    <s v="CMR004002"/>
    <s v="Makary"/>
    <s v="CMR004002009"/>
    <s v="MAK-0209"/>
    <s v="NOIRA"/>
    <m/>
    <x v="1"/>
    <n v="12.2988052"/>
    <n v="14.590687900000001"/>
    <x v="0"/>
    <b v="1"/>
    <b v="0"/>
    <b v="0"/>
    <m/>
    <n v="3"/>
    <s v="Accessible"/>
    <m/>
    <s v="Le village accueille une population"/>
    <s v="Le village est partiellement détruit"/>
    <s v="Intempéries (inondations, tempêtes etc.)"/>
    <m/>
    <s v="Oui"/>
    <s v="Familles d'accueil"/>
    <s v="Non, pas du tout"/>
    <s v="Non"/>
    <m/>
    <m/>
    <n v="239"/>
    <s v="Non"/>
    <m/>
    <m/>
    <m/>
    <m/>
    <m/>
    <m/>
    <m/>
    <m/>
    <m/>
    <m/>
    <m/>
    <m/>
    <m/>
    <m/>
    <m/>
    <m/>
    <m/>
    <s v="Oui"/>
    <n v="7"/>
    <n v="30"/>
    <n v="15"/>
    <n v="15"/>
    <n v="7"/>
    <n v="0"/>
    <n v="0"/>
    <m/>
    <n v="0"/>
    <n v="0"/>
    <m/>
    <m/>
    <n v="0"/>
    <n v="7"/>
    <s v="Aucun changement. Le village Noira en question s'appelle Nouar."/>
    <s v="Non"/>
    <m/>
    <m/>
    <m/>
    <m/>
    <m/>
    <m/>
    <m/>
    <m/>
    <m/>
    <m/>
    <m/>
    <m/>
    <m/>
    <m/>
    <m/>
    <m/>
    <m/>
    <m/>
    <m/>
    <m/>
    <n v="0"/>
    <m/>
    <m/>
    <m/>
    <m/>
    <m/>
    <m/>
    <m/>
    <m/>
    <m/>
    <m/>
    <m/>
    <m/>
    <m/>
    <s v="0"/>
    <s v="1"/>
    <s v="0"/>
    <n v="1"/>
  </r>
  <r>
    <n v="2621749"/>
    <s v="Extrême-Nord"/>
    <s v="CMR004"/>
    <x v="1"/>
    <s v="CMR004002"/>
    <s v="Makary"/>
    <s v="CMR004002009"/>
    <s v="MAK-0117"/>
    <s v="RINGUE"/>
    <m/>
    <x v="1"/>
    <n v="12.4560327"/>
    <n v="14.3998873"/>
    <x v="0"/>
    <b v="1"/>
    <b v="0"/>
    <b v="0"/>
    <m/>
    <n v="3"/>
    <s v="Accessible"/>
    <m/>
    <s v="Le village accueille une population"/>
    <s v="Le village est intact (construit)"/>
    <m/>
    <m/>
    <s v="Oui"/>
    <s v="Familles d'accueil"/>
    <s v="Non, pas du tout"/>
    <s v="Non"/>
    <m/>
    <n v="11"/>
    <n v="812"/>
    <s v="Oui"/>
    <s v="Deuxième déplacement"/>
    <n v="11"/>
    <n v="57"/>
    <n v="20"/>
    <n v="37"/>
    <n v="0"/>
    <n v="11"/>
    <n v="0"/>
    <n v="0"/>
    <m/>
    <m/>
    <n v="0"/>
    <n v="0"/>
    <m/>
    <m/>
    <n v="0"/>
    <s v="RAS "/>
    <s v="Non"/>
    <m/>
    <m/>
    <m/>
    <m/>
    <m/>
    <m/>
    <m/>
    <m/>
    <m/>
    <m/>
    <m/>
    <m/>
    <m/>
    <m/>
    <m/>
    <s v="Non"/>
    <m/>
    <m/>
    <m/>
    <m/>
    <m/>
    <m/>
    <m/>
    <m/>
    <m/>
    <m/>
    <m/>
    <m/>
    <m/>
    <m/>
    <m/>
    <m/>
    <m/>
    <m/>
    <m/>
    <m/>
    <n v="0"/>
    <m/>
    <m/>
    <m/>
    <m/>
    <m/>
    <m/>
    <m/>
    <m/>
    <m/>
    <m/>
    <m/>
    <m/>
    <m/>
    <s v="1"/>
    <s v="0"/>
    <s v="0"/>
    <n v="1"/>
  </r>
  <r>
    <n v="2657837"/>
    <s v="Extrême-Nord"/>
    <s v="CMR004"/>
    <x v="1"/>
    <s v="CMR004002"/>
    <s v="Makary"/>
    <s v="CMR004002009"/>
    <s v="MAK-0194"/>
    <s v="SADIGO-LAGOS"/>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7205"/>
    <s v="Extrême-Nord"/>
    <s v="CMR004"/>
    <x v="1"/>
    <s v="CMR004002"/>
    <s v="Makary"/>
    <s v="CMR004002009"/>
    <s v="MAK-0118"/>
    <s v="SALANDAS"/>
    <m/>
    <x v="1"/>
    <n v="12.239351299999999"/>
    <n v="14.640592399999999"/>
    <x v="0"/>
    <b v="0"/>
    <b v="0"/>
    <b v="1"/>
    <m/>
    <m/>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564"/>
    <s v="Extrême-Nord"/>
    <s v="CMR004"/>
    <x v="1"/>
    <s v="CMR004002"/>
    <s v="Makary"/>
    <s v="CMR004002009"/>
    <s v="MAK-0151"/>
    <s v="SERO 1"/>
    <m/>
    <x v="1"/>
    <n v="12.110632499999999"/>
    <n v="14.8276485"/>
    <x v="0"/>
    <b v="1"/>
    <b v="0"/>
    <b v="0"/>
    <m/>
    <n v="3"/>
    <s v="Accessible"/>
    <m/>
    <s v="Le village accueille une population"/>
    <s v="Le village est intact (construit)"/>
    <m/>
    <m/>
    <s v="Oui"/>
    <s v="Familles d'accueil"/>
    <s v="Non, pas du tout"/>
    <s v="Non"/>
    <m/>
    <n v="36"/>
    <n v="308"/>
    <s v="Oui"/>
    <s v="Premier déplacement"/>
    <n v="36"/>
    <n v="178"/>
    <n v="79"/>
    <n v="99"/>
    <n v="0"/>
    <n v="36"/>
    <n v="0"/>
    <n v="0"/>
    <m/>
    <m/>
    <n v="0"/>
    <n v="0"/>
    <m/>
    <m/>
    <n v="0"/>
    <s v="Il y a eu augmentation de 10 menage de 10homme et 14 femmes venant de mouladok dans l'arrondissement de logone birni raison de déplacement insécurité due au conflit inter-communautaires"/>
    <s v="Oui"/>
    <n v="10"/>
    <n v="109"/>
    <n v="49"/>
    <n v="60"/>
    <n v="10"/>
    <n v="0"/>
    <n v="0"/>
    <m/>
    <n v="0"/>
    <n v="0"/>
    <m/>
    <m/>
    <n v="0"/>
    <n v="0"/>
    <s v="Aucun changement concernant les réfugiés dans cette localité"/>
    <s v="Non"/>
    <m/>
    <m/>
    <m/>
    <m/>
    <m/>
    <m/>
    <m/>
    <m/>
    <m/>
    <m/>
    <m/>
    <m/>
    <m/>
    <m/>
    <m/>
    <m/>
    <m/>
    <m/>
    <m/>
    <m/>
    <n v="0"/>
    <m/>
    <m/>
    <m/>
    <m/>
    <m/>
    <m/>
    <m/>
    <m/>
    <m/>
    <m/>
    <m/>
    <m/>
    <m/>
    <s v="1"/>
    <s v="1"/>
    <s v="0"/>
    <n v="2"/>
  </r>
  <r>
    <n v="2592150"/>
    <s v="Extrême-Nord"/>
    <s v="CMR004"/>
    <x v="1"/>
    <s v="CMR004002"/>
    <s v="Makary"/>
    <s v="CMR004002009"/>
    <s v="MAK-0232"/>
    <s v="SIEBA"/>
    <m/>
    <x v="1"/>
    <n v="12.2433394"/>
    <n v="14.7634612"/>
    <x v="0"/>
    <b v="1"/>
    <b v="0"/>
    <b v="0"/>
    <m/>
    <n v="3"/>
    <s v="Accessible"/>
    <m/>
    <s v="Le village accueille une population"/>
    <s v="Le village est intact (construit)"/>
    <m/>
    <m/>
    <s v="Oui"/>
    <s v="Familles d'accueil"/>
    <s v="Non, pas du tout"/>
    <s v="Non"/>
    <m/>
    <n v="59"/>
    <n v="1000"/>
    <s v="Oui"/>
    <s v="Premier déplacement"/>
    <n v="59"/>
    <n v="75"/>
    <n v="35"/>
    <n v="40"/>
    <n v="30"/>
    <n v="20"/>
    <n v="9"/>
    <n v="0"/>
    <m/>
    <m/>
    <n v="0"/>
    <n v="0"/>
    <m/>
    <m/>
    <n v="0"/>
    <s v="Besoin d'assistance nutritionnelle"/>
    <s v="Non"/>
    <m/>
    <m/>
    <m/>
    <m/>
    <m/>
    <m/>
    <m/>
    <m/>
    <m/>
    <m/>
    <m/>
    <m/>
    <m/>
    <m/>
    <m/>
    <s v="Non"/>
    <m/>
    <m/>
    <m/>
    <m/>
    <m/>
    <m/>
    <m/>
    <m/>
    <m/>
    <m/>
    <m/>
    <m/>
    <m/>
    <m/>
    <m/>
    <m/>
    <m/>
    <m/>
    <m/>
    <m/>
    <n v="0"/>
    <m/>
    <m/>
    <m/>
    <m/>
    <m/>
    <m/>
    <m/>
    <m/>
    <m/>
    <m/>
    <m/>
    <m/>
    <m/>
    <s v="1"/>
    <s v="0"/>
    <s v="0"/>
    <n v="1"/>
  </r>
  <r>
    <n v="2632793"/>
    <s v="Extrême-Nord"/>
    <s v="CMR004"/>
    <x v="1"/>
    <s v="CMR004002"/>
    <s v="Makary"/>
    <s v="CMR004002009"/>
    <s v="MAK-0004"/>
    <s v="SITE DE AFADE"/>
    <m/>
    <x v="1"/>
    <n v="12.236976800000001"/>
    <n v="14.6410442"/>
    <x v="1"/>
    <b v="1"/>
    <b v="0"/>
    <b v="0"/>
    <m/>
    <n v="3"/>
    <s v="Accessible"/>
    <m/>
    <s v="Le village accueille une population"/>
    <s v="Le village est intact (construit)"/>
    <m/>
    <m/>
    <s v="Oui"/>
    <s v="Sites de déplacement spontanés"/>
    <s v="Non, pas du tout"/>
    <m/>
    <m/>
    <n v="443"/>
    <n v="7428"/>
    <s v="Oui"/>
    <s v="Premier déplacement"/>
    <n v="443"/>
    <n v="3791"/>
    <n v="1601"/>
    <n v="2190"/>
    <n v="0"/>
    <n v="0"/>
    <n v="0"/>
    <n v="0"/>
    <m/>
    <m/>
    <n v="0"/>
    <n v="443"/>
    <s v="Paille/Natte/Nylon"/>
    <m/>
    <n v="0"/>
    <s v="Augmentation de 3 ménages pour 15 individus venant du site de Dagué suite aux inondations en septembre 2022"/>
    <s v="Oui"/>
    <n v="397"/>
    <n v="3500"/>
    <n v="1474"/>
    <n v="2026"/>
    <n v="0"/>
    <n v="0"/>
    <n v="0"/>
    <m/>
    <n v="0"/>
    <n v="397"/>
    <s v="Paille/Natte/Nylon"/>
    <m/>
    <n v="0"/>
    <n v="0"/>
    <s v="Départ de 1 ménage pour  3 individus allant à Djimtilo pour manque de parcelle cultivable"/>
    <s v="Non"/>
    <m/>
    <m/>
    <m/>
    <m/>
    <m/>
    <m/>
    <m/>
    <m/>
    <m/>
    <m/>
    <m/>
    <m/>
    <m/>
    <m/>
    <m/>
    <m/>
    <m/>
    <m/>
    <m/>
    <m/>
    <n v="0"/>
    <m/>
    <m/>
    <m/>
    <m/>
    <m/>
    <m/>
    <m/>
    <m/>
    <m/>
    <m/>
    <m/>
    <m/>
    <m/>
    <s v="1"/>
    <s v="1"/>
    <s v="0"/>
    <n v="2"/>
  </r>
  <r>
    <n v="2652395"/>
    <s v="Extrême-Nord"/>
    <s v="CMR004"/>
    <x v="1"/>
    <s v="CMR004002"/>
    <s v="Makary"/>
    <s v="CMR004002009"/>
    <s v="MAK-0200"/>
    <s v="SITE DE AMADABO 1"/>
    <m/>
    <x v="1"/>
    <n v="12.3057456"/>
    <n v="14.588289700000001"/>
    <x v="1"/>
    <b v="1"/>
    <b v="0"/>
    <b v="0"/>
    <m/>
    <n v="3"/>
    <s v="Accessible"/>
    <m/>
    <s v="Le village accueille une population"/>
    <s v="Le village est intact (construit)"/>
    <m/>
    <m/>
    <s v="Oui"/>
    <s v="Sites de déplacement spontanés"/>
    <s v="Non, pas du tout"/>
    <m/>
    <m/>
    <n v="15"/>
    <n v="56"/>
    <s v="Oui"/>
    <s v="Premier déplacement"/>
    <n v="15"/>
    <n v="43"/>
    <n v="16"/>
    <n v="27"/>
    <n v="0"/>
    <n v="0"/>
    <n v="0"/>
    <n v="0"/>
    <m/>
    <m/>
    <n v="0"/>
    <n v="15"/>
    <s v="Paille/Natte/Nylon"/>
    <m/>
    <n v="0"/>
    <s v="RAS"/>
    <s v="Oui"/>
    <n v="3"/>
    <n v="13"/>
    <n v="9"/>
    <n v="4"/>
    <n v="0"/>
    <n v="0"/>
    <n v="0"/>
    <m/>
    <n v="0"/>
    <n v="3"/>
    <s v="Paille/Natte/Nylon"/>
    <m/>
    <n v="0"/>
    <n v="0"/>
    <s v="RAS"/>
    <s v="Non"/>
    <m/>
    <m/>
    <m/>
    <m/>
    <m/>
    <m/>
    <m/>
    <m/>
    <m/>
    <m/>
    <m/>
    <m/>
    <m/>
    <m/>
    <m/>
    <m/>
    <m/>
    <m/>
    <m/>
    <m/>
    <n v="0"/>
    <m/>
    <m/>
    <m/>
    <m/>
    <m/>
    <m/>
    <m/>
    <m/>
    <m/>
    <m/>
    <m/>
    <m/>
    <m/>
    <s v="1"/>
    <s v="1"/>
    <s v="0"/>
    <n v="2"/>
  </r>
  <r>
    <n v="2652401"/>
    <s v="Extrême-Nord"/>
    <s v="CMR004"/>
    <x v="1"/>
    <s v="CMR004002"/>
    <s v="Makary"/>
    <s v="CMR004002009"/>
    <s v="MAK-0201"/>
    <s v="SITE DE AMADABO 2"/>
    <m/>
    <x v="1"/>
    <n v="12.302751499999999"/>
    <n v="14.595930600000001"/>
    <x v="1"/>
    <b v="1"/>
    <b v="0"/>
    <b v="0"/>
    <m/>
    <n v="3"/>
    <s v="Accessible"/>
    <m/>
    <s v="Le village accueille une population"/>
    <s v="Le village est intact (construit)"/>
    <m/>
    <m/>
    <s v="Oui"/>
    <s v="Sites de déplacement spontanés"/>
    <s v="Non, pas du tout"/>
    <m/>
    <m/>
    <n v="45"/>
    <n v="566"/>
    <s v="Oui"/>
    <s v="Premier déplacement"/>
    <n v="45"/>
    <n v="427"/>
    <n v="183"/>
    <n v="244"/>
    <n v="0"/>
    <n v="0"/>
    <n v="0"/>
    <n v="0"/>
    <m/>
    <m/>
    <n v="0"/>
    <n v="45"/>
    <s v="Paille/Natte/Nylon"/>
    <m/>
    <n v="0"/>
    <s v="RAS"/>
    <s v="Oui"/>
    <n v="23"/>
    <n v="137"/>
    <n v="48"/>
    <n v="89"/>
    <n v="0"/>
    <n v="0"/>
    <n v="0"/>
    <m/>
    <n v="0"/>
    <n v="23"/>
    <s v="Paille/Natte/Nylon"/>
    <m/>
    <n v="0"/>
    <n v="0"/>
    <s v="RAS"/>
    <s v="Non"/>
    <m/>
    <m/>
    <m/>
    <m/>
    <m/>
    <m/>
    <m/>
    <m/>
    <m/>
    <m/>
    <m/>
    <m/>
    <m/>
    <m/>
    <m/>
    <m/>
    <m/>
    <m/>
    <m/>
    <m/>
    <n v="0"/>
    <m/>
    <m/>
    <m/>
    <m/>
    <m/>
    <m/>
    <m/>
    <m/>
    <m/>
    <m/>
    <m/>
    <m/>
    <m/>
    <s v="1"/>
    <s v="1"/>
    <s v="0"/>
    <n v="2"/>
  </r>
  <r>
    <n v="2631826"/>
    <s v="Extrême-Nord"/>
    <s v="CMR004"/>
    <x v="1"/>
    <s v="CMR004002"/>
    <s v="Makary"/>
    <s v="CMR004002009"/>
    <s v="MAK-0127"/>
    <s v="SITE DE BEDA"/>
    <m/>
    <x v="1"/>
    <n v="12.2857266"/>
    <n v="14.621466"/>
    <x v="1"/>
    <b v="1"/>
    <b v="0"/>
    <b v="0"/>
    <m/>
    <n v="3"/>
    <s v="Accessible"/>
    <m/>
    <s v="Le village accueille une population"/>
    <s v="Le village est partiellement détruit"/>
    <s v="Intempéries (inondations, tempêtes etc.)"/>
    <m/>
    <s v="Oui"/>
    <s v="Sites de déplacement spontanés"/>
    <s v="Familles d'accueil"/>
    <m/>
    <m/>
    <n v="49"/>
    <n v="829"/>
    <s v="Oui"/>
    <s v="Premier déplacement"/>
    <n v="49"/>
    <n v="485"/>
    <n v="240"/>
    <n v="245"/>
    <n v="0"/>
    <n v="0"/>
    <n v="0"/>
    <n v="0"/>
    <m/>
    <m/>
    <n v="0"/>
    <n v="49"/>
    <s v="Terre cuite/Terre battue"/>
    <m/>
    <n v="0"/>
    <s v="Aucun changement"/>
    <s v="Oui"/>
    <n v="26"/>
    <n v="344"/>
    <n v="165"/>
    <n v="179"/>
    <n v="0"/>
    <n v="0"/>
    <n v="0"/>
    <m/>
    <n v="0"/>
    <n v="26"/>
    <s v="Terre cuite/Terre battue"/>
    <m/>
    <n v="0"/>
    <n v="26"/>
    <s v="Aucun changement"/>
    <s v="Non"/>
    <m/>
    <m/>
    <m/>
    <m/>
    <m/>
    <m/>
    <m/>
    <m/>
    <m/>
    <m/>
    <m/>
    <m/>
    <m/>
    <m/>
    <m/>
    <m/>
    <m/>
    <m/>
    <m/>
    <m/>
    <n v="0"/>
    <m/>
    <m/>
    <m/>
    <m/>
    <m/>
    <m/>
    <m/>
    <m/>
    <m/>
    <m/>
    <m/>
    <m/>
    <m/>
    <s v="1"/>
    <s v="1"/>
    <s v="0"/>
    <n v="2"/>
  </r>
  <r>
    <n v="2689947"/>
    <s v="Extrême-Nord"/>
    <s v="CMR004"/>
    <x v="1"/>
    <s v="CMR004002"/>
    <s v="Makary"/>
    <s v="CMR004002009"/>
    <s v="MAK-0213"/>
    <s v="SITE DE BEDAT"/>
    <m/>
    <x v="1"/>
    <n v="12.3625781"/>
    <n v="14.459516900000001"/>
    <x v="1"/>
    <b v="0"/>
    <b v="0"/>
    <b v="1"/>
    <m/>
    <m/>
    <s v="Accessible"/>
    <m/>
    <s v="Le village accueille une population"/>
    <s v="Le village est intact (construit)"/>
    <m/>
    <m/>
    <s v="Oui"/>
    <s v="Sites de déplacement spontanés"/>
    <s v="Non, pas du tout"/>
    <m/>
    <m/>
    <n v="24"/>
    <n v="115"/>
    <s v="Oui"/>
    <s v="Premier déplacement"/>
    <n v="24"/>
    <n v="115"/>
    <n v="50"/>
    <n v="65"/>
    <n v="0"/>
    <n v="0"/>
    <n v="0"/>
    <n v="0"/>
    <m/>
    <m/>
    <n v="0"/>
    <n v="24"/>
    <s v="Paille/Natte/Nylon"/>
    <m/>
    <n v="0"/>
    <s v="Aucun changement"/>
    <s v="Non"/>
    <m/>
    <m/>
    <m/>
    <m/>
    <m/>
    <m/>
    <m/>
    <m/>
    <m/>
    <m/>
    <m/>
    <m/>
    <m/>
    <m/>
    <m/>
    <s v="Non"/>
    <m/>
    <m/>
    <m/>
    <m/>
    <m/>
    <m/>
    <m/>
    <m/>
    <m/>
    <m/>
    <m/>
    <m/>
    <m/>
    <m/>
    <m/>
    <m/>
    <m/>
    <m/>
    <m/>
    <m/>
    <n v="0"/>
    <m/>
    <m/>
    <m/>
    <m/>
    <m/>
    <m/>
    <m/>
    <m/>
    <m/>
    <m/>
    <m/>
    <m/>
    <m/>
    <s v="1"/>
    <s v="0"/>
    <s v="0"/>
    <n v="1"/>
  </r>
  <r>
    <n v="2626911"/>
    <s v="Extrême-Nord"/>
    <s v="CMR004"/>
    <x v="1"/>
    <s v="CMR004002"/>
    <s v="Makary"/>
    <s v="CMR004002009"/>
    <s v="MAK-0015"/>
    <s v="SITE DE BEDEO"/>
    <m/>
    <x v="1"/>
    <n v="12.314482999999999"/>
    <n v="14.5788686"/>
    <x v="1"/>
    <b v="1"/>
    <b v="0"/>
    <b v="0"/>
    <m/>
    <n v="3"/>
    <s v="Accessible"/>
    <m/>
    <s v="Le village accueille une population"/>
    <s v="Le village est intact (construit)"/>
    <m/>
    <m/>
    <s v="Oui"/>
    <s v="Sites de déplacement spontanés"/>
    <s v="Familles d'accueil"/>
    <m/>
    <m/>
    <n v="153"/>
    <n v="867"/>
    <s v="Oui"/>
    <s v="Premier déplacement"/>
    <n v="153"/>
    <n v="837"/>
    <n v="321"/>
    <n v="516"/>
    <n v="0"/>
    <n v="13"/>
    <n v="0"/>
    <n v="0"/>
    <m/>
    <m/>
    <n v="0"/>
    <n v="140"/>
    <s v="Terre cuite/Terre battue"/>
    <m/>
    <n v="0"/>
    <s v="RAS"/>
    <s v="Oui"/>
    <n v="65"/>
    <n v="470"/>
    <n v="208"/>
    <n v="262"/>
    <n v="2"/>
    <n v="0"/>
    <n v="0"/>
    <m/>
    <n v="0"/>
    <n v="63"/>
    <s v="Paille/Natte/Nylon"/>
    <m/>
    <n v="0"/>
    <n v="61"/>
    <s v="RAS"/>
    <s v="Non"/>
    <m/>
    <m/>
    <m/>
    <m/>
    <m/>
    <m/>
    <m/>
    <m/>
    <m/>
    <m/>
    <m/>
    <m/>
    <m/>
    <m/>
    <m/>
    <m/>
    <m/>
    <m/>
    <m/>
    <m/>
    <n v="0"/>
    <m/>
    <m/>
    <m/>
    <m/>
    <m/>
    <m/>
    <m/>
    <m/>
    <m/>
    <m/>
    <m/>
    <m/>
    <m/>
    <s v="1"/>
    <s v="1"/>
    <s v="0"/>
    <n v="2"/>
  </r>
  <r>
    <n v="2634566"/>
    <s v="Extrême-Nord"/>
    <s v="CMR004"/>
    <x v="1"/>
    <s v="CMR004002"/>
    <s v="Makary"/>
    <s v="CMR004002009"/>
    <s v="MAK-0197"/>
    <s v="SITE DE BLABLIN"/>
    <m/>
    <x v="1"/>
    <n v="12.351887400000001"/>
    <n v="14.536988900000001"/>
    <x v="1"/>
    <b v="1"/>
    <b v="0"/>
    <b v="0"/>
    <m/>
    <n v="3"/>
    <s v="Accessible"/>
    <m/>
    <s v="Le village accueille une population"/>
    <s v="Le village est intact (construit)"/>
    <m/>
    <m/>
    <s v="Oui"/>
    <s v="Familles d'accueil"/>
    <s v="Non, pas du tout"/>
    <m/>
    <m/>
    <n v="60"/>
    <n v="155"/>
    <s v="Oui"/>
    <s v="Premier déplacement"/>
    <n v="60"/>
    <n v="100"/>
    <n v="75"/>
    <n v="25"/>
    <n v="0"/>
    <n v="60"/>
    <n v="0"/>
    <n v="0"/>
    <m/>
    <m/>
    <n v="0"/>
    <n v="0"/>
    <m/>
    <m/>
    <n v="0"/>
    <s v="Pas de changement"/>
    <s v="Non"/>
    <m/>
    <m/>
    <m/>
    <m/>
    <m/>
    <m/>
    <m/>
    <m/>
    <m/>
    <m/>
    <m/>
    <m/>
    <m/>
    <m/>
    <m/>
    <s v="Non"/>
    <m/>
    <m/>
    <m/>
    <m/>
    <m/>
    <m/>
    <m/>
    <m/>
    <m/>
    <m/>
    <m/>
    <m/>
    <m/>
    <m/>
    <m/>
    <m/>
    <m/>
    <m/>
    <m/>
    <m/>
    <n v="0"/>
    <m/>
    <m/>
    <m/>
    <m/>
    <m/>
    <m/>
    <m/>
    <m/>
    <m/>
    <m/>
    <m/>
    <m/>
    <m/>
    <s v="1"/>
    <s v="0"/>
    <s v="0"/>
    <n v="1"/>
  </r>
  <r>
    <n v="2615173"/>
    <s v="Extrême-Nord"/>
    <s v="CMR004"/>
    <x v="1"/>
    <s v="CMR004002"/>
    <s v="Makary"/>
    <s v="CMR004002009"/>
    <s v="MAK-0186"/>
    <s v="SITE DE BLEM"/>
    <m/>
    <x v="1"/>
    <n v="12.2493547"/>
    <n v="14.643447999999999"/>
    <x v="1"/>
    <b v="1"/>
    <b v="0"/>
    <b v="0"/>
    <m/>
    <n v="3"/>
    <s v="Accessible"/>
    <m/>
    <s v="Le village accueille une population"/>
    <s v="Le village est intact (construit)"/>
    <m/>
    <m/>
    <s v="Oui"/>
    <s v="Sites de déplacement spontanés"/>
    <s v="Non, pas du tout"/>
    <m/>
    <m/>
    <n v="3"/>
    <n v="449"/>
    <s v="Oui"/>
    <s v="Deuxième déplacement"/>
    <n v="3"/>
    <n v="16"/>
    <n v="7"/>
    <n v="9"/>
    <n v="0"/>
    <n v="0"/>
    <n v="0"/>
    <n v="0"/>
    <m/>
    <m/>
    <n v="0"/>
    <n v="3"/>
    <s v="Bâche"/>
    <m/>
    <n v="0"/>
    <s v="Ras"/>
    <s v="Oui"/>
    <n v="51"/>
    <n v="431"/>
    <n v="199"/>
    <n v="232"/>
    <n v="0"/>
    <n v="0"/>
    <n v="0"/>
    <m/>
    <n v="0"/>
    <n v="51"/>
    <s v="Bâche"/>
    <m/>
    <n v="0"/>
    <n v="38"/>
    <s v="Pas de changement "/>
    <s v="Non"/>
    <m/>
    <m/>
    <m/>
    <m/>
    <m/>
    <m/>
    <m/>
    <m/>
    <m/>
    <m/>
    <m/>
    <m/>
    <m/>
    <m/>
    <m/>
    <m/>
    <m/>
    <m/>
    <m/>
    <m/>
    <n v="0"/>
    <m/>
    <m/>
    <m/>
    <m/>
    <m/>
    <m/>
    <m/>
    <m/>
    <m/>
    <m/>
    <m/>
    <m/>
    <m/>
    <s v="1"/>
    <s v="1"/>
    <s v="0"/>
    <n v="2"/>
  </r>
  <r>
    <n v="2639769"/>
    <s v="Extrême-Nord"/>
    <s v="CMR004"/>
    <x v="1"/>
    <s v="CMR004002"/>
    <s v="Makary"/>
    <s v="CMR004002009"/>
    <s v="MAK-0216"/>
    <s v="SITE DE DAGUÉ"/>
    <m/>
    <x v="1"/>
    <n v="12.233614299999999"/>
    <n v="14.645261"/>
    <x v="1"/>
    <b v="1"/>
    <b v="0"/>
    <b v="0"/>
    <m/>
    <n v="3"/>
    <s v="Accessible"/>
    <m/>
    <s v="Le village accueille une population"/>
    <s v="Le village est intact (construit)"/>
    <m/>
    <m/>
    <s v="Oui"/>
    <s v="Sites de déplacement spontanés"/>
    <s v="Familles d'accueil"/>
    <m/>
    <m/>
    <n v="16"/>
    <n v="104"/>
    <s v="Oui"/>
    <s v="Premier déplacement"/>
    <n v="16"/>
    <n v="64"/>
    <n v="23"/>
    <n v="41"/>
    <n v="0"/>
    <n v="0"/>
    <n v="0"/>
    <n v="0"/>
    <m/>
    <m/>
    <n v="0"/>
    <n v="16"/>
    <s v="Paille/Natte/Nylon"/>
    <m/>
    <n v="0"/>
    <s v="Il y a départ 5 menages de 25 individus pour Afade village, et 3 ménages de 15 individus, pour le Site d Afade."/>
    <s v="Non"/>
    <m/>
    <m/>
    <m/>
    <m/>
    <m/>
    <m/>
    <m/>
    <m/>
    <m/>
    <m/>
    <m/>
    <m/>
    <m/>
    <m/>
    <m/>
    <s v="Non"/>
    <m/>
    <m/>
    <m/>
    <m/>
    <m/>
    <m/>
    <m/>
    <m/>
    <m/>
    <m/>
    <m/>
    <m/>
    <m/>
    <m/>
    <m/>
    <m/>
    <m/>
    <m/>
    <m/>
    <m/>
    <n v="0"/>
    <m/>
    <m/>
    <m/>
    <m/>
    <m/>
    <m/>
    <m/>
    <m/>
    <m/>
    <m/>
    <m/>
    <m/>
    <m/>
    <s v="1"/>
    <s v="0"/>
    <s v="0"/>
    <n v="1"/>
  </r>
  <r>
    <n v="2615174"/>
    <s v="Extrême-Nord"/>
    <s v="CMR004"/>
    <x v="1"/>
    <s v="CMR004002"/>
    <s v="Makary"/>
    <s v="CMR004002009"/>
    <s v="MAK-0188"/>
    <s v="SITE DE DOR-HELISNA"/>
    <m/>
    <x v="1"/>
    <n v="12.2361293"/>
    <n v="14.641358500000001"/>
    <x v="1"/>
    <b v="0"/>
    <b v="0"/>
    <b v="1"/>
    <m/>
    <m/>
    <s v="Accessible"/>
    <m/>
    <s v="Le village est entièrement déserté"/>
    <m/>
    <m/>
    <m/>
    <m/>
    <m/>
    <m/>
    <m/>
    <m/>
    <m/>
    <m/>
    <m/>
    <m/>
    <m/>
    <m/>
    <m/>
    <m/>
    <m/>
    <m/>
    <m/>
    <m/>
    <m/>
    <m/>
    <m/>
    <m/>
    <m/>
    <m/>
    <m/>
    <m/>
    <m/>
    <m/>
    <m/>
    <m/>
    <m/>
    <m/>
    <m/>
    <m/>
    <m/>
    <m/>
    <m/>
    <m/>
    <m/>
    <m/>
    <m/>
    <m/>
    <m/>
    <m/>
    <m/>
    <m/>
    <m/>
    <m/>
    <m/>
    <m/>
    <m/>
    <m/>
    <m/>
    <m/>
    <m/>
    <m/>
    <m/>
    <m/>
    <m/>
    <m/>
    <m/>
    <m/>
    <m/>
    <m/>
    <m/>
    <m/>
    <m/>
    <m/>
    <m/>
    <m/>
    <m/>
    <m/>
    <m/>
    <m/>
    <m/>
    <m/>
    <m/>
    <s v="0"/>
    <s v="0"/>
    <s v="0"/>
    <n v="0"/>
  </r>
  <r>
    <n v="2634567"/>
    <s v="Extrême-Nord"/>
    <s v="CMR004"/>
    <x v="1"/>
    <s v="CMR004002"/>
    <s v="Makary"/>
    <s v="CMR004002009"/>
    <s v="MAK-0189"/>
    <s v="SITE DE MADINA 2"/>
    <m/>
    <x v="1"/>
    <n v="12.3545607"/>
    <n v="14.5172267"/>
    <x v="1"/>
    <b v="1"/>
    <b v="0"/>
    <b v="0"/>
    <m/>
    <n v="3"/>
    <s v="Accessible"/>
    <m/>
    <s v="Le village accueille une population"/>
    <s v="Le village est intact (construit)"/>
    <m/>
    <m/>
    <s v="Oui"/>
    <s v="Familles d'accueil"/>
    <s v="Non, pas du tout"/>
    <m/>
    <m/>
    <n v="10"/>
    <n v="127"/>
    <s v="Oui"/>
    <s v="Premier déplacement"/>
    <n v="10"/>
    <n v="20"/>
    <n v="15"/>
    <n v="5"/>
    <n v="0"/>
    <n v="10"/>
    <n v="0"/>
    <n v="0"/>
    <m/>
    <m/>
    <n v="0"/>
    <n v="0"/>
    <m/>
    <m/>
    <n v="0"/>
    <s v="Pas de changement"/>
    <s v="Non"/>
    <m/>
    <m/>
    <m/>
    <m/>
    <m/>
    <m/>
    <m/>
    <m/>
    <m/>
    <m/>
    <m/>
    <m/>
    <m/>
    <m/>
    <m/>
    <s v="Non"/>
    <m/>
    <m/>
    <m/>
    <m/>
    <m/>
    <m/>
    <m/>
    <m/>
    <m/>
    <m/>
    <m/>
    <m/>
    <m/>
    <m/>
    <m/>
    <m/>
    <m/>
    <m/>
    <m/>
    <m/>
    <n v="0"/>
    <m/>
    <m/>
    <m/>
    <m/>
    <m/>
    <m/>
    <m/>
    <m/>
    <m/>
    <m/>
    <m/>
    <m/>
    <m/>
    <s v="1"/>
    <s v="0"/>
    <s v="0"/>
    <n v="1"/>
  </r>
  <r>
    <n v="2631803"/>
    <s v="Extrême-Nord"/>
    <s v="CMR004"/>
    <x v="1"/>
    <s v="CMR004002"/>
    <s v="Makary"/>
    <s v="CMR004002009"/>
    <s v="MAK-0207"/>
    <s v="SITE DE MAFOUFOU"/>
    <m/>
    <x v="1"/>
    <n v="12.306222200000001"/>
    <n v="14.585497500000001"/>
    <x v="1"/>
    <b v="1"/>
    <b v="0"/>
    <b v="0"/>
    <m/>
    <n v="3"/>
    <s v="Accessible"/>
    <m/>
    <s v="Le village accueille une population"/>
    <s v="Le village est intact (construit)"/>
    <m/>
    <m/>
    <s v="Oui"/>
    <s v="Sites de déplacement spontanés"/>
    <s v="Non, pas du tout"/>
    <m/>
    <m/>
    <n v="87"/>
    <n v="350"/>
    <s v="Oui"/>
    <s v="Premier déplacement"/>
    <n v="87"/>
    <n v="1048"/>
    <n v="426"/>
    <n v="622"/>
    <n v="0"/>
    <n v="87"/>
    <n v="0"/>
    <n v="0"/>
    <m/>
    <m/>
    <n v="0"/>
    <n v="0"/>
    <m/>
    <m/>
    <n v="0"/>
    <s v="Pas de changement par rapport à Rounde 25."/>
    <s v="Oui"/>
    <n v="37"/>
    <n v="116"/>
    <n v="43"/>
    <n v="73"/>
    <n v="0"/>
    <n v="0"/>
    <n v="0"/>
    <m/>
    <n v="0"/>
    <n v="37"/>
    <s v="Paille/Natte/Nylon"/>
    <m/>
    <n v="0"/>
    <n v="0"/>
    <s v="RAS"/>
    <s v="Non"/>
    <m/>
    <m/>
    <m/>
    <m/>
    <m/>
    <m/>
    <m/>
    <m/>
    <m/>
    <m/>
    <m/>
    <m/>
    <m/>
    <m/>
    <m/>
    <m/>
    <m/>
    <m/>
    <m/>
    <m/>
    <n v="0"/>
    <m/>
    <m/>
    <m/>
    <m/>
    <m/>
    <m/>
    <m/>
    <m/>
    <m/>
    <m/>
    <m/>
    <m/>
    <m/>
    <s v="1"/>
    <s v="1"/>
    <s v="0"/>
    <n v="2"/>
  </r>
  <r>
    <n v="2652399"/>
    <s v="Extrême-Nord"/>
    <s v="CMR004"/>
    <x v="1"/>
    <s v="CMR004002"/>
    <s v="Makary"/>
    <s v="CMR004002009"/>
    <s v="MAK-0214"/>
    <s v="SITE DE MICHKINDING"/>
    <m/>
    <x v="1"/>
    <n v="12.3035911"/>
    <n v="14.5977944"/>
    <x v="1"/>
    <b v="1"/>
    <b v="0"/>
    <b v="0"/>
    <m/>
    <n v="3"/>
    <s v="Accessible"/>
    <m/>
    <s v="Le village accueille une population"/>
    <s v="Le village est intact (construit)"/>
    <m/>
    <m/>
    <s v="Oui"/>
    <s v="Sites de déplacement spontanés"/>
    <s v="Non, pas du tout"/>
    <m/>
    <m/>
    <n v="32"/>
    <n v="180"/>
    <s v="Oui"/>
    <s v="Premier déplacement"/>
    <n v="32"/>
    <n v="132"/>
    <n v="50"/>
    <n v="82"/>
    <n v="0"/>
    <n v="10"/>
    <n v="0"/>
    <n v="0"/>
    <m/>
    <m/>
    <n v="0"/>
    <n v="22"/>
    <s v="Paille/Natte/Nylon"/>
    <m/>
    <n v="0"/>
    <s v="Il y 'à augmentation  des déplacés d'un ménage  de neuf individues venant  de NGARTHON 1"/>
    <s v="Oui"/>
    <n v="1"/>
    <n v="2"/>
    <n v="1"/>
    <n v="1"/>
    <n v="1"/>
    <n v="0"/>
    <n v="0"/>
    <m/>
    <n v="0"/>
    <n v="0"/>
    <m/>
    <m/>
    <n v="0"/>
    <n v="0"/>
    <s v="Un ménage de deux individus venant de ÉHRRENN NIGÉRIA"/>
    <s v="Non"/>
    <m/>
    <m/>
    <m/>
    <m/>
    <m/>
    <m/>
    <m/>
    <m/>
    <m/>
    <m/>
    <m/>
    <m/>
    <m/>
    <m/>
    <m/>
    <m/>
    <m/>
    <m/>
    <m/>
    <m/>
    <n v="0"/>
    <m/>
    <m/>
    <m/>
    <m/>
    <m/>
    <m/>
    <m/>
    <m/>
    <m/>
    <m/>
    <m/>
    <m/>
    <m/>
    <s v="1"/>
    <s v="1"/>
    <s v="0"/>
    <n v="2"/>
  </r>
  <r>
    <n v="2653224"/>
    <s v="Extrême-Nord"/>
    <s v="CMR004"/>
    <x v="1"/>
    <s v="CMR004002"/>
    <s v="Makary"/>
    <s v="CMR004002009"/>
    <s v="MAK-0220"/>
    <s v="SITE DE TILDE"/>
    <m/>
    <x v="1"/>
    <n v="12.124623700000001"/>
    <n v="14.752134"/>
    <x v="1"/>
    <b v="1"/>
    <b v="0"/>
    <b v="0"/>
    <m/>
    <n v="3"/>
    <s v="Accessible"/>
    <m/>
    <s v="Le village accueille une population"/>
    <s v="Le village est intact (construit)"/>
    <m/>
    <m/>
    <s v="Oui"/>
    <s v="Sites de déplacement spontanés"/>
    <s v="Non, pas du tout"/>
    <m/>
    <m/>
    <n v="80"/>
    <n v="1012"/>
    <s v="Oui"/>
    <s v="Premier déplacement"/>
    <n v="80"/>
    <n v="597"/>
    <n v="314"/>
    <n v="283"/>
    <n v="18"/>
    <n v="62"/>
    <n v="0"/>
    <n v="0"/>
    <m/>
    <m/>
    <n v="0"/>
    <n v="0"/>
    <m/>
    <m/>
    <n v="0"/>
    <s v="Décès de 2 enfants de 2 ans 1 fille et 1 garçon_x000a_Naissance de 7 individus 4 garçons et 3filles."/>
    <s v="Oui"/>
    <n v="65"/>
    <n v="415"/>
    <n v="203"/>
    <n v="212"/>
    <n v="65"/>
    <n v="0"/>
    <n v="0"/>
    <m/>
    <n v="0"/>
    <n v="0"/>
    <m/>
    <m/>
    <n v="0"/>
    <n v="40"/>
    <s v="Pas de mouvement._x000a_Naissance de 4 individus 2 garçons et 2 filles."/>
    <s v="Non"/>
    <m/>
    <m/>
    <m/>
    <m/>
    <m/>
    <m/>
    <m/>
    <m/>
    <m/>
    <m/>
    <m/>
    <m/>
    <m/>
    <m/>
    <m/>
    <m/>
    <m/>
    <m/>
    <m/>
    <m/>
    <n v="0"/>
    <m/>
    <m/>
    <m/>
    <m/>
    <m/>
    <m/>
    <m/>
    <m/>
    <m/>
    <m/>
    <m/>
    <m/>
    <m/>
    <s v="1"/>
    <s v="1"/>
    <s v="0"/>
    <n v="2"/>
  </r>
  <r>
    <n v="2634618"/>
    <s v="Extrême-Nord"/>
    <s v="CMR004"/>
    <x v="1"/>
    <s v="CMR004002"/>
    <s v="Makary"/>
    <s v="CMR004002009"/>
    <s v="MAK-0191"/>
    <s v="SOUDRALHEL"/>
    <m/>
    <x v="1"/>
    <n v="12.5457561"/>
    <n v="14.414885999999999"/>
    <x v="0"/>
    <b v="1"/>
    <b v="0"/>
    <b v="0"/>
    <m/>
    <n v="3"/>
    <s v="Accessible"/>
    <m/>
    <s v="Le village accueille une population"/>
    <s v="Le village est intact (construit)"/>
    <m/>
    <m/>
    <s v="Oui"/>
    <s v="Familles d'accueil"/>
    <s v="Non, pas du tout"/>
    <s v="Non"/>
    <m/>
    <n v="49"/>
    <n v="1136"/>
    <s v="Oui"/>
    <s v="Premier déplacement"/>
    <n v="49"/>
    <n v="374"/>
    <n v="179"/>
    <n v="195"/>
    <n v="11"/>
    <n v="34"/>
    <n v="0"/>
    <n v="4"/>
    <s v="Chez une famille d'accueil (contre loyer)"/>
    <m/>
    <n v="0"/>
    <n v="0"/>
    <m/>
    <m/>
    <n v="0"/>
    <s v="Manque des vivres"/>
    <s v="Oui"/>
    <n v="30"/>
    <n v="100"/>
    <n v="45"/>
    <n v="55"/>
    <n v="30"/>
    <n v="0"/>
    <n v="0"/>
    <m/>
    <n v="0"/>
    <n v="0"/>
    <m/>
    <m/>
    <n v="0"/>
    <n v="0"/>
    <s v="Ras"/>
    <s v="Non"/>
    <m/>
    <m/>
    <m/>
    <m/>
    <m/>
    <m/>
    <m/>
    <m/>
    <m/>
    <m/>
    <m/>
    <m/>
    <m/>
    <m/>
    <m/>
    <m/>
    <m/>
    <m/>
    <m/>
    <m/>
    <n v="0"/>
    <m/>
    <m/>
    <m/>
    <m/>
    <m/>
    <m/>
    <m/>
    <m/>
    <m/>
    <m/>
    <m/>
    <m/>
    <m/>
    <s v="1"/>
    <s v="1"/>
    <s v="0"/>
    <n v="2"/>
  </r>
  <r>
    <n v="2602995"/>
    <s v="Extrême-Nord"/>
    <s v="CMR004"/>
    <x v="1"/>
    <s v="CMR004002"/>
    <s v="Makary"/>
    <s v="CMR004002009"/>
    <s v="MAK-0089"/>
    <s v="SOULFA"/>
    <m/>
    <x v="1"/>
    <n v="12.3970637"/>
    <n v="14.4662518"/>
    <x v="0"/>
    <b v="1"/>
    <b v="0"/>
    <b v="0"/>
    <m/>
    <n v="3"/>
    <s v="Accessible"/>
    <m/>
    <s v="Le village accueille une population"/>
    <s v="Le village est intact (construit)"/>
    <m/>
    <m/>
    <s v="Oui"/>
    <s v="Familles d'accueil"/>
    <s v="Non, pas du tout"/>
    <s v="Non"/>
    <m/>
    <n v="8"/>
    <n v="1500"/>
    <s v="Oui"/>
    <s v="Deuxième déplacement"/>
    <n v="8"/>
    <n v="35"/>
    <n v="16"/>
    <n v="19"/>
    <n v="0"/>
    <n v="8"/>
    <n v="0"/>
    <n v="0"/>
    <m/>
    <m/>
    <n v="0"/>
    <n v="0"/>
    <m/>
    <m/>
    <n v="0"/>
    <s v="2 nouveaux ménages de 10 individus 5 hommes et 5 femmes"/>
    <s v="Oui"/>
    <n v="53"/>
    <n v="359"/>
    <n v="150"/>
    <n v="209"/>
    <n v="53"/>
    <n v="0"/>
    <n v="0"/>
    <m/>
    <n v="0"/>
    <n v="0"/>
    <m/>
    <m/>
    <n v="0"/>
    <n v="0"/>
    <s v="Sans changement"/>
    <s v="Non"/>
    <m/>
    <m/>
    <m/>
    <m/>
    <m/>
    <m/>
    <m/>
    <m/>
    <m/>
    <m/>
    <m/>
    <m/>
    <m/>
    <m/>
    <m/>
    <m/>
    <m/>
    <m/>
    <m/>
    <m/>
    <n v="0"/>
    <m/>
    <m/>
    <m/>
    <m/>
    <m/>
    <m/>
    <m/>
    <m/>
    <m/>
    <m/>
    <m/>
    <m/>
    <m/>
    <s v="1"/>
    <s v="1"/>
    <s v="0"/>
    <n v="2"/>
  </r>
  <r>
    <n v="2682569"/>
    <s v="Extrême-Nord"/>
    <s v="CMR004"/>
    <x v="1"/>
    <s v="CMR004002"/>
    <s v="Makary"/>
    <s v="CMR004002009"/>
    <s v="MAK-0152"/>
    <s v="SOUNGOURA 1"/>
    <m/>
    <x v="1"/>
    <n v="12.124448299999999"/>
    <n v="14.8072467"/>
    <x v="0"/>
    <b v="1"/>
    <b v="0"/>
    <b v="0"/>
    <m/>
    <n v="3"/>
    <s v="Accessible"/>
    <m/>
    <s v="Le village accueille une population"/>
    <s v="Le village est intact (construit)"/>
    <m/>
    <m/>
    <s v="Oui"/>
    <s v="Familles d'accueil"/>
    <s v="Non, pas du tout"/>
    <s v="Non"/>
    <m/>
    <n v="4"/>
    <n v="918"/>
    <s v="Oui"/>
    <s v="Premier déplacement"/>
    <n v="4"/>
    <n v="30"/>
    <n v="10"/>
    <n v="20"/>
    <n v="0"/>
    <n v="4"/>
    <n v="0"/>
    <n v="0"/>
    <m/>
    <m/>
    <n v="0"/>
    <n v="0"/>
    <m/>
    <m/>
    <n v="0"/>
    <s v="Pas de changement chez les personnes déplacées internes pas de nouveaux venus et pas de départ mais l'inondation à détruit leur récolte"/>
    <s v="Oui"/>
    <n v="2"/>
    <n v="22"/>
    <n v="7"/>
    <n v="15"/>
    <n v="2"/>
    <n v="0"/>
    <n v="0"/>
    <m/>
    <n v="0"/>
    <n v="0"/>
    <m/>
    <m/>
    <n v="0"/>
    <n v="2"/>
    <s v="Il y a eu naissance de 2garcons chez les personnes réfugiés par au déplacement il y a pas de changement"/>
    <s v="Non"/>
    <m/>
    <m/>
    <m/>
    <m/>
    <m/>
    <m/>
    <m/>
    <m/>
    <m/>
    <m/>
    <m/>
    <m/>
    <m/>
    <m/>
    <m/>
    <m/>
    <m/>
    <m/>
    <m/>
    <m/>
    <n v="0"/>
    <m/>
    <m/>
    <m/>
    <m/>
    <m/>
    <m/>
    <m/>
    <m/>
    <m/>
    <m/>
    <m/>
    <m/>
    <m/>
    <s v="1"/>
    <s v="1"/>
    <s v="0"/>
    <n v="2"/>
  </r>
  <r>
    <n v="2676956"/>
    <s v="Extrême-Nord"/>
    <s v="CMR004"/>
    <x v="1"/>
    <s v="CMR004002"/>
    <s v="Makary"/>
    <s v="CMR004002009"/>
    <s v="MAK-0233"/>
    <s v="SOUNGOURA 2"/>
    <m/>
    <x v="1"/>
    <n v="12.132539299999999"/>
    <n v="14.811446200000001"/>
    <x v="0"/>
    <b v="1"/>
    <b v="0"/>
    <b v="0"/>
    <m/>
    <n v="3"/>
    <s v="Accessible"/>
    <m/>
    <s v="Le village accueille une population"/>
    <s v="Le village est intact (construit)"/>
    <m/>
    <m/>
    <s v="Oui"/>
    <s v="Familles d'accueil"/>
    <s v="Non, pas du tout"/>
    <s v="Non"/>
    <m/>
    <n v="26"/>
    <n v="71"/>
    <s v="Oui"/>
    <s v="Premier déplacement"/>
    <n v="26"/>
    <n v="157"/>
    <n v="72"/>
    <n v="85"/>
    <n v="0"/>
    <n v="26"/>
    <n v="0"/>
    <n v="0"/>
    <m/>
    <m/>
    <n v="0"/>
    <n v="0"/>
    <m/>
    <m/>
    <n v="0"/>
    <s v="Pas de changement par au déplacement des personnes déplacées il y eu naissance de 3garcons"/>
    <s v="Non"/>
    <m/>
    <m/>
    <m/>
    <m/>
    <m/>
    <m/>
    <m/>
    <m/>
    <m/>
    <m/>
    <m/>
    <m/>
    <m/>
    <m/>
    <m/>
    <s v="Non"/>
    <m/>
    <m/>
    <m/>
    <m/>
    <m/>
    <m/>
    <m/>
    <m/>
    <m/>
    <m/>
    <m/>
    <m/>
    <m/>
    <m/>
    <m/>
    <m/>
    <m/>
    <m/>
    <m/>
    <m/>
    <n v="0"/>
    <m/>
    <m/>
    <m/>
    <m/>
    <m/>
    <m/>
    <m/>
    <m/>
    <m/>
    <m/>
    <m/>
    <m/>
    <m/>
    <s v="1"/>
    <s v="0"/>
    <s v="0"/>
    <n v="1"/>
  </r>
  <r>
    <n v="2626910"/>
    <s v="Extrême-Nord"/>
    <s v="CMR004"/>
    <x v="1"/>
    <s v="CMR004002"/>
    <s v="Makary"/>
    <s v="CMR004002009"/>
    <s v="MAK-0179"/>
    <s v="SOURDJIE"/>
    <m/>
    <x v="1"/>
    <n v="12.566829"/>
    <n v="14.6996213"/>
    <x v="0"/>
    <b v="1"/>
    <b v="0"/>
    <b v="0"/>
    <m/>
    <n v="3"/>
    <s v="Accessible"/>
    <m/>
    <s v="Le village accueille une population"/>
    <s v="Le village est intact (construit)"/>
    <m/>
    <m/>
    <s v="Oui"/>
    <s v="Familles d'accueil"/>
    <s v="Non, pas du tout"/>
    <s v="Non"/>
    <m/>
    <n v="37"/>
    <n v="356"/>
    <s v="Oui"/>
    <s v="Premier déplacement"/>
    <n v="37"/>
    <n v="146"/>
    <n v="66"/>
    <n v="80"/>
    <n v="37"/>
    <n v="0"/>
    <n v="0"/>
    <n v="0"/>
    <m/>
    <m/>
    <n v="0"/>
    <n v="0"/>
    <m/>
    <m/>
    <n v="0"/>
    <s v="Manque de 6 pour survivre "/>
    <s v="Non"/>
    <m/>
    <m/>
    <m/>
    <m/>
    <m/>
    <m/>
    <m/>
    <m/>
    <m/>
    <m/>
    <m/>
    <m/>
    <m/>
    <m/>
    <m/>
    <s v="Non"/>
    <m/>
    <m/>
    <m/>
    <m/>
    <m/>
    <m/>
    <m/>
    <m/>
    <m/>
    <m/>
    <m/>
    <m/>
    <m/>
    <m/>
    <m/>
    <m/>
    <m/>
    <m/>
    <m/>
    <m/>
    <n v="0"/>
    <m/>
    <m/>
    <m/>
    <m/>
    <m/>
    <m/>
    <m/>
    <m/>
    <m/>
    <m/>
    <m/>
    <m/>
    <m/>
    <s v="1"/>
    <s v="0"/>
    <s v="0"/>
    <n v="1"/>
  </r>
  <r>
    <n v="2657836"/>
    <s v="Extrême-Nord"/>
    <s v="CMR004"/>
    <x v="1"/>
    <s v="CMR004002"/>
    <s v="Makary"/>
    <s v="CMR004002009"/>
    <s v="MAK-0193"/>
    <s v="TACHA-SIGAL"/>
    <m/>
    <x v="1"/>
    <n v="12.3260798"/>
    <n v="14.559533699999999"/>
    <x v="0"/>
    <b v="0"/>
    <b v="0"/>
    <b v="1"/>
    <m/>
    <m/>
    <s v="Accessible"/>
    <m/>
    <s v="Le village est entièrement déserté"/>
    <m/>
    <m/>
    <m/>
    <m/>
    <m/>
    <m/>
    <m/>
    <m/>
    <m/>
    <m/>
    <m/>
    <m/>
    <m/>
    <m/>
    <m/>
    <m/>
    <m/>
    <m/>
    <m/>
    <m/>
    <m/>
    <m/>
    <m/>
    <m/>
    <m/>
    <m/>
    <m/>
    <m/>
    <m/>
    <m/>
    <m/>
    <m/>
    <m/>
    <m/>
    <m/>
    <m/>
    <m/>
    <m/>
    <m/>
    <m/>
    <m/>
    <m/>
    <m/>
    <m/>
    <m/>
    <m/>
    <m/>
    <m/>
    <m/>
    <m/>
    <m/>
    <m/>
    <m/>
    <m/>
    <m/>
    <m/>
    <m/>
    <m/>
    <m/>
    <m/>
    <m/>
    <m/>
    <m/>
    <m/>
    <m/>
    <m/>
    <m/>
    <m/>
    <m/>
    <m/>
    <m/>
    <m/>
    <m/>
    <m/>
    <m/>
    <m/>
    <m/>
    <m/>
    <m/>
    <s v="0"/>
    <s v="0"/>
    <s v="0"/>
    <n v="0"/>
  </r>
  <r>
    <n v="2604286"/>
    <s v="Extrême-Nord"/>
    <s v="CMR004"/>
    <x v="1"/>
    <s v="CMR004002"/>
    <s v="Makary"/>
    <s v="CMR004002009"/>
    <s v="MAK-0180"/>
    <s v="TCHABOUTE"/>
    <m/>
    <x v="1"/>
    <n v="12.5550701"/>
    <n v="14.5961462"/>
    <x v="0"/>
    <b v="1"/>
    <b v="0"/>
    <b v="0"/>
    <m/>
    <n v="3"/>
    <s v="Accessible"/>
    <m/>
    <s v="Le village accueille une population"/>
    <s v="Le village est intact (construit)"/>
    <m/>
    <m/>
    <s v="Oui"/>
    <s v="Familles d'accueil"/>
    <s v="Non, pas du tout"/>
    <s v="Non"/>
    <m/>
    <n v="7"/>
    <n v="307"/>
    <s v="Oui"/>
    <s v="Premier déplacement"/>
    <n v="7"/>
    <n v="47"/>
    <n v="19"/>
    <n v="28"/>
    <n v="0"/>
    <n v="7"/>
    <n v="0"/>
    <n v="0"/>
    <m/>
    <m/>
    <n v="0"/>
    <n v="0"/>
    <m/>
    <m/>
    <n v="0"/>
    <s v="Pas de changement "/>
    <s v="Non"/>
    <m/>
    <m/>
    <m/>
    <m/>
    <m/>
    <m/>
    <m/>
    <m/>
    <m/>
    <m/>
    <m/>
    <m/>
    <m/>
    <m/>
    <m/>
    <s v="Non"/>
    <m/>
    <m/>
    <m/>
    <m/>
    <m/>
    <m/>
    <m/>
    <m/>
    <m/>
    <m/>
    <m/>
    <m/>
    <m/>
    <m/>
    <m/>
    <m/>
    <m/>
    <m/>
    <m/>
    <m/>
    <n v="0"/>
    <m/>
    <m/>
    <m/>
    <m/>
    <m/>
    <m/>
    <m/>
    <m/>
    <m/>
    <m/>
    <m/>
    <m/>
    <m/>
    <s v="1"/>
    <s v="0"/>
    <s v="0"/>
    <n v="1"/>
  </r>
  <r>
    <n v="2668753"/>
    <s v="Extrême-Nord"/>
    <s v="CMR004"/>
    <x v="1"/>
    <s v="CMR004002"/>
    <s v="Makary"/>
    <s v="CMR004002009"/>
    <s v="MAK-0090"/>
    <s v="TILDE-ECOLE"/>
    <m/>
    <x v="1"/>
    <n v="12.127015500000001"/>
    <n v="14.7490819"/>
    <x v="0"/>
    <b v="1"/>
    <b v="0"/>
    <b v="0"/>
    <m/>
    <n v="3"/>
    <s v="Accessible"/>
    <m/>
    <s v="Le village accueille une population"/>
    <s v="Le village est intact (construit)"/>
    <m/>
    <m/>
    <s v="Oui"/>
    <s v="Familles d'accueil"/>
    <s v="Non, pas du tout"/>
    <s v="Non"/>
    <m/>
    <n v="61"/>
    <n v="642"/>
    <s v="Oui"/>
    <s v="Premier déplacement"/>
    <n v="61"/>
    <n v="542"/>
    <n v="205"/>
    <n v="337"/>
    <n v="0"/>
    <n v="61"/>
    <n v="0"/>
    <n v="0"/>
    <m/>
    <m/>
    <n v="0"/>
    <n v="0"/>
    <m/>
    <m/>
    <n v="0"/>
    <s v="Pas de mouvement. Naissance de 5 individus 3 filles et 2garçons."/>
    <s v="Non"/>
    <m/>
    <m/>
    <m/>
    <m/>
    <m/>
    <m/>
    <m/>
    <m/>
    <m/>
    <m/>
    <m/>
    <m/>
    <m/>
    <m/>
    <m/>
    <s v="Non"/>
    <m/>
    <m/>
    <m/>
    <m/>
    <m/>
    <m/>
    <m/>
    <m/>
    <m/>
    <m/>
    <m/>
    <m/>
    <m/>
    <m/>
    <m/>
    <m/>
    <m/>
    <m/>
    <m/>
    <m/>
    <n v="0"/>
    <m/>
    <m/>
    <m/>
    <m/>
    <m/>
    <m/>
    <m/>
    <m/>
    <m/>
    <m/>
    <m/>
    <m/>
    <m/>
    <s v="1"/>
    <s v="0"/>
    <s v="0"/>
    <n v="1"/>
  </r>
  <r>
    <n v="2653225"/>
    <s v="Extrême-Nord"/>
    <s v="CMR004"/>
    <x v="1"/>
    <s v="CMR004002"/>
    <s v="Makary"/>
    <s v="CMR004002009"/>
    <s v="MAK-0091"/>
    <s v="TILDE-PONT"/>
    <m/>
    <x v="1"/>
    <n v="12.1249202"/>
    <n v="14.743136700000001"/>
    <x v="0"/>
    <b v="1"/>
    <b v="0"/>
    <b v="0"/>
    <m/>
    <n v="3"/>
    <s v="Accessible"/>
    <m/>
    <s v="Le village accueille une population"/>
    <s v="Le village est intact (construit)"/>
    <m/>
    <m/>
    <s v="Oui"/>
    <s v="Familles d'accueil"/>
    <s v="Non, pas du tout"/>
    <s v="Non"/>
    <m/>
    <n v="57"/>
    <n v="555"/>
    <s v="Oui"/>
    <s v="Premier déplacement"/>
    <n v="57"/>
    <n v="555"/>
    <n v="292"/>
    <n v="263"/>
    <n v="0"/>
    <n v="57"/>
    <n v="0"/>
    <n v="0"/>
    <m/>
    <m/>
    <n v="0"/>
    <n v="0"/>
    <m/>
    <m/>
    <n v="0"/>
    <s v="Pas de mouvement._x000a_Naissance de 10 individus 6 garçons et 4filles."/>
    <s v="Non"/>
    <m/>
    <m/>
    <m/>
    <m/>
    <m/>
    <m/>
    <m/>
    <m/>
    <m/>
    <m/>
    <m/>
    <m/>
    <m/>
    <m/>
    <m/>
    <s v="Non"/>
    <m/>
    <m/>
    <m/>
    <m/>
    <m/>
    <m/>
    <m/>
    <m/>
    <m/>
    <m/>
    <m/>
    <m/>
    <m/>
    <m/>
    <m/>
    <m/>
    <m/>
    <m/>
    <m/>
    <m/>
    <n v="0"/>
    <m/>
    <m/>
    <m/>
    <m/>
    <m/>
    <m/>
    <m/>
    <m/>
    <m/>
    <m/>
    <m/>
    <m/>
    <m/>
    <s v="1"/>
    <s v="0"/>
    <s v="0"/>
    <n v="1"/>
  </r>
  <r>
    <n v="2604855"/>
    <s v="Extrême-Nord"/>
    <s v="CMR004"/>
    <x v="1"/>
    <s v="CMR004002"/>
    <s v="Makary"/>
    <s v="CMR004002009"/>
    <s v="MAK-0181"/>
    <s v="TREBOULO 1"/>
    <m/>
    <x v="1"/>
    <n v="12.541809000000001"/>
    <n v="14.7094381"/>
    <x v="0"/>
    <b v="1"/>
    <b v="0"/>
    <b v="0"/>
    <m/>
    <n v="4"/>
    <s v="Accessible"/>
    <m/>
    <s v="Le village accueille une population"/>
    <s v="Le village est partiellement détruit"/>
    <s v="Intempéries (inondations, tempêtes etc.)"/>
    <m/>
    <s v="Oui"/>
    <s v="Familles d'accueil"/>
    <s v="Non, pas du tout"/>
    <s v="Non"/>
    <m/>
    <n v="36"/>
    <n v="1511"/>
    <s v="Oui"/>
    <s v="Plus de trois déplacements"/>
    <n v="36"/>
    <n v="235"/>
    <n v="105"/>
    <n v="130"/>
    <n v="25"/>
    <n v="5"/>
    <n v="6"/>
    <n v="0"/>
    <m/>
    <m/>
    <n v="0"/>
    <n v="0"/>
    <m/>
    <m/>
    <n v="0"/>
    <s v="Augmentation de 04 ménages PDI et  de 11 individus ressortissant de tchika....par crainte de BH."/>
    <s v="Non"/>
    <m/>
    <m/>
    <m/>
    <m/>
    <m/>
    <m/>
    <m/>
    <m/>
    <m/>
    <m/>
    <m/>
    <m/>
    <m/>
    <m/>
    <m/>
    <s v="Non"/>
    <m/>
    <m/>
    <m/>
    <m/>
    <m/>
    <m/>
    <m/>
    <m/>
    <m/>
    <m/>
    <m/>
    <m/>
    <m/>
    <m/>
    <m/>
    <m/>
    <m/>
    <m/>
    <m/>
    <m/>
    <n v="0"/>
    <m/>
    <m/>
    <m/>
    <m/>
    <m/>
    <m/>
    <m/>
    <m/>
    <m/>
    <m/>
    <m/>
    <m/>
    <m/>
    <s v="1"/>
    <s v="0"/>
    <s v="0"/>
    <n v="1"/>
  </r>
  <r>
    <n v="2614815"/>
    <s v="Extrême-Nord"/>
    <s v="CMR004"/>
    <x v="1"/>
    <s v="CMR004002"/>
    <s v="Makary"/>
    <s v="CMR004002009"/>
    <s v="MAK-0182"/>
    <s v="TREBOULO 2"/>
    <m/>
    <x v="1"/>
    <n v="12.5233249"/>
    <n v="14.682109000000001"/>
    <x v="0"/>
    <b v="1"/>
    <b v="0"/>
    <b v="0"/>
    <m/>
    <n v="4"/>
    <s v="Accessible"/>
    <m/>
    <s v="Le village accueille une population"/>
    <s v="Le village est partiellement détruit"/>
    <s v="Intempéries (inondations, tempêtes etc.)"/>
    <m/>
    <s v="Oui"/>
    <s v="Familles d'accueil"/>
    <s v="Non, pas du tout"/>
    <s v="Non"/>
    <m/>
    <n v="26"/>
    <n v="200"/>
    <s v="Oui"/>
    <s v="Premier déplacement"/>
    <n v="26"/>
    <n v="147"/>
    <n v="43"/>
    <n v="104"/>
    <n v="20"/>
    <n v="6"/>
    <n v="0"/>
    <n v="0"/>
    <m/>
    <m/>
    <n v="0"/>
    <n v="0"/>
    <m/>
    <m/>
    <n v="0"/>
    <s v="R.A.S........village à moitié détruit par l'inondation."/>
    <s v="Non"/>
    <m/>
    <m/>
    <m/>
    <m/>
    <m/>
    <m/>
    <m/>
    <m/>
    <m/>
    <m/>
    <m/>
    <m/>
    <m/>
    <m/>
    <m/>
    <s v="Non"/>
    <m/>
    <m/>
    <m/>
    <m/>
    <m/>
    <m/>
    <m/>
    <m/>
    <m/>
    <m/>
    <m/>
    <m/>
    <m/>
    <m/>
    <m/>
    <m/>
    <m/>
    <m/>
    <m/>
    <m/>
    <n v="0"/>
    <m/>
    <m/>
    <m/>
    <m/>
    <m/>
    <m/>
    <m/>
    <m/>
    <m/>
    <m/>
    <m/>
    <m/>
    <m/>
    <s v="1"/>
    <s v="0"/>
    <s v="0"/>
    <n v="1"/>
  </r>
  <r>
    <n v="2671004"/>
    <s v="Extrême-Nord"/>
    <s v="CMR004"/>
    <x v="1"/>
    <s v="CMR004002"/>
    <s v="Makary"/>
    <s v="CMR004002009"/>
    <s v="MAK-0092"/>
    <s v="WACHAMO"/>
    <m/>
    <x v="1"/>
    <n v="12.5850308"/>
    <n v="14.4586989"/>
    <x v="0"/>
    <b v="1"/>
    <b v="0"/>
    <b v="0"/>
    <m/>
    <n v="3"/>
    <s v="Accessible"/>
    <m/>
    <s v="Le village accueille une population"/>
    <s v="Le village est intact (construit)"/>
    <m/>
    <m/>
    <s v="Oui"/>
    <s v="Familles d'accueil"/>
    <s v="Non, pas du tout"/>
    <s v="Non"/>
    <m/>
    <n v="16"/>
    <n v="860"/>
    <s v="Oui"/>
    <s v="Deuxième déplacement"/>
    <n v="16"/>
    <n v="94"/>
    <n v="45"/>
    <n v="49"/>
    <n v="0"/>
    <n v="16"/>
    <n v="0"/>
    <n v="0"/>
    <m/>
    <m/>
    <n v="0"/>
    <n v="0"/>
    <m/>
    <m/>
    <n v="0"/>
    <s v="Pas de changement"/>
    <s v="Non"/>
    <m/>
    <m/>
    <m/>
    <m/>
    <m/>
    <m/>
    <m/>
    <m/>
    <m/>
    <m/>
    <m/>
    <m/>
    <m/>
    <m/>
    <m/>
    <s v="Non"/>
    <m/>
    <m/>
    <m/>
    <m/>
    <m/>
    <m/>
    <m/>
    <m/>
    <m/>
    <m/>
    <m/>
    <m/>
    <m/>
    <m/>
    <m/>
    <m/>
    <m/>
    <m/>
    <m/>
    <m/>
    <n v="0"/>
    <m/>
    <m/>
    <m/>
    <m/>
    <m/>
    <m/>
    <m/>
    <m/>
    <m/>
    <m/>
    <m/>
    <m/>
    <m/>
    <s v="1"/>
    <s v="0"/>
    <s v="0"/>
    <n v="1"/>
  </r>
  <r>
    <n v="2639016"/>
    <s v="Extrême-Nord"/>
    <s v="CMR004"/>
    <x v="1"/>
    <s v="CMR004002"/>
    <s v="Makary"/>
    <s v="CMR004002009"/>
    <s v="MAK-0148"/>
    <s v="WERA"/>
    <m/>
    <x v="1"/>
    <n v="12.4237269"/>
    <n v="14.519712699999999"/>
    <x v="0"/>
    <b v="1"/>
    <b v="0"/>
    <b v="0"/>
    <m/>
    <n v="3"/>
    <s v="Accessible"/>
    <m/>
    <s v="Le village accueille une population"/>
    <s v="Le village est intact (construit)"/>
    <m/>
    <m/>
    <s v="Oui"/>
    <s v="Familles d'accueil"/>
    <s v="Non, pas du tout"/>
    <s v="Non"/>
    <m/>
    <n v="8"/>
    <n v="500"/>
    <s v="Oui"/>
    <s v="Premier déplacement"/>
    <n v="8"/>
    <n v="40"/>
    <n v="15"/>
    <n v="25"/>
    <n v="0"/>
    <n v="8"/>
    <n v="0"/>
    <n v="0"/>
    <m/>
    <m/>
    <n v="0"/>
    <n v="0"/>
    <m/>
    <m/>
    <n v="0"/>
    <s v="Pas de changement"/>
    <s v="Non"/>
    <m/>
    <m/>
    <m/>
    <m/>
    <m/>
    <m/>
    <m/>
    <m/>
    <m/>
    <m/>
    <m/>
    <m/>
    <m/>
    <m/>
    <m/>
    <s v="Non"/>
    <m/>
    <m/>
    <m/>
    <m/>
    <m/>
    <m/>
    <m/>
    <m/>
    <m/>
    <m/>
    <m/>
    <m/>
    <m/>
    <m/>
    <m/>
    <m/>
    <m/>
    <m/>
    <m/>
    <m/>
    <n v="0"/>
    <m/>
    <m/>
    <m/>
    <m/>
    <m/>
    <m/>
    <m/>
    <m/>
    <m/>
    <m/>
    <m/>
    <m/>
    <m/>
    <s v="1"/>
    <s v="0"/>
    <s v="0"/>
    <n v="1"/>
  </r>
  <r>
    <n v="2657845"/>
    <s v="Extrême-Nord"/>
    <s v="CMR004"/>
    <x v="1"/>
    <s v="CMR004002"/>
    <s v="Makary"/>
    <s v="CMR004002009"/>
    <s v="MAK-0149"/>
    <s v="WERENGOULMO"/>
    <m/>
    <x v="1"/>
    <n v="12.287051999999999"/>
    <n v="14.6248658"/>
    <x v="0"/>
    <b v="1"/>
    <b v="0"/>
    <b v="0"/>
    <m/>
    <n v="3"/>
    <s v="Accessible"/>
    <m/>
    <s v="Le village accueille une population"/>
    <s v="Le village est partiellement détruit"/>
    <s v="Intempéries (inondations, tempêtes etc.)"/>
    <m/>
    <s v="Oui"/>
    <s v="Familles d'accueil"/>
    <s v="Non, pas du tout"/>
    <s v="Non"/>
    <m/>
    <n v="29"/>
    <n v="880"/>
    <s v="Oui"/>
    <s v="Premier déplacement"/>
    <n v="29"/>
    <n v="287"/>
    <n v="105"/>
    <n v="182"/>
    <n v="25"/>
    <n v="4"/>
    <n v="0"/>
    <n v="0"/>
    <m/>
    <m/>
    <n v="0"/>
    <n v="0"/>
    <m/>
    <m/>
    <n v="0"/>
    <s v="Léger diminution d'IDP homme et augmentation d'IDP femme dû d'une part au décès et à la naissance"/>
    <s v="Non"/>
    <m/>
    <m/>
    <m/>
    <m/>
    <m/>
    <m/>
    <m/>
    <m/>
    <m/>
    <m/>
    <m/>
    <m/>
    <m/>
    <m/>
    <m/>
    <s v="Non"/>
    <m/>
    <m/>
    <m/>
    <m/>
    <m/>
    <m/>
    <m/>
    <m/>
    <m/>
    <m/>
    <m/>
    <m/>
    <m/>
    <m/>
    <m/>
    <m/>
    <m/>
    <m/>
    <m/>
    <m/>
    <n v="0"/>
    <m/>
    <m/>
    <m/>
    <m/>
    <m/>
    <m/>
    <m/>
    <m/>
    <m/>
    <m/>
    <m/>
    <m/>
    <m/>
    <s v="1"/>
    <s v="0"/>
    <s v="0"/>
    <n v="1"/>
  </r>
  <r>
    <n v="2630806"/>
    <s v="Extrême-Nord"/>
    <s v="CMR004"/>
    <x v="1"/>
    <s v="CMR004002"/>
    <s v="Makary"/>
    <s v="CMR004002009"/>
    <s v="MAK-0093"/>
    <s v="WOSSO"/>
    <m/>
    <x v="1"/>
    <n v="12.3638827"/>
    <n v="14.5295212"/>
    <x v="0"/>
    <b v="1"/>
    <b v="0"/>
    <b v="0"/>
    <m/>
    <n v="3"/>
    <s v="Accessible"/>
    <m/>
    <s v="Le village accueille une population"/>
    <s v="Le village est intact (construit)"/>
    <m/>
    <m/>
    <s v="Oui"/>
    <s v="Familles d'accueil"/>
    <s v="Non, pas du tout"/>
    <s v="Non"/>
    <m/>
    <n v="6"/>
    <n v="150"/>
    <s v="Oui"/>
    <s v="Premier déplacement"/>
    <n v="6"/>
    <n v="21"/>
    <n v="12"/>
    <n v="9"/>
    <n v="0"/>
    <n v="6"/>
    <n v="0"/>
    <n v="0"/>
    <m/>
    <m/>
    <n v="0"/>
    <n v="0"/>
    <m/>
    <m/>
    <n v="0"/>
    <s v="Pas de changement "/>
    <s v="Non"/>
    <m/>
    <m/>
    <m/>
    <m/>
    <m/>
    <m/>
    <m/>
    <m/>
    <m/>
    <m/>
    <m/>
    <m/>
    <m/>
    <m/>
    <m/>
    <s v="Non"/>
    <m/>
    <m/>
    <m/>
    <m/>
    <m/>
    <m/>
    <m/>
    <m/>
    <m/>
    <m/>
    <m/>
    <m/>
    <m/>
    <m/>
    <m/>
    <m/>
    <m/>
    <m/>
    <m/>
    <m/>
    <n v="0"/>
    <m/>
    <m/>
    <m/>
    <m/>
    <m/>
    <m/>
    <m/>
    <m/>
    <m/>
    <m/>
    <m/>
    <m/>
    <m/>
    <s v="1"/>
    <s v="0"/>
    <s v="0"/>
    <n v="1"/>
  </r>
  <r>
    <n v="2657849"/>
    <s v="Extrême-Nord"/>
    <s v="CMR004"/>
    <x v="1"/>
    <s v="CMR004002"/>
    <s v="Makary"/>
    <s v="CMR004002009"/>
    <s v="MAK-0192"/>
    <s v="WOULAMSAU"/>
    <m/>
    <x v="1"/>
    <n v="12.2608175"/>
    <n v="14.6441704"/>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39015"/>
    <s v="Extrême-Nord"/>
    <s v="CMR004"/>
    <x v="1"/>
    <s v="CMR004002"/>
    <s v="Makary"/>
    <s v="CMR004002009"/>
    <s v="MAK-0094"/>
    <s v="WOULKIOKALE"/>
    <m/>
    <x v="1"/>
    <n v="12.403351900000001"/>
    <n v="14.5485867"/>
    <x v="0"/>
    <b v="1"/>
    <b v="0"/>
    <b v="0"/>
    <m/>
    <n v="3"/>
    <s v="Accessible"/>
    <m/>
    <s v="Le village accueille une population"/>
    <s v="Le village est intact (construit)"/>
    <m/>
    <m/>
    <s v="Oui"/>
    <s v="Familles d'accueil"/>
    <s v="Non, pas du tout"/>
    <s v="Non"/>
    <m/>
    <n v="15"/>
    <n v="1700"/>
    <s v="Oui"/>
    <s v="Premier déplacement"/>
    <n v="15"/>
    <n v="100"/>
    <n v="40"/>
    <n v="60"/>
    <n v="6"/>
    <n v="9"/>
    <n v="0"/>
    <n v="0"/>
    <m/>
    <m/>
    <n v="0"/>
    <n v="0"/>
    <m/>
    <m/>
    <n v="0"/>
    <s v="Pas de changement"/>
    <s v="Oui"/>
    <n v="8"/>
    <n v="130"/>
    <n v="55"/>
    <n v="75"/>
    <n v="8"/>
    <n v="0"/>
    <n v="0"/>
    <m/>
    <n v="0"/>
    <n v="0"/>
    <m/>
    <m/>
    <n v="0"/>
    <n v="0"/>
    <s v="Pas de changement"/>
    <s v="Non"/>
    <m/>
    <m/>
    <m/>
    <m/>
    <m/>
    <m/>
    <m/>
    <m/>
    <m/>
    <m/>
    <m/>
    <m/>
    <m/>
    <m/>
    <m/>
    <m/>
    <m/>
    <m/>
    <m/>
    <m/>
    <n v="0"/>
    <m/>
    <m/>
    <m/>
    <m/>
    <m/>
    <m/>
    <m/>
    <m/>
    <m/>
    <m/>
    <m/>
    <m/>
    <m/>
    <s v="1"/>
    <s v="1"/>
    <s v="0"/>
    <n v="2"/>
  </r>
  <r>
    <n v="2601992"/>
    <s v="Extrême-Nord"/>
    <s v="CMR004"/>
    <x v="1"/>
    <s v="CMR004002"/>
    <s v="Makary"/>
    <s v="CMR004002009"/>
    <s v="MAK-0095"/>
    <s v="ZAMAN"/>
    <m/>
    <x v="1"/>
    <n v="12.5422481"/>
    <n v="14.3630254"/>
    <x v="0"/>
    <b v="1"/>
    <b v="0"/>
    <b v="0"/>
    <m/>
    <n v="3"/>
    <s v="Accessible"/>
    <m/>
    <s v="Le village accueille une population"/>
    <s v="Le village est intact (construit)"/>
    <m/>
    <m/>
    <s v="Oui"/>
    <s v="Familles d'accueil"/>
    <s v="Non, pas du tout"/>
    <s v="Non"/>
    <m/>
    <n v="21"/>
    <n v="233"/>
    <s v="Oui"/>
    <s v="Premier déplacement"/>
    <n v="21"/>
    <n v="90"/>
    <n v="39"/>
    <n v="51"/>
    <n v="0"/>
    <n v="21"/>
    <n v="0"/>
    <n v="0"/>
    <m/>
    <m/>
    <n v="0"/>
    <n v="0"/>
    <m/>
    <m/>
    <n v="0"/>
    <s v="Manque des nourriture "/>
    <s v="Non"/>
    <m/>
    <m/>
    <m/>
    <m/>
    <m/>
    <m/>
    <m/>
    <m/>
    <m/>
    <m/>
    <m/>
    <m/>
    <m/>
    <m/>
    <m/>
    <s v="Non"/>
    <m/>
    <m/>
    <m/>
    <m/>
    <m/>
    <m/>
    <m/>
    <m/>
    <m/>
    <m/>
    <m/>
    <m/>
    <m/>
    <m/>
    <m/>
    <m/>
    <m/>
    <m/>
    <m/>
    <m/>
    <n v="0"/>
    <m/>
    <m/>
    <m/>
    <m/>
    <m/>
    <m/>
    <m/>
    <m/>
    <m/>
    <m/>
    <m/>
    <m/>
    <m/>
    <s v="1"/>
    <s v="0"/>
    <s v="0"/>
    <n v="1"/>
  </r>
  <r>
    <n v="2601876"/>
    <s v="Extrême-Nord"/>
    <s v="CMR004"/>
    <x v="1"/>
    <s v="CMR004002"/>
    <s v="Waza"/>
    <s v="CMR004002001"/>
    <s v="XXXX"/>
    <s v="MALIA"/>
    <s v="MALIA"/>
    <x v="1"/>
    <n v="11.506963900000001"/>
    <n v="14.659912500000001"/>
    <x v="0"/>
    <b v="1"/>
    <b v="0"/>
    <b v="0"/>
    <m/>
    <n v="3"/>
    <s v="Accessible"/>
    <m/>
    <s v="Le village accueille une population"/>
    <s v="Le village est intact (construit)"/>
    <m/>
    <m/>
    <s v="Oui"/>
    <s v="Familles d'accueil"/>
    <s v="Non, pas du tout"/>
    <s v="Non"/>
    <m/>
    <n v="22"/>
    <n v="500"/>
    <s v="Oui"/>
    <s v="Premier déplacement"/>
    <n v="22"/>
    <n v="109"/>
    <n v="38"/>
    <n v="71"/>
    <n v="0"/>
    <n v="0"/>
    <n v="0"/>
    <n v="0"/>
    <m/>
    <m/>
    <n v="0"/>
    <n v="22"/>
    <s v="Paille/Natte/Nylon"/>
    <m/>
    <n v="0"/>
    <s v="5 naissances pour les anciens  IDPS 2 Garçons   3 filles d’ après le chef du village les IDPS  venant de logone birni ne reste que 7 ménages  pour 36 individus SVP le village  MALIA a été oublier dans la liste des villages à enquêter donc je n’ ai pas les anciennes  données pour me repairer"/>
    <s v="Oui"/>
    <n v="25"/>
    <n v="95"/>
    <n v="40"/>
    <n v="55"/>
    <n v="0"/>
    <n v="0"/>
    <n v="0"/>
    <m/>
    <n v="0"/>
    <n v="25"/>
    <s v="Terre cuite/Terre battue"/>
    <m/>
    <n v="0"/>
    <n v="25"/>
    <s v="5 nouveaux nés  donc un garçon et 4 filles"/>
    <s v="Non"/>
    <m/>
    <m/>
    <m/>
    <m/>
    <m/>
    <m/>
    <m/>
    <m/>
    <m/>
    <m/>
    <m/>
    <m/>
    <m/>
    <m/>
    <m/>
    <m/>
    <m/>
    <m/>
    <m/>
    <m/>
    <n v="0"/>
    <m/>
    <m/>
    <m/>
    <m/>
    <m/>
    <m/>
    <m/>
    <m/>
    <m/>
    <m/>
    <m/>
    <m/>
    <m/>
    <s v="1"/>
    <s v="1"/>
    <s v="0"/>
    <n v="2"/>
  </r>
  <r>
    <n v="2647260"/>
    <s v="Extrême-Nord"/>
    <s v="CMR004"/>
    <x v="1"/>
    <s v="CMR004002"/>
    <s v="Waza"/>
    <s v="CMR004002001"/>
    <s v="XXXX"/>
    <s v="OUZOUMÉ1 "/>
    <s v="OUZOUMÉ1 "/>
    <x v="1"/>
    <s v="N/A"/>
    <s v="N/A"/>
    <x v="0"/>
    <b v="1"/>
    <b v="0"/>
    <b v="0"/>
    <m/>
    <n v="3"/>
    <s v="Inaccessible - pas d'accès physique"/>
    <s v="Aléas climatiques (inondations)"/>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592260"/>
    <s v="Extrême-Nord"/>
    <s v="CMR004"/>
    <x v="1"/>
    <s v="CMR004002"/>
    <s v="Waza"/>
    <s v="CMR004002001"/>
    <s v="WAZ-0024"/>
    <s v="ANGOUROU"/>
    <m/>
    <x v="1"/>
    <n v="11.7276679"/>
    <n v="14.6456464"/>
    <x v="0"/>
    <b v="1"/>
    <b v="0"/>
    <b v="0"/>
    <m/>
    <n v="3"/>
    <s v="Accessible"/>
    <m/>
    <s v="Le village accueille une population"/>
    <s v="Le village est intact (construit)"/>
    <m/>
    <m/>
    <s v="Oui"/>
    <s v="Familles d'accueil"/>
    <s v="Non, pas du tout"/>
    <s v="Non"/>
    <m/>
    <n v="17"/>
    <n v="617"/>
    <s v="Oui"/>
    <s v="Premier déplacement"/>
    <n v="17"/>
    <n v="75"/>
    <n v="28"/>
    <n v="47"/>
    <n v="0"/>
    <n v="15"/>
    <n v="0"/>
    <n v="0"/>
    <m/>
    <m/>
    <n v="0"/>
    <n v="2"/>
    <s v="Paille/Natte/Nylon"/>
    <m/>
    <n v="0"/>
    <s v="Ajout de 2 ménages pour 15 individus venant de herasse canton elbirké dans l arrondissement de LOGONE birni "/>
    <s v="Oui"/>
    <n v="9"/>
    <n v="76"/>
    <n v="36"/>
    <n v="40"/>
    <n v="0"/>
    <n v="0"/>
    <n v="0"/>
    <m/>
    <n v="0"/>
    <n v="9"/>
    <s v="Paille/Natte/Nylon"/>
    <m/>
    <n v="0"/>
    <n v="8"/>
    <s v="Pas de changement "/>
    <s v="Oui"/>
    <n v="18"/>
    <n v="166"/>
    <n v="69"/>
    <n v="97"/>
    <s v="Entre 1 et 5 ans"/>
    <n v="0"/>
    <n v="18"/>
    <n v="0"/>
    <n v="0"/>
    <n v="0"/>
    <m/>
    <n v="0"/>
    <n v="0"/>
    <m/>
    <n v="0"/>
    <m/>
    <m/>
    <m/>
    <m/>
    <m/>
    <n v="0"/>
    <m/>
    <m/>
    <m/>
    <m/>
    <m/>
    <m/>
    <m/>
    <m/>
    <m/>
    <m/>
    <m/>
    <m/>
    <m/>
    <s v="1"/>
    <s v="1"/>
    <s v="1"/>
    <n v="3"/>
  </r>
  <r>
    <n v="2619946"/>
    <s v="Extrême-Nord"/>
    <s v="CMR004"/>
    <x v="1"/>
    <s v="CMR004002"/>
    <s v="Waza"/>
    <s v="CMR004002001"/>
    <s v="WAZ-0035"/>
    <s v="ARDEBE 1"/>
    <m/>
    <x v="1"/>
    <n v="11.687091499999999"/>
    <n v="14.651873"/>
    <x v="0"/>
    <b v="1"/>
    <b v="0"/>
    <b v="0"/>
    <m/>
    <n v="3"/>
    <s v="Accessible"/>
    <m/>
    <s v="Le village accueille une population"/>
    <s v="Le village est partiellement détruit"/>
    <s v="Intempéries (inondations, tempêtes etc.)"/>
    <m/>
    <s v="Oui"/>
    <s v="Familles d'accueil"/>
    <s v="Non, pas du tout"/>
    <s v="Non"/>
    <m/>
    <n v="61"/>
    <n v="398"/>
    <s v="Oui"/>
    <s v="Troisième déplacement"/>
    <n v="61"/>
    <n v="212"/>
    <n v="95"/>
    <n v="117"/>
    <n v="0"/>
    <n v="39"/>
    <n v="3"/>
    <n v="0"/>
    <m/>
    <m/>
    <n v="0"/>
    <n v="19"/>
    <s v="Paille/Natte/Nylon"/>
    <m/>
    <n v="0"/>
    <s v="Pas de changement "/>
    <s v="Oui"/>
    <n v="13"/>
    <n v="59"/>
    <n v="25"/>
    <n v="34"/>
    <n v="9"/>
    <n v="0"/>
    <n v="0"/>
    <m/>
    <n v="0"/>
    <n v="4"/>
    <s v="Paille/Natte/Nylon"/>
    <m/>
    <n v="0"/>
    <n v="13"/>
    <s v="Départ 1 ménage de 5 individus pour Gambarou au Nigeria "/>
    <s v="Oui"/>
    <n v="20"/>
    <n v="117"/>
    <n v="49"/>
    <n v="68"/>
    <s v="Entre 1 et 5 ans"/>
    <n v="0"/>
    <n v="20"/>
    <n v="0"/>
    <n v="0"/>
    <n v="0"/>
    <m/>
    <n v="0"/>
    <n v="0"/>
    <m/>
    <n v="0"/>
    <m/>
    <m/>
    <m/>
    <m/>
    <m/>
    <n v="0"/>
    <m/>
    <m/>
    <m/>
    <m/>
    <m/>
    <m/>
    <m/>
    <m/>
    <m/>
    <m/>
    <m/>
    <m/>
    <m/>
    <s v="1"/>
    <s v="1"/>
    <s v="1"/>
    <n v="3"/>
  </r>
  <r>
    <n v="2632877"/>
    <s v="Extrême-Nord"/>
    <s v="CMR004"/>
    <x v="1"/>
    <s v="CMR004002"/>
    <s v="Waza"/>
    <s v="CMR004002001"/>
    <s v="WAZ-0037"/>
    <s v="ARDEBE 2"/>
    <m/>
    <x v="1"/>
    <n v="11.6869119"/>
    <n v="14.6521577"/>
    <x v="0"/>
    <b v="1"/>
    <b v="0"/>
    <b v="0"/>
    <m/>
    <n v="3"/>
    <s v="Accessible"/>
    <m/>
    <s v="Le village accueille une population"/>
    <s v="Le village est intact (construit)"/>
    <m/>
    <m/>
    <s v="Oui"/>
    <s v="Sites de déplacement spontanés"/>
    <s v="Non, pas du tout"/>
    <s v="Non"/>
    <m/>
    <n v="11"/>
    <n v="221"/>
    <s v="Oui"/>
    <s v="Premier déplacement"/>
    <n v="11"/>
    <n v="66"/>
    <n v="30"/>
    <n v="36"/>
    <n v="0"/>
    <n v="0"/>
    <n v="0"/>
    <n v="0"/>
    <m/>
    <m/>
    <n v="0"/>
    <n v="11"/>
    <s v="Paille/Natte/Nylon"/>
    <m/>
    <n v="0"/>
    <s v="Départ de10/30 individus pour ammanna, 15/46 individus pour dougoumboura, 10 /32 individus pour tineri et 10 /34 individus pour blagana. ( Logone birni. )"/>
    <s v="Non"/>
    <m/>
    <m/>
    <m/>
    <m/>
    <m/>
    <m/>
    <m/>
    <m/>
    <m/>
    <m/>
    <m/>
    <m/>
    <m/>
    <m/>
    <m/>
    <s v="Non"/>
    <m/>
    <m/>
    <m/>
    <m/>
    <m/>
    <m/>
    <m/>
    <m/>
    <m/>
    <m/>
    <m/>
    <m/>
    <m/>
    <m/>
    <m/>
    <m/>
    <m/>
    <m/>
    <m/>
    <m/>
    <n v="0"/>
    <m/>
    <m/>
    <m/>
    <m/>
    <m/>
    <m/>
    <m/>
    <m/>
    <m/>
    <m/>
    <m/>
    <m/>
    <m/>
    <s v="1"/>
    <s v="0"/>
    <s v="0"/>
    <n v="1"/>
  </r>
  <r>
    <n v="2663616"/>
    <s v="Extrême-Nord"/>
    <s v="CMR004"/>
    <x v="1"/>
    <s v="CMR004002"/>
    <s v="Waza"/>
    <s v="CMR004002001"/>
    <s v="WAZ-0027"/>
    <s v="BILE 1"/>
    <m/>
    <x v="1"/>
    <s v="N/A"/>
    <s v="N/A"/>
    <x v="0"/>
    <b v="1"/>
    <b v="0"/>
    <b v="0"/>
    <m/>
    <n v="3"/>
    <s v="Inaccessible - pas d'accès physique"/>
    <s v="Aléas climatiques (inondations)"/>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703264"/>
    <s v="Extrême-Nord"/>
    <s v="CMR004"/>
    <x v="1"/>
    <s v="CMR004002"/>
    <s v="Waza"/>
    <s v="CMR004002001"/>
    <s v="WAZ-0028"/>
    <s v="BILE 2"/>
    <m/>
    <x v="1"/>
    <s v="N/A"/>
    <s v="N/A"/>
    <x v="0"/>
    <b v="1"/>
    <b v="0"/>
    <b v="0"/>
    <m/>
    <n v="3"/>
    <s v="Inaccessible - pas d'accès physique"/>
    <s v="Aléas climatiques (inondations)"/>
    <s v="Le village accueille une population"/>
    <s v="Le village est intact (construit)"/>
    <m/>
    <m/>
    <s v="Non"/>
    <m/>
    <m/>
    <m/>
    <m/>
    <m/>
    <m/>
    <m/>
    <m/>
    <m/>
    <m/>
    <m/>
    <m/>
    <m/>
    <m/>
    <m/>
    <m/>
    <m/>
    <m/>
    <m/>
    <m/>
    <m/>
    <m/>
    <m/>
    <m/>
    <m/>
    <m/>
    <m/>
    <m/>
    <m/>
    <m/>
    <m/>
    <m/>
    <m/>
    <m/>
    <m/>
    <m/>
    <m/>
    <m/>
    <m/>
    <m/>
    <m/>
    <m/>
    <m/>
    <m/>
    <m/>
    <m/>
    <m/>
    <m/>
    <m/>
    <m/>
    <m/>
    <m/>
    <m/>
    <m/>
    <m/>
    <m/>
    <m/>
    <m/>
    <m/>
    <m/>
    <m/>
    <m/>
    <m/>
    <m/>
    <m/>
    <m/>
    <m/>
    <m/>
    <m/>
    <m/>
    <m/>
    <m/>
    <m/>
    <m/>
    <m/>
    <s v="0"/>
    <s v="0"/>
    <s v="0"/>
    <n v="0"/>
  </r>
  <r>
    <n v="2645717"/>
    <s v="Extrême-Nord"/>
    <s v="CMR004"/>
    <x v="1"/>
    <s v="CMR004002"/>
    <s v="Waza"/>
    <s v="CMR004002001"/>
    <s v="WAZ-0013"/>
    <s v="CHAOUDE"/>
    <m/>
    <x v="1"/>
    <n v="11.8553929"/>
    <n v="14.617566099999999"/>
    <x v="0"/>
    <b v="1"/>
    <b v="0"/>
    <b v="0"/>
    <m/>
    <n v="3"/>
    <s v="Accessible"/>
    <m/>
    <s v="Le village accueille une population"/>
    <s v="Le village est intact (construit)"/>
    <m/>
    <m/>
    <s v="Oui"/>
    <s v="Sites de déplacement spontanés"/>
    <s v="Familles d'accueil"/>
    <s v="Non"/>
    <m/>
    <n v="39"/>
    <n v="504"/>
    <s v="Oui"/>
    <s v="Premier déplacement"/>
    <n v="39"/>
    <n v="351"/>
    <n v="153"/>
    <n v="198"/>
    <n v="0"/>
    <n v="0"/>
    <n v="0"/>
    <n v="0"/>
    <m/>
    <m/>
    <n v="0"/>
    <n v="39"/>
    <s v="Paille/Natte/Nylon"/>
    <m/>
    <n v="0"/>
    <s v="10 ménages pour  40 individus retournés  respectivement  dans les  villages  qui suivent  2 ménages  de 15 individus  pour Hinalé 2 ménages de 5 individus  pour chalan  6 ménages de 20 individus pour Delga dans l’ arrondissement de  logone birni "/>
    <s v="Oui"/>
    <n v="32"/>
    <n v="153"/>
    <n v="66"/>
    <n v="87"/>
    <n v="0"/>
    <n v="0"/>
    <n v="0"/>
    <m/>
    <n v="0"/>
    <n v="32"/>
    <s v="Paille/Natte/Nylon"/>
    <m/>
    <n v="0"/>
    <n v="32"/>
    <s v="10 naissances  4 garçons et  6 filles "/>
    <s v="Non"/>
    <m/>
    <m/>
    <m/>
    <m/>
    <m/>
    <m/>
    <m/>
    <m/>
    <m/>
    <m/>
    <m/>
    <m/>
    <m/>
    <m/>
    <m/>
    <m/>
    <m/>
    <m/>
    <m/>
    <m/>
    <n v="0"/>
    <m/>
    <m/>
    <m/>
    <m/>
    <m/>
    <m/>
    <m/>
    <m/>
    <m/>
    <m/>
    <m/>
    <m/>
    <m/>
    <s v="1"/>
    <s v="1"/>
    <s v="0"/>
    <n v="2"/>
  </r>
  <r>
    <n v="2626289"/>
    <s v="Extrême-Nord"/>
    <s v="CMR004"/>
    <x v="1"/>
    <s v="CMR004002"/>
    <s v="Waza"/>
    <s v="CMR004002001"/>
    <s v="WAZ-0015"/>
    <s v="DJINGUI"/>
    <m/>
    <x v="1"/>
    <n v="11.5274041"/>
    <n v="14.639404900000001"/>
    <x v="0"/>
    <b v="1"/>
    <b v="0"/>
    <b v="0"/>
    <m/>
    <n v="3"/>
    <s v="Accessible"/>
    <m/>
    <s v="Le village accueille une population"/>
    <s v="Le village est partiellement détruit"/>
    <s v="Intempéries (inondations, tempêtes etc.)"/>
    <m/>
    <s v="Oui"/>
    <s v="Familles d'accueil"/>
    <s v="Non, pas du tout"/>
    <s v="Non"/>
    <m/>
    <n v="40"/>
    <n v="577"/>
    <s v="Oui"/>
    <s v="Premier déplacement"/>
    <n v="40"/>
    <n v="340"/>
    <n v="179"/>
    <n v="161"/>
    <n v="0"/>
    <n v="0"/>
    <n v="0"/>
    <n v="0"/>
    <m/>
    <m/>
    <n v="0"/>
    <n v="40"/>
    <s v="Paille/Natte/Nylon"/>
    <m/>
    <n v="0"/>
    <s v="Ajout de  2 naissances IDPS 1 homme et une femme "/>
    <s v="Oui"/>
    <n v="47"/>
    <n v="250"/>
    <n v="120"/>
    <n v="130"/>
    <n v="0"/>
    <n v="0"/>
    <n v="0"/>
    <m/>
    <n v="0"/>
    <n v="47"/>
    <s v="Paille/Natte/Nylon"/>
    <m/>
    <n v="0"/>
    <n v="47"/>
    <s v="Ajout de 4 nouveaux nées réfugiés  ( hommes )"/>
    <s v="Non"/>
    <m/>
    <m/>
    <m/>
    <m/>
    <m/>
    <m/>
    <m/>
    <m/>
    <m/>
    <m/>
    <m/>
    <m/>
    <m/>
    <m/>
    <m/>
    <m/>
    <m/>
    <m/>
    <m/>
    <m/>
    <n v="0"/>
    <m/>
    <m/>
    <m/>
    <m/>
    <m/>
    <m/>
    <m/>
    <m/>
    <m/>
    <m/>
    <m/>
    <m/>
    <m/>
    <s v="1"/>
    <s v="1"/>
    <s v="0"/>
    <n v="2"/>
  </r>
  <r>
    <n v="2610342"/>
    <s v="Extrême-Nord"/>
    <s v="CMR004"/>
    <x v="1"/>
    <s v="CMR004002"/>
    <s v="Waza"/>
    <s v="CMR004002001"/>
    <s v="WAZ-0029"/>
    <s v="DOUVOUI"/>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m/>
    <m/>
    <m/>
    <m/>
    <m/>
    <m/>
    <m/>
    <m/>
    <m/>
    <m/>
    <m/>
    <m/>
    <m/>
    <m/>
    <m/>
    <m/>
    <m/>
    <m/>
    <m/>
    <m/>
    <m/>
    <m/>
    <s v="0"/>
    <s v="0"/>
    <s v="0"/>
    <n v="0"/>
  </r>
  <r>
    <n v="2671683"/>
    <s v="Extrême-Nord"/>
    <s v="CMR004"/>
    <x v="1"/>
    <s v="CMR004002"/>
    <s v="Waza"/>
    <s v="CMR004002001"/>
    <s v="WAZ-0016"/>
    <s v="GOULOU"/>
    <m/>
    <x v="0"/>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m/>
    <m/>
    <m/>
    <m/>
    <m/>
    <m/>
    <m/>
    <m/>
    <m/>
    <m/>
    <m/>
    <m/>
    <m/>
    <m/>
    <m/>
    <m/>
    <m/>
    <m/>
    <m/>
    <m/>
    <m/>
    <m/>
    <s v="0"/>
    <s v="0"/>
    <s v="0"/>
    <n v="0"/>
  </r>
  <r>
    <n v="2589509"/>
    <s v="Extrême-Nord"/>
    <s v="CMR004"/>
    <x v="1"/>
    <s v="CMR004002"/>
    <s v="Waza"/>
    <s v="CMR004002001"/>
    <s v="WAZ-0021"/>
    <s v="GOULOUZIVINI"/>
    <m/>
    <x v="1"/>
    <n v="11.4484613"/>
    <n v="14.625913799999999"/>
    <x v="0"/>
    <b v="1"/>
    <b v="0"/>
    <b v="0"/>
    <m/>
    <n v="3"/>
    <s v="Accessible"/>
    <m/>
    <s v="Le village accueille une population"/>
    <s v="Le village est intact (construit)"/>
    <m/>
    <m/>
    <s v="Oui"/>
    <s v="Sites de déplacement spontanés"/>
    <s v="Non, pas du tout"/>
    <s v="Non"/>
    <m/>
    <n v="40"/>
    <n v="227"/>
    <s v="Oui"/>
    <s v="Deuxième déplacement"/>
    <n v="40"/>
    <n v="200"/>
    <n v="96"/>
    <n v="104"/>
    <n v="0"/>
    <n v="0"/>
    <n v="0"/>
    <n v="0"/>
    <m/>
    <m/>
    <n v="0"/>
    <n v="40"/>
    <s v="Paille/Natte/Nylon"/>
    <m/>
    <n v="0"/>
    <s v="10 naissances de plus pour ce round"/>
    <s v="Oui"/>
    <n v="5"/>
    <n v="43"/>
    <n v="19"/>
    <n v="24"/>
    <n v="0"/>
    <n v="0"/>
    <n v="0"/>
    <m/>
    <n v="0"/>
    <n v="5"/>
    <s v="Paille/Natte/Nylon"/>
    <m/>
    <n v="0"/>
    <n v="5"/>
    <s v="Toujours  ajout de2 naissances  pasde mouvements "/>
    <s v="Oui"/>
    <n v="3"/>
    <n v="24"/>
    <n v="8"/>
    <n v="16"/>
    <s v="Entre 1 et 5 ans"/>
    <n v="0"/>
    <n v="3"/>
    <n v="0"/>
    <n v="0"/>
    <n v="0"/>
    <m/>
    <n v="0"/>
    <n v="0"/>
    <m/>
    <n v="0"/>
    <s v="Ajout 1 nouveau  né"/>
    <m/>
    <m/>
    <m/>
    <m/>
    <n v="0"/>
    <m/>
    <m/>
    <m/>
    <m/>
    <m/>
    <m/>
    <m/>
    <m/>
    <m/>
    <m/>
    <m/>
    <m/>
    <m/>
    <s v="1"/>
    <s v="1"/>
    <s v="1"/>
    <n v="3"/>
  </r>
  <r>
    <n v="2688814"/>
    <s v="Extrême-Nord"/>
    <s v="CMR004"/>
    <x v="1"/>
    <s v="CMR004002"/>
    <s v="Waza"/>
    <s v="CMR004002001"/>
    <s v="WAZ-0001"/>
    <s v="GOZOLNANE"/>
    <m/>
    <x v="0"/>
    <n v="11.544957800000001"/>
    <n v="14.6344862"/>
    <x v="0"/>
    <b v="1"/>
    <b v="0"/>
    <b v="0"/>
    <m/>
    <n v="3"/>
    <s v="Accessible"/>
    <m/>
    <s v="Le village accueille une population"/>
    <s v="Le village est intact (construit)"/>
    <m/>
    <m/>
    <s v="Oui"/>
    <s v="Sites de déplacement spontanés"/>
    <s v="Non, pas du tout"/>
    <s v="Non"/>
    <m/>
    <n v="19"/>
    <n v="416"/>
    <s v="Oui"/>
    <s v="Premier déplacement"/>
    <n v="19"/>
    <n v="76"/>
    <n v="32"/>
    <n v="44"/>
    <n v="0"/>
    <n v="0"/>
    <n v="0"/>
    <n v="0"/>
    <m/>
    <m/>
    <n v="0"/>
    <n v="19"/>
    <s v="Paille/Natte/Nylon"/>
    <m/>
    <n v="0"/>
    <s v="Départ de 8 ménages de 40 individus soit15 hommes et 25 femmes  pourkeche à côté de soi 8 ménages de 30 individus  soit 12 hommes et  18 femmes pour Ammahanna et 5 ménages de 21 individus pour 0nangaré tous dans  l’ arrondissement de  logone  birni et enfin  ajout de  5 naissances  soit 4 filles et  1 garçons  aut_x000a_2 autres ménages de 11 individus soit 5 hommes  6 femmes  en Provence de  siyem 1 ménage de 5 individus  et 1 ménage de 6 individus  en provenance de  Doubabé arrondissement de  Makari "/>
    <s v="Oui"/>
    <n v="22"/>
    <n v="82"/>
    <n v="39"/>
    <n v="43"/>
    <n v="0"/>
    <n v="0"/>
    <n v="0"/>
    <m/>
    <n v="0"/>
    <n v="22"/>
    <s v="Paille/Natte/Nylon"/>
    <m/>
    <n v="0"/>
    <n v="22"/>
    <s v="Ajout 5 naissances  soit 3 filles et  2 garçons "/>
    <s v="Oui"/>
    <n v="17"/>
    <n v="98"/>
    <n v="45"/>
    <n v="53"/>
    <s v="5 ans ou plus"/>
    <n v="0"/>
    <n v="17"/>
    <n v="0"/>
    <n v="0"/>
    <n v="0"/>
    <m/>
    <n v="0"/>
    <n v="0"/>
    <m/>
    <n v="0"/>
    <s v="Ajout de 5 nouveaux nés soit 3 garçons et 2 filles "/>
    <m/>
    <m/>
    <m/>
    <m/>
    <n v="0"/>
    <m/>
    <m/>
    <m/>
    <m/>
    <m/>
    <m/>
    <m/>
    <m/>
    <m/>
    <m/>
    <m/>
    <m/>
    <m/>
    <s v="1"/>
    <s v="1"/>
    <s v="1"/>
    <n v="3"/>
  </r>
  <r>
    <n v="2584947"/>
    <s v="Extrême-Nord"/>
    <s v="CMR004"/>
    <x v="1"/>
    <s v="CMR004002"/>
    <s v="Waza"/>
    <s v="CMR004002001"/>
    <s v="WAZ-0002"/>
    <s v="KABE 1"/>
    <m/>
    <x v="1"/>
    <n v="11.824209400000001"/>
    <n v="14.6169919"/>
    <x v="0"/>
    <b v="1"/>
    <b v="0"/>
    <b v="0"/>
    <m/>
    <n v="3"/>
    <s v="Accessible"/>
    <m/>
    <s v="Le village accueille une population"/>
    <s v="Le village est intact (construit)"/>
    <m/>
    <m/>
    <s v="Oui"/>
    <s v="Sites de déplacement spontanés"/>
    <s v="Familles d'accueil"/>
    <s v="Non"/>
    <m/>
    <n v="20"/>
    <n v="457"/>
    <s v="Oui"/>
    <s v="Premier déplacement"/>
    <n v="20"/>
    <n v="55"/>
    <n v="24"/>
    <n v="31"/>
    <n v="0"/>
    <n v="0"/>
    <n v="0"/>
    <n v="0"/>
    <m/>
    <m/>
    <n v="0"/>
    <n v="20"/>
    <s v="Paille/Natte/Nylon"/>
    <m/>
    <n v="0"/>
    <s v="Pas de changement "/>
    <s v="Oui"/>
    <n v="6"/>
    <n v="22"/>
    <n v="8"/>
    <n v="14"/>
    <n v="0"/>
    <n v="0"/>
    <n v="0"/>
    <m/>
    <n v="0"/>
    <n v="6"/>
    <s v="Paille/Natte/Nylon"/>
    <m/>
    <n v="0"/>
    <n v="6"/>
    <s v="Pas de changement "/>
    <s v="Oui"/>
    <n v="62"/>
    <n v="360"/>
    <n v="160"/>
    <n v="200"/>
    <s v="5 ans ou plus"/>
    <n v="0"/>
    <n v="62"/>
    <n v="0"/>
    <n v="0"/>
    <n v="0"/>
    <m/>
    <n v="0"/>
    <n v="0"/>
    <m/>
    <n v="0"/>
    <s v="Il y'a des retournées dans la localité depuis 2016, mais durant les rounds précédente certains de nos collègues n'ont pas considérés cette important chiffres "/>
    <m/>
    <m/>
    <m/>
    <m/>
    <n v="0"/>
    <m/>
    <m/>
    <m/>
    <m/>
    <m/>
    <m/>
    <m/>
    <m/>
    <m/>
    <m/>
    <m/>
    <m/>
    <m/>
    <s v="1"/>
    <s v="1"/>
    <s v="1"/>
    <n v="3"/>
  </r>
  <r>
    <n v="2592259"/>
    <s v="Extrême-Nord"/>
    <s v="CMR004"/>
    <x v="1"/>
    <s v="CMR004002"/>
    <s v="Waza"/>
    <s v="CMR004002001"/>
    <s v="WAZ-0003"/>
    <s v="KABE 2"/>
    <m/>
    <x v="1"/>
    <n v="11.8317161"/>
    <n v="14.6247696"/>
    <x v="0"/>
    <b v="1"/>
    <b v="0"/>
    <b v="0"/>
    <m/>
    <n v="3"/>
    <s v="Accessible"/>
    <m/>
    <s v="Le village accueille une population"/>
    <s v="Le village est intact (construit)"/>
    <m/>
    <m/>
    <s v="Oui"/>
    <s v="Familles d'accueil"/>
    <s v="Non, pas du tout"/>
    <s v="Non"/>
    <m/>
    <n v="14"/>
    <n v="452"/>
    <s v="Oui"/>
    <s v="Premier déplacement"/>
    <n v="14"/>
    <n v="54"/>
    <n v="23"/>
    <n v="31"/>
    <n v="0"/>
    <n v="13"/>
    <n v="0"/>
    <n v="0"/>
    <m/>
    <m/>
    <n v="0"/>
    <n v="1"/>
    <s v="Bâche"/>
    <m/>
    <n v="0"/>
    <s v="Ajout de 1 ménage de 10 individus venant de samou dans l arrondissement de Makary"/>
    <s v="Oui"/>
    <n v="17"/>
    <n v="64"/>
    <n v="26"/>
    <n v="38"/>
    <n v="17"/>
    <n v="0"/>
    <n v="0"/>
    <m/>
    <n v="0"/>
    <n v="0"/>
    <m/>
    <m/>
    <n v="0"/>
    <n v="17"/>
    <s v="Pas de changement"/>
    <s v="Oui"/>
    <n v="40"/>
    <n v="206"/>
    <n v="87"/>
    <n v="119"/>
    <s v="Entre 3 mois et 1 an"/>
    <n v="0"/>
    <n v="40"/>
    <n v="0"/>
    <n v="0"/>
    <n v="0"/>
    <m/>
    <n v="0"/>
    <n v="0"/>
    <m/>
    <n v="0"/>
    <m/>
    <m/>
    <m/>
    <m/>
    <m/>
    <n v="0"/>
    <m/>
    <m/>
    <m/>
    <m/>
    <m/>
    <m/>
    <m/>
    <m/>
    <m/>
    <m/>
    <m/>
    <m/>
    <m/>
    <s v="1"/>
    <s v="1"/>
    <s v="1"/>
    <n v="3"/>
  </r>
  <r>
    <n v="2668039"/>
    <s v="Extrême-Nord"/>
    <s v="CMR004"/>
    <x v="1"/>
    <s v="CMR004002"/>
    <s v="Waza"/>
    <s v="CMR004002001"/>
    <s v="WAZ-0030"/>
    <s v="KOULIA"/>
    <m/>
    <x v="1"/>
    <s v="N/A"/>
    <s v="N/A"/>
    <x v="0"/>
    <b v="1"/>
    <b v="0"/>
    <b v="0"/>
    <m/>
    <n v="3"/>
    <s v="Inaccessible - pas d'accès physique"/>
    <s v="Aléas climatiques (inondations)"/>
    <s v="Le village accueille une population"/>
    <s v="Le village est intact (construit)"/>
    <m/>
    <m/>
    <s v="Non"/>
    <m/>
    <m/>
    <m/>
    <m/>
    <m/>
    <m/>
    <m/>
    <m/>
    <m/>
    <m/>
    <m/>
    <m/>
    <m/>
    <m/>
    <m/>
    <m/>
    <m/>
    <m/>
    <m/>
    <m/>
    <m/>
    <m/>
    <m/>
    <m/>
    <m/>
    <m/>
    <m/>
    <m/>
    <m/>
    <m/>
    <m/>
    <m/>
    <m/>
    <m/>
    <m/>
    <m/>
    <m/>
    <m/>
    <m/>
    <m/>
    <m/>
    <m/>
    <m/>
    <m/>
    <m/>
    <m/>
    <m/>
    <m/>
    <m/>
    <m/>
    <m/>
    <m/>
    <m/>
    <m/>
    <m/>
    <m/>
    <m/>
    <m/>
    <m/>
    <m/>
    <m/>
    <m/>
    <m/>
    <m/>
    <m/>
    <m/>
    <m/>
    <m/>
    <m/>
    <m/>
    <m/>
    <m/>
    <m/>
    <m/>
    <m/>
    <s v="0"/>
    <s v="0"/>
    <s v="0"/>
    <n v="0"/>
  </r>
  <r>
    <n v="2632878"/>
    <s v="Extrême-Nord"/>
    <s v="CMR004"/>
    <x v="1"/>
    <s v="CMR004002"/>
    <s v="Waza"/>
    <s v="CMR004002001"/>
    <s v="WAZ-0004"/>
    <s v="MADA 1"/>
    <m/>
    <x v="1"/>
    <n v="11.558718900000001"/>
    <n v="14.6302731"/>
    <x v="0"/>
    <b v="1"/>
    <b v="0"/>
    <b v="0"/>
    <m/>
    <n v="3"/>
    <s v="Accessible"/>
    <m/>
    <s v="Le village accueille une population"/>
    <s v="Le village est intact (construit)"/>
    <m/>
    <m/>
    <s v="Oui"/>
    <s v="Sites de déplacement spontanés"/>
    <s v="Non, pas du tout"/>
    <s v="Non"/>
    <m/>
    <n v="20"/>
    <n v="1228"/>
    <s v="Oui"/>
    <s v="Premier déplacement"/>
    <n v="20"/>
    <n v="99"/>
    <n v="40"/>
    <n v="59"/>
    <n v="0"/>
    <n v="13"/>
    <n v="0"/>
    <n v="0"/>
    <m/>
    <m/>
    <n v="0"/>
    <n v="7"/>
    <s v="Paille/Natte/Nylon"/>
    <m/>
    <n v="0"/>
    <s v="Départ de 13 ménages pour 49 individus sont parties dans le village hinale  (Logone birni. )"/>
    <s v="Oui"/>
    <n v="40"/>
    <n v="190"/>
    <n v="80"/>
    <n v="110"/>
    <n v="0"/>
    <n v="0"/>
    <n v="0"/>
    <m/>
    <n v="0"/>
    <n v="40"/>
    <s v="Paille/Natte/Nylon"/>
    <m/>
    <n v="0"/>
    <n v="40"/>
    <s v="Pas de changement "/>
    <s v="Oui"/>
    <n v="100"/>
    <n v="524"/>
    <n v="200"/>
    <n v="324"/>
    <s v="Entre 1 et 5 ans"/>
    <n v="0"/>
    <n v="100"/>
    <n v="0"/>
    <n v="0"/>
    <n v="0"/>
    <m/>
    <n v="0"/>
    <n v="0"/>
    <m/>
    <n v="0"/>
    <s v="Pas de changement "/>
    <m/>
    <m/>
    <m/>
    <m/>
    <n v="0"/>
    <m/>
    <m/>
    <m/>
    <m/>
    <m/>
    <m/>
    <m/>
    <m/>
    <m/>
    <m/>
    <m/>
    <m/>
    <m/>
    <s v="1"/>
    <s v="1"/>
    <s v="1"/>
    <n v="3"/>
  </r>
  <r>
    <n v="2601877"/>
    <s v="Extrême-Nord"/>
    <s v="CMR004"/>
    <x v="1"/>
    <s v="CMR004002"/>
    <s v="Waza"/>
    <s v="CMR004002001"/>
    <s v="WAZ-0038"/>
    <s v="MADA 2"/>
    <m/>
    <x v="1"/>
    <n v="11.5330219"/>
    <n v="14.626054999999999"/>
    <x v="0"/>
    <b v="1"/>
    <b v="0"/>
    <b v="0"/>
    <m/>
    <n v="3"/>
    <s v="Accessible"/>
    <m/>
    <s v="Le village est entièrement déserté"/>
    <m/>
    <m/>
    <m/>
    <m/>
    <m/>
    <m/>
    <m/>
    <m/>
    <m/>
    <m/>
    <m/>
    <m/>
    <m/>
    <m/>
    <m/>
    <m/>
    <m/>
    <m/>
    <m/>
    <m/>
    <m/>
    <m/>
    <m/>
    <m/>
    <m/>
    <m/>
    <m/>
    <m/>
    <m/>
    <m/>
    <m/>
    <m/>
    <m/>
    <m/>
    <m/>
    <m/>
    <m/>
    <m/>
    <m/>
    <m/>
    <m/>
    <m/>
    <m/>
    <m/>
    <m/>
    <m/>
    <m/>
    <m/>
    <m/>
    <m/>
    <m/>
    <m/>
    <m/>
    <m/>
    <m/>
    <m/>
    <m/>
    <m/>
    <m/>
    <m/>
    <m/>
    <m/>
    <m/>
    <m/>
    <m/>
    <m/>
    <m/>
    <m/>
    <m/>
    <m/>
    <m/>
    <m/>
    <m/>
    <m/>
    <m/>
    <m/>
    <m/>
    <m/>
    <m/>
    <s v="0"/>
    <s v="0"/>
    <s v="0"/>
    <n v="0"/>
  </r>
  <r>
    <n v="2610157"/>
    <s v="Extrême-Nord"/>
    <s v="CMR004"/>
    <x v="1"/>
    <s v="CMR004002"/>
    <s v="Waza"/>
    <s v="CMR004002001"/>
    <s v="WAZ-0017"/>
    <s v="MADAWAYA"/>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19960"/>
    <s v="Extrême-Nord"/>
    <s v="CMR004"/>
    <x v="1"/>
    <s v="CMR004002"/>
    <s v="Waza"/>
    <s v="CMR004002001"/>
    <s v="WAZ-0023"/>
    <s v="MASSOUGOURMA SITE"/>
    <m/>
    <x v="1"/>
    <n v="11.6844245"/>
    <n v="14.6520314"/>
    <x v="0"/>
    <b v="1"/>
    <b v="0"/>
    <b v="0"/>
    <m/>
    <n v="3"/>
    <s v="Accessible"/>
    <m/>
    <s v="Le village accueille une population"/>
    <s v="Le village est partiellement détruit"/>
    <s v="Intempéries (inondations, tempêtes etc.)"/>
    <m/>
    <s v="Oui"/>
    <s v="Sites de déplacement spontanés"/>
    <s v="Non, pas du tout"/>
    <s v="Oui"/>
    <n v="1"/>
    <n v="47"/>
    <n v="269"/>
    <s v="Oui"/>
    <s v="Premier déplacement"/>
    <n v="47"/>
    <n v="269"/>
    <n v="164"/>
    <n v="105"/>
    <n v="0"/>
    <n v="0"/>
    <n v="0"/>
    <n v="0"/>
    <m/>
    <m/>
    <n v="0"/>
    <n v="47"/>
    <s v="Paille/Natte/Nylon"/>
    <m/>
    <n v="0"/>
    <s v="Ajout de 6 naissances IDPS. 2 hommes et 4 Femmes"/>
    <s v="Non"/>
    <m/>
    <m/>
    <m/>
    <m/>
    <m/>
    <m/>
    <m/>
    <m/>
    <m/>
    <m/>
    <m/>
    <m/>
    <m/>
    <m/>
    <m/>
    <s v="Non"/>
    <m/>
    <m/>
    <m/>
    <m/>
    <m/>
    <m/>
    <m/>
    <m/>
    <m/>
    <m/>
    <m/>
    <m/>
    <m/>
    <m/>
    <m/>
    <m/>
    <m/>
    <m/>
    <m/>
    <m/>
    <n v="0"/>
    <m/>
    <m/>
    <m/>
    <m/>
    <m/>
    <m/>
    <m/>
    <m/>
    <m/>
    <m/>
    <m/>
    <m/>
    <m/>
    <s v="1"/>
    <s v="0"/>
    <s v="0"/>
    <n v="1"/>
  </r>
  <r>
    <n v="2592262"/>
    <s v="Extrême-Nord"/>
    <s v="CMR004"/>
    <x v="1"/>
    <s v="CMR004002"/>
    <s v="Waza"/>
    <s v="CMR004002001"/>
    <s v="WAZ-0018"/>
    <s v="MATKOUNA 1"/>
    <m/>
    <x v="1"/>
    <n v="11.776669500000001"/>
    <n v="14.6416013"/>
    <x v="0"/>
    <b v="1"/>
    <b v="0"/>
    <b v="0"/>
    <m/>
    <n v="3"/>
    <s v="Accessible"/>
    <m/>
    <s v="Le village accueille une population"/>
    <s v="Le village est intact (construit)"/>
    <m/>
    <m/>
    <s v="Oui"/>
    <s v="Familles d'accueil"/>
    <s v="Non, pas du tout"/>
    <s v="Non"/>
    <m/>
    <n v="17"/>
    <n v="405"/>
    <s v="Oui"/>
    <s v="Premier déplacement"/>
    <n v="17"/>
    <n v="193"/>
    <n v="85"/>
    <n v="108"/>
    <n v="0"/>
    <n v="10"/>
    <n v="0"/>
    <n v="0"/>
    <m/>
    <m/>
    <n v="0"/>
    <n v="7"/>
    <s v="Paille/Natte/Nylon"/>
    <m/>
    <n v="0"/>
    <s v="Ajout de 4 nouveaux nées IDPS"/>
    <s v="Oui"/>
    <n v="15"/>
    <n v="81"/>
    <n v="35"/>
    <n v="46"/>
    <n v="0"/>
    <n v="0"/>
    <n v="0"/>
    <m/>
    <n v="0"/>
    <n v="15"/>
    <s v="Paille/Natte/Nylon"/>
    <m/>
    <n v="0"/>
    <n v="12"/>
    <s v="Ajout de 2 naissances réfugiés"/>
    <s v="Oui"/>
    <n v="2"/>
    <n v="12"/>
    <n v="5"/>
    <n v="7"/>
    <s v="Entre 3 mois et 1 an"/>
    <n v="0"/>
    <n v="2"/>
    <n v="0"/>
    <n v="0"/>
    <n v="0"/>
    <m/>
    <n v="0"/>
    <n v="0"/>
    <m/>
    <n v="0"/>
    <m/>
    <m/>
    <m/>
    <m/>
    <m/>
    <n v="0"/>
    <m/>
    <m/>
    <m/>
    <m/>
    <m/>
    <m/>
    <m/>
    <m/>
    <m/>
    <m/>
    <m/>
    <m/>
    <m/>
    <s v="1"/>
    <s v="1"/>
    <s v="1"/>
    <n v="3"/>
  </r>
  <r>
    <n v="2591837"/>
    <s v="Extrême-Nord"/>
    <s v="CMR004"/>
    <x v="1"/>
    <s v="CMR004002"/>
    <s v="Waza"/>
    <s v="CMR004002001"/>
    <s v="WAZ-0019"/>
    <s v="MATKOUNA 2"/>
    <m/>
    <x v="1"/>
    <n v="11.780214900000001"/>
    <n v="14.636747099999999"/>
    <x v="0"/>
    <b v="1"/>
    <b v="0"/>
    <b v="0"/>
    <m/>
    <n v="3"/>
    <s v="Accessible"/>
    <m/>
    <s v="Le village accueille une population"/>
    <s v="Le village est intact (construit)"/>
    <m/>
    <m/>
    <s v="Oui"/>
    <s v="Familles d'accueil"/>
    <s v="Non, pas du tout"/>
    <s v="Non"/>
    <m/>
    <n v="4"/>
    <n v="102"/>
    <s v="Oui"/>
    <s v="Premier déplacement"/>
    <n v="4"/>
    <n v="22"/>
    <n v="8"/>
    <n v="14"/>
    <n v="0"/>
    <n v="0"/>
    <n v="0"/>
    <n v="0"/>
    <m/>
    <m/>
    <n v="0"/>
    <n v="4"/>
    <s v="Paille/Natte/Nylon"/>
    <m/>
    <n v="0"/>
    <s v="Arrivée de 4 ménages pour 22 individus venant de mhedeguinie arrondissement waza  . Pour cause inondation."/>
    <s v="Non"/>
    <m/>
    <m/>
    <m/>
    <m/>
    <m/>
    <m/>
    <m/>
    <m/>
    <m/>
    <m/>
    <m/>
    <m/>
    <m/>
    <m/>
    <m/>
    <s v="Oui"/>
    <n v="17"/>
    <n v="85"/>
    <n v="34"/>
    <n v="51"/>
    <s v="Entre 1 et 5 ans"/>
    <n v="0"/>
    <n v="17"/>
    <n v="0"/>
    <n v="0"/>
    <n v="0"/>
    <m/>
    <n v="0"/>
    <n v="0"/>
    <m/>
    <n v="0"/>
    <m/>
    <m/>
    <m/>
    <m/>
    <m/>
    <n v="0"/>
    <m/>
    <m/>
    <m/>
    <m/>
    <m/>
    <m/>
    <m/>
    <m/>
    <m/>
    <m/>
    <m/>
    <m/>
    <m/>
    <s v="1"/>
    <s v="0"/>
    <s v="1"/>
    <n v="2"/>
  </r>
  <r>
    <n v="2592261"/>
    <s v="Extrême-Nord"/>
    <s v="CMR004"/>
    <x v="1"/>
    <s v="CMR004002"/>
    <s v="Waza"/>
    <s v="CMR004002001"/>
    <s v="WAZ-0005"/>
    <s v="MICHEDIRE"/>
    <m/>
    <x v="1"/>
    <n v="11.824265"/>
    <n v="14.616224600000001"/>
    <x v="0"/>
    <b v="1"/>
    <b v="0"/>
    <b v="0"/>
    <m/>
    <n v="3"/>
    <s v="Accessible"/>
    <m/>
    <s v="Le village accueille une population"/>
    <s v="Le village est intact (construit)"/>
    <m/>
    <m/>
    <s v="Oui"/>
    <s v="Familles d'accueil"/>
    <s v="Non, pas du tout"/>
    <s v="Non"/>
    <m/>
    <n v="8"/>
    <n v="347"/>
    <s v="Oui"/>
    <s v="Premier déplacement"/>
    <n v="8"/>
    <n v="64"/>
    <n v="19"/>
    <n v="45"/>
    <n v="0"/>
    <n v="7"/>
    <n v="0"/>
    <n v="0"/>
    <m/>
    <m/>
    <n v="0"/>
    <n v="1"/>
    <s v="Paille/Natte/Nylon"/>
    <m/>
    <n v="0"/>
    <s v="Ajout de 1 ménage de 7 individus venant de sahaba canton de kala kafra dans l arrondissement de LOGONE birni "/>
    <s v="Non"/>
    <m/>
    <m/>
    <m/>
    <m/>
    <m/>
    <m/>
    <m/>
    <m/>
    <m/>
    <m/>
    <m/>
    <m/>
    <m/>
    <m/>
    <m/>
    <s v="Oui"/>
    <n v="44"/>
    <n v="266"/>
    <n v="75"/>
    <n v="191"/>
    <s v="Entre 1 et 5 ans"/>
    <n v="0"/>
    <n v="44"/>
    <n v="0"/>
    <n v="0"/>
    <n v="0"/>
    <m/>
    <n v="0"/>
    <n v="0"/>
    <m/>
    <n v="0"/>
    <m/>
    <m/>
    <m/>
    <m/>
    <m/>
    <n v="0"/>
    <m/>
    <m/>
    <m/>
    <m/>
    <m/>
    <m/>
    <m/>
    <m/>
    <m/>
    <m/>
    <m/>
    <m/>
    <m/>
    <s v="1"/>
    <s v="0"/>
    <s v="1"/>
    <n v="2"/>
  </r>
  <r>
    <n v="2647262"/>
    <s v="Extrême-Nord"/>
    <s v="CMR004"/>
    <x v="1"/>
    <s v="CMR004002"/>
    <s v="Waza"/>
    <s v="CMR004002001"/>
    <s v="WAZ-0031"/>
    <s v="MIZIGUILI"/>
    <m/>
    <x v="1"/>
    <s v="N/A"/>
    <s v="N/A"/>
    <x v="0"/>
    <b v="1"/>
    <b v="0"/>
    <b v="0"/>
    <m/>
    <n v="3"/>
    <s v="Inaccessible - pas d'accès physique"/>
    <s v="Aléas climatiques (inondations)"/>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703262"/>
    <s v="Extrême-Nord"/>
    <s v="CMR004"/>
    <x v="1"/>
    <s v="CMR004002"/>
    <s v="Waza"/>
    <s v="CMR004002001"/>
    <s v="WAZ-0032"/>
    <s v="NGAME 1"/>
    <m/>
    <x v="1"/>
    <s v="N/A"/>
    <s v="N/A"/>
    <x v="0"/>
    <b v="1"/>
    <b v="0"/>
    <b v="0"/>
    <m/>
    <n v="3"/>
    <s v="Inaccessible - pas d'accès physique"/>
    <s v="Aléas climatiques (inondations)"/>
    <s v="Le village accueille une population"/>
    <s v="Le village est intact (construit)"/>
    <m/>
    <m/>
    <s v="Non"/>
    <m/>
    <m/>
    <m/>
    <m/>
    <m/>
    <m/>
    <m/>
    <m/>
    <m/>
    <m/>
    <m/>
    <m/>
    <m/>
    <m/>
    <m/>
    <m/>
    <m/>
    <m/>
    <m/>
    <m/>
    <m/>
    <m/>
    <m/>
    <m/>
    <m/>
    <m/>
    <m/>
    <m/>
    <m/>
    <m/>
    <m/>
    <m/>
    <m/>
    <m/>
    <m/>
    <m/>
    <m/>
    <m/>
    <m/>
    <m/>
    <m/>
    <m/>
    <m/>
    <m/>
    <m/>
    <m/>
    <m/>
    <m/>
    <m/>
    <m/>
    <m/>
    <m/>
    <m/>
    <m/>
    <m/>
    <m/>
    <m/>
    <m/>
    <m/>
    <m/>
    <m/>
    <m/>
    <m/>
    <m/>
    <m/>
    <m/>
    <m/>
    <m/>
    <m/>
    <m/>
    <m/>
    <m/>
    <m/>
    <m/>
    <m/>
    <s v="0"/>
    <s v="0"/>
    <s v="0"/>
    <n v="0"/>
  </r>
  <r>
    <n v="2668040"/>
    <s v="Extrême-Nord"/>
    <s v="CMR004"/>
    <x v="1"/>
    <s v="CMR004002"/>
    <s v="Waza"/>
    <s v="CMR004002001"/>
    <s v="WAZ-0033"/>
    <s v="NGAME 2"/>
    <m/>
    <x v="1"/>
    <s v="N/A"/>
    <s v="N/A"/>
    <x v="0"/>
    <b v="1"/>
    <b v="0"/>
    <b v="0"/>
    <m/>
    <n v="3"/>
    <s v="Inaccessible - pas d'accès physique"/>
    <s v="Aléas climatiques (inondations)"/>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703319"/>
    <s v="Extrême-Nord"/>
    <s v="CMR004"/>
    <x v="1"/>
    <s v="CMR004002"/>
    <s v="Waza"/>
    <s v="CMR004002001"/>
    <s v="WAZ-0034"/>
    <s v="OUZOULME 2"/>
    <m/>
    <x v="1"/>
    <s v="N/A"/>
    <s v="N/A"/>
    <x v="0"/>
    <b v="1"/>
    <b v="0"/>
    <b v="0"/>
    <m/>
    <n v="3"/>
    <s v="Inaccessible - pas d'accès physique"/>
    <s v="Aléas climatiques (inondations)"/>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589496"/>
    <s v="Extrême-Nord"/>
    <s v="CMR004"/>
    <x v="1"/>
    <s v="CMR004002"/>
    <s v="Waza"/>
    <s v="CMR004002001"/>
    <s v="WAZ-0006"/>
    <s v="SALEH"/>
    <m/>
    <x v="1"/>
    <n v="11.403757300000001"/>
    <n v="14.5681288"/>
    <x v="0"/>
    <b v="1"/>
    <b v="0"/>
    <b v="0"/>
    <m/>
    <n v="3"/>
    <s v="Accessible"/>
    <m/>
    <s v="Le village accueille une population"/>
    <s v="Le village est intact (construit)"/>
    <m/>
    <m/>
    <s v="Oui"/>
    <s v="Sites de déplacement spontanés"/>
    <s v="Non, pas du tout"/>
    <s v="Non"/>
    <m/>
    <n v="7"/>
    <n v="966"/>
    <s v="Oui"/>
    <s v="Troisième déplacement"/>
    <n v="7"/>
    <n v="27"/>
    <n v="11"/>
    <n v="16"/>
    <n v="0"/>
    <n v="0"/>
    <n v="0"/>
    <n v="0"/>
    <m/>
    <m/>
    <n v="0"/>
    <n v="7"/>
    <s v="Paille/Natte/Nylon"/>
    <m/>
    <n v="0"/>
    <s v="2 nouveaux nés"/>
    <s v="Oui"/>
    <n v="7"/>
    <n v="46"/>
    <n v="16"/>
    <n v="30"/>
    <n v="0"/>
    <n v="0"/>
    <n v="0"/>
    <m/>
    <n v="0"/>
    <n v="7"/>
    <s v="Terre cuite/Terre battue"/>
    <m/>
    <n v="0"/>
    <n v="7"/>
    <s v="2 nouveaux nés"/>
    <s v="Oui"/>
    <n v="101"/>
    <n v="533"/>
    <n v="223"/>
    <n v="310"/>
    <s v="Entre 3 mois et 1 an"/>
    <n v="0"/>
    <n v="101"/>
    <n v="0"/>
    <n v="0"/>
    <n v="0"/>
    <m/>
    <n v="0"/>
    <n v="0"/>
    <m/>
    <n v="0"/>
    <s v="Ajout en naissance  16 6 garçons et  10 filles"/>
    <m/>
    <m/>
    <m/>
    <m/>
    <n v="0"/>
    <m/>
    <m/>
    <m/>
    <m/>
    <m/>
    <m/>
    <m/>
    <m/>
    <m/>
    <m/>
    <m/>
    <m/>
    <m/>
    <s v="1"/>
    <s v="1"/>
    <s v="1"/>
    <n v="3"/>
  </r>
  <r>
    <n v="2591836"/>
    <s v="Extrême-Nord"/>
    <s v="CMR004"/>
    <x v="1"/>
    <s v="CMR004002"/>
    <s v="Waza"/>
    <s v="CMR004002001"/>
    <s v="WAZ-0040"/>
    <s v="SITE DE KABE 3"/>
    <m/>
    <x v="1"/>
    <n v="11.8298848"/>
    <n v="14.629467"/>
    <x v="1"/>
    <b v="1"/>
    <b v="0"/>
    <b v="0"/>
    <m/>
    <n v="3"/>
    <s v="Accessible"/>
    <m/>
    <s v="Le village accueille une population"/>
    <s v="Le village est intact (construit)"/>
    <m/>
    <m/>
    <s v="Oui"/>
    <s v="Sites de déplacement spontanés"/>
    <s v="Non, pas du tout"/>
    <m/>
    <m/>
    <n v="33"/>
    <n v="494"/>
    <s v="Oui"/>
    <s v="Premier déplacement"/>
    <n v="33"/>
    <n v="148"/>
    <n v="68"/>
    <n v="80"/>
    <n v="0"/>
    <n v="0"/>
    <n v="0"/>
    <n v="0"/>
    <m/>
    <m/>
    <n v="0"/>
    <n v="33"/>
    <s v="Paille/Natte/Nylon"/>
    <m/>
    <n v="0"/>
    <s v="Arrivée de 7 ménages pour 35 individus venant de taboye, 5 ménagés pour 20 individus venant de mollohoue et 3 pour 13 individus venant de iskillio. Tout sont déplacé du à l' inondations"/>
    <s v="Non"/>
    <m/>
    <m/>
    <m/>
    <m/>
    <m/>
    <m/>
    <m/>
    <m/>
    <m/>
    <m/>
    <m/>
    <m/>
    <m/>
    <m/>
    <m/>
    <s v="Non"/>
    <m/>
    <m/>
    <m/>
    <m/>
    <m/>
    <m/>
    <m/>
    <m/>
    <m/>
    <m/>
    <m/>
    <m/>
    <m/>
    <m/>
    <m/>
    <m/>
    <m/>
    <m/>
    <m/>
    <m/>
    <n v="0"/>
    <m/>
    <m/>
    <m/>
    <m/>
    <m/>
    <m/>
    <m/>
    <m/>
    <m/>
    <m/>
    <m/>
    <m/>
    <m/>
    <s v="1"/>
    <s v="0"/>
    <s v="0"/>
    <n v="1"/>
  </r>
  <r>
    <n v="2591835"/>
    <s v="Extrême-Nord"/>
    <s v="CMR004"/>
    <x v="1"/>
    <s v="CMR004002"/>
    <s v="Waza"/>
    <s v="CMR004002001"/>
    <s v="WAZ-0026"/>
    <s v="SITE DE LAFIA"/>
    <m/>
    <x v="1"/>
    <n v="11.734807699999999"/>
    <n v="14.6487465"/>
    <x v="1"/>
    <b v="1"/>
    <b v="0"/>
    <b v="0"/>
    <m/>
    <n v="3"/>
    <s v="Accessible"/>
    <m/>
    <s v="Le village accueille une population"/>
    <s v="Le village est intact (construit)"/>
    <m/>
    <m/>
    <s v="Oui"/>
    <s v="Sites de déplacement spontanés"/>
    <s v="Familles d'accueil"/>
    <m/>
    <m/>
    <n v="25"/>
    <n v="478"/>
    <s v="Oui"/>
    <s v="Premier déplacement"/>
    <n v="25"/>
    <n v="110"/>
    <n v="45"/>
    <n v="65"/>
    <n v="0"/>
    <n v="0"/>
    <n v="0"/>
    <n v="0"/>
    <m/>
    <m/>
    <n v="0"/>
    <n v="25"/>
    <s v="Paille/Natte/Nylon"/>
    <m/>
    <n v="0"/>
    <s v="Ajout de 10 naissance"/>
    <s v="Oui"/>
    <n v="17"/>
    <n v="85"/>
    <n v="48"/>
    <n v="37"/>
    <n v="0"/>
    <n v="0"/>
    <n v="0"/>
    <m/>
    <n v="0"/>
    <n v="17"/>
    <s v="Paille/Natte/Nylon"/>
    <m/>
    <n v="0"/>
    <n v="17"/>
    <s v="5 naissance"/>
    <s v="Non"/>
    <m/>
    <m/>
    <m/>
    <m/>
    <m/>
    <m/>
    <m/>
    <m/>
    <m/>
    <m/>
    <m/>
    <m/>
    <m/>
    <m/>
    <m/>
    <m/>
    <m/>
    <m/>
    <m/>
    <m/>
    <n v="0"/>
    <m/>
    <m/>
    <m/>
    <m/>
    <m/>
    <m/>
    <m/>
    <m/>
    <m/>
    <m/>
    <m/>
    <m/>
    <m/>
    <s v="1"/>
    <s v="1"/>
    <s v="0"/>
    <n v="2"/>
  </r>
  <r>
    <n v="2626288"/>
    <s v="Extrême-Nord"/>
    <s v="CMR004"/>
    <x v="1"/>
    <s v="CMR004002"/>
    <s v="Waza"/>
    <s v="CMR004002001"/>
    <s v="WAZ-0039"/>
    <s v="SITE DE MADA 1"/>
    <m/>
    <x v="1"/>
    <n v="11.5577693"/>
    <n v="14.636024900000001"/>
    <x v="1"/>
    <b v="1"/>
    <b v="0"/>
    <b v="0"/>
    <m/>
    <n v="3"/>
    <s v="Accessible"/>
    <m/>
    <s v="Le village accueille une population"/>
    <s v="Le village est partiellement détruit"/>
    <s v="Intempéries (inondations, tempêtes etc.)"/>
    <m/>
    <s v="Oui"/>
    <s v="Sites de déplacement spontanés"/>
    <s v="Non, pas du tout"/>
    <m/>
    <m/>
    <n v="20"/>
    <n v="103"/>
    <s v="Oui"/>
    <s v="Premier déplacement"/>
    <n v="20"/>
    <n v="103"/>
    <n v="46"/>
    <n v="57"/>
    <n v="0"/>
    <n v="0"/>
    <n v="0"/>
    <n v="0"/>
    <m/>
    <m/>
    <n v="0"/>
    <n v="20"/>
    <s v="Paille/Natte/Nylon"/>
    <m/>
    <n v="0"/>
    <s v="Départ de 11 ménages de 88 individus IDPS qui sont rentrés chez eux à gueuch dans l arrondissement de LOGONE birni "/>
    <s v="Non"/>
    <m/>
    <m/>
    <m/>
    <m/>
    <m/>
    <m/>
    <m/>
    <m/>
    <m/>
    <m/>
    <m/>
    <m/>
    <m/>
    <m/>
    <m/>
    <s v="Non"/>
    <m/>
    <m/>
    <m/>
    <m/>
    <m/>
    <m/>
    <m/>
    <m/>
    <m/>
    <m/>
    <m/>
    <m/>
    <m/>
    <m/>
    <m/>
    <m/>
    <m/>
    <m/>
    <m/>
    <m/>
    <n v="0"/>
    <m/>
    <m/>
    <m/>
    <m/>
    <m/>
    <m/>
    <m/>
    <m/>
    <m/>
    <m/>
    <m/>
    <m/>
    <m/>
    <s v="1"/>
    <s v="0"/>
    <s v="0"/>
    <n v="1"/>
  </r>
  <r>
    <n v="2634201"/>
    <s v="Extrême-Nord"/>
    <s v="CMR004"/>
    <x v="1"/>
    <s v="CMR004002"/>
    <s v="Waza"/>
    <s v="CMR004002001"/>
    <s v="WAZ-0022"/>
    <s v="SITE DE MADA 2"/>
    <m/>
    <x v="1"/>
    <n v="11.540555700000001"/>
    <n v="14.6353388"/>
    <x v="0"/>
    <b v="1"/>
    <b v="0"/>
    <b v="0"/>
    <m/>
    <n v="3"/>
    <s v="Accessible"/>
    <m/>
    <s v="Le village accueille une population"/>
    <s v="Le village est intact (construit)"/>
    <m/>
    <m/>
    <s v="Oui"/>
    <s v="Sites de déplacement spontanés"/>
    <s v="Familles d'accueil"/>
    <s v="Non"/>
    <m/>
    <n v="55"/>
    <n v="521"/>
    <s v="Oui"/>
    <s v="Premier déplacement"/>
    <n v="55"/>
    <n v="461"/>
    <n v="200"/>
    <n v="261"/>
    <n v="0"/>
    <n v="0"/>
    <n v="0"/>
    <n v="0"/>
    <m/>
    <m/>
    <n v="0"/>
    <n v="55"/>
    <s v="Paille/Natte/Nylon"/>
    <m/>
    <n v="0"/>
    <s v="Départ de 10 ménages pour 54 individus sont parties dans leurs lieu d'origine, hinale  ( Logone birni )"/>
    <s v="Oui"/>
    <n v="13"/>
    <n v="60"/>
    <n v="25"/>
    <n v="35"/>
    <n v="0"/>
    <n v="0"/>
    <n v="0"/>
    <m/>
    <n v="0"/>
    <n v="13"/>
    <s v="Paille/Natte/Nylon"/>
    <m/>
    <n v="0"/>
    <n v="13"/>
    <s v="Ras "/>
    <s v="Non"/>
    <m/>
    <m/>
    <m/>
    <m/>
    <m/>
    <m/>
    <m/>
    <m/>
    <m/>
    <m/>
    <m/>
    <m/>
    <m/>
    <m/>
    <m/>
    <m/>
    <m/>
    <m/>
    <m/>
    <m/>
    <n v="0"/>
    <m/>
    <m/>
    <m/>
    <m/>
    <m/>
    <m/>
    <m/>
    <m/>
    <m/>
    <m/>
    <m/>
    <m/>
    <m/>
    <s v="1"/>
    <s v="1"/>
    <s v="0"/>
    <n v="2"/>
  </r>
  <r>
    <n v="2645715"/>
    <s v="Extrême-Nord"/>
    <s v="CMR004"/>
    <x v="1"/>
    <s v="CMR004002"/>
    <s v="Waza"/>
    <s v="CMR004002001"/>
    <s v="WAZ-0011"/>
    <s v="SITE DE WAZA"/>
    <m/>
    <x v="0"/>
    <n v="11.400855999999999"/>
    <n v="14.5690563"/>
    <x v="1"/>
    <b v="1"/>
    <b v="0"/>
    <b v="0"/>
    <m/>
    <n v="3"/>
    <s v="Accessible"/>
    <m/>
    <s v="Le village accueille une population"/>
    <s v="Le village est intact (construit)"/>
    <m/>
    <m/>
    <s v="Oui"/>
    <s v="Sites de déplacement spontanés"/>
    <s v="Familles d'accueil"/>
    <m/>
    <m/>
    <n v="475"/>
    <n v="3113"/>
    <s v="Oui"/>
    <s v="Premier déplacement"/>
    <n v="475"/>
    <n v="2803"/>
    <n v="1023"/>
    <n v="1780"/>
    <n v="15"/>
    <n v="15"/>
    <n v="0"/>
    <n v="15"/>
    <s v="Logement indépendant (Maison indépendante)"/>
    <m/>
    <n v="0"/>
    <n v="430"/>
    <s v="Paille/Natte/Nylon"/>
    <m/>
    <n v="0"/>
    <s v="Départ de  18 ménages pour 36 individus retournés à hilé djadide logone  birni 16 hommes et  20 femmes il ya ajout de 20 naissances  8 garçons 12 filles "/>
    <s v="Oui"/>
    <n v="76"/>
    <n v="312"/>
    <n v="136"/>
    <n v="176"/>
    <n v="0"/>
    <n v="0"/>
    <n v="15"/>
    <s v="Logement indépendant (Maison indépendante)"/>
    <n v="0"/>
    <n v="61"/>
    <s v="Paille/Natte/Nylon"/>
    <m/>
    <n v="0"/>
    <n v="76"/>
    <s v="Ajout de 8 nouveaux nés donc 3 garçons et  5 filles "/>
    <s v="Non"/>
    <m/>
    <m/>
    <m/>
    <m/>
    <m/>
    <m/>
    <m/>
    <m/>
    <m/>
    <m/>
    <m/>
    <m/>
    <m/>
    <m/>
    <m/>
    <m/>
    <m/>
    <m/>
    <m/>
    <m/>
    <n v="0"/>
    <m/>
    <m/>
    <m/>
    <m/>
    <m/>
    <m/>
    <m/>
    <m/>
    <m/>
    <m/>
    <m/>
    <m/>
    <m/>
    <s v="1"/>
    <s v="1"/>
    <s v="0"/>
    <n v="2"/>
  </r>
  <r>
    <n v="2647259"/>
    <s v="Extrême-Nord"/>
    <s v="CMR004"/>
    <x v="1"/>
    <s v="CMR004002"/>
    <s v="Waza"/>
    <s v="CMR004002001"/>
    <s v="WAZ-0007"/>
    <s v="TAGAWA 1"/>
    <m/>
    <x v="1"/>
    <n v="11.3224809"/>
    <n v="14.4540665"/>
    <x v="0"/>
    <b v="1"/>
    <b v="0"/>
    <b v="0"/>
    <m/>
    <n v="3"/>
    <s v="Accessible"/>
    <m/>
    <s v="Le village accueille une population"/>
    <s v="Le village est partiellement détruit"/>
    <s v="Intempéries (inondations, tempêtes etc.)"/>
    <m/>
    <s v="Oui"/>
    <s v="Familles d'accueil"/>
    <s v="Non, pas du tout"/>
    <s v="Non"/>
    <m/>
    <n v="35"/>
    <n v="341"/>
    <s v="Oui"/>
    <s v="Premier déplacement"/>
    <n v="35"/>
    <n v="221"/>
    <n v="78"/>
    <n v="143"/>
    <n v="0"/>
    <n v="19"/>
    <n v="0"/>
    <n v="0"/>
    <m/>
    <m/>
    <n v="0"/>
    <n v="16"/>
    <s v="Paille/Natte/Nylon"/>
    <m/>
    <n v="0"/>
    <s v="Ajout de 5 individus  (naissance )2 hommes et 3 Femmes IDPS aucun points d eaux potable ils s approvisionnent dans les marres "/>
    <s v="Oui"/>
    <n v="5"/>
    <n v="35"/>
    <n v="15"/>
    <n v="20"/>
    <n v="0"/>
    <n v="0"/>
    <n v="0"/>
    <m/>
    <n v="0"/>
    <n v="5"/>
    <s v="Paille/Natte/Nylon"/>
    <m/>
    <n v="0"/>
    <n v="5"/>
    <s v="Pas de changement manque de points d eaux potable "/>
    <s v="Oui"/>
    <n v="5"/>
    <n v="35"/>
    <n v="13"/>
    <n v="22"/>
    <s v="Entre 1 et 5 ans"/>
    <n v="0"/>
    <n v="5"/>
    <n v="0"/>
    <n v="0"/>
    <n v="0"/>
    <m/>
    <n v="0"/>
    <n v="0"/>
    <m/>
    <n v="0"/>
    <m/>
    <m/>
    <m/>
    <m/>
    <m/>
    <n v="0"/>
    <m/>
    <m/>
    <m/>
    <m/>
    <m/>
    <m/>
    <m/>
    <m/>
    <m/>
    <m/>
    <m/>
    <m/>
    <m/>
    <s v="1"/>
    <s v="1"/>
    <s v="1"/>
    <n v="3"/>
  </r>
  <r>
    <n v="2668038"/>
    <s v="Extrême-Nord"/>
    <s v="CMR004"/>
    <x v="1"/>
    <s v="CMR004002"/>
    <s v="Waza"/>
    <s v="CMR004002001"/>
    <s v="WAZ-0008"/>
    <s v="TAGAWA 2"/>
    <m/>
    <x v="1"/>
    <n v="11.325157300000001"/>
    <n v="14.455824"/>
    <x v="0"/>
    <b v="1"/>
    <b v="0"/>
    <b v="0"/>
    <m/>
    <n v="3"/>
    <s v="Accessible"/>
    <m/>
    <s v="Le village accueille une population"/>
    <s v="Le village est intact (construit)"/>
    <m/>
    <m/>
    <s v="Oui"/>
    <s v="Sites de déplacement spontanés"/>
    <s v="Familles d'accueil"/>
    <s v="Non"/>
    <m/>
    <n v="33"/>
    <n v="481"/>
    <s v="Oui"/>
    <s v="Premier déplacement"/>
    <n v="33"/>
    <n v="171"/>
    <n v="80"/>
    <n v="91"/>
    <n v="0"/>
    <n v="0"/>
    <n v="0"/>
    <n v="0"/>
    <m/>
    <m/>
    <n v="0"/>
    <n v="33"/>
    <s v="Paille/Natte/Nylon"/>
    <m/>
    <n v="0"/>
    <s v="Départ de 9 ménages de 47 pour bloumkaî, 4 ménages de 36 individus pour blamotoko, ( maga ), 10 ménages de 70 individus pour gadjam, 7 ménages de 27 individus pour djerme  ( zina )"/>
    <s v="Oui"/>
    <n v="30"/>
    <n v="278"/>
    <n v="100"/>
    <n v="178"/>
    <n v="0"/>
    <n v="0"/>
    <n v="0"/>
    <m/>
    <n v="0"/>
    <n v="30"/>
    <s v="Paille/Natte/Nylon"/>
    <m/>
    <n v="0"/>
    <n v="30"/>
    <s v="Pas de changement "/>
    <s v="Oui"/>
    <n v="5"/>
    <n v="21"/>
    <n v="8"/>
    <n v="13"/>
    <s v="Entre 1 et 5 ans"/>
    <n v="0"/>
    <n v="5"/>
    <n v="0"/>
    <n v="0"/>
    <n v="0"/>
    <m/>
    <n v="0"/>
    <n v="0"/>
    <m/>
    <n v="0"/>
    <s v="Pas de changement "/>
    <m/>
    <m/>
    <m/>
    <m/>
    <n v="0"/>
    <m/>
    <m/>
    <m/>
    <m/>
    <m/>
    <m/>
    <m/>
    <m/>
    <m/>
    <m/>
    <m/>
    <m/>
    <m/>
    <s v="1"/>
    <s v="1"/>
    <s v="1"/>
    <n v="3"/>
  </r>
  <r>
    <n v="2672468"/>
    <s v="Extrême-Nord"/>
    <s v="CMR004"/>
    <x v="1"/>
    <s v="CMR004002"/>
    <s v="Waza"/>
    <s v="CMR004002001"/>
    <s v="WAZ-0009"/>
    <s v="TAGAWA 3"/>
    <m/>
    <x v="0"/>
    <n v="11.325594499999999"/>
    <n v="14.453537499999999"/>
    <x v="0"/>
    <b v="1"/>
    <b v="0"/>
    <b v="0"/>
    <m/>
    <n v="3"/>
    <s v="Accessible"/>
    <m/>
    <s v="Le village accueille une population"/>
    <s v="Le village est partiellement détruit"/>
    <s v="Attaques armées"/>
    <m/>
    <s v="Oui"/>
    <s v="Sites de déplacement spontanés"/>
    <s v="Non, pas du tout"/>
    <s v="Non"/>
    <m/>
    <m/>
    <n v="152"/>
    <s v="Non"/>
    <m/>
    <m/>
    <m/>
    <m/>
    <m/>
    <m/>
    <m/>
    <m/>
    <m/>
    <m/>
    <m/>
    <m/>
    <m/>
    <m/>
    <m/>
    <m/>
    <m/>
    <s v="Oui"/>
    <n v="6"/>
    <n v="50"/>
    <n v="20"/>
    <n v="30"/>
    <n v="0"/>
    <n v="0"/>
    <n v="0"/>
    <m/>
    <n v="0"/>
    <n v="6"/>
    <s v="Paille/Natte/Nylon"/>
    <m/>
    <n v="0"/>
    <n v="6"/>
    <s v="6 ménages de 50 individus qui étaient et sont revenus pour un deuxième déplacement car ancien déplacement n’ est pas favorable _x000a_"/>
    <s v="Oui"/>
    <n v="15"/>
    <n v="102"/>
    <n v="42"/>
    <n v="60"/>
    <s v="Entre 3 mois et 1 an"/>
    <n v="15"/>
    <n v="0"/>
    <n v="0"/>
    <n v="0"/>
    <n v="0"/>
    <m/>
    <n v="0"/>
    <n v="0"/>
    <m/>
    <n v="0"/>
    <s v="15 ménages de 102 individus retournés les conditions de vie ne sont pas favorables"/>
    <m/>
    <m/>
    <m/>
    <m/>
    <n v="0"/>
    <m/>
    <m/>
    <m/>
    <m/>
    <m/>
    <m/>
    <m/>
    <m/>
    <m/>
    <m/>
    <m/>
    <m/>
    <m/>
    <s v="0"/>
    <s v="1"/>
    <s v="1"/>
    <n v="2"/>
  </r>
  <r>
    <n v="2645716"/>
    <s v="Extrême-Nord"/>
    <s v="CMR004"/>
    <x v="1"/>
    <s v="CMR004002"/>
    <s v="Waza"/>
    <s v="CMR004002001"/>
    <s v="WAZ-0010"/>
    <s v="TAGAWA 4"/>
    <m/>
    <x v="1"/>
    <n v="11.3241853"/>
    <n v="14.450604200000001"/>
    <x v="0"/>
    <b v="1"/>
    <b v="0"/>
    <b v="0"/>
    <m/>
    <n v="3"/>
    <s v="Accessible"/>
    <m/>
    <s v="Le village accueille une population"/>
    <s v="Le village est intact (construit)"/>
    <m/>
    <m/>
    <s v="Oui"/>
    <s v="Sites de déplacement spontanés"/>
    <s v="Non, pas du tout"/>
    <s v="Non"/>
    <m/>
    <n v="32"/>
    <n v="428"/>
    <s v="Oui"/>
    <s v="Premier déplacement"/>
    <n v="32"/>
    <n v="200"/>
    <n v="80"/>
    <n v="120"/>
    <n v="0"/>
    <n v="0"/>
    <n v="0"/>
    <n v="0"/>
    <m/>
    <m/>
    <n v="0"/>
    <n v="32"/>
    <s v="Paille/Natte/Nylon"/>
    <m/>
    <n v="0"/>
    <s v="Pas de changement "/>
    <s v="Oui"/>
    <n v="15"/>
    <n v="122"/>
    <n v="56"/>
    <n v="66"/>
    <n v="0"/>
    <n v="0"/>
    <n v="0"/>
    <m/>
    <n v="0"/>
    <n v="15"/>
    <s v="Paille/Natte/Nylon"/>
    <m/>
    <n v="0"/>
    <n v="13"/>
    <s v="Ajout de 2 menages pour 12 individus en provenance de  Gaouri village  dans l’ arrondissement de  Mora Mayo sava donc 5 hommes et  7 femmes "/>
    <s v="Non"/>
    <m/>
    <m/>
    <m/>
    <m/>
    <m/>
    <m/>
    <m/>
    <m/>
    <m/>
    <m/>
    <m/>
    <m/>
    <m/>
    <m/>
    <m/>
    <m/>
    <m/>
    <m/>
    <m/>
    <m/>
    <n v="0"/>
    <m/>
    <m/>
    <m/>
    <m/>
    <m/>
    <m/>
    <m/>
    <m/>
    <m/>
    <m/>
    <m/>
    <m/>
    <m/>
    <s v="1"/>
    <s v="1"/>
    <s v="0"/>
    <n v="2"/>
  </r>
  <r>
    <n v="2619980"/>
    <s v="Extrême-Nord"/>
    <s v="CMR004"/>
    <x v="1"/>
    <s v="CMR004002"/>
    <s v="Waza"/>
    <s v="CMR004002001"/>
    <s v="WAZ-0025"/>
    <s v="TOUKOUMAYA"/>
    <m/>
    <x v="1"/>
    <n v="11.5380848"/>
    <n v="14.633884800000001"/>
    <x v="0"/>
    <b v="1"/>
    <b v="0"/>
    <b v="0"/>
    <m/>
    <n v="3"/>
    <s v="Accessible"/>
    <m/>
    <s v="Le village accueille une population"/>
    <s v="Le village est partiellement détruit"/>
    <s v="Intempéries (inondations, tempêtes etc.)"/>
    <m/>
    <s v="Oui"/>
    <s v="Familles d'accueil"/>
    <s v="Sites de déplacement spontanés"/>
    <s v="Non"/>
    <m/>
    <n v="69"/>
    <n v="1045"/>
    <s v="Oui"/>
    <s v="Premier déplacement"/>
    <n v="69"/>
    <n v="512"/>
    <n v="246"/>
    <n v="266"/>
    <n v="0"/>
    <n v="12"/>
    <n v="0"/>
    <n v="0"/>
    <m/>
    <m/>
    <n v="0"/>
    <n v="57"/>
    <s v="Paille/Natte/Nylon"/>
    <m/>
    <n v="0"/>
    <s v="Départ de 12 ménages de 173 individus qui sont rentrés chez eux à goh dans l arrondissement de LOGONE birni"/>
    <s v="Oui"/>
    <n v="15"/>
    <n v="120"/>
    <n v="47"/>
    <n v="73"/>
    <n v="9"/>
    <n v="0"/>
    <n v="0"/>
    <m/>
    <n v="0"/>
    <n v="6"/>
    <s v="Paille/Natte/Nylon"/>
    <m/>
    <n v="0"/>
    <n v="15"/>
    <s v="Pas de changement"/>
    <s v="Non"/>
    <m/>
    <m/>
    <m/>
    <m/>
    <m/>
    <m/>
    <m/>
    <m/>
    <m/>
    <m/>
    <m/>
    <m/>
    <m/>
    <m/>
    <m/>
    <m/>
    <m/>
    <m/>
    <m/>
    <m/>
    <n v="0"/>
    <m/>
    <m/>
    <m/>
    <m/>
    <m/>
    <m/>
    <m/>
    <m/>
    <m/>
    <m/>
    <m/>
    <m/>
    <m/>
    <s v="1"/>
    <s v="1"/>
    <s v="0"/>
    <n v="2"/>
  </r>
  <r>
    <n v="2601875"/>
    <s v="Extrême-Nord"/>
    <s v="CMR004"/>
    <x v="1"/>
    <s v="CMR004002"/>
    <s v="Waza"/>
    <s v="CMR004002001"/>
    <s v="WAZ-0020"/>
    <s v="TOUNGA"/>
    <m/>
    <x v="1"/>
    <n v="11.504989999999999"/>
    <n v="14.6768152"/>
    <x v="0"/>
    <b v="1"/>
    <b v="0"/>
    <b v="0"/>
    <m/>
    <n v="3"/>
    <s v="Accessible"/>
    <m/>
    <s v="Le village accueille une population"/>
    <s v="Le village est intact (construit)"/>
    <m/>
    <m/>
    <s v="Oui"/>
    <s v="Sites de déplacement spontanés"/>
    <s v="Familles d'accueil"/>
    <s v="Non"/>
    <m/>
    <n v="9"/>
    <n v="224"/>
    <s v="Oui"/>
    <s v="Premier déplacement"/>
    <n v="9"/>
    <n v="52"/>
    <n v="33"/>
    <n v="19"/>
    <n v="0"/>
    <n v="0"/>
    <n v="0"/>
    <n v="0"/>
    <m/>
    <m/>
    <n v="0"/>
    <n v="9"/>
    <s v="Paille/Natte/Nylon"/>
    <m/>
    <n v="0"/>
    <s v="Ajout de 6 naissances 3 garçons et 3filles "/>
    <s v="Oui"/>
    <n v="13"/>
    <n v="91"/>
    <n v="39"/>
    <n v="52"/>
    <n v="0"/>
    <n v="0"/>
    <n v="0"/>
    <m/>
    <n v="0"/>
    <n v="13"/>
    <s v="Paille/Natte/Nylon"/>
    <m/>
    <n v="0"/>
    <n v="13"/>
    <s v="Ajout de 4 naissances 2 garçons  et 2 filles"/>
    <s v="Oui"/>
    <n v="15"/>
    <n v="65"/>
    <n v="22"/>
    <n v="43"/>
    <s v="5 ans ou plus"/>
    <n v="0"/>
    <n v="15"/>
    <n v="0"/>
    <n v="0"/>
    <n v="0"/>
    <m/>
    <n v="0"/>
    <n v="0"/>
    <m/>
    <n v="0"/>
    <s v="Ajout de 2 naissances donc 2 filles "/>
    <m/>
    <m/>
    <m/>
    <m/>
    <n v="0"/>
    <m/>
    <m/>
    <m/>
    <m/>
    <m/>
    <m/>
    <m/>
    <m/>
    <m/>
    <m/>
    <m/>
    <m/>
    <m/>
    <s v="1"/>
    <s v="1"/>
    <s v="1"/>
    <n v="3"/>
  </r>
  <r>
    <n v="2589508"/>
    <s v="Extrême-Nord"/>
    <s v="CMR004"/>
    <x v="1"/>
    <s v="CMR004002"/>
    <s v="Waza"/>
    <s v="CMR004002001"/>
    <s v="WAZ-0012"/>
    <s v="ZIGAGUE"/>
    <m/>
    <x v="1"/>
    <n v="11.6845588"/>
    <n v="14.649325899999999"/>
    <x v="0"/>
    <b v="1"/>
    <b v="0"/>
    <b v="0"/>
    <m/>
    <n v="3"/>
    <s v="Accessible"/>
    <m/>
    <s v="Le village accueille une population"/>
    <s v="Le village est intact (construit)"/>
    <m/>
    <m/>
    <s v="Oui"/>
    <s v="Sites de déplacement spontanés"/>
    <s v="Familles d'accueil"/>
    <s v="Non"/>
    <m/>
    <n v="82"/>
    <n v="1760"/>
    <s v="Oui"/>
    <s v="Premier déplacement"/>
    <n v="82"/>
    <n v="505"/>
    <n v="300"/>
    <n v="205"/>
    <n v="0"/>
    <n v="10"/>
    <n v="0"/>
    <n v="7"/>
    <s v="Logement indépendant (Maison indépendante)"/>
    <m/>
    <n v="0"/>
    <n v="65"/>
    <s v="Terre cuite/Terre battue"/>
    <m/>
    <n v="0"/>
    <s v="15 nouveaux  nés  ces les de l’ arrondissement de waza et de  logone  birnl"/>
    <s v="Oui"/>
    <n v="15"/>
    <n v="61"/>
    <n v="22"/>
    <n v="39"/>
    <n v="10"/>
    <n v="0"/>
    <n v="0"/>
    <m/>
    <n v="0"/>
    <n v="5"/>
    <s v="Terre cuite/Terre battue"/>
    <m/>
    <n v="0"/>
    <n v="15"/>
    <s v="3 naissances garçons"/>
    <s v="Oui"/>
    <n v="53"/>
    <n v="382"/>
    <n v="158"/>
    <n v="224"/>
    <s v="Entre 3 mois et 1 an"/>
    <n v="0"/>
    <n v="53"/>
    <n v="0"/>
    <n v="0"/>
    <n v="0"/>
    <m/>
    <n v="0"/>
    <n v="0"/>
    <m/>
    <n v="0"/>
    <s v="10 naissances 5 garçons et 5 filles"/>
    <m/>
    <m/>
    <m/>
    <m/>
    <n v="0"/>
    <m/>
    <m/>
    <m/>
    <m/>
    <m/>
    <m/>
    <m/>
    <m/>
    <m/>
    <m/>
    <m/>
    <m/>
    <m/>
    <s v="1"/>
    <s v="1"/>
    <s v="1"/>
    <n v="3"/>
  </r>
  <r>
    <n v="2589506"/>
    <s v="Extrême-Nord"/>
    <s v="CMR004"/>
    <x v="1"/>
    <s v="CMR004002"/>
    <s v="Waza"/>
    <s v="CMR004002001"/>
    <s v="WAZ-0036"/>
    <s v="ZIGUE"/>
    <m/>
    <x v="1"/>
    <n v="11.7896549"/>
    <n v="14.6309909"/>
    <x v="0"/>
    <b v="1"/>
    <b v="0"/>
    <b v="0"/>
    <m/>
    <n v="3"/>
    <s v="Accessible"/>
    <m/>
    <s v="Le village accueille une population"/>
    <s v="Le village est intact (construit)"/>
    <m/>
    <m/>
    <s v="Oui"/>
    <s v="Sites de déplacement spontanés"/>
    <s v="Familles d'accueil"/>
    <s v="Non"/>
    <m/>
    <m/>
    <n v="322"/>
    <s v="Non"/>
    <m/>
    <m/>
    <m/>
    <m/>
    <m/>
    <m/>
    <m/>
    <m/>
    <m/>
    <m/>
    <m/>
    <m/>
    <m/>
    <m/>
    <m/>
    <m/>
    <m/>
    <s v="Oui"/>
    <n v="10"/>
    <n v="66"/>
    <n v="28"/>
    <n v="38"/>
    <n v="2"/>
    <n v="0"/>
    <n v="0"/>
    <m/>
    <n v="0"/>
    <n v="8"/>
    <s v="Terre cuite/Terre battue"/>
    <m/>
    <n v="0"/>
    <n v="10"/>
    <s v="4 naissances en plus comme  ajout"/>
    <s v="Non"/>
    <m/>
    <m/>
    <m/>
    <m/>
    <m/>
    <m/>
    <m/>
    <m/>
    <m/>
    <m/>
    <m/>
    <m/>
    <m/>
    <m/>
    <m/>
    <m/>
    <m/>
    <m/>
    <m/>
    <m/>
    <n v="0"/>
    <m/>
    <m/>
    <m/>
    <m/>
    <m/>
    <m/>
    <m/>
    <m/>
    <m/>
    <m/>
    <m/>
    <m/>
    <m/>
    <s v="0"/>
    <s v="1"/>
    <s v="0"/>
    <n v="1"/>
  </r>
  <r>
    <n v="2632876"/>
    <s v="Extrême-Nord"/>
    <s v="CMR004"/>
    <x v="1"/>
    <s v="CMR004002"/>
    <s v="Waza"/>
    <s v="CMR004002001"/>
    <s v="WAZ-0014"/>
    <s v="ZOLZALÉ"/>
    <m/>
    <x v="1"/>
    <n v="11.685931500000001"/>
    <n v="14.6533713"/>
    <x v="0"/>
    <b v="1"/>
    <b v="0"/>
    <b v="0"/>
    <m/>
    <n v="3"/>
    <s v="Accessible"/>
    <m/>
    <s v="Le village accueille une population"/>
    <s v="Le village est intact (construit)"/>
    <m/>
    <m/>
    <s v="Oui"/>
    <s v="Sites de déplacement spontanés"/>
    <s v="Familles d'accueil"/>
    <s v="Non"/>
    <m/>
    <n v="5"/>
    <n v="276"/>
    <s v="Oui"/>
    <s v="Premier déplacement"/>
    <n v="5"/>
    <n v="41"/>
    <n v="16"/>
    <n v="25"/>
    <n v="0"/>
    <n v="0"/>
    <n v="0"/>
    <n v="0"/>
    <m/>
    <m/>
    <n v="0"/>
    <n v="5"/>
    <s v="Paille/Natte/Nylon"/>
    <m/>
    <n v="0"/>
    <s v="Il y'a eux départ de 12 ménages pour 102 individus pour ammanna et 09 de 97 individus pour zeywa. (Logone birni )"/>
    <s v="Oui"/>
    <n v="38"/>
    <n v="235"/>
    <n v="135"/>
    <n v="100"/>
    <n v="0"/>
    <n v="0"/>
    <n v="0"/>
    <m/>
    <n v="0"/>
    <n v="38"/>
    <s v="Paille/Natte/Nylon"/>
    <m/>
    <n v="0"/>
    <n v="35"/>
    <s v="Pas de changement"/>
    <s v="Non"/>
    <m/>
    <m/>
    <m/>
    <m/>
    <m/>
    <m/>
    <m/>
    <m/>
    <m/>
    <m/>
    <m/>
    <m/>
    <m/>
    <m/>
    <m/>
    <m/>
    <m/>
    <m/>
    <m/>
    <m/>
    <n v="0"/>
    <m/>
    <m/>
    <m/>
    <m/>
    <m/>
    <m/>
    <m/>
    <m/>
    <m/>
    <m/>
    <m/>
    <m/>
    <m/>
    <s v="1"/>
    <s v="1"/>
    <s v="0"/>
    <n v="2"/>
  </r>
  <r>
    <n v="2682610"/>
    <s v="Extrême-Nord"/>
    <s v="CMR004"/>
    <x v="1"/>
    <s v="CMR004002"/>
    <s v="Zina"/>
    <s v="CMR004002005"/>
    <s v="XXXX"/>
    <s v="DIBISSA"/>
    <s v="DIBISSA"/>
    <x v="1"/>
    <n v="11.2233258"/>
    <n v="14.969467"/>
    <x v="0"/>
    <b v="1"/>
    <b v="0"/>
    <b v="0"/>
    <m/>
    <n v="4"/>
    <s v="Accessible"/>
    <m/>
    <s v="Le village accueille une population"/>
    <s v="Le village est totalement détruit"/>
    <s v="Intempéries (inondations, tempêtes etc.)"/>
    <m/>
    <s v="Oui"/>
    <s v="Familles d'accueil"/>
    <s v="Non, pas du tout"/>
    <s v="Non"/>
    <m/>
    <n v="67"/>
    <n v="318"/>
    <s v="Oui"/>
    <s v="Premier déplacement"/>
    <n v="67"/>
    <n v="570"/>
    <n v="270"/>
    <n v="300"/>
    <n v="0"/>
    <n v="67"/>
    <n v="0"/>
    <n v="0"/>
    <m/>
    <m/>
    <n v="0"/>
    <n v="0"/>
    <m/>
    <m/>
    <n v="0"/>
    <s v="La plus part des personnes deplacés n'ont pas d'abri "/>
    <s v="Non"/>
    <m/>
    <m/>
    <m/>
    <m/>
    <m/>
    <m/>
    <m/>
    <m/>
    <m/>
    <m/>
    <m/>
    <m/>
    <m/>
    <m/>
    <m/>
    <s v="Non"/>
    <m/>
    <m/>
    <m/>
    <m/>
    <m/>
    <m/>
    <m/>
    <m/>
    <m/>
    <m/>
    <m/>
    <m/>
    <m/>
    <m/>
    <m/>
    <m/>
    <m/>
    <m/>
    <m/>
    <m/>
    <n v="0"/>
    <m/>
    <m/>
    <m/>
    <m/>
    <m/>
    <m/>
    <m/>
    <m/>
    <m/>
    <m/>
    <m/>
    <m/>
    <m/>
    <s v="1"/>
    <s v="0"/>
    <s v="0"/>
    <n v="1"/>
  </r>
  <r>
    <n v="2682473"/>
    <s v="Extrême-Nord"/>
    <s v="CMR004"/>
    <x v="1"/>
    <s v="CMR004002"/>
    <s v="Zina"/>
    <s v="CMR004002005"/>
    <s v="ZIN-0014"/>
    <s v="ALVAKAI 1"/>
    <m/>
    <x v="1"/>
    <n v="11.0139943"/>
    <n v="15.011755300000001"/>
    <x v="0"/>
    <b v="1"/>
    <b v="0"/>
    <b v="0"/>
    <m/>
    <n v="3"/>
    <s v="Accessible"/>
    <m/>
    <s v="Le village accueille une population"/>
    <s v="Le village est partiellement détruit"/>
    <s v="Intempéries (inondations, tempêtes etc.)"/>
    <m/>
    <s v="Oui"/>
    <s v="Familles d'accueil"/>
    <s v="Non, pas du tout"/>
    <s v="Non"/>
    <m/>
    <m/>
    <n v="650"/>
    <s v="Non"/>
    <m/>
    <m/>
    <m/>
    <m/>
    <m/>
    <m/>
    <m/>
    <m/>
    <m/>
    <m/>
    <m/>
    <m/>
    <m/>
    <m/>
    <m/>
    <m/>
    <m/>
    <s v="Non"/>
    <m/>
    <m/>
    <m/>
    <m/>
    <m/>
    <m/>
    <m/>
    <m/>
    <m/>
    <m/>
    <m/>
    <m/>
    <m/>
    <m/>
    <m/>
    <s v="Non"/>
    <m/>
    <m/>
    <m/>
    <m/>
    <m/>
    <m/>
    <m/>
    <m/>
    <m/>
    <m/>
    <m/>
    <m/>
    <m/>
    <m/>
    <m/>
    <m/>
    <m/>
    <m/>
    <m/>
    <m/>
    <n v="0"/>
    <m/>
    <m/>
    <m/>
    <m/>
    <m/>
    <m/>
    <m/>
    <m/>
    <m/>
    <m/>
    <m/>
    <m/>
    <m/>
    <s v="0"/>
    <s v="0"/>
    <s v="0"/>
    <n v="0"/>
  </r>
  <r>
    <n v="2682474"/>
    <s v="Extrême-Nord"/>
    <s v="CMR004"/>
    <x v="1"/>
    <s v="CMR004002"/>
    <s v="Zina"/>
    <s v="CMR004002005"/>
    <s v="ZIN-0015"/>
    <s v="ALVAKAI 2"/>
    <m/>
    <x v="1"/>
    <n v="11.002867200000001"/>
    <n v="15.0421578"/>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7"/>
    <s v="Extrême-Nord"/>
    <s v="CMR004"/>
    <x v="1"/>
    <s v="CMR004002"/>
    <s v="Zina"/>
    <s v="CMR004002005"/>
    <s v="ZIN-0001"/>
    <s v="ARAINABA"/>
    <m/>
    <x v="1"/>
    <n v="11.0337684"/>
    <n v="15.050532499999999"/>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1"/>
    <s v="Extrême-Nord"/>
    <s v="CMR004"/>
    <x v="1"/>
    <s v="CMR004002"/>
    <s v="Zina"/>
    <s v="CMR004002005"/>
    <s v="ZIN-0002"/>
    <s v="BALGUE 1"/>
    <m/>
    <x v="1"/>
    <n v="11.417752699999999"/>
    <n v="15.002419400000001"/>
    <x v="0"/>
    <b v="1"/>
    <b v="0"/>
    <b v="0"/>
    <m/>
    <n v="3"/>
    <s v="Accessible"/>
    <m/>
    <s v="Le village accueille une population"/>
    <s v="Le village est partiellement détruit"/>
    <s v="Intempéries (inondations, tempêtes etc.)"/>
    <m/>
    <s v="Oui"/>
    <s v="Familles d'accueil"/>
    <s v="Non, pas du tout"/>
    <s v="Non"/>
    <m/>
    <n v="2"/>
    <n v="300"/>
    <s v="Oui"/>
    <s v="Premier déplacement"/>
    <n v="2"/>
    <n v="9"/>
    <n v="3"/>
    <n v="6"/>
    <n v="0"/>
    <n v="2"/>
    <n v="0"/>
    <n v="0"/>
    <m/>
    <m/>
    <n v="0"/>
    <n v="0"/>
    <m/>
    <m/>
    <n v="0"/>
    <s v="La préoccupation majeur de cette localité c'est avoir une digue de protection. "/>
    <s v="Non"/>
    <m/>
    <m/>
    <m/>
    <m/>
    <m/>
    <m/>
    <m/>
    <m/>
    <m/>
    <m/>
    <m/>
    <m/>
    <m/>
    <m/>
    <m/>
    <s v="Non"/>
    <m/>
    <m/>
    <m/>
    <m/>
    <m/>
    <m/>
    <m/>
    <m/>
    <m/>
    <m/>
    <m/>
    <m/>
    <m/>
    <m/>
    <m/>
    <m/>
    <m/>
    <m/>
    <m/>
    <m/>
    <n v="0"/>
    <m/>
    <m/>
    <m/>
    <m/>
    <m/>
    <m/>
    <m/>
    <m/>
    <m/>
    <m/>
    <m/>
    <m/>
    <m/>
    <s v="1"/>
    <s v="0"/>
    <s v="0"/>
    <n v="1"/>
  </r>
  <r>
    <n v="2682471"/>
    <s v="Extrême-Nord"/>
    <s v="CMR004"/>
    <x v="1"/>
    <s v="CMR004002"/>
    <s v="Zina"/>
    <s v="CMR004002005"/>
    <s v="ZIN-0022"/>
    <s v="BLAMAKAI"/>
    <m/>
    <x v="1"/>
    <n v="11.066421399999999"/>
    <n v="14.986956899999999"/>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70"/>
    <s v="Extrême-Nord"/>
    <s v="CMR004"/>
    <x v="1"/>
    <s v="CMR004002"/>
    <s v="Zina"/>
    <s v="CMR004002005"/>
    <s v="ZIN-0016"/>
    <s v="DAVAGANG"/>
    <m/>
    <x v="1"/>
    <n v="11.0760401"/>
    <n v="15.0358322"/>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8"/>
    <s v="Extrême-Nord"/>
    <s v="CMR004"/>
    <x v="1"/>
    <s v="CMR004002"/>
    <s v="Zina"/>
    <s v="CMR004002005"/>
    <s v="ZIN-0003"/>
    <s v="GALA"/>
    <m/>
    <x v="1"/>
    <n v="11.0358523"/>
    <n v="15.0817321"/>
    <x v="0"/>
    <b v="0"/>
    <b v="1"/>
    <b v="1"/>
    <n v="7"/>
    <m/>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4"/>
    <s v="Extrême-Nord"/>
    <s v="CMR004"/>
    <x v="1"/>
    <s v="CMR004002"/>
    <s v="Zina"/>
    <s v="CMR004002005"/>
    <s v="ZIN-0013"/>
    <s v="GALAMI"/>
    <m/>
    <x v="1"/>
    <n v="11.0780648"/>
    <n v="15.040124199999999"/>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77"/>
    <s v="Extrême-Nord"/>
    <s v="CMR004"/>
    <x v="1"/>
    <s v="CMR004002"/>
    <s v="Zina"/>
    <s v="CMR004002005"/>
    <s v="ZIN-0017"/>
    <s v="HALAVANG"/>
    <m/>
    <x v="1"/>
    <s v="N/A"/>
    <s v="N/A"/>
    <x v="0"/>
    <b v="1"/>
    <b v="0"/>
    <b v="0"/>
    <m/>
    <n v="3"/>
    <s v="Inaccessible - pas d'accès physique"/>
    <s v="Aléas climatiques (inondations)"/>
    <s v="Le village accueille une population"/>
    <s v="Le village est partiellement détruit"/>
    <s v="Intempéries (inondations, tempêtes etc.)"/>
    <m/>
    <s v="Oui"/>
    <s v="Familles d'accueil"/>
    <s v="Non, pas du tout"/>
    <s v="Non"/>
    <m/>
    <m/>
    <n v="430"/>
    <s v="Non"/>
    <m/>
    <m/>
    <m/>
    <m/>
    <m/>
    <m/>
    <m/>
    <m/>
    <m/>
    <m/>
    <m/>
    <m/>
    <m/>
    <m/>
    <m/>
    <m/>
    <m/>
    <s v="Non"/>
    <m/>
    <m/>
    <m/>
    <m/>
    <m/>
    <m/>
    <m/>
    <m/>
    <m/>
    <m/>
    <m/>
    <m/>
    <m/>
    <m/>
    <m/>
    <s v="Oui"/>
    <n v="4"/>
    <n v="28"/>
    <n v="13"/>
    <n v="15"/>
    <s v="Entre 3 mois et 1 an"/>
    <n v="4"/>
    <n v="0"/>
    <n v="0"/>
    <n v="0"/>
    <n v="0"/>
    <m/>
    <n v="0"/>
    <n v="0"/>
    <m/>
    <n v="0"/>
    <m/>
    <m/>
    <m/>
    <m/>
    <m/>
    <n v="0"/>
    <m/>
    <m/>
    <m/>
    <m/>
    <m/>
    <m/>
    <m/>
    <m/>
    <m/>
    <m/>
    <m/>
    <m/>
    <m/>
    <s v="0"/>
    <s v="0"/>
    <s v="1"/>
    <n v="1"/>
  </r>
  <r>
    <n v="2682466"/>
    <s v="Extrême-Nord"/>
    <s v="CMR004"/>
    <x v="1"/>
    <s v="CMR004002"/>
    <s v="Zina"/>
    <s v="CMR004002005"/>
    <s v="ZIN-0018"/>
    <s v="LAHAI"/>
    <m/>
    <x v="1"/>
    <n v="11.040525499999999"/>
    <n v="15.0526628"/>
    <x v="0"/>
    <b v="1"/>
    <b v="0"/>
    <b v="0"/>
    <m/>
    <n v="3"/>
    <s v="Accessible"/>
    <m/>
    <s v="Le village accueille une population"/>
    <s v="Le village est partiellement détruit"/>
    <s v="Intempéries (inondations, tempêtes etc.)"/>
    <m/>
    <s v="Oui"/>
    <s v="Familles d'accueil"/>
    <s v="Non, pas du tout"/>
    <s v="Non"/>
    <m/>
    <n v="4"/>
    <n v="3000"/>
    <s v="Oui"/>
    <s v="Premier déplacement"/>
    <n v="4"/>
    <n v="30"/>
    <n v="10"/>
    <n v="20"/>
    <n v="0"/>
    <n v="4"/>
    <n v="0"/>
    <n v="0"/>
    <m/>
    <m/>
    <n v="0"/>
    <n v="0"/>
    <m/>
    <m/>
    <n v="0"/>
    <s v="Les personnes deplacés sont en train de reconstruire leurs maisons. "/>
    <s v="Non"/>
    <m/>
    <m/>
    <m/>
    <m/>
    <m/>
    <m/>
    <m/>
    <m/>
    <m/>
    <m/>
    <m/>
    <m/>
    <m/>
    <m/>
    <m/>
    <s v="Non"/>
    <m/>
    <m/>
    <m/>
    <m/>
    <m/>
    <m/>
    <m/>
    <m/>
    <m/>
    <m/>
    <m/>
    <m/>
    <m/>
    <m/>
    <m/>
    <m/>
    <m/>
    <m/>
    <m/>
    <m/>
    <n v="0"/>
    <m/>
    <m/>
    <m/>
    <m/>
    <m/>
    <m/>
    <m/>
    <m/>
    <m/>
    <m/>
    <m/>
    <m/>
    <m/>
    <s v="1"/>
    <s v="0"/>
    <s v="0"/>
    <n v="1"/>
  </r>
  <r>
    <n v="2682472"/>
    <s v="Extrême-Nord"/>
    <s v="CMR004"/>
    <x v="1"/>
    <s v="CMR004002"/>
    <s v="Zina"/>
    <s v="CMR004002005"/>
    <s v="ZIN-0004"/>
    <s v="MALAZINA"/>
    <m/>
    <x v="1"/>
    <n v="11.026836599999999"/>
    <n v="14.997766499999999"/>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9"/>
    <s v="Extrême-Nord"/>
    <s v="CMR004"/>
    <x v="1"/>
    <s v="CMR004002"/>
    <s v="Zina"/>
    <s v="CMR004002005"/>
    <s v="ZIN-0012"/>
    <s v="MANDJOUR II AFTI"/>
    <m/>
    <x v="1"/>
    <n v="11.0892271"/>
    <n v="15.108943500000001"/>
    <x v="0"/>
    <b v="0"/>
    <b v="0"/>
    <b v="1"/>
    <m/>
    <m/>
    <s v="Accessible"/>
    <m/>
    <s v="Le village accueille une population"/>
    <s v="Le village est partiellement détruit"/>
    <s v="Intempéries (inondations, tempêtes etc.)"/>
    <m/>
    <s v="Oui"/>
    <s v="Familles d'accueil"/>
    <s v="Non, pas du tout"/>
    <s v="Non"/>
    <m/>
    <m/>
    <n v="1000"/>
    <s v="Non"/>
    <m/>
    <m/>
    <m/>
    <m/>
    <m/>
    <m/>
    <m/>
    <m/>
    <m/>
    <m/>
    <m/>
    <m/>
    <m/>
    <m/>
    <m/>
    <m/>
    <m/>
    <s v="Non"/>
    <m/>
    <m/>
    <m/>
    <m/>
    <m/>
    <m/>
    <m/>
    <m/>
    <m/>
    <m/>
    <m/>
    <m/>
    <m/>
    <m/>
    <m/>
    <s v="Oui"/>
    <n v="20"/>
    <n v="100"/>
    <n v="40"/>
    <n v="60"/>
    <s v="Entre 3 mois et 1 an"/>
    <n v="0"/>
    <n v="0"/>
    <n v="20"/>
    <n v="0"/>
    <n v="0"/>
    <m/>
    <n v="0"/>
    <n v="0"/>
    <m/>
    <n v="0"/>
    <m/>
    <m/>
    <m/>
    <m/>
    <m/>
    <n v="0"/>
    <m/>
    <m/>
    <m/>
    <m/>
    <m/>
    <m/>
    <m/>
    <m/>
    <m/>
    <m/>
    <m/>
    <m/>
    <m/>
    <s v="0"/>
    <s v="0"/>
    <s v="1"/>
    <n v="1"/>
  </r>
  <r>
    <n v="2682475"/>
    <s v="Extrême-Nord"/>
    <s v="CMR004"/>
    <x v="1"/>
    <s v="CMR004002"/>
    <s v="Zina"/>
    <s v="CMR004002005"/>
    <s v="ZIN-0005"/>
    <s v="MANKA"/>
    <m/>
    <x v="1"/>
    <n v="11.013492599999999"/>
    <n v="15.0444342"/>
    <x v="0"/>
    <b v="1"/>
    <b v="0"/>
    <b v="0"/>
    <m/>
    <n v="4"/>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04421"/>
    <s v="Extrême-Nord"/>
    <s v="CMR004"/>
    <x v="1"/>
    <s v="CMR004002"/>
    <s v="Zina"/>
    <s v="CMR004002005"/>
    <s v="ZIN-0006"/>
    <s v="MARGOUE"/>
    <m/>
    <x v="1"/>
    <n v="11.162007900000001"/>
    <n v="14.990287500000001"/>
    <x v="0"/>
    <b v="1"/>
    <b v="0"/>
    <b v="0"/>
    <m/>
    <n v="3"/>
    <s v="Accessible"/>
    <m/>
    <s v="Le village accueille une population"/>
    <s v="Le village est partiellement détruit"/>
    <s v="Intempéries (inondations, tempêtes etc.)"/>
    <m/>
    <s v="Oui"/>
    <s v="Familles d'accueil"/>
    <s v="Non, pas du tout"/>
    <s v="Non"/>
    <m/>
    <n v="4"/>
    <n v="360"/>
    <s v="Oui"/>
    <s v="Premier déplacement"/>
    <n v="4"/>
    <n v="40"/>
    <n v="19"/>
    <n v="21"/>
    <n v="0"/>
    <n v="4"/>
    <n v="0"/>
    <n v="0"/>
    <m/>
    <m/>
    <n v="0"/>
    <n v="0"/>
    <m/>
    <m/>
    <n v="0"/>
    <s v="Cette population  demande  un soutien en matière non consommable"/>
    <s v="Non"/>
    <m/>
    <m/>
    <m/>
    <m/>
    <m/>
    <m/>
    <m/>
    <m/>
    <m/>
    <m/>
    <m/>
    <m/>
    <m/>
    <m/>
    <m/>
    <s v="Non"/>
    <m/>
    <m/>
    <m/>
    <m/>
    <m/>
    <m/>
    <m/>
    <m/>
    <m/>
    <m/>
    <m/>
    <m/>
    <m/>
    <m/>
    <m/>
    <m/>
    <m/>
    <m/>
    <m/>
    <m/>
    <n v="0"/>
    <m/>
    <m/>
    <m/>
    <m/>
    <m/>
    <m/>
    <m/>
    <m/>
    <m/>
    <m/>
    <m/>
    <m/>
    <m/>
    <s v="1"/>
    <s v="0"/>
    <s v="0"/>
    <n v="1"/>
  </r>
  <r>
    <n v="2682476"/>
    <s v="Extrême-Nord"/>
    <s v="CMR004"/>
    <x v="1"/>
    <s v="CMR004002"/>
    <s v="Zina"/>
    <s v="CMR004002005"/>
    <s v="ZIN-0007"/>
    <s v="MASKALAI"/>
    <m/>
    <x v="1"/>
    <s v="N/A"/>
    <s v="N/A"/>
    <x v="0"/>
    <b v="1"/>
    <b v="0"/>
    <b v="0"/>
    <m/>
    <n v="3"/>
    <s v="Inaccessible - pas d'accès physique"/>
    <s v="Aléas climatiques (inondations)"/>
    <s v="Le village accueille une population"/>
    <s v="Le village est partiellement détruit"/>
    <s v="Intempéries (inondations, tempêtes etc.)"/>
    <m/>
    <s v="Oui"/>
    <s v="Familles d'accueil"/>
    <s v="Non, pas du tout"/>
    <s v="Non"/>
    <m/>
    <n v="10"/>
    <n v="230"/>
    <s v="Oui"/>
    <s v="Deuxième déplacement"/>
    <n v="10"/>
    <n v="78"/>
    <n v="28"/>
    <n v="50"/>
    <n v="0"/>
    <n v="10"/>
    <n v="0"/>
    <n v="0"/>
    <m/>
    <m/>
    <n v="0"/>
    <n v="0"/>
    <m/>
    <m/>
    <n v="0"/>
    <s v="Aucun changement "/>
    <s v="Non"/>
    <m/>
    <m/>
    <m/>
    <m/>
    <m/>
    <m/>
    <m/>
    <m/>
    <m/>
    <m/>
    <m/>
    <m/>
    <m/>
    <m/>
    <m/>
    <s v="Non"/>
    <m/>
    <m/>
    <m/>
    <m/>
    <m/>
    <m/>
    <m/>
    <m/>
    <m/>
    <m/>
    <m/>
    <m/>
    <m/>
    <m/>
    <m/>
    <m/>
    <m/>
    <m/>
    <m/>
    <m/>
    <n v="0"/>
    <m/>
    <m/>
    <m/>
    <m/>
    <m/>
    <m/>
    <m/>
    <m/>
    <m/>
    <m/>
    <m/>
    <m/>
    <m/>
    <s v="1"/>
    <s v="0"/>
    <s v="0"/>
    <n v="1"/>
  </r>
  <r>
    <n v="2682460"/>
    <s v="Extrême-Nord"/>
    <s v="CMR004"/>
    <x v="1"/>
    <s v="CMR004002"/>
    <s v="Zina"/>
    <s v="CMR004002005"/>
    <s v="ZIN-0008"/>
    <s v="NGODENI"/>
    <m/>
    <x v="1"/>
    <n v="11.397665399999999"/>
    <n v="15.0082983"/>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5"/>
    <s v="Extrême-Nord"/>
    <s v="CMR004"/>
    <x v="1"/>
    <s v="CMR004002"/>
    <s v="Zina"/>
    <s v="CMR004002005"/>
    <s v="ZIN-0009"/>
    <s v="PATMANGAI"/>
    <m/>
    <x v="1"/>
    <n v="11.0527344"/>
    <n v="15.0501266"/>
    <x v="0"/>
    <b v="1"/>
    <b v="0"/>
    <b v="0"/>
    <m/>
    <n v="3"/>
    <s v="Accessible"/>
    <m/>
    <s v="Le village accueille une population"/>
    <s v="Le village est partiellement détruit"/>
    <s v="Intempéries (inondations, tempêtes etc.)"/>
    <m/>
    <s v="Oui"/>
    <s v="Familles d'accueil"/>
    <s v="Non, pas du tout"/>
    <s v="Non"/>
    <m/>
    <m/>
    <n v="470"/>
    <s v="Non"/>
    <m/>
    <m/>
    <m/>
    <m/>
    <m/>
    <m/>
    <m/>
    <m/>
    <m/>
    <m/>
    <m/>
    <m/>
    <m/>
    <m/>
    <m/>
    <m/>
    <m/>
    <s v="Non"/>
    <m/>
    <m/>
    <m/>
    <m/>
    <m/>
    <m/>
    <m/>
    <m/>
    <m/>
    <m/>
    <m/>
    <m/>
    <m/>
    <m/>
    <m/>
    <s v="Oui"/>
    <n v="5"/>
    <n v="52"/>
    <n v="20"/>
    <n v="32"/>
    <s v="Entre 3 mois et 1 an"/>
    <n v="5"/>
    <n v="0"/>
    <n v="0"/>
    <n v="0"/>
    <n v="0"/>
    <m/>
    <n v="0"/>
    <n v="0"/>
    <m/>
    <n v="0"/>
    <m/>
    <m/>
    <m/>
    <m/>
    <m/>
    <n v="0"/>
    <m/>
    <m/>
    <m/>
    <m/>
    <m/>
    <m/>
    <m/>
    <m/>
    <m/>
    <m/>
    <m/>
    <m/>
    <m/>
    <s v="0"/>
    <s v="0"/>
    <s v="1"/>
    <n v="1"/>
  </r>
  <r>
    <n v="2604432"/>
    <s v="Extrême-Nord"/>
    <s v="CMR004"/>
    <x v="1"/>
    <s v="CMR004002"/>
    <s v="Zina"/>
    <s v="CMR004002005"/>
    <s v="ZIN-0011"/>
    <s v="SARA-SARA"/>
    <m/>
    <x v="1"/>
    <n v="11.1749888"/>
    <n v="14.9867355"/>
    <x v="0"/>
    <b v="1"/>
    <b v="0"/>
    <b v="0"/>
    <m/>
    <n v="3"/>
    <s v="Accessible"/>
    <m/>
    <s v="Le village accueille une population"/>
    <s v="Le village est partiellement détruit"/>
    <s v="Intempéries (inondations, tempêtes etc.)"/>
    <m/>
    <s v="Oui"/>
    <s v="Familles d'accueil"/>
    <s v="Non, pas du tout"/>
    <s v="Non"/>
    <m/>
    <n v="20"/>
    <n v="335"/>
    <s v="Oui"/>
    <s v="Déplacements pendulaires réguliers"/>
    <n v="20"/>
    <n v="140"/>
    <n v="50"/>
    <n v="90"/>
    <n v="20"/>
    <n v="0"/>
    <n v="0"/>
    <n v="0"/>
    <m/>
    <m/>
    <n v="0"/>
    <n v="0"/>
    <m/>
    <m/>
    <n v="0"/>
    <s v="Cette  population  en souffre trop  chaque année  avec les  déplacements"/>
    <s v="Non"/>
    <m/>
    <m/>
    <m/>
    <m/>
    <m/>
    <m/>
    <m/>
    <m/>
    <m/>
    <m/>
    <m/>
    <m/>
    <m/>
    <m/>
    <m/>
    <s v="Non"/>
    <m/>
    <m/>
    <m/>
    <m/>
    <m/>
    <m/>
    <m/>
    <m/>
    <m/>
    <m/>
    <m/>
    <m/>
    <m/>
    <m/>
    <m/>
    <m/>
    <m/>
    <m/>
    <m/>
    <m/>
    <n v="0"/>
    <m/>
    <m/>
    <m/>
    <m/>
    <m/>
    <m/>
    <m/>
    <m/>
    <m/>
    <m/>
    <m/>
    <m/>
    <m/>
    <s v="1"/>
    <s v="0"/>
    <s v="0"/>
    <n v="1"/>
  </r>
  <r>
    <n v="2604516"/>
    <s v="Extrême-Nord"/>
    <s v="CMR004"/>
    <x v="1"/>
    <s v="CMR004002"/>
    <s v="Zina"/>
    <s v="CMR004002005"/>
    <s v="ZIN-0019"/>
    <s v="SIFNA"/>
    <m/>
    <x v="1"/>
    <n v="11.1142378"/>
    <n v="15.027234999999999"/>
    <x v="0"/>
    <b v="1"/>
    <b v="0"/>
    <b v="0"/>
    <m/>
    <n v="3"/>
    <s v="Accessible"/>
    <m/>
    <s v="Le village accueille une population"/>
    <s v="Le village est partiellement détruit"/>
    <s v="Intempéries (inondations, tempêtes etc.)"/>
    <m/>
    <s v="Oui"/>
    <s v="Familles d'accueil"/>
    <s v="Non, pas du tout"/>
    <s v="Non"/>
    <m/>
    <m/>
    <n v="200"/>
    <s v="Non"/>
    <m/>
    <m/>
    <m/>
    <m/>
    <m/>
    <m/>
    <m/>
    <m/>
    <m/>
    <m/>
    <m/>
    <m/>
    <m/>
    <m/>
    <m/>
    <m/>
    <m/>
    <s v="Non"/>
    <m/>
    <m/>
    <m/>
    <m/>
    <m/>
    <m/>
    <m/>
    <m/>
    <m/>
    <m/>
    <m/>
    <m/>
    <m/>
    <m/>
    <m/>
    <s v="Oui"/>
    <n v="46"/>
    <n v="329"/>
    <n v="150"/>
    <n v="179"/>
    <s v="Entre 3 mois et 1 an"/>
    <n v="46"/>
    <n v="0"/>
    <n v="0"/>
    <n v="0"/>
    <n v="0"/>
    <m/>
    <n v="0"/>
    <n v="0"/>
    <m/>
    <n v="0"/>
    <m/>
    <m/>
    <m/>
    <m/>
    <m/>
    <n v="0"/>
    <m/>
    <m/>
    <m/>
    <m/>
    <m/>
    <m/>
    <m/>
    <m/>
    <m/>
    <m/>
    <m/>
    <m/>
    <m/>
    <s v="0"/>
    <s v="0"/>
    <s v="1"/>
    <n v="1"/>
  </r>
  <r>
    <n v="2682462"/>
    <s v="Extrême-Nord"/>
    <s v="CMR004"/>
    <x v="1"/>
    <s v="CMR004002"/>
    <s v="Zina"/>
    <s v="CMR004002005"/>
    <s v="ZIN-0020"/>
    <s v="TCHOUKFOU 1"/>
    <m/>
    <x v="1"/>
    <n v="11.119464900000001"/>
    <n v="15.0389836"/>
    <x v="0"/>
    <b v="1"/>
    <b v="0"/>
    <b v="1"/>
    <m/>
    <n v="4"/>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82463"/>
    <s v="Extrême-Nord"/>
    <s v="CMR004"/>
    <x v="1"/>
    <s v="CMR004002"/>
    <s v="Zina"/>
    <s v="CMR004002005"/>
    <s v="ZIN-0021"/>
    <s v="TCHOUKFOU 2"/>
    <m/>
    <x v="1"/>
    <n v="11.1020884"/>
    <n v="15.040291"/>
    <x v="0"/>
    <b v="1"/>
    <b v="0"/>
    <b v="0"/>
    <m/>
    <n v="3"/>
    <s v="Accessible"/>
    <m/>
    <s v="Le village accueille une population"/>
    <s v="Le village est partiellement détruit"/>
    <s v="Intempéries (inondations, tempêtes etc.)"/>
    <m/>
    <s v="Oui"/>
    <s v="Familles d'accueil"/>
    <s v="Non, pas du tout"/>
    <s v="Non"/>
    <m/>
    <n v="10"/>
    <n v="500"/>
    <s v="Oui"/>
    <s v="Premier déplacement"/>
    <n v="10"/>
    <n v="50"/>
    <n v="20"/>
    <n v="30"/>
    <n v="0"/>
    <n v="10"/>
    <n v="0"/>
    <n v="0"/>
    <m/>
    <m/>
    <n v="0"/>
    <n v="0"/>
    <m/>
    <m/>
    <n v="0"/>
    <s v="Cette population est menacée régulièrement par les inondations "/>
    <s v="Non"/>
    <m/>
    <m/>
    <m/>
    <m/>
    <m/>
    <m/>
    <m/>
    <m/>
    <m/>
    <m/>
    <m/>
    <m/>
    <m/>
    <m/>
    <m/>
    <s v="Non"/>
    <m/>
    <m/>
    <m/>
    <m/>
    <m/>
    <m/>
    <m/>
    <m/>
    <m/>
    <m/>
    <m/>
    <m/>
    <m/>
    <m/>
    <m/>
    <m/>
    <m/>
    <m/>
    <m/>
    <m/>
    <n v="0"/>
    <m/>
    <m/>
    <m/>
    <m/>
    <m/>
    <m/>
    <m/>
    <m/>
    <m/>
    <m/>
    <m/>
    <m/>
    <m/>
    <s v="1"/>
    <s v="0"/>
    <s v="0"/>
    <n v="1"/>
  </r>
  <r>
    <n v="2682611"/>
    <s v="Extrême-Nord"/>
    <s v="CMR004"/>
    <x v="1"/>
    <s v="CMR004002"/>
    <s v="Zina"/>
    <s v="CMR004002005"/>
    <s v="ZIN-0010"/>
    <s v="ZILIM 2"/>
    <m/>
    <x v="1"/>
    <n v="11.420685000000001"/>
    <n v="15.037601499999999"/>
    <x v="0"/>
    <b v="1"/>
    <b v="0"/>
    <b v="0"/>
    <m/>
    <n v="3"/>
    <s v="Accessible"/>
    <m/>
    <s v="Le village accueille une population"/>
    <s v="Le village est partiellement détruit"/>
    <s v="Intempéries (inondations, tempêtes etc.)"/>
    <m/>
    <s v="Oui"/>
    <s v="Familles d'accueil"/>
    <s v="Non, pas du tout"/>
    <s v="Non"/>
    <m/>
    <n v="6"/>
    <n v="350"/>
    <s v="Oui"/>
    <s v="Premier déplacement"/>
    <n v="6"/>
    <n v="48"/>
    <n v="20"/>
    <n v="28"/>
    <n v="0"/>
    <n v="6"/>
    <n v="0"/>
    <n v="0"/>
    <m/>
    <m/>
    <n v="0"/>
    <n v="0"/>
    <m/>
    <m/>
    <n v="0"/>
    <s v="Les personnes deplacés  vivent dans la localité depuis plus d'un an "/>
    <s v="Non"/>
    <m/>
    <m/>
    <m/>
    <m/>
    <m/>
    <m/>
    <m/>
    <m/>
    <m/>
    <m/>
    <m/>
    <m/>
    <m/>
    <m/>
    <m/>
    <s v="Non"/>
    <m/>
    <m/>
    <m/>
    <m/>
    <m/>
    <m/>
    <m/>
    <m/>
    <m/>
    <m/>
    <m/>
    <m/>
    <m/>
    <m/>
    <m/>
    <m/>
    <m/>
    <m/>
    <m/>
    <m/>
    <n v="0"/>
    <m/>
    <m/>
    <m/>
    <m/>
    <m/>
    <m/>
    <m/>
    <m/>
    <m/>
    <m/>
    <m/>
    <m/>
    <m/>
    <s v="1"/>
    <s v="0"/>
    <s v="0"/>
    <n v="1"/>
  </r>
  <r>
    <n v="2715099"/>
    <s v="Extrême-Nord"/>
    <s v="CMR004"/>
    <x v="2"/>
    <s v="CMR004003"/>
    <s v="Datchéka"/>
    <s v="CMR004003007"/>
    <s v="DAT-0001"/>
    <s v="BAMVERE"/>
    <m/>
    <x v="1"/>
    <n v="10.007520299999999"/>
    <n v="15.1297716"/>
    <x v="0"/>
    <b v="1"/>
    <b v="0"/>
    <b v="0"/>
    <m/>
    <n v="3"/>
    <s v="Accessible"/>
    <m/>
    <s v="Le village accueille une population"/>
    <s v="Le village est partiellement détruit"/>
    <s v="Intempéries (inondations, tempêtes etc.)"/>
    <m/>
    <s v="Oui"/>
    <s v="Familles d'accueil"/>
    <s v="Non, pas du tout"/>
    <s v="Non"/>
    <m/>
    <n v="92"/>
    <n v="6000"/>
    <s v="Oui"/>
    <s v="Premier déplacement"/>
    <n v="92"/>
    <n v="378"/>
    <n v="178"/>
    <n v="200"/>
    <n v="0"/>
    <n v="40"/>
    <n v="22"/>
    <n v="30"/>
    <s v="Chez une famille d'accueil (contre loyer)"/>
    <m/>
    <n v="0"/>
    <n v="0"/>
    <m/>
    <m/>
    <n v="0"/>
    <s v="Augmentation  de 40 ménages pour 100 individus"/>
    <s v="Non"/>
    <m/>
    <m/>
    <m/>
    <m/>
    <m/>
    <m/>
    <m/>
    <m/>
    <m/>
    <m/>
    <m/>
    <m/>
    <m/>
    <m/>
    <m/>
    <s v="Oui"/>
    <n v="12"/>
    <n v="68"/>
    <n v="25"/>
    <n v="43"/>
    <s v="Moins de 3 mois"/>
    <n v="5"/>
    <n v="2"/>
    <n v="5"/>
    <n v="0"/>
    <n v="0"/>
    <m/>
    <n v="0"/>
    <n v="0"/>
    <m/>
    <n v="0"/>
    <m/>
    <m/>
    <m/>
    <m/>
    <m/>
    <n v="0"/>
    <m/>
    <m/>
    <m/>
    <m/>
    <m/>
    <m/>
    <m/>
    <m/>
    <m/>
    <m/>
    <m/>
    <m/>
    <m/>
    <s v="1"/>
    <s v="0"/>
    <s v="1"/>
    <n v="2"/>
  </r>
  <r>
    <n v="2709174"/>
    <s v="Extrême-Nord"/>
    <s v="CMR004"/>
    <x v="2"/>
    <s v="CMR004003"/>
    <s v="Gobo"/>
    <s v="CMR004003011"/>
    <s v="XXXX"/>
    <s v="MASSA VOUMSOUNA"/>
    <s v="MASSA VOUMSOUNA"/>
    <x v="1"/>
    <n v="10.1003147"/>
    <n v="15.487103400000001"/>
    <x v="0"/>
    <b v="1"/>
    <b v="0"/>
    <b v="0"/>
    <m/>
    <n v="3"/>
    <s v="Accessible"/>
    <m/>
    <s v="Le village accueille une population"/>
    <s v="Le village est partiellement détruit"/>
    <s v="Intempéries (inondations, tempêtes etc.)"/>
    <m/>
    <s v="Oui"/>
    <s v="Familles d'accueil"/>
    <s v="Non, pas du tout"/>
    <s v="Non"/>
    <m/>
    <m/>
    <n v="2500"/>
    <s v="Non"/>
    <m/>
    <m/>
    <m/>
    <m/>
    <m/>
    <m/>
    <m/>
    <m/>
    <m/>
    <m/>
    <m/>
    <m/>
    <m/>
    <m/>
    <m/>
    <m/>
    <m/>
    <s v="Non"/>
    <m/>
    <m/>
    <m/>
    <m/>
    <m/>
    <m/>
    <m/>
    <m/>
    <m/>
    <m/>
    <m/>
    <m/>
    <m/>
    <m/>
    <m/>
    <s v="Oui"/>
    <n v="50"/>
    <n v="311"/>
    <n v="75"/>
    <n v="236"/>
    <s v="Moins de 3 mois"/>
    <n v="0"/>
    <n v="50"/>
    <n v="0"/>
    <n v="0"/>
    <n v="0"/>
    <m/>
    <n v="0"/>
    <n v="0"/>
    <m/>
    <n v="0"/>
    <m/>
    <m/>
    <m/>
    <m/>
    <m/>
    <n v="0"/>
    <m/>
    <m/>
    <m/>
    <m/>
    <m/>
    <m/>
    <m/>
    <m/>
    <m/>
    <m/>
    <m/>
    <m/>
    <m/>
    <s v="0"/>
    <s v="0"/>
    <s v="1"/>
    <n v="1"/>
  </r>
  <r>
    <n v="2720578"/>
    <s v="Extrême-Nord"/>
    <s v="CMR004"/>
    <x v="2"/>
    <s v="CMR004003"/>
    <s v="Gobo"/>
    <s v="CMR004003011"/>
    <s v="XXXX"/>
    <s v="MASSA KALAC"/>
    <s v="MASSA KALAC"/>
    <x v="1"/>
    <n v="10.0925083"/>
    <n v="15.4976532"/>
    <x v="0"/>
    <b v="1"/>
    <b v="0"/>
    <b v="0"/>
    <m/>
    <n v="3"/>
    <s v="Accessible"/>
    <m/>
    <s v="Le village accueille une population"/>
    <s v="Le village est partiellement détruit"/>
    <s v="Intempéries (inondations, tempêtes etc.)"/>
    <m/>
    <s v="Oui"/>
    <s v="Familles d'accueil"/>
    <s v="Non, pas du tout"/>
    <s v="Non"/>
    <m/>
    <m/>
    <n v="3000"/>
    <s v="Non"/>
    <m/>
    <m/>
    <m/>
    <m/>
    <m/>
    <m/>
    <m/>
    <m/>
    <m/>
    <m/>
    <m/>
    <m/>
    <m/>
    <m/>
    <m/>
    <m/>
    <m/>
    <s v="Non"/>
    <m/>
    <m/>
    <m/>
    <m/>
    <m/>
    <m/>
    <m/>
    <m/>
    <m/>
    <m/>
    <m/>
    <m/>
    <m/>
    <m/>
    <m/>
    <s v="Oui"/>
    <n v="50"/>
    <n v="450"/>
    <n v="100"/>
    <n v="350"/>
    <s v="Moins de 3 mois"/>
    <n v="0"/>
    <n v="50"/>
    <n v="0"/>
    <n v="0"/>
    <n v="0"/>
    <m/>
    <n v="0"/>
    <n v="0"/>
    <m/>
    <n v="0"/>
    <m/>
    <m/>
    <m/>
    <m/>
    <m/>
    <n v="0"/>
    <m/>
    <m/>
    <m/>
    <m/>
    <m/>
    <m/>
    <m/>
    <m/>
    <m/>
    <m/>
    <m/>
    <m/>
    <m/>
    <s v="0"/>
    <s v="0"/>
    <s v="1"/>
    <n v="1"/>
  </r>
  <r>
    <n v="2704940"/>
    <s v="Extrême-Nord"/>
    <s v="CMR004"/>
    <x v="2"/>
    <s v="CMR004003"/>
    <s v="Gobo"/>
    <s v="CMR004003011"/>
    <s v="GOB-0001"/>
    <s v="BASTEBE"/>
    <m/>
    <x v="1"/>
    <n v="10.0401963"/>
    <n v="15.562852400000001"/>
    <x v="0"/>
    <b v="1"/>
    <b v="0"/>
    <b v="0"/>
    <m/>
    <n v="3"/>
    <s v="Accessible"/>
    <m/>
    <s v="Le village accueille une population"/>
    <s v="Le village est partiellement détruit"/>
    <s v="Intempéries (inondations, tempêtes etc.)"/>
    <m/>
    <s v="Oui"/>
    <s v="Familles d'accueil"/>
    <s v="Non, pas du tout"/>
    <s v="Non"/>
    <m/>
    <n v="40"/>
    <n v="2500"/>
    <s v="Oui"/>
    <s v="Deuxième déplacement"/>
    <n v="40"/>
    <n v="305"/>
    <n v="150"/>
    <n v="155"/>
    <n v="20"/>
    <n v="0"/>
    <n v="0"/>
    <n v="0"/>
    <m/>
    <m/>
    <n v="0"/>
    <n v="20"/>
    <s v="Paille/Natte/Nylon"/>
    <m/>
    <n v="0"/>
    <s v="Ils ont fait le mouvement avec la population hôte"/>
    <s v="Non"/>
    <m/>
    <m/>
    <m/>
    <m/>
    <m/>
    <m/>
    <m/>
    <m/>
    <m/>
    <m/>
    <m/>
    <m/>
    <m/>
    <m/>
    <m/>
    <s v="Oui"/>
    <n v="75"/>
    <n v="310"/>
    <n v="135"/>
    <n v="175"/>
    <s v="Moins de 3 mois"/>
    <n v="0"/>
    <n v="60"/>
    <n v="15"/>
    <n v="0"/>
    <n v="0"/>
    <m/>
    <n v="0"/>
    <n v="0"/>
    <m/>
    <n v="0"/>
    <m/>
    <m/>
    <m/>
    <m/>
    <m/>
    <n v="0"/>
    <m/>
    <m/>
    <m/>
    <m/>
    <m/>
    <m/>
    <m/>
    <m/>
    <m/>
    <m/>
    <m/>
    <m/>
    <m/>
    <s v="1"/>
    <s v="0"/>
    <s v="1"/>
    <n v="2"/>
  </r>
  <r>
    <n v="2704939"/>
    <s v="Extrême-Nord"/>
    <s v="CMR004"/>
    <x v="2"/>
    <s v="CMR004003"/>
    <s v="Gobo"/>
    <s v="CMR004003011"/>
    <s v="GOB-0002"/>
    <s v="DABANA"/>
    <m/>
    <x v="0"/>
    <n v="10.076094400000001"/>
    <n v="15.5131868"/>
    <x v="0"/>
    <b v="1"/>
    <b v="0"/>
    <b v="0"/>
    <m/>
    <n v="4"/>
    <s v="Accessible"/>
    <m/>
    <s v="Le village accueille une population"/>
    <s v="Le village est partiellement détruit"/>
    <s v="Intempéries (inondations, tempêtes etc.)"/>
    <m/>
    <s v="Oui"/>
    <s v="Familles d'accueil"/>
    <s v="Non, pas du tout"/>
    <s v="Non"/>
    <m/>
    <n v="38"/>
    <n v="4000"/>
    <s v="Oui"/>
    <s v="Deuxième déplacement"/>
    <n v="38"/>
    <n v="220"/>
    <n v="88"/>
    <n v="132"/>
    <n v="18"/>
    <n v="0"/>
    <n v="0"/>
    <n v="0"/>
    <m/>
    <m/>
    <n v="0"/>
    <n v="20"/>
    <s v="Paille/Natte/Nylon"/>
    <m/>
    <n v="0"/>
    <s v="Ras"/>
    <s v="Non"/>
    <m/>
    <m/>
    <m/>
    <m/>
    <m/>
    <m/>
    <m/>
    <m/>
    <m/>
    <m/>
    <m/>
    <m/>
    <m/>
    <m/>
    <m/>
    <s v="Oui"/>
    <n v="550"/>
    <n v="3200"/>
    <n v="885"/>
    <n v="2315"/>
    <s v="Moins de 3 mois"/>
    <n v="0"/>
    <n v="200"/>
    <n v="75"/>
    <n v="0"/>
    <n v="5"/>
    <s v="Logement indépendant (Maison indépendante)"/>
    <n v="0"/>
    <n v="270"/>
    <s v="Terre cuite/Terre battue"/>
    <n v="0"/>
    <m/>
    <m/>
    <m/>
    <m/>
    <m/>
    <n v="0"/>
    <m/>
    <m/>
    <m/>
    <m/>
    <m/>
    <m/>
    <m/>
    <m/>
    <m/>
    <m/>
    <m/>
    <m/>
    <m/>
    <s v="1"/>
    <s v="0"/>
    <s v="1"/>
    <n v="2"/>
  </r>
  <r>
    <n v="2704944"/>
    <s v="Extrême-Nord"/>
    <s v="CMR004"/>
    <x v="2"/>
    <s v="CMR004003"/>
    <s v="Gobo"/>
    <s v="CMR004003011"/>
    <s v="GOB-0003"/>
    <s v="DJELME"/>
    <m/>
    <x v="1"/>
    <n v="10.1077923"/>
    <n v="15.4789504"/>
    <x v="0"/>
    <b v="1"/>
    <b v="0"/>
    <b v="0"/>
    <m/>
    <n v="3"/>
    <s v="Accessible"/>
    <m/>
    <s v="Le village accueille une population"/>
    <s v="Le village est intact (construit)"/>
    <m/>
    <m/>
    <s v="Oui"/>
    <s v="Familles d'accueil"/>
    <s v="Non, pas du tout"/>
    <s v="Non"/>
    <m/>
    <n v="22"/>
    <n v="3800"/>
    <s v="Oui"/>
    <s v="Troisième déplacement"/>
    <n v="22"/>
    <n v="123"/>
    <n v="45"/>
    <n v="78"/>
    <n v="2"/>
    <n v="12"/>
    <n v="0"/>
    <n v="0"/>
    <m/>
    <m/>
    <n v="0"/>
    <n v="8"/>
    <s v="Terre cuite/Terre battue"/>
    <m/>
    <n v="0"/>
    <s v="Ras"/>
    <s v="Oui"/>
    <n v="3"/>
    <n v="13"/>
    <n v="6"/>
    <n v="7"/>
    <n v="3"/>
    <n v="0"/>
    <n v="0"/>
    <m/>
    <n v="0"/>
    <n v="0"/>
    <m/>
    <m/>
    <n v="0"/>
    <n v="0"/>
    <s v="Ras"/>
    <s v="Non"/>
    <m/>
    <m/>
    <m/>
    <m/>
    <m/>
    <m/>
    <m/>
    <m/>
    <m/>
    <m/>
    <m/>
    <m/>
    <m/>
    <m/>
    <m/>
    <m/>
    <m/>
    <m/>
    <m/>
    <m/>
    <n v="0"/>
    <m/>
    <m/>
    <m/>
    <m/>
    <m/>
    <m/>
    <m/>
    <m/>
    <m/>
    <m/>
    <m/>
    <m/>
    <m/>
    <s v="1"/>
    <s v="1"/>
    <s v="0"/>
    <n v="2"/>
  </r>
  <r>
    <n v="2704943"/>
    <s v="Extrême-Nord"/>
    <s v="CMR004"/>
    <x v="2"/>
    <s v="CMR004003"/>
    <s v="Gobo"/>
    <s v="CMR004003011"/>
    <s v="GOB-0004"/>
    <s v="GOBOGAIOUA"/>
    <m/>
    <x v="0"/>
    <n v="10.0049168"/>
    <n v="15.426131399999999"/>
    <x v="0"/>
    <b v="1"/>
    <b v="0"/>
    <b v="0"/>
    <m/>
    <n v="3"/>
    <s v="Accessible"/>
    <m/>
    <s v="Le village accueille une population"/>
    <s v="Le village est intact (construit)"/>
    <m/>
    <m/>
    <s v="Oui"/>
    <s v="Familles d'accueil"/>
    <s v="Non, pas du tout"/>
    <s v="Non"/>
    <m/>
    <m/>
    <n v="10240"/>
    <s v="Non"/>
    <m/>
    <m/>
    <m/>
    <m/>
    <m/>
    <m/>
    <m/>
    <m/>
    <m/>
    <m/>
    <m/>
    <m/>
    <m/>
    <m/>
    <m/>
    <m/>
    <m/>
    <s v="Oui"/>
    <n v="23"/>
    <n v="115"/>
    <n v="45"/>
    <n v="70"/>
    <n v="23"/>
    <n v="0"/>
    <n v="0"/>
    <m/>
    <n v="0"/>
    <n v="0"/>
    <m/>
    <m/>
    <n v="0"/>
    <n v="0"/>
    <s v="Ras"/>
    <s v="Non"/>
    <m/>
    <m/>
    <m/>
    <m/>
    <m/>
    <m/>
    <m/>
    <m/>
    <m/>
    <m/>
    <m/>
    <m/>
    <m/>
    <m/>
    <m/>
    <m/>
    <m/>
    <m/>
    <m/>
    <m/>
    <n v="0"/>
    <m/>
    <m/>
    <m/>
    <m/>
    <m/>
    <m/>
    <m/>
    <m/>
    <m/>
    <m/>
    <m/>
    <m/>
    <m/>
    <s v="0"/>
    <s v="1"/>
    <s v="0"/>
    <n v="1"/>
  </r>
  <r>
    <n v="2704942"/>
    <s v="Extrême-Nord"/>
    <s v="CMR004"/>
    <x v="2"/>
    <s v="CMR004003"/>
    <s v="Gobo"/>
    <s v="CMR004003011"/>
    <s v="GOB-0006"/>
    <s v="KARAM 1"/>
    <m/>
    <x v="1"/>
    <n v="10.0071414"/>
    <n v="15.6231376"/>
    <x v="0"/>
    <b v="1"/>
    <b v="0"/>
    <b v="0"/>
    <m/>
    <n v="3"/>
    <s v="Accessible"/>
    <m/>
    <s v="Le village accueille une population"/>
    <s v="Le village est partiellement détruit"/>
    <s v="Intempéries (inondations, tempêtes etc.)"/>
    <m/>
    <s v="Oui"/>
    <s v="Familles d'accueil"/>
    <s v="Non, pas du tout"/>
    <s v="Non"/>
    <m/>
    <n v="30"/>
    <n v="3500"/>
    <s v="Oui"/>
    <s v="Deuxième déplacement"/>
    <n v="30"/>
    <n v="204"/>
    <n v="88"/>
    <n v="116"/>
    <n v="5"/>
    <n v="25"/>
    <n v="0"/>
    <n v="0"/>
    <m/>
    <m/>
    <n v="0"/>
    <n v="0"/>
    <m/>
    <m/>
    <n v="0"/>
    <s v="Ras"/>
    <s v="Oui"/>
    <n v="40"/>
    <n v="150"/>
    <n v="65"/>
    <n v="85"/>
    <n v="40"/>
    <n v="0"/>
    <n v="0"/>
    <m/>
    <n v="0"/>
    <n v="0"/>
    <m/>
    <m/>
    <n v="0"/>
    <n v="0"/>
    <s v="Ils sont arrivés il y a 7 mois du au conflit intercommunautaire au TCHAD"/>
    <s v="Oui"/>
    <n v="390"/>
    <n v="2800"/>
    <n v="900"/>
    <n v="1900"/>
    <s v="Moins de 3 mois"/>
    <n v="0"/>
    <n v="200"/>
    <n v="0"/>
    <n v="0"/>
    <n v="0"/>
    <m/>
    <n v="0"/>
    <n v="190"/>
    <s v="Terre cuite/Terre battue"/>
    <n v="0"/>
    <m/>
    <m/>
    <m/>
    <m/>
    <m/>
    <n v="0"/>
    <m/>
    <m/>
    <m/>
    <m/>
    <m/>
    <m/>
    <m/>
    <m/>
    <m/>
    <m/>
    <m/>
    <m/>
    <m/>
    <s v="1"/>
    <s v="1"/>
    <s v="1"/>
    <n v="3"/>
  </r>
  <r>
    <n v="2704941"/>
    <s v="Extrême-Nord"/>
    <s v="CMR004"/>
    <x v="2"/>
    <s v="CMR004003"/>
    <s v="Gobo"/>
    <s v="CMR004003011"/>
    <s v="GOB-0005"/>
    <s v="KARAM 2"/>
    <m/>
    <x v="1"/>
    <n v="10.007237399999999"/>
    <n v="15.613748599999999"/>
    <x v="0"/>
    <b v="1"/>
    <b v="0"/>
    <b v="0"/>
    <m/>
    <n v="3"/>
    <s v="Accessible"/>
    <m/>
    <s v="Le village accueille une population"/>
    <s v="Le village est partiellement détruit"/>
    <s v="Intempéries (inondations, tempêtes etc.)"/>
    <m/>
    <s v="Oui"/>
    <s v="Familles d'accueil"/>
    <s v="Non, pas du tout"/>
    <s v="Non"/>
    <m/>
    <n v="45"/>
    <n v="3000"/>
    <s v="Oui"/>
    <s v="Deuxième déplacement"/>
    <n v="45"/>
    <n v="270"/>
    <n v="90"/>
    <n v="180"/>
    <n v="22"/>
    <n v="10"/>
    <n v="0"/>
    <n v="0"/>
    <m/>
    <m/>
    <n v="0"/>
    <n v="13"/>
    <s v="Terre cuite/Terre battue"/>
    <m/>
    <n v="0"/>
    <s v="RAS"/>
    <s v="Non"/>
    <m/>
    <m/>
    <m/>
    <m/>
    <m/>
    <m/>
    <m/>
    <m/>
    <m/>
    <m/>
    <m/>
    <m/>
    <m/>
    <m/>
    <m/>
    <s v="Oui"/>
    <n v="360"/>
    <n v="1900"/>
    <n v="632"/>
    <n v="1268"/>
    <s v="Moins de 3 mois"/>
    <n v="0"/>
    <n v="200"/>
    <n v="60"/>
    <n v="0"/>
    <n v="0"/>
    <m/>
    <n v="0"/>
    <n v="100"/>
    <s v="Paille/Natte/Nylon"/>
    <n v="0"/>
    <m/>
    <m/>
    <m/>
    <m/>
    <m/>
    <n v="0"/>
    <m/>
    <m/>
    <m/>
    <m/>
    <m/>
    <m/>
    <m/>
    <m/>
    <m/>
    <m/>
    <m/>
    <m/>
    <m/>
    <s v="1"/>
    <s v="0"/>
    <s v="1"/>
    <n v="2"/>
  </r>
  <r>
    <n v="2709173"/>
    <s v="Extrême-Nord"/>
    <s v="CMR004"/>
    <x v="2"/>
    <s v="CMR004003"/>
    <s v="Gobo"/>
    <s v="CMR004003011"/>
    <s v="GOB-0007"/>
    <s v="MASSA IKA"/>
    <m/>
    <x v="1"/>
    <n v="10.1557902"/>
    <n v="15.4561286"/>
    <x v="0"/>
    <b v="1"/>
    <b v="0"/>
    <b v="0"/>
    <m/>
    <n v="3"/>
    <s v="Accessible"/>
    <m/>
    <s v="Le village accueille une population"/>
    <s v="Le village est partiellement détruit"/>
    <s v="Intempéries (inondations, tempêtes etc.)"/>
    <m/>
    <s v="Oui"/>
    <s v="Familles d'accueil"/>
    <s v="Non, pas du tout"/>
    <s v="Non"/>
    <m/>
    <n v="21"/>
    <n v="4000"/>
    <s v="Oui"/>
    <s v="Deuxième déplacement"/>
    <n v="21"/>
    <n v="155"/>
    <n v="60"/>
    <n v="95"/>
    <n v="21"/>
    <n v="0"/>
    <n v="0"/>
    <n v="0"/>
    <m/>
    <m/>
    <n v="0"/>
    <n v="0"/>
    <m/>
    <m/>
    <n v="0"/>
    <s v="Les anciens PDI qui ont fait le mouvement avec la population hôte suite à l'inondation de septembre "/>
    <s v="Non"/>
    <m/>
    <m/>
    <m/>
    <m/>
    <m/>
    <m/>
    <m/>
    <m/>
    <m/>
    <m/>
    <m/>
    <m/>
    <m/>
    <m/>
    <m/>
    <s v="Oui"/>
    <n v="90"/>
    <n v="600"/>
    <n v="175"/>
    <n v="425"/>
    <s v="Moins de 3 mois"/>
    <n v="0"/>
    <n v="90"/>
    <n v="0"/>
    <n v="0"/>
    <n v="0"/>
    <m/>
    <n v="0"/>
    <n v="0"/>
    <m/>
    <n v="0"/>
    <m/>
    <m/>
    <m/>
    <m/>
    <m/>
    <n v="0"/>
    <m/>
    <m/>
    <m/>
    <m/>
    <m/>
    <m/>
    <m/>
    <m/>
    <m/>
    <m/>
    <m/>
    <m/>
    <m/>
    <s v="1"/>
    <s v="0"/>
    <s v="1"/>
    <n v="2"/>
  </r>
  <r>
    <n v="2709172"/>
    <s v="Extrême-Nord"/>
    <s v="CMR004"/>
    <x v="2"/>
    <s v="CMR004003"/>
    <s v="Gobo"/>
    <s v="CMR004003011"/>
    <s v="GOB-0008"/>
    <s v="MASSA KOUWEITA"/>
    <m/>
    <x v="1"/>
    <n v="10.1081234"/>
    <n v="15.4783297"/>
    <x v="0"/>
    <b v="1"/>
    <b v="0"/>
    <b v="0"/>
    <m/>
    <n v="3"/>
    <s v="Accessible"/>
    <m/>
    <s v="Le village accueille une population"/>
    <s v="Le village est partiellement détruit"/>
    <s v="Intempéries (inondations, tempêtes etc.)"/>
    <m/>
    <s v="Oui"/>
    <s v="Familles d'accueil"/>
    <s v="Non, pas du tout"/>
    <s v="Non"/>
    <m/>
    <n v="31"/>
    <n v="5000"/>
    <s v="Oui"/>
    <s v="Deuxième déplacement"/>
    <n v="31"/>
    <n v="195"/>
    <n v="74"/>
    <n v="121"/>
    <n v="31"/>
    <n v="0"/>
    <n v="0"/>
    <n v="0"/>
    <m/>
    <m/>
    <n v="0"/>
    <n v="0"/>
    <m/>
    <m/>
    <n v="0"/>
    <s v="RAS"/>
    <s v="Non"/>
    <m/>
    <m/>
    <m/>
    <m/>
    <m/>
    <m/>
    <m/>
    <m/>
    <m/>
    <m/>
    <m/>
    <m/>
    <m/>
    <m/>
    <m/>
    <s v="Oui"/>
    <n v="65"/>
    <n v="405"/>
    <n v="145"/>
    <n v="260"/>
    <s v="Moins de 3 mois"/>
    <n v="0"/>
    <n v="65"/>
    <n v="0"/>
    <n v="0"/>
    <n v="0"/>
    <m/>
    <n v="0"/>
    <n v="0"/>
    <m/>
    <n v="0"/>
    <m/>
    <m/>
    <m/>
    <m/>
    <m/>
    <n v="0"/>
    <m/>
    <m/>
    <m/>
    <m/>
    <m/>
    <m/>
    <m/>
    <m/>
    <m/>
    <m/>
    <m/>
    <m/>
    <m/>
    <s v="1"/>
    <s v="0"/>
    <s v="1"/>
    <n v="2"/>
  </r>
  <r>
    <n v="2709175"/>
    <s v="Extrême-Nord"/>
    <s v="CMR004"/>
    <x v="2"/>
    <s v="CMR004003"/>
    <s v="Gobo"/>
    <s v="CMR004003011"/>
    <s v="GOB-0009"/>
    <s v="NAYEGUISSIA"/>
    <m/>
    <x v="1"/>
    <n v="10.0316902"/>
    <n v="15.5795616"/>
    <x v="0"/>
    <b v="1"/>
    <b v="0"/>
    <b v="0"/>
    <m/>
    <n v="3"/>
    <s v="Accessible"/>
    <m/>
    <s v="Le village accueille une population"/>
    <s v="Le village est partiellement détruit"/>
    <s v="Intempéries (inondations, tempêtes etc.)"/>
    <m/>
    <s v="Oui"/>
    <s v="Familles d'accueil"/>
    <s v="Non, pas du tout"/>
    <s v="Non"/>
    <m/>
    <n v="20"/>
    <n v="4000"/>
    <s v="Oui"/>
    <s v="Deuxième déplacement"/>
    <n v="20"/>
    <n v="115"/>
    <n v="46"/>
    <n v="69"/>
    <n v="20"/>
    <n v="0"/>
    <n v="0"/>
    <n v="0"/>
    <m/>
    <m/>
    <n v="0"/>
    <n v="0"/>
    <m/>
    <m/>
    <n v="0"/>
    <s v="Ras"/>
    <s v="Non"/>
    <m/>
    <m/>
    <m/>
    <m/>
    <m/>
    <m/>
    <m/>
    <m/>
    <m/>
    <m/>
    <m/>
    <m/>
    <m/>
    <m/>
    <m/>
    <s v="Oui"/>
    <n v="121"/>
    <n v="1350"/>
    <n v="250"/>
    <n v="1100"/>
    <s v="Moins de 3 mois"/>
    <n v="0"/>
    <n v="121"/>
    <n v="0"/>
    <n v="0"/>
    <n v="0"/>
    <m/>
    <n v="0"/>
    <n v="0"/>
    <m/>
    <n v="0"/>
    <m/>
    <m/>
    <m/>
    <m/>
    <m/>
    <n v="0"/>
    <m/>
    <m/>
    <m/>
    <m/>
    <m/>
    <m/>
    <m/>
    <m/>
    <m/>
    <m/>
    <m/>
    <m/>
    <m/>
    <s v="1"/>
    <s v="0"/>
    <s v="1"/>
    <n v="2"/>
  </r>
  <r>
    <n v="2671002"/>
    <s v="Extrême-Nord"/>
    <s v="CMR004"/>
    <x v="2"/>
    <s v="CMR004003"/>
    <s v="Guémé"/>
    <s v="CMR004003006"/>
    <s v="GUM-0001"/>
    <s v="BANGALA"/>
    <m/>
    <x v="1"/>
    <n v="10.474016600000001"/>
    <n v="15.2148352"/>
    <x v="0"/>
    <b v="1"/>
    <b v="0"/>
    <b v="0"/>
    <m/>
    <n v="3"/>
    <s v="Accessible"/>
    <m/>
    <s v="Le village accueille une population"/>
    <s v="Le village est partiellement détruit"/>
    <s v="Intempéries (inondations, tempêtes etc.)"/>
    <m/>
    <s v="Oui"/>
    <s v="Familles d'accueil"/>
    <s v="Non, pas du tout"/>
    <s v="Non"/>
    <m/>
    <n v="35"/>
    <n v="3000"/>
    <s v="Oui"/>
    <s v="Deuxième déplacement"/>
    <n v="35"/>
    <n v="285"/>
    <n v="100"/>
    <n v="185"/>
    <n v="35"/>
    <n v="0"/>
    <n v="0"/>
    <n v="0"/>
    <m/>
    <m/>
    <n v="0"/>
    <n v="0"/>
    <m/>
    <m/>
    <n v="0"/>
    <s v="Anciens PDI qui ont fait le déplacement suite aux inondations de septembre 2022"/>
    <s v="Non"/>
    <m/>
    <m/>
    <m/>
    <m/>
    <m/>
    <m/>
    <m/>
    <m/>
    <m/>
    <m/>
    <m/>
    <m/>
    <m/>
    <m/>
    <m/>
    <s v="Oui"/>
    <n v="93"/>
    <n v="920"/>
    <n v="320"/>
    <n v="600"/>
    <s v="Moins de 3 mois"/>
    <n v="0"/>
    <n v="43"/>
    <n v="21"/>
    <n v="0"/>
    <n v="0"/>
    <m/>
    <n v="0"/>
    <n v="29"/>
    <s v="Paille/Natte/Nylon"/>
    <n v="0"/>
    <m/>
    <m/>
    <m/>
    <m/>
    <m/>
    <n v="0"/>
    <m/>
    <m/>
    <m/>
    <m/>
    <m/>
    <m/>
    <m/>
    <m/>
    <m/>
    <m/>
    <m/>
    <m/>
    <m/>
    <s v="1"/>
    <s v="0"/>
    <s v="1"/>
    <n v="2"/>
  </r>
  <r>
    <n v="2675396"/>
    <s v="Extrême-Nord"/>
    <s v="CMR004"/>
    <x v="2"/>
    <s v="CMR004003"/>
    <s v="Guémé"/>
    <s v="CMR004003006"/>
    <s v="GUM-0006"/>
    <s v="DOUANG"/>
    <m/>
    <x v="0"/>
    <n v="10.4462183"/>
    <n v="15.082096399999999"/>
    <x v="0"/>
    <b v="1"/>
    <b v="0"/>
    <b v="0"/>
    <m/>
    <n v="3"/>
    <s v="Accessible"/>
    <m/>
    <s v="Le village accueille une population"/>
    <s v="Le village est intact (construit)"/>
    <m/>
    <m/>
    <s v="Oui"/>
    <s v="Familles d'accueil"/>
    <s v="Non, pas du tout"/>
    <s v="Non"/>
    <m/>
    <m/>
    <n v="7000"/>
    <s v="Non"/>
    <m/>
    <m/>
    <m/>
    <m/>
    <m/>
    <m/>
    <m/>
    <m/>
    <m/>
    <m/>
    <m/>
    <m/>
    <m/>
    <m/>
    <m/>
    <m/>
    <m/>
    <s v="Non"/>
    <m/>
    <m/>
    <m/>
    <m/>
    <m/>
    <m/>
    <m/>
    <m/>
    <m/>
    <m/>
    <m/>
    <m/>
    <m/>
    <m/>
    <m/>
    <s v="Oui"/>
    <n v="59"/>
    <n v="185"/>
    <n v="85"/>
    <n v="100"/>
    <s v="Entre 3 mois et 1 an"/>
    <n v="0"/>
    <n v="30"/>
    <n v="11"/>
    <n v="0"/>
    <n v="0"/>
    <m/>
    <n v="0"/>
    <n v="18"/>
    <s v="Terre cuite/Terre battue"/>
    <n v="0"/>
    <m/>
    <m/>
    <m/>
    <m/>
    <m/>
    <n v="0"/>
    <m/>
    <m/>
    <m/>
    <m/>
    <m/>
    <m/>
    <m/>
    <m/>
    <m/>
    <m/>
    <m/>
    <m/>
    <m/>
    <s v="0"/>
    <s v="0"/>
    <s v="1"/>
    <n v="1"/>
  </r>
  <r>
    <n v="2678390"/>
    <s v="Extrême-Nord"/>
    <s v="CMR004"/>
    <x v="2"/>
    <s v="CMR004003"/>
    <s v="Guémé"/>
    <s v="CMR004003006"/>
    <s v="GUM-0007"/>
    <s v="GABARAYE"/>
    <m/>
    <x v="1"/>
    <n v="10.4790659"/>
    <n v="15.1049905"/>
    <x v="0"/>
    <b v="1"/>
    <b v="0"/>
    <b v="0"/>
    <m/>
    <n v="3"/>
    <s v="Accessible"/>
    <m/>
    <s v="Le village accueille une population"/>
    <s v="Le village est intact (construit)"/>
    <m/>
    <m/>
    <s v="Oui"/>
    <s v="Familles d'accueil"/>
    <s v="Non, pas du tout"/>
    <s v="Non"/>
    <m/>
    <n v="159"/>
    <n v="4300"/>
    <s v="Oui"/>
    <s v="Premier déplacement"/>
    <n v="159"/>
    <n v="536"/>
    <n v="236"/>
    <n v="300"/>
    <n v="100"/>
    <n v="59"/>
    <n v="0"/>
    <n v="0"/>
    <m/>
    <m/>
    <n v="0"/>
    <n v="0"/>
    <m/>
    <m/>
    <n v="0"/>
    <s v="Ras"/>
    <s v="Non"/>
    <m/>
    <m/>
    <m/>
    <m/>
    <m/>
    <m/>
    <m/>
    <m/>
    <m/>
    <m/>
    <m/>
    <m/>
    <m/>
    <m/>
    <m/>
    <s v="Non"/>
    <m/>
    <m/>
    <m/>
    <m/>
    <m/>
    <m/>
    <m/>
    <m/>
    <m/>
    <m/>
    <m/>
    <m/>
    <m/>
    <m/>
    <m/>
    <m/>
    <m/>
    <m/>
    <m/>
    <m/>
    <n v="0"/>
    <m/>
    <m/>
    <m/>
    <m/>
    <m/>
    <m/>
    <m/>
    <m/>
    <m/>
    <m/>
    <m/>
    <m/>
    <m/>
    <s v="1"/>
    <s v="0"/>
    <s v="0"/>
    <n v="1"/>
  </r>
  <r>
    <n v="2679635"/>
    <s v="Extrême-Nord"/>
    <s v="CMR004"/>
    <x v="2"/>
    <s v="CMR004003"/>
    <s v="Guémé"/>
    <s v="CMR004003006"/>
    <s v="GUM-0008"/>
    <s v="GABARAYE-WIDI"/>
    <m/>
    <x v="1"/>
    <n v="10.453768500000001"/>
    <n v="15.116865499999999"/>
    <x v="0"/>
    <b v="1"/>
    <b v="0"/>
    <b v="0"/>
    <m/>
    <n v="3"/>
    <s v="Accessible"/>
    <m/>
    <s v="Le village accueille une population"/>
    <s v="Le village est intact (construit)"/>
    <m/>
    <m/>
    <s v="Oui"/>
    <s v="Familles d'accueil"/>
    <s v="Non, pas du tout"/>
    <s v="Non"/>
    <m/>
    <n v="160"/>
    <n v="3400"/>
    <s v="Oui"/>
    <s v="Premier déplacement"/>
    <n v="160"/>
    <n v="515"/>
    <n v="185"/>
    <n v="330"/>
    <n v="50"/>
    <n v="10"/>
    <n v="0"/>
    <n v="0"/>
    <m/>
    <m/>
    <n v="0"/>
    <n v="100"/>
    <s v="Paille/Natte/Nylon"/>
    <m/>
    <n v="0"/>
    <s v="Constant"/>
    <s v="Non"/>
    <m/>
    <m/>
    <m/>
    <m/>
    <m/>
    <m/>
    <m/>
    <m/>
    <m/>
    <m/>
    <m/>
    <m/>
    <m/>
    <m/>
    <m/>
    <s v="Oui"/>
    <n v="45"/>
    <n v="295"/>
    <n v="105"/>
    <n v="190"/>
    <s v="Moins de 3 mois"/>
    <n v="20"/>
    <n v="21"/>
    <n v="4"/>
    <n v="0"/>
    <n v="0"/>
    <m/>
    <n v="0"/>
    <n v="0"/>
    <m/>
    <n v="0"/>
    <m/>
    <m/>
    <m/>
    <m/>
    <m/>
    <n v="0"/>
    <m/>
    <m/>
    <m/>
    <m/>
    <m/>
    <m/>
    <m/>
    <m/>
    <m/>
    <m/>
    <m/>
    <m/>
    <m/>
    <s v="1"/>
    <s v="0"/>
    <s v="1"/>
    <n v="2"/>
  </r>
  <r>
    <n v="2679839"/>
    <s v="Extrême-Nord"/>
    <s v="CMR004"/>
    <x v="2"/>
    <s v="CMR004003"/>
    <s v="Guémé"/>
    <s v="CMR004003006"/>
    <s v="GUM-0011"/>
    <s v="GARDÉ II"/>
    <m/>
    <x v="1"/>
    <n v="10.4685471"/>
    <n v="15.1498431"/>
    <x v="0"/>
    <b v="1"/>
    <b v="0"/>
    <b v="0"/>
    <m/>
    <n v="3"/>
    <s v="Accessible"/>
    <m/>
    <s v="Le village accueille une population"/>
    <s v="Le village est partiellement détruit"/>
    <s v="Intempéries (inondations, tempêtes etc.)"/>
    <m/>
    <s v="Oui"/>
    <s v="Air libre"/>
    <s v="Familles d'accueil"/>
    <s v="Non"/>
    <m/>
    <m/>
    <n v="1800"/>
    <s v="Non"/>
    <m/>
    <m/>
    <m/>
    <m/>
    <m/>
    <m/>
    <m/>
    <m/>
    <m/>
    <m/>
    <m/>
    <m/>
    <m/>
    <m/>
    <m/>
    <m/>
    <m/>
    <s v="Non"/>
    <m/>
    <m/>
    <m/>
    <m/>
    <m/>
    <m/>
    <m/>
    <m/>
    <m/>
    <m/>
    <m/>
    <m/>
    <m/>
    <m/>
    <m/>
    <s v="Oui"/>
    <n v="180"/>
    <n v="961"/>
    <n v="326"/>
    <n v="635"/>
    <s v="Moins de 3 mois"/>
    <n v="0"/>
    <n v="0"/>
    <n v="60"/>
    <n v="0"/>
    <n v="0"/>
    <m/>
    <n v="0"/>
    <n v="90"/>
    <s v="Paille/Natte/Nylon"/>
    <n v="30"/>
    <s v="Manque des  abris pour la majorité de la populations"/>
    <m/>
    <m/>
    <m/>
    <m/>
    <m/>
    <m/>
    <m/>
    <m/>
    <m/>
    <m/>
    <m/>
    <m/>
    <m/>
    <m/>
    <m/>
    <m/>
    <m/>
    <m/>
    <s v="0"/>
    <s v="0"/>
    <s v="1"/>
    <n v="1"/>
  </r>
  <r>
    <n v="2671601"/>
    <s v="Extrême-Nord"/>
    <s v="CMR004"/>
    <x v="2"/>
    <s v="CMR004003"/>
    <s v="Guémé"/>
    <s v="CMR004003006"/>
    <s v="GUM-0002"/>
    <s v="GUEME"/>
    <m/>
    <x v="0"/>
    <n v="10.4967924"/>
    <n v="15.1975383"/>
    <x v="0"/>
    <b v="1"/>
    <b v="0"/>
    <b v="0"/>
    <m/>
    <n v="3"/>
    <s v="Accessible"/>
    <m/>
    <s v="Le village accueille une population"/>
    <s v="Le village est partiellement détruit"/>
    <s v="Intempéries (inondations, tempêtes etc.)"/>
    <m/>
    <s v="Oui"/>
    <s v="Familles d'accueil"/>
    <s v="Non, pas du tout"/>
    <s v="Non"/>
    <m/>
    <n v="41"/>
    <n v="6000"/>
    <s v="Oui"/>
    <s v="Deuxième déplacement"/>
    <n v="41"/>
    <n v="454"/>
    <n v="212"/>
    <n v="242"/>
    <n v="31"/>
    <n v="10"/>
    <n v="0"/>
    <n v="0"/>
    <m/>
    <m/>
    <n v="0"/>
    <n v="0"/>
    <m/>
    <m/>
    <n v="0"/>
    <s v="Manque des maisons"/>
    <s v="Non"/>
    <m/>
    <m/>
    <m/>
    <m/>
    <m/>
    <m/>
    <m/>
    <m/>
    <m/>
    <m/>
    <m/>
    <m/>
    <m/>
    <m/>
    <m/>
    <s v="Oui"/>
    <n v="34"/>
    <n v="183"/>
    <n v="83"/>
    <n v="100"/>
    <s v="Moins de 3 mois"/>
    <n v="0"/>
    <n v="25"/>
    <n v="3"/>
    <n v="0"/>
    <n v="0"/>
    <m/>
    <n v="0"/>
    <n v="6"/>
    <s v="Paille/Natte/Nylon"/>
    <n v="0"/>
    <m/>
    <m/>
    <m/>
    <m/>
    <m/>
    <n v="0"/>
    <m/>
    <m/>
    <m/>
    <m/>
    <m/>
    <m/>
    <m/>
    <m/>
    <m/>
    <m/>
    <m/>
    <m/>
    <m/>
    <s v="1"/>
    <s v="0"/>
    <s v="1"/>
    <n v="2"/>
  </r>
  <r>
    <n v="2673094"/>
    <s v="Extrême-Nord"/>
    <s v="CMR004"/>
    <x v="2"/>
    <s v="CMR004003"/>
    <s v="Guémé"/>
    <s v="CMR004003006"/>
    <s v="GUM-0003"/>
    <s v="KARTOUA"/>
    <m/>
    <x v="0"/>
    <n v="10.487216399999999"/>
    <n v="15.207153699999999"/>
    <x v="0"/>
    <b v="1"/>
    <b v="0"/>
    <b v="0"/>
    <m/>
    <n v="3"/>
    <s v="Accessible"/>
    <m/>
    <s v="Le village accueille une population"/>
    <s v="Le village est partiellement détruit"/>
    <s v="Intempéries (inondations, tempêtes etc.)"/>
    <m/>
    <s v="Oui"/>
    <s v="Familles d'accueil"/>
    <s v="Non, pas du tout"/>
    <s v="Non"/>
    <m/>
    <n v="56"/>
    <n v="8000"/>
    <s v="Oui"/>
    <s v="Deuxième déplacement"/>
    <n v="56"/>
    <n v="380"/>
    <n v="180"/>
    <n v="200"/>
    <n v="21"/>
    <n v="15"/>
    <n v="0"/>
    <n v="0"/>
    <m/>
    <m/>
    <n v="0"/>
    <n v="20"/>
    <s v="Paille/Natte/Nylon"/>
    <m/>
    <n v="0"/>
    <s v="Manque des abris pour la population"/>
    <s v="Non"/>
    <m/>
    <m/>
    <m/>
    <m/>
    <m/>
    <m/>
    <m/>
    <m/>
    <m/>
    <m/>
    <m/>
    <m/>
    <m/>
    <m/>
    <m/>
    <s v="Oui"/>
    <n v="62"/>
    <n v="646"/>
    <n v="300"/>
    <n v="346"/>
    <s v="Moins de 3 mois"/>
    <n v="25"/>
    <n v="22"/>
    <n v="0"/>
    <n v="0"/>
    <n v="0"/>
    <m/>
    <n v="0"/>
    <n v="15"/>
    <s v="Terre cuite/Terre battue"/>
    <n v="0"/>
    <m/>
    <m/>
    <m/>
    <m/>
    <m/>
    <n v="0"/>
    <m/>
    <m/>
    <m/>
    <m/>
    <m/>
    <m/>
    <m/>
    <m/>
    <m/>
    <m/>
    <m/>
    <m/>
    <m/>
    <s v="1"/>
    <s v="0"/>
    <s v="1"/>
    <n v="2"/>
  </r>
  <r>
    <n v="2679686"/>
    <s v="Extrême-Nord"/>
    <s v="CMR004"/>
    <x v="2"/>
    <s v="CMR004003"/>
    <s v="Guémé"/>
    <s v="CMR004003006"/>
    <s v="GUM-0009"/>
    <s v="MERAINGNE"/>
    <m/>
    <x v="0"/>
    <n v="10.480777099999999"/>
    <n v="15.092410599999999"/>
    <x v="0"/>
    <b v="1"/>
    <b v="0"/>
    <b v="0"/>
    <m/>
    <n v="3"/>
    <s v="Accessible"/>
    <m/>
    <s v="Le village accueille une population"/>
    <s v="Le village est partiellement détruit"/>
    <s v="Intempéries (inondations, tempêtes etc.)"/>
    <m/>
    <s v="Oui"/>
    <s v="Familles d'accueil"/>
    <s v="Non, pas du tout"/>
    <s v="Non"/>
    <m/>
    <m/>
    <n v="8000"/>
    <s v="Non"/>
    <m/>
    <m/>
    <m/>
    <m/>
    <m/>
    <m/>
    <m/>
    <m/>
    <m/>
    <m/>
    <m/>
    <m/>
    <m/>
    <m/>
    <m/>
    <m/>
    <m/>
    <s v="Non"/>
    <m/>
    <m/>
    <m/>
    <m/>
    <m/>
    <m/>
    <m/>
    <m/>
    <m/>
    <m/>
    <m/>
    <m/>
    <m/>
    <m/>
    <m/>
    <s v="Oui"/>
    <n v="122"/>
    <n v="642"/>
    <n v="252"/>
    <n v="390"/>
    <s v="Moins de 3 mois"/>
    <n v="90"/>
    <n v="32"/>
    <n v="0"/>
    <n v="0"/>
    <n v="0"/>
    <m/>
    <n v="0"/>
    <n v="0"/>
    <m/>
    <n v="0"/>
    <m/>
    <m/>
    <m/>
    <m/>
    <m/>
    <n v="0"/>
    <m/>
    <m/>
    <m/>
    <m/>
    <m/>
    <m/>
    <m/>
    <m/>
    <m/>
    <m/>
    <m/>
    <m/>
    <m/>
    <s v="0"/>
    <s v="0"/>
    <s v="1"/>
    <n v="1"/>
  </r>
  <r>
    <n v="2673360"/>
    <s v="Extrême-Nord"/>
    <s v="CMR004"/>
    <x v="2"/>
    <s v="CMR004003"/>
    <s v="Guémé"/>
    <s v="CMR004003006"/>
    <s v="GUM-0004"/>
    <s v="VELE"/>
    <m/>
    <x v="0"/>
    <n v="10.5080027"/>
    <n v="15.169184"/>
    <x v="0"/>
    <b v="1"/>
    <b v="0"/>
    <b v="0"/>
    <m/>
    <n v="3"/>
    <s v="Accessible"/>
    <m/>
    <s v="Le village accueille une population"/>
    <s v="Le village est partiellement détruit"/>
    <s v="Intempéries (inondations, tempêtes etc.)"/>
    <m/>
    <s v="Oui"/>
    <s v="Familles d'accueil"/>
    <s v="Non, pas du tout"/>
    <s v="Non"/>
    <m/>
    <n v="100"/>
    <n v="9000"/>
    <s v="Oui"/>
    <s v="Deuxième déplacement"/>
    <n v="100"/>
    <n v="525"/>
    <n v="225"/>
    <n v="300"/>
    <n v="40"/>
    <n v="0"/>
    <n v="0"/>
    <n v="0"/>
    <m/>
    <m/>
    <n v="0"/>
    <n v="60"/>
    <s v="Terre cuite/Terre battue"/>
    <m/>
    <n v="0"/>
    <s v="Ras"/>
    <s v="Non"/>
    <m/>
    <m/>
    <m/>
    <m/>
    <m/>
    <m/>
    <m/>
    <m/>
    <m/>
    <m/>
    <m/>
    <m/>
    <m/>
    <m/>
    <m/>
    <s v="Oui"/>
    <n v="67"/>
    <n v="565"/>
    <n v="265"/>
    <n v="300"/>
    <s v="Moins de 3 mois"/>
    <n v="17"/>
    <n v="39"/>
    <n v="0"/>
    <n v="0"/>
    <n v="0"/>
    <m/>
    <n v="0"/>
    <n v="11"/>
    <s v="Paille/Natte/Nylon"/>
    <n v="0"/>
    <m/>
    <m/>
    <m/>
    <m/>
    <m/>
    <n v="0"/>
    <m/>
    <m/>
    <m/>
    <m/>
    <m/>
    <m/>
    <m/>
    <m/>
    <m/>
    <m/>
    <m/>
    <m/>
    <m/>
    <s v="1"/>
    <s v="0"/>
    <s v="1"/>
    <n v="2"/>
  </r>
  <r>
    <n v="2674025"/>
    <s v="Extrême-Nord"/>
    <s v="CMR004"/>
    <x v="2"/>
    <s v="CMR004003"/>
    <s v="Guémé"/>
    <s v="CMR004003006"/>
    <s v="GUM-0005"/>
    <s v="VOUNALOUM"/>
    <m/>
    <x v="0"/>
    <n v="10.3997092"/>
    <n v="15.269402899999999"/>
    <x v="0"/>
    <b v="1"/>
    <b v="0"/>
    <b v="0"/>
    <m/>
    <n v="3"/>
    <s v="Accessible"/>
    <m/>
    <s v="Le village accueille une population"/>
    <s v="Le village est partiellement détruit"/>
    <s v="Intempéries (inondations, tempêtes etc.)"/>
    <m/>
    <s v="Oui"/>
    <s v="Familles d'accueil"/>
    <s v="Non, pas du tout"/>
    <s v="Non"/>
    <m/>
    <n v="5"/>
    <n v="9000"/>
    <s v="Oui"/>
    <s v="Deuxième déplacement"/>
    <n v="5"/>
    <n v="72"/>
    <n v="30"/>
    <n v="42"/>
    <n v="5"/>
    <n v="0"/>
    <n v="0"/>
    <n v="0"/>
    <m/>
    <m/>
    <n v="0"/>
    <n v="0"/>
    <m/>
    <m/>
    <n v="0"/>
    <s v="Ils sont dans leur domicile personnel endommagé "/>
    <s v="Non"/>
    <m/>
    <m/>
    <m/>
    <m/>
    <m/>
    <m/>
    <m/>
    <m/>
    <m/>
    <m/>
    <m/>
    <m/>
    <m/>
    <m/>
    <m/>
    <s v="Oui"/>
    <n v="75"/>
    <n v="900"/>
    <n v="356"/>
    <n v="544"/>
    <s v="Moins de 3 mois"/>
    <n v="0"/>
    <n v="26"/>
    <n v="20"/>
    <n v="0"/>
    <n v="0"/>
    <m/>
    <n v="0"/>
    <n v="29"/>
    <s v="Terre cuite/Terre battue"/>
    <n v="0"/>
    <m/>
    <m/>
    <m/>
    <m/>
    <m/>
    <n v="0"/>
    <m/>
    <m/>
    <m/>
    <m/>
    <m/>
    <m/>
    <m/>
    <m/>
    <m/>
    <m/>
    <m/>
    <m/>
    <m/>
    <s v="1"/>
    <s v="0"/>
    <s v="1"/>
    <n v="2"/>
  </r>
  <r>
    <n v="2679790"/>
    <s v="Extrême-Nord"/>
    <s v="CMR004"/>
    <x v="2"/>
    <s v="CMR004003"/>
    <s v="Guémé"/>
    <s v="CMR004003006"/>
    <s v="GUM-0010"/>
    <s v="YAHLOKKA"/>
    <m/>
    <x v="1"/>
    <n v="10.4774171"/>
    <n v="15.188862"/>
    <x v="0"/>
    <b v="1"/>
    <b v="0"/>
    <b v="0"/>
    <m/>
    <n v="3"/>
    <s v="Accessible"/>
    <m/>
    <s v="Le village accueille une population"/>
    <s v="Le village est partiellement détruit"/>
    <s v="Intempéries (inondations, tempêtes etc.)"/>
    <m/>
    <s v="Oui"/>
    <s v="Familles d'accueil"/>
    <s v="Non, pas du tout"/>
    <s v="Non"/>
    <m/>
    <m/>
    <n v="2000"/>
    <s v="Non"/>
    <m/>
    <m/>
    <m/>
    <m/>
    <m/>
    <m/>
    <m/>
    <m/>
    <m/>
    <m/>
    <m/>
    <m/>
    <m/>
    <m/>
    <m/>
    <m/>
    <m/>
    <s v="Non"/>
    <m/>
    <m/>
    <m/>
    <m/>
    <m/>
    <m/>
    <m/>
    <m/>
    <m/>
    <m/>
    <m/>
    <m/>
    <m/>
    <m/>
    <m/>
    <s v="Oui"/>
    <n v="122"/>
    <n v="841"/>
    <n v="309"/>
    <n v="532"/>
    <s v="Moins de 3 mois"/>
    <n v="82"/>
    <n v="40"/>
    <n v="0"/>
    <n v="0"/>
    <n v="0"/>
    <m/>
    <n v="0"/>
    <n v="0"/>
    <m/>
    <n v="0"/>
    <m/>
    <m/>
    <m/>
    <m/>
    <m/>
    <n v="0"/>
    <m/>
    <m/>
    <m/>
    <m/>
    <m/>
    <m/>
    <m/>
    <m/>
    <m/>
    <m/>
    <m/>
    <m/>
    <m/>
    <s v="0"/>
    <s v="0"/>
    <s v="1"/>
    <n v="1"/>
  </r>
  <r>
    <n v="2720581"/>
    <s v="Extrême-Nord"/>
    <s v="CMR004"/>
    <x v="2"/>
    <s v="CMR004003"/>
    <s v="Guéré"/>
    <s v="CMR004003010"/>
    <s v="GUR-0001"/>
    <s v="DAHAOU"/>
    <m/>
    <x v="1"/>
    <n v="10.031773400000001"/>
    <n v="15.276684899999999"/>
    <x v="0"/>
    <b v="1"/>
    <b v="0"/>
    <b v="0"/>
    <m/>
    <n v="3"/>
    <s v="Accessible"/>
    <m/>
    <s v="Le village accueille une population"/>
    <s v="Le village est intact (construit)"/>
    <m/>
    <m/>
    <s v="Oui"/>
    <s v="Familles d'accueil"/>
    <s v="Non, pas du tout"/>
    <s v="Non"/>
    <m/>
    <m/>
    <n v="4500"/>
    <s v="Non"/>
    <m/>
    <m/>
    <m/>
    <m/>
    <m/>
    <m/>
    <m/>
    <m/>
    <m/>
    <m/>
    <m/>
    <m/>
    <m/>
    <m/>
    <m/>
    <m/>
    <m/>
    <s v="Non"/>
    <m/>
    <m/>
    <m/>
    <m/>
    <m/>
    <m/>
    <m/>
    <m/>
    <m/>
    <m/>
    <m/>
    <m/>
    <m/>
    <m/>
    <m/>
    <s v="Oui"/>
    <n v="50"/>
    <n v="260"/>
    <n v="100"/>
    <n v="160"/>
    <s v="Entre 1 et 5 ans"/>
    <n v="20"/>
    <n v="30"/>
    <n v="0"/>
    <n v="0"/>
    <n v="0"/>
    <m/>
    <n v="0"/>
    <n v="0"/>
    <m/>
    <n v="0"/>
    <m/>
    <m/>
    <m/>
    <m/>
    <m/>
    <n v="0"/>
    <m/>
    <m/>
    <m/>
    <m/>
    <m/>
    <m/>
    <m/>
    <m/>
    <m/>
    <m/>
    <m/>
    <m/>
    <m/>
    <s v="0"/>
    <s v="0"/>
    <s v="1"/>
    <n v="1"/>
  </r>
  <r>
    <n v="2720579"/>
    <s v="Extrême-Nord"/>
    <s v="CMR004"/>
    <x v="2"/>
    <s v="CMR004003"/>
    <s v="Guéré"/>
    <s v="CMR004003010"/>
    <s v="GUR-0002"/>
    <s v="DANGABISSI"/>
    <m/>
    <x v="1"/>
    <n v="10.163520500000001"/>
    <n v="15.317542599999999"/>
    <x v="0"/>
    <b v="1"/>
    <b v="0"/>
    <b v="0"/>
    <m/>
    <n v="3"/>
    <s v="Accessible"/>
    <m/>
    <s v="Le village accueille une population"/>
    <s v="Le village est partiellement détruit"/>
    <s v="Intempéries (inondations, tempêtes etc.)"/>
    <m/>
    <s v="Oui"/>
    <s v="Familles d'accueil"/>
    <s v="Non, pas du tout"/>
    <s v="Non"/>
    <m/>
    <m/>
    <n v="3400"/>
    <s v="Non"/>
    <m/>
    <m/>
    <m/>
    <m/>
    <m/>
    <m/>
    <m/>
    <m/>
    <m/>
    <m/>
    <m/>
    <m/>
    <m/>
    <m/>
    <m/>
    <m/>
    <m/>
    <s v="Non"/>
    <m/>
    <m/>
    <m/>
    <m/>
    <m/>
    <m/>
    <m/>
    <m/>
    <m/>
    <m/>
    <m/>
    <m/>
    <m/>
    <m/>
    <m/>
    <s v="Oui"/>
    <n v="15"/>
    <n v="102"/>
    <n v="45"/>
    <n v="57"/>
    <s v="Entre 1 et 5 ans"/>
    <n v="5"/>
    <n v="10"/>
    <n v="0"/>
    <n v="0"/>
    <n v="0"/>
    <m/>
    <n v="0"/>
    <n v="0"/>
    <m/>
    <n v="0"/>
    <m/>
    <m/>
    <m/>
    <m/>
    <m/>
    <n v="0"/>
    <m/>
    <m/>
    <m/>
    <m/>
    <m/>
    <m/>
    <m/>
    <m/>
    <m/>
    <m/>
    <m/>
    <m/>
    <m/>
    <s v="0"/>
    <s v="0"/>
    <s v="1"/>
    <n v="1"/>
  </r>
  <r>
    <n v="2720580"/>
    <s v="Extrême-Nord"/>
    <s v="CMR004"/>
    <x v="2"/>
    <s v="CMR004003"/>
    <s v="Guéré"/>
    <s v="CMR004003010"/>
    <s v="GUR-0005"/>
    <s v="DJOUGOUMTA"/>
    <m/>
    <x v="1"/>
    <n v="10.0999859"/>
    <n v="15.268543299999999"/>
    <x v="0"/>
    <b v="1"/>
    <b v="0"/>
    <b v="0"/>
    <m/>
    <n v="3"/>
    <s v="Accessible"/>
    <m/>
    <s v="Le village accueille une population"/>
    <s v="Le village est partiellement détruit"/>
    <s v="Intempéries (inondations, tempêtes etc.)"/>
    <m/>
    <s v="Oui"/>
    <s v="Familles d'accueil"/>
    <s v="Non, pas du tout"/>
    <s v="Non"/>
    <m/>
    <m/>
    <n v="3000"/>
    <s v="Non"/>
    <m/>
    <m/>
    <m/>
    <m/>
    <m/>
    <m/>
    <m/>
    <m/>
    <m/>
    <m/>
    <m/>
    <m/>
    <m/>
    <m/>
    <m/>
    <m/>
    <m/>
    <s v="Non"/>
    <m/>
    <m/>
    <m/>
    <m/>
    <m/>
    <m/>
    <m/>
    <m/>
    <m/>
    <m/>
    <m/>
    <m/>
    <m/>
    <m/>
    <m/>
    <s v="Oui"/>
    <n v="76"/>
    <n v="480"/>
    <n v="140"/>
    <n v="340"/>
    <s v="Moins de 3 mois"/>
    <n v="0"/>
    <n v="76"/>
    <n v="0"/>
    <n v="0"/>
    <n v="0"/>
    <m/>
    <n v="0"/>
    <n v="0"/>
    <m/>
    <n v="0"/>
    <m/>
    <m/>
    <m/>
    <m/>
    <m/>
    <n v="0"/>
    <m/>
    <m/>
    <m/>
    <m/>
    <m/>
    <m/>
    <m/>
    <m/>
    <m/>
    <m/>
    <m/>
    <m/>
    <m/>
    <s v="0"/>
    <s v="0"/>
    <s v="1"/>
    <n v="1"/>
  </r>
  <r>
    <n v="2722457"/>
    <s v="Extrême-Nord"/>
    <s v="CMR004"/>
    <x v="2"/>
    <s v="CMR004003"/>
    <s v="Guéré"/>
    <s v="CMR004003010"/>
    <s v="GUR-0003"/>
    <s v="HOLLOM"/>
    <m/>
    <x v="1"/>
    <n v="10.025739099999999"/>
    <n v="15.2522495"/>
    <x v="0"/>
    <b v="1"/>
    <b v="0"/>
    <b v="0"/>
    <m/>
    <n v="3"/>
    <s v="Accessible"/>
    <m/>
    <s v="Le village accueille une population"/>
    <s v="Le village est partiellement détruit"/>
    <s v="Intempéries (inondations, tempêtes etc.)"/>
    <m/>
    <s v="Oui"/>
    <s v="Familles d'accueil"/>
    <s v="Non, pas du tout"/>
    <s v="Non"/>
    <m/>
    <m/>
    <n v="2000"/>
    <s v="Non"/>
    <m/>
    <m/>
    <m/>
    <m/>
    <m/>
    <m/>
    <m/>
    <m/>
    <m/>
    <m/>
    <m/>
    <m/>
    <m/>
    <m/>
    <m/>
    <m/>
    <m/>
    <s v="Non"/>
    <m/>
    <m/>
    <m/>
    <m/>
    <m/>
    <m/>
    <m/>
    <m/>
    <m/>
    <m/>
    <m/>
    <m/>
    <m/>
    <m/>
    <m/>
    <s v="Oui"/>
    <n v="50"/>
    <n v="475"/>
    <n v="196"/>
    <n v="279"/>
    <s v="Moins de 3 mois"/>
    <n v="10"/>
    <n v="40"/>
    <n v="0"/>
    <n v="0"/>
    <n v="0"/>
    <m/>
    <n v="0"/>
    <n v="0"/>
    <m/>
    <n v="0"/>
    <m/>
    <m/>
    <m/>
    <m/>
    <m/>
    <n v="0"/>
    <m/>
    <m/>
    <m/>
    <m/>
    <m/>
    <m/>
    <m/>
    <m/>
    <m/>
    <m/>
    <m/>
    <m/>
    <m/>
    <s v="0"/>
    <s v="0"/>
    <s v="1"/>
    <n v="1"/>
  </r>
  <r>
    <n v="2722456"/>
    <s v="Extrême-Nord"/>
    <s v="CMR004"/>
    <x v="2"/>
    <s v="CMR004003"/>
    <s v="Guéré"/>
    <s v="CMR004003010"/>
    <s v="GUR-0004"/>
    <s v="MOUKA"/>
    <m/>
    <x v="1"/>
    <n v="10.050677200000001"/>
    <n v="15.256758700000001"/>
    <x v="0"/>
    <b v="1"/>
    <b v="0"/>
    <b v="0"/>
    <m/>
    <n v="3"/>
    <s v="Accessible"/>
    <m/>
    <s v="Le village accueille une population"/>
    <s v="Le village est partiellement détruit"/>
    <s v="Intempéries (inondations, tempêtes etc.)"/>
    <m/>
    <s v="Oui"/>
    <s v="Familles d'accueil"/>
    <s v="Non, pas du tout"/>
    <s v="Non"/>
    <m/>
    <n v="7"/>
    <n v="2500"/>
    <s v="Oui"/>
    <s v="Deuxième déplacement"/>
    <n v="7"/>
    <n v="49"/>
    <n v="19"/>
    <n v="30"/>
    <n v="7"/>
    <n v="0"/>
    <n v="0"/>
    <n v="0"/>
    <m/>
    <m/>
    <n v="0"/>
    <n v="0"/>
    <m/>
    <m/>
    <n v="0"/>
    <s v="RAS"/>
    <s v="Non"/>
    <m/>
    <m/>
    <m/>
    <m/>
    <m/>
    <m/>
    <m/>
    <m/>
    <m/>
    <m/>
    <m/>
    <m/>
    <m/>
    <m/>
    <m/>
    <s v="Oui"/>
    <n v="18"/>
    <n v="250"/>
    <n v="100"/>
    <n v="150"/>
    <s v="Entre 1 et 5 ans"/>
    <n v="0"/>
    <n v="18"/>
    <n v="0"/>
    <n v="0"/>
    <n v="0"/>
    <m/>
    <n v="0"/>
    <n v="0"/>
    <m/>
    <n v="0"/>
    <m/>
    <m/>
    <m/>
    <m/>
    <m/>
    <n v="0"/>
    <m/>
    <m/>
    <m/>
    <m/>
    <m/>
    <m/>
    <m/>
    <m/>
    <m/>
    <m/>
    <m/>
    <m/>
    <m/>
    <s v="1"/>
    <s v="0"/>
    <s v="1"/>
    <n v="2"/>
  </r>
  <r>
    <n v="2670356"/>
    <s v="Extrême-Nord"/>
    <s v="CMR004"/>
    <x v="2"/>
    <s v="CMR004003"/>
    <s v="Kai-Kai"/>
    <s v="CMR004003001"/>
    <s v="XXXX"/>
    <s v="DOREISSOU"/>
    <s v="DOREISSOU"/>
    <x v="1"/>
    <n v="10.5686807"/>
    <n v="15.1330036"/>
    <x v="0"/>
    <b v="1"/>
    <b v="0"/>
    <b v="0"/>
    <m/>
    <n v="3"/>
    <s v="Accessible"/>
    <m/>
    <s v="Le village accueille une population"/>
    <s v="Le village est partiellement détruit"/>
    <s v="Intempéries (inondations, tempêtes etc.)"/>
    <m/>
    <s v="Oui"/>
    <s v="Familles d'accueil"/>
    <s v="Non, pas du tout"/>
    <s v="Non"/>
    <m/>
    <m/>
    <n v="9800"/>
    <s v="Non"/>
    <m/>
    <m/>
    <m/>
    <m/>
    <m/>
    <m/>
    <m/>
    <m/>
    <m/>
    <m/>
    <m/>
    <m/>
    <m/>
    <m/>
    <m/>
    <m/>
    <m/>
    <s v="Non"/>
    <m/>
    <m/>
    <m/>
    <m/>
    <m/>
    <m/>
    <m/>
    <m/>
    <m/>
    <m/>
    <m/>
    <m/>
    <m/>
    <m/>
    <m/>
    <s v="Oui"/>
    <n v="937"/>
    <n v="8433"/>
    <n v="3301"/>
    <n v="5132"/>
    <s v="Moins de 3 mois"/>
    <n v="0"/>
    <n v="450"/>
    <n v="150"/>
    <n v="0"/>
    <n v="0"/>
    <m/>
    <n v="0"/>
    <n v="337"/>
    <s v="Paille/Natte/Nylon"/>
    <n v="0"/>
    <m/>
    <m/>
    <m/>
    <m/>
    <m/>
    <n v="0"/>
    <m/>
    <m/>
    <m/>
    <m/>
    <m/>
    <m/>
    <m/>
    <m/>
    <m/>
    <m/>
    <m/>
    <m/>
    <m/>
    <s v="0"/>
    <s v="0"/>
    <s v="1"/>
    <n v="1"/>
  </r>
  <r>
    <n v="2709182"/>
    <s v="Extrême-Nord"/>
    <s v="CMR004"/>
    <x v="2"/>
    <s v="CMR004003"/>
    <s v="Kai-Kai"/>
    <s v="CMR004003001"/>
    <s v="XXXX"/>
    <s v="MANGAL(LOUGOYE TAMAK )"/>
    <s v="MANGAL(LOUGOYE TAMAK )"/>
    <x v="1"/>
    <n v="10.681676400000001"/>
    <n v="15.0231519"/>
    <x v="0"/>
    <b v="1"/>
    <b v="0"/>
    <b v="1"/>
    <m/>
    <n v="3"/>
    <s v="Accessible"/>
    <m/>
    <s v="Le village accueille une population"/>
    <s v="Le village est partiellement détruit"/>
    <s v="Intempéries (inondations, tempêtes etc.)"/>
    <m/>
    <s v="Oui"/>
    <s v="Familles d'accueil"/>
    <s v="Sites de déplacement spontanés"/>
    <s v="Non"/>
    <m/>
    <m/>
    <n v="4500"/>
    <s v="Non"/>
    <m/>
    <m/>
    <m/>
    <m/>
    <m/>
    <m/>
    <m/>
    <m/>
    <m/>
    <m/>
    <m/>
    <m/>
    <m/>
    <m/>
    <m/>
    <m/>
    <m/>
    <s v="Non"/>
    <m/>
    <m/>
    <m/>
    <m/>
    <m/>
    <m/>
    <m/>
    <m/>
    <m/>
    <m/>
    <m/>
    <m/>
    <m/>
    <m/>
    <m/>
    <s v="Oui"/>
    <n v="40"/>
    <n v="415"/>
    <n v="190"/>
    <n v="225"/>
    <s v="Entre 3 mois et 1 an"/>
    <n v="20"/>
    <n v="11"/>
    <n v="9"/>
    <n v="0"/>
    <n v="0"/>
    <m/>
    <n v="0"/>
    <n v="0"/>
    <m/>
    <n v="0"/>
    <m/>
    <m/>
    <m/>
    <m/>
    <m/>
    <n v="0"/>
    <m/>
    <m/>
    <m/>
    <m/>
    <m/>
    <m/>
    <m/>
    <m/>
    <m/>
    <m/>
    <m/>
    <m/>
    <m/>
    <s v="0"/>
    <s v="0"/>
    <s v="1"/>
    <n v="1"/>
  </r>
  <r>
    <n v="2709289"/>
    <s v="Extrême-Nord"/>
    <s v="CMR004"/>
    <x v="2"/>
    <s v="CMR004003"/>
    <s v="Kai-Kai"/>
    <s v="CMR004003001"/>
    <s v="XXXX"/>
    <s v="DIGUE WILWANG (DIGUE GUIDOUANG )"/>
    <s v="DIGUE WILWANG (DIGUE GUIDOUANG )"/>
    <x v="1"/>
    <n v="10.6570958"/>
    <n v="15.0710636"/>
    <x v="0"/>
    <b v="1"/>
    <b v="0"/>
    <b v="1"/>
    <m/>
    <n v="3"/>
    <s v="Accessible"/>
    <m/>
    <s v="Le village accueille une population"/>
    <s v="Le village est partiellement détruit"/>
    <s v="Intempéries (inondations, tempêtes etc.)"/>
    <m/>
    <s v="Oui"/>
    <s v="Familles d'accueil"/>
    <s v="Sites de déplacement spontanés"/>
    <s v="Non"/>
    <m/>
    <m/>
    <n v="4000"/>
    <s v="Non"/>
    <m/>
    <m/>
    <m/>
    <m/>
    <m/>
    <m/>
    <m/>
    <m/>
    <m/>
    <m/>
    <m/>
    <m/>
    <m/>
    <m/>
    <m/>
    <m/>
    <m/>
    <s v="Non"/>
    <m/>
    <m/>
    <m/>
    <m/>
    <m/>
    <m/>
    <m/>
    <m/>
    <m/>
    <m/>
    <m/>
    <m/>
    <m/>
    <m/>
    <m/>
    <s v="Oui"/>
    <n v="20"/>
    <n v="194"/>
    <n v="94"/>
    <n v="100"/>
    <s v="Entre 3 mois et 1 an"/>
    <n v="10"/>
    <n v="7"/>
    <n v="3"/>
    <n v="0"/>
    <n v="0"/>
    <m/>
    <n v="0"/>
    <n v="0"/>
    <m/>
    <n v="0"/>
    <m/>
    <m/>
    <m/>
    <m/>
    <m/>
    <n v="0"/>
    <m/>
    <m/>
    <m/>
    <m/>
    <m/>
    <m/>
    <m/>
    <m/>
    <m/>
    <m/>
    <m/>
    <m/>
    <m/>
    <s v="0"/>
    <s v="0"/>
    <s v="1"/>
    <n v="1"/>
  </r>
  <r>
    <n v="2709800"/>
    <s v="Extrême-Nord"/>
    <s v="CMR004"/>
    <x v="2"/>
    <s v="CMR004003"/>
    <s v="Kai-Kai"/>
    <s v="CMR004003001"/>
    <s v="XXXX"/>
    <s v="DARAM (BEKA)"/>
    <s v="DARAM (BEKA)"/>
    <x v="1"/>
    <n v="10.655969300000001"/>
    <n v="15.01407"/>
    <x v="0"/>
    <b v="1"/>
    <b v="0"/>
    <b v="1"/>
    <m/>
    <n v="3"/>
    <s v="Accessible"/>
    <m/>
    <s v="Le village accueille une population"/>
    <s v="Le village est partiellement détruit"/>
    <s v="Intempéries (inondations, tempêtes etc.)"/>
    <m/>
    <s v="Oui"/>
    <s v="Familles d'accueil"/>
    <s v="Non, pas du tout"/>
    <s v="Non"/>
    <m/>
    <n v="4"/>
    <n v="2000"/>
    <s v="Oui"/>
    <s v="Premier déplacement"/>
    <n v="4"/>
    <n v="37"/>
    <n v="15"/>
    <n v="22"/>
    <n v="4"/>
    <n v="0"/>
    <n v="0"/>
    <n v="0"/>
    <m/>
    <m/>
    <n v="0"/>
    <n v="0"/>
    <m/>
    <m/>
    <n v="0"/>
    <s v="Les idps sont venus de Bariagodjo depuis le mois d'août. "/>
    <s v="Non"/>
    <m/>
    <m/>
    <m/>
    <m/>
    <m/>
    <m/>
    <m/>
    <m/>
    <m/>
    <m/>
    <m/>
    <m/>
    <m/>
    <m/>
    <m/>
    <s v="Oui"/>
    <n v="6"/>
    <n v="70"/>
    <n v="30"/>
    <n v="40"/>
    <s v="Entre 3 mois et 1 an"/>
    <n v="4"/>
    <n v="2"/>
    <n v="0"/>
    <n v="0"/>
    <n v="0"/>
    <m/>
    <n v="0"/>
    <n v="0"/>
    <m/>
    <n v="0"/>
    <m/>
    <m/>
    <m/>
    <m/>
    <m/>
    <n v="0"/>
    <m/>
    <m/>
    <m/>
    <m/>
    <m/>
    <m/>
    <m/>
    <m/>
    <m/>
    <m/>
    <m/>
    <m/>
    <m/>
    <s v="1"/>
    <s v="0"/>
    <s v="1"/>
    <n v="2"/>
  </r>
  <r>
    <n v="2710336"/>
    <s v="Extrême-Nord"/>
    <s v="CMR004"/>
    <x v="2"/>
    <s v="CMR004003"/>
    <s v="Kai-Kai"/>
    <s v="CMR004003001"/>
    <s v="KAI-0001"/>
    <s v="BARIAGODJO"/>
    <m/>
    <x v="1"/>
    <n v="10.6764662"/>
    <n v="14.992068099999999"/>
    <x v="0"/>
    <b v="1"/>
    <b v="0"/>
    <b v="1"/>
    <m/>
    <n v="3"/>
    <s v="Accessible"/>
    <m/>
    <s v="Le village accueille une population"/>
    <s v="Le village est partiellement détruit"/>
    <s v="Intempéries (inondations, tempêtes etc.)"/>
    <m/>
    <s v="Oui"/>
    <s v="Familles d'accueil"/>
    <s v="Non, pas du tout"/>
    <s v="Oui"/>
    <n v="1"/>
    <m/>
    <n v="3000"/>
    <s v="Non"/>
    <m/>
    <m/>
    <m/>
    <m/>
    <m/>
    <m/>
    <m/>
    <m/>
    <m/>
    <m/>
    <m/>
    <m/>
    <m/>
    <m/>
    <m/>
    <m/>
    <m/>
    <s v="Non"/>
    <m/>
    <m/>
    <m/>
    <m/>
    <m/>
    <m/>
    <m/>
    <m/>
    <m/>
    <m/>
    <m/>
    <m/>
    <m/>
    <m/>
    <m/>
    <s v="Oui"/>
    <n v="42"/>
    <n v="340"/>
    <n v="160"/>
    <n v="180"/>
    <s v="Entre 3 mois et 1 an"/>
    <n v="22"/>
    <n v="20"/>
    <n v="0"/>
    <n v="0"/>
    <n v="0"/>
    <m/>
    <n v="0"/>
    <n v="0"/>
    <m/>
    <n v="0"/>
    <m/>
    <m/>
    <m/>
    <m/>
    <m/>
    <n v="0"/>
    <m/>
    <m/>
    <m/>
    <m/>
    <m/>
    <m/>
    <m/>
    <m/>
    <m/>
    <m/>
    <m/>
    <m/>
    <m/>
    <s v="0"/>
    <s v="0"/>
    <s v="1"/>
    <n v="1"/>
  </r>
  <r>
    <n v="2699351"/>
    <s v="Extrême-Nord"/>
    <s v="CMR004"/>
    <x v="2"/>
    <s v="CMR004003"/>
    <s v="Kai-Kai"/>
    <s v="CMR004003001"/>
    <s v="KAI-0002"/>
    <s v="BARKAYA"/>
    <m/>
    <x v="1"/>
    <n v="10.629588200000001"/>
    <n v="14.996721900000001"/>
    <x v="0"/>
    <b v="1"/>
    <b v="0"/>
    <b v="1"/>
    <m/>
    <n v="3"/>
    <s v="Accessible"/>
    <m/>
    <s v="Le village accueille une population"/>
    <s v="Le village est partiellement détruit"/>
    <s v="Intempéries (inondations, tempêtes etc.)"/>
    <m/>
    <s v="Oui"/>
    <s v="Familles d'accueil"/>
    <s v="Sites de déplacement spontanés"/>
    <s v="Non"/>
    <m/>
    <n v="33"/>
    <n v="5000"/>
    <s v="Oui"/>
    <s v="Deuxième déplacement"/>
    <n v="33"/>
    <n v="217"/>
    <n v="100"/>
    <n v="117"/>
    <n v="15"/>
    <n v="10"/>
    <n v="3"/>
    <n v="0"/>
    <m/>
    <m/>
    <n v="0"/>
    <n v="5"/>
    <s v="Paille/Natte/Nylon"/>
    <m/>
    <n v="0"/>
    <s v="Les PDIS ont un besoin prioritaire en abris. "/>
    <s v="Non"/>
    <m/>
    <m/>
    <m/>
    <m/>
    <m/>
    <m/>
    <m/>
    <m/>
    <m/>
    <m/>
    <m/>
    <m/>
    <m/>
    <m/>
    <m/>
    <s v="Oui"/>
    <n v="45"/>
    <n v="284"/>
    <n v="130"/>
    <n v="154"/>
    <s v="Moins de 3 mois"/>
    <n v="30"/>
    <n v="10"/>
    <n v="5"/>
    <n v="0"/>
    <n v="0"/>
    <m/>
    <n v="0"/>
    <n v="0"/>
    <m/>
    <n v="0"/>
    <m/>
    <m/>
    <m/>
    <m/>
    <m/>
    <n v="0"/>
    <m/>
    <m/>
    <m/>
    <m/>
    <m/>
    <m/>
    <m/>
    <m/>
    <m/>
    <m/>
    <m/>
    <m/>
    <m/>
    <s v="1"/>
    <s v="0"/>
    <s v="1"/>
    <n v="2"/>
  </r>
  <r>
    <n v="2670358"/>
    <s v="Extrême-Nord"/>
    <s v="CMR004"/>
    <x v="2"/>
    <s v="CMR004003"/>
    <s v="Kai-Kai"/>
    <s v="CMR004003001"/>
    <s v="KAI-0003"/>
    <s v="BEGUEPALAM"/>
    <m/>
    <x v="1"/>
    <n v="10.664904"/>
    <n v="15.1311716"/>
    <x v="0"/>
    <b v="1"/>
    <b v="0"/>
    <b v="0"/>
    <m/>
    <n v="3"/>
    <s v="Accessible"/>
    <m/>
    <s v="Le village accueille une population"/>
    <s v="Le village est partiellement détruit"/>
    <s v="Intempéries (inondations, tempêtes etc.)"/>
    <m/>
    <s v="Oui"/>
    <s v="Familles d'accueil"/>
    <s v="Non, pas du tout"/>
    <s v="Non"/>
    <m/>
    <m/>
    <n v="9000"/>
    <s v="Non"/>
    <m/>
    <m/>
    <m/>
    <m/>
    <m/>
    <m/>
    <m/>
    <m/>
    <m/>
    <m/>
    <m/>
    <m/>
    <m/>
    <m/>
    <m/>
    <m/>
    <m/>
    <s v="Non"/>
    <m/>
    <m/>
    <m/>
    <m/>
    <m/>
    <m/>
    <m/>
    <m/>
    <m/>
    <m/>
    <m/>
    <m/>
    <m/>
    <m/>
    <m/>
    <s v="Oui"/>
    <n v="417"/>
    <n v="2140"/>
    <n v="888"/>
    <n v="1252"/>
    <s v="Moins de 3 mois"/>
    <n v="0"/>
    <n v="105"/>
    <n v="104"/>
    <n v="0"/>
    <n v="0"/>
    <m/>
    <n v="0"/>
    <n v="208"/>
    <s v="Paille/Natte/Nylon"/>
    <n v="0"/>
    <m/>
    <m/>
    <m/>
    <m/>
    <m/>
    <n v="0"/>
    <m/>
    <m/>
    <m/>
    <m/>
    <m/>
    <m/>
    <m/>
    <m/>
    <m/>
    <m/>
    <m/>
    <m/>
    <m/>
    <s v="0"/>
    <s v="0"/>
    <s v="1"/>
    <n v="1"/>
  </r>
  <r>
    <n v="2799740"/>
    <s v="Extrême-Nord"/>
    <s v="CMR004"/>
    <x v="2"/>
    <s v="CMR004003"/>
    <s v="Kai-Kai"/>
    <s v="CMR004003001"/>
    <s v="KAI-0025"/>
    <s v="DAMA"/>
    <m/>
    <x v="1"/>
    <n v="10.664524399999999"/>
    <n v="15.0242395"/>
    <x v="0"/>
    <b v="1"/>
    <b v="0"/>
    <b v="1"/>
    <m/>
    <n v="3"/>
    <s v="Accessible"/>
    <m/>
    <s v="Le village accueille une population"/>
    <s v="Le village est partiellement détruit"/>
    <s v="Intempéries (inondations, tempêtes etc.)"/>
    <m/>
    <s v="Oui"/>
    <s v="Familles d'accueil"/>
    <s v="Non, pas du tout"/>
    <s v="Non"/>
    <m/>
    <n v="17"/>
    <n v="4000"/>
    <s v="Oui"/>
    <s v="Premier déplacement"/>
    <n v="17"/>
    <n v="56"/>
    <n v="25"/>
    <n v="31"/>
    <n v="13"/>
    <n v="4"/>
    <n v="0"/>
    <n v="0"/>
    <m/>
    <m/>
    <n v="0"/>
    <n v="0"/>
    <m/>
    <m/>
    <n v="0"/>
    <s v="Il n'y a pas de changement mais la population déplacée a un besoin prioritaire en abris et eau."/>
    <s v="Non"/>
    <m/>
    <m/>
    <m/>
    <m/>
    <m/>
    <m/>
    <m/>
    <m/>
    <m/>
    <m/>
    <m/>
    <m/>
    <m/>
    <m/>
    <m/>
    <s v="Non"/>
    <m/>
    <m/>
    <m/>
    <m/>
    <m/>
    <m/>
    <m/>
    <m/>
    <m/>
    <m/>
    <m/>
    <m/>
    <m/>
    <m/>
    <m/>
    <m/>
    <m/>
    <m/>
    <m/>
    <m/>
    <n v="0"/>
    <m/>
    <m/>
    <m/>
    <m/>
    <m/>
    <m/>
    <m/>
    <m/>
    <m/>
    <m/>
    <m/>
    <m/>
    <m/>
    <s v="1"/>
    <s v="0"/>
    <s v="0"/>
    <n v="1"/>
  </r>
  <r>
    <n v="2699961"/>
    <s v="Extrême-Nord"/>
    <s v="CMR004"/>
    <x v="2"/>
    <s v="CMR004003"/>
    <s v="Kai-Kai"/>
    <s v="CMR004003001"/>
    <s v="KAI-0018"/>
    <s v="DAMARO"/>
    <m/>
    <x v="1"/>
    <n v="10.669130600000001"/>
    <n v="14.987128200000001"/>
    <x v="0"/>
    <b v="1"/>
    <b v="0"/>
    <b v="1"/>
    <m/>
    <n v="3"/>
    <s v="Accessible"/>
    <m/>
    <s v="Le village accueille une population"/>
    <s v="Le village est partiellement détruit"/>
    <s v="Intempéries (inondations, tempêtes etc.)"/>
    <m/>
    <s v="Oui"/>
    <s v="Sites de déplacement spontanés"/>
    <s v="Familles d'accueil"/>
    <s v="Non"/>
    <m/>
    <m/>
    <n v="3500"/>
    <s v="Non"/>
    <m/>
    <m/>
    <m/>
    <m/>
    <m/>
    <m/>
    <m/>
    <m/>
    <m/>
    <m/>
    <m/>
    <m/>
    <m/>
    <m/>
    <m/>
    <m/>
    <m/>
    <s v="Non"/>
    <m/>
    <m/>
    <m/>
    <m/>
    <m/>
    <m/>
    <m/>
    <m/>
    <m/>
    <m/>
    <m/>
    <m/>
    <m/>
    <m/>
    <m/>
    <s v="Oui"/>
    <n v="9"/>
    <n v="97"/>
    <n v="47"/>
    <n v="50"/>
    <s v="Entre 3 mois et 1 an"/>
    <n v="5"/>
    <n v="3"/>
    <n v="1"/>
    <n v="0"/>
    <n v="0"/>
    <m/>
    <n v="0"/>
    <n v="0"/>
    <m/>
    <n v="0"/>
    <s v="Il y a une augmentation de 4 ménages de 70 individus en provenance du site de kaikai centre dans la période de septembre à février 2023 et les anciens retournés ont fait un deuxième déplacement. "/>
    <m/>
    <m/>
    <m/>
    <m/>
    <n v="0"/>
    <m/>
    <m/>
    <m/>
    <m/>
    <m/>
    <m/>
    <m/>
    <m/>
    <m/>
    <m/>
    <m/>
    <m/>
    <m/>
    <s v="0"/>
    <s v="0"/>
    <s v="1"/>
    <n v="1"/>
  </r>
  <r>
    <n v="2699353"/>
    <s v="Extrême-Nord"/>
    <s v="CMR004"/>
    <x v="2"/>
    <s v="CMR004003"/>
    <s v="Kai-Kai"/>
    <s v="CMR004003001"/>
    <s v="KAI-0004"/>
    <s v="DOUGUI"/>
    <m/>
    <x v="1"/>
    <n v="10.7156948"/>
    <n v="15.109734100000001"/>
    <x v="0"/>
    <b v="1"/>
    <b v="0"/>
    <b v="1"/>
    <m/>
    <n v="3"/>
    <s v="Accessible"/>
    <m/>
    <s v="Le village accueille une population"/>
    <s v="Le village est partiellement détruit"/>
    <s v="Intempéries (inondations, tempêtes etc.)"/>
    <m/>
    <s v="Oui"/>
    <s v="Familles d'accueil"/>
    <s v="Non, pas du tout"/>
    <s v="Non"/>
    <m/>
    <n v="27"/>
    <n v="3000"/>
    <s v="Oui"/>
    <s v="Deuxième déplacement"/>
    <n v="27"/>
    <n v="210"/>
    <n v="100"/>
    <n v="110"/>
    <n v="20"/>
    <n v="7"/>
    <n v="0"/>
    <n v="0"/>
    <m/>
    <m/>
    <n v="0"/>
    <n v="0"/>
    <m/>
    <m/>
    <n v="0"/>
    <s v="Tous les anciens PDIS ont effectué un deuxième déplacement au sein du même village. "/>
    <s v="Non"/>
    <m/>
    <m/>
    <m/>
    <m/>
    <m/>
    <m/>
    <m/>
    <m/>
    <m/>
    <m/>
    <m/>
    <m/>
    <m/>
    <m/>
    <m/>
    <s v="Oui"/>
    <n v="11"/>
    <n v="129"/>
    <n v="60"/>
    <n v="69"/>
    <s v="Entre 3 mois et 1 an"/>
    <n v="7"/>
    <n v="4"/>
    <n v="0"/>
    <n v="0"/>
    <n v="0"/>
    <m/>
    <n v="0"/>
    <n v="0"/>
    <m/>
    <n v="0"/>
    <m/>
    <m/>
    <m/>
    <m/>
    <m/>
    <n v="0"/>
    <m/>
    <m/>
    <m/>
    <m/>
    <m/>
    <m/>
    <m/>
    <m/>
    <m/>
    <m/>
    <m/>
    <m/>
    <m/>
    <s v="1"/>
    <s v="0"/>
    <s v="1"/>
    <n v="2"/>
  </r>
  <r>
    <n v="2700356"/>
    <s v="Extrême-Nord"/>
    <s v="CMR004"/>
    <x v="2"/>
    <s v="CMR004003"/>
    <s v="Kai-Kai"/>
    <s v="CMR004003001"/>
    <s v="KAI-0019"/>
    <s v="GABOUANG"/>
    <m/>
    <x v="1"/>
    <n v="10.6718279"/>
    <n v="15.003268500000001"/>
    <x v="0"/>
    <b v="1"/>
    <b v="0"/>
    <b v="1"/>
    <m/>
    <n v="3"/>
    <s v="Accessible"/>
    <m/>
    <s v="Le village accueille une population"/>
    <s v="Le village est partiellement détruit"/>
    <s v="Intempéries (inondations, tempêtes etc.)"/>
    <m/>
    <s v="Oui"/>
    <s v="Familles d'accueil"/>
    <s v="Sites de déplacement spontanés"/>
    <s v="Non"/>
    <m/>
    <m/>
    <n v="3000"/>
    <s v="Non"/>
    <m/>
    <m/>
    <m/>
    <m/>
    <m/>
    <m/>
    <m/>
    <m/>
    <m/>
    <m/>
    <m/>
    <m/>
    <m/>
    <m/>
    <m/>
    <m/>
    <m/>
    <s v="Non"/>
    <m/>
    <m/>
    <m/>
    <m/>
    <m/>
    <m/>
    <m/>
    <m/>
    <m/>
    <m/>
    <m/>
    <m/>
    <m/>
    <m/>
    <m/>
    <s v="Oui"/>
    <n v="13"/>
    <n v="118"/>
    <n v="50"/>
    <n v="68"/>
    <s v="Entre 3 mois et 1 an"/>
    <n v="8"/>
    <n v="3"/>
    <n v="0"/>
    <n v="0"/>
    <n v="0"/>
    <m/>
    <n v="0"/>
    <n v="2"/>
    <s v="Paille/Natte/Nylon"/>
    <n v="0"/>
    <m/>
    <m/>
    <m/>
    <m/>
    <m/>
    <n v="0"/>
    <m/>
    <m/>
    <m/>
    <m/>
    <m/>
    <m/>
    <m/>
    <m/>
    <m/>
    <m/>
    <m/>
    <m/>
    <m/>
    <s v="0"/>
    <s v="0"/>
    <s v="1"/>
    <n v="1"/>
  </r>
  <r>
    <n v="2710687"/>
    <s v="Extrême-Nord"/>
    <s v="CMR004"/>
    <x v="2"/>
    <s v="CMR004003"/>
    <s v="Kai-Kai"/>
    <s v="CMR004003001"/>
    <s v="KAI-0005"/>
    <s v="KAIKAI"/>
    <m/>
    <x v="0"/>
    <n v="10.658878400000001"/>
    <n v="15.024232"/>
    <x v="0"/>
    <b v="1"/>
    <b v="0"/>
    <b v="1"/>
    <m/>
    <n v="3"/>
    <s v="Accessible"/>
    <m/>
    <s v="Le village accueille une population"/>
    <s v="Le village est partiellement détruit"/>
    <s v="Intempéries (inondations, tempêtes etc.)"/>
    <m/>
    <s v="Oui"/>
    <s v="Familles d'accueil"/>
    <s v="Non, pas du tout"/>
    <s v="Non"/>
    <m/>
    <n v="55"/>
    <n v="10000"/>
    <s v="Oui"/>
    <s v="Deuxième déplacement"/>
    <n v="55"/>
    <n v="349"/>
    <n v="169"/>
    <n v="180"/>
    <n v="50"/>
    <n v="5"/>
    <n v="0"/>
    <n v="0"/>
    <m/>
    <m/>
    <n v="0"/>
    <n v="0"/>
    <m/>
    <m/>
    <n v="0"/>
    <s v="Il n'y a pas de changement."/>
    <s v="Non"/>
    <m/>
    <m/>
    <m/>
    <m/>
    <m/>
    <m/>
    <m/>
    <m/>
    <m/>
    <m/>
    <m/>
    <m/>
    <m/>
    <m/>
    <m/>
    <s v="Oui"/>
    <n v="548"/>
    <n v="4338"/>
    <n v="2000"/>
    <n v="2338"/>
    <s v="Entre 3 mois et 1 an"/>
    <n v="100"/>
    <n v="400"/>
    <n v="48"/>
    <n v="0"/>
    <n v="0"/>
    <m/>
    <n v="0"/>
    <n v="0"/>
    <m/>
    <n v="0"/>
    <m/>
    <m/>
    <m/>
    <m/>
    <m/>
    <n v="0"/>
    <m/>
    <m/>
    <m/>
    <m/>
    <m/>
    <m/>
    <m/>
    <m/>
    <m/>
    <m/>
    <m/>
    <m/>
    <m/>
    <s v="1"/>
    <s v="0"/>
    <s v="1"/>
    <n v="2"/>
  </r>
  <r>
    <n v="2700888"/>
    <s v="Extrême-Nord"/>
    <s v="CMR004"/>
    <x v="2"/>
    <s v="CMR004003"/>
    <s v="Kai-Kai"/>
    <s v="CMR004003001"/>
    <s v="KAI-0006"/>
    <s v="KELEO"/>
    <m/>
    <x v="1"/>
    <n v="10.6569614"/>
    <n v="15.025979400000001"/>
    <x v="0"/>
    <b v="1"/>
    <b v="0"/>
    <b v="1"/>
    <m/>
    <n v="3"/>
    <s v="Accessible"/>
    <m/>
    <s v="Le village accueille une population"/>
    <s v="Le village est partiellement détruit"/>
    <s v="Intempéries (inondations, tempêtes etc.)"/>
    <m/>
    <s v="Oui"/>
    <s v="Familles d'accueil"/>
    <s v="Non, pas du tout"/>
    <s v="Non"/>
    <m/>
    <m/>
    <n v="4000"/>
    <s v="Non"/>
    <m/>
    <m/>
    <m/>
    <m/>
    <m/>
    <m/>
    <m/>
    <m/>
    <m/>
    <m/>
    <m/>
    <m/>
    <m/>
    <m/>
    <m/>
    <m/>
    <m/>
    <s v="Non"/>
    <m/>
    <m/>
    <m/>
    <m/>
    <m/>
    <m/>
    <m/>
    <m/>
    <m/>
    <m/>
    <m/>
    <m/>
    <m/>
    <m/>
    <m/>
    <s v="Oui"/>
    <n v="33"/>
    <n v="257"/>
    <n v="117"/>
    <n v="140"/>
    <s v="Entre 3 mois et 1 an"/>
    <n v="20"/>
    <n v="10"/>
    <n v="3"/>
    <n v="0"/>
    <n v="0"/>
    <m/>
    <n v="0"/>
    <n v="0"/>
    <m/>
    <n v="0"/>
    <m/>
    <m/>
    <m/>
    <m/>
    <m/>
    <n v="0"/>
    <m/>
    <m/>
    <m/>
    <m/>
    <m/>
    <m/>
    <m/>
    <m/>
    <m/>
    <m/>
    <m/>
    <m/>
    <m/>
    <s v="0"/>
    <s v="0"/>
    <s v="1"/>
    <n v="1"/>
  </r>
  <r>
    <n v="2700582"/>
    <s v="Extrême-Nord"/>
    <s v="CMR004"/>
    <x v="2"/>
    <s v="CMR004003"/>
    <s v="Kai-Kai"/>
    <s v="CMR004003001"/>
    <s v="KAI-0020"/>
    <s v="KOLONG"/>
    <m/>
    <x v="1"/>
    <n v="10.627705000000001"/>
    <n v="14.9534456"/>
    <x v="0"/>
    <b v="1"/>
    <b v="0"/>
    <b v="1"/>
    <m/>
    <n v="3"/>
    <s v="Accessible"/>
    <m/>
    <s v="Le village accueille une population"/>
    <s v="Le village est partiellement détruit"/>
    <s v="Intempéries (inondations, tempêtes etc.)"/>
    <m/>
    <s v="Oui"/>
    <s v="Familles d'accueil"/>
    <s v="Sites de déplacement spontanés"/>
    <s v="Non"/>
    <m/>
    <m/>
    <n v="3000"/>
    <s v="Non"/>
    <m/>
    <m/>
    <m/>
    <m/>
    <m/>
    <m/>
    <m/>
    <m/>
    <m/>
    <m/>
    <m/>
    <m/>
    <m/>
    <m/>
    <m/>
    <m/>
    <m/>
    <s v="Non"/>
    <m/>
    <m/>
    <m/>
    <m/>
    <m/>
    <m/>
    <m/>
    <m/>
    <m/>
    <m/>
    <m/>
    <m/>
    <m/>
    <m/>
    <m/>
    <s v="Oui"/>
    <n v="45"/>
    <n v="278"/>
    <n v="128"/>
    <n v="150"/>
    <s v="Entre 3 mois et 1 an"/>
    <n v="25"/>
    <n v="10"/>
    <n v="5"/>
    <n v="0"/>
    <n v="0"/>
    <m/>
    <n v="0"/>
    <n v="5"/>
    <s v="Paille/Natte/Nylon"/>
    <n v="0"/>
    <m/>
    <m/>
    <m/>
    <m/>
    <m/>
    <n v="0"/>
    <m/>
    <m/>
    <m/>
    <m/>
    <m/>
    <m/>
    <m/>
    <m/>
    <m/>
    <m/>
    <m/>
    <m/>
    <m/>
    <s v="0"/>
    <s v="0"/>
    <s v="1"/>
    <n v="1"/>
  </r>
  <r>
    <n v="2700802"/>
    <s v="Extrême-Nord"/>
    <s v="CMR004"/>
    <x v="2"/>
    <s v="CMR004003"/>
    <s v="Kai-Kai"/>
    <s v="CMR004003001"/>
    <s v="KAI-0021"/>
    <s v="KOURBOUK"/>
    <m/>
    <x v="1"/>
    <n v="10.668291699999999"/>
    <n v="15.072026599999999"/>
    <x v="0"/>
    <b v="1"/>
    <b v="0"/>
    <b v="1"/>
    <m/>
    <n v="3"/>
    <s v="Accessible"/>
    <m/>
    <s v="Le village accueille une population"/>
    <s v="Le village est partiellement détruit"/>
    <s v="Intempéries (inondations, tempêtes etc.)"/>
    <m/>
    <s v="Oui"/>
    <s v="Familles d'accueil"/>
    <s v="Non, pas du tout"/>
    <s v="Non"/>
    <m/>
    <m/>
    <n v="4000"/>
    <s v="Non"/>
    <m/>
    <m/>
    <m/>
    <m/>
    <m/>
    <m/>
    <m/>
    <m/>
    <m/>
    <m/>
    <m/>
    <m/>
    <m/>
    <m/>
    <m/>
    <m/>
    <m/>
    <s v="Non"/>
    <m/>
    <m/>
    <m/>
    <m/>
    <m/>
    <m/>
    <m/>
    <m/>
    <m/>
    <m/>
    <m/>
    <m/>
    <m/>
    <m/>
    <m/>
    <s v="Oui"/>
    <n v="23"/>
    <n v="167"/>
    <n v="70"/>
    <n v="97"/>
    <s v="Entre 3 mois et 1 an"/>
    <n v="10"/>
    <n v="5"/>
    <n v="5"/>
    <n v="0"/>
    <n v="0"/>
    <m/>
    <n v="0"/>
    <n v="3"/>
    <s v="Paille/Natte/Nylon"/>
    <n v="0"/>
    <m/>
    <m/>
    <m/>
    <m/>
    <m/>
    <n v="0"/>
    <m/>
    <m/>
    <m/>
    <m/>
    <m/>
    <m/>
    <m/>
    <m/>
    <m/>
    <m/>
    <m/>
    <m/>
    <m/>
    <s v="0"/>
    <s v="0"/>
    <s v="1"/>
    <n v="1"/>
  </r>
  <r>
    <n v="2711803"/>
    <s v="Extrême-Nord"/>
    <s v="CMR004"/>
    <x v="2"/>
    <s v="CMR004003"/>
    <s v="Kai-Kai"/>
    <s v="CMR004003001"/>
    <s v="KAI-0010"/>
    <s v="LOUGOY MASSOUANG"/>
    <m/>
    <x v="0"/>
    <n v="10.666595299999999"/>
    <n v="15.019321400000001"/>
    <x v="0"/>
    <b v="1"/>
    <b v="0"/>
    <b v="1"/>
    <m/>
    <n v="3"/>
    <s v="Accessible"/>
    <m/>
    <s v="Le village accueille une population"/>
    <s v="Le village est partiellement détruit"/>
    <s v="Intempéries (inondations, tempêtes etc.)"/>
    <m/>
    <s v="Oui"/>
    <s v="Familles d'accueil"/>
    <s v="Sites de déplacement spontanés"/>
    <s v="Oui"/>
    <n v="2"/>
    <n v="230"/>
    <n v="7000"/>
    <s v="Oui"/>
    <s v="Deuxième déplacement"/>
    <n v="230"/>
    <n v="2506"/>
    <n v="1206"/>
    <n v="1300"/>
    <n v="135"/>
    <n v="35"/>
    <n v="0"/>
    <n v="10"/>
    <s v="Chez une famille d'accueil (contre loyer)"/>
    <m/>
    <n v="0"/>
    <n v="50"/>
    <s v="Paille/Natte/Nylon"/>
    <m/>
    <n v="0"/>
    <s v="Les PDIS ont effectué un deuxième déplacement au sein du même village et il y a une augmentation de 6 individus  (3 filles, 3 garçons ) suite aux naissances dans la période de septembre à février."/>
    <s v="Oui"/>
    <n v="5"/>
    <n v="18"/>
    <n v="8"/>
    <n v="10"/>
    <n v="5"/>
    <n v="0"/>
    <n v="0"/>
    <m/>
    <n v="0"/>
    <n v="0"/>
    <m/>
    <m/>
    <n v="0"/>
    <n v="5"/>
    <s v="Il n'y a pas de changement."/>
    <s v="Non"/>
    <m/>
    <m/>
    <m/>
    <m/>
    <m/>
    <m/>
    <m/>
    <m/>
    <m/>
    <m/>
    <m/>
    <m/>
    <m/>
    <m/>
    <m/>
    <m/>
    <m/>
    <m/>
    <m/>
    <m/>
    <n v="0"/>
    <m/>
    <m/>
    <m/>
    <m/>
    <m/>
    <m/>
    <m/>
    <m/>
    <m/>
    <m/>
    <m/>
    <m/>
    <m/>
    <s v="1"/>
    <s v="1"/>
    <s v="0"/>
    <n v="2"/>
  </r>
  <r>
    <n v="2699354"/>
    <s v="Extrême-Nord"/>
    <s v="CMR004"/>
    <x v="2"/>
    <s v="CMR004003"/>
    <s v="Kai-Kai"/>
    <s v="CMR004003001"/>
    <s v="KAI-0007"/>
    <s v="LOUGOYE KAMASSE"/>
    <m/>
    <x v="1"/>
    <n v="10.6778195"/>
    <n v="15.0340247"/>
    <x v="0"/>
    <b v="1"/>
    <b v="0"/>
    <b v="1"/>
    <m/>
    <n v="3"/>
    <s v="Accessible"/>
    <m/>
    <s v="Le village accueille une population"/>
    <s v="Le village est partiellement détruit"/>
    <s v="Intempéries (inondations, tempêtes etc.)"/>
    <m/>
    <s v="Oui"/>
    <s v="Familles d'accueil"/>
    <s v="Non, pas du tout"/>
    <s v="Oui"/>
    <n v="1"/>
    <m/>
    <n v="4000"/>
    <s v="Non"/>
    <m/>
    <m/>
    <m/>
    <m/>
    <m/>
    <m/>
    <m/>
    <m/>
    <m/>
    <m/>
    <m/>
    <m/>
    <m/>
    <m/>
    <m/>
    <m/>
    <m/>
    <s v="Non"/>
    <m/>
    <m/>
    <m/>
    <m/>
    <m/>
    <m/>
    <m/>
    <m/>
    <m/>
    <m/>
    <m/>
    <m/>
    <m/>
    <m/>
    <m/>
    <s v="Oui"/>
    <n v="45"/>
    <n v="306"/>
    <n v="140"/>
    <n v="166"/>
    <s v="Entre 3 mois et 1 an"/>
    <n v="30"/>
    <n v="10"/>
    <n v="5"/>
    <n v="0"/>
    <n v="0"/>
    <m/>
    <n v="0"/>
    <n v="0"/>
    <m/>
    <n v="0"/>
    <m/>
    <m/>
    <m/>
    <m/>
    <m/>
    <n v="0"/>
    <m/>
    <m/>
    <m/>
    <m/>
    <m/>
    <m/>
    <m/>
    <m/>
    <m/>
    <m/>
    <m/>
    <m/>
    <m/>
    <s v="0"/>
    <s v="0"/>
    <s v="1"/>
    <n v="1"/>
  </r>
  <r>
    <n v="2699960"/>
    <s v="Extrême-Nord"/>
    <s v="CMR004"/>
    <x v="2"/>
    <s v="CMR004003"/>
    <s v="Kai-Kai"/>
    <s v="CMR004003001"/>
    <s v="KAI-0011"/>
    <s v="MAGAYEL"/>
    <m/>
    <x v="1"/>
    <n v="10.6573517"/>
    <n v="15.0173649"/>
    <x v="0"/>
    <b v="1"/>
    <b v="0"/>
    <b v="1"/>
    <m/>
    <n v="3"/>
    <s v="Accessible"/>
    <m/>
    <s v="Le village accueille une population"/>
    <s v="Le village est partiellement détruit"/>
    <s v="Intempéries (inondations, tempêtes etc.)"/>
    <m/>
    <s v="Oui"/>
    <s v="Familles d'accueil"/>
    <s v="Non, pas du tout"/>
    <s v="Oui"/>
    <n v="1"/>
    <n v="53"/>
    <n v="4000"/>
    <s v="Oui"/>
    <s v="Deuxième déplacement"/>
    <n v="53"/>
    <n v="379"/>
    <n v="179"/>
    <n v="200"/>
    <n v="33"/>
    <n v="20"/>
    <n v="0"/>
    <n v="0"/>
    <m/>
    <m/>
    <n v="0"/>
    <n v="0"/>
    <m/>
    <m/>
    <n v="0"/>
    <s v="Il y a une augmentation de 20 ménages, 140 individus vénus de NOULOK dans la période de septembre à février 2023."/>
    <s v="Non"/>
    <m/>
    <m/>
    <m/>
    <m/>
    <m/>
    <m/>
    <m/>
    <m/>
    <m/>
    <m/>
    <m/>
    <m/>
    <m/>
    <m/>
    <m/>
    <s v="Non"/>
    <m/>
    <m/>
    <m/>
    <m/>
    <m/>
    <m/>
    <m/>
    <m/>
    <m/>
    <m/>
    <m/>
    <m/>
    <m/>
    <m/>
    <m/>
    <m/>
    <m/>
    <m/>
    <m/>
    <m/>
    <n v="0"/>
    <m/>
    <m/>
    <m/>
    <m/>
    <m/>
    <m/>
    <m/>
    <m/>
    <m/>
    <m/>
    <m/>
    <m/>
    <m/>
    <s v="1"/>
    <s v="0"/>
    <s v="0"/>
    <n v="1"/>
  </r>
  <r>
    <n v="2699350"/>
    <s v="Extrême-Nord"/>
    <s v="CMR004"/>
    <x v="2"/>
    <s v="CMR004003"/>
    <s v="Kai-Kai"/>
    <s v="CMR004003001"/>
    <s v="KAI-0008"/>
    <s v="MBOUKTANG"/>
    <m/>
    <x v="0"/>
    <n v="10.5890886"/>
    <n v="15.029354100000001"/>
    <x v="0"/>
    <b v="1"/>
    <b v="0"/>
    <b v="1"/>
    <m/>
    <n v="3"/>
    <s v="Accessible"/>
    <m/>
    <s v="Le village accueille une population"/>
    <s v="Le village est intact (construit)"/>
    <m/>
    <m/>
    <s v="Oui"/>
    <s v="Familles d'accueil"/>
    <s v="Non, pas du tout"/>
    <s v="Non"/>
    <m/>
    <n v="6"/>
    <n v="4000"/>
    <s v="Oui"/>
    <s v="Deuxième déplacement"/>
    <n v="6"/>
    <n v="51"/>
    <n v="25"/>
    <n v="26"/>
    <n v="1"/>
    <n v="5"/>
    <n v="0"/>
    <n v="0"/>
    <m/>
    <m/>
    <n v="0"/>
    <n v="0"/>
    <m/>
    <m/>
    <n v="0"/>
    <s v="Les PDIS ont effectué un deuxième déplacement au sein du même village à partir du mois de septembre. "/>
    <s v="Non"/>
    <m/>
    <m/>
    <m/>
    <m/>
    <m/>
    <m/>
    <m/>
    <m/>
    <m/>
    <m/>
    <m/>
    <m/>
    <m/>
    <m/>
    <m/>
    <s v="Oui"/>
    <n v="16"/>
    <n v="128"/>
    <n v="58"/>
    <n v="70"/>
    <s v="Entre 3 mois et 1 an"/>
    <n v="10"/>
    <n v="0"/>
    <n v="6"/>
    <n v="0"/>
    <n v="0"/>
    <m/>
    <n v="0"/>
    <n v="0"/>
    <m/>
    <n v="0"/>
    <m/>
    <m/>
    <m/>
    <m/>
    <m/>
    <n v="0"/>
    <m/>
    <m/>
    <m/>
    <m/>
    <m/>
    <m/>
    <m/>
    <m/>
    <m/>
    <m/>
    <m/>
    <m/>
    <m/>
    <s v="1"/>
    <s v="0"/>
    <s v="1"/>
    <n v="2"/>
  </r>
  <r>
    <n v="2709798"/>
    <s v="Extrême-Nord"/>
    <s v="CMR004"/>
    <x v="2"/>
    <s v="CMR004003"/>
    <s v="Kai-Kai"/>
    <s v="CMR004003001"/>
    <s v="KAI-0012"/>
    <s v="SILLA"/>
    <m/>
    <x v="1"/>
    <n v="10.6782761"/>
    <n v="14.8341446"/>
    <x v="0"/>
    <b v="1"/>
    <b v="0"/>
    <b v="1"/>
    <m/>
    <n v="3"/>
    <s v="Accessible"/>
    <m/>
    <s v="Le village accueille une population"/>
    <s v="Le village est partiellement détruit"/>
    <s v="Intempéries (inondations, tempêtes etc.)"/>
    <m/>
    <s v="Oui"/>
    <s v="Familles d'accueil"/>
    <s v="Sites de déplacement spontanés"/>
    <s v="Non"/>
    <m/>
    <n v="38"/>
    <n v="4500"/>
    <s v="Oui"/>
    <s v="Deuxième déplacement"/>
    <n v="38"/>
    <n v="319"/>
    <n v="150"/>
    <n v="169"/>
    <n v="25"/>
    <n v="5"/>
    <n v="0"/>
    <n v="0"/>
    <m/>
    <m/>
    <n v="0"/>
    <n v="8"/>
    <s v="Paille/Natte/Nylon"/>
    <m/>
    <n v="0"/>
    <s v="Il y a une augmentation de 6 ménages, 42 individus vénus de Guidon Guidouang dans la période de septembre à février. "/>
    <s v="Non"/>
    <m/>
    <m/>
    <m/>
    <m/>
    <m/>
    <m/>
    <m/>
    <m/>
    <m/>
    <m/>
    <m/>
    <m/>
    <m/>
    <m/>
    <m/>
    <s v="Non"/>
    <m/>
    <m/>
    <m/>
    <m/>
    <m/>
    <m/>
    <m/>
    <m/>
    <m/>
    <m/>
    <m/>
    <m/>
    <m/>
    <m/>
    <m/>
    <m/>
    <m/>
    <m/>
    <m/>
    <m/>
    <n v="0"/>
    <m/>
    <m/>
    <m/>
    <m/>
    <m/>
    <m/>
    <m/>
    <m/>
    <m/>
    <m/>
    <m/>
    <m/>
    <m/>
    <s v="1"/>
    <s v="0"/>
    <s v="0"/>
    <n v="1"/>
  </r>
  <r>
    <n v="2699963"/>
    <s v="Extrême-Nord"/>
    <s v="CMR004"/>
    <x v="2"/>
    <s v="CMR004003"/>
    <s v="Kai-Kai"/>
    <s v="CMR004003001"/>
    <s v="KAI-0013"/>
    <s v="SITE DE BARIAGODJO"/>
    <m/>
    <x v="1"/>
    <n v="10.6764542"/>
    <n v="14.9921071"/>
    <x v="1"/>
    <b v="1"/>
    <b v="0"/>
    <b v="1"/>
    <m/>
    <n v="3"/>
    <s v="Accessible"/>
    <m/>
    <s v="Le village accueille une population"/>
    <s v="Le village est partiellement détruit"/>
    <s v="Intempéries (inondations, tempêtes etc.)"/>
    <m/>
    <s v="Oui"/>
    <s v="Sites de déplacement spontanés"/>
    <s v="Non, pas du tout"/>
    <m/>
    <m/>
    <n v="152"/>
    <n v="1500"/>
    <s v="Oui"/>
    <s v="Deuxième déplacement"/>
    <n v="152"/>
    <n v="1220"/>
    <n v="600"/>
    <n v="620"/>
    <n v="0"/>
    <n v="0"/>
    <n v="0"/>
    <n v="0"/>
    <m/>
    <m/>
    <n v="0"/>
    <n v="152"/>
    <s v="Paille/Natte/Nylon"/>
    <m/>
    <n v="0"/>
    <s v="Il n'y a pas de changement ."/>
    <s v="Non"/>
    <m/>
    <m/>
    <m/>
    <m/>
    <m/>
    <m/>
    <m/>
    <m/>
    <m/>
    <m/>
    <m/>
    <m/>
    <m/>
    <m/>
    <m/>
    <s v="Non"/>
    <m/>
    <m/>
    <m/>
    <m/>
    <m/>
    <m/>
    <m/>
    <m/>
    <m/>
    <m/>
    <m/>
    <m/>
    <m/>
    <m/>
    <m/>
    <m/>
    <m/>
    <m/>
    <m/>
    <m/>
    <n v="0"/>
    <m/>
    <m/>
    <m/>
    <m/>
    <m/>
    <m/>
    <m/>
    <m/>
    <m/>
    <m/>
    <m/>
    <m/>
    <m/>
    <s v="1"/>
    <s v="0"/>
    <s v="0"/>
    <n v="1"/>
  </r>
  <r>
    <n v="2711795"/>
    <s v="Extrême-Nord"/>
    <s v="CMR004"/>
    <x v="2"/>
    <s v="CMR004003"/>
    <s v="Kai-Kai"/>
    <s v="CMR004003001"/>
    <s v="KAI-0014"/>
    <s v="SITE DE KAI-KAI CENTRE"/>
    <m/>
    <x v="1"/>
    <n v="10.660056600000001"/>
    <n v="15.019240099999999"/>
    <x v="1"/>
    <b v="1"/>
    <b v="0"/>
    <b v="1"/>
    <m/>
    <n v="3"/>
    <s v="Accessible"/>
    <m/>
    <s v="Le village accueille une population"/>
    <s v="Le village est partiellement détruit"/>
    <s v="Intempéries (inondations, tempêtes etc.)"/>
    <m/>
    <s v="Oui"/>
    <s v="Sites de déplacement spontanés"/>
    <s v="Familles d'accueil"/>
    <m/>
    <m/>
    <n v="30"/>
    <n v="7000"/>
    <s v="Oui"/>
    <s v="Premier déplacement"/>
    <n v="30"/>
    <n v="320"/>
    <n v="150"/>
    <n v="170"/>
    <n v="0"/>
    <n v="0"/>
    <n v="0"/>
    <n v="0"/>
    <m/>
    <m/>
    <n v="0"/>
    <n v="30"/>
    <s v="Paille/Natte/Nylon"/>
    <m/>
    <n v="0"/>
    <s v="Les déplacés sont venus à partir du mois d'août et la plupart sont venus  de Gabouang. "/>
    <s v="Non"/>
    <m/>
    <m/>
    <m/>
    <m/>
    <m/>
    <m/>
    <m/>
    <m/>
    <m/>
    <m/>
    <m/>
    <m/>
    <m/>
    <m/>
    <m/>
    <s v="Non"/>
    <m/>
    <m/>
    <m/>
    <m/>
    <m/>
    <m/>
    <m/>
    <m/>
    <m/>
    <m/>
    <m/>
    <m/>
    <m/>
    <m/>
    <m/>
    <m/>
    <m/>
    <m/>
    <m/>
    <m/>
    <n v="0"/>
    <m/>
    <m/>
    <m/>
    <m/>
    <m/>
    <m/>
    <m/>
    <m/>
    <m/>
    <m/>
    <m/>
    <m/>
    <m/>
    <s v="1"/>
    <s v="0"/>
    <s v="0"/>
    <n v="1"/>
  </r>
  <r>
    <n v="2711523"/>
    <s v="Extrême-Nord"/>
    <s v="CMR004"/>
    <x v="2"/>
    <s v="CMR004003"/>
    <s v="Kai-Kai"/>
    <s v="CMR004003001"/>
    <s v="KAI-0023"/>
    <s v="SITE DE KAIKAI CENTRE 2"/>
    <m/>
    <x v="0"/>
    <n v="10.665827500000001"/>
    <n v="15.023508100000001"/>
    <x v="1"/>
    <b v="1"/>
    <b v="0"/>
    <b v="1"/>
    <m/>
    <n v="3"/>
    <s v="Accessible"/>
    <m/>
    <s v="Le village accueille une population"/>
    <s v="Le village est partiellement détruit"/>
    <s v="Intempéries (inondations, tempêtes etc.)"/>
    <m/>
    <s v="Oui"/>
    <s v="Sites de déplacement spontanés"/>
    <s v="Familles d'accueil"/>
    <m/>
    <m/>
    <n v="410"/>
    <n v="7000"/>
    <s v="Oui"/>
    <s v="Premier déplacement"/>
    <n v="410"/>
    <n v="1880"/>
    <n v="880"/>
    <n v="1000"/>
    <n v="50"/>
    <n v="50"/>
    <n v="0"/>
    <n v="0"/>
    <m/>
    <m/>
    <n v="0"/>
    <n v="310"/>
    <s v="Paille/Natte/Nylon"/>
    <m/>
    <n v="0"/>
    <s v="Il y a une augmentation de 9 ménages de 100 individus vénus en septembre "/>
    <s v="Non"/>
    <m/>
    <m/>
    <m/>
    <m/>
    <m/>
    <m/>
    <m/>
    <m/>
    <m/>
    <m/>
    <m/>
    <m/>
    <m/>
    <m/>
    <m/>
    <s v="Non"/>
    <m/>
    <m/>
    <m/>
    <m/>
    <m/>
    <m/>
    <m/>
    <m/>
    <m/>
    <m/>
    <m/>
    <m/>
    <m/>
    <m/>
    <m/>
    <m/>
    <m/>
    <m/>
    <m/>
    <m/>
    <n v="0"/>
    <m/>
    <m/>
    <m/>
    <m/>
    <m/>
    <m/>
    <m/>
    <m/>
    <m/>
    <m/>
    <m/>
    <m/>
    <m/>
    <s v="1"/>
    <s v="0"/>
    <s v="0"/>
    <n v="1"/>
  </r>
  <r>
    <n v="2709797"/>
    <s v="Extrême-Nord"/>
    <s v="CMR004"/>
    <x v="2"/>
    <s v="CMR004003"/>
    <s v="Kai-Kai"/>
    <s v="CMR004003001"/>
    <s v="KAI-0016"/>
    <s v="SITE DE KOLONG"/>
    <m/>
    <x v="1"/>
    <n v="10.6276894"/>
    <n v="14.953523199999999"/>
    <x v="1"/>
    <b v="1"/>
    <b v="0"/>
    <b v="1"/>
    <m/>
    <n v="3"/>
    <s v="Accessible"/>
    <m/>
    <s v="Le village accueille une population"/>
    <s v="Le village est partiellement détruit"/>
    <s v="Intempéries (inondations, tempêtes etc.)"/>
    <m/>
    <s v="Oui"/>
    <s v="Sites de déplacement spontanés"/>
    <s v="Non, pas du tout"/>
    <m/>
    <m/>
    <n v="45"/>
    <n v="2000"/>
    <s v="Oui"/>
    <s v="Deuxième déplacement"/>
    <n v="45"/>
    <n v="290"/>
    <n v="140"/>
    <n v="150"/>
    <n v="30"/>
    <n v="0"/>
    <n v="0"/>
    <n v="0"/>
    <m/>
    <m/>
    <n v="0"/>
    <n v="15"/>
    <s v="Paille/Natte/Nylon"/>
    <m/>
    <n v="0"/>
    <s v="Il n'y a pas changement "/>
    <s v="Non"/>
    <m/>
    <m/>
    <m/>
    <m/>
    <m/>
    <m/>
    <m/>
    <m/>
    <m/>
    <m/>
    <m/>
    <m/>
    <m/>
    <m/>
    <m/>
    <s v="Non"/>
    <m/>
    <m/>
    <m/>
    <m/>
    <m/>
    <m/>
    <m/>
    <m/>
    <m/>
    <m/>
    <m/>
    <m/>
    <m/>
    <m/>
    <m/>
    <m/>
    <m/>
    <m/>
    <m/>
    <m/>
    <n v="0"/>
    <m/>
    <m/>
    <m/>
    <m/>
    <m/>
    <m/>
    <m/>
    <m/>
    <m/>
    <m/>
    <m/>
    <m/>
    <m/>
    <s v="1"/>
    <s v="0"/>
    <s v="0"/>
    <n v="1"/>
  </r>
  <r>
    <n v="2710337"/>
    <s v="Extrême-Nord"/>
    <s v="CMR004"/>
    <x v="2"/>
    <s v="CMR004003"/>
    <s v="Kai-Kai"/>
    <s v="CMR004003001"/>
    <s v="KAI-0015"/>
    <s v="SITE DE LOUGOYE KAMASSE"/>
    <m/>
    <x v="1"/>
    <n v="10.687861099999999"/>
    <n v="15.0325819"/>
    <x v="1"/>
    <b v="1"/>
    <b v="0"/>
    <b v="1"/>
    <m/>
    <n v="3"/>
    <s v="Accessible"/>
    <m/>
    <s v="Le village accueille une population"/>
    <s v="Le village est partiellement détruit"/>
    <s v="Intempéries (inondations, tempêtes etc.)"/>
    <m/>
    <s v="Oui"/>
    <s v="Sites de déplacement spontanés"/>
    <s v="Non, pas du tout"/>
    <m/>
    <m/>
    <n v="252"/>
    <n v="4500"/>
    <s v="Oui"/>
    <s v="Deuxième déplacement"/>
    <n v="252"/>
    <n v="1740"/>
    <n v="740"/>
    <n v="1000"/>
    <n v="100"/>
    <n v="50"/>
    <n v="0"/>
    <n v="0"/>
    <m/>
    <m/>
    <n v="0"/>
    <n v="102"/>
    <s v="Paille/Natte/Nylon"/>
    <m/>
    <n v="0"/>
    <s v="Les déplacés ont fait un deuxième déplacement dans la même localité.  Il y a une augmentation de 3 individus suite aux naissances. "/>
    <s v="Non"/>
    <m/>
    <m/>
    <m/>
    <m/>
    <m/>
    <m/>
    <m/>
    <m/>
    <m/>
    <m/>
    <m/>
    <m/>
    <m/>
    <m/>
    <m/>
    <s v="Non"/>
    <m/>
    <m/>
    <m/>
    <m/>
    <m/>
    <m/>
    <m/>
    <m/>
    <m/>
    <m/>
    <m/>
    <m/>
    <m/>
    <m/>
    <m/>
    <m/>
    <m/>
    <m/>
    <m/>
    <m/>
    <n v="0"/>
    <m/>
    <m/>
    <m/>
    <m/>
    <m/>
    <m/>
    <m/>
    <m/>
    <m/>
    <m/>
    <m/>
    <m/>
    <m/>
    <s v="1"/>
    <s v="0"/>
    <s v="0"/>
    <n v="1"/>
  </r>
  <r>
    <n v="2710477"/>
    <s v="Extrême-Nord"/>
    <s v="CMR004"/>
    <x v="2"/>
    <s v="CMR004003"/>
    <s v="Kai-Kai"/>
    <s v="CMR004003001"/>
    <s v="KAI-0017"/>
    <s v="SITE DE MAGAYEL"/>
    <m/>
    <x v="1"/>
    <n v="10.6685181"/>
    <n v="14.899671100000001"/>
    <x v="1"/>
    <b v="1"/>
    <b v="0"/>
    <b v="1"/>
    <m/>
    <n v="3"/>
    <s v="Accessible"/>
    <m/>
    <s v="Le village accueille une population"/>
    <s v="Le village est partiellement détruit"/>
    <s v="Intempéries (inondations, tempêtes etc.)"/>
    <m/>
    <s v="Oui"/>
    <s v="Sites de déplacement spontanés"/>
    <s v="Non, pas du tout"/>
    <m/>
    <m/>
    <n v="152"/>
    <n v="4000"/>
    <s v="Oui"/>
    <s v="Deuxième déplacement"/>
    <n v="152"/>
    <n v="785"/>
    <n v="385"/>
    <n v="400"/>
    <n v="50"/>
    <n v="52"/>
    <n v="0"/>
    <n v="0"/>
    <m/>
    <m/>
    <n v="0"/>
    <n v="50"/>
    <s v="Paille/Natte/Nylon"/>
    <m/>
    <n v="0"/>
    <s v="Les déplacés internes ont effectué un deuxième mouvement au sein du village pendant le mois de septembre. "/>
    <s v="Non"/>
    <m/>
    <m/>
    <m/>
    <m/>
    <m/>
    <m/>
    <m/>
    <m/>
    <m/>
    <m/>
    <m/>
    <m/>
    <m/>
    <m/>
    <m/>
    <s v="Non"/>
    <m/>
    <m/>
    <m/>
    <m/>
    <m/>
    <m/>
    <m/>
    <m/>
    <m/>
    <m/>
    <m/>
    <m/>
    <m/>
    <m/>
    <m/>
    <m/>
    <m/>
    <m/>
    <m/>
    <m/>
    <n v="0"/>
    <m/>
    <m/>
    <m/>
    <m/>
    <m/>
    <m/>
    <m/>
    <m/>
    <m/>
    <m/>
    <m/>
    <m/>
    <m/>
    <s v="1"/>
    <s v="0"/>
    <s v="0"/>
    <n v="1"/>
  </r>
  <r>
    <n v="2709799"/>
    <s v="Extrême-Nord"/>
    <s v="CMR004"/>
    <x v="2"/>
    <s v="CMR004003"/>
    <s v="Kai-Kai"/>
    <s v="CMR004003001"/>
    <s v="KAI-0022"/>
    <s v="SOUKOMAYE"/>
    <m/>
    <x v="1"/>
    <n v="10.6879708"/>
    <n v="15.032834899999999"/>
    <x v="0"/>
    <b v="1"/>
    <b v="0"/>
    <b v="1"/>
    <m/>
    <n v="3"/>
    <s v="Accessible"/>
    <m/>
    <s v="Le village accueille une population"/>
    <s v="Le village est partiellement détruit"/>
    <s v="Intempéries (inondations, tempêtes etc.)"/>
    <m/>
    <s v="Oui"/>
    <s v="Familles d'accueil"/>
    <s v="Non, pas du tout"/>
    <s v="Non"/>
    <m/>
    <m/>
    <n v="2000"/>
    <s v="Non"/>
    <m/>
    <m/>
    <m/>
    <m/>
    <m/>
    <m/>
    <m/>
    <m/>
    <m/>
    <m/>
    <m/>
    <m/>
    <m/>
    <m/>
    <m/>
    <m/>
    <m/>
    <s v="Non"/>
    <m/>
    <m/>
    <m/>
    <m/>
    <m/>
    <m/>
    <m/>
    <m/>
    <m/>
    <m/>
    <m/>
    <m/>
    <m/>
    <m/>
    <m/>
    <s v="Oui"/>
    <n v="34"/>
    <n v="184"/>
    <n v="84"/>
    <n v="100"/>
    <s v="Entre 3 mois et 1 an"/>
    <n v="20"/>
    <n v="10"/>
    <n v="4"/>
    <n v="0"/>
    <n v="0"/>
    <m/>
    <n v="0"/>
    <n v="0"/>
    <m/>
    <n v="0"/>
    <m/>
    <m/>
    <m/>
    <m/>
    <m/>
    <n v="0"/>
    <m/>
    <m/>
    <m/>
    <m/>
    <m/>
    <m/>
    <m/>
    <m/>
    <m/>
    <m/>
    <m/>
    <m/>
    <m/>
    <s v="0"/>
    <s v="0"/>
    <s v="1"/>
    <n v="1"/>
  </r>
  <r>
    <n v="2699352"/>
    <s v="Extrême-Nord"/>
    <s v="CMR004"/>
    <x v="2"/>
    <s v="CMR004003"/>
    <s v="Kai-Kai"/>
    <s v="CMR004003001"/>
    <s v="KAI-0009"/>
    <s v="YANGA"/>
    <m/>
    <x v="1"/>
    <n v="10.733177400000001"/>
    <n v="15.02398"/>
    <x v="0"/>
    <b v="1"/>
    <b v="0"/>
    <b v="1"/>
    <m/>
    <n v="4"/>
    <s v="Accessible"/>
    <m/>
    <s v="Le village accueille une population"/>
    <s v="Le village est partiellement détruit"/>
    <s v="Intempéries (inondations, tempêtes etc.)"/>
    <m/>
    <s v="Oui"/>
    <s v="Familles d'accueil"/>
    <s v="Sites de déplacement spontanés"/>
    <s v="Non"/>
    <m/>
    <m/>
    <n v="3000"/>
    <s v="Non"/>
    <m/>
    <m/>
    <m/>
    <m/>
    <m/>
    <m/>
    <m/>
    <m/>
    <m/>
    <m/>
    <m/>
    <m/>
    <m/>
    <m/>
    <m/>
    <m/>
    <m/>
    <s v="Non"/>
    <m/>
    <m/>
    <m/>
    <m/>
    <m/>
    <m/>
    <m/>
    <m/>
    <m/>
    <m/>
    <m/>
    <m/>
    <m/>
    <m/>
    <m/>
    <s v="Oui"/>
    <n v="13"/>
    <n v="111"/>
    <n v="50"/>
    <n v="61"/>
    <s v="Entre 3 mois et 1 an"/>
    <n v="10"/>
    <n v="0"/>
    <n v="3"/>
    <n v="0"/>
    <n v="0"/>
    <m/>
    <n v="0"/>
    <n v="0"/>
    <m/>
    <n v="0"/>
    <m/>
    <m/>
    <m/>
    <m/>
    <m/>
    <n v="0"/>
    <m/>
    <m/>
    <m/>
    <m/>
    <m/>
    <m/>
    <m/>
    <m/>
    <m/>
    <m/>
    <m/>
    <m/>
    <m/>
    <s v="0"/>
    <s v="0"/>
    <s v="1"/>
    <n v="1"/>
  </r>
  <r>
    <n v="2683350"/>
    <s v="Extrême-Nord"/>
    <s v="CMR004"/>
    <x v="2"/>
    <s v="CMR004003"/>
    <s v="Maga"/>
    <s v="CMR004003002"/>
    <s v="XXXX"/>
    <s v="GAZIAM"/>
    <s v="GAZIAM"/>
    <x v="1"/>
    <n v="10.9483847"/>
    <n v="14.820467600000001"/>
    <x v="0"/>
    <b v="1"/>
    <b v="0"/>
    <b v="1"/>
    <m/>
    <n v="4"/>
    <s v="Accessible"/>
    <m/>
    <s v="Le village accueille une population"/>
    <s v="Le village est partiellement détruit"/>
    <s v="Conflit intercommunautaire"/>
    <m/>
    <s v="Oui"/>
    <s v="Familles d'accueil"/>
    <s v="Non, pas du tout"/>
    <s v="Non"/>
    <m/>
    <m/>
    <n v="750"/>
    <s v="Non"/>
    <m/>
    <m/>
    <m/>
    <m/>
    <m/>
    <m/>
    <m/>
    <m/>
    <m/>
    <m/>
    <m/>
    <m/>
    <m/>
    <m/>
    <m/>
    <m/>
    <m/>
    <s v="Non"/>
    <m/>
    <m/>
    <m/>
    <m/>
    <m/>
    <m/>
    <m/>
    <m/>
    <m/>
    <m/>
    <m/>
    <m/>
    <m/>
    <m/>
    <m/>
    <s v="Oui"/>
    <n v="23"/>
    <n v="175"/>
    <n v="80"/>
    <n v="95"/>
    <s v="Moins de 3 mois"/>
    <n v="0"/>
    <n v="23"/>
    <n v="0"/>
    <n v="0"/>
    <n v="0"/>
    <m/>
    <n v="0"/>
    <n v="0"/>
    <m/>
    <n v="0"/>
    <m/>
    <m/>
    <m/>
    <m/>
    <m/>
    <n v="0"/>
    <m/>
    <m/>
    <m/>
    <m/>
    <m/>
    <m/>
    <m/>
    <m/>
    <m/>
    <m/>
    <m/>
    <m/>
    <m/>
    <s v="0"/>
    <s v="0"/>
    <s v="1"/>
    <n v="1"/>
  </r>
  <r>
    <n v="2580212"/>
    <s v="Extrême-Nord"/>
    <s v="CMR004"/>
    <x v="2"/>
    <s v="CMR004003"/>
    <s v="Maga"/>
    <s v="CMR004003002"/>
    <s v="MAG-0008"/>
    <s v="ALVAKAYE"/>
    <m/>
    <x v="1"/>
    <n v="11.006342999999999"/>
    <n v="15.0137024"/>
    <x v="0"/>
    <b v="1"/>
    <b v="0"/>
    <b v="1"/>
    <m/>
    <n v="3"/>
    <s v="Accessible"/>
    <m/>
    <s v="Le village accueille une population"/>
    <s v="Le village est totalement détruit"/>
    <s v="Intempéries (inondations, tempêtes etc.)"/>
    <m/>
    <s v="Oui"/>
    <s v="Familles d'accueil"/>
    <s v="Non, pas du tout"/>
    <s v="Non"/>
    <m/>
    <m/>
    <n v="3000"/>
    <s v="Non"/>
    <m/>
    <m/>
    <m/>
    <m/>
    <m/>
    <m/>
    <m/>
    <m/>
    <m/>
    <m/>
    <m/>
    <m/>
    <m/>
    <m/>
    <m/>
    <m/>
    <m/>
    <s v="Non"/>
    <m/>
    <m/>
    <m/>
    <m/>
    <m/>
    <m/>
    <m/>
    <m/>
    <m/>
    <m/>
    <m/>
    <m/>
    <m/>
    <m/>
    <m/>
    <s v="Oui"/>
    <n v="177"/>
    <n v="2569"/>
    <n v="1226"/>
    <n v="1343"/>
    <s v="Entre 1 et 5 ans"/>
    <n v="177"/>
    <n v="0"/>
    <n v="0"/>
    <n v="0"/>
    <n v="0"/>
    <m/>
    <n v="0"/>
    <n v="0"/>
    <m/>
    <n v="0"/>
    <m/>
    <m/>
    <m/>
    <m/>
    <m/>
    <n v="0"/>
    <m/>
    <m/>
    <m/>
    <m/>
    <m/>
    <m/>
    <m/>
    <m/>
    <m/>
    <m/>
    <m/>
    <m/>
    <m/>
    <s v="0"/>
    <s v="0"/>
    <s v="1"/>
    <n v="1"/>
  </r>
  <r>
    <n v="2672788"/>
    <s v="Extrême-Nord"/>
    <s v="CMR004"/>
    <x v="2"/>
    <s v="CMR004003"/>
    <s v="Maga"/>
    <s v="CMR004003002"/>
    <s v="MAG-0009"/>
    <s v="ARGAZAMA"/>
    <m/>
    <x v="1"/>
    <n v="11.000245899999999"/>
    <n v="15.0438201"/>
    <x v="0"/>
    <b v="1"/>
    <b v="0"/>
    <b v="0"/>
    <m/>
    <n v="4"/>
    <s v="Accessible"/>
    <m/>
    <s v="Le village accueille une population"/>
    <s v="Le village est partiellement détruit"/>
    <s v="Intempéries (inondations, tempêtes etc.)"/>
    <m/>
    <s v="Oui"/>
    <s v="Familles d'accueil"/>
    <s v="Non, pas du tout"/>
    <s v="Non"/>
    <m/>
    <n v="10"/>
    <n v="1500"/>
    <s v="Oui"/>
    <s v="Deuxième déplacement"/>
    <n v="10"/>
    <n v="56"/>
    <n v="23"/>
    <n v="33"/>
    <n v="10"/>
    <n v="0"/>
    <n v="0"/>
    <n v="0"/>
    <m/>
    <m/>
    <n v="0"/>
    <n v="0"/>
    <m/>
    <m/>
    <n v="0"/>
    <s v="pas de changement au niveau des déplacés, pas de nouvelles naissance pour ce round"/>
    <s v="Non"/>
    <m/>
    <m/>
    <m/>
    <m/>
    <m/>
    <m/>
    <m/>
    <m/>
    <m/>
    <m/>
    <m/>
    <m/>
    <m/>
    <m/>
    <m/>
    <s v="Oui"/>
    <n v="12"/>
    <n v="100"/>
    <n v="40"/>
    <n v="60"/>
    <s v="Entre 3 mois et 1 an"/>
    <n v="0"/>
    <n v="12"/>
    <n v="0"/>
    <n v="0"/>
    <n v="0"/>
    <m/>
    <n v="0"/>
    <n v="0"/>
    <m/>
    <n v="0"/>
    <m/>
    <m/>
    <m/>
    <m/>
    <m/>
    <n v="0"/>
    <m/>
    <m/>
    <m/>
    <m/>
    <m/>
    <m/>
    <m/>
    <m/>
    <m/>
    <m/>
    <m/>
    <m/>
    <m/>
    <s v="1"/>
    <s v="0"/>
    <s v="1"/>
    <n v="2"/>
  </r>
  <r>
    <n v="2672809"/>
    <s v="Extrême-Nord"/>
    <s v="CMR004"/>
    <x v="2"/>
    <s v="CMR004003"/>
    <s v="Maga"/>
    <s v="CMR004003002"/>
    <s v="MAG-0019"/>
    <s v="BLAMMOUTOKO"/>
    <m/>
    <x v="1"/>
    <n v="10.9522481"/>
    <n v="14.8174437"/>
    <x v="0"/>
    <b v="1"/>
    <b v="0"/>
    <b v="1"/>
    <m/>
    <n v="4"/>
    <s v="Accessible"/>
    <m/>
    <s v="Le village accueille une population"/>
    <s v="Le village est partiellement détruit"/>
    <s v="Conflit intercommunautaire"/>
    <m/>
    <s v="Oui"/>
    <s v="Familles d'accueil"/>
    <s v="Non, pas du tout"/>
    <s v="Non"/>
    <m/>
    <m/>
    <n v="6000"/>
    <s v="Non"/>
    <m/>
    <m/>
    <m/>
    <m/>
    <m/>
    <m/>
    <m/>
    <m/>
    <m/>
    <m/>
    <m/>
    <m/>
    <m/>
    <m/>
    <m/>
    <m/>
    <m/>
    <s v="Non"/>
    <m/>
    <m/>
    <m/>
    <m/>
    <m/>
    <m/>
    <m/>
    <m/>
    <m/>
    <m/>
    <m/>
    <m/>
    <m/>
    <m/>
    <m/>
    <s v="Oui"/>
    <n v="160"/>
    <n v="1200"/>
    <n v="503"/>
    <n v="697"/>
    <s v="Entre 3 mois et 1 an"/>
    <n v="30"/>
    <n v="130"/>
    <n v="0"/>
    <n v="0"/>
    <n v="0"/>
    <m/>
    <n v="0"/>
    <n v="0"/>
    <m/>
    <n v="0"/>
    <m/>
    <m/>
    <m/>
    <m/>
    <m/>
    <n v="0"/>
    <m/>
    <m/>
    <m/>
    <m/>
    <m/>
    <m/>
    <m/>
    <m/>
    <m/>
    <m/>
    <m/>
    <m/>
    <m/>
    <s v="0"/>
    <s v="0"/>
    <s v="1"/>
    <n v="1"/>
  </r>
  <r>
    <n v="2665644"/>
    <s v="Extrême-Nord"/>
    <s v="CMR004"/>
    <x v="2"/>
    <s v="CMR004003"/>
    <s v="Maga"/>
    <s v="CMR004003002"/>
    <s v="MAG-0020"/>
    <s v="DIGA ARABE"/>
    <m/>
    <x v="1"/>
    <n v="10.9479557"/>
    <n v="14.896805199999999"/>
    <x v="0"/>
    <b v="1"/>
    <b v="0"/>
    <b v="1"/>
    <m/>
    <n v="4"/>
    <s v="Accessible"/>
    <m/>
    <s v="Le village accueille une population"/>
    <s v="Le village est totalement détruit"/>
    <s v="Intempéries (inondations, tempêtes etc.)"/>
    <m/>
    <s v="Oui"/>
    <s v="Familles d'accueil"/>
    <s v="Non, pas du tout"/>
    <s v="Non"/>
    <m/>
    <m/>
    <n v="240"/>
    <s v="Non"/>
    <m/>
    <m/>
    <m/>
    <m/>
    <m/>
    <m/>
    <m/>
    <m/>
    <m/>
    <m/>
    <m/>
    <m/>
    <m/>
    <m/>
    <m/>
    <m/>
    <m/>
    <s v="Non"/>
    <m/>
    <m/>
    <m/>
    <m/>
    <m/>
    <m/>
    <m/>
    <m/>
    <m/>
    <m/>
    <m/>
    <m/>
    <m/>
    <m/>
    <m/>
    <s v="Oui"/>
    <n v="45"/>
    <n v="240"/>
    <n v="110"/>
    <n v="130"/>
    <s v="Entre 3 mois et 1 an"/>
    <n v="0"/>
    <n v="45"/>
    <n v="0"/>
    <n v="0"/>
    <n v="0"/>
    <m/>
    <n v="0"/>
    <n v="0"/>
    <m/>
    <n v="0"/>
    <m/>
    <m/>
    <m/>
    <m/>
    <m/>
    <n v="0"/>
    <m/>
    <m/>
    <m/>
    <m/>
    <m/>
    <m/>
    <m/>
    <m/>
    <m/>
    <m/>
    <m/>
    <m/>
    <m/>
    <s v="0"/>
    <s v="0"/>
    <s v="1"/>
    <n v="1"/>
  </r>
  <r>
    <n v="2627100"/>
    <s v="Extrême-Nord"/>
    <s v="CMR004"/>
    <x v="2"/>
    <s v="CMR004003"/>
    <s v="Maga"/>
    <s v="CMR004003002"/>
    <s v="MAG-0010"/>
    <s v="GAYA"/>
    <m/>
    <x v="1"/>
    <n v="10.7702784"/>
    <n v="15.082288200000001"/>
    <x v="0"/>
    <b v="1"/>
    <b v="0"/>
    <b v="1"/>
    <m/>
    <n v="3"/>
    <s v="Accessible"/>
    <m/>
    <s v="Le village accueille une population"/>
    <s v="Le village est totalement détruit"/>
    <s v="Intempéries (inondations, tempêtes etc.)"/>
    <m/>
    <s v="Oui"/>
    <s v="Familles d'accueil"/>
    <s v="Non, pas du tout"/>
    <s v="Non"/>
    <m/>
    <m/>
    <n v="900"/>
    <s v="Non"/>
    <m/>
    <m/>
    <m/>
    <m/>
    <m/>
    <m/>
    <m/>
    <m/>
    <m/>
    <m/>
    <m/>
    <m/>
    <m/>
    <m/>
    <m/>
    <m/>
    <m/>
    <s v="Non"/>
    <m/>
    <m/>
    <m/>
    <m/>
    <m/>
    <m/>
    <m/>
    <m/>
    <m/>
    <m/>
    <m/>
    <m/>
    <m/>
    <m/>
    <m/>
    <s v="Oui"/>
    <n v="29"/>
    <n v="295"/>
    <n v="140"/>
    <n v="155"/>
    <s v="Entre 3 mois et 1 an"/>
    <n v="29"/>
    <n v="0"/>
    <n v="0"/>
    <n v="0"/>
    <n v="0"/>
    <m/>
    <n v="0"/>
    <n v="0"/>
    <m/>
    <n v="0"/>
    <m/>
    <m/>
    <m/>
    <m/>
    <m/>
    <n v="0"/>
    <m/>
    <m/>
    <m/>
    <m/>
    <m/>
    <m/>
    <m/>
    <m/>
    <m/>
    <m/>
    <m/>
    <m/>
    <m/>
    <s v="0"/>
    <s v="0"/>
    <s v="1"/>
    <n v="1"/>
  </r>
  <r>
    <n v="2672795"/>
    <s v="Extrême-Nord"/>
    <s v="CMR004"/>
    <x v="2"/>
    <s v="CMR004003"/>
    <s v="Maga"/>
    <s v="CMR004003002"/>
    <s v="MAG-0007"/>
    <s v="GAYA 2 SITE"/>
    <m/>
    <x v="1"/>
    <n v="10.8385005"/>
    <n v="15.0349623"/>
    <x v="0"/>
    <b v="1"/>
    <b v="0"/>
    <b v="0"/>
    <m/>
    <n v="5"/>
    <s v="Accessible"/>
    <m/>
    <s v="Le village accueille une population"/>
    <s v="Le village est partiellement détruit"/>
    <s v="Intempéries (inondations, tempêtes etc.)"/>
    <m/>
    <s v="Oui"/>
    <s v="Familles d'accueil"/>
    <s v="Non, pas du tout"/>
    <s v="Non"/>
    <m/>
    <n v="49"/>
    <n v="324"/>
    <s v="Oui"/>
    <s v="Premier déplacement"/>
    <n v="49"/>
    <n v="324"/>
    <n v="156"/>
    <n v="168"/>
    <n v="49"/>
    <n v="0"/>
    <n v="0"/>
    <n v="0"/>
    <m/>
    <m/>
    <n v="0"/>
    <n v="0"/>
    <m/>
    <m/>
    <n v="0"/>
    <s v="augmentation des 9 enfants dont 4 filles et 5 garçons au sein de la localité."/>
    <s v="Non"/>
    <m/>
    <m/>
    <m/>
    <m/>
    <m/>
    <m/>
    <m/>
    <m/>
    <m/>
    <m/>
    <m/>
    <m/>
    <m/>
    <m/>
    <m/>
    <s v="Non"/>
    <m/>
    <m/>
    <m/>
    <m/>
    <m/>
    <m/>
    <m/>
    <m/>
    <m/>
    <m/>
    <m/>
    <m/>
    <m/>
    <m/>
    <m/>
    <m/>
    <m/>
    <m/>
    <m/>
    <m/>
    <n v="0"/>
    <m/>
    <m/>
    <m/>
    <m/>
    <m/>
    <m/>
    <m/>
    <m/>
    <m/>
    <m/>
    <m/>
    <m/>
    <m/>
    <s v="1"/>
    <s v="0"/>
    <s v="0"/>
    <n v="1"/>
  </r>
  <r>
    <n v="2665640"/>
    <s v="Extrême-Nord"/>
    <s v="CMR004"/>
    <x v="2"/>
    <s v="CMR004003"/>
    <s v="Maga"/>
    <s v="CMR004003002"/>
    <s v="MAG-0011"/>
    <s v="GRONG"/>
    <m/>
    <x v="1"/>
    <n v="10.7763212"/>
    <n v="15.0782937"/>
    <x v="0"/>
    <b v="1"/>
    <b v="0"/>
    <b v="1"/>
    <m/>
    <n v="3"/>
    <s v="Accessible"/>
    <m/>
    <s v="Le village accueille une population"/>
    <s v="Le village est partiellement détruit"/>
    <s v="Intempéries (inondations, tempêtes etc.)"/>
    <m/>
    <s v="Oui"/>
    <s v="Familles d'accueil"/>
    <s v="Non, pas du tout"/>
    <s v="Non"/>
    <m/>
    <n v="12"/>
    <n v="500"/>
    <s v="Oui"/>
    <s v="Premier déplacement"/>
    <n v="12"/>
    <n v="148"/>
    <n v="69"/>
    <n v="79"/>
    <n v="12"/>
    <n v="0"/>
    <n v="0"/>
    <n v="0"/>
    <m/>
    <m/>
    <n v="0"/>
    <n v="0"/>
    <m/>
    <m/>
    <n v="0"/>
    <s v="Il y a une augmentation de 7 Personnes due au naissances "/>
    <s v="Non"/>
    <m/>
    <m/>
    <m/>
    <m/>
    <m/>
    <m/>
    <m/>
    <m/>
    <m/>
    <m/>
    <m/>
    <m/>
    <m/>
    <m/>
    <m/>
    <s v="Non"/>
    <m/>
    <m/>
    <m/>
    <m/>
    <m/>
    <m/>
    <m/>
    <m/>
    <m/>
    <m/>
    <m/>
    <m/>
    <m/>
    <m/>
    <m/>
    <m/>
    <m/>
    <m/>
    <m/>
    <m/>
    <n v="0"/>
    <m/>
    <m/>
    <m/>
    <m/>
    <m/>
    <m/>
    <m/>
    <m/>
    <m/>
    <m/>
    <m/>
    <m/>
    <m/>
    <s v="1"/>
    <s v="0"/>
    <s v="0"/>
    <n v="1"/>
  </r>
  <r>
    <n v="2672806"/>
    <s v="Extrême-Nord"/>
    <s v="CMR004"/>
    <x v="2"/>
    <s v="CMR004003"/>
    <s v="Maga"/>
    <s v="CMR004003002"/>
    <s v="MAG-0003"/>
    <s v="GUIRVIDIG"/>
    <m/>
    <x v="1"/>
    <n v="10.8854446"/>
    <n v="14.833290699999999"/>
    <x v="0"/>
    <b v="1"/>
    <b v="0"/>
    <b v="0"/>
    <m/>
    <n v="5"/>
    <s v="Accessible"/>
    <m/>
    <s v="Le village accueille une population"/>
    <s v="Le village est partiellement détruit"/>
    <s v="Intempéries (inondations, tempêtes etc.)"/>
    <m/>
    <s v="Oui"/>
    <s v="Familles d'accueil"/>
    <s v="Non, pas du tout"/>
    <s v="Non"/>
    <m/>
    <n v="60"/>
    <n v="3000"/>
    <s v="Oui"/>
    <s v="Premier déplacement"/>
    <n v="60"/>
    <n v="560"/>
    <n v="138"/>
    <n v="422"/>
    <n v="50"/>
    <n v="10"/>
    <n v="0"/>
    <n v="0"/>
    <m/>
    <m/>
    <n v="0"/>
    <n v="0"/>
    <m/>
    <m/>
    <n v="0"/>
    <s v="augmentation de 4 dont 2 filles et 2 garçon."/>
    <s v="Non"/>
    <m/>
    <m/>
    <m/>
    <m/>
    <m/>
    <m/>
    <m/>
    <m/>
    <m/>
    <m/>
    <m/>
    <m/>
    <m/>
    <m/>
    <m/>
    <s v="Oui"/>
    <n v="38"/>
    <n v="252"/>
    <n v="125"/>
    <n v="127"/>
    <s v="Entre 3 mois et 1 an"/>
    <n v="0"/>
    <n v="30"/>
    <n v="8"/>
    <n v="0"/>
    <n v="0"/>
    <m/>
    <n v="0"/>
    <n v="0"/>
    <m/>
    <n v="0"/>
    <m/>
    <m/>
    <m/>
    <m/>
    <m/>
    <n v="0"/>
    <m/>
    <m/>
    <m/>
    <m/>
    <m/>
    <m/>
    <m/>
    <m/>
    <m/>
    <m/>
    <m/>
    <m/>
    <m/>
    <s v="1"/>
    <s v="0"/>
    <s v="1"/>
    <n v="2"/>
  </r>
  <r>
    <n v="2672800"/>
    <s v="Extrême-Nord"/>
    <s v="CMR004"/>
    <x v="2"/>
    <s v="CMR004003"/>
    <s v="Maga"/>
    <s v="CMR004003002"/>
    <s v="MAG-0021"/>
    <s v="MAGA CENTRE"/>
    <m/>
    <x v="0"/>
    <n v="10.844094"/>
    <n v="14.953860000000001"/>
    <x v="0"/>
    <b v="1"/>
    <b v="0"/>
    <b v="1"/>
    <m/>
    <n v="3"/>
    <s v="Accessible"/>
    <m/>
    <s v="Le village accueille une population"/>
    <s v="Le village est partiellement détruit"/>
    <s v="Conflit intercommunautaire"/>
    <m/>
    <s v="Oui"/>
    <s v="Familles d'accueil"/>
    <s v="Non, pas du tout"/>
    <s v="Non"/>
    <m/>
    <m/>
    <n v="8000"/>
    <s v="Non"/>
    <m/>
    <m/>
    <m/>
    <m/>
    <m/>
    <m/>
    <m/>
    <m/>
    <m/>
    <m/>
    <m/>
    <m/>
    <m/>
    <m/>
    <m/>
    <m/>
    <m/>
    <s v="Non"/>
    <m/>
    <m/>
    <m/>
    <m/>
    <m/>
    <m/>
    <m/>
    <m/>
    <m/>
    <m/>
    <m/>
    <m/>
    <m/>
    <m/>
    <m/>
    <s v="Oui"/>
    <n v="12"/>
    <n v="123"/>
    <n v="50"/>
    <n v="73"/>
    <s v="Entre 3 mois et 1 an"/>
    <n v="0"/>
    <n v="5"/>
    <n v="7"/>
    <n v="0"/>
    <n v="0"/>
    <m/>
    <n v="0"/>
    <n v="0"/>
    <m/>
    <n v="0"/>
    <m/>
    <m/>
    <m/>
    <m/>
    <m/>
    <n v="0"/>
    <m/>
    <m/>
    <m/>
    <m/>
    <m/>
    <m/>
    <m/>
    <m/>
    <m/>
    <m/>
    <m/>
    <m/>
    <m/>
    <s v="0"/>
    <s v="0"/>
    <s v="1"/>
    <n v="1"/>
  </r>
  <r>
    <n v="2672811"/>
    <s v="Extrême-Nord"/>
    <s v="CMR004"/>
    <x v="2"/>
    <s v="CMR004003"/>
    <s v="Maga"/>
    <s v="CMR004003002"/>
    <s v="MAG-0022"/>
    <s v="MAHAO ARABE"/>
    <m/>
    <x v="1"/>
    <n v="10.9057222"/>
    <n v="14.8431908"/>
    <x v="0"/>
    <b v="1"/>
    <b v="0"/>
    <b v="1"/>
    <m/>
    <n v="5"/>
    <s v="Accessible"/>
    <m/>
    <s v="Le village accueille une population"/>
    <s v="Le village est partiellement détruit"/>
    <s v="Conflit intercommunautaire"/>
    <m/>
    <s v="Oui"/>
    <s v="Familles d'accueil"/>
    <s v="Non, pas du tout"/>
    <s v="Non"/>
    <m/>
    <m/>
    <n v="400"/>
    <s v="Non"/>
    <m/>
    <m/>
    <m/>
    <m/>
    <m/>
    <m/>
    <m/>
    <m/>
    <m/>
    <m/>
    <m/>
    <m/>
    <m/>
    <m/>
    <m/>
    <m/>
    <m/>
    <s v="Non"/>
    <m/>
    <m/>
    <m/>
    <m/>
    <m/>
    <m/>
    <m/>
    <m/>
    <m/>
    <m/>
    <m/>
    <m/>
    <m/>
    <m/>
    <m/>
    <s v="Oui"/>
    <n v="20"/>
    <n v="100"/>
    <n v="45"/>
    <n v="55"/>
    <s v="Entre 3 mois et 1 an"/>
    <n v="0"/>
    <n v="20"/>
    <n v="0"/>
    <n v="0"/>
    <n v="0"/>
    <m/>
    <n v="0"/>
    <n v="0"/>
    <m/>
    <n v="0"/>
    <m/>
    <m/>
    <m/>
    <m/>
    <m/>
    <n v="5"/>
    <m/>
    <m/>
    <m/>
    <m/>
    <m/>
    <m/>
    <m/>
    <m/>
    <m/>
    <m/>
    <m/>
    <m/>
    <m/>
    <s v="0"/>
    <s v="0"/>
    <s v="1"/>
    <n v="1"/>
  </r>
  <r>
    <n v="2672805"/>
    <s v="Extrême-Nord"/>
    <s v="CMR004"/>
    <x v="2"/>
    <s v="CMR004003"/>
    <s v="Maga"/>
    <s v="CMR004003002"/>
    <s v="MAG-0023"/>
    <s v="MAOUDA"/>
    <m/>
    <x v="1"/>
    <n v="10.8990712"/>
    <n v="15.034992799999999"/>
    <x v="0"/>
    <b v="1"/>
    <b v="0"/>
    <b v="1"/>
    <m/>
    <n v="4"/>
    <s v="Accessible"/>
    <m/>
    <s v="Le village accueille une population"/>
    <s v="Le village est partiellement détruit"/>
    <s v="Conflit intercommunautaire"/>
    <m/>
    <s v="Oui"/>
    <s v="Familles d'accueil"/>
    <s v="Non, pas du tout"/>
    <s v="Non"/>
    <m/>
    <m/>
    <n v="3500"/>
    <s v="Non"/>
    <m/>
    <m/>
    <m/>
    <m/>
    <m/>
    <m/>
    <m/>
    <m/>
    <m/>
    <m/>
    <m/>
    <m/>
    <m/>
    <m/>
    <m/>
    <m/>
    <m/>
    <s v="Non"/>
    <m/>
    <m/>
    <m/>
    <m/>
    <m/>
    <m/>
    <m/>
    <m/>
    <m/>
    <m/>
    <m/>
    <m/>
    <m/>
    <m/>
    <m/>
    <s v="Oui"/>
    <n v="3"/>
    <n v="18"/>
    <n v="10"/>
    <n v="8"/>
    <s v="Entre 3 mois et 1 an"/>
    <n v="0"/>
    <n v="0"/>
    <n v="3"/>
    <n v="0"/>
    <n v="0"/>
    <m/>
    <n v="0"/>
    <n v="0"/>
    <m/>
    <n v="0"/>
    <m/>
    <m/>
    <m/>
    <m/>
    <m/>
    <n v="0"/>
    <m/>
    <m/>
    <m/>
    <m/>
    <m/>
    <m/>
    <m/>
    <m/>
    <m/>
    <m/>
    <m/>
    <m/>
    <m/>
    <s v="0"/>
    <s v="0"/>
    <s v="1"/>
    <n v="1"/>
  </r>
  <r>
    <n v="2672807"/>
    <s v="Extrême-Nord"/>
    <s v="CMR004"/>
    <x v="2"/>
    <s v="CMR004003"/>
    <s v="Maga"/>
    <s v="CMR004003002"/>
    <s v="MAG-0024"/>
    <s v="MBARKOUT"/>
    <m/>
    <x v="1"/>
    <n v="10.920237200000001"/>
    <n v="14.9079882"/>
    <x v="0"/>
    <b v="1"/>
    <b v="0"/>
    <b v="1"/>
    <m/>
    <n v="3"/>
    <s v="Accessible"/>
    <m/>
    <s v="Le village accueille une population"/>
    <s v="Le village est partiellement détruit"/>
    <s v="Conflit intercommunautaire"/>
    <m/>
    <s v="Oui"/>
    <s v="Familles d'accueil"/>
    <s v="Sites de déplacement spontanés"/>
    <s v="Non"/>
    <m/>
    <m/>
    <n v="500"/>
    <s v="Non"/>
    <m/>
    <m/>
    <m/>
    <m/>
    <m/>
    <m/>
    <m/>
    <m/>
    <m/>
    <m/>
    <m/>
    <m/>
    <m/>
    <m/>
    <m/>
    <m/>
    <m/>
    <s v="Non"/>
    <m/>
    <m/>
    <m/>
    <m/>
    <m/>
    <m/>
    <m/>
    <m/>
    <m/>
    <m/>
    <m/>
    <m/>
    <m/>
    <m/>
    <m/>
    <s v="Oui"/>
    <n v="42"/>
    <n v="130"/>
    <n v="85"/>
    <n v="45"/>
    <s v="Entre 3 mois et 1 an"/>
    <n v="10"/>
    <n v="32"/>
    <n v="0"/>
    <n v="0"/>
    <n v="0"/>
    <m/>
    <n v="0"/>
    <n v="0"/>
    <m/>
    <n v="0"/>
    <m/>
    <m/>
    <m/>
    <m/>
    <m/>
    <n v="0"/>
    <m/>
    <m/>
    <m/>
    <m/>
    <m/>
    <m/>
    <m/>
    <m/>
    <m/>
    <m/>
    <m/>
    <m/>
    <m/>
    <s v="0"/>
    <s v="0"/>
    <s v="1"/>
    <n v="1"/>
  </r>
  <r>
    <n v="2735930"/>
    <s v="Extrême-Nord"/>
    <s v="CMR004"/>
    <x v="2"/>
    <s v="CMR004003"/>
    <s v="Maga"/>
    <s v="CMR004003002"/>
    <s v="MAG-0025"/>
    <s v="MELEME"/>
    <m/>
    <x v="1"/>
    <s v="N/A"/>
    <s v="N/A"/>
    <x v="0"/>
    <b v="1"/>
    <b v="0"/>
    <b v="0"/>
    <m/>
    <n v="3"/>
    <s v="Inaccessible - pas d'accès physique"/>
    <s v="Mauvaise infrastructure (routière)"/>
    <s v="Le village accueille une population"/>
    <s v="Le village est partiellement détruit"/>
    <s v="Conflit intercommunautaire"/>
    <m/>
    <s v="Oui"/>
    <s v="Familles d'accueil"/>
    <s v="Non, pas du tout"/>
    <s v="Non"/>
    <m/>
    <m/>
    <n v="1500"/>
    <s v="Non"/>
    <m/>
    <m/>
    <m/>
    <m/>
    <m/>
    <m/>
    <m/>
    <m/>
    <m/>
    <m/>
    <m/>
    <m/>
    <m/>
    <m/>
    <m/>
    <m/>
    <m/>
    <s v="Non"/>
    <m/>
    <m/>
    <m/>
    <m/>
    <m/>
    <m/>
    <m/>
    <m/>
    <m/>
    <m/>
    <m/>
    <m/>
    <m/>
    <m/>
    <m/>
    <s v="Oui"/>
    <n v="160"/>
    <n v="1500"/>
    <n v="700"/>
    <n v="800"/>
    <s v="Moins de 3 mois"/>
    <n v="0"/>
    <n v="160"/>
    <n v="0"/>
    <n v="0"/>
    <n v="0"/>
    <m/>
    <n v="0"/>
    <n v="0"/>
    <m/>
    <n v="0"/>
    <m/>
    <m/>
    <m/>
    <m/>
    <m/>
    <n v="0"/>
    <m/>
    <m/>
    <m/>
    <m/>
    <m/>
    <m/>
    <m/>
    <m/>
    <m/>
    <m/>
    <m/>
    <m/>
    <m/>
    <s v="0"/>
    <s v="0"/>
    <s v="1"/>
    <n v="1"/>
  </r>
  <r>
    <n v="2672803"/>
    <s v="Extrême-Nord"/>
    <s v="CMR004"/>
    <x v="2"/>
    <s v="CMR004003"/>
    <s v="Maga"/>
    <s v="CMR004003002"/>
    <s v="MAG-0012"/>
    <s v="MIHIRIA"/>
    <m/>
    <x v="1"/>
    <n v="10.877280600000001"/>
    <n v="15.087107100000001"/>
    <x v="0"/>
    <b v="1"/>
    <b v="0"/>
    <b v="1"/>
    <m/>
    <n v="4"/>
    <s v="Accessible"/>
    <m/>
    <s v="Le village est entièrement déserté"/>
    <m/>
    <m/>
    <m/>
    <m/>
    <m/>
    <m/>
    <m/>
    <m/>
    <m/>
    <m/>
    <m/>
    <m/>
    <m/>
    <m/>
    <m/>
    <m/>
    <m/>
    <m/>
    <m/>
    <m/>
    <m/>
    <m/>
    <m/>
    <m/>
    <m/>
    <m/>
    <m/>
    <m/>
    <m/>
    <m/>
    <m/>
    <m/>
    <m/>
    <m/>
    <m/>
    <m/>
    <m/>
    <m/>
    <m/>
    <m/>
    <m/>
    <m/>
    <m/>
    <m/>
    <m/>
    <m/>
    <m/>
    <m/>
    <m/>
    <m/>
    <m/>
    <m/>
    <m/>
    <m/>
    <m/>
    <m/>
    <m/>
    <m/>
    <m/>
    <m/>
    <m/>
    <m/>
    <m/>
    <m/>
    <m/>
    <m/>
    <m/>
    <m/>
    <m/>
    <m/>
    <m/>
    <m/>
    <m/>
    <m/>
    <m/>
    <m/>
    <m/>
    <m/>
    <m/>
    <s v="0"/>
    <s v="0"/>
    <s v="0"/>
    <n v="0"/>
  </r>
  <r>
    <n v="2672797"/>
    <s v="Extrême-Nord"/>
    <s v="CMR004"/>
    <x v="2"/>
    <s v="CMR004003"/>
    <s v="Maga"/>
    <s v="CMR004003002"/>
    <s v="MAG-0013"/>
    <s v="MOURLA"/>
    <m/>
    <x v="1"/>
    <n v="10.895321600000001"/>
    <n v="15.0846786"/>
    <x v="0"/>
    <b v="1"/>
    <b v="0"/>
    <b v="0"/>
    <m/>
    <n v="3"/>
    <s v="Accessible"/>
    <m/>
    <s v="Le village est entièrement déserté"/>
    <m/>
    <m/>
    <m/>
    <m/>
    <m/>
    <m/>
    <m/>
    <m/>
    <m/>
    <m/>
    <m/>
    <m/>
    <m/>
    <m/>
    <m/>
    <m/>
    <m/>
    <m/>
    <m/>
    <m/>
    <m/>
    <m/>
    <m/>
    <m/>
    <m/>
    <m/>
    <m/>
    <m/>
    <m/>
    <m/>
    <m/>
    <m/>
    <m/>
    <m/>
    <m/>
    <m/>
    <m/>
    <m/>
    <m/>
    <m/>
    <m/>
    <m/>
    <m/>
    <m/>
    <m/>
    <m/>
    <m/>
    <m/>
    <m/>
    <m/>
    <m/>
    <m/>
    <m/>
    <m/>
    <m/>
    <m/>
    <m/>
    <m/>
    <m/>
    <m/>
    <m/>
    <m/>
    <m/>
    <m/>
    <m/>
    <m/>
    <m/>
    <m/>
    <m/>
    <m/>
    <m/>
    <m/>
    <m/>
    <m/>
    <m/>
    <m/>
    <m/>
    <m/>
    <m/>
    <s v="0"/>
    <s v="0"/>
    <s v="0"/>
    <n v="0"/>
  </r>
  <r>
    <n v="2665643"/>
    <s v="Extrême-Nord"/>
    <s v="CMR004"/>
    <x v="2"/>
    <s v="CMR004003"/>
    <s v="Maga"/>
    <s v="CMR004003002"/>
    <s v="MAG-0026"/>
    <s v="MOUSTAFARI"/>
    <m/>
    <x v="1"/>
    <n v="10.901101300000001"/>
    <n v="14.909191699999999"/>
    <x v="0"/>
    <b v="1"/>
    <b v="0"/>
    <b v="1"/>
    <m/>
    <n v="3"/>
    <s v="Accessible"/>
    <m/>
    <s v="Le village accueille une population"/>
    <s v="Le village est partiellement détruit"/>
    <s v="Conflit intercommunautaire"/>
    <m/>
    <s v="Oui"/>
    <s v="Familles d'accueil"/>
    <s v="Non, pas du tout"/>
    <s v="Non"/>
    <m/>
    <m/>
    <n v="500"/>
    <s v="Non"/>
    <m/>
    <m/>
    <m/>
    <m/>
    <m/>
    <m/>
    <m/>
    <m/>
    <m/>
    <m/>
    <m/>
    <m/>
    <m/>
    <m/>
    <m/>
    <m/>
    <m/>
    <s v="Non"/>
    <m/>
    <m/>
    <m/>
    <m/>
    <m/>
    <m/>
    <m/>
    <m/>
    <m/>
    <m/>
    <m/>
    <m/>
    <m/>
    <m/>
    <m/>
    <s v="Oui"/>
    <n v="13"/>
    <n v="83"/>
    <n v="36"/>
    <n v="47"/>
    <s v="Entre 3 mois et 1 an"/>
    <n v="0"/>
    <n v="13"/>
    <n v="0"/>
    <n v="0"/>
    <n v="0"/>
    <m/>
    <n v="0"/>
    <n v="0"/>
    <m/>
    <n v="0"/>
    <m/>
    <m/>
    <m/>
    <m/>
    <m/>
    <n v="0"/>
    <m/>
    <m/>
    <m/>
    <m/>
    <m/>
    <m/>
    <m/>
    <m/>
    <m/>
    <m/>
    <m/>
    <m/>
    <m/>
    <s v="0"/>
    <s v="0"/>
    <s v="1"/>
    <n v="1"/>
  </r>
  <r>
    <n v="2672812"/>
    <s v="Extrême-Nord"/>
    <s v="CMR004"/>
    <x v="2"/>
    <s v="CMR004003"/>
    <s v="Maga"/>
    <s v="CMR004003002"/>
    <s v="MAG-0027"/>
    <s v="OURA 1"/>
    <m/>
    <x v="1"/>
    <n v="10.9113402"/>
    <n v="14.859961200000001"/>
    <x v="0"/>
    <b v="1"/>
    <b v="0"/>
    <b v="1"/>
    <m/>
    <n v="4"/>
    <s v="Accessible"/>
    <m/>
    <s v="Le village accueille une population"/>
    <s v="Le village est partiellement détruit"/>
    <s v="Conflit intercommunautaire"/>
    <m/>
    <s v="Oui"/>
    <s v="Familles d'accueil"/>
    <s v="Non, pas du tout"/>
    <s v="Non"/>
    <m/>
    <m/>
    <n v="500"/>
    <s v="Non"/>
    <m/>
    <m/>
    <m/>
    <m/>
    <m/>
    <m/>
    <m/>
    <m/>
    <m/>
    <m/>
    <m/>
    <m/>
    <m/>
    <m/>
    <m/>
    <m/>
    <m/>
    <s v="Non"/>
    <m/>
    <m/>
    <m/>
    <m/>
    <m/>
    <m/>
    <m/>
    <m/>
    <m/>
    <m/>
    <m/>
    <m/>
    <m/>
    <m/>
    <m/>
    <s v="Oui"/>
    <n v="21"/>
    <n v="127"/>
    <n v="57"/>
    <n v="70"/>
    <s v="Entre 3 mois et 1 an"/>
    <n v="0"/>
    <n v="14"/>
    <n v="7"/>
    <n v="0"/>
    <n v="0"/>
    <m/>
    <n v="0"/>
    <n v="0"/>
    <m/>
    <n v="0"/>
    <m/>
    <m/>
    <m/>
    <m/>
    <m/>
    <n v="0"/>
    <m/>
    <m/>
    <m/>
    <m/>
    <m/>
    <m/>
    <m/>
    <m/>
    <m/>
    <m/>
    <m/>
    <m/>
    <m/>
    <s v="0"/>
    <s v="0"/>
    <s v="1"/>
    <n v="1"/>
  </r>
  <r>
    <n v="2672813"/>
    <s v="Extrême-Nord"/>
    <s v="CMR004"/>
    <x v="2"/>
    <s v="CMR004003"/>
    <s v="Maga"/>
    <s v="CMR004003002"/>
    <s v="MAG-0028"/>
    <s v="OURA 2"/>
    <m/>
    <x v="1"/>
    <n v="10.917737900000001"/>
    <n v="14.8630859"/>
    <x v="0"/>
    <b v="1"/>
    <b v="0"/>
    <b v="1"/>
    <m/>
    <n v="4"/>
    <s v="Accessible"/>
    <m/>
    <s v="Le village accueille une population"/>
    <s v="Le village est partiellement détruit"/>
    <s v="Conflit intercommunautaire"/>
    <m/>
    <s v="Oui"/>
    <s v="Familles d'accueil"/>
    <s v="Non, pas du tout"/>
    <s v="Non"/>
    <m/>
    <m/>
    <n v="360"/>
    <s v="Non"/>
    <m/>
    <m/>
    <m/>
    <m/>
    <m/>
    <m/>
    <m/>
    <m/>
    <m/>
    <m/>
    <m/>
    <m/>
    <m/>
    <m/>
    <m/>
    <m/>
    <m/>
    <s v="Non"/>
    <m/>
    <m/>
    <m/>
    <m/>
    <m/>
    <m/>
    <m/>
    <m/>
    <m/>
    <m/>
    <m/>
    <m/>
    <m/>
    <m/>
    <m/>
    <s v="Oui"/>
    <n v="20"/>
    <n v="119"/>
    <n v="50"/>
    <n v="69"/>
    <s v="Entre 3 mois et 1 an"/>
    <n v="7"/>
    <n v="13"/>
    <n v="0"/>
    <n v="0"/>
    <n v="0"/>
    <m/>
    <n v="0"/>
    <n v="0"/>
    <m/>
    <n v="0"/>
    <m/>
    <m/>
    <m/>
    <m/>
    <m/>
    <n v="0"/>
    <m/>
    <m/>
    <m/>
    <m/>
    <m/>
    <m/>
    <m/>
    <m/>
    <m/>
    <m/>
    <m/>
    <m/>
    <m/>
    <s v="0"/>
    <s v="0"/>
    <s v="1"/>
    <n v="1"/>
  </r>
  <r>
    <n v="2666038"/>
    <s v="Extrême-Nord"/>
    <s v="CMR004"/>
    <x v="2"/>
    <s v="CMR004003"/>
    <s v="Maga"/>
    <s v="CMR004003002"/>
    <s v="MAG-0029"/>
    <s v="OURO-GAOU"/>
    <m/>
    <x v="1"/>
    <n v="10.976499499999999"/>
    <n v="14.8628187"/>
    <x v="0"/>
    <b v="1"/>
    <b v="0"/>
    <b v="1"/>
    <m/>
    <n v="4"/>
    <s v="Accessible"/>
    <m/>
    <s v="Le village accueille une population"/>
    <s v="Le village est partiellement détruit"/>
    <s v="Conflit intercommunautaire"/>
    <m/>
    <s v="Oui"/>
    <s v="Familles d'accueil"/>
    <s v="Non, pas du tout"/>
    <s v="Non"/>
    <m/>
    <m/>
    <n v="215"/>
    <s v="Non"/>
    <m/>
    <m/>
    <m/>
    <m/>
    <m/>
    <m/>
    <m/>
    <m/>
    <m/>
    <m/>
    <m/>
    <m/>
    <m/>
    <m/>
    <m/>
    <m/>
    <m/>
    <s v="Non"/>
    <m/>
    <m/>
    <m/>
    <m/>
    <m/>
    <m/>
    <m/>
    <m/>
    <m/>
    <m/>
    <m/>
    <m/>
    <m/>
    <m/>
    <m/>
    <s v="Oui"/>
    <n v="32"/>
    <n v="215"/>
    <n v="115"/>
    <n v="100"/>
    <s v="Moins de 3 mois"/>
    <n v="32"/>
    <n v="0"/>
    <n v="0"/>
    <n v="0"/>
    <n v="0"/>
    <m/>
    <n v="0"/>
    <n v="0"/>
    <m/>
    <n v="0"/>
    <m/>
    <m/>
    <m/>
    <m/>
    <m/>
    <n v="0"/>
    <m/>
    <m/>
    <m/>
    <m/>
    <m/>
    <m/>
    <m/>
    <m/>
    <m/>
    <m/>
    <m/>
    <m/>
    <m/>
    <s v="0"/>
    <s v="0"/>
    <s v="1"/>
    <n v="1"/>
  </r>
  <r>
    <n v="2672792"/>
    <s v="Extrême-Nord"/>
    <s v="CMR004"/>
    <x v="2"/>
    <s v="CMR004003"/>
    <s v="Maga"/>
    <s v="CMR004003002"/>
    <s v="MAG-0014"/>
    <s v="PINFOUNG"/>
    <m/>
    <x v="1"/>
    <n v="10.9698695"/>
    <n v="15.005988800000001"/>
    <x v="0"/>
    <b v="1"/>
    <b v="0"/>
    <b v="0"/>
    <m/>
    <n v="4"/>
    <s v="Accessible"/>
    <m/>
    <s v="Le village accueille une population"/>
    <s v="Le village est partiellement détruit"/>
    <s v="Intempéries (inondations, tempêtes etc.)"/>
    <m/>
    <s v="Oui"/>
    <s v="Familles d'accueil"/>
    <s v="Non, pas du tout"/>
    <s v="Non"/>
    <m/>
    <n v="30"/>
    <n v="2000"/>
    <s v="Oui"/>
    <s v="Premier déplacement"/>
    <n v="30"/>
    <n v="270"/>
    <n v="124"/>
    <n v="146"/>
    <n v="25"/>
    <n v="5"/>
    <n v="0"/>
    <n v="0"/>
    <m/>
    <m/>
    <n v="0"/>
    <n v="0"/>
    <m/>
    <m/>
    <n v="0"/>
    <s v="augmentation de 11 enfants dues aux naissances."/>
    <s v="Non"/>
    <m/>
    <m/>
    <m/>
    <m/>
    <m/>
    <m/>
    <m/>
    <m/>
    <m/>
    <m/>
    <m/>
    <m/>
    <m/>
    <m/>
    <m/>
    <s v="Non"/>
    <m/>
    <m/>
    <m/>
    <m/>
    <m/>
    <m/>
    <m/>
    <m/>
    <m/>
    <m/>
    <m/>
    <m/>
    <m/>
    <m/>
    <m/>
    <m/>
    <m/>
    <m/>
    <m/>
    <m/>
    <n v="0"/>
    <m/>
    <m/>
    <m/>
    <m/>
    <m/>
    <m/>
    <m/>
    <m/>
    <m/>
    <m/>
    <m/>
    <m/>
    <m/>
    <s v="1"/>
    <s v="0"/>
    <s v="0"/>
    <n v="1"/>
  </r>
  <r>
    <n v="2672814"/>
    <s v="Extrême-Nord"/>
    <s v="CMR004"/>
    <x v="2"/>
    <s v="CMR004003"/>
    <s v="Maga"/>
    <s v="CMR004003002"/>
    <s v="MAG-0030"/>
    <s v="SAPONGARI"/>
    <m/>
    <x v="1"/>
    <n v="10.902747099999999"/>
    <n v="14.884977900000001"/>
    <x v="0"/>
    <b v="1"/>
    <b v="0"/>
    <b v="1"/>
    <m/>
    <n v="5"/>
    <s v="Accessible"/>
    <m/>
    <s v="Le village accueille une population"/>
    <s v="Le village est partiellement détruit"/>
    <s v="Conflit intercommunautaire"/>
    <m/>
    <s v="Oui"/>
    <s v="Familles d'accueil"/>
    <s v="Non, pas du tout"/>
    <s v="Non"/>
    <m/>
    <m/>
    <n v="600"/>
    <s v="Non"/>
    <m/>
    <m/>
    <m/>
    <m/>
    <m/>
    <m/>
    <m/>
    <m/>
    <m/>
    <m/>
    <m/>
    <m/>
    <m/>
    <m/>
    <m/>
    <m/>
    <m/>
    <s v="Non"/>
    <m/>
    <m/>
    <m/>
    <m/>
    <m/>
    <m/>
    <m/>
    <m/>
    <m/>
    <m/>
    <m/>
    <m/>
    <m/>
    <m/>
    <m/>
    <s v="Oui"/>
    <n v="41"/>
    <n v="283"/>
    <n v="130"/>
    <n v="153"/>
    <s v="Entre 3 mois et 1 an"/>
    <n v="14"/>
    <n v="20"/>
    <n v="7"/>
    <n v="0"/>
    <n v="0"/>
    <m/>
    <n v="0"/>
    <n v="0"/>
    <m/>
    <n v="0"/>
    <m/>
    <m/>
    <m/>
    <m/>
    <m/>
    <n v="0"/>
    <m/>
    <m/>
    <m/>
    <m/>
    <m/>
    <m/>
    <m/>
    <m/>
    <m/>
    <m/>
    <m/>
    <m/>
    <m/>
    <s v="0"/>
    <s v="0"/>
    <s v="1"/>
    <n v="1"/>
  </r>
  <r>
    <n v="2672785"/>
    <s v="Extrême-Nord"/>
    <s v="CMR004"/>
    <x v="2"/>
    <s v="CMR004003"/>
    <s v="Maga"/>
    <s v="CMR004003002"/>
    <s v="MAG-0015"/>
    <s v="SITE DE ALVAKAYE"/>
    <m/>
    <x v="1"/>
    <n v="11.006306500000001"/>
    <n v="15.0140867"/>
    <x v="1"/>
    <b v="1"/>
    <b v="0"/>
    <b v="0"/>
    <m/>
    <n v="5"/>
    <s v="Accessible"/>
    <m/>
    <s v="Le village est entièrement déserté"/>
    <m/>
    <m/>
    <m/>
    <m/>
    <m/>
    <m/>
    <m/>
    <m/>
    <m/>
    <m/>
    <m/>
    <m/>
    <m/>
    <m/>
    <m/>
    <m/>
    <m/>
    <m/>
    <m/>
    <m/>
    <m/>
    <m/>
    <m/>
    <m/>
    <m/>
    <m/>
    <m/>
    <m/>
    <m/>
    <m/>
    <m/>
    <m/>
    <m/>
    <m/>
    <m/>
    <m/>
    <m/>
    <m/>
    <m/>
    <m/>
    <m/>
    <m/>
    <m/>
    <m/>
    <m/>
    <m/>
    <m/>
    <m/>
    <m/>
    <m/>
    <m/>
    <m/>
    <m/>
    <m/>
    <m/>
    <m/>
    <m/>
    <m/>
    <m/>
    <m/>
    <m/>
    <m/>
    <m/>
    <m/>
    <m/>
    <m/>
    <m/>
    <m/>
    <m/>
    <m/>
    <m/>
    <m/>
    <m/>
    <m/>
    <m/>
    <m/>
    <m/>
    <m/>
    <m/>
    <s v="0"/>
    <s v="0"/>
    <s v="0"/>
    <n v="0"/>
  </r>
  <r>
    <n v="2665638"/>
    <s v="Extrême-Nord"/>
    <s v="CMR004"/>
    <x v="2"/>
    <s v="CMR004003"/>
    <s v="Maga"/>
    <s v="CMR004003002"/>
    <s v="MAG-0001"/>
    <s v="SITE DE FARAOULOU"/>
    <m/>
    <x v="1"/>
    <n v="10.858927700000001"/>
    <n v="14.8056442"/>
    <x v="1"/>
    <b v="1"/>
    <b v="0"/>
    <b v="1"/>
    <m/>
    <n v="3"/>
    <s v="Accessible"/>
    <m/>
    <s v="Le village accueille une population"/>
    <s v="Le village est intact (construit)"/>
    <m/>
    <m/>
    <s v="Oui"/>
    <s v="Sites de déplacement spontanés"/>
    <s v="Non, pas du tout"/>
    <m/>
    <m/>
    <n v="31"/>
    <n v="171"/>
    <s v="Oui"/>
    <s v="Premier déplacement"/>
    <n v="31"/>
    <n v="171"/>
    <n v="64"/>
    <n v="107"/>
    <n v="31"/>
    <n v="0"/>
    <n v="0"/>
    <n v="0"/>
    <m/>
    <m/>
    <n v="0"/>
    <n v="0"/>
    <m/>
    <m/>
    <n v="0"/>
    <s v="Les personnes déplacées du site de Faraoulou sont les victimes des inondations de 2012 qui ont touché presque tout l'arrondissement de Maga "/>
    <s v="Non"/>
    <m/>
    <m/>
    <m/>
    <m/>
    <m/>
    <m/>
    <m/>
    <m/>
    <m/>
    <m/>
    <m/>
    <m/>
    <m/>
    <m/>
    <m/>
    <s v="Non"/>
    <m/>
    <m/>
    <m/>
    <m/>
    <m/>
    <m/>
    <m/>
    <m/>
    <m/>
    <m/>
    <m/>
    <m/>
    <m/>
    <m/>
    <m/>
    <m/>
    <m/>
    <m/>
    <m/>
    <m/>
    <n v="0"/>
    <m/>
    <m/>
    <m/>
    <m/>
    <m/>
    <m/>
    <m/>
    <m/>
    <m/>
    <m/>
    <m/>
    <m/>
    <m/>
    <s v="1"/>
    <s v="0"/>
    <s v="0"/>
    <n v="1"/>
  </r>
  <r>
    <n v="2665637"/>
    <s v="Extrême-Nord"/>
    <s v="CMR004"/>
    <x v="2"/>
    <s v="CMR004003"/>
    <s v="Maga"/>
    <s v="CMR004003002"/>
    <s v="MAG-0002"/>
    <s v="SITE DE GAGRAI"/>
    <m/>
    <x v="1"/>
    <n v="10.888209399999999"/>
    <n v="14.8435664"/>
    <x v="1"/>
    <b v="1"/>
    <b v="0"/>
    <b v="1"/>
    <m/>
    <n v="3"/>
    <s v="Accessible"/>
    <m/>
    <s v="Le village accueille une population"/>
    <s v="Le village est partiellement détruit"/>
    <s v="Intempéries (inondations, tempêtes etc.)"/>
    <m/>
    <s v="Oui"/>
    <s v="Sites de déplacement spontanés"/>
    <s v="Non, pas du tout"/>
    <m/>
    <m/>
    <n v="102"/>
    <n v="1670"/>
    <s v="Oui"/>
    <s v="Premier déplacement"/>
    <n v="102"/>
    <n v="1670"/>
    <n v="735"/>
    <n v="935"/>
    <n v="102"/>
    <n v="0"/>
    <n v="0"/>
    <n v="0"/>
    <m/>
    <m/>
    <n v="0"/>
    <n v="0"/>
    <m/>
    <m/>
    <n v="0"/>
    <s v="Il y a juste une augmentation de 19 personnes dûe aux naissances au sein de la population déplacée du site "/>
    <s v="Non"/>
    <m/>
    <m/>
    <m/>
    <m/>
    <m/>
    <m/>
    <m/>
    <m/>
    <m/>
    <m/>
    <m/>
    <m/>
    <m/>
    <m/>
    <m/>
    <s v="Non"/>
    <m/>
    <m/>
    <m/>
    <m/>
    <m/>
    <m/>
    <m/>
    <m/>
    <m/>
    <m/>
    <m/>
    <m/>
    <m/>
    <m/>
    <m/>
    <m/>
    <m/>
    <m/>
    <m/>
    <m/>
    <n v="0"/>
    <m/>
    <m/>
    <m/>
    <m/>
    <m/>
    <m/>
    <m/>
    <m/>
    <m/>
    <m/>
    <m/>
    <m/>
    <m/>
    <s v="1"/>
    <s v="0"/>
    <s v="0"/>
    <n v="1"/>
  </r>
  <r>
    <n v="2627101"/>
    <s v="Extrême-Nord"/>
    <s v="CMR004"/>
    <x v="2"/>
    <s v="CMR004003"/>
    <s v="Maga"/>
    <s v="CMR004003002"/>
    <s v="MAG-0016"/>
    <s v="SITE DE GAYA"/>
    <m/>
    <x v="1"/>
    <n v="10.759356199999999"/>
    <n v="15.0862455"/>
    <x v="1"/>
    <b v="1"/>
    <b v="0"/>
    <b v="1"/>
    <m/>
    <n v="3"/>
    <s v="Accessible"/>
    <m/>
    <s v="Le village est entièrement déserté"/>
    <m/>
    <m/>
    <m/>
    <m/>
    <m/>
    <m/>
    <m/>
    <m/>
    <m/>
    <m/>
    <m/>
    <m/>
    <m/>
    <m/>
    <m/>
    <m/>
    <m/>
    <m/>
    <m/>
    <m/>
    <m/>
    <m/>
    <m/>
    <m/>
    <m/>
    <m/>
    <m/>
    <m/>
    <m/>
    <m/>
    <m/>
    <m/>
    <m/>
    <m/>
    <m/>
    <m/>
    <m/>
    <m/>
    <m/>
    <m/>
    <m/>
    <m/>
    <m/>
    <m/>
    <m/>
    <m/>
    <m/>
    <m/>
    <m/>
    <m/>
    <m/>
    <m/>
    <m/>
    <m/>
    <m/>
    <m/>
    <m/>
    <m/>
    <m/>
    <m/>
    <m/>
    <m/>
    <m/>
    <m/>
    <m/>
    <m/>
    <m/>
    <m/>
    <m/>
    <m/>
    <m/>
    <m/>
    <m/>
    <m/>
    <m/>
    <m/>
    <m/>
    <m/>
    <m/>
    <s v="0"/>
    <s v="0"/>
    <s v="0"/>
    <n v="0"/>
  </r>
  <r>
    <n v="2677190"/>
    <s v="Extrême-Nord"/>
    <s v="CMR004"/>
    <x v="2"/>
    <s v="CMR004003"/>
    <s v="Maga"/>
    <s v="CMR004003002"/>
    <s v="MAG-0004"/>
    <s v="SITE DE MAHAOUROU"/>
    <m/>
    <x v="1"/>
    <n v="10.9029867"/>
    <n v="14.8376606"/>
    <x v="1"/>
    <b v="1"/>
    <b v="0"/>
    <b v="1"/>
    <m/>
    <n v="4"/>
    <s v="Accessible"/>
    <m/>
    <s v="Le village accueille une population"/>
    <s v="Le village est partiellement détruit"/>
    <s v="Intempéries (inondations, tempêtes etc.)"/>
    <m/>
    <s v="Oui"/>
    <s v="Familles d'accueil"/>
    <s v="Non, pas du tout"/>
    <m/>
    <m/>
    <n v="46"/>
    <n v="680"/>
    <s v="Oui"/>
    <s v="Premier déplacement"/>
    <n v="46"/>
    <n v="351"/>
    <n v="173"/>
    <n v="178"/>
    <n v="46"/>
    <n v="0"/>
    <n v="0"/>
    <n v="0"/>
    <m/>
    <m/>
    <n v="0"/>
    <n v="0"/>
    <m/>
    <m/>
    <n v="0"/>
    <s v="augmentation des 5 individus liés aux naissances dont 2 garçons et 3 filles, même sur la période de janvier à août,elle est basé sur l'augmentation dues aux naissances."/>
    <s v="Non"/>
    <m/>
    <m/>
    <m/>
    <m/>
    <m/>
    <m/>
    <m/>
    <m/>
    <m/>
    <m/>
    <m/>
    <m/>
    <m/>
    <m/>
    <m/>
    <s v="Non"/>
    <m/>
    <m/>
    <m/>
    <m/>
    <m/>
    <m/>
    <m/>
    <m/>
    <m/>
    <m/>
    <m/>
    <m/>
    <m/>
    <m/>
    <m/>
    <m/>
    <m/>
    <m/>
    <m/>
    <m/>
    <n v="0"/>
    <m/>
    <m/>
    <m/>
    <m/>
    <m/>
    <m/>
    <m/>
    <m/>
    <m/>
    <m/>
    <m/>
    <m/>
    <m/>
    <s v="1"/>
    <s v="0"/>
    <s v="0"/>
    <n v="1"/>
  </r>
  <r>
    <n v="2580210"/>
    <s v="Extrême-Nord"/>
    <s v="CMR004"/>
    <x v="2"/>
    <s v="CMR004003"/>
    <s v="Maga"/>
    <s v="CMR004003002"/>
    <s v="MAG-0005"/>
    <s v="SITE DE POUSS"/>
    <m/>
    <x v="1"/>
    <n v="10.8408181"/>
    <n v="15.0338394"/>
    <x v="1"/>
    <b v="1"/>
    <b v="0"/>
    <b v="1"/>
    <m/>
    <n v="3"/>
    <s v="Accessible"/>
    <m/>
    <s v="Le village accueille une population"/>
    <s v="Le village est intact (construit)"/>
    <m/>
    <m/>
    <s v="Oui"/>
    <s v="Sites de déplacement spontanés"/>
    <s v="Non, pas du tout"/>
    <m/>
    <m/>
    <n v="193"/>
    <n v="1640"/>
    <s v="Oui"/>
    <s v="Deuxième déplacement"/>
    <n v="193"/>
    <n v="1640"/>
    <n v="774"/>
    <n v="866"/>
    <n v="193"/>
    <n v="0"/>
    <n v="0"/>
    <n v="0"/>
    <m/>
    <m/>
    <n v="0"/>
    <n v="0"/>
    <m/>
    <m/>
    <n v="0"/>
    <s v="Il y a une augmentation de 18 personnes dont 8 filles et 10 garçons dûe aux naissances. Il y avait arrivé de 11 ménages en septembre dernier venant de Varaye et Gaya et sont également reparti depuis décembre vers leurs villages suite à la diminution des eaux."/>
    <s v="Non"/>
    <m/>
    <m/>
    <m/>
    <m/>
    <m/>
    <m/>
    <m/>
    <m/>
    <m/>
    <m/>
    <m/>
    <m/>
    <m/>
    <m/>
    <m/>
    <s v="Non"/>
    <m/>
    <m/>
    <m/>
    <m/>
    <m/>
    <m/>
    <m/>
    <m/>
    <m/>
    <m/>
    <m/>
    <m/>
    <m/>
    <m/>
    <m/>
    <m/>
    <m/>
    <m/>
    <m/>
    <m/>
    <n v="0"/>
    <m/>
    <m/>
    <m/>
    <m/>
    <m/>
    <m/>
    <m/>
    <m/>
    <m/>
    <m/>
    <m/>
    <m/>
    <m/>
    <s v="1"/>
    <s v="0"/>
    <s v="0"/>
    <n v="1"/>
  </r>
  <r>
    <n v="2683349"/>
    <s v="Extrême-Nord"/>
    <s v="CMR004"/>
    <x v="2"/>
    <s v="CMR004003"/>
    <s v="Maga"/>
    <s v="CMR004003002"/>
    <s v="MAG-0006"/>
    <s v="SITE DE TEKELE"/>
    <m/>
    <x v="1"/>
    <n v="10.980342500000001"/>
    <n v="15.0285913"/>
    <x v="1"/>
    <b v="1"/>
    <b v="0"/>
    <b v="1"/>
    <m/>
    <n v="3"/>
    <s v="Accessible"/>
    <m/>
    <s v="Le village accueille une population"/>
    <s v="Le village est intact (construit)"/>
    <m/>
    <m/>
    <s v="Oui"/>
    <s v="Sites de déplacement spontanés"/>
    <s v="Non, pas du tout"/>
    <m/>
    <m/>
    <n v="37"/>
    <n v="500"/>
    <s v="Oui"/>
    <s v="Premier déplacement"/>
    <n v="37"/>
    <n v="215"/>
    <n v="105"/>
    <n v="110"/>
    <n v="37"/>
    <n v="0"/>
    <n v="0"/>
    <n v="0"/>
    <m/>
    <m/>
    <n v="0"/>
    <n v="0"/>
    <m/>
    <m/>
    <n v="0"/>
    <s v="Ici se trouvent les déplacées des inondations de 2012"/>
    <s v="Non"/>
    <m/>
    <m/>
    <m/>
    <m/>
    <m/>
    <m/>
    <m/>
    <m/>
    <m/>
    <m/>
    <m/>
    <m/>
    <m/>
    <m/>
    <m/>
    <s v="Oui"/>
    <n v="29"/>
    <n v="233"/>
    <n v="110"/>
    <n v="123"/>
    <s v="Entre 1 et 5 ans"/>
    <n v="29"/>
    <n v="0"/>
    <n v="0"/>
    <n v="0"/>
    <n v="0"/>
    <m/>
    <n v="0"/>
    <n v="0"/>
    <m/>
    <n v="0"/>
    <s v="Ce sont les retournés de suite des inondations dans le logone et chari de 2019"/>
    <m/>
    <m/>
    <m/>
    <m/>
    <n v="0"/>
    <m/>
    <m/>
    <m/>
    <m/>
    <m/>
    <m/>
    <m/>
    <m/>
    <m/>
    <m/>
    <m/>
    <m/>
    <m/>
    <s v="1"/>
    <s v="0"/>
    <s v="1"/>
    <n v="2"/>
  </r>
  <r>
    <n v="2580211"/>
    <s v="Extrême-Nord"/>
    <s v="CMR004"/>
    <x v="2"/>
    <s v="CMR004003"/>
    <s v="Maga"/>
    <s v="CMR004003002"/>
    <s v="MAG-0017"/>
    <s v="SITE DE VARAYE"/>
    <m/>
    <x v="1"/>
    <n v="10.7861756"/>
    <n v="15.074415999999999"/>
    <x v="1"/>
    <b v="1"/>
    <b v="0"/>
    <b v="1"/>
    <m/>
    <n v="3"/>
    <s v="Accessible"/>
    <m/>
    <s v="Le village est entièrement déserté"/>
    <m/>
    <m/>
    <m/>
    <m/>
    <m/>
    <m/>
    <m/>
    <m/>
    <m/>
    <m/>
    <m/>
    <m/>
    <m/>
    <m/>
    <m/>
    <m/>
    <m/>
    <m/>
    <m/>
    <m/>
    <m/>
    <m/>
    <m/>
    <m/>
    <m/>
    <m/>
    <m/>
    <m/>
    <m/>
    <m/>
    <m/>
    <m/>
    <m/>
    <m/>
    <m/>
    <m/>
    <m/>
    <m/>
    <m/>
    <m/>
    <m/>
    <m/>
    <m/>
    <m/>
    <m/>
    <m/>
    <m/>
    <m/>
    <m/>
    <m/>
    <m/>
    <m/>
    <m/>
    <m/>
    <m/>
    <m/>
    <m/>
    <m/>
    <m/>
    <m/>
    <m/>
    <m/>
    <m/>
    <m/>
    <m/>
    <m/>
    <m/>
    <m/>
    <m/>
    <m/>
    <m/>
    <m/>
    <m/>
    <m/>
    <m/>
    <m/>
    <m/>
    <m/>
    <m/>
    <s v="0"/>
    <s v="0"/>
    <s v="0"/>
    <n v="0"/>
  </r>
  <r>
    <n v="2672808"/>
    <s v="Extrême-Nord"/>
    <s v="CMR004"/>
    <x v="2"/>
    <s v="CMR004003"/>
    <s v="Maga"/>
    <s v="CMR004003002"/>
    <s v="MAG-0031"/>
    <s v="SIYAOU"/>
    <m/>
    <x v="1"/>
    <n v="10.963234999999999"/>
    <n v="14.8538041"/>
    <x v="0"/>
    <b v="1"/>
    <b v="0"/>
    <b v="1"/>
    <m/>
    <n v="4"/>
    <s v="Accessible"/>
    <m/>
    <s v="Le village accueille une population"/>
    <s v="Le village est partiellement détruit"/>
    <s v="Conflit intercommunautaire"/>
    <m/>
    <s v="Oui"/>
    <s v="Familles d'accueil"/>
    <s v="Air libre"/>
    <s v="Non"/>
    <m/>
    <m/>
    <n v="3000"/>
    <s v="Non"/>
    <m/>
    <m/>
    <m/>
    <m/>
    <m/>
    <m/>
    <m/>
    <m/>
    <m/>
    <m/>
    <m/>
    <m/>
    <m/>
    <m/>
    <m/>
    <m/>
    <m/>
    <s v="Non"/>
    <m/>
    <m/>
    <m/>
    <m/>
    <m/>
    <m/>
    <m/>
    <m/>
    <m/>
    <m/>
    <m/>
    <m/>
    <m/>
    <m/>
    <m/>
    <s v="Oui"/>
    <n v="62"/>
    <n v="484"/>
    <n v="224"/>
    <n v="260"/>
    <s v="Entre 3 mois et 1 an"/>
    <n v="0"/>
    <n v="22"/>
    <n v="20"/>
    <n v="0"/>
    <n v="0"/>
    <m/>
    <n v="0"/>
    <n v="20"/>
    <s v="Pagne"/>
    <n v="0"/>
    <m/>
    <m/>
    <m/>
    <m/>
    <m/>
    <n v="0"/>
    <m/>
    <m/>
    <m/>
    <m/>
    <m/>
    <m/>
    <m/>
    <m/>
    <m/>
    <m/>
    <m/>
    <m/>
    <m/>
    <s v="0"/>
    <s v="0"/>
    <s v="1"/>
    <n v="1"/>
  </r>
  <r>
    <n v="2672810"/>
    <s v="Extrême-Nord"/>
    <s v="CMR004"/>
    <x v="2"/>
    <s v="CMR004003"/>
    <s v="Maga"/>
    <s v="CMR004003002"/>
    <s v="MAG-0032"/>
    <s v="TAPADAÏ"/>
    <m/>
    <x v="1"/>
    <n v="10.8815475"/>
    <n v="14.962848299999999"/>
    <x v="0"/>
    <b v="1"/>
    <b v="0"/>
    <b v="1"/>
    <m/>
    <n v="5"/>
    <s v="Accessible"/>
    <m/>
    <s v="Le village accueille une population"/>
    <s v="Le village est partiellement détruit"/>
    <s v="Conflit intercommunautaire"/>
    <m/>
    <s v="Oui"/>
    <s v="Familles d'accueil"/>
    <s v="Non, pas du tout"/>
    <s v="Non"/>
    <m/>
    <m/>
    <n v="1800"/>
    <s v="Non"/>
    <m/>
    <m/>
    <m/>
    <m/>
    <m/>
    <m/>
    <m/>
    <m/>
    <m/>
    <m/>
    <m/>
    <m/>
    <m/>
    <m/>
    <m/>
    <m/>
    <m/>
    <s v="Non"/>
    <m/>
    <m/>
    <m/>
    <m/>
    <m/>
    <m/>
    <m/>
    <m/>
    <m/>
    <m/>
    <m/>
    <m/>
    <m/>
    <m/>
    <m/>
    <s v="Oui"/>
    <n v="7"/>
    <n v="47"/>
    <n v="22"/>
    <n v="25"/>
    <s v="Entre 3 mois et 1 an"/>
    <n v="0"/>
    <n v="5"/>
    <n v="2"/>
    <n v="0"/>
    <n v="0"/>
    <m/>
    <n v="0"/>
    <n v="0"/>
    <m/>
    <n v="0"/>
    <m/>
    <m/>
    <m/>
    <m/>
    <m/>
    <n v="0"/>
    <m/>
    <m/>
    <m/>
    <m/>
    <m/>
    <m/>
    <m/>
    <m/>
    <m/>
    <m/>
    <m/>
    <m/>
    <m/>
    <s v="0"/>
    <s v="0"/>
    <s v="1"/>
    <n v="1"/>
  </r>
  <r>
    <n v="2665642"/>
    <s v="Extrême-Nord"/>
    <s v="CMR004"/>
    <x v="2"/>
    <s v="CMR004003"/>
    <s v="Maga"/>
    <s v="CMR004003002"/>
    <s v="MAG-0018"/>
    <s v="VARAYE"/>
    <m/>
    <x v="1"/>
    <n v="10.7835036"/>
    <n v="15.0757329"/>
    <x v="0"/>
    <b v="1"/>
    <b v="0"/>
    <b v="1"/>
    <m/>
    <n v="3"/>
    <s v="Accessible"/>
    <m/>
    <s v="Le village accueille une population"/>
    <s v="Le village est totalement détruit"/>
    <s v="Intempéries (inondations, tempêtes etc.)"/>
    <m/>
    <s v="Oui"/>
    <s v="Familles d'accueil"/>
    <s v="Non, pas du tout"/>
    <s v="Non"/>
    <m/>
    <m/>
    <n v="700"/>
    <s v="Non"/>
    <m/>
    <m/>
    <m/>
    <m/>
    <m/>
    <m/>
    <m/>
    <m/>
    <m/>
    <m/>
    <m/>
    <m/>
    <m/>
    <m/>
    <m/>
    <m/>
    <m/>
    <s v="Non"/>
    <m/>
    <m/>
    <m/>
    <m/>
    <m/>
    <m/>
    <m/>
    <m/>
    <m/>
    <m/>
    <m/>
    <m/>
    <m/>
    <m/>
    <m/>
    <s v="Oui"/>
    <n v="19"/>
    <n v="210"/>
    <n v="99"/>
    <n v="111"/>
    <s v="Entre 1 et 5 ans"/>
    <n v="19"/>
    <n v="0"/>
    <n v="0"/>
    <n v="0"/>
    <n v="0"/>
    <m/>
    <n v="0"/>
    <n v="0"/>
    <m/>
    <n v="0"/>
    <m/>
    <m/>
    <m/>
    <m/>
    <m/>
    <n v="0"/>
    <m/>
    <m/>
    <m/>
    <m/>
    <m/>
    <m/>
    <m/>
    <m/>
    <m/>
    <m/>
    <m/>
    <m/>
    <m/>
    <s v="0"/>
    <s v="0"/>
    <s v="1"/>
    <n v="1"/>
  </r>
  <r>
    <n v="2715102"/>
    <s v="Extrême-Nord"/>
    <s v="CMR004"/>
    <x v="2"/>
    <s v="CMR004003"/>
    <s v="Wina"/>
    <s v="CMR004003008"/>
    <s v="XXXX"/>
    <s v="KAMARKI"/>
    <s v="KAMARKI"/>
    <x v="1"/>
    <n v="10.0118341"/>
    <n v="15.2146638"/>
    <x v="0"/>
    <b v="1"/>
    <b v="0"/>
    <b v="0"/>
    <m/>
    <n v="3"/>
    <s v="Accessible"/>
    <m/>
    <s v="Le village accueille une population"/>
    <s v="Le village est partiellement détruit"/>
    <s v="Intempéries (inondations, tempêtes etc.)"/>
    <m/>
    <s v="Oui"/>
    <s v="Sites de déplacement spontanés"/>
    <s v="Familles d'accueil"/>
    <s v="Non"/>
    <m/>
    <m/>
    <n v="6000"/>
    <s v="Non"/>
    <m/>
    <m/>
    <m/>
    <m/>
    <m/>
    <m/>
    <m/>
    <m/>
    <m/>
    <m/>
    <m/>
    <m/>
    <m/>
    <m/>
    <m/>
    <m/>
    <m/>
    <s v="Non"/>
    <m/>
    <m/>
    <m/>
    <m/>
    <m/>
    <m/>
    <m/>
    <m/>
    <m/>
    <m/>
    <m/>
    <m/>
    <m/>
    <m/>
    <m/>
    <s v="Oui"/>
    <n v="776"/>
    <n v="6208"/>
    <n v="3000"/>
    <n v="3208"/>
    <s v="Moins de 3 mois"/>
    <n v="200"/>
    <n v="0"/>
    <n v="0"/>
    <n v="0"/>
    <n v="0"/>
    <m/>
    <n v="0"/>
    <n v="576"/>
    <s v="Paille/Natte/Nylon"/>
    <n v="0"/>
    <s v="Les retournés  ont besoin de reconstruction de leur abris et besoins en vivres car leurs domiciles et champs été  dévastés  par les inondations "/>
    <m/>
    <m/>
    <m/>
    <m/>
    <n v="0"/>
    <m/>
    <m/>
    <m/>
    <m/>
    <m/>
    <m/>
    <m/>
    <m/>
    <m/>
    <m/>
    <m/>
    <m/>
    <m/>
    <s v="0"/>
    <s v="0"/>
    <s v="1"/>
    <n v="1"/>
  </r>
  <r>
    <n v="2715110"/>
    <s v="Extrême-Nord"/>
    <s v="CMR004"/>
    <x v="2"/>
    <s v="CMR004003"/>
    <s v="Wina"/>
    <s v="CMR004003008"/>
    <s v="XXXX"/>
    <s v="DJENRENG"/>
    <s v="DJENRENG"/>
    <x v="1"/>
    <n v="10.064094000000001"/>
    <n v="15.219804699999999"/>
    <x v="0"/>
    <b v="1"/>
    <b v="0"/>
    <b v="0"/>
    <m/>
    <n v="3"/>
    <s v="Accessible"/>
    <m/>
    <s v="Le village accueille une population"/>
    <s v="Le village est partiellement détruit"/>
    <s v="Intempéries (inondations, tempêtes etc.)"/>
    <m/>
    <s v="Oui"/>
    <s v="Air libre"/>
    <s v="Familles d'accueil"/>
    <s v="Non"/>
    <m/>
    <m/>
    <n v="10000"/>
    <s v="Non"/>
    <m/>
    <m/>
    <m/>
    <m/>
    <m/>
    <m/>
    <m/>
    <m/>
    <m/>
    <m/>
    <m/>
    <m/>
    <m/>
    <m/>
    <m/>
    <m/>
    <m/>
    <s v="Non"/>
    <m/>
    <m/>
    <m/>
    <m/>
    <m/>
    <m/>
    <m/>
    <m/>
    <m/>
    <m/>
    <m/>
    <m/>
    <m/>
    <m/>
    <m/>
    <s v="Oui"/>
    <n v="1098"/>
    <n v="7686"/>
    <n v="3000"/>
    <n v="4686"/>
    <s v="Moins de 3 mois"/>
    <n v="86"/>
    <n v="500"/>
    <n v="200"/>
    <n v="0"/>
    <n v="0"/>
    <m/>
    <n v="0"/>
    <n v="0"/>
    <m/>
    <n v="312"/>
    <s v="Les retournés  ont besoin  de reconstruire leur abris et vivres"/>
    <m/>
    <m/>
    <m/>
    <m/>
    <m/>
    <m/>
    <m/>
    <m/>
    <m/>
    <m/>
    <m/>
    <m/>
    <m/>
    <m/>
    <m/>
    <m/>
    <m/>
    <m/>
    <s v="0"/>
    <s v="0"/>
    <s v="1"/>
    <n v="1"/>
  </r>
  <r>
    <n v="2715114"/>
    <s v="Extrême-Nord"/>
    <s v="CMR004"/>
    <x v="2"/>
    <s v="CMR004003"/>
    <s v="Wina"/>
    <s v="CMR004003008"/>
    <s v="XXXX"/>
    <s v="VOUAIDOU"/>
    <s v="VOUAIDOU"/>
    <x v="0"/>
    <n v="10.0824812"/>
    <n v="15.2273285"/>
    <x v="0"/>
    <b v="1"/>
    <b v="0"/>
    <b v="0"/>
    <m/>
    <n v="3"/>
    <s v="Accessible"/>
    <m/>
    <s v="Le village accueille une population"/>
    <s v="Le village est partiellement détruit"/>
    <s v="Intempéries (inondations, tempêtes etc.)"/>
    <m/>
    <s v="Oui"/>
    <s v="Familles d'accueil"/>
    <s v="Non, pas du tout"/>
    <s v="Non"/>
    <m/>
    <m/>
    <n v="7000"/>
    <s v="Non"/>
    <m/>
    <m/>
    <m/>
    <m/>
    <m/>
    <m/>
    <m/>
    <m/>
    <m/>
    <m/>
    <m/>
    <m/>
    <m/>
    <m/>
    <m/>
    <m/>
    <m/>
    <s v="Non"/>
    <m/>
    <m/>
    <m/>
    <m/>
    <m/>
    <m/>
    <m/>
    <m/>
    <m/>
    <m/>
    <m/>
    <m/>
    <m/>
    <m/>
    <m/>
    <s v="Oui"/>
    <n v="441"/>
    <n v="5292"/>
    <n v="2092"/>
    <n v="3200"/>
    <s v="Moins de 3 mois"/>
    <n v="40"/>
    <n v="300"/>
    <n v="101"/>
    <n v="0"/>
    <n v="0"/>
    <m/>
    <n v="0"/>
    <n v="0"/>
    <m/>
    <n v="0"/>
    <m/>
    <m/>
    <m/>
    <m/>
    <m/>
    <n v="0"/>
    <m/>
    <m/>
    <m/>
    <m/>
    <m/>
    <m/>
    <m/>
    <m/>
    <m/>
    <m/>
    <m/>
    <m/>
    <m/>
    <s v="0"/>
    <s v="0"/>
    <s v="1"/>
    <n v="1"/>
  </r>
  <r>
    <n v="2715118"/>
    <s v="Extrême-Nord"/>
    <s v="CMR004"/>
    <x v="2"/>
    <s v="CMR004003"/>
    <s v="Wina"/>
    <s v="CMR004003008"/>
    <s v="XXXX"/>
    <s v="SOUAYE"/>
    <s v="SOUAYE"/>
    <x v="0"/>
    <n v="10.1069634"/>
    <n v="15.238269900000001"/>
    <x v="0"/>
    <b v="1"/>
    <b v="0"/>
    <b v="0"/>
    <m/>
    <n v="3"/>
    <s v="Accessible"/>
    <m/>
    <s v="Le village accueille une population"/>
    <s v="Le village est partiellement détruit"/>
    <s v="Intempéries (inondations, tempêtes etc.)"/>
    <m/>
    <s v="Oui"/>
    <s v="Familles d'accueil"/>
    <s v="Non, pas du tout"/>
    <s v="Non"/>
    <m/>
    <m/>
    <n v="8000"/>
    <s v="Non"/>
    <m/>
    <m/>
    <m/>
    <m/>
    <m/>
    <m/>
    <m/>
    <m/>
    <m/>
    <m/>
    <m/>
    <m/>
    <m/>
    <m/>
    <m/>
    <m/>
    <m/>
    <s v="Non"/>
    <m/>
    <m/>
    <m/>
    <m/>
    <m/>
    <m/>
    <m/>
    <m/>
    <m/>
    <m/>
    <m/>
    <m/>
    <m/>
    <m/>
    <m/>
    <s v="Oui"/>
    <n v="698"/>
    <n v="6980"/>
    <n v="3000"/>
    <n v="3980"/>
    <s v="Moins de 3 mois"/>
    <n v="8"/>
    <n v="300"/>
    <n v="390"/>
    <n v="0"/>
    <n v="0"/>
    <m/>
    <n v="0"/>
    <n v="0"/>
    <m/>
    <n v="0"/>
    <m/>
    <m/>
    <m/>
    <m/>
    <m/>
    <n v="0"/>
    <m/>
    <m/>
    <m/>
    <m/>
    <m/>
    <m/>
    <m/>
    <m/>
    <m/>
    <m/>
    <m/>
    <m/>
    <m/>
    <s v="0"/>
    <s v="0"/>
    <s v="1"/>
    <n v="1"/>
  </r>
  <r>
    <n v="2715124"/>
    <s v="Extrême-Nord"/>
    <s v="CMR004"/>
    <x v="2"/>
    <s v="CMR004003"/>
    <s v="Wina"/>
    <s v="CMR004003008"/>
    <s v="XXXX"/>
    <s v="ROUANE"/>
    <s v="ROUANE"/>
    <x v="0"/>
    <n v="10.113495800000001"/>
    <n v="15.2427911"/>
    <x v="0"/>
    <b v="1"/>
    <b v="0"/>
    <b v="0"/>
    <m/>
    <n v="4"/>
    <s v="Accessible"/>
    <m/>
    <s v="Le village accueille une population"/>
    <s v="Le village est partiellement détruit"/>
    <s v="Intempéries (inondations, tempêtes etc.)"/>
    <m/>
    <s v="Oui"/>
    <s v="Familles d'accueil"/>
    <s v="Non, pas du tout"/>
    <s v="Non"/>
    <m/>
    <m/>
    <n v="10000"/>
    <s v="Non"/>
    <m/>
    <m/>
    <m/>
    <m/>
    <m/>
    <m/>
    <m/>
    <m/>
    <m/>
    <m/>
    <m/>
    <m/>
    <m/>
    <m/>
    <m/>
    <m/>
    <m/>
    <s v="Non"/>
    <m/>
    <m/>
    <m/>
    <m/>
    <m/>
    <m/>
    <m/>
    <m/>
    <m/>
    <m/>
    <m/>
    <m/>
    <m/>
    <m/>
    <m/>
    <s v="Oui"/>
    <n v="1227"/>
    <n v="9816"/>
    <n v="4200"/>
    <n v="5616"/>
    <s v="Moins de 3 mois"/>
    <n v="200"/>
    <n v="700"/>
    <n v="327"/>
    <n v="0"/>
    <n v="0"/>
    <m/>
    <n v="0"/>
    <n v="0"/>
    <m/>
    <n v="0"/>
    <m/>
    <m/>
    <m/>
    <m/>
    <m/>
    <n v="0"/>
    <m/>
    <m/>
    <m/>
    <m/>
    <m/>
    <m/>
    <m/>
    <m/>
    <m/>
    <m/>
    <m/>
    <m/>
    <m/>
    <s v="0"/>
    <s v="0"/>
    <s v="1"/>
    <n v="1"/>
  </r>
  <r>
    <n v="2715106"/>
    <s v="Extrême-Nord"/>
    <s v="CMR004"/>
    <x v="2"/>
    <s v="CMR004003"/>
    <s v="Wina"/>
    <s v="CMR004003008"/>
    <s v="WIN-0001"/>
    <s v="BOSGOYE"/>
    <m/>
    <x v="1"/>
    <n v="10.0286686"/>
    <n v="15.221245700000001"/>
    <x v="0"/>
    <b v="1"/>
    <b v="0"/>
    <b v="0"/>
    <m/>
    <n v="3"/>
    <s v="Accessible"/>
    <m/>
    <s v="Le village accueille une population"/>
    <s v="Le village est partiellement détruit"/>
    <s v="Intempéries (inondations, tempêtes etc.)"/>
    <m/>
    <s v="Oui"/>
    <s v="Familles d'accueil"/>
    <s v="Sites de déplacement spontanés"/>
    <s v="Non"/>
    <m/>
    <n v="48"/>
    <n v="4000"/>
    <s v="Oui"/>
    <s v="Deuxième déplacement"/>
    <n v="48"/>
    <n v="245"/>
    <n v="100"/>
    <n v="145"/>
    <n v="20"/>
    <n v="8"/>
    <n v="0"/>
    <n v="20"/>
    <s v="Logement indépendant (Maison indépendante)"/>
    <m/>
    <n v="0"/>
    <n v="0"/>
    <m/>
    <m/>
    <n v="0"/>
    <s v="Pas de changement  chez les IDPS "/>
    <s v="Non"/>
    <m/>
    <m/>
    <m/>
    <m/>
    <m/>
    <m/>
    <m/>
    <m/>
    <m/>
    <m/>
    <m/>
    <m/>
    <m/>
    <m/>
    <m/>
    <s v="Oui"/>
    <n v="50"/>
    <n v="800"/>
    <n v="300"/>
    <n v="500"/>
    <s v="Moins de 3 mois"/>
    <n v="10"/>
    <n v="20"/>
    <n v="20"/>
    <n v="0"/>
    <n v="0"/>
    <m/>
    <n v="0"/>
    <n v="0"/>
    <m/>
    <n v="0"/>
    <m/>
    <m/>
    <m/>
    <m/>
    <m/>
    <n v="0"/>
    <m/>
    <m/>
    <m/>
    <m/>
    <m/>
    <m/>
    <m/>
    <m/>
    <m/>
    <m/>
    <m/>
    <m/>
    <m/>
    <s v="1"/>
    <s v="0"/>
    <s v="1"/>
    <n v="2"/>
  </r>
  <r>
    <n v="2715097"/>
    <s v="Extrême-Nord"/>
    <s v="CMR004"/>
    <x v="2"/>
    <s v="CMR004003"/>
    <s v="Wina"/>
    <s v="CMR004003008"/>
    <s v="WIN-0002"/>
    <s v="DJONGDONG"/>
    <m/>
    <x v="0"/>
    <n v="10.0957089"/>
    <n v="15.190556000000001"/>
    <x v="0"/>
    <b v="1"/>
    <b v="0"/>
    <b v="0"/>
    <m/>
    <n v="3"/>
    <s v="Accessible"/>
    <m/>
    <s v="Le village accueille une population"/>
    <s v="Le village est intact (construit)"/>
    <m/>
    <m/>
    <s v="Oui"/>
    <s v="Familles d'accueil"/>
    <s v="Non, pas du tout"/>
    <s v="Non"/>
    <m/>
    <n v="51"/>
    <n v="7000"/>
    <s v="Oui"/>
    <s v="Premier déplacement"/>
    <n v="51"/>
    <n v="307"/>
    <n v="130"/>
    <n v="177"/>
    <n v="0"/>
    <n v="20"/>
    <n v="10"/>
    <n v="21"/>
    <s v="Logement indépendant (Maison indépendante)"/>
    <m/>
    <n v="0"/>
    <n v="0"/>
    <m/>
    <m/>
    <n v="0"/>
    <s v="Pas de changement dans les effectifs mais la localité  à accueillis les déplacés pendant la période  des inondations  en provenance  de Bosgoye"/>
    <s v="Non"/>
    <m/>
    <m/>
    <m/>
    <m/>
    <m/>
    <m/>
    <m/>
    <m/>
    <m/>
    <m/>
    <m/>
    <m/>
    <m/>
    <m/>
    <m/>
    <s v="Non"/>
    <m/>
    <m/>
    <m/>
    <m/>
    <m/>
    <m/>
    <m/>
    <m/>
    <m/>
    <m/>
    <m/>
    <m/>
    <m/>
    <m/>
    <m/>
    <m/>
    <m/>
    <m/>
    <m/>
    <m/>
    <n v="0"/>
    <m/>
    <m/>
    <m/>
    <m/>
    <m/>
    <m/>
    <m/>
    <m/>
    <m/>
    <m/>
    <m/>
    <m/>
    <m/>
    <s v="1"/>
    <s v="0"/>
    <s v="0"/>
    <n v="1"/>
  </r>
  <r>
    <n v="2715080"/>
    <s v="Extrême-Nord"/>
    <s v="CMR004"/>
    <x v="2"/>
    <s v="CMR004003"/>
    <s v="Yagoua"/>
    <s v="CMR004003009"/>
    <s v="XXXX"/>
    <s v="GOBOISSOU"/>
    <s v="GOBOISSOU"/>
    <x v="0"/>
    <n v="10.347544600000001"/>
    <n v="15.2330892"/>
    <x v="0"/>
    <b v="1"/>
    <b v="0"/>
    <b v="0"/>
    <m/>
    <n v="3"/>
    <s v="Accessible"/>
    <m/>
    <s v="Le village accueille une population"/>
    <s v="Le village est partiellement détruit"/>
    <s v="Intempéries (inondations, tempêtes etc.)"/>
    <m/>
    <s v="Oui"/>
    <s v="Familles d'accueil"/>
    <s v="Non, pas du tout"/>
    <s v="Non"/>
    <m/>
    <m/>
    <n v="1500"/>
    <s v="Non"/>
    <m/>
    <m/>
    <m/>
    <m/>
    <m/>
    <m/>
    <m/>
    <m/>
    <m/>
    <m/>
    <m/>
    <m/>
    <m/>
    <m/>
    <m/>
    <m/>
    <m/>
    <s v="Non"/>
    <m/>
    <m/>
    <m/>
    <m/>
    <m/>
    <m/>
    <m/>
    <m/>
    <m/>
    <m/>
    <m/>
    <m/>
    <m/>
    <m/>
    <m/>
    <s v="Non"/>
    <m/>
    <m/>
    <m/>
    <m/>
    <m/>
    <m/>
    <m/>
    <m/>
    <m/>
    <m/>
    <m/>
    <m/>
    <m/>
    <m/>
    <m/>
    <m/>
    <m/>
    <m/>
    <m/>
    <m/>
    <n v="0"/>
    <m/>
    <m/>
    <m/>
    <m/>
    <m/>
    <m/>
    <m/>
    <m/>
    <m/>
    <m/>
    <m/>
    <m/>
    <m/>
    <s v="0"/>
    <s v="0"/>
    <s v="0"/>
    <n v="0"/>
  </r>
  <r>
    <n v="2715093"/>
    <s v="Extrême-Nord"/>
    <s v="CMR004"/>
    <x v="2"/>
    <s v="CMR004003"/>
    <s v="Yagoua"/>
    <s v="CMR004003009"/>
    <s v="XXXX"/>
    <s v="NALAYE"/>
    <s v="NALAYE"/>
    <x v="1"/>
    <n v="10.2412229"/>
    <n v="15.3065093"/>
    <x v="0"/>
    <b v="1"/>
    <b v="0"/>
    <b v="0"/>
    <m/>
    <n v="4"/>
    <s v="Accessible"/>
    <m/>
    <s v="Le village accueille une population"/>
    <s v="Le village est totalement détruit"/>
    <s v="Intempéries (inondations, tempêtes etc.)"/>
    <m/>
    <s v="Oui"/>
    <s v="Air libre"/>
    <s v="Non, pas du tout"/>
    <s v="Non"/>
    <m/>
    <m/>
    <n v="2000"/>
    <s v="Non"/>
    <m/>
    <m/>
    <m/>
    <m/>
    <m/>
    <m/>
    <m/>
    <m/>
    <m/>
    <m/>
    <m/>
    <m/>
    <m/>
    <m/>
    <m/>
    <m/>
    <m/>
    <s v="Non"/>
    <m/>
    <m/>
    <m/>
    <m/>
    <m/>
    <m/>
    <m/>
    <m/>
    <m/>
    <m/>
    <m/>
    <m/>
    <m/>
    <m/>
    <m/>
    <s v="Oui"/>
    <n v="141"/>
    <n v="1742"/>
    <n v="1000"/>
    <n v="742"/>
    <s v="Moins de 3 mois"/>
    <n v="0"/>
    <n v="0"/>
    <n v="0"/>
    <n v="0"/>
    <n v="0"/>
    <m/>
    <n v="0"/>
    <n v="0"/>
    <m/>
    <n v="141"/>
    <s v="Les retournés  de cette localité  proviennent de Dana et ont besoin d'une reconstruction urgente"/>
    <m/>
    <m/>
    <m/>
    <m/>
    <m/>
    <m/>
    <m/>
    <m/>
    <m/>
    <m/>
    <m/>
    <m/>
    <m/>
    <m/>
    <m/>
    <m/>
    <m/>
    <m/>
    <s v="0"/>
    <s v="0"/>
    <s v="1"/>
    <n v="1"/>
  </r>
  <r>
    <n v="2715077"/>
    <s v="Extrême-Nord"/>
    <s v="CMR004"/>
    <x v="2"/>
    <s v="CMR004003"/>
    <s v="Yagoua"/>
    <s v="CMR004003009"/>
    <s v="XXXX"/>
    <s v="SITE DE OURO DABANG"/>
    <s v="SITE DE OURO DABANG"/>
    <x v="1"/>
    <n v="10.302454900000001"/>
    <n v="15.200353399999999"/>
    <x v="1"/>
    <b v="1"/>
    <b v="0"/>
    <b v="0"/>
    <m/>
    <n v="4"/>
    <s v="Accessible"/>
    <m/>
    <s v="Le village accueille une population"/>
    <s v="Le village est intact (construit)"/>
    <m/>
    <m/>
    <s v="Oui"/>
    <s v="Sites de déplacement spontanés"/>
    <s v="Non, pas du tout"/>
    <m/>
    <m/>
    <n v="58"/>
    <n v="2000"/>
    <s v="Oui"/>
    <s v="Deuxième déplacement"/>
    <n v="58"/>
    <n v="375"/>
    <n v="150"/>
    <n v="225"/>
    <n v="0"/>
    <n v="0"/>
    <n v="0"/>
    <n v="0"/>
    <m/>
    <m/>
    <n v="0"/>
    <n v="58"/>
    <s v="Bâche"/>
    <m/>
    <n v="0"/>
    <s v="Les déplacées de cette localité proviennent de Kaskao et vivent dans un site . Certaind effectuent de mouvement  pendulaires dans leur village d'origine  pour reconstruire  leur abris et faire la culture maraîchère"/>
    <s v="Non"/>
    <m/>
    <m/>
    <m/>
    <m/>
    <m/>
    <m/>
    <m/>
    <m/>
    <m/>
    <m/>
    <m/>
    <m/>
    <m/>
    <m/>
    <m/>
    <s v="Non"/>
    <m/>
    <m/>
    <m/>
    <m/>
    <m/>
    <m/>
    <m/>
    <m/>
    <m/>
    <m/>
    <m/>
    <m/>
    <m/>
    <m/>
    <m/>
    <m/>
    <m/>
    <m/>
    <m/>
    <m/>
    <n v="0"/>
    <m/>
    <m/>
    <m/>
    <m/>
    <m/>
    <m/>
    <m/>
    <m/>
    <m/>
    <m/>
    <m/>
    <m/>
    <m/>
    <s v="1"/>
    <s v="0"/>
    <s v="0"/>
    <n v="1"/>
  </r>
  <r>
    <n v="2715086"/>
    <s v="Extrême-Nord"/>
    <s v="CMR004"/>
    <x v="2"/>
    <s v="CMR004003"/>
    <s v="Yagoua"/>
    <s v="CMR004003009"/>
    <s v="YAG-0005"/>
    <s v="BAGARA"/>
    <m/>
    <x v="0"/>
    <n v="10.3550211"/>
    <n v="15.2444582"/>
    <x v="0"/>
    <b v="1"/>
    <b v="0"/>
    <b v="0"/>
    <m/>
    <n v="3"/>
    <s v="Accessible"/>
    <m/>
    <s v="Le village accueille une population"/>
    <s v="Le village est intact (construit)"/>
    <m/>
    <m/>
    <s v="Oui"/>
    <s v="Familles d'accueil"/>
    <s v="Non, pas du tout"/>
    <s v="Non"/>
    <m/>
    <m/>
    <n v="6500"/>
    <s v="Non"/>
    <m/>
    <m/>
    <m/>
    <m/>
    <m/>
    <m/>
    <m/>
    <m/>
    <m/>
    <m/>
    <m/>
    <m/>
    <m/>
    <m/>
    <m/>
    <m/>
    <m/>
    <s v="Non"/>
    <m/>
    <m/>
    <m/>
    <m/>
    <m/>
    <m/>
    <m/>
    <m/>
    <m/>
    <m/>
    <m/>
    <m/>
    <m/>
    <m/>
    <m/>
    <s v="Oui"/>
    <n v="5"/>
    <n v="29"/>
    <n v="19"/>
    <n v="10"/>
    <s v="Moins de 3 mois"/>
    <n v="0"/>
    <n v="0"/>
    <n v="3"/>
    <n v="2"/>
    <n v="0"/>
    <m/>
    <n v="0"/>
    <n v="0"/>
    <m/>
    <n v="0"/>
    <m/>
    <m/>
    <m/>
    <m/>
    <m/>
    <n v="0"/>
    <m/>
    <m/>
    <m/>
    <m/>
    <m/>
    <m/>
    <m/>
    <m/>
    <m/>
    <m/>
    <m/>
    <m/>
    <m/>
    <s v="0"/>
    <s v="0"/>
    <s v="1"/>
    <n v="1"/>
  </r>
  <r>
    <n v="2715089"/>
    <s v="Extrême-Nord"/>
    <s v="CMR004"/>
    <x v="2"/>
    <s v="CMR004003"/>
    <s v="Yagoua"/>
    <s v="CMR004003009"/>
    <s v="YAG-0001"/>
    <s v="DANA"/>
    <m/>
    <x v="1"/>
    <n v="10.2382993"/>
    <n v="15.2925623"/>
    <x v="0"/>
    <b v="1"/>
    <b v="0"/>
    <b v="0"/>
    <m/>
    <n v="3"/>
    <s v="Accessible"/>
    <m/>
    <s v="Le village accueille une population"/>
    <s v="Le village est intact (construit)"/>
    <m/>
    <m/>
    <s v="Oui"/>
    <s v="Air libre"/>
    <s v="Sites de déplacement spontanés"/>
    <s v="Oui"/>
    <n v="1"/>
    <n v="18"/>
    <n v="4000"/>
    <s v="Oui"/>
    <s v="Deuxième déplacement"/>
    <n v="18"/>
    <n v="131"/>
    <n v="75"/>
    <n v="56"/>
    <n v="18"/>
    <n v="0"/>
    <n v="0"/>
    <n v="0"/>
    <m/>
    <m/>
    <n v="0"/>
    <n v="0"/>
    <m/>
    <m/>
    <n v="0"/>
    <s v="Pas de changement"/>
    <s v="Non"/>
    <m/>
    <m/>
    <m/>
    <m/>
    <m/>
    <m/>
    <m/>
    <m/>
    <m/>
    <m/>
    <m/>
    <m/>
    <m/>
    <m/>
    <m/>
    <s v="Non"/>
    <m/>
    <m/>
    <m/>
    <m/>
    <m/>
    <m/>
    <m/>
    <m/>
    <m/>
    <m/>
    <m/>
    <m/>
    <m/>
    <m/>
    <m/>
    <m/>
    <m/>
    <m/>
    <m/>
    <m/>
    <m/>
    <m/>
    <m/>
    <m/>
    <m/>
    <m/>
    <m/>
    <m/>
    <m/>
    <m/>
    <m/>
    <m/>
    <m/>
    <m/>
    <s v="1"/>
    <s v="0"/>
    <s v="0"/>
    <n v="1"/>
  </r>
  <r>
    <n v="2715083"/>
    <s v="Extrême-Nord"/>
    <s v="CMR004"/>
    <x v="2"/>
    <s v="CMR004003"/>
    <s v="Yagoua"/>
    <s v="CMR004003009"/>
    <s v="YAG-0004"/>
    <s v="DANAY 1"/>
    <m/>
    <x v="0"/>
    <n v="10.3508041"/>
    <n v="15.221282799999999"/>
    <x v="0"/>
    <b v="1"/>
    <b v="0"/>
    <b v="0"/>
    <m/>
    <n v="3"/>
    <s v="Accessible"/>
    <m/>
    <s v="Le village accueille une population"/>
    <s v="Le village est partiellement détruit"/>
    <s v="Intempéries (inondations, tempêtes etc.)"/>
    <m/>
    <s v="Oui"/>
    <s v="Familles d'accueil"/>
    <s v="Location"/>
    <s v="Non"/>
    <m/>
    <n v="66"/>
    <n v="6000"/>
    <s v="Oui"/>
    <s v="Premier déplacement"/>
    <n v="66"/>
    <n v="412"/>
    <n v="112"/>
    <n v="300"/>
    <n v="0"/>
    <n v="6"/>
    <n v="20"/>
    <n v="40"/>
    <s v="Chez une famille d'accueil (contre loyer)"/>
    <m/>
    <n v="0"/>
    <n v="0"/>
    <m/>
    <m/>
    <n v="0"/>
    <s v="Constant"/>
    <s v="Non"/>
    <m/>
    <m/>
    <m/>
    <m/>
    <m/>
    <m/>
    <m/>
    <m/>
    <m/>
    <m/>
    <m/>
    <m/>
    <m/>
    <m/>
    <m/>
    <s v="Oui"/>
    <n v="172"/>
    <n v="860"/>
    <n v="360"/>
    <n v="500"/>
    <s v="Moins de 3 mois"/>
    <n v="0"/>
    <n v="72"/>
    <n v="50"/>
    <n v="50"/>
    <n v="0"/>
    <m/>
    <n v="0"/>
    <n v="0"/>
    <m/>
    <n v="0"/>
    <m/>
    <m/>
    <m/>
    <m/>
    <m/>
    <n v="0"/>
    <m/>
    <m/>
    <m/>
    <m/>
    <m/>
    <m/>
    <m/>
    <m/>
    <m/>
    <m/>
    <m/>
    <m/>
    <m/>
    <s v="1"/>
    <s v="0"/>
    <s v="1"/>
    <n v="2"/>
  </r>
  <r>
    <n v="2715129"/>
    <s v="Extrême-Nord"/>
    <s v="CMR004"/>
    <x v="2"/>
    <s v="CMR004003"/>
    <s v="Yagoua"/>
    <s v="CMR004003009"/>
    <s v="YAG-0002"/>
    <s v="DOMO"/>
    <m/>
    <x v="1"/>
    <n v="10.1453512"/>
    <n v="15.255906700000001"/>
    <x v="0"/>
    <b v="1"/>
    <b v="0"/>
    <b v="0"/>
    <m/>
    <n v="3"/>
    <s v="Accessible"/>
    <m/>
    <s v="Le village accueille une population"/>
    <s v="Le village est partiellement détruit"/>
    <s v="Intempéries (inondations, tempêtes etc.)"/>
    <m/>
    <s v="Oui"/>
    <s v="Familles d'accueil"/>
    <s v="Non, pas du tout"/>
    <s v="Non"/>
    <m/>
    <n v="32"/>
    <n v="4000"/>
    <s v="Oui"/>
    <s v="Premier déplacement"/>
    <n v="32"/>
    <n v="165"/>
    <n v="70"/>
    <n v="95"/>
    <n v="12"/>
    <n v="20"/>
    <n v="0"/>
    <n v="0"/>
    <m/>
    <m/>
    <n v="0"/>
    <n v="0"/>
    <m/>
    <m/>
    <n v="0"/>
    <s v="Augmentation  des IDPS de 20 ménages 100 individus "/>
    <s v="Non"/>
    <m/>
    <m/>
    <m/>
    <m/>
    <m/>
    <m/>
    <m/>
    <m/>
    <m/>
    <m/>
    <m/>
    <m/>
    <m/>
    <m/>
    <m/>
    <s v="Oui"/>
    <n v="94"/>
    <n v="465"/>
    <n v="165"/>
    <n v="300"/>
    <s v="Moins de 3 mois"/>
    <n v="40"/>
    <n v="10"/>
    <n v="30"/>
    <n v="14"/>
    <n v="0"/>
    <m/>
    <n v="0"/>
    <n v="0"/>
    <m/>
    <n v="0"/>
    <m/>
    <m/>
    <m/>
    <m/>
    <m/>
    <n v="0"/>
    <m/>
    <m/>
    <m/>
    <m/>
    <m/>
    <m/>
    <m/>
    <m/>
    <m/>
    <m/>
    <m/>
    <m/>
    <m/>
    <s v="1"/>
    <s v="0"/>
    <s v="1"/>
    <n v="2"/>
  </r>
  <r>
    <n v="2715132"/>
    <s v="Extrême-Nord"/>
    <s v="CMR004"/>
    <x v="2"/>
    <s v="CMR004003"/>
    <s v="Yagoua"/>
    <s v="CMR004003009"/>
    <s v="YAG-0003"/>
    <s v="MOURI"/>
    <m/>
    <x v="1"/>
    <n v="10.180389699999999"/>
    <n v="15.264717900000001"/>
    <x v="0"/>
    <b v="1"/>
    <b v="0"/>
    <b v="0"/>
    <m/>
    <n v="3"/>
    <s v="Accessible"/>
    <m/>
    <s v="Le village accueille une population"/>
    <s v="Le village est partiellement détruit"/>
    <s v="Intempéries (inondations, tempêtes etc.)"/>
    <m/>
    <s v="Oui"/>
    <s v="Familles d'accueil"/>
    <s v="Non, pas du tout"/>
    <s v="Non"/>
    <m/>
    <n v="15"/>
    <n v="4000"/>
    <s v="Oui"/>
    <s v="Premier déplacement"/>
    <n v="15"/>
    <n v="83"/>
    <n v="33"/>
    <n v="50"/>
    <n v="2"/>
    <n v="5"/>
    <n v="8"/>
    <n v="0"/>
    <m/>
    <m/>
    <n v="0"/>
    <n v="0"/>
    <m/>
    <m/>
    <n v="0"/>
    <s v="Augmentation  de 5 ménages  pour 30 individus "/>
    <s v="Non"/>
    <m/>
    <m/>
    <m/>
    <m/>
    <m/>
    <m/>
    <m/>
    <m/>
    <m/>
    <m/>
    <m/>
    <m/>
    <m/>
    <m/>
    <m/>
    <s v="Oui"/>
    <n v="72"/>
    <n v="364"/>
    <n v="164"/>
    <n v="200"/>
    <s v="Moins de 3 mois"/>
    <n v="0"/>
    <n v="25"/>
    <n v="40"/>
    <n v="7"/>
    <n v="0"/>
    <m/>
    <n v="0"/>
    <n v="0"/>
    <m/>
    <n v="0"/>
    <m/>
    <m/>
    <m/>
    <m/>
    <m/>
    <n v="0"/>
    <m/>
    <m/>
    <m/>
    <m/>
    <m/>
    <m/>
    <m/>
    <m/>
    <m/>
    <m/>
    <m/>
    <m/>
    <m/>
    <s v="1"/>
    <s v="0"/>
    <s v="1"/>
    <n v="2"/>
  </r>
  <r>
    <n v="2715073"/>
    <s v="Extrême-Nord"/>
    <s v="CMR004"/>
    <x v="2"/>
    <s v="CMR004003"/>
    <s v="Yagoua"/>
    <s v="CMR004003009"/>
    <s v="YAG-0006"/>
    <s v="SITE DE TCHAKAO"/>
    <m/>
    <x v="1"/>
    <n v="10.2839255"/>
    <n v="15.1595776"/>
    <x v="1"/>
    <b v="1"/>
    <b v="0"/>
    <b v="0"/>
    <m/>
    <n v="3"/>
    <s v="Accessible"/>
    <m/>
    <s v="Le village accueille une population"/>
    <s v="Le village est intact (construit)"/>
    <m/>
    <m/>
    <s v="Oui"/>
    <s v="Sites de déplacement spontanés"/>
    <s v="Non, pas du tout"/>
    <m/>
    <m/>
    <n v="32"/>
    <n v="2500"/>
    <s v="Oui"/>
    <s v="Deuxième déplacement"/>
    <n v="32"/>
    <n v="281"/>
    <n v="180"/>
    <n v="101"/>
    <n v="32"/>
    <n v="0"/>
    <n v="0"/>
    <n v="0"/>
    <m/>
    <m/>
    <n v="0"/>
    <n v="0"/>
    <m/>
    <m/>
    <n v="0"/>
    <s v="Il y'a eu augmentation  en individus  mais pas de ménages  car ce sont les membres de leur famille  restés  dans le village d'origine"/>
    <s v="Non"/>
    <m/>
    <m/>
    <m/>
    <m/>
    <m/>
    <m/>
    <m/>
    <m/>
    <m/>
    <m/>
    <m/>
    <m/>
    <m/>
    <m/>
    <m/>
    <s v="Non"/>
    <m/>
    <m/>
    <m/>
    <m/>
    <m/>
    <m/>
    <m/>
    <m/>
    <m/>
    <m/>
    <m/>
    <m/>
    <m/>
    <m/>
    <m/>
    <m/>
    <m/>
    <m/>
    <m/>
    <m/>
    <n v="0"/>
    <m/>
    <m/>
    <m/>
    <m/>
    <m/>
    <m/>
    <m/>
    <m/>
    <m/>
    <m/>
    <m/>
    <m/>
    <m/>
    <s v="1"/>
    <s v="0"/>
    <s v="0"/>
    <n v="1"/>
  </r>
  <r>
    <n v="2597206"/>
    <s v="Extrême-Nord"/>
    <s v="CMR004"/>
    <x v="3"/>
    <s v="CMR004004"/>
    <s v="Guidiguis"/>
    <s v="CMR004004001"/>
    <s v="GUI-0001"/>
    <s v="DJANINI"/>
    <m/>
    <x v="0"/>
    <n v="10.135597600000001"/>
    <n v="14.7039042"/>
    <x v="0"/>
    <b v="1"/>
    <b v="0"/>
    <b v="0"/>
    <m/>
    <n v="3"/>
    <s v="Accessible"/>
    <m/>
    <s v="Le village accueille une population"/>
    <s v="Le village est intact (construit)"/>
    <m/>
    <m/>
    <s v="Oui"/>
    <s v="Familles d'accueil"/>
    <s v="Non, pas du tout"/>
    <s v="Non"/>
    <m/>
    <n v="1"/>
    <n v="1000"/>
    <s v="Oui"/>
    <s v="Premier déplacement"/>
    <n v="1"/>
    <n v="4"/>
    <n v="2"/>
    <n v="2"/>
    <n v="0"/>
    <n v="0"/>
    <n v="0"/>
    <n v="1"/>
    <s v="Chez une famille d'accueil (contre loyer)"/>
    <m/>
    <n v="0"/>
    <n v="0"/>
    <m/>
    <m/>
    <n v="0"/>
    <s v="Les ménages vivent dans la promiscuité"/>
    <s v="Non"/>
    <m/>
    <m/>
    <m/>
    <m/>
    <m/>
    <m/>
    <m/>
    <m/>
    <m/>
    <m/>
    <m/>
    <m/>
    <m/>
    <m/>
    <m/>
    <s v="Oui"/>
    <n v="2"/>
    <n v="6"/>
    <n v="2"/>
    <n v="4"/>
    <s v="Entre 3 mois et 1 an"/>
    <n v="0"/>
    <n v="0"/>
    <n v="2"/>
    <n v="0"/>
    <n v="0"/>
    <m/>
    <n v="0"/>
    <n v="0"/>
    <m/>
    <n v="0"/>
    <m/>
    <m/>
    <m/>
    <m/>
    <m/>
    <n v="0"/>
    <m/>
    <m/>
    <m/>
    <m/>
    <m/>
    <m/>
    <m/>
    <m/>
    <m/>
    <m/>
    <m/>
    <m/>
    <m/>
    <s v="1"/>
    <s v="0"/>
    <s v="1"/>
    <n v="2"/>
  </r>
  <r>
    <n v="2657745"/>
    <s v="Extrême-Nord"/>
    <s v="CMR004"/>
    <x v="3"/>
    <s v="CMR004004"/>
    <s v="Guidiguis"/>
    <s v="CMR004004001"/>
    <s v="GUI-0002"/>
    <s v="GASSEL"/>
    <m/>
    <x v="0"/>
    <n v="10.134854300000001"/>
    <n v="14.709000100000001"/>
    <x v="0"/>
    <b v="1"/>
    <b v="0"/>
    <b v="1"/>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7744"/>
    <s v="Extrême-Nord"/>
    <s v="CMR004"/>
    <x v="3"/>
    <s v="CMR004004"/>
    <s v="Guidiguis"/>
    <s v="CMR004004001"/>
    <s v="GUI-0003"/>
    <s v="LARAO"/>
    <m/>
    <x v="0"/>
    <n v="10.132767899999999"/>
    <n v="14.714203100000001"/>
    <x v="0"/>
    <b v="1"/>
    <b v="0"/>
    <b v="1"/>
    <m/>
    <n v="3"/>
    <s v="Accessible"/>
    <m/>
    <s v="Le village accueille une population"/>
    <s v="Le village est intact (construit)"/>
    <m/>
    <m/>
    <s v="Oui"/>
    <s v="Sites de déplacement spontanés"/>
    <s v="Non, pas du tout"/>
    <s v="Non"/>
    <m/>
    <m/>
    <n v="6000"/>
    <s v="Non"/>
    <m/>
    <m/>
    <m/>
    <m/>
    <m/>
    <m/>
    <m/>
    <m/>
    <m/>
    <m/>
    <m/>
    <m/>
    <m/>
    <m/>
    <m/>
    <m/>
    <m/>
    <s v="Oui"/>
    <n v="2"/>
    <n v="30"/>
    <n v="13"/>
    <n v="17"/>
    <n v="0"/>
    <n v="0"/>
    <n v="0"/>
    <m/>
    <n v="0"/>
    <n v="2"/>
    <s v="En dur"/>
    <m/>
    <n v="0"/>
    <n v="0"/>
    <s v="2 ménages anciens résident du Cameroun partis se chercher. La guerre les a ramené le chef de ménage dans un des ménages est reparti laissant la famille ici"/>
    <s v="Non"/>
    <m/>
    <m/>
    <m/>
    <m/>
    <m/>
    <m/>
    <m/>
    <m/>
    <m/>
    <m/>
    <m/>
    <m/>
    <m/>
    <m/>
    <m/>
    <m/>
    <m/>
    <m/>
    <m/>
    <m/>
    <n v="0"/>
    <m/>
    <m/>
    <m/>
    <m/>
    <m/>
    <m/>
    <m/>
    <m/>
    <m/>
    <m/>
    <m/>
    <m/>
    <m/>
    <s v="0"/>
    <s v="1"/>
    <s v="0"/>
    <n v="1"/>
  </r>
  <r>
    <n v="2597216"/>
    <s v="Extrême-Nord"/>
    <s v="CMR004"/>
    <x v="3"/>
    <s v="CMR004004"/>
    <s v="Guidiguis"/>
    <s v="CMR004004001"/>
    <s v="GUI-0004"/>
    <s v="MENDAIRE"/>
    <m/>
    <x v="0"/>
    <n v="10.1294577"/>
    <n v="14.709355800000001"/>
    <x v="0"/>
    <b v="1"/>
    <b v="0"/>
    <b v="0"/>
    <m/>
    <n v="3"/>
    <s v="Accessible"/>
    <m/>
    <s v="Le village accueille une population"/>
    <s v="Le village est intact (construit)"/>
    <m/>
    <m/>
    <s v="Oui"/>
    <s v="Familles d'accueil"/>
    <s v="Non, pas du tout"/>
    <s v="Non"/>
    <m/>
    <m/>
    <n v="420"/>
    <s v="Non"/>
    <m/>
    <m/>
    <m/>
    <m/>
    <m/>
    <m/>
    <m/>
    <m/>
    <m/>
    <m/>
    <m/>
    <m/>
    <m/>
    <m/>
    <m/>
    <m/>
    <m/>
    <s v="Non"/>
    <m/>
    <m/>
    <m/>
    <m/>
    <m/>
    <m/>
    <m/>
    <m/>
    <m/>
    <m/>
    <m/>
    <m/>
    <m/>
    <m/>
    <m/>
    <s v="Oui"/>
    <n v="1"/>
    <n v="6"/>
    <n v="4"/>
    <n v="2"/>
    <s v="Entre 1 et 5 ans"/>
    <n v="1"/>
    <n v="0"/>
    <n v="0"/>
    <n v="0"/>
    <n v="0"/>
    <m/>
    <n v="0"/>
    <n v="0"/>
    <m/>
    <n v="0"/>
    <m/>
    <m/>
    <m/>
    <m/>
    <m/>
    <n v="0"/>
    <m/>
    <m/>
    <m/>
    <m/>
    <m/>
    <m/>
    <m/>
    <m/>
    <m/>
    <m/>
    <m/>
    <m/>
    <m/>
    <s v="0"/>
    <s v="0"/>
    <s v="1"/>
    <n v="1"/>
  </r>
  <r>
    <n v="2597212"/>
    <s v="Extrême-Nord"/>
    <s v="CMR004"/>
    <x v="3"/>
    <s v="CMR004004"/>
    <s v="Guidiguis"/>
    <s v="CMR004004001"/>
    <s v="GUI-0005"/>
    <s v="SIRATARE"/>
    <m/>
    <x v="0"/>
    <n v="10.129765900000001"/>
    <n v="14.707869799999999"/>
    <x v="0"/>
    <b v="1"/>
    <b v="0"/>
    <b v="0"/>
    <m/>
    <n v="3"/>
    <s v="Accessible"/>
    <m/>
    <s v="Le village accueille une population"/>
    <s v="Le village est intact (construit)"/>
    <m/>
    <m/>
    <s v="Oui"/>
    <s v="Familles d'accueil"/>
    <s v="Non, pas du tout"/>
    <s v="Non"/>
    <m/>
    <m/>
    <n v="200"/>
    <s v="Non"/>
    <m/>
    <m/>
    <m/>
    <m/>
    <m/>
    <m/>
    <m/>
    <m/>
    <m/>
    <m/>
    <m/>
    <m/>
    <m/>
    <m/>
    <m/>
    <m/>
    <m/>
    <s v="Non"/>
    <m/>
    <m/>
    <m/>
    <m/>
    <m/>
    <m/>
    <m/>
    <m/>
    <m/>
    <m/>
    <m/>
    <m/>
    <m/>
    <m/>
    <m/>
    <s v="Oui"/>
    <n v="3"/>
    <n v="15"/>
    <n v="7"/>
    <n v="8"/>
    <s v="Entre 3 mois et 1 an"/>
    <n v="2"/>
    <n v="0"/>
    <n v="1"/>
    <n v="0"/>
    <n v="0"/>
    <m/>
    <n v="0"/>
    <n v="0"/>
    <m/>
    <n v="0"/>
    <m/>
    <m/>
    <m/>
    <m/>
    <m/>
    <n v="0"/>
    <m/>
    <m/>
    <m/>
    <m/>
    <m/>
    <m/>
    <m/>
    <m/>
    <m/>
    <m/>
    <m/>
    <m/>
    <m/>
    <s v="0"/>
    <s v="0"/>
    <s v="1"/>
    <n v="1"/>
  </r>
  <r>
    <n v="2635178"/>
    <s v="Extrême-Nord"/>
    <s v="CMR004"/>
    <x v="3"/>
    <s v="CMR004004"/>
    <s v="Kaélé"/>
    <s v="CMR004004006"/>
    <s v="XXXX"/>
    <s v="BIPAING"/>
    <s v="BIPAING"/>
    <x v="1"/>
    <n v="10.184668200000001"/>
    <n v="14.557036800000001"/>
    <x v="0"/>
    <b v="1"/>
    <b v="0"/>
    <b v="1"/>
    <m/>
    <n v="3"/>
    <s v="Accessible"/>
    <m/>
    <s v="Le village accueille une population"/>
    <s v="Le village est intact (construit)"/>
    <m/>
    <m/>
    <s v="Oui"/>
    <s v="Familles d'accueil"/>
    <s v="Non, pas du tout"/>
    <s v="Non"/>
    <m/>
    <n v="4"/>
    <n v="5000"/>
    <s v="Oui"/>
    <s v="Premier déplacement"/>
    <n v="4"/>
    <n v="26"/>
    <n v="15"/>
    <n v="11"/>
    <n v="0"/>
    <n v="4"/>
    <n v="0"/>
    <n v="0"/>
    <m/>
    <m/>
    <n v="0"/>
    <n v="0"/>
    <m/>
    <m/>
    <n v="0"/>
    <s v="Ras"/>
    <s v="Non"/>
    <m/>
    <m/>
    <m/>
    <m/>
    <m/>
    <m/>
    <m/>
    <m/>
    <m/>
    <m/>
    <m/>
    <m/>
    <m/>
    <m/>
    <m/>
    <s v="Non"/>
    <m/>
    <m/>
    <m/>
    <m/>
    <m/>
    <m/>
    <m/>
    <m/>
    <m/>
    <m/>
    <m/>
    <m/>
    <m/>
    <m/>
    <m/>
    <m/>
    <m/>
    <m/>
    <m/>
    <m/>
    <n v="6"/>
    <m/>
    <m/>
    <m/>
    <m/>
    <m/>
    <m/>
    <m/>
    <m/>
    <m/>
    <m/>
    <m/>
    <m/>
    <m/>
    <s v="1"/>
    <s v="0"/>
    <s v="0"/>
    <n v="1"/>
  </r>
  <r>
    <n v="2635180"/>
    <s v="Extrême-Nord"/>
    <s v="CMR004"/>
    <x v="3"/>
    <s v="CMR004004"/>
    <s v="Kaélé"/>
    <s v="CMR004004006"/>
    <s v="XXXX"/>
    <s v="GABAN (HOURO BARKA)"/>
    <s v="GABAN (HOURO BARKA)"/>
    <x v="1"/>
    <n v="10.225937399999999"/>
    <n v="14.5478402"/>
    <x v="0"/>
    <b v="1"/>
    <b v="0"/>
    <b v="1"/>
    <m/>
    <n v="4"/>
    <s v="Accessible"/>
    <m/>
    <s v="Le village accueille une population"/>
    <s v="Le village est intact (construit)"/>
    <m/>
    <m/>
    <s v="Oui"/>
    <s v="Familles d'accueil"/>
    <s v="Non, pas du tout"/>
    <s v="Non"/>
    <m/>
    <n v="15"/>
    <n v="2500"/>
    <s v="Oui"/>
    <s v="Premier déplacement"/>
    <n v="15"/>
    <n v="100"/>
    <n v="34"/>
    <n v="66"/>
    <n v="0"/>
    <n v="0"/>
    <n v="0"/>
    <n v="0"/>
    <m/>
    <m/>
    <n v="0"/>
    <n v="15"/>
    <s v="Terre cuite/Terre battue"/>
    <m/>
    <n v="0"/>
    <s v="Besoin de Centre de santé et l'école "/>
    <s v="Non"/>
    <m/>
    <m/>
    <m/>
    <m/>
    <m/>
    <m/>
    <m/>
    <m/>
    <m/>
    <m/>
    <m/>
    <m/>
    <m/>
    <m/>
    <m/>
    <s v="Non"/>
    <m/>
    <m/>
    <m/>
    <m/>
    <m/>
    <m/>
    <m/>
    <m/>
    <m/>
    <m/>
    <m/>
    <m/>
    <m/>
    <m/>
    <m/>
    <m/>
    <m/>
    <m/>
    <m/>
    <m/>
    <n v="0"/>
    <m/>
    <m/>
    <m/>
    <m/>
    <m/>
    <m/>
    <m/>
    <m/>
    <m/>
    <m/>
    <m/>
    <m/>
    <m/>
    <s v="1"/>
    <s v="0"/>
    <s v="0"/>
    <n v="1"/>
  </r>
  <r>
    <n v="2603637"/>
    <s v="Extrême-Nord"/>
    <s v="CMR004"/>
    <x v="3"/>
    <s v="CMR004004"/>
    <s v="Kaélé"/>
    <s v="CMR004004006"/>
    <s v="KAE-0001"/>
    <s v="BOURGOURI"/>
    <m/>
    <x v="1"/>
    <n v="10.128937499999999"/>
    <n v="14.4366006"/>
    <x v="0"/>
    <b v="1"/>
    <b v="0"/>
    <b v="1"/>
    <m/>
    <n v="3"/>
    <s v="Accessible"/>
    <m/>
    <s v="Le village accueille une population"/>
    <s v="Le village est intact (construit)"/>
    <m/>
    <m/>
    <s v="Oui"/>
    <s v="Familles d'accueil"/>
    <s v="Non, pas du tout"/>
    <s v="Non"/>
    <m/>
    <n v="4"/>
    <n v="1450"/>
    <s v="Oui"/>
    <s v="Deuxième déplacement"/>
    <n v="4"/>
    <n v="30"/>
    <n v="14"/>
    <n v="16"/>
    <n v="1"/>
    <n v="3"/>
    <n v="0"/>
    <n v="0"/>
    <m/>
    <m/>
    <n v="0"/>
    <n v="0"/>
    <m/>
    <m/>
    <n v="0"/>
    <s v="Ras"/>
    <s v="Non"/>
    <m/>
    <m/>
    <m/>
    <m/>
    <m/>
    <m/>
    <m/>
    <m/>
    <m/>
    <m/>
    <m/>
    <m/>
    <m/>
    <m/>
    <m/>
    <s v="Oui"/>
    <n v="2"/>
    <n v="11"/>
    <n v="5"/>
    <n v="6"/>
    <s v="Entre 1 et 5 ans"/>
    <n v="0"/>
    <n v="2"/>
    <n v="0"/>
    <n v="0"/>
    <n v="0"/>
    <m/>
    <n v="0"/>
    <n v="0"/>
    <m/>
    <n v="0"/>
    <m/>
    <m/>
    <m/>
    <m/>
    <m/>
    <n v="0"/>
    <m/>
    <m/>
    <m/>
    <m/>
    <m/>
    <m/>
    <m/>
    <m/>
    <m/>
    <m/>
    <m/>
    <m/>
    <m/>
    <s v="1"/>
    <s v="0"/>
    <s v="1"/>
    <n v="2"/>
  </r>
  <r>
    <n v="2597449"/>
    <s v="Extrême-Nord"/>
    <s v="CMR004"/>
    <x v="3"/>
    <s v="CMR004004"/>
    <s v="Kaélé"/>
    <s v="CMR004004006"/>
    <s v="KAE-0006"/>
    <s v="DJIDOMA"/>
    <m/>
    <x v="0"/>
    <n v="10.0052082"/>
    <n v="14.3319084"/>
    <x v="0"/>
    <b v="1"/>
    <b v="0"/>
    <b v="0"/>
    <m/>
    <n v="3"/>
    <s v="Accessible"/>
    <m/>
    <s v="Le village accueille une population"/>
    <s v="Le village est intact (construit)"/>
    <m/>
    <m/>
    <s v="Oui"/>
    <s v="Familles d'accueil"/>
    <s v="Non, pas du tout"/>
    <s v="Non"/>
    <m/>
    <m/>
    <n v="14000"/>
    <s v="Non"/>
    <m/>
    <m/>
    <m/>
    <m/>
    <m/>
    <m/>
    <m/>
    <m/>
    <m/>
    <m/>
    <m/>
    <m/>
    <m/>
    <m/>
    <m/>
    <m/>
    <m/>
    <s v="Non"/>
    <m/>
    <m/>
    <m/>
    <m/>
    <m/>
    <m/>
    <m/>
    <m/>
    <m/>
    <m/>
    <m/>
    <m/>
    <m/>
    <m/>
    <m/>
    <s v="Oui"/>
    <n v="3"/>
    <n v="21"/>
    <n v="12"/>
    <n v="9"/>
    <s v="Entre 1 et 5 ans"/>
    <n v="1"/>
    <n v="2"/>
    <n v="0"/>
    <n v="0"/>
    <n v="0"/>
    <m/>
    <n v="0"/>
    <n v="0"/>
    <m/>
    <n v="0"/>
    <m/>
    <m/>
    <m/>
    <m/>
    <m/>
    <n v="0"/>
    <m/>
    <m/>
    <m/>
    <m/>
    <m/>
    <m/>
    <m/>
    <m/>
    <m/>
    <m/>
    <m/>
    <m/>
    <m/>
    <s v="0"/>
    <s v="0"/>
    <s v="1"/>
    <n v="1"/>
  </r>
  <r>
    <n v="2690364"/>
    <s v="Extrême-Nord"/>
    <s v="CMR004"/>
    <x v="3"/>
    <s v="CMR004004"/>
    <s v="Kaélé"/>
    <s v="CMR004004006"/>
    <s v="KAE-0008"/>
    <s v="DOUMROU"/>
    <m/>
    <x v="0"/>
    <n v="10.0408244"/>
    <n v="14.483294799999999"/>
    <x v="0"/>
    <b v="1"/>
    <b v="0"/>
    <b v="0"/>
    <m/>
    <n v="3"/>
    <s v="Accessible"/>
    <m/>
    <s v="Le village accueille une population"/>
    <s v="Le village est intact (construit)"/>
    <m/>
    <m/>
    <s v="Oui"/>
    <s v="Familles d'accueil"/>
    <s v="Non, pas du tout"/>
    <s v="Non"/>
    <m/>
    <n v="17"/>
    <n v="4658"/>
    <s v="Oui"/>
    <s v="Premier déplacement"/>
    <n v="17"/>
    <n v="119"/>
    <n v="50"/>
    <n v="69"/>
    <n v="0"/>
    <n v="10"/>
    <n v="0"/>
    <n v="7"/>
    <s v="Chez une famille d'accueil (contre loyer)"/>
    <m/>
    <n v="0"/>
    <n v="0"/>
    <m/>
    <m/>
    <n v="0"/>
    <s v="Pas de changement "/>
    <s v="Oui"/>
    <n v="35"/>
    <n v="163"/>
    <n v="83"/>
    <n v="80"/>
    <n v="5"/>
    <n v="30"/>
    <n v="0"/>
    <m/>
    <n v="0"/>
    <n v="0"/>
    <m/>
    <m/>
    <n v="0"/>
    <n v="0"/>
    <s v="Augmentation de 2 ménages et 9 individus "/>
    <s v="Oui"/>
    <n v="2"/>
    <n v="9"/>
    <n v="5"/>
    <n v="4"/>
    <s v="Entre 1 et 5 ans"/>
    <n v="1"/>
    <n v="0"/>
    <n v="1"/>
    <n v="0"/>
    <n v="0"/>
    <m/>
    <n v="0"/>
    <n v="0"/>
    <m/>
    <n v="0"/>
    <m/>
    <m/>
    <m/>
    <m/>
    <m/>
    <n v="0"/>
    <m/>
    <m/>
    <m/>
    <m/>
    <m/>
    <m/>
    <m/>
    <m/>
    <m/>
    <m/>
    <m/>
    <m/>
    <m/>
    <s v="1"/>
    <s v="1"/>
    <s v="1"/>
    <n v="3"/>
  </r>
  <r>
    <n v="2635183"/>
    <s v="Extrême-Nord"/>
    <s v="CMR004"/>
    <x v="3"/>
    <s v="CMR004004"/>
    <s v="Kaélé"/>
    <s v="CMR004004006"/>
    <s v="KAE-0002"/>
    <s v="GAZARO"/>
    <m/>
    <x v="0"/>
    <n v="10.246118299999999"/>
    <n v="14.433646299999999"/>
    <x v="0"/>
    <b v="1"/>
    <b v="0"/>
    <b v="1"/>
    <m/>
    <n v="3"/>
    <s v="Accessible"/>
    <m/>
    <s v="Le village accueille une population"/>
    <s v="Le village est intact (construit)"/>
    <m/>
    <m/>
    <s v="Oui"/>
    <s v="Familles d'accueil"/>
    <s v="Non, pas du tout"/>
    <s v="Non"/>
    <m/>
    <m/>
    <n v="4500"/>
    <s v="Non"/>
    <m/>
    <m/>
    <m/>
    <m/>
    <m/>
    <m/>
    <m/>
    <m/>
    <m/>
    <m/>
    <m/>
    <m/>
    <m/>
    <m/>
    <m/>
    <m/>
    <m/>
    <s v="Non"/>
    <m/>
    <m/>
    <m/>
    <m/>
    <m/>
    <m/>
    <m/>
    <m/>
    <m/>
    <m/>
    <m/>
    <m/>
    <m/>
    <m/>
    <m/>
    <s v="Oui"/>
    <n v="2"/>
    <n v="27"/>
    <n v="10"/>
    <n v="17"/>
    <s v="Ne sait pas"/>
    <n v="2"/>
    <n v="0"/>
    <n v="0"/>
    <n v="0"/>
    <n v="0"/>
    <m/>
    <n v="0"/>
    <n v="0"/>
    <m/>
    <n v="0"/>
    <m/>
    <m/>
    <m/>
    <m/>
    <m/>
    <n v="0"/>
    <m/>
    <m/>
    <m/>
    <m/>
    <m/>
    <m/>
    <m/>
    <m/>
    <m/>
    <m/>
    <m/>
    <m/>
    <m/>
    <s v="0"/>
    <s v="0"/>
    <s v="1"/>
    <n v="1"/>
  </r>
  <r>
    <n v="2603643"/>
    <s v="Extrême-Nord"/>
    <s v="CMR004"/>
    <x v="3"/>
    <s v="CMR004004"/>
    <s v="Kaélé"/>
    <s v="CMR004004006"/>
    <s v="KAE-0009"/>
    <s v="GOUDJOUING"/>
    <m/>
    <x v="1"/>
    <n v="10.149621"/>
    <n v="14.4022056"/>
    <x v="0"/>
    <b v="1"/>
    <b v="0"/>
    <b v="1"/>
    <m/>
    <n v="3"/>
    <s v="Accessible"/>
    <m/>
    <s v="Le village accueille une population"/>
    <s v="Le village est intact (construit)"/>
    <m/>
    <m/>
    <s v="Oui"/>
    <s v="Familles d'accueil"/>
    <s v="Non, pas du tout"/>
    <s v="Non"/>
    <m/>
    <n v="3"/>
    <n v="1313"/>
    <s v="Oui"/>
    <s v="Premier déplacement"/>
    <n v="3"/>
    <n v="8"/>
    <n v="5"/>
    <n v="3"/>
    <n v="0"/>
    <n v="3"/>
    <n v="0"/>
    <n v="0"/>
    <m/>
    <m/>
    <n v="0"/>
    <n v="0"/>
    <m/>
    <m/>
    <n v="0"/>
    <s v="Besoin d'assistance pour ces IDPs"/>
    <s v="Non"/>
    <m/>
    <m/>
    <m/>
    <m/>
    <m/>
    <m/>
    <m/>
    <m/>
    <m/>
    <m/>
    <m/>
    <m/>
    <m/>
    <m/>
    <m/>
    <s v="Non"/>
    <m/>
    <m/>
    <m/>
    <m/>
    <m/>
    <m/>
    <m/>
    <m/>
    <m/>
    <m/>
    <m/>
    <m/>
    <m/>
    <m/>
    <m/>
    <m/>
    <m/>
    <m/>
    <m/>
    <m/>
    <n v="3"/>
    <m/>
    <m/>
    <m/>
    <m/>
    <m/>
    <m/>
    <m/>
    <m/>
    <m/>
    <m/>
    <m/>
    <m/>
    <m/>
    <s v="1"/>
    <s v="0"/>
    <s v="0"/>
    <n v="1"/>
  </r>
  <r>
    <n v="2696654"/>
    <s v="Extrême-Nord"/>
    <s v="CMR004"/>
    <x v="3"/>
    <s v="CMR004004"/>
    <s v="Kaélé"/>
    <s v="CMR004004006"/>
    <s v="KAE-0013"/>
    <s v="GUETALÉ"/>
    <m/>
    <x v="0"/>
    <n v="10.0540976"/>
    <n v="14.482875399999999"/>
    <x v="0"/>
    <b v="1"/>
    <b v="0"/>
    <b v="0"/>
    <m/>
    <n v="3"/>
    <s v="Accessible"/>
    <m/>
    <s v="Le village accueille une population"/>
    <s v="Le village est intact (construit)"/>
    <m/>
    <m/>
    <s v="Oui"/>
    <s v="Familles d'accueil"/>
    <s v="Non, pas du tout"/>
    <s v="Non"/>
    <m/>
    <n v="6"/>
    <n v="800"/>
    <s v="Oui"/>
    <s v="Premier déplacement"/>
    <n v="6"/>
    <n v="42"/>
    <n v="17"/>
    <n v="25"/>
    <n v="0"/>
    <n v="4"/>
    <n v="0"/>
    <n v="2"/>
    <s v="Chez une famille d'accueil (contre loyer)"/>
    <m/>
    <n v="0"/>
    <n v="0"/>
    <m/>
    <m/>
    <n v="0"/>
    <s v="Pas de changement "/>
    <s v="Oui"/>
    <n v="4"/>
    <n v="28"/>
    <n v="11"/>
    <n v="17"/>
    <n v="1"/>
    <n v="3"/>
    <n v="0"/>
    <m/>
    <n v="0"/>
    <n v="0"/>
    <m/>
    <m/>
    <n v="0"/>
    <n v="0"/>
    <s v="Pas de changement "/>
    <s v="Non"/>
    <m/>
    <m/>
    <m/>
    <m/>
    <m/>
    <m/>
    <m/>
    <m/>
    <m/>
    <m/>
    <m/>
    <m/>
    <m/>
    <m/>
    <m/>
    <m/>
    <m/>
    <m/>
    <m/>
    <m/>
    <n v="0"/>
    <m/>
    <m/>
    <m/>
    <m/>
    <m/>
    <m/>
    <m/>
    <m/>
    <m/>
    <m/>
    <m/>
    <m/>
    <m/>
    <s v="1"/>
    <s v="1"/>
    <s v="0"/>
    <n v="2"/>
  </r>
  <r>
    <n v="2603631"/>
    <s v="Extrême-Nord"/>
    <s v="CMR004"/>
    <x v="3"/>
    <s v="CMR004004"/>
    <s v="Kaélé"/>
    <s v="CMR004004006"/>
    <s v="KAE-0003"/>
    <s v="KAELE"/>
    <m/>
    <x v="0"/>
    <n v="10.1137733"/>
    <n v="14.4474477"/>
    <x v="0"/>
    <b v="1"/>
    <b v="0"/>
    <b v="1"/>
    <m/>
    <n v="3"/>
    <s v="Accessible"/>
    <m/>
    <s v="Le village accueille une population"/>
    <s v="Le village est intact (construit)"/>
    <m/>
    <m/>
    <s v="Oui"/>
    <s v="Familles d'accueil"/>
    <s v="Non, pas du tout"/>
    <s v="Non"/>
    <m/>
    <n v="2"/>
    <n v="1700"/>
    <s v="Oui"/>
    <s v="Premier déplacement"/>
    <n v="2"/>
    <n v="9"/>
    <n v="5"/>
    <n v="4"/>
    <n v="0"/>
    <n v="2"/>
    <n v="0"/>
    <n v="0"/>
    <m/>
    <m/>
    <n v="0"/>
    <n v="0"/>
    <m/>
    <m/>
    <n v="0"/>
    <s v="Ces PDIs n'ont pas assez de moyens de subsistance et sollicite une aide "/>
    <s v="Non"/>
    <m/>
    <m/>
    <m/>
    <m/>
    <m/>
    <m/>
    <m/>
    <m/>
    <m/>
    <m/>
    <m/>
    <m/>
    <m/>
    <m/>
    <m/>
    <s v="Non"/>
    <m/>
    <m/>
    <m/>
    <m/>
    <m/>
    <m/>
    <m/>
    <m/>
    <m/>
    <m/>
    <m/>
    <m/>
    <m/>
    <m/>
    <m/>
    <m/>
    <m/>
    <m/>
    <m/>
    <m/>
    <n v="0"/>
    <m/>
    <m/>
    <m/>
    <m/>
    <m/>
    <m/>
    <m/>
    <m/>
    <m/>
    <m/>
    <m/>
    <m/>
    <m/>
    <s v="1"/>
    <s v="0"/>
    <s v="0"/>
    <n v="1"/>
  </r>
  <r>
    <n v="2620624"/>
    <s v="Extrême-Nord"/>
    <s v="CMR004"/>
    <x v="3"/>
    <s v="CMR004004"/>
    <s v="Kaélé"/>
    <s v="CMR004004006"/>
    <s v="KAE-0011"/>
    <s v="KASSÉLÉ"/>
    <m/>
    <x v="1"/>
    <n v="10.17071"/>
    <n v="14.415984999999999"/>
    <x v="0"/>
    <b v="1"/>
    <b v="0"/>
    <b v="1"/>
    <m/>
    <n v="3"/>
    <s v="Accessible"/>
    <m/>
    <s v="Le village accueille une population"/>
    <s v="Le village est intact (construit)"/>
    <m/>
    <m/>
    <s v="Oui"/>
    <s v="Sites de déplacement spontanés"/>
    <s v="Non, pas du tout"/>
    <s v="Non"/>
    <m/>
    <n v="40"/>
    <n v="1800"/>
    <s v="Oui"/>
    <s v="Premier déplacement"/>
    <n v="40"/>
    <n v="98"/>
    <n v="63"/>
    <n v="35"/>
    <n v="0"/>
    <n v="0"/>
    <n v="5"/>
    <n v="0"/>
    <m/>
    <m/>
    <n v="0"/>
    <n v="35"/>
    <s v="Paille/Natte/Nylon"/>
    <m/>
    <n v="0"/>
    <s v="On note l'absence d'eau, d'hôpital et d'école, ces derniers doivent se rendre à boboyo a près de 8 km ce qui devient très pénible."/>
    <s v="Non"/>
    <m/>
    <m/>
    <m/>
    <m/>
    <m/>
    <m/>
    <m/>
    <m/>
    <m/>
    <m/>
    <m/>
    <m/>
    <m/>
    <m/>
    <m/>
    <s v="Non"/>
    <m/>
    <m/>
    <m/>
    <m/>
    <m/>
    <m/>
    <m/>
    <m/>
    <m/>
    <m/>
    <m/>
    <m/>
    <m/>
    <m/>
    <m/>
    <m/>
    <m/>
    <m/>
    <m/>
    <m/>
    <n v="7"/>
    <m/>
    <m/>
    <m/>
    <m/>
    <m/>
    <m/>
    <m/>
    <m/>
    <m/>
    <m/>
    <m/>
    <m/>
    <m/>
    <s v="1"/>
    <s v="0"/>
    <s v="0"/>
    <n v="1"/>
  </r>
  <r>
    <n v="2696655"/>
    <s v="Extrême-Nord"/>
    <s v="CMR004"/>
    <x v="3"/>
    <s v="CMR004004"/>
    <s v="Kaélé"/>
    <s v="CMR004004006"/>
    <s v="KAE-0017"/>
    <s v="KEO-KEO"/>
    <m/>
    <x v="0"/>
    <n v="10.0989758"/>
    <n v="14.4730797"/>
    <x v="0"/>
    <b v="1"/>
    <b v="0"/>
    <b v="0"/>
    <m/>
    <n v="3"/>
    <s v="Accessible"/>
    <m/>
    <s v="Le village accueille une population"/>
    <s v="Le village est intact (construit)"/>
    <m/>
    <m/>
    <s v="Oui"/>
    <s v="Familles d'accueil"/>
    <s v="Non, pas du tout"/>
    <s v="Non"/>
    <m/>
    <n v="15"/>
    <n v="2500"/>
    <s v="Oui"/>
    <s v="Premier déplacement"/>
    <n v="15"/>
    <n v="129"/>
    <n v="54"/>
    <n v="75"/>
    <n v="0"/>
    <n v="5"/>
    <n v="0"/>
    <n v="10"/>
    <s v="Chez une famille d'accueil (contre loyer)"/>
    <m/>
    <n v="0"/>
    <n v="0"/>
    <m/>
    <m/>
    <n v="0"/>
    <s v="Plus 2 individus ,naissance "/>
    <s v="Oui"/>
    <n v="1"/>
    <n v="12"/>
    <n v="5"/>
    <n v="7"/>
    <n v="1"/>
    <n v="0"/>
    <n v="0"/>
    <m/>
    <n v="0"/>
    <n v="0"/>
    <m/>
    <m/>
    <n v="0"/>
    <n v="0"/>
    <s v="Ajout de 2 individus, naissance "/>
    <s v="Non"/>
    <m/>
    <m/>
    <m/>
    <m/>
    <m/>
    <m/>
    <m/>
    <m/>
    <m/>
    <m/>
    <m/>
    <m/>
    <m/>
    <m/>
    <m/>
    <m/>
    <m/>
    <m/>
    <m/>
    <m/>
    <n v="0"/>
    <m/>
    <m/>
    <m/>
    <m/>
    <m/>
    <m/>
    <m/>
    <m/>
    <m/>
    <m/>
    <m/>
    <m/>
    <m/>
    <s v="1"/>
    <s v="1"/>
    <s v="0"/>
    <n v="2"/>
  </r>
  <r>
    <n v="2631062"/>
    <s v="Extrême-Nord"/>
    <s v="CMR004"/>
    <x v="3"/>
    <s v="CMR004004"/>
    <s v="Kaélé"/>
    <s v="CMR004004006"/>
    <s v="KAE-0007"/>
    <s v="LARA"/>
    <m/>
    <x v="1"/>
    <n v="10.180361700000001"/>
    <n v="14.5050618"/>
    <x v="0"/>
    <b v="1"/>
    <b v="0"/>
    <b v="1"/>
    <m/>
    <n v="4"/>
    <s v="Accessible"/>
    <m/>
    <s v="Le village accueille une population"/>
    <s v="Le village est intact (construit)"/>
    <m/>
    <m/>
    <s v="Oui"/>
    <s v="Familles d'accueil"/>
    <s v="Non, pas du tout"/>
    <s v="Non"/>
    <m/>
    <n v="4"/>
    <n v="12000"/>
    <s v="Oui"/>
    <s v="Premier déplacement"/>
    <n v="4"/>
    <n v="26"/>
    <n v="12"/>
    <n v="14"/>
    <n v="0"/>
    <n v="4"/>
    <n v="0"/>
    <n v="0"/>
    <m/>
    <m/>
    <n v="0"/>
    <n v="0"/>
    <m/>
    <m/>
    <n v="0"/>
    <s v="Ras"/>
    <s v="Non"/>
    <m/>
    <m/>
    <m/>
    <m/>
    <m/>
    <m/>
    <m/>
    <m/>
    <m/>
    <m/>
    <m/>
    <m/>
    <m/>
    <m/>
    <m/>
    <s v="Non"/>
    <m/>
    <m/>
    <m/>
    <m/>
    <m/>
    <m/>
    <m/>
    <m/>
    <m/>
    <m/>
    <m/>
    <m/>
    <m/>
    <m/>
    <m/>
    <m/>
    <m/>
    <m/>
    <m/>
    <m/>
    <n v="7"/>
    <m/>
    <m/>
    <m/>
    <m/>
    <m/>
    <m/>
    <m/>
    <m/>
    <m/>
    <m/>
    <m/>
    <m/>
    <m/>
    <s v="1"/>
    <s v="0"/>
    <s v="0"/>
    <n v="1"/>
  </r>
  <r>
    <n v="2621493"/>
    <s v="Extrême-Nord"/>
    <s v="CMR004"/>
    <x v="3"/>
    <s v="CMR004004"/>
    <s v="Kaélé"/>
    <s v="CMR004004006"/>
    <s v="KAE-0010"/>
    <s v="MADA"/>
    <m/>
    <x v="0"/>
    <n v="10.1356375"/>
    <n v="14.470908700000001"/>
    <x v="0"/>
    <b v="1"/>
    <b v="0"/>
    <b v="0"/>
    <m/>
    <n v="3"/>
    <s v="Accessible"/>
    <m/>
    <s v="Le village accueille une population"/>
    <s v="Le village est intact (construit)"/>
    <m/>
    <m/>
    <s v="Oui"/>
    <s v="Sites de déplacement spontanés"/>
    <s v="Non, pas du tout"/>
    <s v="Non"/>
    <m/>
    <n v="82"/>
    <n v="712"/>
    <s v="Oui"/>
    <s v="Premier déplacement"/>
    <n v="82"/>
    <n v="637"/>
    <n v="310"/>
    <n v="327"/>
    <n v="0"/>
    <n v="0"/>
    <n v="0"/>
    <n v="0"/>
    <m/>
    <m/>
    <n v="0"/>
    <n v="82"/>
    <s v="Paille/Natte/Nylon"/>
    <m/>
    <n v="0"/>
    <s v="Pas de changement "/>
    <s v="Oui"/>
    <n v="12"/>
    <n v="75"/>
    <n v="32"/>
    <n v="43"/>
    <n v="0"/>
    <n v="0"/>
    <n v="0"/>
    <m/>
    <n v="0"/>
    <n v="12"/>
    <s v="Paille/Natte/Nylon"/>
    <m/>
    <n v="0"/>
    <n v="0"/>
    <s v="Ménages nouvellement arrives,2 mois environ "/>
    <s v="Non"/>
    <m/>
    <m/>
    <m/>
    <m/>
    <m/>
    <m/>
    <m/>
    <m/>
    <m/>
    <m/>
    <m/>
    <m/>
    <m/>
    <m/>
    <m/>
    <m/>
    <m/>
    <m/>
    <m/>
    <m/>
    <n v="0"/>
    <m/>
    <m/>
    <m/>
    <m/>
    <m/>
    <m/>
    <m/>
    <m/>
    <m/>
    <m/>
    <m/>
    <m/>
    <m/>
    <s v="1"/>
    <s v="1"/>
    <s v="0"/>
    <n v="2"/>
  </r>
  <r>
    <n v="2690366"/>
    <s v="Extrême-Nord"/>
    <s v="CMR004"/>
    <x v="3"/>
    <s v="CMR004004"/>
    <s v="Kaélé"/>
    <s v="CMR004004006"/>
    <s v="KAE-0018"/>
    <s v="PADJANI"/>
    <m/>
    <x v="0"/>
    <n v="10.0394115"/>
    <n v="14.482429399999999"/>
    <x v="0"/>
    <b v="1"/>
    <b v="0"/>
    <b v="0"/>
    <m/>
    <n v="3"/>
    <s v="Accessible"/>
    <m/>
    <s v="Le village accueille une population"/>
    <s v="Le village est intact (construit)"/>
    <m/>
    <m/>
    <s v="Oui"/>
    <s v="Familles d'accueil"/>
    <s v="Non, pas du tout"/>
    <s v="Non"/>
    <m/>
    <n v="2"/>
    <n v="315"/>
    <s v="Oui"/>
    <s v="Premier déplacement"/>
    <n v="2"/>
    <n v="10"/>
    <n v="6"/>
    <n v="4"/>
    <n v="0"/>
    <n v="2"/>
    <n v="0"/>
    <n v="0"/>
    <m/>
    <m/>
    <n v="0"/>
    <n v="0"/>
    <m/>
    <m/>
    <n v="0"/>
    <s v="Pas de changement "/>
    <s v="Oui"/>
    <n v="1"/>
    <n v="6"/>
    <n v="2"/>
    <n v="4"/>
    <n v="0"/>
    <n v="1"/>
    <n v="0"/>
    <m/>
    <n v="0"/>
    <n v="0"/>
    <m/>
    <m/>
    <n v="0"/>
    <n v="0"/>
    <s v="Menage nouvellement arrivé en Janvier 2023"/>
    <s v="Non"/>
    <m/>
    <m/>
    <m/>
    <m/>
    <m/>
    <m/>
    <m/>
    <m/>
    <m/>
    <m/>
    <m/>
    <m/>
    <m/>
    <m/>
    <m/>
    <m/>
    <m/>
    <m/>
    <m/>
    <m/>
    <n v="0"/>
    <m/>
    <m/>
    <m/>
    <m/>
    <m/>
    <m/>
    <m/>
    <m/>
    <m/>
    <m/>
    <m/>
    <m/>
    <m/>
    <s v="1"/>
    <s v="1"/>
    <s v="0"/>
    <n v="2"/>
  </r>
  <r>
    <n v="2690367"/>
    <s v="Extrême-Nord"/>
    <s v="CMR004"/>
    <x v="3"/>
    <s v="CMR004004"/>
    <s v="Kaélé"/>
    <s v="CMR004004006"/>
    <s v="KAE-0015"/>
    <s v="ROUMDÉ"/>
    <m/>
    <x v="0"/>
    <n v="10.0381141"/>
    <n v="14.4820975"/>
    <x v="0"/>
    <b v="1"/>
    <b v="0"/>
    <b v="0"/>
    <m/>
    <n v="3"/>
    <s v="Accessible"/>
    <m/>
    <s v="Le village accueille une population"/>
    <s v="Le village est intact (construit)"/>
    <m/>
    <m/>
    <s v="Oui"/>
    <s v="Familles d'accueil"/>
    <s v="Non, pas du tout"/>
    <s v="Non"/>
    <m/>
    <n v="16"/>
    <n v="700"/>
    <s v="Oui"/>
    <s v="Premier déplacement"/>
    <n v="16"/>
    <n v="140"/>
    <n v="80"/>
    <n v="60"/>
    <n v="4"/>
    <n v="10"/>
    <n v="0"/>
    <n v="2"/>
    <s v="Chez une famille d'accueil (contre loyer)"/>
    <m/>
    <n v="0"/>
    <n v="0"/>
    <m/>
    <m/>
    <n v="0"/>
    <s v="Naissance de 3 individus femmes "/>
    <s v="Non"/>
    <m/>
    <m/>
    <m/>
    <m/>
    <m/>
    <m/>
    <m/>
    <m/>
    <m/>
    <m/>
    <m/>
    <m/>
    <m/>
    <m/>
    <m/>
    <s v="Non"/>
    <m/>
    <m/>
    <m/>
    <m/>
    <m/>
    <m/>
    <m/>
    <m/>
    <m/>
    <m/>
    <m/>
    <m/>
    <m/>
    <m/>
    <m/>
    <m/>
    <m/>
    <m/>
    <m/>
    <m/>
    <n v="0"/>
    <m/>
    <m/>
    <m/>
    <m/>
    <m/>
    <m/>
    <m/>
    <m/>
    <m/>
    <m/>
    <m/>
    <m/>
    <m/>
    <s v="1"/>
    <s v="0"/>
    <s v="0"/>
    <n v="1"/>
  </r>
  <r>
    <n v="2690365"/>
    <s v="Extrême-Nord"/>
    <s v="CMR004"/>
    <x v="3"/>
    <s v="CMR004004"/>
    <s v="Kaélé"/>
    <s v="CMR004004006"/>
    <s v="KAE-0012"/>
    <s v="SOKOYE"/>
    <m/>
    <x v="0"/>
    <n v="10.1097804"/>
    <n v="14.4404463"/>
    <x v="0"/>
    <b v="1"/>
    <b v="0"/>
    <b v="0"/>
    <m/>
    <n v="3"/>
    <s v="Accessible"/>
    <m/>
    <s v="Le village accueille une population"/>
    <s v="Le village est intact (construit)"/>
    <m/>
    <m/>
    <s v="Oui"/>
    <s v="Familles d'accueil"/>
    <s v="Non, pas du tout"/>
    <s v="Non"/>
    <m/>
    <n v="19"/>
    <n v="1000"/>
    <s v="Oui"/>
    <s v="Premier déplacement"/>
    <n v="19"/>
    <n v="180"/>
    <n v="88"/>
    <n v="92"/>
    <n v="2"/>
    <n v="15"/>
    <n v="2"/>
    <n v="0"/>
    <m/>
    <m/>
    <n v="0"/>
    <n v="0"/>
    <m/>
    <m/>
    <n v="0"/>
    <s v="Pas de changement "/>
    <s v="Oui"/>
    <n v="11"/>
    <n v="89"/>
    <n v="56"/>
    <n v="33"/>
    <n v="2"/>
    <n v="9"/>
    <n v="0"/>
    <m/>
    <n v="0"/>
    <n v="0"/>
    <m/>
    <m/>
    <n v="0"/>
    <n v="0"/>
    <s v="Départ de 14 individus hommes partis se chercher vers Yaoundé "/>
    <s v="Non"/>
    <m/>
    <m/>
    <m/>
    <m/>
    <m/>
    <m/>
    <m/>
    <m/>
    <m/>
    <m/>
    <m/>
    <m/>
    <m/>
    <m/>
    <m/>
    <m/>
    <m/>
    <m/>
    <m/>
    <m/>
    <n v="0"/>
    <m/>
    <m/>
    <m/>
    <m/>
    <m/>
    <m/>
    <m/>
    <m/>
    <m/>
    <m/>
    <m/>
    <m/>
    <m/>
    <s v="1"/>
    <s v="1"/>
    <s v="0"/>
    <n v="2"/>
  </r>
  <r>
    <n v="2597450"/>
    <s v="Extrême-Nord"/>
    <s v="CMR004"/>
    <x v="3"/>
    <s v="CMR004004"/>
    <s v="Kaélé"/>
    <s v="CMR004004006"/>
    <s v="KAE-0016"/>
    <s v="TIBIRI"/>
    <m/>
    <x v="0"/>
    <n v="10.095965"/>
    <n v="14.478064"/>
    <x v="0"/>
    <b v="1"/>
    <b v="0"/>
    <b v="0"/>
    <m/>
    <n v="3"/>
    <s v="Accessible"/>
    <m/>
    <s v="Le village accueille une population"/>
    <s v="Le village est intact (construit)"/>
    <m/>
    <m/>
    <s v="Oui"/>
    <s v="Familles d'accueil"/>
    <s v="Non, pas du tout"/>
    <s v="Non"/>
    <m/>
    <m/>
    <n v="2100"/>
    <s v="Non"/>
    <m/>
    <m/>
    <m/>
    <m/>
    <m/>
    <m/>
    <m/>
    <m/>
    <m/>
    <m/>
    <m/>
    <m/>
    <m/>
    <m/>
    <m/>
    <m/>
    <m/>
    <s v="Oui"/>
    <n v="6"/>
    <n v="45"/>
    <n v="21"/>
    <n v="24"/>
    <n v="2"/>
    <n v="2"/>
    <n v="2"/>
    <s v="Chez une famille d'accueil (contre loyer)"/>
    <n v="0"/>
    <n v="0"/>
    <m/>
    <m/>
    <n v="0"/>
    <n v="0"/>
    <s v="RAS"/>
    <s v="Non"/>
    <m/>
    <m/>
    <m/>
    <m/>
    <m/>
    <m/>
    <m/>
    <m/>
    <m/>
    <m/>
    <m/>
    <m/>
    <m/>
    <m/>
    <m/>
    <m/>
    <m/>
    <m/>
    <m/>
    <m/>
    <n v="0"/>
    <m/>
    <m/>
    <m/>
    <m/>
    <m/>
    <m/>
    <m/>
    <m/>
    <m/>
    <m/>
    <m/>
    <m/>
    <m/>
    <s v="0"/>
    <s v="1"/>
    <s v="0"/>
    <n v="1"/>
  </r>
  <r>
    <n v="2601559"/>
    <s v="Extrême-Nord"/>
    <s v="CMR004"/>
    <x v="3"/>
    <s v="CMR004004"/>
    <s v="Kaélé"/>
    <s v="CMR004004006"/>
    <s v="KAE-0014"/>
    <s v="WINDEO"/>
    <m/>
    <x v="0"/>
    <n v="10.052698100000001"/>
    <n v="14.481169299999999"/>
    <x v="0"/>
    <b v="1"/>
    <b v="0"/>
    <b v="0"/>
    <m/>
    <n v="3"/>
    <s v="Accessible"/>
    <m/>
    <s v="Le village accueille une population"/>
    <s v="Le village est intact (construit)"/>
    <m/>
    <m/>
    <s v="Oui"/>
    <s v="Familles d'accueil"/>
    <s v="Non, pas du tout"/>
    <s v="Non"/>
    <m/>
    <n v="18"/>
    <n v="1200"/>
    <s v="Oui"/>
    <s v="Premier déplacement"/>
    <n v="18"/>
    <n v="87"/>
    <n v="39"/>
    <n v="48"/>
    <n v="0"/>
    <n v="8"/>
    <n v="10"/>
    <n v="0"/>
    <m/>
    <m/>
    <n v="0"/>
    <n v="0"/>
    <m/>
    <m/>
    <n v="0"/>
    <s v="Dimunition de 2 ménages et 13 individus partis vers Touboro"/>
    <s v="Oui"/>
    <n v="7"/>
    <n v="37"/>
    <n v="15"/>
    <n v="22"/>
    <n v="2"/>
    <n v="5"/>
    <n v="0"/>
    <m/>
    <n v="0"/>
    <n v="0"/>
    <m/>
    <m/>
    <n v="0"/>
    <n v="0"/>
    <s v="Départ de 21 individus pour chercher du travail et suite aux mariages"/>
    <s v="Non"/>
    <m/>
    <m/>
    <m/>
    <m/>
    <m/>
    <m/>
    <m/>
    <m/>
    <m/>
    <m/>
    <m/>
    <m/>
    <m/>
    <m/>
    <m/>
    <m/>
    <m/>
    <m/>
    <m/>
    <m/>
    <n v="0"/>
    <m/>
    <m/>
    <m/>
    <m/>
    <m/>
    <m/>
    <m/>
    <m/>
    <m/>
    <m/>
    <m/>
    <m/>
    <m/>
    <s v="1"/>
    <s v="1"/>
    <s v="0"/>
    <n v="2"/>
  </r>
  <r>
    <n v="2635181"/>
    <s v="Extrême-Nord"/>
    <s v="CMR004"/>
    <x v="3"/>
    <s v="CMR004004"/>
    <s v="Kaélé"/>
    <s v="CMR004004006"/>
    <s v="KAE-0005"/>
    <s v="ZAKLANG"/>
    <m/>
    <x v="1"/>
    <n v="10.227283"/>
    <n v="14.409448599999999"/>
    <x v="0"/>
    <b v="1"/>
    <b v="0"/>
    <b v="1"/>
    <m/>
    <n v="3"/>
    <s v="Accessible"/>
    <m/>
    <s v="Le village accueille une population"/>
    <s v="Le village est intact (construit)"/>
    <m/>
    <m/>
    <s v="Oui"/>
    <s v="Familles d'accueil"/>
    <s v="Non, pas du tout"/>
    <s v="Non"/>
    <m/>
    <m/>
    <n v="700"/>
    <s v="Non"/>
    <m/>
    <m/>
    <m/>
    <m/>
    <m/>
    <m/>
    <m/>
    <m/>
    <m/>
    <m/>
    <m/>
    <m/>
    <m/>
    <m/>
    <m/>
    <m/>
    <m/>
    <s v="Non"/>
    <m/>
    <m/>
    <m/>
    <m/>
    <m/>
    <m/>
    <m/>
    <m/>
    <m/>
    <m/>
    <m/>
    <m/>
    <m/>
    <m/>
    <m/>
    <s v="Oui"/>
    <n v="2"/>
    <n v="12"/>
    <n v="6"/>
    <n v="6"/>
    <s v="Ne sait pas"/>
    <n v="0"/>
    <n v="2"/>
    <n v="0"/>
    <n v="0"/>
    <n v="0"/>
    <m/>
    <n v="0"/>
    <n v="0"/>
    <m/>
    <n v="0"/>
    <m/>
    <m/>
    <m/>
    <m/>
    <m/>
    <n v="0"/>
    <m/>
    <m/>
    <m/>
    <m/>
    <m/>
    <m/>
    <m/>
    <m/>
    <m/>
    <m/>
    <m/>
    <m/>
    <m/>
    <s v="0"/>
    <s v="0"/>
    <s v="1"/>
    <n v="1"/>
  </r>
  <r>
    <n v="2688768"/>
    <s v="Extrême-Nord"/>
    <s v="CMR004"/>
    <x v="3"/>
    <s v="CMR004004"/>
    <s v="Kaélé"/>
    <s v="CMR004004006"/>
    <s v="KAE-0004"/>
    <s v="ZAPILI"/>
    <m/>
    <x v="1"/>
    <n v="10.1598525"/>
    <n v="14.422358900000001"/>
    <x v="0"/>
    <b v="1"/>
    <b v="0"/>
    <b v="1"/>
    <m/>
    <n v="3"/>
    <s v="Accessible"/>
    <m/>
    <s v="Le village accueille une population"/>
    <s v="Le village est intact (construit)"/>
    <m/>
    <m/>
    <s v="Oui"/>
    <s v="Familles d'accueil"/>
    <s v="Non, pas du tout"/>
    <s v="Non"/>
    <m/>
    <n v="2"/>
    <n v="700"/>
    <s v="Oui"/>
    <s v="Premier déplacement"/>
    <n v="2"/>
    <n v="9"/>
    <n v="5"/>
    <n v="4"/>
    <n v="0"/>
    <n v="2"/>
    <n v="0"/>
    <n v="0"/>
    <m/>
    <m/>
    <n v="0"/>
    <n v="0"/>
    <m/>
    <m/>
    <n v="0"/>
    <s v="Ras"/>
    <s v="Non"/>
    <m/>
    <m/>
    <m/>
    <m/>
    <m/>
    <m/>
    <m/>
    <m/>
    <m/>
    <m/>
    <m/>
    <m/>
    <m/>
    <m/>
    <m/>
    <s v="Non"/>
    <m/>
    <m/>
    <m/>
    <m/>
    <m/>
    <m/>
    <m/>
    <m/>
    <m/>
    <m/>
    <m/>
    <m/>
    <m/>
    <m/>
    <m/>
    <m/>
    <m/>
    <m/>
    <m/>
    <m/>
    <n v="0"/>
    <m/>
    <m/>
    <m/>
    <m/>
    <m/>
    <m/>
    <m/>
    <m/>
    <m/>
    <m/>
    <m/>
    <m/>
    <m/>
    <s v="1"/>
    <s v="0"/>
    <s v="0"/>
    <n v="1"/>
  </r>
  <r>
    <n v="2601560"/>
    <s v="Extrême-Nord"/>
    <s v="CMR004"/>
    <x v="3"/>
    <s v="CMR004004"/>
    <s v="Mindif"/>
    <s v="CMR004004007"/>
    <s v="MIN-0003"/>
    <s v="MINDIF CENTRE"/>
    <m/>
    <x v="0"/>
    <n v="10.3982999"/>
    <n v="14.434930400000001"/>
    <x v="0"/>
    <b v="1"/>
    <b v="0"/>
    <b v="0"/>
    <m/>
    <n v="3"/>
    <s v="Accessible"/>
    <m/>
    <s v="Le village accueille une population"/>
    <s v="Le village est intact (construit)"/>
    <m/>
    <m/>
    <s v="Oui"/>
    <s v="Familles d'accueil"/>
    <s v="Non, pas du tout"/>
    <s v="Non"/>
    <m/>
    <n v="11"/>
    <n v="12500"/>
    <s v="Oui"/>
    <s v="Premier déplacement"/>
    <n v="11"/>
    <n v="48"/>
    <n v="22"/>
    <n v="26"/>
    <n v="0"/>
    <n v="0"/>
    <n v="0"/>
    <n v="11"/>
    <s v="Chez une famille d'accueil (contre loyer)"/>
    <m/>
    <n v="0"/>
    <n v="0"/>
    <m/>
    <m/>
    <n v="0"/>
    <s v="Augmentation de 1 ménage et 8 individus "/>
    <s v="Non"/>
    <m/>
    <m/>
    <m/>
    <m/>
    <m/>
    <m/>
    <m/>
    <m/>
    <m/>
    <m/>
    <m/>
    <m/>
    <m/>
    <m/>
    <m/>
    <s v="Non"/>
    <m/>
    <m/>
    <m/>
    <m/>
    <m/>
    <m/>
    <m/>
    <m/>
    <m/>
    <m/>
    <m/>
    <m/>
    <m/>
    <m/>
    <m/>
    <m/>
    <m/>
    <m/>
    <m/>
    <m/>
    <n v="0"/>
    <m/>
    <m/>
    <m/>
    <m/>
    <m/>
    <m/>
    <m/>
    <m/>
    <m/>
    <m/>
    <m/>
    <m/>
    <m/>
    <s v="1"/>
    <s v="0"/>
    <s v="0"/>
    <n v="1"/>
  </r>
  <r>
    <n v="2601561"/>
    <s v="Extrême-Nord"/>
    <s v="CMR004"/>
    <x v="3"/>
    <s v="CMR004004"/>
    <s v="Mindif"/>
    <s v="CMR004004007"/>
    <s v="MIN-0001"/>
    <s v="MOGOM"/>
    <m/>
    <x v="0"/>
    <n v="10.5160637"/>
    <n v="14.4261812"/>
    <x v="0"/>
    <b v="1"/>
    <b v="0"/>
    <b v="0"/>
    <m/>
    <n v="3"/>
    <s v="Accessible"/>
    <m/>
    <s v="Le village accueille une population"/>
    <s v="Le village est intact (construit)"/>
    <m/>
    <m/>
    <s v="Oui"/>
    <s v="Familles d'accueil"/>
    <s v="Non, pas du tout"/>
    <s v="Non"/>
    <m/>
    <m/>
    <n v="13000"/>
    <s v="Non"/>
    <m/>
    <m/>
    <m/>
    <m/>
    <m/>
    <m/>
    <m/>
    <m/>
    <m/>
    <m/>
    <m/>
    <m/>
    <m/>
    <m/>
    <m/>
    <m/>
    <m/>
    <s v="Oui"/>
    <n v="3"/>
    <n v="9"/>
    <n v="4"/>
    <n v="5"/>
    <n v="3"/>
    <n v="0"/>
    <n v="0"/>
    <m/>
    <n v="0"/>
    <n v="0"/>
    <m/>
    <m/>
    <n v="0"/>
    <n v="0"/>
    <s v="Ras"/>
    <s v="Oui"/>
    <n v="3"/>
    <n v="6"/>
    <n v="3"/>
    <n v="3"/>
    <s v="5 ans ou plus"/>
    <n v="2"/>
    <n v="0"/>
    <n v="1"/>
    <n v="0"/>
    <n v="0"/>
    <m/>
    <n v="0"/>
    <n v="0"/>
    <m/>
    <n v="0"/>
    <m/>
    <m/>
    <m/>
    <m/>
    <m/>
    <n v="0"/>
    <m/>
    <m/>
    <m/>
    <m/>
    <m/>
    <m/>
    <m/>
    <m/>
    <m/>
    <m/>
    <m/>
    <m/>
    <m/>
    <s v="0"/>
    <s v="1"/>
    <s v="1"/>
    <n v="2"/>
  </r>
  <r>
    <n v="2621492"/>
    <s v="Extrême-Nord"/>
    <s v="CMR004"/>
    <x v="3"/>
    <s v="CMR004004"/>
    <s v="Mindif"/>
    <s v="CMR004004007"/>
    <s v="MIN-0002"/>
    <s v="YAKANG"/>
    <m/>
    <x v="0"/>
    <n v="10.434814599999999"/>
    <n v="14.2765035"/>
    <x v="0"/>
    <b v="1"/>
    <b v="0"/>
    <b v="0"/>
    <m/>
    <n v="3"/>
    <s v="Accessible"/>
    <m/>
    <s v="Le village accueille une population"/>
    <s v="Le village est intact (construit)"/>
    <m/>
    <m/>
    <s v="Oui"/>
    <s v="Familles d'accueil"/>
    <s v="Non, pas du tout"/>
    <s v="Non"/>
    <m/>
    <m/>
    <n v="1275"/>
    <s v="Non"/>
    <m/>
    <m/>
    <m/>
    <m/>
    <m/>
    <m/>
    <m/>
    <m/>
    <m/>
    <m/>
    <m/>
    <m/>
    <m/>
    <m/>
    <m/>
    <m/>
    <m/>
    <s v="Oui"/>
    <n v="4"/>
    <n v="24"/>
    <n v="11"/>
    <n v="13"/>
    <n v="4"/>
    <n v="0"/>
    <n v="0"/>
    <m/>
    <n v="0"/>
    <n v="0"/>
    <m/>
    <m/>
    <n v="0"/>
    <n v="0"/>
    <s v="Ajout de 1 individu suite à une naissance"/>
    <s v="Oui"/>
    <n v="8"/>
    <n v="45"/>
    <n v="18"/>
    <n v="27"/>
    <s v="Entre 1 et 5 ans"/>
    <n v="5"/>
    <n v="1"/>
    <n v="2"/>
    <n v="0"/>
    <n v="0"/>
    <m/>
    <n v="0"/>
    <n v="0"/>
    <m/>
    <n v="0"/>
    <m/>
    <m/>
    <m/>
    <m/>
    <m/>
    <n v="0"/>
    <m/>
    <m/>
    <m/>
    <m/>
    <m/>
    <m/>
    <m/>
    <m/>
    <m/>
    <m/>
    <m/>
    <m/>
    <m/>
    <s v="0"/>
    <s v="1"/>
    <s v="1"/>
    <n v="2"/>
  </r>
  <r>
    <n v="2657743"/>
    <s v="Extrême-Nord"/>
    <s v="CMR004"/>
    <x v="3"/>
    <s v="CMR004004"/>
    <s v="Moulvoudaye"/>
    <s v="CMR004004002"/>
    <s v="XXXX"/>
    <s v="MAIDAKOURE"/>
    <s v="MAIDAKOURE"/>
    <x v="1"/>
    <n v="10.3599616"/>
    <n v="14.6805155"/>
    <x v="0"/>
    <b v="1"/>
    <b v="0"/>
    <b v="1"/>
    <m/>
    <n v="4"/>
    <s v="Accessible"/>
    <m/>
    <s v="Le village accueille une population"/>
    <s v="Le village est intact (construit)"/>
    <m/>
    <m/>
    <s v="Oui"/>
    <s v="Sites de déplacement spontanés"/>
    <s v="Non, pas du tout"/>
    <s v="Non"/>
    <m/>
    <n v="28"/>
    <n v="1944"/>
    <s v="Oui"/>
    <s v="Premier déplacement"/>
    <n v="28"/>
    <n v="206"/>
    <n v="80"/>
    <n v="126"/>
    <n v="28"/>
    <n v="0"/>
    <n v="0"/>
    <n v="0"/>
    <m/>
    <m/>
    <n v="0"/>
    <n v="0"/>
    <m/>
    <m/>
    <n v="0"/>
    <s v="Ils sont originaires de MAIDAKOURE ils étaient partis à la recherche du confort. Le conflit les a chassé ils sont en arrivés en deux vagues FÉVRIER ET MARS"/>
    <s v="Non"/>
    <m/>
    <m/>
    <m/>
    <m/>
    <m/>
    <m/>
    <m/>
    <m/>
    <m/>
    <m/>
    <m/>
    <m/>
    <m/>
    <m/>
    <m/>
    <s v="Non"/>
    <m/>
    <m/>
    <m/>
    <m/>
    <m/>
    <m/>
    <m/>
    <m/>
    <m/>
    <m/>
    <m/>
    <m/>
    <m/>
    <m/>
    <m/>
    <m/>
    <m/>
    <m/>
    <m/>
    <m/>
    <n v="0"/>
    <m/>
    <m/>
    <m/>
    <m/>
    <m/>
    <m/>
    <m/>
    <m/>
    <m/>
    <m/>
    <m/>
    <m/>
    <m/>
    <s v="1"/>
    <s v="0"/>
    <s v="0"/>
    <n v="1"/>
  </r>
  <r>
    <n v="2607974"/>
    <s v="Extrême-Nord"/>
    <s v="CMR004"/>
    <x v="3"/>
    <s v="CMR004004"/>
    <s v="Moulvoudaye"/>
    <s v="CMR004004002"/>
    <s v="MOL-0003"/>
    <s v="AGALIRE"/>
    <m/>
    <x v="1"/>
    <n v="10.4056879"/>
    <n v="14.855552599999999"/>
    <x v="0"/>
    <b v="1"/>
    <b v="0"/>
    <b v="1"/>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07970"/>
    <s v="Extrême-Nord"/>
    <s v="CMR004"/>
    <x v="3"/>
    <s v="CMR004004"/>
    <s v="Moulvoudaye"/>
    <s v="CMR004004002"/>
    <s v="MOL-0007"/>
    <s v="BARIKI"/>
    <m/>
    <x v="1"/>
    <n v="10.6231487"/>
    <n v="14.7986501"/>
    <x v="0"/>
    <b v="1"/>
    <b v="0"/>
    <b v="1"/>
    <m/>
    <n v="4"/>
    <s v="Accessible"/>
    <m/>
    <s v="Le village accueille une population"/>
    <s v="Le village est partiellement détruit"/>
    <s v="Intempéries (inondations, tempêtes etc.)"/>
    <m/>
    <s v="Non"/>
    <m/>
    <m/>
    <m/>
    <m/>
    <m/>
    <m/>
    <m/>
    <m/>
    <m/>
    <m/>
    <m/>
    <m/>
    <m/>
    <m/>
    <m/>
    <m/>
    <m/>
    <m/>
    <m/>
    <m/>
    <m/>
    <m/>
    <m/>
    <m/>
    <m/>
    <m/>
    <m/>
    <m/>
    <m/>
    <m/>
    <m/>
    <m/>
    <m/>
    <m/>
    <m/>
    <m/>
    <m/>
    <m/>
    <m/>
    <m/>
    <m/>
    <m/>
    <m/>
    <m/>
    <m/>
    <m/>
    <m/>
    <m/>
    <m/>
    <m/>
    <m/>
    <m/>
    <m/>
    <m/>
    <m/>
    <m/>
    <m/>
    <m/>
    <m/>
    <m/>
    <m/>
    <m/>
    <m/>
    <m/>
    <m/>
    <m/>
    <m/>
    <m/>
    <m/>
    <m/>
    <m/>
    <m/>
    <m/>
    <m/>
    <m/>
    <s v="0"/>
    <s v="0"/>
    <s v="0"/>
    <n v="0"/>
  </r>
  <r>
    <n v="2607971"/>
    <s v="Extrême-Nord"/>
    <s v="CMR004"/>
    <x v="3"/>
    <s v="CMR004004"/>
    <s v="Moulvoudaye"/>
    <s v="CMR004004002"/>
    <s v="MOL-0011"/>
    <s v="DANGALA"/>
    <m/>
    <x v="1"/>
    <n v="10.6125186"/>
    <n v="14.812291800000001"/>
    <x v="0"/>
    <b v="1"/>
    <b v="0"/>
    <b v="1"/>
    <m/>
    <n v="4"/>
    <s v="Accessible"/>
    <m/>
    <s v="Le village accueille une population"/>
    <s v="Le village est totalement détruit"/>
    <s v="Intempéries (inondations, tempêtes etc.)"/>
    <m/>
    <s v="Non"/>
    <m/>
    <m/>
    <m/>
    <m/>
    <m/>
    <m/>
    <m/>
    <m/>
    <m/>
    <m/>
    <m/>
    <m/>
    <m/>
    <m/>
    <m/>
    <m/>
    <m/>
    <m/>
    <m/>
    <m/>
    <m/>
    <m/>
    <m/>
    <m/>
    <m/>
    <m/>
    <m/>
    <m/>
    <m/>
    <m/>
    <m/>
    <m/>
    <m/>
    <m/>
    <m/>
    <m/>
    <m/>
    <m/>
    <m/>
    <m/>
    <m/>
    <m/>
    <m/>
    <m/>
    <m/>
    <m/>
    <m/>
    <m/>
    <m/>
    <m/>
    <m/>
    <m/>
    <m/>
    <m/>
    <m/>
    <m/>
    <m/>
    <m/>
    <m/>
    <m/>
    <m/>
    <m/>
    <m/>
    <m/>
    <m/>
    <m/>
    <m/>
    <m/>
    <m/>
    <m/>
    <m/>
    <m/>
    <m/>
    <m/>
    <m/>
    <s v="0"/>
    <s v="0"/>
    <s v="0"/>
    <n v="0"/>
  </r>
  <r>
    <n v="2607963"/>
    <s v="Extrême-Nord"/>
    <s v="CMR004"/>
    <x v="3"/>
    <s v="CMR004004"/>
    <s v="Moulvoudaye"/>
    <s v="CMR004004002"/>
    <s v="MOL-0012"/>
    <s v="LOPÉRÉ"/>
    <m/>
    <x v="1"/>
    <n v="10.409030700000001"/>
    <n v="14.8515453"/>
    <x v="0"/>
    <b v="1"/>
    <b v="0"/>
    <b v="1"/>
    <m/>
    <n v="4"/>
    <s v="Accessible"/>
    <m/>
    <s v="Le village accueille une population"/>
    <s v="Le village est intact (construit)"/>
    <m/>
    <m/>
    <s v="Oui"/>
    <s v="Familles d'accueil"/>
    <s v="Non, pas du tout"/>
    <s v="Non"/>
    <m/>
    <n v="1"/>
    <n v="500"/>
    <s v="Oui"/>
    <s v="Premier déplacement"/>
    <n v="1"/>
    <n v="11"/>
    <n v="6"/>
    <n v="5"/>
    <n v="0"/>
    <n v="1"/>
    <n v="0"/>
    <n v="0"/>
    <m/>
    <m/>
    <n v="0"/>
    <n v="0"/>
    <m/>
    <m/>
    <n v="0"/>
    <s v="Ras"/>
    <s v="Non"/>
    <m/>
    <m/>
    <m/>
    <m/>
    <m/>
    <m/>
    <m/>
    <m/>
    <m/>
    <m/>
    <m/>
    <m/>
    <m/>
    <m/>
    <m/>
    <s v="Oui"/>
    <n v="4"/>
    <n v="20"/>
    <n v="11"/>
    <n v="9"/>
    <s v="Entre 3 mois et 1 an"/>
    <n v="4"/>
    <n v="0"/>
    <n v="0"/>
    <n v="0"/>
    <n v="0"/>
    <m/>
    <n v="0"/>
    <n v="0"/>
    <m/>
    <n v="0"/>
    <m/>
    <m/>
    <m/>
    <m/>
    <m/>
    <n v="0"/>
    <m/>
    <m/>
    <m/>
    <m/>
    <m/>
    <m/>
    <m/>
    <m/>
    <m/>
    <m/>
    <m/>
    <m/>
    <m/>
    <s v="1"/>
    <s v="0"/>
    <s v="1"/>
    <n v="2"/>
  </r>
  <r>
    <n v="2607969"/>
    <s v="Extrême-Nord"/>
    <s v="CMR004"/>
    <x v="3"/>
    <s v="CMR004004"/>
    <s v="Moulvoudaye"/>
    <s v="CMR004004002"/>
    <s v="MOL-0009"/>
    <s v="MIBA"/>
    <m/>
    <x v="1"/>
    <n v="10.6285188"/>
    <n v="14.7909217"/>
    <x v="0"/>
    <b v="1"/>
    <b v="0"/>
    <b v="1"/>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07966"/>
    <s v="Extrême-Nord"/>
    <s v="CMR004"/>
    <x v="3"/>
    <s v="CMR004004"/>
    <s v="Moulvoudaye"/>
    <s v="CMR004004002"/>
    <s v="MOL-0001"/>
    <s v="MOULVOUDAYE CENTRE"/>
    <m/>
    <x v="1"/>
    <n v="10.4036446"/>
    <n v="14.852075299999999"/>
    <x v="0"/>
    <b v="1"/>
    <b v="0"/>
    <b v="1"/>
    <m/>
    <n v="3"/>
    <s v="Accessible"/>
    <m/>
    <s v="Le village accueille une population"/>
    <s v="Le village est intact (construit)"/>
    <m/>
    <m/>
    <s v="Oui"/>
    <s v="Location"/>
    <s v="Non, pas du tout"/>
    <s v="Non"/>
    <m/>
    <m/>
    <m/>
    <m/>
    <m/>
    <m/>
    <m/>
    <m/>
    <m/>
    <m/>
    <m/>
    <m/>
    <m/>
    <m/>
    <m/>
    <m/>
    <m/>
    <m/>
    <m/>
    <m/>
    <m/>
    <m/>
    <m/>
    <m/>
    <m/>
    <m/>
    <m/>
    <m/>
    <m/>
    <m/>
    <m/>
    <m/>
    <m/>
    <m/>
    <m/>
    <m/>
    <m/>
    <m/>
    <m/>
    <m/>
    <m/>
    <m/>
    <m/>
    <m/>
    <m/>
    <m/>
    <m/>
    <m/>
    <m/>
    <m/>
    <m/>
    <m/>
    <m/>
    <m/>
    <m/>
    <m/>
    <m/>
    <m/>
    <m/>
    <m/>
    <m/>
    <m/>
    <m/>
    <m/>
    <m/>
    <m/>
    <m/>
    <m/>
    <m/>
    <m/>
    <m/>
    <m/>
    <s v="0"/>
    <s v="0"/>
    <s v="0"/>
    <n v="0"/>
  </r>
  <r>
    <n v="2607961"/>
    <s v="Extrême-Nord"/>
    <s v="CMR004"/>
    <x v="3"/>
    <s v="CMR004004"/>
    <s v="Moulvoudaye"/>
    <s v="CMR004004002"/>
    <s v="MOL-0002"/>
    <s v="OURO BELLO"/>
    <m/>
    <x v="1"/>
    <n v="10.417071200000001"/>
    <n v="14.8573354"/>
    <x v="0"/>
    <b v="1"/>
    <b v="0"/>
    <b v="1"/>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84819"/>
    <s v="Extrême-Nord"/>
    <s v="CMR004"/>
    <x v="3"/>
    <s v="CMR004004"/>
    <s v="Moulvoudaye"/>
    <s v="CMR004004002"/>
    <s v="MOL-0010"/>
    <s v="SANRIWA"/>
    <m/>
    <x v="1"/>
    <n v="10.3667748"/>
    <n v="14.7615021"/>
    <x v="0"/>
    <b v="1"/>
    <b v="0"/>
    <b v="1"/>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57741"/>
    <s v="Extrême-Nord"/>
    <s v="CMR004"/>
    <x v="3"/>
    <s v="CMR004004"/>
    <s v="Moulvoudaye"/>
    <s v="CMR004004002"/>
    <s v="MOL-0004"/>
    <s v="SITE DE KORRE KAYA"/>
    <m/>
    <x v="1"/>
    <n v="10.443611900000001"/>
    <n v="14.7537501"/>
    <x v="1"/>
    <b v="1"/>
    <b v="0"/>
    <b v="1"/>
    <m/>
    <n v="4"/>
    <s v="Accessible"/>
    <m/>
    <s v="Le village accueille une population"/>
    <s v="Le village est intact (construit)"/>
    <m/>
    <m/>
    <s v="Oui"/>
    <s v="Sites de déplacement spontanés"/>
    <s v="Non, pas du tout"/>
    <m/>
    <m/>
    <n v="94"/>
    <n v="3000"/>
    <s v="Oui"/>
    <s v="Premier déplacement"/>
    <n v="94"/>
    <n v="2328"/>
    <n v="1000"/>
    <n v="1328"/>
    <n v="0"/>
    <n v="0"/>
    <n v="0"/>
    <n v="0"/>
    <m/>
    <m/>
    <n v="0"/>
    <n v="94"/>
    <s v="Paille/Natte/Nylon"/>
    <m/>
    <n v="0"/>
    <s v="Ras"/>
    <s v="Non"/>
    <m/>
    <m/>
    <m/>
    <m/>
    <m/>
    <m/>
    <m/>
    <m/>
    <m/>
    <m/>
    <m/>
    <m/>
    <m/>
    <m/>
    <m/>
    <s v="Non"/>
    <m/>
    <m/>
    <m/>
    <m/>
    <m/>
    <m/>
    <m/>
    <m/>
    <m/>
    <m/>
    <m/>
    <m/>
    <m/>
    <m/>
    <m/>
    <m/>
    <m/>
    <m/>
    <m/>
    <m/>
    <n v="0"/>
    <m/>
    <m/>
    <m/>
    <m/>
    <m/>
    <m/>
    <m/>
    <m/>
    <m/>
    <m/>
    <m/>
    <m/>
    <m/>
    <s v="1"/>
    <s v="0"/>
    <s v="0"/>
    <n v="1"/>
  </r>
  <r>
    <n v="2607972"/>
    <s v="Extrême-Nord"/>
    <s v="CMR004"/>
    <x v="3"/>
    <s v="CMR004004"/>
    <s v="Moulvoudaye"/>
    <s v="CMR004004002"/>
    <s v="MOL-0008"/>
    <s v="TAOROU"/>
    <m/>
    <x v="1"/>
    <n v="10.639850600000001"/>
    <n v="14.747434999999999"/>
    <x v="0"/>
    <b v="1"/>
    <b v="0"/>
    <b v="1"/>
    <m/>
    <n v="4"/>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07968"/>
    <s v="Extrême-Nord"/>
    <s v="CMR004"/>
    <x v="3"/>
    <s v="CMR004004"/>
    <s v="Moulvoudaye"/>
    <s v="CMR004004002"/>
    <s v="MOL-0005"/>
    <s v="TOWDÉ 1"/>
    <m/>
    <x v="1"/>
    <n v="10.620293800000001"/>
    <n v="14.770836900000001"/>
    <x v="0"/>
    <b v="1"/>
    <b v="0"/>
    <b v="1"/>
    <m/>
    <n v="4"/>
    <s v="Accessible"/>
    <m/>
    <s v="Le village accueille une population"/>
    <s v="Le village est intact (construit)"/>
    <m/>
    <m/>
    <s v="Oui"/>
    <s v="Sites de déplacement spontanés"/>
    <s v="Non, pas du tout"/>
    <s v="Non"/>
    <m/>
    <n v="17"/>
    <n v="285"/>
    <s v="Oui"/>
    <s v="Premier déplacement"/>
    <n v="17"/>
    <n v="240"/>
    <n v="152"/>
    <n v="88"/>
    <n v="17"/>
    <n v="0"/>
    <n v="0"/>
    <n v="0"/>
    <m/>
    <m/>
    <n v="0"/>
    <n v="0"/>
    <m/>
    <m/>
    <n v="0"/>
    <s v="Ce village accueil deux catégories d' IDPS  du même lawana les premiers sont les victimes des inondations le second groupes  le victimes du conflit dernier entre Tupuri et Mousgoum"/>
    <s v="Non"/>
    <m/>
    <m/>
    <m/>
    <m/>
    <m/>
    <m/>
    <m/>
    <m/>
    <m/>
    <m/>
    <m/>
    <m/>
    <m/>
    <m/>
    <m/>
    <s v="Non"/>
    <m/>
    <m/>
    <m/>
    <m/>
    <m/>
    <m/>
    <m/>
    <m/>
    <m/>
    <m/>
    <m/>
    <m/>
    <m/>
    <m/>
    <m/>
    <m/>
    <m/>
    <m/>
    <m/>
    <m/>
    <n v="0"/>
    <m/>
    <m/>
    <m/>
    <m/>
    <m/>
    <m/>
    <m/>
    <m/>
    <m/>
    <m/>
    <m/>
    <m/>
    <m/>
    <s v="1"/>
    <s v="0"/>
    <s v="0"/>
    <n v="1"/>
  </r>
  <r>
    <n v="2607967"/>
    <s v="Extrême-Nord"/>
    <s v="CMR004"/>
    <x v="3"/>
    <s v="CMR004004"/>
    <s v="Moulvoudaye"/>
    <s v="CMR004004002"/>
    <s v="MOL-0006"/>
    <s v="TOWDÉ 2"/>
    <m/>
    <x v="1"/>
    <n v="10.6200911"/>
    <n v="14.7777279"/>
    <x v="0"/>
    <b v="1"/>
    <b v="0"/>
    <b v="1"/>
    <m/>
    <n v="3"/>
    <s v="Accessible"/>
    <m/>
    <s v="Le village accueille une population"/>
    <s v="Le village est intact (construit)"/>
    <m/>
    <m/>
    <s v="Oui"/>
    <s v="Sites de déplacement spontanés"/>
    <s v="Non, pas du tout"/>
    <s v="Non"/>
    <m/>
    <n v="23"/>
    <n v="173"/>
    <s v="Oui"/>
    <s v="Premier déplacement"/>
    <n v="23"/>
    <n v="173"/>
    <n v="78"/>
    <n v="95"/>
    <n v="23"/>
    <n v="0"/>
    <n v="0"/>
    <n v="0"/>
    <m/>
    <m/>
    <n v="0"/>
    <n v="0"/>
    <m/>
    <m/>
    <n v="0"/>
    <s v="Il manque de point d'approvisionnement en eau potable  sinon ils se sont  reconstruit des maisons avec le temps."/>
    <s v="Non"/>
    <m/>
    <m/>
    <m/>
    <m/>
    <m/>
    <m/>
    <m/>
    <m/>
    <m/>
    <m/>
    <m/>
    <m/>
    <m/>
    <m/>
    <m/>
    <s v="Non"/>
    <m/>
    <m/>
    <m/>
    <m/>
    <m/>
    <m/>
    <m/>
    <m/>
    <m/>
    <m/>
    <m/>
    <m/>
    <m/>
    <m/>
    <m/>
    <m/>
    <m/>
    <m/>
    <m/>
    <m/>
    <n v="0"/>
    <m/>
    <m/>
    <m/>
    <m/>
    <m/>
    <m/>
    <m/>
    <m/>
    <m/>
    <m/>
    <m/>
    <m/>
    <m/>
    <s v="1"/>
    <s v="0"/>
    <s v="0"/>
    <n v="1"/>
  </r>
  <r>
    <n v="2603658"/>
    <s v="Extrême-Nord"/>
    <s v="CMR004"/>
    <x v="3"/>
    <s v="CMR004004"/>
    <s v="Moutourwa"/>
    <s v="CMR004004005"/>
    <s v="MOT-0001"/>
    <s v="BADJAVA TWONGO"/>
    <m/>
    <x v="1"/>
    <n v="10.2059123"/>
    <n v="14.1796542"/>
    <x v="0"/>
    <b v="1"/>
    <b v="0"/>
    <b v="1"/>
    <m/>
    <n v="4"/>
    <s v="Accessible"/>
    <m/>
    <s v="Le village accueille une population"/>
    <s v="Le village est intact (construit)"/>
    <m/>
    <m/>
    <s v="Oui"/>
    <s v="Familles d'accueil"/>
    <s v="Non, pas du tout"/>
    <s v="Non"/>
    <m/>
    <n v="3"/>
    <n v="1700"/>
    <s v="Oui"/>
    <s v="Premier déplacement"/>
    <n v="3"/>
    <n v="18"/>
    <n v="9"/>
    <n v="9"/>
    <n v="1"/>
    <n v="2"/>
    <n v="0"/>
    <n v="0"/>
    <m/>
    <m/>
    <n v="0"/>
    <n v="0"/>
    <m/>
    <m/>
    <n v="0"/>
    <s v="Ces IDPs sont presque devenu des autochtones de ce village, on note une parfaite cohésion sociale"/>
    <s v="Non"/>
    <m/>
    <m/>
    <m/>
    <m/>
    <m/>
    <m/>
    <m/>
    <m/>
    <m/>
    <m/>
    <m/>
    <m/>
    <m/>
    <m/>
    <m/>
    <s v="Non"/>
    <m/>
    <m/>
    <m/>
    <m/>
    <m/>
    <m/>
    <m/>
    <m/>
    <m/>
    <m/>
    <m/>
    <m/>
    <m/>
    <m/>
    <m/>
    <m/>
    <m/>
    <m/>
    <m/>
    <m/>
    <n v="3"/>
    <m/>
    <m/>
    <m/>
    <m/>
    <m/>
    <m/>
    <m/>
    <m/>
    <m/>
    <m/>
    <m/>
    <m/>
    <m/>
    <s v="1"/>
    <s v="0"/>
    <s v="0"/>
    <n v="1"/>
  </r>
  <r>
    <n v="2603649"/>
    <s v="Extrême-Nord"/>
    <s v="CMR004"/>
    <x v="3"/>
    <s v="CMR004004"/>
    <s v="Moutourwa"/>
    <s v="CMR004004005"/>
    <s v="MOT-0002"/>
    <s v="MOUDA"/>
    <m/>
    <x v="1"/>
    <n v="10.3687133"/>
    <n v="14.228495000000001"/>
    <x v="0"/>
    <b v="1"/>
    <b v="0"/>
    <b v="1"/>
    <m/>
    <n v="6"/>
    <s v="Accessible"/>
    <m/>
    <s v="Le village accueille une population"/>
    <s v="Le village est intact (construit)"/>
    <m/>
    <m/>
    <s v="Oui"/>
    <s v="Familles d'accueil"/>
    <s v="Non, pas du tout"/>
    <s v="Non"/>
    <m/>
    <n v="13"/>
    <n v="6950"/>
    <s v="Oui"/>
    <s v="Deuxième déplacement"/>
    <n v="13"/>
    <n v="67"/>
    <n v="31"/>
    <n v="36"/>
    <n v="3"/>
    <n v="6"/>
    <n v="4"/>
    <n v="0"/>
    <m/>
    <m/>
    <n v="0"/>
    <n v="0"/>
    <m/>
    <m/>
    <n v="0"/>
    <s v="Les 10 ménages IDPs arrivée dans le village Mouda étaient outre fois installé dans les parcelles de l'IRAD où ils constituaient leurs sites avec plus de 30 ménage avec les RI mais dès lors parmi d'entre eux sont rentrés dans le LOGONE et CHARI et au Nigeria . Absence d'eau"/>
    <s v="Non"/>
    <m/>
    <m/>
    <m/>
    <m/>
    <m/>
    <m/>
    <m/>
    <m/>
    <m/>
    <m/>
    <m/>
    <m/>
    <m/>
    <m/>
    <m/>
    <s v="Non"/>
    <m/>
    <m/>
    <m/>
    <m/>
    <m/>
    <m/>
    <m/>
    <m/>
    <m/>
    <m/>
    <m/>
    <m/>
    <m/>
    <m/>
    <m/>
    <m/>
    <m/>
    <m/>
    <m/>
    <m/>
    <n v="7"/>
    <m/>
    <m/>
    <m/>
    <m/>
    <m/>
    <m/>
    <m/>
    <m/>
    <m/>
    <m/>
    <m/>
    <m/>
    <m/>
    <s v="1"/>
    <s v="0"/>
    <s v="0"/>
    <n v="1"/>
  </r>
  <r>
    <n v="2603655"/>
    <s v="Extrême-Nord"/>
    <s v="CMR004"/>
    <x v="3"/>
    <s v="CMR004004"/>
    <s v="Moutourwa"/>
    <s v="CMR004004005"/>
    <s v="MOT-0004"/>
    <s v="MOUSOURTOUK"/>
    <m/>
    <x v="1"/>
    <n v="10.3412857"/>
    <n v="14.2357852"/>
    <x v="0"/>
    <b v="1"/>
    <b v="0"/>
    <b v="1"/>
    <m/>
    <n v="5"/>
    <s v="Accessible"/>
    <m/>
    <s v="Le village accueille une population"/>
    <s v="Le village est intact (construit)"/>
    <m/>
    <m/>
    <s v="Oui"/>
    <s v="Familles d'accueil"/>
    <s v="Non, pas du tout"/>
    <s v="Non"/>
    <m/>
    <n v="7"/>
    <n v="3000"/>
    <s v="Oui"/>
    <s v="Premier déplacement"/>
    <n v="7"/>
    <n v="47"/>
    <n v="26"/>
    <n v="21"/>
    <n v="0"/>
    <n v="4"/>
    <n v="3"/>
    <n v="0"/>
    <m/>
    <m/>
    <n v="0"/>
    <n v="0"/>
    <m/>
    <m/>
    <n v="0"/>
    <s v="Les 2 ménage arrivé était dans le site de Mouda"/>
    <s v="Non"/>
    <m/>
    <m/>
    <m/>
    <m/>
    <m/>
    <m/>
    <m/>
    <m/>
    <m/>
    <m/>
    <m/>
    <m/>
    <m/>
    <m/>
    <m/>
    <s v="Non"/>
    <m/>
    <m/>
    <m/>
    <m/>
    <m/>
    <m/>
    <m/>
    <m/>
    <m/>
    <m/>
    <m/>
    <m/>
    <m/>
    <m/>
    <m/>
    <m/>
    <m/>
    <m/>
    <m/>
    <m/>
    <n v="5"/>
    <m/>
    <m/>
    <m/>
    <m/>
    <m/>
    <m/>
    <m/>
    <m/>
    <m/>
    <m/>
    <m/>
    <m/>
    <m/>
    <s v="1"/>
    <s v="0"/>
    <s v="0"/>
    <n v="1"/>
  </r>
  <r>
    <n v="2603661"/>
    <s v="Extrême-Nord"/>
    <s v="CMR004"/>
    <x v="3"/>
    <s v="CMR004004"/>
    <s v="Moutourwa"/>
    <s v="CMR004004005"/>
    <s v="MOT-0003"/>
    <s v="MOUTOUROUA ROOM"/>
    <m/>
    <x v="1"/>
    <n v="10.1975233"/>
    <n v="14.1750919"/>
    <x v="0"/>
    <b v="1"/>
    <b v="0"/>
    <b v="1"/>
    <m/>
    <n v="3"/>
    <s v="Accessible"/>
    <m/>
    <s v="Le village accueille une population"/>
    <s v="Le village est intact (construit)"/>
    <m/>
    <m/>
    <s v="Oui"/>
    <s v="Familles d'accueil"/>
    <s v="Non, pas du tout"/>
    <s v="Non"/>
    <m/>
    <n v="5"/>
    <n v="1940"/>
    <s v="Oui"/>
    <s v="Premier déplacement"/>
    <n v="5"/>
    <n v="28"/>
    <n v="13"/>
    <n v="15"/>
    <n v="0"/>
    <n v="2"/>
    <n v="3"/>
    <n v="0"/>
    <m/>
    <m/>
    <n v="0"/>
    <n v="0"/>
    <m/>
    <m/>
    <n v="0"/>
    <s v="Ras"/>
    <s v="Non"/>
    <m/>
    <m/>
    <m/>
    <m/>
    <m/>
    <m/>
    <m/>
    <m/>
    <m/>
    <m/>
    <m/>
    <m/>
    <m/>
    <m/>
    <m/>
    <s v="Oui"/>
    <n v="2"/>
    <n v="9"/>
    <n v="4"/>
    <n v="5"/>
    <s v="Entre 1 et 5 ans"/>
    <n v="0"/>
    <n v="1"/>
    <n v="1"/>
    <n v="0"/>
    <n v="0"/>
    <m/>
    <n v="0"/>
    <n v="0"/>
    <m/>
    <n v="0"/>
    <m/>
    <m/>
    <m/>
    <m/>
    <m/>
    <n v="0"/>
    <m/>
    <m/>
    <m/>
    <m/>
    <m/>
    <m/>
    <m/>
    <m/>
    <m/>
    <m/>
    <m/>
    <m/>
    <m/>
    <s v="1"/>
    <s v="0"/>
    <s v="1"/>
    <n v="2"/>
  </r>
  <r>
    <n v="2603664"/>
    <s v="Extrême-Nord"/>
    <s v="CMR004"/>
    <x v="3"/>
    <s v="CMR004004"/>
    <s v="Moutourwa"/>
    <s v="CMR004004005"/>
    <s v="MOT-0005"/>
    <s v="SITE DE ZIBOU"/>
    <m/>
    <x v="1"/>
    <n v="10.1364114"/>
    <n v="14.173144600000001"/>
    <x v="1"/>
    <b v="1"/>
    <b v="0"/>
    <b v="1"/>
    <m/>
    <n v="6"/>
    <s v="Accessible"/>
    <m/>
    <s v="Le village accueille une population"/>
    <s v="Le village est intact (construit)"/>
    <m/>
    <m/>
    <s v="Oui"/>
    <s v="Sites de déplacement spontanés"/>
    <s v="Non, pas du tout"/>
    <m/>
    <m/>
    <n v="16"/>
    <n v="400"/>
    <s v="Oui"/>
    <s v="Premier déplacement"/>
    <n v="16"/>
    <n v="86"/>
    <n v="46"/>
    <n v="40"/>
    <n v="0"/>
    <n v="0"/>
    <n v="0"/>
    <n v="0"/>
    <m/>
    <m/>
    <n v="0"/>
    <n v="16"/>
    <s v="Terre cuite/Terre battue"/>
    <m/>
    <n v="0"/>
    <s v="Besoin premier en eau et santé"/>
    <s v="Oui"/>
    <n v="15"/>
    <n v="150"/>
    <n v="80"/>
    <n v="70"/>
    <n v="0"/>
    <n v="0"/>
    <n v="0"/>
    <m/>
    <n v="0"/>
    <n v="15"/>
    <s v="Terre cuite/Terre battue"/>
    <m/>
    <n v="0"/>
    <n v="15"/>
    <s v="Ras"/>
    <s v="Non"/>
    <m/>
    <m/>
    <m/>
    <m/>
    <m/>
    <m/>
    <m/>
    <m/>
    <m/>
    <m/>
    <m/>
    <m/>
    <m/>
    <m/>
    <m/>
    <m/>
    <m/>
    <m/>
    <m/>
    <m/>
    <n v="20"/>
    <m/>
    <m/>
    <m/>
    <m/>
    <m/>
    <m/>
    <m/>
    <m/>
    <m/>
    <m/>
    <m/>
    <m/>
    <m/>
    <s v="1"/>
    <s v="1"/>
    <s v="0"/>
    <n v="2"/>
  </r>
  <r>
    <n v="2672283"/>
    <s v="Extrême-Nord"/>
    <s v="CMR004"/>
    <x v="4"/>
    <s v="CMR004005"/>
    <s v="Kolofata"/>
    <s v="CMR004005001"/>
    <s v="XXXX"/>
    <s v="SITE DE GAKARA"/>
    <s v="SITE DE GAKARA"/>
    <x v="1"/>
    <n v="11.183971"/>
    <n v="13.918113699999999"/>
    <x v="1"/>
    <b v="1"/>
    <b v="0"/>
    <b v="1"/>
    <m/>
    <n v="4"/>
    <s v="Accessible"/>
    <m/>
    <s v="Le village accueille une population"/>
    <s v="Le village est intact (construit)"/>
    <m/>
    <m/>
    <s v="Oui"/>
    <s v="Sites de déplacement spontanés"/>
    <s v="Familles d'accueil"/>
    <m/>
    <m/>
    <n v="200"/>
    <n v="600"/>
    <s v="Oui"/>
    <s v="Deuxième déplacement"/>
    <n v="200"/>
    <n v="600"/>
    <n v="180"/>
    <n v="420"/>
    <n v="0"/>
    <n v="0"/>
    <n v="0"/>
    <n v="0"/>
    <m/>
    <m/>
    <n v="0"/>
    <n v="200"/>
    <s v="Pagne"/>
    <m/>
    <n v="0"/>
    <s v="Arrive de 200 ménage 600 individu 420 femme et 180 homme quitte de kerawa la charge de location et indépendance des famille idps  pour leur épanouissement "/>
    <s v="Non"/>
    <m/>
    <m/>
    <m/>
    <m/>
    <m/>
    <m/>
    <m/>
    <m/>
    <m/>
    <m/>
    <m/>
    <m/>
    <m/>
    <m/>
    <m/>
    <s v="Non"/>
    <m/>
    <m/>
    <m/>
    <m/>
    <m/>
    <m/>
    <m/>
    <m/>
    <m/>
    <m/>
    <m/>
    <m/>
    <m/>
    <m/>
    <m/>
    <m/>
    <m/>
    <m/>
    <m/>
    <m/>
    <n v="0"/>
    <m/>
    <m/>
    <m/>
    <m/>
    <m/>
    <m/>
    <m/>
    <m/>
    <m/>
    <m/>
    <m/>
    <m/>
    <m/>
    <s v="1"/>
    <s v="0"/>
    <s v="0"/>
    <n v="1"/>
  </r>
  <r>
    <n v="2659471"/>
    <s v="Extrême-Nord"/>
    <s v="CMR004"/>
    <x v="4"/>
    <s v="CMR004005"/>
    <s v="Kolofata"/>
    <s v="CMR004005001"/>
    <s v="KOL-0009"/>
    <s v="ALDJE"/>
    <m/>
    <x v="1"/>
    <n v="11.236582"/>
    <n v="14.126190299999999"/>
    <x v="0"/>
    <b v="0"/>
    <b v="0"/>
    <b v="1"/>
    <m/>
    <m/>
    <s v="Accessible"/>
    <m/>
    <s v="Le village est entièrement déserté"/>
    <m/>
    <m/>
    <m/>
    <m/>
    <m/>
    <m/>
    <m/>
    <m/>
    <m/>
    <m/>
    <m/>
    <m/>
    <m/>
    <m/>
    <m/>
    <m/>
    <m/>
    <m/>
    <m/>
    <m/>
    <m/>
    <m/>
    <m/>
    <m/>
    <m/>
    <m/>
    <m/>
    <m/>
    <m/>
    <m/>
    <m/>
    <m/>
    <m/>
    <m/>
    <m/>
    <m/>
    <m/>
    <m/>
    <m/>
    <m/>
    <m/>
    <m/>
    <m/>
    <m/>
    <m/>
    <m/>
    <m/>
    <m/>
    <m/>
    <m/>
    <m/>
    <m/>
    <m/>
    <m/>
    <m/>
    <m/>
    <m/>
    <m/>
    <m/>
    <m/>
    <m/>
    <m/>
    <m/>
    <m/>
    <m/>
    <m/>
    <m/>
    <m/>
    <m/>
    <m/>
    <m/>
    <m/>
    <m/>
    <m/>
    <m/>
    <m/>
    <m/>
    <m/>
    <m/>
    <s v="0"/>
    <s v="0"/>
    <s v="0"/>
    <n v="0"/>
  </r>
  <r>
    <n v="2672285"/>
    <s v="Extrême-Nord"/>
    <s v="CMR004"/>
    <x v="4"/>
    <s v="CMR004005"/>
    <s v="Kolofata"/>
    <s v="CMR004005001"/>
    <s v="KOL-0001"/>
    <s v="AMCHIDE"/>
    <m/>
    <x v="0"/>
    <n v="11.2436121"/>
    <n v="14.1447349"/>
    <x v="0"/>
    <b v="1"/>
    <b v="0"/>
    <b v="1"/>
    <m/>
    <n v="4"/>
    <s v="Accessible"/>
    <m/>
    <s v="Le village accueille une population"/>
    <s v="Le village est intact (construit)"/>
    <m/>
    <m/>
    <s v="Oui"/>
    <s v="Familles d'accueil"/>
    <s v="Non, pas du tout"/>
    <s v="Non"/>
    <m/>
    <n v="744"/>
    <n v="35334"/>
    <s v="Oui"/>
    <s v="Premier déplacement"/>
    <n v="744"/>
    <n v="5458"/>
    <n v="2270"/>
    <n v="3188"/>
    <n v="77"/>
    <n v="667"/>
    <n v="0"/>
    <n v="0"/>
    <m/>
    <m/>
    <n v="0"/>
    <n v="0"/>
    <m/>
    <m/>
    <n v="0"/>
    <s v="Arrivée de 117 ménages 1048 individu de site igawa 1 mémè et wala de 3 mora  dont 160 parmi du à la naissance raison reprise des activités  commerciales  de la zone et la stabilité  78 parmi domicile personnelle diminution de 26 individu du au décès "/>
    <s v="Non"/>
    <m/>
    <m/>
    <m/>
    <m/>
    <m/>
    <m/>
    <m/>
    <m/>
    <m/>
    <m/>
    <m/>
    <m/>
    <m/>
    <m/>
    <m/>
    <s v="Oui"/>
    <n v="1724"/>
    <n v="12606"/>
    <n v="6040"/>
    <n v="6566"/>
    <s v="Entre 1 et 5 ans"/>
    <n v="0"/>
    <n v="1724"/>
    <n v="0"/>
    <n v="0"/>
    <n v="0"/>
    <m/>
    <n v="0"/>
    <n v="0"/>
    <m/>
    <n v="0"/>
    <m/>
    <m/>
    <m/>
    <m/>
    <m/>
    <n v="0"/>
    <m/>
    <m/>
    <m/>
    <m/>
    <m/>
    <m/>
    <m/>
    <m/>
    <m/>
    <m/>
    <m/>
    <m/>
    <m/>
    <s v="1"/>
    <s v="0"/>
    <s v="1"/>
    <n v="2"/>
  </r>
  <r>
    <n v="2620207"/>
    <s v="Extrême-Nord"/>
    <s v="CMR004"/>
    <x v="4"/>
    <s v="CMR004005"/>
    <s v="Kolofata"/>
    <s v="CMR004005001"/>
    <s v="KOL-0002"/>
    <s v="BAME"/>
    <m/>
    <x v="1"/>
    <n v="11.163364899999999"/>
    <n v="14.005531"/>
    <x v="0"/>
    <b v="0"/>
    <b v="0"/>
    <b v="1"/>
    <m/>
    <m/>
    <s v="Accessible"/>
    <m/>
    <s v="Le village est entièrement déserté"/>
    <m/>
    <m/>
    <m/>
    <m/>
    <m/>
    <m/>
    <m/>
    <m/>
    <m/>
    <m/>
    <m/>
    <m/>
    <m/>
    <m/>
    <m/>
    <m/>
    <m/>
    <m/>
    <m/>
    <m/>
    <m/>
    <m/>
    <m/>
    <m/>
    <m/>
    <m/>
    <m/>
    <m/>
    <m/>
    <m/>
    <m/>
    <m/>
    <m/>
    <m/>
    <m/>
    <m/>
    <m/>
    <m/>
    <m/>
    <m/>
    <m/>
    <m/>
    <m/>
    <m/>
    <m/>
    <m/>
    <m/>
    <m/>
    <m/>
    <m/>
    <m/>
    <m/>
    <m/>
    <m/>
    <m/>
    <m/>
    <m/>
    <m/>
    <m/>
    <m/>
    <m/>
    <m/>
    <m/>
    <m/>
    <m/>
    <m/>
    <m/>
    <m/>
    <m/>
    <m/>
    <m/>
    <m/>
    <m/>
    <m/>
    <m/>
    <m/>
    <m/>
    <m/>
    <m/>
    <s v="0"/>
    <s v="0"/>
    <s v="0"/>
    <n v="0"/>
  </r>
  <r>
    <n v="2631441"/>
    <s v="Extrême-Nord"/>
    <s v="CMR004"/>
    <x v="4"/>
    <s v="CMR004005"/>
    <s v="Kolofata"/>
    <s v="CMR004005001"/>
    <s v="KOL-0022"/>
    <s v="BIA"/>
    <m/>
    <x v="1"/>
    <n v="11.16563"/>
    <n v="14.0872318"/>
    <x v="0"/>
    <b v="0"/>
    <b v="0"/>
    <b v="1"/>
    <m/>
    <m/>
    <s v="Accessible"/>
    <m/>
    <s v="Le village est entièrement déserté"/>
    <m/>
    <m/>
    <m/>
    <m/>
    <m/>
    <m/>
    <m/>
    <m/>
    <m/>
    <m/>
    <m/>
    <m/>
    <m/>
    <m/>
    <m/>
    <m/>
    <m/>
    <m/>
    <m/>
    <m/>
    <m/>
    <m/>
    <m/>
    <m/>
    <m/>
    <m/>
    <m/>
    <m/>
    <m/>
    <m/>
    <m/>
    <m/>
    <m/>
    <m/>
    <m/>
    <m/>
    <m/>
    <m/>
    <m/>
    <m/>
    <m/>
    <m/>
    <m/>
    <m/>
    <m/>
    <m/>
    <m/>
    <m/>
    <m/>
    <m/>
    <m/>
    <m/>
    <m/>
    <m/>
    <m/>
    <m/>
    <m/>
    <m/>
    <m/>
    <m/>
    <m/>
    <m/>
    <m/>
    <m/>
    <m/>
    <m/>
    <m/>
    <m/>
    <m/>
    <m/>
    <m/>
    <m/>
    <m/>
    <m/>
    <m/>
    <m/>
    <m/>
    <m/>
    <m/>
    <s v="0"/>
    <s v="0"/>
    <s v="0"/>
    <n v="0"/>
  </r>
  <r>
    <n v="2548335"/>
    <s v="Extrême-Nord"/>
    <s v="CMR004"/>
    <x v="4"/>
    <s v="CMR004005"/>
    <s v="Kolofata"/>
    <s v="CMR004005001"/>
    <s v="KOL-0008"/>
    <s v="BOULDA 2"/>
    <m/>
    <x v="1"/>
    <n v="11.1374434"/>
    <n v="13.9268182"/>
    <x v="0"/>
    <b v="0"/>
    <b v="0"/>
    <b v="1"/>
    <m/>
    <m/>
    <s v="Accessible"/>
    <m/>
    <s v="Le village est entièrement déserté"/>
    <m/>
    <m/>
    <m/>
    <m/>
    <m/>
    <m/>
    <m/>
    <m/>
    <m/>
    <m/>
    <m/>
    <m/>
    <m/>
    <m/>
    <m/>
    <m/>
    <m/>
    <m/>
    <m/>
    <m/>
    <m/>
    <m/>
    <m/>
    <m/>
    <m/>
    <m/>
    <m/>
    <m/>
    <m/>
    <m/>
    <m/>
    <m/>
    <m/>
    <m/>
    <m/>
    <m/>
    <m/>
    <m/>
    <m/>
    <m/>
    <m/>
    <m/>
    <m/>
    <m/>
    <m/>
    <m/>
    <m/>
    <m/>
    <m/>
    <m/>
    <m/>
    <m/>
    <m/>
    <m/>
    <m/>
    <m/>
    <m/>
    <m/>
    <m/>
    <m/>
    <m/>
    <m/>
    <m/>
    <m/>
    <m/>
    <m/>
    <m/>
    <m/>
    <m/>
    <m/>
    <m/>
    <m/>
    <m/>
    <m/>
    <m/>
    <m/>
    <m/>
    <m/>
    <m/>
    <s v="0"/>
    <s v="0"/>
    <s v="0"/>
    <n v="0"/>
  </r>
  <r>
    <n v="2617519"/>
    <s v="Extrême-Nord"/>
    <s v="CMR004"/>
    <x v="4"/>
    <s v="CMR004005"/>
    <s v="Kolofata"/>
    <s v="CMR004005001"/>
    <s v="KOL-0027"/>
    <s v="CHERIPOURI"/>
    <m/>
    <x v="1"/>
    <n v="11.170080499999999"/>
    <n v="14.0707483"/>
    <x v="0"/>
    <b v="0"/>
    <b v="0"/>
    <b v="1"/>
    <m/>
    <m/>
    <s v="Accessible"/>
    <m/>
    <s v="Le village est entièrement déserté"/>
    <m/>
    <m/>
    <m/>
    <m/>
    <m/>
    <m/>
    <m/>
    <m/>
    <m/>
    <m/>
    <m/>
    <m/>
    <m/>
    <m/>
    <m/>
    <m/>
    <m/>
    <m/>
    <m/>
    <m/>
    <m/>
    <m/>
    <m/>
    <m/>
    <m/>
    <m/>
    <m/>
    <m/>
    <m/>
    <m/>
    <m/>
    <m/>
    <m/>
    <m/>
    <m/>
    <m/>
    <m/>
    <m/>
    <m/>
    <m/>
    <m/>
    <m/>
    <m/>
    <m/>
    <m/>
    <m/>
    <m/>
    <m/>
    <m/>
    <m/>
    <m/>
    <m/>
    <m/>
    <m/>
    <m/>
    <m/>
    <m/>
    <m/>
    <m/>
    <m/>
    <m/>
    <m/>
    <m/>
    <m/>
    <m/>
    <m/>
    <m/>
    <m/>
    <m/>
    <m/>
    <m/>
    <m/>
    <m/>
    <m/>
    <m/>
    <m/>
    <m/>
    <m/>
    <m/>
    <s v="0"/>
    <s v="0"/>
    <s v="0"/>
    <n v="0"/>
  </r>
  <r>
    <n v="2683034"/>
    <s v="Extrême-Nord"/>
    <s v="CMR004"/>
    <x v="4"/>
    <s v="CMR004005"/>
    <s v="Kolofata"/>
    <s v="CMR004005001"/>
    <s v="KOL-0015"/>
    <s v="DOUGZA 2"/>
    <m/>
    <x v="1"/>
    <n v="11.1372243"/>
    <n v="13.926864399999999"/>
    <x v="0"/>
    <b v="0"/>
    <b v="0"/>
    <b v="1"/>
    <m/>
    <m/>
    <s v="Accessible"/>
    <m/>
    <s v="Le village est entièrement déserté"/>
    <m/>
    <m/>
    <m/>
    <m/>
    <m/>
    <m/>
    <m/>
    <m/>
    <m/>
    <m/>
    <m/>
    <m/>
    <m/>
    <m/>
    <m/>
    <m/>
    <m/>
    <m/>
    <m/>
    <m/>
    <m/>
    <m/>
    <m/>
    <m/>
    <m/>
    <m/>
    <m/>
    <m/>
    <m/>
    <m/>
    <m/>
    <m/>
    <m/>
    <m/>
    <m/>
    <m/>
    <m/>
    <m/>
    <m/>
    <m/>
    <m/>
    <m/>
    <m/>
    <m/>
    <m/>
    <m/>
    <m/>
    <m/>
    <m/>
    <m/>
    <m/>
    <m/>
    <m/>
    <m/>
    <m/>
    <m/>
    <m/>
    <m/>
    <m/>
    <m/>
    <m/>
    <m/>
    <m/>
    <m/>
    <m/>
    <m/>
    <m/>
    <m/>
    <m/>
    <m/>
    <m/>
    <m/>
    <m/>
    <m/>
    <m/>
    <m/>
    <m/>
    <m/>
    <m/>
    <s v="0"/>
    <s v="0"/>
    <s v="0"/>
    <n v="0"/>
  </r>
  <r>
    <n v="2631449"/>
    <s v="Extrême-Nord"/>
    <s v="CMR004"/>
    <x v="4"/>
    <s v="CMR004005"/>
    <s v="Kolofata"/>
    <s v="CMR004005001"/>
    <s v="KOL-0014"/>
    <s v="GAKARA"/>
    <m/>
    <x v="1"/>
    <n v="11.1597721"/>
    <n v="13.905308099999999"/>
    <x v="0"/>
    <b v="0"/>
    <b v="0"/>
    <b v="1"/>
    <m/>
    <m/>
    <s v="Accessible"/>
    <m/>
    <s v="Le village est entièrement déserté"/>
    <m/>
    <m/>
    <m/>
    <m/>
    <m/>
    <m/>
    <m/>
    <m/>
    <m/>
    <m/>
    <m/>
    <m/>
    <m/>
    <m/>
    <m/>
    <m/>
    <m/>
    <m/>
    <m/>
    <m/>
    <m/>
    <m/>
    <m/>
    <m/>
    <m/>
    <m/>
    <m/>
    <m/>
    <m/>
    <m/>
    <m/>
    <m/>
    <m/>
    <m/>
    <m/>
    <m/>
    <m/>
    <m/>
    <m/>
    <m/>
    <m/>
    <m/>
    <m/>
    <m/>
    <m/>
    <m/>
    <m/>
    <m/>
    <m/>
    <m/>
    <m/>
    <m/>
    <m/>
    <m/>
    <m/>
    <m/>
    <m/>
    <m/>
    <m/>
    <m/>
    <m/>
    <m/>
    <m/>
    <m/>
    <m/>
    <m/>
    <m/>
    <m/>
    <m/>
    <m/>
    <m/>
    <m/>
    <m/>
    <m/>
    <m/>
    <m/>
    <m/>
    <m/>
    <m/>
    <s v="0"/>
    <s v="0"/>
    <s v="0"/>
    <n v="0"/>
  </r>
  <r>
    <n v="2656949"/>
    <s v="Extrême-Nord"/>
    <s v="CMR004"/>
    <x v="4"/>
    <s v="CMR004005"/>
    <s v="Kolofata"/>
    <s v="CMR004005001"/>
    <s v="KOL-0011"/>
    <s v="GANCE"/>
    <m/>
    <x v="1"/>
    <n v="11.156815099999999"/>
    <n v="14.072890299999999"/>
    <x v="0"/>
    <b v="1"/>
    <b v="0"/>
    <b v="0"/>
    <m/>
    <n v="3"/>
    <s v="Accessible"/>
    <m/>
    <s v="Le village accueille une population"/>
    <s v="Le village est intact (construit)"/>
    <m/>
    <m/>
    <s v="Oui"/>
    <s v="Sites de déplacement spontanés"/>
    <s v="Familles d'accueil"/>
    <s v="Non"/>
    <m/>
    <n v="1952"/>
    <n v="13299"/>
    <s v="Oui"/>
    <s v="Premier déplacement"/>
    <n v="1952"/>
    <n v="12466"/>
    <n v="5500"/>
    <n v="6966"/>
    <n v="96"/>
    <n v="107"/>
    <n v="0"/>
    <n v="0"/>
    <m/>
    <m/>
    <n v="0"/>
    <n v="1749"/>
    <s v="Paille/Natte/Nylon"/>
    <m/>
    <n v="0"/>
    <s v="Pas de changement ni départ ou arrive mes il y a des naissance et des decces .50 naissances côté déplacés et 3 decces. "/>
    <s v="Non"/>
    <m/>
    <m/>
    <m/>
    <m/>
    <m/>
    <m/>
    <m/>
    <m/>
    <m/>
    <m/>
    <m/>
    <m/>
    <m/>
    <m/>
    <m/>
    <s v="Oui"/>
    <n v="8"/>
    <n v="99"/>
    <n v="25"/>
    <n v="74"/>
    <s v="Entre 1 et 5 ans"/>
    <n v="0"/>
    <n v="8"/>
    <n v="0"/>
    <n v="0"/>
    <n v="0"/>
    <m/>
    <n v="0"/>
    <n v="0"/>
    <m/>
    <n v="0"/>
    <s v="Les principaux besoins pour les retourner, une aide en abris. Et danrre alimentaire, l'eau potable. "/>
    <m/>
    <m/>
    <m/>
    <m/>
    <n v="3"/>
    <m/>
    <m/>
    <m/>
    <m/>
    <m/>
    <m/>
    <m/>
    <m/>
    <m/>
    <m/>
    <m/>
    <m/>
    <m/>
    <s v="1"/>
    <s v="0"/>
    <s v="1"/>
    <n v="2"/>
  </r>
  <r>
    <n v="2578101"/>
    <s v="Extrême-Nord"/>
    <s v="CMR004"/>
    <x v="4"/>
    <s v="CMR004005"/>
    <s v="Kolofata"/>
    <s v="CMR004005001"/>
    <s v="KOL-0007"/>
    <s v="GARE"/>
    <m/>
    <x v="1"/>
    <n v="11.232308700000001"/>
    <n v="14.144482399999999"/>
    <x v="0"/>
    <b v="0"/>
    <b v="0"/>
    <b v="1"/>
    <m/>
    <m/>
    <s v="Accessible"/>
    <m/>
    <s v="Le village est entièrement déserté"/>
    <m/>
    <m/>
    <m/>
    <m/>
    <m/>
    <m/>
    <m/>
    <m/>
    <m/>
    <m/>
    <m/>
    <m/>
    <m/>
    <m/>
    <m/>
    <m/>
    <m/>
    <m/>
    <m/>
    <m/>
    <m/>
    <m/>
    <m/>
    <m/>
    <m/>
    <m/>
    <m/>
    <m/>
    <m/>
    <m/>
    <m/>
    <m/>
    <m/>
    <m/>
    <m/>
    <m/>
    <m/>
    <m/>
    <m/>
    <m/>
    <m/>
    <m/>
    <m/>
    <m/>
    <m/>
    <m/>
    <m/>
    <m/>
    <m/>
    <m/>
    <m/>
    <m/>
    <m/>
    <m/>
    <m/>
    <m/>
    <m/>
    <m/>
    <m/>
    <m/>
    <m/>
    <m/>
    <m/>
    <m/>
    <m/>
    <m/>
    <m/>
    <m/>
    <m/>
    <m/>
    <m/>
    <m/>
    <m/>
    <m/>
    <m/>
    <m/>
    <m/>
    <m/>
    <m/>
    <s v="0"/>
    <s v="0"/>
    <s v="0"/>
    <n v="0"/>
  </r>
  <r>
    <n v="2659467"/>
    <s v="Extrême-Nord"/>
    <s v="CMR004"/>
    <x v="4"/>
    <s v="CMR004005"/>
    <s v="Kolofata"/>
    <s v="CMR004005001"/>
    <s v="KOL-0012"/>
    <s v="GOUZOUDOU"/>
    <m/>
    <x v="1"/>
    <n v="11.1097643"/>
    <n v="14.0391818"/>
    <x v="0"/>
    <b v="1"/>
    <b v="0"/>
    <b v="0"/>
    <m/>
    <n v="3"/>
    <s v="Accessible"/>
    <m/>
    <s v="Le village accueille une population"/>
    <s v="Le village est partiellement détruit"/>
    <s v="Attaques armées"/>
    <m/>
    <s v="Oui"/>
    <s v="Familles d'accueil"/>
    <s v="Centre Collectif"/>
    <s v="Non"/>
    <m/>
    <n v="50"/>
    <n v="2586"/>
    <s v="Oui"/>
    <s v="Premier déplacement"/>
    <n v="50"/>
    <n v="513"/>
    <n v="127"/>
    <n v="386"/>
    <n v="0"/>
    <n v="50"/>
    <n v="0"/>
    <n v="0"/>
    <m/>
    <m/>
    <n v="0"/>
    <n v="0"/>
    <m/>
    <m/>
    <n v="0"/>
    <s v="Village pas de changement, plutôt les naissance est de decces. 5 naissance, 3 fammes et 2 homme. 2 decces homme reste pas de changement. Besoins principales danrre alimentaire, abris, santé, éducation. "/>
    <s v="Non"/>
    <m/>
    <m/>
    <m/>
    <m/>
    <m/>
    <m/>
    <m/>
    <m/>
    <m/>
    <m/>
    <m/>
    <m/>
    <m/>
    <m/>
    <m/>
    <s v="Non"/>
    <m/>
    <m/>
    <m/>
    <m/>
    <m/>
    <m/>
    <m/>
    <m/>
    <m/>
    <m/>
    <m/>
    <m/>
    <m/>
    <m/>
    <m/>
    <m/>
    <m/>
    <m/>
    <m/>
    <m/>
    <n v="0"/>
    <m/>
    <m/>
    <m/>
    <m/>
    <m/>
    <m/>
    <m/>
    <m/>
    <m/>
    <m/>
    <m/>
    <m/>
    <m/>
    <s v="1"/>
    <s v="0"/>
    <s v="0"/>
    <n v="1"/>
  </r>
  <r>
    <n v="2631451"/>
    <s v="Extrême-Nord"/>
    <s v="CMR004"/>
    <x v="4"/>
    <s v="CMR004005"/>
    <s v="Kolofata"/>
    <s v="CMR004005001"/>
    <s v="KOL-0023"/>
    <s v="GUEDAIROU"/>
    <m/>
    <x v="1"/>
    <n v="11.167043"/>
    <n v="14.0707454"/>
    <x v="0"/>
    <b v="0"/>
    <b v="0"/>
    <b v="1"/>
    <m/>
    <m/>
    <s v="Accessible"/>
    <m/>
    <s v="Le village est entièrement déserté"/>
    <m/>
    <m/>
    <m/>
    <m/>
    <m/>
    <m/>
    <m/>
    <m/>
    <m/>
    <m/>
    <m/>
    <m/>
    <m/>
    <m/>
    <m/>
    <m/>
    <m/>
    <m/>
    <m/>
    <m/>
    <m/>
    <m/>
    <m/>
    <m/>
    <m/>
    <m/>
    <m/>
    <m/>
    <m/>
    <m/>
    <m/>
    <m/>
    <m/>
    <m/>
    <m/>
    <m/>
    <m/>
    <m/>
    <m/>
    <m/>
    <m/>
    <m/>
    <m/>
    <m/>
    <m/>
    <m/>
    <m/>
    <m/>
    <m/>
    <m/>
    <m/>
    <m/>
    <m/>
    <m/>
    <m/>
    <m/>
    <m/>
    <m/>
    <m/>
    <m/>
    <m/>
    <m/>
    <m/>
    <m/>
    <m/>
    <m/>
    <m/>
    <m/>
    <m/>
    <m/>
    <m/>
    <m/>
    <m/>
    <m/>
    <m/>
    <m/>
    <m/>
    <m/>
    <m/>
    <s v="0"/>
    <s v="0"/>
    <s v="0"/>
    <n v="0"/>
  </r>
  <r>
    <n v="2631880"/>
    <s v="Extrême-Nord"/>
    <s v="CMR004"/>
    <x v="4"/>
    <s v="CMR004005"/>
    <s v="Kolofata"/>
    <s v="CMR004005001"/>
    <s v="KOL-0010"/>
    <s v="KERAWA"/>
    <m/>
    <x v="1"/>
    <n v="11.185071499999999"/>
    <n v="13.915248699999999"/>
    <x v="0"/>
    <b v="1"/>
    <b v="0"/>
    <b v="1"/>
    <m/>
    <n v="5"/>
    <s v="Accessible"/>
    <m/>
    <s v="Le village accueille une population"/>
    <s v="Le village est intact (construit)"/>
    <m/>
    <m/>
    <s v="Oui"/>
    <s v="Familles d'accueil"/>
    <s v="Location"/>
    <s v="Non"/>
    <m/>
    <n v="803"/>
    <n v="18000"/>
    <s v="Oui"/>
    <s v="Premier déplacement"/>
    <n v="803"/>
    <n v="6046"/>
    <n v="2202"/>
    <n v="3844"/>
    <n v="0"/>
    <n v="783"/>
    <n v="15"/>
    <n v="5"/>
    <s v="Chez une famille d'accueil (contre loyer)"/>
    <m/>
    <n v="0"/>
    <n v="0"/>
    <m/>
    <m/>
    <n v="0"/>
    <s v="Départ de 235 ménages de 685 individue augmentation 80 individu du à la naissance  diminution  de 23 individu"/>
    <s v="Non"/>
    <m/>
    <m/>
    <m/>
    <m/>
    <m/>
    <m/>
    <m/>
    <m/>
    <m/>
    <m/>
    <m/>
    <m/>
    <m/>
    <m/>
    <m/>
    <s v="Non"/>
    <m/>
    <m/>
    <m/>
    <m/>
    <m/>
    <m/>
    <m/>
    <m/>
    <m/>
    <m/>
    <m/>
    <m/>
    <m/>
    <m/>
    <m/>
    <m/>
    <m/>
    <m/>
    <m/>
    <m/>
    <n v="0"/>
    <m/>
    <m/>
    <m/>
    <m/>
    <m/>
    <m/>
    <m/>
    <m/>
    <m/>
    <m/>
    <m/>
    <m/>
    <m/>
    <s v="1"/>
    <s v="0"/>
    <s v="0"/>
    <n v="1"/>
  </r>
  <r>
    <n v="2661506"/>
    <s v="Extrême-Nord"/>
    <s v="CMR004"/>
    <x v="4"/>
    <s v="CMR004005"/>
    <s v="Kolofata"/>
    <s v="CMR004005001"/>
    <s v="KOL-0003"/>
    <s v="KOLOFATA CENTRE"/>
    <m/>
    <x v="1"/>
    <n v="11.1631175"/>
    <n v="14.0127629"/>
    <x v="0"/>
    <b v="1"/>
    <b v="0"/>
    <b v="0"/>
    <m/>
    <n v="3"/>
    <s v="Accessible"/>
    <m/>
    <s v="Le village accueille une population"/>
    <s v="Le village est intact (construit)"/>
    <m/>
    <m/>
    <s v="Oui"/>
    <s v="Familles d'accueil"/>
    <s v="Centre Collectif"/>
    <s v="Non"/>
    <m/>
    <n v="363"/>
    <n v="10137"/>
    <s v="Oui"/>
    <s v="Premier déplacement"/>
    <n v="363"/>
    <n v="2002"/>
    <n v="752"/>
    <n v="1250"/>
    <n v="0"/>
    <n v="363"/>
    <n v="0"/>
    <n v="0"/>
    <m/>
    <m/>
    <n v="0"/>
    <n v="0"/>
    <m/>
    <m/>
    <n v="0"/>
    <s v="Centre de kolofata pas de mouvement. La naissance et le decces, 14 naissance 7 fammes et 7 hommes, decces 3 homme. Besoins principales  abris, nutrition, l'eau, abris  hygiène. Reste pas de changement. "/>
    <s v="Non"/>
    <m/>
    <m/>
    <m/>
    <m/>
    <m/>
    <m/>
    <m/>
    <m/>
    <m/>
    <m/>
    <m/>
    <m/>
    <m/>
    <m/>
    <m/>
    <s v="Oui"/>
    <n v="239"/>
    <n v="1223"/>
    <n v="346"/>
    <n v="877"/>
    <s v="Entre 1 et 5 ans"/>
    <n v="0"/>
    <n v="239"/>
    <n v="0"/>
    <n v="0"/>
    <n v="0"/>
    <m/>
    <n v="0"/>
    <n v="0"/>
    <m/>
    <n v="0"/>
    <m/>
    <m/>
    <m/>
    <m/>
    <m/>
    <n v="0"/>
    <m/>
    <m/>
    <m/>
    <m/>
    <m/>
    <m/>
    <m/>
    <m/>
    <m/>
    <m/>
    <m/>
    <m/>
    <m/>
    <s v="1"/>
    <s v="0"/>
    <s v="1"/>
    <n v="2"/>
  </r>
  <r>
    <n v="2631470"/>
    <s v="Extrême-Nord"/>
    <s v="CMR004"/>
    <x v="4"/>
    <s v="CMR004005"/>
    <s v="Kolofata"/>
    <s v="CMR004005001"/>
    <s v="KOL-0017"/>
    <s v="KOLOFATA SITE DE GOUDERI"/>
    <m/>
    <x v="1"/>
    <n v="11.1565808"/>
    <n v="14.029608700000001"/>
    <x v="0"/>
    <b v="0"/>
    <b v="0"/>
    <b v="1"/>
    <m/>
    <m/>
    <s v="Accessible"/>
    <m/>
    <s v="Le village est entièrement déserté"/>
    <m/>
    <m/>
    <m/>
    <m/>
    <m/>
    <m/>
    <m/>
    <m/>
    <m/>
    <m/>
    <m/>
    <m/>
    <m/>
    <m/>
    <m/>
    <m/>
    <m/>
    <m/>
    <m/>
    <m/>
    <m/>
    <m/>
    <m/>
    <m/>
    <m/>
    <m/>
    <m/>
    <m/>
    <m/>
    <m/>
    <m/>
    <m/>
    <m/>
    <m/>
    <m/>
    <m/>
    <m/>
    <m/>
    <m/>
    <m/>
    <m/>
    <m/>
    <m/>
    <m/>
    <m/>
    <m/>
    <m/>
    <m/>
    <m/>
    <m/>
    <m/>
    <m/>
    <m/>
    <m/>
    <m/>
    <m/>
    <m/>
    <m/>
    <m/>
    <m/>
    <m/>
    <m/>
    <m/>
    <m/>
    <m/>
    <m/>
    <m/>
    <m/>
    <m/>
    <m/>
    <m/>
    <m/>
    <m/>
    <m/>
    <m/>
    <m/>
    <m/>
    <m/>
    <m/>
    <s v="0"/>
    <s v="0"/>
    <s v="0"/>
    <n v="0"/>
  </r>
  <r>
    <n v="2656948"/>
    <s v="Extrême-Nord"/>
    <s v="CMR004"/>
    <x v="4"/>
    <s v="CMR004005"/>
    <s v="Kolofata"/>
    <s v="CMR004005001"/>
    <s v="KOL-0016"/>
    <s v="KOLOFATA SITE TRIBUNE"/>
    <m/>
    <x v="1"/>
    <n v="11.164227199999999"/>
    <n v="14.007995599999999"/>
    <x v="0"/>
    <b v="1"/>
    <b v="0"/>
    <b v="0"/>
    <m/>
    <n v="3"/>
    <s v="Accessible"/>
    <m/>
    <s v="Le village accueille une population"/>
    <s v="Le village est intact (construit)"/>
    <m/>
    <m/>
    <s v="Oui"/>
    <s v="Sites de déplacement spontanés"/>
    <s v="Non, pas du tout"/>
    <s v="Oui"/>
    <n v="1"/>
    <m/>
    <n v="5890"/>
    <s v="Non"/>
    <m/>
    <m/>
    <m/>
    <m/>
    <m/>
    <m/>
    <m/>
    <m/>
    <m/>
    <m/>
    <m/>
    <m/>
    <m/>
    <m/>
    <m/>
    <m/>
    <m/>
    <s v="Non"/>
    <m/>
    <m/>
    <m/>
    <m/>
    <m/>
    <m/>
    <m/>
    <m/>
    <m/>
    <m/>
    <m/>
    <m/>
    <m/>
    <m/>
    <m/>
    <s v="Non"/>
    <m/>
    <m/>
    <m/>
    <m/>
    <m/>
    <m/>
    <m/>
    <m/>
    <m/>
    <m/>
    <m/>
    <m/>
    <m/>
    <m/>
    <m/>
    <m/>
    <m/>
    <m/>
    <m/>
    <m/>
    <n v="12"/>
    <m/>
    <m/>
    <m/>
    <m/>
    <m/>
    <m/>
    <m/>
    <m/>
    <m/>
    <m/>
    <m/>
    <m/>
    <m/>
    <s v="0"/>
    <s v="0"/>
    <s v="0"/>
    <n v="0"/>
  </r>
  <r>
    <n v="2674303"/>
    <s v="Extrême-Nord"/>
    <s v="CMR004"/>
    <x v="4"/>
    <s v="CMR004005"/>
    <s v="Kolofata"/>
    <s v="CMR004005001"/>
    <s v="KOL-0024"/>
    <s v="KORDO"/>
    <m/>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17517"/>
    <s v="Extrême-Nord"/>
    <s v="CMR004"/>
    <x v="4"/>
    <s v="CMR004005"/>
    <s v="Kolofata"/>
    <s v="CMR004005001"/>
    <s v="KOL-0020"/>
    <s v="KOUYAPE"/>
    <m/>
    <x v="1"/>
    <n v="11.0194007"/>
    <n v="13.965202700000001"/>
    <x v="0"/>
    <b v="1"/>
    <b v="0"/>
    <b v="1"/>
    <m/>
    <n v="5"/>
    <s v="Accessible"/>
    <m/>
    <s v="Le village accueille une population"/>
    <s v="Le village est partiellement détruit"/>
    <s v="Attaques armées"/>
    <m/>
    <s v="Oui"/>
    <s v="Familles d'accueil"/>
    <s v="Sites de déplacement spontanés"/>
    <s v="Non"/>
    <m/>
    <n v="832"/>
    <n v="1055"/>
    <s v="Oui"/>
    <s v="Deuxième déplacement"/>
    <n v="832"/>
    <n v="6588"/>
    <n v="2900"/>
    <n v="3688"/>
    <n v="0"/>
    <n v="424"/>
    <n v="0"/>
    <n v="0"/>
    <m/>
    <m/>
    <n v="0"/>
    <n v="408"/>
    <s v="Paille/Natte/Nylon"/>
    <m/>
    <n v="0"/>
    <s v="DÉPART  de 15 ménages de 105 ind vers TOLKOMARI_x000a_DÉCÈS  15 IND à savoir plus 10h et 5f _x000a_ARRIVÉE de 73 ménages de 511 ind à savoir 200 h et 311 faire en plus il y'a eu naissance 45 ( 25f et 20h) pas d'assistance reçu "/>
    <s v="Non"/>
    <m/>
    <m/>
    <m/>
    <m/>
    <m/>
    <m/>
    <m/>
    <m/>
    <m/>
    <m/>
    <m/>
    <m/>
    <m/>
    <m/>
    <m/>
    <s v="Oui"/>
    <n v="52"/>
    <n v="375"/>
    <n v="167"/>
    <n v="208"/>
    <s v="Entre 1 et 5 ans"/>
    <n v="0"/>
    <n v="52"/>
    <n v="0"/>
    <n v="0"/>
    <n v="0"/>
    <m/>
    <n v="0"/>
    <n v="0"/>
    <m/>
    <n v="0"/>
    <m/>
    <m/>
    <m/>
    <m/>
    <m/>
    <n v="0"/>
    <m/>
    <m/>
    <m/>
    <m/>
    <m/>
    <m/>
    <m/>
    <m/>
    <m/>
    <m/>
    <m/>
    <m/>
    <m/>
    <s v="1"/>
    <s v="0"/>
    <s v="1"/>
    <n v="2"/>
  </r>
  <r>
    <n v="2617518"/>
    <s v="Extrême-Nord"/>
    <s v="CMR004"/>
    <x v="4"/>
    <s v="CMR004005"/>
    <s v="Kolofata"/>
    <s v="CMR004005001"/>
    <s v="KOL-0026"/>
    <s v="MAINANKOA"/>
    <m/>
    <x v="1"/>
    <n v="11.1706646"/>
    <n v="14.008660600000001"/>
    <x v="0"/>
    <b v="0"/>
    <b v="0"/>
    <b v="1"/>
    <m/>
    <m/>
    <s v="Accessible"/>
    <m/>
    <s v="Le village est entièrement déserté"/>
    <m/>
    <m/>
    <m/>
    <m/>
    <m/>
    <m/>
    <m/>
    <m/>
    <m/>
    <m/>
    <m/>
    <m/>
    <m/>
    <m/>
    <m/>
    <m/>
    <m/>
    <m/>
    <m/>
    <m/>
    <m/>
    <m/>
    <m/>
    <m/>
    <m/>
    <m/>
    <m/>
    <m/>
    <m/>
    <m/>
    <m/>
    <m/>
    <m/>
    <m/>
    <m/>
    <m/>
    <m/>
    <m/>
    <m/>
    <m/>
    <m/>
    <m/>
    <m/>
    <m/>
    <m/>
    <m/>
    <m/>
    <m/>
    <m/>
    <m/>
    <m/>
    <m/>
    <m/>
    <m/>
    <m/>
    <m/>
    <m/>
    <m/>
    <m/>
    <m/>
    <m/>
    <m/>
    <m/>
    <m/>
    <m/>
    <m/>
    <m/>
    <m/>
    <m/>
    <m/>
    <m/>
    <m/>
    <m/>
    <m/>
    <m/>
    <m/>
    <m/>
    <m/>
    <m/>
    <s v="0"/>
    <s v="0"/>
    <s v="0"/>
    <n v="0"/>
  </r>
  <r>
    <n v="2672396"/>
    <s v="Extrême-Nord"/>
    <s v="CMR004"/>
    <x v="4"/>
    <s v="CMR004005"/>
    <s v="Kolofata"/>
    <s v="CMR004005001"/>
    <s v="KOL-0013"/>
    <s v="MALLOUMRIA"/>
    <m/>
    <x v="1"/>
    <n v="11.1715775"/>
    <n v="14.0708436"/>
    <x v="0"/>
    <b v="0"/>
    <b v="0"/>
    <b v="1"/>
    <m/>
    <m/>
    <s v="Accessible"/>
    <m/>
    <s v="Le village est entièrement déserté"/>
    <m/>
    <m/>
    <m/>
    <m/>
    <m/>
    <m/>
    <m/>
    <m/>
    <m/>
    <m/>
    <m/>
    <m/>
    <m/>
    <m/>
    <m/>
    <m/>
    <m/>
    <m/>
    <m/>
    <m/>
    <m/>
    <m/>
    <m/>
    <m/>
    <m/>
    <m/>
    <m/>
    <m/>
    <m/>
    <m/>
    <m/>
    <m/>
    <m/>
    <m/>
    <m/>
    <m/>
    <m/>
    <m/>
    <m/>
    <m/>
    <m/>
    <m/>
    <m/>
    <m/>
    <m/>
    <m/>
    <m/>
    <m/>
    <m/>
    <m/>
    <m/>
    <m/>
    <m/>
    <m/>
    <m/>
    <m/>
    <m/>
    <m/>
    <m/>
    <m/>
    <m/>
    <m/>
    <m/>
    <m/>
    <m/>
    <m/>
    <m/>
    <m/>
    <m/>
    <m/>
    <m/>
    <m/>
    <m/>
    <m/>
    <m/>
    <m/>
    <m/>
    <m/>
    <m/>
    <s v="0"/>
    <s v="0"/>
    <s v="0"/>
    <n v="0"/>
  </r>
  <r>
    <n v="2656085"/>
    <s v="Extrême-Nord"/>
    <s v="CMR004"/>
    <x v="4"/>
    <s v="CMR004005"/>
    <s v="Kolofata"/>
    <s v="CMR004005001"/>
    <s v="KOL-0025"/>
    <s v="SANDAWADJIRI"/>
    <m/>
    <x v="1"/>
    <n v="11.1155115"/>
    <n v="13.933728199999999"/>
    <x v="0"/>
    <b v="1"/>
    <b v="0"/>
    <b v="1"/>
    <m/>
    <n v="4"/>
    <s v="Accessible"/>
    <m/>
    <s v="Le village accueille une population"/>
    <s v="Le village est partiellement détruit"/>
    <s v="Attaques armées"/>
    <m/>
    <s v="Oui"/>
    <s v="Familles d'accueil"/>
    <s v="Non, pas du tout"/>
    <s v="Non"/>
    <m/>
    <n v="103"/>
    <n v="2277"/>
    <s v="Oui"/>
    <s v="Deuxième déplacement"/>
    <n v="103"/>
    <n v="471"/>
    <n v="198"/>
    <n v="273"/>
    <n v="0"/>
    <n v="103"/>
    <n v="0"/>
    <n v="0"/>
    <m/>
    <m/>
    <n v="0"/>
    <n v="0"/>
    <m/>
    <m/>
    <n v="0"/>
    <s v="Pas de mouvement _x000a_Naissances 10 individus 5 f et 5 h_x000a_Décès 07 hommes _x000a_Nous constatons une petite partie des idp font un mouvement constant entre kerawa,sandawadjiri et TOLKOMARI "/>
    <s v="Non"/>
    <m/>
    <m/>
    <m/>
    <m/>
    <m/>
    <m/>
    <m/>
    <m/>
    <m/>
    <m/>
    <m/>
    <m/>
    <m/>
    <m/>
    <m/>
    <s v="Oui"/>
    <n v="83"/>
    <n v="556"/>
    <n v="240"/>
    <n v="316"/>
    <s v="Entre 1 et 5 ans"/>
    <n v="0"/>
    <n v="83"/>
    <n v="0"/>
    <n v="0"/>
    <n v="0"/>
    <m/>
    <n v="0"/>
    <n v="0"/>
    <m/>
    <n v="0"/>
    <m/>
    <m/>
    <m/>
    <m/>
    <m/>
    <n v="0"/>
    <m/>
    <m/>
    <m/>
    <m/>
    <m/>
    <m/>
    <m/>
    <m/>
    <m/>
    <m/>
    <m/>
    <m/>
    <m/>
    <s v="1"/>
    <s v="0"/>
    <s v="1"/>
    <n v="2"/>
  </r>
  <r>
    <n v="2631885"/>
    <s v="Extrême-Nord"/>
    <s v="CMR004"/>
    <x v="4"/>
    <s v="CMR004005"/>
    <s v="Kolofata"/>
    <s v="CMR004005001"/>
    <s v="KOL-0006"/>
    <s v="SARE"/>
    <m/>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79097"/>
    <s v="Extrême-Nord"/>
    <s v="CMR004"/>
    <x v="4"/>
    <s v="CMR004005"/>
    <s v="Kolofata"/>
    <s v="CMR004005001"/>
    <s v="KOL-0029"/>
    <s v="SATTOMI"/>
    <m/>
    <x v="1"/>
    <n v="11.0834698"/>
    <n v="14.023388300000001"/>
    <x v="0"/>
    <b v="1"/>
    <b v="0"/>
    <b v="1"/>
    <m/>
    <n v="3"/>
    <s v="Accessible"/>
    <m/>
    <s v="Le village accueille une population"/>
    <s v="Le village est intact (construit)"/>
    <m/>
    <m/>
    <s v="Oui"/>
    <s v="Familles d'accueil"/>
    <s v="Location"/>
    <s v="Non"/>
    <m/>
    <n v="90"/>
    <n v="3092"/>
    <s v="Oui"/>
    <s v="Premier déplacement"/>
    <n v="90"/>
    <n v="551"/>
    <n v="226"/>
    <n v="325"/>
    <n v="0"/>
    <n v="90"/>
    <n v="0"/>
    <n v="0"/>
    <m/>
    <m/>
    <n v="0"/>
    <n v="0"/>
    <m/>
    <m/>
    <n v="0"/>
    <s v="Augmentation de salaire 13 individu à la naissance diminution 8 individu du au décès "/>
    <s v="Non"/>
    <m/>
    <m/>
    <m/>
    <m/>
    <m/>
    <m/>
    <m/>
    <m/>
    <m/>
    <m/>
    <m/>
    <m/>
    <m/>
    <m/>
    <m/>
    <s v="Oui"/>
    <n v="40"/>
    <n v="314"/>
    <n v="134"/>
    <n v="180"/>
    <s v="Entre 1 et 5 ans"/>
    <n v="0"/>
    <n v="40"/>
    <n v="0"/>
    <n v="0"/>
    <n v="0"/>
    <m/>
    <n v="0"/>
    <n v="0"/>
    <m/>
    <n v="0"/>
    <m/>
    <m/>
    <m/>
    <m/>
    <m/>
    <n v="0"/>
    <m/>
    <m/>
    <m/>
    <m/>
    <m/>
    <m/>
    <m/>
    <m/>
    <m/>
    <m/>
    <m/>
    <m/>
    <m/>
    <s v="1"/>
    <s v="0"/>
    <s v="1"/>
    <n v="2"/>
  </r>
  <r>
    <n v="2656946"/>
    <s v="Extrême-Nord"/>
    <s v="CMR004"/>
    <x v="4"/>
    <s v="CMR004005"/>
    <s v="Kolofata"/>
    <s v="CMR004005001"/>
    <s v="KOL-0030"/>
    <s v="SITE DE BAKARISSE"/>
    <m/>
    <x v="1"/>
    <n v="11.177744000000001"/>
    <n v="13.922529600000001"/>
    <x v="1"/>
    <b v="1"/>
    <b v="0"/>
    <b v="0"/>
    <m/>
    <n v="4"/>
    <s v="Accessible"/>
    <m/>
    <s v="Le village accueille une population"/>
    <s v="Le village est partiellement détruit"/>
    <s v="Attaques armées"/>
    <m/>
    <s v="Oui"/>
    <s v="Sites de déplacement spontanés"/>
    <s v="Familles d'accueil"/>
    <m/>
    <m/>
    <n v="63"/>
    <n v="385"/>
    <s v="Oui"/>
    <s v="Premier déplacement"/>
    <n v="63"/>
    <n v="385"/>
    <n v="120"/>
    <n v="265"/>
    <n v="0"/>
    <n v="0"/>
    <n v="0"/>
    <n v="0"/>
    <m/>
    <m/>
    <n v="0"/>
    <n v="63"/>
    <s v="Paille/Natte/Nylon"/>
    <m/>
    <n v="0"/>
    <s v="Pas de changement dans le site, il y a des naissance et des decces .17 naissance pour 11 fammes et 6 homme, decces 2 homme et 4 fammes. Besoins en alimentation et abris l'eau potable, kit hygiène. "/>
    <s v="Non"/>
    <m/>
    <m/>
    <m/>
    <m/>
    <m/>
    <m/>
    <m/>
    <m/>
    <m/>
    <m/>
    <m/>
    <m/>
    <m/>
    <m/>
    <m/>
    <s v="Non"/>
    <m/>
    <m/>
    <m/>
    <m/>
    <m/>
    <m/>
    <m/>
    <m/>
    <m/>
    <m/>
    <m/>
    <m/>
    <m/>
    <m/>
    <m/>
    <m/>
    <m/>
    <m/>
    <m/>
    <m/>
    <n v="0"/>
    <m/>
    <m/>
    <m/>
    <m/>
    <m/>
    <m/>
    <m/>
    <m/>
    <m/>
    <m/>
    <m/>
    <m/>
    <m/>
    <s v="1"/>
    <s v="0"/>
    <s v="0"/>
    <n v="1"/>
  </r>
  <r>
    <n v="2655871"/>
    <s v="Extrême-Nord"/>
    <s v="CMR004"/>
    <x v="4"/>
    <s v="CMR004005"/>
    <s v="Kolofata"/>
    <s v="CMR004005001"/>
    <s v="KOL-0031"/>
    <s v="SITE DE DOUGDJE"/>
    <m/>
    <x v="1"/>
    <n v="11.178244899999999"/>
    <n v="13.9223386"/>
    <x v="1"/>
    <b v="1"/>
    <b v="0"/>
    <b v="1"/>
    <m/>
    <n v="4"/>
    <s v="Accessible"/>
    <m/>
    <s v="Le village accueille une population"/>
    <s v="Le village est partiellement détruit"/>
    <s v="Attaques armées"/>
    <m/>
    <s v="Oui"/>
    <s v="Sites de déplacement spontanés"/>
    <s v="Familles d'accueil"/>
    <m/>
    <m/>
    <n v="354"/>
    <n v="2677"/>
    <s v="Oui"/>
    <s v="Premier déplacement"/>
    <n v="354"/>
    <n v="2677"/>
    <n v="1049"/>
    <n v="1628"/>
    <n v="0"/>
    <n v="10"/>
    <n v="0"/>
    <n v="0"/>
    <m/>
    <m/>
    <n v="0"/>
    <n v="344"/>
    <s v="Paille/Natte/Nylon"/>
    <m/>
    <n v="0"/>
    <s v="Arrivée de 35 ménages de kerawa centre ( idp gakara) de 245 individus  ( 100 h et 145 faire ) ils sont en abris spontanés et n'ont pas reçu d'assistance  en plus nous avons 18 naissances ( 9 h et 9 faire ) _x000a_Décès 10 (5 h et 5 f)"/>
    <s v="Non"/>
    <m/>
    <m/>
    <m/>
    <m/>
    <m/>
    <m/>
    <m/>
    <m/>
    <m/>
    <m/>
    <m/>
    <m/>
    <m/>
    <m/>
    <m/>
    <s v="Non"/>
    <m/>
    <m/>
    <m/>
    <m/>
    <m/>
    <m/>
    <m/>
    <m/>
    <m/>
    <m/>
    <m/>
    <m/>
    <m/>
    <m/>
    <m/>
    <m/>
    <m/>
    <m/>
    <m/>
    <m/>
    <n v="0"/>
    <m/>
    <m/>
    <m/>
    <m/>
    <m/>
    <m/>
    <m/>
    <m/>
    <m/>
    <m/>
    <m/>
    <m/>
    <m/>
    <s v="1"/>
    <s v="0"/>
    <s v="0"/>
    <n v="1"/>
  </r>
  <r>
    <n v="2598548"/>
    <s v="Extrême-Nord"/>
    <s v="CMR004"/>
    <x v="4"/>
    <s v="CMR004005"/>
    <s v="Kolofata"/>
    <s v="CMR004005001"/>
    <s v="KOL-0034"/>
    <s v="SITE DE GREYA"/>
    <m/>
    <x v="1"/>
    <n v="11.2210915"/>
    <n v="14.0366628"/>
    <x v="1"/>
    <b v="1"/>
    <b v="0"/>
    <b v="1"/>
    <m/>
    <n v="3"/>
    <s v="Accessible"/>
    <m/>
    <s v="Le village accueille une population"/>
    <s v="Le village est partiellement détruit"/>
    <s v="Attaques armées"/>
    <m/>
    <s v="Oui"/>
    <s v="Sites de déplacement spontanés"/>
    <s v="Non, pas du tout"/>
    <m/>
    <m/>
    <n v="173"/>
    <n v="2135"/>
    <s v="Oui"/>
    <s v="Deuxième déplacement"/>
    <n v="173"/>
    <n v="1298"/>
    <n v="550"/>
    <n v="748"/>
    <n v="0"/>
    <n v="0"/>
    <n v="0"/>
    <n v="0"/>
    <m/>
    <m/>
    <n v="0"/>
    <n v="173"/>
    <s v="Paille/Natte/Nylon"/>
    <m/>
    <n v="0"/>
    <s v="ARRIVÉ DE : 58 ménages de 400 ind ( 200 h et 200 f) en provenance de kolofata-guidi y compris 100 individus de 12 ménages en provenance de Méri en plus il y'a 100 naissance  ( 60f et 40 h) ils ont reçu l'assistance de la commune de kolofata_x000a_DÉPART: Décès 40 individus ( 25 h et 15 f) "/>
    <s v="Non"/>
    <m/>
    <m/>
    <m/>
    <m/>
    <m/>
    <m/>
    <m/>
    <m/>
    <m/>
    <m/>
    <m/>
    <m/>
    <m/>
    <m/>
    <m/>
    <s v="Oui"/>
    <n v="209"/>
    <n v="937"/>
    <n v="334"/>
    <n v="603"/>
    <s v="Entre 1 et 5 ans"/>
    <n v="0"/>
    <n v="0"/>
    <n v="0"/>
    <n v="0"/>
    <n v="0"/>
    <m/>
    <n v="0"/>
    <n v="209"/>
    <s v="Paille/Natte/Nylon"/>
    <n v="0"/>
    <s v="Pas de changement chez les retournés ils ont reçu de, assistance de la part de la commune "/>
    <m/>
    <m/>
    <m/>
    <m/>
    <n v="0"/>
    <m/>
    <m/>
    <m/>
    <m/>
    <m/>
    <m/>
    <m/>
    <m/>
    <m/>
    <m/>
    <m/>
    <m/>
    <m/>
    <s v="1"/>
    <s v="0"/>
    <s v="1"/>
    <n v="2"/>
  </r>
  <r>
    <n v="2674268"/>
    <s v="Extrême-Nord"/>
    <s v="CMR004"/>
    <x v="4"/>
    <s v="CMR004005"/>
    <s v="Kolofata"/>
    <s v="CMR004005001"/>
    <s v="KOL-0033"/>
    <s v="SITE DE KIDJIMATARI"/>
    <m/>
    <x v="1"/>
    <s v="N/A"/>
    <s v="N/A"/>
    <x v="1"/>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01902"/>
    <s v="Extrême-Nord"/>
    <s v="CMR004"/>
    <x v="4"/>
    <s v="CMR004005"/>
    <s v="Kolofata"/>
    <s v="CMR004005001"/>
    <s v="KOL-0018"/>
    <s v="SITE DE KOLOFATA - BLAKODJI"/>
    <m/>
    <x v="1"/>
    <n v="11.1572362"/>
    <n v="14.0128637"/>
    <x v="1"/>
    <b v="1"/>
    <b v="0"/>
    <b v="1"/>
    <m/>
    <n v="5"/>
    <s v="Accessible"/>
    <m/>
    <s v="Le village accueille une population"/>
    <s v="Le village est partiellement détruit"/>
    <s v="Attaques armées"/>
    <m/>
    <s v="Oui"/>
    <s v="Sites de déplacement spontanés"/>
    <s v="Non, pas du tout"/>
    <m/>
    <m/>
    <n v="315"/>
    <n v="2608"/>
    <s v="Oui"/>
    <s v="Deuxième déplacement"/>
    <n v="315"/>
    <n v="2608"/>
    <n v="1250"/>
    <n v="1358"/>
    <n v="0"/>
    <n v="0"/>
    <n v="0"/>
    <n v="0"/>
    <m/>
    <m/>
    <n v="0"/>
    <n v="315"/>
    <s v="Paille/Natte/Nylon"/>
    <m/>
    <n v="0"/>
    <s v="ARRIVÉE de 34 ménages de 238 ind ( 148 f et 90 h) en provenance de ZOUBOULOUM en plus il y'a naissance de 50 ind  ( 30 f et 20 h) _x000a_Départ : Décès de 20 individus  ( 13h et 7f) pas d'assistance sur le site depuis plus d'un an"/>
    <s v="Non"/>
    <m/>
    <m/>
    <m/>
    <m/>
    <m/>
    <m/>
    <m/>
    <m/>
    <m/>
    <m/>
    <m/>
    <m/>
    <m/>
    <m/>
    <m/>
    <s v="Non"/>
    <m/>
    <m/>
    <m/>
    <m/>
    <m/>
    <m/>
    <m/>
    <m/>
    <m/>
    <m/>
    <m/>
    <m/>
    <m/>
    <m/>
    <m/>
    <m/>
    <m/>
    <m/>
    <m/>
    <m/>
    <n v="0"/>
    <m/>
    <m/>
    <m/>
    <m/>
    <m/>
    <m/>
    <m/>
    <m/>
    <m/>
    <m/>
    <m/>
    <m/>
    <m/>
    <s v="1"/>
    <s v="0"/>
    <s v="0"/>
    <n v="1"/>
  </r>
  <r>
    <n v="2618352"/>
    <s v="Extrême-Nord"/>
    <s v="CMR004"/>
    <x v="4"/>
    <s v="CMR004005"/>
    <s v="Kolofata"/>
    <s v="CMR004005001"/>
    <s v="KOL-0019"/>
    <s v="SITE DE KOLOFATA - MARCHE"/>
    <m/>
    <x v="0"/>
    <n v="11.1606728"/>
    <n v="14.0153268"/>
    <x v="1"/>
    <b v="1"/>
    <b v="0"/>
    <b v="1"/>
    <m/>
    <n v="4"/>
    <s v="Accessible"/>
    <m/>
    <s v="Le village accueille une population"/>
    <s v="Le village est partiellement détruit"/>
    <s v="Attaques armées"/>
    <m/>
    <s v="Oui"/>
    <s v="Sites de déplacement spontanés"/>
    <s v="Non, pas du tout"/>
    <m/>
    <m/>
    <n v="693"/>
    <n v="5709"/>
    <s v="Oui"/>
    <s v="Deuxième déplacement"/>
    <n v="693"/>
    <n v="5709"/>
    <n v="2509"/>
    <n v="3200"/>
    <n v="0"/>
    <n v="0"/>
    <n v="0"/>
    <n v="0"/>
    <m/>
    <m/>
    <n v="0"/>
    <n v="693"/>
    <s v="Paille/Natte/Nylon"/>
    <m/>
    <n v="0"/>
    <s v="Pas d'arrivé excepté 30 naissances  ( 20f et 10h) et 10 décès  ( 7h et 3h) _x000a_Pas d'assistance reçu. Les abris spontanés sont très endommagés "/>
    <s v="Non"/>
    <m/>
    <m/>
    <m/>
    <m/>
    <m/>
    <m/>
    <m/>
    <m/>
    <m/>
    <m/>
    <m/>
    <m/>
    <m/>
    <m/>
    <m/>
    <s v="Non"/>
    <m/>
    <m/>
    <m/>
    <m/>
    <m/>
    <m/>
    <m/>
    <m/>
    <m/>
    <m/>
    <m/>
    <m/>
    <m/>
    <m/>
    <m/>
    <m/>
    <m/>
    <m/>
    <m/>
    <m/>
    <n v="0"/>
    <m/>
    <m/>
    <m/>
    <m/>
    <m/>
    <m/>
    <m/>
    <m/>
    <m/>
    <m/>
    <m/>
    <m/>
    <m/>
    <s v="1"/>
    <s v="0"/>
    <s v="0"/>
    <n v="1"/>
  </r>
  <r>
    <n v="2679607"/>
    <s v="Extrême-Nord"/>
    <s v="CMR004"/>
    <x v="4"/>
    <s v="CMR004005"/>
    <s v="Kolofata"/>
    <s v="CMR004005001"/>
    <s v="KOL-0021"/>
    <s v="TOLKOMARI"/>
    <m/>
    <x v="1"/>
    <n v="11.0822267"/>
    <n v="14.0209733"/>
    <x v="0"/>
    <b v="1"/>
    <b v="0"/>
    <b v="1"/>
    <m/>
    <n v="3"/>
    <s v="Accessible"/>
    <m/>
    <s v="Le village accueille une population"/>
    <s v="Le village est intact (construit)"/>
    <m/>
    <m/>
    <s v="Oui"/>
    <s v="Familles d'accueil"/>
    <s v="Non, pas du tout"/>
    <s v="Non"/>
    <m/>
    <n v="595"/>
    <n v="6448"/>
    <s v="Oui"/>
    <s v="Deuxième déplacement"/>
    <n v="595"/>
    <n v="4043"/>
    <n v="1888"/>
    <n v="2155"/>
    <n v="0"/>
    <n v="595"/>
    <n v="0"/>
    <n v="0"/>
    <m/>
    <m/>
    <n v="0"/>
    <n v="0"/>
    <m/>
    <m/>
    <n v="0"/>
    <s v="Arrivé de 17 ménages 146 individu provenance de site igawa 1 mémè et kouyape diminution de 9 individu du au décès"/>
    <s v="Non"/>
    <m/>
    <m/>
    <m/>
    <m/>
    <m/>
    <m/>
    <m/>
    <m/>
    <m/>
    <m/>
    <m/>
    <m/>
    <m/>
    <m/>
    <m/>
    <s v="Oui"/>
    <n v="75"/>
    <n v="452"/>
    <n v="191"/>
    <n v="261"/>
    <s v="Entre 3 mois et 1 an"/>
    <n v="0"/>
    <n v="75"/>
    <n v="0"/>
    <n v="0"/>
    <n v="0"/>
    <m/>
    <n v="0"/>
    <n v="0"/>
    <m/>
    <n v="0"/>
    <m/>
    <m/>
    <m/>
    <m/>
    <m/>
    <n v="0"/>
    <m/>
    <m/>
    <m/>
    <m/>
    <m/>
    <m/>
    <m/>
    <m/>
    <m/>
    <m/>
    <m/>
    <m/>
    <m/>
    <s v="1"/>
    <s v="0"/>
    <s v="1"/>
    <n v="2"/>
  </r>
  <r>
    <n v="2578087"/>
    <s v="Extrême-Nord"/>
    <s v="CMR004"/>
    <x v="4"/>
    <s v="CMR004005"/>
    <s v="Kolofata"/>
    <s v="CMR004005001"/>
    <s v="KOL-0005"/>
    <s v="WALASSA"/>
    <m/>
    <x v="1"/>
    <n v="11.2330465"/>
    <n v="14.1235096"/>
    <x v="0"/>
    <b v="0"/>
    <b v="0"/>
    <b v="1"/>
    <m/>
    <m/>
    <s v="Accessible"/>
    <m/>
    <s v="Le village est entièrement déserté"/>
    <m/>
    <m/>
    <m/>
    <m/>
    <m/>
    <m/>
    <m/>
    <m/>
    <m/>
    <m/>
    <m/>
    <m/>
    <m/>
    <m/>
    <m/>
    <m/>
    <m/>
    <m/>
    <m/>
    <m/>
    <m/>
    <m/>
    <m/>
    <m/>
    <m/>
    <m/>
    <m/>
    <m/>
    <m/>
    <m/>
    <m/>
    <m/>
    <m/>
    <m/>
    <m/>
    <m/>
    <m/>
    <m/>
    <m/>
    <m/>
    <m/>
    <m/>
    <m/>
    <m/>
    <m/>
    <m/>
    <m/>
    <m/>
    <m/>
    <m/>
    <m/>
    <m/>
    <m/>
    <m/>
    <m/>
    <m/>
    <m/>
    <m/>
    <m/>
    <m/>
    <m/>
    <m/>
    <m/>
    <m/>
    <m/>
    <m/>
    <m/>
    <m/>
    <m/>
    <m/>
    <m/>
    <m/>
    <m/>
    <m/>
    <m/>
    <m/>
    <m/>
    <m/>
    <m/>
    <s v="0"/>
    <s v="0"/>
    <s v="0"/>
    <n v="0"/>
  </r>
  <r>
    <n v="2751255"/>
    <s v="Extrême-Nord"/>
    <s v="CMR004"/>
    <x v="4"/>
    <s v="CMR004005"/>
    <s v="Kolofata"/>
    <s v="CMR004005001"/>
    <s v="KOL-0028"/>
    <s v="YEGOUA"/>
    <m/>
    <x v="1"/>
    <n v="11.1313358"/>
    <n v="14.0603777"/>
    <x v="0"/>
    <b v="1"/>
    <b v="0"/>
    <b v="0"/>
    <m/>
    <n v="3"/>
    <s v="Accessible"/>
    <m/>
    <s v="Le village accueille une population"/>
    <s v="Le village est intact (construit)"/>
    <m/>
    <m/>
    <s v="Oui"/>
    <s v="Familles d'accueil"/>
    <s v="Centre Collectif"/>
    <s v="Non"/>
    <m/>
    <n v="9"/>
    <n v="3545"/>
    <s v="Oui"/>
    <s v="Premier déplacement"/>
    <n v="9"/>
    <n v="100"/>
    <n v="35"/>
    <n v="65"/>
    <n v="0"/>
    <n v="9"/>
    <n v="0"/>
    <n v="0"/>
    <m/>
    <m/>
    <n v="0"/>
    <n v="0"/>
    <m/>
    <m/>
    <n v="0"/>
    <s v="Pas de mouvement dans le village, me il y a des naissance et des decces 20 naissance 7 hommes  et 13 femmes, decces 4 3 homme et 1 fammes reste pas de changement. "/>
    <s v="Non"/>
    <m/>
    <m/>
    <m/>
    <m/>
    <m/>
    <m/>
    <m/>
    <m/>
    <m/>
    <m/>
    <m/>
    <m/>
    <m/>
    <m/>
    <m/>
    <s v="Oui"/>
    <n v="15"/>
    <n v="94"/>
    <n v="37"/>
    <n v="57"/>
    <s v="Entre 1 et 5 ans"/>
    <n v="0"/>
    <n v="15"/>
    <n v="0"/>
    <n v="0"/>
    <n v="0"/>
    <m/>
    <n v="0"/>
    <n v="0"/>
    <m/>
    <n v="0"/>
    <m/>
    <m/>
    <m/>
    <m/>
    <m/>
    <n v="0"/>
    <m/>
    <m/>
    <m/>
    <m/>
    <m/>
    <m/>
    <m/>
    <m/>
    <m/>
    <m/>
    <m/>
    <m/>
    <m/>
    <s v="1"/>
    <s v="0"/>
    <s v="1"/>
    <n v="2"/>
  </r>
  <r>
    <n v="2618353"/>
    <s v="Extrême-Nord"/>
    <s v="CMR004"/>
    <x v="4"/>
    <s v="CMR004005"/>
    <s v="Kolofata"/>
    <s v="CMR004005001"/>
    <s v="KOL-0004"/>
    <s v="ZIROU"/>
    <m/>
    <x v="1"/>
    <n v="11.1663596"/>
    <n v="14.0873662"/>
    <x v="0"/>
    <b v="0"/>
    <b v="0"/>
    <b v="1"/>
    <m/>
    <m/>
    <s v="Accessible"/>
    <m/>
    <s v="Le village est entièrement déserté"/>
    <m/>
    <m/>
    <m/>
    <m/>
    <m/>
    <m/>
    <m/>
    <m/>
    <m/>
    <m/>
    <m/>
    <m/>
    <m/>
    <m/>
    <m/>
    <m/>
    <m/>
    <m/>
    <m/>
    <m/>
    <m/>
    <m/>
    <m/>
    <m/>
    <m/>
    <m/>
    <m/>
    <m/>
    <m/>
    <m/>
    <m/>
    <m/>
    <m/>
    <m/>
    <m/>
    <m/>
    <m/>
    <m/>
    <m/>
    <m/>
    <m/>
    <m/>
    <m/>
    <m/>
    <m/>
    <m/>
    <m/>
    <m/>
    <m/>
    <m/>
    <m/>
    <m/>
    <m/>
    <m/>
    <m/>
    <m/>
    <m/>
    <m/>
    <m/>
    <m/>
    <m/>
    <m/>
    <m/>
    <m/>
    <m/>
    <m/>
    <m/>
    <m/>
    <m/>
    <m/>
    <m/>
    <m/>
    <m/>
    <m/>
    <m/>
    <m/>
    <m/>
    <m/>
    <m/>
    <s v="0"/>
    <s v="0"/>
    <s v="0"/>
    <n v="0"/>
  </r>
  <r>
    <n v="2623463"/>
    <s v="Extrême-Nord"/>
    <s v="CMR004"/>
    <x v="4"/>
    <s v="CMR004005"/>
    <s v="Mora"/>
    <s v="CMR004005002"/>
    <s v="MOR-0091"/>
    <s v="ADAKELE"/>
    <m/>
    <x v="1"/>
    <n v="11.044571100000001"/>
    <n v="14.1854648"/>
    <x v="0"/>
    <b v="1"/>
    <b v="0"/>
    <b v="1"/>
    <m/>
    <n v="3"/>
    <s v="Accessible"/>
    <m/>
    <s v="Le village accueille une population"/>
    <s v="Le village est partiellement détruit"/>
    <s v="Attaques armées"/>
    <m/>
    <s v="Oui"/>
    <s v="Familles d'accueil"/>
    <s v="Non, pas du tout"/>
    <s v="Non"/>
    <m/>
    <m/>
    <n v="229"/>
    <s v="Non"/>
    <m/>
    <m/>
    <m/>
    <m/>
    <m/>
    <m/>
    <m/>
    <m/>
    <m/>
    <m/>
    <m/>
    <m/>
    <m/>
    <m/>
    <m/>
    <m/>
    <m/>
    <s v="Non"/>
    <m/>
    <m/>
    <m/>
    <m/>
    <m/>
    <m/>
    <m/>
    <m/>
    <m/>
    <m/>
    <m/>
    <m/>
    <m/>
    <m/>
    <m/>
    <s v="Oui"/>
    <n v="31"/>
    <n v="229"/>
    <n v="99"/>
    <n v="130"/>
    <s v="Entre 1 et 5 ans"/>
    <n v="0"/>
    <n v="31"/>
    <n v="0"/>
    <n v="0"/>
    <n v="0"/>
    <m/>
    <n v="0"/>
    <n v="0"/>
    <m/>
    <n v="0"/>
    <m/>
    <m/>
    <m/>
    <m/>
    <m/>
    <n v="0"/>
    <m/>
    <m/>
    <m/>
    <m/>
    <m/>
    <m/>
    <m/>
    <m/>
    <m/>
    <m/>
    <m/>
    <m/>
    <m/>
    <s v="0"/>
    <s v="0"/>
    <s v="1"/>
    <n v="1"/>
  </r>
  <r>
    <n v="2627332"/>
    <s v="Extrême-Nord"/>
    <s v="CMR004"/>
    <x v="4"/>
    <s v="CMR004005"/>
    <s v="Mora"/>
    <s v="CMR004005002"/>
    <s v="MOR-0058"/>
    <s v="AISSA-HARDE"/>
    <m/>
    <x v="0"/>
    <n v="11.0795437"/>
    <n v="14.222272500000001"/>
    <x v="0"/>
    <b v="1"/>
    <b v="0"/>
    <b v="1"/>
    <m/>
    <n v="5"/>
    <s v="Accessible"/>
    <m/>
    <s v="Le village accueille une population"/>
    <s v="Le village est intact (construit)"/>
    <m/>
    <m/>
    <s v="Oui"/>
    <s v="Familles d'accueil"/>
    <s v="Sites de déplacement spontanés"/>
    <s v="Non"/>
    <m/>
    <n v="77"/>
    <n v="9911"/>
    <s v="Oui"/>
    <s v="Premier déplacement"/>
    <n v="77"/>
    <n v="589"/>
    <n v="219"/>
    <n v="370"/>
    <n v="0"/>
    <n v="69"/>
    <n v="0"/>
    <n v="0"/>
    <m/>
    <m/>
    <n v="0"/>
    <n v="8"/>
    <s v="Paille/Natte/Nylon"/>
    <m/>
    <n v="0"/>
    <s v="Ajout de 0 ménage pour 28 individus donc 17 garçons et 11 filles et décés de 7 individus donc 4 hommes et 3 femmes parmi ceux d'avant 2020"/>
    <s v="Non"/>
    <m/>
    <m/>
    <m/>
    <m/>
    <m/>
    <m/>
    <m/>
    <m/>
    <m/>
    <m/>
    <m/>
    <m/>
    <m/>
    <m/>
    <m/>
    <s v="Oui"/>
    <n v="104"/>
    <n v="677"/>
    <n v="223"/>
    <n v="454"/>
    <s v="Entre 1 et 5 ans"/>
    <n v="0"/>
    <n v="0"/>
    <n v="0"/>
    <n v="84"/>
    <n v="20"/>
    <s v="Chez une famille d'accueil (contre loyer)"/>
    <n v="0"/>
    <n v="0"/>
    <m/>
    <n v="0"/>
    <m/>
    <m/>
    <m/>
    <m/>
    <m/>
    <n v="3"/>
    <m/>
    <m/>
    <m/>
    <m/>
    <m/>
    <m/>
    <m/>
    <m/>
    <m/>
    <m/>
    <m/>
    <m/>
    <m/>
    <s v="1"/>
    <s v="0"/>
    <s v="1"/>
    <n v="2"/>
  </r>
  <r>
    <n v="2657283"/>
    <s v="Extrême-Nord"/>
    <s v="CMR004"/>
    <x v="4"/>
    <s v="CMR004005"/>
    <s v="Mora"/>
    <s v="CMR004005002"/>
    <s v="MOR-0001"/>
    <s v="AMTCHALIE"/>
    <m/>
    <x v="1"/>
    <n v="11.058046300000001"/>
    <n v="14.125419000000001"/>
    <x v="0"/>
    <b v="1"/>
    <b v="0"/>
    <b v="1"/>
    <m/>
    <n v="4"/>
    <s v="Accessible"/>
    <m/>
    <s v="Le village accueille une population"/>
    <s v="Le village est intact (construit)"/>
    <m/>
    <m/>
    <s v="Oui"/>
    <s v="Familles d'accueil"/>
    <s v="Non, pas du tout"/>
    <s v="Non"/>
    <m/>
    <n v="285"/>
    <n v="2041"/>
    <s v="Oui"/>
    <s v="Premier déplacement"/>
    <n v="285"/>
    <n v="1444"/>
    <n v="272"/>
    <n v="1172"/>
    <n v="0"/>
    <n v="265"/>
    <n v="0"/>
    <n v="10"/>
    <s v="Chez une famille d'accueil (contre loyer)"/>
    <m/>
    <n v="0"/>
    <n v="10"/>
    <s v="Paille/Natte/Nylon"/>
    <m/>
    <n v="0"/>
    <s v="Ajout de 40 ménages de 300 individus  (180h, 120f) venus de Galbi suite à l'insécurité et logés en famille d'accueil  (35 menages) et en location (15menages) et autre ajout de 20 individus  (5h,15f) suite aux naissances. _x000a_Diminution de 20 individus  (11h,9f) suite au décès des IDPS venus pendant la période d'avant 2020"/>
    <s v="Non"/>
    <m/>
    <m/>
    <m/>
    <m/>
    <m/>
    <m/>
    <m/>
    <m/>
    <m/>
    <m/>
    <m/>
    <m/>
    <m/>
    <m/>
    <m/>
    <s v="Non"/>
    <m/>
    <m/>
    <m/>
    <m/>
    <m/>
    <m/>
    <m/>
    <m/>
    <m/>
    <m/>
    <m/>
    <m/>
    <m/>
    <m/>
    <m/>
    <m/>
    <m/>
    <m/>
    <m/>
    <m/>
    <n v="0"/>
    <m/>
    <m/>
    <m/>
    <m/>
    <m/>
    <m/>
    <m/>
    <m/>
    <m/>
    <m/>
    <m/>
    <m/>
    <m/>
    <s v="1"/>
    <s v="0"/>
    <s v="0"/>
    <n v="1"/>
  </r>
  <r>
    <n v="2615771"/>
    <s v="Extrême-Nord"/>
    <s v="CMR004"/>
    <x v="4"/>
    <s v="CMR004005"/>
    <s v="Mora"/>
    <s v="CMR004005002"/>
    <s v="MOR-0088"/>
    <s v="BABA SIMON KOURGUI"/>
    <m/>
    <x v="1"/>
    <n v="11.084632900000001"/>
    <n v="14.1189538"/>
    <x v="0"/>
    <b v="1"/>
    <b v="0"/>
    <b v="1"/>
    <m/>
    <n v="5"/>
    <s v="Accessible"/>
    <m/>
    <s v="Le village accueille une population"/>
    <s v="Le village est intact (construit)"/>
    <m/>
    <m/>
    <s v="Oui"/>
    <s v="Familles d'accueil"/>
    <s v="Non, pas du tout"/>
    <s v="Non"/>
    <m/>
    <n v="44"/>
    <n v="585"/>
    <s v="Oui"/>
    <s v="Deuxième déplacement"/>
    <n v="44"/>
    <n v="205"/>
    <n v="76"/>
    <n v="129"/>
    <n v="0"/>
    <n v="44"/>
    <n v="0"/>
    <n v="0"/>
    <m/>
    <m/>
    <n v="0"/>
    <n v="0"/>
    <m/>
    <m/>
    <n v="0"/>
    <s v="Il y'a ajout d'un menage, 04 individus dont 2 hommes et 2 femmes; et une réduction d'un ménage de 06 individus dont 2 hommes et 4 femmes.  "/>
    <s v="Non"/>
    <m/>
    <m/>
    <m/>
    <m/>
    <m/>
    <m/>
    <m/>
    <m/>
    <m/>
    <m/>
    <m/>
    <m/>
    <m/>
    <m/>
    <m/>
    <s v="Non"/>
    <m/>
    <m/>
    <m/>
    <m/>
    <m/>
    <m/>
    <m/>
    <m/>
    <m/>
    <m/>
    <m/>
    <m/>
    <m/>
    <m/>
    <m/>
    <m/>
    <m/>
    <m/>
    <m/>
    <m/>
    <n v="0"/>
    <m/>
    <m/>
    <m/>
    <m/>
    <m/>
    <m/>
    <m/>
    <m/>
    <m/>
    <m/>
    <m/>
    <m/>
    <m/>
    <s v="1"/>
    <s v="0"/>
    <s v="0"/>
    <n v="1"/>
  </r>
  <r>
    <n v="2658466"/>
    <s v="Extrême-Nord"/>
    <s v="CMR004"/>
    <x v="4"/>
    <s v="CMR004005"/>
    <s v="Mora"/>
    <s v="CMR004005002"/>
    <s v="MOR-0002"/>
    <s v="BALDAMA"/>
    <m/>
    <x v="1"/>
    <n v="10.9898832"/>
    <n v="14.0661887"/>
    <x v="0"/>
    <b v="1"/>
    <b v="0"/>
    <b v="0"/>
    <m/>
    <n v="3"/>
    <s v="Accessible"/>
    <m/>
    <s v="Le village accueille une population"/>
    <s v="Le village est intact (construit)"/>
    <m/>
    <m/>
    <s v="Oui"/>
    <s v="Familles d'accueil"/>
    <s v="Non, pas du tout"/>
    <s v="Non"/>
    <m/>
    <n v="70"/>
    <n v="3821"/>
    <s v="Oui"/>
    <s v="Premier déplacement"/>
    <n v="70"/>
    <n v="368"/>
    <n v="139"/>
    <n v="229"/>
    <n v="0"/>
    <n v="70"/>
    <n v="0"/>
    <n v="0"/>
    <m/>
    <m/>
    <n v="0"/>
    <n v="0"/>
    <m/>
    <m/>
    <n v="0"/>
    <s v="Les déplacés reste et vit dans le village par ce que ils sont en sécurité"/>
    <s v="Non"/>
    <m/>
    <m/>
    <m/>
    <m/>
    <m/>
    <m/>
    <m/>
    <m/>
    <m/>
    <m/>
    <m/>
    <m/>
    <m/>
    <m/>
    <m/>
    <s v="Non"/>
    <m/>
    <m/>
    <m/>
    <m/>
    <m/>
    <m/>
    <m/>
    <m/>
    <m/>
    <m/>
    <m/>
    <m/>
    <m/>
    <m/>
    <m/>
    <m/>
    <m/>
    <m/>
    <m/>
    <m/>
    <n v="0"/>
    <m/>
    <m/>
    <m/>
    <m/>
    <m/>
    <m/>
    <m/>
    <m/>
    <m/>
    <m/>
    <m/>
    <m/>
    <m/>
    <s v="1"/>
    <s v="0"/>
    <s v="0"/>
    <n v="1"/>
  </r>
  <r>
    <n v="2615770"/>
    <s v="Extrême-Nord"/>
    <s v="CMR004"/>
    <x v="4"/>
    <s v="CMR004005"/>
    <s v="Mora"/>
    <s v="CMR004005002"/>
    <s v="MOR-0080"/>
    <s v="BIWANA"/>
    <m/>
    <x v="1"/>
    <n v="11.0371165"/>
    <n v="14.123649"/>
    <x v="0"/>
    <b v="1"/>
    <b v="0"/>
    <b v="1"/>
    <m/>
    <n v="4"/>
    <s v="Accessible"/>
    <m/>
    <s v="Le village accueille une population"/>
    <s v="Le village est intact (construit)"/>
    <m/>
    <m/>
    <s v="Oui"/>
    <s v="Familles d'accueil"/>
    <s v="Location"/>
    <s v="Non"/>
    <m/>
    <n v="100"/>
    <n v="1283"/>
    <s v="Oui"/>
    <s v="Premier déplacement"/>
    <n v="100"/>
    <n v="725"/>
    <n v="253"/>
    <n v="472"/>
    <n v="0"/>
    <n v="41"/>
    <n v="0"/>
    <n v="59"/>
    <s v="Chez une famille d'accueil (contre loyer)"/>
    <m/>
    <n v="0"/>
    <n v="0"/>
    <m/>
    <m/>
    <n v="0"/>
    <s v="Ajout de 5 ménages de 20 individus dont 13 hommes et 7 femmes puis 8 individus dont 5 garçons et 3 filles suite aux naissances. Diminution d'un menage de 10 individus dont 7 hommes et 3 filles suite au départ vers touboro à la recherche du mieux être "/>
    <s v="Non"/>
    <m/>
    <m/>
    <m/>
    <m/>
    <m/>
    <m/>
    <m/>
    <m/>
    <m/>
    <m/>
    <m/>
    <m/>
    <m/>
    <m/>
    <m/>
    <s v="Non"/>
    <m/>
    <m/>
    <m/>
    <m/>
    <m/>
    <m/>
    <m/>
    <m/>
    <m/>
    <m/>
    <m/>
    <m/>
    <m/>
    <m/>
    <m/>
    <m/>
    <m/>
    <m/>
    <m/>
    <m/>
    <n v="0"/>
    <m/>
    <m/>
    <m/>
    <m/>
    <m/>
    <m/>
    <m/>
    <m/>
    <m/>
    <m/>
    <m/>
    <m/>
    <m/>
    <s v="1"/>
    <s v="0"/>
    <s v="0"/>
    <n v="1"/>
  </r>
  <r>
    <n v="2636427"/>
    <s v="Extrême-Nord"/>
    <s v="CMR004"/>
    <x v="4"/>
    <s v="CMR004005"/>
    <s v="Mora"/>
    <s v="CMR004005002"/>
    <s v="MOR-0060"/>
    <s v="BLAMADERI"/>
    <m/>
    <x v="1"/>
    <n v="11.1271284"/>
    <n v="14.3187751"/>
    <x v="0"/>
    <b v="0"/>
    <b v="0"/>
    <b v="1"/>
    <m/>
    <m/>
    <s v="Accessible"/>
    <m/>
    <s v="Le village est entièrement déserté"/>
    <m/>
    <m/>
    <m/>
    <m/>
    <m/>
    <m/>
    <m/>
    <m/>
    <m/>
    <m/>
    <m/>
    <m/>
    <m/>
    <m/>
    <m/>
    <m/>
    <m/>
    <m/>
    <m/>
    <m/>
    <m/>
    <m/>
    <m/>
    <m/>
    <m/>
    <m/>
    <m/>
    <m/>
    <m/>
    <m/>
    <m/>
    <m/>
    <m/>
    <m/>
    <m/>
    <m/>
    <m/>
    <m/>
    <m/>
    <m/>
    <m/>
    <m/>
    <m/>
    <m/>
    <m/>
    <m/>
    <m/>
    <m/>
    <m/>
    <m/>
    <m/>
    <m/>
    <m/>
    <m/>
    <m/>
    <m/>
    <m/>
    <m/>
    <m/>
    <m/>
    <m/>
    <m/>
    <m/>
    <m/>
    <m/>
    <m/>
    <m/>
    <m/>
    <m/>
    <m/>
    <m/>
    <m/>
    <m/>
    <m/>
    <m/>
    <m/>
    <m/>
    <m/>
    <m/>
    <s v="0"/>
    <s v="0"/>
    <s v="0"/>
    <n v="0"/>
  </r>
  <r>
    <n v="2598230"/>
    <s v="Extrême-Nord"/>
    <s v="CMR004"/>
    <x v="4"/>
    <s v="CMR004005"/>
    <s v="Mora"/>
    <s v="CMR004005002"/>
    <s v="MOR-0026"/>
    <s v="BONDERI"/>
    <m/>
    <x v="1"/>
    <n v="11.349283099999999"/>
    <n v="14.406299600000001"/>
    <x v="0"/>
    <b v="1"/>
    <b v="0"/>
    <b v="1"/>
    <m/>
    <n v="4"/>
    <s v="Accessible"/>
    <m/>
    <s v="Le village accueille une population"/>
    <s v="Le village est intact (construit)"/>
    <m/>
    <m/>
    <s v="Oui"/>
    <s v="Familles d'accueil"/>
    <s v="Sites de déplacement spontanés"/>
    <s v="Non"/>
    <m/>
    <n v="39"/>
    <n v="1971"/>
    <s v="Oui"/>
    <s v="Premier déplacement"/>
    <n v="39"/>
    <n v="296"/>
    <n v="124"/>
    <n v="172"/>
    <n v="13"/>
    <n v="17"/>
    <n v="0"/>
    <n v="0"/>
    <m/>
    <m/>
    <n v="0"/>
    <n v="9"/>
    <s v="Pagne"/>
    <m/>
    <n v="0"/>
    <s v="Ajout de 2 ménage pour 11 individu soit 4 homme, 7 femme en provenance de  colossal suite au conflit BH et 5naissance 3F , 2H et réductions d'un homme décédé"/>
    <s v="Non"/>
    <m/>
    <m/>
    <m/>
    <m/>
    <m/>
    <m/>
    <m/>
    <m/>
    <m/>
    <m/>
    <m/>
    <m/>
    <m/>
    <m/>
    <m/>
    <s v="Non"/>
    <m/>
    <m/>
    <m/>
    <m/>
    <m/>
    <m/>
    <m/>
    <m/>
    <m/>
    <m/>
    <m/>
    <m/>
    <m/>
    <m/>
    <m/>
    <m/>
    <m/>
    <m/>
    <m/>
    <m/>
    <n v="0"/>
    <m/>
    <m/>
    <m/>
    <m/>
    <m/>
    <m/>
    <m/>
    <m/>
    <m/>
    <m/>
    <m/>
    <m/>
    <m/>
    <s v="1"/>
    <s v="0"/>
    <s v="0"/>
    <n v="1"/>
  </r>
  <r>
    <n v="2658464"/>
    <s v="Extrême-Nord"/>
    <s v="CMR004"/>
    <x v="4"/>
    <s v="CMR004005"/>
    <s v="Mora"/>
    <s v="CMR004005002"/>
    <s v="MOR-0036"/>
    <s v="BOUDOUA"/>
    <m/>
    <x v="1"/>
    <n v="11.230491900000001"/>
    <n v="14.184711"/>
    <x v="0"/>
    <b v="1"/>
    <b v="0"/>
    <b v="0"/>
    <m/>
    <n v="4"/>
    <s v="Accessible"/>
    <m/>
    <s v="Le village accueille une population"/>
    <s v="Le village est intact (construit)"/>
    <m/>
    <m/>
    <s v="Oui"/>
    <s v="Familles d'accueil"/>
    <s v="Non, pas du tout"/>
    <s v="Non"/>
    <m/>
    <n v="3"/>
    <n v="246"/>
    <s v="Oui"/>
    <s v="Premier déplacement"/>
    <n v="3"/>
    <n v="21"/>
    <n v="5"/>
    <n v="16"/>
    <n v="0"/>
    <n v="3"/>
    <n v="0"/>
    <n v="0"/>
    <m/>
    <m/>
    <n v="0"/>
    <n v="0"/>
    <m/>
    <m/>
    <n v="0"/>
    <s v="Le village accueil les déplacés mais pas d'eau potable"/>
    <s v="Non"/>
    <m/>
    <m/>
    <m/>
    <m/>
    <m/>
    <m/>
    <m/>
    <m/>
    <m/>
    <m/>
    <m/>
    <m/>
    <m/>
    <m/>
    <m/>
    <s v="Oui"/>
    <n v="127"/>
    <n v="849"/>
    <n v="266"/>
    <n v="583"/>
    <s v="Entre 1 et 5 ans"/>
    <n v="14"/>
    <n v="113"/>
    <n v="0"/>
    <n v="0"/>
    <n v="0"/>
    <m/>
    <n v="0"/>
    <n v="0"/>
    <m/>
    <n v="0"/>
    <m/>
    <m/>
    <m/>
    <m/>
    <m/>
    <n v="0"/>
    <m/>
    <m/>
    <m/>
    <m/>
    <m/>
    <m/>
    <m/>
    <m/>
    <m/>
    <m/>
    <m/>
    <m/>
    <m/>
    <s v="1"/>
    <s v="0"/>
    <s v="1"/>
    <n v="2"/>
  </r>
  <r>
    <n v="2623462"/>
    <s v="Extrême-Nord"/>
    <s v="CMR004"/>
    <x v="4"/>
    <s v="CMR004005"/>
    <s v="Mora"/>
    <s v="CMR004005002"/>
    <s v="MOR-0027"/>
    <s v="DJAKANA"/>
    <m/>
    <x v="0"/>
    <n v="11.2360503"/>
    <n v="14.153338099999999"/>
    <x v="0"/>
    <b v="1"/>
    <b v="0"/>
    <b v="1"/>
    <m/>
    <n v="4"/>
    <s v="Accessible"/>
    <m/>
    <s v="Le village accueille une population"/>
    <s v="Le village est partiellement détruit"/>
    <s v="Attaques armées"/>
    <m/>
    <s v="Oui"/>
    <s v="Familles d'accueil"/>
    <s v="Non, pas du tout"/>
    <s v="Non"/>
    <m/>
    <n v="136"/>
    <n v="6175"/>
    <s v="Oui"/>
    <s v="Premier déplacement"/>
    <n v="136"/>
    <n v="680"/>
    <n v="350"/>
    <n v="330"/>
    <n v="0"/>
    <n v="97"/>
    <n v="0"/>
    <n v="39"/>
    <s v="Chez une famille d'accueil (contre loyer)"/>
    <m/>
    <n v="0"/>
    <n v="0"/>
    <m/>
    <m/>
    <n v="0"/>
    <s v="Diminution de 12 individus soit 7hommes et 5 femmes dû aux décès parmi les IDPS vénus avant 2020."/>
    <s v="Oui"/>
    <n v="1"/>
    <n v="10"/>
    <n v="3"/>
    <n v="7"/>
    <n v="1"/>
    <n v="0"/>
    <n v="0"/>
    <m/>
    <n v="0"/>
    <n v="0"/>
    <m/>
    <m/>
    <n v="0"/>
    <n v="0"/>
    <s v="Pas de changement "/>
    <s v="Oui"/>
    <n v="473"/>
    <n v="2863"/>
    <n v="1227"/>
    <n v="1636"/>
    <s v="5 ans ou plus"/>
    <n v="400"/>
    <n v="0"/>
    <n v="73"/>
    <n v="0"/>
    <n v="0"/>
    <m/>
    <n v="0"/>
    <n v="0"/>
    <m/>
    <n v="0"/>
    <m/>
    <m/>
    <m/>
    <m/>
    <m/>
    <n v="0"/>
    <m/>
    <m/>
    <m/>
    <m/>
    <m/>
    <m/>
    <m/>
    <m/>
    <m/>
    <m/>
    <m/>
    <m/>
    <m/>
    <s v="1"/>
    <s v="1"/>
    <s v="1"/>
    <n v="3"/>
  </r>
  <r>
    <n v="2649831"/>
    <s v="Extrême-Nord"/>
    <s v="CMR004"/>
    <x v="4"/>
    <s v="CMR004005"/>
    <s v="Mora"/>
    <s v="CMR004005002"/>
    <s v="MOR-0042"/>
    <s v="DJALA"/>
    <m/>
    <x v="1"/>
    <n v="11.149404000000001"/>
    <n v="14.342827099999999"/>
    <x v="0"/>
    <b v="1"/>
    <b v="0"/>
    <b v="1"/>
    <m/>
    <n v="4"/>
    <s v="Accessible"/>
    <m/>
    <s v="Le village accueille une population"/>
    <s v="Le village est intact (construit)"/>
    <m/>
    <m/>
    <s v="Oui"/>
    <s v="Sites de déplacement spontanés"/>
    <s v="Non, pas du tout"/>
    <s v="Non"/>
    <m/>
    <n v="11"/>
    <n v="321"/>
    <s v="Oui"/>
    <s v="Premier déplacement"/>
    <n v="11"/>
    <n v="70"/>
    <n v="29"/>
    <n v="41"/>
    <n v="0"/>
    <n v="0"/>
    <n v="0"/>
    <n v="0"/>
    <m/>
    <m/>
    <n v="0"/>
    <n v="11"/>
    <s v="Paille/Natte/Nylon"/>
    <m/>
    <n v="0"/>
    <s v="Il y a eu un départ de d'un ménage à Limani environ 5 individus  (2 h et 3 femme )"/>
    <s v="Oui"/>
    <n v="87"/>
    <n v="254"/>
    <n v="96"/>
    <n v="158"/>
    <n v="0"/>
    <n v="0"/>
    <n v="0"/>
    <m/>
    <n v="0"/>
    <n v="87"/>
    <s v="Paille/Natte/Nylon"/>
    <m/>
    <n v="0"/>
    <n v="87"/>
    <s v="Il y a eu 3 naissances  (garçons )"/>
    <s v="Oui"/>
    <n v="3"/>
    <n v="14"/>
    <n v="5"/>
    <n v="9"/>
    <s v="Entre 3 mois et 1 an"/>
    <n v="0"/>
    <n v="3"/>
    <n v="0"/>
    <n v="0"/>
    <n v="0"/>
    <m/>
    <n v="0"/>
    <n v="0"/>
    <m/>
    <n v="0"/>
    <s v="Pas de changement du côté de retournés. "/>
    <m/>
    <m/>
    <m/>
    <m/>
    <n v="0"/>
    <m/>
    <m/>
    <m/>
    <m/>
    <m/>
    <m/>
    <m/>
    <m/>
    <m/>
    <m/>
    <m/>
    <m/>
    <m/>
    <s v="1"/>
    <s v="1"/>
    <s v="1"/>
    <n v="3"/>
  </r>
  <r>
    <n v="2630610"/>
    <s v="Extrême-Nord"/>
    <s v="CMR004"/>
    <x v="4"/>
    <s v="CMR004005"/>
    <s v="Mora"/>
    <s v="CMR004005002"/>
    <s v="MOR-0061"/>
    <s v="DJAMPALA"/>
    <m/>
    <x v="1"/>
    <n v="11.030158500000001"/>
    <n v="14.3366314"/>
    <x v="0"/>
    <b v="1"/>
    <b v="0"/>
    <b v="1"/>
    <m/>
    <n v="5"/>
    <s v="Accessible"/>
    <m/>
    <s v="Le village accueille une population"/>
    <s v="Le village est intact (construit)"/>
    <m/>
    <m/>
    <s v="Oui"/>
    <s v="Familles d'accueil"/>
    <s v="Sites de déplacement spontanés"/>
    <s v="Non"/>
    <m/>
    <n v="59"/>
    <n v="536"/>
    <s v="Oui"/>
    <s v="Premier déplacement"/>
    <n v="59"/>
    <n v="293"/>
    <n v="118"/>
    <n v="175"/>
    <n v="0"/>
    <n v="59"/>
    <n v="0"/>
    <n v="0"/>
    <m/>
    <m/>
    <n v="0"/>
    <n v="0"/>
    <m/>
    <m/>
    <n v="0"/>
    <s v="Augmentation de 0 ménages pour 22 individus  dû à la naissance  13 garçons et 9 filles et décés de 7 individus donc 4 hommes et 3 femmes parmi ceux d'avant 2020."/>
    <s v="Oui"/>
    <n v="15"/>
    <n v="63"/>
    <n v="21"/>
    <n v="42"/>
    <n v="0"/>
    <n v="0"/>
    <n v="0"/>
    <m/>
    <n v="0"/>
    <n v="15"/>
    <s v="Bâche"/>
    <m/>
    <n v="0"/>
    <n v="0"/>
    <s v="Augmentation de 0 ménage pour 4 individus  dû à la naissance donc 3 filles et 1 garçon et décés de 2 hommes parmi ceux de janvier février 2022."/>
    <s v="Non"/>
    <m/>
    <m/>
    <m/>
    <m/>
    <m/>
    <m/>
    <m/>
    <m/>
    <m/>
    <m/>
    <m/>
    <m/>
    <m/>
    <m/>
    <m/>
    <m/>
    <m/>
    <m/>
    <m/>
    <m/>
    <n v="0"/>
    <m/>
    <m/>
    <m/>
    <m/>
    <m/>
    <m/>
    <m/>
    <m/>
    <m/>
    <m/>
    <m/>
    <m/>
    <m/>
    <s v="1"/>
    <s v="1"/>
    <s v="0"/>
    <n v="2"/>
  </r>
  <r>
    <n v="2622784"/>
    <s v="Extrême-Nord"/>
    <s v="CMR004"/>
    <x v="4"/>
    <s v="CMR004005"/>
    <s v="Mora"/>
    <s v="CMR004005002"/>
    <s v="MOR-0023"/>
    <s v="DJARME"/>
    <m/>
    <x v="1"/>
    <n v="11.0455313"/>
    <n v="14.135785500000001"/>
    <x v="0"/>
    <b v="1"/>
    <b v="0"/>
    <b v="1"/>
    <m/>
    <n v="4"/>
    <s v="Accessible"/>
    <m/>
    <s v="Le village accueille une population"/>
    <s v="Le village est intact (construit)"/>
    <m/>
    <m/>
    <s v="Oui"/>
    <s v="Familles d'accueil"/>
    <s v="Non, pas du tout"/>
    <s v="Non"/>
    <m/>
    <n v="98"/>
    <n v="2795"/>
    <s v="Oui"/>
    <s v="Premier déplacement"/>
    <n v="98"/>
    <n v="794"/>
    <n v="231"/>
    <n v="563"/>
    <n v="0"/>
    <n v="94"/>
    <n v="0"/>
    <n v="4"/>
    <s v="Chez une famille d'accueil (contre loyer)"/>
    <m/>
    <n v="0"/>
    <n v="0"/>
    <m/>
    <m/>
    <n v="0"/>
    <s v="Augmentation des 4 ménages pour 34 individus dont 20 femmes, 14 hommes  en provenance de GANTE,  KERIMA.  Puis un ajout de  17 individus  soit 10 femmes  et 7 hommes  dû au naissance. Manque  d'assistance, problème de pièces  d'identité "/>
    <s v="Non"/>
    <m/>
    <m/>
    <m/>
    <m/>
    <m/>
    <m/>
    <m/>
    <m/>
    <m/>
    <m/>
    <m/>
    <m/>
    <m/>
    <m/>
    <m/>
    <s v="Non"/>
    <m/>
    <m/>
    <m/>
    <m/>
    <m/>
    <m/>
    <m/>
    <m/>
    <m/>
    <m/>
    <m/>
    <m/>
    <m/>
    <m/>
    <m/>
    <m/>
    <m/>
    <m/>
    <m/>
    <m/>
    <n v="0"/>
    <m/>
    <m/>
    <m/>
    <m/>
    <m/>
    <m/>
    <m/>
    <m/>
    <m/>
    <m/>
    <m/>
    <m/>
    <m/>
    <s v="1"/>
    <s v="0"/>
    <s v="0"/>
    <n v="1"/>
  </r>
  <r>
    <n v="2657282"/>
    <s v="Extrême-Nord"/>
    <s v="CMR004"/>
    <x v="4"/>
    <s v="CMR004005"/>
    <s v="Mora"/>
    <s v="CMR004005002"/>
    <s v="MOR-0003"/>
    <s v="DJOUNDE"/>
    <m/>
    <x v="1"/>
    <n v="11.0440047"/>
    <n v="14.294060500000001"/>
    <x v="0"/>
    <b v="0"/>
    <b v="1"/>
    <b v="1"/>
    <n v="6"/>
    <m/>
    <s v="Accessible"/>
    <m/>
    <s v="Le village accueille une population"/>
    <s v="Le village est intact (construit)"/>
    <m/>
    <m/>
    <s v="Oui"/>
    <s v="Familles d'accueil"/>
    <s v="Location"/>
    <s v="Non"/>
    <m/>
    <n v="444"/>
    <n v="1200"/>
    <s v="Oui"/>
    <s v="Premier déplacement"/>
    <n v="444"/>
    <n v="1181"/>
    <n v="530"/>
    <n v="651"/>
    <n v="0"/>
    <n v="363"/>
    <n v="50"/>
    <n v="10"/>
    <s v="Chez une famille d'accueil (contre loyer)"/>
    <m/>
    <n v="0"/>
    <n v="21"/>
    <s v="Paille/Natte/Nylon"/>
    <m/>
    <n v="0"/>
    <s v="Ajout de 15 ménages de 60 individus  (35h, 25f) venus de kolofata et logés en famille d'accueil et un ajout de 20 individus  (12h,8f) suite aux naissances. _x000a_Diminution de 2 ménages de 15 individus  (3h,12f) parti vers maroua à la recherche du mieux être et une autre diminution de 15 individus  (3h, 12f) suite aux décès. "/>
    <s v="Oui"/>
    <n v="6"/>
    <n v="62"/>
    <n v="27"/>
    <n v="35"/>
    <n v="0"/>
    <n v="0"/>
    <n v="0"/>
    <m/>
    <n v="0"/>
    <n v="6"/>
    <s v="Paille/Natte/Nylon"/>
    <m/>
    <n v="0"/>
    <n v="0"/>
    <s v="Pas de mouvement des réfugiés hors camp "/>
    <s v="Non"/>
    <m/>
    <m/>
    <m/>
    <m/>
    <m/>
    <m/>
    <m/>
    <m/>
    <m/>
    <m/>
    <m/>
    <m/>
    <m/>
    <m/>
    <m/>
    <m/>
    <m/>
    <m/>
    <m/>
    <m/>
    <n v="0"/>
    <m/>
    <m/>
    <m/>
    <m/>
    <m/>
    <m/>
    <m/>
    <m/>
    <m/>
    <m/>
    <m/>
    <m/>
    <m/>
    <s v="1"/>
    <s v="1"/>
    <s v="0"/>
    <n v="2"/>
  </r>
  <r>
    <n v="2610960"/>
    <s v="Extrême-Nord"/>
    <s v="CMR004"/>
    <x v="4"/>
    <s v="CMR004005"/>
    <s v="Mora"/>
    <s v="CMR004005002"/>
    <s v="MOR-0035"/>
    <s v="DOUBLE"/>
    <m/>
    <x v="1"/>
    <n v="11.1751793"/>
    <n v="14.245048300000001"/>
    <x v="0"/>
    <b v="1"/>
    <b v="0"/>
    <b v="1"/>
    <m/>
    <n v="3"/>
    <s v="Accessible"/>
    <m/>
    <s v="Le village accueille une population"/>
    <s v="Le village est intact (construit)"/>
    <m/>
    <m/>
    <s v="Oui"/>
    <s v="Familles d'accueil"/>
    <s v="Sites de déplacement spontanés"/>
    <s v="Non"/>
    <m/>
    <n v="302"/>
    <n v="4009"/>
    <s v="Oui"/>
    <s v="Premier déplacement"/>
    <n v="302"/>
    <n v="1799"/>
    <n v="795"/>
    <n v="1004"/>
    <n v="0"/>
    <n v="118"/>
    <n v="46"/>
    <n v="20"/>
    <s v="Logement indépendant (Maison indépendante)"/>
    <m/>
    <n v="0"/>
    <n v="118"/>
    <s v="Paille/Natte/Nylon"/>
    <m/>
    <n v="0"/>
    <s v="Ajout de 16 ménage pour 86 individu et 40 naissance ,réduction de 20 individu décédé"/>
    <s v="Non"/>
    <m/>
    <m/>
    <m/>
    <m/>
    <m/>
    <m/>
    <m/>
    <m/>
    <m/>
    <m/>
    <m/>
    <m/>
    <m/>
    <m/>
    <m/>
    <s v="Oui"/>
    <n v="113"/>
    <n v="995"/>
    <n v="415"/>
    <n v="580"/>
    <s v="Entre 1 et 5 ans"/>
    <n v="0"/>
    <n v="0"/>
    <n v="113"/>
    <n v="0"/>
    <n v="0"/>
    <m/>
    <n v="0"/>
    <n v="0"/>
    <m/>
    <n v="0"/>
    <m/>
    <m/>
    <m/>
    <m/>
    <m/>
    <n v="0"/>
    <m/>
    <m/>
    <m/>
    <m/>
    <m/>
    <m/>
    <m/>
    <m/>
    <m/>
    <m/>
    <m/>
    <m/>
    <m/>
    <s v="1"/>
    <s v="0"/>
    <s v="1"/>
    <n v="2"/>
  </r>
  <r>
    <n v="2623580"/>
    <s v="Extrême-Nord"/>
    <s v="CMR004"/>
    <x v="4"/>
    <s v="CMR004005"/>
    <s v="Mora"/>
    <s v="CMR004005002"/>
    <s v="MOR-0004"/>
    <s v="DOULO"/>
    <m/>
    <x v="0"/>
    <n v="11.106034599999999"/>
    <n v="14.1730254"/>
    <x v="0"/>
    <b v="1"/>
    <b v="0"/>
    <b v="1"/>
    <m/>
    <n v="3"/>
    <s v="Accessible"/>
    <m/>
    <s v="Le village accueille une population"/>
    <s v="Le village est intact (construit)"/>
    <m/>
    <m/>
    <s v="Oui"/>
    <s v="Familles d'accueil"/>
    <s v="Sites de déplacement spontanés"/>
    <s v="Non"/>
    <m/>
    <n v="539"/>
    <n v="6886"/>
    <s v="Oui"/>
    <s v="Premier déplacement"/>
    <n v="539"/>
    <n v="2465"/>
    <n v="1032"/>
    <n v="1433"/>
    <n v="0"/>
    <n v="30"/>
    <n v="123"/>
    <n v="59"/>
    <s v="Chez une famille d'accueil (contre loyer)"/>
    <m/>
    <n v="0"/>
    <n v="327"/>
    <s v="Paille/Natte/Nylon"/>
    <m/>
    <n v="0"/>
    <s v="Ajout de  30 naissance et réductions de 4 individu lié au décès"/>
    <s v="Oui"/>
    <n v="1"/>
    <n v="3"/>
    <n v="2"/>
    <n v="1"/>
    <n v="1"/>
    <n v="0"/>
    <n v="0"/>
    <m/>
    <n v="0"/>
    <n v="0"/>
    <m/>
    <m/>
    <n v="0"/>
    <n v="1"/>
    <s v="Pas de changement"/>
    <s v="Oui"/>
    <n v="466"/>
    <n v="2758"/>
    <n v="1149"/>
    <n v="1609"/>
    <s v="Entre 1 et 5 ans"/>
    <n v="380"/>
    <n v="35"/>
    <n v="40"/>
    <n v="0"/>
    <n v="0"/>
    <m/>
    <n v="0"/>
    <n v="11"/>
    <s v="Pagne"/>
    <n v="0"/>
    <m/>
    <m/>
    <m/>
    <m/>
    <m/>
    <n v="0"/>
    <m/>
    <m/>
    <m/>
    <m/>
    <m/>
    <m/>
    <m/>
    <m/>
    <m/>
    <m/>
    <m/>
    <m/>
    <m/>
    <s v="1"/>
    <s v="1"/>
    <s v="1"/>
    <n v="3"/>
  </r>
  <r>
    <n v="2653680"/>
    <s v="Extrême-Nord"/>
    <s v="CMR004"/>
    <x v="4"/>
    <s v="CMR004005"/>
    <s v="Mora"/>
    <s v="CMR004005002"/>
    <s v="MOR-0005"/>
    <s v="FIKE 1"/>
    <m/>
    <x v="1"/>
    <n v="11.0482174"/>
    <n v="14.1229961"/>
    <x v="0"/>
    <b v="0"/>
    <b v="1"/>
    <b v="1"/>
    <n v="6"/>
    <m/>
    <s v="Accessible"/>
    <m/>
    <s v="Le village accueille une population"/>
    <s v="Le village est intact (construit)"/>
    <m/>
    <m/>
    <s v="Oui"/>
    <s v="Familles d'accueil"/>
    <s v="Non, pas du tout"/>
    <s v="Non"/>
    <m/>
    <n v="247"/>
    <n v="2827"/>
    <s v="Oui"/>
    <s v="Premier déplacement"/>
    <n v="247"/>
    <n v="1257"/>
    <n v="619"/>
    <n v="638"/>
    <n v="0"/>
    <n v="247"/>
    <n v="0"/>
    <n v="0"/>
    <m/>
    <m/>
    <n v="0"/>
    <n v="0"/>
    <m/>
    <m/>
    <n v="0"/>
    <s v="Ajout de 10 ménages de 30 individus  (20e, 10f) venus de talla malla Brahim suite à l'insécurité et sont en majorité en location. Autre ajout de 9 individus  (3h,6f) suite aux naissances. _x000a_Diminution de 17 individus  (8h,9f) suite aux décès "/>
    <s v="Non"/>
    <m/>
    <m/>
    <m/>
    <m/>
    <m/>
    <m/>
    <m/>
    <m/>
    <m/>
    <m/>
    <m/>
    <m/>
    <m/>
    <m/>
    <m/>
    <s v="Oui"/>
    <n v="5"/>
    <n v="20"/>
    <n v="9"/>
    <n v="11"/>
    <s v="Entre 1 et 5 ans"/>
    <n v="0"/>
    <n v="5"/>
    <n v="0"/>
    <n v="0"/>
    <n v="0"/>
    <m/>
    <n v="0"/>
    <n v="0"/>
    <m/>
    <n v="0"/>
    <m/>
    <m/>
    <m/>
    <m/>
    <m/>
    <n v="0"/>
    <m/>
    <m/>
    <m/>
    <m/>
    <m/>
    <m/>
    <m/>
    <m/>
    <m/>
    <m/>
    <m/>
    <m/>
    <m/>
    <s v="1"/>
    <s v="0"/>
    <s v="1"/>
    <n v="2"/>
  </r>
  <r>
    <n v="2627333"/>
    <s v="Extrême-Nord"/>
    <s v="CMR004"/>
    <x v="4"/>
    <s v="CMR004005"/>
    <s v="Mora"/>
    <s v="CMR004005002"/>
    <s v="MOR-0006"/>
    <s v="FIKE 2"/>
    <m/>
    <x v="1"/>
    <n v="11.0529166"/>
    <n v="14.125409400000001"/>
    <x v="0"/>
    <b v="1"/>
    <b v="0"/>
    <b v="1"/>
    <m/>
    <n v="8"/>
    <s v="Accessible"/>
    <m/>
    <s v="Le village accueille une population"/>
    <s v="Le village est intact (construit)"/>
    <m/>
    <m/>
    <s v="Oui"/>
    <s v="Familles d'accueil"/>
    <s v="Location"/>
    <s v="Non"/>
    <m/>
    <n v="160"/>
    <n v="2200"/>
    <s v="Oui"/>
    <s v="Premier déplacement"/>
    <n v="160"/>
    <n v="732"/>
    <n v="331"/>
    <n v="401"/>
    <n v="0"/>
    <n v="0"/>
    <n v="0"/>
    <n v="160"/>
    <s v="Chez une famille d'accueil (contre loyer)"/>
    <m/>
    <n v="0"/>
    <n v="0"/>
    <m/>
    <m/>
    <n v="0"/>
    <s v="Augmentation de 4 ménages 29 individus donc 20 femmes et 9 hommes vénus de kassa à pieds en décembre 2022 suite à l'attaque Boko Haram, ils vivent en location et n'ont pas été assisté et naissances de 8 individus donc 6 filles et 2 et une diminution de 4 individus donc 3 hommes et 1 femme parmi ceux d'avant 2020."/>
    <s v="Non"/>
    <m/>
    <m/>
    <m/>
    <m/>
    <m/>
    <m/>
    <m/>
    <m/>
    <m/>
    <m/>
    <m/>
    <m/>
    <m/>
    <m/>
    <m/>
    <s v="Non"/>
    <m/>
    <m/>
    <m/>
    <m/>
    <m/>
    <m/>
    <m/>
    <m/>
    <m/>
    <m/>
    <m/>
    <m/>
    <m/>
    <m/>
    <m/>
    <m/>
    <m/>
    <m/>
    <m/>
    <m/>
    <n v="2"/>
    <m/>
    <m/>
    <m/>
    <m/>
    <m/>
    <m/>
    <m/>
    <m/>
    <m/>
    <m/>
    <m/>
    <m/>
    <m/>
    <s v="1"/>
    <s v="0"/>
    <s v="0"/>
    <n v="1"/>
  </r>
  <r>
    <n v="2658467"/>
    <s v="Extrême-Nord"/>
    <s v="CMR004"/>
    <x v="4"/>
    <s v="CMR004005"/>
    <s v="Mora"/>
    <s v="CMR004005002"/>
    <s v="MOR-0007"/>
    <s v="GODIGONG"/>
    <m/>
    <x v="0"/>
    <n v="11.0226258"/>
    <n v="14.097303999999999"/>
    <x v="0"/>
    <b v="1"/>
    <b v="0"/>
    <b v="0"/>
    <m/>
    <n v="4"/>
    <s v="Accessible"/>
    <m/>
    <s v="Le village accueille une population"/>
    <s v="Le village est intact (construit)"/>
    <m/>
    <m/>
    <s v="Oui"/>
    <s v="Familles d'accueil"/>
    <s v="Non, pas du tout"/>
    <s v="Non"/>
    <m/>
    <n v="164"/>
    <n v="7841"/>
    <s v="Oui"/>
    <s v="Premier déplacement"/>
    <n v="164"/>
    <n v="843"/>
    <n v="328"/>
    <n v="515"/>
    <n v="0"/>
    <n v="164"/>
    <n v="0"/>
    <n v="0"/>
    <m/>
    <m/>
    <n v="0"/>
    <n v="0"/>
    <m/>
    <m/>
    <n v="0"/>
    <s v="Le village accueil les déplacés manque d'eau potable"/>
    <s v="Non"/>
    <m/>
    <m/>
    <m/>
    <m/>
    <m/>
    <m/>
    <m/>
    <m/>
    <m/>
    <m/>
    <m/>
    <m/>
    <m/>
    <m/>
    <m/>
    <s v="Non"/>
    <m/>
    <m/>
    <m/>
    <m/>
    <m/>
    <m/>
    <m/>
    <m/>
    <m/>
    <m/>
    <m/>
    <m/>
    <m/>
    <m/>
    <m/>
    <m/>
    <m/>
    <m/>
    <m/>
    <m/>
    <n v="0"/>
    <m/>
    <m/>
    <m/>
    <m/>
    <m/>
    <m/>
    <m/>
    <m/>
    <m/>
    <m/>
    <m/>
    <m/>
    <m/>
    <s v="1"/>
    <s v="0"/>
    <s v="0"/>
    <n v="1"/>
  </r>
  <r>
    <n v="2648208"/>
    <s v="Extrême-Nord"/>
    <s v="CMR004"/>
    <x v="4"/>
    <s v="CMR004005"/>
    <s v="Mora"/>
    <s v="CMR004005002"/>
    <s v="MOR-0059"/>
    <s v="GOGOROM"/>
    <m/>
    <x v="1"/>
    <n v="11.2432467"/>
    <n v="14.3196884"/>
    <x v="0"/>
    <b v="0"/>
    <b v="0"/>
    <b v="1"/>
    <m/>
    <m/>
    <s v="Accessible"/>
    <m/>
    <s v="Le village est entièrement déserté"/>
    <m/>
    <m/>
    <m/>
    <m/>
    <m/>
    <m/>
    <m/>
    <m/>
    <m/>
    <m/>
    <m/>
    <m/>
    <m/>
    <m/>
    <m/>
    <m/>
    <m/>
    <m/>
    <m/>
    <m/>
    <m/>
    <m/>
    <m/>
    <m/>
    <m/>
    <m/>
    <m/>
    <m/>
    <m/>
    <m/>
    <m/>
    <m/>
    <m/>
    <m/>
    <m/>
    <m/>
    <m/>
    <m/>
    <m/>
    <m/>
    <m/>
    <m/>
    <m/>
    <m/>
    <m/>
    <m/>
    <m/>
    <m/>
    <m/>
    <m/>
    <m/>
    <m/>
    <m/>
    <m/>
    <m/>
    <m/>
    <m/>
    <m/>
    <m/>
    <m/>
    <m/>
    <m/>
    <m/>
    <m/>
    <m/>
    <m/>
    <m/>
    <m/>
    <m/>
    <m/>
    <m/>
    <m/>
    <m/>
    <m/>
    <m/>
    <m/>
    <m/>
    <m/>
    <m/>
    <s v="0"/>
    <s v="0"/>
    <s v="0"/>
    <n v="0"/>
  </r>
  <r>
    <n v="2615775"/>
    <s v="Extrême-Nord"/>
    <s v="CMR004"/>
    <x v="4"/>
    <s v="CMR004005"/>
    <s v="Mora"/>
    <s v="CMR004005002"/>
    <s v="MOR-0028"/>
    <s v="GOUDJOUMDELE"/>
    <m/>
    <x v="0"/>
    <n v="11.0097042"/>
    <n v="14.049670799999999"/>
    <x v="0"/>
    <b v="1"/>
    <b v="0"/>
    <b v="1"/>
    <m/>
    <n v="4"/>
    <s v="Accessible"/>
    <m/>
    <s v="Le village accueille une population"/>
    <s v="Le village est intact (construit)"/>
    <m/>
    <m/>
    <s v="Oui"/>
    <s v="Familles d'accueil"/>
    <s v="Location"/>
    <s v="Non"/>
    <m/>
    <n v="74"/>
    <n v="7312"/>
    <s v="Oui"/>
    <s v="Premier déplacement"/>
    <n v="74"/>
    <n v="366"/>
    <n v="161"/>
    <n v="205"/>
    <n v="10"/>
    <n v="59"/>
    <n v="0"/>
    <n v="5"/>
    <s v="Chez une famille d'accueil (contre loyer)"/>
    <m/>
    <n v="0"/>
    <n v="0"/>
    <m/>
    <m/>
    <n v="0"/>
    <s v="Ajout de 10 ménages de 30 individus dont 10 hommes et 20 femmes venu de kerawa et de 2 individus dont 1 garçon et 1 fille suite aux naissances.  Diminution de 6 ménages de 20 individus dont 8 hommes et 12 femmes partis vers Garoua suite à l'insécurité "/>
    <s v="Oui"/>
    <n v="3"/>
    <n v="12"/>
    <n v="5"/>
    <n v="7"/>
    <n v="3"/>
    <n v="0"/>
    <n v="0"/>
    <m/>
    <n v="0"/>
    <n v="0"/>
    <m/>
    <m/>
    <n v="0"/>
    <n v="0"/>
    <s v="Pas de mouvement des réfugiés hors camp, ni de naissance et de décès "/>
    <s v="Oui"/>
    <n v="35"/>
    <n v="153"/>
    <n v="52"/>
    <n v="101"/>
    <s v="Entre 1 et 5 ans"/>
    <n v="20"/>
    <n v="0"/>
    <n v="15"/>
    <n v="0"/>
    <n v="0"/>
    <m/>
    <n v="0"/>
    <n v="0"/>
    <m/>
    <n v="0"/>
    <m/>
    <m/>
    <m/>
    <m/>
    <m/>
    <n v="0"/>
    <m/>
    <m/>
    <m/>
    <m/>
    <m/>
    <m/>
    <m/>
    <m/>
    <m/>
    <m/>
    <m/>
    <m/>
    <m/>
    <s v="1"/>
    <s v="1"/>
    <s v="1"/>
    <n v="3"/>
  </r>
  <r>
    <n v="2611343"/>
    <s v="Extrême-Nord"/>
    <s v="CMR004"/>
    <x v="4"/>
    <s v="CMR004005"/>
    <s v="Mora"/>
    <s v="CMR004005002"/>
    <s v="MOR-0090"/>
    <s v="GUIBA"/>
    <m/>
    <x v="1"/>
    <n v="11.0380319"/>
    <n v="14.176852200000001"/>
    <x v="0"/>
    <b v="1"/>
    <b v="0"/>
    <b v="1"/>
    <m/>
    <n v="3"/>
    <s v="Accessible"/>
    <m/>
    <s v="Le village accueille une population"/>
    <s v="Le village est partiellement détruit"/>
    <s v="Attaques armées"/>
    <m/>
    <s v="Oui"/>
    <s v="Familles d'accueil"/>
    <s v="Non, pas du tout"/>
    <s v="Non"/>
    <m/>
    <m/>
    <n v="241"/>
    <s v="Non"/>
    <m/>
    <m/>
    <m/>
    <m/>
    <m/>
    <m/>
    <m/>
    <m/>
    <m/>
    <m/>
    <m/>
    <m/>
    <m/>
    <m/>
    <m/>
    <m/>
    <m/>
    <s v="Non"/>
    <m/>
    <m/>
    <m/>
    <m/>
    <m/>
    <m/>
    <m/>
    <m/>
    <m/>
    <m/>
    <m/>
    <m/>
    <m/>
    <m/>
    <m/>
    <s v="Oui"/>
    <n v="35"/>
    <n v="241"/>
    <n v="117"/>
    <n v="124"/>
    <s v="Entre 1 et 5 ans"/>
    <n v="21"/>
    <n v="14"/>
    <n v="0"/>
    <n v="0"/>
    <n v="0"/>
    <m/>
    <n v="0"/>
    <n v="0"/>
    <m/>
    <n v="0"/>
    <m/>
    <m/>
    <m/>
    <m/>
    <m/>
    <n v="0"/>
    <m/>
    <m/>
    <m/>
    <m/>
    <m/>
    <m/>
    <m/>
    <m/>
    <m/>
    <m/>
    <m/>
    <m/>
    <m/>
    <s v="0"/>
    <s v="0"/>
    <s v="1"/>
    <n v="1"/>
  </r>
  <r>
    <n v="2612458"/>
    <s v="Extrême-Nord"/>
    <s v="CMR004"/>
    <x v="4"/>
    <s v="CMR004005"/>
    <s v="Mora"/>
    <s v="CMR004005002"/>
    <s v="MOR-0009"/>
    <s v="IGAGOUA 1"/>
    <m/>
    <x v="1"/>
    <n v="11.043525799999999"/>
    <n v="14.132568600000001"/>
    <x v="0"/>
    <b v="1"/>
    <b v="0"/>
    <b v="1"/>
    <m/>
    <n v="3"/>
    <s v="Accessible"/>
    <m/>
    <s v="Le village accueille une population"/>
    <s v="Le village est intact (construit)"/>
    <m/>
    <m/>
    <s v="Oui"/>
    <s v="Familles d'accueil"/>
    <s v="Location"/>
    <s v="Non"/>
    <m/>
    <n v="215"/>
    <n v="2125"/>
    <s v="Oui"/>
    <s v="Premier déplacement"/>
    <n v="215"/>
    <n v="1035"/>
    <n v="386"/>
    <n v="649"/>
    <n v="0"/>
    <n v="205"/>
    <n v="0"/>
    <n v="10"/>
    <s v="Chez une famille d'accueil (contre loyer)"/>
    <m/>
    <n v="0"/>
    <n v="0"/>
    <m/>
    <m/>
    <n v="0"/>
    <s v="Augmentation de 10 ménages pour 55 individus  dont  30 femmes,  25 hommes  en provenance  de amchidé pour  des raisons  sécuritaire puis  un ajout  de 5 individus  dont  3 femmes , 2 hommes  dû au naissance  et  une diminution de 3 individus  dont  2 hommes  et 1  femme dû au décès  dans la période  d'avant  2021. Pas d'assistance, manque des services de base. "/>
    <s v="Non"/>
    <m/>
    <m/>
    <m/>
    <m/>
    <m/>
    <m/>
    <m/>
    <m/>
    <m/>
    <m/>
    <m/>
    <m/>
    <m/>
    <m/>
    <m/>
    <s v="Non"/>
    <m/>
    <m/>
    <m/>
    <m/>
    <m/>
    <m/>
    <m/>
    <m/>
    <m/>
    <m/>
    <m/>
    <m/>
    <m/>
    <m/>
    <m/>
    <m/>
    <m/>
    <m/>
    <m/>
    <m/>
    <n v="0"/>
    <m/>
    <m/>
    <m/>
    <m/>
    <m/>
    <m/>
    <m/>
    <m/>
    <m/>
    <m/>
    <m/>
    <m/>
    <m/>
    <s v="1"/>
    <s v="0"/>
    <s v="0"/>
    <n v="1"/>
  </r>
  <r>
    <n v="2596747"/>
    <s v="Extrême-Nord"/>
    <s v="CMR004"/>
    <x v="4"/>
    <s v="CMR004005"/>
    <s v="Mora"/>
    <s v="CMR004005002"/>
    <s v="MOR-0008"/>
    <s v="IGAGOUA 2"/>
    <m/>
    <x v="1"/>
    <n v="11.0446466"/>
    <n v="14.130283800000001"/>
    <x v="0"/>
    <b v="1"/>
    <b v="0"/>
    <b v="1"/>
    <m/>
    <n v="3"/>
    <s v="Accessible"/>
    <m/>
    <s v="Le village accueille une population"/>
    <s v="Le village est intact (construit)"/>
    <m/>
    <m/>
    <s v="Oui"/>
    <s v="Familles d'accueil"/>
    <s v="Location"/>
    <s v="Non"/>
    <m/>
    <n v="102"/>
    <n v="2333"/>
    <s v="Oui"/>
    <s v="Deuxième déplacement"/>
    <n v="102"/>
    <n v="526"/>
    <n v="197"/>
    <n v="329"/>
    <n v="0"/>
    <n v="99"/>
    <n v="0"/>
    <n v="3"/>
    <s v="Chez une famille d'accueil (contre loyer)"/>
    <m/>
    <n v="0"/>
    <n v="0"/>
    <m/>
    <m/>
    <n v="0"/>
    <s v="Ajout de 3 ménages de 17 individus 7hommes et 10 femmes en provenance de Nguetsewe suite au conflit BH où ils sont en  location. Et une diminution de 4 ménage de 27 individus 12 hommes et 15 femmes parti pour kerawa à la recherche de terre cultivable. Pas d'assistance. "/>
    <s v="Non"/>
    <m/>
    <m/>
    <m/>
    <m/>
    <m/>
    <m/>
    <m/>
    <m/>
    <m/>
    <m/>
    <m/>
    <m/>
    <m/>
    <m/>
    <m/>
    <s v="Non"/>
    <m/>
    <m/>
    <m/>
    <m/>
    <m/>
    <m/>
    <m/>
    <m/>
    <m/>
    <m/>
    <m/>
    <m/>
    <m/>
    <m/>
    <m/>
    <m/>
    <m/>
    <m/>
    <m/>
    <m/>
    <n v="0"/>
    <m/>
    <m/>
    <m/>
    <m/>
    <m/>
    <m/>
    <m/>
    <m/>
    <m/>
    <m/>
    <m/>
    <m/>
    <m/>
    <s v="1"/>
    <s v="0"/>
    <s v="0"/>
    <n v="1"/>
  </r>
  <r>
    <n v="2615772"/>
    <s v="Extrême-Nord"/>
    <s v="CMR004"/>
    <x v="4"/>
    <s v="CMR004005"/>
    <s v="Mora"/>
    <s v="CMR004005002"/>
    <s v="MOR-0051"/>
    <s v="IGAOUA DOULO"/>
    <m/>
    <x v="1"/>
    <n v="11.136151699999999"/>
    <n v="14.1393418"/>
    <x v="0"/>
    <b v="0"/>
    <b v="0"/>
    <b v="1"/>
    <m/>
    <m/>
    <s v="Accessible"/>
    <m/>
    <s v="Le village est entièrement déserté"/>
    <m/>
    <m/>
    <m/>
    <m/>
    <m/>
    <m/>
    <m/>
    <m/>
    <m/>
    <m/>
    <m/>
    <m/>
    <m/>
    <m/>
    <m/>
    <m/>
    <m/>
    <m/>
    <m/>
    <m/>
    <m/>
    <m/>
    <m/>
    <m/>
    <m/>
    <m/>
    <m/>
    <m/>
    <m/>
    <m/>
    <m/>
    <m/>
    <m/>
    <m/>
    <m/>
    <m/>
    <m/>
    <m/>
    <m/>
    <m/>
    <m/>
    <m/>
    <m/>
    <m/>
    <m/>
    <m/>
    <m/>
    <m/>
    <m/>
    <m/>
    <m/>
    <m/>
    <m/>
    <m/>
    <m/>
    <m/>
    <m/>
    <m/>
    <m/>
    <m/>
    <m/>
    <m/>
    <m/>
    <m/>
    <m/>
    <m/>
    <m/>
    <m/>
    <m/>
    <m/>
    <m/>
    <m/>
    <m/>
    <m/>
    <m/>
    <m/>
    <m/>
    <m/>
    <m/>
    <s v="0"/>
    <s v="0"/>
    <s v="0"/>
    <n v="0"/>
  </r>
  <r>
    <n v="2658468"/>
    <s v="Extrême-Nord"/>
    <s v="CMR004"/>
    <x v="4"/>
    <s v="CMR004005"/>
    <s v="Mora"/>
    <s v="CMR004005002"/>
    <s v="MOR-0024"/>
    <s v="JAJA"/>
    <m/>
    <x v="1"/>
    <n v="11.0384919"/>
    <n v="14.1336596"/>
    <x v="0"/>
    <b v="1"/>
    <b v="0"/>
    <b v="0"/>
    <m/>
    <n v="3"/>
    <s v="Accessible"/>
    <m/>
    <s v="Le village accueille une population"/>
    <s v="Le village est intact (construit)"/>
    <m/>
    <m/>
    <s v="Oui"/>
    <s v="Familles d'accueil"/>
    <s v="Non, pas du tout"/>
    <s v="Non"/>
    <m/>
    <n v="308"/>
    <n v="4154"/>
    <s v="Oui"/>
    <s v="Premier déplacement"/>
    <n v="308"/>
    <n v="696"/>
    <n v="140"/>
    <n v="556"/>
    <n v="0"/>
    <n v="53"/>
    <n v="0"/>
    <n v="255"/>
    <s v="Chez une famille d'accueil (contre loyer)"/>
    <m/>
    <n v="0"/>
    <n v="0"/>
    <m/>
    <m/>
    <n v="0"/>
    <s v="Le village accueil plus de déplacés et majorité en location"/>
    <s v="Non"/>
    <m/>
    <m/>
    <m/>
    <m/>
    <m/>
    <m/>
    <m/>
    <m/>
    <m/>
    <m/>
    <m/>
    <m/>
    <m/>
    <m/>
    <m/>
    <s v="Non"/>
    <m/>
    <m/>
    <m/>
    <m/>
    <m/>
    <m/>
    <m/>
    <m/>
    <m/>
    <m/>
    <m/>
    <m/>
    <m/>
    <m/>
    <m/>
    <m/>
    <m/>
    <m/>
    <m/>
    <m/>
    <n v="0"/>
    <m/>
    <m/>
    <m/>
    <m/>
    <m/>
    <m/>
    <m/>
    <m/>
    <m/>
    <m/>
    <m/>
    <m/>
    <m/>
    <s v="1"/>
    <s v="0"/>
    <s v="0"/>
    <n v="1"/>
  </r>
  <r>
    <n v="2658465"/>
    <s v="Extrême-Nord"/>
    <s v="CMR004"/>
    <x v="4"/>
    <s v="CMR004005"/>
    <s v="Mora"/>
    <s v="CMR004005002"/>
    <s v="MOR-0063"/>
    <s v="JILVE"/>
    <m/>
    <x v="1"/>
    <n v="10.9666728"/>
    <n v="14.166955400000001"/>
    <x v="0"/>
    <b v="1"/>
    <b v="0"/>
    <b v="1"/>
    <m/>
    <n v="3"/>
    <s v="Accessible"/>
    <m/>
    <s v="Le village accueille une population"/>
    <s v="Le village est intact (construit)"/>
    <m/>
    <m/>
    <s v="Oui"/>
    <s v="Familles d'accueil"/>
    <s v="Non, pas du tout"/>
    <s v="Non"/>
    <m/>
    <n v="8"/>
    <n v="4032"/>
    <s v="Oui"/>
    <s v="Premier déplacement"/>
    <n v="8"/>
    <n v="109"/>
    <n v="40"/>
    <n v="69"/>
    <n v="0"/>
    <n v="6"/>
    <n v="2"/>
    <n v="0"/>
    <m/>
    <m/>
    <n v="0"/>
    <n v="0"/>
    <m/>
    <m/>
    <n v="0"/>
    <s v="Le village accueil les déplacés insuffisance eau potable et ils sont en sécurité"/>
    <s v="Non"/>
    <m/>
    <m/>
    <m/>
    <m/>
    <m/>
    <m/>
    <m/>
    <m/>
    <m/>
    <m/>
    <m/>
    <m/>
    <m/>
    <m/>
    <m/>
    <s v="Non"/>
    <m/>
    <m/>
    <m/>
    <m/>
    <m/>
    <m/>
    <m/>
    <m/>
    <m/>
    <m/>
    <m/>
    <m/>
    <m/>
    <m/>
    <m/>
    <m/>
    <m/>
    <m/>
    <m/>
    <m/>
    <n v="0"/>
    <m/>
    <m/>
    <m/>
    <m/>
    <m/>
    <m/>
    <m/>
    <m/>
    <m/>
    <m/>
    <m/>
    <m/>
    <m/>
    <s v="1"/>
    <s v="0"/>
    <s v="0"/>
    <n v="1"/>
  </r>
  <r>
    <n v="2636431"/>
    <s v="Extrême-Nord"/>
    <s v="CMR004"/>
    <x v="4"/>
    <s v="CMR004005"/>
    <s v="Mora"/>
    <s v="CMR004005002"/>
    <s v="MOR-0037"/>
    <s v="KALDJE"/>
    <m/>
    <x v="1"/>
    <n v="11.1249786"/>
    <n v="14.321900299999999"/>
    <x v="0"/>
    <b v="1"/>
    <b v="0"/>
    <b v="1"/>
    <m/>
    <n v="4"/>
    <s v="Accessible"/>
    <m/>
    <s v="Le village accueille une population"/>
    <s v="Le village est intact (construit)"/>
    <m/>
    <m/>
    <s v="Oui"/>
    <s v="Sites de déplacement spontanés"/>
    <s v="Non, pas du tout"/>
    <s v="Non"/>
    <m/>
    <n v="15"/>
    <n v="309"/>
    <s v="Oui"/>
    <s v="Premier déplacement"/>
    <n v="15"/>
    <n v="93"/>
    <n v="49"/>
    <n v="44"/>
    <n v="0"/>
    <n v="0"/>
    <n v="0"/>
    <n v="0"/>
    <m/>
    <m/>
    <n v="0"/>
    <n v="15"/>
    <s v="Paille/Natte/Nylon"/>
    <m/>
    <n v="0"/>
    <s v="Pas de nouveaux venus plutôt que c'est la naissance 5 (2 garçon et 3 filles"/>
    <s v="Oui"/>
    <n v="31"/>
    <n v="222"/>
    <n v="94"/>
    <n v="128"/>
    <n v="0"/>
    <n v="0"/>
    <n v="0"/>
    <m/>
    <n v="0"/>
    <n v="31"/>
    <s v="Paille/Natte/Nylon"/>
    <m/>
    <n v="0"/>
    <n v="31"/>
    <s v="Il y a eu une augmentation de 3 naissances  1 garçons et 2 filles"/>
    <s v="Oui"/>
    <n v="2"/>
    <n v="8"/>
    <n v="3"/>
    <n v="5"/>
    <s v="Entre 3 mois et 1 an"/>
    <n v="0"/>
    <n v="2"/>
    <n v="0"/>
    <n v="0"/>
    <n v="0"/>
    <m/>
    <n v="0"/>
    <n v="0"/>
    <m/>
    <n v="0"/>
    <s v="Pas de changement du côté de retournés."/>
    <m/>
    <m/>
    <m/>
    <m/>
    <n v="0"/>
    <m/>
    <m/>
    <m/>
    <m/>
    <m/>
    <m/>
    <m/>
    <m/>
    <m/>
    <m/>
    <m/>
    <m/>
    <m/>
    <s v="1"/>
    <s v="1"/>
    <s v="1"/>
    <n v="3"/>
  </r>
  <r>
    <n v="2649834"/>
    <s v="Extrême-Nord"/>
    <s v="CMR004"/>
    <x v="4"/>
    <s v="CMR004005"/>
    <s v="Mora"/>
    <s v="CMR004005002"/>
    <s v="MOR-0050"/>
    <s v="KANGALERI"/>
    <m/>
    <x v="1"/>
    <n v="11.2141498"/>
    <n v="14.2972594"/>
    <x v="0"/>
    <b v="1"/>
    <b v="0"/>
    <b v="1"/>
    <m/>
    <n v="3"/>
    <s v="Accessible"/>
    <m/>
    <s v="Le village accueille une population"/>
    <s v="Le village est intact (construit)"/>
    <m/>
    <m/>
    <s v="Oui"/>
    <s v="Sites de déplacement spontanés"/>
    <s v="Familles d'accueil"/>
    <s v="Non"/>
    <m/>
    <n v="43"/>
    <n v="1803"/>
    <s v="Oui"/>
    <s v="Premier déplacement"/>
    <n v="43"/>
    <n v="287"/>
    <n v="106"/>
    <n v="181"/>
    <n v="0"/>
    <n v="6"/>
    <n v="8"/>
    <n v="0"/>
    <m/>
    <m/>
    <n v="0"/>
    <n v="29"/>
    <s v="Paille/Natte/Nylon"/>
    <m/>
    <n v="0"/>
    <s v="Il y a eu un naissances des 13 individus donc 6 garçons et 7 filles."/>
    <s v="Non"/>
    <m/>
    <m/>
    <m/>
    <m/>
    <m/>
    <m/>
    <m/>
    <m/>
    <m/>
    <m/>
    <m/>
    <m/>
    <m/>
    <m/>
    <m/>
    <s v="Non"/>
    <m/>
    <m/>
    <m/>
    <m/>
    <m/>
    <m/>
    <m/>
    <m/>
    <m/>
    <m/>
    <m/>
    <m/>
    <m/>
    <m/>
    <m/>
    <m/>
    <m/>
    <m/>
    <m/>
    <m/>
    <n v="4"/>
    <m/>
    <m/>
    <m/>
    <m/>
    <m/>
    <m/>
    <m/>
    <m/>
    <m/>
    <m/>
    <m/>
    <m/>
    <m/>
    <s v="1"/>
    <s v="0"/>
    <s v="0"/>
    <n v="1"/>
  </r>
  <r>
    <n v="2636429"/>
    <s v="Extrême-Nord"/>
    <s v="CMR004"/>
    <x v="4"/>
    <s v="CMR004005"/>
    <s v="Mora"/>
    <s v="CMR004005002"/>
    <s v="MOR-0038"/>
    <s v="KESSA GANA"/>
    <m/>
    <x v="1"/>
    <n v="11.136978900000001"/>
    <n v="14.3810895"/>
    <x v="0"/>
    <b v="1"/>
    <b v="0"/>
    <b v="1"/>
    <m/>
    <n v="4"/>
    <s v="Accessible"/>
    <m/>
    <s v="Le village accueille une population"/>
    <s v="Le village est intact (construit)"/>
    <m/>
    <m/>
    <s v="Oui"/>
    <s v="Sites de déplacement spontanés"/>
    <s v="Non, pas du tout"/>
    <s v="Non"/>
    <m/>
    <n v="3"/>
    <n v="209"/>
    <s v="Oui"/>
    <s v="Premier déplacement"/>
    <n v="3"/>
    <n v="31"/>
    <n v="13"/>
    <n v="18"/>
    <n v="0"/>
    <n v="0"/>
    <n v="0"/>
    <n v="0"/>
    <m/>
    <m/>
    <n v="0"/>
    <n v="3"/>
    <s v="Paille/Natte/Nylon"/>
    <m/>
    <n v="0"/>
    <s v="Pas de changement du côté des IDPS."/>
    <s v="Oui"/>
    <n v="30"/>
    <n v="150"/>
    <n v="50"/>
    <n v="100"/>
    <n v="0"/>
    <n v="0"/>
    <n v="0"/>
    <m/>
    <n v="0"/>
    <n v="30"/>
    <s v="Paille/Natte/Nylon"/>
    <m/>
    <n v="0"/>
    <n v="0"/>
    <s v="Pas de changement du côté de réfugiés."/>
    <s v="Oui"/>
    <n v="5"/>
    <n v="35"/>
    <n v="13"/>
    <n v="22"/>
    <s v="Entre 3 mois et 1 an"/>
    <n v="0"/>
    <n v="5"/>
    <n v="0"/>
    <n v="0"/>
    <n v="0"/>
    <m/>
    <n v="0"/>
    <n v="0"/>
    <m/>
    <n v="0"/>
    <s v="Pas de changement du côté de retournés."/>
    <m/>
    <m/>
    <m/>
    <m/>
    <n v="0"/>
    <m/>
    <m/>
    <m/>
    <m/>
    <m/>
    <m/>
    <m/>
    <m/>
    <m/>
    <m/>
    <m/>
    <m/>
    <m/>
    <s v="1"/>
    <s v="1"/>
    <s v="1"/>
    <n v="3"/>
  </r>
  <r>
    <n v="2657857"/>
    <s v="Extrême-Nord"/>
    <s v="CMR004"/>
    <x v="4"/>
    <s v="CMR004005"/>
    <s v="Mora"/>
    <s v="CMR004005002"/>
    <s v="MOR-0029"/>
    <s v="KOSSA"/>
    <m/>
    <x v="1"/>
    <n v="11.124972"/>
    <n v="14.322088300000001"/>
    <x v="0"/>
    <b v="1"/>
    <b v="0"/>
    <b v="1"/>
    <m/>
    <n v="4"/>
    <s v="Accessible"/>
    <m/>
    <s v="Le village accueille une population"/>
    <s v="Le village est intact (construit)"/>
    <m/>
    <m/>
    <s v="Oui"/>
    <s v="Sites de déplacement spontanés"/>
    <s v="Non, pas du tout"/>
    <s v="Non"/>
    <m/>
    <n v="612"/>
    <n v="3675"/>
    <s v="Oui"/>
    <s v="Premier déplacement"/>
    <n v="612"/>
    <n v="2937"/>
    <n v="1407"/>
    <n v="1530"/>
    <n v="0"/>
    <n v="0"/>
    <n v="0"/>
    <n v="0"/>
    <m/>
    <m/>
    <n v="0"/>
    <n v="612"/>
    <s v="Paille/Natte/Nylon"/>
    <m/>
    <n v="0"/>
    <s v="Pas de changement du côté de idp dans ce village."/>
    <s v="Oui"/>
    <n v="608"/>
    <n v="3096"/>
    <n v="1211"/>
    <n v="1885"/>
    <n v="0"/>
    <n v="0"/>
    <n v="0"/>
    <m/>
    <n v="0"/>
    <n v="608"/>
    <s v="Paille/Natte/Nylon"/>
    <m/>
    <n v="0"/>
    <n v="0"/>
    <s v="Il y a eu un augmentation de 2 ménage environ 10 individus provenance de ouro genne village non cible par DTM  depuis le début."/>
    <s v="Oui"/>
    <n v="180"/>
    <n v="1304"/>
    <n v="595"/>
    <n v="709"/>
    <s v="Entre 3 mois et 1 an"/>
    <n v="0"/>
    <n v="180"/>
    <n v="0"/>
    <n v="0"/>
    <n v="0"/>
    <m/>
    <n v="0"/>
    <n v="0"/>
    <m/>
    <n v="0"/>
    <s v="Il y a eu un décès du côté de retournés dans ce village."/>
    <m/>
    <m/>
    <m/>
    <m/>
    <n v="4"/>
    <m/>
    <m/>
    <m/>
    <m/>
    <m/>
    <m/>
    <m/>
    <m/>
    <m/>
    <m/>
    <m/>
    <m/>
    <m/>
    <s v="1"/>
    <s v="1"/>
    <s v="1"/>
    <n v="3"/>
  </r>
  <r>
    <n v="2643412"/>
    <s v="Extrême-Nord"/>
    <s v="CMR004"/>
    <x v="4"/>
    <s v="CMR004005"/>
    <s v="Mora"/>
    <s v="CMR004005002"/>
    <s v="MOR-0073"/>
    <s v="KOSSERE ZOUELVA"/>
    <m/>
    <x v="1"/>
    <n v="10.9744358"/>
    <n v="14.051204"/>
    <x v="0"/>
    <b v="1"/>
    <b v="0"/>
    <b v="1"/>
    <m/>
    <n v="4"/>
    <s v="Accessible"/>
    <m/>
    <s v="Le village accueille une population"/>
    <s v="Le village est intact (construit)"/>
    <m/>
    <m/>
    <s v="Oui"/>
    <s v="Familles d'accueil"/>
    <s v="Non, pas du tout"/>
    <s v="Non"/>
    <m/>
    <n v="44"/>
    <n v="4542"/>
    <s v="Oui"/>
    <s v="Premier déplacement"/>
    <n v="44"/>
    <n v="252"/>
    <n v="108"/>
    <n v="144"/>
    <n v="0"/>
    <n v="36"/>
    <n v="0"/>
    <n v="8"/>
    <s v="Chez une famille d'accueil (contre loyer)"/>
    <m/>
    <n v="0"/>
    <n v="0"/>
    <m/>
    <m/>
    <n v="0"/>
    <s v="Augmentation  des  8 ménages  pour  27 individus  dont  17 femmes  et 10 hommes  en provenance de  limani à la recherche  de  terre  cultivable. "/>
    <s v="Oui"/>
    <n v="3"/>
    <n v="19"/>
    <n v="9"/>
    <n v="10"/>
    <n v="3"/>
    <n v="0"/>
    <n v="0"/>
    <m/>
    <n v="0"/>
    <n v="0"/>
    <m/>
    <m/>
    <n v="0"/>
    <n v="0"/>
    <s v="Pas de changement  en ce qui concerne le  réfugiés "/>
    <s v="Oui"/>
    <n v="5"/>
    <n v="36"/>
    <n v="20"/>
    <n v="16"/>
    <s v="Entre 1 et 5 ans"/>
    <n v="0"/>
    <n v="5"/>
    <n v="0"/>
    <n v="0"/>
    <n v="0"/>
    <m/>
    <n v="0"/>
    <n v="0"/>
    <m/>
    <n v="0"/>
    <m/>
    <m/>
    <m/>
    <m/>
    <m/>
    <n v="0"/>
    <m/>
    <m/>
    <m/>
    <m/>
    <m/>
    <m/>
    <m/>
    <m/>
    <m/>
    <m/>
    <m/>
    <m/>
    <m/>
    <s v="1"/>
    <s v="1"/>
    <s v="1"/>
    <n v="3"/>
  </r>
  <r>
    <n v="2658462"/>
    <s v="Extrême-Nord"/>
    <s v="CMR004"/>
    <x v="4"/>
    <s v="CMR004005"/>
    <s v="Mora"/>
    <s v="CMR004005002"/>
    <s v="MOR-0010"/>
    <s v="KOURGUI"/>
    <m/>
    <x v="0"/>
    <n v="11.0881638"/>
    <n v="14.1097936"/>
    <x v="0"/>
    <b v="1"/>
    <b v="0"/>
    <b v="0"/>
    <m/>
    <n v="3"/>
    <s v="Accessible"/>
    <m/>
    <s v="Le village accueille une population"/>
    <s v="Le village est intact (construit)"/>
    <m/>
    <m/>
    <s v="Oui"/>
    <s v="Familles d'accueil"/>
    <s v="Non, pas du tout"/>
    <s v="Non"/>
    <m/>
    <n v="639"/>
    <n v="8177"/>
    <s v="Oui"/>
    <s v="Premier déplacement"/>
    <n v="639"/>
    <n v="3481"/>
    <n v="1620"/>
    <n v="1861"/>
    <n v="15"/>
    <n v="571"/>
    <n v="0"/>
    <n v="0"/>
    <m/>
    <m/>
    <n v="0"/>
    <n v="53"/>
    <s v="Pagne"/>
    <m/>
    <n v="0"/>
    <s v="Le village accueil les déplacés"/>
    <s v="Non"/>
    <m/>
    <m/>
    <m/>
    <m/>
    <m/>
    <m/>
    <m/>
    <m/>
    <m/>
    <m/>
    <m/>
    <m/>
    <m/>
    <m/>
    <m/>
    <s v="Non"/>
    <m/>
    <m/>
    <m/>
    <m/>
    <m/>
    <m/>
    <m/>
    <m/>
    <m/>
    <m/>
    <m/>
    <m/>
    <m/>
    <m/>
    <m/>
    <m/>
    <m/>
    <m/>
    <m/>
    <m/>
    <n v="0"/>
    <m/>
    <m/>
    <m/>
    <m/>
    <m/>
    <m/>
    <m/>
    <m/>
    <m/>
    <m/>
    <m/>
    <m/>
    <m/>
    <s v="1"/>
    <s v="0"/>
    <s v="0"/>
    <n v="1"/>
  </r>
  <r>
    <n v="2611342"/>
    <s v="Extrême-Nord"/>
    <s v="CMR004"/>
    <x v="4"/>
    <s v="CMR004005"/>
    <s v="Mora"/>
    <s v="CMR004005002"/>
    <s v="MOR-0030"/>
    <s v="LIMANI"/>
    <m/>
    <x v="1"/>
    <n v="11.232044200000001"/>
    <n v="14.1701745"/>
    <x v="0"/>
    <b v="1"/>
    <b v="0"/>
    <b v="1"/>
    <m/>
    <n v="4"/>
    <s v="Accessible"/>
    <m/>
    <s v="Le village accueille une population"/>
    <s v="Le village est partiellement détruit"/>
    <s v="Attaques armées"/>
    <m/>
    <s v="Oui"/>
    <s v="Familles d'accueil"/>
    <s v="Non, pas du tout"/>
    <s v="Non"/>
    <m/>
    <n v="62"/>
    <n v="4527"/>
    <s v="Oui"/>
    <s v="Premier déplacement"/>
    <n v="62"/>
    <n v="377"/>
    <n v="178"/>
    <n v="199"/>
    <n v="0"/>
    <n v="62"/>
    <n v="0"/>
    <n v="0"/>
    <m/>
    <m/>
    <n v="0"/>
    <n v="0"/>
    <m/>
    <m/>
    <n v="0"/>
    <s v="Il y a diminution de 10 individus soit 8 hommes et 2 femmes dû aux décès parmi les IDPS vénus avant 2020."/>
    <s v="Oui"/>
    <n v="2"/>
    <n v="9"/>
    <n v="2"/>
    <n v="7"/>
    <n v="2"/>
    <n v="0"/>
    <n v="0"/>
    <m/>
    <n v="0"/>
    <n v="0"/>
    <m/>
    <m/>
    <n v="0"/>
    <n v="0"/>
    <s v="Pas de changement."/>
    <s v="Oui"/>
    <n v="425"/>
    <n v="2669"/>
    <n v="1188"/>
    <n v="1481"/>
    <s v="Entre 1 et 5 ans"/>
    <n v="400"/>
    <n v="0"/>
    <n v="25"/>
    <n v="0"/>
    <n v="0"/>
    <m/>
    <n v="0"/>
    <n v="0"/>
    <m/>
    <n v="0"/>
    <m/>
    <m/>
    <m/>
    <m/>
    <m/>
    <n v="0"/>
    <m/>
    <m/>
    <m/>
    <m/>
    <m/>
    <m/>
    <m/>
    <m/>
    <m/>
    <m/>
    <m/>
    <m/>
    <m/>
    <s v="1"/>
    <s v="1"/>
    <s v="1"/>
    <n v="3"/>
  </r>
  <r>
    <n v="2649830"/>
    <s v="Extrême-Nord"/>
    <s v="CMR004"/>
    <x v="4"/>
    <s v="CMR004005"/>
    <s v="Mora"/>
    <s v="CMR004005002"/>
    <s v="MOR-0041"/>
    <s v="MADJINA"/>
    <m/>
    <x v="1"/>
    <n v="11.1369913"/>
    <n v="14.3810407"/>
    <x v="0"/>
    <b v="1"/>
    <b v="0"/>
    <b v="1"/>
    <m/>
    <n v="3"/>
    <s v="Accessible"/>
    <m/>
    <s v="Le village accueille une population"/>
    <s v="Le village est intact (construit)"/>
    <m/>
    <m/>
    <s v="Oui"/>
    <s v="Sites de déplacement spontanés"/>
    <s v="Non, pas du tout"/>
    <s v="Non"/>
    <m/>
    <n v="56"/>
    <n v="438"/>
    <s v="Oui"/>
    <s v="Premier déplacement"/>
    <n v="56"/>
    <n v="244"/>
    <n v="107"/>
    <n v="137"/>
    <n v="0"/>
    <n v="0"/>
    <n v="0"/>
    <n v="0"/>
    <m/>
    <m/>
    <n v="0"/>
    <n v="56"/>
    <s v="Terre cuite/Terre battue"/>
    <m/>
    <n v="0"/>
    <s v="Pas de changement du côté de idp. "/>
    <s v="Oui"/>
    <n v="35"/>
    <n v="152"/>
    <n v="66"/>
    <n v="86"/>
    <n v="0"/>
    <n v="0"/>
    <n v="0"/>
    <m/>
    <n v="0"/>
    <n v="35"/>
    <s v="Paille/Natte/Nylon"/>
    <m/>
    <n v="0"/>
    <n v="32"/>
    <s v="Il y a eu un arriver de 3 menages des réfugiés environ 10 individus  quittant de bama (Nigeria )."/>
    <s v="Oui"/>
    <n v="8"/>
    <n v="58"/>
    <n v="24"/>
    <n v="34"/>
    <s v="Entre 3 mois et 1 an"/>
    <n v="0"/>
    <n v="8"/>
    <n v="0"/>
    <n v="0"/>
    <n v="0"/>
    <m/>
    <n v="0"/>
    <n v="0"/>
    <m/>
    <n v="0"/>
    <s v="Pas de changement du côté de retournés. "/>
    <m/>
    <m/>
    <m/>
    <m/>
    <n v="3"/>
    <m/>
    <m/>
    <m/>
    <m/>
    <m/>
    <m/>
    <m/>
    <m/>
    <m/>
    <m/>
    <m/>
    <m/>
    <m/>
    <s v="1"/>
    <s v="1"/>
    <s v="1"/>
    <n v="3"/>
  </r>
  <r>
    <n v="2587638"/>
    <s v="Extrême-Nord"/>
    <s v="CMR004"/>
    <x v="4"/>
    <s v="CMR004005"/>
    <s v="Mora"/>
    <s v="CMR004005002"/>
    <s v="MOR-0052"/>
    <s v="MAFGARE"/>
    <m/>
    <x v="1"/>
    <n v="11.2091098"/>
    <n v="14.2819577"/>
    <x v="0"/>
    <b v="0"/>
    <b v="0"/>
    <b v="1"/>
    <m/>
    <m/>
    <s v="Accessible"/>
    <m/>
    <s v="Le village est entièrement déserté"/>
    <m/>
    <m/>
    <m/>
    <m/>
    <m/>
    <m/>
    <m/>
    <m/>
    <m/>
    <m/>
    <m/>
    <m/>
    <m/>
    <m/>
    <m/>
    <m/>
    <m/>
    <m/>
    <m/>
    <m/>
    <m/>
    <m/>
    <m/>
    <m/>
    <m/>
    <m/>
    <m/>
    <m/>
    <m/>
    <m/>
    <m/>
    <m/>
    <m/>
    <m/>
    <m/>
    <m/>
    <m/>
    <m/>
    <m/>
    <m/>
    <m/>
    <m/>
    <m/>
    <m/>
    <m/>
    <m/>
    <m/>
    <m/>
    <m/>
    <m/>
    <m/>
    <m/>
    <m/>
    <m/>
    <m/>
    <m/>
    <m/>
    <m/>
    <m/>
    <m/>
    <m/>
    <m/>
    <m/>
    <m/>
    <m/>
    <m/>
    <m/>
    <m/>
    <m/>
    <m/>
    <m/>
    <m/>
    <m/>
    <m/>
    <m/>
    <m/>
    <m/>
    <m/>
    <m/>
    <s v="0"/>
    <s v="0"/>
    <s v="0"/>
    <n v="0"/>
  </r>
  <r>
    <n v="2636433"/>
    <s v="Extrême-Nord"/>
    <s v="CMR004"/>
    <x v="4"/>
    <s v="CMR004005"/>
    <s v="Mora"/>
    <s v="CMR004005002"/>
    <s v="MOR-0031"/>
    <s v="MAGDEME"/>
    <m/>
    <x v="1"/>
    <n v="11.1731678"/>
    <n v="14.2408517"/>
    <x v="0"/>
    <b v="1"/>
    <b v="0"/>
    <b v="1"/>
    <m/>
    <n v="3"/>
    <s v="Accessible"/>
    <m/>
    <s v="Le village accueille une population"/>
    <s v="Le village est intact (construit)"/>
    <m/>
    <m/>
    <s v="Oui"/>
    <s v="Sites de déplacement spontanés"/>
    <s v="Familles d'accueil"/>
    <s v="Non"/>
    <m/>
    <n v="151"/>
    <n v="2516"/>
    <s v="Oui"/>
    <s v="Premier déplacement"/>
    <n v="151"/>
    <n v="745"/>
    <n v="321"/>
    <n v="424"/>
    <n v="0"/>
    <n v="32"/>
    <n v="0"/>
    <n v="0"/>
    <m/>
    <m/>
    <n v="0"/>
    <n v="119"/>
    <s v="Paille/Natte/Nylon"/>
    <m/>
    <n v="0"/>
    <s v="Il y a pas de nouveaux  arriver il y a que 5 naissances et le éclatement de certains menages."/>
    <s v="Non"/>
    <m/>
    <m/>
    <m/>
    <m/>
    <m/>
    <m/>
    <m/>
    <m/>
    <m/>
    <m/>
    <m/>
    <m/>
    <m/>
    <m/>
    <m/>
    <s v="Non"/>
    <m/>
    <m/>
    <m/>
    <m/>
    <m/>
    <m/>
    <m/>
    <m/>
    <m/>
    <m/>
    <m/>
    <m/>
    <m/>
    <m/>
    <m/>
    <m/>
    <m/>
    <m/>
    <m/>
    <m/>
    <n v="5"/>
    <m/>
    <m/>
    <m/>
    <m/>
    <m/>
    <m/>
    <m/>
    <m/>
    <m/>
    <m/>
    <m/>
    <m/>
    <m/>
    <s v="1"/>
    <s v="0"/>
    <s v="0"/>
    <n v="1"/>
  </r>
  <r>
    <n v="2630607"/>
    <s v="Extrême-Nord"/>
    <s v="CMR004"/>
    <x v="4"/>
    <s v="CMR004005"/>
    <s v="Mora"/>
    <s v="CMR004005002"/>
    <s v="MOR-0011"/>
    <s v="MAHOULA"/>
    <m/>
    <x v="1"/>
    <n v="11.046136300000001"/>
    <n v="14.2126854"/>
    <x v="0"/>
    <b v="1"/>
    <b v="0"/>
    <b v="1"/>
    <m/>
    <n v="4"/>
    <s v="Accessible"/>
    <m/>
    <s v="Le village accueille une population"/>
    <s v="Le village est intact (construit)"/>
    <m/>
    <m/>
    <s v="Oui"/>
    <s v="Familles d'accueil"/>
    <s v="Non, pas du tout"/>
    <s v="Non"/>
    <m/>
    <n v="83"/>
    <n v="1279"/>
    <s v="Oui"/>
    <s v="Premier déplacement"/>
    <n v="83"/>
    <n v="476"/>
    <n v="217"/>
    <n v="259"/>
    <n v="0"/>
    <n v="83"/>
    <n v="0"/>
    <n v="0"/>
    <m/>
    <m/>
    <n v="0"/>
    <n v="0"/>
    <m/>
    <m/>
    <n v="0"/>
    <s v="Augmentation de 0 ménage pour 10 individus dû à la naissance  donc 6 filles et 4 garçons et décés de 3 individus donc 2 femmes et 1 homme parmi ceux d'avant 2020."/>
    <s v="Non"/>
    <m/>
    <m/>
    <m/>
    <m/>
    <m/>
    <m/>
    <m/>
    <m/>
    <m/>
    <m/>
    <m/>
    <m/>
    <m/>
    <m/>
    <m/>
    <s v="Oui"/>
    <n v="8"/>
    <n v="73"/>
    <n v="35"/>
    <n v="38"/>
    <s v="Entre 1 et 5 ans"/>
    <n v="0"/>
    <n v="0"/>
    <n v="0"/>
    <n v="8"/>
    <n v="0"/>
    <m/>
    <n v="0"/>
    <n v="0"/>
    <m/>
    <n v="0"/>
    <m/>
    <m/>
    <m/>
    <m/>
    <m/>
    <n v="0"/>
    <m/>
    <m/>
    <m/>
    <m/>
    <m/>
    <m/>
    <m/>
    <m/>
    <m/>
    <m/>
    <m/>
    <m/>
    <m/>
    <s v="1"/>
    <s v="0"/>
    <s v="1"/>
    <n v="2"/>
  </r>
  <r>
    <n v="2631069"/>
    <s v="Extrême-Nord"/>
    <s v="CMR004"/>
    <x v="4"/>
    <s v="CMR004005"/>
    <s v="Mora"/>
    <s v="CMR004005002"/>
    <s v="MOR-0067"/>
    <s v="MANDALARI"/>
    <m/>
    <x v="1"/>
    <n v="11.0034204"/>
    <n v="14.403137299999999"/>
    <x v="0"/>
    <b v="1"/>
    <b v="0"/>
    <b v="1"/>
    <m/>
    <n v="5"/>
    <s v="Accessible"/>
    <m/>
    <s v="Le village accueille une population"/>
    <s v="Le village est intact (construit)"/>
    <m/>
    <m/>
    <s v="Oui"/>
    <s v="Familles d'accueil"/>
    <s v="Sites de déplacement spontanés"/>
    <s v="Non"/>
    <m/>
    <n v="56"/>
    <n v="1471"/>
    <s v="Oui"/>
    <s v="Premier déplacement"/>
    <n v="56"/>
    <n v="354"/>
    <n v="164"/>
    <n v="190"/>
    <n v="0"/>
    <n v="45"/>
    <n v="0"/>
    <n v="0"/>
    <m/>
    <m/>
    <n v="0"/>
    <n v="11"/>
    <s v="Pagne"/>
    <m/>
    <n v="0"/>
    <s v="Augmentation de 0 ménage pour 3 individus dû à la naissance donc 2 filles et 1 garçon. Pas d'école, pas d'hôpital."/>
    <s v="Non"/>
    <m/>
    <m/>
    <m/>
    <m/>
    <m/>
    <m/>
    <m/>
    <m/>
    <m/>
    <m/>
    <m/>
    <m/>
    <m/>
    <m/>
    <m/>
    <s v="Non"/>
    <m/>
    <m/>
    <m/>
    <m/>
    <m/>
    <m/>
    <m/>
    <m/>
    <m/>
    <m/>
    <m/>
    <m/>
    <m/>
    <m/>
    <m/>
    <m/>
    <m/>
    <m/>
    <m/>
    <m/>
    <n v="0"/>
    <m/>
    <m/>
    <m/>
    <m/>
    <m/>
    <m/>
    <m/>
    <m/>
    <m/>
    <m/>
    <m/>
    <m/>
    <m/>
    <s v="1"/>
    <s v="0"/>
    <s v="0"/>
    <n v="1"/>
  </r>
  <r>
    <n v="2615776"/>
    <s v="Extrême-Nord"/>
    <s v="CMR004"/>
    <x v="4"/>
    <s v="CMR004005"/>
    <s v="Mora"/>
    <s v="CMR004005002"/>
    <s v="MOR-0065"/>
    <s v="MANGAVE ABBA FADI"/>
    <m/>
    <x v="1"/>
    <n v="10.9868086"/>
    <n v="14.3681555"/>
    <x v="0"/>
    <b v="1"/>
    <b v="0"/>
    <b v="1"/>
    <m/>
    <n v="3"/>
    <s v="Accessible"/>
    <m/>
    <s v="Le village accueille une population"/>
    <s v="Le village est intact (construit)"/>
    <m/>
    <m/>
    <s v="Oui"/>
    <s v="Familles d'accueil"/>
    <s v="Non, pas du tout"/>
    <s v="Non"/>
    <m/>
    <n v="36"/>
    <n v="906"/>
    <s v="Oui"/>
    <s v="Premier déplacement"/>
    <n v="36"/>
    <n v="164"/>
    <n v="78"/>
    <n v="86"/>
    <n v="0"/>
    <n v="36"/>
    <n v="0"/>
    <n v="0"/>
    <m/>
    <m/>
    <n v="0"/>
    <n v="0"/>
    <m/>
    <m/>
    <n v="0"/>
    <s v="Pas de mouvement des IDPS,  ni de naissances et de décès "/>
    <s v="Oui"/>
    <n v="2"/>
    <n v="12"/>
    <n v="5"/>
    <n v="7"/>
    <n v="2"/>
    <n v="0"/>
    <n v="0"/>
    <m/>
    <n v="0"/>
    <n v="0"/>
    <m/>
    <m/>
    <n v="0"/>
    <n v="0"/>
    <s v="Pas de mouvement des réfugiés hors camp, ni de naissance et décès "/>
    <s v="Non"/>
    <m/>
    <m/>
    <m/>
    <m/>
    <m/>
    <m/>
    <m/>
    <m/>
    <m/>
    <m/>
    <m/>
    <m/>
    <m/>
    <m/>
    <m/>
    <m/>
    <m/>
    <m/>
    <m/>
    <m/>
    <n v="0"/>
    <m/>
    <m/>
    <m/>
    <m/>
    <m/>
    <m/>
    <m/>
    <m/>
    <m/>
    <m/>
    <m/>
    <m/>
    <m/>
    <s v="1"/>
    <s v="1"/>
    <s v="0"/>
    <n v="2"/>
  </r>
  <r>
    <n v="2622787"/>
    <s v="Extrême-Nord"/>
    <s v="CMR004"/>
    <x v="4"/>
    <s v="CMR004005"/>
    <s v="Mora"/>
    <s v="CMR004005002"/>
    <s v="MOR-0053"/>
    <s v="MANGAVE GOEGOE"/>
    <m/>
    <x v="1"/>
    <n v="10.957659700000001"/>
    <n v="14.308734599999999"/>
    <x v="0"/>
    <b v="1"/>
    <b v="0"/>
    <b v="1"/>
    <m/>
    <n v="3"/>
    <s v="Accessible"/>
    <m/>
    <s v="Le village accueille une population"/>
    <s v="Le village est intact (construit)"/>
    <m/>
    <m/>
    <s v="Oui"/>
    <s v="Familles d'accueil"/>
    <s v="Location"/>
    <s v="Non"/>
    <m/>
    <n v="41"/>
    <n v="664"/>
    <s v="Oui"/>
    <s v="Premier déplacement"/>
    <n v="41"/>
    <n v="363"/>
    <n v="156"/>
    <n v="207"/>
    <n v="0"/>
    <n v="19"/>
    <n v="0"/>
    <n v="22"/>
    <s v="Chez une famille d'accueil (contre loyer)"/>
    <m/>
    <n v="0"/>
    <n v="0"/>
    <m/>
    <m/>
    <n v="0"/>
    <s v="Pas de changement en ce qui concerne les déplacés. "/>
    <s v="Non"/>
    <m/>
    <m/>
    <m/>
    <m/>
    <m/>
    <m/>
    <m/>
    <m/>
    <m/>
    <m/>
    <m/>
    <m/>
    <m/>
    <m/>
    <m/>
    <s v="Non"/>
    <m/>
    <m/>
    <m/>
    <m/>
    <m/>
    <m/>
    <m/>
    <m/>
    <m/>
    <m/>
    <m/>
    <m/>
    <m/>
    <m/>
    <m/>
    <m/>
    <m/>
    <m/>
    <m/>
    <m/>
    <n v="0"/>
    <m/>
    <m/>
    <m/>
    <m/>
    <m/>
    <m/>
    <m/>
    <m/>
    <m/>
    <m/>
    <m/>
    <m/>
    <m/>
    <s v="1"/>
    <s v="0"/>
    <s v="0"/>
    <n v="1"/>
  </r>
  <r>
    <n v="2612473"/>
    <s v="Extrême-Nord"/>
    <s v="CMR004"/>
    <x v="4"/>
    <s v="CMR004005"/>
    <s v="Mora"/>
    <s v="CMR004005002"/>
    <s v="MOR-0066"/>
    <s v="MANGAVE YANOUSSE"/>
    <m/>
    <x v="1"/>
    <n v="10.957166600000001"/>
    <n v="14.3304299"/>
    <x v="0"/>
    <b v="1"/>
    <b v="0"/>
    <b v="1"/>
    <m/>
    <n v="4"/>
    <s v="Accessible"/>
    <m/>
    <s v="Le village accueille une population"/>
    <s v="Le village est intact (construit)"/>
    <m/>
    <m/>
    <s v="Oui"/>
    <s v="Familles d'accueil"/>
    <s v="Non, pas du tout"/>
    <s v="Non"/>
    <m/>
    <n v="45"/>
    <n v="829"/>
    <s v="Oui"/>
    <s v="Deuxième déplacement"/>
    <n v="45"/>
    <n v="216"/>
    <n v="58"/>
    <n v="158"/>
    <n v="0"/>
    <n v="45"/>
    <n v="0"/>
    <n v="0"/>
    <m/>
    <m/>
    <n v="0"/>
    <n v="0"/>
    <m/>
    <m/>
    <n v="0"/>
    <s v="Pas de changement  en  ce qui concerne les déplacés ."/>
    <s v="Non"/>
    <m/>
    <m/>
    <m/>
    <m/>
    <m/>
    <m/>
    <m/>
    <m/>
    <m/>
    <m/>
    <m/>
    <m/>
    <m/>
    <m/>
    <m/>
    <s v="Non"/>
    <m/>
    <m/>
    <m/>
    <m/>
    <m/>
    <m/>
    <m/>
    <m/>
    <m/>
    <m/>
    <m/>
    <m/>
    <m/>
    <m/>
    <m/>
    <m/>
    <m/>
    <m/>
    <m/>
    <m/>
    <n v="0"/>
    <m/>
    <m/>
    <m/>
    <m/>
    <m/>
    <m/>
    <m/>
    <m/>
    <m/>
    <m/>
    <m/>
    <m/>
    <m/>
    <s v="1"/>
    <s v="0"/>
    <s v="0"/>
    <n v="1"/>
  </r>
  <r>
    <n v="2612461"/>
    <s v="Extrême-Nord"/>
    <s v="CMR004"/>
    <x v="4"/>
    <s v="CMR004005"/>
    <s v="Mora"/>
    <s v="CMR004005002"/>
    <s v="MOR-0012"/>
    <s v="MASSARE 1"/>
    <m/>
    <x v="1"/>
    <n v="11.0404065"/>
    <n v="14.1329019"/>
    <x v="0"/>
    <b v="1"/>
    <b v="0"/>
    <b v="1"/>
    <m/>
    <n v="4"/>
    <s v="Accessible"/>
    <m/>
    <s v="Le village accueille une population"/>
    <s v="Le village est intact (construit)"/>
    <m/>
    <m/>
    <s v="Oui"/>
    <s v="Familles d'accueil"/>
    <s v="Non, pas du tout"/>
    <s v="Non"/>
    <m/>
    <n v="159"/>
    <n v="3094"/>
    <s v="Oui"/>
    <s v="Premier déplacement"/>
    <n v="159"/>
    <n v="626"/>
    <n v="251"/>
    <n v="375"/>
    <n v="0"/>
    <n v="159"/>
    <n v="0"/>
    <n v="0"/>
    <m/>
    <m/>
    <n v="0"/>
    <n v="0"/>
    <m/>
    <m/>
    <n v="0"/>
    <s v="Augmentation de 15 individus  dû au naissance  dont  9 femmes , 6 hommes. Puis  une diminution d'un individu homme  dans la période d'avant 2021. Pas d'assistance,  insuffisance des points d'eau. "/>
    <s v="Non"/>
    <m/>
    <m/>
    <m/>
    <m/>
    <m/>
    <m/>
    <m/>
    <m/>
    <m/>
    <m/>
    <m/>
    <m/>
    <m/>
    <m/>
    <m/>
    <s v="Non"/>
    <m/>
    <m/>
    <m/>
    <m/>
    <m/>
    <m/>
    <m/>
    <m/>
    <m/>
    <m/>
    <m/>
    <m/>
    <m/>
    <m/>
    <m/>
    <m/>
    <m/>
    <m/>
    <m/>
    <m/>
    <n v="0"/>
    <m/>
    <m/>
    <m/>
    <m/>
    <m/>
    <m/>
    <m/>
    <m/>
    <m/>
    <m/>
    <m/>
    <m/>
    <m/>
    <s v="1"/>
    <s v="0"/>
    <s v="0"/>
    <n v="1"/>
  </r>
  <r>
    <n v="2598526"/>
    <s v="Extrême-Nord"/>
    <s v="CMR004"/>
    <x v="4"/>
    <s v="CMR004005"/>
    <s v="Mora"/>
    <s v="CMR004005002"/>
    <s v="MOR-0022"/>
    <s v="MASSARE 2"/>
    <m/>
    <x v="1"/>
    <n v="11.041399999999999"/>
    <n v="14.1543095"/>
    <x v="0"/>
    <b v="1"/>
    <b v="0"/>
    <b v="1"/>
    <m/>
    <n v="3"/>
    <s v="Accessible"/>
    <m/>
    <s v="Le village accueille une population"/>
    <s v="Le village est intact (construit)"/>
    <m/>
    <m/>
    <s v="Oui"/>
    <s v="Familles d'accueil"/>
    <s v="Location"/>
    <s v="Non"/>
    <m/>
    <n v="197"/>
    <n v="2062"/>
    <s v="Oui"/>
    <s v="Premier déplacement"/>
    <n v="197"/>
    <n v="740"/>
    <n v="281"/>
    <n v="459"/>
    <n v="0"/>
    <n v="28"/>
    <n v="0"/>
    <n v="164"/>
    <s v="Chez une famille d'accueil (contre loyer)"/>
    <m/>
    <n v="0"/>
    <n v="5"/>
    <s v="Terre cuite/Terre battue"/>
    <m/>
    <n v="0"/>
    <s v="Ajout de 5 ménages de 27 individus 10 hommes et 17 femmes de Touda suite au conflict  BH où ils sont en  abris spontanées et 30 individus soit 12 hommes et 18 femmes dû aux naissances .il y a une diminution de 5 individus  (2hommes/3 femmes)décédés dans la période d'avant 2020. Il y a assistance  par le PAM."/>
    <s v="Non"/>
    <m/>
    <m/>
    <m/>
    <m/>
    <m/>
    <m/>
    <m/>
    <m/>
    <m/>
    <m/>
    <m/>
    <m/>
    <m/>
    <m/>
    <m/>
    <s v="Non"/>
    <m/>
    <m/>
    <m/>
    <m/>
    <m/>
    <m/>
    <m/>
    <m/>
    <m/>
    <m/>
    <m/>
    <m/>
    <m/>
    <m/>
    <m/>
    <m/>
    <m/>
    <m/>
    <m/>
    <m/>
    <n v="0"/>
    <m/>
    <m/>
    <m/>
    <m/>
    <m/>
    <m/>
    <m/>
    <m/>
    <m/>
    <m/>
    <m/>
    <m/>
    <m/>
    <s v="1"/>
    <s v="0"/>
    <s v="0"/>
    <n v="1"/>
  </r>
  <r>
    <n v="2630131"/>
    <s v="Extrême-Nord"/>
    <s v="CMR004"/>
    <x v="4"/>
    <s v="CMR004005"/>
    <s v="Mora"/>
    <s v="CMR004005002"/>
    <s v="MOR-0013"/>
    <s v="MBARMA"/>
    <m/>
    <x v="0"/>
    <n v="11.052728500000001"/>
    <n v="14.1391896"/>
    <x v="0"/>
    <b v="1"/>
    <b v="0"/>
    <b v="1"/>
    <m/>
    <n v="3"/>
    <s v="Accessible"/>
    <m/>
    <s v="Le village accueille une population"/>
    <s v="Le village est intact (construit)"/>
    <m/>
    <m/>
    <s v="Oui"/>
    <s v="Familles d'accueil"/>
    <s v="Location"/>
    <s v="Non"/>
    <m/>
    <n v="86"/>
    <n v="2178"/>
    <s v="Oui"/>
    <s v="Premier déplacement"/>
    <n v="86"/>
    <n v="403"/>
    <n v="327"/>
    <n v="76"/>
    <n v="0"/>
    <n v="52"/>
    <n v="0"/>
    <n v="34"/>
    <s v="Chez une famille d'accueil (contre loyer)"/>
    <m/>
    <n v="0"/>
    <n v="0"/>
    <m/>
    <m/>
    <n v="0"/>
    <s v="Ajout d'un individu femme lié à la naissance "/>
    <s v="Non"/>
    <m/>
    <m/>
    <m/>
    <m/>
    <m/>
    <m/>
    <m/>
    <m/>
    <m/>
    <m/>
    <m/>
    <m/>
    <m/>
    <m/>
    <m/>
    <s v="Non"/>
    <m/>
    <m/>
    <m/>
    <m/>
    <m/>
    <m/>
    <m/>
    <m/>
    <m/>
    <m/>
    <m/>
    <m/>
    <m/>
    <m/>
    <m/>
    <m/>
    <m/>
    <m/>
    <m/>
    <m/>
    <n v="0"/>
    <m/>
    <m/>
    <m/>
    <m/>
    <m/>
    <m/>
    <m/>
    <m/>
    <m/>
    <m/>
    <m/>
    <m/>
    <m/>
    <s v="1"/>
    <s v="0"/>
    <s v="0"/>
    <n v="1"/>
  </r>
  <r>
    <n v="2631068"/>
    <s v="Extrême-Nord"/>
    <s v="CMR004"/>
    <x v="4"/>
    <s v="CMR004005"/>
    <s v="Mora"/>
    <s v="CMR004005002"/>
    <s v="MOR-0068"/>
    <s v="MEHE SANDA"/>
    <m/>
    <x v="1"/>
    <n v="11.0014743"/>
    <n v="14.331924300000001"/>
    <x v="0"/>
    <b v="1"/>
    <b v="0"/>
    <b v="1"/>
    <m/>
    <n v="5"/>
    <s v="Accessible"/>
    <m/>
    <s v="Le village accueille une population"/>
    <s v="Le village est intact (construit)"/>
    <m/>
    <m/>
    <s v="Oui"/>
    <s v="Familles d'accueil"/>
    <s v="Sites de déplacement spontanés"/>
    <s v="Non"/>
    <m/>
    <n v="109"/>
    <n v="680"/>
    <s v="Oui"/>
    <s v="Deuxième déplacement"/>
    <n v="109"/>
    <n v="494"/>
    <n v="213"/>
    <n v="281"/>
    <n v="0"/>
    <n v="45"/>
    <n v="0"/>
    <n v="9"/>
    <s v="Chez une famille d'accueil (contre loyer)"/>
    <m/>
    <n v="0"/>
    <n v="55"/>
    <s v="Terre cuite/Terre battue"/>
    <m/>
    <n v="0"/>
    <s v="Augmentation de 3 ménages pour 17 individus vénus de pivou 1 en décembre 2022 à pieds suite à l'attaque Boko Haram à moto à la recherche des moyens de substances donc 9 hommes et 8 femmes et naissances de 8 individus donc 5 filles et 3 garçons et décés de 3 individus donc 2 femmes et 1 homme parmi ceux d'avant 2020."/>
    <s v="Non"/>
    <m/>
    <m/>
    <m/>
    <m/>
    <m/>
    <m/>
    <m/>
    <m/>
    <m/>
    <m/>
    <m/>
    <m/>
    <m/>
    <m/>
    <m/>
    <s v="Non"/>
    <m/>
    <m/>
    <m/>
    <m/>
    <m/>
    <m/>
    <m/>
    <m/>
    <m/>
    <m/>
    <m/>
    <m/>
    <m/>
    <m/>
    <m/>
    <m/>
    <m/>
    <m/>
    <m/>
    <m/>
    <n v="3"/>
    <m/>
    <m/>
    <m/>
    <m/>
    <m/>
    <m/>
    <m/>
    <m/>
    <m/>
    <m/>
    <m/>
    <m/>
    <m/>
    <s v="1"/>
    <s v="0"/>
    <s v="0"/>
    <n v="1"/>
  </r>
  <r>
    <n v="2639913"/>
    <s v="Extrême-Nord"/>
    <s v="CMR004"/>
    <x v="4"/>
    <s v="CMR004005"/>
    <s v="Mora"/>
    <s v="CMR004005002"/>
    <s v="MOR-0014"/>
    <s v="MEME CENTRE"/>
    <m/>
    <x v="0"/>
    <n v="10.9731057"/>
    <n v="14.234170600000001"/>
    <x v="0"/>
    <b v="1"/>
    <b v="0"/>
    <b v="1"/>
    <m/>
    <n v="5"/>
    <s v="Accessible"/>
    <m/>
    <s v="Le village accueille une population"/>
    <s v="Le village est intact (construit)"/>
    <m/>
    <m/>
    <s v="Oui"/>
    <s v="Familles d'accueil"/>
    <s v="Location"/>
    <s v="Non"/>
    <m/>
    <n v="920"/>
    <n v="57147"/>
    <s v="Oui"/>
    <s v="Premier déplacement"/>
    <n v="920"/>
    <n v="11394"/>
    <n v="4231"/>
    <n v="7163"/>
    <n v="889"/>
    <n v="0"/>
    <n v="0"/>
    <n v="31"/>
    <s v="Logement indépendant (Maison indépendante)"/>
    <m/>
    <n v="0"/>
    <n v="0"/>
    <m/>
    <m/>
    <n v="0"/>
    <s v="Ajout de 0 ménage pour 94 individus  dû à la naissance donc 45 filles et 49 garçons et décés de 29 individus donc 17 hommes et 12 femmes parmi ceux d'avant 2020.pas de départ"/>
    <s v="Non"/>
    <m/>
    <m/>
    <m/>
    <m/>
    <m/>
    <m/>
    <m/>
    <m/>
    <m/>
    <m/>
    <m/>
    <m/>
    <m/>
    <m/>
    <m/>
    <s v="Non"/>
    <m/>
    <m/>
    <m/>
    <m/>
    <m/>
    <m/>
    <m/>
    <m/>
    <m/>
    <m/>
    <m/>
    <m/>
    <m/>
    <m/>
    <m/>
    <m/>
    <m/>
    <m/>
    <m/>
    <m/>
    <n v="11"/>
    <m/>
    <m/>
    <m/>
    <m/>
    <m/>
    <m/>
    <m/>
    <m/>
    <m/>
    <m/>
    <m/>
    <m/>
    <m/>
    <s v="1"/>
    <s v="0"/>
    <s v="0"/>
    <n v="1"/>
  </r>
  <r>
    <n v="2622792"/>
    <s v="Extrême-Nord"/>
    <s v="CMR004"/>
    <x v="4"/>
    <s v="CMR004005"/>
    <s v="Mora"/>
    <s v="CMR004005002"/>
    <s v="MOR-0069"/>
    <s v="MOKOCHE"/>
    <m/>
    <x v="1"/>
    <n v="11.0180866"/>
    <n v="14.423541800000001"/>
    <x v="0"/>
    <b v="1"/>
    <b v="0"/>
    <b v="1"/>
    <m/>
    <n v="3"/>
    <s v="Accessible"/>
    <m/>
    <s v="Le village accueille une population"/>
    <s v="Le village est intact (construit)"/>
    <m/>
    <m/>
    <s v="Oui"/>
    <s v="Familles d'accueil"/>
    <s v="Non, pas du tout"/>
    <s v="Non"/>
    <m/>
    <n v="49"/>
    <n v="549"/>
    <s v="Oui"/>
    <s v="Premier déplacement"/>
    <n v="49"/>
    <n v="315"/>
    <n v="117"/>
    <n v="198"/>
    <n v="0"/>
    <n v="49"/>
    <n v="0"/>
    <n v="0"/>
    <m/>
    <m/>
    <n v="0"/>
    <n v="0"/>
    <m/>
    <m/>
    <n v="0"/>
    <s v="Augmentation de 3 individus dont 2 femmes, 1 homme  dû au naissance puis  une diminution  d'un individu dû au décès  venu  dans la période d'avant 2021"/>
    <s v="Non"/>
    <m/>
    <m/>
    <m/>
    <m/>
    <m/>
    <m/>
    <m/>
    <m/>
    <m/>
    <m/>
    <m/>
    <m/>
    <m/>
    <m/>
    <m/>
    <s v="Non"/>
    <m/>
    <m/>
    <m/>
    <m/>
    <m/>
    <m/>
    <m/>
    <m/>
    <m/>
    <m/>
    <m/>
    <m/>
    <m/>
    <m/>
    <m/>
    <m/>
    <m/>
    <m/>
    <m/>
    <m/>
    <n v="0"/>
    <m/>
    <m/>
    <m/>
    <m/>
    <m/>
    <m/>
    <m/>
    <m/>
    <m/>
    <m/>
    <m/>
    <m/>
    <m/>
    <s v="1"/>
    <s v="0"/>
    <s v="0"/>
    <n v="1"/>
  </r>
  <r>
    <n v="2610961"/>
    <s v="Extrême-Nord"/>
    <s v="CMR004"/>
    <x v="4"/>
    <s v="CMR004005"/>
    <s v="Mora"/>
    <s v="CMR004005002"/>
    <s v="MOR-0015"/>
    <s v="MORA MASSIF"/>
    <m/>
    <x v="1"/>
    <n v="11.0378604"/>
    <n v="14.1451966"/>
    <x v="0"/>
    <b v="1"/>
    <b v="0"/>
    <b v="1"/>
    <m/>
    <n v="3"/>
    <s v="Accessible"/>
    <m/>
    <s v="Le village accueille une population"/>
    <s v="Le village est intact (construit)"/>
    <m/>
    <m/>
    <s v="Oui"/>
    <s v="Familles d'accueil"/>
    <s v="Location"/>
    <s v="Non"/>
    <m/>
    <n v="125"/>
    <n v="2959"/>
    <s v="Oui"/>
    <s v="Premier déplacement"/>
    <n v="125"/>
    <n v="648"/>
    <n v="296"/>
    <n v="352"/>
    <n v="0"/>
    <n v="74"/>
    <n v="0"/>
    <n v="51"/>
    <s v="Chez une famille d'accueil (contre loyer)"/>
    <m/>
    <n v="0"/>
    <n v="0"/>
    <m/>
    <m/>
    <n v="0"/>
    <s v="Ajout de 30 individu due à la naissance et réductions de 2 ménage pour cachimiri à la recherche de terre cultivables"/>
    <s v="Non"/>
    <m/>
    <m/>
    <m/>
    <m/>
    <m/>
    <m/>
    <m/>
    <m/>
    <m/>
    <m/>
    <m/>
    <m/>
    <m/>
    <m/>
    <m/>
    <s v="Non"/>
    <m/>
    <m/>
    <m/>
    <m/>
    <m/>
    <m/>
    <m/>
    <m/>
    <m/>
    <m/>
    <m/>
    <m/>
    <m/>
    <m/>
    <m/>
    <m/>
    <m/>
    <m/>
    <m/>
    <m/>
    <n v="0"/>
    <m/>
    <m/>
    <m/>
    <m/>
    <m/>
    <m/>
    <m/>
    <m/>
    <m/>
    <m/>
    <m/>
    <m/>
    <m/>
    <s v="1"/>
    <s v="0"/>
    <s v="0"/>
    <n v="1"/>
  </r>
  <r>
    <n v="2596051"/>
    <s v="Extrême-Nord"/>
    <s v="CMR004"/>
    <x v="4"/>
    <s v="CMR004005"/>
    <s v="Mora"/>
    <s v="CMR004005002"/>
    <s v="MOR-0055"/>
    <s v="NGOUMOULDI"/>
    <m/>
    <x v="1"/>
    <n v="11.164328299999999"/>
    <n v="14.144137499999999"/>
    <x v="0"/>
    <b v="0"/>
    <b v="0"/>
    <b v="1"/>
    <m/>
    <m/>
    <s v="Accessible"/>
    <m/>
    <s v="Le village est entièrement déserté"/>
    <m/>
    <m/>
    <m/>
    <m/>
    <m/>
    <m/>
    <m/>
    <m/>
    <m/>
    <m/>
    <m/>
    <m/>
    <m/>
    <m/>
    <m/>
    <m/>
    <m/>
    <m/>
    <m/>
    <m/>
    <m/>
    <m/>
    <m/>
    <m/>
    <m/>
    <m/>
    <m/>
    <m/>
    <m/>
    <m/>
    <m/>
    <m/>
    <m/>
    <m/>
    <m/>
    <m/>
    <m/>
    <m/>
    <m/>
    <m/>
    <m/>
    <m/>
    <m/>
    <m/>
    <m/>
    <m/>
    <m/>
    <m/>
    <m/>
    <m/>
    <m/>
    <m/>
    <m/>
    <m/>
    <m/>
    <m/>
    <m/>
    <m/>
    <m/>
    <m/>
    <m/>
    <m/>
    <m/>
    <m/>
    <m/>
    <m/>
    <m/>
    <m/>
    <m/>
    <m/>
    <m/>
    <m/>
    <m/>
    <m/>
    <m/>
    <m/>
    <m/>
    <m/>
    <m/>
    <s v="0"/>
    <s v="0"/>
    <s v="0"/>
    <n v="0"/>
  </r>
  <r>
    <n v="2612484"/>
    <s v="Extrême-Nord"/>
    <s v="CMR004"/>
    <x v="4"/>
    <s v="CMR004005"/>
    <s v="Mora"/>
    <s v="CMR004005002"/>
    <s v="MOR-0016"/>
    <s v="OUDJILA"/>
    <m/>
    <x v="1"/>
    <n v="11.012093500000001"/>
    <n v="14.0955917"/>
    <x v="0"/>
    <b v="1"/>
    <b v="0"/>
    <b v="1"/>
    <m/>
    <n v="3"/>
    <s v="Accessible"/>
    <m/>
    <s v="Le village accueille une population"/>
    <s v="Le village est intact (construit)"/>
    <m/>
    <m/>
    <s v="Oui"/>
    <s v="Familles d'accueil"/>
    <s v="Location"/>
    <s v="Non"/>
    <m/>
    <n v="135"/>
    <n v="4988"/>
    <s v="Oui"/>
    <s v="Premier déplacement"/>
    <n v="135"/>
    <n v="682"/>
    <n v="308"/>
    <n v="374"/>
    <n v="0"/>
    <n v="112"/>
    <n v="0"/>
    <n v="23"/>
    <s v="Chez une famille d'accueil (contre loyer)"/>
    <m/>
    <n v="0"/>
    <n v="0"/>
    <m/>
    <m/>
    <n v="0"/>
    <s v="Augmentation  de 4 ménages  pour 14 individus dont 12 femmes, 2 hommes  en provenance  de Malika et Kassa  pour  des raisons  sécuritaire puis un  ajout de 10 individus dont  7 femmes  et 3 hommes  dû au naissance. Pas d'assistance , pas de terre cultivable puis insuffisance des points d'eau. "/>
    <s v="Non"/>
    <m/>
    <m/>
    <m/>
    <m/>
    <m/>
    <m/>
    <m/>
    <m/>
    <m/>
    <m/>
    <m/>
    <m/>
    <m/>
    <m/>
    <m/>
    <s v="Oui"/>
    <n v="90"/>
    <n v="377"/>
    <n v="146"/>
    <n v="231"/>
    <s v="Entre 1 et 5 ans"/>
    <n v="0"/>
    <n v="30"/>
    <n v="60"/>
    <n v="0"/>
    <n v="0"/>
    <m/>
    <n v="0"/>
    <n v="0"/>
    <m/>
    <n v="0"/>
    <m/>
    <m/>
    <m/>
    <m/>
    <m/>
    <n v="0"/>
    <m/>
    <m/>
    <m/>
    <m/>
    <m/>
    <m/>
    <m/>
    <m/>
    <m/>
    <m/>
    <m/>
    <m/>
    <m/>
    <s v="1"/>
    <s v="0"/>
    <s v="1"/>
    <n v="2"/>
  </r>
  <r>
    <n v="2598232"/>
    <s v="Extrême-Nord"/>
    <s v="CMR004"/>
    <x v="4"/>
    <s v="CMR004005"/>
    <s v="Mora"/>
    <s v="CMR004005002"/>
    <s v="MOR-0074"/>
    <s v="OUMAKA"/>
    <m/>
    <x v="1"/>
    <n v="11.3376036"/>
    <n v="14.408664099999999"/>
    <x v="0"/>
    <b v="1"/>
    <b v="0"/>
    <b v="1"/>
    <m/>
    <n v="4"/>
    <s v="Accessible"/>
    <m/>
    <s v="Le village accueille une population"/>
    <s v="Le village est intact (construit)"/>
    <m/>
    <m/>
    <s v="Oui"/>
    <s v="Familles d'accueil"/>
    <s v="Sites de déplacement spontanés"/>
    <s v="Non"/>
    <m/>
    <n v="197"/>
    <n v="1246"/>
    <s v="Oui"/>
    <s v="Premier déplacement"/>
    <n v="197"/>
    <n v="1306"/>
    <n v="457"/>
    <n v="849"/>
    <n v="0"/>
    <n v="100"/>
    <n v="0"/>
    <n v="0"/>
    <m/>
    <m/>
    <n v="0"/>
    <n v="97"/>
    <s v="Pagne"/>
    <m/>
    <n v="0"/>
    <s v="Ajout de de 15 individu soit 9F et 6H due à la naissance et réductions de 5 individu soit 3 H, 2 F lié au décès"/>
    <s v="Non"/>
    <m/>
    <m/>
    <m/>
    <m/>
    <m/>
    <m/>
    <m/>
    <m/>
    <m/>
    <m/>
    <m/>
    <m/>
    <m/>
    <m/>
    <m/>
    <s v="Non"/>
    <m/>
    <m/>
    <m/>
    <m/>
    <m/>
    <m/>
    <m/>
    <m/>
    <m/>
    <m/>
    <m/>
    <m/>
    <m/>
    <m/>
    <m/>
    <m/>
    <m/>
    <m/>
    <m/>
    <m/>
    <n v="0"/>
    <m/>
    <m/>
    <m/>
    <m/>
    <m/>
    <m/>
    <m/>
    <m/>
    <m/>
    <m/>
    <m/>
    <m/>
    <m/>
    <s v="1"/>
    <s v="0"/>
    <s v="0"/>
    <n v="1"/>
  </r>
  <r>
    <n v="2657280"/>
    <s v="Extrême-Nord"/>
    <s v="CMR004"/>
    <x v="4"/>
    <s v="CMR004005"/>
    <s v="Mora"/>
    <s v="CMR004005002"/>
    <s v="MOR-0089"/>
    <s v="OURO DOLÉ"/>
    <m/>
    <x v="1"/>
    <n v="11.0777942"/>
    <n v="14.1115741"/>
    <x v="0"/>
    <b v="1"/>
    <b v="0"/>
    <b v="1"/>
    <m/>
    <n v="4"/>
    <s v="Accessible"/>
    <m/>
    <s v="Le village accueille une population"/>
    <s v="Le village est intact (construit)"/>
    <m/>
    <m/>
    <s v="Oui"/>
    <s v="Familles d'accueil"/>
    <s v="Non, pas du tout"/>
    <s v="Non"/>
    <m/>
    <n v="42"/>
    <n v="597"/>
    <s v="Oui"/>
    <s v="Premier déplacement"/>
    <n v="42"/>
    <n v="227"/>
    <n v="101"/>
    <n v="126"/>
    <n v="0"/>
    <n v="0"/>
    <n v="42"/>
    <n v="0"/>
    <m/>
    <m/>
    <n v="0"/>
    <n v="0"/>
    <m/>
    <m/>
    <n v="0"/>
    <s v="Pas de mouvement dans la localité. Juste un ajout de 3 individus  (1h,2f) suite aux naissances et une diminution de 4 individus femmes suite aux décès "/>
    <s v="Non"/>
    <m/>
    <m/>
    <m/>
    <m/>
    <m/>
    <m/>
    <m/>
    <m/>
    <m/>
    <m/>
    <m/>
    <m/>
    <m/>
    <m/>
    <m/>
    <s v="Non"/>
    <m/>
    <m/>
    <m/>
    <m/>
    <m/>
    <m/>
    <m/>
    <m/>
    <m/>
    <m/>
    <m/>
    <m/>
    <m/>
    <m/>
    <m/>
    <m/>
    <m/>
    <m/>
    <m/>
    <m/>
    <n v="0"/>
    <m/>
    <m/>
    <m/>
    <m/>
    <m/>
    <m/>
    <m/>
    <m/>
    <m/>
    <m/>
    <m/>
    <m/>
    <m/>
    <s v="1"/>
    <s v="0"/>
    <s v="0"/>
    <n v="1"/>
  </r>
  <r>
    <n v="2612002"/>
    <s v="Extrême-Nord"/>
    <s v="CMR004"/>
    <x v="4"/>
    <s v="CMR004005"/>
    <s v="Mora"/>
    <s v="CMR004005002"/>
    <s v="MOR-0056"/>
    <s v="PIVOU 1"/>
    <m/>
    <x v="1"/>
    <n v="11.0976198"/>
    <n v="14.115589"/>
    <x v="0"/>
    <b v="1"/>
    <b v="0"/>
    <b v="1"/>
    <m/>
    <n v="4"/>
    <s v="Accessible"/>
    <m/>
    <s v="Le village est déserté la nuit"/>
    <s v="Le village est partiellement détruit"/>
    <s v="Attaques armées"/>
    <m/>
    <s v="Oui"/>
    <s v="Familles d'accueil"/>
    <s v="Non, pas du tout"/>
    <s v="Non"/>
    <m/>
    <n v="47"/>
    <n v="1043"/>
    <s v="Oui"/>
    <s v="Premier déplacement"/>
    <n v="47"/>
    <n v="156"/>
    <n v="57"/>
    <n v="99"/>
    <n v="0"/>
    <n v="47"/>
    <n v="0"/>
    <n v="0"/>
    <m/>
    <m/>
    <n v="0"/>
    <n v="0"/>
    <m/>
    <m/>
    <n v="0"/>
    <s v="Ajout de 3 individus soit 1 homme et 2 femmes dû aux naissances et une réduction de 3 ménages de 17 individus soit 9 hommes et 8 femmes  parti pour Mehe Sanda suite au conflit  BH en décembre  2022. Le village est déserte la nuit. "/>
    <s v="Non"/>
    <m/>
    <m/>
    <m/>
    <m/>
    <m/>
    <m/>
    <m/>
    <m/>
    <m/>
    <m/>
    <m/>
    <m/>
    <m/>
    <m/>
    <m/>
    <s v="Oui"/>
    <n v="5"/>
    <n v="25"/>
    <n v="12"/>
    <n v="13"/>
    <s v="Entre 1 et 5 ans"/>
    <n v="0"/>
    <n v="0"/>
    <n v="5"/>
    <n v="0"/>
    <n v="0"/>
    <m/>
    <n v="0"/>
    <n v="0"/>
    <m/>
    <n v="0"/>
    <m/>
    <m/>
    <m/>
    <m/>
    <m/>
    <n v="0"/>
    <m/>
    <m/>
    <m/>
    <m/>
    <m/>
    <m/>
    <m/>
    <m/>
    <m/>
    <m/>
    <m/>
    <m/>
    <m/>
    <s v="1"/>
    <s v="0"/>
    <s v="1"/>
    <n v="2"/>
  </r>
  <r>
    <n v="2658461"/>
    <s v="Extrême-Nord"/>
    <s v="CMR004"/>
    <x v="4"/>
    <s v="CMR004005"/>
    <s v="Mora"/>
    <s v="CMR004005002"/>
    <s v="MOR-0057"/>
    <s v="PIVOU 2"/>
    <m/>
    <x v="1"/>
    <n v="11.0995682"/>
    <n v="14.1170407"/>
    <x v="0"/>
    <b v="0"/>
    <b v="0"/>
    <b v="1"/>
    <m/>
    <m/>
    <s v="Accessible"/>
    <m/>
    <s v="Le village est entièrement déserté"/>
    <m/>
    <m/>
    <m/>
    <m/>
    <m/>
    <m/>
    <m/>
    <m/>
    <m/>
    <m/>
    <m/>
    <m/>
    <m/>
    <m/>
    <m/>
    <m/>
    <m/>
    <m/>
    <m/>
    <m/>
    <m/>
    <m/>
    <m/>
    <m/>
    <m/>
    <m/>
    <m/>
    <m/>
    <m/>
    <m/>
    <m/>
    <m/>
    <m/>
    <m/>
    <m/>
    <m/>
    <m/>
    <m/>
    <m/>
    <m/>
    <m/>
    <m/>
    <m/>
    <m/>
    <m/>
    <m/>
    <m/>
    <m/>
    <m/>
    <m/>
    <m/>
    <m/>
    <m/>
    <m/>
    <m/>
    <m/>
    <m/>
    <m/>
    <m/>
    <m/>
    <m/>
    <m/>
    <m/>
    <m/>
    <m/>
    <m/>
    <m/>
    <m/>
    <m/>
    <m/>
    <m/>
    <m/>
    <m/>
    <m/>
    <m/>
    <m/>
    <m/>
    <m/>
    <m/>
    <s v="0"/>
    <s v="0"/>
    <s v="0"/>
    <n v="0"/>
  </r>
  <r>
    <n v="2636931"/>
    <s v="Extrême-Nord"/>
    <s v="CMR004"/>
    <x v="4"/>
    <s v="CMR004005"/>
    <s v="Mora"/>
    <s v="CMR004005002"/>
    <s v="MOR-0017"/>
    <s v="POUCHE"/>
    <m/>
    <x v="1"/>
    <n v="11.0385299"/>
    <n v="14.159079200000001"/>
    <x v="0"/>
    <b v="1"/>
    <b v="0"/>
    <b v="1"/>
    <m/>
    <n v="3"/>
    <s v="Accessible"/>
    <m/>
    <s v="Le village accueille une population"/>
    <s v="Le village est intact (construit)"/>
    <m/>
    <m/>
    <s v="Oui"/>
    <s v="Familles d'accueil"/>
    <s v="Location"/>
    <s v="Non"/>
    <m/>
    <n v="109"/>
    <n v="2073"/>
    <s v="Oui"/>
    <s v="Premier déplacement"/>
    <n v="109"/>
    <n v="856"/>
    <n v="238"/>
    <n v="618"/>
    <n v="0"/>
    <n v="60"/>
    <n v="0"/>
    <n v="49"/>
    <s v="Chez une famille d'accueil (contre loyer)"/>
    <m/>
    <n v="0"/>
    <n v="0"/>
    <m/>
    <m/>
    <n v="0"/>
    <s v="Ajout de 6 individus soit 2hommes et 4 femmes dû aux naissances et diminution de 1 menage de 3 individus soit 2 hommes et 1 femme parti pour Guiba pour zone initiale securisé dans la période d'avant 2020."/>
    <s v="Non"/>
    <m/>
    <m/>
    <m/>
    <m/>
    <m/>
    <m/>
    <m/>
    <m/>
    <m/>
    <m/>
    <m/>
    <m/>
    <m/>
    <m/>
    <m/>
    <s v="Oui"/>
    <n v="15"/>
    <n v="78"/>
    <n v="28"/>
    <n v="50"/>
    <s v="Entre 3 mois et 1 an"/>
    <n v="0"/>
    <n v="0"/>
    <n v="15"/>
    <n v="0"/>
    <n v="0"/>
    <m/>
    <n v="0"/>
    <n v="0"/>
    <m/>
    <n v="0"/>
    <m/>
    <m/>
    <m/>
    <m/>
    <m/>
    <n v="0"/>
    <m/>
    <m/>
    <m/>
    <m/>
    <m/>
    <m/>
    <m/>
    <m/>
    <m/>
    <m/>
    <m/>
    <m/>
    <m/>
    <s v="1"/>
    <s v="0"/>
    <s v="1"/>
    <n v="2"/>
  </r>
  <r>
    <n v="2615774"/>
    <s v="Extrême-Nord"/>
    <s v="CMR004"/>
    <x v="4"/>
    <s v="CMR004005"/>
    <s v="Mora"/>
    <s v="CMR004005002"/>
    <s v="MOR-0018"/>
    <s v="SANDALE 1"/>
    <m/>
    <x v="1"/>
    <n v="11.044142300000001"/>
    <n v="14.1368478"/>
    <x v="0"/>
    <b v="1"/>
    <b v="0"/>
    <b v="1"/>
    <m/>
    <n v="3"/>
    <s v="Accessible"/>
    <m/>
    <s v="Le village accueille une population"/>
    <s v="Le village est intact (construit)"/>
    <m/>
    <m/>
    <s v="Oui"/>
    <s v="Familles d'accueil"/>
    <s v="Location"/>
    <s v="Non"/>
    <m/>
    <n v="153"/>
    <n v="2135"/>
    <s v="Oui"/>
    <s v="Premier déplacement"/>
    <n v="153"/>
    <n v="880"/>
    <n v="547"/>
    <n v="333"/>
    <n v="0"/>
    <n v="149"/>
    <n v="0"/>
    <n v="4"/>
    <s v="Chez une famille d'accueil (contre loyer)"/>
    <m/>
    <n v="0"/>
    <n v="0"/>
    <m/>
    <m/>
    <n v="0"/>
    <s v="Ajout de 5 ménages de 20 individus dont 12 hommes et 08 femmes puis de 5 individus dont 3 garçons et 2 filles suite aux naissances. "/>
    <s v="Non"/>
    <m/>
    <m/>
    <m/>
    <m/>
    <m/>
    <m/>
    <m/>
    <m/>
    <m/>
    <m/>
    <m/>
    <m/>
    <m/>
    <m/>
    <m/>
    <s v="Non"/>
    <m/>
    <m/>
    <m/>
    <m/>
    <m/>
    <m/>
    <m/>
    <m/>
    <m/>
    <m/>
    <m/>
    <m/>
    <m/>
    <m/>
    <m/>
    <m/>
    <m/>
    <m/>
    <m/>
    <m/>
    <n v="0"/>
    <m/>
    <m/>
    <m/>
    <m/>
    <m/>
    <m/>
    <m/>
    <m/>
    <m/>
    <m/>
    <m/>
    <m/>
    <m/>
    <s v="1"/>
    <s v="0"/>
    <s v="0"/>
    <n v="1"/>
  </r>
  <r>
    <n v="2612454"/>
    <s v="Extrême-Nord"/>
    <s v="CMR004"/>
    <x v="4"/>
    <s v="CMR004005"/>
    <s v="Mora"/>
    <s v="CMR004005002"/>
    <s v="MOR-0019"/>
    <s v="SANDALE 2"/>
    <m/>
    <x v="1"/>
    <n v="11.0432825"/>
    <n v="14.136608499999999"/>
    <x v="0"/>
    <b v="1"/>
    <b v="0"/>
    <b v="1"/>
    <m/>
    <n v="4"/>
    <s v="Accessible"/>
    <m/>
    <s v="Le village accueille une population"/>
    <s v="Le village est intact (construit)"/>
    <m/>
    <m/>
    <s v="Oui"/>
    <s v="Familles d'accueil"/>
    <s v="Location"/>
    <s v="Non"/>
    <m/>
    <n v="281"/>
    <n v="3066"/>
    <s v="Oui"/>
    <s v="Deuxième déplacement"/>
    <n v="281"/>
    <n v="1168"/>
    <n v="228"/>
    <n v="940"/>
    <n v="0"/>
    <n v="131"/>
    <n v="0"/>
    <n v="150"/>
    <s v="Chez une famille d'accueil (contre loyer)"/>
    <m/>
    <n v="0"/>
    <n v="0"/>
    <m/>
    <m/>
    <n v="0"/>
    <s v="Il ya augmentation  de 5 ménages pour 28 individus dont 11 hommes et  17 femmes  dû au conflit  BH  en provenance  de aschigachia ils sont en location  un ajout  de 8 individus dont 6 femmes  et  2 hommes  dû aux naissances.  puis une diminution  de  5 individus dont 3 femmes et 2 hommes  venu dans la période  d'avant 2020 suite aux décès pas d'assistance, insuffisance  des points  d'eau, pas des terres  cultivable."/>
    <s v="Non"/>
    <m/>
    <m/>
    <m/>
    <m/>
    <m/>
    <m/>
    <m/>
    <m/>
    <m/>
    <m/>
    <m/>
    <m/>
    <m/>
    <m/>
    <m/>
    <s v="Non"/>
    <m/>
    <m/>
    <m/>
    <m/>
    <m/>
    <m/>
    <m/>
    <m/>
    <m/>
    <m/>
    <m/>
    <m/>
    <m/>
    <m/>
    <m/>
    <m/>
    <m/>
    <m/>
    <m/>
    <m/>
    <n v="0"/>
    <m/>
    <m/>
    <m/>
    <m/>
    <m/>
    <m/>
    <m/>
    <m/>
    <m/>
    <m/>
    <m/>
    <m/>
    <m/>
    <s v="1"/>
    <s v="0"/>
    <s v="0"/>
    <n v="1"/>
  </r>
  <r>
    <n v="2630608"/>
    <s v="Extrême-Nord"/>
    <s v="CMR004"/>
    <x v="4"/>
    <s v="CMR004005"/>
    <s v="Mora"/>
    <s v="CMR004005002"/>
    <s v="MOR-0070"/>
    <s v="SERADOUMDA"/>
    <m/>
    <x v="1"/>
    <n v="10.9893281"/>
    <n v="14.1931672"/>
    <x v="0"/>
    <b v="1"/>
    <b v="0"/>
    <b v="1"/>
    <m/>
    <n v="5"/>
    <s v="Accessible"/>
    <m/>
    <s v="Le village accueille une population"/>
    <s v="Le village est intact (construit)"/>
    <m/>
    <m/>
    <s v="Oui"/>
    <s v="Familles d'accueil"/>
    <s v="Location"/>
    <s v="Non"/>
    <m/>
    <n v="61"/>
    <n v="3156"/>
    <s v="Oui"/>
    <s v="Premier déplacement"/>
    <n v="61"/>
    <n v="453"/>
    <n v="113"/>
    <n v="340"/>
    <n v="0"/>
    <n v="40"/>
    <n v="9"/>
    <n v="10"/>
    <s v="Logement indépendant (Maison indépendante)"/>
    <m/>
    <n v="0"/>
    <n v="2"/>
    <s v="Tôle"/>
    <m/>
    <n v="0"/>
    <s v="Il y a eu départ d'1 ménage pour 7 individus donc 3 femmes et 4 hommes  pour banki en décembre 2022 à la recherche de moyens de substances parmi ceux d'avant 2020 et naissances de 12 individus donc 8 femmes et 4 garçons et décés de 5 individus donc 3 hommes et 2 femmes parmi ceux d'avant 2020."/>
    <s v="Oui"/>
    <n v="3"/>
    <n v="20"/>
    <n v="9"/>
    <n v="11"/>
    <n v="3"/>
    <n v="0"/>
    <n v="0"/>
    <m/>
    <n v="0"/>
    <n v="0"/>
    <m/>
    <m/>
    <n v="0"/>
    <n v="0"/>
    <s v="Augmentation de 0 ménage pour 2 individus  garçons à la naissance, pas de décès ."/>
    <s v="Non"/>
    <m/>
    <m/>
    <m/>
    <m/>
    <m/>
    <m/>
    <m/>
    <m/>
    <m/>
    <m/>
    <m/>
    <m/>
    <m/>
    <m/>
    <m/>
    <m/>
    <m/>
    <m/>
    <m/>
    <m/>
    <n v="0"/>
    <m/>
    <m/>
    <m/>
    <m/>
    <m/>
    <m/>
    <m/>
    <m/>
    <m/>
    <m/>
    <m/>
    <m/>
    <m/>
    <s v="1"/>
    <s v="1"/>
    <s v="0"/>
    <n v="2"/>
  </r>
  <r>
    <n v="2598373"/>
    <s v="Extrême-Nord"/>
    <s v="CMR004"/>
    <x v="4"/>
    <s v="CMR004005"/>
    <s v="Mora"/>
    <s v="CMR004005002"/>
    <s v="MOR-0081"/>
    <s v="SITE DE ALAGARNO"/>
    <m/>
    <x v="1"/>
    <n v="11.1725773"/>
    <n v="14.242047899999999"/>
    <x v="1"/>
    <b v="1"/>
    <b v="0"/>
    <b v="1"/>
    <m/>
    <n v="3"/>
    <s v="Accessible"/>
    <m/>
    <s v="Le village accueille une population"/>
    <s v="Le village est intact (construit)"/>
    <m/>
    <m/>
    <s v="Oui"/>
    <s v="Sites de déplacement spontanés"/>
    <s v="Non, pas du tout"/>
    <m/>
    <m/>
    <n v="74"/>
    <n v="504"/>
    <s v="Oui"/>
    <s v="Premier déplacement"/>
    <n v="74"/>
    <n v="504"/>
    <n v="236"/>
    <n v="268"/>
    <n v="0"/>
    <n v="0"/>
    <n v="0"/>
    <n v="0"/>
    <m/>
    <m/>
    <n v="0"/>
    <n v="74"/>
    <s v="Pagne"/>
    <m/>
    <n v="0"/>
    <s v="Ajout de 4 individu lié à la naissance et réductions de 3 individu lié au décès"/>
    <s v="Non"/>
    <m/>
    <m/>
    <m/>
    <m/>
    <m/>
    <m/>
    <m/>
    <m/>
    <m/>
    <m/>
    <m/>
    <m/>
    <m/>
    <m/>
    <m/>
    <s v="Non"/>
    <m/>
    <m/>
    <m/>
    <m/>
    <m/>
    <m/>
    <m/>
    <m/>
    <m/>
    <m/>
    <m/>
    <m/>
    <m/>
    <m/>
    <m/>
    <m/>
    <m/>
    <m/>
    <m/>
    <m/>
    <n v="0"/>
    <m/>
    <m/>
    <m/>
    <m/>
    <m/>
    <m/>
    <m/>
    <m/>
    <m/>
    <m/>
    <m/>
    <m/>
    <m/>
    <s v="1"/>
    <s v="0"/>
    <s v="0"/>
    <n v="1"/>
  </r>
  <r>
    <n v="2620195"/>
    <s v="Extrême-Nord"/>
    <s v="CMR004"/>
    <x v="4"/>
    <s v="CMR004005"/>
    <s v="Mora"/>
    <s v="CMR004005002"/>
    <s v="MOR-0082"/>
    <s v="SITE DE BOURDALA"/>
    <m/>
    <x v="1"/>
    <n v="11.029015299999999"/>
    <n v="14.164498800000001"/>
    <x v="1"/>
    <b v="0"/>
    <b v="0"/>
    <b v="1"/>
    <m/>
    <m/>
    <s v="Accessible"/>
    <m/>
    <s v="Le village est entièrement déserté"/>
    <m/>
    <m/>
    <m/>
    <m/>
    <m/>
    <m/>
    <m/>
    <m/>
    <m/>
    <m/>
    <m/>
    <m/>
    <m/>
    <m/>
    <m/>
    <m/>
    <m/>
    <m/>
    <m/>
    <m/>
    <m/>
    <m/>
    <m/>
    <m/>
    <m/>
    <m/>
    <m/>
    <m/>
    <m/>
    <m/>
    <m/>
    <m/>
    <m/>
    <m/>
    <m/>
    <m/>
    <m/>
    <m/>
    <m/>
    <m/>
    <m/>
    <m/>
    <m/>
    <m/>
    <m/>
    <m/>
    <m/>
    <m/>
    <m/>
    <m/>
    <m/>
    <m/>
    <m/>
    <m/>
    <m/>
    <m/>
    <m/>
    <m/>
    <m/>
    <m/>
    <m/>
    <m/>
    <m/>
    <m/>
    <m/>
    <m/>
    <m/>
    <m/>
    <m/>
    <m/>
    <m/>
    <m/>
    <m/>
    <m/>
    <m/>
    <m/>
    <m/>
    <m/>
    <m/>
    <s v="0"/>
    <s v="0"/>
    <s v="0"/>
    <n v="0"/>
  </r>
  <r>
    <n v="2636435"/>
    <s v="Extrême-Nord"/>
    <s v="CMR004"/>
    <x v="4"/>
    <s v="CMR004005"/>
    <s v="Mora"/>
    <s v="CMR004005002"/>
    <s v="MOR-0039"/>
    <s v="SITE DE DANDAYA"/>
    <m/>
    <x v="1"/>
    <n v="11.1250143"/>
    <n v="14.3220659"/>
    <x v="1"/>
    <b v="1"/>
    <b v="0"/>
    <b v="1"/>
    <m/>
    <n v="4"/>
    <s v="Accessible"/>
    <m/>
    <s v="Le village accueille une population"/>
    <s v="Le village est intact (construit)"/>
    <m/>
    <m/>
    <s v="Oui"/>
    <s v="Sites de déplacement spontanés"/>
    <s v="Non, pas du tout"/>
    <m/>
    <m/>
    <m/>
    <n v="419"/>
    <s v="Non"/>
    <m/>
    <m/>
    <m/>
    <m/>
    <m/>
    <m/>
    <m/>
    <m/>
    <m/>
    <m/>
    <m/>
    <m/>
    <m/>
    <m/>
    <m/>
    <m/>
    <m/>
    <s v="Oui"/>
    <n v="107"/>
    <n v="443"/>
    <n v="211"/>
    <n v="232"/>
    <n v="0"/>
    <n v="0"/>
    <n v="0"/>
    <m/>
    <n v="0"/>
    <n v="107"/>
    <s v="Paille/Natte/Nylon"/>
    <m/>
    <n v="0"/>
    <n v="105"/>
    <s v="Il y a 2 Ménages venus nouvellement (8 individus 4h et 4)provenance de Bama Nigeria. Toujours augmentation côté réfugiés naissances 4 garçons et 3 filles =7 individus."/>
    <s v="Non"/>
    <m/>
    <m/>
    <m/>
    <m/>
    <m/>
    <m/>
    <m/>
    <m/>
    <m/>
    <m/>
    <m/>
    <m/>
    <m/>
    <m/>
    <m/>
    <m/>
    <m/>
    <m/>
    <m/>
    <m/>
    <n v="0"/>
    <m/>
    <m/>
    <m/>
    <m/>
    <m/>
    <m/>
    <m/>
    <m/>
    <m/>
    <m/>
    <m/>
    <m/>
    <m/>
    <s v="0"/>
    <s v="1"/>
    <s v="0"/>
    <n v="1"/>
  </r>
  <r>
    <n v="2612477"/>
    <s v="Extrême-Nord"/>
    <s v="CMR004"/>
    <x v="4"/>
    <s v="CMR004005"/>
    <s v="Mora"/>
    <s v="CMR004005002"/>
    <s v="MOR-0071"/>
    <s v="SITE DE DJAMAKIYA"/>
    <m/>
    <x v="1"/>
    <n v="10.9573652"/>
    <n v="14.2046692"/>
    <x v="1"/>
    <b v="0"/>
    <b v="0"/>
    <b v="1"/>
    <m/>
    <m/>
    <s v="Accessible"/>
    <m/>
    <s v="Le village est entièrement déserté"/>
    <m/>
    <m/>
    <m/>
    <m/>
    <m/>
    <m/>
    <m/>
    <m/>
    <m/>
    <m/>
    <m/>
    <m/>
    <m/>
    <m/>
    <m/>
    <m/>
    <m/>
    <m/>
    <m/>
    <m/>
    <m/>
    <m/>
    <m/>
    <m/>
    <m/>
    <m/>
    <m/>
    <m/>
    <m/>
    <m/>
    <m/>
    <m/>
    <m/>
    <m/>
    <m/>
    <m/>
    <m/>
    <m/>
    <m/>
    <m/>
    <m/>
    <m/>
    <m/>
    <m/>
    <m/>
    <m/>
    <m/>
    <m/>
    <m/>
    <m/>
    <m/>
    <m/>
    <m/>
    <m/>
    <m/>
    <m/>
    <m/>
    <m/>
    <m/>
    <m/>
    <m/>
    <m/>
    <m/>
    <m/>
    <m/>
    <m/>
    <m/>
    <m/>
    <m/>
    <m/>
    <m/>
    <m/>
    <m/>
    <m/>
    <m/>
    <m/>
    <m/>
    <m/>
    <m/>
    <s v="0"/>
    <s v="0"/>
    <s v="0"/>
    <n v="0"/>
  </r>
  <r>
    <n v="2598374"/>
    <s v="Extrême-Nord"/>
    <s v="CMR004"/>
    <x v="4"/>
    <s v="CMR004005"/>
    <s v="Mora"/>
    <s v="CMR004005002"/>
    <s v="MOR-0062"/>
    <s v="SITE DE DOUBLE - LINGUIDIWA"/>
    <m/>
    <x v="1"/>
    <n v="11.1718396"/>
    <n v="14.2511703"/>
    <x v="1"/>
    <b v="1"/>
    <b v="0"/>
    <b v="1"/>
    <m/>
    <n v="4"/>
    <s v="Accessible"/>
    <m/>
    <s v="Le village accueille une population"/>
    <s v="Le village est intact (construit)"/>
    <m/>
    <m/>
    <s v="Oui"/>
    <s v="Sites de déplacement spontanés"/>
    <s v="Non, pas du tout"/>
    <m/>
    <m/>
    <n v="256"/>
    <n v="1761"/>
    <s v="Oui"/>
    <s v="Premier déplacement"/>
    <n v="256"/>
    <n v="1761"/>
    <n v="749"/>
    <n v="1012"/>
    <n v="0"/>
    <n v="0"/>
    <n v="0"/>
    <n v="0"/>
    <m/>
    <m/>
    <n v="0"/>
    <n v="256"/>
    <s v="Pagne"/>
    <m/>
    <n v="0"/>
    <s v="Ajout de 8 individu lié à la naissance et réductions de 4 individu lié au décès"/>
    <s v="Non"/>
    <m/>
    <m/>
    <m/>
    <m/>
    <m/>
    <m/>
    <m/>
    <m/>
    <m/>
    <m/>
    <m/>
    <m/>
    <m/>
    <m/>
    <m/>
    <s v="Non"/>
    <m/>
    <m/>
    <m/>
    <m/>
    <m/>
    <m/>
    <m/>
    <m/>
    <m/>
    <m/>
    <m/>
    <m/>
    <m/>
    <m/>
    <m/>
    <m/>
    <m/>
    <m/>
    <m/>
    <m/>
    <n v="0"/>
    <m/>
    <m/>
    <m/>
    <m/>
    <m/>
    <m/>
    <m/>
    <m/>
    <m/>
    <m/>
    <m/>
    <m/>
    <m/>
    <s v="1"/>
    <s v="0"/>
    <s v="0"/>
    <n v="1"/>
  </r>
  <r>
    <n v="2615773"/>
    <s v="Extrême-Nord"/>
    <s v="CMR004"/>
    <x v="4"/>
    <s v="CMR004005"/>
    <s v="Mora"/>
    <s v="CMR004005002"/>
    <s v="MOR-0075"/>
    <s v="SITE DE GALBI"/>
    <m/>
    <x v="1"/>
    <n v="11.0818437"/>
    <n v="14.1382277"/>
    <x v="1"/>
    <b v="1"/>
    <b v="0"/>
    <b v="1"/>
    <m/>
    <n v="4"/>
    <s v="Accessible"/>
    <m/>
    <s v="Le village est déserté la nuit"/>
    <s v="Le village est intact (construit)"/>
    <m/>
    <m/>
    <s v="Oui"/>
    <s v="Sites de déplacement spontanés"/>
    <s v="Non, pas du tout"/>
    <m/>
    <m/>
    <n v="31"/>
    <n v="329"/>
    <s v="Oui"/>
    <s v="Premier déplacement"/>
    <n v="31"/>
    <n v="324"/>
    <n v="127"/>
    <n v="197"/>
    <n v="0"/>
    <n v="0"/>
    <n v="0"/>
    <n v="0"/>
    <m/>
    <m/>
    <n v="0"/>
    <n v="31"/>
    <s v="Paille/Natte/Nylon"/>
    <m/>
    <n v="0"/>
    <s v="Ajout de 10 individus suite aux naissances.  Diminution de 15 ménages de 50 individus dont 30 hommes et 20 femmes suite à leur départ vers Mora; et une autre diminution de 5 individus dont 1 homme et 4 femmes suite au décès.  L'insécurité prend de l'ampleur suite aux attaques et le site se vide de sa population "/>
    <s v="Non"/>
    <m/>
    <m/>
    <m/>
    <m/>
    <m/>
    <m/>
    <m/>
    <m/>
    <m/>
    <m/>
    <m/>
    <m/>
    <m/>
    <m/>
    <m/>
    <s v="Non"/>
    <m/>
    <m/>
    <m/>
    <m/>
    <m/>
    <m/>
    <m/>
    <m/>
    <m/>
    <m/>
    <m/>
    <m/>
    <m/>
    <m/>
    <m/>
    <m/>
    <m/>
    <m/>
    <m/>
    <m/>
    <n v="0"/>
    <m/>
    <m/>
    <m/>
    <m/>
    <m/>
    <m/>
    <m/>
    <m/>
    <m/>
    <m/>
    <m/>
    <m/>
    <m/>
    <s v="1"/>
    <s v="0"/>
    <s v="0"/>
    <n v="1"/>
  </r>
  <r>
    <n v="2649833"/>
    <s v="Extrême-Nord"/>
    <s v="CMR004"/>
    <x v="4"/>
    <s v="CMR004005"/>
    <s v="Mora"/>
    <s v="CMR004005002"/>
    <s v="MOR-0083"/>
    <s v="SITE DE GANAY"/>
    <m/>
    <x v="1"/>
    <n v="11.172369099999999"/>
    <n v="14.241539899999999"/>
    <x v="1"/>
    <b v="1"/>
    <b v="0"/>
    <b v="1"/>
    <m/>
    <n v="5"/>
    <s v="Accessible"/>
    <m/>
    <s v="Le village accueille une population"/>
    <s v="Le village est partiellement détruit"/>
    <s v="Attaques armées"/>
    <m/>
    <s v="Oui"/>
    <s v="Sites de déplacement spontanés"/>
    <s v="Non, pas du tout"/>
    <m/>
    <m/>
    <n v="120"/>
    <n v="863"/>
    <s v="Oui"/>
    <s v="Premier déplacement"/>
    <n v="120"/>
    <n v="863"/>
    <n v="351"/>
    <n v="512"/>
    <n v="0"/>
    <n v="0"/>
    <n v="0"/>
    <n v="0"/>
    <m/>
    <m/>
    <n v="0"/>
    <n v="120"/>
    <s v="Paille/Natte/Nylon"/>
    <m/>
    <n v="0"/>
    <s v="Il y a eu un naissances des 7 individus  (3 garçons et 4 filles )"/>
    <s v="Non"/>
    <m/>
    <m/>
    <m/>
    <m/>
    <m/>
    <m/>
    <m/>
    <m/>
    <m/>
    <m/>
    <m/>
    <m/>
    <m/>
    <m/>
    <m/>
    <s v="Non"/>
    <m/>
    <m/>
    <m/>
    <m/>
    <m/>
    <m/>
    <m/>
    <m/>
    <m/>
    <m/>
    <m/>
    <m/>
    <m/>
    <m/>
    <m/>
    <m/>
    <m/>
    <m/>
    <m/>
    <m/>
    <n v="0"/>
    <m/>
    <m/>
    <m/>
    <m/>
    <m/>
    <m/>
    <m/>
    <m/>
    <m/>
    <m/>
    <m/>
    <m/>
    <m/>
    <s v="1"/>
    <s v="0"/>
    <s v="0"/>
    <n v="1"/>
  </r>
  <r>
    <n v="2649832"/>
    <s v="Extrême-Nord"/>
    <s v="CMR004"/>
    <x v="4"/>
    <s v="CMR004005"/>
    <s v="Mora"/>
    <s v="CMR004005002"/>
    <s v="MOR-0064"/>
    <s v="SITE DE KOSSA - BLAMADERI"/>
    <m/>
    <x v="1"/>
    <n v="11.1249421"/>
    <n v="14.321982500000001"/>
    <x v="1"/>
    <b v="1"/>
    <b v="0"/>
    <b v="1"/>
    <m/>
    <n v="3"/>
    <s v="Accessible"/>
    <m/>
    <s v="Le village accueille une population"/>
    <s v="Le village est intact (construit)"/>
    <m/>
    <m/>
    <s v="Oui"/>
    <s v="Sites de déplacement spontanés"/>
    <s v="Non, pas du tout"/>
    <m/>
    <m/>
    <n v="82"/>
    <n v="588"/>
    <s v="Oui"/>
    <s v="Premier déplacement"/>
    <n v="82"/>
    <n v="588"/>
    <n v="267"/>
    <n v="321"/>
    <n v="0"/>
    <n v="0"/>
    <n v="0"/>
    <n v="0"/>
    <m/>
    <m/>
    <n v="0"/>
    <n v="82"/>
    <s v="Paille/Natte/Nylon"/>
    <m/>
    <n v="0"/>
    <s v="Il y a eu un naissances des 8 individus  (3 garçons et 5 filles )"/>
    <s v="Non"/>
    <m/>
    <m/>
    <m/>
    <m/>
    <m/>
    <m/>
    <m/>
    <m/>
    <m/>
    <m/>
    <m/>
    <m/>
    <m/>
    <m/>
    <m/>
    <s v="Non"/>
    <m/>
    <m/>
    <m/>
    <m/>
    <m/>
    <m/>
    <m/>
    <m/>
    <m/>
    <m/>
    <m/>
    <m/>
    <m/>
    <m/>
    <m/>
    <m/>
    <m/>
    <m/>
    <m/>
    <m/>
    <n v="2"/>
    <m/>
    <m/>
    <m/>
    <m/>
    <m/>
    <m/>
    <m/>
    <m/>
    <m/>
    <m/>
    <m/>
    <m/>
    <m/>
    <s v="1"/>
    <s v="0"/>
    <s v="0"/>
    <n v="1"/>
  </r>
  <r>
    <n v="2643409"/>
    <s v="Extrême-Nord"/>
    <s v="CMR004"/>
    <x v="4"/>
    <s v="CMR004005"/>
    <s v="Mora"/>
    <s v="CMR004005002"/>
    <s v="MOR-0077"/>
    <s v="SITE DE KOURGUI - MAYO"/>
    <m/>
    <x v="1"/>
    <n v="11.0840429"/>
    <n v="14.1109343"/>
    <x v="1"/>
    <b v="1"/>
    <b v="0"/>
    <b v="1"/>
    <m/>
    <n v="5"/>
    <s v="Accessible"/>
    <m/>
    <s v="Le village accueille une population"/>
    <s v="Le village est intact (construit)"/>
    <m/>
    <m/>
    <s v="Oui"/>
    <s v="Sites de déplacement spontanés"/>
    <s v="Non, pas du tout"/>
    <m/>
    <m/>
    <n v="90"/>
    <n v="487"/>
    <s v="Oui"/>
    <s v="Deuxième déplacement"/>
    <n v="90"/>
    <n v="487"/>
    <n v="172"/>
    <n v="315"/>
    <n v="0"/>
    <n v="0"/>
    <n v="0"/>
    <n v="0"/>
    <m/>
    <m/>
    <n v="0"/>
    <n v="90"/>
    <s v="Paille/Natte/Nylon"/>
    <m/>
    <n v="0"/>
    <s v="Augmentation des 5 ménages pour 25 individus dont 15 femmes et 10 hommes en provenance de GREYA pour des raisons  sécuritaire puis un ajout de 10 individus  dont 7 femmes et 3 hommes dû au naissance.  En fin  une diminution de 10 individus  dont  6 hommes  et 4 femmes venu  dans  la  période  d'avant 2021"/>
    <s v="Non"/>
    <m/>
    <m/>
    <m/>
    <m/>
    <m/>
    <m/>
    <m/>
    <m/>
    <m/>
    <m/>
    <m/>
    <m/>
    <m/>
    <m/>
    <m/>
    <s v="Non"/>
    <m/>
    <m/>
    <m/>
    <m/>
    <m/>
    <m/>
    <m/>
    <m/>
    <m/>
    <m/>
    <m/>
    <m/>
    <m/>
    <m/>
    <m/>
    <m/>
    <m/>
    <m/>
    <m/>
    <m/>
    <n v="0"/>
    <m/>
    <m/>
    <m/>
    <m/>
    <m/>
    <m/>
    <m/>
    <m/>
    <m/>
    <m/>
    <m/>
    <m/>
    <m/>
    <s v="1"/>
    <s v="0"/>
    <s v="0"/>
    <n v="1"/>
  </r>
  <r>
    <n v="2643406"/>
    <s v="Extrême-Nord"/>
    <s v="CMR004"/>
    <x v="4"/>
    <s v="CMR004005"/>
    <s v="Mora"/>
    <s v="CMR004005002"/>
    <s v="MOR-0076"/>
    <s v="SITE DE KOURGUI ECOLE"/>
    <m/>
    <x v="1"/>
    <n v="11.088655899999999"/>
    <n v="14.1125314"/>
    <x v="1"/>
    <b v="1"/>
    <b v="0"/>
    <b v="1"/>
    <m/>
    <n v="4"/>
    <s v="Accessible"/>
    <m/>
    <s v="Le village accueille une population"/>
    <s v="Le village est intact (construit)"/>
    <m/>
    <m/>
    <s v="Oui"/>
    <s v="Sites de déplacement spontanés"/>
    <s v="Non, pas du tout"/>
    <m/>
    <m/>
    <n v="115"/>
    <n v="579"/>
    <s v="Oui"/>
    <s v="Premier déplacement"/>
    <n v="115"/>
    <n v="579"/>
    <n v="227"/>
    <n v="352"/>
    <n v="0"/>
    <n v="0"/>
    <n v="0"/>
    <n v="0"/>
    <m/>
    <m/>
    <n v="0"/>
    <n v="115"/>
    <s v="Paille/Natte/Nylon"/>
    <m/>
    <n v="0"/>
    <s v="Augmentation  de 6 ménages  pour  40 individus dont 24 femmes,  15 hommes du au arriver  en provenance  d'amchidé , puis un ajout de 5 individus dont 3 femmes, 2 hommes  dû au naissance en fin  une diminution  de 5 individus dont 2 hommes,  3 femmes dans la période de 2022"/>
    <s v="Non"/>
    <m/>
    <m/>
    <m/>
    <m/>
    <m/>
    <m/>
    <m/>
    <m/>
    <m/>
    <m/>
    <m/>
    <m/>
    <m/>
    <m/>
    <m/>
    <s v="Non"/>
    <m/>
    <m/>
    <m/>
    <m/>
    <m/>
    <m/>
    <m/>
    <m/>
    <m/>
    <m/>
    <m/>
    <m/>
    <m/>
    <m/>
    <m/>
    <m/>
    <m/>
    <m/>
    <m/>
    <m/>
    <n v="0"/>
    <m/>
    <m/>
    <m/>
    <m/>
    <m/>
    <m/>
    <m/>
    <m/>
    <m/>
    <m/>
    <m/>
    <m/>
    <m/>
    <s v="1"/>
    <s v="0"/>
    <s v="0"/>
    <n v="1"/>
  </r>
  <r>
    <n v="2598371"/>
    <s v="Extrême-Nord"/>
    <s v="CMR004"/>
    <x v="4"/>
    <s v="CMR004005"/>
    <s v="Mora"/>
    <s v="CMR004005002"/>
    <s v="MOR-0084"/>
    <s v="SITE DE MAGDEME GANAI"/>
    <m/>
    <x v="1"/>
    <n v="11.169677200000001"/>
    <n v="14.235702399999999"/>
    <x v="1"/>
    <b v="1"/>
    <b v="0"/>
    <b v="1"/>
    <m/>
    <n v="5"/>
    <s v="Accessible"/>
    <m/>
    <s v="Le village accueille une population"/>
    <s v="Le village est intact (construit)"/>
    <m/>
    <m/>
    <s v="Oui"/>
    <s v="Sites de déplacement spontanés"/>
    <s v="Non, pas du tout"/>
    <m/>
    <m/>
    <n v="140"/>
    <n v="232"/>
    <s v="Oui"/>
    <s v="Premier déplacement"/>
    <n v="140"/>
    <n v="1447"/>
    <n v="537"/>
    <n v="910"/>
    <n v="0"/>
    <n v="0"/>
    <n v="0"/>
    <n v="0"/>
    <m/>
    <m/>
    <n v="0"/>
    <n v="140"/>
    <s v="Pagne"/>
    <m/>
    <n v="0"/>
    <s v="Ajout de 20 individu due à la naissance soit 12 F et 8H"/>
    <s v="Non"/>
    <m/>
    <m/>
    <m/>
    <m/>
    <m/>
    <m/>
    <m/>
    <m/>
    <m/>
    <m/>
    <m/>
    <m/>
    <m/>
    <m/>
    <m/>
    <s v="Non"/>
    <m/>
    <m/>
    <m/>
    <m/>
    <m/>
    <m/>
    <m/>
    <m/>
    <m/>
    <m/>
    <m/>
    <m/>
    <m/>
    <m/>
    <m/>
    <m/>
    <m/>
    <m/>
    <m/>
    <m/>
    <n v="0"/>
    <m/>
    <m/>
    <m/>
    <m/>
    <m/>
    <m/>
    <m/>
    <m/>
    <m/>
    <m/>
    <m/>
    <m/>
    <m/>
    <s v="1"/>
    <s v="0"/>
    <s v="0"/>
    <n v="1"/>
  </r>
  <r>
    <n v="2596985"/>
    <s v="Extrême-Nord"/>
    <s v="CMR004"/>
    <x v="4"/>
    <s v="CMR004005"/>
    <s v="Mora"/>
    <s v="CMR004005002"/>
    <s v="MOR-0044"/>
    <s v="SITE DE MEME - ALDJE 1"/>
    <m/>
    <x v="1"/>
    <n v="10.968814099999999"/>
    <n v="14.2295531"/>
    <x v="1"/>
    <b v="1"/>
    <b v="0"/>
    <b v="1"/>
    <m/>
    <n v="4"/>
    <s v="Accessible"/>
    <m/>
    <s v="Le village accueille une population"/>
    <s v="Le village est partiellement détruit"/>
    <s v="Attaques armées"/>
    <m/>
    <s v="Oui"/>
    <s v="Sites de déplacement spontanés"/>
    <s v="Non, pas du tout"/>
    <m/>
    <m/>
    <n v="125"/>
    <n v="511"/>
    <s v="Oui"/>
    <s v="Deuxième déplacement"/>
    <n v="125"/>
    <n v="511"/>
    <n v="208"/>
    <n v="303"/>
    <n v="0"/>
    <n v="0"/>
    <n v="0"/>
    <n v="0"/>
    <m/>
    <m/>
    <n v="0"/>
    <n v="125"/>
    <s v="Paille/Natte/Nylon"/>
    <m/>
    <n v="0"/>
    <s v="Ajout de 3 ménages de 15 individus soit 6h et 9 f venus de Amchide suite à l'insécurité ou ils sont en abris spontanées  et 14 individus soit 6 h et 8 f du aux naissances . Une diminution de de 5 ménages de 35 individus soit 13 h et 23 f parti pour Yala Yalta à la  recherche des terres cultivable . Et 6 individus soit 1f et  5 hommes décédées dans la période d'avant 2020. Assistance reçu en  article ménager."/>
    <s v="Non"/>
    <m/>
    <m/>
    <m/>
    <m/>
    <m/>
    <m/>
    <m/>
    <m/>
    <m/>
    <m/>
    <m/>
    <m/>
    <m/>
    <m/>
    <m/>
    <s v="Non"/>
    <m/>
    <m/>
    <m/>
    <m/>
    <m/>
    <m/>
    <m/>
    <m/>
    <m/>
    <m/>
    <m/>
    <m/>
    <m/>
    <m/>
    <m/>
    <m/>
    <m/>
    <m/>
    <m/>
    <m/>
    <n v="0"/>
    <m/>
    <m/>
    <m/>
    <m/>
    <m/>
    <m/>
    <m/>
    <m/>
    <m/>
    <m/>
    <m/>
    <m/>
    <m/>
    <s v="1"/>
    <s v="0"/>
    <s v="0"/>
    <n v="1"/>
  </r>
  <r>
    <n v="2598377"/>
    <s v="Extrême-Nord"/>
    <s v="CMR004"/>
    <x v="4"/>
    <s v="CMR004005"/>
    <s v="Mora"/>
    <s v="CMR004005002"/>
    <s v="MOR-0048"/>
    <s v="SITE DE MEME - ALDJE 2"/>
    <m/>
    <x v="1"/>
    <n v="10.982770500000001"/>
    <n v="14.2397007"/>
    <x v="1"/>
    <b v="1"/>
    <b v="0"/>
    <b v="1"/>
    <m/>
    <n v="3"/>
    <s v="Accessible"/>
    <m/>
    <s v="Le village accueille une population"/>
    <s v="Le village est intact (construit)"/>
    <m/>
    <m/>
    <s v="Oui"/>
    <s v="Sites de déplacement spontanés"/>
    <s v="Non, pas du tout"/>
    <m/>
    <m/>
    <n v="41"/>
    <n v="273"/>
    <s v="Oui"/>
    <s v="Deuxième déplacement"/>
    <n v="41"/>
    <n v="273"/>
    <n v="120"/>
    <n v="153"/>
    <n v="0"/>
    <n v="0"/>
    <n v="0"/>
    <n v="0"/>
    <m/>
    <m/>
    <n v="0"/>
    <n v="41"/>
    <s v="Paille/Natte/Nylon"/>
    <m/>
    <n v="0"/>
    <s v="Ajout d'un ménage de 6 individus soit 2 hommes et 4 femmes vénus de kolofata et 7 individus soit 2 hommes et 5 femmes  dû aux naissances.  Une diminution de 1 femmes  décédée dans la période d'avant 2020. Assistance reçus  en NFI pour quelque ménage par la croix rouge. "/>
    <s v="Non"/>
    <m/>
    <m/>
    <m/>
    <m/>
    <m/>
    <m/>
    <m/>
    <m/>
    <m/>
    <m/>
    <m/>
    <m/>
    <m/>
    <m/>
    <m/>
    <s v="Non"/>
    <m/>
    <m/>
    <m/>
    <m/>
    <m/>
    <m/>
    <m/>
    <m/>
    <m/>
    <m/>
    <m/>
    <m/>
    <m/>
    <m/>
    <m/>
    <m/>
    <m/>
    <m/>
    <m/>
    <m/>
    <n v="0"/>
    <m/>
    <m/>
    <m/>
    <m/>
    <m/>
    <m/>
    <m/>
    <m/>
    <m/>
    <m/>
    <m/>
    <m/>
    <m/>
    <s v="1"/>
    <s v="0"/>
    <s v="0"/>
    <n v="1"/>
  </r>
  <r>
    <n v="2598375"/>
    <s v="Extrême-Nord"/>
    <s v="CMR004"/>
    <x v="4"/>
    <s v="CMR004005"/>
    <s v="Mora"/>
    <s v="CMR004005002"/>
    <s v="MOR-0047"/>
    <s v="SITE DE MEME - BIA"/>
    <m/>
    <x v="1"/>
    <n v="10.9700127"/>
    <n v="14.2361278"/>
    <x v="1"/>
    <b v="1"/>
    <b v="0"/>
    <b v="1"/>
    <m/>
    <n v="3"/>
    <s v="Accessible"/>
    <m/>
    <s v="Le village accueille une population"/>
    <s v="Le village est partiellement détruit"/>
    <s v="Attaques armées"/>
    <m/>
    <s v="Oui"/>
    <s v="Sites de déplacement spontanés"/>
    <s v="Non, pas du tout"/>
    <m/>
    <m/>
    <n v="94"/>
    <n v="335"/>
    <s v="Oui"/>
    <s v="Deuxième déplacement"/>
    <n v="94"/>
    <n v="335"/>
    <n v="137"/>
    <n v="198"/>
    <n v="0"/>
    <n v="0"/>
    <n v="0"/>
    <n v="0"/>
    <m/>
    <m/>
    <n v="0"/>
    <n v="94"/>
    <s v="Paille/Natte/Nylon"/>
    <m/>
    <n v="0"/>
    <s v="Ajout d'un ménage de 11 individus 4 homme et 7 femmes  dû aux naissances  (3 individus ) et l'insécurité venant de Bia et sont dans les abris spontanées.  Une diminution de 8 ménage de 33 individus soit 3 décès et 30 individus  (12 H/18F) partis dans la région du nord à la recherche de terre cultivable parmi les individus vénus d'avant 2020. Pas d'assistance. "/>
    <s v="Non"/>
    <m/>
    <m/>
    <m/>
    <m/>
    <m/>
    <m/>
    <m/>
    <m/>
    <m/>
    <m/>
    <m/>
    <m/>
    <m/>
    <m/>
    <m/>
    <s v="Non"/>
    <m/>
    <m/>
    <m/>
    <m/>
    <m/>
    <m/>
    <m/>
    <m/>
    <m/>
    <m/>
    <m/>
    <m/>
    <m/>
    <m/>
    <m/>
    <m/>
    <m/>
    <m/>
    <m/>
    <m/>
    <n v="0"/>
    <m/>
    <m/>
    <m/>
    <m/>
    <m/>
    <m/>
    <m/>
    <m/>
    <m/>
    <m/>
    <m/>
    <m/>
    <m/>
    <s v="1"/>
    <s v="0"/>
    <s v="0"/>
    <n v="1"/>
  </r>
  <r>
    <n v="2636925"/>
    <s v="Extrême-Nord"/>
    <s v="CMR004"/>
    <x v="4"/>
    <s v="CMR004005"/>
    <s v="Mora"/>
    <s v="CMR004005002"/>
    <s v="MOR-0046"/>
    <s v="SITE DE MEME - IGAWA 1"/>
    <m/>
    <x v="0"/>
    <n v="10.9913182"/>
    <n v="14.2361799"/>
    <x v="1"/>
    <b v="1"/>
    <b v="0"/>
    <b v="1"/>
    <m/>
    <n v="5"/>
    <s v="Accessible"/>
    <m/>
    <s v="Le village accueille une population"/>
    <s v="Le village est intact (construit)"/>
    <m/>
    <m/>
    <s v="Oui"/>
    <s v="Sites de déplacement spontanés"/>
    <s v="Non, pas du tout"/>
    <m/>
    <m/>
    <n v="1088"/>
    <n v="5505"/>
    <s v="Oui"/>
    <s v="Premier déplacement"/>
    <n v="1088"/>
    <n v="5505"/>
    <n v="2531"/>
    <n v="2974"/>
    <n v="0"/>
    <n v="0"/>
    <n v="0"/>
    <n v="0"/>
    <m/>
    <m/>
    <n v="0"/>
    <n v="1088"/>
    <s v="Bâche"/>
    <m/>
    <n v="0"/>
    <s v="Ajout de 0 ménage pour 90 individus dû à la naissance donc 46 filles et 44 garçons et départ de 60 ménages pour 360 individus pour Amchidé et tolkomari en novembre 2022 donc 200 femmes et des 160 hommes à la recherche des moyens de substances parmi ceux d'avant 2020 et décés de 40 individus donc  26 hommes et 14 filles parmi ceux d'avant 2020."/>
    <s v="Non"/>
    <m/>
    <m/>
    <m/>
    <m/>
    <m/>
    <m/>
    <m/>
    <m/>
    <m/>
    <m/>
    <m/>
    <m/>
    <m/>
    <m/>
    <m/>
    <s v="Non"/>
    <m/>
    <m/>
    <m/>
    <m/>
    <m/>
    <m/>
    <m/>
    <m/>
    <m/>
    <m/>
    <m/>
    <m/>
    <m/>
    <m/>
    <m/>
    <m/>
    <m/>
    <m/>
    <m/>
    <m/>
    <n v="7"/>
    <m/>
    <m/>
    <m/>
    <m/>
    <m/>
    <m/>
    <m/>
    <m/>
    <m/>
    <m/>
    <m/>
    <m/>
    <m/>
    <s v="1"/>
    <s v="0"/>
    <s v="0"/>
    <n v="1"/>
  </r>
  <r>
    <n v="2598376"/>
    <s v="Extrême-Nord"/>
    <s v="CMR004"/>
    <x v="4"/>
    <s v="CMR004005"/>
    <s v="Mora"/>
    <s v="CMR004005002"/>
    <s v="MOR-0045"/>
    <s v="SITE DE MEME - IGAWA 2"/>
    <m/>
    <x v="1"/>
    <n v="10.998806099999999"/>
    <n v="14.2340278"/>
    <x v="1"/>
    <b v="1"/>
    <b v="0"/>
    <b v="1"/>
    <m/>
    <n v="4"/>
    <s v="Accessible"/>
    <m/>
    <s v="Le village accueille une population"/>
    <s v="Le village est intact (construit)"/>
    <m/>
    <m/>
    <s v="Oui"/>
    <s v="Sites de déplacement spontanés"/>
    <s v="Non, pas du tout"/>
    <m/>
    <m/>
    <n v="133"/>
    <n v="604"/>
    <s v="Oui"/>
    <s v="Deuxième déplacement"/>
    <n v="133"/>
    <n v="604"/>
    <n v="242"/>
    <n v="362"/>
    <n v="0"/>
    <n v="0"/>
    <n v="0"/>
    <n v="0"/>
    <m/>
    <m/>
    <n v="0"/>
    <n v="133"/>
    <s v="Paille/Natte/Nylon"/>
    <m/>
    <n v="0"/>
    <s v="Ajout de 12 individus soit 4 hommes et 8 femmes dû  aux naissances.  Le site est en sécurité. "/>
    <s v="Non"/>
    <m/>
    <m/>
    <m/>
    <m/>
    <m/>
    <m/>
    <m/>
    <m/>
    <m/>
    <m/>
    <m/>
    <m/>
    <m/>
    <m/>
    <m/>
    <s v="Non"/>
    <m/>
    <m/>
    <m/>
    <m/>
    <m/>
    <m/>
    <m/>
    <m/>
    <m/>
    <m/>
    <m/>
    <m/>
    <m/>
    <m/>
    <m/>
    <m/>
    <m/>
    <m/>
    <m/>
    <m/>
    <n v="0"/>
    <m/>
    <m/>
    <m/>
    <m/>
    <m/>
    <m/>
    <m/>
    <m/>
    <m/>
    <m/>
    <m/>
    <m/>
    <m/>
    <s v="1"/>
    <s v="0"/>
    <s v="0"/>
    <n v="1"/>
  </r>
  <r>
    <n v="2636926"/>
    <s v="Extrême-Nord"/>
    <s v="CMR004"/>
    <x v="4"/>
    <s v="CMR004005"/>
    <s v="Mora"/>
    <s v="CMR004005002"/>
    <s v="MOR-0049"/>
    <s v="SITE DE MEME - TALLA BRAHIM"/>
    <m/>
    <x v="1"/>
    <n v="10.982061"/>
    <n v="14.239873100000001"/>
    <x v="1"/>
    <b v="1"/>
    <b v="0"/>
    <b v="1"/>
    <m/>
    <n v="5"/>
    <s v="Accessible"/>
    <m/>
    <s v="Le village accueille une population"/>
    <s v="Le village est intact (construit)"/>
    <m/>
    <m/>
    <s v="Oui"/>
    <s v="Sites de déplacement spontanés"/>
    <s v="Non, pas du tout"/>
    <m/>
    <m/>
    <n v="17"/>
    <n v="121"/>
    <s v="Oui"/>
    <s v="Premier déplacement"/>
    <n v="17"/>
    <n v="121"/>
    <n v="51"/>
    <n v="70"/>
    <n v="0"/>
    <n v="0"/>
    <n v="0"/>
    <n v="0"/>
    <m/>
    <m/>
    <n v="0"/>
    <n v="17"/>
    <s v="Paille/Natte/Nylon"/>
    <m/>
    <n v="0"/>
    <s v="Ajout de 2 ménages pour 9 individus donc 6 femmes et 3 hommes vénus en janvier 2022 à lana  à pieds suite à l'insécurité et vivent dans les abris spontanés et naissances de 8 individus donc 5 garçons et 3 filles et décés d'1 homme parmi ceux d'avant 2020."/>
    <s v="Non"/>
    <m/>
    <m/>
    <m/>
    <m/>
    <m/>
    <m/>
    <m/>
    <m/>
    <m/>
    <m/>
    <m/>
    <m/>
    <m/>
    <m/>
    <m/>
    <s v="Non"/>
    <m/>
    <m/>
    <m/>
    <m/>
    <m/>
    <m/>
    <m/>
    <m/>
    <m/>
    <m/>
    <m/>
    <m/>
    <m/>
    <m/>
    <m/>
    <m/>
    <m/>
    <m/>
    <m/>
    <m/>
    <n v="0"/>
    <m/>
    <m/>
    <m/>
    <m/>
    <m/>
    <m/>
    <m/>
    <m/>
    <m/>
    <m/>
    <m/>
    <m/>
    <m/>
    <s v="1"/>
    <s v="0"/>
    <s v="0"/>
    <n v="1"/>
  </r>
  <r>
    <n v="2649829"/>
    <s v="Extrême-Nord"/>
    <s v="CMR004"/>
    <x v="4"/>
    <s v="CMR004005"/>
    <s v="Mora"/>
    <s v="CMR004005002"/>
    <s v="MOR-0043"/>
    <s v="SITE DE YEME"/>
    <m/>
    <x v="1"/>
    <n v="11.1776283"/>
    <n v="14.4354219"/>
    <x v="1"/>
    <b v="1"/>
    <b v="0"/>
    <b v="1"/>
    <m/>
    <n v="3"/>
    <s v="Accessible"/>
    <m/>
    <s v="Le village accueille une population"/>
    <s v="Le village est intact (construit)"/>
    <m/>
    <m/>
    <s v="Oui"/>
    <s v="Sites de déplacement spontanés"/>
    <s v="Non, pas du tout"/>
    <m/>
    <m/>
    <n v="2"/>
    <n v="2442"/>
    <s v="Oui"/>
    <s v="Premier déplacement"/>
    <n v="2"/>
    <n v="16"/>
    <n v="9"/>
    <n v="7"/>
    <n v="0"/>
    <n v="0"/>
    <n v="0"/>
    <n v="0"/>
    <m/>
    <m/>
    <n v="0"/>
    <n v="2"/>
    <s v="Paille/Natte/Nylon"/>
    <m/>
    <n v="0"/>
    <s v="Pas de changement du côté de idp dans le village."/>
    <s v="Oui"/>
    <n v="306"/>
    <n v="2432"/>
    <n v="1032"/>
    <n v="1400"/>
    <n v="0"/>
    <n v="0"/>
    <n v="0"/>
    <m/>
    <n v="0"/>
    <n v="306"/>
    <s v="Paille/Natte/Nylon"/>
    <m/>
    <n v="0"/>
    <n v="0"/>
    <s v="Il y a eu un naissances des 4 garçons et 4 filles."/>
    <s v="Non"/>
    <m/>
    <m/>
    <m/>
    <m/>
    <m/>
    <m/>
    <m/>
    <m/>
    <m/>
    <m/>
    <m/>
    <m/>
    <m/>
    <m/>
    <m/>
    <m/>
    <m/>
    <m/>
    <m/>
    <m/>
    <n v="0"/>
    <m/>
    <m/>
    <m/>
    <m/>
    <m/>
    <m/>
    <m/>
    <m/>
    <m/>
    <m/>
    <m/>
    <m/>
    <m/>
    <s v="1"/>
    <s v="1"/>
    <s v="0"/>
    <n v="2"/>
  </r>
  <r>
    <n v="2648206"/>
    <s v="Extrême-Nord"/>
    <s v="CMR004"/>
    <x v="4"/>
    <s v="CMR004005"/>
    <s v="Mora"/>
    <s v="CMR004005002"/>
    <s v="MOR-0040"/>
    <s v="TAGAWA"/>
    <m/>
    <x v="1"/>
    <n v="11.3203081"/>
    <n v="14.4415133"/>
    <x v="0"/>
    <b v="1"/>
    <b v="0"/>
    <b v="1"/>
    <m/>
    <n v="3"/>
    <s v="Accessible"/>
    <m/>
    <s v="Le village accueille une population"/>
    <s v="Le village est intact (construit)"/>
    <m/>
    <m/>
    <s v="Oui"/>
    <s v="Familles d'accueil"/>
    <s v="Non, pas du tout"/>
    <s v="Non"/>
    <m/>
    <n v="41"/>
    <n v="1958"/>
    <s v="Oui"/>
    <s v="Premier déplacement"/>
    <n v="41"/>
    <n v="212"/>
    <n v="81"/>
    <n v="131"/>
    <n v="4"/>
    <n v="37"/>
    <n v="0"/>
    <n v="0"/>
    <m/>
    <m/>
    <n v="0"/>
    <n v="0"/>
    <m/>
    <m/>
    <n v="0"/>
    <s v="Le village accueil les déplacés"/>
    <s v="Non"/>
    <m/>
    <m/>
    <m/>
    <m/>
    <m/>
    <m/>
    <m/>
    <m/>
    <m/>
    <m/>
    <m/>
    <m/>
    <m/>
    <m/>
    <m/>
    <s v="Oui"/>
    <n v="2"/>
    <n v="9"/>
    <n v="3"/>
    <n v="6"/>
    <s v="Entre 1 et 5 ans"/>
    <n v="2"/>
    <n v="0"/>
    <n v="0"/>
    <n v="0"/>
    <n v="0"/>
    <m/>
    <n v="0"/>
    <n v="0"/>
    <m/>
    <n v="0"/>
    <m/>
    <m/>
    <m/>
    <m/>
    <m/>
    <n v="0"/>
    <m/>
    <m/>
    <m/>
    <m/>
    <m/>
    <m/>
    <m/>
    <m/>
    <m/>
    <m/>
    <m/>
    <m/>
    <m/>
    <s v="1"/>
    <s v="0"/>
    <s v="1"/>
    <n v="2"/>
  </r>
  <r>
    <n v="2648207"/>
    <s v="Extrême-Nord"/>
    <s v="CMR004"/>
    <x v="4"/>
    <s v="CMR004005"/>
    <s v="Mora"/>
    <s v="CMR004005002"/>
    <s v="MOR-0085"/>
    <s v="TAGAWA 1 (OURO-HOURSO)"/>
    <m/>
    <x v="1"/>
    <n v="11.3184524"/>
    <n v="14.437163399999999"/>
    <x v="0"/>
    <b v="0"/>
    <b v="0"/>
    <b v="1"/>
    <m/>
    <m/>
    <s v="Accessible"/>
    <m/>
    <s v="Le village accueille une population"/>
    <s v="Le village est intact (construit)"/>
    <m/>
    <m/>
    <s v="Oui"/>
    <s v="Familles d'accueil"/>
    <s v="Non, pas du tout"/>
    <s v="Non"/>
    <m/>
    <n v="20"/>
    <n v="640"/>
    <s v="Oui"/>
    <s v="Premier déplacement"/>
    <n v="20"/>
    <n v="110"/>
    <n v="34"/>
    <n v="76"/>
    <n v="2"/>
    <n v="18"/>
    <n v="0"/>
    <n v="0"/>
    <m/>
    <m/>
    <n v="0"/>
    <n v="0"/>
    <m/>
    <m/>
    <n v="0"/>
    <s v="Le village reste intact et en sécurité"/>
    <s v="Non"/>
    <m/>
    <m/>
    <m/>
    <m/>
    <m/>
    <m/>
    <m/>
    <m/>
    <m/>
    <m/>
    <m/>
    <m/>
    <m/>
    <m/>
    <m/>
    <s v="Non"/>
    <m/>
    <m/>
    <m/>
    <m/>
    <m/>
    <m/>
    <m/>
    <m/>
    <m/>
    <m/>
    <m/>
    <m/>
    <m/>
    <m/>
    <m/>
    <m/>
    <m/>
    <m/>
    <m/>
    <m/>
    <n v="0"/>
    <m/>
    <m/>
    <m/>
    <m/>
    <m/>
    <m/>
    <m/>
    <m/>
    <m/>
    <m/>
    <m/>
    <m/>
    <m/>
    <s v="1"/>
    <s v="0"/>
    <s v="0"/>
    <n v="1"/>
  </r>
  <r>
    <n v="2598233"/>
    <s v="Extrême-Nord"/>
    <s v="CMR004"/>
    <x v="4"/>
    <s v="CMR004005"/>
    <s v="Mora"/>
    <s v="CMR004005002"/>
    <s v="MOR-0086"/>
    <s v="TAGAWA 2 (DALIL)"/>
    <m/>
    <x v="1"/>
    <n v="11.320218799999999"/>
    <n v="14.4415826"/>
    <x v="0"/>
    <b v="1"/>
    <b v="0"/>
    <b v="1"/>
    <m/>
    <n v="3"/>
    <s v="Accessible"/>
    <m/>
    <s v="Le village accueille une population"/>
    <s v="Le village est intact (construit)"/>
    <m/>
    <m/>
    <s v="Oui"/>
    <s v="Familles d'accueil"/>
    <s v="Non, pas du tout"/>
    <s v="Non"/>
    <m/>
    <n v="15"/>
    <n v="699"/>
    <s v="Oui"/>
    <s v="Premier déplacement"/>
    <n v="15"/>
    <n v="117"/>
    <n v="44"/>
    <n v="73"/>
    <n v="0"/>
    <n v="15"/>
    <n v="0"/>
    <n v="0"/>
    <m/>
    <m/>
    <n v="0"/>
    <n v="0"/>
    <m/>
    <m/>
    <n v="0"/>
    <s v="Ajout de 3 individu lié à la naissance et réductions de 1 femme due au décès"/>
    <s v="Oui"/>
    <n v="12"/>
    <n v="58"/>
    <n v="24"/>
    <n v="34"/>
    <n v="12"/>
    <n v="0"/>
    <n v="0"/>
    <m/>
    <n v="0"/>
    <n v="0"/>
    <m/>
    <m/>
    <n v="0"/>
    <n v="12"/>
    <s v="Pas de changement"/>
    <s v="Non"/>
    <m/>
    <m/>
    <m/>
    <m/>
    <m/>
    <m/>
    <m/>
    <m/>
    <m/>
    <m/>
    <m/>
    <m/>
    <m/>
    <m/>
    <m/>
    <m/>
    <m/>
    <m/>
    <m/>
    <m/>
    <n v="0"/>
    <m/>
    <m/>
    <m/>
    <m/>
    <m/>
    <m/>
    <m/>
    <m/>
    <m/>
    <m/>
    <m/>
    <m/>
    <m/>
    <s v="1"/>
    <s v="1"/>
    <s v="0"/>
    <n v="2"/>
  </r>
  <r>
    <n v="2598372"/>
    <s v="Extrême-Nord"/>
    <s v="CMR004"/>
    <x v="4"/>
    <s v="CMR004005"/>
    <s v="Mora"/>
    <s v="CMR004005002"/>
    <s v="MOR-0087"/>
    <s v="TAGAWA 3 (MAHAMAT)"/>
    <m/>
    <x v="1"/>
    <n v="11.321762700000001"/>
    <n v="14.445156900000001"/>
    <x v="0"/>
    <b v="1"/>
    <b v="0"/>
    <b v="1"/>
    <m/>
    <n v="4"/>
    <s v="Accessible"/>
    <m/>
    <s v="Le village accueille une population"/>
    <s v="Le village est intact (construit)"/>
    <m/>
    <m/>
    <s v="Oui"/>
    <s v="Familles d'accueil"/>
    <s v="Non, pas du tout"/>
    <s v="Non"/>
    <m/>
    <n v="9"/>
    <n v="620"/>
    <s v="Oui"/>
    <s v="Premier déplacement"/>
    <n v="9"/>
    <n v="51"/>
    <n v="28"/>
    <n v="23"/>
    <n v="2"/>
    <n v="7"/>
    <n v="0"/>
    <n v="0"/>
    <m/>
    <m/>
    <n v="0"/>
    <n v="0"/>
    <m/>
    <m/>
    <n v="0"/>
    <s v="Ajout de 10 individu due à la naissance"/>
    <s v="Oui"/>
    <n v="10"/>
    <n v="40"/>
    <n v="27"/>
    <n v="13"/>
    <n v="10"/>
    <n v="0"/>
    <n v="0"/>
    <m/>
    <n v="0"/>
    <n v="0"/>
    <m/>
    <m/>
    <n v="0"/>
    <n v="10"/>
    <s v="Pas de changement"/>
    <s v="Non"/>
    <m/>
    <m/>
    <m/>
    <m/>
    <m/>
    <m/>
    <m/>
    <m/>
    <m/>
    <m/>
    <m/>
    <m/>
    <m/>
    <m/>
    <m/>
    <m/>
    <m/>
    <m/>
    <m/>
    <m/>
    <n v="0"/>
    <m/>
    <m/>
    <m/>
    <m/>
    <m/>
    <m/>
    <m/>
    <m/>
    <m/>
    <m/>
    <m/>
    <m/>
    <m/>
    <s v="1"/>
    <s v="1"/>
    <s v="0"/>
    <n v="2"/>
  </r>
  <r>
    <n v="2630609"/>
    <s v="Extrême-Nord"/>
    <s v="CMR004"/>
    <x v="4"/>
    <s v="CMR004005"/>
    <s v="Mora"/>
    <s v="CMR004005002"/>
    <s v="MOR-0078"/>
    <s v="TALLA LAWAN"/>
    <m/>
    <x v="1"/>
    <n v="11.0184938"/>
    <n v="14.284852799999999"/>
    <x v="0"/>
    <b v="1"/>
    <b v="0"/>
    <b v="1"/>
    <m/>
    <n v="5"/>
    <s v="Accessible"/>
    <m/>
    <s v="Le village accueille une population"/>
    <s v="Le village est intact (construit)"/>
    <m/>
    <m/>
    <s v="Oui"/>
    <s v="Familles d'accueil"/>
    <s v="Non, pas du tout"/>
    <s v="Non"/>
    <m/>
    <n v="23"/>
    <n v="2620"/>
    <s v="Oui"/>
    <s v="Deuxième déplacement"/>
    <n v="23"/>
    <n v="160"/>
    <n v="74"/>
    <n v="86"/>
    <n v="0"/>
    <n v="23"/>
    <n v="0"/>
    <n v="0"/>
    <m/>
    <m/>
    <n v="0"/>
    <n v="0"/>
    <m/>
    <m/>
    <n v="0"/>
    <s v="Ajout de 0 ménage pour 9 individus dû à la naissance donc 5 garçons et 4 filles et décés de 2 individus donc 1 homme  et 1 femme parmi ceux d'avant 2020."/>
    <s v="Oui"/>
    <n v="7"/>
    <n v="85"/>
    <n v="39"/>
    <n v="46"/>
    <n v="0"/>
    <n v="0"/>
    <n v="7"/>
    <s v="Logement indépendant (Maison indépendante)"/>
    <n v="0"/>
    <n v="0"/>
    <m/>
    <m/>
    <n v="0"/>
    <n v="0"/>
    <s v="Ajout de 0 ménage pour 8 individus dû à la naissance  donc 5 filles et 3 garçons et décés de 4 individus donc 3 hommes et 1 femme parmi ceux d'avant 2020."/>
    <s v="Non"/>
    <m/>
    <m/>
    <m/>
    <m/>
    <m/>
    <m/>
    <m/>
    <m/>
    <m/>
    <m/>
    <m/>
    <m/>
    <m/>
    <m/>
    <m/>
    <m/>
    <m/>
    <m/>
    <m/>
    <m/>
    <n v="0"/>
    <m/>
    <m/>
    <m/>
    <m/>
    <m/>
    <m/>
    <m/>
    <m/>
    <m/>
    <m/>
    <m/>
    <m/>
    <m/>
    <s v="1"/>
    <s v="1"/>
    <s v="0"/>
    <n v="2"/>
  </r>
  <r>
    <n v="2653681"/>
    <s v="Extrême-Nord"/>
    <s v="CMR004"/>
    <x v="4"/>
    <s v="CMR004005"/>
    <s v="Mora"/>
    <s v="CMR004005002"/>
    <s v="MOR-0032"/>
    <s v="TAYER"/>
    <m/>
    <x v="1"/>
    <n v="11.127468"/>
    <n v="14.1920438"/>
    <x v="0"/>
    <b v="1"/>
    <b v="0"/>
    <b v="1"/>
    <m/>
    <n v="3"/>
    <s v="Accessible"/>
    <m/>
    <s v="Le village accueille une population"/>
    <s v="Le village est intact (construit)"/>
    <m/>
    <m/>
    <s v="Oui"/>
    <s v="Familles d'accueil"/>
    <s v="Non, pas du tout"/>
    <s v="Non"/>
    <m/>
    <n v="188"/>
    <n v="2448"/>
    <s v="Oui"/>
    <s v="Premier déplacement"/>
    <n v="188"/>
    <n v="895"/>
    <n v="289"/>
    <n v="606"/>
    <n v="75"/>
    <n v="98"/>
    <n v="0"/>
    <n v="0"/>
    <m/>
    <m/>
    <n v="0"/>
    <n v="15"/>
    <s v="Tôle"/>
    <m/>
    <n v="0"/>
    <s v="Il y'a ajout de 30 ménages de 70 individus  (15H, 55H) venus de mémé à la recherche de terres cultivables, logés tous en famille d'accueil . Autre ajout de 20 individus  (8h,12f) suite aux naissances.  Diminution d'un menage de 5 individus  (3h,2f) parti pour Magdemé à cause de la vie difficile dans la ville d'accueil. Autre diminution de 10 individus (6h,4f) suite aux décès."/>
    <s v="Oui"/>
    <n v="10"/>
    <n v="47"/>
    <n v="17"/>
    <n v="30"/>
    <n v="7"/>
    <n v="0"/>
    <n v="0"/>
    <m/>
    <n v="0"/>
    <n v="3"/>
    <s v="Terre cuite/Terre battue"/>
    <m/>
    <n v="0"/>
    <n v="0"/>
    <s v="Ajout de 6 ménages de 27 individus  (9h,18f) venus de Oyo suite à l'insécurité "/>
    <s v="Oui"/>
    <n v="140"/>
    <n v="851"/>
    <n v="350"/>
    <n v="501"/>
    <s v="Entre 1 et 5 ans"/>
    <n v="120"/>
    <n v="0"/>
    <n v="20"/>
    <n v="0"/>
    <n v="0"/>
    <m/>
    <n v="0"/>
    <n v="0"/>
    <m/>
    <n v="0"/>
    <m/>
    <m/>
    <m/>
    <m/>
    <m/>
    <n v="0"/>
    <m/>
    <m/>
    <m/>
    <m/>
    <m/>
    <m/>
    <m/>
    <m/>
    <m/>
    <m/>
    <m/>
    <m/>
    <m/>
    <s v="1"/>
    <s v="1"/>
    <s v="1"/>
    <n v="3"/>
  </r>
  <r>
    <n v="2648209"/>
    <s v="Extrême-Nord"/>
    <s v="CMR004"/>
    <x v="4"/>
    <s v="CMR004005"/>
    <s v="Mora"/>
    <s v="CMR004005002"/>
    <s v="MOR-0033"/>
    <s v="TCHAKARMARI"/>
    <m/>
    <x v="1"/>
    <n v="11.2216167"/>
    <n v="14.2951558"/>
    <x v="0"/>
    <b v="1"/>
    <b v="0"/>
    <b v="1"/>
    <m/>
    <n v="4"/>
    <s v="Accessible"/>
    <m/>
    <s v="Le village accueille une population"/>
    <s v="Le village est intact (construit)"/>
    <m/>
    <m/>
    <s v="Oui"/>
    <s v="Familles d'accueil"/>
    <s v="Non, pas du tout"/>
    <s v="Non"/>
    <m/>
    <n v="470"/>
    <n v="3470"/>
    <s v="Oui"/>
    <s v="Premier déplacement"/>
    <n v="470"/>
    <n v="1733"/>
    <n v="604"/>
    <n v="1129"/>
    <n v="25"/>
    <n v="125"/>
    <n v="0"/>
    <n v="87"/>
    <s v="Chez une famille d'accueil (contre loyer)"/>
    <m/>
    <n v="0"/>
    <n v="233"/>
    <s v="Bâche"/>
    <m/>
    <n v="0"/>
    <s v="Le village reste intact avec les déplacés mais manque de vivres"/>
    <s v="Non"/>
    <m/>
    <m/>
    <m/>
    <m/>
    <m/>
    <m/>
    <m/>
    <m/>
    <m/>
    <m/>
    <m/>
    <m/>
    <m/>
    <m/>
    <m/>
    <s v="Oui"/>
    <n v="157"/>
    <n v="670"/>
    <n v="238"/>
    <n v="432"/>
    <s v="Entre 1 et 5 ans"/>
    <n v="57"/>
    <n v="0"/>
    <n v="100"/>
    <n v="0"/>
    <n v="0"/>
    <m/>
    <n v="0"/>
    <n v="0"/>
    <m/>
    <n v="0"/>
    <m/>
    <m/>
    <m/>
    <m/>
    <m/>
    <n v="0"/>
    <m/>
    <m/>
    <m/>
    <m/>
    <m/>
    <m/>
    <m/>
    <m/>
    <m/>
    <m/>
    <m/>
    <m/>
    <m/>
    <s v="1"/>
    <s v="0"/>
    <s v="1"/>
    <n v="2"/>
  </r>
  <r>
    <n v="2598231"/>
    <s v="Extrême-Nord"/>
    <s v="CMR004"/>
    <x v="4"/>
    <s v="CMR004005"/>
    <s v="Mora"/>
    <s v="CMR004005002"/>
    <s v="MOR-0079"/>
    <s v="TOUSKI"/>
    <m/>
    <x v="1"/>
    <n v="11.3596261"/>
    <n v="14.4302169"/>
    <x v="0"/>
    <b v="1"/>
    <b v="0"/>
    <b v="1"/>
    <m/>
    <n v="4"/>
    <s v="Accessible"/>
    <m/>
    <s v="Le village accueille une population"/>
    <s v="Le village est intact (construit)"/>
    <m/>
    <m/>
    <s v="Oui"/>
    <s v="Familles d'accueil"/>
    <s v="Sites de déplacement spontanés"/>
    <s v="Non"/>
    <m/>
    <n v="7"/>
    <n v="2392"/>
    <s v="Oui"/>
    <s v="Premier déplacement"/>
    <n v="7"/>
    <n v="41"/>
    <n v="14"/>
    <n v="27"/>
    <n v="0"/>
    <n v="0"/>
    <n v="0"/>
    <n v="0"/>
    <m/>
    <m/>
    <n v="0"/>
    <n v="7"/>
    <s v="Paille/Natte/Nylon"/>
    <m/>
    <n v="0"/>
    <s v="Ajout de 10 individu due à la naissance et réductions de 4 individu lié au décès"/>
    <s v="Oui"/>
    <n v="42"/>
    <n v="363"/>
    <n v="178"/>
    <n v="185"/>
    <n v="0"/>
    <n v="0"/>
    <n v="0"/>
    <m/>
    <n v="0"/>
    <n v="42"/>
    <s v="Pagne"/>
    <m/>
    <n v="0"/>
    <n v="42"/>
    <s v="Ajout de 20 individu due à la naissance soit 10h et 10f"/>
    <s v="Non"/>
    <m/>
    <m/>
    <m/>
    <m/>
    <m/>
    <m/>
    <m/>
    <m/>
    <m/>
    <m/>
    <m/>
    <m/>
    <m/>
    <m/>
    <m/>
    <m/>
    <m/>
    <m/>
    <m/>
    <m/>
    <n v="0"/>
    <m/>
    <m/>
    <m/>
    <m/>
    <m/>
    <m/>
    <m/>
    <m/>
    <m/>
    <m/>
    <m/>
    <m/>
    <m/>
    <s v="1"/>
    <s v="1"/>
    <s v="0"/>
    <n v="2"/>
  </r>
  <r>
    <n v="2596748"/>
    <s v="Extrême-Nord"/>
    <s v="CMR004"/>
    <x v="4"/>
    <s v="CMR004005"/>
    <s v="Mora"/>
    <s v="CMR004005002"/>
    <s v="MOR-0025"/>
    <s v="VOUAWA"/>
    <m/>
    <x v="1"/>
    <n v="11.041036200000001"/>
    <n v="14.134584500000001"/>
    <x v="0"/>
    <b v="1"/>
    <b v="0"/>
    <b v="1"/>
    <m/>
    <n v="4"/>
    <s v="Accessible"/>
    <m/>
    <s v="Le village accueille une population"/>
    <s v="Le village est intact (construit)"/>
    <m/>
    <m/>
    <s v="Oui"/>
    <s v="Familles d'accueil"/>
    <s v="Location"/>
    <s v="Non"/>
    <m/>
    <n v="62"/>
    <n v="2257"/>
    <s v="Oui"/>
    <s v="Premier déplacement"/>
    <n v="62"/>
    <n v="422"/>
    <n v="164"/>
    <n v="258"/>
    <n v="0"/>
    <n v="37"/>
    <n v="0"/>
    <n v="25"/>
    <s v="Logement indépendant (Maison indépendante)"/>
    <m/>
    <n v="0"/>
    <n v="0"/>
    <m/>
    <m/>
    <n v="0"/>
    <s v="Diminution de 2 ménages de 5 individus 2 hommes et 3 femmes parti pour kerawa à la recherche de terre cultivable on ils étaient en location.  Par d'assistance  le village est en sécurité. "/>
    <s v="Non"/>
    <m/>
    <m/>
    <m/>
    <m/>
    <m/>
    <m/>
    <m/>
    <m/>
    <m/>
    <m/>
    <m/>
    <m/>
    <m/>
    <m/>
    <m/>
    <s v="Non"/>
    <m/>
    <m/>
    <m/>
    <m/>
    <m/>
    <m/>
    <m/>
    <m/>
    <m/>
    <m/>
    <m/>
    <m/>
    <m/>
    <m/>
    <m/>
    <m/>
    <m/>
    <m/>
    <m/>
    <m/>
    <n v="0"/>
    <m/>
    <m/>
    <m/>
    <m/>
    <m/>
    <m/>
    <m/>
    <m/>
    <m/>
    <m/>
    <m/>
    <m/>
    <m/>
    <s v="1"/>
    <s v="0"/>
    <s v="0"/>
    <n v="1"/>
  </r>
  <r>
    <n v="2658463"/>
    <s v="Extrême-Nord"/>
    <s v="CMR004"/>
    <x v="4"/>
    <s v="CMR004005"/>
    <s v="Mora"/>
    <s v="CMR004005002"/>
    <s v="MOR-0020"/>
    <s v="WALADE 2"/>
    <m/>
    <x v="1"/>
    <n v="11.0504999"/>
    <n v="14.1324814"/>
    <x v="0"/>
    <b v="1"/>
    <b v="0"/>
    <b v="0"/>
    <m/>
    <n v="4"/>
    <s v="Accessible"/>
    <m/>
    <s v="Le village accueille une population"/>
    <s v="Le village est intact (construit)"/>
    <m/>
    <m/>
    <s v="Oui"/>
    <s v="Familles d'accueil"/>
    <s v="Non, pas du tout"/>
    <s v="Non"/>
    <m/>
    <n v="122"/>
    <n v="2548"/>
    <s v="Oui"/>
    <s v="Premier déplacement"/>
    <n v="122"/>
    <n v="776"/>
    <n v="310"/>
    <n v="466"/>
    <n v="2"/>
    <n v="35"/>
    <n v="75"/>
    <n v="10"/>
    <s v="Chez une famille d'accueil (contre loyer)"/>
    <m/>
    <n v="0"/>
    <n v="0"/>
    <m/>
    <m/>
    <n v="0"/>
    <s v="Les idp sont en famille d'accueil"/>
    <s v="Non"/>
    <m/>
    <m/>
    <m/>
    <m/>
    <m/>
    <m/>
    <m/>
    <m/>
    <m/>
    <m/>
    <m/>
    <m/>
    <m/>
    <m/>
    <m/>
    <s v="Non"/>
    <m/>
    <m/>
    <m/>
    <m/>
    <m/>
    <m/>
    <m/>
    <m/>
    <m/>
    <m/>
    <m/>
    <m/>
    <m/>
    <m/>
    <m/>
    <m/>
    <m/>
    <m/>
    <m/>
    <m/>
    <n v="0"/>
    <m/>
    <m/>
    <m/>
    <m/>
    <m/>
    <m/>
    <m/>
    <m/>
    <m/>
    <m/>
    <m/>
    <m/>
    <m/>
    <s v="1"/>
    <s v="0"/>
    <s v="0"/>
    <n v="1"/>
  </r>
  <r>
    <n v="2620194"/>
    <s v="Extrême-Nord"/>
    <s v="CMR004"/>
    <x v="4"/>
    <s v="CMR004005"/>
    <s v="Mora"/>
    <s v="CMR004005002"/>
    <s v="MOR-0021"/>
    <s v="WALADE 3"/>
    <m/>
    <x v="1"/>
    <n v="11.0599375"/>
    <n v="14.1348837"/>
    <x v="0"/>
    <b v="1"/>
    <b v="0"/>
    <b v="1"/>
    <m/>
    <n v="4"/>
    <s v="Accessible"/>
    <m/>
    <s v="Le village accueille une population"/>
    <s v="Le village est intact (construit)"/>
    <m/>
    <m/>
    <s v="Oui"/>
    <s v="Familles d'accueil"/>
    <s v="Non, pas du tout"/>
    <s v="Non"/>
    <m/>
    <n v="374"/>
    <n v="3679"/>
    <s v="Oui"/>
    <s v="Premier déplacement"/>
    <n v="374"/>
    <n v="2199"/>
    <n v="707"/>
    <n v="1492"/>
    <n v="0"/>
    <n v="355"/>
    <n v="10"/>
    <n v="9"/>
    <s v="Chez une famille d'accueil (contre loyer)"/>
    <m/>
    <n v="0"/>
    <n v="0"/>
    <m/>
    <m/>
    <n v="0"/>
    <s v="Augmentation de 0 ménage pour 28 individus dû à la naissance donc 12filles et 16garçons et départ de 45 ménages de 270 individus donc 102 hommes et 168 femmes à  Amchidé en novembre 2022 à la recherche de moyens de substances à pieds, ces ménages étaient en famille d'accueil à titre gratuit parmi ceux d'avant 2020 et décés de 9 individus donc 6 hommes et 3 femmes parmi ceux d'avant 2020."/>
    <s v="Non"/>
    <m/>
    <m/>
    <m/>
    <m/>
    <m/>
    <m/>
    <m/>
    <m/>
    <m/>
    <m/>
    <m/>
    <m/>
    <m/>
    <m/>
    <m/>
    <s v="Non"/>
    <m/>
    <m/>
    <m/>
    <m/>
    <m/>
    <m/>
    <m/>
    <m/>
    <m/>
    <m/>
    <m/>
    <m/>
    <m/>
    <m/>
    <m/>
    <m/>
    <m/>
    <m/>
    <m/>
    <m/>
    <n v="0"/>
    <m/>
    <m/>
    <m/>
    <m/>
    <m/>
    <m/>
    <m/>
    <m/>
    <m/>
    <m/>
    <m/>
    <m/>
    <m/>
    <s v="1"/>
    <s v="0"/>
    <s v="0"/>
    <n v="1"/>
  </r>
  <r>
    <n v="2656673"/>
    <s v="Extrême-Nord"/>
    <s v="CMR004"/>
    <x v="4"/>
    <s v="CMR004005"/>
    <s v="Mora"/>
    <s v="CMR004005002"/>
    <s v="MOR-0034"/>
    <s v="WARAGA"/>
    <m/>
    <x v="1"/>
    <n v="11.2444021"/>
    <n v="14.1479857"/>
    <x v="0"/>
    <b v="1"/>
    <b v="0"/>
    <b v="1"/>
    <m/>
    <n v="3"/>
    <s v="Accessible"/>
    <m/>
    <s v="Le village accueille une population"/>
    <s v="Le village est partiellement détruit"/>
    <s v="Attaques armées"/>
    <m/>
    <s v="Oui"/>
    <s v="Familles d'accueil"/>
    <s v="Non, pas du tout"/>
    <s v="Non"/>
    <m/>
    <n v="10"/>
    <n v="2284"/>
    <s v="Oui"/>
    <s v="Deuxième déplacement"/>
    <n v="10"/>
    <n v="78"/>
    <n v="30"/>
    <n v="48"/>
    <n v="0"/>
    <n v="10"/>
    <n v="0"/>
    <n v="0"/>
    <m/>
    <m/>
    <n v="0"/>
    <n v="0"/>
    <m/>
    <m/>
    <n v="0"/>
    <s v="Pas de mouvement ajout de 2 naissances ( 1 h et 1f )"/>
    <s v="Non"/>
    <m/>
    <m/>
    <m/>
    <m/>
    <m/>
    <m/>
    <m/>
    <m/>
    <m/>
    <m/>
    <m/>
    <m/>
    <m/>
    <m/>
    <m/>
    <s v="Oui"/>
    <n v="195"/>
    <n v="1222"/>
    <n v="495"/>
    <n v="727"/>
    <s v="Entre 1 et 5 ans"/>
    <n v="195"/>
    <n v="0"/>
    <n v="0"/>
    <n v="0"/>
    <n v="0"/>
    <m/>
    <n v="0"/>
    <n v="0"/>
    <m/>
    <n v="0"/>
    <m/>
    <m/>
    <m/>
    <m/>
    <m/>
    <n v="0"/>
    <m/>
    <m/>
    <m/>
    <m/>
    <m/>
    <m/>
    <m/>
    <m/>
    <m/>
    <m/>
    <m/>
    <m/>
    <m/>
    <s v="1"/>
    <s v="0"/>
    <s v="1"/>
    <n v="2"/>
  </r>
  <r>
    <n v="2658460"/>
    <s v="Extrême-Nord"/>
    <s v="CMR004"/>
    <x v="4"/>
    <s v="CMR004005"/>
    <s v="Mora"/>
    <s v="CMR004005002"/>
    <s v="MOR-0072"/>
    <s v="WARBA"/>
    <m/>
    <x v="0"/>
    <n v="10.957894400000001"/>
    <n v="14.172045000000001"/>
    <x v="0"/>
    <b v="1"/>
    <b v="0"/>
    <b v="0"/>
    <m/>
    <n v="3"/>
    <s v="Accessible"/>
    <m/>
    <s v="Le village accueille une population"/>
    <s v="Le village est intact (construit)"/>
    <m/>
    <m/>
    <s v="Oui"/>
    <s v="Familles d'accueil"/>
    <s v="Non, pas du tout"/>
    <s v="Non"/>
    <m/>
    <n v="42"/>
    <n v="9727"/>
    <s v="Oui"/>
    <s v="Premier déplacement"/>
    <n v="42"/>
    <n v="486"/>
    <n v="258"/>
    <n v="228"/>
    <n v="0"/>
    <n v="35"/>
    <n v="4"/>
    <n v="3"/>
    <s v="Chez une famille d'accueil (contre loyer)"/>
    <m/>
    <n v="0"/>
    <n v="0"/>
    <m/>
    <m/>
    <n v="0"/>
    <s v="Manque des vivres chez les déplacés"/>
    <s v="Non"/>
    <m/>
    <m/>
    <m/>
    <m/>
    <m/>
    <m/>
    <m/>
    <m/>
    <m/>
    <m/>
    <m/>
    <m/>
    <m/>
    <m/>
    <m/>
    <s v="Non"/>
    <m/>
    <m/>
    <m/>
    <m/>
    <m/>
    <m/>
    <m/>
    <m/>
    <m/>
    <m/>
    <m/>
    <m/>
    <m/>
    <m/>
    <m/>
    <m/>
    <m/>
    <m/>
    <m/>
    <m/>
    <n v="0"/>
    <m/>
    <m/>
    <m/>
    <m/>
    <m/>
    <m/>
    <m/>
    <m/>
    <m/>
    <m/>
    <m/>
    <m/>
    <m/>
    <s v="1"/>
    <s v="0"/>
    <s v="0"/>
    <n v="1"/>
  </r>
  <r>
    <n v="2612466"/>
    <s v="Extrême-Nord"/>
    <s v="CMR004"/>
    <x v="4"/>
    <s v="CMR004005"/>
    <s v="Mora"/>
    <s v="CMR004005002"/>
    <s v="MOR-0054"/>
    <s v="YALA YALTA"/>
    <m/>
    <x v="1"/>
    <n v="10.9559651"/>
    <n v="14.2703887"/>
    <x v="0"/>
    <b v="1"/>
    <b v="0"/>
    <b v="1"/>
    <m/>
    <n v="3"/>
    <s v="Accessible"/>
    <m/>
    <s v="Le village accueille une population"/>
    <s v="Le village est intact (construit)"/>
    <m/>
    <m/>
    <s v="Oui"/>
    <s v="Familles d'accueil"/>
    <s v="Non, pas du tout"/>
    <s v="Non"/>
    <m/>
    <n v="114"/>
    <n v="487"/>
    <s v="Oui"/>
    <s v="Deuxième déplacement"/>
    <n v="114"/>
    <n v="515"/>
    <n v="157"/>
    <n v="358"/>
    <n v="10"/>
    <n v="104"/>
    <n v="0"/>
    <n v="0"/>
    <m/>
    <m/>
    <n v="0"/>
    <n v="0"/>
    <m/>
    <m/>
    <n v="0"/>
    <s v="Augmentation de  10 ménages pour  58 individus  dont 31 femmes et 27 hommes  en provenance  de  mémé site aldjé 1 à la recherche de terre cultivable puis un ajout  de 20 individus  dont 17 femmes, 3 hommes  dû au naissance  en fin  une diminution  de  6 individus  dont 4 hommes, 2 femmes.  Assistance  en matériaux de construction  par IRC, problème  des vols  quotidiens  des biens."/>
    <s v="Non"/>
    <m/>
    <m/>
    <m/>
    <m/>
    <m/>
    <m/>
    <m/>
    <m/>
    <m/>
    <m/>
    <m/>
    <m/>
    <m/>
    <m/>
    <m/>
    <s v="Non"/>
    <m/>
    <m/>
    <m/>
    <m/>
    <m/>
    <m/>
    <m/>
    <m/>
    <m/>
    <m/>
    <m/>
    <m/>
    <m/>
    <m/>
    <m/>
    <m/>
    <m/>
    <m/>
    <m/>
    <m/>
    <n v="0"/>
    <m/>
    <m/>
    <m/>
    <m/>
    <m/>
    <m/>
    <m/>
    <m/>
    <m/>
    <m/>
    <m/>
    <m/>
    <m/>
    <s v="1"/>
    <s v="0"/>
    <s v="0"/>
    <n v="1"/>
  </r>
  <r>
    <n v="2672288"/>
    <s v="Extrême-Nord"/>
    <s v="CMR004"/>
    <x v="4"/>
    <s v="CMR004005"/>
    <s v="Tokombéré"/>
    <s v="CMR004005003"/>
    <s v="TOK-0015"/>
    <s v="BALA"/>
    <m/>
    <x v="1"/>
    <n v="10.915324999999999"/>
    <n v="14.146874"/>
    <x v="0"/>
    <b v="1"/>
    <b v="0"/>
    <b v="1"/>
    <m/>
    <n v="3"/>
    <s v="Accessible"/>
    <m/>
    <s v="Le village accueille une population"/>
    <s v="Le village est intact (construit)"/>
    <m/>
    <m/>
    <s v="Oui"/>
    <s v="Familles d'accueil"/>
    <s v="Location"/>
    <s v="Non"/>
    <m/>
    <n v="4"/>
    <n v="3607"/>
    <s v="Oui"/>
    <s v="Premier déplacement"/>
    <n v="4"/>
    <n v="50"/>
    <n v="16"/>
    <n v="34"/>
    <n v="0"/>
    <n v="4"/>
    <n v="0"/>
    <n v="0"/>
    <m/>
    <m/>
    <n v="0"/>
    <n v="0"/>
    <m/>
    <m/>
    <n v="0"/>
    <s v="Augmentation 1 individu  du à la naissance "/>
    <s v="Non"/>
    <m/>
    <m/>
    <m/>
    <m/>
    <m/>
    <m/>
    <m/>
    <m/>
    <m/>
    <m/>
    <m/>
    <m/>
    <m/>
    <m/>
    <m/>
    <s v="Non"/>
    <m/>
    <m/>
    <m/>
    <m/>
    <m/>
    <m/>
    <m/>
    <m/>
    <m/>
    <m/>
    <m/>
    <m/>
    <m/>
    <m/>
    <m/>
    <m/>
    <m/>
    <m/>
    <m/>
    <m/>
    <n v="0"/>
    <m/>
    <m/>
    <m/>
    <m/>
    <m/>
    <m/>
    <m/>
    <m/>
    <m/>
    <m/>
    <m/>
    <m/>
    <m/>
    <s v="1"/>
    <s v="0"/>
    <s v="0"/>
    <n v="1"/>
  </r>
  <r>
    <n v="2672287"/>
    <s v="Extrême-Nord"/>
    <s v="CMR004"/>
    <x v="4"/>
    <s v="CMR004005"/>
    <s v="Tokombéré"/>
    <s v="CMR004005003"/>
    <s v="TOK-0012"/>
    <s v="DAKADALA GADADOU"/>
    <m/>
    <x v="1"/>
    <n v="10.8700162"/>
    <n v="14.217026499999999"/>
    <x v="0"/>
    <b v="1"/>
    <b v="0"/>
    <b v="1"/>
    <m/>
    <n v="4"/>
    <s v="Accessible"/>
    <m/>
    <s v="Le village accueille une population"/>
    <s v="Le village est intact (construit)"/>
    <m/>
    <m/>
    <s v="Oui"/>
    <s v="Familles d'accueil"/>
    <s v="Air libre"/>
    <s v="Non"/>
    <m/>
    <n v="1"/>
    <n v="2165"/>
    <s v="Oui"/>
    <s v="Premier déplacement"/>
    <n v="1"/>
    <n v="61"/>
    <n v="23"/>
    <n v="38"/>
    <n v="0"/>
    <n v="1"/>
    <n v="0"/>
    <n v="0"/>
    <m/>
    <m/>
    <n v="0"/>
    <n v="0"/>
    <m/>
    <m/>
    <n v="0"/>
    <s v="Augmentation de 2 individu du à la naissance "/>
    <s v="Non"/>
    <m/>
    <m/>
    <m/>
    <m/>
    <m/>
    <m/>
    <m/>
    <m/>
    <m/>
    <m/>
    <m/>
    <m/>
    <m/>
    <m/>
    <m/>
    <s v="Non"/>
    <m/>
    <m/>
    <m/>
    <m/>
    <m/>
    <m/>
    <m/>
    <m/>
    <m/>
    <m/>
    <m/>
    <m/>
    <m/>
    <m/>
    <m/>
    <m/>
    <m/>
    <m/>
    <m/>
    <m/>
    <n v="0"/>
    <m/>
    <m/>
    <m/>
    <m/>
    <m/>
    <m/>
    <m/>
    <m/>
    <m/>
    <m/>
    <m/>
    <m/>
    <m/>
    <s v="1"/>
    <s v="0"/>
    <s v="0"/>
    <n v="1"/>
  </r>
  <r>
    <n v="2640440"/>
    <s v="Extrême-Nord"/>
    <s v="CMR004"/>
    <x v="4"/>
    <s v="CMR004005"/>
    <s v="Tokombéré"/>
    <s v="CMR004005003"/>
    <s v="TOK-0013"/>
    <s v="DJESKAWE"/>
    <m/>
    <x v="1"/>
    <n v="10.8831183"/>
    <n v="14.1109721"/>
    <x v="0"/>
    <b v="1"/>
    <b v="0"/>
    <b v="1"/>
    <m/>
    <n v="4"/>
    <s v="Accessible"/>
    <m/>
    <s v="Le village est entièrement déserté"/>
    <m/>
    <m/>
    <m/>
    <m/>
    <m/>
    <m/>
    <m/>
    <m/>
    <m/>
    <m/>
    <m/>
    <m/>
    <m/>
    <m/>
    <m/>
    <m/>
    <m/>
    <m/>
    <m/>
    <m/>
    <m/>
    <m/>
    <m/>
    <m/>
    <m/>
    <m/>
    <m/>
    <m/>
    <m/>
    <m/>
    <m/>
    <m/>
    <m/>
    <m/>
    <m/>
    <m/>
    <m/>
    <m/>
    <m/>
    <m/>
    <m/>
    <m/>
    <m/>
    <m/>
    <m/>
    <m/>
    <m/>
    <m/>
    <m/>
    <m/>
    <m/>
    <m/>
    <m/>
    <m/>
    <m/>
    <m/>
    <m/>
    <m/>
    <m/>
    <m/>
    <m/>
    <m/>
    <m/>
    <m/>
    <m/>
    <m/>
    <m/>
    <m/>
    <m/>
    <m/>
    <m/>
    <m/>
    <m/>
    <m/>
    <m/>
    <m/>
    <m/>
    <m/>
    <m/>
    <s v="0"/>
    <s v="0"/>
    <s v="0"/>
    <n v="0"/>
  </r>
  <r>
    <n v="2640442"/>
    <s v="Extrême-Nord"/>
    <s v="CMR004"/>
    <x v="4"/>
    <s v="CMR004005"/>
    <s v="Tokombéré"/>
    <s v="CMR004005003"/>
    <s v="TOK-0014"/>
    <s v="GADABAK"/>
    <m/>
    <x v="1"/>
    <n v="10.859545300000001"/>
    <n v="14.1264714"/>
    <x v="0"/>
    <b v="1"/>
    <b v="0"/>
    <b v="1"/>
    <m/>
    <n v="3"/>
    <s v="Accessible"/>
    <m/>
    <s v="Le village est entièrement déserté"/>
    <m/>
    <m/>
    <m/>
    <m/>
    <m/>
    <m/>
    <m/>
    <m/>
    <m/>
    <m/>
    <m/>
    <m/>
    <m/>
    <m/>
    <m/>
    <m/>
    <m/>
    <m/>
    <m/>
    <m/>
    <m/>
    <m/>
    <m/>
    <m/>
    <m/>
    <m/>
    <m/>
    <m/>
    <m/>
    <m/>
    <m/>
    <m/>
    <m/>
    <m/>
    <m/>
    <m/>
    <m/>
    <m/>
    <m/>
    <m/>
    <m/>
    <m/>
    <m/>
    <m/>
    <m/>
    <m/>
    <m/>
    <m/>
    <m/>
    <m/>
    <m/>
    <m/>
    <m/>
    <m/>
    <m/>
    <m/>
    <m/>
    <m/>
    <m/>
    <m/>
    <m/>
    <m/>
    <m/>
    <m/>
    <m/>
    <m/>
    <m/>
    <m/>
    <m/>
    <m/>
    <m/>
    <m/>
    <m/>
    <m/>
    <m/>
    <m/>
    <m/>
    <m/>
    <m/>
    <s v="0"/>
    <s v="0"/>
    <s v="0"/>
    <n v="0"/>
  </r>
  <r>
    <n v="2630165"/>
    <s v="Extrême-Nord"/>
    <s v="CMR004"/>
    <x v="4"/>
    <s v="CMR004005"/>
    <s v="Tokombéré"/>
    <s v="CMR004005003"/>
    <s v="TOK-0017"/>
    <s v="KOTARBA"/>
    <m/>
    <x v="1"/>
    <n v="10.8384982"/>
    <n v="14.1159356"/>
    <x v="0"/>
    <b v="1"/>
    <b v="0"/>
    <b v="1"/>
    <m/>
    <n v="5"/>
    <s v="Accessible"/>
    <m/>
    <s v="Le village accueille une population"/>
    <s v="Le village est intact (construit)"/>
    <m/>
    <m/>
    <s v="Oui"/>
    <s v="Familles d'accueil"/>
    <s v="Non, pas du tout"/>
    <s v="Non"/>
    <m/>
    <n v="27"/>
    <n v="3315"/>
    <s v="Oui"/>
    <s v="Premier déplacement"/>
    <n v="27"/>
    <n v="250"/>
    <n v="109"/>
    <n v="141"/>
    <n v="0"/>
    <n v="27"/>
    <n v="0"/>
    <n v="0"/>
    <m/>
    <m/>
    <n v="0"/>
    <n v="0"/>
    <m/>
    <m/>
    <n v="0"/>
    <s v="UNE AUGMENTATION DE  08 INDIVIDUS DÛ AUX NAISSANCES DANS LES FAMILLES DÉPLACÉS  DONC  05 GARÇONS ET 03 FILLES  PAS ASSEZ  DES POINTS  D'EAU  DANS LA LOCALITÉ"/>
    <s v="Non"/>
    <m/>
    <m/>
    <m/>
    <m/>
    <m/>
    <m/>
    <m/>
    <m/>
    <m/>
    <m/>
    <m/>
    <m/>
    <m/>
    <m/>
    <m/>
    <s v="Non"/>
    <m/>
    <m/>
    <m/>
    <m/>
    <m/>
    <m/>
    <m/>
    <m/>
    <m/>
    <m/>
    <m/>
    <m/>
    <m/>
    <m/>
    <m/>
    <m/>
    <m/>
    <m/>
    <m/>
    <m/>
    <n v="0"/>
    <m/>
    <m/>
    <m/>
    <m/>
    <m/>
    <m/>
    <m/>
    <m/>
    <m/>
    <m/>
    <m/>
    <m/>
    <m/>
    <s v="1"/>
    <s v="0"/>
    <s v="0"/>
    <n v="1"/>
  </r>
  <r>
    <n v="2629379"/>
    <s v="Extrême-Nord"/>
    <s v="CMR004"/>
    <x v="4"/>
    <s v="CMR004005"/>
    <s v="Tokombéré"/>
    <s v="CMR004005003"/>
    <s v="TOK-0001"/>
    <s v="LALAWAI"/>
    <m/>
    <x v="1"/>
    <n v="10.8684005"/>
    <n v="14.1467581"/>
    <x v="0"/>
    <b v="1"/>
    <b v="0"/>
    <b v="1"/>
    <m/>
    <n v="5"/>
    <s v="Accessible"/>
    <m/>
    <s v="Le village accueille une population"/>
    <s v="Le village est intact (construit)"/>
    <m/>
    <m/>
    <s v="Oui"/>
    <s v="Familles d'accueil"/>
    <s v="Non, pas du tout"/>
    <s v="Non"/>
    <m/>
    <n v="10"/>
    <n v="3730"/>
    <s v="Oui"/>
    <s v="Premier déplacement"/>
    <n v="10"/>
    <n v="144"/>
    <n v="59"/>
    <n v="85"/>
    <n v="0"/>
    <n v="6"/>
    <n v="0"/>
    <n v="4"/>
    <s v="Chez une famille d'accueil (contre loyer)"/>
    <m/>
    <n v="0"/>
    <n v="0"/>
    <m/>
    <m/>
    <n v="0"/>
    <s v="AJOUT  DE 08 INDIVIDUS  DÛ AUX NAISSANCES DANS LES FAMILLES DÉPLACÉS DONC  03 GARÇONS ET 05 FILLES  DANS LE  VILLAGE  IL MANQUE  DES POINTS  D'EAU  PAS  DE  LUMIÈRE"/>
    <s v="Oui"/>
    <n v="2"/>
    <n v="45"/>
    <n v="22"/>
    <n v="23"/>
    <n v="1"/>
    <n v="0"/>
    <n v="1"/>
    <s v="Chez une famille d'accueil (contre loyer)"/>
    <n v="0"/>
    <n v="0"/>
    <m/>
    <m/>
    <n v="0"/>
    <n v="0"/>
    <s v="AUGMENTATION  DE 03 INDIVIDUS  DÛ AUX NAISSANCES DANS LES FAMILLES  DÉPLACÉS RÉFUGIÉS DONC  01 GARÇON ET 02 FILLES  PAS D'ASSURANCE  DEPUIS LEUR ARRIVÉE"/>
    <s v="Non"/>
    <m/>
    <m/>
    <m/>
    <m/>
    <m/>
    <m/>
    <m/>
    <m/>
    <m/>
    <m/>
    <m/>
    <m/>
    <m/>
    <m/>
    <m/>
    <m/>
    <m/>
    <m/>
    <m/>
    <m/>
    <n v="0"/>
    <m/>
    <m/>
    <m/>
    <m/>
    <m/>
    <m/>
    <m/>
    <m/>
    <m/>
    <m/>
    <m/>
    <m/>
    <m/>
    <s v="1"/>
    <s v="1"/>
    <s v="0"/>
    <n v="2"/>
  </r>
  <r>
    <n v="2630688"/>
    <s v="Extrême-Nord"/>
    <s v="CMR004"/>
    <x v="4"/>
    <s v="CMR004005"/>
    <s v="Tokombéré"/>
    <s v="CMR004005003"/>
    <s v="TOK-0002"/>
    <s v="MADA KOLKACH"/>
    <m/>
    <x v="0"/>
    <n v="10.912986800000001"/>
    <n v="14.1298973"/>
    <x v="0"/>
    <b v="1"/>
    <b v="0"/>
    <b v="1"/>
    <m/>
    <n v="4"/>
    <s v="Accessible"/>
    <m/>
    <s v="Le village accueille une population"/>
    <s v="Le village est intact (construit)"/>
    <m/>
    <m/>
    <s v="Oui"/>
    <s v="Familles d'accueil"/>
    <s v="Non, pas du tout"/>
    <s v="Non"/>
    <m/>
    <n v="138"/>
    <n v="8723"/>
    <s v="Oui"/>
    <s v="Premier déplacement"/>
    <n v="138"/>
    <n v="374"/>
    <n v="170"/>
    <n v="204"/>
    <n v="0"/>
    <n v="85"/>
    <n v="0"/>
    <n v="53"/>
    <s v="Chez une famille d'accueil (contre loyer)"/>
    <m/>
    <n v="0"/>
    <n v="0"/>
    <m/>
    <m/>
    <n v="0"/>
    <s v="UNE AUGMENTATION DE  11 INDIVIDUS DÛ AUX NAISSANCES DANS LES FAMILLES DÉPLACÉS DONC  05 GARÇONS ET  06 FILLES MANQUE DES POINTS D'EAU DANS LE VILLAGE  PAS DE LUMIÈRE NI LES  ROUTES"/>
    <s v="Non"/>
    <m/>
    <m/>
    <m/>
    <m/>
    <m/>
    <m/>
    <m/>
    <m/>
    <m/>
    <m/>
    <m/>
    <m/>
    <m/>
    <m/>
    <m/>
    <s v="Non"/>
    <m/>
    <m/>
    <m/>
    <m/>
    <m/>
    <m/>
    <m/>
    <m/>
    <m/>
    <m/>
    <m/>
    <m/>
    <m/>
    <m/>
    <m/>
    <m/>
    <m/>
    <m/>
    <m/>
    <m/>
    <n v="0"/>
    <m/>
    <m/>
    <m/>
    <m/>
    <m/>
    <m/>
    <m/>
    <m/>
    <m/>
    <m/>
    <m/>
    <m/>
    <m/>
    <s v="1"/>
    <s v="0"/>
    <s v="0"/>
    <n v="1"/>
  </r>
  <r>
    <n v="2639916"/>
    <s v="Extrême-Nord"/>
    <s v="CMR004"/>
    <x v="4"/>
    <s v="CMR004005"/>
    <s v="Tokombéré"/>
    <s v="CMR004005003"/>
    <s v="TOK-0003"/>
    <s v="MADOUVAYA"/>
    <m/>
    <x v="1"/>
    <n v="10.843316700000001"/>
    <n v="14.1792064"/>
    <x v="0"/>
    <b v="1"/>
    <b v="0"/>
    <b v="1"/>
    <m/>
    <n v="5"/>
    <s v="Accessible"/>
    <m/>
    <s v="Le village accueille une population"/>
    <s v="Le village est intact (construit)"/>
    <m/>
    <m/>
    <s v="Oui"/>
    <s v="Familles d'accueil"/>
    <s v="Location"/>
    <s v="Non"/>
    <m/>
    <n v="41"/>
    <n v="4315"/>
    <s v="Oui"/>
    <s v="Premier déplacement"/>
    <n v="41"/>
    <n v="589"/>
    <n v="297"/>
    <n v="292"/>
    <n v="0"/>
    <n v="31"/>
    <n v="0"/>
    <n v="10"/>
    <s v="Logement indépendant (Maison indépendante)"/>
    <m/>
    <n v="0"/>
    <n v="0"/>
    <m/>
    <m/>
    <n v="0"/>
    <s v="Augmentation de 0 ménage pour 3 garçons dû à la naissance et décés d'1 femme parmi ceux d'avant 2020."/>
    <s v="Non"/>
    <m/>
    <m/>
    <m/>
    <m/>
    <m/>
    <m/>
    <m/>
    <m/>
    <m/>
    <m/>
    <m/>
    <m/>
    <m/>
    <m/>
    <m/>
    <s v="Non"/>
    <m/>
    <m/>
    <m/>
    <m/>
    <m/>
    <m/>
    <m/>
    <m/>
    <m/>
    <m/>
    <m/>
    <m/>
    <m/>
    <m/>
    <m/>
    <m/>
    <m/>
    <m/>
    <m/>
    <m/>
    <n v="0"/>
    <m/>
    <m/>
    <m/>
    <m/>
    <m/>
    <m/>
    <m/>
    <m/>
    <m/>
    <m/>
    <m/>
    <m/>
    <m/>
    <s v="1"/>
    <s v="0"/>
    <s v="0"/>
    <n v="1"/>
  </r>
  <r>
    <n v="2630230"/>
    <s v="Extrême-Nord"/>
    <s v="CMR004"/>
    <x v="4"/>
    <s v="CMR004005"/>
    <s v="Tokombéré"/>
    <s v="CMR004005003"/>
    <s v="TOK-0004"/>
    <s v="MAKELINGAI"/>
    <m/>
    <x v="0"/>
    <n v="10.868683000000001"/>
    <n v="14.239338099999999"/>
    <x v="0"/>
    <b v="1"/>
    <b v="0"/>
    <b v="1"/>
    <m/>
    <n v="5"/>
    <s v="Accessible"/>
    <m/>
    <s v="Le village accueille une population"/>
    <s v="Le village est intact (construit)"/>
    <m/>
    <m/>
    <s v="Oui"/>
    <s v="Familles d'accueil"/>
    <s v="Non, pas du tout"/>
    <s v="Non"/>
    <m/>
    <n v="10"/>
    <n v="9903"/>
    <s v="Oui"/>
    <s v="Premier déplacement"/>
    <n v="10"/>
    <n v="203"/>
    <n v="115"/>
    <n v="88"/>
    <n v="6"/>
    <n v="1"/>
    <n v="3"/>
    <n v="0"/>
    <m/>
    <m/>
    <n v="0"/>
    <n v="0"/>
    <m/>
    <m/>
    <n v="0"/>
    <s v="AUGMENTATION  DE  13 INDIVIDUS  DÛ AUX NAISSANCES  DANS LES FAMILLES DÉPLACÉS DONC  07 GARÇONS ET 06 FILLES IL FAUT AUGMENTER LES POINTS D'EAU"/>
    <s v="Non"/>
    <m/>
    <m/>
    <m/>
    <m/>
    <m/>
    <m/>
    <m/>
    <m/>
    <m/>
    <m/>
    <m/>
    <m/>
    <m/>
    <m/>
    <m/>
    <s v="Non"/>
    <m/>
    <m/>
    <m/>
    <m/>
    <m/>
    <m/>
    <m/>
    <m/>
    <m/>
    <m/>
    <m/>
    <m/>
    <m/>
    <m/>
    <m/>
    <m/>
    <m/>
    <m/>
    <m/>
    <m/>
    <n v="0"/>
    <m/>
    <m/>
    <m/>
    <m/>
    <m/>
    <m/>
    <m/>
    <m/>
    <m/>
    <m/>
    <m/>
    <m/>
    <m/>
    <s v="1"/>
    <s v="0"/>
    <s v="0"/>
    <n v="1"/>
  </r>
  <r>
    <n v="2640441"/>
    <s v="Extrême-Nord"/>
    <s v="CMR004"/>
    <x v="4"/>
    <s v="CMR004005"/>
    <s v="Tokombéré"/>
    <s v="CMR004005003"/>
    <s v="TOK-0016"/>
    <s v="MAYO-PLATA"/>
    <m/>
    <x v="1"/>
    <n v="10.9702588"/>
    <n v="14.143032099999999"/>
    <x v="0"/>
    <b v="0"/>
    <b v="1"/>
    <b v="1"/>
    <n v="7"/>
    <m/>
    <s v="Accessible"/>
    <m/>
    <s v="Le village accueille une population"/>
    <s v="Le village est intact (construit)"/>
    <m/>
    <m/>
    <s v="Oui"/>
    <s v="Familles d'accueil"/>
    <s v="Non, pas du tout"/>
    <s v="Non"/>
    <m/>
    <n v="37"/>
    <n v="6509"/>
    <s v="Oui"/>
    <s v="Premier déplacement"/>
    <n v="37"/>
    <n v="318"/>
    <n v="126"/>
    <n v="192"/>
    <n v="0"/>
    <n v="37"/>
    <n v="0"/>
    <n v="0"/>
    <m/>
    <m/>
    <n v="0"/>
    <n v="0"/>
    <m/>
    <m/>
    <n v="0"/>
    <s v="UNE AUGMENTATION DE  12 INDIVIDUS DÛ AUX NAISSANCES DANS LES FAMILLES DÉPLACÉS DONC  07 GARÇONS ET  05 FILLES  PAS DES POINTS D'EAU  NI LA LUMIÈRE"/>
    <s v="Non"/>
    <m/>
    <m/>
    <m/>
    <m/>
    <m/>
    <m/>
    <m/>
    <m/>
    <m/>
    <m/>
    <m/>
    <m/>
    <m/>
    <m/>
    <m/>
    <s v="Non"/>
    <m/>
    <m/>
    <m/>
    <m/>
    <m/>
    <m/>
    <m/>
    <m/>
    <m/>
    <m/>
    <m/>
    <m/>
    <m/>
    <m/>
    <m/>
    <m/>
    <m/>
    <m/>
    <m/>
    <m/>
    <n v="0"/>
    <m/>
    <m/>
    <m/>
    <m/>
    <m/>
    <m/>
    <m/>
    <m/>
    <m/>
    <m/>
    <m/>
    <m/>
    <m/>
    <s v="1"/>
    <s v="0"/>
    <s v="0"/>
    <n v="1"/>
  </r>
  <r>
    <n v="2672286"/>
    <s v="Extrême-Nord"/>
    <s v="CMR004"/>
    <x v="4"/>
    <s v="CMR004005"/>
    <s v="Tokombéré"/>
    <s v="CMR004005003"/>
    <s v="TOK-0005"/>
    <s v="MBZAGABAI"/>
    <m/>
    <x v="1"/>
    <n v="10.8902316"/>
    <n v="14.149643899999999"/>
    <x v="0"/>
    <b v="1"/>
    <b v="0"/>
    <b v="1"/>
    <m/>
    <n v="4"/>
    <s v="Accessible"/>
    <m/>
    <s v="Le village accueille une population"/>
    <s v="Le village est intact (construit)"/>
    <m/>
    <m/>
    <s v="Oui"/>
    <s v="Familles d'accueil"/>
    <s v="Location"/>
    <s v="Non"/>
    <m/>
    <n v="14"/>
    <n v="210"/>
    <s v="Oui"/>
    <s v="Premier déplacement"/>
    <n v="14"/>
    <n v="232"/>
    <n v="114"/>
    <n v="118"/>
    <n v="0"/>
    <n v="14"/>
    <n v="0"/>
    <n v="0"/>
    <m/>
    <m/>
    <n v="0"/>
    <n v="0"/>
    <m/>
    <m/>
    <n v="0"/>
    <s v="Arrive de 4 ménages et 28 individu sorte tayer  pour le retour à la terre natale augmentation  4 individu du à la naissance"/>
    <s v="Non"/>
    <m/>
    <m/>
    <m/>
    <m/>
    <m/>
    <m/>
    <m/>
    <m/>
    <m/>
    <m/>
    <m/>
    <m/>
    <m/>
    <m/>
    <m/>
    <s v="Non"/>
    <m/>
    <m/>
    <m/>
    <m/>
    <m/>
    <m/>
    <m/>
    <m/>
    <m/>
    <m/>
    <m/>
    <m/>
    <m/>
    <m/>
    <m/>
    <m/>
    <m/>
    <m/>
    <m/>
    <m/>
    <n v="0"/>
    <m/>
    <m/>
    <m/>
    <m/>
    <m/>
    <m/>
    <m/>
    <m/>
    <m/>
    <m/>
    <m/>
    <m/>
    <m/>
    <s v="1"/>
    <s v="0"/>
    <s v="0"/>
    <n v="1"/>
  </r>
  <r>
    <n v="2630805"/>
    <s v="Extrême-Nord"/>
    <s v="CMR004"/>
    <x v="4"/>
    <s v="CMR004005"/>
    <s v="Tokombéré"/>
    <s v="CMR004005003"/>
    <s v="TOK-0006"/>
    <s v="OULDEME"/>
    <m/>
    <x v="1"/>
    <n v="10.941198200000001"/>
    <n v="14.127721299999999"/>
    <x v="0"/>
    <b v="0"/>
    <b v="1"/>
    <b v="1"/>
    <n v="7"/>
    <m/>
    <s v="Accessible"/>
    <m/>
    <s v="Le village accueille une population"/>
    <s v="Le village est intact (construit)"/>
    <m/>
    <m/>
    <s v="Oui"/>
    <s v="Familles d'accueil"/>
    <s v="Non, pas du tout"/>
    <s v="Non"/>
    <m/>
    <n v="12"/>
    <n v="3979"/>
    <s v="Oui"/>
    <s v="Premier déplacement"/>
    <n v="12"/>
    <n v="133"/>
    <n v="57"/>
    <n v="76"/>
    <n v="0"/>
    <n v="12"/>
    <n v="0"/>
    <n v="0"/>
    <m/>
    <m/>
    <n v="0"/>
    <n v="0"/>
    <m/>
    <m/>
    <n v="0"/>
    <s v="UNE AUGMENTATION DE 03 MÉNAGES  POUR 10 INDIVIDUS  PROVENCE  DE TAYER  CONFLIT  BH ILS VIVENT  EN FAMILLE D'ACCUEIL  DONC  03 HOMMES  ET 07 FEMMES MANQUE  DE  SERVICES  DE BASE DANS LA LOCALITÉ  PAS DES POINTS D'EAU  PAS DE LUMIÈRE"/>
    <s v="Non"/>
    <m/>
    <m/>
    <m/>
    <m/>
    <m/>
    <m/>
    <m/>
    <m/>
    <m/>
    <m/>
    <m/>
    <m/>
    <m/>
    <m/>
    <m/>
    <s v="Non"/>
    <m/>
    <m/>
    <m/>
    <m/>
    <m/>
    <m/>
    <m/>
    <m/>
    <m/>
    <m/>
    <m/>
    <m/>
    <m/>
    <m/>
    <m/>
    <m/>
    <m/>
    <m/>
    <m/>
    <m/>
    <n v="0"/>
    <m/>
    <m/>
    <m/>
    <m/>
    <m/>
    <m/>
    <m/>
    <m/>
    <m/>
    <m/>
    <m/>
    <m/>
    <m/>
    <s v="1"/>
    <s v="0"/>
    <s v="0"/>
    <n v="1"/>
  </r>
  <r>
    <n v="2630825"/>
    <s v="Extrême-Nord"/>
    <s v="CMR004"/>
    <x v="4"/>
    <s v="CMR004005"/>
    <s v="Tokombéré"/>
    <s v="CMR004005003"/>
    <s v="TOK-0011"/>
    <s v="PALBARA"/>
    <m/>
    <x v="1"/>
    <n v="10.9293522"/>
    <n v="14.1476337"/>
    <x v="0"/>
    <b v="1"/>
    <b v="0"/>
    <b v="1"/>
    <m/>
    <n v="4"/>
    <s v="Accessible"/>
    <m/>
    <s v="Le village accueille une population"/>
    <s v="Le village est intact (construit)"/>
    <m/>
    <m/>
    <s v="Oui"/>
    <s v="Familles d'accueil"/>
    <s v="Non, pas du tout"/>
    <s v="Non"/>
    <m/>
    <n v="18"/>
    <n v="3665"/>
    <s v="Oui"/>
    <s v="Premier déplacement"/>
    <n v="18"/>
    <n v="158"/>
    <n v="54"/>
    <n v="104"/>
    <n v="0"/>
    <n v="10"/>
    <n v="8"/>
    <n v="0"/>
    <m/>
    <m/>
    <n v="0"/>
    <n v="0"/>
    <m/>
    <m/>
    <n v="0"/>
    <s v="UNE AUGMENTATION DE  10 INDIVIDUS  DÛ AUX NAISSANCES DANS LES FAMILLES DÉPLACÉS  DONC  06 GARÇONS ET  04 FILLES  PAS DE SERVICES  DE BASE DANS LA LOCALITÉ  AINSI QUE LES  POINTS D'EAU  PAS DE LUMIÈRE"/>
    <s v="Non"/>
    <m/>
    <m/>
    <m/>
    <m/>
    <m/>
    <m/>
    <m/>
    <m/>
    <m/>
    <m/>
    <m/>
    <m/>
    <m/>
    <m/>
    <m/>
    <s v="Non"/>
    <m/>
    <m/>
    <m/>
    <m/>
    <m/>
    <m/>
    <m/>
    <m/>
    <m/>
    <m/>
    <m/>
    <m/>
    <m/>
    <m/>
    <m/>
    <m/>
    <m/>
    <m/>
    <m/>
    <m/>
    <n v="0"/>
    <m/>
    <m/>
    <m/>
    <m/>
    <m/>
    <m/>
    <m/>
    <m/>
    <m/>
    <m/>
    <m/>
    <m/>
    <m/>
    <s v="1"/>
    <s v="0"/>
    <s v="0"/>
    <n v="1"/>
  </r>
  <r>
    <n v="2630072"/>
    <s v="Extrême-Nord"/>
    <s v="CMR004"/>
    <x v="4"/>
    <s v="CMR004005"/>
    <s v="Tokombéré"/>
    <s v="CMR004005003"/>
    <s v="TOK-0007"/>
    <s v="SERAWA"/>
    <m/>
    <x v="1"/>
    <n v="10.86145"/>
    <n v="14.142376499999999"/>
    <x v="0"/>
    <b v="1"/>
    <b v="0"/>
    <b v="1"/>
    <m/>
    <n v="5"/>
    <s v="Accessible"/>
    <m/>
    <s v="Le village accueille une population"/>
    <s v="Le village est intact (construit)"/>
    <m/>
    <m/>
    <s v="Oui"/>
    <s v="Familles d'accueil"/>
    <s v="Non, pas du tout"/>
    <s v="Non"/>
    <m/>
    <n v="36"/>
    <n v="3093"/>
    <s v="Oui"/>
    <s v="Premier déplacement"/>
    <n v="36"/>
    <n v="182"/>
    <n v="75"/>
    <n v="107"/>
    <n v="0"/>
    <n v="27"/>
    <n v="0"/>
    <n v="9"/>
    <s v="Chez une famille d'accueil (contre loyer)"/>
    <m/>
    <n v="0"/>
    <n v="0"/>
    <m/>
    <m/>
    <n v="0"/>
    <s v="AJOUT DE 11 INDIVIDUS DÛ AUX NAISSANCES DANS LES FAMILLES DÉPLACÉS  DONC 06 GARÇONS ET 05 FILLES  PAS DE SERVICES  DE BASE  DANS LA  LOCALITÉ"/>
    <s v="Non"/>
    <m/>
    <m/>
    <m/>
    <m/>
    <m/>
    <m/>
    <m/>
    <m/>
    <m/>
    <m/>
    <m/>
    <m/>
    <m/>
    <m/>
    <m/>
    <s v="Non"/>
    <m/>
    <m/>
    <m/>
    <m/>
    <m/>
    <m/>
    <m/>
    <m/>
    <m/>
    <m/>
    <m/>
    <m/>
    <m/>
    <m/>
    <m/>
    <m/>
    <m/>
    <m/>
    <m/>
    <m/>
    <n v="0"/>
    <m/>
    <m/>
    <m/>
    <m/>
    <m/>
    <m/>
    <m/>
    <m/>
    <m/>
    <m/>
    <m/>
    <m/>
    <m/>
    <s v="1"/>
    <s v="0"/>
    <s v="0"/>
    <n v="1"/>
  </r>
  <r>
    <n v="2630139"/>
    <s v="Extrême-Nord"/>
    <s v="CMR004"/>
    <x v="4"/>
    <s v="CMR004005"/>
    <s v="Tokombéré"/>
    <s v="CMR004005003"/>
    <s v="TOK-0018"/>
    <s v="SITE DE GODJI-GODJI"/>
    <m/>
    <x v="1"/>
    <n v="10.8679573"/>
    <n v="14.2358253"/>
    <x v="1"/>
    <b v="0"/>
    <b v="1"/>
    <b v="1"/>
    <n v="8"/>
    <m/>
    <s v="Accessible"/>
    <m/>
    <s v="Le village accueille une population"/>
    <s v="Le village est intact (construit)"/>
    <m/>
    <m/>
    <s v="Oui"/>
    <s v="Sites de déplacement spontanés"/>
    <s v="Non, pas du tout"/>
    <m/>
    <m/>
    <n v="157"/>
    <n v="1276"/>
    <s v="Oui"/>
    <s v="Deuxième déplacement"/>
    <n v="157"/>
    <n v="1276"/>
    <n v="545"/>
    <n v="731"/>
    <n v="0"/>
    <n v="0"/>
    <n v="0"/>
    <n v="0"/>
    <m/>
    <m/>
    <n v="0"/>
    <n v="157"/>
    <s v="Paille/Natte/Nylon"/>
    <m/>
    <n v="0"/>
    <s v="AJOUT DE 12 MÉNAGES DÉPLACÉS  POUR  72 INDIVIDUS  DONC  27 HOMMES  ET 45 FEMMES PÉRIODE  D'ARRIVÉE DÉCEMBRE  2023 VENANT DE  GONG  SITUÉ DANS  LE NORD  DU PAYS  MANQUE  DES MOYENS DE  SUBSISTANCE  DANS LE  LIEU DE DÉPLACEMENT  ET 14 INDIVIDUS  DÛ AUX NAISSANCES DANS LES FAMILLES DÉPLACÉS   DONC  06 GARÇONS ET  08 FILLES  ET UNE DIMINUTION  DE 05 INDIVIDUS  DÛ AUX  DÉC CÉS PÉRIODE  D'ARRIVÉE  2020 IL  Y'A MANQUE  DE BEAUCOUP  DES CHOSES DANS LE SITE AUCUN SERVICE  NI UN POINT D'EAU"/>
    <s v="Non"/>
    <m/>
    <m/>
    <m/>
    <m/>
    <m/>
    <m/>
    <m/>
    <m/>
    <m/>
    <m/>
    <m/>
    <m/>
    <m/>
    <m/>
    <m/>
    <s v="Non"/>
    <m/>
    <m/>
    <m/>
    <m/>
    <m/>
    <m/>
    <m/>
    <m/>
    <m/>
    <m/>
    <m/>
    <m/>
    <m/>
    <m/>
    <m/>
    <m/>
    <m/>
    <m/>
    <m/>
    <m/>
    <n v="0"/>
    <m/>
    <m/>
    <m/>
    <m/>
    <m/>
    <m/>
    <m/>
    <m/>
    <m/>
    <m/>
    <m/>
    <m/>
    <m/>
    <s v="1"/>
    <s v="0"/>
    <s v="0"/>
    <n v="1"/>
  </r>
  <r>
    <n v="2640438"/>
    <s v="Extrême-Nord"/>
    <s v="CMR004"/>
    <x v="4"/>
    <s v="CMR004005"/>
    <s v="Tokombéré"/>
    <s v="CMR004005003"/>
    <s v="TOK-0019"/>
    <s v="SITE DE MADOUVAYA"/>
    <m/>
    <x v="1"/>
    <n v="10.830074099999999"/>
    <n v="14.1946215"/>
    <x v="1"/>
    <b v="1"/>
    <b v="0"/>
    <b v="1"/>
    <m/>
    <n v="5"/>
    <s v="Accessible"/>
    <m/>
    <s v="Le village accueille une population"/>
    <s v="Le village est intact (construit)"/>
    <m/>
    <m/>
    <s v="Oui"/>
    <s v="Familles d'accueil"/>
    <s v="Non, pas du tout"/>
    <m/>
    <m/>
    <n v="30"/>
    <n v="243"/>
    <s v="Oui"/>
    <s v="Premier déplacement"/>
    <n v="30"/>
    <n v="243"/>
    <n v="102"/>
    <n v="141"/>
    <n v="0"/>
    <n v="0"/>
    <n v="0"/>
    <n v="0"/>
    <m/>
    <m/>
    <n v="0"/>
    <n v="30"/>
    <s v="Paille/Natte/Nylon"/>
    <m/>
    <n v="0"/>
    <s v="UNE AUGMENTATION DE  04 INDIVIDUS  DÛ AUX NAISSANCES DANS LES FAMILLES DÉPLACÉS  DONC ON GARÇON ET 03 FILLES  LE SITE  N'A JAMAIS EU L'ASSISTANCE  LES INDIVIDUS  PRENNENT  L'EAU  DANS LE  MAYO"/>
    <s v="Non"/>
    <m/>
    <m/>
    <m/>
    <m/>
    <m/>
    <m/>
    <m/>
    <m/>
    <m/>
    <m/>
    <m/>
    <m/>
    <m/>
    <m/>
    <m/>
    <s v="Non"/>
    <m/>
    <m/>
    <m/>
    <m/>
    <m/>
    <m/>
    <m/>
    <m/>
    <m/>
    <m/>
    <m/>
    <m/>
    <m/>
    <m/>
    <m/>
    <m/>
    <m/>
    <m/>
    <m/>
    <m/>
    <n v="0"/>
    <m/>
    <m/>
    <m/>
    <m/>
    <m/>
    <m/>
    <m/>
    <m/>
    <m/>
    <m/>
    <m/>
    <m/>
    <m/>
    <s v="1"/>
    <s v="0"/>
    <s v="0"/>
    <n v="1"/>
  </r>
  <r>
    <n v="2630196"/>
    <s v="Extrême-Nord"/>
    <s v="CMR004"/>
    <x v="4"/>
    <s v="CMR004005"/>
    <s v="Tokombéré"/>
    <s v="CMR004005003"/>
    <s v="TOK-0008"/>
    <s v="TAZANG"/>
    <m/>
    <x v="1"/>
    <n v="10.940412500000001"/>
    <n v="14.1543603"/>
    <x v="0"/>
    <b v="1"/>
    <b v="0"/>
    <b v="1"/>
    <m/>
    <n v="5"/>
    <s v="Accessible"/>
    <m/>
    <s v="Le village accueille une population"/>
    <s v="Le village est intact (construit)"/>
    <m/>
    <m/>
    <s v="Oui"/>
    <s v="Familles d'accueil"/>
    <s v="Non, pas du tout"/>
    <s v="Non"/>
    <m/>
    <n v="10"/>
    <n v="3078"/>
    <s v="Oui"/>
    <s v="Premier déplacement"/>
    <n v="10"/>
    <n v="124"/>
    <n v="51"/>
    <n v="73"/>
    <n v="0"/>
    <n v="7"/>
    <n v="0"/>
    <n v="3"/>
    <s v="Chez une famille d'accueil (contre loyer)"/>
    <m/>
    <n v="0"/>
    <n v="0"/>
    <m/>
    <m/>
    <n v="0"/>
    <s v="UNE AUGMENTATION DE  06 INDIVIDUS  DÛ AUX NAISSANCES DANS LES FAMILLES  DÉPLACÉS  DONC  02 GARÇONS ET  04 FILLES  MANQUE  DES POINTS D'EAU DANS LE  VILLAGE  PAS DE LUMIÈRE"/>
    <s v="Non"/>
    <m/>
    <m/>
    <m/>
    <m/>
    <m/>
    <m/>
    <m/>
    <m/>
    <m/>
    <m/>
    <m/>
    <m/>
    <m/>
    <m/>
    <m/>
    <s v="Non"/>
    <m/>
    <m/>
    <m/>
    <m/>
    <m/>
    <m/>
    <m/>
    <m/>
    <m/>
    <m/>
    <m/>
    <m/>
    <m/>
    <m/>
    <m/>
    <m/>
    <m/>
    <m/>
    <m/>
    <m/>
    <n v="0"/>
    <m/>
    <m/>
    <m/>
    <m/>
    <m/>
    <m/>
    <m/>
    <m/>
    <m/>
    <m/>
    <m/>
    <m/>
    <m/>
    <s v="1"/>
    <s v="0"/>
    <s v="0"/>
    <n v="1"/>
  </r>
  <r>
    <n v="2630248"/>
    <s v="Extrême-Nord"/>
    <s v="CMR004"/>
    <x v="4"/>
    <s v="CMR004005"/>
    <s v="Tokombéré"/>
    <s v="CMR004005003"/>
    <s v="TOK-0010"/>
    <s v="TINDERME"/>
    <m/>
    <x v="1"/>
    <n v="10.906168299999999"/>
    <n v="14.227051299999999"/>
    <x v="0"/>
    <b v="1"/>
    <b v="0"/>
    <b v="1"/>
    <m/>
    <n v="5"/>
    <s v="Accessible"/>
    <m/>
    <s v="Le village accueille une population"/>
    <s v="Le village est intact (construit)"/>
    <m/>
    <m/>
    <s v="Oui"/>
    <s v="Familles d'accueil"/>
    <s v="Non, pas du tout"/>
    <s v="Non"/>
    <m/>
    <n v="30"/>
    <n v="3255"/>
    <s v="Oui"/>
    <s v="Premier déplacement"/>
    <n v="30"/>
    <n v="299"/>
    <n v="113"/>
    <n v="186"/>
    <n v="4"/>
    <n v="23"/>
    <n v="3"/>
    <n v="0"/>
    <m/>
    <m/>
    <n v="0"/>
    <n v="0"/>
    <m/>
    <m/>
    <n v="0"/>
    <s v="UNE AUGMENTATION DE  09 INDIVIDUS  DÛ AUX NAISSANCES DANS LES FAMILLES DÉPLACÉS  DONC  05 GARÇONS ET  04 FILLES  PAS DE SERVICES  DE BASE D'ASSURANCE LE VILLAGE  PAS DE LUMIÈRE  NI LES POINTS D'EAU"/>
    <s v="Non"/>
    <m/>
    <m/>
    <m/>
    <m/>
    <m/>
    <m/>
    <m/>
    <m/>
    <m/>
    <m/>
    <m/>
    <m/>
    <m/>
    <m/>
    <m/>
    <s v="Non"/>
    <m/>
    <m/>
    <m/>
    <m/>
    <m/>
    <m/>
    <m/>
    <m/>
    <m/>
    <m/>
    <m/>
    <m/>
    <m/>
    <m/>
    <m/>
    <m/>
    <m/>
    <m/>
    <m/>
    <m/>
    <n v="0"/>
    <m/>
    <m/>
    <m/>
    <m/>
    <m/>
    <m/>
    <m/>
    <m/>
    <m/>
    <m/>
    <m/>
    <m/>
    <m/>
    <s v="1"/>
    <s v="0"/>
    <s v="0"/>
    <n v="1"/>
  </r>
  <r>
    <n v="2630058"/>
    <s v="Extrême-Nord"/>
    <s v="CMR004"/>
    <x v="4"/>
    <s v="CMR004005"/>
    <s v="Tokombéré"/>
    <s v="CMR004005003"/>
    <s v="TOK-0009"/>
    <s v="TOKOMBERE"/>
    <m/>
    <x v="0"/>
    <n v="10.8690997"/>
    <n v="14.145904399999999"/>
    <x v="0"/>
    <b v="1"/>
    <b v="0"/>
    <b v="1"/>
    <m/>
    <n v="5"/>
    <s v="Accessible"/>
    <m/>
    <s v="Le village accueille une population"/>
    <s v="Le village est intact (construit)"/>
    <m/>
    <m/>
    <s v="Oui"/>
    <s v="Familles d'accueil"/>
    <s v="Non, pas du tout"/>
    <s v="Non"/>
    <m/>
    <n v="38"/>
    <n v="9212"/>
    <s v="Oui"/>
    <s v="Premier déplacement"/>
    <n v="38"/>
    <n v="319"/>
    <n v="81"/>
    <n v="238"/>
    <n v="18"/>
    <n v="20"/>
    <n v="0"/>
    <n v="0"/>
    <m/>
    <m/>
    <n v="0"/>
    <n v="0"/>
    <m/>
    <m/>
    <n v="0"/>
    <s v="UNE AUGMENTATION  DE 11 INDIVIDUS DÛ AUX NAISSANCES DANS LES  FAMILLES DÉPLACÉS  DONC 06 GARÇONS ET  05 FILLES  IL FAUT AUGMENTER  LES POINTS  D'EAU"/>
    <s v="Non"/>
    <m/>
    <m/>
    <m/>
    <m/>
    <m/>
    <m/>
    <m/>
    <m/>
    <m/>
    <m/>
    <m/>
    <m/>
    <m/>
    <m/>
    <m/>
    <s v="Non"/>
    <m/>
    <m/>
    <m/>
    <m/>
    <m/>
    <m/>
    <m/>
    <m/>
    <m/>
    <m/>
    <m/>
    <m/>
    <m/>
    <m/>
    <m/>
    <m/>
    <m/>
    <m/>
    <m/>
    <m/>
    <n v="0"/>
    <m/>
    <m/>
    <m/>
    <m/>
    <m/>
    <m/>
    <m/>
    <m/>
    <m/>
    <m/>
    <m/>
    <m/>
    <m/>
    <s v="1"/>
    <s v="0"/>
    <s v="0"/>
    <n v="1"/>
  </r>
  <r>
    <n v="2611068"/>
    <s v="Extrême-Nord"/>
    <s v="CMR004"/>
    <x v="5"/>
    <s v="CMR004006"/>
    <s v="Bourha"/>
    <s v="CMR004006007"/>
    <s v="BOU-0001"/>
    <s v="BOUKOULA"/>
    <m/>
    <x v="1"/>
    <n v="10.1433544"/>
    <n v="13.45388"/>
    <x v="0"/>
    <b v="1"/>
    <b v="0"/>
    <b v="0"/>
    <m/>
    <n v="3"/>
    <s v="Accessible"/>
    <m/>
    <s v="Le village accueille une population"/>
    <s v="Le village est intact (construit)"/>
    <m/>
    <m/>
    <s v="Oui"/>
    <s v="Familles d'accueil"/>
    <s v="Centre Collectif"/>
    <s v="Non"/>
    <m/>
    <n v="10"/>
    <n v="20000"/>
    <s v="Oui"/>
    <s v="Plus de trois déplacements"/>
    <n v="10"/>
    <n v="105"/>
    <n v="44"/>
    <n v="61"/>
    <n v="2"/>
    <n v="5"/>
    <n v="3"/>
    <n v="0"/>
    <m/>
    <m/>
    <n v="0"/>
    <n v="0"/>
    <m/>
    <m/>
    <n v="0"/>
    <s v="Aucu  menage mais Augmentation de 4 individus en provenance de oupay de suite des derniers attaques "/>
    <s v="Non"/>
    <m/>
    <m/>
    <m/>
    <m/>
    <m/>
    <m/>
    <m/>
    <m/>
    <m/>
    <m/>
    <m/>
    <m/>
    <m/>
    <m/>
    <m/>
    <s v="Oui"/>
    <n v="17"/>
    <n v="111"/>
    <n v="44"/>
    <n v="67"/>
    <s v="Moins de 3 mois"/>
    <n v="10"/>
    <n v="2"/>
    <n v="2"/>
    <n v="3"/>
    <n v="0"/>
    <m/>
    <n v="0"/>
    <n v="0"/>
    <m/>
    <n v="0"/>
    <m/>
    <m/>
    <m/>
    <m/>
    <m/>
    <n v="0"/>
    <m/>
    <m/>
    <m/>
    <m/>
    <m/>
    <m/>
    <m/>
    <m/>
    <m/>
    <m/>
    <m/>
    <m/>
    <m/>
    <s v="1"/>
    <s v="0"/>
    <s v="1"/>
    <n v="2"/>
  </r>
  <r>
    <n v="2591158"/>
    <s v="Extrême-Nord"/>
    <s v="CMR004"/>
    <x v="5"/>
    <s v="CMR004006"/>
    <s v="Bourha"/>
    <s v="CMR004006007"/>
    <s v="BOU-0004"/>
    <s v="BOURHA 2"/>
    <m/>
    <x v="1"/>
    <n v="10.252273799999999"/>
    <n v="13.510169299999999"/>
    <x v="0"/>
    <b v="1"/>
    <b v="0"/>
    <b v="0"/>
    <m/>
    <n v="4"/>
    <s v="Accessible"/>
    <m/>
    <s v="Le village accueille une population"/>
    <s v="Le village est intact (construit)"/>
    <m/>
    <m/>
    <s v="Oui"/>
    <s v="Familles d'accueil"/>
    <s v="Location"/>
    <s v="Non"/>
    <m/>
    <n v="23"/>
    <n v="15000"/>
    <s v="Oui"/>
    <s v="Troisième déplacement"/>
    <n v="23"/>
    <n v="140"/>
    <n v="65"/>
    <n v="75"/>
    <n v="4"/>
    <n v="8"/>
    <n v="8"/>
    <n v="3"/>
    <s v="Chez une famille d'accueil (contre loyer)"/>
    <m/>
    <n v="0"/>
    <n v="0"/>
    <m/>
    <m/>
    <n v="0"/>
    <s v="Pas de changement "/>
    <s v="Oui"/>
    <n v="23"/>
    <n v="136"/>
    <n v="58"/>
    <n v="78"/>
    <n v="7"/>
    <n v="13"/>
    <n v="3"/>
    <s v="Chez une famille d'accueil (contre loyer)"/>
    <n v="0"/>
    <n v="0"/>
    <m/>
    <m/>
    <n v="0"/>
    <n v="0"/>
    <s v="Pas de commentaire "/>
    <s v="Non"/>
    <m/>
    <m/>
    <m/>
    <m/>
    <m/>
    <m/>
    <m/>
    <m/>
    <m/>
    <m/>
    <m/>
    <m/>
    <m/>
    <m/>
    <m/>
    <m/>
    <m/>
    <m/>
    <m/>
    <m/>
    <n v="0"/>
    <m/>
    <m/>
    <m/>
    <m/>
    <m/>
    <m/>
    <m/>
    <m/>
    <m/>
    <m/>
    <m/>
    <m/>
    <m/>
    <s v="1"/>
    <s v="1"/>
    <s v="0"/>
    <n v="2"/>
  </r>
  <r>
    <n v="2606078"/>
    <s v="Extrême-Nord"/>
    <s v="CMR004"/>
    <x v="5"/>
    <s v="CMR004006"/>
    <s v="Bourha"/>
    <s v="CMR004006007"/>
    <s v="BOU-0007"/>
    <s v="DJEKI"/>
    <m/>
    <x v="1"/>
    <n v="10.1485878"/>
    <n v="13.5367248"/>
    <x v="0"/>
    <b v="1"/>
    <b v="0"/>
    <b v="0"/>
    <m/>
    <n v="3"/>
    <s v="Accessible"/>
    <m/>
    <s v="Le village accueille une population"/>
    <s v="Le village est intact (construit)"/>
    <m/>
    <m/>
    <s v="Oui"/>
    <s v="Familles d'accueil"/>
    <s v="Centre Collectif"/>
    <s v="Non"/>
    <m/>
    <n v="26"/>
    <n v="15000"/>
    <s v="Oui"/>
    <s v="Plus de trois déplacements"/>
    <n v="26"/>
    <n v="158"/>
    <n v="89"/>
    <n v="69"/>
    <n v="5"/>
    <n v="9"/>
    <n v="6"/>
    <n v="3"/>
    <s v="Chez une famille d'accueil (contre loyer)"/>
    <m/>
    <n v="3"/>
    <n v="0"/>
    <m/>
    <m/>
    <n v="0"/>
    <s v="Pas de changement"/>
    <s v="Oui"/>
    <n v="1"/>
    <n v="39"/>
    <n v="16"/>
    <n v="23"/>
    <n v="1"/>
    <n v="0"/>
    <n v="0"/>
    <m/>
    <n v="0"/>
    <n v="0"/>
    <m/>
    <m/>
    <n v="0"/>
    <n v="0"/>
    <s v="Pas de changement"/>
    <s v="Oui"/>
    <n v="2"/>
    <n v="8"/>
    <n v="4"/>
    <n v="4"/>
    <s v="Entre 3 mois et 1 an"/>
    <n v="2"/>
    <n v="0"/>
    <n v="0"/>
    <n v="0"/>
    <n v="0"/>
    <m/>
    <n v="0"/>
    <n v="0"/>
    <m/>
    <n v="0"/>
    <m/>
    <m/>
    <m/>
    <m/>
    <m/>
    <n v="0"/>
    <m/>
    <m/>
    <m/>
    <m/>
    <m/>
    <m/>
    <m/>
    <m/>
    <m/>
    <m/>
    <m/>
    <m/>
    <m/>
    <s v="1"/>
    <s v="1"/>
    <s v="1"/>
    <n v="3"/>
  </r>
  <r>
    <n v="2619930"/>
    <s v="Extrême-Nord"/>
    <s v="CMR004"/>
    <x v="5"/>
    <s v="CMR004006"/>
    <s v="Bourha"/>
    <s v="CMR004006007"/>
    <s v="BOU-0006"/>
    <s v="DJIMI"/>
    <m/>
    <x v="1"/>
    <n v="10.292756799999999"/>
    <n v="13.5289763"/>
    <x v="0"/>
    <b v="1"/>
    <b v="0"/>
    <b v="0"/>
    <m/>
    <n v="3"/>
    <s v="Accessible"/>
    <m/>
    <s v="Le village accueille une population"/>
    <s v="Le village est intact (construit)"/>
    <m/>
    <m/>
    <s v="Oui"/>
    <s v="Familles d'accueil"/>
    <s v="Centre Collectif"/>
    <s v="Non"/>
    <m/>
    <m/>
    <n v="15000"/>
    <s v="Non"/>
    <m/>
    <m/>
    <m/>
    <m/>
    <m/>
    <m/>
    <m/>
    <m/>
    <m/>
    <m/>
    <m/>
    <m/>
    <m/>
    <m/>
    <m/>
    <m/>
    <m/>
    <s v="Oui"/>
    <n v="5"/>
    <n v="24"/>
    <n v="9"/>
    <n v="15"/>
    <n v="2"/>
    <n v="3"/>
    <n v="0"/>
    <m/>
    <n v="0"/>
    <n v="0"/>
    <m/>
    <m/>
    <n v="0"/>
    <n v="0"/>
    <s v="Naissance d'un garçon"/>
    <s v="Oui"/>
    <n v="6"/>
    <n v="25"/>
    <n v="10"/>
    <n v="15"/>
    <s v="Moins de 3 mois"/>
    <n v="2"/>
    <n v="2"/>
    <n v="2"/>
    <n v="0"/>
    <n v="0"/>
    <m/>
    <n v="0"/>
    <n v="0"/>
    <m/>
    <n v="0"/>
    <m/>
    <m/>
    <m/>
    <m/>
    <m/>
    <n v="0"/>
    <m/>
    <m/>
    <m/>
    <m/>
    <m/>
    <m/>
    <m/>
    <m/>
    <m/>
    <m/>
    <m/>
    <m/>
    <m/>
    <s v="0"/>
    <s v="1"/>
    <s v="1"/>
    <n v="2"/>
  </r>
  <r>
    <n v="2613545"/>
    <s v="Extrême-Nord"/>
    <s v="CMR004"/>
    <x v="5"/>
    <s v="CMR004006"/>
    <s v="Bourha"/>
    <s v="CMR004006007"/>
    <s v="BOU-0002"/>
    <s v="GAMBOURA"/>
    <m/>
    <x v="1"/>
    <n v="10.2981663"/>
    <n v="13.650191"/>
    <x v="0"/>
    <b v="1"/>
    <b v="0"/>
    <b v="0"/>
    <m/>
    <n v="5"/>
    <s v="Accessible"/>
    <m/>
    <s v="Le village accueille une population"/>
    <s v="Le village est intact (construit)"/>
    <m/>
    <m/>
    <s v="Oui"/>
    <s v="Familles d'accueil"/>
    <s v="Centre Collectif"/>
    <s v="Non"/>
    <m/>
    <n v="2"/>
    <n v="10000"/>
    <s v="Oui"/>
    <s v="Troisième déplacement"/>
    <n v="2"/>
    <n v="7"/>
    <n v="4"/>
    <n v="3"/>
    <n v="0"/>
    <n v="2"/>
    <n v="0"/>
    <n v="0"/>
    <m/>
    <m/>
    <n v="0"/>
    <n v="0"/>
    <m/>
    <m/>
    <n v="0"/>
    <s v="Arrivés des nouveaux cibles  Idps en provenance de tourou  de suite des derniers attaques "/>
    <s v="Oui"/>
    <n v="14"/>
    <n v="51"/>
    <n v="22"/>
    <n v="29"/>
    <n v="7"/>
    <n v="3"/>
    <n v="4"/>
    <s v="Chez une famille d'accueil (contre loyer)"/>
    <n v="0"/>
    <n v="0"/>
    <m/>
    <m/>
    <n v="0"/>
    <n v="0"/>
    <s v="0"/>
    <s v="Oui"/>
    <n v="6"/>
    <n v="20"/>
    <n v="12"/>
    <n v="8"/>
    <s v="Moins de 3 mois"/>
    <n v="4"/>
    <n v="1"/>
    <n v="1"/>
    <n v="0"/>
    <n v="0"/>
    <m/>
    <n v="0"/>
    <n v="0"/>
    <m/>
    <n v="0"/>
    <m/>
    <m/>
    <m/>
    <m/>
    <m/>
    <n v="0"/>
    <m/>
    <m/>
    <m/>
    <m/>
    <m/>
    <m/>
    <m/>
    <m/>
    <m/>
    <m/>
    <m/>
    <m/>
    <m/>
    <s v="1"/>
    <s v="1"/>
    <s v="1"/>
    <n v="3"/>
  </r>
  <r>
    <n v="2619931"/>
    <s v="Extrême-Nord"/>
    <s v="CMR004"/>
    <x v="5"/>
    <s v="CMR004006"/>
    <s v="Bourha"/>
    <s v="CMR004006007"/>
    <s v="BOU-0003"/>
    <s v="GUILI"/>
    <m/>
    <x v="1"/>
    <n v="10.3395411"/>
    <n v="13.550141999999999"/>
    <x v="0"/>
    <b v="1"/>
    <b v="0"/>
    <b v="0"/>
    <m/>
    <n v="4"/>
    <s v="Accessible"/>
    <m/>
    <s v="Le village accueille une population"/>
    <s v="Le village est intact (construit)"/>
    <m/>
    <m/>
    <s v="Oui"/>
    <s v="Familles d'accueil"/>
    <s v="Centre Collectif"/>
    <s v="Non"/>
    <m/>
    <m/>
    <n v="30000"/>
    <s v="Non"/>
    <m/>
    <m/>
    <m/>
    <m/>
    <m/>
    <m/>
    <m/>
    <m/>
    <m/>
    <m/>
    <m/>
    <m/>
    <m/>
    <m/>
    <m/>
    <m/>
    <m/>
    <s v="Non"/>
    <m/>
    <m/>
    <m/>
    <m/>
    <m/>
    <m/>
    <m/>
    <m/>
    <m/>
    <m/>
    <m/>
    <m/>
    <m/>
    <m/>
    <m/>
    <s v="Oui"/>
    <n v="153"/>
    <n v="832"/>
    <n v="435"/>
    <n v="397"/>
    <s v="Moins de 3 mois"/>
    <n v="97"/>
    <n v="19"/>
    <n v="24"/>
    <n v="13"/>
    <n v="0"/>
    <m/>
    <n v="0"/>
    <n v="0"/>
    <m/>
    <n v="0"/>
    <m/>
    <m/>
    <m/>
    <m/>
    <m/>
    <n v="0"/>
    <m/>
    <m/>
    <m/>
    <m/>
    <m/>
    <m/>
    <m/>
    <m/>
    <m/>
    <m/>
    <m/>
    <m/>
    <m/>
    <s v="0"/>
    <s v="0"/>
    <s v="1"/>
    <n v="1"/>
  </r>
  <r>
    <n v="2660064"/>
    <s v="Extrême-Nord"/>
    <s v="CMR004"/>
    <x v="5"/>
    <s v="CMR004006"/>
    <s v="Bourha"/>
    <s v="CMR004006007"/>
    <s v="BOU-0005"/>
    <s v="TCHEVI"/>
    <m/>
    <x v="1"/>
    <n v="10.1625803"/>
    <n v="13.506358799999999"/>
    <x v="0"/>
    <b v="1"/>
    <b v="0"/>
    <b v="0"/>
    <m/>
    <n v="4"/>
    <s v="Accessible"/>
    <m/>
    <s v="Le village accueille une population"/>
    <s v="Le village est intact (construit)"/>
    <m/>
    <m/>
    <s v="Oui"/>
    <s v="Familles d'accueil"/>
    <s v="Non, pas du tout"/>
    <s v="Non"/>
    <m/>
    <m/>
    <n v="18000"/>
    <s v="Non"/>
    <m/>
    <m/>
    <m/>
    <m/>
    <m/>
    <m/>
    <m/>
    <m/>
    <m/>
    <m/>
    <m/>
    <m/>
    <m/>
    <m/>
    <m/>
    <m/>
    <m/>
    <s v="Oui"/>
    <n v="19"/>
    <n v="136"/>
    <n v="55"/>
    <n v="81"/>
    <n v="13"/>
    <n v="6"/>
    <n v="0"/>
    <m/>
    <n v="0"/>
    <n v="0"/>
    <m/>
    <m/>
    <n v="0"/>
    <n v="0"/>
    <s v="0"/>
    <s v="Oui"/>
    <n v="20"/>
    <n v="101"/>
    <n v="42"/>
    <n v="59"/>
    <s v="Moins de 3 mois"/>
    <n v="10"/>
    <n v="5"/>
    <n v="5"/>
    <n v="0"/>
    <n v="0"/>
    <m/>
    <n v="0"/>
    <n v="0"/>
    <m/>
    <n v="0"/>
    <m/>
    <m/>
    <m/>
    <m/>
    <m/>
    <n v="0"/>
    <m/>
    <m/>
    <m/>
    <m/>
    <m/>
    <m/>
    <m/>
    <m/>
    <m/>
    <m/>
    <m/>
    <m/>
    <m/>
    <s v="0"/>
    <s v="1"/>
    <s v="1"/>
    <n v="2"/>
  </r>
  <r>
    <n v="2626280"/>
    <s v="Extrême-Nord"/>
    <s v="CMR004"/>
    <x v="5"/>
    <s v="CMR004006"/>
    <s v="Hina"/>
    <s v="CMR004006003"/>
    <s v="HIN-0001"/>
    <s v="BAMGUEL BORORO"/>
    <m/>
    <x v="1"/>
    <n v="10.2910734"/>
    <n v="13.833213799999999"/>
    <x v="0"/>
    <b v="1"/>
    <b v="0"/>
    <b v="1"/>
    <m/>
    <n v="3"/>
    <s v="Accessible"/>
    <m/>
    <s v="Le village accueille une population"/>
    <s v="Le village est intact (construit)"/>
    <m/>
    <m/>
    <s v="Oui"/>
    <s v="Familles d'accueil"/>
    <s v="Non, pas du tout"/>
    <s v="Non"/>
    <m/>
    <n v="15"/>
    <n v="2583"/>
    <s v="Oui"/>
    <s v="Premier déplacement"/>
    <n v="15"/>
    <n v="68"/>
    <n v="33"/>
    <n v="35"/>
    <n v="9"/>
    <n v="6"/>
    <n v="0"/>
    <n v="0"/>
    <m/>
    <m/>
    <n v="0"/>
    <n v="0"/>
    <m/>
    <m/>
    <n v="0"/>
    <s v="Arrive de 4 ménages  de 19 individus en provenance de  tourou"/>
    <s v="Non"/>
    <m/>
    <m/>
    <m/>
    <m/>
    <m/>
    <m/>
    <m/>
    <m/>
    <m/>
    <m/>
    <m/>
    <m/>
    <m/>
    <m/>
    <m/>
    <s v="Oui"/>
    <n v="2"/>
    <n v="12"/>
    <n v="5"/>
    <n v="7"/>
    <s v="5 ans ou plus"/>
    <n v="2"/>
    <n v="0"/>
    <n v="0"/>
    <n v="0"/>
    <n v="0"/>
    <m/>
    <n v="0"/>
    <n v="0"/>
    <m/>
    <n v="0"/>
    <m/>
    <m/>
    <m/>
    <m/>
    <m/>
    <n v="1"/>
    <m/>
    <m/>
    <m/>
    <m/>
    <m/>
    <m/>
    <m/>
    <m/>
    <m/>
    <m/>
    <m/>
    <m/>
    <m/>
    <s v="1"/>
    <s v="0"/>
    <s v="1"/>
    <n v="2"/>
  </r>
  <r>
    <n v="2626279"/>
    <s v="Extrême-Nord"/>
    <s v="CMR004"/>
    <x v="5"/>
    <s v="CMR004006"/>
    <s v="Hina"/>
    <s v="CMR004006003"/>
    <s v="HIN-0002"/>
    <s v="BASSARA"/>
    <m/>
    <x v="1"/>
    <n v="10.295481199999999"/>
    <n v="13.856862400000001"/>
    <x v="0"/>
    <b v="1"/>
    <b v="0"/>
    <b v="1"/>
    <m/>
    <n v="3"/>
    <s v="Accessible"/>
    <m/>
    <s v="Le village accueille une population"/>
    <s v="Le village est intact (construit)"/>
    <m/>
    <m/>
    <s v="Oui"/>
    <s v="Familles d'accueil"/>
    <s v="Non, pas du tout"/>
    <s v="Non"/>
    <m/>
    <n v="20"/>
    <n v="2015"/>
    <s v="Oui"/>
    <s v="Premier déplacement"/>
    <n v="20"/>
    <n v="141"/>
    <n v="67"/>
    <n v="74"/>
    <n v="14"/>
    <n v="6"/>
    <n v="0"/>
    <n v="0"/>
    <m/>
    <m/>
    <n v="0"/>
    <n v="0"/>
    <m/>
    <m/>
    <n v="0"/>
    <s v="Arrivée  de deux nouveaux  ménages  de 13 individus en provenance  de  MAGOUMAZ"/>
    <s v="Non"/>
    <m/>
    <m/>
    <m/>
    <m/>
    <m/>
    <m/>
    <m/>
    <m/>
    <m/>
    <m/>
    <m/>
    <m/>
    <m/>
    <m/>
    <m/>
    <s v="Oui"/>
    <n v="2"/>
    <n v="31"/>
    <n v="14"/>
    <n v="17"/>
    <s v="5 ans ou plus"/>
    <n v="2"/>
    <n v="0"/>
    <n v="0"/>
    <n v="0"/>
    <n v="0"/>
    <m/>
    <n v="0"/>
    <n v="0"/>
    <m/>
    <n v="0"/>
    <m/>
    <m/>
    <m/>
    <m/>
    <m/>
    <n v="1"/>
    <m/>
    <m/>
    <m/>
    <m/>
    <m/>
    <m/>
    <m/>
    <m/>
    <m/>
    <m/>
    <m/>
    <m/>
    <m/>
    <s v="1"/>
    <s v="0"/>
    <s v="1"/>
    <n v="2"/>
  </r>
  <r>
    <n v="2626275"/>
    <s v="Extrême-Nord"/>
    <s v="CMR004"/>
    <x v="5"/>
    <s v="CMR004006"/>
    <s v="Hina"/>
    <s v="CMR004006003"/>
    <s v="HIN-0003"/>
    <s v="BERING"/>
    <m/>
    <x v="1"/>
    <n v="10.415935299999999"/>
    <n v="13.7707468"/>
    <x v="0"/>
    <b v="1"/>
    <b v="0"/>
    <b v="1"/>
    <m/>
    <n v="3"/>
    <s v="Accessible"/>
    <m/>
    <s v="Le village accueille une population"/>
    <s v="Le village est intact (construit)"/>
    <m/>
    <m/>
    <s v="Oui"/>
    <s v="Familles d'accueil"/>
    <s v="Non, pas du tout"/>
    <s v="Non"/>
    <m/>
    <n v="28"/>
    <n v="2031"/>
    <s v="Oui"/>
    <s v="Premier déplacement"/>
    <n v="28"/>
    <n v="122"/>
    <n v="58"/>
    <n v="64"/>
    <n v="2"/>
    <n v="26"/>
    <n v="0"/>
    <n v="0"/>
    <m/>
    <m/>
    <n v="0"/>
    <n v="0"/>
    <m/>
    <m/>
    <n v="0"/>
    <s v="Arrive  de 6 ménages   de 28 individus  en provenance  de  ZIVER MONTAGNE"/>
    <s v="Non"/>
    <m/>
    <m/>
    <m/>
    <m/>
    <m/>
    <m/>
    <m/>
    <m/>
    <m/>
    <m/>
    <m/>
    <m/>
    <m/>
    <m/>
    <m/>
    <s v="Oui"/>
    <n v="3"/>
    <n v="24"/>
    <n v="10"/>
    <n v="14"/>
    <s v="5 ans ou plus"/>
    <n v="0"/>
    <n v="3"/>
    <n v="0"/>
    <n v="0"/>
    <n v="0"/>
    <m/>
    <n v="0"/>
    <n v="0"/>
    <m/>
    <n v="0"/>
    <m/>
    <m/>
    <m/>
    <m/>
    <m/>
    <n v="7"/>
    <m/>
    <m/>
    <m/>
    <m/>
    <m/>
    <m/>
    <m/>
    <m/>
    <m/>
    <m/>
    <m/>
    <m/>
    <m/>
    <s v="1"/>
    <s v="0"/>
    <s v="1"/>
    <n v="2"/>
  </r>
  <r>
    <n v="2626281"/>
    <s v="Extrême-Nord"/>
    <s v="CMR004"/>
    <x v="5"/>
    <s v="CMR004006"/>
    <s v="Hina"/>
    <s v="CMR004006003"/>
    <s v="HIN-0007"/>
    <s v="GAMDOUGOUM"/>
    <m/>
    <x v="1"/>
    <n v="10.2971705"/>
    <n v="13.7519221"/>
    <x v="0"/>
    <b v="1"/>
    <b v="0"/>
    <b v="1"/>
    <m/>
    <n v="3"/>
    <s v="Accessible"/>
    <m/>
    <s v="Le village accueille une population"/>
    <s v="Le village est intact (construit)"/>
    <m/>
    <m/>
    <s v="Oui"/>
    <s v="Familles d'accueil"/>
    <s v="Non, pas du tout"/>
    <s v="Non"/>
    <m/>
    <n v="2"/>
    <n v="1361"/>
    <s v="Oui"/>
    <s v="Premier déplacement"/>
    <n v="2"/>
    <n v="25"/>
    <n v="11"/>
    <n v="14"/>
    <n v="0"/>
    <n v="2"/>
    <n v="0"/>
    <n v="0"/>
    <m/>
    <m/>
    <n v="0"/>
    <n v="0"/>
    <m/>
    <m/>
    <n v="0"/>
    <s v="Arrivée  d'un ménage déplacé de taille  7 individus  soit  3 hommes et 4 femmes "/>
    <s v="Oui"/>
    <n v="4"/>
    <n v="22"/>
    <n v="10"/>
    <n v="12"/>
    <n v="2"/>
    <n v="2"/>
    <n v="0"/>
    <m/>
    <n v="0"/>
    <n v="0"/>
    <m/>
    <m/>
    <n v="0"/>
    <n v="0"/>
    <s v="Augmentation  de la taille des populations  réfugiés d'un individu  de sexe masculin "/>
    <s v="Oui"/>
    <n v="2"/>
    <n v="14"/>
    <n v="6"/>
    <n v="8"/>
    <s v="5 ans ou plus"/>
    <n v="2"/>
    <n v="0"/>
    <n v="0"/>
    <n v="0"/>
    <n v="0"/>
    <m/>
    <n v="0"/>
    <n v="0"/>
    <m/>
    <n v="0"/>
    <m/>
    <m/>
    <m/>
    <m/>
    <m/>
    <n v="2"/>
    <m/>
    <m/>
    <m/>
    <m/>
    <m/>
    <m/>
    <m/>
    <m/>
    <m/>
    <m/>
    <m/>
    <m/>
    <m/>
    <s v="1"/>
    <s v="1"/>
    <s v="1"/>
    <n v="3"/>
  </r>
  <r>
    <n v="2626276"/>
    <s v="Extrême-Nord"/>
    <s v="CMR004"/>
    <x v="5"/>
    <s v="CMR004006"/>
    <s v="Hina"/>
    <s v="CMR004006003"/>
    <s v="HIN-0004"/>
    <s v="HINA CENTRE"/>
    <m/>
    <x v="1"/>
    <n v="10.359984900000001"/>
    <n v="13.845874200000001"/>
    <x v="0"/>
    <b v="1"/>
    <b v="0"/>
    <b v="1"/>
    <m/>
    <n v="3"/>
    <s v="Accessible"/>
    <m/>
    <s v="Le village accueille une population"/>
    <s v="Le village est intact (construit)"/>
    <m/>
    <m/>
    <s v="Oui"/>
    <s v="Familles d'accueil"/>
    <s v="Non, pas du tout"/>
    <s v="Non"/>
    <m/>
    <n v="43"/>
    <n v="3085"/>
    <s v="Oui"/>
    <s v="Premier déplacement"/>
    <n v="43"/>
    <n v="264"/>
    <n v="133"/>
    <n v="131"/>
    <n v="25"/>
    <n v="18"/>
    <n v="0"/>
    <n v="0"/>
    <m/>
    <m/>
    <n v="0"/>
    <n v="0"/>
    <m/>
    <m/>
    <n v="0"/>
    <s v="Arrivée  de 2 nouveaux ménages pour un effectif de 9 individus  soit 5 hommes et 4 femmes en provenance de BATAWAYA"/>
    <s v="Non"/>
    <m/>
    <m/>
    <m/>
    <m/>
    <m/>
    <m/>
    <m/>
    <m/>
    <m/>
    <m/>
    <m/>
    <m/>
    <m/>
    <m/>
    <m/>
    <s v="Oui"/>
    <n v="4"/>
    <n v="33"/>
    <n v="15"/>
    <n v="18"/>
    <s v="5 ans ou plus"/>
    <n v="0"/>
    <n v="4"/>
    <n v="0"/>
    <n v="0"/>
    <n v="0"/>
    <m/>
    <n v="0"/>
    <n v="0"/>
    <m/>
    <n v="0"/>
    <m/>
    <m/>
    <m/>
    <m/>
    <m/>
    <n v="5"/>
    <m/>
    <m/>
    <m/>
    <m/>
    <m/>
    <m/>
    <m/>
    <m/>
    <m/>
    <m/>
    <m/>
    <m/>
    <m/>
    <s v="1"/>
    <s v="0"/>
    <s v="1"/>
    <n v="2"/>
  </r>
  <r>
    <n v="2626277"/>
    <s v="Extrême-Nord"/>
    <s v="CMR004"/>
    <x v="5"/>
    <s v="CMR004006"/>
    <s v="Hina"/>
    <s v="CMR004006003"/>
    <s v="HIN-0008"/>
    <s v="HINA WIDE"/>
    <m/>
    <x v="1"/>
    <n v="10.337234499999999"/>
    <n v="13.8655723"/>
    <x v="0"/>
    <b v="1"/>
    <b v="0"/>
    <b v="1"/>
    <m/>
    <n v="3"/>
    <s v="Accessible"/>
    <m/>
    <s v="Le village accueille une population"/>
    <s v="Le village est intact (construit)"/>
    <m/>
    <m/>
    <s v="Oui"/>
    <s v="Familles d'accueil"/>
    <s v="Non, pas du tout"/>
    <s v="Non"/>
    <m/>
    <n v="16"/>
    <n v="735"/>
    <s v="Oui"/>
    <s v="Premier déplacement"/>
    <n v="16"/>
    <n v="46"/>
    <n v="22"/>
    <n v="24"/>
    <n v="0"/>
    <n v="16"/>
    <n v="0"/>
    <n v="0"/>
    <m/>
    <m/>
    <n v="0"/>
    <n v="0"/>
    <m/>
    <m/>
    <n v="0"/>
    <s v="Arrivée  de 9 ménages de 23  individus  soit 11 hommes et  12 femmes en provenance de BATAWAYA "/>
    <s v="Non"/>
    <m/>
    <m/>
    <m/>
    <m/>
    <m/>
    <m/>
    <m/>
    <m/>
    <m/>
    <m/>
    <m/>
    <m/>
    <m/>
    <m/>
    <m/>
    <s v="Oui"/>
    <n v="3"/>
    <n v="29"/>
    <n v="11"/>
    <n v="18"/>
    <s v="5 ans ou plus"/>
    <n v="2"/>
    <n v="1"/>
    <n v="0"/>
    <n v="0"/>
    <n v="0"/>
    <m/>
    <n v="0"/>
    <n v="0"/>
    <m/>
    <n v="0"/>
    <m/>
    <m/>
    <m/>
    <m/>
    <m/>
    <n v="2"/>
    <m/>
    <m/>
    <m/>
    <m/>
    <m/>
    <m/>
    <m/>
    <m/>
    <m/>
    <m/>
    <m/>
    <m/>
    <m/>
    <s v="1"/>
    <s v="0"/>
    <s v="1"/>
    <n v="2"/>
  </r>
  <r>
    <n v="2626282"/>
    <s v="Extrême-Nord"/>
    <s v="CMR004"/>
    <x v="5"/>
    <s v="CMR004006"/>
    <s v="Hina"/>
    <s v="CMR004006003"/>
    <s v="HIN-0005"/>
    <s v="MADINA"/>
    <m/>
    <x v="1"/>
    <n v="10.394584"/>
    <n v="13.8881368"/>
    <x v="0"/>
    <b v="1"/>
    <b v="0"/>
    <b v="1"/>
    <m/>
    <n v="3"/>
    <s v="Accessible"/>
    <m/>
    <s v="Le village accueille une population"/>
    <s v="Le village est intact (construit)"/>
    <m/>
    <m/>
    <s v="Oui"/>
    <s v="Familles d'accueil"/>
    <s v="Non, pas du tout"/>
    <s v="Non"/>
    <m/>
    <n v="12"/>
    <n v="321"/>
    <s v="Oui"/>
    <s v="Premier déplacement"/>
    <n v="12"/>
    <n v="83"/>
    <n v="35"/>
    <n v="48"/>
    <n v="8"/>
    <n v="4"/>
    <n v="0"/>
    <n v="0"/>
    <m/>
    <m/>
    <n v="0"/>
    <n v="0"/>
    <m/>
    <m/>
    <n v="0"/>
    <s v="Arrivée de 4 ménages de18 individus soit 10 femmes et 8 hommes en provenance de tourou "/>
    <s v="Oui"/>
    <n v="2"/>
    <n v="13"/>
    <n v="6"/>
    <n v="7"/>
    <n v="2"/>
    <n v="0"/>
    <n v="0"/>
    <m/>
    <n v="0"/>
    <n v="0"/>
    <m/>
    <m/>
    <n v="0"/>
    <n v="1"/>
    <s v="Augmentation de  un individu  de sexe masculin à la  naissance "/>
    <s v="Oui"/>
    <n v="3"/>
    <n v="34"/>
    <n v="14"/>
    <n v="20"/>
    <s v="5 ans ou plus"/>
    <n v="3"/>
    <n v="0"/>
    <n v="0"/>
    <n v="0"/>
    <n v="0"/>
    <m/>
    <n v="0"/>
    <n v="0"/>
    <m/>
    <n v="0"/>
    <m/>
    <m/>
    <m/>
    <m/>
    <m/>
    <n v="12"/>
    <m/>
    <m/>
    <m/>
    <m/>
    <m/>
    <m/>
    <m/>
    <m/>
    <m/>
    <m/>
    <m/>
    <m/>
    <m/>
    <s v="1"/>
    <s v="1"/>
    <s v="1"/>
    <n v="3"/>
  </r>
  <r>
    <n v="2626278"/>
    <s v="Extrême-Nord"/>
    <s v="CMR004"/>
    <x v="5"/>
    <s v="CMR004006"/>
    <s v="Hina"/>
    <s v="CMR004006003"/>
    <s v="HIN-0006"/>
    <s v="ZOUVOUL"/>
    <m/>
    <x v="1"/>
    <n v="10.249068899999999"/>
    <n v="13.9078623"/>
    <x v="0"/>
    <b v="1"/>
    <b v="0"/>
    <b v="1"/>
    <m/>
    <n v="3"/>
    <s v="Accessible"/>
    <m/>
    <s v="Le village accueille une population"/>
    <s v="Le village est intact (construit)"/>
    <m/>
    <m/>
    <s v="Oui"/>
    <s v="Familles d'accueil"/>
    <s v="Non, pas du tout"/>
    <s v="Non"/>
    <m/>
    <n v="1"/>
    <n v="1500"/>
    <s v="Oui"/>
    <s v="Premier déplacement"/>
    <n v="1"/>
    <n v="6"/>
    <n v="3"/>
    <n v="3"/>
    <n v="0"/>
    <n v="1"/>
    <n v="0"/>
    <n v="0"/>
    <m/>
    <m/>
    <n v="0"/>
    <n v="0"/>
    <m/>
    <m/>
    <n v="0"/>
    <s v="Arrivée d'un ménage de 6 individus en provenance de mokolo "/>
    <s v="Non"/>
    <m/>
    <m/>
    <m/>
    <m/>
    <m/>
    <m/>
    <m/>
    <m/>
    <m/>
    <m/>
    <m/>
    <m/>
    <m/>
    <m/>
    <m/>
    <s v="Oui"/>
    <n v="1"/>
    <n v="7"/>
    <n v="3"/>
    <n v="4"/>
    <s v="5 ans ou plus"/>
    <n v="1"/>
    <n v="0"/>
    <n v="0"/>
    <n v="0"/>
    <n v="0"/>
    <m/>
    <n v="0"/>
    <n v="0"/>
    <m/>
    <n v="0"/>
    <m/>
    <m/>
    <m/>
    <m/>
    <m/>
    <n v="2"/>
    <m/>
    <m/>
    <m/>
    <m/>
    <m/>
    <m/>
    <m/>
    <m/>
    <m/>
    <m/>
    <m/>
    <m/>
    <m/>
    <s v="1"/>
    <s v="0"/>
    <s v="1"/>
    <n v="2"/>
  </r>
  <r>
    <n v="2618242"/>
    <s v="Extrême-Nord"/>
    <s v="CMR004"/>
    <x v="5"/>
    <s v="CMR004006"/>
    <s v="Koza"/>
    <s v="CMR004006004"/>
    <s v="XXXX"/>
    <s v="DZAKOURMA"/>
    <s v="DZAKOURMA"/>
    <x v="1"/>
    <n v="10.860291200000001"/>
    <n v="13.872577400000001"/>
    <x v="0"/>
    <b v="1"/>
    <b v="0"/>
    <b v="1"/>
    <m/>
    <n v="3"/>
    <s v="Accessible"/>
    <m/>
    <s v="Le village accueille une population"/>
    <s v="Le village est intact (construit)"/>
    <m/>
    <m/>
    <s v="Oui"/>
    <s v="Familles d'accueil"/>
    <s v="Location"/>
    <s v="Non"/>
    <m/>
    <n v="60"/>
    <n v="1500"/>
    <s v="Oui"/>
    <s v="Premier déplacement"/>
    <n v="60"/>
    <n v="300"/>
    <n v="139"/>
    <n v="161"/>
    <n v="0"/>
    <n v="43"/>
    <n v="0"/>
    <n v="17"/>
    <s v="Chez une famille d'accueil (contre loyer)"/>
    <m/>
    <n v="0"/>
    <n v="0"/>
    <m/>
    <m/>
    <n v="0"/>
    <s v="DZAKOURMA est un nouveau village  "/>
    <s v="Non"/>
    <m/>
    <m/>
    <m/>
    <m/>
    <m/>
    <m/>
    <m/>
    <m/>
    <m/>
    <m/>
    <m/>
    <m/>
    <m/>
    <m/>
    <m/>
    <s v="Oui"/>
    <n v="30"/>
    <n v="160"/>
    <n v="82"/>
    <n v="78"/>
    <s v="Entre 3 mois et 1 an"/>
    <n v="13"/>
    <n v="0"/>
    <n v="5"/>
    <n v="0"/>
    <n v="12"/>
    <s v="Logement indépendant (Maison indépendante)"/>
    <n v="0"/>
    <n v="0"/>
    <m/>
    <n v="0"/>
    <m/>
    <m/>
    <m/>
    <m/>
    <m/>
    <n v="0"/>
    <m/>
    <m/>
    <m/>
    <m/>
    <m/>
    <m/>
    <m/>
    <m/>
    <m/>
    <m/>
    <m/>
    <m/>
    <m/>
    <s v="1"/>
    <s v="0"/>
    <s v="1"/>
    <n v="2"/>
  </r>
  <r>
    <n v="2631065"/>
    <s v="Extrême-Nord"/>
    <s v="CMR004"/>
    <x v="5"/>
    <s v="CMR004006"/>
    <s v="Koza"/>
    <s v="CMR004006004"/>
    <s v="XXXX"/>
    <s v="VEGUE "/>
    <s v="VEGUE "/>
    <x v="1"/>
    <n v="10.8669609"/>
    <n v="13.915276499999999"/>
    <x v="0"/>
    <b v="1"/>
    <b v="0"/>
    <b v="0"/>
    <m/>
    <n v="3"/>
    <s v="Accessible"/>
    <m/>
    <s v="Le village accueille une population"/>
    <s v="Le village est intact (construit)"/>
    <m/>
    <m/>
    <s v="Oui"/>
    <s v="Familles d'accueil"/>
    <s v="Location"/>
    <s v="Non"/>
    <m/>
    <n v="34"/>
    <n v="714"/>
    <s v="Oui"/>
    <s v="Premier déplacement"/>
    <n v="34"/>
    <n v="79"/>
    <n v="30"/>
    <n v="49"/>
    <n v="6"/>
    <n v="25"/>
    <n v="0"/>
    <n v="3"/>
    <s v="Chez une famille d'accueil (contre loyer)"/>
    <m/>
    <n v="0"/>
    <n v="0"/>
    <m/>
    <m/>
    <n v="0"/>
    <s v="Vegue est un  nouveau village qui a accueilli 34 ménages pour 79 individus "/>
    <s v="Non"/>
    <m/>
    <m/>
    <m/>
    <m/>
    <m/>
    <m/>
    <m/>
    <m/>
    <m/>
    <m/>
    <m/>
    <m/>
    <m/>
    <m/>
    <m/>
    <s v="Non"/>
    <m/>
    <m/>
    <m/>
    <m/>
    <m/>
    <m/>
    <m/>
    <m/>
    <m/>
    <m/>
    <m/>
    <m/>
    <m/>
    <m/>
    <m/>
    <m/>
    <m/>
    <m/>
    <m/>
    <m/>
    <n v="0"/>
    <m/>
    <m/>
    <m/>
    <m/>
    <m/>
    <m/>
    <m/>
    <m/>
    <m/>
    <m/>
    <m/>
    <m/>
    <m/>
    <s v="1"/>
    <s v="0"/>
    <s v="0"/>
    <n v="1"/>
  </r>
  <r>
    <n v="2646935"/>
    <s v="Extrême-Nord"/>
    <s v="CMR004"/>
    <x v="5"/>
    <s v="CMR004006"/>
    <s v="Koza"/>
    <s v="CMR004006004"/>
    <s v="XXXX"/>
    <s v="DAKOTCHER"/>
    <s v="DAKOTCHER"/>
    <x v="1"/>
    <n v="10.919487500000001"/>
    <n v="13.913559899999999"/>
    <x v="0"/>
    <b v="1"/>
    <b v="0"/>
    <b v="0"/>
    <m/>
    <n v="3"/>
    <s v="Accessible"/>
    <m/>
    <s v="Le village accueille une population"/>
    <s v="Le village est intact (construit)"/>
    <m/>
    <m/>
    <s v="Oui"/>
    <s v="Familles d'accueil"/>
    <s v="Non, pas du tout"/>
    <s v="Non"/>
    <m/>
    <n v="40"/>
    <n v="1521"/>
    <s v="Oui"/>
    <s v="Premier déplacement"/>
    <n v="40"/>
    <n v="150"/>
    <n v="60"/>
    <n v="90"/>
    <n v="15"/>
    <n v="20"/>
    <n v="0"/>
    <n v="5"/>
    <s v="Chez une famille d'accueil (contre loyer)"/>
    <m/>
    <n v="0"/>
    <n v="0"/>
    <m/>
    <m/>
    <n v="0"/>
    <s v="Nouveau  village  qui accueille  40 ménages  pour  150 individus "/>
    <s v="Non"/>
    <m/>
    <m/>
    <m/>
    <m/>
    <m/>
    <m/>
    <m/>
    <m/>
    <m/>
    <m/>
    <m/>
    <m/>
    <m/>
    <m/>
    <m/>
    <s v="Non"/>
    <m/>
    <m/>
    <m/>
    <m/>
    <m/>
    <m/>
    <m/>
    <m/>
    <m/>
    <m/>
    <m/>
    <m/>
    <m/>
    <m/>
    <m/>
    <m/>
    <m/>
    <m/>
    <m/>
    <m/>
    <n v="0"/>
    <m/>
    <m/>
    <m/>
    <m/>
    <m/>
    <m/>
    <m/>
    <m/>
    <m/>
    <m/>
    <m/>
    <m/>
    <m/>
    <s v="1"/>
    <s v="0"/>
    <s v="0"/>
    <n v="1"/>
  </r>
  <r>
    <n v="2622380"/>
    <s v="Extrême-Nord"/>
    <s v="CMR004"/>
    <x v="5"/>
    <s v="CMR004006"/>
    <s v="Koza"/>
    <s v="CMR004006004"/>
    <s v="KOZ-0040"/>
    <s v="BANQUETTE"/>
    <m/>
    <x v="1"/>
    <n v="10.867896200000001"/>
    <n v="13.903135199999999"/>
    <x v="0"/>
    <b v="1"/>
    <b v="0"/>
    <b v="0"/>
    <m/>
    <n v="3"/>
    <s v="Accessible"/>
    <m/>
    <s v="Le village accueille une population"/>
    <s v="Le village est intact (construit)"/>
    <m/>
    <m/>
    <s v="Oui"/>
    <s v="Familles d'accueil"/>
    <s v="Location"/>
    <s v="Non"/>
    <m/>
    <n v="30"/>
    <n v="1536"/>
    <s v="Oui"/>
    <s v="Deuxième déplacement"/>
    <n v="30"/>
    <n v="113"/>
    <n v="45"/>
    <n v="68"/>
    <n v="3"/>
    <n v="24"/>
    <n v="0"/>
    <n v="3"/>
    <s v="Chez une famille d'accueil (contre loyer)"/>
    <m/>
    <n v="0"/>
    <n v="0"/>
    <m/>
    <m/>
    <n v="0"/>
    <s v="Ajout de 3 ménages pour 14 indivudus venant de gabas, nguetchewe "/>
    <s v="Non"/>
    <m/>
    <m/>
    <m/>
    <m/>
    <m/>
    <m/>
    <m/>
    <m/>
    <m/>
    <m/>
    <m/>
    <m/>
    <m/>
    <m/>
    <m/>
    <s v="Oui"/>
    <n v="7"/>
    <n v="37"/>
    <n v="14"/>
    <n v="23"/>
    <s v="Entre 3 mois et 1 an"/>
    <n v="5"/>
    <n v="0"/>
    <n v="2"/>
    <n v="0"/>
    <n v="0"/>
    <m/>
    <n v="0"/>
    <n v="0"/>
    <m/>
    <n v="0"/>
    <m/>
    <m/>
    <m/>
    <m/>
    <m/>
    <n v="0"/>
    <m/>
    <m/>
    <m/>
    <m/>
    <m/>
    <m/>
    <m/>
    <m/>
    <m/>
    <m/>
    <m/>
    <m/>
    <m/>
    <s v="1"/>
    <s v="0"/>
    <s v="1"/>
    <n v="2"/>
  </r>
  <r>
    <n v="2646934"/>
    <s v="Extrême-Nord"/>
    <s v="CMR004"/>
    <x v="5"/>
    <s v="CMR004006"/>
    <s v="Koza"/>
    <s v="CMR004006004"/>
    <s v="KOZ-0001"/>
    <s v="DJENGUE"/>
    <m/>
    <x v="1"/>
    <n v="10.916717"/>
    <n v="13.919942900000001"/>
    <x v="0"/>
    <b v="1"/>
    <b v="0"/>
    <b v="0"/>
    <m/>
    <n v="3"/>
    <s v="Accessible"/>
    <m/>
    <s v="Le village accueille une population"/>
    <s v="Le village est intact (construit)"/>
    <m/>
    <m/>
    <s v="Oui"/>
    <s v="Familles d'accueil"/>
    <s v="Non, pas du tout"/>
    <s v="Non"/>
    <m/>
    <n v="56"/>
    <n v="1900"/>
    <s v="Oui"/>
    <s v="Premier déplacement"/>
    <n v="56"/>
    <n v="299"/>
    <n v="106"/>
    <n v="193"/>
    <n v="16"/>
    <n v="39"/>
    <n v="1"/>
    <n v="0"/>
    <m/>
    <m/>
    <n v="0"/>
    <n v="0"/>
    <m/>
    <m/>
    <n v="0"/>
    <s v="Ajout de 2 ménages pour 7 individus "/>
    <s v="Non"/>
    <m/>
    <m/>
    <m/>
    <m/>
    <m/>
    <m/>
    <m/>
    <m/>
    <m/>
    <m/>
    <m/>
    <m/>
    <m/>
    <m/>
    <m/>
    <s v="Non"/>
    <m/>
    <m/>
    <m/>
    <m/>
    <m/>
    <m/>
    <m/>
    <m/>
    <m/>
    <m/>
    <m/>
    <m/>
    <m/>
    <m/>
    <m/>
    <m/>
    <m/>
    <m/>
    <m/>
    <m/>
    <n v="0"/>
    <m/>
    <m/>
    <m/>
    <m/>
    <m/>
    <m/>
    <m/>
    <m/>
    <m/>
    <m/>
    <m/>
    <m/>
    <m/>
    <s v="1"/>
    <s v="0"/>
    <s v="0"/>
    <n v="1"/>
  </r>
  <r>
    <n v="2618244"/>
    <s v="Extrême-Nord"/>
    <s v="CMR004"/>
    <x v="5"/>
    <s v="CMR004006"/>
    <s v="Koza"/>
    <s v="CMR004006004"/>
    <s v="KOZ-0002"/>
    <s v="DJINGIYA PLAINE"/>
    <m/>
    <x v="0"/>
    <n v="10.8689681"/>
    <n v="13.868724200000001"/>
    <x v="0"/>
    <b v="1"/>
    <b v="0"/>
    <b v="1"/>
    <m/>
    <n v="3"/>
    <s v="Accessible"/>
    <m/>
    <s v="Le village accueille une population"/>
    <s v="Le village est intact (construit)"/>
    <m/>
    <m/>
    <s v="Oui"/>
    <s v="Familles d'accueil"/>
    <s v="Location"/>
    <s v="Non"/>
    <m/>
    <n v="344"/>
    <n v="6300"/>
    <s v="Oui"/>
    <s v="Deuxième déplacement"/>
    <n v="344"/>
    <n v="1904"/>
    <n v="846"/>
    <n v="1058"/>
    <n v="56"/>
    <n v="209"/>
    <n v="0"/>
    <n v="79"/>
    <s v="Logement indépendant (Maison indépendante)"/>
    <m/>
    <n v="0"/>
    <n v="0"/>
    <m/>
    <m/>
    <n v="0"/>
    <s v="61 ménages  de 240 individus augmentés soit 84 hommes et 156 femmes"/>
    <s v="Non"/>
    <m/>
    <m/>
    <m/>
    <m/>
    <m/>
    <m/>
    <m/>
    <m/>
    <m/>
    <m/>
    <m/>
    <m/>
    <m/>
    <m/>
    <m/>
    <s v="Oui"/>
    <n v="27"/>
    <n v="158"/>
    <n v="58"/>
    <n v="100"/>
    <s v="5 ans ou plus"/>
    <n v="6"/>
    <n v="6"/>
    <n v="5"/>
    <n v="0"/>
    <n v="10"/>
    <s v="Logement indépendant (Maison indépendante)"/>
    <n v="0"/>
    <n v="0"/>
    <m/>
    <n v="0"/>
    <m/>
    <m/>
    <m/>
    <m/>
    <m/>
    <n v="0"/>
    <m/>
    <m/>
    <m/>
    <m/>
    <m/>
    <m/>
    <m/>
    <m/>
    <m/>
    <m/>
    <m/>
    <m/>
    <m/>
    <s v="1"/>
    <s v="0"/>
    <s v="1"/>
    <n v="2"/>
  </r>
  <r>
    <n v="2627047"/>
    <s v="Extrême-Nord"/>
    <s v="CMR004"/>
    <x v="5"/>
    <s v="CMR004006"/>
    <s v="Koza"/>
    <s v="CMR004006004"/>
    <s v="KOZ-0003"/>
    <s v="DJINGLIYA MONTAGNE"/>
    <m/>
    <x v="1"/>
    <n v="10.8354781"/>
    <n v="13.8597153"/>
    <x v="0"/>
    <b v="1"/>
    <b v="0"/>
    <b v="1"/>
    <m/>
    <n v="6"/>
    <s v="Accessible"/>
    <m/>
    <s v="Le village accueille une population"/>
    <s v="Le village est intact (construit)"/>
    <m/>
    <m/>
    <s v="Oui"/>
    <s v="Familles d'accueil"/>
    <s v="Location"/>
    <s v="Non"/>
    <m/>
    <n v="49"/>
    <n v="3700"/>
    <s v="Oui"/>
    <s v="Deuxième déplacement"/>
    <n v="49"/>
    <n v="350"/>
    <n v="165"/>
    <n v="185"/>
    <n v="16"/>
    <n v="33"/>
    <n v="0"/>
    <n v="0"/>
    <m/>
    <m/>
    <n v="0"/>
    <n v="0"/>
    <m/>
    <m/>
    <n v="0"/>
    <s v="6 ménages de 40 individus arrivés soit 15 hommes et 25 femmes "/>
    <s v="Non"/>
    <m/>
    <m/>
    <m/>
    <m/>
    <m/>
    <m/>
    <m/>
    <m/>
    <m/>
    <m/>
    <m/>
    <m/>
    <m/>
    <m/>
    <m/>
    <s v="Oui"/>
    <n v="11"/>
    <n v="87"/>
    <n v="27"/>
    <n v="60"/>
    <s v="5 ans ou plus"/>
    <n v="7"/>
    <n v="4"/>
    <n v="0"/>
    <n v="0"/>
    <n v="0"/>
    <m/>
    <n v="0"/>
    <n v="0"/>
    <m/>
    <n v="0"/>
    <m/>
    <m/>
    <m/>
    <m/>
    <m/>
    <n v="0"/>
    <m/>
    <m/>
    <m/>
    <m/>
    <m/>
    <m/>
    <m/>
    <m/>
    <m/>
    <m/>
    <m/>
    <m/>
    <m/>
    <s v="1"/>
    <s v="0"/>
    <s v="1"/>
    <n v="2"/>
  </r>
  <r>
    <n v="2620181"/>
    <s v="Extrême-Nord"/>
    <s v="CMR004"/>
    <x v="5"/>
    <s v="CMR004006"/>
    <s v="Koza"/>
    <s v="CMR004006004"/>
    <s v="KOZ-0004"/>
    <s v="DOUMBOGO"/>
    <m/>
    <x v="1"/>
    <n v="10.862189300000001"/>
    <n v="13.892713499999999"/>
    <x v="0"/>
    <b v="1"/>
    <b v="0"/>
    <b v="1"/>
    <m/>
    <n v="3"/>
    <s v="Accessible"/>
    <m/>
    <s v="Le village accueille une population"/>
    <s v="Le village est intact (construit)"/>
    <m/>
    <m/>
    <s v="Oui"/>
    <s v="Familles d'accueil"/>
    <s v="Non, pas du tout"/>
    <s v="Non"/>
    <m/>
    <n v="168"/>
    <n v="1092"/>
    <s v="Oui"/>
    <s v="Deuxième déplacement"/>
    <n v="168"/>
    <n v="715"/>
    <n v="312"/>
    <n v="403"/>
    <n v="14"/>
    <n v="53"/>
    <n v="92"/>
    <n v="9"/>
    <s v="Chez une famille d'accueil (contre loyer)"/>
    <m/>
    <n v="0"/>
    <n v="0"/>
    <m/>
    <m/>
    <n v="0"/>
    <s v="Augmentation de 19 ménages pour 9e individus en provenance de mitchkar zelevet virdeke et modoko  raison  Bh on note aussi  l'absence de  centre de santé mais aussi l'approvisionnement en eau potable est irrégulier. "/>
    <s v="Non"/>
    <m/>
    <m/>
    <m/>
    <m/>
    <m/>
    <m/>
    <m/>
    <m/>
    <m/>
    <m/>
    <m/>
    <m/>
    <m/>
    <m/>
    <m/>
    <s v="Oui"/>
    <n v="2"/>
    <n v="19"/>
    <n v="7"/>
    <n v="12"/>
    <s v="5 ans ou plus"/>
    <n v="0"/>
    <n v="1"/>
    <n v="1"/>
    <n v="0"/>
    <n v="0"/>
    <m/>
    <n v="0"/>
    <n v="0"/>
    <m/>
    <n v="0"/>
    <m/>
    <m/>
    <m/>
    <m/>
    <m/>
    <n v="0"/>
    <m/>
    <m/>
    <m/>
    <m/>
    <m/>
    <m/>
    <m/>
    <m/>
    <m/>
    <m/>
    <m/>
    <m/>
    <m/>
    <s v="1"/>
    <s v="0"/>
    <s v="1"/>
    <n v="2"/>
  </r>
  <r>
    <n v="2620177"/>
    <s v="Extrême-Nord"/>
    <s v="CMR004"/>
    <x v="5"/>
    <s v="CMR004006"/>
    <s v="Koza"/>
    <s v="CMR004006004"/>
    <s v="KOZ-0005"/>
    <s v="DOURWAT"/>
    <m/>
    <x v="1"/>
    <n v="10.8591088"/>
    <n v="13.878771"/>
    <x v="0"/>
    <b v="1"/>
    <b v="0"/>
    <b v="1"/>
    <m/>
    <n v="3"/>
    <s v="Accessible"/>
    <m/>
    <s v="Le village accueille une population"/>
    <s v="Le village est intact (construit)"/>
    <m/>
    <m/>
    <s v="Oui"/>
    <s v="Familles d'accueil"/>
    <s v="Non, pas du tout"/>
    <s v="Non"/>
    <m/>
    <n v="127"/>
    <n v="3426"/>
    <s v="Oui"/>
    <s v="Deuxième déplacement"/>
    <n v="127"/>
    <n v="455"/>
    <n v="189"/>
    <n v="266"/>
    <n v="14"/>
    <n v="37"/>
    <n v="64"/>
    <n v="12"/>
    <s v="Chez une famille d'accueil (contre loyer)"/>
    <m/>
    <n v="0"/>
    <n v="0"/>
    <m/>
    <m/>
    <n v="0"/>
    <s v="Augmentation de 5 ménages pour 20 individuel en provenance de mitchkar et nguetchewe dues au Bh malheureusement  nous avons  enregistré un décès  d'une personne  âgée  dues au traumatisme  de l'attaque  des groupes  armes. "/>
    <s v="Non"/>
    <m/>
    <m/>
    <m/>
    <m/>
    <m/>
    <m/>
    <m/>
    <m/>
    <m/>
    <m/>
    <m/>
    <m/>
    <m/>
    <m/>
    <m/>
    <s v="Non"/>
    <m/>
    <m/>
    <m/>
    <m/>
    <m/>
    <m/>
    <m/>
    <m/>
    <m/>
    <m/>
    <m/>
    <m/>
    <m/>
    <m/>
    <m/>
    <m/>
    <m/>
    <m/>
    <m/>
    <m/>
    <n v="0"/>
    <m/>
    <m/>
    <m/>
    <m/>
    <m/>
    <m/>
    <m/>
    <m/>
    <m/>
    <m/>
    <m/>
    <m/>
    <m/>
    <s v="1"/>
    <s v="0"/>
    <s v="0"/>
    <n v="1"/>
  </r>
  <r>
    <n v="2629505"/>
    <s v="Extrême-Nord"/>
    <s v="CMR004"/>
    <x v="5"/>
    <s v="CMR004006"/>
    <s v="Koza"/>
    <s v="CMR004006004"/>
    <s v="KOZ-0006"/>
    <s v="GABAS"/>
    <m/>
    <x v="1"/>
    <n v="10.912700900000001"/>
    <n v="13.9631118"/>
    <x v="0"/>
    <b v="1"/>
    <b v="0"/>
    <b v="0"/>
    <m/>
    <n v="3"/>
    <s v="Accessible"/>
    <m/>
    <s v="Le village est déserté la nuit"/>
    <s v="Le village est partiellement détruit"/>
    <s v="Attaques armées"/>
    <m/>
    <s v="Oui"/>
    <s v="Familles d'accueil"/>
    <s v="Non, pas du tout"/>
    <s v="Non"/>
    <m/>
    <n v="92"/>
    <n v="3535"/>
    <s v="Oui"/>
    <s v="Deuxième déplacement"/>
    <n v="92"/>
    <n v="645"/>
    <n v="251"/>
    <n v="394"/>
    <n v="12"/>
    <n v="80"/>
    <n v="0"/>
    <n v="0"/>
    <m/>
    <m/>
    <n v="0"/>
    <n v="0"/>
    <m/>
    <m/>
    <n v="0"/>
    <s v="Pas de changement "/>
    <s v="Non"/>
    <m/>
    <m/>
    <m/>
    <m/>
    <m/>
    <m/>
    <m/>
    <m/>
    <m/>
    <m/>
    <m/>
    <m/>
    <m/>
    <m/>
    <m/>
    <s v="Non"/>
    <m/>
    <m/>
    <m/>
    <m/>
    <m/>
    <m/>
    <m/>
    <m/>
    <m/>
    <m/>
    <m/>
    <m/>
    <m/>
    <m/>
    <m/>
    <m/>
    <m/>
    <m/>
    <m/>
    <m/>
    <n v="0"/>
    <m/>
    <m/>
    <m/>
    <m/>
    <m/>
    <m/>
    <m/>
    <m/>
    <m/>
    <m/>
    <m/>
    <m/>
    <m/>
    <s v="1"/>
    <s v="0"/>
    <s v="0"/>
    <n v="1"/>
  </r>
  <r>
    <n v="2629508"/>
    <s v="Extrême-Nord"/>
    <s v="CMR004"/>
    <x v="5"/>
    <s v="CMR004006"/>
    <s v="Koza"/>
    <s v="CMR004006004"/>
    <s v="KOZ-0007"/>
    <s v="GABOUA"/>
    <m/>
    <x v="1"/>
    <n v="10.9146436"/>
    <n v="13.935649099999999"/>
    <x v="0"/>
    <b v="1"/>
    <b v="0"/>
    <b v="0"/>
    <m/>
    <n v="3"/>
    <s v="Accessible"/>
    <m/>
    <s v="Le village accueille une population"/>
    <s v="Le village est intact (construit)"/>
    <m/>
    <m/>
    <s v="Oui"/>
    <s v="Familles d'accueil"/>
    <s v="Non, pas du tout"/>
    <s v="Non"/>
    <m/>
    <n v="272"/>
    <n v="2795"/>
    <s v="Oui"/>
    <s v="Premier déplacement"/>
    <n v="272"/>
    <n v="1547"/>
    <n v="576"/>
    <n v="971"/>
    <n v="20"/>
    <n v="226"/>
    <n v="0"/>
    <n v="26"/>
    <s v="Logement indépendant (Maison indépendante)"/>
    <m/>
    <n v="0"/>
    <n v="0"/>
    <m/>
    <m/>
    <n v="0"/>
    <s v="Pas de changement "/>
    <s v="Non"/>
    <m/>
    <m/>
    <m/>
    <m/>
    <m/>
    <m/>
    <m/>
    <m/>
    <m/>
    <m/>
    <m/>
    <m/>
    <m/>
    <m/>
    <m/>
    <s v="Non"/>
    <m/>
    <m/>
    <m/>
    <m/>
    <m/>
    <m/>
    <m/>
    <m/>
    <m/>
    <m/>
    <m/>
    <m/>
    <m/>
    <m/>
    <m/>
    <m/>
    <m/>
    <m/>
    <m/>
    <m/>
    <n v="0"/>
    <m/>
    <m/>
    <m/>
    <m/>
    <m/>
    <m/>
    <m/>
    <m/>
    <m/>
    <m/>
    <m/>
    <m/>
    <m/>
    <s v="1"/>
    <s v="0"/>
    <s v="0"/>
    <n v="1"/>
  </r>
  <r>
    <n v="2629503"/>
    <s v="Extrême-Nord"/>
    <s v="CMR004"/>
    <x v="5"/>
    <s v="CMR004006"/>
    <s v="Koza"/>
    <s v="CMR004006004"/>
    <s v="KOZ-0033"/>
    <s v="GABOUA MARCHE"/>
    <m/>
    <x v="1"/>
    <n v="10.9140672"/>
    <n v="13.9718067"/>
    <x v="0"/>
    <b v="1"/>
    <b v="0"/>
    <b v="0"/>
    <m/>
    <n v="3"/>
    <s v="Accessible"/>
    <m/>
    <s v="Le village accueille une population"/>
    <s v="Le village est partiellement détruit"/>
    <s v="Attaques armées"/>
    <m/>
    <s v="Oui"/>
    <s v="Familles d'accueil"/>
    <s v="Non, pas du tout"/>
    <s v="Non"/>
    <m/>
    <n v="95"/>
    <n v="1234"/>
    <s v="Oui"/>
    <s v="Premier déplacement"/>
    <n v="95"/>
    <n v="443"/>
    <n v="162"/>
    <n v="281"/>
    <n v="12"/>
    <n v="71"/>
    <n v="2"/>
    <n v="10"/>
    <s v="Chez une famille d'accueil (contre loyer)"/>
    <m/>
    <n v="0"/>
    <n v="0"/>
    <m/>
    <m/>
    <n v="0"/>
    <s v="Ajout de 7 ménages  pour  50 individus"/>
    <s v="Non"/>
    <m/>
    <m/>
    <m/>
    <m/>
    <m/>
    <m/>
    <m/>
    <m/>
    <m/>
    <m/>
    <m/>
    <m/>
    <m/>
    <m/>
    <m/>
    <s v="Oui"/>
    <n v="6"/>
    <n v="40"/>
    <n v="15"/>
    <n v="25"/>
    <s v="Entre 1 et 5 ans"/>
    <n v="4"/>
    <n v="0"/>
    <n v="2"/>
    <n v="0"/>
    <n v="0"/>
    <m/>
    <n v="0"/>
    <n v="0"/>
    <m/>
    <n v="0"/>
    <m/>
    <m/>
    <m/>
    <m/>
    <m/>
    <n v="0"/>
    <m/>
    <m/>
    <m/>
    <m/>
    <m/>
    <m/>
    <m/>
    <m/>
    <m/>
    <m/>
    <m/>
    <m/>
    <m/>
    <s v="1"/>
    <s v="0"/>
    <s v="1"/>
    <n v="2"/>
  </r>
  <r>
    <n v="2647202"/>
    <s v="Extrême-Nord"/>
    <s v="CMR004"/>
    <x v="5"/>
    <s v="CMR004006"/>
    <s v="Koza"/>
    <s v="CMR004006004"/>
    <s v="KOZ-0008"/>
    <s v="GAIVOUKIDA"/>
    <m/>
    <x v="1"/>
    <n v="10.8787675"/>
    <n v="13.9095461"/>
    <x v="0"/>
    <b v="1"/>
    <b v="0"/>
    <b v="0"/>
    <m/>
    <n v="3"/>
    <s v="Accessible"/>
    <m/>
    <s v="Le village accueille une population"/>
    <s v="Le village est intact (construit)"/>
    <m/>
    <m/>
    <s v="Oui"/>
    <s v="Familles d'accueil"/>
    <s v="Location"/>
    <s v="Non"/>
    <m/>
    <n v="83"/>
    <n v="2000"/>
    <s v="Oui"/>
    <s v="Deuxième déplacement"/>
    <n v="83"/>
    <n v="427"/>
    <n v="166"/>
    <n v="261"/>
    <n v="10"/>
    <n v="64"/>
    <n v="3"/>
    <n v="6"/>
    <s v="Chez une famille d'accueil (contre loyer)"/>
    <m/>
    <n v="0"/>
    <n v="0"/>
    <m/>
    <m/>
    <n v="0"/>
    <s v="Ajout de 4 ménages pour 32 individus"/>
    <s v="Non"/>
    <m/>
    <m/>
    <m/>
    <m/>
    <m/>
    <m/>
    <m/>
    <m/>
    <m/>
    <m/>
    <m/>
    <m/>
    <m/>
    <m/>
    <m/>
    <s v="Oui"/>
    <n v="22"/>
    <n v="86"/>
    <n v="36"/>
    <n v="50"/>
    <s v="Entre 3 mois et 1 an"/>
    <n v="15"/>
    <n v="2"/>
    <n v="2"/>
    <n v="3"/>
    <n v="0"/>
    <m/>
    <n v="0"/>
    <n v="0"/>
    <m/>
    <n v="0"/>
    <m/>
    <m/>
    <m/>
    <m/>
    <m/>
    <n v="0"/>
    <m/>
    <m/>
    <m/>
    <m/>
    <m/>
    <m/>
    <m/>
    <m/>
    <m/>
    <m/>
    <m/>
    <m/>
    <m/>
    <s v="1"/>
    <s v="0"/>
    <s v="1"/>
    <n v="2"/>
  </r>
  <r>
    <n v="2622393"/>
    <s v="Extrême-Nord"/>
    <s v="CMR004"/>
    <x v="5"/>
    <s v="CMR004006"/>
    <s v="Koza"/>
    <s v="CMR004006004"/>
    <s v="KOZ-0009"/>
    <s v="GALDALA"/>
    <m/>
    <x v="1"/>
    <n v="10.939489699999999"/>
    <n v="13.904927000000001"/>
    <x v="0"/>
    <b v="0"/>
    <b v="1"/>
    <b v="0"/>
    <n v="6"/>
    <m/>
    <s v="Accessible"/>
    <m/>
    <s v="Le village accueille une population"/>
    <s v="Le village est intact (construit)"/>
    <m/>
    <m/>
    <s v="Oui"/>
    <s v="Familles d'accueil"/>
    <s v="Location"/>
    <s v="Non"/>
    <m/>
    <n v="202"/>
    <n v="2720"/>
    <s v="Oui"/>
    <s v="Plus de trois déplacements"/>
    <n v="202"/>
    <n v="1169"/>
    <n v="464"/>
    <n v="705"/>
    <n v="3"/>
    <n v="148"/>
    <n v="51"/>
    <n v="0"/>
    <m/>
    <m/>
    <n v="0"/>
    <n v="0"/>
    <m/>
    <m/>
    <n v="0"/>
    <s v="Ajout de 6 ménages pour 89 individus "/>
    <s v="Non"/>
    <m/>
    <m/>
    <m/>
    <m/>
    <m/>
    <m/>
    <m/>
    <m/>
    <m/>
    <m/>
    <m/>
    <m/>
    <m/>
    <m/>
    <m/>
    <s v="Non"/>
    <m/>
    <m/>
    <m/>
    <m/>
    <m/>
    <m/>
    <m/>
    <m/>
    <m/>
    <m/>
    <m/>
    <m/>
    <m/>
    <m/>
    <m/>
    <m/>
    <m/>
    <m/>
    <m/>
    <m/>
    <n v="0"/>
    <m/>
    <m/>
    <m/>
    <m/>
    <m/>
    <m/>
    <m/>
    <m/>
    <m/>
    <m/>
    <m/>
    <m/>
    <m/>
    <s v="1"/>
    <s v="0"/>
    <s v="0"/>
    <n v="1"/>
  </r>
  <r>
    <n v="2620178"/>
    <s v="Extrême-Nord"/>
    <s v="CMR004"/>
    <x v="5"/>
    <s v="CMR004006"/>
    <s v="Koza"/>
    <s v="CMR004006004"/>
    <s v="KOZ-0029"/>
    <s v="GOUSD MLAIL"/>
    <m/>
    <x v="1"/>
    <n v="10.825315"/>
    <n v="13.831650399999999"/>
    <x v="0"/>
    <b v="1"/>
    <b v="0"/>
    <b v="1"/>
    <m/>
    <n v="3"/>
    <s v="Accessible"/>
    <m/>
    <s v="Le village accueille une population"/>
    <s v="Le village est intact (construit)"/>
    <m/>
    <m/>
    <s v="Oui"/>
    <s v="Familles d'accueil"/>
    <s v="Non, pas du tout"/>
    <s v="Non"/>
    <m/>
    <n v="62"/>
    <n v="3246"/>
    <s v="Oui"/>
    <s v="Premier déplacement"/>
    <n v="62"/>
    <n v="338"/>
    <n v="141"/>
    <n v="197"/>
    <n v="3"/>
    <n v="22"/>
    <n v="27"/>
    <n v="10"/>
    <s v="Chez une famille d'accueil (contre loyer)"/>
    <m/>
    <n v="0"/>
    <n v="0"/>
    <m/>
    <m/>
    <n v="0"/>
    <s v="Augmentation de 22 ménages pour 16e individus en provenance de mitchkar, mandoussa, ouzal et oupai raison  Bh . Pas d'électricité et l'approvisionnement en eau potable est irrégulier. "/>
    <s v="Non"/>
    <m/>
    <m/>
    <m/>
    <m/>
    <m/>
    <m/>
    <m/>
    <m/>
    <m/>
    <m/>
    <m/>
    <m/>
    <m/>
    <m/>
    <m/>
    <s v="Non"/>
    <m/>
    <m/>
    <m/>
    <m/>
    <m/>
    <m/>
    <m/>
    <m/>
    <m/>
    <m/>
    <m/>
    <m/>
    <m/>
    <m/>
    <m/>
    <m/>
    <m/>
    <m/>
    <m/>
    <m/>
    <n v="0"/>
    <m/>
    <m/>
    <m/>
    <m/>
    <m/>
    <m/>
    <m/>
    <m/>
    <m/>
    <m/>
    <m/>
    <m/>
    <m/>
    <s v="1"/>
    <s v="0"/>
    <s v="0"/>
    <n v="1"/>
  </r>
  <r>
    <n v="2632151"/>
    <s v="Extrême-Nord"/>
    <s v="CMR004"/>
    <x v="5"/>
    <s v="CMR004006"/>
    <s v="Koza"/>
    <s v="CMR004006004"/>
    <s v="KOZ-0010"/>
    <s v="GOUSDA MAKANDAI"/>
    <m/>
    <x v="1"/>
    <n v="10.814364100000001"/>
    <n v="13.8363874"/>
    <x v="0"/>
    <b v="1"/>
    <b v="0"/>
    <b v="1"/>
    <m/>
    <n v="3"/>
    <s v="Accessible"/>
    <m/>
    <s v="Le village accueille une population"/>
    <s v="Le village est intact (construit)"/>
    <m/>
    <m/>
    <s v="Oui"/>
    <s v="Familles d'accueil"/>
    <s v="Non, pas du tout"/>
    <s v="Non"/>
    <m/>
    <n v="40"/>
    <n v="3526"/>
    <s v="Oui"/>
    <s v="Deuxième déplacement"/>
    <n v="40"/>
    <n v="268"/>
    <n v="110"/>
    <n v="158"/>
    <n v="11"/>
    <n v="23"/>
    <n v="6"/>
    <n v="0"/>
    <m/>
    <m/>
    <n v="0"/>
    <n v="0"/>
    <m/>
    <m/>
    <n v="0"/>
    <s v="Augmentation de 3 ménages pour 12 individus en provenance de mitchkar et mandoussa raison  Bh il n'existe pas de centre de santé pas d'électricité  et l'approvisionnement en eau est irrégulier. "/>
    <s v="Non"/>
    <m/>
    <m/>
    <m/>
    <m/>
    <m/>
    <m/>
    <m/>
    <m/>
    <m/>
    <m/>
    <m/>
    <m/>
    <m/>
    <m/>
    <m/>
    <s v="Oui"/>
    <n v="8"/>
    <n v="19"/>
    <n v="8"/>
    <n v="11"/>
    <s v="5 ans ou plus"/>
    <n v="2"/>
    <n v="4"/>
    <n v="2"/>
    <n v="0"/>
    <n v="0"/>
    <m/>
    <n v="0"/>
    <n v="0"/>
    <m/>
    <n v="0"/>
    <m/>
    <m/>
    <m/>
    <m/>
    <m/>
    <n v="0"/>
    <m/>
    <m/>
    <m/>
    <m/>
    <m/>
    <m/>
    <m/>
    <m/>
    <m/>
    <m/>
    <m/>
    <m/>
    <m/>
    <s v="1"/>
    <s v="0"/>
    <s v="1"/>
    <n v="2"/>
  </r>
  <r>
    <n v="2627014"/>
    <s v="Extrême-Nord"/>
    <s v="CMR004"/>
    <x v="5"/>
    <s v="CMR004006"/>
    <s v="Koza"/>
    <s v="CMR004006004"/>
    <s v="KOZ-0011"/>
    <s v="GOUSDA WAYAM"/>
    <m/>
    <x v="1"/>
    <n v="10.860613799999999"/>
    <n v="13.827646"/>
    <x v="0"/>
    <b v="1"/>
    <b v="0"/>
    <b v="1"/>
    <m/>
    <n v="4"/>
    <s v="Accessible"/>
    <m/>
    <s v="Le village accueille une population"/>
    <s v="Le village est intact (construit)"/>
    <m/>
    <m/>
    <s v="Oui"/>
    <s v="Familles d'accueil"/>
    <s v="Location"/>
    <s v="Non"/>
    <m/>
    <n v="945"/>
    <n v="2500"/>
    <s v="Oui"/>
    <s v="Troisième déplacement"/>
    <n v="945"/>
    <n v="5688"/>
    <n v="2447"/>
    <n v="3241"/>
    <n v="113"/>
    <n v="310"/>
    <n v="242"/>
    <n v="280"/>
    <s v="Chez une famille d'accueil (contre loyer)"/>
    <m/>
    <n v="0"/>
    <n v="0"/>
    <m/>
    <m/>
    <n v="0"/>
    <s v="Ajout de 13 ménages a72 individus soit 30 hommes et 42 femmes. Beaucoup de mouvements pendulaires enregistré "/>
    <s v="Non"/>
    <m/>
    <m/>
    <m/>
    <m/>
    <m/>
    <m/>
    <m/>
    <m/>
    <m/>
    <m/>
    <m/>
    <m/>
    <m/>
    <m/>
    <m/>
    <s v="Oui"/>
    <n v="84"/>
    <n v="457"/>
    <n v="207"/>
    <n v="250"/>
    <s v="5 ans ou plus"/>
    <n v="28"/>
    <n v="8"/>
    <n v="38"/>
    <n v="0"/>
    <n v="10"/>
    <s v="Chez une famille d'accueil (contre loyer)"/>
    <n v="0"/>
    <n v="0"/>
    <m/>
    <n v="0"/>
    <m/>
    <m/>
    <m/>
    <m/>
    <m/>
    <n v="0"/>
    <m/>
    <m/>
    <m/>
    <m/>
    <m/>
    <m/>
    <m/>
    <m/>
    <m/>
    <m/>
    <m/>
    <m/>
    <m/>
    <s v="1"/>
    <s v="0"/>
    <s v="1"/>
    <n v="2"/>
  </r>
  <r>
    <n v="2649561"/>
    <s v="Extrême-Nord"/>
    <s v="CMR004"/>
    <x v="5"/>
    <s v="CMR004006"/>
    <s v="Koza"/>
    <s v="CMR004006004"/>
    <s v="KOZ-0012"/>
    <s v="GUETALE"/>
    <m/>
    <x v="1"/>
    <n v="10.8786722"/>
    <n v="13.9096203"/>
    <x v="0"/>
    <b v="1"/>
    <b v="0"/>
    <b v="1"/>
    <m/>
    <n v="4"/>
    <s v="Accessible"/>
    <m/>
    <s v="Le village accueille une population"/>
    <s v="Le village est intact (construit)"/>
    <m/>
    <m/>
    <s v="Oui"/>
    <s v="Familles d'accueil"/>
    <s v="Location"/>
    <s v="Non"/>
    <m/>
    <n v="196"/>
    <n v="450"/>
    <s v="Oui"/>
    <s v="Troisième déplacement"/>
    <n v="196"/>
    <n v="1141"/>
    <n v="483"/>
    <n v="658"/>
    <n v="38"/>
    <n v="105"/>
    <n v="0"/>
    <n v="53"/>
    <s v="Chez une famille d'accueil (contre loyer)"/>
    <m/>
    <n v="0"/>
    <n v="0"/>
    <m/>
    <m/>
    <n v="0"/>
    <s v="Ajout de 8 ménages de 57 individus en provenance de goldavi, mozogo, korsamba"/>
    <s v="Non"/>
    <m/>
    <m/>
    <m/>
    <m/>
    <m/>
    <m/>
    <m/>
    <m/>
    <m/>
    <m/>
    <m/>
    <m/>
    <m/>
    <m/>
    <m/>
    <s v="Non"/>
    <m/>
    <m/>
    <m/>
    <m/>
    <m/>
    <m/>
    <m/>
    <m/>
    <m/>
    <m/>
    <m/>
    <m/>
    <m/>
    <m/>
    <m/>
    <m/>
    <m/>
    <m/>
    <m/>
    <m/>
    <n v="0"/>
    <m/>
    <m/>
    <m/>
    <m/>
    <m/>
    <m/>
    <m/>
    <m/>
    <m/>
    <m/>
    <m/>
    <m/>
    <m/>
    <s v="1"/>
    <s v="0"/>
    <s v="0"/>
    <n v="1"/>
  </r>
  <r>
    <n v="2632152"/>
    <s v="Extrême-Nord"/>
    <s v="CMR004"/>
    <x v="5"/>
    <s v="CMR004006"/>
    <s v="Koza"/>
    <s v="CMR004006004"/>
    <s v="KOZ-0013"/>
    <s v="GUID BALA"/>
    <m/>
    <x v="1"/>
    <n v="10.8670621"/>
    <n v="13.871287199999999"/>
    <x v="0"/>
    <b v="1"/>
    <b v="0"/>
    <b v="1"/>
    <m/>
    <n v="3"/>
    <s v="Accessible"/>
    <m/>
    <s v="Le village accueille une population"/>
    <s v="Le village est intact (construit)"/>
    <m/>
    <m/>
    <s v="Oui"/>
    <s v="Familles d'accueil"/>
    <s v="Non, pas du tout"/>
    <s v="Non"/>
    <m/>
    <n v="340"/>
    <n v="3589"/>
    <s v="Oui"/>
    <s v="Premier déplacement"/>
    <n v="340"/>
    <n v="2165"/>
    <n v="773"/>
    <n v="1392"/>
    <n v="19"/>
    <n v="194"/>
    <n v="64"/>
    <n v="63"/>
    <s v="Chez une famille d'accueil (contre loyer)"/>
    <m/>
    <n v="0"/>
    <n v="0"/>
    <m/>
    <m/>
    <n v="0"/>
    <s v="Augmentation de 176 ménages pour 1464individues en provenance de mitchkar moundougoua,bigdey oupai raison  Bh on note  beaucoup de déplacement pendulaire dans la localité on note le manque  d'école et de centre de santé dans la localité les points d'eau est insuffisant. "/>
    <s v="Non"/>
    <m/>
    <m/>
    <m/>
    <m/>
    <m/>
    <m/>
    <m/>
    <m/>
    <m/>
    <m/>
    <m/>
    <m/>
    <m/>
    <m/>
    <m/>
    <s v="Oui"/>
    <n v="32"/>
    <n v="208"/>
    <n v="86"/>
    <n v="122"/>
    <s v="5 ans ou plus"/>
    <n v="12"/>
    <n v="9"/>
    <n v="11"/>
    <n v="0"/>
    <n v="0"/>
    <m/>
    <n v="0"/>
    <n v="0"/>
    <m/>
    <n v="0"/>
    <m/>
    <m/>
    <m/>
    <m/>
    <m/>
    <n v="0"/>
    <m/>
    <m/>
    <m/>
    <m/>
    <m/>
    <m/>
    <m/>
    <m/>
    <m/>
    <m/>
    <m/>
    <m/>
    <m/>
    <s v="1"/>
    <s v="0"/>
    <s v="1"/>
    <n v="2"/>
  </r>
  <r>
    <n v="2631064"/>
    <s v="Extrême-Nord"/>
    <s v="CMR004"/>
    <x v="5"/>
    <s v="CMR004006"/>
    <s v="Koza"/>
    <s v="CMR004006004"/>
    <s v="KOZ-0043"/>
    <s v="GUID CHIGUE"/>
    <m/>
    <x v="1"/>
    <n v="10.8682924"/>
    <n v="13.893029800000001"/>
    <x v="0"/>
    <b v="1"/>
    <b v="0"/>
    <b v="0"/>
    <m/>
    <n v="3"/>
    <s v="Accessible"/>
    <m/>
    <s v="Le village accueille une population"/>
    <s v="Le village est intact (construit)"/>
    <m/>
    <m/>
    <s v="Oui"/>
    <s v="Familles d'accueil"/>
    <s v="Location"/>
    <s v="Non"/>
    <m/>
    <n v="25"/>
    <n v="613"/>
    <s v="Oui"/>
    <s v="Deuxième déplacement"/>
    <n v="25"/>
    <n v="163"/>
    <n v="67"/>
    <n v="96"/>
    <n v="10"/>
    <n v="13"/>
    <n v="0"/>
    <n v="2"/>
    <s v="Chez une famille d'accueil (contre loyer)"/>
    <m/>
    <n v="0"/>
    <n v="0"/>
    <m/>
    <m/>
    <n v="0"/>
    <s v="Ajout de 9 ménages pour 67 individus "/>
    <s v="Non"/>
    <m/>
    <m/>
    <m/>
    <m/>
    <m/>
    <m/>
    <m/>
    <m/>
    <m/>
    <m/>
    <m/>
    <m/>
    <m/>
    <m/>
    <m/>
    <s v="Oui"/>
    <n v="2"/>
    <n v="16"/>
    <n v="7"/>
    <n v="9"/>
    <s v="Entre 1 et 5 ans"/>
    <n v="2"/>
    <n v="0"/>
    <n v="0"/>
    <n v="0"/>
    <n v="0"/>
    <m/>
    <n v="0"/>
    <n v="0"/>
    <m/>
    <n v="0"/>
    <m/>
    <m/>
    <m/>
    <m/>
    <m/>
    <n v="0"/>
    <m/>
    <m/>
    <m/>
    <m/>
    <m/>
    <m/>
    <m/>
    <m/>
    <m/>
    <m/>
    <m/>
    <m/>
    <m/>
    <s v="1"/>
    <s v="0"/>
    <s v="1"/>
    <n v="2"/>
  </r>
  <r>
    <n v="2631063"/>
    <s v="Extrême-Nord"/>
    <s v="CMR004"/>
    <x v="5"/>
    <s v="CMR004006"/>
    <s v="Koza"/>
    <s v="CMR004006004"/>
    <s v="KOZ-0041"/>
    <s v="GUIDEMBEK"/>
    <m/>
    <x v="1"/>
    <n v="10.8832887"/>
    <n v="13.9022325"/>
    <x v="0"/>
    <b v="0"/>
    <b v="1"/>
    <b v="0"/>
    <n v="7"/>
    <m/>
    <s v="Accessible"/>
    <m/>
    <s v="Le village accueille une population"/>
    <s v="Le village est intact (construit)"/>
    <m/>
    <m/>
    <s v="Oui"/>
    <s v="Familles d'accueil"/>
    <s v="Location"/>
    <s v="Non"/>
    <m/>
    <n v="21"/>
    <n v="2512"/>
    <s v="Oui"/>
    <s v="Premier déplacement"/>
    <n v="21"/>
    <n v="149"/>
    <n v="52"/>
    <n v="97"/>
    <n v="5"/>
    <n v="13"/>
    <n v="2"/>
    <n v="1"/>
    <s v="Chez une famille d'accueil (contre loyer)"/>
    <m/>
    <n v="0"/>
    <n v="0"/>
    <m/>
    <m/>
    <n v="0"/>
    <s v="Ajout de 6 ménages pour  42 individus "/>
    <s v="Non"/>
    <m/>
    <m/>
    <m/>
    <m/>
    <m/>
    <m/>
    <m/>
    <m/>
    <m/>
    <m/>
    <m/>
    <m/>
    <m/>
    <m/>
    <m/>
    <s v="Oui"/>
    <n v="10"/>
    <n v="47"/>
    <n v="18"/>
    <n v="29"/>
    <s v="Entre 3 mois et 1 an"/>
    <n v="3"/>
    <n v="2"/>
    <n v="2"/>
    <n v="3"/>
    <n v="0"/>
    <m/>
    <n v="0"/>
    <n v="0"/>
    <m/>
    <n v="0"/>
    <m/>
    <m/>
    <m/>
    <m/>
    <m/>
    <n v="0"/>
    <m/>
    <m/>
    <m/>
    <m/>
    <m/>
    <m/>
    <m/>
    <m/>
    <m/>
    <m/>
    <m/>
    <m/>
    <m/>
    <s v="1"/>
    <s v="0"/>
    <s v="1"/>
    <n v="2"/>
  </r>
  <r>
    <n v="2627013"/>
    <s v="Extrême-Nord"/>
    <s v="CMR004"/>
    <x v="5"/>
    <s v="CMR004006"/>
    <s v="Koza"/>
    <s v="CMR004006004"/>
    <s v="KOZ-0014"/>
    <s v="HAMDALA"/>
    <m/>
    <x v="1"/>
    <n v="10.8691862"/>
    <n v="13.879752099999999"/>
    <x v="0"/>
    <b v="1"/>
    <b v="0"/>
    <b v="1"/>
    <m/>
    <n v="4"/>
    <s v="Accessible"/>
    <m/>
    <s v="Le village accueille une population"/>
    <s v="Le village est intact (construit)"/>
    <m/>
    <m/>
    <s v="Oui"/>
    <s v="Familles d'accueil"/>
    <s v="Location"/>
    <s v="Non"/>
    <m/>
    <n v="277"/>
    <n v="2880"/>
    <s v="Oui"/>
    <s v="Troisième déplacement"/>
    <n v="277"/>
    <n v="1863"/>
    <n v="856"/>
    <n v="1007"/>
    <n v="68"/>
    <n v="132"/>
    <n v="0"/>
    <n v="77"/>
    <s v="Chez une famille d'accueil (contre loyer)"/>
    <m/>
    <n v="0"/>
    <n v="0"/>
    <m/>
    <m/>
    <n v="0"/>
    <s v="Ajout de 20 ménages à 127 individus soit 76 hommes et 51 femmes "/>
    <s v="Non"/>
    <m/>
    <m/>
    <m/>
    <m/>
    <m/>
    <m/>
    <m/>
    <m/>
    <m/>
    <m/>
    <m/>
    <m/>
    <m/>
    <m/>
    <m/>
    <s v="Oui"/>
    <n v="164"/>
    <n v="728"/>
    <n v="331"/>
    <n v="397"/>
    <s v="5 ans ou plus"/>
    <n v="31"/>
    <n v="25"/>
    <n v="64"/>
    <n v="0"/>
    <n v="44"/>
    <s v="Chez une famille d'accueil (contre loyer)"/>
    <n v="0"/>
    <n v="0"/>
    <m/>
    <n v="0"/>
    <m/>
    <m/>
    <m/>
    <m/>
    <m/>
    <n v="0"/>
    <m/>
    <m/>
    <m/>
    <m/>
    <m/>
    <m/>
    <m/>
    <m/>
    <m/>
    <m/>
    <m/>
    <m/>
    <m/>
    <s v="1"/>
    <s v="0"/>
    <s v="1"/>
    <n v="2"/>
  </r>
  <r>
    <n v="2647203"/>
    <s v="Extrême-Nord"/>
    <s v="CMR004"/>
    <x v="5"/>
    <s v="CMR004006"/>
    <s v="Koza"/>
    <s v="CMR004006004"/>
    <s v="KOZ-0015"/>
    <s v="HIRCHE"/>
    <m/>
    <x v="1"/>
    <n v="10.886082200000001"/>
    <n v="14.0041148"/>
    <x v="0"/>
    <b v="1"/>
    <b v="0"/>
    <b v="0"/>
    <m/>
    <n v="3"/>
    <s v="Accessible"/>
    <m/>
    <s v="Le village accueille une population"/>
    <s v="Le village est intact (construit)"/>
    <m/>
    <m/>
    <s v="Oui"/>
    <s v="Familles d'accueil"/>
    <s v="Location"/>
    <s v="Non"/>
    <m/>
    <n v="170"/>
    <n v="5000"/>
    <s v="Oui"/>
    <s v="Deuxième déplacement"/>
    <n v="170"/>
    <n v="1214"/>
    <n v="524"/>
    <n v="690"/>
    <n v="33"/>
    <n v="107"/>
    <n v="30"/>
    <n v="0"/>
    <m/>
    <m/>
    <n v="0"/>
    <n v="0"/>
    <m/>
    <m/>
    <n v="0"/>
    <s v="Ajout de 17 ménages pour 57 individus "/>
    <s v="Non"/>
    <m/>
    <m/>
    <m/>
    <m/>
    <m/>
    <m/>
    <m/>
    <m/>
    <m/>
    <m/>
    <m/>
    <m/>
    <m/>
    <m/>
    <m/>
    <s v="Oui"/>
    <n v="8"/>
    <n v="24"/>
    <n v="9"/>
    <n v="15"/>
    <s v="Entre 3 mois et 1 an"/>
    <n v="3"/>
    <n v="3"/>
    <n v="2"/>
    <n v="0"/>
    <n v="0"/>
    <m/>
    <n v="0"/>
    <n v="0"/>
    <m/>
    <n v="0"/>
    <m/>
    <m/>
    <m/>
    <m/>
    <m/>
    <n v="0"/>
    <m/>
    <m/>
    <m/>
    <m/>
    <m/>
    <m/>
    <m/>
    <m/>
    <m/>
    <m/>
    <m/>
    <m/>
    <m/>
    <s v="1"/>
    <s v="0"/>
    <s v="1"/>
    <n v="2"/>
  </r>
  <r>
    <n v="2636534"/>
    <s v="Extrême-Nord"/>
    <s v="CMR004"/>
    <x v="5"/>
    <s v="CMR004006"/>
    <s v="Koza"/>
    <s v="CMR004006004"/>
    <s v="KOZ-0030"/>
    <s v="HOUVA"/>
    <m/>
    <x v="1"/>
    <n v="10.814445299999999"/>
    <n v="13.825878899999999"/>
    <x v="0"/>
    <b v="1"/>
    <b v="0"/>
    <b v="1"/>
    <m/>
    <n v="3"/>
    <s v="Accessible"/>
    <m/>
    <s v="Le village accueille une population"/>
    <s v="Le village est intact (construit)"/>
    <m/>
    <m/>
    <s v="Oui"/>
    <s v="Familles d'accueil"/>
    <s v="Location"/>
    <s v="Non"/>
    <m/>
    <n v="80"/>
    <n v="920"/>
    <s v="Oui"/>
    <s v="Deuxième déplacement"/>
    <n v="80"/>
    <n v="455"/>
    <n v="177"/>
    <n v="278"/>
    <n v="14"/>
    <n v="39"/>
    <n v="0"/>
    <n v="27"/>
    <s v="Chez une famille d'accueil (contre loyer)"/>
    <m/>
    <n v="0"/>
    <n v="0"/>
    <m/>
    <m/>
    <n v="0"/>
    <s v="Ajout 13 ménages de 71 personnes"/>
    <s v="Non"/>
    <m/>
    <m/>
    <m/>
    <m/>
    <m/>
    <m/>
    <m/>
    <m/>
    <m/>
    <m/>
    <m/>
    <m/>
    <m/>
    <m/>
    <m/>
    <s v="Non"/>
    <m/>
    <m/>
    <m/>
    <m/>
    <m/>
    <m/>
    <m/>
    <m/>
    <m/>
    <m/>
    <m/>
    <m/>
    <m/>
    <m/>
    <m/>
    <m/>
    <m/>
    <m/>
    <m/>
    <m/>
    <n v="0"/>
    <m/>
    <m/>
    <m/>
    <m/>
    <m/>
    <m/>
    <m/>
    <m/>
    <m/>
    <m/>
    <m/>
    <m/>
    <m/>
    <s v="1"/>
    <s v="0"/>
    <s v="0"/>
    <n v="1"/>
  </r>
  <r>
    <n v="2620180"/>
    <s v="Extrême-Nord"/>
    <s v="CMR004"/>
    <x v="5"/>
    <s v="CMR004006"/>
    <s v="Koza"/>
    <s v="CMR004006004"/>
    <s v="KOZ-0031"/>
    <s v="KAZIER"/>
    <m/>
    <x v="1"/>
    <n v="10.882119299999999"/>
    <n v="13.872065900000001"/>
    <x v="0"/>
    <b v="1"/>
    <b v="0"/>
    <b v="1"/>
    <m/>
    <n v="4"/>
    <s v="Accessible"/>
    <m/>
    <s v="Le village accueille une population"/>
    <s v="Le village est intact (construit)"/>
    <m/>
    <m/>
    <s v="Oui"/>
    <s v="Familles d'accueil"/>
    <s v="Non, pas du tout"/>
    <s v="Non"/>
    <m/>
    <n v="26"/>
    <n v="514"/>
    <s v="Oui"/>
    <s v="Premier déplacement"/>
    <n v="26"/>
    <n v="146"/>
    <n v="52"/>
    <n v="94"/>
    <n v="2"/>
    <n v="20"/>
    <n v="2"/>
    <n v="2"/>
    <s v="Chez une famille d'accueil (contre loyer)"/>
    <m/>
    <n v="0"/>
    <n v="0"/>
    <m/>
    <m/>
    <n v="0"/>
    <s v="Augmentation de 2 ménages pour 7 individus en provenance de Mandoussa et ouzal pas de centre de santé dans la localité ,pas d'électricité ."/>
    <s v="Non"/>
    <m/>
    <m/>
    <m/>
    <m/>
    <m/>
    <m/>
    <m/>
    <m/>
    <m/>
    <m/>
    <m/>
    <m/>
    <m/>
    <m/>
    <m/>
    <s v="Non"/>
    <m/>
    <m/>
    <m/>
    <m/>
    <m/>
    <m/>
    <m/>
    <m/>
    <m/>
    <m/>
    <m/>
    <m/>
    <m/>
    <m/>
    <m/>
    <m/>
    <m/>
    <m/>
    <m/>
    <m/>
    <n v="0"/>
    <m/>
    <m/>
    <m/>
    <m/>
    <m/>
    <m/>
    <m/>
    <m/>
    <m/>
    <m/>
    <m/>
    <m/>
    <m/>
    <s v="1"/>
    <s v="0"/>
    <s v="0"/>
    <n v="1"/>
  </r>
  <r>
    <n v="2627012"/>
    <s v="Extrême-Nord"/>
    <s v="CMR004"/>
    <x v="5"/>
    <s v="CMR004006"/>
    <s v="Koza"/>
    <s v="CMR004006004"/>
    <s v="KOZ-0016"/>
    <s v="KECHKEME"/>
    <m/>
    <x v="1"/>
    <n v="10.8699212"/>
    <n v="13.8771655"/>
    <x v="0"/>
    <b v="1"/>
    <b v="0"/>
    <b v="1"/>
    <m/>
    <n v="5"/>
    <s v="Accessible"/>
    <m/>
    <s v="Le village accueille une population"/>
    <s v="Le village est intact (construit)"/>
    <m/>
    <m/>
    <s v="Oui"/>
    <s v="Familles d'accueil"/>
    <s v="Location"/>
    <s v="Non"/>
    <m/>
    <n v="161"/>
    <n v="1880"/>
    <s v="Oui"/>
    <s v="Deuxième déplacement"/>
    <n v="161"/>
    <n v="928"/>
    <n v="622"/>
    <n v="306"/>
    <n v="30"/>
    <n v="87"/>
    <n v="13"/>
    <n v="31"/>
    <s v="Chez une famille d'accueil (contre loyer)"/>
    <m/>
    <n v="0"/>
    <n v="0"/>
    <m/>
    <m/>
    <n v="0"/>
    <s v="Ajout de 13 ménages de 57 individus soit 23 homme et 34 femme "/>
    <s v="Non"/>
    <m/>
    <m/>
    <m/>
    <m/>
    <m/>
    <m/>
    <m/>
    <m/>
    <m/>
    <m/>
    <m/>
    <m/>
    <m/>
    <m/>
    <m/>
    <s v="Oui"/>
    <n v="9"/>
    <n v="24"/>
    <n v="9"/>
    <n v="15"/>
    <s v="Entre 1 et 5 ans"/>
    <n v="0"/>
    <n v="0"/>
    <n v="6"/>
    <n v="0"/>
    <n v="3"/>
    <s v="Chez une famille d'accueil (contre loyer)"/>
    <n v="0"/>
    <n v="0"/>
    <m/>
    <n v="0"/>
    <m/>
    <m/>
    <m/>
    <m/>
    <m/>
    <n v="0"/>
    <m/>
    <m/>
    <m/>
    <m/>
    <m/>
    <m/>
    <m/>
    <m/>
    <m/>
    <m/>
    <m/>
    <m/>
    <m/>
    <s v="1"/>
    <s v="0"/>
    <s v="1"/>
    <n v="2"/>
  </r>
  <r>
    <n v="2622381"/>
    <s v="Extrême-Nord"/>
    <s v="CMR004"/>
    <x v="5"/>
    <s v="CMR004006"/>
    <s v="Koza"/>
    <s v="CMR004006004"/>
    <s v="KOZ-0017"/>
    <s v="KILDA"/>
    <m/>
    <x v="1"/>
    <n v="10.8658229"/>
    <n v="13.9025321"/>
    <x v="0"/>
    <b v="0"/>
    <b v="1"/>
    <b v="0"/>
    <n v="6"/>
    <m/>
    <s v="Accessible"/>
    <m/>
    <s v="Le village accueille une population"/>
    <s v="Le village est intact (construit)"/>
    <m/>
    <m/>
    <s v="Oui"/>
    <s v="Familles d'accueil"/>
    <s v="Location"/>
    <s v="Non"/>
    <m/>
    <n v="77"/>
    <n v="4415"/>
    <s v="Oui"/>
    <s v="Premier déplacement"/>
    <n v="77"/>
    <n v="565"/>
    <n v="214"/>
    <n v="351"/>
    <n v="12"/>
    <n v="56"/>
    <n v="9"/>
    <n v="0"/>
    <m/>
    <m/>
    <n v="0"/>
    <n v="0"/>
    <m/>
    <m/>
    <n v="0"/>
    <s v="Ajout de 4 ménages pour 16 individus venant de moskota,  yamede "/>
    <s v="Non"/>
    <m/>
    <m/>
    <m/>
    <m/>
    <m/>
    <m/>
    <m/>
    <m/>
    <m/>
    <m/>
    <m/>
    <m/>
    <m/>
    <m/>
    <m/>
    <s v="Oui"/>
    <n v="12"/>
    <n v="60"/>
    <n v="25"/>
    <n v="35"/>
    <s v="Entre 1 et 5 ans"/>
    <n v="4"/>
    <n v="5"/>
    <n v="3"/>
    <n v="0"/>
    <n v="0"/>
    <m/>
    <n v="0"/>
    <n v="0"/>
    <m/>
    <n v="0"/>
    <m/>
    <m/>
    <m/>
    <m/>
    <m/>
    <n v="0"/>
    <m/>
    <m/>
    <m/>
    <m/>
    <m/>
    <m/>
    <m/>
    <m/>
    <m/>
    <m/>
    <m/>
    <m/>
    <m/>
    <s v="1"/>
    <s v="0"/>
    <s v="1"/>
    <n v="2"/>
  </r>
  <r>
    <n v="2595968"/>
    <s v="Extrême-Nord"/>
    <s v="CMR004"/>
    <x v="5"/>
    <s v="CMR004006"/>
    <s v="Koza"/>
    <s v="CMR004006004"/>
    <s v="KOZ-0037"/>
    <s v="LAMORDE"/>
    <m/>
    <x v="1"/>
    <n v="10.8671101"/>
    <n v="13.8807539"/>
    <x v="0"/>
    <b v="1"/>
    <b v="0"/>
    <b v="1"/>
    <m/>
    <n v="3"/>
    <s v="Accessible"/>
    <m/>
    <s v="Le village accueille une population"/>
    <s v="Le village est intact (construit)"/>
    <m/>
    <m/>
    <s v="Oui"/>
    <s v="Familles d'accueil"/>
    <s v="Non, pas du tout"/>
    <s v="Non"/>
    <m/>
    <n v="373"/>
    <n v="6208"/>
    <s v="Oui"/>
    <s v="Premier déplacement"/>
    <n v="373"/>
    <n v="2350"/>
    <n v="938"/>
    <n v="1412"/>
    <n v="11"/>
    <n v="123"/>
    <n v="73"/>
    <n v="166"/>
    <s v="Chez une famille d'accueil (contre loyer)"/>
    <m/>
    <n v="0"/>
    <n v="0"/>
    <m/>
    <m/>
    <n v="0"/>
    <s v="Augmentation de 23 ménages pour 172 individus en provenance de  mitchkar ouzal et mandoussa la plus grande  difficulté pour ces déplacées interne c'est l'accès à l'eau et l'alimentation on note aussi les déplacements  pendulaire. "/>
    <s v="Non"/>
    <m/>
    <m/>
    <m/>
    <m/>
    <m/>
    <m/>
    <m/>
    <m/>
    <m/>
    <m/>
    <m/>
    <m/>
    <m/>
    <m/>
    <m/>
    <s v="Non"/>
    <m/>
    <m/>
    <m/>
    <m/>
    <m/>
    <m/>
    <m/>
    <m/>
    <m/>
    <m/>
    <m/>
    <m/>
    <m/>
    <m/>
    <m/>
    <m/>
    <m/>
    <m/>
    <m/>
    <m/>
    <n v="0"/>
    <m/>
    <m/>
    <m/>
    <m/>
    <m/>
    <m/>
    <m/>
    <m/>
    <m/>
    <m/>
    <m/>
    <m/>
    <m/>
    <s v="1"/>
    <s v="0"/>
    <s v="0"/>
    <n v="1"/>
  </r>
  <r>
    <n v="2622383"/>
    <s v="Extrême-Nord"/>
    <s v="CMR004"/>
    <x v="5"/>
    <s v="CMR004006"/>
    <s v="Koza"/>
    <s v="CMR004006004"/>
    <s v="KOZ-0034"/>
    <s v="LDAGAM"/>
    <m/>
    <x v="1"/>
    <n v="10.9396127"/>
    <n v="13.906585700000001"/>
    <x v="0"/>
    <b v="1"/>
    <b v="0"/>
    <b v="0"/>
    <m/>
    <n v="3"/>
    <s v="Accessible"/>
    <m/>
    <s v="Le village accueille une population"/>
    <s v="Le village est intact (construit)"/>
    <m/>
    <m/>
    <s v="Oui"/>
    <s v="Familles d'accueil"/>
    <s v="Location"/>
    <s v="Non"/>
    <m/>
    <n v="129"/>
    <n v="1058"/>
    <s v="Oui"/>
    <s v="Deuxième déplacement"/>
    <n v="129"/>
    <n v="667"/>
    <n v="289"/>
    <n v="378"/>
    <n v="29"/>
    <n v="76"/>
    <n v="8"/>
    <n v="16"/>
    <s v="Chez une famille d'accueil (contre loyer)"/>
    <m/>
    <n v="0"/>
    <n v="0"/>
    <m/>
    <m/>
    <n v="0"/>
    <s v="Les populations de la localité sont totalement inquies "/>
    <s v="Non"/>
    <m/>
    <m/>
    <m/>
    <m/>
    <m/>
    <m/>
    <m/>
    <m/>
    <m/>
    <m/>
    <m/>
    <m/>
    <m/>
    <m/>
    <m/>
    <s v="Oui"/>
    <n v="10"/>
    <n v="101"/>
    <n v="29"/>
    <n v="72"/>
    <s v="Entre 3 mois et 1 an"/>
    <n v="2"/>
    <n v="4"/>
    <n v="3"/>
    <n v="0"/>
    <n v="1"/>
    <s v="Logement indépendant (Maison indépendante)"/>
    <n v="0"/>
    <n v="0"/>
    <m/>
    <n v="0"/>
    <m/>
    <m/>
    <m/>
    <m/>
    <m/>
    <n v="0"/>
    <m/>
    <m/>
    <m/>
    <m/>
    <m/>
    <m/>
    <m/>
    <m/>
    <m/>
    <m/>
    <m/>
    <m/>
    <m/>
    <s v="1"/>
    <s v="0"/>
    <s v="1"/>
    <n v="2"/>
  </r>
  <r>
    <n v="2645487"/>
    <s v="Extrême-Nord"/>
    <s v="CMR004"/>
    <x v="5"/>
    <s v="CMR004006"/>
    <s v="Koza"/>
    <s v="CMR004006004"/>
    <s v="KOZ-0042"/>
    <s v="MADAKAR"/>
    <m/>
    <x v="1"/>
    <n v="10.848231200000001"/>
    <n v="13.883793600000001"/>
    <x v="0"/>
    <b v="1"/>
    <b v="0"/>
    <b v="1"/>
    <m/>
    <n v="3"/>
    <s v="Accessible"/>
    <m/>
    <s v="Le village accueille une population"/>
    <s v="Le village est intact (construit)"/>
    <m/>
    <m/>
    <s v="Oui"/>
    <s v="Familles d'accueil"/>
    <s v="Non, pas du tout"/>
    <s v="Non"/>
    <m/>
    <n v="57"/>
    <n v="3003"/>
    <s v="Oui"/>
    <s v="Deuxième déplacement"/>
    <n v="57"/>
    <n v="739"/>
    <n v="297"/>
    <n v="442"/>
    <n v="7"/>
    <n v="39"/>
    <n v="6"/>
    <n v="5"/>
    <s v="Chez une famille d'accueil (contre loyer)"/>
    <m/>
    <n v="0"/>
    <n v="0"/>
    <m/>
    <m/>
    <n v="0"/>
    <s v="S'agissant des PDI  nous n'avons pas enregistré des nouveaux arrives par contre les nouveaux qui  se sont ajoutés sont les nouvelles  naissances  enregistré parmi les anciens PDI _x000a_Il n'y a pas de centre de santé dans la localité pas d'électricité  ."/>
    <s v="Non"/>
    <m/>
    <m/>
    <m/>
    <m/>
    <m/>
    <m/>
    <m/>
    <m/>
    <m/>
    <m/>
    <m/>
    <m/>
    <m/>
    <m/>
    <m/>
    <s v="Oui"/>
    <n v="7"/>
    <n v="31"/>
    <n v="12"/>
    <n v="19"/>
    <s v="Entre 3 mois et 1 an"/>
    <n v="0"/>
    <n v="4"/>
    <n v="3"/>
    <n v="0"/>
    <n v="0"/>
    <m/>
    <n v="0"/>
    <n v="0"/>
    <m/>
    <n v="0"/>
    <m/>
    <m/>
    <m/>
    <m/>
    <m/>
    <n v="0"/>
    <m/>
    <m/>
    <m/>
    <m/>
    <m/>
    <m/>
    <m/>
    <m/>
    <m/>
    <m/>
    <m/>
    <m/>
    <m/>
    <s v="1"/>
    <s v="0"/>
    <s v="1"/>
    <n v="2"/>
  </r>
  <r>
    <n v="2622398"/>
    <s v="Extrême-Nord"/>
    <s v="CMR004"/>
    <x v="5"/>
    <s v="CMR004006"/>
    <s v="Koza"/>
    <s v="CMR004006004"/>
    <s v="KOZ-0018"/>
    <s v="MALTAMAYA"/>
    <m/>
    <x v="1"/>
    <n v="10.900824500000001"/>
    <n v="13.916214099999999"/>
    <x v="0"/>
    <b v="0"/>
    <b v="1"/>
    <b v="0"/>
    <n v="6"/>
    <m/>
    <s v="Accessible"/>
    <m/>
    <s v="Le village accueille une population"/>
    <s v="Le village est intact (construit)"/>
    <m/>
    <m/>
    <s v="Oui"/>
    <s v="Familles d'accueil"/>
    <s v="Location"/>
    <s v="Non"/>
    <m/>
    <n v="133"/>
    <n v="3324"/>
    <s v="Oui"/>
    <s v="Deuxième déplacement"/>
    <n v="133"/>
    <n v="640"/>
    <n v="255"/>
    <n v="385"/>
    <n v="17"/>
    <n v="106"/>
    <n v="1"/>
    <n v="9"/>
    <s v="Chez une famille d'accueil (contre loyer)"/>
    <m/>
    <n v="0"/>
    <n v="0"/>
    <m/>
    <m/>
    <n v="0"/>
    <s v="Ajout de 8 ménages pour 43"/>
    <s v="Non"/>
    <m/>
    <m/>
    <m/>
    <m/>
    <m/>
    <m/>
    <m/>
    <m/>
    <m/>
    <m/>
    <m/>
    <m/>
    <m/>
    <m/>
    <m/>
    <s v="Oui"/>
    <n v="4"/>
    <n v="20"/>
    <n v="9"/>
    <n v="11"/>
    <s v="Entre 1 et 5 ans"/>
    <n v="2"/>
    <n v="1"/>
    <n v="1"/>
    <n v="0"/>
    <n v="0"/>
    <m/>
    <n v="0"/>
    <n v="0"/>
    <m/>
    <n v="0"/>
    <m/>
    <m/>
    <m/>
    <m/>
    <m/>
    <n v="0"/>
    <m/>
    <m/>
    <m/>
    <m/>
    <m/>
    <m/>
    <m/>
    <m/>
    <m/>
    <m/>
    <m/>
    <m/>
    <m/>
    <s v="1"/>
    <s v="0"/>
    <s v="1"/>
    <n v="2"/>
  </r>
  <r>
    <n v="2622399"/>
    <s v="Extrême-Nord"/>
    <s v="CMR004"/>
    <x v="5"/>
    <s v="CMR004006"/>
    <s v="Koza"/>
    <s v="CMR004006004"/>
    <s v="KOZ-0028"/>
    <s v="MATALAM"/>
    <m/>
    <x v="1"/>
    <n v="10.8568541"/>
    <n v="13.8989837"/>
    <x v="0"/>
    <b v="1"/>
    <b v="0"/>
    <b v="0"/>
    <m/>
    <n v="3"/>
    <s v="Accessible"/>
    <m/>
    <s v="Le village accueille une population"/>
    <s v="Le village est intact (construit)"/>
    <m/>
    <m/>
    <s v="Oui"/>
    <s v="Familles d'accueil"/>
    <s v="Location"/>
    <s v="Non"/>
    <m/>
    <n v="50"/>
    <n v="1940"/>
    <s v="Oui"/>
    <s v="Premier déplacement"/>
    <n v="50"/>
    <n v="266"/>
    <n v="120"/>
    <n v="146"/>
    <n v="19"/>
    <n v="29"/>
    <n v="0"/>
    <n v="2"/>
    <s v="Autre"/>
    <s v="Famille d'accueil à titre gratuit "/>
    <n v="0"/>
    <n v="0"/>
    <m/>
    <m/>
    <n v="0"/>
    <s v="Ajout de 4 ménages pour 28 individus "/>
    <s v="Non"/>
    <m/>
    <m/>
    <m/>
    <m/>
    <m/>
    <m/>
    <m/>
    <m/>
    <m/>
    <m/>
    <m/>
    <m/>
    <m/>
    <m/>
    <m/>
    <s v="Oui"/>
    <n v="12"/>
    <n v="55"/>
    <n v="20"/>
    <n v="35"/>
    <s v="Entre 3 mois et 1 an"/>
    <n v="4"/>
    <n v="5"/>
    <n v="3"/>
    <n v="0"/>
    <n v="0"/>
    <m/>
    <n v="0"/>
    <n v="0"/>
    <m/>
    <n v="0"/>
    <m/>
    <m/>
    <m/>
    <m/>
    <m/>
    <n v="0"/>
    <m/>
    <m/>
    <m/>
    <m/>
    <m/>
    <m/>
    <m/>
    <m/>
    <m/>
    <m/>
    <m/>
    <m/>
    <m/>
    <s v="1"/>
    <s v="0"/>
    <s v="1"/>
    <n v="2"/>
  </r>
  <r>
    <n v="2632157"/>
    <s v="Extrême-Nord"/>
    <s v="CMR004"/>
    <x v="5"/>
    <s v="CMR004006"/>
    <s v="Koza"/>
    <s v="CMR004006004"/>
    <s v="KOZ-0038"/>
    <s v="MAVOUMAY"/>
    <m/>
    <x v="1"/>
    <n v="10.8721386"/>
    <n v="13.808411299999999"/>
    <x v="0"/>
    <b v="1"/>
    <b v="0"/>
    <b v="1"/>
    <m/>
    <n v="3"/>
    <s v="Accessible"/>
    <m/>
    <s v="Le village accueille une population"/>
    <s v="Le village est intact (construit)"/>
    <m/>
    <m/>
    <s v="Oui"/>
    <s v="Familles d'accueil"/>
    <s v="Non, pas du tout"/>
    <s v="Non"/>
    <m/>
    <n v="115"/>
    <n v="833"/>
    <s v="Oui"/>
    <s v="Premier déplacement"/>
    <n v="115"/>
    <n v="636"/>
    <n v="217"/>
    <n v="419"/>
    <n v="4"/>
    <n v="99"/>
    <n v="0"/>
    <n v="12"/>
    <s v="Chez une famille d'accueil (contre loyer)"/>
    <m/>
    <n v="0"/>
    <n v="0"/>
    <m/>
    <m/>
    <n v="0"/>
    <s v="Augmentation de 23 ménages pour 176 individus en provenance de mitchkar, oupai, zelevet raison Bh on note beaucoup de déplacement pendulaire pas d'électricité mais  l'approvisionnement en eau est irrégulier. "/>
    <s v="Non"/>
    <m/>
    <m/>
    <m/>
    <m/>
    <m/>
    <m/>
    <m/>
    <m/>
    <m/>
    <m/>
    <m/>
    <m/>
    <m/>
    <m/>
    <m/>
    <s v="Non"/>
    <m/>
    <m/>
    <m/>
    <m/>
    <m/>
    <m/>
    <m/>
    <m/>
    <m/>
    <m/>
    <m/>
    <m/>
    <m/>
    <m/>
    <m/>
    <m/>
    <m/>
    <m/>
    <m/>
    <m/>
    <n v="0"/>
    <m/>
    <m/>
    <m/>
    <m/>
    <m/>
    <m/>
    <m/>
    <m/>
    <m/>
    <m/>
    <m/>
    <m/>
    <m/>
    <s v="1"/>
    <s v="0"/>
    <s v="0"/>
    <n v="1"/>
  </r>
  <r>
    <n v="2622392"/>
    <s v="Extrême-Nord"/>
    <s v="CMR004"/>
    <x v="5"/>
    <s v="CMR004006"/>
    <s v="Koza"/>
    <s v="CMR004006004"/>
    <s v="KOZ-0039"/>
    <s v="MAWA"/>
    <m/>
    <x v="1"/>
    <n v="10.9376526"/>
    <n v="13.9048856"/>
    <x v="0"/>
    <b v="1"/>
    <b v="0"/>
    <b v="0"/>
    <m/>
    <n v="3"/>
    <s v="Accessible"/>
    <m/>
    <s v="Le village accueille une population"/>
    <s v="Le village est partiellement détruit"/>
    <s v="Attaques armées"/>
    <m/>
    <s v="Oui"/>
    <s v="Familles d'accueil"/>
    <s v="Location"/>
    <s v="Non"/>
    <m/>
    <n v="161"/>
    <n v="3129"/>
    <s v="Oui"/>
    <s v="Premier déplacement"/>
    <n v="161"/>
    <n v="1177"/>
    <n v="321"/>
    <n v="856"/>
    <n v="26"/>
    <n v="117"/>
    <n v="12"/>
    <n v="6"/>
    <s v="Chez une famille d'accueil (contre loyer)"/>
    <m/>
    <n v="0"/>
    <n v="0"/>
    <m/>
    <m/>
    <n v="0"/>
    <s v="Ajout de 2 ménages pour 15 individus "/>
    <s v="Non"/>
    <m/>
    <m/>
    <m/>
    <m/>
    <m/>
    <m/>
    <m/>
    <m/>
    <m/>
    <m/>
    <m/>
    <m/>
    <m/>
    <m/>
    <m/>
    <s v="Oui"/>
    <n v="3"/>
    <n v="12"/>
    <n v="5"/>
    <n v="7"/>
    <s v="Entre 1 et 5 ans"/>
    <n v="1"/>
    <n v="0"/>
    <n v="2"/>
    <n v="0"/>
    <n v="0"/>
    <m/>
    <n v="0"/>
    <n v="0"/>
    <m/>
    <n v="0"/>
    <m/>
    <m/>
    <m/>
    <m/>
    <m/>
    <n v="0"/>
    <m/>
    <m/>
    <m/>
    <m/>
    <m/>
    <m/>
    <m/>
    <m/>
    <m/>
    <m/>
    <m/>
    <m/>
    <m/>
    <s v="1"/>
    <s v="0"/>
    <s v="1"/>
    <n v="2"/>
  </r>
  <r>
    <n v="2632153"/>
    <s v="Extrême-Nord"/>
    <s v="CMR004"/>
    <x v="5"/>
    <s v="CMR004006"/>
    <s v="Koza"/>
    <s v="CMR004006004"/>
    <s v="KOZ-0019"/>
    <s v="MAZI"/>
    <m/>
    <x v="1"/>
    <n v="10.8744953"/>
    <n v="13.843724099999999"/>
    <x v="0"/>
    <b v="1"/>
    <b v="0"/>
    <b v="1"/>
    <m/>
    <n v="3"/>
    <s v="Accessible"/>
    <m/>
    <s v="Le village accueille une population"/>
    <s v="Le village est intact (construit)"/>
    <m/>
    <m/>
    <s v="Oui"/>
    <s v="Familles d'accueil"/>
    <s v="Non, pas du tout"/>
    <s v="Non"/>
    <m/>
    <n v="162"/>
    <n v="2804"/>
    <s v="Oui"/>
    <s v="Deuxième déplacement"/>
    <n v="162"/>
    <n v="1069"/>
    <n v="416"/>
    <n v="653"/>
    <n v="17"/>
    <n v="113"/>
    <n v="12"/>
    <n v="20"/>
    <s v="Chez une famille d'accueil (contre loyer)"/>
    <m/>
    <n v="0"/>
    <n v="0"/>
    <m/>
    <m/>
    <n v="0"/>
    <s v="Augmentation de 51 ménages pour 260 individus en provenance de mitchkar, mandoussa et Moskota raison Bh pas d'électricité mais aussi  l'approvisionnement en eau potable est irrégulier. "/>
    <s v="Non"/>
    <m/>
    <m/>
    <m/>
    <m/>
    <m/>
    <m/>
    <m/>
    <m/>
    <m/>
    <m/>
    <m/>
    <m/>
    <m/>
    <m/>
    <m/>
    <s v="Oui"/>
    <n v="3"/>
    <n v="25"/>
    <n v="12"/>
    <n v="13"/>
    <s v="5 ans ou plus"/>
    <n v="2"/>
    <n v="1"/>
    <n v="0"/>
    <n v="0"/>
    <n v="0"/>
    <m/>
    <n v="0"/>
    <n v="0"/>
    <m/>
    <n v="0"/>
    <m/>
    <m/>
    <m/>
    <m/>
    <m/>
    <n v="0"/>
    <m/>
    <m/>
    <m/>
    <m/>
    <m/>
    <m/>
    <m/>
    <m/>
    <m/>
    <m/>
    <m/>
    <m/>
    <m/>
    <s v="1"/>
    <s v="0"/>
    <s v="1"/>
    <n v="2"/>
  </r>
  <r>
    <n v="2649563"/>
    <s v="Extrême-Nord"/>
    <s v="CMR004"/>
    <x v="5"/>
    <s v="CMR004006"/>
    <s v="Koza"/>
    <s v="CMR004006004"/>
    <s v="KOZ-0020"/>
    <s v="MBARDAM"/>
    <m/>
    <x v="1"/>
    <n v="10.8492502"/>
    <n v="13.9224902"/>
    <x v="0"/>
    <b v="1"/>
    <b v="0"/>
    <b v="1"/>
    <m/>
    <n v="4"/>
    <s v="Accessible"/>
    <m/>
    <s v="Le village accueille une population"/>
    <s v="Le village est intact (construit)"/>
    <m/>
    <m/>
    <s v="Oui"/>
    <s v="Familles d'accueil"/>
    <s v="Non, pas du tout"/>
    <s v="Non"/>
    <m/>
    <n v="77"/>
    <n v="2580"/>
    <s v="Oui"/>
    <s v="Troisième déplacement"/>
    <n v="77"/>
    <n v="437"/>
    <n v="167"/>
    <n v="270"/>
    <n v="12"/>
    <n v="65"/>
    <n v="0"/>
    <n v="0"/>
    <m/>
    <m/>
    <n v="0"/>
    <n v="0"/>
    <m/>
    <m/>
    <n v="0"/>
    <s v="Une naissance "/>
    <s v="Non"/>
    <m/>
    <m/>
    <m/>
    <m/>
    <m/>
    <m/>
    <m/>
    <m/>
    <m/>
    <m/>
    <m/>
    <m/>
    <m/>
    <m/>
    <m/>
    <s v="Oui"/>
    <n v="43"/>
    <n v="292"/>
    <n v="139"/>
    <n v="153"/>
    <s v="Entre 1 et 5 ans"/>
    <n v="22"/>
    <n v="21"/>
    <n v="0"/>
    <n v="0"/>
    <n v="0"/>
    <m/>
    <n v="0"/>
    <n v="0"/>
    <m/>
    <n v="0"/>
    <m/>
    <m/>
    <m/>
    <m/>
    <m/>
    <n v="0"/>
    <m/>
    <m/>
    <m/>
    <m/>
    <m/>
    <m/>
    <m/>
    <m/>
    <m/>
    <m/>
    <m/>
    <m/>
    <m/>
    <s v="1"/>
    <s v="0"/>
    <s v="1"/>
    <n v="2"/>
  </r>
  <r>
    <n v="2620179"/>
    <s v="Extrême-Nord"/>
    <s v="CMR004"/>
    <x v="5"/>
    <s v="CMR004006"/>
    <s v="Koza"/>
    <s v="CMR004006004"/>
    <s v="KOZ-0021"/>
    <s v="MODOKO"/>
    <m/>
    <x v="1"/>
    <n v="10.8873812"/>
    <n v="13.844466199999999"/>
    <x v="0"/>
    <b v="1"/>
    <b v="0"/>
    <b v="1"/>
    <m/>
    <n v="3"/>
    <s v="Accessible"/>
    <m/>
    <s v="Le village accueille une population"/>
    <s v="Le village est intact (construit)"/>
    <m/>
    <m/>
    <s v="Oui"/>
    <s v="Familles d'accueil"/>
    <s v="Non, pas du tout"/>
    <s v="Non"/>
    <m/>
    <n v="243"/>
    <n v="5767"/>
    <s v="Oui"/>
    <s v="Deuxième déplacement"/>
    <n v="243"/>
    <n v="1151"/>
    <n v="496"/>
    <n v="655"/>
    <n v="35"/>
    <n v="178"/>
    <n v="0"/>
    <n v="30"/>
    <s v="Chez une famille d'accueil (contre loyer)"/>
    <m/>
    <n v="0"/>
    <n v="0"/>
    <m/>
    <m/>
    <n v="0"/>
    <s v="Augmentation de 125 ménages mais 85 ménages  est stable mais le 40 ménages  restant  fond les déplacements  pendulaire  c'est-à-dire passe la journée  à mitchkar mais passé la nuit  à modoko. Le 85 ménages  pour 317 individus sont venus  en provenance de mitchkar, mandoussa ,et bigdey il n'existe pas de centre de santé  ni d'électricité ou de l'eau potable dans la localité. "/>
    <s v="Non"/>
    <m/>
    <m/>
    <m/>
    <m/>
    <m/>
    <m/>
    <m/>
    <m/>
    <m/>
    <m/>
    <m/>
    <m/>
    <m/>
    <m/>
    <m/>
    <s v="Oui"/>
    <n v="16"/>
    <n v="87"/>
    <n v="32"/>
    <n v="55"/>
    <s v="5 ans ou plus"/>
    <n v="3"/>
    <n v="5"/>
    <n v="8"/>
    <n v="0"/>
    <n v="0"/>
    <m/>
    <n v="0"/>
    <n v="0"/>
    <m/>
    <n v="0"/>
    <m/>
    <m/>
    <m/>
    <m/>
    <m/>
    <n v="0"/>
    <m/>
    <m/>
    <m/>
    <m/>
    <m/>
    <m/>
    <m/>
    <m/>
    <m/>
    <m/>
    <m/>
    <m/>
    <m/>
    <s v="1"/>
    <s v="0"/>
    <s v="1"/>
    <n v="2"/>
  </r>
  <r>
    <n v="2629506"/>
    <s v="Extrême-Nord"/>
    <s v="CMR004"/>
    <x v="5"/>
    <s v="CMR004006"/>
    <s v="Koza"/>
    <s v="CMR004006004"/>
    <s v="KOZ-0022"/>
    <s v="MORGO"/>
    <m/>
    <x v="1"/>
    <n v="10.935306799999999"/>
    <n v="13.934154299999999"/>
    <x v="0"/>
    <b v="1"/>
    <b v="0"/>
    <b v="0"/>
    <m/>
    <n v="3"/>
    <s v="Accessible"/>
    <m/>
    <s v="Le village accueille une population"/>
    <s v="Le village est intact (construit)"/>
    <m/>
    <m/>
    <s v="Oui"/>
    <s v="Familles d'accueil"/>
    <s v="Non, pas du tout"/>
    <s v="Non"/>
    <m/>
    <n v="289"/>
    <n v="4900"/>
    <s v="Oui"/>
    <s v="Deuxième déplacement"/>
    <n v="289"/>
    <n v="1766"/>
    <n v="756"/>
    <n v="1010"/>
    <n v="52"/>
    <n v="177"/>
    <n v="0"/>
    <n v="60"/>
    <s v="Chez une famille d'accueil (contre loyer)"/>
    <m/>
    <n v="0"/>
    <n v="0"/>
    <m/>
    <m/>
    <n v="0"/>
    <s v="Ajout des 4 ménages  pour 15 individus "/>
    <s v="Non"/>
    <m/>
    <m/>
    <m/>
    <m/>
    <m/>
    <m/>
    <m/>
    <m/>
    <m/>
    <m/>
    <m/>
    <m/>
    <m/>
    <m/>
    <m/>
    <s v="Non"/>
    <m/>
    <m/>
    <m/>
    <m/>
    <m/>
    <m/>
    <m/>
    <m/>
    <m/>
    <m/>
    <m/>
    <m/>
    <m/>
    <m/>
    <m/>
    <m/>
    <m/>
    <m/>
    <m/>
    <m/>
    <n v="0"/>
    <m/>
    <m/>
    <m/>
    <m/>
    <m/>
    <m/>
    <m/>
    <m/>
    <m/>
    <m/>
    <m/>
    <m/>
    <m/>
    <s v="1"/>
    <s v="0"/>
    <s v="0"/>
    <n v="1"/>
  </r>
  <r>
    <n v="2618245"/>
    <s v="Extrême-Nord"/>
    <s v="CMR004"/>
    <x v="5"/>
    <s v="CMR004006"/>
    <s v="Koza"/>
    <s v="CMR004006004"/>
    <s v="KOZ-0036"/>
    <s v="MOUTSCAR"/>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6936"/>
    <s v="Extrême-Nord"/>
    <s v="CMR004"/>
    <x v="5"/>
    <s v="CMR004006"/>
    <s v="Koza"/>
    <s v="CMR004006004"/>
    <s v="KOZ-0044"/>
    <s v="NDOUVGUI KILDA"/>
    <m/>
    <x v="1"/>
    <n v="10.873236199999999"/>
    <n v="13.8899021"/>
    <x v="0"/>
    <b v="1"/>
    <b v="0"/>
    <b v="0"/>
    <m/>
    <n v="3"/>
    <s v="Accessible"/>
    <m/>
    <s v="Le village accueille une population"/>
    <s v="Le village est intact (construit)"/>
    <m/>
    <m/>
    <s v="Oui"/>
    <s v="Familles d'accueil"/>
    <s v="Non, pas du tout"/>
    <s v="Non"/>
    <m/>
    <n v="25"/>
    <n v="307"/>
    <s v="Oui"/>
    <s v="Deuxième déplacement"/>
    <n v="25"/>
    <n v="139"/>
    <n v="63"/>
    <n v="76"/>
    <n v="2"/>
    <n v="19"/>
    <n v="0"/>
    <n v="4"/>
    <s v="Chez une famille d'accueil (contre loyer)"/>
    <m/>
    <n v="0"/>
    <n v="0"/>
    <m/>
    <m/>
    <n v="0"/>
    <s v="Pas de changement "/>
    <s v="Non"/>
    <m/>
    <m/>
    <m/>
    <m/>
    <m/>
    <m/>
    <m/>
    <m/>
    <m/>
    <m/>
    <m/>
    <m/>
    <m/>
    <m/>
    <m/>
    <s v="Non"/>
    <m/>
    <m/>
    <m/>
    <m/>
    <m/>
    <m/>
    <m/>
    <m/>
    <m/>
    <m/>
    <m/>
    <m/>
    <m/>
    <m/>
    <m/>
    <m/>
    <m/>
    <m/>
    <m/>
    <m/>
    <n v="0"/>
    <m/>
    <m/>
    <m/>
    <m/>
    <m/>
    <m/>
    <m/>
    <m/>
    <m/>
    <m/>
    <m/>
    <m/>
    <m/>
    <s v="1"/>
    <s v="0"/>
    <s v="0"/>
    <n v="1"/>
  </r>
  <r>
    <n v="2629501"/>
    <s v="Extrême-Nord"/>
    <s v="CMR004"/>
    <x v="5"/>
    <s v="CMR004006"/>
    <s v="Koza"/>
    <s v="CMR004006004"/>
    <s v="KOZ-0023"/>
    <s v="PAMBAO"/>
    <m/>
    <x v="1"/>
    <n v="10.8707029"/>
    <n v="13.889622299999999"/>
    <x v="0"/>
    <b v="1"/>
    <b v="0"/>
    <b v="0"/>
    <m/>
    <n v="3"/>
    <s v="Accessible"/>
    <m/>
    <s v="Le village accueille une population"/>
    <s v="Le village est intact (construit)"/>
    <m/>
    <m/>
    <s v="Oui"/>
    <s v="Familles d'accueil"/>
    <s v="Non, pas du tout"/>
    <s v="Non"/>
    <m/>
    <n v="202"/>
    <n v="1516"/>
    <s v="Oui"/>
    <s v="Deuxième déplacement"/>
    <n v="202"/>
    <n v="1385"/>
    <n v="440"/>
    <n v="945"/>
    <n v="2"/>
    <n v="156"/>
    <n v="7"/>
    <n v="37"/>
    <s v="Chez une famille d'accueil (contre loyer)"/>
    <m/>
    <n v="0"/>
    <n v="0"/>
    <m/>
    <m/>
    <n v="0"/>
    <s v="Ajout de 4 ménages  pour  15 individus "/>
    <s v="Non"/>
    <m/>
    <m/>
    <m/>
    <m/>
    <m/>
    <m/>
    <m/>
    <m/>
    <m/>
    <m/>
    <m/>
    <m/>
    <m/>
    <m/>
    <m/>
    <s v="Non"/>
    <m/>
    <m/>
    <m/>
    <m/>
    <m/>
    <m/>
    <m/>
    <m/>
    <m/>
    <m/>
    <m/>
    <m/>
    <m/>
    <m/>
    <m/>
    <m/>
    <m/>
    <m/>
    <m/>
    <m/>
    <n v="0"/>
    <m/>
    <m/>
    <m/>
    <m/>
    <m/>
    <m/>
    <m/>
    <m/>
    <m/>
    <m/>
    <m/>
    <m/>
    <m/>
    <s v="1"/>
    <s v="0"/>
    <s v="0"/>
    <n v="1"/>
  </r>
  <r>
    <n v="2629507"/>
    <s v="Extrême-Nord"/>
    <s v="CMR004"/>
    <x v="5"/>
    <s v="CMR004006"/>
    <s v="Koza"/>
    <s v="CMR004006004"/>
    <s v="KOZ-0024"/>
    <s v="TENDEO"/>
    <m/>
    <x v="1"/>
    <n v="10.8979514"/>
    <n v="13.9386793"/>
    <x v="0"/>
    <b v="1"/>
    <b v="0"/>
    <b v="0"/>
    <m/>
    <n v="3"/>
    <s v="Accessible"/>
    <m/>
    <s v="Le village accueille une population"/>
    <s v="Le village est intact (construit)"/>
    <m/>
    <m/>
    <s v="Oui"/>
    <s v="Familles d'accueil"/>
    <s v="Non, pas du tout"/>
    <s v="Non"/>
    <m/>
    <n v="132"/>
    <n v="5060"/>
    <s v="Oui"/>
    <s v="Deuxième déplacement"/>
    <n v="132"/>
    <n v="583"/>
    <n v="239"/>
    <n v="344"/>
    <n v="5"/>
    <n v="104"/>
    <n v="3"/>
    <n v="20"/>
    <s v="Chez une famille d'accueil (contre loyer)"/>
    <m/>
    <n v="0"/>
    <n v="0"/>
    <m/>
    <m/>
    <n v="0"/>
    <s v="Pas de changement "/>
    <s v="Non"/>
    <m/>
    <m/>
    <m/>
    <m/>
    <m/>
    <m/>
    <m/>
    <m/>
    <m/>
    <m/>
    <m/>
    <m/>
    <m/>
    <m/>
    <m/>
    <s v="Non"/>
    <m/>
    <m/>
    <m/>
    <m/>
    <m/>
    <m/>
    <m/>
    <m/>
    <m/>
    <m/>
    <m/>
    <m/>
    <m/>
    <m/>
    <m/>
    <m/>
    <m/>
    <m/>
    <m/>
    <m/>
    <n v="0"/>
    <m/>
    <m/>
    <m/>
    <m/>
    <m/>
    <m/>
    <m/>
    <m/>
    <m/>
    <m/>
    <m/>
    <m/>
    <m/>
    <s v="1"/>
    <s v="0"/>
    <s v="0"/>
    <n v="1"/>
  </r>
  <r>
    <n v="2629504"/>
    <s v="Extrême-Nord"/>
    <s v="CMR004"/>
    <x v="5"/>
    <s v="CMR004006"/>
    <s v="Koza"/>
    <s v="CMR004006004"/>
    <s v="KOZ-0035"/>
    <s v="WAGZA"/>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29502"/>
    <s v="Extrême-Nord"/>
    <s v="CMR004"/>
    <x v="5"/>
    <s v="CMR004006"/>
    <s v="Koza"/>
    <s v="CMR004006004"/>
    <s v="KOZ-0025"/>
    <s v="WALADE"/>
    <m/>
    <x v="1"/>
    <n v="10.8706134"/>
    <n v="13.8897049"/>
    <x v="0"/>
    <b v="1"/>
    <b v="0"/>
    <b v="0"/>
    <m/>
    <n v="3"/>
    <s v="Accessible"/>
    <m/>
    <s v="Le village accueille une population"/>
    <s v="Le village est intact (construit)"/>
    <m/>
    <m/>
    <s v="Oui"/>
    <s v="Familles d'accueil"/>
    <s v="Non, pas du tout"/>
    <s v="Non"/>
    <m/>
    <n v="115"/>
    <n v="2490"/>
    <s v="Oui"/>
    <s v="Deuxième déplacement"/>
    <n v="115"/>
    <n v="802"/>
    <n v="201"/>
    <n v="601"/>
    <n v="0"/>
    <n v="27"/>
    <n v="0"/>
    <n v="88"/>
    <s v="Chez une famille d'accueil (contre loyer)"/>
    <m/>
    <n v="0"/>
    <n v="0"/>
    <m/>
    <m/>
    <n v="0"/>
    <s v="Ajout de  3 ménages  pour 11 individus "/>
    <s v="Non"/>
    <m/>
    <m/>
    <m/>
    <m/>
    <m/>
    <m/>
    <m/>
    <m/>
    <m/>
    <m/>
    <m/>
    <m/>
    <m/>
    <m/>
    <m/>
    <s v="Non"/>
    <m/>
    <m/>
    <m/>
    <m/>
    <m/>
    <m/>
    <m/>
    <m/>
    <m/>
    <m/>
    <m/>
    <m/>
    <m/>
    <m/>
    <m/>
    <m/>
    <m/>
    <m/>
    <m/>
    <m/>
    <n v="0"/>
    <m/>
    <m/>
    <m/>
    <m/>
    <m/>
    <m/>
    <m/>
    <m/>
    <m/>
    <m/>
    <m/>
    <m/>
    <m/>
    <s v="1"/>
    <s v="0"/>
    <s v="0"/>
    <n v="1"/>
  </r>
  <r>
    <n v="2636535"/>
    <s v="Extrême-Nord"/>
    <s v="CMR004"/>
    <x v="5"/>
    <s v="CMR004006"/>
    <s v="Koza"/>
    <s v="CMR004006004"/>
    <s v="KOZ-0026"/>
    <s v="WOULAD"/>
    <m/>
    <x v="1"/>
    <n v="10.8687398"/>
    <n v="13.850477400000001"/>
    <x v="0"/>
    <b v="1"/>
    <b v="0"/>
    <b v="1"/>
    <m/>
    <n v="3"/>
    <s v="Accessible"/>
    <m/>
    <s v="Le village accueille une population"/>
    <s v="Le village est intact (construit)"/>
    <m/>
    <m/>
    <s v="Oui"/>
    <s v="Familles d'accueil"/>
    <s v="Location"/>
    <s v="Non"/>
    <m/>
    <n v="310"/>
    <n v="1350"/>
    <s v="Oui"/>
    <s v="Troisième déplacement"/>
    <n v="310"/>
    <n v="1621"/>
    <n v="654"/>
    <n v="967"/>
    <n v="45"/>
    <n v="139"/>
    <n v="30"/>
    <n v="96"/>
    <s v="Chez une famille d'accueil (contre loyer)"/>
    <m/>
    <n v="0"/>
    <n v="0"/>
    <m/>
    <m/>
    <n v="0"/>
    <s v="Ajout de 45 ménages de 225 individus soit 104 hommes et 121 femmes "/>
    <s v="Non"/>
    <m/>
    <m/>
    <m/>
    <m/>
    <m/>
    <m/>
    <m/>
    <m/>
    <m/>
    <m/>
    <m/>
    <m/>
    <m/>
    <m/>
    <m/>
    <s v="Oui"/>
    <n v="25"/>
    <n v="158"/>
    <n v="90"/>
    <n v="68"/>
    <s v="Entre 1 et 5 ans"/>
    <n v="2"/>
    <n v="2"/>
    <n v="9"/>
    <n v="0"/>
    <n v="12"/>
    <s v="Chez une famille d'accueil (contre loyer)"/>
    <n v="0"/>
    <n v="0"/>
    <m/>
    <n v="0"/>
    <m/>
    <m/>
    <m/>
    <m/>
    <m/>
    <n v="0"/>
    <m/>
    <m/>
    <m/>
    <m/>
    <m/>
    <m/>
    <m/>
    <m/>
    <m/>
    <m/>
    <m/>
    <m/>
    <m/>
    <s v="1"/>
    <s v="0"/>
    <s v="1"/>
    <n v="2"/>
  </r>
  <r>
    <n v="2646933"/>
    <s v="Extrême-Nord"/>
    <s v="CMR004"/>
    <x v="5"/>
    <s v="CMR004006"/>
    <s v="Koza"/>
    <s v="CMR004006004"/>
    <s v="KOZ-0032"/>
    <s v="YAMEDE"/>
    <m/>
    <x v="1"/>
    <n v="10.929539399999999"/>
    <n v="13.9349194"/>
    <x v="0"/>
    <b v="1"/>
    <b v="0"/>
    <b v="0"/>
    <m/>
    <n v="3"/>
    <s v="Accessible"/>
    <m/>
    <s v="Le village est déserté la nuit"/>
    <s v="Le village est partiellement détruit"/>
    <s v="Attaques armées"/>
    <m/>
    <s v="Oui"/>
    <s v="Familles d'accueil"/>
    <s v="Non, pas du tout"/>
    <s v="Non"/>
    <m/>
    <n v="19"/>
    <n v="524"/>
    <s v="Oui"/>
    <s v="Premier déplacement"/>
    <n v="19"/>
    <n v="104"/>
    <n v="47"/>
    <n v="57"/>
    <n v="5"/>
    <n v="14"/>
    <n v="0"/>
    <n v="0"/>
    <m/>
    <m/>
    <n v="0"/>
    <n v="0"/>
    <m/>
    <m/>
    <n v="0"/>
    <s v="Ajout de  5 ménages  pour  30 individus "/>
    <s v="Non"/>
    <m/>
    <m/>
    <m/>
    <m/>
    <m/>
    <m/>
    <m/>
    <m/>
    <m/>
    <m/>
    <m/>
    <m/>
    <m/>
    <m/>
    <m/>
    <s v="Non"/>
    <m/>
    <m/>
    <m/>
    <m/>
    <m/>
    <m/>
    <m/>
    <m/>
    <m/>
    <m/>
    <m/>
    <m/>
    <m/>
    <m/>
    <m/>
    <m/>
    <m/>
    <m/>
    <m/>
    <m/>
    <n v="0"/>
    <m/>
    <m/>
    <m/>
    <m/>
    <m/>
    <m/>
    <m/>
    <m/>
    <m/>
    <m/>
    <m/>
    <m/>
    <m/>
    <s v="1"/>
    <s v="0"/>
    <s v="0"/>
    <n v="1"/>
  </r>
  <r>
    <n v="2622395"/>
    <s v="Extrême-Nord"/>
    <s v="CMR004"/>
    <x v="5"/>
    <s v="CMR004006"/>
    <s v="Koza"/>
    <s v="CMR004006004"/>
    <s v="KOZ-0027"/>
    <s v="ZILER"/>
    <m/>
    <x v="1"/>
    <n v="10.917040399999999"/>
    <n v="13.900081500000001"/>
    <x v="0"/>
    <b v="1"/>
    <b v="0"/>
    <b v="0"/>
    <m/>
    <n v="3"/>
    <s v="Accessible"/>
    <m/>
    <s v="Le village accueille une population"/>
    <s v="Le village est intact (construit)"/>
    <m/>
    <m/>
    <s v="Oui"/>
    <s v="Familles d'accueil"/>
    <s v="Location"/>
    <s v="Non"/>
    <m/>
    <n v="119"/>
    <n v="2159"/>
    <s v="Oui"/>
    <s v="Deuxième déplacement"/>
    <n v="119"/>
    <n v="686"/>
    <n v="247"/>
    <n v="439"/>
    <n v="20"/>
    <n v="95"/>
    <n v="0"/>
    <n v="4"/>
    <s v="Chez une famille d'accueil (contre loyer)"/>
    <m/>
    <n v="0"/>
    <n v="0"/>
    <m/>
    <m/>
    <n v="0"/>
    <s v="Ajout de 5 ménages pour 26 individus "/>
    <s v="Non"/>
    <m/>
    <m/>
    <m/>
    <m/>
    <m/>
    <m/>
    <m/>
    <m/>
    <m/>
    <m/>
    <m/>
    <m/>
    <m/>
    <m/>
    <m/>
    <s v="Oui"/>
    <n v="6"/>
    <n v="36"/>
    <n v="16"/>
    <n v="20"/>
    <s v="Entre 1 et 5 ans"/>
    <n v="1"/>
    <n v="2"/>
    <n v="3"/>
    <n v="0"/>
    <n v="0"/>
    <m/>
    <n v="0"/>
    <n v="0"/>
    <m/>
    <n v="0"/>
    <m/>
    <m/>
    <m/>
    <m/>
    <m/>
    <n v="0"/>
    <m/>
    <m/>
    <m/>
    <m/>
    <m/>
    <m/>
    <m/>
    <m/>
    <m/>
    <m/>
    <m/>
    <m/>
    <m/>
    <s v="1"/>
    <s v="0"/>
    <s v="1"/>
    <n v="2"/>
  </r>
  <r>
    <n v="2561378"/>
    <s v="Extrême-Nord"/>
    <s v="CMR004"/>
    <x v="5"/>
    <s v="CMR004006"/>
    <s v="Mayo-Moskota"/>
    <s v="CMR004006005"/>
    <s v="XXXX"/>
    <s v="MANDOUSSA DZA"/>
    <s v="MANDOUSSA DZA"/>
    <x v="1"/>
    <n v="10.9113928"/>
    <n v="13.8349004"/>
    <x v="0"/>
    <b v="1"/>
    <b v="0"/>
    <b v="1"/>
    <m/>
    <n v="3"/>
    <s v="Accessible"/>
    <m/>
    <s v="Le village accueille une population"/>
    <s v="Le village est intact (construit)"/>
    <m/>
    <m/>
    <s v="Oui"/>
    <s v="Familles d'accueil"/>
    <s v="Non, pas du tout"/>
    <s v="Non"/>
    <m/>
    <n v="42"/>
    <n v="940"/>
    <s v="Oui"/>
    <s v="Premier déplacement"/>
    <n v="42"/>
    <n v="240"/>
    <n v="98"/>
    <n v="142"/>
    <n v="0"/>
    <n v="42"/>
    <n v="0"/>
    <n v="0"/>
    <m/>
    <m/>
    <n v="0"/>
    <n v="0"/>
    <m/>
    <m/>
    <n v="0"/>
    <s v="On a une population global de :940 dont  240 individus PDI pour 42 ménages parmi lesquels on a 142 femmes et 98 hommes en provenance de Moudougoua, woudal, kouva,et Mitchikar. Raison :conflit lié au Bh. Tous vivent dans une famille d'accueil."/>
    <s v="Non"/>
    <m/>
    <m/>
    <m/>
    <m/>
    <m/>
    <m/>
    <m/>
    <m/>
    <m/>
    <m/>
    <m/>
    <m/>
    <m/>
    <m/>
    <m/>
    <s v="Non"/>
    <m/>
    <m/>
    <m/>
    <m/>
    <m/>
    <m/>
    <m/>
    <m/>
    <m/>
    <m/>
    <m/>
    <m/>
    <m/>
    <m/>
    <m/>
    <m/>
    <m/>
    <m/>
    <m/>
    <m/>
    <n v="0"/>
    <m/>
    <m/>
    <m/>
    <m/>
    <m/>
    <m/>
    <m/>
    <m/>
    <m/>
    <m/>
    <m/>
    <m/>
    <m/>
    <s v="1"/>
    <s v="0"/>
    <s v="0"/>
    <n v="1"/>
  </r>
  <r>
    <n v="2590353"/>
    <s v="Extrême-Nord"/>
    <s v="CMR004"/>
    <x v="5"/>
    <s v="CMR004006"/>
    <s v="Mayo-Moskota"/>
    <s v="CMR004006005"/>
    <s v="XXXX"/>
    <s v="KOUVA"/>
    <s v="KOUVA"/>
    <x v="1"/>
    <n v="10.9285695"/>
    <n v="13.810402699999999"/>
    <x v="0"/>
    <b v="0"/>
    <b v="0"/>
    <b v="1"/>
    <m/>
    <m/>
    <s v="Accessible"/>
    <m/>
    <s v="Le village est entièrement déserté"/>
    <m/>
    <m/>
    <m/>
    <m/>
    <m/>
    <m/>
    <m/>
    <m/>
    <m/>
    <m/>
    <m/>
    <m/>
    <m/>
    <m/>
    <m/>
    <m/>
    <m/>
    <m/>
    <m/>
    <m/>
    <m/>
    <m/>
    <m/>
    <m/>
    <m/>
    <m/>
    <m/>
    <m/>
    <m/>
    <m/>
    <m/>
    <m/>
    <m/>
    <m/>
    <m/>
    <m/>
    <m/>
    <m/>
    <m/>
    <m/>
    <m/>
    <m/>
    <m/>
    <m/>
    <m/>
    <m/>
    <m/>
    <m/>
    <m/>
    <m/>
    <m/>
    <m/>
    <m/>
    <m/>
    <m/>
    <m/>
    <m/>
    <m/>
    <m/>
    <m/>
    <m/>
    <m/>
    <m/>
    <m/>
    <m/>
    <m/>
    <m/>
    <m/>
    <m/>
    <m/>
    <m/>
    <m/>
    <m/>
    <m/>
    <m/>
    <m/>
    <m/>
    <m/>
    <m/>
    <s v="0"/>
    <s v="0"/>
    <s v="0"/>
    <n v="0"/>
  </r>
  <r>
    <n v="2680280"/>
    <s v="Extrême-Nord"/>
    <s v="CMR004"/>
    <x v="5"/>
    <s v="CMR004006"/>
    <s v="Mayo-Moskota"/>
    <s v="CMR004006005"/>
    <s v="XXXX"/>
    <s v="SITE DE DZAMADZAF"/>
    <s v="SITE DE DZAMADZAF"/>
    <x v="1"/>
    <n v="10.944617900000001"/>
    <n v="13.8741992"/>
    <x v="1"/>
    <b v="0"/>
    <b v="1"/>
    <b v="1"/>
    <n v="6"/>
    <m/>
    <s v="Accessible"/>
    <m/>
    <s v="Le village accueille une population"/>
    <s v="Le village est intact (construit)"/>
    <m/>
    <m/>
    <s v="Oui"/>
    <s v="Sites de déplacement spontanés"/>
    <s v="Non, pas du tout"/>
    <m/>
    <m/>
    <n v="83"/>
    <n v="550"/>
    <s v="Oui"/>
    <s v="Premier déplacement"/>
    <n v="83"/>
    <n v="550"/>
    <n v="200"/>
    <n v="350"/>
    <n v="0"/>
    <n v="0"/>
    <n v="0"/>
    <n v="0"/>
    <m/>
    <m/>
    <n v="0"/>
    <n v="83"/>
    <s v="Pagne"/>
    <m/>
    <n v="0"/>
    <s v="Le village a 83 ménages pour 550 individus dont 350 femmes et 200 hommes qui sont venus de DZAMADZAF "/>
    <s v="Non"/>
    <m/>
    <m/>
    <m/>
    <m/>
    <m/>
    <m/>
    <m/>
    <m/>
    <m/>
    <m/>
    <m/>
    <m/>
    <m/>
    <m/>
    <m/>
    <s v="Non"/>
    <m/>
    <m/>
    <m/>
    <m/>
    <m/>
    <m/>
    <m/>
    <m/>
    <m/>
    <m/>
    <m/>
    <m/>
    <m/>
    <m/>
    <m/>
    <m/>
    <m/>
    <m/>
    <m/>
    <m/>
    <n v="0"/>
    <m/>
    <m/>
    <m/>
    <m/>
    <m/>
    <m/>
    <m/>
    <m/>
    <m/>
    <m/>
    <m/>
    <m/>
    <m/>
    <s v="1"/>
    <s v="0"/>
    <s v="0"/>
    <n v="1"/>
  </r>
  <r>
    <n v="2627584"/>
    <s v="Extrême-Nord"/>
    <s v="CMR004"/>
    <x v="5"/>
    <s v="CMR004006"/>
    <s v="Mayo-Moskota"/>
    <s v="CMR004006005"/>
    <s v="XXXX"/>
    <s v="SITE DE YAMGAZAYA"/>
    <s v="SITE DE YAMGAZAYA"/>
    <x v="1"/>
    <n v="10.9687687"/>
    <n v="13.9046591"/>
    <x v="1"/>
    <b v="1"/>
    <b v="0"/>
    <b v="1"/>
    <m/>
    <n v="3"/>
    <s v="Accessible"/>
    <m/>
    <s v="Le village accueille une population"/>
    <s v="Le village est intact (construit)"/>
    <m/>
    <m/>
    <s v="Oui"/>
    <s v="Sites de déplacement spontanés"/>
    <s v="Non, pas du tout"/>
    <m/>
    <m/>
    <n v="30"/>
    <n v="150"/>
    <s v="Oui"/>
    <s v="Premier déplacement"/>
    <n v="30"/>
    <n v="150"/>
    <n v="60"/>
    <n v="90"/>
    <n v="30"/>
    <n v="0"/>
    <n v="0"/>
    <n v="0"/>
    <m/>
    <m/>
    <n v="0"/>
    <n v="0"/>
    <m/>
    <m/>
    <n v="0"/>
    <s v="On 30 ménages pour 150 individus PDI dont 60 hommes et 90 femmes tous proviennent de YAMGAZAWA. Raison : conflit lié au BH."/>
    <s v="Non"/>
    <m/>
    <m/>
    <m/>
    <m/>
    <m/>
    <m/>
    <m/>
    <m/>
    <m/>
    <m/>
    <m/>
    <m/>
    <m/>
    <m/>
    <m/>
    <s v="Non"/>
    <m/>
    <m/>
    <m/>
    <m/>
    <m/>
    <m/>
    <m/>
    <m/>
    <m/>
    <m/>
    <m/>
    <m/>
    <m/>
    <m/>
    <m/>
    <m/>
    <m/>
    <m/>
    <m/>
    <m/>
    <n v="0"/>
    <m/>
    <m/>
    <m/>
    <m/>
    <m/>
    <m/>
    <m/>
    <m/>
    <m/>
    <m/>
    <m/>
    <m/>
    <m/>
    <s v="1"/>
    <s v="0"/>
    <s v="0"/>
    <n v="1"/>
  </r>
  <r>
    <n v="2590354"/>
    <s v="Extrême-Nord"/>
    <s v="CMR004"/>
    <x v="5"/>
    <s v="CMR004006"/>
    <s v="Mayo-Moskota"/>
    <s v="CMR004006005"/>
    <s v="MOZ-0021"/>
    <s v="ASSIGHASSIA"/>
    <m/>
    <x v="0"/>
    <s v="N/A"/>
    <s v="N/A"/>
    <x v="0"/>
    <b v="1"/>
    <b v="0"/>
    <b v="1"/>
    <m/>
    <n v="3"/>
    <s v="Inaccessible - insécurité"/>
    <m/>
    <s v="Le village accueille une population"/>
    <s v="Le village est partiellement détruit"/>
    <s v="Attaques armées"/>
    <m/>
    <s v="Oui"/>
    <s v="Familles d'accueil"/>
    <s v="Non, pas du tout"/>
    <s v="Non"/>
    <m/>
    <n v="5"/>
    <n v="10195"/>
    <s v="Oui"/>
    <s v="Deuxième déplacement"/>
    <n v="5"/>
    <n v="35"/>
    <n v="25"/>
    <n v="10"/>
    <n v="0"/>
    <n v="0"/>
    <n v="5"/>
    <n v="0"/>
    <m/>
    <m/>
    <n v="0"/>
    <n v="0"/>
    <m/>
    <m/>
    <n v="0"/>
    <s v="Le village est inaccessible physiquement à cause de l'insécurité mais j'ai eu à travailler avec le téléphone dont il y'a pas ajout d'individus Pdi mais plutôt des départs (individus hôtes :10 ménages pour 70individus hôtes dont 58 hommes et 12 femmes , plus individus PDI:5 ménagés pour 40 individus PDI dont 2hommes et 38femmes  ) de 15 ménages pour 110 individus dont 60 hommes et 50 femmes vers Talla-Katchi,Nguetchewe, kelari et Mozogo. Et 10 décès dont 6 hommes et 4 femmes et 5 naissances dont 4 garçons et 1 fille."/>
    <s v="Oui"/>
    <n v="520"/>
    <n v="3118"/>
    <n v="1379"/>
    <n v="1739"/>
    <n v="239"/>
    <n v="31"/>
    <n v="100"/>
    <s v="Chez une famille d'accueil (contre loyer)"/>
    <n v="0"/>
    <n v="150"/>
    <s v="Terre cuite/Terre battue"/>
    <m/>
    <n v="0"/>
    <n v="497"/>
    <s v="Il y'a eu augmentation de 210 individus réfugiés pour 23 ménages dont 95 hommes et 115 femmes en provenance de Nigeria  (Kano, Maidougourie ). Raison :conflit lié au Bh. Tous vivent dans une famille d'accueil."/>
    <s v="Oui"/>
    <n v="1021"/>
    <n v="7942"/>
    <n v="3923"/>
    <n v="4019"/>
    <s v="Entre 1 et 5 ans"/>
    <n v="273"/>
    <n v="638"/>
    <n v="110"/>
    <n v="0"/>
    <n v="0"/>
    <m/>
    <n v="0"/>
    <n v="0"/>
    <m/>
    <n v="0"/>
    <m/>
    <m/>
    <m/>
    <m/>
    <m/>
    <n v="0"/>
    <m/>
    <m/>
    <m/>
    <m/>
    <m/>
    <m/>
    <m/>
    <m/>
    <m/>
    <m/>
    <m/>
    <m/>
    <m/>
    <s v="1"/>
    <s v="1"/>
    <s v="1"/>
    <n v="3"/>
  </r>
  <r>
    <n v="2643501"/>
    <s v="Extrême-Nord"/>
    <s v="CMR004"/>
    <x v="5"/>
    <s v="CMR004006"/>
    <s v="Mayo-Moskota"/>
    <s v="CMR004006005"/>
    <s v="MOZ-0008"/>
    <s v="DEKERE CENTRE"/>
    <m/>
    <x v="1"/>
    <n v="10.962313099999999"/>
    <n v="13.9028543"/>
    <x v="0"/>
    <b v="1"/>
    <b v="0"/>
    <b v="0"/>
    <m/>
    <n v="3"/>
    <s v="Accessible"/>
    <m/>
    <s v="Le village accueille une population"/>
    <s v="Le village est intact (construit)"/>
    <m/>
    <m/>
    <s v="Oui"/>
    <s v="Familles d'accueil"/>
    <s v="Non, pas du tout"/>
    <s v="Non"/>
    <m/>
    <n v="108"/>
    <n v="4413"/>
    <s v="Oui"/>
    <s v="Premier déplacement"/>
    <n v="108"/>
    <n v="500"/>
    <n v="215"/>
    <n v="285"/>
    <n v="0"/>
    <n v="106"/>
    <n v="2"/>
    <n v="0"/>
    <m/>
    <m/>
    <n v="0"/>
    <n v="0"/>
    <m/>
    <m/>
    <n v="0"/>
    <s v="Ajout de 9 ménages pour 27 individus en provenance de Gokoro tous dans les familles d'accueil suite à l'insécurité dans la zone.et on enregistre 5 naissance. "/>
    <s v="Oui"/>
    <n v="20"/>
    <n v="102"/>
    <n v="42"/>
    <n v="60"/>
    <n v="0"/>
    <n v="0"/>
    <n v="0"/>
    <m/>
    <n v="0"/>
    <n v="20"/>
    <s v="Terre cuite/Terre battue"/>
    <m/>
    <n v="0"/>
    <n v="0"/>
    <s v="Pas de changement "/>
    <s v="Oui"/>
    <n v="4"/>
    <n v="4"/>
    <n v="4"/>
    <n v="0"/>
    <s v="Entre 3 mois et 1 an"/>
    <n v="0"/>
    <n v="4"/>
    <n v="0"/>
    <n v="0"/>
    <n v="0"/>
    <m/>
    <n v="0"/>
    <n v="0"/>
    <m/>
    <n v="0"/>
    <m/>
    <m/>
    <m/>
    <m/>
    <m/>
    <n v="0"/>
    <m/>
    <m/>
    <m/>
    <m/>
    <m/>
    <m/>
    <m/>
    <m/>
    <m/>
    <m/>
    <m/>
    <m/>
    <m/>
    <s v="1"/>
    <s v="1"/>
    <s v="1"/>
    <n v="3"/>
  </r>
  <r>
    <n v="2643511"/>
    <s v="Extrême-Nord"/>
    <s v="CMR004"/>
    <x v="5"/>
    <s v="CMR004006"/>
    <s v="Mayo-Moskota"/>
    <s v="CMR004006005"/>
    <s v="MOZ-0032"/>
    <s v="DEKERE SITE"/>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3517"/>
    <s v="Extrême-Nord"/>
    <s v="CMR004"/>
    <x v="5"/>
    <s v="CMR004006"/>
    <s v="Mayo-Moskota"/>
    <s v="CMR004006005"/>
    <s v="MOZ-0036"/>
    <s v="DJIBRILLI"/>
    <m/>
    <x v="1"/>
    <s v="N/A"/>
    <s v="N/A"/>
    <x v="0"/>
    <b v="1"/>
    <b v="0"/>
    <b v="0"/>
    <m/>
    <n v="3"/>
    <s v="Inaccessible - interdit par l'armée"/>
    <m/>
    <s v="Le village accueille une population"/>
    <s v="Le village est partiellement détruit"/>
    <s v="Attaques armées"/>
    <m/>
    <s v="Oui"/>
    <s v="Familles d'accueil"/>
    <s v="Non, pas du tout"/>
    <s v="Non"/>
    <m/>
    <n v="90"/>
    <n v="1037"/>
    <s v="Oui"/>
    <s v="Premier déplacement"/>
    <n v="90"/>
    <n v="544"/>
    <n v="256"/>
    <n v="288"/>
    <n v="0"/>
    <n v="90"/>
    <n v="0"/>
    <n v="0"/>
    <m/>
    <m/>
    <n v="0"/>
    <n v="0"/>
    <m/>
    <m/>
    <n v="0"/>
    <s v="Départ de 4 ménages pour 37 inds parti pour mozogo, nguetchewe suite au attaques des BH. "/>
    <s v="Non"/>
    <m/>
    <m/>
    <m/>
    <m/>
    <m/>
    <m/>
    <m/>
    <m/>
    <m/>
    <m/>
    <m/>
    <m/>
    <m/>
    <m/>
    <m/>
    <s v="Non"/>
    <m/>
    <m/>
    <m/>
    <m/>
    <m/>
    <m/>
    <m/>
    <m/>
    <m/>
    <m/>
    <m/>
    <m/>
    <m/>
    <m/>
    <m/>
    <m/>
    <m/>
    <m/>
    <m/>
    <m/>
    <n v="0"/>
    <m/>
    <m/>
    <m/>
    <m/>
    <m/>
    <m/>
    <m/>
    <m/>
    <m/>
    <m/>
    <m/>
    <m/>
    <m/>
    <s v="1"/>
    <s v="0"/>
    <s v="0"/>
    <n v="1"/>
  </r>
  <r>
    <n v="2585676"/>
    <s v="Extrême-Nord"/>
    <s v="CMR004"/>
    <x v="5"/>
    <s v="CMR004006"/>
    <s v="Mayo-Moskota"/>
    <s v="CMR004006005"/>
    <s v="MOZ-0016"/>
    <s v="DZAMADZAF"/>
    <m/>
    <x v="1"/>
    <n v="10.952090500000001"/>
    <n v="13.8522441"/>
    <x v="0"/>
    <b v="0"/>
    <b v="0"/>
    <b v="1"/>
    <m/>
    <m/>
    <s v="Accessible"/>
    <m/>
    <s v="Le village est entièrement déserté"/>
    <m/>
    <m/>
    <m/>
    <m/>
    <m/>
    <m/>
    <m/>
    <m/>
    <m/>
    <m/>
    <m/>
    <m/>
    <m/>
    <m/>
    <m/>
    <m/>
    <m/>
    <m/>
    <m/>
    <m/>
    <m/>
    <m/>
    <m/>
    <m/>
    <m/>
    <m/>
    <m/>
    <m/>
    <m/>
    <m/>
    <m/>
    <m/>
    <m/>
    <m/>
    <m/>
    <m/>
    <m/>
    <m/>
    <m/>
    <m/>
    <m/>
    <m/>
    <m/>
    <m/>
    <m/>
    <m/>
    <m/>
    <m/>
    <m/>
    <m/>
    <m/>
    <m/>
    <m/>
    <m/>
    <m/>
    <m/>
    <m/>
    <m/>
    <m/>
    <m/>
    <m/>
    <m/>
    <m/>
    <m/>
    <m/>
    <m/>
    <m/>
    <m/>
    <m/>
    <m/>
    <m/>
    <m/>
    <m/>
    <m/>
    <m/>
    <m/>
    <m/>
    <m/>
    <m/>
    <s v="0"/>
    <s v="0"/>
    <s v="0"/>
    <n v="0"/>
  </r>
  <r>
    <n v="2632286"/>
    <s v="Extrême-Nord"/>
    <s v="CMR004"/>
    <x v="5"/>
    <s v="CMR004006"/>
    <s v="Mayo-Moskota"/>
    <s v="CMR004006005"/>
    <s v="MOZ-0034"/>
    <s v="GODZ-GODZON"/>
    <m/>
    <x v="1"/>
    <n v="10.950670300000001"/>
    <n v="13.8644157"/>
    <x v="0"/>
    <b v="1"/>
    <b v="0"/>
    <b v="0"/>
    <m/>
    <n v="3"/>
    <s v="Accessible"/>
    <m/>
    <s v="Le village accueille une population"/>
    <s v="Le village est intact (construit)"/>
    <m/>
    <m/>
    <s v="Oui"/>
    <s v="Familles d'accueil"/>
    <s v="Non, pas du tout"/>
    <s v="Non"/>
    <m/>
    <n v="62"/>
    <n v="1445"/>
    <s v="Oui"/>
    <s v="Premier déplacement"/>
    <n v="62"/>
    <n v="361"/>
    <n v="121"/>
    <n v="240"/>
    <n v="0"/>
    <n v="62"/>
    <n v="0"/>
    <n v="0"/>
    <m/>
    <m/>
    <n v="0"/>
    <n v="0"/>
    <m/>
    <m/>
    <n v="0"/>
    <s v="Ajout de 11 ménages pour 80 inds en provenance de krawa-mafa et  dzamadzaf suite à l'insécurité tous dans les familles d'accueil. "/>
    <s v="Non"/>
    <m/>
    <m/>
    <m/>
    <m/>
    <m/>
    <m/>
    <m/>
    <m/>
    <m/>
    <m/>
    <m/>
    <m/>
    <m/>
    <m/>
    <m/>
    <s v="Oui"/>
    <n v="20"/>
    <n v="135"/>
    <n v="45"/>
    <n v="90"/>
    <s v="5 ans ou plus"/>
    <n v="0"/>
    <n v="20"/>
    <n v="0"/>
    <n v="0"/>
    <n v="0"/>
    <m/>
    <n v="0"/>
    <n v="0"/>
    <m/>
    <n v="0"/>
    <m/>
    <m/>
    <m/>
    <m/>
    <m/>
    <n v="0"/>
    <m/>
    <m/>
    <m/>
    <m/>
    <m/>
    <m/>
    <m/>
    <m/>
    <m/>
    <m/>
    <m/>
    <m/>
    <m/>
    <s v="1"/>
    <s v="0"/>
    <s v="1"/>
    <n v="2"/>
  </r>
  <r>
    <n v="2632288"/>
    <s v="Extrême-Nord"/>
    <s v="CMR004"/>
    <x v="5"/>
    <s v="CMR004006"/>
    <s v="Mayo-Moskota"/>
    <s v="CMR004006005"/>
    <s v="MOZ-0001"/>
    <s v="GOKORO"/>
    <m/>
    <x v="1"/>
    <n v="11.003641"/>
    <n v="13.9521595"/>
    <x v="0"/>
    <b v="1"/>
    <b v="0"/>
    <b v="0"/>
    <m/>
    <n v="3"/>
    <s v="Accessible"/>
    <m/>
    <s v="Le village est déserté la nuit"/>
    <s v="Le village est partiellement détruit"/>
    <s v="Attaques armées"/>
    <m/>
    <s v="Oui"/>
    <s v="Familles d'accueil"/>
    <s v="Non, pas du tout"/>
    <s v="Non"/>
    <m/>
    <n v="116"/>
    <n v="2430"/>
    <s v="Oui"/>
    <s v="Premier déplacement"/>
    <n v="116"/>
    <n v="559"/>
    <n v="193"/>
    <n v="366"/>
    <n v="0"/>
    <n v="91"/>
    <n v="0"/>
    <n v="0"/>
    <m/>
    <m/>
    <n v="15"/>
    <n v="10"/>
    <s v="Terre cuite/Terre battue"/>
    <m/>
    <n v="0"/>
    <s v="Départ de 7 ménages pour 48 inds parti pour mozogo centre suite à l'insécurité. "/>
    <s v="Non"/>
    <m/>
    <m/>
    <m/>
    <m/>
    <m/>
    <m/>
    <m/>
    <m/>
    <m/>
    <m/>
    <m/>
    <m/>
    <m/>
    <m/>
    <m/>
    <s v="Oui"/>
    <n v="66"/>
    <n v="367"/>
    <n v="177"/>
    <n v="190"/>
    <s v="5 ans ou plus"/>
    <n v="0"/>
    <n v="66"/>
    <n v="0"/>
    <n v="0"/>
    <n v="0"/>
    <m/>
    <n v="0"/>
    <n v="0"/>
    <m/>
    <n v="0"/>
    <m/>
    <m/>
    <m/>
    <m/>
    <m/>
    <n v="0"/>
    <m/>
    <m/>
    <m/>
    <m/>
    <m/>
    <m/>
    <m/>
    <m/>
    <m/>
    <m/>
    <m/>
    <m/>
    <m/>
    <s v="1"/>
    <s v="0"/>
    <s v="1"/>
    <n v="2"/>
  </r>
  <r>
    <n v="2606054"/>
    <s v="Extrême-Nord"/>
    <s v="CMR004"/>
    <x v="5"/>
    <s v="CMR004006"/>
    <s v="Mayo-Moskota"/>
    <s v="CMR004006005"/>
    <s v="MOZ-0022"/>
    <s v="GOLDAVI"/>
    <m/>
    <x v="0"/>
    <n v="11.0381663"/>
    <n v="13.9488456"/>
    <x v="0"/>
    <b v="1"/>
    <b v="0"/>
    <b v="0"/>
    <m/>
    <n v="3"/>
    <s v="Accessible"/>
    <m/>
    <s v="Le village accueille une population"/>
    <s v="Le village est intact (construit)"/>
    <m/>
    <m/>
    <s v="Oui"/>
    <s v="Familles d'accueil"/>
    <s v="Location"/>
    <s v="Non"/>
    <m/>
    <n v="74"/>
    <n v="6012"/>
    <s v="Oui"/>
    <s v="Premier déplacement"/>
    <n v="74"/>
    <n v="300"/>
    <n v="112"/>
    <n v="188"/>
    <n v="0"/>
    <n v="68"/>
    <n v="0"/>
    <n v="6"/>
    <s v="Chez une famille d'accueil (contre loyer)"/>
    <m/>
    <n v="0"/>
    <n v="0"/>
    <m/>
    <m/>
    <n v="0"/>
    <s v="Ajout de 20 ménages pour 84 individus dont 54 femmes et 30 hommes en provenance de TALLA_KATCHI, tous en famille d'accueil. 10 naissances dont 6 filles et 4 garçons et 03 décès  ( hommes ) qui sont venus avant 2020 "/>
    <s v="Oui"/>
    <n v="2"/>
    <n v="5"/>
    <n v="2"/>
    <n v="3"/>
    <n v="2"/>
    <n v="0"/>
    <n v="0"/>
    <m/>
    <n v="0"/>
    <n v="0"/>
    <m/>
    <m/>
    <n v="0"/>
    <n v="0"/>
    <s v="Ajout de 02 ménages pour 05 individus en provenance de ADAMAWA au Nigéria dont 03 femmes et 02 hommes "/>
    <s v="Oui"/>
    <n v="64"/>
    <n v="329"/>
    <n v="150"/>
    <n v="179"/>
    <s v="Entre 1 et 5 ans"/>
    <n v="0"/>
    <n v="24"/>
    <n v="40"/>
    <n v="0"/>
    <n v="0"/>
    <m/>
    <n v="0"/>
    <n v="0"/>
    <m/>
    <n v="0"/>
    <m/>
    <m/>
    <m/>
    <m/>
    <m/>
    <n v="0"/>
    <m/>
    <m/>
    <m/>
    <m/>
    <m/>
    <m/>
    <m/>
    <m/>
    <m/>
    <m/>
    <m/>
    <m/>
    <m/>
    <s v="1"/>
    <s v="1"/>
    <s v="1"/>
    <n v="3"/>
  </r>
  <r>
    <n v="2585677"/>
    <s v="Extrême-Nord"/>
    <s v="CMR004"/>
    <x v="5"/>
    <s v="CMR004006"/>
    <s v="Mayo-Moskota"/>
    <s v="CMR004006005"/>
    <s v="MOZ-0002"/>
    <s v="GOLKIDAYE"/>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32285"/>
    <s v="Extrême-Nord"/>
    <s v="CMR004"/>
    <x v="5"/>
    <s v="CMR004006"/>
    <s v="Mayo-Moskota"/>
    <s v="CMR004006005"/>
    <s v="MOZ-0017"/>
    <s v="HITERE"/>
    <m/>
    <x v="1"/>
    <n v="10.933218999999999"/>
    <n v="13.805316700000001"/>
    <x v="0"/>
    <b v="1"/>
    <b v="0"/>
    <b v="1"/>
    <m/>
    <n v="3"/>
    <s v="Accessible"/>
    <m/>
    <s v="Le village est entièrement déserté"/>
    <m/>
    <m/>
    <m/>
    <m/>
    <m/>
    <m/>
    <m/>
    <m/>
    <m/>
    <m/>
    <m/>
    <m/>
    <m/>
    <m/>
    <m/>
    <m/>
    <m/>
    <m/>
    <m/>
    <m/>
    <m/>
    <m/>
    <m/>
    <m/>
    <m/>
    <m/>
    <m/>
    <m/>
    <m/>
    <m/>
    <m/>
    <m/>
    <m/>
    <m/>
    <m/>
    <m/>
    <m/>
    <m/>
    <m/>
    <m/>
    <m/>
    <m/>
    <m/>
    <m/>
    <m/>
    <m/>
    <m/>
    <m/>
    <m/>
    <m/>
    <m/>
    <m/>
    <m/>
    <m/>
    <m/>
    <m/>
    <m/>
    <m/>
    <m/>
    <m/>
    <m/>
    <m/>
    <m/>
    <m/>
    <m/>
    <m/>
    <m/>
    <m/>
    <m/>
    <m/>
    <m/>
    <m/>
    <m/>
    <m/>
    <m/>
    <m/>
    <m/>
    <m/>
    <m/>
    <s v="0"/>
    <s v="0"/>
    <s v="0"/>
    <n v="0"/>
  </r>
  <r>
    <n v="2695392"/>
    <s v="Extrême-Nord"/>
    <s v="CMR004"/>
    <x v="5"/>
    <s v="CMR004006"/>
    <s v="Mayo-Moskota"/>
    <s v="CMR004006005"/>
    <s v="MOZ-0035"/>
    <s v="HOUDGOLOUM"/>
    <m/>
    <x v="1"/>
    <n v="10.9244334"/>
    <n v="13.908202599999999"/>
    <x v="0"/>
    <b v="1"/>
    <b v="0"/>
    <b v="1"/>
    <m/>
    <n v="3"/>
    <s v="Accessible"/>
    <m/>
    <s v="Le village accueille une population"/>
    <s v="Le village est partiellement détruit"/>
    <s v="Attaques armées"/>
    <m/>
    <s v="Oui"/>
    <s v="Familles d'accueil"/>
    <s v="Location"/>
    <s v="Non"/>
    <m/>
    <n v="19"/>
    <n v="327"/>
    <s v="Oui"/>
    <s v="Deuxième déplacement"/>
    <n v="19"/>
    <n v="129"/>
    <n v="57"/>
    <n v="72"/>
    <n v="6"/>
    <n v="13"/>
    <n v="0"/>
    <n v="0"/>
    <m/>
    <m/>
    <n v="0"/>
    <n v="0"/>
    <m/>
    <m/>
    <n v="0"/>
    <s v="Ajout de 3 ménages pour 13 individus en provenance de  tabla katchi"/>
    <s v="Non"/>
    <m/>
    <m/>
    <m/>
    <m/>
    <m/>
    <m/>
    <m/>
    <m/>
    <m/>
    <m/>
    <m/>
    <m/>
    <m/>
    <m/>
    <m/>
    <s v="Oui"/>
    <n v="16"/>
    <n v="126"/>
    <n v="51"/>
    <n v="75"/>
    <s v="Entre 1 et 5 ans"/>
    <n v="6"/>
    <n v="3"/>
    <n v="7"/>
    <n v="0"/>
    <n v="0"/>
    <m/>
    <n v="0"/>
    <n v="0"/>
    <m/>
    <n v="0"/>
    <m/>
    <m/>
    <m/>
    <m/>
    <m/>
    <n v="0"/>
    <m/>
    <m/>
    <m/>
    <m/>
    <m/>
    <m/>
    <m/>
    <m/>
    <m/>
    <m/>
    <m/>
    <m/>
    <m/>
    <s v="1"/>
    <s v="0"/>
    <s v="1"/>
    <n v="2"/>
  </r>
  <r>
    <n v="2666742"/>
    <s v="Extrême-Nord"/>
    <s v="CMR004"/>
    <x v="5"/>
    <s v="CMR004006"/>
    <s v="Mayo-Moskota"/>
    <s v="CMR004006005"/>
    <s v="MOZ-0003"/>
    <s v="KARAZAWA"/>
    <m/>
    <x v="1"/>
    <n v="10.9361861"/>
    <n v="13.9201227"/>
    <x v="0"/>
    <b v="1"/>
    <b v="0"/>
    <b v="1"/>
    <m/>
    <n v="3"/>
    <s v="Accessible"/>
    <m/>
    <s v="Le village accueille une population"/>
    <s v="Le village est intact (construit)"/>
    <m/>
    <m/>
    <s v="Oui"/>
    <s v="Familles d'accueil"/>
    <s v="Non, pas du tout"/>
    <s v="Non"/>
    <m/>
    <n v="115"/>
    <n v="962"/>
    <s v="Oui"/>
    <s v="Premier déplacement"/>
    <n v="115"/>
    <n v="485"/>
    <n v="238"/>
    <n v="247"/>
    <n v="11"/>
    <n v="94"/>
    <n v="0"/>
    <n v="10"/>
    <s v="Chez une famille d'accueil (contre loyer)"/>
    <m/>
    <n v="0"/>
    <n v="0"/>
    <m/>
    <m/>
    <n v="0"/>
    <s v="Ajout de 50 ménages pour 150 individus dont 80 femmes et 70 hommes en provenance de ASSIGHASSIA , GOKORO, TALLA_KATCHI et NGUETCHEWE"/>
    <s v="Non"/>
    <m/>
    <m/>
    <m/>
    <m/>
    <m/>
    <m/>
    <m/>
    <m/>
    <m/>
    <m/>
    <m/>
    <m/>
    <m/>
    <m/>
    <m/>
    <s v="Oui"/>
    <n v="13"/>
    <n v="68"/>
    <n v="38"/>
    <n v="30"/>
    <s v="5 ans ou plus"/>
    <n v="13"/>
    <n v="0"/>
    <n v="0"/>
    <n v="0"/>
    <n v="0"/>
    <m/>
    <n v="0"/>
    <n v="0"/>
    <m/>
    <n v="0"/>
    <m/>
    <m/>
    <m/>
    <m/>
    <m/>
    <n v="0"/>
    <m/>
    <m/>
    <m/>
    <m/>
    <m/>
    <m/>
    <m/>
    <m/>
    <m/>
    <m/>
    <m/>
    <m/>
    <m/>
    <s v="1"/>
    <s v="0"/>
    <s v="1"/>
    <n v="2"/>
  </r>
  <r>
    <n v="2617005"/>
    <s v="Extrême-Nord"/>
    <s v="CMR004"/>
    <x v="5"/>
    <s v="CMR004006"/>
    <s v="Mayo-Moskota"/>
    <s v="CMR004006005"/>
    <s v="MOZ-0004"/>
    <s v="KELARI"/>
    <m/>
    <x v="1"/>
    <n v="11.0085029"/>
    <n v="13.9437868"/>
    <x v="0"/>
    <b v="1"/>
    <b v="1"/>
    <b v="1"/>
    <n v="12"/>
    <n v="4"/>
    <s v="Accessible"/>
    <m/>
    <s v="Le village accueille une population"/>
    <s v="Le village est partiellement détruit"/>
    <s v="Attaques armées"/>
    <m/>
    <s v="Oui"/>
    <s v="Familles d'accueil"/>
    <s v="Non, pas du tout"/>
    <s v="Non"/>
    <m/>
    <n v="60"/>
    <n v="786"/>
    <s v="Oui"/>
    <s v="Deuxième déplacement"/>
    <n v="60"/>
    <n v="286"/>
    <n v="102"/>
    <n v="184"/>
    <n v="0"/>
    <n v="44"/>
    <n v="0"/>
    <n v="0"/>
    <m/>
    <m/>
    <n v="0"/>
    <n v="0"/>
    <m/>
    <m/>
    <n v="16"/>
    <s v="Il y'a augmentation de 12 ménages pour 30 individus dont 10 hommes et 20 femmes en provenance de Talla-katchi, Maibogorie.Raison:conflit lié au BH. Et 2 décès dont 1 femme et 1 homme plus 6 naissances dont 4 garçons et 2 filles. Tous vivent dans une famille d'accueil."/>
    <s v="Oui"/>
    <n v="5"/>
    <n v="63"/>
    <n v="23"/>
    <n v="40"/>
    <n v="0"/>
    <n v="0"/>
    <n v="0"/>
    <m/>
    <n v="0"/>
    <n v="0"/>
    <m/>
    <m/>
    <n v="5"/>
    <n v="5"/>
    <s v="Pas des modifications."/>
    <s v="Oui"/>
    <n v="27"/>
    <n v="123"/>
    <n v="59"/>
    <n v="64"/>
    <s v="Entre 1 et 5 ans"/>
    <n v="0"/>
    <n v="27"/>
    <n v="0"/>
    <n v="0"/>
    <n v="0"/>
    <m/>
    <n v="0"/>
    <n v="0"/>
    <m/>
    <n v="0"/>
    <m/>
    <m/>
    <m/>
    <m/>
    <m/>
    <n v="2"/>
    <m/>
    <m/>
    <m/>
    <m/>
    <m/>
    <m/>
    <m/>
    <m/>
    <m/>
    <m/>
    <m/>
    <m/>
    <m/>
    <s v="1"/>
    <s v="1"/>
    <s v="1"/>
    <n v="3"/>
  </r>
  <r>
    <n v="2643498"/>
    <s v="Extrême-Nord"/>
    <s v="CMR004"/>
    <x v="5"/>
    <s v="CMR004006"/>
    <s v="Mayo-Moskota"/>
    <s v="CMR004006005"/>
    <s v="MOZ-0005"/>
    <s v="KORSAMBA"/>
    <m/>
    <x v="1"/>
    <n v="11.0020825"/>
    <n v="13.948533299999999"/>
    <x v="0"/>
    <b v="1"/>
    <b v="0"/>
    <b v="0"/>
    <m/>
    <n v="3"/>
    <s v="Accessible"/>
    <m/>
    <s v="Le village accueille une population"/>
    <s v="Le village est intact (construit)"/>
    <m/>
    <m/>
    <s v="Oui"/>
    <s v="Familles d'accueil"/>
    <s v="Non, pas du tout"/>
    <s v="Non"/>
    <m/>
    <n v="101"/>
    <n v="3018"/>
    <s v="Oui"/>
    <s v="Premier déplacement"/>
    <n v="101"/>
    <n v="482"/>
    <n v="177"/>
    <n v="305"/>
    <n v="7"/>
    <n v="73"/>
    <n v="5"/>
    <n v="0"/>
    <m/>
    <m/>
    <n v="0"/>
    <n v="16"/>
    <s v="Terre cuite/Terre battue"/>
    <m/>
    <n v="0"/>
    <s v="Ajout de 12 ménages pour 73 inds en provenance de Gokoro, Talla-katchi, kouyape, goldavi suite à l'insécurité tous dans les familles d'accueil, et on enregistre 25 naissance et 1 décè."/>
    <s v="Oui"/>
    <n v="16"/>
    <n v="73"/>
    <n v="23"/>
    <n v="50"/>
    <n v="16"/>
    <n v="0"/>
    <n v="0"/>
    <m/>
    <n v="0"/>
    <n v="0"/>
    <m/>
    <m/>
    <n v="0"/>
    <n v="0"/>
    <s v="Ajout de 16 ménages pour 73 inds en provenance de de Talla-katchi il son a leur 3ème déplacement tous dans les familles d'accueil. "/>
    <s v="Oui"/>
    <n v="29"/>
    <n v="143"/>
    <n v="89"/>
    <n v="54"/>
    <s v="Entre 1 et 5 ans"/>
    <n v="20"/>
    <n v="9"/>
    <n v="0"/>
    <n v="0"/>
    <n v="0"/>
    <m/>
    <n v="0"/>
    <n v="0"/>
    <m/>
    <n v="0"/>
    <m/>
    <m/>
    <m/>
    <m/>
    <m/>
    <n v="0"/>
    <m/>
    <m/>
    <m/>
    <m/>
    <m/>
    <m/>
    <m/>
    <m/>
    <m/>
    <m/>
    <m/>
    <m/>
    <m/>
    <s v="1"/>
    <s v="1"/>
    <s v="1"/>
    <n v="3"/>
  </r>
  <r>
    <n v="2617004"/>
    <s v="Extrême-Nord"/>
    <s v="CMR004"/>
    <x v="5"/>
    <s v="CMR004006"/>
    <s v="Mayo-Moskota"/>
    <s v="CMR004006005"/>
    <s v="MOZ-0018"/>
    <s v="KRAWA-MAFA"/>
    <m/>
    <x v="1"/>
    <s v="N/A"/>
    <s v="N/A"/>
    <x v="0"/>
    <b v="1"/>
    <b v="0"/>
    <b v="1"/>
    <m/>
    <n v="3"/>
    <s v="Inaccessible - insécurité"/>
    <m/>
    <s v="Le village accueille une population"/>
    <s v="Le village est totalement détruit"/>
    <s v="Attaques armées"/>
    <m/>
    <s v="Oui"/>
    <s v="Familles d'accueil"/>
    <s v="Air libre"/>
    <s v="Non"/>
    <m/>
    <n v="121"/>
    <n v="600"/>
    <s v="Oui"/>
    <s v="Troisième déplacement"/>
    <n v="121"/>
    <n v="527"/>
    <n v="232"/>
    <n v="295"/>
    <n v="32"/>
    <n v="89"/>
    <n v="0"/>
    <n v="0"/>
    <m/>
    <m/>
    <n v="0"/>
    <n v="0"/>
    <m/>
    <m/>
    <n v="0"/>
    <s v="Le village est inaccessible à cause de l'insécurité, mais j'ai eu à  travailler par téléphone donc il y 'a eu départ de 26 ménages pour 280 individus dont 110 hommes et 170 femmes parmi lesquels  ( 18 ménages pour 196 individus PDI dont 68 hommes et 128 femmes et 8 ménages hôtes pour 84 individus dont 21 hommes et 63 femmes )Tous émergeant vers Koza,Moskota centre, Moundougoua, Woulad, Ouzal."/>
    <s v="Oui"/>
    <n v="15"/>
    <n v="76"/>
    <n v="33"/>
    <n v="43"/>
    <n v="10"/>
    <n v="0"/>
    <n v="5"/>
    <s v="Chez une famille d'accueil (contre loyer)"/>
    <n v="0"/>
    <n v="0"/>
    <m/>
    <m/>
    <n v="0"/>
    <n v="15"/>
    <s v="Pas de changement."/>
    <s v="Oui"/>
    <n v="33"/>
    <n v="185"/>
    <n v="85"/>
    <n v="100"/>
    <s v="Entre 1 et 5 ans"/>
    <n v="33"/>
    <n v="0"/>
    <n v="0"/>
    <n v="0"/>
    <n v="0"/>
    <m/>
    <n v="0"/>
    <n v="0"/>
    <m/>
    <n v="0"/>
    <m/>
    <m/>
    <m/>
    <m/>
    <m/>
    <n v="0"/>
    <m/>
    <m/>
    <m/>
    <m/>
    <m/>
    <m/>
    <m/>
    <m/>
    <m/>
    <m/>
    <m/>
    <m/>
    <m/>
    <s v="1"/>
    <s v="1"/>
    <s v="1"/>
    <n v="3"/>
  </r>
  <r>
    <n v="2672446"/>
    <s v="Extrême-Nord"/>
    <s v="CMR004"/>
    <x v="5"/>
    <s v="CMR004006"/>
    <s v="Mayo-Moskota"/>
    <s v="CMR004006005"/>
    <s v="MOZ-0040"/>
    <s v="LDAODZAF"/>
    <m/>
    <x v="1"/>
    <s v="N/A"/>
    <s v="N/A"/>
    <x v="0"/>
    <b v="1"/>
    <b v="0"/>
    <b v="1"/>
    <m/>
    <n v="3"/>
    <s v="Inaccessible - interdit par l'armée"/>
    <m/>
    <s v="Le village accueille une population"/>
    <s v="Le village est totalement détruit"/>
    <s v="Attaques armées"/>
    <m/>
    <s v="Non"/>
    <m/>
    <m/>
    <m/>
    <m/>
    <m/>
    <m/>
    <m/>
    <m/>
    <m/>
    <m/>
    <m/>
    <m/>
    <m/>
    <m/>
    <m/>
    <m/>
    <m/>
    <m/>
    <m/>
    <m/>
    <m/>
    <m/>
    <m/>
    <m/>
    <m/>
    <m/>
    <m/>
    <m/>
    <m/>
    <m/>
    <m/>
    <m/>
    <m/>
    <m/>
    <m/>
    <m/>
    <m/>
    <m/>
    <m/>
    <m/>
    <m/>
    <m/>
    <m/>
    <m/>
    <m/>
    <m/>
    <m/>
    <m/>
    <m/>
    <m/>
    <m/>
    <m/>
    <m/>
    <m/>
    <m/>
    <m/>
    <m/>
    <m/>
    <m/>
    <m/>
    <m/>
    <m/>
    <m/>
    <m/>
    <m/>
    <m/>
    <m/>
    <m/>
    <m/>
    <m/>
    <m/>
    <m/>
    <m/>
    <m/>
    <m/>
    <s v="0"/>
    <s v="0"/>
    <s v="0"/>
    <n v="0"/>
  </r>
  <r>
    <n v="2618442"/>
    <s v="Extrême-Nord"/>
    <s v="CMR004"/>
    <x v="5"/>
    <s v="CMR004006"/>
    <s v="Mayo-Moskota"/>
    <s v="CMR004006005"/>
    <s v="MOZ-0020"/>
    <s v="MADAKAR"/>
    <m/>
    <x v="1"/>
    <s v="N/A"/>
    <s v="N/A"/>
    <x v="0"/>
    <b v="1"/>
    <b v="0"/>
    <b v="1"/>
    <m/>
    <n v="3"/>
    <s v="Inaccessible - insécurité"/>
    <m/>
    <s v="Le village est entièrement déserté"/>
    <m/>
    <m/>
    <m/>
    <m/>
    <m/>
    <m/>
    <m/>
    <m/>
    <m/>
    <m/>
    <m/>
    <m/>
    <m/>
    <m/>
    <m/>
    <m/>
    <m/>
    <m/>
    <m/>
    <m/>
    <m/>
    <m/>
    <m/>
    <m/>
    <m/>
    <m/>
    <m/>
    <m/>
    <m/>
    <m/>
    <m/>
    <m/>
    <m/>
    <m/>
    <m/>
    <m/>
    <m/>
    <m/>
    <m/>
    <m/>
    <m/>
    <m/>
    <m/>
    <m/>
    <m/>
    <m/>
    <m/>
    <m/>
    <m/>
    <m/>
    <m/>
    <m/>
    <m/>
    <m/>
    <m/>
    <m/>
    <m/>
    <m/>
    <m/>
    <m/>
    <m/>
    <m/>
    <m/>
    <m/>
    <m/>
    <m/>
    <m/>
    <m/>
    <m/>
    <m/>
    <m/>
    <m/>
    <m/>
    <m/>
    <m/>
    <m/>
    <m/>
    <m/>
    <m/>
    <s v="0"/>
    <s v="0"/>
    <s v="0"/>
    <n v="0"/>
  </r>
  <r>
    <n v="2632284"/>
    <s v="Extrême-Nord"/>
    <s v="CMR004"/>
    <x v="5"/>
    <s v="CMR004006"/>
    <s v="Mayo-Moskota"/>
    <s v="CMR004006005"/>
    <s v="MOZ-0013"/>
    <s v="MANDOUSSA"/>
    <m/>
    <x v="0"/>
    <n v="10.918923599999999"/>
    <n v="13.825269199999999"/>
    <x v="0"/>
    <b v="1"/>
    <b v="0"/>
    <b v="0"/>
    <m/>
    <n v="3"/>
    <s v="Accessible"/>
    <m/>
    <s v="Le village accueille une population"/>
    <s v="Le village est intact (construit)"/>
    <m/>
    <m/>
    <s v="Oui"/>
    <s v="Familles d'accueil"/>
    <s v="Non, pas du tout"/>
    <s v="Non"/>
    <m/>
    <n v="13"/>
    <n v="8039"/>
    <s v="Oui"/>
    <s v="Premier déplacement"/>
    <n v="13"/>
    <n v="176"/>
    <n v="54"/>
    <n v="122"/>
    <n v="0"/>
    <n v="13"/>
    <n v="0"/>
    <n v="0"/>
    <m/>
    <m/>
    <n v="0"/>
    <n v="0"/>
    <m/>
    <m/>
    <n v="0"/>
    <s v="Augmentation de 8 ménages pour 137 inds en provenance de kouva, Moudoukoua tous dans les familles d'accueil suite à l'insécurité. "/>
    <s v="Oui"/>
    <n v="17"/>
    <n v="85"/>
    <n v="15"/>
    <n v="70"/>
    <n v="17"/>
    <n v="0"/>
    <n v="0"/>
    <m/>
    <n v="0"/>
    <n v="0"/>
    <m/>
    <m/>
    <n v="0"/>
    <n v="0"/>
    <s v="Pas de changement "/>
    <s v="Oui"/>
    <n v="21"/>
    <n v="104"/>
    <n v="44"/>
    <n v="60"/>
    <s v="5 ans ou plus"/>
    <n v="0"/>
    <n v="21"/>
    <n v="0"/>
    <n v="0"/>
    <n v="0"/>
    <m/>
    <n v="0"/>
    <n v="0"/>
    <m/>
    <n v="0"/>
    <m/>
    <m/>
    <m/>
    <m/>
    <m/>
    <n v="0"/>
    <m/>
    <m/>
    <m/>
    <m/>
    <m/>
    <m/>
    <m/>
    <m/>
    <m/>
    <m/>
    <m/>
    <m/>
    <m/>
    <s v="1"/>
    <s v="1"/>
    <s v="1"/>
    <n v="3"/>
  </r>
  <r>
    <n v="2785515"/>
    <s v="Extrême-Nord"/>
    <s v="CMR004"/>
    <x v="5"/>
    <s v="CMR004006"/>
    <s v="Mayo-Moskota"/>
    <s v="CMR004006005"/>
    <s v="MOZ-0038"/>
    <s v="MAWA"/>
    <m/>
    <x v="1"/>
    <n v="10.939041599999999"/>
    <n v="13.9079142"/>
    <x v="0"/>
    <b v="1"/>
    <b v="0"/>
    <b v="1"/>
    <m/>
    <n v="3"/>
    <s v="Accessible"/>
    <m/>
    <s v="Le village accueille une population"/>
    <s v="Le village est intact (construit)"/>
    <m/>
    <m/>
    <s v="Oui"/>
    <s v="Familles d'accueil"/>
    <s v="Non, pas du tout"/>
    <s v="Non"/>
    <m/>
    <n v="109"/>
    <n v="3901"/>
    <s v="Oui"/>
    <s v="Premier déplacement"/>
    <n v="109"/>
    <n v="859"/>
    <n v="332"/>
    <n v="527"/>
    <n v="26"/>
    <n v="69"/>
    <n v="0"/>
    <n v="14"/>
    <s v="Chez une famille d'accueil (contre loyer)"/>
    <m/>
    <n v="0"/>
    <n v="0"/>
    <m/>
    <m/>
    <n v="0"/>
    <s v="Ajout de 1 ménage pour 02 individus dont 1 homme et 1 femme qui sont venus D'ASSIGHASSIA en famille d'accueil. 15 naissances dont 9 filles et 6 garçons ."/>
    <s v="Non"/>
    <m/>
    <m/>
    <m/>
    <m/>
    <m/>
    <m/>
    <m/>
    <m/>
    <m/>
    <m/>
    <m/>
    <m/>
    <m/>
    <m/>
    <m/>
    <s v="Oui"/>
    <n v="6"/>
    <n v="32"/>
    <n v="12"/>
    <n v="20"/>
    <s v="Entre 1 et 5 ans"/>
    <n v="0"/>
    <n v="6"/>
    <n v="0"/>
    <n v="0"/>
    <n v="0"/>
    <m/>
    <n v="0"/>
    <n v="0"/>
    <m/>
    <n v="0"/>
    <m/>
    <m/>
    <m/>
    <m/>
    <m/>
    <n v="0"/>
    <m/>
    <m/>
    <m/>
    <m/>
    <m/>
    <m/>
    <m/>
    <m/>
    <m/>
    <m/>
    <m/>
    <m/>
    <m/>
    <s v="1"/>
    <s v="0"/>
    <s v="1"/>
    <n v="2"/>
  </r>
  <r>
    <n v="2561376"/>
    <s v="Extrême-Nord"/>
    <s v="CMR004"/>
    <x v="5"/>
    <s v="CMR004006"/>
    <s v="Mayo-Moskota"/>
    <s v="CMR004006005"/>
    <s v="MOZ-0006"/>
    <s v="MEDEGOUER"/>
    <m/>
    <x v="1"/>
    <n v="10.935408000000001"/>
    <n v="13.8524507"/>
    <x v="0"/>
    <b v="1"/>
    <b v="0"/>
    <b v="1"/>
    <m/>
    <n v="5"/>
    <s v="Accessible"/>
    <m/>
    <s v="Le village accueille une population"/>
    <s v="Le village est intact (construit)"/>
    <m/>
    <m/>
    <s v="Oui"/>
    <s v="Familles d'accueil"/>
    <s v="Non, pas du tout"/>
    <s v="Non"/>
    <m/>
    <n v="99"/>
    <n v="1697"/>
    <s v="Oui"/>
    <s v="Deuxième déplacement"/>
    <n v="99"/>
    <n v="545"/>
    <n v="278"/>
    <n v="267"/>
    <n v="24"/>
    <n v="75"/>
    <n v="0"/>
    <n v="0"/>
    <m/>
    <m/>
    <n v="0"/>
    <n v="0"/>
    <m/>
    <m/>
    <n v="0"/>
    <s v="Il y'a augmentation de 49individus Pdi dont 32hommes et 17femmes pour 14menages en provenance de Moudougoua,Raison:conflit lié au BH, ET 5 Naissances dont 2garçons et 3filles et 1deces dont 1femmes.Tous vivent dans une famille d'accueil."/>
    <s v="Oui"/>
    <n v="1"/>
    <n v="3"/>
    <n v="2"/>
    <n v="1"/>
    <n v="1"/>
    <n v="0"/>
    <n v="0"/>
    <m/>
    <n v="0"/>
    <n v="0"/>
    <m/>
    <m/>
    <n v="0"/>
    <n v="0"/>
    <s v="Il y'a augmentation de 3individus réfugiés pour 1menages dont 2hommes et 1filles en provenance de Maidougourie  (Nigeria )pour Dzamadzaf, de Dzamadzaf pour Medegouer dont ils sont à deuxième déplacement. Raison :conflit lié au BH. Tous vivent dans la famille d'accueil."/>
    <s v="Oui"/>
    <n v="5"/>
    <n v="10"/>
    <n v="3"/>
    <n v="7"/>
    <s v="5 ans ou plus"/>
    <n v="0"/>
    <n v="5"/>
    <n v="0"/>
    <n v="0"/>
    <n v="0"/>
    <m/>
    <n v="0"/>
    <n v="0"/>
    <m/>
    <n v="0"/>
    <m/>
    <m/>
    <m/>
    <m/>
    <m/>
    <n v="2"/>
    <m/>
    <m/>
    <m/>
    <m/>
    <m/>
    <m/>
    <m/>
    <m/>
    <m/>
    <m/>
    <m/>
    <m/>
    <m/>
    <s v="1"/>
    <s v="1"/>
    <s v="1"/>
    <n v="3"/>
  </r>
  <r>
    <n v="2581235"/>
    <s v="Extrême-Nord"/>
    <s v="CMR004"/>
    <x v="5"/>
    <s v="CMR004006"/>
    <s v="Mayo-Moskota"/>
    <s v="CMR004006005"/>
    <s v="MOZ-0007"/>
    <s v="MOSKOTA CENTRE"/>
    <m/>
    <x v="1"/>
    <n v="10.9484785"/>
    <n v="13.867862000000001"/>
    <x v="0"/>
    <b v="1"/>
    <b v="0"/>
    <b v="0"/>
    <m/>
    <n v="3"/>
    <s v="Accessible"/>
    <m/>
    <s v="Le village accueille une population"/>
    <s v="Le village est intact (construit)"/>
    <m/>
    <m/>
    <s v="Oui"/>
    <s v="Familles d'accueil"/>
    <s v="Centre Collectif"/>
    <s v="Non"/>
    <m/>
    <n v="935"/>
    <n v="4596"/>
    <s v="Oui"/>
    <s v="Premier déplacement"/>
    <n v="935"/>
    <n v="4908"/>
    <n v="2127"/>
    <n v="2781"/>
    <n v="6"/>
    <n v="543"/>
    <n v="0"/>
    <n v="14"/>
    <s v="Chez une famille d'accueil (contre loyer)"/>
    <m/>
    <n v="334"/>
    <n v="38"/>
    <s v="Pagne"/>
    <m/>
    <n v="0"/>
    <s v="Ajout de 35 ménages pour 285 individus dont 180 femmes et 105 hommes en provenance de KRAWA_MAFA, LDAOTSAF tous en famille d'accueil . 20 naissances dont 14 filles et 6 garçons et 08 décès dont 5 hommes et 3 femmes qui sont venus avant 2020"/>
    <s v="Non"/>
    <m/>
    <m/>
    <m/>
    <m/>
    <m/>
    <m/>
    <m/>
    <m/>
    <m/>
    <m/>
    <m/>
    <m/>
    <m/>
    <m/>
    <m/>
    <s v="Oui"/>
    <n v="186"/>
    <n v="914"/>
    <n v="364"/>
    <n v="550"/>
    <s v="Entre 1 et 5 ans"/>
    <n v="0"/>
    <n v="170"/>
    <n v="16"/>
    <n v="0"/>
    <n v="0"/>
    <m/>
    <n v="0"/>
    <n v="0"/>
    <m/>
    <n v="0"/>
    <m/>
    <m/>
    <m/>
    <m/>
    <m/>
    <n v="0"/>
    <m/>
    <m/>
    <m/>
    <m/>
    <m/>
    <m/>
    <m/>
    <m/>
    <m/>
    <m/>
    <m/>
    <m/>
    <m/>
    <s v="1"/>
    <s v="0"/>
    <s v="1"/>
    <n v="2"/>
  </r>
  <r>
    <n v="2591952"/>
    <s v="Extrême-Nord"/>
    <s v="CMR004"/>
    <x v="5"/>
    <s v="CMR004006"/>
    <s v="Mayo-Moskota"/>
    <s v="CMR004006005"/>
    <s v="MOZ-0037"/>
    <s v="MOUNDOUGOUA"/>
    <m/>
    <x v="0"/>
    <n v="10.932980300000001"/>
    <n v="13.8050605"/>
    <x v="0"/>
    <b v="1"/>
    <b v="0"/>
    <b v="1"/>
    <m/>
    <n v="4"/>
    <s v="Accessible"/>
    <m/>
    <s v="Le village est déserté la nuit"/>
    <s v="Le village est totalement détruit"/>
    <s v="Attaques armées"/>
    <m/>
    <s v="Oui"/>
    <s v="Familles d'accueil"/>
    <s v="Air libre"/>
    <s v="Non"/>
    <m/>
    <n v="9"/>
    <n v="8039"/>
    <s v="Oui"/>
    <s v="Premier déplacement"/>
    <n v="9"/>
    <n v="41"/>
    <n v="14"/>
    <n v="27"/>
    <n v="0"/>
    <n v="5"/>
    <n v="0"/>
    <n v="0"/>
    <m/>
    <m/>
    <n v="0"/>
    <n v="0"/>
    <m/>
    <m/>
    <n v="4"/>
    <s v="Le village est accessible pendant la journée et désert pendant la nuit à cause de l'insécurité quelques unes partent en journée pour effectuer leurs travaux champêtre et répartent en soirée vers Ouzal,Mandoussa,Mozogo, koza, Moskota centre. On a dont ajout de 4 ménages PDI  pour 15 individus dont 4hommes et 11femmes en provenance de Kerawa mafa.Tous vivent à l'air libre sous les montagnes."/>
    <s v="Oui"/>
    <n v="71"/>
    <n v="350"/>
    <n v="150"/>
    <n v="200"/>
    <n v="71"/>
    <n v="0"/>
    <n v="0"/>
    <m/>
    <n v="0"/>
    <n v="0"/>
    <m/>
    <m/>
    <n v="0"/>
    <n v="71"/>
    <s v="Pas de changement."/>
    <s v="Oui"/>
    <n v="101"/>
    <n v="905"/>
    <n v="438"/>
    <n v="467"/>
    <s v="5 ans ou plus"/>
    <n v="5"/>
    <n v="76"/>
    <n v="20"/>
    <n v="0"/>
    <n v="0"/>
    <m/>
    <n v="0"/>
    <n v="0"/>
    <m/>
    <n v="0"/>
    <m/>
    <m/>
    <m/>
    <m/>
    <m/>
    <n v="0"/>
    <m/>
    <m/>
    <m/>
    <m/>
    <m/>
    <m/>
    <m/>
    <m/>
    <m/>
    <m/>
    <m/>
    <m/>
    <m/>
    <s v="1"/>
    <s v="1"/>
    <s v="1"/>
    <n v="3"/>
  </r>
  <r>
    <n v="2561375"/>
    <s v="Extrême-Nord"/>
    <s v="CMR004"/>
    <x v="5"/>
    <s v="CMR004006"/>
    <s v="Mayo-Moskota"/>
    <s v="CMR004006005"/>
    <s v="MOZ-0009"/>
    <s v="MOZOGO GUIDBALA"/>
    <m/>
    <x v="0"/>
    <n v="10.966444600000001"/>
    <n v="13.9045386"/>
    <x v="0"/>
    <b v="1"/>
    <b v="0"/>
    <b v="1"/>
    <m/>
    <n v="4"/>
    <s v="Accessible"/>
    <m/>
    <s v="Le village accueille une population"/>
    <s v="Le village est intact (construit)"/>
    <m/>
    <m/>
    <s v="Oui"/>
    <s v="Familles d'accueil"/>
    <s v="Non, pas du tout"/>
    <s v="Non"/>
    <m/>
    <n v="218"/>
    <n v="8004"/>
    <s v="Oui"/>
    <s v="Deuxième déplacement"/>
    <n v="218"/>
    <n v="1272"/>
    <n v="535"/>
    <n v="737"/>
    <n v="0"/>
    <n v="210"/>
    <n v="8"/>
    <n v="0"/>
    <m/>
    <m/>
    <n v="0"/>
    <n v="0"/>
    <m/>
    <m/>
    <n v="0"/>
    <s v="Il y'a augmentation de 95individus PDI pour 15 menages dont 40 hommes et 55 femmes en provenance de Talla-katchi,Nguetchewe,.Raison :conflit lié au BH, 15 naissances dont 7 garçons et 8 filles,plus 6 décès dont 4 hommes et 2femmes.Tous vivent dans une famille d'accueil."/>
    <s v="Oui"/>
    <n v="2"/>
    <n v="16"/>
    <n v="9"/>
    <n v="7"/>
    <n v="2"/>
    <n v="0"/>
    <n v="0"/>
    <m/>
    <n v="0"/>
    <n v="0"/>
    <m/>
    <m/>
    <n v="0"/>
    <n v="0"/>
    <s v="Il y'a eu arriver de 16 Réfugiés  pour 2 ménages dont 9hommes et 7 femmes en provenance de Maidougourie pour kuepe, de kuepe pour Assighassia, de Assighassia pour Talla-katchi et de Talla-katchi pour Mozogo Guidballa.Dont il sont à leur quatrième déplacement,Raison :conflit lié au BH . Tous vivent dans famille d'accueil."/>
    <s v="Oui"/>
    <n v="84"/>
    <n v="466"/>
    <n v="184"/>
    <n v="282"/>
    <s v="Entre 3 mois et 1 an"/>
    <n v="9"/>
    <n v="75"/>
    <n v="0"/>
    <n v="0"/>
    <n v="0"/>
    <m/>
    <n v="0"/>
    <n v="0"/>
    <m/>
    <n v="0"/>
    <m/>
    <m/>
    <m/>
    <m/>
    <m/>
    <n v="0"/>
    <m/>
    <m/>
    <m/>
    <m/>
    <m/>
    <m/>
    <m/>
    <m/>
    <m/>
    <m/>
    <m/>
    <m/>
    <m/>
    <s v="1"/>
    <s v="1"/>
    <s v="1"/>
    <n v="3"/>
  </r>
  <r>
    <n v="2559956"/>
    <s v="Extrême-Nord"/>
    <s v="CMR004"/>
    <x v="5"/>
    <s v="CMR004006"/>
    <s v="Mayo-Moskota"/>
    <s v="CMR004006005"/>
    <s v="MOZ-0010"/>
    <s v="MOZOGO QUARTIER HAOUSSA"/>
    <m/>
    <x v="0"/>
    <n v="10.970231999999999"/>
    <n v="13.909213299999999"/>
    <x v="0"/>
    <b v="1"/>
    <b v="0"/>
    <b v="0"/>
    <m/>
    <n v="3"/>
    <s v="Accessible"/>
    <m/>
    <s v="Le village accueille une population"/>
    <s v="Le village est intact (construit)"/>
    <m/>
    <m/>
    <s v="Oui"/>
    <s v="Familles d'accueil"/>
    <s v="Location"/>
    <s v="Non"/>
    <m/>
    <n v="141"/>
    <n v="6858"/>
    <s v="Oui"/>
    <s v="Premier déplacement"/>
    <n v="141"/>
    <n v="828"/>
    <n v="314"/>
    <n v="514"/>
    <n v="6"/>
    <n v="100"/>
    <n v="0"/>
    <n v="35"/>
    <s v="Chez une famille d'accueil (contre loyer)"/>
    <m/>
    <n v="0"/>
    <n v="0"/>
    <m/>
    <m/>
    <n v="0"/>
    <s v="Ajout de 17 ménages pour 115 individus dont 72 femmes et 43 hommes en provenance de TALLA_KATCHI et GOLDAVI, tous en famille d'accueil.  15 naissances dont 9 filles et 6 garçons. 08 décès dont 5 hommes et 3 femmes qui sont venus avant 2020"/>
    <s v="Non"/>
    <m/>
    <m/>
    <m/>
    <m/>
    <m/>
    <m/>
    <m/>
    <m/>
    <m/>
    <m/>
    <m/>
    <m/>
    <m/>
    <m/>
    <m/>
    <s v="Oui"/>
    <n v="95"/>
    <n v="490"/>
    <n v="231"/>
    <n v="259"/>
    <s v="5 ans ou plus"/>
    <n v="0"/>
    <n v="95"/>
    <n v="0"/>
    <n v="0"/>
    <n v="0"/>
    <m/>
    <n v="0"/>
    <n v="0"/>
    <m/>
    <n v="0"/>
    <m/>
    <m/>
    <m/>
    <m/>
    <m/>
    <n v="0"/>
    <m/>
    <m/>
    <m/>
    <m/>
    <m/>
    <m/>
    <m/>
    <m/>
    <m/>
    <m/>
    <m/>
    <m/>
    <m/>
    <s v="1"/>
    <s v="0"/>
    <s v="1"/>
    <n v="2"/>
  </r>
  <r>
    <n v="2618441"/>
    <s v="Extrême-Nord"/>
    <s v="CMR004"/>
    <x v="5"/>
    <s v="CMR004006"/>
    <s v="Mayo-Moskota"/>
    <s v="CMR004006005"/>
    <s v="MOZ-0011"/>
    <s v="MOZOGO TCHEKODE"/>
    <m/>
    <x v="1"/>
    <n v="10.965728800000001"/>
    <n v="13.9015323"/>
    <x v="0"/>
    <b v="1"/>
    <b v="0"/>
    <b v="1"/>
    <m/>
    <n v="3"/>
    <s v="Accessible"/>
    <m/>
    <s v="Le village accueille une population"/>
    <s v="Le village est intact (construit)"/>
    <m/>
    <m/>
    <s v="Oui"/>
    <s v="Familles d'accueil"/>
    <s v="Location"/>
    <s v="Non"/>
    <m/>
    <n v="53"/>
    <n v="7819"/>
    <s v="Oui"/>
    <s v="Premier déplacement"/>
    <n v="53"/>
    <n v="282"/>
    <n v="104"/>
    <n v="178"/>
    <n v="11"/>
    <n v="37"/>
    <n v="5"/>
    <n v="0"/>
    <m/>
    <m/>
    <n v="0"/>
    <n v="0"/>
    <m/>
    <m/>
    <n v="0"/>
    <s v="Il y'a augmentation de 4 ménages pour 30 individus PDI dont 20 hommes et 10 femmes en provenance de Talla-Katchi ,Raison :conflit lié au Bh. Et 4 décès dont 4 hommes plus 2 naissances dont 1 garçon et 1 fille.  Tous  vivent dans une famille d'accueil."/>
    <s v="Oui"/>
    <n v="3"/>
    <n v="3"/>
    <n v="3"/>
    <n v="0"/>
    <n v="3"/>
    <n v="0"/>
    <n v="0"/>
    <m/>
    <n v="0"/>
    <n v="0"/>
    <m/>
    <m/>
    <n v="0"/>
    <n v="3"/>
    <s v="Il y'a augmentation de 3 ménages pour 3 individus réfugiés dont 3 hommes en provenance de NIGÉRIA. Raison :conflit lié au Bh. Tous vivent dans une famille d'accueil."/>
    <s v="Oui"/>
    <n v="106"/>
    <n v="540"/>
    <n v="200"/>
    <n v="340"/>
    <s v="Entre 1 et 5 ans"/>
    <n v="10"/>
    <n v="96"/>
    <n v="0"/>
    <n v="0"/>
    <n v="0"/>
    <m/>
    <n v="0"/>
    <n v="0"/>
    <m/>
    <n v="0"/>
    <m/>
    <m/>
    <m/>
    <m/>
    <m/>
    <n v="0"/>
    <m/>
    <m/>
    <m/>
    <m/>
    <m/>
    <m/>
    <m/>
    <m/>
    <m/>
    <m/>
    <m/>
    <m/>
    <m/>
    <s v="1"/>
    <s v="1"/>
    <s v="1"/>
    <n v="3"/>
  </r>
  <r>
    <n v="2632289"/>
    <s v="Extrême-Nord"/>
    <s v="CMR004"/>
    <x v="5"/>
    <s v="CMR004006"/>
    <s v="Mayo-Moskota"/>
    <s v="CMR004006005"/>
    <s v="MOZ-0012"/>
    <s v="NGUETCHEWE CENTRE"/>
    <m/>
    <x v="0"/>
    <n v="10.997651400000001"/>
    <n v="13.9406073"/>
    <x v="0"/>
    <b v="1"/>
    <b v="0"/>
    <b v="0"/>
    <m/>
    <n v="3"/>
    <s v="Accessible"/>
    <m/>
    <s v="Le village accueille une population"/>
    <s v="Le village est intact (construit)"/>
    <m/>
    <m/>
    <s v="Oui"/>
    <s v="Familles d'accueil"/>
    <s v="Sites de déplacement spontanés"/>
    <s v="Oui"/>
    <n v="1"/>
    <n v="108"/>
    <n v="9636"/>
    <s v="Oui"/>
    <s v="Premier déplacement"/>
    <n v="108"/>
    <n v="668"/>
    <n v="277"/>
    <n v="391"/>
    <n v="0"/>
    <n v="108"/>
    <n v="0"/>
    <n v="0"/>
    <m/>
    <m/>
    <n v="0"/>
    <n v="0"/>
    <m/>
    <m/>
    <n v="0"/>
    <s v="Augmentation de 14 ménages pour 91 inds en provenance de Talla-katchi , assighasia  suite au attaques des BH pour trouver refuge à nguetchewe centre tous dans les familles d'accueil "/>
    <s v="Non"/>
    <m/>
    <m/>
    <m/>
    <m/>
    <m/>
    <m/>
    <m/>
    <m/>
    <m/>
    <m/>
    <m/>
    <m/>
    <m/>
    <m/>
    <m/>
    <s v="Non"/>
    <m/>
    <m/>
    <m/>
    <m/>
    <m/>
    <m/>
    <m/>
    <m/>
    <m/>
    <m/>
    <m/>
    <m/>
    <m/>
    <m/>
    <m/>
    <m/>
    <m/>
    <m/>
    <m/>
    <m/>
    <n v="0"/>
    <m/>
    <m/>
    <m/>
    <m/>
    <m/>
    <m/>
    <m/>
    <m/>
    <m/>
    <m/>
    <m/>
    <m/>
    <m/>
    <s v="1"/>
    <s v="0"/>
    <s v="0"/>
    <n v="1"/>
  </r>
  <r>
    <n v="2559957"/>
    <s v="Extrême-Nord"/>
    <s v="CMR004"/>
    <x v="5"/>
    <s v="CMR004006"/>
    <s v="Mayo-Moskota"/>
    <s v="CMR004006005"/>
    <s v="MOZ-0014"/>
    <s v="OUZAL"/>
    <m/>
    <x v="1"/>
    <n v="10.917370200000001"/>
    <n v="13.839182599999999"/>
    <x v="0"/>
    <b v="1"/>
    <b v="0"/>
    <b v="1"/>
    <m/>
    <n v="3"/>
    <s v="Accessible"/>
    <m/>
    <s v="Le village accueille une population"/>
    <s v="Le village est intact (construit)"/>
    <m/>
    <m/>
    <s v="Oui"/>
    <s v="Familles d'accueil"/>
    <s v="Non, pas du tout"/>
    <s v="Non"/>
    <m/>
    <n v="91"/>
    <n v="2527"/>
    <s v="Oui"/>
    <s v="Premier déplacement"/>
    <n v="91"/>
    <n v="489"/>
    <n v="231"/>
    <n v="258"/>
    <n v="0"/>
    <n v="91"/>
    <n v="0"/>
    <n v="0"/>
    <m/>
    <m/>
    <n v="0"/>
    <n v="0"/>
    <m/>
    <m/>
    <n v="0"/>
    <s v="Ajout de 45 ménages pour 212 individus dont 112 femmes et 100 hommes en provenance de KOUVA,  MOUDOUKOA et WOUDAL,  tous en famille d'accueil.  15 naissances dont 10 filles et 5 garçons et 05 décès dont 3 hommes et 2 femmes qui sont venus avant 2020"/>
    <s v="Oui"/>
    <n v="23"/>
    <n v="126"/>
    <n v="53"/>
    <n v="73"/>
    <n v="23"/>
    <n v="0"/>
    <n v="0"/>
    <m/>
    <n v="0"/>
    <n v="0"/>
    <m/>
    <m/>
    <n v="0"/>
    <n v="0"/>
    <s v="Pas de changement "/>
    <s v="Oui"/>
    <n v="5"/>
    <n v="18"/>
    <n v="8"/>
    <n v="10"/>
    <s v="Entre 1 et 5 ans"/>
    <n v="0"/>
    <n v="5"/>
    <n v="0"/>
    <n v="0"/>
    <n v="0"/>
    <m/>
    <n v="0"/>
    <n v="0"/>
    <m/>
    <n v="0"/>
    <m/>
    <m/>
    <m/>
    <m/>
    <m/>
    <n v="0"/>
    <m/>
    <m/>
    <m/>
    <m/>
    <m/>
    <m/>
    <m/>
    <m/>
    <m/>
    <m/>
    <m/>
    <m/>
    <m/>
    <s v="1"/>
    <s v="1"/>
    <s v="1"/>
    <n v="3"/>
  </r>
  <r>
    <n v="2666741"/>
    <s v="Extrême-Nord"/>
    <s v="CMR004"/>
    <x v="5"/>
    <s v="CMR004006"/>
    <s v="Mayo-Moskota"/>
    <s v="CMR004006005"/>
    <s v="MOZ-0039"/>
    <s v="SITE DE KERAWA - MAFA"/>
    <m/>
    <x v="1"/>
    <n v="10.9389837"/>
    <n v="13.859812"/>
    <x v="1"/>
    <b v="1"/>
    <b v="0"/>
    <b v="1"/>
    <m/>
    <n v="3"/>
    <s v="Accessible"/>
    <m/>
    <s v="Le village accueille une population"/>
    <s v="Le village est intact (construit)"/>
    <m/>
    <m/>
    <s v="Oui"/>
    <s v="Sites de déplacement spontanés"/>
    <s v="Non, pas du tout"/>
    <m/>
    <m/>
    <n v="70"/>
    <n v="660"/>
    <s v="Oui"/>
    <s v="Premier déplacement"/>
    <n v="70"/>
    <n v="696"/>
    <n v="273"/>
    <n v="423"/>
    <n v="0"/>
    <n v="0"/>
    <n v="0"/>
    <n v="0"/>
    <m/>
    <m/>
    <n v="0"/>
    <n v="70"/>
    <s v="Bâche"/>
    <m/>
    <n v="0"/>
    <s v="Ajout de 10 ménages pour 30 individus dont 18 femmes et 12 hommes en provenance de  KRAWA_MAFA et ZÈLEVET.  10 NAISSANCES DONT 6 FILLES et 4 garçons. 4 décès dont 3 hommes et 1 femme qui sont venus en 2022"/>
    <s v="Non"/>
    <m/>
    <m/>
    <m/>
    <m/>
    <m/>
    <m/>
    <m/>
    <m/>
    <m/>
    <m/>
    <m/>
    <m/>
    <m/>
    <m/>
    <m/>
    <s v="Non"/>
    <m/>
    <m/>
    <m/>
    <m/>
    <m/>
    <m/>
    <m/>
    <m/>
    <m/>
    <m/>
    <m/>
    <m/>
    <m/>
    <m/>
    <m/>
    <m/>
    <m/>
    <m/>
    <m/>
    <m/>
    <n v="0"/>
    <m/>
    <m/>
    <m/>
    <m/>
    <m/>
    <m/>
    <m/>
    <m/>
    <m/>
    <m/>
    <m/>
    <m/>
    <m/>
    <s v="1"/>
    <s v="0"/>
    <s v="0"/>
    <n v="1"/>
  </r>
  <r>
    <n v="2561377"/>
    <s v="Extrême-Nord"/>
    <s v="CMR004"/>
    <x v="5"/>
    <s v="CMR004006"/>
    <s v="Mayo-Moskota"/>
    <s v="CMR004006005"/>
    <s v="MOZ-0030"/>
    <s v="SITE DE MOSKOTA - DZABA"/>
    <m/>
    <x v="1"/>
    <n v="10.940820199999999"/>
    <n v="13.8628231"/>
    <x v="1"/>
    <b v="1"/>
    <b v="0"/>
    <b v="1"/>
    <m/>
    <n v="4"/>
    <s v="Accessible"/>
    <m/>
    <s v="Le village accueille une population"/>
    <s v="Le village est intact (construit)"/>
    <m/>
    <m/>
    <s v="Oui"/>
    <s v="Sites de déplacement spontanés"/>
    <s v="Non, pas du tout"/>
    <m/>
    <m/>
    <n v="123"/>
    <n v="1564"/>
    <s v="Oui"/>
    <s v="Premier déplacement"/>
    <n v="123"/>
    <n v="991"/>
    <n v="419"/>
    <n v="572"/>
    <n v="0"/>
    <n v="123"/>
    <n v="0"/>
    <n v="0"/>
    <m/>
    <m/>
    <n v="0"/>
    <n v="0"/>
    <m/>
    <m/>
    <n v="0"/>
    <s v="Il y'a augmentation de 200 individus Pdi pour 16 ménages dont 95 hommes et 105 femmes en provenance de Moudougoua, Woudal, Oupi, Mandoussa et Mitchikar. Raison :conflit lié au Bh. Et 7 décès dont 5 hommes et 2 femmes, plus 10 naissances dont 4 garçons et 6 filles. Tous vivent dans le site. "/>
    <s v="Non"/>
    <m/>
    <m/>
    <m/>
    <m/>
    <m/>
    <m/>
    <m/>
    <m/>
    <m/>
    <m/>
    <m/>
    <m/>
    <m/>
    <m/>
    <m/>
    <s v="Non"/>
    <m/>
    <m/>
    <m/>
    <m/>
    <m/>
    <m/>
    <m/>
    <m/>
    <m/>
    <m/>
    <m/>
    <m/>
    <m/>
    <m/>
    <m/>
    <m/>
    <m/>
    <m/>
    <m/>
    <m/>
    <n v="0"/>
    <m/>
    <m/>
    <m/>
    <m/>
    <m/>
    <m/>
    <m/>
    <m/>
    <m/>
    <m/>
    <m/>
    <m/>
    <m/>
    <s v="1"/>
    <s v="0"/>
    <s v="0"/>
    <n v="1"/>
  </r>
  <r>
    <n v="2581236"/>
    <s v="Extrême-Nord"/>
    <s v="CMR004"/>
    <x v="5"/>
    <s v="CMR004006"/>
    <s v="Mayo-Moskota"/>
    <s v="CMR004006005"/>
    <s v="MOZ-0031"/>
    <s v="SITE DE MOSKOTA - MOGODA"/>
    <m/>
    <x v="1"/>
    <n v="10.937042"/>
    <n v="13.8686387"/>
    <x v="1"/>
    <b v="1"/>
    <b v="0"/>
    <b v="0"/>
    <m/>
    <n v="3"/>
    <s v="Accessible"/>
    <m/>
    <s v="Le village accueille une population"/>
    <s v="Le village est intact (construit)"/>
    <m/>
    <m/>
    <s v="Oui"/>
    <s v="Sites de déplacement spontanés"/>
    <s v="Non, pas du tout"/>
    <m/>
    <m/>
    <n v="79"/>
    <n v="371"/>
    <s v="Oui"/>
    <s v="Premier déplacement"/>
    <n v="79"/>
    <n v="512"/>
    <n v="222"/>
    <n v="290"/>
    <n v="0"/>
    <n v="0"/>
    <n v="0"/>
    <n v="0"/>
    <m/>
    <m/>
    <n v="0"/>
    <n v="79"/>
    <s v="Pagne"/>
    <m/>
    <n v="0"/>
    <s v="Ajout de 04 ménages pour 13 individus dont 7 femmes et 6 hommes en provenance de KRAWA_MAFA,  tous en abris spontané.  03 naissances dont 2 filles et 01 garçon "/>
    <s v="Non"/>
    <m/>
    <m/>
    <m/>
    <m/>
    <m/>
    <m/>
    <m/>
    <m/>
    <m/>
    <m/>
    <m/>
    <m/>
    <m/>
    <m/>
    <m/>
    <s v="Oui"/>
    <n v="1"/>
    <n v="6"/>
    <n v="2"/>
    <n v="4"/>
    <s v="Entre 1 et 5 ans"/>
    <n v="0"/>
    <n v="0"/>
    <n v="0"/>
    <n v="0"/>
    <n v="0"/>
    <m/>
    <n v="0"/>
    <n v="1"/>
    <s v="Pagne"/>
    <n v="0"/>
    <s v="Ajout de 01 ménage pour 06 individus dont 2 hommes et 4 femmes qui sont revenus de KOZA"/>
    <m/>
    <m/>
    <m/>
    <m/>
    <n v="0"/>
    <m/>
    <m/>
    <m/>
    <m/>
    <m/>
    <m/>
    <m/>
    <m/>
    <m/>
    <m/>
    <m/>
    <m/>
    <m/>
    <s v="1"/>
    <s v="0"/>
    <s v="1"/>
    <n v="2"/>
  </r>
  <r>
    <n v="2666740"/>
    <s v="Extrême-Nord"/>
    <s v="CMR004"/>
    <x v="5"/>
    <s v="CMR004006"/>
    <s v="Mayo-Moskota"/>
    <s v="CMR004006005"/>
    <s v="MOZ-0029"/>
    <s v="SITE DE MOSKOTA - TCHEBE-TCHEBE"/>
    <m/>
    <x v="1"/>
    <n v="10.9388656"/>
    <n v="13.871577800000001"/>
    <x v="1"/>
    <b v="1"/>
    <b v="0"/>
    <b v="1"/>
    <m/>
    <n v="3"/>
    <s v="Accessible"/>
    <m/>
    <s v="Le village accueille une population"/>
    <s v="Le village est intact (construit)"/>
    <m/>
    <m/>
    <s v="Oui"/>
    <s v="Sites de déplacement spontanés"/>
    <s v="Familles d'accueil"/>
    <m/>
    <m/>
    <n v="83"/>
    <n v="892"/>
    <s v="Oui"/>
    <s v="Deuxième déplacement"/>
    <n v="83"/>
    <n v="766"/>
    <n v="345"/>
    <n v="421"/>
    <n v="0"/>
    <n v="0"/>
    <n v="0"/>
    <n v="0"/>
    <m/>
    <m/>
    <n v="0"/>
    <n v="83"/>
    <s v="Bâche"/>
    <m/>
    <n v="0"/>
    <s v="Ajout de 6 ménages pour 30 individus dont 18 femmes et 12 hommes.  10 naissances dont 6 filles et 4 garçons et 6 décès dont 4 hommes et 2 femmes "/>
    <s v="Non"/>
    <m/>
    <m/>
    <m/>
    <m/>
    <m/>
    <m/>
    <m/>
    <m/>
    <m/>
    <m/>
    <m/>
    <m/>
    <m/>
    <m/>
    <m/>
    <s v="Oui"/>
    <n v="6"/>
    <n v="27"/>
    <n v="17"/>
    <n v="10"/>
    <s v="Entre 1 et 5 ans"/>
    <n v="0"/>
    <n v="0"/>
    <n v="0"/>
    <n v="0"/>
    <n v="0"/>
    <m/>
    <n v="0"/>
    <n v="6"/>
    <s v="Pagne"/>
    <n v="0"/>
    <s v="Ajout de 6 ménages pour 27 individus dont 17 femmes et 10 hommes qui sont revenus de KOZA "/>
    <m/>
    <m/>
    <m/>
    <m/>
    <n v="0"/>
    <m/>
    <m/>
    <m/>
    <m/>
    <m/>
    <m/>
    <m/>
    <m/>
    <m/>
    <m/>
    <m/>
    <m/>
    <m/>
    <s v="1"/>
    <s v="0"/>
    <s v="1"/>
    <n v="2"/>
  </r>
  <r>
    <n v="2632290"/>
    <s v="Extrême-Nord"/>
    <s v="CMR004"/>
    <x v="5"/>
    <s v="CMR004006"/>
    <s v="Mayo-Moskota"/>
    <s v="CMR004006005"/>
    <s v="MOZ-0033"/>
    <s v="SITE DE NGUETCHEWE"/>
    <m/>
    <x v="1"/>
    <n v="10.9976448"/>
    <n v="13.9406377"/>
    <x v="1"/>
    <b v="1"/>
    <b v="0"/>
    <b v="0"/>
    <m/>
    <n v="3"/>
    <s v="Accessible"/>
    <m/>
    <s v="Le village accueille une population"/>
    <s v="Le village est intact (construit)"/>
    <m/>
    <m/>
    <s v="Oui"/>
    <s v="Sites de déplacement spontanés"/>
    <s v="Non, pas du tout"/>
    <m/>
    <m/>
    <n v="72"/>
    <n v="492"/>
    <s v="Oui"/>
    <s v="Premier déplacement"/>
    <n v="72"/>
    <n v="701"/>
    <n v="275"/>
    <n v="426"/>
    <n v="0"/>
    <n v="0"/>
    <n v="0"/>
    <n v="0"/>
    <m/>
    <m/>
    <n v="0"/>
    <n v="72"/>
    <s v="Bâche"/>
    <m/>
    <n v="0"/>
    <s v="Ajout de 7 ménages pour 21 inds en provenance de d'assighassia suite à l'insécurité  tous dans les abri spontanée. "/>
    <s v="Non"/>
    <m/>
    <m/>
    <m/>
    <m/>
    <m/>
    <m/>
    <m/>
    <m/>
    <m/>
    <m/>
    <m/>
    <m/>
    <m/>
    <m/>
    <m/>
    <s v="Non"/>
    <m/>
    <m/>
    <m/>
    <m/>
    <m/>
    <m/>
    <m/>
    <m/>
    <m/>
    <m/>
    <m/>
    <m/>
    <m/>
    <m/>
    <m/>
    <m/>
    <m/>
    <m/>
    <m/>
    <m/>
    <n v="0"/>
    <m/>
    <m/>
    <m/>
    <m/>
    <m/>
    <m/>
    <m/>
    <m/>
    <m/>
    <m/>
    <m/>
    <m/>
    <m/>
    <s v="1"/>
    <s v="0"/>
    <s v="0"/>
    <n v="1"/>
  </r>
  <r>
    <n v="2591953"/>
    <s v="Extrême-Nord"/>
    <s v="CMR004"/>
    <x v="5"/>
    <s v="CMR004006"/>
    <s v="Mayo-Moskota"/>
    <s v="CMR004006005"/>
    <s v="MOZ-0023"/>
    <s v="TALLA CHERIF"/>
    <m/>
    <x v="1"/>
    <s v="N/A"/>
    <s v="N/A"/>
    <x v="0"/>
    <b v="1"/>
    <b v="0"/>
    <b v="1"/>
    <m/>
    <n v="3"/>
    <s v="Inaccessible - interdit par l'armée"/>
    <m/>
    <s v="Le village est entièrement déserté"/>
    <m/>
    <m/>
    <m/>
    <m/>
    <m/>
    <m/>
    <m/>
    <m/>
    <m/>
    <m/>
    <m/>
    <m/>
    <m/>
    <m/>
    <m/>
    <m/>
    <m/>
    <m/>
    <m/>
    <m/>
    <m/>
    <m/>
    <m/>
    <m/>
    <m/>
    <m/>
    <m/>
    <m/>
    <m/>
    <m/>
    <m/>
    <m/>
    <m/>
    <m/>
    <m/>
    <m/>
    <m/>
    <m/>
    <m/>
    <m/>
    <m/>
    <m/>
    <m/>
    <m/>
    <m/>
    <m/>
    <m/>
    <m/>
    <m/>
    <m/>
    <m/>
    <m/>
    <m/>
    <m/>
    <m/>
    <m/>
    <m/>
    <m/>
    <m/>
    <m/>
    <m/>
    <m/>
    <m/>
    <m/>
    <m/>
    <m/>
    <m/>
    <m/>
    <m/>
    <m/>
    <m/>
    <m/>
    <m/>
    <m/>
    <m/>
    <m/>
    <m/>
    <m/>
    <m/>
    <s v="0"/>
    <s v="0"/>
    <s v="0"/>
    <n v="0"/>
  </r>
  <r>
    <n v="2632287"/>
    <s v="Extrême-Nord"/>
    <s v="CMR004"/>
    <x v="5"/>
    <s v="CMR004006"/>
    <s v="Mayo-Moskota"/>
    <s v="CMR004006005"/>
    <s v="MOZ-0027"/>
    <s v="TALLA KATCHI"/>
    <m/>
    <x v="1"/>
    <n v="11.0534251"/>
    <n v="13.954959000000001"/>
    <x v="0"/>
    <b v="1"/>
    <b v="0"/>
    <b v="0"/>
    <m/>
    <n v="3"/>
    <s v="Accessible"/>
    <m/>
    <s v="Le village est déserté la nuit"/>
    <s v="Le village est partiellement détruit"/>
    <s v="Attaques armées"/>
    <m/>
    <s v="Oui"/>
    <s v="Familles d'accueil"/>
    <s v="Non, pas du tout"/>
    <s v="Non"/>
    <m/>
    <n v="6"/>
    <n v="1514"/>
    <s v="Oui"/>
    <s v="Premier déplacement"/>
    <n v="6"/>
    <n v="27"/>
    <n v="7"/>
    <n v="20"/>
    <n v="0"/>
    <n v="6"/>
    <n v="0"/>
    <n v="0"/>
    <m/>
    <m/>
    <n v="0"/>
    <n v="0"/>
    <m/>
    <m/>
    <n v="0"/>
    <s v="Les déplacés de la localité se déplace le soir pour revenir dans la journée suite à l'insécurité  dont ( mouvements pendulaire ) a cause de la delocalisation de la base militaire qui se trouvait sur place et pour le renvoyer à goldavi ."/>
    <s v="Non"/>
    <m/>
    <m/>
    <m/>
    <m/>
    <m/>
    <m/>
    <m/>
    <m/>
    <m/>
    <m/>
    <m/>
    <m/>
    <m/>
    <m/>
    <m/>
    <s v="Oui"/>
    <n v="59"/>
    <n v="417"/>
    <n v="152"/>
    <n v="265"/>
    <s v="5 ans ou plus"/>
    <n v="0"/>
    <n v="59"/>
    <n v="0"/>
    <n v="0"/>
    <n v="0"/>
    <m/>
    <n v="0"/>
    <n v="0"/>
    <m/>
    <n v="0"/>
    <m/>
    <m/>
    <m/>
    <m/>
    <m/>
    <n v="0"/>
    <m/>
    <m/>
    <m/>
    <m/>
    <m/>
    <m/>
    <m/>
    <m/>
    <m/>
    <m/>
    <m/>
    <m/>
    <m/>
    <s v="1"/>
    <s v="0"/>
    <s v="1"/>
    <n v="2"/>
  </r>
  <r>
    <n v="2606055"/>
    <s v="Extrême-Nord"/>
    <s v="CMR004"/>
    <x v="5"/>
    <s v="CMR004006"/>
    <s v="Mayo-Moskota"/>
    <s v="CMR004006005"/>
    <s v="MOZ-0028"/>
    <s v="VOURKAZA"/>
    <m/>
    <x v="0"/>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43508"/>
    <s v="Extrême-Nord"/>
    <s v="CMR004"/>
    <x v="5"/>
    <s v="CMR004006"/>
    <s v="Mayo-Moskota"/>
    <s v="CMR004006005"/>
    <s v="MOZ-0019"/>
    <s v="VOUZI"/>
    <m/>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27503"/>
    <s v="Extrême-Nord"/>
    <s v="CMR004"/>
    <x v="5"/>
    <s v="CMR004006"/>
    <s v="Mayo-Moskota"/>
    <s v="CMR004006005"/>
    <s v="MOZ-0026"/>
    <s v="WOUDAL"/>
    <m/>
    <x v="1"/>
    <n v="10.921919600000001"/>
    <n v="13.822945799999999"/>
    <x v="0"/>
    <b v="1"/>
    <b v="1"/>
    <b v="1"/>
    <n v="6"/>
    <n v="3"/>
    <s v="Accessible"/>
    <m/>
    <s v="Le village accueille une population"/>
    <s v="Le village est partiellement détruit"/>
    <s v="Attaques armées"/>
    <m/>
    <s v="Oui"/>
    <s v="Familles d'accueil"/>
    <s v="Non, pas du tout"/>
    <s v="Non"/>
    <m/>
    <n v="74"/>
    <n v="1095"/>
    <s v="Oui"/>
    <s v="Deuxième déplacement"/>
    <n v="74"/>
    <n v="394"/>
    <n v="187"/>
    <n v="207"/>
    <n v="6"/>
    <n v="68"/>
    <n v="0"/>
    <n v="0"/>
    <m/>
    <m/>
    <n v="0"/>
    <n v="0"/>
    <m/>
    <m/>
    <n v="0"/>
    <s v="Il y 'à augmentation de 20 ménages pour 210 individus PDI dont 100 hommes et 110 femmes en provenance de KERAWA-MAFA, HITERE, BAVONGOLA, ZELEVET , VOURKAZA.Raison:conflit lié au Bh. Et 10 décès dont 6 hommes et 4 femmes plus 20 naissances dont 9 hommes et 11 femmes. Tous vivent dans une famille d'accueil."/>
    <s v="Non"/>
    <m/>
    <m/>
    <m/>
    <m/>
    <m/>
    <m/>
    <m/>
    <m/>
    <m/>
    <m/>
    <m/>
    <m/>
    <m/>
    <m/>
    <m/>
    <s v="Non"/>
    <m/>
    <m/>
    <m/>
    <m/>
    <m/>
    <m/>
    <m/>
    <m/>
    <m/>
    <m/>
    <m/>
    <m/>
    <m/>
    <m/>
    <m/>
    <m/>
    <m/>
    <m/>
    <m/>
    <m/>
    <n v="0"/>
    <m/>
    <m/>
    <m/>
    <m/>
    <m/>
    <m/>
    <m/>
    <m/>
    <m/>
    <m/>
    <m/>
    <m/>
    <m/>
    <s v="1"/>
    <s v="0"/>
    <s v="0"/>
    <n v="1"/>
  </r>
  <r>
    <n v="2627505"/>
    <s v="Extrême-Nord"/>
    <s v="CMR004"/>
    <x v="5"/>
    <s v="CMR004006"/>
    <s v="Mayo-Moskota"/>
    <s v="CMR004006005"/>
    <s v="MOZ-0015"/>
    <s v="YAMGAZAWA"/>
    <m/>
    <x v="1"/>
    <n v="10.969775"/>
    <n v="13.903644099999999"/>
    <x v="0"/>
    <b v="1"/>
    <b v="0"/>
    <b v="1"/>
    <m/>
    <n v="4"/>
    <s v="Accessible"/>
    <m/>
    <s v="Le village est entièrement déserté"/>
    <m/>
    <m/>
    <m/>
    <m/>
    <m/>
    <m/>
    <m/>
    <m/>
    <m/>
    <m/>
    <m/>
    <m/>
    <m/>
    <m/>
    <m/>
    <m/>
    <m/>
    <m/>
    <m/>
    <m/>
    <m/>
    <m/>
    <m/>
    <m/>
    <m/>
    <m/>
    <m/>
    <m/>
    <m/>
    <m/>
    <m/>
    <m/>
    <m/>
    <m/>
    <m/>
    <m/>
    <m/>
    <m/>
    <m/>
    <m/>
    <m/>
    <m/>
    <m/>
    <m/>
    <m/>
    <m/>
    <m/>
    <m/>
    <m/>
    <m/>
    <m/>
    <m/>
    <m/>
    <m/>
    <m/>
    <m/>
    <m/>
    <m/>
    <m/>
    <m/>
    <m/>
    <m/>
    <m/>
    <m/>
    <m/>
    <m/>
    <m/>
    <m/>
    <m/>
    <m/>
    <m/>
    <m/>
    <m/>
    <m/>
    <m/>
    <m/>
    <m/>
    <m/>
    <m/>
    <s v="0"/>
    <s v="0"/>
    <s v="0"/>
    <n v="0"/>
  </r>
  <r>
    <n v="2666743"/>
    <s v="Extrême-Nord"/>
    <s v="CMR004"/>
    <x v="5"/>
    <s v="CMR004006"/>
    <s v="Mayo-Moskota"/>
    <s v="CMR004006005"/>
    <s v="MOZ-0024"/>
    <s v="ZELEVED"/>
    <m/>
    <x v="1"/>
    <s v="N/A"/>
    <s v="N/A"/>
    <x v="0"/>
    <b v="1"/>
    <b v="0"/>
    <b v="0"/>
    <m/>
    <n v="3"/>
    <s v="Inaccessible - insécurité"/>
    <m/>
    <s v="Le village accueille une population"/>
    <s v="Le village est intact (construit)"/>
    <m/>
    <m/>
    <s v="Oui"/>
    <s v="Familles d'accueil"/>
    <s v="Non, pas du tout"/>
    <s v="Non"/>
    <m/>
    <n v="9"/>
    <n v="3000"/>
    <s v="Oui"/>
    <s v="Troisième déplacement"/>
    <n v="9"/>
    <n v="62"/>
    <n v="23"/>
    <n v="39"/>
    <n v="9"/>
    <n v="0"/>
    <n v="0"/>
    <n v="0"/>
    <m/>
    <m/>
    <n v="0"/>
    <n v="0"/>
    <m/>
    <m/>
    <n v="0"/>
    <s v="Ajout de 15 naissances dont 10 filles et 5 garçons.  5 décès dont 4 hommes et 1 femme "/>
    <s v="Non"/>
    <m/>
    <m/>
    <m/>
    <m/>
    <m/>
    <m/>
    <m/>
    <m/>
    <m/>
    <m/>
    <m/>
    <m/>
    <m/>
    <m/>
    <m/>
    <s v="Oui"/>
    <n v="32"/>
    <n v="162"/>
    <n v="72"/>
    <n v="90"/>
    <s v="5 ans ou plus"/>
    <n v="0"/>
    <n v="32"/>
    <n v="0"/>
    <n v="0"/>
    <n v="0"/>
    <m/>
    <n v="0"/>
    <n v="0"/>
    <m/>
    <n v="0"/>
    <m/>
    <m/>
    <m/>
    <m/>
    <m/>
    <n v="0"/>
    <m/>
    <m/>
    <m/>
    <m/>
    <m/>
    <m/>
    <m/>
    <m/>
    <m/>
    <m/>
    <m/>
    <m/>
    <m/>
    <s v="1"/>
    <s v="0"/>
    <s v="1"/>
    <n v="2"/>
  </r>
  <r>
    <n v="2581237"/>
    <s v="Extrême-Nord"/>
    <s v="CMR004"/>
    <x v="5"/>
    <s v="CMR004006"/>
    <s v="Mayo-Moskota"/>
    <s v="CMR004006005"/>
    <s v="MOZ-0025"/>
    <s v="ZENEME"/>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30694"/>
    <s v="Extrême-Nord"/>
    <s v="CMR004"/>
    <x v="5"/>
    <s v="CMR004006"/>
    <s v="Mogodé"/>
    <s v="CMR004006001"/>
    <s v="MOG-0001"/>
    <s v="GOURIA"/>
    <m/>
    <x v="0"/>
    <n v="10.5592863"/>
    <n v="13.575198200000001"/>
    <x v="0"/>
    <b v="1"/>
    <b v="0"/>
    <b v="0"/>
    <m/>
    <n v="3"/>
    <s v="Accessible"/>
    <m/>
    <s v="Le village accueille une population"/>
    <s v="Le village est intact (construit)"/>
    <m/>
    <m/>
    <s v="Oui"/>
    <s v="Familles d'accueil"/>
    <s v="Non, pas du tout"/>
    <s v="Non"/>
    <m/>
    <m/>
    <n v="4900"/>
    <s v="Non"/>
    <m/>
    <m/>
    <m/>
    <m/>
    <m/>
    <m/>
    <m/>
    <m/>
    <m/>
    <m/>
    <m/>
    <m/>
    <m/>
    <m/>
    <m/>
    <m/>
    <m/>
    <s v="Oui"/>
    <n v="3"/>
    <n v="25"/>
    <n v="15"/>
    <n v="10"/>
    <n v="3"/>
    <n v="0"/>
    <n v="0"/>
    <m/>
    <n v="0"/>
    <n v="0"/>
    <m/>
    <m/>
    <n v="0"/>
    <n v="3"/>
    <s v="Diminution d'un ménage de sept individus réfugiés à destination de kamale au Nigeria. "/>
    <s v="Oui"/>
    <n v="3"/>
    <n v="15"/>
    <n v="6"/>
    <n v="9"/>
    <s v="5 ans ou plus"/>
    <n v="0"/>
    <n v="3"/>
    <n v="0"/>
    <n v="0"/>
    <n v="0"/>
    <m/>
    <n v="0"/>
    <n v="0"/>
    <m/>
    <n v="0"/>
    <m/>
    <m/>
    <m/>
    <m/>
    <m/>
    <n v="0"/>
    <m/>
    <m/>
    <m/>
    <m/>
    <m/>
    <m/>
    <m/>
    <m/>
    <m/>
    <m/>
    <m/>
    <m/>
    <m/>
    <s v="0"/>
    <s v="1"/>
    <s v="1"/>
    <n v="2"/>
  </r>
  <r>
    <n v="2588750"/>
    <s v="Extrême-Nord"/>
    <s v="CMR004"/>
    <x v="5"/>
    <s v="CMR004006"/>
    <s v="Mogodé"/>
    <s v="CMR004006001"/>
    <s v="MOG-0002"/>
    <s v="KARANTCHI"/>
    <m/>
    <x v="0"/>
    <n v="10.7117582"/>
    <n v="13.6320114"/>
    <x v="0"/>
    <b v="1"/>
    <b v="0"/>
    <b v="0"/>
    <m/>
    <n v="3"/>
    <s v="Accessible"/>
    <m/>
    <s v="Le village accueille une population"/>
    <s v="Le village est intact (construit)"/>
    <m/>
    <m/>
    <s v="Oui"/>
    <s v="Familles d'accueil"/>
    <s v="Non, pas du tout"/>
    <s v="Non"/>
    <m/>
    <m/>
    <n v="8000"/>
    <s v="Non"/>
    <m/>
    <m/>
    <m/>
    <m/>
    <m/>
    <m/>
    <m/>
    <m/>
    <m/>
    <m/>
    <m/>
    <m/>
    <m/>
    <m/>
    <m/>
    <m/>
    <m/>
    <s v="Oui"/>
    <n v="18"/>
    <n v="97"/>
    <n v="33"/>
    <n v="64"/>
    <n v="18"/>
    <n v="0"/>
    <n v="0"/>
    <m/>
    <n v="0"/>
    <n v="0"/>
    <m/>
    <m/>
    <n v="0"/>
    <n v="17"/>
    <s v="Nous constatons une diminution de 2 ménages de 4 individus réfugiés à destination de michika au Nigeria."/>
    <s v="Oui"/>
    <n v="12"/>
    <n v="83"/>
    <n v="37"/>
    <n v="46"/>
    <s v="5 ans ou plus"/>
    <n v="0"/>
    <n v="12"/>
    <n v="0"/>
    <n v="0"/>
    <n v="0"/>
    <m/>
    <n v="0"/>
    <n v="0"/>
    <m/>
    <n v="0"/>
    <m/>
    <m/>
    <m/>
    <m/>
    <m/>
    <n v="0"/>
    <m/>
    <m/>
    <m/>
    <m/>
    <m/>
    <m/>
    <m/>
    <m/>
    <m/>
    <m/>
    <m/>
    <m/>
    <m/>
    <s v="0"/>
    <s v="1"/>
    <s v="1"/>
    <n v="2"/>
  </r>
  <r>
    <n v="2630047"/>
    <s v="Extrême-Nord"/>
    <s v="CMR004"/>
    <x v="5"/>
    <s v="CMR004006"/>
    <s v="Mogodé"/>
    <s v="CMR004006001"/>
    <s v="MOG-0003"/>
    <s v="KILA"/>
    <m/>
    <x v="1"/>
    <n v="10.4553142"/>
    <n v="13.5910691"/>
    <x v="0"/>
    <b v="1"/>
    <b v="0"/>
    <b v="0"/>
    <m/>
    <n v="5"/>
    <s v="Accessible"/>
    <m/>
    <s v="Le village accueille une population"/>
    <s v="Le village est intact (construit)"/>
    <m/>
    <m/>
    <s v="Oui"/>
    <s v="Familles d'accueil"/>
    <s v="Centre Collectif"/>
    <s v="Non"/>
    <m/>
    <m/>
    <n v="37000"/>
    <s v="Non"/>
    <m/>
    <m/>
    <m/>
    <m/>
    <m/>
    <m/>
    <m/>
    <m/>
    <m/>
    <m/>
    <m/>
    <m/>
    <m/>
    <m/>
    <m/>
    <m/>
    <m/>
    <s v="Oui"/>
    <n v="5"/>
    <n v="28"/>
    <n v="11"/>
    <n v="17"/>
    <n v="3"/>
    <n v="2"/>
    <n v="0"/>
    <m/>
    <n v="0"/>
    <n v="0"/>
    <m/>
    <m/>
    <n v="0"/>
    <n v="0"/>
    <s v="0"/>
    <s v="Oui"/>
    <n v="12"/>
    <n v="56"/>
    <n v="25"/>
    <n v="31"/>
    <s v="Moins de 3 mois"/>
    <n v="7"/>
    <n v="4"/>
    <n v="1"/>
    <n v="0"/>
    <n v="0"/>
    <m/>
    <n v="0"/>
    <n v="0"/>
    <m/>
    <n v="0"/>
    <m/>
    <m/>
    <m/>
    <m/>
    <m/>
    <n v="0"/>
    <m/>
    <m/>
    <m/>
    <m/>
    <m/>
    <m/>
    <m/>
    <m/>
    <m/>
    <m/>
    <m/>
    <m/>
    <m/>
    <s v="0"/>
    <s v="1"/>
    <s v="1"/>
    <n v="2"/>
  </r>
  <r>
    <n v="2631809"/>
    <s v="Extrême-Nord"/>
    <s v="CMR004"/>
    <x v="5"/>
    <s v="CMR004006"/>
    <s v="Mogodé"/>
    <s v="CMR004006001"/>
    <s v="MOG-0014"/>
    <s v="KORTCHI"/>
    <m/>
    <x v="1"/>
    <n v="10.583228800000001"/>
    <n v="13.7608649"/>
    <x v="0"/>
    <b v="1"/>
    <b v="0"/>
    <b v="0"/>
    <m/>
    <n v="5"/>
    <s v="Accessible"/>
    <m/>
    <s v="Le village accueille une population"/>
    <s v="Le village est intact (construit)"/>
    <m/>
    <m/>
    <s v="Oui"/>
    <s v="Familles d'accueil"/>
    <s v="Non, pas du tout"/>
    <s v="Non"/>
    <m/>
    <m/>
    <n v="5000"/>
    <s v="Non"/>
    <m/>
    <m/>
    <m/>
    <m/>
    <m/>
    <m/>
    <m/>
    <m/>
    <m/>
    <m/>
    <m/>
    <m/>
    <m/>
    <m/>
    <m/>
    <m/>
    <m/>
    <s v="Oui"/>
    <n v="3"/>
    <n v="14"/>
    <n v="5"/>
    <n v="9"/>
    <n v="2"/>
    <n v="1"/>
    <n v="0"/>
    <m/>
    <n v="0"/>
    <n v="0"/>
    <m/>
    <m/>
    <n v="0"/>
    <n v="0"/>
    <s v="Pas de changement observé "/>
    <s v="Oui"/>
    <n v="11"/>
    <n v="49"/>
    <n v="18"/>
    <n v="31"/>
    <s v="Moins de 3 mois"/>
    <n v="7"/>
    <n v="4"/>
    <n v="0"/>
    <n v="0"/>
    <n v="0"/>
    <m/>
    <n v="0"/>
    <n v="0"/>
    <m/>
    <n v="0"/>
    <m/>
    <m/>
    <m/>
    <m/>
    <m/>
    <n v="0"/>
    <m/>
    <m/>
    <m/>
    <m/>
    <m/>
    <m/>
    <m/>
    <m/>
    <m/>
    <m/>
    <m/>
    <m/>
    <m/>
    <s v="0"/>
    <s v="1"/>
    <s v="1"/>
    <n v="2"/>
  </r>
  <r>
    <n v="2588755"/>
    <s v="Extrême-Nord"/>
    <s v="CMR004"/>
    <x v="5"/>
    <s v="CMR004006"/>
    <s v="Mogodé"/>
    <s v="CMR004006001"/>
    <s v="MOG-0004"/>
    <s v="KOUFFI"/>
    <m/>
    <x v="0"/>
    <n v="10.6806815"/>
    <n v="13.614343099999999"/>
    <x v="0"/>
    <b v="1"/>
    <b v="0"/>
    <b v="0"/>
    <m/>
    <n v="3"/>
    <s v="Accessible"/>
    <m/>
    <s v="Le village accueille une population"/>
    <s v="Le village est intact (construit)"/>
    <m/>
    <m/>
    <s v="Oui"/>
    <s v="Familles d'accueil"/>
    <s v="Non, pas du tout"/>
    <s v="Non"/>
    <m/>
    <m/>
    <n v="3950"/>
    <s v="Non"/>
    <m/>
    <m/>
    <m/>
    <m/>
    <m/>
    <m/>
    <m/>
    <m/>
    <m/>
    <m/>
    <m/>
    <m/>
    <m/>
    <m/>
    <m/>
    <m/>
    <m/>
    <s v="Oui"/>
    <n v="8"/>
    <n v="47"/>
    <n v="19"/>
    <n v="28"/>
    <n v="8"/>
    <n v="0"/>
    <n v="0"/>
    <m/>
    <n v="0"/>
    <n v="0"/>
    <m/>
    <m/>
    <n v="0"/>
    <n v="6"/>
    <s v="Nous notons l'ajout de deux individus une fille et un garçon  de suite aux  naissances"/>
    <s v="Non"/>
    <m/>
    <m/>
    <m/>
    <m/>
    <m/>
    <m/>
    <m/>
    <m/>
    <m/>
    <m/>
    <m/>
    <m/>
    <m/>
    <m/>
    <m/>
    <m/>
    <m/>
    <m/>
    <m/>
    <m/>
    <n v="0"/>
    <m/>
    <m/>
    <m/>
    <m/>
    <m/>
    <m/>
    <m/>
    <m/>
    <m/>
    <m/>
    <m/>
    <m/>
    <m/>
    <s v="0"/>
    <s v="1"/>
    <s v="0"/>
    <n v="1"/>
  </r>
  <r>
    <n v="2630695"/>
    <s v="Extrême-Nord"/>
    <s v="CMR004"/>
    <x v="5"/>
    <s v="CMR004006"/>
    <s v="Mogodé"/>
    <s v="CMR004006001"/>
    <s v="MOG-0005"/>
    <s v="MOGODE"/>
    <m/>
    <x v="0"/>
    <n v="10.6074801"/>
    <n v="13.5688564"/>
    <x v="0"/>
    <b v="1"/>
    <b v="0"/>
    <b v="1"/>
    <m/>
    <n v="3"/>
    <s v="Accessible"/>
    <m/>
    <s v="Le village accueille une population"/>
    <s v="Le village est intact (construit)"/>
    <m/>
    <m/>
    <s v="Oui"/>
    <s v="Familles d'accueil"/>
    <s v="Non, pas du tout"/>
    <s v="Non"/>
    <m/>
    <m/>
    <n v="12692"/>
    <s v="Non"/>
    <m/>
    <m/>
    <m/>
    <m/>
    <m/>
    <m/>
    <m/>
    <m/>
    <m/>
    <m/>
    <m/>
    <m/>
    <m/>
    <m/>
    <m/>
    <m/>
    <m/>
    <s v="Oui"/>
    <n v="13"/>
    <n v="144"/>
    <n v="54"/>
    <n v="90"/>
    <n v="13"/>
    <n v="0"/>
    <n v="0"/>
    <m/>
    <n v="0"/>
    <n v="0"/>
    <m/>
    <m/>
    <n v="0"/>
    <n v="13"/>
    <s v="Deux individus de sexe féminin sont allés en mariage au Nigeria"/>
    <s v="Oui"/>
    <n v="47"/>
    <n v="294"/>
    <n v="109"/>
    <n v="185"/>
    <s v="5 ans ou plus"/>
    <n v="0"/>
    <n v="45"/>
    <n v="2"/>
    <n v="0"/>
    <n v="0"/>
    <m/>
    <n v="0"/>
    <n v="0"/>
    <m/>
    <n v="0"/>
    <m/>
    <m/>
    <m/>
    <m/>
    <m/>
    <n v="0"/>
    <m/>
    <m/>
    <m/>
    <m/>
    <m/>
    <m/>
    <m/>
    <m/>
    <m/>
    <m/>
    <m/>
    <m/>
    <m/>
    <s v="0"/>
    <s v="1"/>
    <s v="1"/>
    <n v="2"/>
  </r>
  <r>
    <n v="2631808"/>
    <s v="Extrême-Nord"/>
    <s v="CMR004"/>
    <x v="5"/>
    <s v="CMR004006"/>
    <s v="Mogodé"/>
    <s v="CMR004006001"/>
    <s v="MOG-0006"/>
    <s v="NORA"/>
    <m/>
    <x v="1"/>
    <n v="10.573095800000001"/>
    <n v="13.789273100000001"/>
    <x v="0"/>
    <b v="1"/>
    <b v="0"/>
    <b v="0"/>
    <m/>
    <n v="3"/>
    <s v="Accessible"/>
    <m/>
    <s v="Le village accueille une population"/>
    <s v="Le village est intact (construit)"/>
    <m/>
    <m/>
    <s v="Oui"/>
    <s v="Familles d'accueil"/>
    <s v="Centre Collectif"/>
    <s v="Non"/>
    <m/>
    <m/>
    <n v="6500"/>
    <s v="Non"/>
    <m/>
    <m/>
    <m/>
    <m/>
    <m/>
    <m/>
    <m/>
    <m/>
    <m/>
    <m/>
    <m/>
    <m/>
    <m/>
    <m/>
    <m/>
    <m/>
    <m/>
    <s v="Oui"/>
    <n v="6"/>
    <n v="33"/>
    <n v="13"/>
    <n v="20"/>
    <n v="4"/>
    <n v="2"/>
    <n v="0"/>
    <m/>
    <n v="0"/>
    <n v="0"/>
    <m/>
    <m/>
    <n v="0"/>
    <n v="0"/>
    <s v="Pas de changement "/>
    <s v="Oui"/>
    <n v="15"/>
    <n v="44"/>
    <n v="20"/>
    <n v="24"/>
    <s v="Moins de 3 mois"/>
    <n v="10"/>
    <n v="3"/>
    <n v="2"/>
    <n v="0"/>
    <n v="0"/>
    <m/>
    <n v="0"/>
    <n v="0"/>
    <m/>
    <n v="0"/>
    <m/>
    <m/>
    <m/>
    <m/>
    <m/>
    <n v="0"/>
    <m/>
    <m/>
    <m/>
    <m/>
    <m/>
    <m/>
    <m/>
    <m/>
    <m/>
    <m/>
    <m/>
    <m/>
    <m/>
    <s v="0"/>
    <s v="1"/>
    <s v="1"/>
    <n v="2"/>
  </r>
  <r>
    <n v="2630046"/>
    <s v="Extrême-Nord"/>
    <s v="CMR004"/>
    <x v="5"/>
    <s v="CMR004006"/>
    <s v="Mogodé"/>
    <s v="CMR004006001"/>
    <s v="MOG-0007"/>
    <s v="OUDAVA"/>
    <m/>
    <x v="1"/>
    <n v="10.5899304"/>
    <n v="13.675628400000001"/>
    <x v="0"/>
    <b v="1"/>
    <b v="0"/>
    <b v="0"/>
    <m/>
    <n v="5"/>
    <s v="Accessible"/>
    <m/>
    <s v="Le village accueille une population"/>
    <s v="Le village est intact (construit)"/>
    <m/>
    <m/>
    <s v="Oui"/>
    <s v="Familles d'accueil"/>
    <s v="Centre Collectif"/>
    <s v="Non"/>
    <m/>
    <m/>
    <n v="5000"/>
    <s v="Non"/>
    <m/>
    <m/>
    <m/>
    <m/>
    <m/>
    <m/>
    <m/>
    <m/>
    <m/>
    <m/>
    <m/>
    <m/>
    <m/>
    <m/>
    <m/>
    <m/>
    <m/>
    <s v="Oui"/>
    <n v="13"/>
    <n v="98"/>
    <n v="42"/>
    <n v="56"/>
    <n v="10"/>
    <n v="3"/>
    <n v="0"/>
    <m/>
    <n v="0"/>
    <n v="0"/>
    <m/>
    <m/>
    <n v="0"/>
    <n v="0"/>
    <s v="Augmentation de 4 naissances 2 filles 2 garçons  "/>
    <s v="Oui"/>
    <n v="28"/>
    <n v="116"/>
    <n v="47"/>
    <n v="69"/>
    <s v="Moins de 3 mois"/>
    <n v="19"/>
    <n v="3"/>
    <n v="6"/>
    <n v="0"/>
    <n v="0"/>
    <m/>
    <n v="0"/>
    <n v="0"/>
    <m/>
    <n v="0"/>
    <m/>
    <m/>
    <m/>
    <m/>
    <m/>
    <n v="0"/>
    <m/>
    <m/>
    <m/>
    <m/>
    <m/>
    <m/>
    <m/>
    <m/>
    <m/>
    <m/>
    <m/>
    <m/>
    <m/>
    <s v="0"/>
    <s v="1"/>
    <s v="1"/>
    <n v="2"/>
  </r>
  <r>
    <n v="2630696"/>
    <s v="Extrême-Nord"/>
    <s v="CMR004"/>
    <x v="5"/>
    <s v="CMR004006"/>
    <s v="Mogodé"/>
    <s v="CMR004006001"/>
    <s v="MOG-0008"/>
    <s v="RHUMSIKI"/>
    <m/>
    <x v="0"/>
    <n v="10.513892800000001"/>
    <n v="13.5826844"/>
    <x v="0"/>
    <b v="1"/>
    <b v="0"/>
    <b v="0"/>
    <m/>
    <n v="3"/>
    <s v="Accessible"/>
    <m/>
    <s v="Le village accueille une population"/>
    <s v="Le village est intact (construit)"/>
    <m/>
    <m/>
    <s v="Oui"/>
    <s v="Familles d'accueil"/>
    <s v="Non, pas du tout"/>
    <s v="Non"/>
    <m/>
    <m/>
    <n v="7888"/>
    <s v="Non"/>
    <m/>
    <m/>
    <m/>
    <m/>
    <m/>
    <m/>
    <m/>
    <m/>
    <m/>
    <m/>
    <m/>
    <m/>
    <m/>
    <m/>
    <m/>
    <m/>
    <m/>
    <s v="Oui"/>
    <n v="16"/>
    <n v="86"/>
    <n v="38"/>
    <n v="48"/>
    <n v="16"/>
    <n v="0"/>
    <n v="0"/>
    <m/>
    <n v="0"/>
    <n v="0"/>
    <m/>
    <m/>
    <n v="0"/>
    <n v="12"/>
    <s v="Il y'a eu augmentation d'un ménage de cinq individus en provenance de YOLA au Nigeria soit 3h et 2f"/>
    <s v="Oui"/>
    <n v="18"/>
    <n v="98"/>
    <n v="42"/>
    <n v="56"/>
    <s v="5 ans ou plus"/>
    <n v="0"/>
    <n v="18"/>
    <n v="0"/>
    <n v="0"/>
    <n v="0"/>
    <m/>
    <n v="0"/>
    <n v="0"/>
    <m/>
    <n v="0"/>
    <m/>
    <m/>
    <m/>
    <m/>
    <m/>
    <n v="0"/>
    <m/>
    <m/>
    <m/>
    <m/>
    <m/>
    <m/>
    <m/>
    <m/>
    <m/>
    <m/>
    <m/>
    <m/>
    <m/>
    <s v="0"/>
    <s v="1"/>
    <s v="1"/>
    <n v="2"/>
  </r>
  <r>
    <n v="2630697"/>
    <s v="Extrême-Nord"/>
    <s v="CMR004"/>
    <x v="5"/>
    <s v="CMR004006"/>
    <s v="Mogodé"/>
    <s v="CMR004006001"/>
    <s v="MOG-0009"/>
    <s v="RHUMZU"/>
    <m/>
    <x v="0"/>
    <n v="10.688695299999999"/>
    <n v="13.5971584"/>
    <x v="0"/>
    <b v="1"/>
    <b v="0"/>
    <b v="0"/>
    <m/>
    <n v="3"/>
    <s v="Accessible"/>
    <m/>
    <s v="Le village accueille une population"/>
    <s v="Le village est intact (construit)"/>
    <m/>
    <m/>
    <s v="Oui"/>
    <s v="Familles d'accueil"/>
    <s v="Non, pas du tout"/>
    <s v="Non"/>
    <m/>
    <m/>
    <n v="9547"/>
    <s v="Non"/>
    <m/>
    <m/>
    <m/>
    <m/>
    <m/>
    <m/>
    <m/>
    <m/>
    <m/>
    <m/>
    <m/>
    <m/>
    <m/>
    <m/>
    <m/>
    <m/>
    <m/>
    <s v="Oui"/>
    <n v="11"/>
    <n v="19"/>
    <n v="10"/>
    <n v="9"/>
    <n v="11"/>
    <n v="0"/>
    <n v="0"/>
    <m/>
    <n v="0"/>
    <n v="0"/>
    <m/>
    <m/>
    <n v="0"/>
    <n v="11"/>
    <s v="Il y'a eu diminution d'un ménage de 3 individus à destination de madagalie au Nigeria."/>
    <s v="Oui"/>
    <n v="50"/>
    <n v="154"/>
    <n v="58"/>
    <n v="96"/>
    <s v="5 ans ou plus"/>
    <n v="0"/>
    <n v="50"/>
    <n v="0"/>
    <n v="0"/>
    <n v="0"/>
    <m/>
    <n v="0"/>
    <n v="0"/>
    <m/>
    <n v="0"/>
    <m/>
    <m/>
    <m/>
    <m/>
    <m/>
    <n v="0"/>
    <m/>
    <m/>
    <m/>
    <m/>
    <m/>
    <m/>
    <m/>
    <m/>
    <m/>
    <m/>
    <m/>
    <m/>
    <m/>
    <s v="0"/>
    <s v="1"/>
    <s v="1"/>
    <n v="2"/>
  </r>
  <r>
    <n v="2630699"/>
    <s v="Extrême-Nord"/>
    <s v="CMR004"/>
    <x v="5"/>
    <s v="CMR004006"/>
    <s v="Mogodé"/>
    <s v="CMR004006001"/>
    <s v="MOG-0010"/>
    <s v="SIR"/>
    <m/>
    <x v="0"/>
    <n v="10.567741699999999"/>
    <n v="13.6639651"/>
    <x v="0"/>
    <b v="1"/>
    <b v="0"/>
    <b v="0"/>
    <m/>
    <n v="3"/>
    <s v="Accessible"/>
    <m/>
    <s v="Le village accueille une population"/>
    <s v="Le village est intact (construit)"/>
    <m/>
    <m/>
    <s v="Oui"/>
    <s v="Familles d'accueil"/>
    <s v="Non, pas du tout"/>
    <s v="Non"/>
    <m/>
    <m/>
    <n v="11500"/>
    <s v="Non"/>
    <m/>
    <m/>
    <m/>
    <m/>
    <m/>
    <m/>
    <m/>
    <m/>
    <m/>
    <m/>
    <m/>
    <m/>
    <m/>
    <m/>
    <m/>
    <m/>
    <m/>
    <s v="Oui"/>
    <n v="21"/>
    <n v="134"/>
    <n v="72"/>
    <n v="62"/>
    <n v="21"/>
    <n v="0"/>
    <n v="0"/>
    <m/>
    <n v="0"/>
    <n v="0"/>
    <m/>
    <m/>
    <n v="0"/>
    <n v="21"/>
    <s v="Aucun changement n'a été constater par rapport au Round précédent."/>
    <s v="Oui"/>
    <n v="47"/>
    <n v="149"/>
    <n v="69"/>
    <n v="80"/>
    <s v="5 ans ou plus"/>
    <n v="0"/>
    <n v="47"/>
    <n v="0"/>
    <n v="0"/>
    <n v="0"/>
    <m/>
    <n v="0"/>
    <n v="0"/>
    <m/>
    <n v="0"/>
    <m/>
    <m/>
    <m/>
    <m/>
    <m/>
    <n v="0"/>
    <m/>
    <m/>
    <m/>
    <m/>
    <m/>
    <m/>
    <m/>
    <m/>
    <m/>
    <m/>
    <m/>
    <m/>
    <m/>
    <s v="0"/>
    <s v="1"/>
    <s v="1"/>
    <n v="2"/>
  </r>
  <r>
    <n v="2630700"/>
    <s v="Extrême-Nord"/>
    <s v="CMR004"/>
    <x v="5"/>
    <s v="CMR004006"/>
    <s v="Mogodé"/>
    <s v="CMR004006001"/>
    <s v="MOG-0011"/>
    <s v="TEKI"/>
    <m/>
    <x v="0"/>
    <n v="10.600051499999999"/>
    <n v="13.6045011"/>
    <x v="0"/>
    <b v="1"/>
    <b v="0"/>
    <b v="0"/>
    <m/>
    <n v="3"/>
    <s v="Accessible"/>
    <m/>
    <s v="Le village accueille une population"/>
    <s v="Le village est intact (construit)"/>
    <m/>
    <m/>
    <s v="Oui"/>
    <s v="Familles d'accueil"/>
    <s v="Non, pas du tout"/>
    <s v="Non"/>
    <m/>
    <m/>
    <n v="4005"/>
    <s v="Non"/>
    <m/>
    <m/>
    <m/>
    <m/>
    <m/>
    <m/>
    <m/>
    <m/>
    <m/>
    <m/>
    <m/>
    <m/>
    <m/>
    <m/>
    <m/>
    <m/>
    <m/>
    <s v="Oui"/>
    <n v="3"/>
    <n v="19"/>
    <n v="11"/>
    <n v="8"/>
    <n v="3"/>
    <n v="0"/>
    <n v="0"/>
    <m/>
    <n v="0"/>
    <n v="0"/>
    <m/>
    <m/>
    <n v="0"/>
    <n v="3"/>
    <s v="Aucun changement n'a été  constater par rapport au Round 25"/>
    <s v="Non"/>
    <m/>
    <m/>
    <m/>
    <m/>
    <m/>
    <m/>
    <m/>
    <m/>
    <m/>
    <m/>
    <m/>
    <m/>
    <m/>
    <m/>
    <m/>
    <m/>
    <m/>
    <m/>
    <m/>
    <m/>
    <n v="0"/>
    <m/>
    <m/>
    <m/>
    <m/>
    <m/>
    <m/>
    <m/>
    <m/>
    <m/>
    <m/>
    <m/>
    <m/>
    <m/>
    <s v="0"/>
    <s v="1"/>
    <s v="0"/>
    <n v="1"/>
  </r>
  <r>
    <n v="2588770"/>
    <s v="Extrême-Nord"/>
    <s v="CMR004"/>
    <x v="5"/>
    <s v="CMR004006"/>
    <s v="Mogodé"/>
    <s v="CMR004006001"/>
    <s v="MOG-0012"/>
    <s v="VITTE"/>
    <m/>
    <x v="0"/>
    <n v="10.6500489"/>
    <n v="13.6405203"/>
    <x v="0"/>
    <b v="1"/>
    <b v="0"/>
    <b v="0"/>
    <m/>
    <n v="3"/>
    <s v="Accessible"/>
    <m/>
    <s v="Le village accueille une population"/>
    <s v="Le village est intact (construit)"/>
    <m/>
    <m/>
    <s v="Oui"/>
    <s v="Familles d'accueil"/>
    <s v="Non, pas du tout"/>
    <s v="Non"/>
    <m/>
    <m/>
    <n v="5800"/>
    <s v="Non"/>
    <m/>
    <m/>
    <m/>
    <m/>
    <m/>
    <m/>
    <m/>
    <m/>
    <m/>
    <m/>
    <m/>
    <m/>
    <m/>
    <m/>
    <m/>
    <m/>
    <m/>
    <s v="Oui"/>
    <n v="5"/>
    <n v="27"/>
    <n v="11"/>
    <n v="16"/>
    <n v="5"/>
    <n v="0"/>
    <n v="0"/>
    <m/>
    <n v="0"/>
    <n v="0"/>
    <m/>
    <m/>
    <n v="0"/>
    <n v="5"/>
    <s v="Nous notons une diminution d'un ménage de 5 individus vers kamale au Nigeria.  Ils ont bénéficier des kits de réhabilitation par l'organisme PUBLIC CONCERN."/>
    <s v="Oui"/>
    <n v="10"/>
    <n v="49"/>
    <n v="20"/>
    <n v="29"/>
    <s v="5 ans ou plus"/>
    <n v="0"/>
    <n v="8"/>
    <n v="2"/>
    <n v="0"/>
    <n v="0"/>
    <m/>
    <n v="0"/>
    <n v="0"/>
    <m/>
    <n v="0"/>
    <m/>
    <m/>
    <m/>
    <m/>
    <m/>
    <n v="0"/>
    <m/>
    <m/>
    <m/>
    <m/>
    <m/>
    <m/>
    <m/>
    <m/>
    <m/>
    <m/>
    <m/>
    <m/>
    <m/>
    <s v="0"/>
    <s v="1"/>
    <s v="1"/>
    <n v="2"/>
  </r>
  <r>
    <n v="2630698"/>
    <s v="Extrême-Nord"/>
    <s v="CMR004"/>
    <x v="5"/>
    <s v="CMR004006"/>
    <s v="Mogodé"/>
    <s v="CMR004006001"/>
    <s v="MOG-0013"/>
    <s v="YELLE"/>
    <m/>
    <x v="0"/>
    <n v="10.6478991"/>
    <n v="13.5903288"/>
    <x v="0"/>
    <b v="1"/>
    <b v="0"/>
    <b v="0"/>
    <m/>
    <n v="3"/>
    <s v="Accessible"/>
    <m/>
    <s v="Le village accueille une population"/>
    <s v="Le village est intact (construit)"/>
    <m/>
    <m/>
    <s v="Oui"/>
    <s v="Familles d'accueil"/>
    <s v="Non, pas du tout"/>
    <s v="Non"/>
    <m/>
    <m/>
    <n v="10692"/>
    <s v="Non"/>
    <m/>
    <m/>
    <m/>
    <m/>
    <m/>
    <m/>
    <m/>
    <m/>
    <m/>
    <m/>
    <m/>
    <m/>
    <m/>
    <m/>
    <m/>
    <m/>
    <m/>
    <s v="Oui"/>
    <n v="21"/>
    <n v="189"/>
    <n v="84"/>
    <n v="105"/>
    <n v="21"/>
    <n v="0"/>
    <n v="0"/>
    <m/>
    <n v="0"/>
    <n v="0"/>
    <m/>
    <m/>
    <n v="0"/>
    <n v="21"/>
    <s v="Nous constatons une diminution diminution d'un ménage de six individus soit 2H et 4 F à destination de Michika au Nigeria"/>
    <s v="Oui"/>
    <n v="5"/>
    <n v="42"/>
    <n v="18"/>
    <n v="24"/>
    <s v="5 ans ou plus"/>
    <n v="0"/>
    <n v="5"/>
    <n v="0"/>
    <n v="0"/>
    <n v="0"/>
    <m/>
    <n v="0"/>
    <n v="0"/>
    <m/>
    <n v="0"/>
    <m/>
    <m/>
    <m/>
    <m/>
    <m/>
    <n v="0"/>
    <m/>
    <m/>
    <m/>
    <m/>
    <m/>
    <m/>
    <m/>
    <m/>
    <m/>
    <m/>
    <m/>
    <m/>
    <m/>
    <s v="0"/>
    <s v="1"/>
    <s v="1"/>
    <n v="2"/>
  </r>
  <r>
    <n v="2565079"/>
    <s v="Extrême-Nord"/>
    <s v="CMR004"/>
    <x v="5"/>
    <s v="CMR004006"/>
    <s v="Mokolo"/>
    <s v="CMR004006002"/>
    <s v="XXXX"/>
    <s v="LDALOU"/>
    <s v="LDALOU"/>
    <x v="1"/>
    <s v="N/A"/>
    <s v="N/A"/>
    <x v="0"/>
    <b v="1"/>
    <b v="0"/>
    <b v="0"/>
    <m/>
    <n v="3"/>
    <s v="Inaccessible - insécurité"/>
    <m/>
    <s v="Le village est déserté la nuit"/>
    <s v="Le village est partiellement détruit"/>
    <s v="Attaques armées"/>
    <m/>
    <s v="Non"/>
    <m/>
    <m/>
    <m/>
    <m/>
    <m/>
    <m/>
    <m/>
    <m/>
    <m/>
    <m/>
    <m/>
    <m/>
    <m/>
    <m/>
    <m/>
    <m/>
    <m/>
    <m/>
    <m/>
    <m/>
    <m/>
    <m/>
    <m/>
    <m/>
    <m/>
    <m/>
    <m/>
    <m/>
    <m/>
    <m/>
    <m/>
    <m/>
    <m/>
    <m/>
    <m/>
    <m/>
    <m/>
    <m/>
    <m/>
    <m/>
    <m/>
    <m/>
    <m/>
    <m/>
    <m/>
    <m/>
    <m/>
    <m/>
    <m/>
    <m/>
    <m/>
    <m/>
    <m/>
    <m/>
    <m/>
    <m/>
    <m/>
    <m/>
    <m/>
    <m/>
    <m/>
    <m/>
    <m/>
    <m/>
    <m/>
    <m/>
    <m/>
    <m/>
    <m/>
    <m/>
    <m/>
    <m/>
    <m/>
    <m/>
    <m/>
    <s v="0"/>
    <s v="0"/>
    <s v="0"/>
    <n v="0"/>
  </r>
  <r>
    <n v="2565080"/>
    <s v="Extrême-Nord"/>
    <s v="CMR004"/>
    <x v="5"/>
    <s v="CMR004006"/>
    <s v="Mokolo"/>
    <s v="CMR004006002"/>
    <s v="XXXX"/>
    <s v="KOULKOUBAI"/>
    <s v="KOULKOUBAI"/>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04191"/>
    <s v="Extrême-Nord"/>
    <s v="CMR004"/>
    <x v="5"/>
    <s v="CMR004006"/>
    <s v="Mokolo"/>
    <s v="CMR004006002"/>
    <s v="XXXX"/>
    <s v="OUPAI "/>
    <s v="OUPAI "/>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04192"/>
    <s v="Extrême-Nord"/>
    <s v="CMR004"/>
    <x v="5"/>
    <s v="CMR004006"/>
    <s v="Mokolo"/>
    <s v="CMR004006002"/>
    <s v="XXXX"/>
    <s v="DOULONG"/>
    <s v="DOULONG"/>
    <x v="1"/>
    <s v="N/A"/>
    <s v="N/A"/>
    <x v="0"/>
    <b v="0"/>
    <b v="0"/>
    <b v="1"/>
    <m/>
    <m/>
    <s v="Inaccessible - interdit par l'armée"/>
    <m/>
    <s v="Le village est entièrement déserté"/>
    <m/>
    <m/>
    <m/>
    <m/>
    <m/>
    <m/>
    <m/>
    <m/>
    <m/>
    <m/>
    <m/>
    <m/>
    <m/>
    <m/>
    <m/>
    <m/>
    <m/>
    <m/>
    <m/>
    <m/>
    <m/>
    <m/>
    <m/>
    <m/>
    <m/>
    <m/>
    <m/>
    <m/>
    <m/>
    <m/>
    <m/>
    <m/>
    <m/>
    <m/>
    <m/>
    <m/>
    <m/>
    <m/>
    <m/>
    <m/>
    <m/>
    <m/>
    <m/>
    <m/>
    <m/>
    <m/>
    <m/>
    <m/>
    <m/>
    <m/>
    <m/>
    <m/>
    <m/>
    <m/>
    <m/>
    <m/>
    <m/>
    <m/>
    <m/>
    <m/>
    <m/>
    <m/>
    <m/>
    <m/>
    <m/>
    <m/>
    <m/>
    <m/>
    <m/>
    <m/>
    <m/>
    <m/>
    <m/>
    <m/>
    <m/>
    <m/>
    <m/>
    <m/>
    <m/>
    <s v="0"/>
    <s v="0"/>
    <s v="0"/>
    <n v="0"/>
  </r>
  <r>
    <n v="2681977"/>
    <s v="Extrême-Nord"/>
    <s v="CMR004"/>
    <x v="5"/>
    <s v="CMR004006"/>
    <s v="Mokolo"/>
    <s v="CMR004006002"/>
    <s v="XXXX"/>
    <s v="LOCKTCHA"/>
    <s v="LOCKTCHA"/>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87076"/>
    <s v="Extrême-Nord"/>
    <s v="CMR004"/>
    <x v="5"/>
    <s v="CMR004006"/>
    <s v="Mokolo"/>
    <s v="CMR004006002"/>
    <s v="XXXX"/>
    <s v="DOUVAR"/>
    <s v="DOUVAR"/>
    <x v="1"/>
    <n v="10.775366200000001"/>
    <n v="13.8169647"/>
    <x v="0"/>
    <b v="1"/>
    <b v="0"/>
    <b v="1"/>
    <m/>
    <n v="4"/>
    <s v="Accessible"/>
    <m/>
    <s v="Le village accueille une population"/>
    <s v="Le village est intact (construit)"/>
    <m/>
    <m/>
    <s v="Oui"/>
    <s v="Familles d'accueil"/>
    <s v="Non, pas du tout"/>
    <s v="Non"/>
    <m/>
    <n v="15"/>
    <n v="4369"/>
    <s v="Oui"/>
    <s v="Deuxième déplacement"/>
    <n v="15"/>
    <n v="60"/>
    <n v="20"/>
    <n v="40"/>
    <n v="0"/>
    <n v="15"/>
    <n v="0"/>
    <n v="0"/>
    <m/>
    <m/>
    <n v="0"/>
    <n v="0"/>
    <m/>
    <m/>
    <n v="0"/>
    <s v="Nouveau village. 15 ménages pour 60 individus dont 20 hommes et 40 femmes en provenance de Djinging, Ndrock. Besoin forages, école primaire et enseignants "/>
    <s v="Non"/>
    <m/>
    <m/>
    <m/>
    <m/>
    <m/>
    <m/>
    <m/>
    <m/>
    <m/>
    <m/>
    <m/>
    <m/>
    <m/>
    <m/>
    <m/>
    <s v="Non"/>
    <m/>
    <m/>
    <m/>
    <m/>
    <m/>
    <m/>
    <m/>
    <m/>
    <m/>
    <m/>
    <m/>
    <m/>
    <m/>
    <m/>
    <m/>
    <m/>
    <m/>
    <m/>
    <m/>
    <m/>
    <n v="0"/>
    <m/>
    <m/>
    <m/>
    <m/>
    <m/>
    <m/>
    <m/>
    <m/>
    <m/>
    <m/>
    <m/>
    <m/>
    <m/>
    <s v="1"/>
    <s v="0"/>
    <s v="0"/>
    <n v="1"/>
  </r>
  <r>
    <n v="2709223"/>
    <s v="Extrême-Nord"/>
    <s v="CMR004"/>
    <x v="5"/>
    <s v="CMR004006"/>
    <s v="Mokolo"/>
    <s v="CMR004006002"/>
    <s v="XXXX"/>
    <s v="NDROCK "/>
    <s v="NDROCK "/>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777781"/>
    <s v="Extrême-Nord"/>
    <s v="CMR004"/>
    <x v="5"/>
    <s v="CMR004006"/>
    <s v="Mokolo"/>
    <s v="CMR004006002"/>
    <s v="XXXX"/>
    <s v="LARAM 2"/>
    <s v="LARAM2"/>
    <x v="1"/>
    <n v="10.9267433"/>
    <n v="13.7305773"/>
    <x v="0"/>
    <b v="1"/>
    <b v="0"/>
    <b v="0"/>
    <m/>
    <n v="3"/>
    <s v="Accessible"/>
    <m/>
    <s v="Le village accueille une population"/>
    <s v="Le village est intact (construit)"/>
    <m/>
    <m/>
    <s v="Oui"/>
    <s v="Familles d'accueil"/>
    <s v="Non, pas du tout"/>
    <s v="Non"/>
    <m/>
    <n v="23"/>
    <n v="250"/>
    <s v="Oui"/>
    <s v="Premier déplacement"/>
    <n v="23"/>
    <n v="75"/>
    <n v="20"/>
    <n v="55"/>
    <n v="0"/>
    <n v="23"/>
    <n v="0"/>
    <n v="0"/>
    <m/>
    <m/>
    <n v="0"/>
    <n v="0"/>
    <m/>
    <m/>
    <n v="0"/>
    <s v="Nouveau village "/>
    <s v="Non"/>
    <m/>
    <m/>
    <m/>
    <m/>
    <m/>
    <m/>
    <m/>
    <m/>
    <m/>
    <m/>
    <m/>
    <m/>
    <m/>
    <m/>
    <m/>
    <s v="Non"/>
    <m/>
    <m/>
    <m/>
    <m/>
    <m/>
    <m/>
    <m/>
    <m/>
    <m/>
    <m/>
    <m/>
    <m/>
    <m/>
    <m/>
    <m/>
    <m/>
    <m/>
    <m/>
    <m/>
    <m/>
    <n v="0"/>
    <m/>
    <m/>
    <m/>
    <m/>
    <m/>
    <m/>
    <m/>
    <m/>
    <m/>
    <m/>
    <m/>
    <m/>
    <m/>
    <s v="1"/>
    <s v="0"/>
    <s v="0"/>
    <n v="1"/>
  </r>
  <r>
    <n v="2686962"/>
    <s v="Extrême-Nord"/>
    <s v="CMR004"/>
    <x v="5"/>
    <s v="CMR004006"/>
    <s v="Mokolo"/>
    <s v="CMR004006002"/>
    <s v="MOK-0045"/>
    <s v="BISKAVAI"/>
    <m/>
    <x v="1"/>
    <n v="10.7022165"/>
    <n v="13.8806309"/>
    <x v="0"/>
    <b v="1"/>
    <b v="0"/>
    <b v="0"/>
    <m/>
    <n v="4"/>
    <s v="Accessible"/>
    <m/>
    <s v="Le village accueille une population"/>
    <s v="Le village est intact (construit)"/>
    <m/>
    <m/>
    <s v="Oui"/>
    <s v="Familles d'accueil"/>
    <s v="Non, pas du tout"/>
    <s v="Non"/>
    <m/>
    <n v="29"/>
    <n v="2000"/>
    <s v="Oui"/>
    <s v="Premier déplacement"/>
    <n v="29"/>
    <n v="100"/>
    <n v="41"/>
    <n v="59"/>
    <n v="0"/>
    <n v="29"/>
    <n v="0"/>
    <n v="0"/>
    <m/>
    <m/>
    <n v="0"/>
    <n v="0"/>
    <m/>
    <m/>
    <n v="0"/>
    <s v="2 naissance arriver 7 ménages de 19 individus "/>
    <s v="Oui"/>
    <n v="1"/>
    <n v="2"/>
    <n v="2"/>
    <n v="0"/>
    <n v="0"/>
    <n v="1"/>
    <n v="0"/>
    <m/>
    <n v="0"/>
    <n v="0"/>
    <m/>
    <m/>
    <n v="0"/>
    <n v="0"/>
    <s v="Arrivée d'un ménage réfugiés de 2 individus "/>
    <s v="Oui"/>
    <n v="2"/>
    <n v="18"/>
    <n v="8"/>
    <n v="10"/>
    <s v="Entre 3 mois et 1 an"/>
    <n v="1"/>
    <n v="0"/>
    <n v="1"/>
    <n v="0"/>
    <n v="0"/>
    <m/>
    <n v="0"/>
    <n v="0"/>
    <m/>
    <n v="0"/>
    <m/>
    <m/>
    <m/>
    <m/>
    <m/>
    <n v="0"/>
    <m/>
    <m/>
    <m/>
    <m/>
    <m/>
    <m/>
    <m/>
    <m/>
    <m/>
    <m/>
    <m/>
    <m/>
    <m/>
    <s v="1"/>
    <s v="1"/>
    <s v="1"/>
    <n v="3"/>
  </r>
  <r>
    <n v="2649564"/>
    <s v="Extrême-Nord"/>
    <s v="CMR004"/>
    <x v="5"/>
    <s v="CMR004006"/>
    <s v="Mokolo"/>
    <s v="CMR004006002"/>
    <s v="MOK-0029"/>
    <s v="BOULA"/>
    <m/>
    <x v="1"/>
    <n v="10.500061499999999"/>
    <n v="14.039357900000001"/>
    <x v="0"/>
    <b v="1"/>
    <b v="0"/>
    <b v="1"/>
    <m/>
    <n v="5"/>
    <s v="Accessible"/>
    <m/>
    <s v="Le village accueille une population"/>
    <s v="Le village est intact (construit)"/>
    <m/>
    <m/>
    <s v="Oui"/>
    <s v="Familles d'accueil"/>
    <s v="Location"/>
    <s v="Non"/>
    <m/>
    <n v="23"/>
    <n v="2000"/>
    <s v="Oui"/>
    <s v="Deuxième déplacement"/>
    <n v="23"/>
    <n v="145"/>
    <n v="70"/>
    <n v="75"/>
    <n v="0"/>
    <n v="10"/>
    <n v="0"/>
    <n v="13"/>
    <s v="Chez une famille d'accueil (contre loyer)"/>
    <m/>
    <n v="0"/>
    <n v="0"/>
    <m/>
    <m/>
    <n v="0"/>
    <s v="Aucun  changement  ni naissance ni décès ni augmentation de ménages. Le dernier ménage retournés est parti vers mora pour raison de manque d'activité dans le village boula"/>
    <s v="Non"/>
    <m/>
    <m/>
    <m/>
    <m/>
    <m/>
    <m/>
    <m/>
    <m/>
    <m/>
    <m/>
    <m/>
    <m/>
    <m/>
    <m/>
    <m/>
    <s v="Non"/>
    <m/>
    <m/>
    <m/>
    <m/>
    <m/>
    <m/>
    <m/>
    <m/>
    <m/>
    <m/>
    <m/>
    <m/>
    <m/>
    <m/>
    <m/>
    <m/>
    <m/>
    <m/>
    <m/>
    <m/>
    <n v="0"/>
    <m/>
    <m/>
    <m/>
    <m/>
    <m/>
    <m/>
    <m/>
    <m/>
    <m/>
    <m/>
    <m/>
    <m/>
    <m/>
    <s v="1"/>
    <s v="0"/>
    <s v="0"/>
    <n v="1"/>
  </r>
  <r>
    <n v="2668524"/>
    <s v="Extrême-Nord"/>
    <s v="CMR004"/>
    <x v="5"/>
    <s v="CMR004006"/>
    <s v="Mokolo"/>
    <s v="CMR004006002"/>
    <s v="MOK-0001"/>
    <s v="BOUNGUELRE"/>
    <m/>
    <x v="1"/>
    <n v="10.7445693"/>
    <n v="13.799158500000001"/>
    <x v="0"/>
    <b v="1"/>
    <b v="0"/>
    <b v="1"/>
    <m/>
    <n v="5"/>
    <s v="Accessible"/>
    <m/>
    <s v="Le village accueille une population"/>
    <s v="Le village est intact (construit)"/>
    <m/>
    <m/>
    <s v="Oui"/>
    <s v="Familles d'accueil"/>
    <s v="Non, pas du tout"/>
    <s v="Non"/>
    <m/>
    <n v="75"/>
    <n v="3115"/>
    <s v="Oui"/>
    <s v="Premier déplacement"/>
    <n v="75"/>
    <n v="491"/>
    <n v="178"/>
    <n v="313"/>
    <n v="0"/>
    <n v="17"/>
    <n v="38"/>
    <n v="20"/>
    <s v="Chez une famille d'accueil (contre loyer)"/>
    <m/>
    <n v="0"/>
    <n v="0"/>
    <m/>
    <m/>
    <n v="0"/>
    <s v="Augmentation de 23 ménages pour 212 individus dont 70 hommes et 142 femmes en provenance de Tourou, Ldamang, ouzal. Raison BH et Abris Fat et loc"/>
    <s v="Non"/>
    <m/>
    <m/>
    <m/>
    <m/>
    <m/>
    <m/>
    <m/>
    <m/>
    <m/>
    <m/>
    <m/>
    <m/>
    <m/>
    <m/>
    <m/>
    <s v="Oui"/>
    <n v="156"/>
    <n v="1236"/>
    <n v="600"/>
    <n v="636"/>
    <s v="Entre 1 et 5 ans"/>
    <n v="5"/>
    <n v="50"/>
    <n v="101"/>
    <n v="0"/>
    <n v="0"/>
    <m/>
    <n v="0"/>
    <n v="0"/>
    <m/>
    <n v="0"/>
    <m/>
    <m/>
    <m/>
    <m/>
    <m/>
    <n v="0"/>
    <m/>
    <m/>
    <m/>
    <m/>
    <m/>
    <m/>
    <m/>
    <m/>
    <m/>
    <m/>
    <m/>
    <m/>
    <m/>
    <s v="1"/>
    <s v="0"/>
    <s v="1"/>
    <n v="2"/>
  </r>
  <r>
    <n v="2674346"/>
    <s v="Extrême-Nord"/>
    <s v="CMR004"/>
    <x v="5"/>
    <s v="CMR004006"/>
    <s v="Mokolo"/>
    <s v="CMR004006002"/>
    <s v="MOK-0002"/>
    <s v="DEDEP"/>
    <m/>
    <x v="1"/>
    <n v="10.7304145"/>
    <n v="13.823446499999999"/>
    <x v="0"/>
    <b v="1"/>
    <b v="0"/>
    <b v="0"/>
    <m/>
    <n v="3"/>
    <s v="Accessible"/>
    <m/>
    <s v="Le village accueille une population"/>
    <s v="Le village est intact (construit)"/>
    <m/>
    <m/>
    <s v="Oui"/>
    <s v="Familles d'accueil"/>
    <s v="Location"/>
    <s v="Non"/>
    <m/>
    <n v="1"/>
    <n v="1250"/>
    <s v="Oui"/>
    <s v="Premier déplacement"/>
    <n v="1"/>
    <n v="10"/>
    <n v="4"/>
    <n v="6"/>
    <n v="0"/>
    <n v="1"/>
    <n v="0"/>
    <n v="0"/>
    <m/>
    <m/>
    <n v="0"/>
    <n v="0"/>
    <m/>
    <m/>
    <n v="0"/>
    <s v="Départ d'un ménage de 5 individus"/>
    <s v="Non"/>
    <m/>
    <m/>
    <m/>
    <m/>
    <m/>
    <m/>
    <m/>
    <m/>
    <m/>
    <m/>
    <m/>
    <m/>
    <m/>
    <m/>
    <m/>
    <s v="Non"/>
    <m/>
    <m/>
    <m/>
    <m/>
    <m/>
    <m/>
    <m/>
    <m/>
    <m/>
    <m/>
    <m/>
    <m/>
    <m/>
    <m/>
    <m/>
    <m/>
    <m/>
    <m/>
    <m/>
    <m/>
    <n v="0"/>
    <m/>
    <m/>
    <m/>
    <m/>
    <m/>
    <m/>
    <m/>
    <m/>
    <m/>
    <m/>
    <m/>
    <m/>
    <m/>
    <s v="1"/>
    <s v="0"/>
    <s v="0"/>
    <n v="1"/>
  </r>
  <r>
    <n v="2733363"/>
    <s v="Extrême-Nord"/>
    <s v="CMR004"/>
    <x v="5"/>
    <s v="CMR004006"/>
    <s v="Mokolo"/>
    <s v="CMR004006002"/>
    <s v="MOK-0028"/>
    <s v="DINGUILIND"/>
    <m/>
    <x v="1"/>
    <n v="10.8900854"/>
    <n v="13.742457"/>
    <x v="0"/>
    <b v="1"/>
    <b v="0"/>
    <b v="0"/>
    <m/>
    <n v="3"/>
    <s v="Accessible"/>
    <m/>
    <s v="Le village accueille une population"/>
    <s v="Le village est intact (construit)"/>
    <m/>
    <m/>
    <s v="Oui"/>
    <s v="Familles d'accueil"/>
    <s v="Non, pas du tout"/>
    <s v="Non"/>
    <m/>
    <n v="46"/>
    <n v="200"/>
    <s v="Oui"/>
    <s v="Premier déplacement"/>
    <n v="46"/>
    <n v="301"/>
    <n v="133"/>
    <n v="168"/>
    <n v="0"/>
    <n v="36"/>
    <n v="9"/>
    <n v="0"/>
    <m/>
    <m/>
    <n v="0"/>
    <n v="1"/>
    <s v="Terre cuite/Terre battue"/>
    <m/>
    <n v="0"/>
    <s v="Arrivée de 10 ménages"/>
    <s v="Non"/>
    <m/>
    <m/>
    <m/>
    <m/>
    <m/>
    <m/>
    <m/>
    <m/>
    <m/>
    <m/>
    <m/>
    <m/>
    <m/>
    <m/>
    <m/>
    <s v="Non"/>
    <m/>
    <m/>
    <m/>
    <m/>
    <m/>
    <m/>
    <m/>
    <m/>
    <m/>
    <m/>
    <m/>
    <m/>
    <m/>
    <m/>
    <m/>
    <m/>
    <m/>
    <m/>
    <m/>
    <m/>
    <n v="0"/>
    <m/>
    <m/>
    <m/>
    <m/>
    <m/>
    <m/>
    <m/>
    <m/>
    <m/>
    <m/>
    <m/>
    <m/>
    <m/>
    <s v="1"/>
    <s v="0"/>
    <s v="0"/>
    <n v="1"/>
  </r>
  <r>
    <n v="2626274"/>
    <s v="Extrême-Nord"/>
    <s v="CMR004"/>
    <x v="5"/>
    <s v="CMR004006"/>
    <s v="Mokolo"/>
    <s v="CMR004006002"/>
    <s v="MOK-0003"/>
    <s v="DJALINGO"/>
    <m/>
    <x v="1"/>
    <n v="10.476870099999999"/>
    <n v="13.7890636"/>
    <x v="0"/>
    <b v="1"/>
    <b v="0"/>
    <b v="1"/>
    <m/>
    <n v="3"/>
    <s v="Accessible"/>
    <m/>
    <s v="Le village accueille une population"/>
    <s v="Le village est intact (construit)"/>
    <m/>
    <m/>
    <s v="Oui"/>
    <s v="Familles d'accueil"/>
    <s v="Non, pas du tout"/>
    <s v="Non"/>
    <m/>
    <n v="3"/>
    <n v="1586"/>
    <s v="Oui"/>
    <s v="Premier déplacement"/>
    <n v="3"/>
    <n v="17"/>
    <n v="10"/>
    <n v="7"/>
    <n v="0"/>
    <n v="3"/>
    <n v="0"/>
    <n v="0"/>
    <m/>
    <m/>
    <n v="0"/>
    <n v="0"/>
    <m/>
    <m/>
    <n v="0"/>
    <s v="Arrivée  d'un ménage de trois individus  en provenance  de Ziver montagne  suites  aux attaques "/>
    <s v="Non"/>
    <m/>
    <m/>
    <m/>
    <m/>
    <m/>
    <m/>
    <m/>
    <m/>
    <m/>
    <m/>
    <m/>
    <m/>
    <m/>
    <m/>
    <m/>
    <s v="Oui"/>
    <n v="5"/>
    <n v="24"/>
    <n v="15"/>
    <n v="9"/>
    <s v="5 ans ou plus"/>
    <n v="0"/>
    <n v="5"/>
    <n v="0"/>
    <n v="0"/>
    <n v="0"/>
    <m/>
    <n v="0"/>
    <n v="0"/>
    <m/>
    <n v="0"/>
    <m/>
    <m/>
    <m/>
    <m/>
    <m/>
    <n v="7"/>
    <m/>
    <m/>
    <m/>
    <m/>
    <m/>
    <m/>
    <m/>
    <m/>
    <m/>
    <m/>
    <m/>
    <m/>
    <m/>
    <s v="1"/>
    <s v="0"/>
    <s v="1"/>
    <n v="2"/>
  </r>
  <r>
    <n v="2679446"/>
    <s v="Extrême-Nord"/>
    <s v="CMR004"/>
    <x v="5"/>
    <s v="CMR004006"/>
    <s v="Mokolo"/>
    <s v="CMR004006002"/>
    <s v="MOK-0004"/>
    <s v="DJIMETA"/>
    <m/>
    <x v="1"/>
    <n v="10.7341841"/>
    <n v="13.799898499999999"/>
    <x v="0"/>
    <b v="1"/>
    <b v="0"/>
    <b v="0"/>
    <m/>
    <n v="3"/>
    <s v="Accessible"/>
    <m/>
    <s v="Le village accueille une population"/>
    <s v="Le village est intact (construit)"/>
    <m/>
    <m/>
    <s v="Oui"/>
    <s v="Familles d'accueil"/>
    <s v="Location"/>
    <s v="Non"/>
    <m/>
    <n v="46"/>
    <n v="4700"/>
    <s v="Oui"/>
    <s v="Troisième déplacement"/>
    <n v="46"/>
    <n v="342"/>
    <n v="149"/>
    <n v="193"/>
    <n v="3"/>
    <n v="24"/>
    <n v="0"/>
    <n v="11"/>
    <s v="Chez une famille d'accueil (contre loyer)"/>
    <m/>
    <n v="0"/>
    <n v="8"/>
    <s v="Terre cuite/Terre battue"/>
    <m/>
    <n v="0"/>
    <s v="Ajout de 4 ménages 12 individus"/>
    <s v="Non"/>
    <m/>
    <m/>
    <m/>
    <m/>
    <m/>
    <m/>
    <m/>
    <m/>
    <m/>
    <m/>
    <m/>
    <m/>
    <m/>
    <m/>
    <m/>
    <s v="Oui"/>
    <n v="6"/>
    <n v="36"/>
    <n v="19"/>
    <n v="17"/>
    <s v="5 ans ou plus"/>
    <n v="0"/>
    <n v="0"/>
    <n v="6"/>
    <n v="0"/>
    <n v="0"/>
    <m/>
    <n v="0"/>
    <n v="0"/>
    <m/>
    <n v="0"/>
    <m/>
    <m/>
    <m/>
    <m/>
    <m/>
    <n v="0"/>
    <m/>
    <m/>
    <m/>
    <m/>
    <m/>
    <m/>
    <m/>
    <m/>
    <m/>
    <m/>
    <m/>
    <m/>
    <m/>
    <s v="1"/>
    <s v="0"/>
    <s v="1"/>
    <n v="2"/>
  </r>
  <r>
    <n v="2626273"/>
    <s v="Extrême-Nord"/>
    <s v="CMR004"/>
    <x v="5"/>
    <s v="CMR004006"/>
    <s v="Mokolo"/>
    <s v="CMR004006002"/>
    <s v="MOK-0005"/>
    <s v="GAWAR"/>
    <m/>
    <x v="1"/>
    <n v="10.476522900000001"/>
    <n v="13.7887164"/>
    <x v="0"/>
    <b v="1"/>
    <b v="0"/>
    <b v="1"/>
    <m/>
    <n v="3"/>
    <s v="Accessible"/>
    <m/>
    <s v="Le village accueille une population"/>
    <s v="Le village est intact (construit)"/>
    <m/>
    <m/>
    <s v="Oui"/>
    <s v="Familles d'accueil"/>
    <s v="Non, pas du tout"/>
    <s v="Non"/>
    <m/>
    <n v="67"/>
    <n v="4429"/>
    <s v="Oui"/>
    <s v="Premier déplacement"/>
    <n v="67"/>
    <n v="318"/>
    <n v="156"/>
    <n v="162"/>
    <n v="61"/>
    <n v="6"/>
    <n v="0"/>
    <n v="0"/>
    <m/>
    <m/>
    <n v="0"/>
    <n v="0"/>
    <m/>
    <m/>
    <n v="0"/>
    <s v="Arrive  de deux nouveaux  ménages en provenance  de VOUZOD dans le, arrondissement de Mokolo"/>
    <s v="Oui"/>
    <n v="24"/>
    <n v="124"/>
    <n v="65"/>
    <n v="59"/>
    <n v="24"/>
    <n v="0"/>
    <n v="0"/>
    <m/>
    <n v="0"/>
    <n v="0"/>
    <m/>
    <m/>
    <n v="0"/>
    <n v="10"/>
    <s v="Au cours  de ce round  nous n'avons  noté  aucune augmentation  des réfugiés  hors camp"/>
    <s v="Oui"/>
    <n v="24"/>
    <n v="124"/>
    <n v="65"/>
    <n v="59"/>
    <s v="5 ans ou plus"/>
    <n v="19"/>
    <n v="5"/>
    <n v="0"/>
    <n v="0"/>
    <n v="0"/>
    <m/>
    <n v="0"/>
    <n v="0"/>
    <m/>
    <n v="0"/>
    <m/>
    <m/>
    <m/>
    <m/>
    <m/>
    <n v="25"/>
    <m/>
    <m/>
    <m/>
    <m/>
    <m/>
    <m/>
    <m/>
    <m/>
    <m/>
    <m/>
    <m/>
    <m/>
    <m/>
    <s v="1"/>
    <s v="1"/>
    <s v="1"/>
    <n v="3"/>
  </r>
  <r>
    <n v="2627242"/>
    <s v="Extrême-Nord"/>
    <s v="CMR004"/>
    <x v="5"/>
    <s v="CMR004006"/>
    <s v="Mokolo"/>
    <s v="CMR004006002"/>
    <s v="MOK-0006"/>
    <s v="GOLE KADJOLE"/>
    <m/>
    <x v="1"/>
    <n v="10.709902400000001"/>
    <n v="13.6757624"/>
    <x v="0"/>
    <b v="1"/>
    <b v="0"/>
    <b v="1"/>
    <m/>
    <n v="3"/>
    <s v="Accessible"/>
    <m/>
    <s v="Le village accueille une population"/>
    <s v="Le village est intact (construit)"/>
    <m/>
    <m/>
    <s v="Oui"/>
    <s v="Familles d'accueil"/>
    <s v="Non, pas du tout"/>
    <s v="Non"/>
    <m/>
    <n v="30"/>
    <n v="2000"/>
    <s v="Oui"/>
    <s v="Deuxième déplacement"/>
    <n v="30"/>
    <n v="136"/>
    <n v="60"/>
    <n v="76"/>
    <n v="2"/>
    <n v="28"/>
    <n v="0"/>
    <n v="0"/>
    <m/>
    <m/>
    <n v="0"/>
    <n v="0"/>
    <m/>
    <m/>
    <n v="0"/>
    <s v="Il ya une forte augmentation des déplacés du fait de l'insécurité observée ces derniers temps du côté de Tourou"/>
    <s v="Non"/>
    <m/>
    <m/>
    <m/>
    <m/>
    <m/>
    <m/>
    <m/>
    <m/>
    <m/>
    <m/>
    <m/>
    <m/>
    <m/>
    <m/>
    <m/>
    <s v="Non"/>
    <m/>
    <m/>
    <m/>
    <m/>
    <m/>
    <m/>
    <m/>
    <m/>
    <m/>
    <m/>
    <m/>
    <m/>
    <m/>
    <m/>
    <m/>
    <m/>
    <m/>
    <m/>
    <m/>
    <m/>
    <n v="0"/>
    <m/>
    <m/>
    <m/>
    <m/>
    <m/>
    <m/>
    <m/>
    <m/>
    <m/>
    <m/>
    <m/>
    <m/>
    <m/>
    <s v="1"/>
    <s v="0"/>
    <s v="0"/>
    <n v="1"/>
  </r>
  <r>
    <n v="2678325"/>
    <s v="Extrême-Nord"/>
    <s v="CMR004"/>
    <x v="5"/>
    <s v="CMR004006"/>
    <s v="Mokolo"/>
    <s v="CMR004006002"/>
    <s v="MOK-0042"/>
    <s v="GOSSI"/>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55345"/>
    <s v="Extrême-Nord"/>
    <s v="CMR004"/>
    <x v="5"/>
    <s v="CMR004006"/>
    <s v="Mokolo"/>
    <s v="CMR004006002"/>
    <s v="MOK-0032"/>
    <s v="HIDOUA"/>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45473"/>
    <s v="Extrême-Nord"/>
    <s v="CMR004"/>
    <x v="5"/>
    <s v="CMR004006"/>
    <s v="Mokolo"/>
    <s v="CMR004006002"/>
    <s v="MOK-0030"/>
    <s v="ITAWA"/>
    <m/>
    <x v="1"/>
    <s v="N/A"/>
    <s v="N/A"/>
    <x v="0"/>
    <b v="1"/>
    <b v="0"/>
    <b v="1"/>
    <m/>
    <n v="3"/>
    <s v="Inaccessible - interdit par l'armée"/>
    <m/>
    <s v="Le village est entièrement déserté"/>
    <m/>
    <m/>
    <m/>
    <m/>
    <m/>
    <m/>
    <m/>
    <m/>
    <m/>
    <m/>
    <m/>
    <m/>
    <m/>
    <m/>
    <m/>
    <m/>
    <m/>
    <m/>
    <m/>
    <m/>
    <m/>
    <m/>
    <m/>
    <m/>
    <m/>
    <m/>
    <m/>
    <m/>
    <m/>
    <m/>
    <m/>
    <m/>
    <m/>
    <m/>
    <m/>
    <m/>
    <m/>
    <m/>
    <m/>
    <m/>
    <m/>
    <m/>
    <m/>
    <m/>
    <m/>
    <m/>
    <m/>
    <m/>
    <m/>
    <m/>
    <m/>
    <m/>
    <m/>
    <m/>
    <m/>
    <m/>
    <m/>
    <m/>
    <m/>
    <m/>
    <m/>
    <m/>
    <m/>
    <m/>
    <m/>
    <m/>
    <m/>
    <m/>
    <m/>
    <m/>
    <m/>
    <m/>
    <m/>
    <m/>
    <m/>
    <m/>
    <m/>
    <m/>
    <m/>
    <s v="0"/>
    <s v="0"/>
    <s v="0"/>
    <n v="0"/>
  </r>
  <r>
    <n v="2603699"/>
    <s v="Extrême-Nord"/>
    <s v="CMR004"/>
    <x v="5"/>
    <s v="CMR004006"/>
    <s v="Mokolo"/>
    <s v="CMR004006002"/>
    <s v="MOK-0007"/>
    <s v="KOSSEHONE"/>
    <m/>
    <x v="0"/>
    <n v="10.7185778"/>
    <n v="13.652085899999999"/>
    <x v="0"/>
    <b v="1"/>
    <b v="0"/>
    <b v="1"/>
    <m/>
    <n v="3"/>
    <s v="Accessible"/>
    <m/>
    <s v="Le village accueille une population"/>
    <s v="Le village est intact (construit)"/>
    <m/>
    <m/>
    <s v="Oui"/>
    <s v="Familles d'accueil"/>
    <s v="Non, pas du tout"/>
    <s v="Non"/>
    <m/>
    <n v="200"/>
    <n v="6400"/>
    <s v="Oui"/>
    <s v="Deuxième déplacement"/>
    <n v="200"/>
    <n v="1400"/>
    <n v="652"/>
    <n v="748"/>
    <n v="60"/>
    <n v="100"/>
    <n v="20"/>
    <n v="20"/>
    <s v="Chez une famille d'accueil (contre loyer)"/>
    <m/>
    <n v="0"/>
    <n v="0"/>
    <m/>
    <m/>
    <n v="0"/>
    <s v="Il ya une forte augmentation des déplacés du fait des attaques extrémistes rencontrées à Tourou"/>
    <s v="Oui"/>
    <n v="150"/>
    <n v="485"/>
    <n v="180"/>
    <n v="305"/>
    <n v="150"/>
    <n v="0"/>
    <n v="0"/>
    <m/>
    <n v="0"/>
    <n v="0"/>
    <m/>
    <m/>
    <n v="0"/>
    <n v="30"/>
    <s v="Il n'ya pas assez de mouvements des déplacés ces derniers temps "/>
    <s v="Non"/>
    <m/>
    <m/>
    <m/>
    <m/>
    <m/>
    <m/>
    <m/>
    <m/>
    <m/>
    <m/>
    <m/>
    <m/>
    <m/>
    <m/>
    <m/>
    <m/>
    <m/>
    <m/>
    <m/>
    <m/>
    <n v="0"/>
    <m/>
    <m/>
    <m/>
    <m/>
    <m/>
    <m/>
    <m/>
    <m/>
    <m/>
    <m/>
    <m/>
    <m/>
    <m/>
    <s v="1"/>
    <s v="1"/>
    <s v="0"/>
    <n v="2"/>
  </r>
  <r>
    <n v="2687327"/>
    <s v="Extrême-Nord"/>
    <s v="CMR004"/>
    <x v="5"/>
    <s v="CMR004006"/>
    <s v="Mokolo"/>
    <s v="CMR004006002"/>
    <s v="MOK-0008"/>
    <s v="LAIDE"/>
    <m/>
    <x v="1"/>
    <n v="10.737868199999999"/>
    <n v="13.801252399999999"/>
    <x v="0"/>
    <b v="1"/>
    <b v="0"/>
    <b v="1"/>
    <m/>
    <n v="4"/>
    <s v="Accessible"/>
    <m/>
    <s v="Le village accueille une population"/>
    <s v="Le village est intact (construit)"/>
    <m/>
    <m/>
    <s v="Oui"/>
    <s v="Familles d'accueil"/>
    <s v="Non, pas du tout"/>
    <s v="Non"/>
    <m/>
    <n v="4"/>
    <n v="3420"/>
    <s v="Oui"/>
    <s v="Troisième déplacement"/>
    <n v="4"/>
    <n v="11"/>
    <n v="5"/>
    <n v="6"/>
    <n v="0"/>
    <n v="4"/>
    <n v="0"/>
    <n v="0"/>
    <m/>
    <m/>
    <n v="0"/>
    <n v="0"/>
    <m/>
    <m/>
    <n v="0"/>
    <s v="Constant "/>
    <s v="Non"/>
    <m/>
    <m/>
    <m/>
    <m/>
    <m/>
    <m/>
    <m/>
    <m/>
    <m/>
    <m/>
    <m/>
    <m/>
    <m/>
    <m/>
    <m/>
    <s v="Oui"/>
    <n v="8"/>
    <n v="50"/>
    <n v="22"/>
    <n v="28"/>
    <s v="Entre 3 mois et 1 an"/>
    <n v="0"/>
    <n v="0"/>
    <n v="0"/>
    <n v="8"/>
    <n v="0"/>
    <m/>
    <n v="0"/>
    <n v="0"/>
    <m/>
    <n v="0"/>
    <m/>
    <m/>
    <m/>
    <m/>
    <m/>
    <n v="0"/>
    <m/>
    <m/>
    <m/>
    <m/>
    <m/>
    <m/>
    <m/>
    <m/>
    <m/>
    <m/>
    <m/>
    <m/>
    <m/>
    <s v="1"/>
    <s v="0"/>
    <s v="1"/>
    <n v="2"/>
  </r>
  <r>
    <n v="2733639"/>
    <s v="Extrême-Nord"/>
    <s v="CMR004"/>
    <x v="5"/>
    <s v="CMR004006"/>
    <s v="Mokolo"/>
    <s v="CMR004006002"/>
    <s v="MOK-0055"/>
    <s v="LAMORDE"/>
    <m/>
    <x v="0"/>
    <n v="10.7408213"/>
    <n v="13.801013599999999"/>
    <x v="0"/>
    <b v="1"/>
    <b v="0"/>
    <b v="1"/>
    <m/>
    <n v="3"/>
    <s v="Accessible"/>
    <m/>
    <s v="Le village accueille une population"/>
    <s v="Le village est intact (construit)"/>
    <m/>
    <m/>
    <s v="Oui"/>
    <s v="Familles d'accueil"/>
    <s v="Non, pas du tout"/>
    <s v="Non"/>
    <m/>
    <n v="173"/>
    <n v="3000"/>
    <s v="Oui"/>
    <s v="Deuxième déplacement"/>
    <n v="173"/>
    <n v="1145"/>
    <n v="450"/>
    <n v="695"/>
    <n v="0"/>
    <n v="0"/>
    <n v="115"/>
    <n v="58"/>
    <s v="Chez une famille d'accueil (contre loyer)"/>
    <m/>
    <n v="0"/>
    <n v="0"/>
    <m/>
    <m/>
    <n v="0"/>
    <s v="Ajout de 22 ménages de 103 individus "/>
    <s v="Non"/>
    <m/>
    <m/>
    <m/>
    <m/>
    <m/>
    <m/>
    <m/>
    <m/>
    <m/>
    <m/>
    <m/>
    <m/>
    <m/>
    <m/>
    <m/>
    <s v="Non"/>
    <m/>
    <m/>
    <m/>
    <m/>
    <m/>
    <m/>
    <m/>
    <m/>
    <m/>
    <m/>
    <m/>
    <m/>
    <m/>
    <m/>
    <m/>
    <m/>
    <m/>
    <m/>
    <m/>
    <m/>
    <n v="0"/>
    <m/>
    <m/>
    <m/>
    <m/>
    <m/>
    <m/>
    <m/>
    <m/>
    <m/>
    <m/>
    <m/>
    <m/>
    <m/>
    <s v="1"/>
    <s v="0"/>
    <s v="0"/>
    <n v="1"/>
  </r>
  <r>
    <n v="2559627"/>
    <s v="Extrême-Nord"/>
    <s v="CMR004"/>
    <x v="5"/>
    <s v="CMR004006"/>
    <s v="Mokolo"/>
    <s v="CMR004006002"/>
    <s v="MOK-0031"/>
    <s v="LDAGODJA"/>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82572"/>
    <s v="Extrême-Nord"/>
    <s v="CMR004"/>
    <x v="5"/>
    <s v="CMR004006"/>
    <s v="Mokolo"/>
    <s v="CMR004006002"/>
    <s v="MOK-0027"/>
    <s v="LDAMANG"/>
    <m/>
    <x v="1"/>
    <n v="10.829046"/>
    <n v="13.7028883"/>
    <x v="0"/>
    <b v="1"/>
    <b v="0"/>
    <b v="1"/>
    <m/>
    <n v="4"/>
    <s v="Accessible"/>
    <m/>
    <s v="Le village accueille une population"/>
    <s v="Le village est intact (construit)"/>
    <m/>
    <m/>
    <s v="Oui"/>
    <s v="Familles d'accueil"/>
    <s v="Non, pas du tout"/>
    <s v="Non"/>
    <m/>
    <n v="296"/>
    <n v="8054"/>
    <s v="Oui"/>
    <s v="Deuxième déplacement"/>
    <n v="296"/>
    <n v="2009"/>
    <n v="1054"/>
    <n v="955"/>
    <n v="0"/>
    <n v="43"/>
    <n v="45"/>
    <n v="208"/>
    <s v="Chez une famille d'accueil (contre loyer)"/>
    <m/>
    <n v="0"/>
    <n v="0"/>
    <m/>
    <m/>
    <n v="0"/>
    <s v="Ldamang , augmentation de 70 ménags pour 840 individus dont 240 hommes et 600 Femmes . naissances 2 filles et 1 Garçon. Abris spontané et Fat. Départ de 45 ménages pour 475 individus (175hommes et 300 femmes) pour Magoumaz, Tada, Goraï-Sirak Garoua, Maroua, Zamalva. Abris.  "/>
    <s v="Oui"/>
    <n v="86"/>
    <n v="564"/>
    <n v="198"/>
    <n v="366"/>
    <n v="18"/>
    <n v="10"/>
    <n v="58"/>
    <s v="Chez une famille d'accueil (contre loyer)"/>
    <n v="0"/>
    <n v="0"/>
    <m/>
    <m/>
    <n v="0"/>
    <n v="0"/>
    <s v="CONSTANT ET BESOIN CARTE RÉFUGIÉS "/>
    <s v="Oui"/>
    <n v="70"/>
    <n v="356"/>
    <n v="237"/>
    <n v="119"/>
    <s v="Entre 3 mois et 1 an"/>
    <n v="30"/>
    <n v="20"/>
    <n v="18"/>
    <n v="2"/>
    <n v="0"/>
    <m/>
    <n v="0"/>
    <n v="0"/>
    <m/>
    <n v="0"/>
    <m/>
    <m/>
    <m/>
    <m/>
    <m/>
    <n v="0"/>
    <m/>
    <m/>
    <m/>
    <m/>
    <m/>
    <m/>
    <m/>
    <m/>
    <m/>
    <m/>
    <m/>
    <m/>
    <m/>
    <s v="1"/>
    <s v="1"/>
    <s v="1"/>
    <n v="3"/>
  </r>
  <r>
    <n v="2655335"/>
    <s v="Extrême-Nord"/>
    <s v="CMR004"/>
    <x v="5"/>
    <s v="CMR004006"/>
    <s v="Mokolo"/>
    <s v="CMR004006002"/>
    <s v="MOK-0046"/>
    <s v="LDAMTSAI"/>
    <m/>
    <x v="1"/>
    <n v="10.752099599999999"/>
    <n v="13.7990657"/>
    <x v="0"/>
    <b v="1"/>
    <b v="0"/>
    <b v="1"/>
    <m/>
    <n v="3"/>
    <s v="Accessible"/>
    <m/>
    <s v="Le village accueille une population"/>
    <s v="Le village est intact (construit)"/>
    <m/>
    <m/>
    <s v="Oui"/>
    <s v="Familles d'accueil"/>
    <s v="Location"/>
    <s v="Non"/>
    <m/>
    <n v="40"/>
    <n v="1373"/>
    <s v="Oui"/>
    <s v="Premier déplacement"/>
    <n v="40"/>
    <n v="293"/>
    <n v="100"/>
    <n v="193"/>
    <n v="0"/>
    <n v="13"/>
    <n v="7"/>
    <n v="20"/>
    <s v="Chez une famille d'accueil (contre loyer)"/>
    <m/>
    <n v="0"/>
    <n v="0"/>
    <m/>
    <m/>
    <n v="0"/>
    <s v="Ajout de 6 ménages pour 27 individus"/>
    <s v="Non"/>
    <m/>
    <m/>
    <m/>
    <m/>
    <m/>
    <m/>
    <m/>
    <m/>
    <m/>
    <m/>
    <m/>
    <m/>
    <m/>
    <m/>
    <m/>
    <s v="Non"/>
    <m/>
    <m/>
    <m/>
    <m/>
    <m/>
    <m/>
    <m/>
    <m/>
    <m/>
    <m/>
    <m/>
    <m/>
    <m/>
    <m/>
    <m/>
    <m/>
    <m/>
    <m/>
    <m/>
    <m/>
    <n v="0"/>
    <m/>
    <m/>
    <m/>
    <m/>
    <m/>
    <m/>
    <m/>
    <m/>
    <m/>
    <m/>
    <m/>
    <m/>
    <m/>
    <s v="1"/>
    <s v="0"/>
    <s v="0"/>
    <n v="1"/>
  </r>
  <r>
    <n v="2683419"/>
    <s v="Extrême-Nord"/>
    <s v="CMR004"/>
    <x v="5"/>
    <s v="CMR004006"/>
    <s v="Mokolo"/>
    <s v="CMR004006002"/>
    <s v="MOK-0033"/>
    <s v="LDUBAM"/>
    <m/>
    <x v="1"/>
    <n v="10.926455499999999"/>
    <n v="13.7305186"/>
    <x v="0"/>
    <b v="1"/>
    <b v="0"/>
    <b v="1"/>
    <m/>
    <n v="4"/>
    <s v="Accessible"/>
    <m/>
    <s v="Le village accueille une population"/>
    <s v="Le village est intact (construit)"/>
    <m/>
    <m/>
    <s v="Oui"/>
    <s v="Familles d'accueil"/>
    <s v="Non, pas du tout"/>
    <s v="Non"/>
    <m/>
    <n v="65"/>
    <n v="1567"/>
    <s v="Oui"/>
    <s v="Deuxième déplacement"/>
    <n v="65"/>
    <n v="246"/>
    <n v="46"/>
    <n v="200"/>
    <n v="18"/>
    <n v="10"/>
    <n v="37"/>
    <n v="0"/>
    <m/>
    <m/>
    <n v="0"/>
    <n v="0"/>
    <m/>
    <m/>
    <n v="0"/>
    <s v="Augmentation de 50 ménages Pour 118 individus dont 48 hommes et 70 femmes en provenance de Ldagodja, Toufou 2, Loktcha, Ndrock.  Départ de 40 ménages pour 110 individus dont 35 hommes et 75 femmes pour Mokolo, Maroua, Tada et Goraï-Sirak _x000a_Abris : FAT, abris spontané_x000a_Raison BH. "/>
    <s v="Oui"/>
    <n v="86"/>
    <n v="564"/>
    <n v="198"/>
    <n v="366"/>
    <n v="18"/>
    <n v="10"/>
    <n v="58"/>
    <s v="Chez une famille d'accueil (contre loyer)"/>
    <n v="0"/>
    <n v="0"/>
    <m/>
    <m/>
    <n v="0"/>
    <n v="0"/>
    <s v="Constant. "/>
    <s v="Oui"/>
    <n v="70"/>
    <n v="356"/>
    <n v="237"/>
    <n v="119"/>
    <s v="Entre 3 mois et 1 an"/>
    <n v="30"/>
    <n v="20"/>
    <n v="18"/>
    <n v="2"/>
    <n v="0"/>
    <m/>
    <n v="0"/>
    <n v="0"/>
    <m/>
    <n v="0"/>
    <m/>
    <m/>
    <m/>
    <m/>
    <m/>
    <n v="0"/>
    <m/>
    <m/>
    <m/>
    <m/>
    <m/>
    <m/>
    <m/>
    <m/>
    <m/>
    <m/>
    <m/>
    <m/>
    <m/>
    <s v="1"/>
    <s v="1"/>
    <s v="1"/>
    <n v="3"/>
  </r>
  <r>
    <n v="2678326"/>
    <s v="Extrême-Nord"/>
    <s v="CMR004"/>
    <x v="5"/>
    <s v="CMR004006"/>
    <s v="Mokolo"/>
    <s v="CMR004006002"/>
    <s v="MOK-0059"/>
    <s v="MABASS"/>
    <m/>
    <x v="1"/>
    <n v="10.595704599999999"/>
    <n v="14.3245629"/>
    <x v="0"/>
    <b v="1"/>
    <b v="0"/>
    <b v="0"/>
    <m/>
    <n v="3"/>
    <s v="Accessible"/>
    <m/>
    <s v="Le village accueille une population"/>
    <s v="Le village est intact (construit)"/>
    <m/>
    <m/>
    <s v="Oui"/>
    <s v="Familles d'accueil"/>
    <s v="Non, pas du tout"/>
    <s v="Non"/>
    <m/>
    <n v="172"/>
    <n v="3460"/>
    <s v="Oui"/>
    <s v="Premier déplacement"/>
    <n v="172"/>
    <n v="630"/>
    <n v="265"/>
    <n v="365"/>
    <n v="0"/>
    <n v="172"/>
    <n v="0"/>
    <n v="0"/>
    <m/>
    <m/>
    <n v="0"/>
    <n v="0"/>
    <m/>
    <m/>
    <n v="0"/>
    <s v="Ajout de 83 ménages pour 319 individus dont 115 hommes et 204 femmes"/>
    <s v="Oui"/>
    <n v="7"/>
    <n v="51"/>
    <n v="17"/>
    <n v="34"/>
    <n v="0"/>
    <n v="0"/>
    <n v="7"/>
    <s v="Chez une famille d'accueil (contre loyer)"/>
    <n v="0"/>
    <n v="0"/>
    <m/>
    <m/>
    <n v="0"/>
    <n v="0"/>
    <s v="Ajout de 07 ménages pour 51 individus dont 17 hommes et 34 femmes"/>
    <s v="Oui"/>
    <n v="20"/>
    <n v="90"/>
    <n v="34"/>
    <n v="56"/>
    <s v="Entre 3 mois et 1 an"/>
    <n v="0"/>
    <n v="20"/>
    <n v="0"/>
    <n v="0"/>
    <n v="0"/>
    <m/>
    <n v="0"/>
    <n v="0"/>
    <m/>
    <n v="0"/>
    <m/>
    <m/>
    <m/>
    <m/>
    <m/>
    <n v="0"/>
    <m/>
    <m/>
    <m/>
    <m/>
    <m/>
    <m/>
    <m/>
    <m/>
    <m/>
    <m/>
    <m/>
    <m/>
    <m/>
    <s v="1"/>
    <s v="1"/>
    <s v="1"/>
    <n v="3"/>
  </r>
  <r>
    <n v="2672936"/>
    <s v="Extrême-Nord"/>
    <s v="CMR004"/>
    <x v="5"/>
    <s v="CMR004006"/>
    <s v="Mokolo"/>
    <s v="CMR004006002"/>
    <s v="MOK-0009"/>
    <s v="MAGOUMAZ"/>
    <m/>
    <x v="1"/>
    <n v="10.8220957"/>
    <n v="13.7619408"/>
    <x v="0"/>
    <b v="1"/>
    <b v="0"/>
    <b v="1"/>
    <m/>
    <n v="4"/>
    <s v="Accessible"/>
    <m/>
    <s v="Le village accueille une population"/>
    <s v="Le village est intact (construit)"/>
    <m/>
    <m/>
    <s v="Oui"/>
    <s v="Familles d'accueil"/>
    <s v="Non, pas du tout"/>
    <s v="Non"/>
    <m/>
    <n v="284"/>
    <n v="5639"/>
    <s v="Oui"/>
    <s v="Premier déplacement"/>
    <n v="284"/>
    <n v="1465"/>
    <n v="687"/>
    <n v="778"/>
    <n v="0"/>
    <n v="254"/>
    <n v="12"/>
    <n v="18"/>
    <s v="Chez une famille d'accueil (contre loyer)"/>
    <m/>
    <n v="0"/>
    <n v="0"/>
    <m/>
    <m/>
    <n v="0"/>
    <s v="Augmentation de 60 ménages pour 420 individus dont 122 hommes et 398 femmes en provenance de Ldamang Tourou, Ndrock, Ldagodja Toufou. Raison BH. Abris spontané et Fat.  Départ de 30 ménages pour 65 individus dont 25 hommes et 30 femmes en direction de Tada , Goraï-Sirak, Garoua, Zamalva et Mokolo"/>
    <s v="Oui"/>
    <n v="36"/>
    <n v="195"/>
    <n v="91"/>
    <n v="104"/>
    <n v="36"/>
    <n v="0"/>
    <n v="0"/>
    <m/>
    <n v="0"/>
    <n v="0"/>
    <m/>
    <m/>
    <n v="0"/>
    <n v="0"/>
    <s v="Constant "/>
    <s v="Non"/>
    <m/>
    <m/>
    <m/>
    <m/>
    <m/>
    <m/>
    <m/>
    <m/>
    <m/>
    <m/>
    <m/>
    <m/>
    <m/>
    <m/>
    <m/>
    <m/>
    <m/>
    <m/>
    <m/>
    <m/>
    <n v="0"/>
    <m/>
    <m/>
    <m/>
    <m/>
    <m/>
    <m/>
    <m/>
    <m/>
    <m/>
    <m/>
    <m/>
    <m/>
    <m/>
    <s v="1"/>
    <s v="1"/>
    <s v="0"/>
    <n v="2"/>
  </r>
  <r>
    <n v="2543794"/>
    <s v="Extrême-Nord"/>
    <s v="CMR004"/>
    <x v="5"/>
    <s v="CMR004006"/>
    <s v="Mokolo"/>
    <s v="CMR004006002"/>
    <s v="MOK-0036"/>
    <s v="MANDAKA"/>
    <m/>
    <x v="1"/>
    <n v="10.728803600000001"/>
    <n v="13.849851900000001"/>
    <x v="0"/>
    <b v="1"/>
    <b v="0"/>
    <b v="1"/>
    <m/>
    <n v="3"/>
    <s v="Accessible"/>
    <m/>
    <s v="Le village accueille une population"/>
    <s v="Le village est intact (construit)"/>
    <m/>
    <m/>
    <s v="Oui"/>
    <s v="Familles d'accueil"/>
    <s v="Non, pas du tout"/>
    <s v="Non"/>
    <m/>
    <n v="3"/>
    <n v="3000"/>
    <s v="Oui"/>
    <s v="Premier déplacement"/>
    <n v="3"/>
    <n v="12"/>
    <n v="5"/>
    <n v="7"/>
    <n v="0"/>
    <n v="3"/>
    <n v="0"/>
    <n v="0"/>
    <m/>
    <m/>
    <n v="0"/>
    <n v="0"/>
    <m/>
    <m/>
    <n v="0"/>
    <s v="Il n'ya pas assez de déplacés dans le village"/>
    <s v="Non"/>
    <m/>
    <m/>
    <m/>
    <m/>
    <m/>
    <m/>
    <m/>
    <m/>
    <m/>
    <m/>
    <m/>
    <m/>
    <m/>
    <m/>
    <m/>
    <s v="Non"/>
    <m/>
    <m/>
    <m/>
    <m/>
    <m/>
    <m/>
    <m/>
    <m/>
    <m/>
    <m/>
    <m/>
    <m/>
    <m/>
    <m/>
    <m/>
    <m/>
    <m/>
    <m/>
    <m/>
    <m/>
    <n v="0"/>
    <m/>
    <m/>
    <m/>
    <m/>
    <m/>
    <m/>
    <m/>
    <m/>
    <m/>
    <m/>
    <m/>
    <m/>
    <m/>
    <s v="1"/>
    <s v="0"/>
    <s v="0"/>
    <n v="1"/>
  </r>
  <r>
    <n v="2655344"/>
    <s v="Extrême-Nord"/>
    <s v="CMR004"/>
    <x v="5"/>
    <s v="CMR004006"/>
    <s v="Mokolo"/>
    <s v="CMR004006002"/>
    <s v="MOK-0056"/>
    <s v="MAVOUMAY"/>
    <m/>
    <x v="1"/>
    <n v="10.7514196"/>
    <n v="13.7469745"/>
    <x v="0"/>
    <b v="1"/>
    <b v="0"/>
    <b v="1"/>
    <m/>
    <n v="3"/>
    <s v="Accessible"/>
    <m/>
    <s v="Le village accueille une population"/>
    <s v="Le village est intact (construit)"/>
    <m/>
    <m/>
    <s v="Oui"/>
    <s v="Familles d'accueil"/>
    <s v="Air libre"/>
    <s v="Non"/>
    <m/>
    <n v="70"/>
    <n v="3905"/>
    <s v="Oui"/>
    <s v="Premier déplacement"/>
    <n v="70"/>
    <n v="462"/>
    <n v="196"/>
    <n v="266"/>
    <n v="0"/>
    <n v="60"/>
    <n v="0"/>
    <n v="0"/>
    <m/>
    <m/>
    <n v="0"/>
    <n v="0"/>
    <m/>
    <m/>
    <n v="10"/>
    <s v="Ajout de 15 ménages pour 100 individus en provenance de Tourou,  Doubam"/>
    <s v="Non"/>
    <m/>
    <m/>
    <m/>
    <m/>
    <m/>
    <m/>
    <m/>
    <m/>
    <m/>
    <m/>
    <m/>
    <m/>
    <m/>
    <m/>
    <m/>
    <s v="Non"/>
    <m/>
    <m/>
    <m/>
    <m/>
    <m/>
    <m/>
    <m/>
    <m/>
    <m/>
    <m/>
    <m/>
    <m/>
    <m/>
    <m/>
    <m/>
    <m/>
    <m/>
    <m/>
    <m/>
    <m/>
    <n v="0"/>
    <m/>
    <m/>
    <m/>
    <m/>
    <m/>
    <m/>
    <m/>
    <m/>
    <m/>
    <m/>
    <m/>
    <m/>
    <m/>
    <s v="1"/>
    <s v="0"/>
    <s v="0"/>
    <n v="1"/>
  </r>
  <r>
    <n v="2627442"/>
    <s v="Extrême-Nord"/>
    <s v="CMR004"/>
    <x v="5"/>
    <s v="CMR004006"/>
    <s v="Mokolo"/>
    <s v="CMR004006002"/>
    <s v="MOK-0011"/>
    <s v="MAXI MABASS"/>
    <m/>
    <x v="1"/>
    <n v="10.804877400000001"/>
    <n v="13.660928699999999"/>
    <x v="0"/>
    <b v="1"/>
    <b v="0"/>
    <b v="1"/>
    <m/>
    <n v="3"/>
    <s v="Accessible"/>
    <m/>
    <s v="Le village accueille une population"/>
    <s v="Le village est intact (construit)"/>
    <m/>
    <m/>
    <s v="Oui"/>
    <s v="Familles d'accueil"/>
    <s v="Non, pas du tout"/>
    <s v="Non"/>
    <m/>
    <n v="195"/>
    <n v="6000"/>
    <s v="Oui"/>
    <s v="Troisième déplacement"/>
    <n v="195"/>
    <n v="806"/>
    <n v="365"/>
    <n v="441"/>
    <n v="10"/>
    <n v="185"/>
    <n v="0"/>
    <n v="0"/>
    <m/>
    <m/>
    <n v="0"/>
    <n v="0"/>
    <m/>
    <m/>
    <n v="0"/>
    <s v="Il ya une augmentation de déplacés dus aux mouvements de déplacement de la population"/>
    <s v="Non"/>
    <m/>
    <m/>
    <m/>
    <m/>
    <m/>
    <m/>
    <m/>
    <m/>
    <m/>
    <m/>
    <m/>
    <m/>
    <m/>
    <m/>
    <m/>
    <s v="Non"/>
    <m/>
    <m/>
    <m/>
    <m/>
    <m/>
    <m/>
    <m/>
    <m/>
    <m/>
    <m/>
    <m/>
    <m/>
    <m/>
    <m/>
    <m/>
    <m/>
    <m/>
    <m/>
    <m/>
    <m/>
    <n v="0"/>
    <m/>
    <m/>
    <m/>
    <m/>
    <m/>
    <m/>
    <m/>
    <m/>
    <m/>
    <m/>
    <m/>
    <m/>
    <m/>
    <s v="1"/>
    <s v="0"/>
    <s v="0"/>
    <n v="1"/>
  </r>
  <r>
    <n v="2636528"/>
    <s v="Extrême-Nord"/>
    <s v="CMR004"/>
    <x v="5"/>
    <s v="CMR004006"/>
    <s v="Mokolo"/>
    <s v="CMR004006002"/>
    <s v="MOK-0035"/>
    <s v="MAYO SANGUE"/>
    <m/>
    <x v="1"/>
    <n v="10.613811200000001"/>
    <n v="13.9267406"/>
    <x v="0"/>
    <b v="1"/>
    <b v="0"/>
    <b v="1"/>
    <m/>
    <n v="3"/>
    <s v="Accessible"/>
    <m/>
    <s v="Le village accueille une population"/>
    <s v="Le village est intact (construit)"/>
    <m/>
    <m/>
    <s v="Oui"/>
    <s v="Sites de déplacement spontanés"/>
    <s v="Non, pas du tout"/>
    <s v="Oui"/>
    <n v="1"/>
    <n v="66"/>
    <n v="2000"/>
    <s v="Oui"/>
    <s v="Deuxième déplacement"/>
    <n v="66"/>
    <n v="469"/>
    <n v="204"/>
    <n v="265"/>
    <n v="0"/>
    <n v="0"/>
    <n v="0"/>
    <n v="0"/>
    <m/>
    <m/>
    <n v="0"/>
    <n v="66"/>
    <s v="Terre cuite/Terre battue"/>
    <m/>
    <n v="0"/>
    <s v="RAS"/>
    <s v="Non"/>
    <m/>
    <m/>
    <m/>
    <m/>
    <m/>
    <m/>
    <m/>
    <m/>
    <m/>
    <m/>
    <m/>
    <m/>
    <m/>
    <m/>
    <m/>
    <s v="Non"/>
    <m/>
    <m/>
    <m/>
    <m/>
    <m/>
    <m/>
    <m/>
    <m/>
    <m/>
    <m/>
    <m/>
    <m/>
    <m/>
    <m/>
    <m/>
    <m/>
    <m/>
    <m/>
    <m/>
    <m/>
    <n v="0"/>
    <m/>
    <m/>
    <m/>
    <m/>
    <m/>
    <m/>
    <m/>
    <m/>
    <m/>
    <m/>
    <m/>
    <m/>
    <m/>
    <s v="1"/>
    <s v="0"/>
    <s v="0"/>
    <n v="1"/>
  </r>
  <r>
    <n v="2680351"/>
    <s v="Extrême-Nord"/>
    <s v="CMR004"/>
    <x v="5"/>
    <s v="CMR004006"/>
    <s v="Mokolo"/>
    <s v="CMR004006002"/>
    <s v="MOK-0012"/>
    <s v="MBOUA ZIMAGAZAK"/>
    <m/>
    <x v="1"/>
    <n v="10.7479531"/>
    <n v="13.7942182"/>
    <x v="0"/>
    <b v="1"/>
    <b v="0"/>
    <b v="0"/>
    <m/>
    <n v="3"/>
    <s v="Accessible"/>
    <m/>
    <s v="Le village accueille une population"/>
    <s v="Le village est intact (construit)"/>
    <m/>
    <m/>
    <s v="Oui"/>
    <s v="Familles d'accueil"/>
    <s v="Location"/>
    <s v="Non"/>
    <m/>
    <n v="81"/>
    <n v="9000"/>
    <s v="Oui"/>
    <s v="Troisième déplacement"/>
    <n v="81"/>
    <n v="377"/>
    <n v="199"/>
    <n v="178"/>
    <n v="0"/>
    <n v="75"/>
    <n v="5"/>
    <n v="1"/>
    <s v="Logement indépendant (Maison indépendante)"/>
    <m/>
    <n v="0"/>
    <n v="0"/>
    <m/>
    <m/>
    <n v="0"/>
    <s v="Ajout de 50 ménages du au conflit très ressens de tourou"/>
    <s v="Non"/>
    <m/>
    <m/>
    <m/>
    <m/>
    <m/>
    <m/>
    <m/>
    <m/>
    <m/>
    <m/>
    <m/>
    <m/>
    <m/>
    <m/>
    <m/>
    <s v="Oui"/>
    <n v="102"/>
    <n v="154"/>
    <n v="58"/>
    <n v="96"/>
    <s v="5 ans ou plus"/>
    <n v="0"/>
    <n v="0"/>
    <n v="50"/>
    <n v="0"/>
    <n v="52"/>
    <s v="Logement indépendant (Maison indépendante)"/>
    <n v="0"/>
    <n v="0"/>
    <m/>
    <n v="0"/>
    <m/>
    <m/>
    <m/>
    <m/>
    <m/>
    <n v="0"/>
    <m/>
    <m/>
    <m/>
    <m/>
    <m/>
    <m/>
    <m/>
    <m/>
    <m/>
    <m/>
    <m/>
    <m/>
    <m/>
    <s v="1"/>
    <s v="0"/>
    <s v="1"/>
    <n v="2"/>
  </r>
  <r>
    <n v="2655333"/>
    <s v="Extrême-Nord"/>
    <s v="CMR004"/>
    <x v="5"/>
    <s v="CMR004006"/>
    <s v="Mokolo"/>
    <s v="CMR004006002"/>
    <s v="MOK-0010"/>
    <s v="MENDEZE"/>
    <m/>
    <x v="1"/>
    <n v="10.740952800000001"/>
    <n v="13.820138500000001"/>
    <x v="0"/>
    <b v="1"/>
    <b v="0"/>
    <b v="1"/>
    <m/>
    <n v="3"/>
    <s v="Accessible"/>
    <m/>
    <s v="Le village accueille une population"/>
    <s v="Le village est intact (construit)"/>
    <m/>
    <m/>
    <s v="Oui"/>
    <s v="Familles d'accueil"/>
    <s v="Location"/>
    <s v="Non"/>
    <m/>
    <n v="20"/>
    <n v="2523"/>
    <s v="Oui"/>
    <s v="Deuxième déplacement"/>
    <n v="20"/>
    <n v="119"/>
    <n v="56"/>
    <n v="63"/>
    <n v="0"/>
    <n v="13"/>
    <n v="0"/>
    <n v="7"/>
    <s v="Chez une famille d'accueil (contre loyer)"/>
    <m/>
    <n v="0"/>
    <n v="0"/>
    <m/>
    <m/>
    <n v="0"/>
    <s v="Ajout de 5 ménages pour 15 individus dont 6 hommes et 9 femmes. Provenance :Mayo-Moskota"/>
    <s v="Non"/>
    <m/>
    <m/>
    <m/>
    <m/>
    <m/>
    <m/>
    <m/>
    <m/>
    <m/>
    <m/>
    <m/>
    <m/>
    <m/>
    <m/>
    <m/>
    <s v="Non"/>
    <m/>
    <m/>
    <m/>
    <m/>
    <m/>
    <m/>
    <m/>
    <m/>
    <m/>
    <m/>
    <m/>
    <m/>
    <m/>
    <m/>
    <m/>
    <m/>
    <m/>
    <m/>
    <m/>
    <m/>
    <n v="0"/>
    <m/>
    <m/>
    <m/>
    <m/>
    <m/>
    <m/>
    <m/>
    <m/>
    <m/>
    <m/>
    <m/>
    <m/>
    <m/>
    <s v="1"/>
    <s v="0"/>
    <s v="0"/>
    <n v="1"/>
  </r>
  <r>
    <n v="2655347"/>
    <s v="Extrême-Nord"/>
    <s v="CMR004"/>
    <x v="5"/>
    <s v="CMR004006"/>
    <s v="Mokolo"/>
    <s v="CMR004006002"/>
    <s v="MOK-0043"/>
    <s v="MITCHATCHIA"/>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88398"/>
    <s v="Extrême-Nord"/>
    <s v="CMR004"/>
    <x v="5"/>
    <s v="CMR004006"/>
    <s v="Mokolo"/>
    <s v="CMR004006002"/>
    <s v="MOK-0048"/>
    <s v="MOKOLA"/>
    <m/>
    <x v="1"/>
    <n v="10.7882167"/>
    <n v="13.8301424"/>
    <x v="0"/>
    <b v="1"/>
    <b v="0"/>
    <b v="1"/>
    <m/>
    <n v="4"/>
    <s v="Accessible"/>
    <m/>
    <s v="Le village accueille une population"/>
    <s v="Le village est intact (construit)"/>
    <m/>
    <m/>
    <s v="Oui"/>
    <s v="Familles d'accueil"/>
    <s v="Non, pas du tout"/>
    <s v="Non"/>
    <m/>
    <n v="51"/>
    <n v="9246"/>
    <s v="Oui"/>
    <s v="Deuxième déplacement"/>
    <n v="51"/>
    <n v="270"/>
    <n v="123"/>
    <n v="147"/>
    <n v="0"/>
    <n v="42"/>
    <n v="9"/>
    <n v="0"/>
    <m/>
    <m/>
    <n v="0"/>
    <n v="0"/>
    <m/>
    <m/>
    <n v="0"/>
    <s v="Augmentation de 25 ménages pour 119 individus dont 53 hommes et 66 femmes en provenance de Tourou, Ldubam, Nguetchewé . Raison BH abis Fat. Besoin abris, vivres et points d'eaux "/>
    <s v="Non"/>
    <m/>
    <m/>
    <m/>
    <m/>
    <m/>
    <m/>
    <m/>
    <m/>
    <m/>
    <m/>
    <m/>
    <m/>
    <m/>
    <m/>
    <m/>
    <s v="Non"/>
    <m/>
    <m/>
    <m/>
    <m/>
    <m/>
    <m/>
    <m/>
    <m/>
    <m/>
    <m/>
    <m/>
    <m/>
    <m/>
    <m/>
    <m/>
    <m/>
    <m/>
    <m/>
    <m/>
    <m/>
    <n v="0"/>
    <m/>
    <m/>
    <m/>
    <m/>
    <m/>
    <m/>
    <m/>
    <m/>
    <m/>
    <m/>
    <m/>
    <m/>
    <m/>
    <s v="1"/>
    <s v="0"/>
    <s v="0"/>
    <n v="1"/>
  </r>
  <r>
    <n v="2684951"/>
    <s v="Extrême-Nord"/>
    <s v="CMR004"/>
    <x v="5"/>
    <s v="CMR004006"/>
    <s v="Mokolo"/>
    <s v="CMR004006002"/>
    <s v="MOK-0013"/>
    <s v="MOKONG"/>
    <m/>
    <x v="0"/>
    <n v="10.5866442"/>
    <n v="14.0056756"/>
    <x v="0"/>
    <b v="1"/>
    <b v="0"/>
    <b v="0"/>
    <m/>
    <n v="3"/>
    <s v="Accessible"/>
    <m/>
    <s v="Le village accueille une population"/>
    <s v="Le village est intact (construit)"/>
    <m/>
    <m/>
    <s v="Oui"/>
    <s v="Familles d'accueil"/>
    <s v="Non, pas du tout"/>
    <s v="Non"/>
    <m/>
    <n v="13"/>
    <n v="6000"/>
    <s v="Oui"/>
    <s v="Deuxième déplacement"/>
    <n v="13"/>
    <n v="77"/>
    <n v="27"/>
    <n v="50"/>
    <n v="2"/>
    <n v="10"/>
    <n v="0"/>
    <n v="1"/>
    <s v="Chez une famille d'accueil (contre loyer)"/>
    <m/>
    <n v="0"/>
    <n v="0"/>
    <m/>
    <m/>
    <n v="0"/>
    <s v="Ajout d'un ménage de 7 individus "/>
    <s v="Non"/>
    <m/>
    <m/>
    <m/>
    <m/>
    <m/>
    <m/>
    <m/>
    <m/>
    <m/>
    <m/>
    <m/>
    <m/>
    <m/>
    <m/>
    <m/>
    <s v="Non"/>
    <m/>
    <m/>
    <m/>
    <m/>
    <m/>
    <m/>
    <m/>
    <m/>
    <m/>
    <m/>
    <m/>
    <m/>
    <m/>
    <m/>
    <m/>
    <m/>
    <m/>
    <m/>
    <m/>
    <m/>
    <n v="0"/>
    <m/>
    <m/>
    <m/>
    <m/>
    <m/>
    <m/>
    <m/>
    <m/>
    <m/>
    <m/>
    <m/>
    <m/>
    <m/>
    <s v="1"/>
    <s v="0"/>
    <s v="0"/>
    <n v="1"/>
  </r>
  <r>
    <n v="2543796"/>
    <s v="Extrême-Nord"/>
    <s v="CMR004"/>
    <x v="5"/>
    <s v="CMR004006"/>
    <s v="Mokolo"/>
    <s v="CMR004006002"/>
    <s v="MOK-0062"/>
    <s v="MOUTAZ"/>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87163"/>
    <s v="Extrême-Nord"/>
    <s v="CMR004"/>
    <x v="5"/>
    <s v="CMR004006"/>
    <s v="Mokolo"/>
    <s v="CMR004006002"/>
    <s v="MOK-0054"/>
    <s v="NASSARAO"/>
    <m/>
    <x v="1"/>
    <n v="10.737938099999999"/>
    <n v="13.801325200000001"/>
    <x v="0"/>
    <b v="0"/>
    <b v="1"/>
    <b v="1"/>
    <n v="7"/>
    <m/>
    <s v="Accessible"/>
    <m/>
    <s v="Le village accueille une population"/>
    <s v="Le village est intact (construit)"/>
    <m/>
    <m/>
    <s v="Oui"/>
    <s v="Familles d'accueil"/>
    <s v="Location"/>
    <s v="Non"/>
    <m/>
    <n v="37"/>
    <n v="4000"/>
    <s v="Oui"/>
    <s v="Premier déplacement"/>
    <n v="37"/>
    <n v="185"/>
    <n v="81"/>
    <n v="104"/>
    <n v="0"/>
    <n v="4"/>
    <n v="6"/>
    <n v="27"/>
    <s v="Chez une famille d'accueil (contre loyer)"/>
    <m/>
    <n v="0"/>
    <n v="0"/>
    <m/>
    <m/>
    <n v="0"/>
    <s v="Arrivée de 28 individus pour 12 ménages. 4 naissances "/>
    <s v="Non"/>
    <m/>
    <m/>
    <m/>
    <m/>
    <m/>
    <m/>
    <m/>
    <m/>
    <m/>
    <m/>
    <m/>
    <m/>
    <m/>
    <m/>
    <m/>
    <s v="Non"/>
    <m/>
    <m/>
    <m/>
    <m/>
    <m/>
    <m/>
    <m/>
    <m/>
    <m/>
    <m/>
    <m/>
    <m/>
    <m/>
    <m/>
    <m/>
    <m/>
    <m/>
    <m/>
    <m/>
    <m/>
    <n v="0"/>
    <m/>
    <m/>
    <m/>
    <m/>
    <m/>
    <m/>
    <m/>
    <m/>
    <m/>
    <m/>
    <m/>
    <m/>
    <m/>
    <s v="1"/>
    <s v="0"/>
    <s v="0"/>
    <n v="1"/>
  </r>
  <r>
    <n v="2673398"/>
    <s v="Extrême-Nord"/>
    <s v="CMR004"/>
    <x v="5"/>
    <s v="CMR004006"/>
    <s v="Mokolo"/>
    <s v="CMR004006002"/>
    <s v="MOK-0014"/>
    <s v="NASSARAO 1"/>
    <m/>
    <x v="0"/>
    <n v="10.737842300000001"/>
    <n v="13.801287800000001"/>
    <x v="0"/>
    <b v="1"/>
    <b v="0"/>
    <b v="1"/>
    <m/>
    <n v="4"/>
    <s v="Accessible"/>
    <m/>
    <s v="Le village accueille une population"/>
    <s v="Le village est intact (construit)"/>
    <m/>
    <m/>
    <s v="Oui"/>
    <s v="Familles d'accueil"/>
    <s v="Location"/>
    <s v="Non"/>
    <m/>
    <n v="25"/>
    <n v="3032"/>
    <s v="Oui"/>
    <s v="Premier déplacement"/>
    <n v="25"/>
    <n v="152"/>
    <n v="66"/>
    <n v="86"/>
    <n v="0"/>
    <n v="4"/>
    <n v="0"/>
    <n v="21"/>
    <s v="Chez une famille d'accueil (contre loyer)"/>
    <m/>
    <n v="0"/>
    <n v="0"/>
    <m/>
    <m/>
    <n v="0"/>
    <s v="CONSTANT. Problème point d'eau  et abris PDI"/>
    <s v="Non"/>
    <m/>
    <m/>
    <m/>
    <m/>
    <m/>
    <m/>
    <m/>
    <m/>
    <m/>
    <m/>
    <m/>
    <m/>
    <m/>
    <m/>
    <m/>
    <s v="Non"/>
    <m/>
    <m/>
    <m/>
    <m/>
    <m/>
    <m/>
    <m/>
    <m/>
    <m/>
    <m/>
    <m/>
    <m/>
    <m/>
    <m/>
    <m/>
    <m/>
    <m/>
    <m/>
    <m/>
    <m/>
    <n v="0"/>
    <m/>
    <m/>
    <m/>
    <m/>
    <m/>
    <m/>
    <m/>
    <m/>
    <m/>
    <m/>
    <m/>
    <m/>
    <m/>
    <s v="1"/>
    <s v="0"/>
    <s v="0"/>
    <n v="1"/>
  </r>
  <r>
    <n v="2673891"/>
    <s v="Extrême-Nord"/>
    <s v="CMR004"/>
    <x v="5"/>
    <s v="CMR004006"/>
    <s v="Mokolo"/>
    <s v="CMR004006002"/>
    <s v="MOK-0015"/>
    <s v="NASSARAO 2"/>
    <m/>
    <x v="0"/>
    <n v="10.735150000000001"/>
    <n v="13.81611"/>
    <x v="0"/>
    <b v="1"/>
    <b v="0"/>
    <b v="1"/>
    <m/>
    <n v="4"/>
    <s v="Accessible"/>
    <m/>
    <s v="Le village accueille une population"/>
    <s v="Le village est intact (construit)"/>
    <m/>
    <m/>
    <s v="Oui"/>
    <s v="Familles d'accueil"/>
    <s v="Non, pas du tout"/>
    <s v="Non"/>
    <m/>
    <n v="25"/>
    <n v="3032"/>
    <s v="Oui"/>
    <s v="Premier déplacement"/>
    <n v="25"/>
    <n v="152"/>
    <n v="120"/>
    <n v="32"/>
    <n v="0"/>
    <n v="4"/>
    <n v="0"/>
    <n v="21"/>
    <s v="Chez une famille d'accueil (contre loyer)"/>
    <m/>
    <n v="0"/>
    <n v="0"/>
    <m/>
    <m/>
    <n v="0"/>
    <s v="Constant. Besoin des points d'eaux et abris PDI "/>
    <s v="Non"/>
    <m/>
    <m/>
    <m/>
    <m/>
    <m/>
    <m/>
    <m/>
    <m/>
    <m/>
    <m/>
    <m/>
    <m/>
    <m/>
    <m/>
    <m/>
    <s v="Non"/>
    <m/>
    <m/>
    <m/>
    <m/>
    <m/>
    <m/>
    <m/>
    <m/>
    <m/>
    <m/>
    <m/>
    <m/>
    <m/>
    <m/>
    <m/>
    <m/>
    <m/>
    <m/>
    <m/>
    <m/>
    <n v="0"/>
    <m/>
    <m/>
    <m/>
    <m/>
    <m/>
    <m/>
    <m/>
    <m/>
    <m/>
    <m/>
    <m/>
    <m/>
    <m/>
    <s v="1"/>
    <s v="0"/>
    <s v="0"/>
    <n v="1"/>
  </r>
  <r>
    <n v="2655334"/>
    <s v="Extrême-Nord"/>
    <s v="CMR004"/>
    <x v="5"/>
    <s v="CMR004006"/>
    <s v="Mokolo"/>
    <s v="CMR004006002"/>
    <s v="MOK-0016"/>
    <s v="OURO KESSOUM"/>
    <m/>
    <x v="0"/>
    <n v="10.742949400000001"/>
    <n v="13.7858892"/>
    <x v="0"/>
    <b v="1"/>
    <b v="0"/>
    <b v="1"/>
    <m/>
    <n v="3"/>
    <s v="Accessible"/>
    <m/>
    <s v="Le village accueille une population"/>
    <s v="Le village est intact (construit)"/>
    <m/>
    <m/>
    <s v="Oui"/>
    <s v="Familles d'accueil"/>
    <s v="Air libre"/>
    <s v="Non"/>
    <m/>
    <n v="152"/>
    <n v="5300"/>
    <s v="Oui"/>
    <s v="Premier déplacement"/>
    <n v="152"/>
    <n v="600"/>
    <n v="240"/>
    <n v="360"/>
    <n v="0"/>
    <n v="98"/>
    <n v="28"/>
    <n v="13"/>
    <s v="Chez une famille d'accueil (contre loyer)"/>
    <m/>
    <n v="0"/>
    <n v="0"/>
    <m/>
    <m/>
    <n v="13"/>
    <s v="Ajout de 100 ménages pour 300 individus dont 200 femmes et 100 hommes."/>
    <s v="Non"/>
    <m/>
    <m/>
    <m/>
    <m/>
    <m/>
    <m/>
    <m/>
    <m/>
    <m/>
    <m/>
    <m/>
    <m/>
    <m/>
    <m/>
    <m/>
    <s v="Non"/>
    <m/>
    <m/>
    <m/>
    <m/>
    <m/>
    <m/>
    <m/>
    <m/>
    <m/>
    <m/>
    <m/>
    <m/>
    <m/>
    <m/>
    <m/>
    <m/>
    <m/>
    <m/>
    <m/>
    <m/>
    <n v="0"/>
    <m/>
    <m/>
    <m/>
    <m/>
    <m/>
    <m/>
    <m/>
    <m/>
    <m/>
    <m/>
    <m/>
    <m/>
    <m/>
    <s v="1"/>
    <s v="0"/>
    <s v="0"/>
    <n v="1"/>
  </r>
  <r>
    <n v="2655342"/>
    <s v="Extrême-Nord"/>
    <s v="CMR004"/>
    <x v="5"/>
    <s v="CMR004006"/>
    <s v="Mokolo"/>
    <s v="CMR004006002"/>
    <s v="MOK-0017"/>
    <s v="OURO TADA CENTRE"/>
    <m/>
    <x v="1"/>
    <n v="10.7386614"/>
    <n v="13.7738891"/>
    <x v="0"/>
    <b v="1"/>
    <b v="0"/>
    <b v="1"/>
    <m/>
    <n v="3"/>
    <s v="Accessible"/>
    <m/>
    <s v="Le village accueille une population"/>
    <s v="Le village est intact (construit)"/>
    <m/>
    <m/>
    <s v="Oui"/>
    <s v="Sites de déplacement spontanés"/>
    <s v="Familles d'accueil"/>
    <s v="Oui"/>
    <n v="1"/>
    <m/>
    <n v="6000"/>
    <s v="Non"/>
    <m/>
    <m/>
    <m/>
    <m/>
    <m/>
    <m/>
    <m/>
    <m/>
    <m/>
    <m/>
    <m/>
    <m/>
    <m/>
    <m/>
    <m/>
    <m/>
    <m/>
    <s v="Non"/>
    <m/>
    <m/>
    <m/>
    <m/>
    <m/>
    <m/>
    <m/>
    <m/>
    <m/>
    <m/>
    <m/>
    <m/>
    <m/>
    <m/>
    <m/>
    <s v="Non"/>
    <m/>
    <m/>
    <m/>
    <m/>
    <m/>
    <m/>
    <m/>
    <m/>
    <m/>
    <m/>
    <m/>
    <m/>
    <m/>
    <m/>
    <m/>
    <m/>
    <m/>
    <m/>
    <m/>
    <m/>
    <n v="0"/>
    <m/>
    <m/>
    <m/>
    <m/>
    <m/>
    <m/>
    <m/>
    <m/>
    <m/>
    <m/>
    <m/>
    <m/>
    <m/>
    <s v="0"/>
    <s v="0"/>
    <s v="0"/>
    <n v="0"/>
  </r>
  <r>
    <n v="2565078"/>
    <s v="Extrême-Nord"/>
    <s v="CMR004"/>
    <x v="5"/>
    <s v="CMR004006"/>
    <s v="Mokolo"/>
    <s v="CMR004006002"/>
    <s v="MOK-0044"/>
    <s v="ROUM"/>
    <m/>
    <x v="1"/>
    <s v="N/A"/>
    <s v="N/A"/>
    <x v="0"/>
    <b v="1"/>
    <b v="0"/>
    <b v="0"/>
    <m/>
    <n v="3"/>
    <s v="Inaccessible - insécurité"/>
    <m/>
    <s v="Le village est entièrement déserté"/>
    <m/>
    <m/>
    <m/>
    <m/>
    <m/>
    <m/>
    <m/>
    <m/>
    <m/>
    <m/>
    <m/>
    <m/>
    <m/>
    <m/>
    <m/>
    <m/>
    <m/>
    <m/>
    <m/>
    <m/>
    <m/>
    <m/>
    <m/>
    <m/>
    <m/>
    <m/>
    <m/>
    <m/>
    <m/>
    <m/>
    <m/>
    <m/>
    <m/>
    <m/>
    <m/>
    <m/>
    <m/>
    <m/>
    <m/>
    <m/>
    <m/>
    <m/>
    <m/>
    <m/>
    <m/>
    <m/>
    <m/>
    <m/>
    <m/>
    <m/>
    <m/>
    <m/>
    <m/>
    <m/>
    <m/>
    <m/>
    <m/>
    <m/>
    <m/>
    <m/>
    <m/>
    <m/>
    <m/>
    <m/>
    <m/>
    <m/>
    <m/>
    <m/>
    <m/>
    <m/>
    <m/>
    <m/>
    <m/>
    <m/>
    <m/>
    <m/>
    <m/>
    <m/>
    <m/>
    <s v="0"/>
    <s v="0"/>
    <s v="0"/>
    <n v="0"/>
  </r>
  <r>
    <n v="2685563"/>
    <s v="Extrême-Nord"/>
    <s v="CMR004"/>
    <x v="5"/>
    <s v="CMR004006"/>
    <s v="Mokolo"/>
    <s v="CMR004006002"/>
    <s v="MOK-0018"/>
    <s v="SABONGARI"/>
    <m/>
    <x v="0"/>
    <n v="10.7355634"/>
    <n v="13.790317699999999"/>
    <x v="0"/>
    <b v="1"/>
    <b v="0"/>
    <b v="0"/>
    <m/>
    <n v="3"/>
    <s v="Accessible"/>
    <m/>
    <s v="Le village accueille une population"/>
    <s v="Le village est intact (construit)"/>
    <m/>
    <m/>
    <s v="Oui"/>
    <s v="Familles d'accueil"/>
    <s v="Location"/>
    <s v="Non"/>
    <m/>
    <n v="39"/>
    <n v="5600"/>
    <s v="Oui"/>
    <s v="Deuxième déplacement"/>
    <n v="39"/>
    <n v="160"/>
    <n v="76"/>
    <n v="84"/>
    <n v="1"/>
    <n v="10"/>
    <n v="28"/>
    <n v="0"/>
    <m/>
    <m/>
    <n v="0"/>
    <n v="0"/>
    <m/>
    <m/>
    <n v="0"/>
    <s v="Décès de 7 individus aujout de 20 ménages "/>
    <s v="Non"/>
    <m/>
    <m/>
    <m/>
    <m/>
    <m/>
    <m/>
    <m/>
    <m/>
    <m/>
    <m/>
    <m/>
    <m/>
    <m/>
    <m/>
    <m/>
    <s v="Non"/>
    <m/>
    <m/>
    <m/>
    <m/>
    <m/>
    <m/>
    <m/>
    <m/>
    <m/>
    <m/>
    <m/>
    <m/>
    <m/>
    <m/>
    <m/>
    <m/>
    <m/>
    <m/>
    <m/>
    <m/>
    <n v="0"/>
    <m/>
    <m/>
    <m/>
    <m/>
    <m/>
    <m/>
    <m/>
    <m/>
    <m/>
    <m/>
    <m/>
    <m/>
    <m/>
    <s v="1"/>
    <s v="0"/>
    <s v="0"/>
    <n v="1"/>
  </r>
  <r>
    <n v="2682066"/>
    <s v="Extrême-Nord"/>
    <s v="CMR004"/>
    <x v="5"/>
    <s v="CMR004006"/>
    <s v="Mokolo"/>
    <s v="CMR004006002"/>
    <s v="MOK-0026"/>
    <s v="SARKI FADA"/>
    <m/>
    <x v="1"/>
    <n v="10.7403858"/>
    <n v="13.800202199999999"/>
    <x v="0"/>
    <b v="1"/>
    <b v="0"/>
    <b v="1"/>
    <m/>
    <n v="4"/>
    <s v="Accessible"/>
    <m/>
    <s v="Le village accueille une population"/>
    <s v="Le village est intact (construit)"/>
    <m/>
    <m/>
    <s v="Oui"/>
    <s v="Familles d'accueil"/>
    <s v="Non, pas du tout"/>
    <s v="Non"/>
    <m/>
    <n v="61"/>
    <n v="1618"/>
    <s v="Oui"/>
    <s v="Premier déplacement"/>
    <n v="61"/>
    <n v="332"/>
    <n v="130"/>
    <n v="202"/>
    <n v="0"/>
    <n v="13"/>
    <n v="48"/>
    <n v="0"/>
    <m/>
    <m/>
    <n v="0"/>
    <n v="0"/>
    <m/>
    <m/>
    <n v="0"/>
    <s v="CONSTANT. BESOIN FORAGES"/>
    <s v="Non"/>
    <m/>
    <m/>
    <m/>
    <m/>
    <m/>
    <m/>
    <m/>
    <m/>
    <m/>
    <m/>
    <m/>
    <m/>
    <m/>
    <m/>
    <m/>
    <s v="Oui"/>
    <n v="1"/>
    <n v="14"/>
    <n v="9"/>
    <n v="5"/>
    <s v="Entre 1 et 5 ans"/>
    <n v="0"/>
    <n v="0"/>
    <n v="1"/>
    <n v="0"/>
    <n v="0"/>
    <m/>
    <n v="0"/>
    <n v="0"/>
    <m/>
    <n v="0"/>
    <m/>
    <m/>
    <m/>
    <m/>
    <m/>
    <n v="0"/>
    <m/>
    <m/>
    <m/>
    <m/>
    <m/>
    <m/>
    <m/>
    <m/>
    <m/>
    <m/>
    <m/>
    <m/>
    <m/>
    <s v="1"/>
    <s v="0"/>
    <s v="1"/>
    <n v="2"/>
  </r>
  <r>
    <n v="2655341"/>
    <s v="Extrême-Nord"/>
    <s v="CMR004"/>
    <x v="5"/>
    <s v="CMR004006"/>
    <s v="Mokolo"/>
    <s v="CMR004006002"/>
    <s v="MOK-0049"/>
    <s v="SIRAK"/>
    <m/>
    <x v="0"/>
    <n v="10.702993599999999"/>
    <n v="13.769335099999999"/>
    <x v="0"/>
    <b v="1"/>
    <b v="0"/>
    <b v="1"/>
    <m/>
    <n v="4"/>
    <s v="Accessible"/>
    <m/>
    <s v="Le village accueille une population"/>
    <s v="Le village est intact (construit)"/>
    <m/>
    <m/>
    <s v="Oui"/>
    <s v="Familles d'accueil"/>
    <s v="Location"/>
    <s v="Oui"/>
    <n v="1"/>
    <m/>
    <n v="10573"/>
    <s v="Non"/>
    <m/>
    <m/>
    <m/>
    <m/>
    <m/>
    <m/>
    <m/>
    <m/>
    <m/>
    <m/>
    <m/>
    <m/>
    <m/>
    <m/>
    <m/>
    <m/>
    <m/>
    <s v="Non"/>
    <m/>
    <m/>
    <m/>
    <m/>
    <m/>
    <m/>
    <m/>
    <m/>
    <m/>
    <m/>
    <m/>
    <m/>
    <m/>
    <m/>
    <m/>
    <s v="Non"/>
    <m/>
    <m/>
    <m/>
    <m/>
    <m/>
    <m/>
    <m/>
    <m/>
    <m/>
    <m/>
    <m/>
    <m/>
    <m/>
    <m/>
    <m/>
    <m/>
    <m/>
    <m/>
    <m/>
    <m/>
    <n v="0"/>
    <m/>
    <m/>
    <m/>
    <m/>
    <m/>
    <m/>
    <m/>
    <m/>
    <m/>
    <m/>
    <m/>
    <m/>
    <m/>
    <s v="0"/>
    <s v="0"/>
    <s v="0"/>
    <n v="0"/>
  </r>
  <r>
    <n v="2693855"/>
    <s v="Extrême-Nord"/>
    <s v="CMR004"/>
    <x v="5"/>
    <s v="CMR004006"/>
    <s v="Mokolo"/>
    <s v="CMR004006002"/>
    <s v="MOK-0057"/>
    <s v="SITE DE MAYO SANGUE"/>
    <m/>
    <x v="1"/>
    <n v="10.5948102"/>
    <n v="13.9094911"/>
    <x v="1"/>
    <b v="1"/>
    <b v="0"/>
    <b v="1"/>
    <m/>
    <n v="3"/>
    <s v="Accessible"/>
    <m/>
    <s v="Le village accueille une population"/>
    <s v="Le village est intact (construit)"/>
    <m/>
    <m/>
    <s v="Oui"/>
    <s v="Sites de déplacement spontanés"/>
    <s v="Familles d'accueil"/>
    <m/>
    <m/>
    <n v="77"/>
    <n v="1500"/>
    <s v="Oui"/>
    <s v="Premier déplacement"/>
    <n v="77"/>
    <n v="518"/>
    <n v="227"/>
    <n v="291"/>
    <n v="0"/>
    <n v="0"/>
    <n v="0"/>
    <n v="0"/>
    <m/>
    <m/>
    <n v="0"/>
    <n v="77"/>
    <s v="Terre cuite/Terre battue"/>
    <m/>
    <n v="0"/>
    <s v="Arrivée de 5 ménages de150 individus et 1 départ de 3"/>
    <s v="Non"/>
    <m/>
    <m/>
    <m/>
    <m/>
    <m/>
    <m/>
    <m/>
    <m/>
    <m/>
    <m/>
    <m/>
    <m/>
    <m/>
    <m/>
    <m/>
    <s v="Non"/>
    <m/>
    <m/>
    <m/>
    <m/>
    <m/>
    <m/>
    <m/>
    <m/>
    <m/>
    <m/>
    <m/>
    <m/>
    <m/>
    <m/>
    <m/>
    <m/>
    <m/>
    <m/>
    <m/>
    <m/>
    <n v="0"/>
    <m/>
    <m/>
    <m/>
    <m/>
    <m/>
    <m/>
    <m/>
    <m/>
    <m/>
    <m/>
    <m/>
    <m/>
    <m/>
    <s v="1"/>
    <s v="0"/>
    <s v="0"/>
    <n v="1"/>
  </r>
  <r>
    <n v="2655339"/>
    <s v="Extrême-Nord"/>
    <s v="CMR004"/>
    <x v="5"/>
    <s v="CMR004006"/>
    <s v="Mokolo"/>
    <s v="CMR004006002"/>
    <s v="MOK-0047"/>
    <s v="SITE DE MIKILEK"/>
    <m/>
    <x v="1"/>
    <n v="10.636275899999999"/>
    <n v="13.9040436"/>
    <x v="1"/>
    <b v="1"/>
    <b v="0"/>
    <b v="1"/>
    <m/>
    <n v="3"/>
    <s v="Accessible"/>
    <m/>
    <s v="Le village accueille une population"/>
    <s v="Le village est intact (construit)"/>
    <m/>
    <m/>
    <s v="Oui"/>
    <s v="Sites de déplacement spontanés"/>
    <s v="Non, pas du tout"/>
    <m/>
    <m/>
    <n v="116"/>
    <n v="500"/>
    <s v="Oui"/>
    <s v="Deuxième déplacement"/>
    <n v="116"/>
    <n v="500"/>
    <n v="150"/>
    <n v="350"/>
    <n v="0"/>
    <n v="0"/>
    <n v="0"/>
    <n v="0"/>
    <m/>
    <m/>
    <n v="0"/>
    <n v="116"/>
    <s v="Autre"/>
    <s v="Terre battue sans toiture"/>
    <n v="0"/>
    <s v="Ajout de 54 ménages pour 227 individus dont 111 hommes et 116 femmes en provenance de Doubam, djinling"/>
    <s v="Non"/>
    <m/>
    <m/>
    <m/>
    <m/>
    <m/>
    <m/>
    <m/>
    <m/>
    <m/>
    <m/>
    <m/>
    <m/>
    <m/>
    <m/>
    <m/>
    <s v="Non"/>
    <m/>
    <m/>
    <m/>
    <m/>
    <m/>
    <m/>
    <m/>
    <m/>
    <m/>
    <m/>
    <m/>
    <m/>
    <m/>
    <m/>
    <m/>
    <m/>
    <m/>
    <m/>
    <m/>
    <m/>
    <n v="0"/>
    <m/>
    <m/>
    <m/>
    <m/>
    <m/>
    <m/>
    <m/>
    <m/>
    <m/>
    <m/>
    <m/>
    <m/>
    <m/>
    <s v="1"/>
    <s v="0"/>
    <s v="0"/>
    <n v="1"/>
  </r>
  <r>
    <n v="2664829"/>
    <s v="Extrême-Nord"/>
    <s v="CMR004"/>
    <x v="5"/>
    <s v="CMR004006"/>
    <s v="Mokolo"/>
    <s v="CMR004006002"/>
    <s v="MOK-0061"/>
    <s v="SITE DE MOKOLO ( MATAKAM-SUD)"/>
    <m/>
    <x v="1"/>
    <n v="10.7426143"/>
    <n v="13.803178300000001"/>
    <x v="1"/>
    <b v="1"/>
    <b v="0"/>
    <b v="1"/>
    <m/>
    <n v="3"/>
    <s v="Accessible"/>
    <m/>
    <s v="Le village accueille une population"/>
    <s v="Le village est intact (construit)"/>
    <m/>
    <m/>
    <s v="Oui"/>
    <s v="Familles d'accueil"/>
    <s v="Non, pas du tout"/>
    <m/>
    <m/>
    <n v="25"/>
    <n v="2000"/>
    <s v="Oui"/>
    <s v="Premier déplacement"/>
    <n v="25"/>
    <n v="243"/>
    <n v="119"/>
    <n v="124"/>
    <n v="0"/>
    <n v="25"/>
    <n v="0"/>
    <n v="0"/>
    <m/>
    <m/>
    <n v="0"/>
    <n v="0"/>
    <m/>
    <m/>
    <n v="0"/>
    <s v="Il ya une arrivée massive des déplacés due aux mouvements des extremistes Boko haram"/>
    <s v="Non"/>
    <m/>
    <m/>
    <m/>
    <m/>
    <m/>
    <m/>
    <m/>
    <m/>
    <m/>
    <m/>
    <m/>
    <m/>
    <m/>
    <m/>
    <m/>
    <s v="Non"/>
    <m/>
    <m/>
    <m/>
    <m/>
    <m/>
    <m/>
    <m/>
    <m/>
    <m/>
    <m/>
    <m/>
    <m/>
    <m/>
    <m/>
    <m/>
    <m/>
    <m/>
    <m/>
    <m/>
    <m/>
    <n v="0"/>
    <m/>
    <m/>
    <m/>
    <m/>
    <m/>
    <m/>
    <m/>
    <m/>
    <m/>
    <m/>
    <m/>
    <m/>
    <m/>
    <s v="1"/>
    <s v="0"/>
    <s v="0"/>
    <n v="1"/>
  </r>
  <r>
    <n v="2655343"/>
    <s v="Extrême-Nord"/>
    <s v="CMR004"/>
    <x v="5"/>
    <s v="CMR004006"/>
    <s v="Mokolo"/>
    <s v="CMR004006002"/>
    <s v="MOK-0040"/>
    <s v="SITE DE OURO TADA"/>
    <m/>
    <x v="1"/>
    <n v="10.7387432"/>
    <n v="13.773854099999999"/>
    <x v="1"/>
    <b v="1"/>
    <b v="0"/>
    <b v="1"/>
    <m/>
    <n v="3"/>
    <s v="Accessible"/>
    <m/>
    <s v="Le village accueille une population"/>
    <s v="Le village est intact (construit)"/>
    <m/>
    <m/>
    <s v="Oui"/>
    <s v="Sites de déplacement spontanés"/>
    <s v="Non, pas du tout"/>
    <m/>
    <m/>
    <n v="511"/>
    <n v="3463"/>
    <s v="Oui"/>
    <s v="Premier déplacement"/>
    <n v="511"/>
    <n v="3463"/>
    <n v="1193"/>
    <n v="2270"/>
    <n v="0"/>
    <n v="0"/>
    <n v="0"/>
    <n v="0"/>
    <m/>
    <m/>
    <n v="0"/>
    <n v="511"/>
    <s v="Paille/Natte/Nylon"/>
    <m/>
    <n v="0"/>
    <s v="De septembre à janvier, ajout de 100 ménages pour 416 individus."/>
    <s v="Non"/>
    <m/>
    <m/>
    <m/>
    <m/>
    <m/>
    <m/>
    <m/>
    <m/>
    <m/>
    <m/>
    <m/>
    <m/>
    <m/>
    <m/>
    <m/>
    <s v="Non"/>
    <m/>
    <m/>
    <m/>
    <m/>
    <m/>
    <m/>
    <m/>
    <m/>
    <m/>
    <m/>
    <m/>
    <m/>
    <m/>
    <m/>
    <m/>
    <m/>
    <m/>
    <m/>
    <m/>
    <m/>
    <n v="0"/>
    <m/>
    <m/>
    <m/>
    <m/>
    <m/>
    <m/>
    <m/>
    <m/>
    <m/>
    <m/>
    <m/>
    <m/>
    <m/>
    <s v="1"/>
    <s v="0"/>
    <s v="0"/>
    <n v="1"/>
  </r>
  <r>
    <n v="2655340"/>
    <s v="Extrême-Nord"/>
    <s v="CMR004"/>
    <x v="5"/>
    <s v="CMR004006"/>
    <s v="Mokolo"/>
    <s v="CMR004006002"/>
    <s v="MOK-0050"/>
    <s v="SITE DE SIRAK-GORAI"/>
    <m/>
    <x v="1"/>
    <n v="10.7029856"/>
    <n v="13.769356999999999"/>
    <x v="1"/>
    <b v="1"/>
    <b v="0"/>
    <b v="1"/>
    <m/>
    <n v="3"/>
    <s v="Accessible"/>
    <m/>
    <s v="Le village accueille une population"/>
    <s v="Le village est intact (construit)"/>
    <m/>
    <m/>
    <s v="Oui"/>
    <s v="Sites de déplacement spontanés"/>
    <s v="Familles d'accueil"/>
    <m/>
    <m/>
    <n v="142"/>
    <n v="848"/>
    <s v="Oui"/>
    <s v="Deuxième déplacement"/>
    <n v="142"/>
    <n v="848"/>
    <n v="346"/>
    <n v="502"/>
    <n v="0"/>
    <n v="0"/>
    <n v="0"/>
    <n v="0"/>
    <m/>
    <m/>
    <n v="0"/>
    <n v="142"/>
    <s v="Autre"/>
    <s v="Terre battue avec toiture en paille ou nylon"/>
    <n v="0"/>
    <s v="Ajout de 52 ménages pour 248 individus dont 105 hommes et 143 femmes  en provenance de Hi douane,  Tourou, Toufou."/>
    <s v="Non"/>
    <m/>
    <m/>
    <m/>
    <m/>
    <m/>
    <m/>
    <m/>
    <m/>
    <m/>
    <m/>
    <m/>
    <m/>
    <m/>
    <m/>
    <m/>
    <s v="Non"/>
    <m/>
    <m/>
    <m/>
    <m/>
    <m/>
    <m/>
    <m/>
    <m/>
    <m/>
    <m/>
    <m/>
    <m/>
    <m/>
    <m/>
    <m/>
    <m/>
    <m/>
    <m/>
    <m/>
    <m/>
    <n v="0"/>
    <m/>
    <m/>
    <m/>
    <m/>
    <m/>
    <m/>
    <m/>
    <m/>
    <m/>
    <m/>
    <m/>
    <m/>
    <m/>
    <s v="1"/>
    <s v="0"/>
    <s v="0"/>
    <n v="1"/>
  </r>
  <r>
    <n v="2686648"/>
    <s v="Extrême-Nord"/>
    <s v="CMR004"/>
    <x v="5"/>
    <s v="CMR004006"/>
    <s v="Mokolo"/>
    <s v="CMR004006002"/>
    <s v="MOK-0039"/>
    <s v="SITE DE TOUROU"/>
    <m/>
    <x v="1"/>
    <n v="10.9257437"/>
    <n v="13.7295114"/>
    <x v="1"/>
    <b v="1"/>
    <b v="0"/>
    <b v="0"/>
    <m/>
    <n v="3"/>
    <s v="Accessible"/>
    <m/>
    <s v="Le village accueille une population"/>
    <s v="Le village est intact (construit)"/>
    <m/>
    <m/>
    <s v="Oui"/>
    <s v="Sites de déplacement spontanés"/>
    <s v="Centre Collectif"/>
    <m/>
    <m/>
    <n v="563"/>
    <n v="4000"/>
    <s v="Oui"/>
    <s v="Premier déplacement"/>
    <n v="563"/>
    <n v="3126"/>
    <n v="1417"/>
    <n v="1709"/>
    <n v="0"/>
    <n v="0"/>
    <n v="0"/>
    <n v="0"/>
    <m/>
    <m/>
    <n v="563"/>
    <n v="0"/>
    <m/>
    <m/>
    <n v="0"/>
    <s v="Départ 45 ménages de150 individus et arrive 75 ménages 200 individus "/>
    <s v="Non"/>
    <m/>
    <m/>
    <m/>
    <m/>
    <m/>
    <m/>
    <m/>
    <m/>
    <m/>
    <m/>
    <m/>
    <m/>
    <m/>
    <m/>
    <m/>
    <s v="Non"/>
    <m/>
    <m/>
    <m/>
    <m/>
    <m/>
    <m/>
    <m/>
    <m/>
    <m/>
    <m/>
    <m/>
    <m/>
    <m/>
    <m/>
    <m/>
    <m/>
    <m/>
    <m/>
    <m/>
    <m/>
    <n v="0"/>
    <m/>
    <m/>
    <m/>
    <m/>
    <m/>
    <m/>
    <m/>
    <m/>
    <m/>
    <m/>
    <m/>
    <m/>
    <m/>
    <s v="1"/>
    <s v="0"/>
    <s v="0"/>
    <n v="1"/>
  </r>
  <r>
    <n v="2655336"/>
    <s v="Extrême-Nord"/>
    <s v="CMR004"/>
    <x v="5"/>
    <s v="CMR004006"/>
    <s v="Mokolo"/>
    <s v="CMR004006002"/>
    <s v="MOK-0024"/>
    <s v="SITE DE ZAMAI 1"/>
    <m/>
    <x v="1"/>
    <n v="10.6472993"/>
    <n v="13.8987056"/>
    <x v="1"/>
    <b v="1"/>
    <b v="0"/>
    <b v="1"/>
    <m/>
    <n v="3"/>
    <s v="Accessible"/>
    <m/>
    <s v="Le village accueille une population"/>
    <s v="Le village est intact (construit)"/>
    <m/>
    <m/>
    <s v="Oui"/>
    <s v="Sites de déplacement spontanés"/>
    <s v="Non, pas du tout"/>
    <m/>
    <m/>
    <n v="30"/>
    <n v="202"/>
    <s v="Oui"/>
    <s v="Premier déplacement"/>
    <n v="30"/>
    <n v="202"/>
    <n v="93"/>
    <n v="109"/>
    <n v="0"/>
    <n v="0"/>
    <n v="0"/>
    <n v="0"/>
    <m/>
    <m/>
    <n v="0"/>
    <n v="30"/>
    <s v="Paille/Natte/Nylon"/>
    <m/>
    <n v="0"/>
    <s v="Ajout de 3 naissances pour 2 filles 1 garçon"/>
    <s v="Non"/>
    <m/>
    <m/>
    <m/>
    <m/>
    <m/>
    <m/>
    <m/>
    <m/>
    <m/>
    <m/>
    <m/>
    <m/>
    <m/>
    <m/>
    <m/>
    <s v="Non"/>
    <m/>
    <m/>
    <m/>
    <m/>
    <m/>
    <m/>
    <m/>
    <m/>
    <m/>
    <m/>
    <m/>
    <m/>
    <m/>
    <m/>
    <m/>
    <m/>
    <m/>
    <m/>
    <m/>
    <m/>
    <n v="0"/>
    <m/>
    <m/>
    <m/>
    <m/>
    <m/>
    <m/>
    <m/>
    <m/>
    <m/>
    <m/>
    <m/>
    <m/>
    <m/>
    <s v="1"/>
    <s v="0"/>
    <s v="0"/>
    <n v="1"/>
  </r>
  <r>
    <n v="2655338"/>
    <s v="Extrême-Nord"/>
    <s v="CMR004"/>
    <x v="5"/>
    <s v="CMR004006"/>
    <s v="Mokolo"/>
    <s v="CMR004006002"/>
    <s v="MOK-0038"/>
    <s v="SITE DE ZAMAI 2"/>
    <m/>
    <x v="1"/>
    <n v="10.6362465"/>
    <n v="13.9040014"/>
    <x v="1"/>
    <b v="1"/>
    <b v="0"/>
    <b v="1"/>
    <m/>
    <n v="3"/>
    <s v="Accessible"/>
    <m/>
    <s v="Le village accueille une population"/>
    <s v="Le village est intact (construit)"/>
    <m/>
    <m/>
    <s v="Oui"/>
    <s v="Sites de déplacement spontanés"/>
    <s v="Non, pas du tout"/>
    <m/>
    <m/>
    <n v="103"/>
    <n v="489"/>
    <s v="Oui"/>
    <s v="Premier déplacement"/>
    <n v="103"/>
    <n v="489"/>
    <n v="227"/>
    <n v="262"/>
    <n v="0"/>
    <n v="0"/>
    <n v="0"/>
    <n v="0"/>
    <m/>
    <m/>
    <n v="0"/>
    <n v="103"/>
    <s v="Paille/Natte/Nylon"/>
    <m/>
    <n v="0"/>
    <s v="Ajout de 2 naissances filles"/>
    <s v="Non"/>
    <m/>
    <m/>
    <m/>
    <m/>
    <m/>
    <m/>
    <m/>
    <m/>
    <m/>
    <m/>
    <m/>
    <m/>
    <m/>
    <m/>
    <m/>
    <s v="Non"/>
    <m/>
    <m/>
    <m/>
    <m/>
    <m/>
    <m/>
    <m/>
    <m/>
    <m/>
    <m/>
    <m/>
    <m/>
    <m/>
    <m/>
    <m/>
    <m/>
    <m/>
    <m/>
    <m/>
    <m/>
    <n v="0"/>
    <m/>
    <m/>
    <m/>
    <m/>
    <m/>
    <m/>
    <m/>
    <m/>
    <m/>
    <m/>
    <m/>
    <m/>
    <m/>
    <s v="1"/>
    <s v="0"/>
    <s v="0"/>
    <n v="1"/>
  </r>
  <r>
    <n v="2684724"/>
    <s v="Extrême-Nord"/>
    <s v="CMR004"/>
    <x v="5"/>
    <s v="CMR004006"/>
    <s v="Mokolo"/>
    <s v="CMR004006002"/>
    <s v="MOK-0037"/>
    <s v="SITE DE ZAMAI 3"/>
    <m/>
    <x v="1"/>
    <n v="10.6366117"/>
    <n v="13.8973633"/>
    <x v="1"/>
    <b v="0"/>
    <b v="1"/>
    <b v="1"/>
    <n v="6"/>
    <m/>
    <s v="Accessible"/>
    <m/>
    <s v="Le village accueille une population"/>
    <s v="Le village est intact (construit)"/>
    <m/>
    <m/>
    <s v="Oui"/>
    <s v="Sites de déplacement spontanés"/>
    <s v="Non, pas du tout"/>
    <m/>
    <m/>
    <n v="850"/>
    <n v="3135"/>
    <s v="Oui"/>
    <s v="Troisième déplacement"/>
    <n v="850"/>
    <n v="3135"/>
    <n v="712"/>
    <n v="2423"/>
    <n v="0"/>
    <n v="0"/>
    <n v="0"/>
    <n v="0"/>
    <m/>
    <m/>
    <n v="0"/>
    <n v="850"/>
    <s v="Terre cuite/Terre battue"/>
    <m/>
    <n v="0"/>
    <s v="Augmentation de 160 ménages pour 370 individus dont 170 hommes et 200 femmes en provenance de Moskota,  Mozogo, Nguetchewé, Vrekaza et Zeleved. Raison BH. Abris spontané. Pb: manque d'espace et besoin des points d'eaux puis, gratuité sanitaire "/>
    <s v="Non"/>
    <m/>
    <m/>
    <m/>
    <m/>
    <m/>
    <m/>
    <m/>
    <m/>
    <m/>
    <m/>
    <m/>
    <m/>
    <m/>
    <m/>
    <m/>
    <s v="Non"/>
    <m/>
    <m/>
    <m/>
    <m/>
    <m/>
    <m/>
    <m/>
    <m/>
    <m/>
    <m/>
    <m/>
    <m/>
    <m/>
    <m/>
    <m/>
    <m/>
    <m/>
    <m/>
    <m/>
    <m/>
    <n v="0"/>
    <m/>
    <m/>
    <m/>
    <m/>
    <m/>
    <m/>
    <m/>
    <m/>
    <m/>
    <m/>
    <m/>
    <m/>
    <m/>
    <s v="1"/>
    <s v="0"/>
    <s v="0"/>
    <n v="1"/>
  </r>
  <r>
    <n v="2543795"/>
    <s v="Extrême-Nord"/>
    <s v="CMR004"/>
    <x v="5"/>
    <s v="CMR004006"/>
    <s v="Mokolo"/>
    <s v="CMR004006002"/>
    <s v="MOK-0051"/>
    <s v="SITE DE ZAMALVA"/>
    <m/>
    <x v="1"/>
    <n v="10.6916008"/>
    <n v="13.8437067"/>
    <x v="1"/>
    <b v="1"/>
    <b v="0"/>
    <b v="1"/>
    <m/>
    <n v="3"/>
    <s v="Accessible"/>
    <m/>
    <s v="Le village accueille une population"/>
    <s v="Le village est intact (construit)"/>
    <m/>
    <m/>
    <s v="Oui"/>
    <s v="Sites de déplacement spontanés"/>
    <s v="Non, pas du tout"/>
    <m/>
    <m/>
    <n v="140"/>
    <n v="3200"/>
    <s v="Oui"/>
    <s v="Premier déplacement"/>
    <n v="140"/>
    <n v="3201"/>
    <n v="1500"/>
    <n v="1701"/>
    <n v="0"/>
    <n v="0"/>
    <n v="0"/>
    <n v="0"/>
    <m/>
    <m/>
    <n v="0"/>
    <n v="140"/>
    <s v="Terre cuite/Terre battue"/>
    <m/>
    <n v="0"/>
    <s v="Le manque en termes d'infrastructures et de points d'eau est un problème réel des déplacés dans ce secteur"/>
    <s v="Non"/>
    <m/>
    <m/>
    <m/>
    <m/>
    <m/>
    <m/>
    <m/>
    <m/>
    <m/>
    <m/>
    <m/>
    <m/>
    <m/>
    <m/>
    <m/>
    <s v="Non"/>
    <m/>
    <m/>
    <m/>
    <m/>
    <m/>
    <m/>
    <m/>
    <m/>
    <m/>
    <m/>
    <m/>
    <m/>
    <m/>
    <m/>
    <m/>
    <m/>
    <m/>
    <m/>
    <m/>
    <m/>
    <n v="0"/>
    <m/>
    <m/>
    <m/>
    <m/>
    <m/>
    <m/>
    <m/>
    <m/>
    <m/>
    <m/>
    <m/>
    <m/>
    <m/>
    <s v="1"/>
    <s v="0"/>
    <s v="0"/>
    <n v="1"/>
  </r>
  <r>
    <n v="2688809"/>
    <s v="Extrême-Nord"/>
    <s v="CMR004"/>
    <x v="5"/>
    <s v="CMR004006"/>
    <s v="Mokolo"/>
    <s v="CMR004006002"/>
    <s v="MOK-0019"/>
    <s v="TONGO"/>
    <m/>
    <x v="1"/>
    <n v="10.775393299999999"/>
    <n v="13.816963299999999"/>
    <x v="0"/>
    <b v="1"/>
    <b v="0"/>
    <b v="1"/>
    <m/>
    <n v="4"/>
    <s v="Accessible"/>
    <m/>
    <s v="Le village accueille une population"/>
    <s v="Le village est intact (construit)"/>
    <m/>
    <m/>
    <s v="Oui"/>
    <s v="Familles d'accueil"/>
    <s v="Non, pas du tout"/>
    <s v="Non"/>
    <m/>
    <n v="47"/>
    <n v="1449"/>
    <s v="Oui"/>
    <s v="Premier déplacement"/>
    <n v="47"/>
    <n v="277"/>
    <n v="126"/>
    <n v="151"/>
    <n v="0"/>
    <n v="8"/>
    <n v="9"/>
    <n v="30"/>
    <s v="Chez une famille d'accueil (contre loyer)"/>
    <m/>
    <n v="0"/>
    <n v="0"/>
    <m/>
    <m/>
    <n v="0"/>
    <s v="Augmentation de 5 individus dont 1 garçon et 4 filles ( naissance). Besoin d'assistance. "/>
    <s v="Oui"/>
    <n v="23"/>
    <n v="107"/>
    <n v="50"/>
    <n v="57"/>
    <n v="3"/>
    <n v="9"/>
    <n v="11"/>
    <s v="Chez une famille d'accueil (contre loyer)"/>
    <n v="0"/>
    <n v="0"/>
    <m/>
    <m/>
    <n v="0"/>
    <n v="0"/>
    <s v="Constant. Besoin carte de réfugier "/>
    <s v="Oui"/>
    <n v="3"/>
    <n v="9"/>
    <n v="7"/>
    <n v="2"/>
    <s v="Entre 3 mois et 1 an"/>
    <n v="0"/>
    <n v="0"/>
    <n v="3"/>
    <n v="0"/>
    <n v="0"/>
    <m/>
    <n v="0"/>
    <n v="0"/>
    <m/>
    <n v="0"/>
    <m/>
    <m/>
    <m/>
    <m/>
    <m/>
    <n v="0"/>
    <m/>
    <m/>
    <m/>
    <m/>
    <m/>
    <m/>
    <m/>
    <m/>
    <m/>
    <m/>
    <m/>
    <m/>
    <m/>
    <s v="1"/>
    <s v="1"/>
    <s v="1"/>
    <n v="3"/>
  </r>
  <r>
    <n v="2768547"/>
    <s v="Extrême-Nord"/>
    <s v="CMR004"/>
    <x v="5"/>
    <s v="CMR004006"/>
    <s v="Mokolo"/>
    <s v="CMR004006002"/>
    <s v="MOK-0020"/>
    <s v="TOUFOU"/>
    <m/>
    <x v="1"/>
    <s v="N/A"/>
    <s v="N/A"/>
    <x v="0"/>
    <b v="0"/>
    <b v="0"/>
    <b v="1"/>
    <m/>
    <m/>
    <s v="Inaccessible - insécurité"/>
    <m/>
    <s v="Le village est entièrement déserté"/>
    <m/>
    <m/>
    <m/>
    <m/>
    <m/>
    <m/>
    <m/>
    <m/>
    <m/>
    <m/>
    <m/>
    <m/>
    <m/>
    <m/>
    <m/>
    <m/>
    <m/>
    <m/>
    <m/>
    <m/>
    <m/>
    <m/>
    <m/>
    <m/>
    <m/>
    <m/>
    <m/>
    <m/>
    <m/>
    <m/>
    <m/>
    <m/>
    <m/>
    <m/>
    <m/>
    <m/>
    <m/>
    <m/>
    <m/>
    <m/>
    <m/>
    <m/>
    <m/>
    <m/>
    <m/>
    <m/>
    <m/>
    <m/>
    <m/>
    <m/>
    <m/>
    <m/>
    <m/>
    <m/>
    <m/>
    <m/>
    <m/>
    <m/>
    <m/>
    <m/>
    <m/>
    <m/>
    <m/>
    <m/>
    <m/>
    <m/>
    <m/>
    <m/>
    <m/>
    <m/>
    <m/>
    <m/>
    <m/>
    <m/>
    <m/>
    <m/>
    <m/>
    <m/>
    <m/>
    <s v="0"/>
    <s v="0"/>
    <s v="0"/>
    <n v="0"/>
  </r>
  <r>
    <n v="2676097"/>
    <s v="Extrême-Nord"/>
    <s v="CMR004"/>
    <x v="5"/>
    <s v="CMR004006"/>
    <s v="Mokolo"/>
    <s v="CMR004006002"/>
    <s v="MOK-0021"/>
    <s v="TOUROU CENTRE"/>
    <m/>
    <x v="1"/>
    <n v="10.926549400000001"/>
    <n v="13.730495899999999"/>
    <x v="0"/>
    <b v="1"/>
    <b v="0"/>
    <b v="1"/>
    <m/>
    <n v="5"/>
    <s v="Accessible"/>
    <m/>
    <s v="Le village accueille une population"/>
    <s v="Le village est partiellement détruit"/>
    <s v="Attaques armées"/>
    <m/>
    <s v="Oui"/>
    <s v="Familles d'accueil"/>
    <s v="Non, pas du tout"/>
    <s v="Oui"/>
    <n v="1"/>
    <n v="643"/>
    <n v="14826"/>
    <s v="Oui"/>
    <s v="Premier déplacement"/>
    <n v="643"/>
    <n v="7966"/>
    <n v="2518"/>
    <n v="5448"/>
    <n v="400"/>
    <n v="121"/>
    <n v="50"/>
    <n v="72"/>
    <s v="Chez une famille d'accueil (contre loyer)"/>
    <m/>
    <n v="0"/>
    <n v="0"/>
    <m/>
    <m/>
    <n v="0"/>
    <s v="Augmentation de 60 ménages Pour 115 individus dont 25 hommes et 95 femmes en provenance de Ldagodja, Toufou 2, Loktcha.  Départ de 246 ménages pour 1676 individus dont 687 hommes et 989 hommes pour Mokolo, Maroua, Tada et Goraï-Sirak _x000a_Abris : FAT, abris spontané_x000a_Raison BH.  Il n'y a plus d'assistance humanitaire à Tourou et c'est un danger de vie et de misère surtout pour les PDI"/>
    <s v="Oui"/>
    <n v="260"/>
    <n v="1296"/>
    <n v="569"/>
    <n v="727"/>
    <n v="160"/>
    <n v="100"/>
    <n v="0"/>
    <m/>
    <n v="0"/>
    <n v="0"/>
    <m/>
    <m/>
    <n v="0"/>
    <n v="0"/>
    <s v="CONSTANT. BESOIN DE CARTE DE RÉFUGIÉ. Besoin d'assistance humanitaire multiformes "/>
    <s v="Non"/>
    <m/>
    <m/>
    <m/>
    <m/>
    <m/>
    <m/>
    <m/>
    <m/>
    <m/>
    <m/>
    <m/>
    <m/>
    <m/>
    <m/>
    <m/>
    <m/>
    <m/>
    <m/>
    <m/>
    <m/>
    <n v="0"/>
    <m/>
    <m/>
    <m/>
    <m/>
    <m/>
    <m/>
    <m/>
    <m/>
    <m/>
    <m/>
    <m/>
    <m/>
    <m/>
    <s v="1"/>
    <s v="1"/>
    <s v="0"/>
    <n v="2"/>
  </r>
  <r>
    <n v="2604823"/>
    <s v="Extrême-Nord"/>
    <s v="CMR004"/>
    <x v="5"/>
    <s v="CMR004006"/>
    <s v="Mokolo"/>
    <s v="CMR004006002"/>
    <s v="MOK-0052"/>
    <s v="WAGANFO ZAMAI"/>
    <m/>
    <x v="1"/>
    <n v="10.669426700000001"/>
    <n v="13.902973299999999"/>
    <x v="0"/>
    <b v="1"/>
    <b v="0"/>
    <b v="1"/>
    <m/>
    <n v="3"/>
    <s v="Accessible"/>
    <m/>
    <s v="Le village accueille une population"/>
    <s v="Le village est intact (construit)"/>
    <m/>
    <m/>
    <s v="Oui"/>
    <s v="Familles d'accueil"/>
    <s v="Non, pas du tout"/>
    <s v="Non"/>
    <m/>
    <n v="13"/>
    <n v="1250"/>
    <s v="Oui"/>
    <s v="Troisième déplacement"/>
    <n v="13"/>
    <n v="70"/>
    <n v="30"/>
    <n v="40"/>
    <n v="0"/>
    <n v="13"/>
    <n v="0"/>
    <n v="0"/>
    <m/>
    <m/>
    <n v="0"/>
    <n v="0"/>
    <m/>
    <m/>
    <n v="0"/>
    <s v="RAS"/>
    <s v="Oui"/>
    <n v="2"/>
    <n v="15"/>
    <n v="7"/>
    <n v="8"/>
    <n v="2"/>
    <n v="0"/>
    <n v="0"/>
    <m/>
    <n v="0"/>
    <n v="0"/>
    <m/>
    <m/>
    <n v="0"/>
    <n v="2"/>
    <s v="RAS"/>
    <s v="Non"/>
    <m/>
    <m/>
    <m/>
    <m/>
    <m/>
    <m/>
    <m/>
    <m/>
    <m/>
    <m/>
    <m/>
    <m/>
    <m/>
    <m/>
    <m/>
    <m/>
    <m/>
    <m/>
    <m/>
    <m/>
    <n v="0"/>
    <m/>
    <m/>
    <m/>
    <m/>
    <m/>
    <m/>
    <m/>
    <m/>
    <m/>
    <m/>
    <m/>
    <m/>
    <m/>
    <s v="1"/>
    <s v="1"/>
    <s v="0"/>
    <n v="2"/>
  </r>
  <r>
    <n v="2645472"/>
    <s v="Extrême-Nord"/>
    <s v="CMR004"/>
    <x v="5"/>
    <s v="CMR004006"/>
    <s v="Mokolo"/>
    <s v="CMR004006002"/>
    <s v="MOK-0058"/>
    <s v="WANAROU MOKOLO"/>
    <m/>
    <x v="1"/>
    <n v="10.4691413"/>
    <n v="13.760512500000001"/>
    <x v="0"/>
    <b v="1"/>
    <b v="0"/>
    <b v="1"/>
    <m/>
    <n v="3"/>
    <s v="Accessible"/>
    <m/>
    <s v="Le village accueille une population"/>
    <s v="Le village est intact (construit)"/>
    <m/>
    <m/>
    <s v="Oui"/>
    <s v="Familles d'accueil"/>
    <s v="Non, pas du tout"/>
    <s v="Non"/>
    <m/>
    <n v="9"/>
    <n v="2801"/>
    <s v="Oui"/>
    <s v="Premier déplacement"/>
    <n v="9"/>
    <n v="41"/>
    <n v="18"/>
    <n v="23"/>
    <n v="0"/>
    <n v="6"/>
    <n v="3"/>
    <n v="0"/>
    <m/>
    <m/>
    <n v="0"/>
    <n v="0"/>
    <m/>
    <m/>
    <n v="0"/>
    <s v="Augmentation de 2 ménages pour 13individues en provenance de Tourou raison Bh pas de centre de santé dans la localité pas d'électricité  pas d'eau  potable aucun  point  d'eau  dans cette localité. "/>
    <s v="Non"/>
    <m/>
    <m/>
    <m/>
    <m/>
    <m/>
    <m/>
    <m/>
    <m/>
    <m/>
    <m/>
    <m/>
    <m/>
    <m/>
    <m/>
    <m/>
    <s v="Oui"/>
    <n v="14"/>
    <n v="98"/>
    <n v="41"/>
    <n v="57"/>
    <s v="Entre 3 mois et 1 an"/>
    <n v="10"/>
    <n v="4"/>
    <n v="0"/>
    <n v="0"/>
    <n v="0"/>
    <m/>
    <n v="0"/>
    <n v="0"/>
    <m/>
    <n v="0"/>
    <m/>
    <m/>
    <m/>
    <m/>
    <m/>
    <n v="0"/>
    <m/>
    <m/>
    <m/>
    <m/>
    <m/>
    <m/>
    <m/>
    <m/>
    <m/>
    <m/>
    <m/>
    <m/>
    <m/>
    <s v="1"/>
    <s v="0"/>
    <s v="1"/>
    <n v="2"/>
  </r>
  <r>
    <n v="2650794"/>
    <s v="Extrême-Nord"/>
    <s v="CMR004"/>
    <x v="5"/>
    <s v="CMR004006"/>
    <s v="Mokolo"/>
    <s v="CMR004006002"/>
    <s v="MOK-0022"/>
    <s v="WANDAI"/>
    <m/>
    <x v="1"/>
    <n v="10.802289500000001"/>
    <n v="13.686828800000001"/>
    <x v="0"/>
    <b v="1"/>
    <b v="0"/>
    <b v="1"/>
    <m/>
    <n v="3"/>
    <s v="Accessible"/>
    <m/>
    <s v="Le village accueille une population"/>
    <s v="Le village est intact (construit)"/>
    <m/>
    <m/>
    <s v="Oui"/>
    <s v="Familles d'accueil"/>
    <s v="Non, pas du tout"/>
    <s v="Non"/>
    <m/>
    <n v="40"/>
    <n v="6000"/>
    <s v="Oui"/>
    <s v="Deuxième déplacement"/>
    <n v="40"/>
    <n v="219"/>
    <n v="103"/>
    <n v="116"/>
    <n v="5"/>
    <n v="35"/>
    <n v="0"/>
    <n v="0"/>
    <m/>
    <m/>
    <n v="0"/>
    <n v="0"/>
    <m/>
    <m/>
    <n v="0"/>
    <s v="Il ya une augmentation des déplacés suite aux exactions de Boko haram"/>
    <s v="Non"/>
    <m/>
    <m/>
    <m/>
    <m/>
    <m/>
    <m/>
    <m/>
    <m/>
    <m/>
    <m/>
    <m/>
    <m/>
    <m/>
    <m/>
    <m/>
    <s v="Non"/>
    <m/>
    <m/>
    <m/>
    <m/>
    <m/>
    <m/>
    <m/>
    <m/>
    <m/>
    <m/>
    <m/>
    <m/>
    <m/>
    <m/>
    <m/>
    <m/>
    <m/>
    <m/>
    <m/>
    <m/>
    <n v="0"/>
    <m/>
    <m/>
    <m/>
    <m/>
    <m/>
    <m/>
    <m/>
    <m/>
    <m/>
    <m/>
    <m/>
    <m/>
    <m/>
    <s v="1"/>
    <s v="0"/>
    <s v="0"/>
    <n v="1"/>
  </r>
  <r>
    <n v="2655346"/>
    <s v="Extrême-Nord"/>
    <s v="CMR004"/>
    <x v="5"/>
    <s v="CMR004006"/>
    <s v="Mokolo"/>
    <s v="CMR004006002"/>
    <s v="MOK-0063"/>
    <s v="WATA TOUFOU"/>
    <m/>
    <x v="1"/>
    <s v="N/A"/>
    <s v="N/A"/>
    <x v="0"/>
    <b v="1"/>
    <b v="0"/>
    <b v="0"/>
    <m/>
    <n v="3"/>
    <s v="Inaccessible - interdit par l'armée"/>
    <m/>
    <s v="Le village est entièrement déserté"/>
    <m/>
    <m/>
    <m/>
    <m/>
    <m/>
    <m/>
    <m/>
    <m/>
    <m/>
    <m/>
    <m/>
    <m/>
    <m/>
    <m/>
    <m/>
    <m/>
    <m/>
    <m/>
    <m/>
    <m/>
    <m/>
    <m/>
    <m/>
    <m/>
    <m/>
    <m/>
    <m/>
    <m/>
    <m/>
    <m/>
    <m/>
    <m/>
    <m/>
    <m/>
    <m/>
    <m/>
    <m/>
    <m/>
    <m/>
    <m/>
    <m/>
    <m/>
    <m/>
    <m/>
    <m/>
    <m/>
    <m/>
    <m/>
    <m/>
    <m/>
    <m/>
    <m/>
    <m/>
    <m/>
    <m/>
    <m/>
    <m/>
    <m/>
    <m/>
    <m/>
    <m/>
    <m/>
    <m/>
    <m/>
    <m/>
    <m/>
    <m/>
    <m/>
    <m/>
    <m/>
    <m/>
    <m/>
    <m/>
    <m/>
    <m/>
    <m/>
    <m/>
    <m/>
    <m/>
    <s v="0"/>
    <s v="0"/>
    <s v="0"/>
    <n v="0"/>
  </r>
  <r>
    <n v="2604822"/>
    <s v="Extrême-Nord"/>
    <s v="CMR004"/>
    <x v="5"/>
    <s v="CMR004006"/>
    <s v="Mokolo"/>
    <s v="CMR004006002"/>
    <s v="MOK-0053"/>
    <s v="WINDE ZAMAI"/>
    <m/>
    <x v="1"/>
    <n v="10.653279400000001"/>
    <n v="13.882946199999999"/>
    <x v="0"/>
    <b v="1"/>
    <b v="0"/>
    <b v="1"/>
    <m/>
    <n v="3"/>
    <s v="Accessible"/>
    <m/>
    <s v="Le village accueille une population"/>
    <s v="Le village est intact (construit)"/>
    <m/>
    <m/>
    <s v="Oui"/>
    <s v="Familles d'accueil"/>
    <s v="Non, pas du tout"/>
    <s v="Non"/>
    <m/>
    <n v="2"/>
    <n v="2050"/>
    <s v="Oui"/>
    <s v="Troisième déplacement"/>
    <n v="2"/>
    <n v="11"/>
    <n v="3"/>
    <n v="8"/>
    <n v="0"/>
    <n v="2"/>
    <n v="0"/>
    <n v="0"/>
    <m/>
    <m/>
    <n v="0"/>
    <n v="0"/>
    <m/>
    <m/>
    <n v="0"/>
    <s v="Ras"/>
    <s v="Non"/>
    <m/>
    <m/>
    <m/>
    <m/>
    <m/>
    <m/>
    <m/>
    <m/>
    <m/>
    <m/>
    <m/>
    <m/>
    <m/>
    <m/>
    <m/>
    <s v="Non"/>
    <m/>
    <m/>
    <m/>
    <m/>
    <m/>
    <m/>
    <m/>
    <m/>
    <m/>
    <m/>
    <m/>
    <m/>
    <m/>
    <m/>
    <m/>
    <m/>
    <m/>
    <m/>
    <m/>
    <m/>
    <n v="0"/>
    <m/>
    <m/>
    <m/>
    <m/>
    <m/>
    <m/>
    <m/>
    <m/>
    <m/>
    <m/>
    <m/>
    <m/>
    <m/>
    <s v="1"/>
    <s v="0"/>
    <s v="0"/>
    <n v="1"/>
  </r>
  <r>
    <n v="2684028"/>
    <s v="Extrême-Nord"/>
    <s v="CMR004"/>
    <x v="5"/>
    <s v="CMR004006"/>
    <s v="Mokolo"/>
    <s v="CMR004006002"/>
    <s v="MOK-0034"/>
    <s v="WOUDAHAI"/>
    <m/>
    <x v="0"/>
    <n v="10.794210899999999"/>
    <n v="13.821700099999999"/>
    <x v="0"/>
    <b v="1"/>
    <b v="0"/>
    <b v="1"/>
    <m/>
    <n v="4"/>
    <s v="Accessible"/>
    <m/>
    <s v="Le village accueille une population"/>
    <s v="Le village est intact (construit)"/>
    <m/>
    <m/>
    <s v="Oui"/>
    <s v="Familles d'accueil"/>
    <s v="Non, pas du tout"/>
    <s v="Non"/>
    <m/>
    <n v="153"/>
    <n v="1734"/>
    <s v="Oui"/>
    <s v="Deuxième déplacement"/>
    <n v="153"/>
    <n v="623"/>
    <n v="262"/>
    <n v="361"/>
    <n v="0"/>
    <n v="93"/>
    <n v="60"/>
    <n v="0"/>
    <m/>
    <m/>
    <n v="0"/>
    <n v="0"/>
    <m/>
    <m/>
    <n v="0"/>
    <s v="Augmentation de 60 ménages pour 98 individus dont 28 hommes et 70 femmes en provenance Nguetchewé, ouzal, Tourou, Ldamang. Raison BH. Abris FAT "/>
    <s v="Oui"/>
    <n v="1"/>
    <n v="8"/>
    <n v="2"/>
    <n v="6"/>
    <n v="1"/>
    <n v="0"/>
    <n v="0"/>
    <m/>
    <n v="0"/>
    <n v="0"/>
    <m/>
    <m/>
    <n v="0"/>
    <n v="0"/>
    <s v="Constant "/>
    <s v="Oui"/>
    <n v="19"/>
    <n v="75"/>
    <n v="30"/>
    <n v="45"/>
    <s v="Entre 3 mois et 1 an"/>
    <n v="0"/>
    <n v="11"/>
    <n v="8"/>
    <n v="0"/>
    <n v="0"/>
    <m/>
    <n v="0"/>
    <n v="0"/>
    <m/>
    <n v="0"/>
    <m/>
    <m/>
    <m/>
    <m/>
    <m/>
    <n v="0"/>
    <m/>
    <m/>
    <m/>
    <m/>
    <m/>
    <m/>
    <m/>
    <m/>
    <m/>
    <m/>
    <m/>
    <m/>
    <m/>
    <s v="1"/>
    <s v="1"/>
    <s v="1"/>
    <n v="3"/>
  </r>
  <r>
    <n v="2627351"/>
    <s v="Extrême-Nord"/>
    <s v="CMR004"/>
    <x v="5"/>
    <s v="CMR004006"/>
    <s v="Mokolo"/>
    <s v="CMR004006002"/>
    <s v="MOK-0023"/>
    <s v="WOULA"/>
    <m/>
    <x v="0"/>
    <n v="10.7718946"/>
    <n v="13.679386900000001"/>
    <x v="0"/>
    <b v="1"/>
    <b v="0"/>
    <b v="1"/>
    <m/>
    <n v="3"/>
    <s v="Accessible"/>
    <m/>
    <s v="Le village accueille une population"/>
    <s v="Le village est intact (construit)"/>
    <m/>
    <m/>
    <s v="Oui"/>
    <s v="Familles d'accueil"/>
    <s v="Non, pas du tout"/>
    <s v="Non"/>
    <m/>
    <n v="266"/>
    <n v="6000"/>
    <s v="Oui"/>
    <s v="Troisième déplacement"/>
    <n v="266"/>
    <n v="1350"/>
    <n v="606"/>
    <n v="744"/>
    <n v="0"/>
    <n v="266"/>
    <n v="0"/>
    <n v="0"/>
    <m/>
    <m/>
    <n v="0"/>
    <n v="0"/>
    <m/>
    <m/>
    <n v="0"/>
    <s v="Il ya une augmentation des déplacés dus aux mouvements des extremistes"/>
    <s v="Non"/>
    <m/>
    <m/>
    <m/>
    <m/>
    <m/>
    <m/>
    <m/>
    <m/>
    <m/>
    <m/>
    <m/>
    <m/>
    <m/>
    <m/>
    <m/>
    <s v="Non"/>
    <m/>
    <m/>
    <m/>
    <m/>
    <m/>
    <m/>
    <m/>
    <m/>
    <m/>
    <m/>
    <m/>
    <m/>
    <m/>
    <m/>
    <m/>
    <m/>
    <m/>
    <m/>
    <m/>
    <m/>
    <n v="0"/>
    <m/>
    <m/>
    <m/>
    <m/>
    <m/>
    <m/>
    <m/>
    <m/>
    <m/>
    <m/>
    <m/>
    <m/>
    <m/>
    <s v="1"/>
    <s v="0"/>
    <s v="0"/>
    <n v="1"/>
  </r>
  <r>
    <n v="2655337"/>
    <s v="Extrême-Nord"/>
    <s v="CMR004"/>
    <x v="5"/>
    <s v="CMR004006"/>
    <s v="Mokolo"/>
    <s v="CMR004006002"/>
    <s v="MOK-0041"/>
    <s v="ZAMAI CENTRE"/>
    <m/>
    <x v="1"/>
    <n v="10.6374218"/>
    <n v="13.8986366"/>
    <x v="0"/>
    <b v="1"/>
    <b v="0"/>
    <b v="1"/>
    <m/>
    <n v="3"/>
    <s v="Accessible"/>
    <m/>
    <s v="Le village accueille une population"/>
    <s v="Le village est intact (construit)"/>
    <m/>
    <m/>
    <s v="Oui"/>
    <s v="Familles d'accueil"/>
    <s v="Sites de déplacement spontanés"/>
    <s v="Oui"/>
    <n v="4"/>
    <n v="10"/>
    <n v="5385"/>
    <s v="Oui"/>
    <s v="Premier déplacement"/>
    <n v="10"/>
    <n v="53"/>
    <n v="23"/>
    <n v="30"/>
    <n v="0"/>
    <n v="3"/>
    <n v="0"/>
    <n v="7"/>
    <s v="Chez une famille d'accueil (contre loyer)"/>
    <m/>
    <n v="0"/>
    <n v="0"/>
    <m/>
    <m/>
    <n v="0"/>
    <s v="Ajout de 2 naissances filles"/>
    <s v="Non"/>
    <m/>
    <m/>
    <m/>
    <m/>
    <m/>
    <m/>
    <m/>
    <m/>
    <m/>
    <m/>
    <m/>
    <m/>
    <m/>
    <m/>
    <m/>
    <s v="Non"/>
    <m/>
    <m/>
    <m/>
    <m/>
    <m/>
    <m/>
    <m/>
    <m/>
    <m/>
    <m/>
    <m/>
    <m/>
    <m/>
    <m/>
    <m/>
    <m/>
    <m/>
    <m/>
    <m/>
    <m/>
    <n v="0"/>
    <m/>
    <m/>
    <m/>
    <m/>
    <m/>
    <m/>
    <m/>
    <m/>
    <m/>
    <m/>
    <m/>
    <m/>
    <m/>
    <s v="1"/>
    <s v="0"/>
    <s v="0"/>
    <n v="1"/>
  </r>
  <r>
    <n v="2636807"/>
    <s v="Extrême-Nord"/>
    <s v="CMR004"/>
    <x v="5"/>
    <s v="CMR004006"/>
    <s v="Mokolo"/>
    <s v="CMR004006002"/>
    <s v="MOK-0025"/>
    <s v="ZILENG"/>
    <m/>
    <x v="1"/>
    <n v="10.714457899999999"/>
    <n v="13.8271595"/>
    <x v="0"/>
    <b v="1"/>
    <b v="0"/>
    <b v="1"/>
    <m/>
    <n v="3"/>
    <s v="Accessible"/>
    <m/>
    <s v="Le village accueille une population"/>
    <s v="Le village est intact (construit)"/>
    <m/>
    <m/>
    <s v="Oui"/>
    <s v="Familles d'accueil"/>
    <s v="Non, pas du tout"/>
    <s v="Non"/>
    <m/>
    <n v="32"/>
    <n v="2000"/>
    <s v="Oui"/>
    <s v="Deuxième déplacement"/>
    <n v="32"/>
    <n v="273"/>
    <n v="129"/>
    <n v="144"/>
    <n v="0"/>
    <n v="32"/>
    <n v="0"/>
    <n v="0"/>
    <m/>
    <m/>
    <n v="0"/>
    <n v="0"/>
    <m/>
    <m/>
    <n v="0"/>
    <s v="Il ya une augmentation des déplacés suite au mouvement des extremistes Boko haram du côté de Tourou"/>
    <s v="Non"/>
    <m/>
    <m/>
    <m/>
    <m/>
    <m/>
    <m/>
    <m/>
    <m/>
    <m/>
    <m/>
    <m/>
    <m/>
    <m/>
    <m/>
    <m/>
    <s v="Non"/>
    <m/>
    <m/>
    <m/>
    <m/>
    <m/>
    <m/>
    <m/>
    <m/>
    <m/>
    <m/>
    <m/>
    <m/>
    <m/>
    <m/>
    <m/>
    <m/>
    <m/>
    <m/>
    <m/>
    <m/>
    <n v="0"/>
    <m/>
    <m/>
    <m/>
    <m/>
    <m/>
    <m/>
    <m/>
    <m/>
    <m/>
    <m/>
    <m/>
    <m/>
    <m/>
    <s v="1"/>
    <s v="0"/>
    <s v="0"/>
    <n v="1"/>
  </r>
  <r>
    <n v="2678338"/>
    <s v="Extrême-Nord"/>
    <s v="CMR004"/>
    <x v="5"/>
    <s v="CMR004006"/>
    <s v="Soulédé-Roua"/>
    <s v="CMR004006006"/>
    <s v="SOU-0009"/>
    <s v="BAO TASAI"/>
    <m/>
    <x v="1"/>
    <n v="10.761426200000001"/>
    <n v="13.9052688"/>
    <x v="0"/>
    <b v="1"/>
    <b v="0"/>
    <b v="0"/>
    <m/>
    <n v="3"/>
    <s v="Accessible"/>
    <m/>
    <s v="Le village accueille une population"/>
    <s v="Le village est intact (construit)"/>
    <m/>
    <m/>
    <s v="Oui"/>
    <s v="Familles d'accueil"/>
    <s v="Non, pas du tout"/>
    <s v="Non"/>
    <m/>
    <m/>
    <n v="2508"/>
    <s v="Non"/>
    <m/>
    <m/>
    <m/>
    <m/>
    <m/>
    <m/>
    <m/>
    <m/>
    <m/>
    <m/>
    <m/>
    <m/>
    <m/>
    <m/>
    <m/>
    <m/>
    <m/>
    <s v="Non"/>
    <m/>
    <m/>
    <m/>
    <m/>
    <m/>
    <m/>
    <m/>
    <m/>
    <m/>
    <m/>
    <m/>
    <m/>
    <m/>
    <m/>
    <m/>
    <s v="Oui"/>
    <n v="2"/>
    <n v="13"/>
    <n v="5"/>
    <n v="8"/>
    <s v="Moins de 3 mois"/>
    <n v="0"/>
    <n v="2"/>
    <n v="0"/>
    <n v="0"/>
    <n v="0"/>
    <m/>
    <n v="0"/>
    <n v="0"/>
    <m/>
    <n v="0"/>
    <m/>
    <m/>
    <m/>
    <m/>
    <m/>
    <n v="0"/>
    <m/>
    <m/>
    <m/>
    <m/>
    <m/>
    <m/>
    <m/>
    <m/>
    <m/>
    <m/>
    <m/>
    <m/>
    <m/>
    <s v="0"/>
    <s v="0"/>
    <s v="1"/>
    <n v="1"/>
  </r>
  <r>
    <n v="2678323"/>
    <s v="Extrême-Nord"/>
    <s v="CMR004"/>
    <x v="5"/>
    <s v="CMR004006"/>
    <s v="Soulédé-Roua"/>
    <s v="CMR004006006"/>
    <s v="SOU-0002"/>
    <s v="BAO VARA"/>
    <m/>
    <x v="1"/>
    <n v="10.761416499999999"/>
    <n v="13.905110000000001"/>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78332"/>
    <s v="Extrême-Nord"/>
    <s v="CMR004"/>
    <x v="5"/>
    <s v="CMR004006"/>
    <s v="Soulédé-Roua"/>
    <s v="CMR004006006"/>
    <s v="SOU-0008"/>
    <s v="DOUMGAR"/>
    <m/>
    <x v="1"/>
    <n v="10.7906735"/>
    <n v="13.9471826"/>
    <x v="0"/>
    <b v="1"/>
    <b v="0"/>
    <b v="0"/>
    <m/>
    <n v="3"/>
    <s v="Accessible"/>
    <m/>
    <s v="Le village accueille une population"/>
    <s v="Le village est intact (construit)"/>
    <m/>
    <m/>
    <s v="Oui"/>
    <s v="Familles d'accueil"/>
    <s v="Non, pas du tout"/>
    <s v="Non"/>
    <m/>
    <n v="76"/>
    <n v="1303"/>
    <s v="Oui"/>
    <s v="Premier déplacement"/>
    <n v="76"/>
    <n v="327"/>
    <n v="137"/>
    <n v="190"/>
    <n v="0"/>
    <n v="69"/>
    <n v="4"/>
    <n v="3"/>
    <s v="Chez une famille d'accueil (contre loyer)"/>
    <m/>
    <n v="0"/>
    <n v="0"/>
    <m/>
    <m/>
    <n v="0"/>
    <s v="Ajout d'un ménage pour 13 individus dont 05 hommes et 08 femmes "/>
    <s v="Non"/>
    <m/>
    <m/>
    <m/>
    <m/>
    <m/>
    <m/>
    <m/>
    <m/>
    <m/>
    <m/>
    <m/>
    <m/>
    <m/>
    <m/>
    <m/>
    <s v="Oui"/>
    <n v="17"/>
    <n v="89"/>
    <n v="56"/>
    <n v="33"/>
    <s v="Entre 3 mois et 1 an"/>
    <n v="0"/>
    <n v="14"/>
    <n v="3"/>
    <n v="0"/>
    <n v="0"/>
    <m/>
    <n v="0"/>
    <n v="0"/>
    <m/>
    <n v="0"/>
    <m/>
    <m/>
    <m/>
    <m/>
    <m/>
    <n v="0"/>
    <m/>
    <m/>
    <m/>
    <m/>
    <m/>
    <m/>
    <m/>
    <m/>
    <m/>
    <m/>
    <m/>
    <m/>
    <m/>
    <s v="1"/>
    <s v="0"/>
    <s v="1"/>
    <n v="2"/>
  </r>
  <r>
    <n v="2678318"/>
    <s v="Extrême-Nord"/>
    <s v="CMR004"/>
    <x v="5"/>
    <s v="CMR004006"/>
    <s v="Soulédé-Roua"/>
    <s v="CMR004006006"/>
    <s v="SOU-0001"/>
    <s v="FOGOM"/>
    <m/>
    <x v="1"/>
    <n v="10.778942900000001"/>
    <n v="13.9918032"/>
    <x v="0"/>
    <b v="1"/>
    <b v="0"/>
    <b v="0"/>
    <m/>
    <n v="3"/>
    <s v="Accessible"/>
    <m/>
    <s v="Le village accueille une population"/>
    <s v="Le village est intact (construit)"/>
    <m/>
    <m/>
    <s v="Oui"/>
    <s v="Familles d'accueil"/>
    <s v="Non, pas du tout"/>
    <s v="Non"/>
    <m/>
    <m/>
    <n v="1400"/>
    <s v="Non"/>
    <m/>
    <m/>
    <m/>
    <m/>
    <m/>
    <m/>
    <m/>
    <m/>
    <m/>
    <m/>
    <m/>
    <m/>
    <m/>
    <m/>
    <m/>
    <m/>
    <m/>
    <s v="Non"/>
    <m/>
    <m/>
    <m/>
    <m/>
    <m/>
    <m/>
    <m/>
    <m/>
    <m/>
    <m/>
    <m/>
    <m/>
    <m/>
    <m/>
    <m/>
    <s v="Oui"/>
    <n v="5"/>
    <n v="28"/>
    <n v="8"/>
    <n v="20"/>
    <s v="Entre 3 mois et 1 an"/>
    <n v="0"/>
    <n v="5"/>
    <n v="0"/>
    <n v="0"/>
    <n v="0"/>
    <m/>
    <n v="0"/>
    <n v="0"/>
    <m/>
    <n v="0"/>
    <m/>
    <m/>
    <m/>
    <m/>
    <m/>
    <n v="0"/>
    <m/>
    <m/>
    <m/>
    <m/>
    <m/>
    <m/>
    <m/>
    <m/>
    <m/>
    <m/>
    <m/>
    <m/>
    <m/>
    <s v="0"/>
    <s v="0"/>
    <s v="1"/>
    <n v="1"/>
  </r>
  <r>
    <n v="2678324"/>
    <s v="Extrême-Nord"/>
    <s v="CMR004"/>
    <x v="5"/>
    <s v="CMR004006"/>
    <s v="Soulédé-Roua"/>
    <s v="CMR004006006"/>
    <s v="SOU-0003"/>
    <s v="GOLIBAI"/>
    <m/>
    <x v="1"/>
    <n v="10.805786899999999"/>
    <n v="13.8989835"/>
    <x v="0"/>
    <b v="1"/>
    <b v="0"/>
    <b v="0"/>
    <m/>
    <n v="3"/>
    <s v="Accessible"/>
    <m/>
    <s v="Le village accueille une population"/>
    <s v="Le village est intact (construit)"/>
    <m/>
    <m/>
    <s v="Oui"/>
    <s v="Familles d'accueil"/>
    <s v="Non, pas du tout"/>
    <s v="Non"/>
    <m/>
    <m/>
    <n v="2350"/>
    <s v="Non"/>
    <m/>
    <m/>
    <m/>
    <m/>
    <m/>
    <m/>
    <m/>
    <m/>
    <m/>
    <m/>
    <m/>
    <m/>
    <m/>
    <m/>
    <m/>
    <m/>
    <m/>
    <s v="Non"/>
    <m/>
    <m/>
    <m/>
    <m/>
    <m/>
    <m/>
    <m/>
    <m/>
    <m/>
    <m/>
    <m/>
    <m/>
    <m/>
    <m/>
    <m/>
    <s v="Oui"/>
    <n v="15"/>
    <n v="46"/>
    <n v="18"/>
    <n v="28"/>
    <s v="Entre 3 mois et 1 an"/>
    <n v="0"/>
    <n v="15"/>
    <n v="0"/>
    <n v="0"/>
    <n v="0"/>
    <m/>
    <n v="0"/>
    <n v="0"/>
    <m/>
    <n v="0"/>
    <m/>
    <m/>
    <m/>
    <m/>
    <m/>
    <n v="4"/>
    <m/>
    <m/>
    <m/>
    <m/>
    <m/>
    <m/>
    <m/>
    <m/>
    <m/>
    <m/>
    <m/>
    <m/>
    <m/>
    <s v="0"/>
    <s v="0"/>
    <s v="1"/>
    <n v="1"/>
  </r>
  <r>
    <n v="2678313"/>
    <s v="Extrême-Nord"/>
    <s v="CMR004"/>
    <x v="5"/>
    <s v="CMR004006"/>
    <s v="Soulédé-Roua"/>
    <s v="CMR004006006"/>
    <s v="SOU-0004"/>
    <s v="MADOKONAI 1"/>
    <m/>
    <x v="1"/>
    <n v="10.7874249"/>
    <n v="14.012978499999999"/>
    <x v="0"/>
    <b v="1"/>
    <b v="0"/>
    <b v="0"/>
    <m/>
    <n v="3"/>
    <s v="Accessible"/>
    <m/>
    <s v="Le village accueille une population"/>
    <s v="Le village est intact (construit)"/>
    <m/>
    <m/>
    <s v="Oui"/>
    <s v="Familles d'accueil"/>
    <s v="Non, pas du tout"/>
    <s v="Non"/>
    <m/>
    <n v="5"/>
    <n v="1830"/>
    <s v="Oui"/>
    <s v="Premier déplacement"/>
    <n v="5"/>
    <n v="24"/>
    <n v="11"/>
    <n v="13"/>
    <n v="0"/>
    <n v="5"/>
    <n v="0"/>
    <n v="0"/>
    <m/>
    <m/>
    <n v="0"/>
    <n v="0"/>
    <m/>
    <m/>
    <n v="0"/>
    <s v="Augmentation de 03 ménages pour 13 individus dont 05 hommes et 08 femmes "/>
    <s v="Non"/>
    <m/>
    <m/>
    <m/>
    <m/>
    <m/>
    <m/>
    <m/>
    <m/>
    <m/>
    <m/>
    <m/>
    <m/>
    <m/>
    <m/>
    <m/>
    <s v="Oui"/>
    <n v="1"/>
    <n v="3"/>
    <n v="1"/>
    <n v="2"/>
    <s v="Entre 3 mois et 1 an"/>
    <n v="0"/>
    <n v="1"/>
    <n v="0"/>
    <n v="0"/>
    <n v="0"/>
    <m/>
    <n v="0"/>
    <n v="0"/>
    <m/>
    <n v="0"/>
    <m/>
    <m/>
    <m/>
    <m/>
    <m/>
    <n v="0"/>
    <m/>
    <m/>
    <m/>
    <m/>
    <m/>
    <m/>
    <m/>
    <m/>
    <m/>
    <m/>
    <m/>
    <m/>
    <m/>
    <s v="1"/>
    <s v="0"/>
    <s v="1"/>
    <n v="2"/>
  </r>
  <r>
    <n v="2678334"/>
    <s v="Extrême-Nord"/>
    <s v="CMR004"/>
    <x v="5"/>
    <s v="CMR004006"/>
    <s v="Soulédé-Roua"/>
    <s v="CMR004006006"/>
    <s v="SOU-0007"/>
    <s v="OUDOUMDJARAY"/>
    <m/>
    <x v="1"/>
    <n v="10.762608800000001"/>
    <n v="13.914118999999999"/>
    <x v="0"/>
    <b v="1"/>
    <b v="0"/>
    <b v="0"/>
    <m/>
    <n v="3"/>
    <s v="Accessible"/>
    <m/>
    <s v="Le village accueille une population"/>
    <s v="Le village est intact (construit)"/>
    <m/>
    <m/>
    <s v="Oui"/>
    <s v="Familles d'accueil"/>
    <s v="Non, pas du tout"/>
    <s v="Non"/>
    <m/>
    <n v="3"/>
    <n v="1023"/>
    <s v="Oui"/>
    <s v="Premier déplacement"/>
    <n v="3"/>
    <n v="23"/>
    <n v="9"/>
    <n v="14"/>
    <n v="0"/>
    <n v="2"/>
    <n v="1"/>
    <n v="0"/>
    <m/>
    <m/>
    <n v="0"/>
    <n v="0"/>
    <m/>
    <m/>
    <n v="0"/>
    <s v="Ajout d'un ménage pour 12 individus dont 03 hommes et 09 femmes "/>
    <s v="Non"/>
    <m/>
    <m/>
    <m/>
    <m/>
    <m/>
    <m/>
    <m/>
    <m/>
    <m/>
    <m/>
    <m/>
    <m/>
    <m/>
    <m/>
    <m/>
    <s v="Oui"/>
    <n v="5"/>
    <n v="37"/>
    <n v="12"/>
    <n v="25"/>
    <s v="Entre 1 et 5 ans"/>
    <n v="0"/>
    <n v="5"/>
    <n v="0"/>
    <n v="0"/>
    <n v="0"/>
    <m/>
    <n v="0"/>
    <n v="0"/>
    <m/>
    <n v="0"/>
    <m/>
    <m/>
    <m/>
    <m/>
    <m/>
    <n v="0"/>
    <m/>
    <m/>
    <m/>
    <m/>
    <m/>
    <m/>
    <m/>
    <m/>
    <m/>
    <m/>
    <m/>
    <m/>
    <m/>
    <s v="1"/>
    <s v="0"/>
    <s v="1"/>
    <n v="2"/>
  </r>
  <r>
    <n v="2678314"/>
    <s v="Extrême-Nord"/>
    <s v="CMR004"/>
    <x v="5"/>
    <s v="CMR004006"/>
    <s v="Soulédé-Roua"/>
    <s v="CMR004006006"/>
    <s v="SOU-0005"/>
    <s v="ROUA CENTRE"/>
    <m/>
    <x v="1"/>
    <n v="10.7794536"/>
    <n v="13.9918964"/>
    <x v="0"/>
    <b v="1"/>
    <b v="0"/>
    <b v="0"/>
    <m/>
    <n v="3"/>
    <s v="Accessible"/>
    <m/>
    <s v="Le village accueille une population"/>
    <s v="Le village est intact (construit)"/>
    <m/>
    <m/>
    <s v="Non"/>
    <m/>
    <m/>
    <m/>
    <m/>
    <m/>
    <m/>
    <m/>
    <m/>
    <m/>
    <m/>
    <m/>
    <m/>
    <m/>
    <m/>
    <m/>
    <m/>
    <m/>
    <m/>
    <m/>
    <m/>
    <m/>
    <m/>
    <m/>
    <m/>
    <m/>
    <m/>
    <m/>
    <m/>
    <m/>
    <m/>
    <m/>
    <m/>
    <m/>
    <m/>
    <m/>
    <m/>
    <m/>
    <m/>
    <m/>
    <m/>
    <m/>
    <m/>
    <m/>
    <m/>
    <m/>
    <m/>
    <m/>
    <m/>
    <m/>
    <m/>
    <m/>
    <m/>
    <m/>
    <m/>
    <m/>
    <m/>
    <m/>
    <m/>
    <m/>
    <m/>
    <m/>
    <m/>
    <m/>
    <m/>
    <m/>
    <m/>
    <m/>
    <m/>
    <m/>
    <m/>
    <m/>
    <m/>
    <m/>
    <m/>
    <m/>
    <s v="0"/>
    <s v="0"/>
    <s v="0"/>
    <n v="0"/>
  </r>
  <r>
    <n v="2678335"/>
    <s v="Extrême-Nord"/>
    <s v="CMR004"/>
    <x v="5"/>
    <s v="CMR004006"/>
    <s v="Soulédé-Roua"/>
    <s v="CMR004006006"/>
    <s v="SOU-0006"/>
    <s v="SOULEDE ROUA"/>
    <m/>
    <x v="1"/>
    <n v="10.7563043"/>
    <n v="13.912948099999999"/>
    <x v="0"/>
    <b v="1"/>
    <b v="0"/>
    <b v="0"/>
    <m/>
    <n v="3"/>
    <s v="Accessible"/>
    <m/>
    <s v="Le village accueille une population"/>
    <s v="Le village est intact (construit)"/>
    <m/>
    <m/>
    <s v="Oui"/>
    <s v="Familles d'accueil"/>
    <s v="Location"/>
    <s v="Non"/>
    <m/>
    <m/>
    <n v="3200"/>
    <s v="Non"/>
    <m/>
    <m/>
    <m/>
    <m/>
    <m/>
    <m/>
    <m/>
    <m/>
    <m/>
    <m/>
    <m/>
    <m/>
    <m/>
    <m/>
    <m/>
    <m/>
    <m/>
    <s v="Oui"/>
    <n v="1"/>
    <n v="3"/>
    <n v="1"/>
    <n v="2"/>
    <n v="0"/>
    <n v="0"/>
    <n v="1"/>
    <s v="Chez une famille d'accueil (contre loyer)"/>
    <n v="0"/>
    <n v="0"/>
    <m/>
    <m/>
    <n v="0"/>
    <n v="0"/>
    <s v="Ajout d'un ménage parmi les réfugiés à souledé centre"/>
    <s v="Non"/>
    <m/>
    <m/>
    <m/>
    <m/>
    <m/>
    <m/>
    <m/>
    <m/>
    <m/>
    <m/>
    <m/>
    <m/>
    <m/>
    <m/>
    <m/>
    <m/>
    <m/>
    <m/>
    <m/>
    <m/>
    <n v="2"/>
    <m/>
    <m/>
    <m/>
    <m/>
    <m/>
    <m/>
    <m/>
    <m/>
    <m/>
    <m/>
    <m/>
    <m/>
    <m/>
    <s v="0"/>
    <s v="1"/>
    <s v="0"/>
    <n v="1"/>
  </r>
  <r>
    <m/>
    <m/>
    <m/>
    <x v="6"/>
    <m/>
    <m/>
    <m/>
    <m/>
    <m/>
    <m/>
    <x v="2"/>
    <m/>
    <m/>
    <x v="2"/>
    <m/>
    <m/>
    <m/>
    <m/>
    <m/>
    <m/>
    <m/>
    <m/>
    <m/>
    <m/>
    <m/>
    <m/>
    <m/>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3">
  <r>
    <s v="Extrême-Nord"/>
    <s v="CMR004"/>
    <x v="0"/>
    <s v="CMR004001"/>
    <x v="0"/>
    <s v="CMR004001003"/>
    <s v="PET-0017"/>
    <s v="KOURWAMA ABDOU"/>
    <m/>
    <x v="0"/>
    <s v="Avant 2020"/>
    <n v="4"/>
    <n v="17"/>
    <x v="0"/>
    <m/>
    <s v="Autre département"/>
    <s v="CMR"/>
    <s v="Cameroun"/>
    <s v="CMR004"/>
    <s v="Extrême-Nord"/>
    <s v="CMR004005"/>
    <s v="Mayo-Sava"/>
    <m/>
    <m/>
  </r>
  <r>
    <s v="Extrême-Nord"/>
    <s v="CMR004"/>
    <x v="0"/>
    <s v="CMR004001"/>
    <x v="0"/>
    <s v="CMR004001003"/>
    <s v="PET-0017"/>
    <s v="KOURWAMA ABDOU"/>
    <m/>
    <x v="0"/>
    <s v="En 2020"/>
    <n v="0"/>
    <n v="3"/>
    <x v="0"/>
    <m/>
    <s v="Autre département"/>
    <s v="CMR"/>
    <s v="Cameroun"/>
    <s v="CMR004"/>
    <s v="Extrême-Nord"/>
    <s v="CMR004005"/>
    <s v="Mayo-Sava"/>
    <m/>
    <m/>
  </r>
  <r>
    <s v="Extrême-Nord"/>
    <s v="CMR004"/>
    <x v="0"/>
    <s v="CMR004001"/>
    <x v="0"/>
    <s v="CMR004001003"/>
    <s v="PET-0017"/>
    <s v="KOURWAMA ABDOU"/>
    <m/>
    <x v="0"/>
    <s v="Septembre 2022 – Février 2023"/>
    <n v="0"/>
    <n v="1"/>
    <x v="0"/>
    <m/>
    <s v="Autre département"/>
    <s v="CMR"/>
    <s v="Cameroun"/>
    <s v="CMR004"/>
    <s v="Extrême-Nord"/>
    <s v="CMR004005"/>
    <s v="Mayo-Sava"/>
    <m/>
    <m/>
  </r>
  <r>
    <s v="Extrême-Nord"/>
    <s v="CMR004"/>
    <x v="0"/>
    <s v="CMR004001"/>
    <x v="0"/>
    <s v="CMR004001003"/>
    <s v="PET-0018"/>
    <s v="KOURWAMA NDJIDDA"/>
    <m/>
    <x v="0"/>
    <s v="En 2020"/>
    <n v="1"/>
    <n v="8"/>
    <x v="0"/>
    <m/>
    <s v="Autre département"/>
    <s v="CMR"/>
    <s v="Cameroun"/>
    <s v="CMR004"/>
    <s v="Extrême-Nord"/>
    <s v="CMR004005"/>
    <s v="Mayo-Sava"/>
    <m/>
    <m/>
  </r>
  <r>
    <s v="Extrême-Nord"/>
    <s v="CMR004"/>
    <x v="0"/>
    <s v="CMR004001"/>
    <x v="0"/>
    <s v="CMR004001003"/>
    <s v="PET-0023"/>
    <s v="NIWADJI"/>
    <m/>
    <x v="0"/>
    <s v="Avant 2020"/>
    <n v="6"/>
    <n v="44"/>
    <x v="0"/>
    <m/>
    <s v="Autre département"/>
    <s v="CMR"/>
    <s v="Cameroun"/>
    <s v="CMR004"/>
    <s v="Extrême-Nord"/>
    <s v="CMR004005"/>
    <s v="Mayo-Sava"/>
    <m/>
    <m/>
  </r>
  <r>
    <s v="Extrême-Nord"/>
    <s v="CMR004"/>
    <x v="0"/>
    <s v="CMR004001"/>
    <x v="0"/>
    <s v="CMR004001003"/>
    <s v="PET-0019"/>
    <s v="KOURWAMAYEL"/>
    <m/>
    <x v="0"/>
    <s v="Avant 2020"/>
    <n v="4"/>
    <n v="23"/>
    <x v="0"/>
    <m/>
    <s v="Autre département"/>
    <s v="CMR"/>
    <s v="Cameroun"/>
    <s v="CMR004"/>
    <s v="Extrême-Nord"/>
    <s v="CMR004005"/>
    <s v="Mayo-Sava"/>
    <m/>
    <m/>
  </r>
  <r>
    <s v="Extrême-Nord"/>
    <s v="CMR004"/>
    <x v="0"/>
    <s v="CMR004001"/>
    <x v="0"/>
    <s v="CMR004001003"/>
    <s v="PET-0019"/>
    <s v="KOURWAMAYEL"/>
    <m/>
    <x v="0"/>
    <s v="Janvier - Aout 2022"/>
    <n v="0"/>
    <n v="5"/>
    <x v="0"/>
    <m/>
    <s v="Autre département"/>
    <s v="CMR"/>
    <s v="Cameroun"/>
    <s v="CMR004"/>
    <s v="Extrême-Nord"/>
    <s v="CMR004005"/>
    <s v="Mayo-Sava"/>
    <m/>
    <m/>
  </r>
  <r>
    <s v="Extrême-Nord"/>
    <s v="CMR004"/>
    <x v="0"/>
    <s v="CMR004001"/>
    <x v="0"/>
    <s v="CMR004001003"/>
    <s v="PET-0019"/>
    <s v="KOURWAMAYEL"/>
    <m/>
    <x v="0"/>
    <s v="Septembre 2022 – Février 2023"/>
    <n v="0"/>
    <n v="8"/>
    <x v="0"/>
    <m/>
    <s v="Autre département"/>
    <s v="CMR"/>
    <s v="Cameroun"/>
    <s v="CMR004"/>
    <s v="Extrême-Nord"/>
    <s v="CMR004005"/>
    <s v="Mayo-Sava"/>
    <m/>
    <m/>
  </r>
  <r>
    <s v="Extrême-Nord"/>
    <s v="CMR004"/>
    <x v="0"/>
    <s v="CMR004001"/>
    <x v="0"/>
    <s v="CMR004001003"/>
    <s v="PET-0024"/>
    <s v="PETTE CENTRE"/>
    <m/>
    <x v="0"/>
    <s v="Avant 2020"/>
    <n v="19"/>
    <n v="123"/>
    <x v="0"/>
    <m/>
    <s v="Autre département"/>
    <s v="CMR"/>
    <s v="Cameroun"/>
    <s v="CMR004"/>
    <s v="Extrême-Nord"/>
    <s v="CMR004005"/>
    <s v="Mayo-Sava"/>
    <m/>
    <m/>
  </r>
  <r>
    <s v="Extrême-Nord"/>
    <s v="CMR004"/>
    <x v="0"/>
    <s v="CMR004001"/>
    <x v="0"/>
    <s v="CMR004001003"/>
    <s v="PET-0024"/>
    <s v="PETTE CENTRE"/>
    <m/>
    <x v="0"/>
    <s v="En 2020"/>
    <n v="0"/>
    <n v="2"/>
    <x v="0"/>
    <m/>
    <s v="Autre département"/>
    <s v="CMR"/>
    <s v="Cameroun"/>
    <s v="CMR004"/>
    <s v="Extrême-Nord"/>
    <s v="CMR004005"/>
    <s v="Mayo-Sava"/>
    <m/>
    <m/>
  </r>
  <r>
    <s v="Extrême-Nord"/>
    <s v="CMR004"/>
    <x v="0"/>
    <s v="CMR004001"/>
    <x v="0"/>
    <s v="CMR004001003"/>
    <s v="PET-0024"/>
    <s v="PETTE CENTRE"/>
    <m/>
    <x v="0"/>
    <s v="Septembre 2022 – Février 2023"/>
    <n v="0"/>
    <n v="2"/>
    <x v="0"/>
    <m/>
    <s v="Autre département"/>
    <s v="CMR"/>
    <s v="Cameroun"/>
    <s v="CMR004"/>
    <s v="Extrême-Nord"/>
    <s v="CMR004005"/>
    <s v="Mayo-Sava"/>
    <m/>
    <m/>
  </r>
  <r>
    <s v="Extrême-Nord"/>
    <s v="CMR004"/>
    <x v="0"/>
    <s v="CMR004001"/>
    <x v="0"/>
    <s v="CMR004001003"/>
    <s v="PET-0003"/>
    <s v="DJAFGUE"/>
    <m/>
    <x v="0"/>
    <s v="Avant 2020"/>
    <n v="15"/>
    <n v="157"/>
    <x v="0"/>
    <m/>
    <s v="Autre département"/>
    <s v="CMR"/>
    <s v="Cameroun"/>
    <s v="CMR004"/>
    <s v="Extrême-Nord"/>
    <s v="CMR004005"/>
    <s v="Mayo-Sava"/>
    <m/>
    <m/>
  </r>
  <r>
    <s v="Extrême-Nord"/>
    <s v="CMR004"/>
    <x v="0"/>
    <s v="CMR004001"/>
    <x v="0"/>
    <s v="CMR004001003"/>
    <s v="PET-0003"/>
    <s v="DJAFGUE"/>
    <m/>
    <x v="0"/>
    <s v="En 2021"/>
    <n v="0"/>
    <n v="1"/>
    <x v="0"/>
    <m/>
    <s v="Autre département"/>
    <s v="CMR"/>
    <s v="Cameroun"/>
    <s v="CMR004"/>
    <s v="Extrême-Nord"/>
    <s v="CMR004005"/>
    <s v="Mayo-Sava"/>
    <m/>
    <m/>
  </r>
  <r>
    <s v="Extrême-Nord"/>
    <s v="CMR004"/>
    <x v="0"/>
    <s v="CMR004001"/>
    <x v="0"/>
    <s v="CMR004001003"/>
    <s v="PET-0004"/>
    <s v="DJAOUDE"/>
    <m/>
    <x v="0"/>
    <s v="Avant 2020"/>
    <n v="0"/>
    <n v="2"/>
    <x v="0"/>
    <m/>
    <s v="Autre département"/>
    <s v="CMR"/>
    <s v="Cameroun"/>
    <s v="CMR004"/>
    <s v="Extrême-Nord"/>
    <s v="CMR004005"/>
    <s v="Mayo-Sava"/>
    <m/>
    <m/>
  </r>
  <r>
    <s v="Extrême-Nord"/>
    <s v="CMR004"/>
    <x v="0"/>
    <s v="CMR004001"/>
    <x v="0"/>
    <s v="CMR004001003"/>
    <s v="PET-0004"/>
    <s v="DJAOUDE"/>
    <m/>
    <x v="0"/>
    <s v="En 2021"/>
    <n v="134"/>
    <n v="715"/>
    <x v="0"/>
    <m/>
    <s v="Autre département"/>
    <s v="CMR"/>
    <s v="Cameroun"/>
    <s v="CMR004"/>
    <s v="Extrême-Nord"/>
    <s v="CMR004005"/>
    <s v="Mayo-Sava"/>
    <m/>
    <m/>
  </r>
  <r>
    <s v="Extrême-Nord"/>
    <s v="CMR004"/>
    <x v="0"/>
    <s v="CMR004001"/>
    <x v="0"/>
    <s v="CMR004001003"/>
    <s v="PET-0004"/>
    <s v="DJAOUDE"/>
    <m/>
    <x v="0"/>
    <s v="Janvier - Aout 2022"/>
    <n v="0"/>
    <n v="2"/>
    <x v="0"/>
    <m/>
    <s v="Autre département"/>
    <s v="CMR"/>
    <s v="Cameroun"/>
    <s v="CMR004"/>
    <s v="Extrême-Nord"/>
    <s v="CMR004005"/>
    <s v="Mayo-Sava"/>
    <m/>
    <m/>
  </r>
  <r>
    <s v="Extrême-Nord"/>
    <s v="CMR004"/>
    <x v="0"/>
    <s v="CMR004001"/>
    <x v="0"/>
    <s v="CMR004001003"/>
    <s v="PET-0004"/>
    <s v="DJAOUDE"/>
    <m/>
    <x v="0"/>
    <s v="En 2020"/>
    <n v="1"/>
    <n v="6"/>
    <x v="0"/>
    <m/>
    <s v="Autre département"/>
    <s v="CMR"/>
    <s v="Cameroun"/>
    <s v="CMR004"/>
    <s v="Extrême-Nord"/>
    <s v="CMR004005"/>
    <s v="Mayo-Sava"/>
    <m/>
    <m/>
  </r>
  <r>
    <s v="Extrême-Nord"/>
    <s v="CMR004"/>
    <x v="0"/>
    <s v="CMR004001"/>
    <x v="0"/>
    <s v="CMR004001003"/>
    <s v="PET-0010"/>
    <s v="HODEMA"/>
    <m/>
    <x v="0"/>
    <s v="Avant 2020"/>
    <n v="5"/>
    <n v="31"/>
    <x v="0"/>
    <m/>
    <s v="Autre département"/>
    <s v="CMR"/>
    <s v="Cameroun"/>
    <s v="CMR004"/>
    <s v="Extrême-Nord"/>
    <s v="CMR004005"/>
    <s v="Mayo-Sava"/>
    <m/>
    <m/>
  </r>
  <r>
    <s v="Extrême-Nord"/>
    <s v="CMR004"/>
    <x v="0"/>
    <s v="CMR004001"/>
    <x v="0"/>
    <s v="CMR004001003"/>
    <s v="PET-0010"/>
    <s v="HODEMA"/>
    <m/>
    <x v="0"/>
    <s v="En 2020"/>
    <n v="0"/>
    <n v="4"/>
    <x v="0"/>
    <m/>
    <s v="Autre département"/>
    <s v="CMR"/>
    <s v="Cameroun"/>
    <s v="CMR004"/>
    <s v="Extrême-Nord"/>
    <s v="CMR004005"/>
    <s v="Mayo-Sava"/>
    <m/>
    <m/>
  </r>
  <r>
    <s v="Extrême-Nord"/>
    <s v="CMR004"/>
    <x v="0"/>
    <s v="CMR004001"/>
    <x v="0"/>
    <s v="CMR004001003"/>
    <s v="PET-0010"/>
    <s v="HODEMA"/>
    <m/>
    <x v="0"/>
    <s v="En 2021"/>
    <n v="0"/>
    <n v="1"/>
    <x v="0"/>
    <m/>
    <s v="Autre département"/>
    <s v="CMR"/>
    <s v="Cameroun"/>
    <s v="CMR004"/>
    <s v="Extrême-Nord"/>
    <s v="CMR004005"/>
    <s v="Mayo-Sava"/>
    <m/>
    <m/>
  </r>
  <r>
    <s v="Extrême-Nord"/>
    <s v="CMR004"/>
    <x v="0"/>
    <s v="CMR004001"/>
    <x v="0"/>
    <s v="CMR004001003"/>
    <s v="PET-0012"/>
    <s v="KARAL TANNE"/>
    <m/>
    <x v="0"/>
    <s v="Avant 2020"/>
    <n v="10"/>
    <n v="45"/>
    <x v="0"/>
    <m/>
    <s v="Autre département"/>
    <s v="CMR"/>
    <s v="Cameroun"/>
    <s v="CMR004"/>
    <s v="Extrême-Nord"/>
    <s v="CMR004005"/>
    <s v="Mayo-Sava"/>
    <m/>
    <m/>
  </r>
  <r>
    <s v="Extrême-Nord"/>
    <s v="CMR004"/>
    <x v="0"/>
    <s v="CMR004001"/>
    <x v="0"/>
    <s v="CMR004001003"/>
    <s v="PET-0012"/>
    <s v="KARAL TANNE"/>
    <m/>
    <x v="0"/>
    <s v="En 2021"/>
    <n v="0"/>
    <n v="5"/>
    <x v="0"/>
    <m/>
    <s v="Autre département"/>
    <s v="CMR"/>
    <s v="Cameroun"/>
    <s v="CMR004"/>
    <s v="Extrême-Nord"/>
    <s v="CMR004005"/>
    <s v="Mayo-Sava"/>
    <m/>
    <m/>
  </r>
  <r>
    <s v="Extrême-Nord"/>
    <s v="CMR004"/>
    <x v="0"/>
    <s v="CMR004001"/>
    <x v="0"/>
    <s v="CMR004001003"/>
    <s v="PET-0025"/>
    <s v="SALAME ALIOUM"/>
    <m/>
    <x v="0"/>
    <s v="Avant 2020"/>
    <n v="3"/>
    <n v="27"/>
    <x v="0"/>
    <m/>
    <s v="Autre département"/>
    <s v="CMR"/>
    <s v="Cameroun"/>
    <s v="CMR004"/>
    <s v="Extrême-Nord"/>
    <s v="CMR004005"/>
    <s v="Mayo-Sava"/>
    <m/>
    <m/>
  </r>
  <r>
    <s v="Extrême-Nord"/>
    <s v="CMR004"/>
    <x v="0"/>
    <s v="CMR004001"/>
    <x v="0"/>
    <s v="CMR004001003"/>
    <s v="PET-0013"/>
    <s v="KLISSAWA"/>
    <m/>
    <x v="0"/>
    <s v="Avant 2020"/>
    <n v="22"/>
    <n v="84"/>
    <x v="0"/>
    <m/>
    <s v="Autre département"/>
    <s v="CMR"/>
    <s v="Cameroun"/>
    <s v="CMR004"/>
    <s v="Extrême-Nord"/>
    <s v="CMR004005"/>
    <s v="Mayo-Sava"/>
    <m/>
    <m/>
  </r>
  <r>
    <s v="Extrême-Nord"/>
    <s v="CMR004"/>
    <x v="0"/>
    <s v="CMR004001"/>
    <x v="0"/>
    <s v="CMR004001003"/>
    <s v="PET-0008"/>
    <s v="FADARE"/>
    <m/>
    <x v="0"/>
    <s v="Avant 2020"/>
    <n v="3"/>
    <n v="31"/>
    <x v="0"/>
    <m/>
    <s v="Autre département"/>
    <s v="CMR"/>
    <s v="Cameroun"/>
    <s v="CMR004"/>
    <s v="Extrême-Nord"/>
    <s v="CMR004005"/>
    <s v="Mayo-Sava"/>
    <m/>
    <m/>
  </r>
  <r>
    <s v="Extrême-Nord"/>
    <s v="CMR004"/>
    <x v="0"/>
    <s v="CMR004001"/>
    <x v="0"/>
    <s v="CMR004001003"/>
    <s v="PET-0014"/>
    <s v="SITE DE KONGHO 1"/>
    <m/>
    <x v="0"/>
    <s v="Avant 2020"/>
    <n v="20"/>
    <n v="99"/>
    <x v="0"/>
    <m/>
    <s v="Autre département"/>
    <s v="CMR"/>
    <s v="Cameroun"/>
    <s v="CMR004"/>
    <s v="Extrême-Nord"/>
    <s v="CMR004005"/>
    <s v="Mayo-Sava"/>
    <m/>
    <m/>
  </r>
  <r>
    <s v="Extrême-Nord"/>
    <s v="CMR004"/>
    <x v="0"/>
    <s v="CMR004001"/>
    <x v="0"/>
    <s v="CMR004001003"/>
    <s v="PET-0015"/>
    <s v="SITE DE KONGHO 2"/>
    <m/>
    <x v="0"/>
    <s v="Avant 2020"/>
    <n v="13"/>
    <n v="77"/>
    <x v="0"/>
    <m/>
    <s v="Autre département"/>
    <s v="CMR"/>
    <s v="Cameroun"/>
    <s v="CMR004"/>
    <s v="Extrême-Nord"/>
    <s v="CMR004005"/>
    <s v="Mayo-Sava"/>
    <m/>
    <m/>
  </r>
  <r>
    <s v="Extrême-Nord"/>
    <s v="CMR004"/>
    <x v="0"/>
    <s v="CMR004001"/>
    <x v="0"/>
    <s v="CMR004001003"/>
    <s v="PET-0032"/>
    <s v="KONGHO 2"/>
    <m/>
    <x v="0"/>
    <s v="Janvier - Aout 2022"/>
    <n v="6"/>
    <n v="20"/>
    <x v="1"/>
    <m/>
    <s v="Autre département"/>
    <s v="CMR"/>
    <s v="Cameroun"/>
    <s v="CMR004"/>
    <s v="Extrême-Nord"/>
    <s v="CMR004003"/>
    <s v="Mayo-Danay"/>
    <m/>
    <m/>
  </r>
  <r>
    <s v="Extrême-Nord"/>
    <s v="CMR004"/>
    <x v="0"/>
    <s v="CMR004001"/>
    <x v="0"/>
    <s v="CMR004001003"/>
    <s v="PET-0034"/>
    <s v="KONGHO 1"/>
    <m/>
    <x v="0"/>
    <s v="Janvier - Aout 2022"/>
    <n v="40"/>
    <n v="223"/>
    <x v="1"/>
    <m/>
    <s v="Autre département"/>
    <s v="CMR"/>
    <s v="Cameroun"/>
    <s v="CMR004"/>
    <s v="Extrême-Nord"/>
    <s v="CMR004003"/>
    <s v="Mayo-Danay"/>
    <m/>
    <m/>
  </r>
  <r>
    <s v="Extrême-Nord"/>
    <s v="CMR004"/>
    <x v="1"/>
    <s v="CMR004006"/>
    <x v="1"/>
    <s v="CMR004006002"/>
    <s v="MOK-0036"/>
    <s v="MANDAKA"/>
    <m/>
    <x v="0"/>
    <s v="Janvier - Aout 2022"/>
    <n v="3"/>
    <n v="12"/>
    <x v="0"/>
    <m/>
    <s v="Même département, autre arrondissement"/>
    <s v="CMR"/>
    <s v="Cameroun"/>
    <s v="CMR004"/>
    <s v="Extrême-Nord"/>
    <s v="CMR004006"/>
    <s v="Mayo-Tsanaga"/>
    <m/>
    <s v="Koza"/>
  </r>
  <r>
    <s v="Extrême-Nord"/>
    <s v="CMR004"/>
    <x v="1"/>
    <s v="CMR004006"/>
    <x v="1"/>
    <s v="CMR004006002"/>
    <s v="MOK-0051"/>
    <s v="SITE DE ZAMALVA"/>
    <m/>
    <x v="0"/>
    <s v="Septembre 2022 – Février 2023"/>
    <n v="7"/>
    <n v="34"/>
    <x v="0"/>
    <m/>
    <s v="Même département, autre arrondissement"/>
    <s v="CMR"/>
    <s v="Cameroun"/>
    <s v="CMR004"/>
    <s v="Extrême-Nord"/>
    <s v="CMR004006"/>
    <s v="Mayo-Tsanaga"/>
    <m/>
    <s v="Koza"/>
  </r>
  <r>
    <s v="Extrême-Nord"/>
    <s v="CMR004"/>
    <x v="1"/>
    <s v="CMR004006"/>
    <x v="1"/>
    <s v="CMR004006002"/>
    <s v="MOK-0051"/>
    <s v="SITE DE ZAMALVA"/>
    <m/>
    <x v="0"/>
    <s v="Avant 2020"/>
    <n v="133"/>
    <n v="3167"/>
    <x v="0"/>
    <m/>
    <s v="Même département, autre arrondissement"/>
    <s v="CMR"/>
    <s v="Cameroun"/>
    <s v="CMR004"/>
    <s v="Extrême-Nord"/>
    <s v="CMR004006"/>
    <s v="Mayo-Tsanaga"/>
    <s v="CMR004006005"/>
    <s v="Mayo-Moskota"/>
  </r>
  <r>
    <s v="Extrême-Nord"/>
    <s v="CMR004"/>
    <x v="0"/>
    <s v="CMR004001"/>
    <x v="2"/>
    <s v="CMR004001005"/>
    <s v="BOG-0001"/>
    <s v="BOGO VILLE (SIRATARE)"/>
    <m/>
    <x v="0"/>
    <s v="En 2021"/>
    <n v="8"/>
    <n v="58"/>
    <x v="1"/>
    <m/>
    <s v="Autre département"/>
    <s v="CMR"/>
    <s v="Cameroun"/>
    <s v="CMR004"/>
    <s v="Extrême-Nord"/>
    <s v="CMR004003"/>
    <s v="Mayo-Danay"/>
    <m/>
    <m/>
  </r>
  <r>
    <s v="Extrême-Nord"/>
    <s v="CMR004"/>
    <x v="0"/>
    <s v="CMR004001"/>
    <x v="3"/>
    <s v="CMR004001009"/>
    <s v="MA1-0004"/>
    <s v="ZOURMBAIWO 2"/>
    <m/>
    <x v="0"/>
    <s v="Avant 2020"/>
    <n v="2"/>
    <n v="12"/>
    <x v="0"/>
    <m/>
    <s v="Autre département"/>
    <s v="CMR"/>
    <s v="Cameroun"/>
    <s v="CMR004"/>
    <s v="Extrême-Nord"/>
    <s v="CMR004005"/>
    <s v="Mayo-Sava"/>
    <m/>
    <m/>
  </r>
  <r>
    <s v="Extrême-Nord"/>
    <s v="CMR004"/>
    <x v="0"/>
    <s v="CMR004001"/>
    <x v="4"/>
    <s v="CMR004001008"/>
    <s v="GAZ-0002"/>
    <s v="CARREFOUR CLIPS"/>
    <m/>
    <x v="0"/>
    <s v="Avant 2020"/>
    <n v="3"/>
    <n v="10"/>
    <x v="0"/>
    <m/>
    <s v="Autre département"/>
    <s v="CMR"/>
    <s v="Cameroun"/>
    <s v="CMR004"/>
    <s v="Extrême-Nord"/>
    <s v="CMR004005"/>
    <s v="Mayo-Sava"/>
    <m/>
    <m/>
  </r>
  <r>
    <s v="Extrême-Nord"/>
    <s v="CMR004"/>
    <x v="0"/>
    <s v="CMR004001"/>
    <x v="4"/>
    <s v="CMR004001008"/>
    <s v="GAZ-0003"/>
    <s v="ILDINGOYANG"/>
    <m/>
    <x v="0"/>
    <s v="Avant 2020"/>
    <n v="4"/>
    <n v="11"/>
    <x v="0"/>
    <m/>
    <s v="Autre département"/>
    <s v="CMR"/>
    <s v="Cameroun"/>
    <s v="CMR004"/>
    <s v="Extrême-Nord"/>
    <s v="CMR004006"/>
    <s v="Mayo-Tsanaga"/>
    <m/>
    <m/>
  </r>
  <r>
    <s v="Extrême-Nord"/>
    <s v="CMR004"/>
    <x v="0"/>
    <s v="CMR004001"/>
    <x v="5"/>
    <s v="CMR004001002"/>
    <s v="MA2-0005"/>
    <s v="WOURNDÉ 4"/>
    <m/>
    <x v="0"/>
    <s v="Avant 2020"/>
    <n v="25"/>
    <n v="134"/>
    <x v="0"/>
    <m/>
    <s v="Autre département"/>
    <s v="CMR"/>
    <s v="Cameroun"/>
    <s v="CMR004"/>
    <s v="Extrême-Nord"/>
    <s v="CMR004005"/>
    <s v="Mayo-Sava"/>
    <m/>
    <m/>
  </r>
  <r>
    <s v="Extrême-Nord"/>
    <s v="CMR004"/>
    <x v="0"/>
    <s v="CMR004001"/>
    <x v="5"/>
    <s v="CMR004001002"/>
    <s v="MA2-0003"/>
    <s v="CEKANDE"/>
    <m/>
    <x v="0"/>
    <s v="Avant 2020"/>
    <n v="12"/>
    <n v="58"/>
    <x v="0"/>
    <m/>
    <s v="Autre département"/>
    <s v="CMR"/>
    <s v="Cameroun"/>
    <s v="CMR004"/>
    <s v="Extrême-Nord"/>
    <s v="CMR004005"/>
    <s v="Mayo-Sava"/>
    <m/>
    <m/>
  </r>
  <r>
    <s v="Extrême-Nord"/>
    <s v="CMR004"/>
    <x v="0"/>
    <s v="CMR004001"/>
    <x v="4"/>
    <s v="CMR004001008"/>
    <s v="GAZ-0008"/>
    <s v="YOLA MALIKI"/>
    <m/>
    <x v="0"/>
    <s v="Avant 2020"/>
    <n v="3"/>
    <n v="14"/>
    <x v="0"/>
    <m/>
    <s v="Autre département"/>
    <s v="CMR"/>
    <s v="Cameroun"/>
    <s v="CMR004"/>
    <s v="Extrême-Nord"/>
    <s v="CMR004005"/>
    <s v="Mayo-Sava"/>
    <m/>
    <m/>
  </r>
  <r>
    <s v="Extrême-Nord"/>
    <s v="CMR004"/>
    <x v="0"/>
    <s v="CMR004001"/>
    <x v="5"/>
    <s v="CMR004001002"/>
    <s v="MA2-0006"/>
    <s v="DOUALARE FASAO"/>
    <m/>
    <x v="0"/>
    <s v="Avant 2020"/>
    <n v="20"/>
    <n v="252"/>
    <x v="0"/>
    <m/>
    <s v="Autre département"/>
    <s v="CMR"/>
    <s v="Cameroun"/>
    <s v="CMR004"/>
    <s v="Extrême-Nord"/>
    <s v="CMR004005"/>
    <s v="Mayo-Sava"/>
    <m/>
    <m/>
  </r>
  <r>
    <s v="Extrême-Nord"/>
    <s v="CMR004"/>
    <x v="0"/>
    <s v="CMR004001"/>
    <x v="4"/>
    <s v="CMR004001008"/>
    <s v="GAZ-0005"/>
    <s v="KATOUAL"/>
    <m/>
    <x v="0"/>
    <s v="Avant 2020"/>
    <n v="23"/>
    <n v="141"/>
    <x v="0"/>
    <m/>
    <s v="Autre département"/>
    <s v="CMR"/>
    <s v="Cameroun"/>
    <s v="CMR004"/>
    <s v="Extrême-Nord"/>
    <s v="CMR004005"/>
    <s v="Mayo-Sava"/>
    <m/>
    <m/>
  </r>
  <r>
    <s v="Extrême-Nord"/>
    <s v="CMR004"/>
    <x v="0"/>
    <s v="CMR004001"/>
    <x v="4"/>
    <s v="CMR004001008"/>
    <s v="GAZ-0005"/>
    <s v="KATOUAL"/>
    <m/>
    <x v="0"/>
    <s v="Septembre 2022 – Février 2023"/>
    <n v="0"/>
    <n v="10"/>
    <x v="0"/>
    <m/>
    <s v="Autre département"/>
    <s v="CMR"/>
    <s v="Cameroun"/>
    <s v="CMR004"/>
    <s v="Extrême-Nord"/>
    <s v="CMR004005"/>
    <s v="Mayo-Sava"/>
    <m/>
    <m/>
  </r>
  <r>
    <s v="Extrême-Nord"/>
    <s v="CMR004"/>
    <x v="0"/>
    <s v="CMR004001"/>
    <x v="4"/>
    <s v="CMR004001008"/>
    <s v="GAZ-0007"/>
    <s v="GALLA KATOUAL"/>
    <m/>
    <x v="0"/>
    <s v="Avant 2020"/>
    <n v="8"/>
    <n v="62"/>
    <x v="0"/>
    <m/>
    <s v="Autre département"/>
    <s v="CMR"/>
    <s v="Cameroun"/>
    <s v="CMR004"/>
    <s v="Extrême-Nord"/>
    <s v="CMR004005"/>
    <s v="Mayo-Sava"/>
    <m/>
    <m/>
  </r>
  <r>
    <s v="Extrême-Nord"/>
    <s v="CMR004"/>
    <x v="0"/>
    <s v="CMR004001"/>
    <x v="0"/>
    <s v="CMR004001003"/>
    <s v="PET-0001"/>
    <s v="ALAGARNO"/>
    <m/>
    <x v="0"/>
    <s v="Avant 2020"/>
    <n v="2"/>
    <n v="14"/>
    <x v="0"/>
    <m/>
    <s v="Autre département"/>
    <s v="CMR"/>
    <s v="Cameroun"/>
    <s v="CMR004"/>
    <s v="Extrême-Nord"/>
    <s v="CMR004005"/>
    <s v="Mayo-Sava"/>
    <m/>
    <m/>
  </r>
  <r>
    <s v="Extrême-Nord"/>
    <s v="CMR004"/>
    <x v="0"/>
    <s v="CMR004001"/>
    <x v="0"/>
    <s v="CMR004001003"/>
    <s v="PET-0001"/>
    <s v="ALAGARNO"/>
    <m/>
    <x v="0"/>
    <s v="En 2020"/>
    <n v="0"/>
    <n v="1"/>
    <x v="0"/>
    <m/>
    <s v="Autre département"/>
    <s v="CMR"/>
    <s v="Cameroun"/>
    <s v="CMR004"/>
    <s v="Extrême-Nord"/>
    <s v="CMR004005"/>
    <s v="Mayo-Sava"/>
    <m/>
    <m/>
  </r>
  <r>
    <s v="Extrême-Nord"/>
    <s v="CMR004"/>
    <x v="0"/>
    <s v="CMR004001"/>
    <x v="0"/>
    <s v="CMR004001003"/>
    <s v="PET-0001"/>
    <s v="ALAGARNO"/>
    <m/>
    <x v="0"/>
    <s v="En 2021"/>
    <n v="0"/>
    <n v="3"/>
    <x v="0"/>
    <m/>
    <s v="Autre département"/>
    <s v="CMR"/>
    <s v="Cameroun"/>
    <s v="CMR004"/>
    <s v="Extrême-Nord"/>
    <s v="CMR004005"/>
    <s v="Mayo-Sava"/>
    <m/>
    <m/>
  </r>
  <r>
    <s v="Extrême-Nord"/>
    <s v="CMR004"/>
    <x v="0"/>
    <s v="CMR004001"/>
    <x v="0"/>
    <s v="CMR004001003"/>
    <s v="PET-0020"/>
    <s v="LOUBA LOUBA"/>
    <m/>
    <x v="0"/>
    <s v="Avant 2020"/>
    <n v="10"/>
    <n v="58"/>
    <x v="0"/>
    <m/>
    <s v="Autre département"/>
    <s v="CMR"/>
    <s v="Cameroun"/>
    <s v="CMR004"/>
    <s v="Extrême-Nord"/>
    <s v="CMR004005"/>
    <s v="Mayo-Sava"/>
    <m/>
    <m/>
  </r>
  <r>
    <s v="Extrême-Nord"/>
    <s v="CMR004"/>
    <x v="0"/>
    <s v="CMR004001"/>
    <x v="0"/>
    <s v="CMR004001003"/>
    <s v="PET-0020"/>
    <s v="LOUBA LOUBA"/>
    <m/>
    <x v="0"/>
    <s v="Janvier - Aout 2022"/>
    <n v="10"/>
    <n v="170"/>
    <x v="1"/>
    <m/>
    <s v="Autre département"/>
    <s v="CMR"/>
    <s v="Cameroun"/>
    <s v="CMR004"/>
    <s v="Extrême-Nord"/>
    <s v="CMR004003"/>
    <s v="Mayo-Danay"/>
    <m/>
    <m/>
  </r>
  <r>
    <s v="Extrême-Nord"/>
    <s v="CMR004"/>
    <x v="0"/>
    <s v="CMR004001"/>
    <x v="0"/>
    <s v="CMR004001003"/>
    <s v="PET-0027"/>
    <s v="BANDALARE"/>
    <m/>
    <x v="0"/>
    <s v="Avant 2020"/>
    <n v="5"/>
    <n v="28"/>
    <x v="0"/>
    <m/>
    <s v="Autre département"/>
    <s v="CMR"/>
    <s v="Cameroun"/>
    <s v="CMR004"/>
    <s v="Extrême-Nord"/>
    <s v="CMR004005"/>
    <s v="Mayo-Sava"/>
    <m/>
    <m/>
  </r>
  <r>
    <s v="Extrême-Nord"/>
    <s v="CMR004"/>
    <x v="0"/>
    <s v="CMR004001"/>
    <x v="5"/>
    <s v="CMR004001002"/>
    <s v="MA2-0001"/>
    <s v="DOUALARE 1"/>
    <m/>
    <x v="0"/>
    <s v="Avant 2020"/>
    <n v="44"/>
    <n v="374"/>
    <x v="0"/>
    <m/>
    <s v="Autre département"/>
    <s v="CMR"/>
    <s v="Cameroun"/>
    <s v="CMR004"/>
    <s v="Extrême-Nord"/>
    <s v="CMR004005"/>
    <s v="Mayo-Sava"/>
    <m/>
    <m/>
  </r>
  <r>
    <s v="Extrême-Nord"/>
    <s v="CMR004"/>
    <x v="0"/>
    <s v="CMR004001"/>
    <x v="5"/>
    <s v="CMR004001002"/>
    <s v="MA2-0002"/>
    <s v="DOUALARE 2"/>
    <m/>
    <x v="0"/>
    <s v="En 2021"/>
    <n v="119"/>
    <n v="831"/>
    <x v="1"/>
    <m/>
    <s v="Autre département"/>
    <s v="CMR"/>
    <s v="Cameroun"/>
    <s v="CMR004"/>
    <s v="Extrême-Nord"/>
    <s v="CMR004003"/>
    <s v="Mayo-Danay"/>
    <m/>
    <m/>
  </r>
  <r>
    <s v="Extrême-Nord"/>
    <s v="CMR004"/>
    <x v="0"/>
    <s v="CMR004001"/>
    <x v="6"/>
    <s v="CMR004001001"/>
    <s v="MA3-0005"/>
    <s v="KONGOLA DJIDDEO"/>
    <m/>
    <x v="0"/>
    <s v="Avant 2020"/>
    <n v="6"/>
    <n v="52"/>
    <x v="0"/>
    <m/>
    <s v="Autre département"/>
    <s v="CMR"/>
    <s v="Cameroun"/>
    <s v="CMR004"/>
    <s v="Extrême-Nord"/>
    <s v="CMR004005"/>
    <s v="Mayo-Sava"/>
    <m/>
    <m/>
  </r>
  <r>
    <s v="Extrême-Nord"/>
    <s v="CMR004"/>
    <x v="0"/>
    <s v="CMR004001"/>
    <x v="6"/>
    <s v="CMR004001001"/>
    <s v="MA3-0006"/>
    <s v="KONGOLA TCHASDEO"/>
    <m/>
    <x v="0"/>
    <s v="Avant 2020"/>
    <n v="20"/>
    <n v="212"/>
    <x v="0"/>
    <m/>
    <s v="Autre département"/>
    <s v="CMR"/>
    <s v="Cameroun"/>
    <s v="CMR004"/>
    <s v="Extrême-Nord"/>
    <s v="CMR004005"/>
    <s v="Mayo-Sava"/>
    <m/>
    <m/>
  </r>
  <r>
    <s v="Extrême-Nord"/>
    <s v="CMR004"/>
    <x v="0"/>
    <s v="CMR004001"/>
    <x v="6"/>
    <s v="CMR004001001"/>
    <s v="MA3-0006"/>
    <s v="KONGOLA TCHASDEO"/>
    <m/>
    <x v="0"/>
    <s v="Septembre 2022 – Février 2023"/>
    <n v="0"/>
    <n v="4"/>
    <x v="0"/>
    <m/>
    <s v="Autre département"/>
    <s v="CMR"/>
    <s v="Cameroun"/>
    <s v="CMR004"/>
    <s v="Extrême-Nord"/>
    <s v="CMR004005"/>
    <s v="Mayo-Sava"/>
    <m/>
    <m/>
  </r>
  <r>
    <s v="Extrême-Nord"/>
    <s v="CMR004"/>
    <x v="0"/>
    <s v="CMR004001"/>
    <x v="6"/>
    <s v="CMR004001001"/>
    <s v="MA3-0006"/>
    <s v="KONGOLA TCHASDEO"/>
    <m/>
    <x v="0"/>
    <s v="Janvier - Aout 2022"/>
    <n v="0"/>
    <n v="4"/>
    <x v="0"/>
    <m/>
    <s v="Autre département"/>
    <s v="CMR"/>
    <s v="Cameroun"/>
    <s v="CMR004"/>
    <s v="Extrême-Nord"/>
    <s v="CMR004005"/>
    <s v="Mayo-Sava"/>
    <m/>
    <m/>
  </r>
  <r>
    <s v="Extrême-Nord"/>
    <s v="CMR004"/>
    <x v="1"/>
    <s v="CMR004006"/>
    <x v="7"/>
    <s v="CMR004006005"/>
    <s v="MOZ-0010"/>
    <s v="MOZOGO QUARTIER HAOUSSA"/>
    <m/>
    <x v="0"/>
    <s v="Avant 2020"/>
    <n v="83"/>
    <n v="386"/>
    <x v="0"/>
    <m/>
    <s v="Même arrondissement"/>
    <s v="CMR"/>
    <s v="Cameroun"/>
    <s v="CMR004"/>
    <s v="Extrême-Nord"/>
    <s v="CMR004006"/>
    <s v="Mayo-Tsanaga"/>
    <s v="CMR004006005"/>
    <s v="Mayo-Moskota"/>
  </r>
  <r>
    <s v="Extrême-Nord"/>
    <s v="CMR004"/>
    <x v="1"/>
    <s v="CMR004006"/>
    <x v="7"/>
    <s v="CMR004006005"/>
    <s v="MOZ-0010"/>
    <s v="MOZOGO QUARTIER HAOUSSA"/>
    <m/>
    <x v="0"/>
    <s v="En 2020"/>
    <n v="0"/>
    <n v="4"/>
    <x v="0"/>
    <m/>
    <s v="Même arrondissement"/>
    <s v="CMR"/>
    <s v="Cameroun"/>
    <s v="CMR004"/>
    <s v="Extrême-Nord"/>
    <s v="CMR004006"/>
    <s v="Mayo-Tsanaga"/>
    <s v="CMR004006005"/>
    <s v="Mayo-Moskota"/>
  </r>
  <r>
    <s v="Extrême-Nord"/>
    <s v="CMR004"/>
    <x v="1"/>
    <s v="CMR004006"/>
    <x v="7"/>
    <s v="CMR004006005"/>
    <s v="MOZ-0010"/>
    <s v="MOZOGO QUARTIER HAOUSSA"/>
    <m/>
    <x v="0"/>
    <s v="En 2021"/>
    <n v="25"/>
    <n v="148"/>
    <x v="0"/>
    <m/>
    <s v="Même arrondissement"/>
    <s v="CMR"/>
    <s v="Cameroun"/>
    <s v="CMR004"/>
    <s v="Extrême-Nord"/>
    <s v="CMR004006"/>
    <s v="Mayo-Tsanaga"/>
    <s v="CMR004006005"/>
    <s v="Mayo-Moskota"/>
  </r>
  <r>
    <s v="Extrême-Nord"/>
    <s v="CMR004"/>
    <x v="1"/>
    <s v="CMR004006"/>
    <x v="7"/>
    <s v="CMR004006005"/>
    <s v="MOZ-0010"/>
    <s v="MOZOGO QUARTIER HAOUSSA"/>
    <m/>
    <x v="0"/>
    <s v="Janvier - Aout 2022"/>
    <n v="16"/>
    <n v="160"/>
    <x v="0"/>
    <m/>
    <s v="Même arrondissement"/>
    <s v="CMR"/>
    <s v="Cameroun"/>
    <s v="CMR004"/>
    <s v="Extrême-Nord"/>
    <s v="CMR004006"/>
    <s v="Mayo-Tsanaga"/>
    <s v="CMR004006005"/>
    <s v="Mayo-Moskota"/>
  </r>
  <r>
    <s v="Extrême-Nord"/>
    <s v="CMR004"/>
    <x v="1"/>
    <s v="CMR004006"/>
    <x v="7"/>
    <s v="CMR004006005"/>
    <s v="MOZ-0010"/>
    <s v="MOZOGO QUARTIER HAOUSSA"/>
    <m/>
    <x v="0"/>
    <s v="Septembre 2022 – Février 2023"/>
    <n v="17"/>
    <n v="130"/>
    <x v="0"/>
    <m/>
    <s v="Même arrondissement"/>
    <s v="CMR"/>
    <s v="Cameroun"/>
    <s v="CMR004"/>
    <s v="Extrême-Nord"/>
    <s v="CMR004006"/>
    <s v="Mayo-Tsanaga"/>
    <s v="CMR004006005"/>
    <s v="Mayo-Moskota"/>
  </r>
  <r>
    <s v="Extrême-Nord"/>
    <s v="CMR004"/>
    <x v="1"/>
    <s v="CMR004006"/>
    <x v="7"/>
    <s v="CMR004006005"/>
    <s v="MOZ-0014"/>
    <s v="OUZAL"/>
    <m/>
    <x v="0"/>
    <s v="Avant 2020"/>
    <n v="46"/>
    <n v="239"/>
    <x v="0"/>
    <m/>
    <s v="Même arrondissement"/>
    <s v="CMR"/>
    <s v="Cameroun"/>
    <s v="CMR004"/>
    <s v="Extrême-Nord"/>
    <s v="CMR004006"/>
    <s v="Mayo-Tsanaga"/>
    <s v="CMR004006005"/>
    <s v="Mayo-Moskota"/>
  </r>
  <r>
    <s v="Extrême-Nord"/>
    <s v="CMR004"/>
    <x v="1"/>
    <s v="CMR004006"/>
    <x v="7"/>
    <s v="CMR004006005"/>
    <s v="MOZ-0014"/>
    <s v="OUZAL"/>
    <m/>
    <x v="0"/>
    <s v="En 2020"/>
    <n v="0"/>
    <n v="5"/>
    <x v="0"/>
    <m/>
    <s v="Même arrondissement"/>
    <s v="CMR"/>
    <s v="Cameroun"/>
    <s v="CMR004"/>
    <s v="Extrême-Nord"/>
    <s v="CMR004006"/>
    <s v="Mayo-Tsanaga"/>
    <s v="CMR004006005"/>
    <s v="Mayo-Moskota"/>
  </r>
  <r>
    <s v="Extrême-Nord"/>
    <s v="CMR004"/>
    <x v="1"/>
    <s v="CMR004006"/>
    <x v="7"/>
    <s v="CMR004006005"/>
    <s v="MOZ-0014"/>
    <s v="OUZAL"/>
    <m/>
    <x v="0"/>
    <s v="En 2021"/>
    <n v="0"/>
    <n v="8"/>
    <x v="0"/>
    <m/>
    <s v="Même arrondissement"/>
    <s v="CMR"/>
    <s v="Cameroun"/>
    <s v="CMR004"/>
    <s v="Extrême-Nord"/>
    <s v="CMR004006"/>
    <s v="Mayo-Tsanaga"/>
    <s v="CMR004006005"/>
    <s v="Mayo-Moskota"/>
  </r>
  <r>
    <s v="Extrême-Nord"/>
    <s v="CMR004"/>
    <x v="1"/>
    <s v="CMR004006"/>
    <x v="7"/>
    <s v="CMR004006005"/>
    <s v="MOZ-0014"/>
    <s v="OUZAL"/>
    <m/>
    <x v="0"/>
    <s v="Janvier - Aout 2022"/>
    <n v="0"/>
    <n v="10"/>
    <x v="0"/>
    <m/>
    <s v="Même arrondissement"/>
    <s v="CMR"/>
    <s v="Cameroun"/>
    <s v="CMR004"/>
    <s v="Extrême-Nord"/>
    <s v="CMR004006"/>
    <s v="Mayo-Tsanaga"/>
    <s v="CMR004006005"/>
    <s v="Mayo-Moskota"/>
  </r>
  <r>
    <s v="Extrême-Nord"/>
    <s v="CMR004"/>
    <x v="1"/>
    <s v="CMR004006"/>
    <x v="7"/>
    <s v="CMR004006005"/>
    <s v="MOZ-0014"/>
    <s v="OUZAL"/>
    <m/>
    <x v="0"/>
    <s v="Septembre 2022 – Février 2023"/>
    <n v="45"/>
    <n v="227"/>
    <x v="0"/>
    <m/>
    <s v="Même arrondissement"/>
    <s v="CMR"/>
    <s v="Cameroun"/>
    <s v="CMR004"/>
    <s v="Extrême-Nord"/>
    <s v="CMR004006"/>
    <s v="Mayo-Tsanaga"/>
    <s v="CMR004006005"/>
    <s v="Mayo-Moskota"/>
  </r>
  <r>
    <s v="Extrême-Nord"/>
    <s v="CMR004"/>
    <x v="1"/>
    <s v="CMR004006"/>
    <x v="7"/>
    <s v="CMR004006005"/>
    <s v="MOZ-0009"/>
    <s v="MOZOGO GUIDBALA"/>
    <m/>
    <x v="0"/>
    <s v="Avant 2020"/>
    <n v="115"/>
    <n v="576"/>
    <x v="0"/>
    <m/>
    <s v="Même arrondissement"/>
    <s v="CMR"/>
    <s v="Cameroun"/>
    <s v="CMR004"/>
    <s v="Extrême-Nord"/>
    <s v="CMR004006"/>
    <s v="Mayo-Tsanaga"/>
    <s v="CMR004006005"/>
    <s v="Mayo-Moskota"/>
  </r>
  <r>
    <s v="Extrême-Nord"/>
    <s v="CMR004"/>
    <x v="1"/>
    <s v="CMR004006"/>
    <x v="7"/>
    <s v="CMR004006005"/>
    <s v="MOZ-0009"/>
    <s v="MOZOGO GUIDBALA"/>
    <m/>
    <x v="0"/>
    <s v="En 2020"/>
    <n v="19"/>
    <n v="108"/>
    <x v="0"/>
    <m/>
    <s v="Même arrondissement"/>
    <s v="CMR"/>
    <s v="Cameroun"/>
    <s v="CMR004"/>
    <s v="Extrême-Nord"/>
    <s v="CMR004006"/>
    <s v="Mayo-Tsanaga"/>
    <s v="CMR004006005"/>
    <s v="Mayo-Moskota"/>
  </r>
  <r>
    <s v="Extrême-Nord"/>
    <s v="CMR004"/>
    <x v="1"/>
    <s v="CMR004006"/>
    <x v="7"/>
    <s v="CMR004006005"/>
    <s v="MOZ-0009"/>
    <s v="MOZOGO GUIDBALA"/>
    <m/>
    <x v="0"/>
    <s v="En 2021"/>
    <n v="54"/>
    <n v="371"/>
    <x v="0"/>
    <m/>
    <s v="Même arrondissement"/>
    <s v="CMR"/>
    <s v="Cameroun"/>
    <s v="CMR004"/>
    <s v="Extrême-Nord"/>
    <s v="CMR004006"/>
    <s v="Mayo-Tsanaga"/>
    <s v="CMR004006005"/>
    <s v="Mayo-Moskota"/>
  </r>
  <r>
    <s v="Extrême-Nord"/>
    <s v="CMR004"/>
    <x v="1"/>
    <s v="CMR004006"/>
    <x v="7"/>
    <s v="CMR004006005"/>
    <s v="MOZ-0009"/>
    <s v="MOZOGO GUIDBALA"/>
    <m/>
    <x v="0"/>
    <s v="Septembre 2022 – Février 2023"/>
    <n v="15"/>
    <n v="95"/>
    <x v="0"/>
    <m/>
    <s v="Même arrondissement"/>
    <s v="CMR"/>
    <s v="Cameroun"/>
    <s v="CMR004"/>
    <s v="Extrême-Nord"/>
    <s v="CMR004006"/>
    <s v="Mayo-Tsanaga"/>
    <s v="CMR004006005"/>
    <s v="Mayo-Moskota"/>
  </r>
  <r>
    <s v="Extrême-Nord"/>
    <s v="CMR004"/>
    <x v="1"/>
    <s v="CMR004006"/>
    <x v="7"/>
    <s v="CMR004006005"/>
    <s v="MOZ-0009"/>
    <s v="MOZOGO GUIDBALA"/>
    <m/>
    <x v="0"/>
    <s v="Janvier - Aout 2022"/>
    <n v="15"/>
    <n v="122"/>
    <x v="0"/>
    <m/>
    <s v="Même arrondissement"/>
    <s v="CMR"/>
    <s v="Cameroun"/>
    <s v="CMR004"/>
    <s v="Extrême-Nord"/>
    <s v="CMR004006"/>
    <s v="Mayo-Tsanaga"/>
    <s v="CMR004006005"/>
    <s v="Mayo-Moskota"/>
  </r>
  <r>
    <s v="Extrême-Nord"/>
    <s v="CMR004"/>
    <x v="1"/>
    <s v="CMR004006"/>
    <x v="7"/>
    <s v="CMR004006005"/>
    <s v="MOZ-0006"/>
    <s v="MEDEGOUER"/>
    <m/>
    <x v="0"/>
    <s v="Avant 2020"/>
    <n v="48"/>
    <n v="287"/>
    <x v="0"/>
    <m/>
    <s v="Même arrondissement"/>
    <s v="CMR"/>
    <s v="Cameroun"/>
    <s v="CMR004"/>
    <s v="Extrême-Nord"/>
    <s v="CMR004006"/>
    <s v="Mayo-Tsanaga"/>
    <s v="CMR004006005"/>
    <s v="Mayo-Moskota"/>
  </r>
  <r>
    <s v="Extrême-Nord"/>
    <s v="CMR004"/>
    <x v="1"/>
    <s v="CMR004006"/>
    <x v="7"/>
    <s v="CMR004006005"/>
    <s v="MOZ-0006"/>
    <s v="MEDEGOUER"/>
    <m/>
    <x v="0"/>
    <s v="En 2021"/>
    <n v="3"/>
    <n v="15"/>
    <x v="0"/>
    <m/>
    <s v="Même arrondissement"/>
    <s v="CMR"/>
    <s v="Cameroun"/>
    <s v="CMR004"/>
    <s v="Extrême-Nord"/>
    <s v="CMR004006"/>
    <s v="Mayo-Tsanaga"/>
    <s v="CMR004006005"/>
    <s v="Mayo-Moskota"/>
  </r>
  <r>
    <s v="Extrême-Nord"/>
    <s v="CMR004"/>
    <x v="1"/>
    <s v="CMR004006"/>
    <x v="7"/>
    <s v="CMR004006005"/>
    <s v="MOZ-0006"/>
    <s v="MEDEGOUER"/>
    <m/>
    <x v="0"/>
    <s v="Janvier - Aout 2022"/>
    <n v="33"/>
    <n v="194"/>
    <x v="0"/>
    <m/>
    <s v="Même arrondissement"/>
    <s v="CMR"/>
    <s v="Cameroun"/>
    <s v="CMR004"/>
    <s v="Extrême-Nord"/>
    <s v="CMR004006"/>
    <s v="Mayo-Tsanaga"/>
    <s v="CMR004006005"/>
    <s v="Mayo-Moskota"/>
  </r>
  <r>
    <s v="Extrême-Nord"/>
    <s v="CMR004"/>
    <x v="1"/>
    <s v="CMR004006"/>
    <x v="7"/>
    <s v="CMR004006005"/>
    <s v="MOZ-0006"/>
    <s v="MEDEGOUER"/>
    <m/>
    <x v="0"/>
    <s v="Septembre 2022 – Février 2023"/>
    <n v="15"/>
    <n v="49"/>
    <x v="0"/>
    <m/>
    <s v="Même arrondissement"/>
    <s v="CMR"/>
    <s v="Cameroun"/>
    <s v="CMR004"/>
    <s v="Extrême-Nord"/>
    <s v="CMR004006"/>
    <s v="Mayo-Tsanaga"/>
    <s v="CMR004006005"/>
    <s v="Mayo-Moskota"/>
  </r>
  <r>
    <s v="Extrême-Nord"/>
    <s v="CMR004"/>
    <x v="1"/>
    <s v="CMR004006"/>
    <x v="7"/>
    <s v="CMR004006005"/>
    <s v="MOZ-0030"/>
    <s v="SITE DE MOSKOTA - DZABA"/>
    <m/>
    <x v="0"/>
    <s v="Avant 2020"/>
    <n v="72"/>
    <n v="539"/>
    <x v="0"/>
    <m/>
    <s v="Même arrondissement"/>
    <s v="CMR"/>
    <s v="Cameroun"/>
    <s v="CMR004"/>
    <s v="Extrême-Nord"/>
    <s v="CMR004006"/>
    <s v="Mayo-Tsanaga"/>
    <s v="CMR004006005"/>
    <s v="Mayo-Moskota"/>
  </r>
  <r>
    <s v="Extrême-Nord"/>
    <s v="CMR004"/>
    <x v="1"/>
    <s v="CMR004006"/>
    <x v="7"/>
    <s v="CMR004006005"/>
    <s v="MOZ-0030"/>
    <s v="SITE DE MOSKOTA - DZABA"/>
    <m/>
    <x v="0"/>
    <s v="En 2021"/>
    <n v="7"/>
    <n v="47"/>
    <x v="0"/>
    <m/>
    <s v="Même arrondissement"/>
    <s v="CMR"/>
    <s v="Cameroun"/>
    <s v="CMR004"/>
    <s v="Extrême-Nord"/>
    <s v="CMR004006"/>
    <s v="Mayo-Tsanaga"/>
    <s v="CMR004006005"/>
    <s v="Mayo-Moskota"/>
  </r>
  <r>
    <s v="Extrême-Nord"/>
    <s v="CMR004"/>
    <x v="1"/>
    <s v="CMR004006"/>
    <x v="7"/>
    <s v="CMR004006005"/>
    <s v="MOZ-0030"/>
    <s v="SITE DE MOSKOTA - DZABA"/>
    <m/>
    <x v="0"/>
    <s v="Janvier - Aout 2022"/>
    <n v="28"/>
    <n v="205"/>
    <x v="0"/>
    <m/>
    <s v="Même arrondissement"/>
    <s v="CMR"/>
    <s v="Cameroun"/>
    <s v="CMR004"/>
    <s v="Extrême-Nord"/>
    <s v="CMR004006"/>
    <s v="Mayo-Tsanaga"/>
    <s v="CMR004006005"/>
    <s v="Mayo-Moskota"/>
  </r>
  <r>
    <s v="Extrême-Nord"/>
    <s v="CMR004"/>
    <x v="1"/>
    <s v="CMR004006"/>
    <x v="7"/>
    <s v="CMR004006005"/>
    <s v="MOZ-0030"/>
    <s v="SITE DE MOSKOTA - DZABA"/>
    <m/>
    <x v="0"/>
    <s v="Septembre 2022 – Février 2023"/>
    <n v="16"/>
    <n v="200"/>
    <x v="0"/>
    <m/>
    <s v="Même arrondissement"/>
    <s v="CMR"/>
    <s v="Cameroun"/>
    <s v="CMR004"/>
    <s v="Extrême-Nord"/>
    <s v="CMR004006"/>
    <s v="Mayo-Tsanaga"/>
    <s v="CMR004006005"/>
    <s v="Mayo-Moskota"/>
  </r>
  <r>
    <s v="Extrême-Nord"/>
    <s v="CMR004"/>
    <x v="1"/>
    <s v="CMR004006"/>
    <x v="7"/>
    <s v="CMR004006005"/>
    <s v="XXXX"/>
    <s v="MANDOUSSA DZA"/>
    <s v="MANDOUSSA DZA"/>
    <x v="0"/>
    <s v="Septembre 2022 – Février 2023"/>
    <n v="42"/>
    <n v="240"/>
    <x v="0"/>
    <m/>
    <s v="Même arrondissement"/>
    <s v="CMR"/>
    <s v="Cameroun"/>
    <s v="CMR004"/>
    <s v="Extrême-Nord"/>
    <s v="CMR004006"/>
    <s v="Mayo-Tsanaga"/>
    <s v="CMR004006005"/>
    <s v="Mayo-Moskota"/>
  </r>
  <r>
    <s v="Extrême-Nord"/>
    <s v="CMR004"/>
    <x v="0"/>
    <s v="CMR004001"/>
    <x v="0"/>
    <s v="CMR004001003"/>
    <s v="PET-0011"/>
    <s v="KARAL GUIE"/>
    <m/>
    <x v="0"/>
    <s v="Avant 2020"/>
    <n v="5"/>
    <n v="37"/>
    <x v="0"/>
    <m/>
    <s v="Autre département"/>
    <s v="CMR"/>
    <s v="Cameroun"/>
    <s v="CMR004"/>
    <s v="Extrême-Nord"/>
    <s v="CMR004005"/>
    <s v="Mayo-Sava"/>
    <m/>
    <m/>
  </r>
  <r>
    <s v="Extrême-Nord"/>
    <s v="CMR004"/>
    <x v="0"/>
    <s v="CMR004001"/>
    <x v="0"/>
    <s v="CMR004001003"/>
    <s v="PET-0011"/>
    <s v="KARAL GUIE"/>
    <m/>
    <x v="0"/>
    <s v="En 2021"/>
    <n v="0"/>
    <n v="3"/>
    <x v="0"/>
    <m/>
    <s v="Autre département"/>
    <s v="CMR"/>
    <s v="Cameroun"/>
    <s v="CMR004"/>
    <s v="Extrême-Nord"/>
    <s v="CMR004005"/>
    <s v="Mayo-Sava"/>
    <m/>
    <m/>
  </r>
  <r>
    <s v="Extrême-Nord"/>
    <s v="CMR004"/>
    <x v="0"/>
    <s v="CMR004001"/>
    <x v="0"/>
    <s v="CMR004001003"/>
    <s v="PET-0011"/>
    <s v="KARAL GUIE"/>
    <m/>
    <x v="0"/>
    <s v="Septembre 2022 – Février 2023"/>
    <n v="0"/>
    <n v="4"/>
    <x v="0"/>
    <m/>
    <s v="Autre département"/>
    <s v="CMR"/>
    <s v="Cameroun"/>
    <s v="CMR004"/>
    <s v="Extrême-Nord"/>
    <s v="CMR004005"/>
    <s v="Mayo-Sava"/>
    <m/>
    <m/>
  </r>
  <r>
    <s v="Extrême-Nord"/>
    <s v="CMR004"/>
    <x v="0"/>
    <s v="CMR004001"/>
    <x v="0"/>
    <s v="CMR004001003"/>
    <s v="PET-0005"/>
    <s v="DJOUTA-BEMBAL"/>
    <m/>
    <x v="0"/>
    <s v="Avant 2020"/>
    <n v="3"/>
    <n v="17"/>
    <x v="0"/>
    <m/>
    <s v="Autre département"/>
    <s v="CMR"/>
    <s v="Cameroun"/>
    <s v="CMR004"/>
    <s v="Extrême-Nord"/>
    <s v="CMR004005"/>
    <s v="Mayo-Sava"/>
    <m/>
    <m/>
  </r>
  <r>
    <s v="Extrême-Nord"/>
    <s v="CMR004"/>
    <x v="2"/>
    <s v="CMR004002"/>
    <x v="8"/>
    <s v="CMR004002009"/>
    <s v="MAK-0025"/>
    <s v="DONGOLO"/>
    <m/>
    <x v="0"/>
    <s v="Avant 2020"/>
    <n v="27"/>
    <n v="90"/>
    <x v="0"/>
    <m/>
    <s v="Même département, autre arrondissement"/>
    <s v="CMR"/>
    <s v="Cameroun"/>
    <s v="CMR004"/>
    <s v="Extrême-Nord"/>
    <s v="CMR004002"/>
    <s v="Logone-Et-Chari"/>
    <s v="CMR004002008"/>
    <s v="Fotokol"/>
  </r>
  <r>
    <s v="Extrême-Nord"/>
    <s v="CMR004"/>
    <x v="2"/>
    <s v="CMR004002"/>
    <x v="8"/>
    <s v="CMR004002009"/>
    <s v="MAK-0022"/>
    <s v="CHAGAMA 2"/>
    <m/>
    <x v="0"/>
    <s v="Avant 2020"/>
    <n v="9"/>
    <n v="37"/>
    <x v="0"/>
    <m/>
    <s v="Même département, autre arrondissement"/>
    <s v="CMR"/>
    <s v="Cameroun"/>
    <s v="CMR004"/>
    <s v="Extrême-Nord"/>
    <s v="CMR004002"/>
    <s v="Logone-Et-Chari"/>
    <s v="CMR004002008"/>
    <s v="Fotokol"/>
  </r>
  <r>
    <s v="Extrême-Nord"/>
    <s v="CMR004"/>
    <x v="2"/>
    <s v="CMR004002"/>
    <x v="9"/>
    <s v="CMR004002010"/>
    <s v="HIL-0003"/>
    <s v="ABASSOUNI 2"/>
    <m/>
    <x v="0"/>
    <s v="Avant 2020"/>
    <n v="25"/>
    <n v="149"/>
    <x v="0"/>
    <m/>
    <s v="Même arrondissement"/>
    <s v="CMR"/>
    <s v="Cameroun"/>
    <s v="CMR004"/>
    <s v="Extrême-Nord"/>
    <s v="CMR004002"/>
    <s v="Logone-Et-Chari"/>
    <s v="CMR004002010"/>
    <s v="Hile-Alifa"/>
  </r>
  <r>
    <s v="Extrême-Nord"/>
    <s v="CMR004"/>
    <x v="2"/>
    <s v="CMR004002"/>
    <x v="9"/>
    <s v="CMR004002010"/>
    <s v="HIL-0003"/>
    <s v="ABASSOUNI 2"/>
    <m/>
    <x v="0"/>
    <s v="En 2021"/>
    <n v="4"/>
    <n v="29"/>
    <x v="0"/>
    <m/>
    <s v="Même arrondissement"/>
    <s v="CMR"/>
    <s v="Cameroun"/>
    <s v="CMR004"/>
    <s v="Extrême-Nord"/>
    <s v="CMR004002"/>
    <s v="Logone-Et-Chari"/>
    <s v="CMR004002010"/>
    <s v="Hile-Alifa"/>
  </r>
  <r>
    <s v="Extrême-Nord"/>
    <s v="CMR004"/>
    <x v="2"/>
    <s v="CMR004002"/>
    <x v="9"/>
    <s v="CMR004002010"/>
    <s v="HIL-0003"/>
    <s v="ABASSOUNI 2"/>
    <m/>
    <x v="0"/>
    <s v="Janvier - Aout 2022"/>
    <n v="6"/>
    <n v="45"/>
    <x v="0"/>
    <m/>
    <s v="Même arrondissement"/>
    <s v="CMR"/>
    <s v="Cameroun"/>
    <s v="CMR004"/>
    <s v="Extrême-Nord"/>
    <s v="CMR004002"/>
    <s v="Logone-Et-Chari"/>
    <s v="CMR004002010"/>
    <s v="Hile-Alifa"/>
  </r>
  <r>
    <s v="Extrême-Nord"/>
    <s v="CMR004"/>
    <x v="2"/>
    <s v="CMR004002"/>
    <x v="9"/>
    <s v="CMR004002010"/>
    <s v="HIL-0003"/>
    <s v="ABASSOUNI 2"/>
    <m/>
    <x v="0"/>
    <s v="Septembre 2022 – Février 2023"/>
    <n v="20"/>
    <n v="160"/>
    <x v="0"/>
    <m/>
    <s v="Même arrondissement"/>
    <s v="CMR"/>
    <s v="Cameroun"/>
    <s v="CMR004"/>
    <s v="Extrême-Nord"/>
    <s v="CMR004002"/>
    <s v="Logone-Et-Chari"/>
    <s v="CMR004002010"/>
    <s v="Hile-Alifa"/>
  </r>
  <r>
    <s v="Extrême-Nord"/>
    <s v="CMR004"/>
    <x v="0"/>
    <s v="CMR004001"/>
    <x v="0"/>
    <s v="CMR004001003"/>
    <s v="PET-0028"/>
    <s v="TERRO"/>
    <m/>
    <x v="0"/>
    <s v="Avant 2020"/>
    <n v="8"/>
    <n v="53"/>
    <x v="0"/>
    <m/>
    <s v="Autre département"/>
    <s v="CMR"/>
    <s v="Cameroun"/>
    <s v="CMR004"/>
    <s v="Extrême-Nord"/>
    <s v="CMR004005"/>
    <s v="Mayo-Sava"/>
    <m/>
    <m/>
  </r>
  <r>
    <s v="Extrême-Nord"/>
    <s v="CMR004"/>
    <x v="2"/>
    <s v="CMR004002"/>
    <x v="8"/>
    <s v="CMR004002009"/>
    <s v="MAK-0071"/>
    <s v="NANAMI"/>
    <m/>
    <x v="0"/>
    <s v="Avant 2020"/>
    <n v="6"/>
    <n v="34"/>
    <x v="0"/>
    <m/>
    <s v="Même département, autre arrondissement"/>
    <s v="CMR"/>
    <s v="Cameroun"/>
    <s v="CMR004"/>
    <s v="Extrême-Nord"/>
    <s v="CMR004002"/>
    <s v="Logone-Et-Chari"/>
    <s v="CMR004002008"/>
    <s v="Fotokol"/>
  </r>
  <r>
    <s v="Extrême-Nord"/>
    <s v="CMR004"/>
    <x v="2"/>
    <s v="CMR004002"/>
    <x v="8"/>
    <s v="CMR004002009"/>
    <s v="MAK-0185"/>
    <s v="GUEILALA"/>
    <m/>
    <x v="0"/>
    <s v="Avant 2020"/>
    <n v="8"/>
    <n v="72"/>
    <x v="0"/>
    <m/>
    <s v="Même département, autre arrondissement"/>
    <s v="CMR"/>
    <s v="Cameroun"/>
    <s v="CMR004"/>
    <s v="Extrême-Nord"/>
    <s v="CMR004002"/>
    <s v="Logone-Et-Chari"/>
    <s v="CMR004002008"/>
    <s v="Fotokol"/>
  </r>
  <r>
    <s v="Extrême-Nord"/>
    <s v="CMR004"/>
    <x v="2"/>
    <s v="CMR004002"/>
    <x v="8"/>
    <s v="CMR004002009"/>
    <s v="MAK-0185"/>
    <s v="GUEILALA"/>
    <m/>
    <x v="0"/>
    <s v="En 2020"/>
    <n v="5"/>
    <n v="14"/>
    <x v="0"/>
    <m/>
    <s v="Même département, autre arrondissement"/>
    <s v="CMR"/>
    <s v="Cameroun"/>
    <s v="CMR004"/>
    <s v="Extrême-Nord"/>
    <s v="CMR004002"/>
    <s v="Logone-Et-Chari"/>
    <m/>
    <s v="Hile-Alifa"/>
  </r>
  <r>
    <s v="Extrême-Nord"/>
    <s v="CMR004"/>
    <x v="2"/>
    <s v="CMR004002"/>
    <x v="10"/>
    <s v="CMR004002003"/>
    <s v="BLA-0012"/>
    <s v="NDJARGOUDJA"/>
    <m/>
    <x v="0"/>
    <s v="Septembre 2022 – Février 2023"/>
    <n v="3"/>
    <n v="21"/>
    <x v="2"/>
    <s v="2 type de raison de déplacement  conflits  b h et inondations saisonnière "/>
    <s v="Même arrondissement"/>
    <s v="CMR"/>
    <s v="Cameroun"/>
    <s v="CMR004"/>
    <s v="Extrême-Nord"/>
    <s v="CMR004002"/>
    <s v="Logone-Et-Chari"/>
    <s v="CMR004002003"/>
    <s v="Blangoua"/>
  </r>
  <r>
    <s v="Extrême-Nord"/>
    <s v="CMR004"/>
    <x v="2"/>
    <s v="CMR004002"/>
    <x v="10"/>
    <s v="CMR004002003"/>
    <s v="BLA-0012"/>
    <s v="NDJARGOUDJA"/>
    <m/>
    <x v="0"/>
    <s v="En 2020"/>
    <n v="4"/>
    <n v="17"/>
    <x v="0"/>
    <m/>
    <s v="Même département, autre arrondissement"/>
    <s v="CMR"/>
    <s v="Cameroun"/>
    <s v="CMR004"/>
    <s v="Extrême-Nord"/>
    <s v="CMR004002"/>
    <s v="Logone-Et-Chari"/>
    <s v="CMR004002007"/>
    <s v="Darak"/>
  </r>
  <r>
    <s v="Extrême-Nord"/>
    <s v="CMR004"/>
    <x v="2"/>
    <s v="CMR004002"/>
    <x v="10"/>
    <s v="CMR004002003"/>
    <s v="XXXX"/>
    <s v="SITE DE KEKAYA MADAICK "/>
    <s v="SITE DE KEKAYA MADAICK "/>
    <x v="0"/>
    <s v="Septembre 2022 – Février 2023"/>
    <n v="669"/>
    <n v="2285"/>
    <x v="2"/>
    <s v="Il y a 2 type de raison  de déplacement  conflits b h et inondations   saisonnière "/>
    <s v="Même arrondissement"/>
    <s v="CMR"/>
    <s v="Cameroun"/>
    <s v="CMR004"/>
    <s v="Extrême-Nord"/>
    <s v="CMR004002"/>
    <s v="Logone-Et-Chari"/>
    <s v="CMR004002003"/>
    <s v="Blangoua"/>
  </r>
  <r>
    <s v="Extrême-Nord"/>
    <s v="CMR004"/>
    <x v="0"/>
    <s v="CMR004001"/>
    <x v="6"/>
    <s v="CMR004001001"/>
    <s v="MA3-0003"/>
    <s v="LOUGEO"/>
    <m/>
    <x v="0"/>
    <s v="Avant 2020"/>
    <n v="183"/>
    <n v="1057"/>
    <x v="0"/>
    <m/>
    <s v="Autre département"/>
    <s v="CMR"/>
    <s v="Cameroun"/>
    <s v="CMR004"/>
    <s v="Extrême-Nord"/>
    <s v="CMR004005"/>
    <s v="Mayo-Sava"/>
    <m/>
    <m/>
  </r>
  <r>
    <s v="Extrême-Nord"/>
    <s v="CMR004"/>
    <x v="0"/>
    <s v="CMR004001"/>
    <x v="6"/>
    <s v="CMR004001001"/>
    <s v="MA3-0003"/>
    <s v="LOUGEO"/>
    <m/>
    <x v="0"/>
    <s v="Septembre 2022 – Février 2023"/>
    <n v="1"/>
    <n v="21"/>
    <x v="2"/>
    <s v="Pour des raisons économiques"/>
    <s v="Même département, autre arrondissement"/>
    <s v="CMR"/>
    <s v="Cameroun"/>
    <s v="CMR004"/>
    <s v="Extrême-Nord"/>
    <s v="CMR004001"/>
    <s v="Diamaré"/>
    <s v="CMR004001004"/>
    <s v="Dargala"/>
  </r>
  <r>
    <s v="Extrême-Nord"/>
    <s v="CMR004"/>
    <x v="3"/>
    <s v="CMR004003"/>
    <x v="11"/>
    <s v="CMR004003002"/>
    <s v="MAG-0005"/>
    <s v="SITE DE POUSS"/>
    <m/>
    <x v="0"/>
    <s v="Avant 2020"/>
    <n v="188"/>
    <n v="1543"/>
    <x v="3"/>
    <m/>
    <s v="Même arrondissement"/>
    <s v="CMR"/>
    <s v="Cameroun"/>
    <s v="CMR004"/>
    <s v="Extrême-Nord"/>
    <s v="CMR004003"/>
    <s v="Mayo-Danay"/>
    <s v="CMR004003002"/>
    <s v="Maga"/>
  </r>
  <r>
    <s v="Extrême-Nord"/>
    <s v="CMR004"/>
    <x v="3"/>
    <s v="CMR004003"/>
    <x v="11"/>
    <s v="CMR004003002"/>
    <s v="MAG-0005"/>
    <s v="SITE DE POUSS"/>
    <m/>
    <x v="0"/>
    <s v="En 2020"/>
    <n v="5"/>
    <n v="50"/>
    <x v="3"/>
    <m/>
    <s v="Même arrondissement"/>
    <s v="CMR"/>
    <s v="Cameroun"/>
    <s v="CMR004"/>
    <s v="Extrême-Nord"/>
    <s v="CMR004003"/>
    <s v="Mayo-Danay"/>
    <s v="CMR004003002"/>
    <s v="Maga"/>
  </r>
  <r>
    <s v="Extrême-Nord"/>
    <s v="CMR004"/>
    <x v="3"/>
    <s v="CMR004003"/>
    <x v="11"/>
    <s v="CMR004003002"/>
    <s v="MAG-0005"/>
    <s v="SITE DE POUSS"/>
    <m/>
    <x v="0"/>
    <s v="En 2021"/>
    <n v="0"/>
    <n v="11"/>
    <x v="3"/>
    <m/>
    <s v="Même arrondissement"/>
    <s v="CMR"/>
    <s v="Cameroun"/>
    <s v="CMR004"/>
    <s v="Extrême-Nord"/>
    <s v="CMR004003"/>
    <s v="Mayo-Danay"/>
    <s v="CMR004003002"/>
    <s v="Maga"/>
  </r>
  <r>
    <s v="Extrême-Nord"/>
    <s v="CMR004"/>
    <x v="3"/>
    <s v="CMR004003"/>
    <x v="11"/>
    <s v="CMR004003002"/>
    <s v="MAG-0005"/>
    <s v="SITE DE POUSS"/>
    <m/>
    <x v="0"/>
    <s v="Janvier - Aout 2022"/>
    <n v="0"/>
    <n v="18"/>
    <x v="3"/>
    <m/>
    <s v="Même arrondissement"/>
    <s v="CMR"/>
    <s v="Cameroun"/>
    <s v="CMR004"/>
    <s v="Extrême-Nord"/>
    <s v="CMR004003"/>
    <s v="Mayo-Danay"/>
    <s v="CMR004003002"/>
    <s v="Maga"/>
  </r>
  <r>
    <s v="Extrême-Nord"/>
    <s v="CMR004"/>
    <x v="3"/>
    <s v="CMR004003"/>
    <x v="11"/>
    <s v="CMR004003002"/>
    <s v="MAG-0005"/>
    <s v="SITE DE POUSS"/>
    <m/>
    <x v="0"/>
    <s v="Septembre 2022 – Février 2023"/>
    <n v="0"/>
    <n v="18"/>
    <x v="3"/>
    <m/>
    <s v="Même arrondissement"/>
    <s v="CMR"/>
    <s v="Cameroun"/>
    <s v="CMR004"/>
    <s v="Extrême-Nord"/>
    <s v="CMR004003"/>
    <s v="Mayo-Danay"/>
    <s v="CMR004003002"/>
    <s v="Maga"/>
  </r>
  <r>
    <s v="Extrême-Nord"/>
    <s v="CMR004"/>
    <x v="2"/>
    <s v="CMR004002"/>
    <x v="8"/>
    <s v="CMR004002009"/>
    <s v="MAK-0031"/>
    <s v="DOLE-NAGA"/>
    <m/>
    <x v="0"/>
    <s v="En 2020"/>
    <n v="0"/>
    <n v="13"/>
    <x v="0"/>
    <m/>
    <s v="Même arrondissement"/>
    <s v="CMR"/>
    <s v="Cameroun"/>
    <s v="CMR004"/>
    <s v="Extrême-Nord"/>
    <s v="CMR004002"/>
    <s v="Logone-Et-Chari"/>
    <s v="CMR004002009"/>
    <s v="Makary"/>
  </r>
  <r>
    <s v="Extrême-Nord"/>
    <s v="CMR004"/>
    <x v="2"/>
    <s v="CMR004002"/>
    <x v="8"/>
    <s v="CMR004002009"/>
    <s v="MAK-0031"/>
    <s v="DOLE-NAGA"/>
    <m/>
    <x v="0"/>
    <s v="Janvier - Aout 2022"/>
    <n v="43"/>
    <n v="100"/>
    <x v="0"/>
    <m/>
    <s v="Même département, autre arrondissement"/>
    <s v="CMR"/>
    <s v="Cameroun"/>
    <s v="CMR004"/>
    <s v="Extrême-Nord"/>
    <s v="CMR004002"/>
    <s v="Logone-Et-Chari"/>
    <m/>
    <s v="Hile-Alifa"/>
  </r>
  <r>
    <s v="Extrême-Nord"/>
    <s v="CMR004"/>
    <x v="2"/>
    <s v="CMR004002"/>
    <x v="8"/>
    <s v="CMR004002009"/>
    <s v="MAK-0031"/>
    <s v="DOLE-NAGA"/>
    <m/>
    <x v="0"/>
    <s v="Avant 2020"/>
    <n v="13"/>
    <n v="77"/>
    <x v="0"/>
    <m/>
    <s v="Même arrondissement"/>
    <s v="CMR"/>
    <s v="Cameroun"/>
    <s v="CMR004"/>
    <s v="Extrême-Nord"/>
    <s v="CMR004002"/>
    <s v="Logone-Et-Chari"/>
    <s v="CMR004002009"/>
    <s v="Makary"/>
  </r>
  <r>
    <s v="Extrême-Nord"/>
    <s v="CMR004"/>
    <x v="2"/>
    <s v="CMR004002"/>
    <x v="8"/>
    <s v="CMR004002009"/>
    <s v="MAK-0031"/>
    <s v="DOLE-NAGA"/>
    <m/>
    <x v="0"/>
    <s v="En 2021"/>
    <n v="0"/>
    <n v="10"/>
    <x v="0"/>
    <m/>
    <s v="Même arrondissement"/>
    <s v="CMR"/>
    <s v="Cameroun"/>
    <s v="CMR004"/>
    <s v="Extrême-Nord"/>
    <s v="CMR004002"/>
    <s v="Logone-Et-Chari"/>
    <s v="CMR004002009"/>
    <s v="Makary"/>
  </r>
  <r>
    <s v="Extrême-Nord"/>
    <s v="CMR004"/>
    <x v="0"/>
    <s v="CMR004001"/>
    <x v="4"/>
    <s v="CMR004001008"/>
    <s v="GAZ-0004"/>
    <s v="GOUDOURWO"/>
    <m/>
    <x v="0"/>
    <s v="Avant 2020"/>
    <n v="2"/>
    <n v="23"/>
    <x v="0"/>
    <m/>
    <s v="Autre département"/>
    <s v="CMR"/>
    <s v="Cameroun"/>
    <s v="CMR004"/>
    <s v="Extrême-Nord"/>
    <s v="CMR004006"/>
    <s v="Mayo-Tsanaga"/>
    <m/>
    <m/>
  </r>
  <r>
    <s v="Extrême-Nord"/>
    <s v="CMR004"/>
    <x v="1"/>
    <s v="CMR004006"/>
    <x v="7"/>
    <s v="CMR004006005"/>
    <s v="MOZ-0007"/>
    <s v="MOSKOTA CENTRE"/>
    <m/>
    <x v="0"/>
    <s v="Avant 2020"/>
    <n v="590"/>
    <n v="3126"/>
    <x v="0"/>
    <m/>
    <s v="Même arrondissement"/>
    <s v="CMR"/>
    <s v="Cameroun"/>
    <s v="CMR004"/>
    <s v="Extrême-Nord"/>
    <s v="CMR004006"/>
    <s v="Mayo-Tsanaga"/>
    <s v="CMR004006005"/>
    <s v="Mayo-Moskota"/>
  </r>
  <r>
    <s v="Extrême-Nord"/>
    <s v="CMR004"/>
    <x v="1"/>
    <s v="CMR004006"/>
    <x v="7"/>
    <s v="CMR004006005"/>
    <s v="MOZ-0007"/>
    <s v="MOSKOTA CENTRE"/>
    <m/>
    <x v="0"/>
    <s v="En 2020"/>
    <n v="38"/>
    <n v="265"/>
    <x v="0"/>
    <m/>
    <s v="Même arrondissement"/>
    <s v="CMR"/>
    <s v="Cameroun"/>
    <s v="CMR004"/>
    <s v="Extrême-Nord"/>
    <s v="CMR004006"/>
    <s v="Mayo-Tsanaga"/>
    <s v="CMR004006005"/>
    <s v="Mayo-Moskota"/>
  </r>
  <r>
    <s v="Extrême-Nord"/>
    <s v="CMR004"/>
    <x v="1"/>
    <s v="CMR004006"/>
    <x v="7"/>
    <s v="CMR004006005"/>
    <s v="MOZ-0007"/>
    <s v="MOSKOTA CENTRE"/>
    <m/>
    <x v="0"/>
    <s v="En 2021"/>
    <n v="12"/>
    <n v="77"/>
    <x v="0"/>
    <m/>
    <s v="Même arrondissement"/>
    <s v="CMR"/>
    <s v="Cameroun"/>
    <s v="CMR004"/>
    <s v="Extrême-Nord"/>
    <s v="CMR004006"/>
    <s v="Mayo-Tsanaga"/>
    <s v="CMR004006005"/>
    <s v="Mayo-Moskota"/>
  </r>
  <r>
    <s v="Extrême-Nord"/>
    <s v="CMR004"/>
    <x v="1"/>
    <s v="CMR004006"/>
    <x v="7"/>
    <s v="CMR004006005"/>
    <s v="MOZ-0007"/>
    <s v="MOSKOTA CENTRE"/>
    <m/>
    <x v="0"/>
    <s v="Janvier - Aout 2022"/>
    <n v="260"/>
    <n v="1135"/>
    <x v="0"/>
    <m/>
    <s v="Même arrondissement"/>
    <s v="CMR"/>
    <s v="Cameroun"/>
    <s v="CMR004"/>
    <s v="Extrême-Nord"/>
    <s v="CMR004006"/>
    <s v="Mayo-Tsanaga"/>
    <s v="CMR004006005"/>
    <s v="Mayo-Moskota"/>
  </r>
  <r>
    <s v="Extrême-Nord"/>
    <s v="CMR004"/>
    <x v="1"/>
    <s v="CMR004006"/>
    <x v="7"/>
    <s v="CMR004006005"/>
    <s v="MOZ-0007"/>
    <s v="MOSKOTA CENTRE"/>
    <m/>
    <x v="0"/>
    <s v="Septembre 2022 – Février 2023"/>
    <n v="35"/>
    <n v="305"/>
    <x v="0"/>
    <m/>
    <s v="Même arrondissement"/>
    <s v="CMR"/>
    <s v="Cameroun"/>
    <s v="CMR004"/>
    <s v="Extrême-Nord"/>
    <s v="CMR004006"/>
    <s v="Mayo-Tsanaga"/>
    <s v="CMR004006005"/>
    <s v="Mayo-Moskota"/>
  </r>
  <r>
    <s v="Extrême-Nord"/>
    <s v="CMR004"/>
    <x v="1"/>
    <s v="CMR004006"/>
    <x v="7"/>
    <s v="CMR004006005"/>
    <s v="MOZ-0031"/>
    <s v="SITE DE MOSKOTA - MOGODA"/>
    <m/>
    <x v="0"/>
    <s v="Avant 2020"/>
    <n v="46"/>
    <n v="338"/>
    <x v="0"/>
    <m/>
    <s v="Même arrondissement"/>
    <s v="CMR"/>
    <s v="Cameroun"/>
    <s v="CMR004"/>
    <s v="Extrême-Nord"/>
    <s v="CMR004006"/>
    <s v="Mayo-Tsanaga"/>
    <s v="CMR004006005"/>
    <s v="Mayo-Moskota"/>
  </r>
  <r>
    <s v="Extrême-Nord"/>
    <s v="CMR004"/>
    <x v="1"/>
    <s v="CMR004006"/>
    <x v="7"/>
    <s v="CMR004006005"/>
    <s v="MOZ-0031"/>
    <s v="SITE DE MOSKOTA - MOGODA"/>
    <m/>
    <x v="0"/>
    <s v="En 2020"/>
    <n v="5"/>
    <n v="28"/>
    <x v="0"/>
    <m/>
    <s v="Même arrondissement"/>
    <s v="CMR"/>
    <s v="Cameroun"/>
    <s v="CMR004"/>
    <s v="Extrême-Nord"/>
    <s v="CMR004006"/>
    <s v="Mayo-Tsanaga"/>
    <s v="CMR004006005"/>
    <s v="Mayo-Moskota"/>
  </r>
  <r>
    <s v="Extrême-Nord"/>
    <s v="CMR004"/>
    <x v="1"/>
    <s v="CMR004006"/>
    <x v="7"/>
    <s v="CMR004006005"/>
    <s v="MOZ-0031"/>
    <s v="SITE DE MOSKOTA - MOGODA"/>
    <m/>
    <x v="0"/>
    <s v="En 2021"/>
    <n v="2"/>
    <n v="10"/>
    <x v="0"/>
    <m/>
    <s v="Même arrondissement"/>
    <s v="CMR"/>
    <s v="Cameroun"/>
    <s v="CMR004"/>
    <s v="Extrême-Nord"/>
    <s v="CMR004006"/>
    <s v="Mayo-Tsanaga"/>
    <s v="CMR004006005"/>
    <s v="Mayo-Moskota"/>
  </r>
  <r>
    <s v="Extrême-Nord"/>
    <s v="CMR004"/>
    <x v="1"/>
    <s v="CMR004006"/>
    <x v="7"/>
    <s v="CMR004006005"/>
    <s v="MOZ-0031"/>
    <s v="SITE DE MOSKOTA - MOGODA"/>
    <m/>
    <x v="0"/>
    <s v="Janvier - Aout 2022"/>
    <n v="22"/>
    <n v="120"/>
    <x v="0"/>
    <m/>
    <s v="Même arrondissement"/>
    <s v="CMR"/>
    <s v="Cameroun"/>
    <s v="CMR004"/>
    <s v="Extrême-Nord"/>
    <s v="CMR004006"/>
    <s v="Mayo-Tsanaga"/>
    <s v="CMR004006005"/>
    <s v="Mayo-Moskota"/>
  </r>
  <r>
    <s v="Extrême-Nord"/>
    <s v="CMR004"/>
    <x v="1"/>
    <s v="CMR004006"/>
    <x v="7"/>
    <s v="CMR004006005"/>
    <s v="MOZ-0031"/>
    <s v="SITE DE MOSKOTA - MOGODA"/>
    <m/>
    <x v="0"/>
    <s v="Septembre 2022 – Février 2023"/>
    <n v="4"/>
    <n v="16"/>
    <x v="0"/>
    <m/>
    <s v="Même arrondissement"/>
    <s v="CMR"/>
    <s v="Cameroun"/>
    <s v="CMR004"/>
    <s v="Extrême-Nord"/>
    <s v="CMR004006"/>
    <s v="Mayo-Tsanaga"/>
    <s v="CMR004006005"/>
    <s v="Mayo-Moskota"/>
  </r>
  <r>
    <s v="Extrême-Nord"/>
    <s v="CMR004"/>
    <x v="2"/>
    <s v="CMR004002"/>
    <x v="8"/>
    <s v="CMR004002009"/>
    <s v="MAK-0175"/>
    <s v="MOUGRAN"/>
    <m/>
    <x v="0"/>
    <s v="Janvier - Aout 2022"/>
    <n v="5"/>
    <n v="28"/>
    <x v="1"/>
    <m/>
    <s v="Même arrondissement"/>
    <s v="CMR"/>
    <s v="Cameroun"/>
    <s v="CMR004"/>
    <s v="Extrême-Nord"/>
    <s v="CMR004002"/>
    <s v="Logone-Et-Chari"/>
    <s v="CMR004002009"/>
    <s v="Makary"/>
  </r>
  <r>
    <s v="Extrême-Nord"/>
    <s v="CMR004"/>
    <x v="2"/>
    <s v="CMR004002"/>
    <x v="8"/>
    <s v="CMR004002009"/>
    <s v="MAK-0175"/>
    <s v="MOUGRAN"/>
    <m/>
    <x v="0"/>
    <s v="Septembre 2022 – Février 2023"/>
    <n v="3"/>
    <n v="11"/>
    <x v="1"/>
    <m/>
    <s v="Même arrondissement"/>
    <s v="CMR"/>
    <s v="Cameroun"/>
    <s v="CMR004"/>
    <s v="Extrême-Nord"/>
    <s v="CMR004002"/>
    <s v="Logone-Et-Chari"/>
    <s v="CMR004002009"/>
    <s v="Makary"/>
  </r>
  <r>
    <s v="Extrême-Nord"/>
    <s v="CMR004"/>
    <x v="2"/>
    <s v="CMR004002"/>
    <x v="8"/>
    <s v="CMR004002009"/>
    <s v="MAK-0163"/>
    <s v="AMTCHIKO"/>
    <m/>
    <x v="0"/>
    <s v="Janvier - Aout 2022"/>
    <n v="3"/>
    <n v="25"/>
    <x v="1"/>
    <m/>
    <s v="Même arrondissement"/>
    <s v="CMR"/>
    <s v="Cameroun"/>
    <s v="CMR004"/>
    <s v="Extrême-Nord"/>
    <s v="CMR004002"/>
    <s v="Logone-Et-Chari"/>
    <s v="CMR004002009"/>
    <s v="Makary"/>
  </r>
  <r>
    <s v="Extrême-Nord"/>
    <s v="CMR004"/>
    <x v="2"/>
    <s v="CMR004002"/>
    <x v="8"/>
    <s v="CMR004002009"/>
    <s v="MAK-0163"/>
    <s v="AMTCHIKO"/>
    <m/>
    <x v="0"/>
    <s v="Septembre 2022 – Février 2023"/>
    <n v="6"/>
    <n v="18"/>
    <x v="1"/>
    <m/>
    <s v="Même arrondissement"/>
    <s v="CMR"/>
    <s v="Cameroun"/>
    <s v="CMR004"/>
    <s v="Extrême-Nord"/>
    <s v="CMR004002"/>
    <s v="Logone-Et-Chari"/>
    <s v="CMR004002009"/>
    <s v="Makary"/>
  </r>
  <r>
    <s v="Extrême-Nord"/>
    <s v="CMR004"/>
    <x v="2"/>
    <s v="CMR004002"/>
    <x v="12"/>
    <s v="CMR004002002"/>
    <s v="GOU-0006"/>
    <s v="GOULFEY"/>
    <m/>
    <x v="0"/>
    <s v="Avant 2020"/>
    <n v="61"/>
    <n v="369"/>
    <x v="0"/>
    <m/>
    <s v="Même département, autre arrondissement"/>
    <s v="CMR"/>
    <s v="Cameroun"/>
    <s v="CMR004"/>
    <s v="Extrême-Nord"/>
    <s v="CMR004002"/>
    <s v="Logone-Et-Chari"/>
    <s v="CMR004002008"/>
    <s v="Fotokol"/>
  </r>
  <r>
    <s v="Extrême-Nord"/>
    <s v="CMR004"/>
    <x v="2"/>
    <s v="CMR004002"/>
    <x v="12"/>
    <s v="CMR004002002"/>
    <s v="XXXX"/>
    <s v="SITE DE SIGUET"/>
    <s v="SITE DE SIGUET"/>
    <x v="0"/>
    <s v="Septembre 2022 – Février 2023"/>
    <n v="50"/>
    <n v="350"/>
    <x v="3"/>
    <m/>
    <s v="Même arrondissement"/>
    <s v="CMR"/>
    <s v="Cameroun"/>
    <s v="CMR004"/>
    <s v="Extrême-Nord"/>
    <s v="CMR004002"/>
    <s v="Logone-Et-Chari"/>
    <s v="CMR004002002"/>
    <s v="Goulfey"/>
  </r>
  <r>
    <s v="Extrême-Nord"/>
    <s v="CMR004"/>
    <x v="2"/>
    <s v="CMR004002"/>
    <x v="13"/>
    <s v="CMR004002001"/>
    <s v="WAZ-0002"/>
    <s v="KABE 1"/>
    <m/>
    <x v="0"/>
    <s v="En 2021"/>
    <n v="20"/>
    <n v="55"/>
    <x v="1"/>
    <m/>
    <s v="Même département, autre arrondissement"/>
    <s v="CMR"/>
    <s v="Cameroun"/>
    <s v="CMR004"/>
    <s v="Extrême-Nord"/>
    <s v="CMR004002"/>
    <s v="Logone-Et-Chari"/>
    <s v="CMR004002004"/>
    <s v="Logone-Birni"/>
  </r>
  <r>
    <s v="Extrême-Nord"/>
    <s v="CMR004"/>
    <x v="2"/>
    <s v="CMR004002"/>
    <x v="9"/>
    <s v="CMR004002010"/>
    <s v="XXXX"/>
    <s v="SITE DE MARCHÉ-HILE-ALIFA I"/>
    <s v="SITE DE MARCHÉ-HILE-ALIFA I"/>
    <x v="0"/>
    <s v="Septembre 2022 – Février 2023"/>
    <n v="400"/>
    <n v="2800"/>
    <x v="0"/>
    <m/>
    <s v="Même arrondissement"/>
    <s v="CMR"/>
    <s v="Cameroun"/>
    <s v="CMR004"/>
    <s v="Extrême-Nord"/>
    <s v="CMR004002"/>
    <s v="Logone-Et-Chari"/>
    <s v="CMR004002010"/>
    <s v="Hile-Alifa"/>
  </r>
  <r>
    <s v="Extrême-Nord"/>
    <s v="CMR004"/>
    <x v="2"/>
    <s v="CMR004002"/>
    <x v="12"/>
    <s v="CMR004002002"/>
    <s v="GOU-0020"/>
    <s v="NIMIA"/>
    <m/>
    <x v="0"/>
    <s v="Avant 2020"/>
    <n v="2"/>
    <n v="17"/>
    <x v="0"/>
    <m/>
    <s v="Même département, autre arrondissement"/>
    <s v="CMR"/>
    <s v="Cameroun"/>
    <s v="CMR004"/>
    <s v="Extrême-Nord"/>
    <s v="CMR004002"/>
    <s v="Logone-Et-Chari"/>
    <s v="CMR004002008"/>
    <s v="Fotokol"/>
  </r>
  <r>
    <s v="Extrême-Nord"/>
    <s v="CMR004"/>
    <x v="2"/>
    <s v="CMR004002"/>
    <x v="12"/>
    <s v="CMR004002002"/>
    <s v="GOU-0017"/>
    <s v="MOUGALAM"/>
    <m/>
    <x v="0"/>
    <s v="Avant 2020"/>
    <n v="21"/>
    <n v="112"/>
    <x v="0"/>
    <m/>
    <s v="Même département, autre arrondissement"/>
    <s v="CMR"/>
    <s v="Cameroun"/>
    <s v="CMR004"/>
    <s v="Extrême-Nord"/>
    <s v="CMR004002"/>
    <s v="Logone-Et-Chari"/>
    <s v="CMR004002008"/>
    <s v="Fotokol"/>
  </r>
  <r>
    <s v="Extrême-Nord"/>
    <s v="CMR004"/>
    <x v="2"/>
    <s v="CMR004002"/>
    <x v="12"/>
    <s v="CMR004002002"/>
    <s v="XXXX"/>
    <s v="SITE DE AFIE 1"/>
    <s v="SITE DE AFIE 1"/>
    <x v="0"/>
    <s v="Septembre 2022 – Février 2023"/>
    <n v="12"/>
    <n v="122"/>
    <x v="3"/>
    <m/>
    <s v="Même arrondissement"/>
    <s v="CMR"/>
    <s v="Cameroun"/>
    <s v="CMR004"/>
    <s v="Extrême-Nord"/>
    <s v="CMR004002"/>
    <s v="Logone-Et-Chari"/>
    <s v="CMR004002002"/>
    <s v="Goulfey"/>
  </r>
  <r>
    <s v="Extrême-Nord"/>
    <s v="CMR004"/>
    <x v="2"/>
    <s v="CMR004002"/>
    <x v="8"/>
    <s v="CMR004002009"/>
    <s v="MAK-0128"/>
    <s v="CHIMTILI"/>
    <m/>
    <x v="0"/>
    <s v="Avant 2020"/>
    <n v="24"/>
    <n v="82"/>
    <x v="0"/>
    <m/>
    <s v="Même département, autre arrondissement"/>
    <s v="CMR"/>
    <s v="Cameroun"/>
    <s v="CMR004"/>
    <s v="Extrême-Nord"/>
    <s v="CMR004002"/>
    <s v="Logone-Et-Chari"/>
    <s v="CMR004002008"/>
    <s v="Fotokol"/>
  </r>
  <r>
    <s v="Extrême-Nord"/>
    <s v="CMR004"/>
    <x v="2"/>
    <s v="CMR004002"/>
    <x v="8"/>
    <s v="CMR004002009"/>
    <s v="MAK-0128"/>
    <s v="CHIMTILI"/>
    <m/>
    <x v="0"/>
    <s v="Septembre 2022 – Février 2023"/>
    <n v="5"/>
    <n v="20"/>
    <x v="0"/>
    <m/>
    <s v="Même département, autre arrondissement"/>
    <s v="CMR"/>
    <s v="Cameroun"/>
    <s v="CMR004"/>
    <s v="Extrême-Nord"/>
    <s v="CMR004002"/>
    <s v="Logone-Et-Chari"/>
    <m/>
    <s v="Hile-Alifa"/>
  </r>
  <r>
    <s v="Extrême-Nord"/>
    <s v="CMR004"/>
    <x v="2"/>
    <s v="CMR004002"/>
    <x v="8"/>
    <s v="CMR004002009"/>
    <s v="MAK-0021"/>
    <s v="CHAGAMA 1"/>
    <m/>
    <x v="0"/>
    <s v="Avant 2020"/>
    <n v="13"/>
    <n v="39"/>
    <x v="0"/>
    <m/>
    <s v="Même département, autre arrondissement"/>
    <s v="CMR"/>
    <s v="Cameroun"/>
    <s v="CMR004"/>
    <s v="Extrême-Nord"/>
    <s v="CMR004002"/>
    <s v="Logone-Et-Chari"/>
    <s v="CMR004002008"/>
    <s v="Fotokol"/>
  </r>
  <r>
    <s v="Extrême-Nord"/>
    <s v="CMR004"/>
    <x v="2"/>
    <s v="CMR004002"/>
    <x v="10"/>
    <s v="CMR004002003"/>
    <s v="BLA-0019"/>
    <s v="BLABINE"/>
    <m/>
    <x v="0"/>
    <s v="Avant 2020"/>
    <n v="5"/>
    <n v="20"/>
    <x v="0"/>
    <m/>
    <s v="Même département, autre arrondissement"/>
    <s v="CMR"/>
    <s v="Cameroun"/>
    <s v="CMR004"/>
    <s v="Extrême-Nord"/>
    <s v="CMR004002"/>
    <s v="Logone-Et-Chari"/>
    <s v="CMR004002008"/>
    <s v="Fotokol"/>
  </r>
  <r>
    <s v="Extrême-Nord"/>
    <s v="CMR004"/>
    <x v="2"/>
    <s v="CMR004002"/>
    <x v="10"/>
    <s v="CMR004002003"/>
    <s v="BLA-0019"/>
    <s v="BLABINE"/>
    <m/>
    <x v="0"/>
    <s v="En 2021"/>
    <n v="2"/>
    <n v="8"/>
    <x v="0"/>
    <m/>
    <s v="Même département, autre arrondissement"/>
    <s v="CMR"/>
    <s v="Cameroun"/>
    <s v="CMR004"/>
    <s v="Extrême-Nord"/>
    <s v="CMR004002"/>
    <s v="Logone-Et-Chari"/>
    <s v="CMR004002007"/>
    <s v="Darak"/>
  </r>
  <r>
    <s v="Extrême-Nord"/>
    <s v="CMR004"/>
    <x v="2"/>
    <s v="CMR004002"/>
    <x v="10"/>
    <s v="CMR004002003"/>
    <s v="BLA-0010"/>
    <s v="KOUTOULA"/>
    <m/>
    <x v="0"/>
    <s v="Avant 2020"/>
    <n v="34"/>
    <n v="350"/>
    <x v="0"/>
    <m/>
    <s v="Même département, autre arrondissement"/>
    <s v="CMR"/>
    <s v="Cameroun"/>
    <s v="CMR004"/>
    <s v="Extrême-Nord"/>
    <s v="CMR004002"/>
    <s v="Logone-Et-Chari"/>
    <s v="CMR004002007"/>
    <s v="Darak"/>
  </r>
  <r>
    <s v="Extrême-Nord"/>
    <s v="CMR004"/>
    <x v="0"/>
    <s v="CMR004001"/>
    <x v="0"/>
    <s v="CMR004001003"/>
    <s v="PET-0021"/>
    <s v="MOURGOUT"/>
    <m/>
    <x v="0"/>
    <s v="Avant 2020"/>
    <n v="9"/>
    <n v="80"/>
    <x v="0"/>
    <m/>
    <s v="Autre département"/>
    <s v="CMR"/>
    <s v="Cameroun"/>
    <s v="CMR004"/>
    <s v="Extrême-Nord"/>
    <s v="CMR004005"/>
    <s v="Mayo-Sava"/>
    <m/>
    <m/>
  </r>
  <r>
    <s v="Extrême-Nord"/>
    <s v="CMR004"/>
    <x v="0"/>
    <s v="CMR004001"/>
    <x v="0"/>
    <s v="CMR004001003"/>
    <s v="PET-0021"/>
    <s v="MOURGOUT"/>
    <m/>
    <x v="0"/>
    <s v="En 2021"/>
    <n v="0"/>
    <n v="10"/>
    <x v="0"/>
    <m/>
    <s v="Autre département"/>
    <s v="CMR"/>
    <s v="Cameroun"/>
    <s v="CMR004"/>
    <s v="Extrême-Nord"/>
    <s v="CMR004005"/>
    <s v="Mayo-Sava"/>
    <m/>
    <m/>
  </r>
  <r>
    <s v="Extrême-Nord"/>
    <s v="CMR004"/>
    <x v="0"/>
    <s v="CMR004001"/>
    <x v="0"/>
    <s v="CMR004001003"/>
    <s v="PET-0021"/>
    <s v="MOURGOUT"/>
    <m/>
    <x v="0"/>
    <s v="Janvier - Aout 2022"/>
    <n v="0"/>
    <n v="5"/>
    <x v="0"/>
    <m/>
    <s v="Autre département"/>
    <s v="CMR"/>
    <s v="Cameroun"/>
    <s v="CMR004"/>
    <s v="Extrême-Nord"/>
    <s v="CMR004005"/>
    <s v="Mayo-Sava"/>
    <m/>
    <m/>
  </r>
  <r>
    <s v="Extrême-Nord"/>
    <s v="CMR004"/>
    <x v="0"/>
    <s v="CMR004001"/>
    <x v="0"/>
    <s v="CMR004001003"/>
    <s v="PET-0021"/>
    <s v="MOURGOUT"/>
    <m/>
    <x v="0"/>
    <s v="Septembre 2022 – Février 2023"/>
    <n v="0"/>
    <n v="3"/>
    <x v="0"/>
    <m/>
    <s v="Autre département"/>
    <s v="CMR"/>
    <s v="Cameroun"/>
    <s v="CMR004"/>
    <s v="Extrême-Nord"/>
    <s v="CMR004005"/>
    <s v="Mayo-Sava"/>
    <m/>
    <m/>
  </r>
  <r>
    <s v="Extrême-Nord"/>
    <s v="CMR004"/>
    <x v="0"/>
    <s v="CMR004001"/>
    <x v="0"/>
    <s v="CMR004001003"/>
    <s v="PET-0006"/>
    <s v="DOUTAROU"/>
    <m/>
    <x v="0"/>
    <s v="Avant 2020"/>
    <n v="9"/>
    <n v="55"/>
    <x v="0"/>
    <m/>
    <s v="Autre département"/>
    <s v="CMR"/>
    <s v="Cameroun"/>
    <s v="CMR004"/>
    <s v="Extrême-Nord"/>
    <s v="CMR004005"/>
    <s v="Mayo-Sava"/>
    <m/>
    <m/>
  </r>
  <r>
    <s v="Extrême-Nord"/>
    <s v="CMR004"/>
    <x v="0"/>
    <s v="CMR004001"/>
    <x v="0"/>
    <s v="CMR004001003"/>
    <s v="PET-0006"/>
    <s v="DOUTAROU"/>
    <m/>
    <x v="0"/>
    <s v="En 2020"/>
    <n v="1"/>
    <n v="2"/>
    <x v="0"/>
    <m/>
    <s v="Autre département"/>
    <s v="CMR"/>
    <s v="Cameroun"/>
    <s v="CMR004"/>
    <s v="Extrême-Nord"/>
    <s v="CMR004005"/>
    <s v="Mayo-Sava"/>
    <m/>
    <m/>
  </r>
  <r>
    <s v="Extrême-Nord"/>
    <s v="CMR004"/>
    <x v="0"/>
    <s v="CMR004001"/>
    <x v="0"/>
    <s v="CMR004001003"/>
    <s v="PET-0006"/>
    <s v="DOUTAROU"/>
    <m/>
    <x v="0"/>
    <s v="En 2021"/>
    <n v="0"/>
    <n v="4"/>
    <x v="0"/>
    <m/>
    <s v="Autre département"/>
    <s v="CMR"/>
    <s v="Cameroun"/>
    <s v="CMR004"/>
    <s v="Extrême-Nord"/>
    <s v="CMR004005"/>
    <s v="Mayo-Sava"/>
    <m/>
    <m/>
  </r>
  <r>
    <s v="Extrême-Nord"/>
    <s v="CMR004"/>
    <x v="0"/>
    <s v="CMR004001"/>
    <x v="0"/>
    <s v="CMR004001003"/>
    <s v="PET-0006"/>
    <s v="DOUTAROU"/>
    <m/>
    <x v="0"/>
    <s v="Janvier - Aout 2022"/>
    <n v="1"/>
    <n v="3"/>
    <x v="0"/>
    <m/>
    <s v="Autre département"/>
    <s v="CMR"/>
    <s v="Cameroun"/>
    <s v="CMR004"/>
    <s v="Extrême-Nord"/>
    <s v="CMR004005"/>
    <s v="Mayo-Sava"/>
    <m/>
    <m/>
  </r>
  <r>
    <s v="Extrême-Nord"/>
    <s v="CMR004"/>
    <x v="0"/>
    <s v="CMR004001"/>
    <x v="0"/>
    <s v="CMR004001003"/>
    <s v="PET-0006"/>
    <s v="DOUTAROU"/>
    <m/>
    <x v="0"/>
    <s v="Septembre 2022 – Février 2023"/>
    <n v="0"/>
    <n v="2"/>
    <x v="0"/>
    <m/>
    <s v="Autre département"/>
    <s v="CMR"/>
    <s v="Cameroun"/>
    <s v="CMR004"/>
    <s v="Extrême-Nord"/>
    <s v="CMR004005"/>
    <s v="Mayo-Sava"/>
    <m/>
    <m/>
  </r>
  <r>
    <s v="Extrême-Nord"/>
    <s v="CMR004"/>
    <x v="0"/>
    <s v="CMR004001"/>
    <x v="3"/>
    <s v="CMR004001009"/>
    <s v="MA1-0002"/>
    <s v="DOMAYO MBONTA"/>
    <m/>
    <x v="0"/>
    <s v="Avant 2020"/>
    <n v="2"/>
    <n v="11"/>
    <x v="0"/>
    <m/>
    <s v="Autre département"/>
    <s v="CMR"/>
    <s v="Cameroun"/>
    <s v="CMR004"/>
    <s v="Extrême-Nord"/>
    <s v="CMR004005"/>
    <s v="Mayo-Sava"/>
    <m/>
    <m/>
  </r>
  <r>
    <s v="Extrême-Nord"/>
    <s v="CMR004"/>
    <x v="2"/>
    <s v="CMR004002"/>
    <x v="13"/>
    <s v="CMR004002001"/>
    <s v="WAZ-0006"/>
    <s v="SALEH"/>
    <m/>
    <x v="0"/>
    <s v="Janvier - Aout 2022"/>
    <n v="7"/>
    <n v="25"/>
    <x v="1"/>
    <m/>
    <s v="Même département, autre arrondissement"/>
    <s v="CMR"/>
    <s v="Cameroun"/>
    <s v="CMR004"/>
    <s v="Extrême-Nord"/>
    <s v="CMR004002"/>
    <s v="Logone-Et-Chari"/>
    <s v="CMR004002004"/>
    <s v="Logone-Birni"/>
  </r>
  <r>
    <s v="Extrême-Nord"/>
    <s v="CMR004"/>
    <x v="2"/>
    <s v="CMR004002"/>
    <x v="13"/>
    <s v="CMR004002001"/>
    <s v="WAZ-0006"/>
    <s v="SALEH"/>
    <m/>
    <x v="0"/>
    <s v="Septembre 2022 – Février 2023"/>
    <n v="0"/>
    <n v="2"/>
    <x v="1"/>
    <m/>
    <s v="Même département, autre arrondissement"/>
    <s v="CMR"/>
    <s v="Cameroun"/>
    <s v="CMR004"/>
    <s v="Extrême-Nord"/>
    <s v="CMR004002"/>
    <s v="Logone-Et-Chari"/>
    <s v="CMR004002004"/>
    <s v="Logone-Birni"/>
  </r>
  <r>
    <s v="Extrême-Nord"/>
    <s v="CMR004"/>
    <x v="2"/>
    <s v="CMR004002"/>
    <x v="13"/>
    <s v="CMR004002001"/>
    <s v="WAZ-0012"/>
    <s v="ZIGAGUE"/>
    <m/>
    <x v="0"/>
    <s v="Avant 2020"/>
    <n v="82"/>
    <n v="490"/>
    <x v="0"/>
    <m/>
    <s v="Même département, autre arrondissement"/>
    <s v="CMR"/>
    <s v="Cameroun"/>
    <s v="CMR004"/>
    <s v="Extrême-Nord"/>
    <s v="CMR004002"/>
    <s v="Logone-Et-Chari"/>
    <s v="CMR004002004"/>
    <s v="Logone-Birni"/>
  </r>
  <r>
    <s v="Extrême-Nord"/>
    <s v="CMR004"/>
    <x v="2"/>
    <s v="CMR004002"/>
    <x v="13"/>
    <s v="CMR004002001"/>
    <s v="WAZ-0012"/>
    <s v="ZIGAGUE"/>
    <m/>
    <x v="0"/>
    <s v="Septembre 2022 – Février 2023"/>
    <n v="0"/>
    <n v="15"/>
    <x v="0"/>
    <m/>
    <s v="Même département, autre arrondissement"/>
    <s v="CMR"/>
    <s v="Cameroun"/>
    <s v="CMR004"/>
    <s v="Extrême-Nord"/>
    <s v="CMR004002"/>
    <s v="Logone-Et-Chari"/>
    <s v="CMR004002004"/>
    <s v="Logone-Birni"/>
  </r>
  <r>
    <s v="Extrême-Nord"/>
    <s v="CMR004"/>
    <x v="2"/>
    <s v="CMR004002"/>
    <x v="13"/>
    <s v="CMR004002001"/>
    <s v="WAZ-0021"/>
    <s v="GOULOUZIVINI"/>
    <m/>
    <x v="0"/>
    <s v="Janvier - Aout 2022"/>
    <n v="40"/>
    <n v="190"/>
    <x v="1"/>
    <m/>
    <s v="Autre département"/>
    <s v="CMR"/>
    <s v="Cameroun"/>
    <s v="CMR004"/>
    <s v="Extrême-Nord"/>
    <s v="CMR004003"/>
    <s v="Mayo-Danay"/>
    <m/>
    <m/>
  </r>
  <r>
    <s v="Extrême-Nord"/>
    <s v="CMR004"/>
    <x v="2"/>
    <s v="CMR004002"/>
    <x v="13"/>
    <s v="CMR004002001"/>
    <s v="WAZ-0021"/>
    <s v="GOULOUZIVINI"/>
    <m/>
    <x v="0"/>
    <s v="Septembre 2022 – Février 2023"/>
    <n v="0"/>
    <n v="10"/>
    <x v="1"/>
    <m/>
    <s v="Autre département"/>
    <s v="CMR"/>
    <s v="Cameroun"/>
    <s v="CMR004"/>
    <s v="Extrême-Nord"/>
    <s v="CMR004003"/>
    <s v="Mayo-Danay"/>
    <m/>
    <m/>
  </r>
  <r>
    <s v="Extrême-Nord"/>
    <s v="CMR004"/>
    <x v="1"/>
    <s v="CMR004006"/>
    <x v="7"/>
    <s v="CMR004006005"/>
    <s v="MOZ-0021"/>
    <s v="ASSIGHASSIA"/>
    <m/>
    <x v="0"/>
    <s v="Janvier - Aout 2022"/>
    <n v="5"/>
    <n v="30"/>
    <x v="0"/>
    <m/>
    <s v="Même arrondissement"/>
    <s v="CMR"/>
    <s v="Cameroun"/>
    <s v="CMR004"/>
    <s v="Extrême-Nord"/>
    <s v="CMR004006"/>
    <s v="Mayo-Tsanaga"/>
    <s v="CMR004006005"/>
    <s v="Mayo-Moskota"/>
  </r>
  <r>
    <s v="Extrême-Nord"/>
    <s v="CMR004"/>
    <x v="1"/>
    <s v="CMR004006"/>
    <x v="7"/>
    <s v="CMR004006005"/>
    <s v="MOZ-0021"/>
    <s v="ASSIGHASSIA"/>
    <m/>
    <x v="0"/>
    <s v="Septembre 2022 – Février 2023"/>
    <n v="0"/>
    <n v="5"/>
    <x v="0"/>
    <m/>
    <s v="Même arrondissement"/>
    <s v="CMR"/>
    <s v="Cameroun"/>
    <s v="CMR004"/>
    <s v="Extrême-Nord"/>
    <s v="CMR004006"/>
    <s v="Mayo-Tsanaga"/>
    <s v="CMR004006005"/>
    <s v="Mayo-Moskota"/>
  </r>
  <r>
    <s v="Extrême-Nord"/>
    <s v="CMR004"/>
    <x v="0"/>
    <s v="CMR004001"/>
    <x v="4"/>
    <s v="CMR004001008"/>
    <s v="GAZ-0006"/>
    <s v="LOMORE"/>
    <m/>
    <x v="0"/>
    <s v="Avant 2020"/>
    <n v="2"/>
    <n v="12"/>
    <x v="0"/>
    <m/>
    <s v="Autre département"/>
    <s v="CMR"/>
    <s v="Cameroun"/>
    <s v="CMR004"/>
    <s v="Extrême-Nord"/>
    <s v="CMR004005"/>
    <s v="Mayo-Sava"/>
    <m/>
    <m/>
  </r>
  <r>
    <s v="Extrême-Nord"/>
    <s v="CMR004"/>
    <x v="2"/>
    <s v="CMR004002"/>
    <x v="8"/>
    <s v="CMR004002009"/>
    <s v="MAK-0052"/>
    <s v="LAFIA-ARABE"/>
    <m/>
    <x v="0"/>
    <s v="Septembre 2022 – Février 2023"/>
    <n v="14"/>
    <n v="88"/>
    <x v="0"/>
    <m/>
    <s v="Même département, autre arrondissement"/>
    <s v="CMR"/>
    <s v="Cameroun"/>
    <s v="CMR004"/>
    <s v="Extrême-Nord"/>
    <s v="CMR004002"/>
    <s v="Logone-Et-Chari"/>
    <s v="CMR004002007"/>
    <s v="Darak"/>
  </r>
  <r>
    <s v="Extrême-Nord"/>
    <s v="CMR004"/>
    <x v="2"/>
    <s v="CMR004002"/>
    <x v="8"/>
    <s v="CMR004002009"/>
    <s v="MAK-0052"/>
    <s v="LAFIA-ARABE"/>
    <m/>
    <x v="0"/>
    <s v="Janvier - Aout 2022"/>
    <n v="5"/>
    <n v="10"/>
    <x v="3"/>
    <m/>
    <s v="Même département, autre arrondissement"/>
    <s v="CMR"/>
    <s v="Cameroun"/>
    <s v="CMR004"/>
    <s v="Extrême-Nord"/>
    <s v="CMR004002"/>
    <s v="Logone-Et-Chari"/>
    <s v="CMR004002007"/>
    <s v="Darak"/>
  </r>
  <r>
    <s v="Extrême-Nord"/>
    <s v="CMR004"/>
    <x v="2"/>
    <s v="CMR004002"/>
    <x v="10"/>
    <s v="CMR004002003"/>
    <s v="BLA-0018"/>
    <s v="DOUGOUMACHI"/>
    <m/>
    <x v="0"/>
    <s v="En 2021"/>
    <n v="20"/>
    <n v="35"/>
    <x v="0"/>
    <m/>
    <s v="Même arrondissement"/>
    <s v="CMR"/>
    <s v="Cameroun"/>
    <s v="CMR004"/>
    <s v="Extrême-Nord"/>
    <s v="CMR004002"/>
    <s v="Logone-Et-Chari"/>
    <s v="CMR004002003"/>
    <s v="Blangoua"/>
  </r>
  <r>
    <s v="Extrême-Nord"/>
    <s v="CMR004"/>
    <x v="2"/>
    <s v="CMR004002"/>
    <x v="10"/>
    <s v="CMR004002003"/>
    <s v="XXXX"/>
    <s v="SITE DE MANGALME DOUGOUMACHI"/>
    <s v="SITE DE MANGALME DOUGOUMACHI"/>
    <x v="0"/>
    <s v="Septembre 2022 – Février 2023"/>
    <n v="130"/>
    <n v="800"/>
    <x v="0"/>
    <m/>
    <s v="Même arrondissement"/>
    <s v="CMR"/>
    <s v="Cameroun"/>
    <s v="CMR004"/>
    <s v="Extrême-Nord"/>
    <s v="CMR004002"/>
    <s v="Logone-Et-Chari"/>
    <s v="CMR004002003"/>
    <s v="Blangoua"/>
  </r>
  <r>
    <s v="Extrême-Nord"/>
    <s v="CMR004"/>
    <x v="2"/>
    <s v="CMR004002"/>
    <x v="10"/>
    <s v="CMR004002003"/>
    <s v="BLA-0024"/>
    <s v="MADAIK"/>
    <m/>
    <x v="0"/>
    <s v="Avant 2020"/>
    <n v="15"/>
    <n v="120"/>
    <x v="0"/>
    <m/>
    <s v="Même arrondissement"/>
    <s v="CMR"/>
    <s v="Cameroun"/>
    <s v="CMR004"/>
    <s v="Extrême-Nord"/>
    <s v="CMR004002"/>
    <s v="Logone-Et-Chari"/>
    <s v="CMR004002003"/>
    <s v="Blangoua"/>
  </r>
  <r>
    <s v="Extrême-Nord"/>
    <s v="CMR004"/>
    <x v="2"/>
    <s v="CMR004002"/>
    <x v="8"/>
    <s v="CMR004002009"/>
    <s v="MAK-0173"/>
    <s v="MINA"/>
    <m/>
    <x v="0"/>
    <s v="Janvier - Aout 2022"/>
    <n v="3"/>
    <n v="30"/>
    <x v="3"/>
    <m/>
    <s v="Même arrondissement"/>
    <s v="CMR"/>
    <s v="Cameroun"/>
    <s v="CMR004"/>
    <s v="Extrême-Nord"/>
    <s v="CMR004002"/>
    <s v="Logone-Et-Chari"/>
    <s v="CMR004002009"/>
    <s v="Makary"/>
  </r>
  <r>
    <s v="Extrême-Nord"/>
    <s v="CMR004"/>
    <x v="2"/>
    <s v="CMR004002"/>
    <x v="8"/>
    <s v="CMR004002009"/>
    <s v="MAK-0173"/>
    <s v="MINA"/>
    <m/>
    <x v="0"/>
    <s v="Septembre 2022 – Février 2023"/>
    <n v="3"/>
    <n v="21"/>
    <x v="3"/>
    <m/>
    <s v="Même arrondissement"/>
    <s v="CMR"/>
    <s v="Cameroun"/>
    <s v="CMR004"/>
    <s v="Extrême-Nord"/>
    <s v="CMR004002"/>
    <s v="Logone-Et-Chari"/>
    <s v="CMR004002009"/>
    <s v="Makary"/>
  </r>
  <r>
    <s v="Extrême-Nord"/>
    <s v="CMR004"/>
    <x v="2"/>
    <s v="CMR004002"/>
    <x v="8"/>
    <s v="CMR004002009"/>
    <s v="MAK-0183"/>
    <s v="AMSAMKA"/>
    <m/>
    <x v="0"/>
    <s v="Janvier - Aout 2022"/>
    <n v="3"/>
    <n v="20"/>
    <x v="3"/>
    <m/>
    <s v="Même arrondissement"/>
    <s v="CMR"/>
    <s v="Cameroun"/>
    <s v="CMR004"/>
    <s v="Extrême-Nord"/>
    <s v="CMR004002"/>
    <s v="Logone-Et-Chari"/>
    <s v="CMR004002009"/>
    <s v="Makary"/>
  </r>
  <r>
    <s v="Extrême-Nord"/>
    <s v="CMR004"/>
    <x v="2"/>
    <s v="CMR004002"/>
    <x v="8"/>
    <s v="CMR004002009"/>
    <s v="MAK-0183"/>
    <s v="AMSAMKA"/>
    <m/>
    <x v="0"/>
    <s v="Septembre 2022 – Février 2023"/>
    <n v="2"/>
    <n v="11"/>
    <x v="3"/>
    <m/>
    <s v="Même arrondissement"/>
    <s v="CMR"/>
    <s v="Cameroun"/>
    <s v="CMR004"/>
    <s v="Extrême-Nord"/>
    <s v="CMR004002"/>
    <s v="Logone-Et-Chari"/>
    <s v="CMR004002009"/>
    <s v="Makary"/>
  </r>
  <r>
    <s v="Extrême-Nord"/>
    <s v="CMR004"/>
    <x v="2"/>
    <s v="CMR004002"/>
    <x v="8"/>
    <s v="CMR004002009"/>
    <s v="MAK-0099"/>
    <s v="DOUGOUMMANGO"/>
    <m/>
    <x v="0"/>
    <s v="Avant 2020"/>
    <n v="15"/>
    <n v="137"/>
    <x v="0"/>
    <m/>
    <s v="Même département, autre arrondissement"/>
    <s v="CMR"/>
    <s v="Cameroun"/>
    <s v="CMR004"/>
    <s v="Extrême-Nord"/>
    <s v="CMR004002"/>
    <s v="Logone-Et-Chari"/>
    <s v="CMR004002008"/>
    <s v="Fotokol"/>
  </r>
  <r>
    <s v="Extrême-Nord"/>
    <s v="CMR004"/>
    <x v="2"/>
    <s v="CMR004002"/>
    <x v="8"/>
    <s v="CMR004002009"/>
    <s v="MAK-0099"/>
    <s v="DOUGOUMMANGO"/>
    <m/>
    <x v="0"/>
    <s v="Septembre 2022 – Février 2023"/>
    <n v="9"/>
    <n v="30"/>
    <x v="0"/>
    <m/>
    <s v="Même département, autre arrondissement"/>
    <s v="CMR"/>
    <s v="Cameroun"/>
    <s v="CMR004"/>
    <s v="Extrême-Nord"/>
    <s v="CMR004002"/>
    <s v="Logone-Et-Chari"/>
    <s v="CMR004002007"/>
    <s v="Darak"/>
  </r>
  <r>
    <s v="Extrême-Nord"/>
    <s v="CMR004"/>
    <x v="2"/>
    <s v="CMR004002"/>
    <x v="8"/>
    <s v="CMR004002009"/>
    <s v="MAK-0072"/>
    <s v="NDAGA"/>
    <m/>
    <x v="0"/>
    <s v="Avant 2020"/>
    <n v="28"/>
    <n v="163"/>
    <x v="0"/>
    <m/>
    <s v="Même département, autre arrondissement"/>
    <s v="CMR"/>
    <s v="Cameroun"/>
    <s v="CMR004"/>
    <s v="Extrême-Nord"/>
    <s v="CMR004002"/>
    <s v="Logone-Et-Chari"/>
    <s v="CMR004002008"/>
    <s v="Fotokol"/>
  </r>
  <r>
    <s v="Extrême-Nord"/>
    <s v="CMR004"/>
    <x v="2"/>
    <s v="CMR004002"/>
    <x v="8"/>
    <s v="CMR004002009"/>
    <s v="MAK-0072"/>
    <s v="NDAGA"/>
    <m/>
    <x v="0"/>
    <s v="Septembre 2022 – Février 2023"/>
    <n v="5"/>
    <n v="15"/>
    <x v="0"/>
    <m/>
    <s v="Même département, autre arrondissement"/>
    <s v="CMR"/>
    <s v="Cameroun"/>
    <s v="CMR004"/>
    <s v="Extrême-Nord"/>
    <s v="CMR004002"/>
    <s v="Logone-Et-Chari"/>
    <s v="CMR004002007"/>
    <s v="Darak"/>
  </r>
  <r>
    <s v="Extrême-Nord"/>
    <s v="CMR004"/>
    <x v="1"/>
    <s v="CMR004006"/>
    <x v="14"/>
    <s v="CMR004006007"/>
    <s v="BOU-0004"/>
    <s v="BOURHA 2"/>
    <m/>
    <x v="0"/>
    <s v="Avant 2020"/>
    <n v="18"/>
    <n v="123"/>
    <x v="0"/>
    <m/>
    <s v="Même département, autre arrondissement"/>
    <s v="CMR"/>
    <s v="Cameroun"/>
    <s v="CMR004"/>
    <s v="Extrême-Nord"/>
    <s v="CMR004006"/>
    <s v="Mayo-Tsanaga"/>
    <s v="CMR004006005"/>
    <s v="Mayo-Moskota"/>
  </r>
  <r>
    <s v="Extrême-Nord"/>
    <s v="CMR004"/>
    <x v="1"/>
    <s v="CMR004006"/>
    <x v="14"/>
    <s v="CMR004006007"/>
    <s v="BOU-0004"/>
    <s v="BOURHA 2"/>
    <m/>
    <x v="0"/>
    <s v="En 2020"/>
    <n v="0"/>
    <n v="1"/>
    <x v="0"/>
    <m/>
    <s v="Même arrondissement"/>
    <s v="CMR"/>
    <s v="Cameroun"/>
    <s v="CMR004"/>
    <s v="Extrême-Nord"/>
    <s v="CMR004006"/>
    <s v="Mayo-Tsanaga"/>
    <s v="CMR004006007"/>
    <s v="Bourha"/>
  </r>
  <r>
    <s v="Extrême-Nord"/>
    <s v="CMR004"/>
    <x v="1"/>
    <s v="CMR004006"/>
    <x v="14"/>
    <s v="CMR004006007"/>
    <s v="BOU-0004"/>
    <s v="BOURHA 2"/>
    <m/>
    <x v="0"/>
    <s v="Janvier - Aout 2022"/>
    <n v="5"/>
    <n v="16"/>
    <x v="0"/>
    <m/>
    <s v="Même arrondissement"/>
    <s v="CMR"/>
    <s v="Cameroun"/>
    <s v="CMR004"/>
    <s v="Extrême-Nord"/>
    <s v="CMR004006"/>
    <s v="Mayo-Tsanaga"/>
    <s v="CMR004006007"/>
    <s v="Bourha"/>
  </r>
  <r>
    <s v="Extrême-Nord"/>
    <s v="CMR004"/>
    <x v="2"/>
    <s v="CMR004002"/>
    <x v="13"/>
    <s v="CMR004002001"/>
    <s v="WAZ-0026"/>
    <s v="SITE DE LAFIA"/>
    <m/>
    <x v="0"/>
    <s v="En 2021"/>
    <n v="25"/>
    <n v="100"/>
    <x v="1"/>
    <m/>
    <s v="Même département, autre arrondissement"/>
    <s v="CMR"/>
    <s v="Cameroun"/>
    <s v="CMR004"/>
    <s v="Extrême-Nord"/>
    <s v="CMR004002"/>
    <s v="Logone-Et-Chari"/>
    <s v="CMR004002004"/>
    <s v="Logone-Birni"/>
  </r>
  <r>
    <s v="Extrême-Nord"/>
    <s v="CMR004"/>
    <x v="2"/>
    <s v="CMR004002"/>
    <x v="13"/>
    <s v="CMR004002001"/>
    <s v="WAZ-0026"/>
    <s v="SITE DE LAFIA"/>
    <m/>
    <x v="0"/>
    <s v="Septembre 2022 – Février 2023"/>
    <n v="0"/>
    <n v="10"/>
    <x v="1"/>
    <m/>
    <s v="Même département, autre arrondissement"/>
    <s v="CMR"/>
    <s v="Cameroun"/>
    <s v="CMR004"/>
    <s v="Extrême-Nord"/>
    <s v="CMR004002"/>
    <s v="Logone-Et-Chari"/>
    <s v="CMR004002004"/>
    <s v="Logone-Birni"/>
  </r>
  <r>
    <s v="Extrême-Nord"/>
    <s v="CMR004"/>
    <x v="2"/>
    <s v="CMR004002"/>
    <x v="13"/>
    <s v="CMR004002001"/>
    <s v="WAZ-0040"/>
    <s v="SITE DE KABE 3"/>
    <m/>
    <x v="0"/>
    <s v="En 2021"/>
    <n v="18"/>
    <n v="80"/>
    <x v="1"/>
    <m/>
    <s v="Même département, autre arrondissement"/>
    <s v="CMR"/>
    <s v="Cameroun"/>
    <s v="CMR004"/>
    <s v="Extrême-Nord"/>
    <s v="CMR004002"/>
    <s v="Logone-Et-Chari"/>
    <s v="CMR004002004"/>
    <s v="Logone-Birni"/>
  </r>
  <r>
    <s v="Extrême-Nord"/>
    <s v="CMR004"/>
    <x v="2"/>
    <s v="CMR004002"/>
    <x v="13"/>
    <s v="CMR004002001"/>
    <s v="WAZ-0040"/>
    <s v="SITE DE KABE 3"/>
    <m/>
    <x v="0"/>
    <s v="Septembre 2022 – Février 2023"/>
    <n v="15"/>
    <n v="68"/>
    <x v="3"/>
    <m/>
    <s v="Même département, autre arrondissement"/>
    <s v="CMR"/>
    <s v="Cameroun"/>
    <s v="CMR004"/>
    <s v="Extrême-Nord"/>
    <s v="CMR004002"/>
    <s v="Logone-Et-Chari"/>
    <s v="CMR004002004"/>
    <s v="Logone-Birni"/>
  </r>
  <r>
    <s v="Extrême-Nord"/>
    <s v="CMR004"/>
    <x v="2"/>
    <s v="CMR004002"/>
    <x v="13"/>
    <s v="CMR004002001"/>
    <s v="WAZ-0019"/>
    <s v="MATKOUNA 2"/>
    <m/>
    <x v="0"/>
    <s v="Septembre 2022 – Février 2023"/>
    <n v="4"/>
    <n v="22"/>
    <x v="1"/>
    <m/>
    <s v="Même arrondissement"/>
    <s v="CMR"/>
    <s v="Cameroun"/>
    <s v="CMR004"/>
    <s v="Extrême-Nord"/>
    <s v="CMR004002"/>
    <s v="Logone-Et-Chari"/>
    <s v="CMR004002001"/>
    <s v="Waza"/>
  </r>
  <r>
    <s v="Extrême-Nord"/>
    <s v="CMR004"/>
    <x v="1"/>
    <s v="CMR004006"/>
    <x v="7"/>
    <s v="CMR004006005"/>
    <s v="MOZ-0037"/>
    <s v="MOUNDOUGOUA"/>
    <m/>
    <x v="0"/>
    <s v="En 2021"/>
    <n v="5"/>
    <n v="26"/>
    <x v="0"/>
    <m/>
    <s v="Même arrondissement"/>
    <s v="CMR"/>
    <s v="Cameroun"/>
    <s v="CMR004"/>
    <s v="Extrême-Nord"/>
    <s v="CMR004006"/>
    <s v="Mayo-Tsanaga"/>
    <s v="CMR004006005"/>
    <s v="Mayo-Moskota"/>
  </r>
  <r>
    <s v="Extrême-Nord"/>
    <s v="CMR004"/>
    <x v="1"/>
    <s v="CMR004006"/>
    <x v="7"/>
    <s v="CMR004006005"/>
    <s v="MOZ-0037"/>
    <s v="MOUNDOUGOUA"/>
    <m/>
    <x v="0"/>
    <s v="Septembre 2022 – Février 2023"/>
    <n v="4"/>
    <n v="15"/>
    <x v="0"/>
    <m/>
    <s v="Même arrondissement"/>
    <s v="CMR"/>
    <s v="Cameroun"/>
    <s v="CMR004"/>
    <s v="Extrême-Nord"/>
    <s v="CMR004006"/>
    <s v="Mayo-Tsanaga"/>
    <s v="CMR004006005"/>
    <s v="Mayo-Moskota"/>
  </r>
  <r>
    <s v="Extrême-Nord"/>
    <s v="CMR004"/>
    <x v="2"/>
    <s v="CMR004002"/>
    <x v="8"/>
    <s v="CMR004002009"/>
    <s v="MAK-0232"/>
    <s v="SIEBA"/>
    <m/>
    <x v="0"/>
    <s v="Janvier - Aout 2022"/>
    <n v="9"/>
    <n v="25"/>
    <x v="3"/>
    <m/>
    <s v="Même arrondissement"/>
    <s v="CMR"/>
    <s v="Cameroun"/>
    <s v="CMR004"/>
    <s v="Extrême-Nord"/>
    <s v="CMR004002"/>
    <s v="Logone-Et-Chari"/>
    <s v="CMR004002009"/>
    <s v="Makary"/>
  </r>
  <r>
    <s v="Extrême-Nord"/>
    <s v="CMR004"/>
    <x v="2"/>
    <s v="CMR004002"/>
    <x v="8"/>
    <s v="CMR004002009"/>
    <s v="MAK-0232"/>
    <s v="SIEBA"/>
    <m/>
    <x v="0"/>
    <s v="Avant 2020"/>
    <n v="50"/>
    <n v="50"/>
    <x v="0"/>
    <m/>
    <s v="Même arrondissement"/>
    <s v="CMR"/>
    <s v="Cameroun"/>
    <s v="CMR004"/>
    <s v="Extrême-Nord"/>
    <s v="CMR004002"/>
    <s v="Logone-Et-Chari"/>
    <s v="CMR004002009"/>
    <s v="Makary"/>
  </r>
  <r>
    <s v="Extrême-Nord"/>
    <s v="CMR004"/>
    <x v="2"/>
    <s v="CMR004002"/>
    <x v="8"/>
    <s v="CMR004002009"/>
    <s v="MAK-0038"/>
    <s v="GLESSALAO"/>
    <m/>
    <x v="0"/>
    <s v="Avant 2020"/>
    <n v="13"/>
    <n v="92"/>
    <x v="0"/>
    <m/>
    <s v="Même arrondissement"/>
    <s v="CMR"/>
    <s v="Cameroun"/>
    <s v="CMR004"/>
    <s v="Extrême-Nord"/>
    <s v="CMR004002"/>
    <s v="Logone-Et-Chari"/>
    <s v="CMR004002009"/>
    <s v="Makary"/>
  </r>
  <r>
    <s v="Extrême-Nord"/>
    <s v="CMR004"/>
    <x v="2"/>
    <s v="CMR004002"/>
    <x v="8"/>
    <s v="CMR004002009"/>
    <s v="MAK-0038"/>
    <s v="GLESSALAO"/>
    <m/>
    <x v="0"/>
    <s v="Septembre 2022 – Février 2023"/>
    <n v="6"/>
    <n v="15"/>
    <x v="3"/>
    <m/>
    <s v="Même arrondissement"/>
    <s v="CMR"/>
    <s v="Cameroun"/>
    <s v="CMR004"/>
    <s v="Extrême-Nord"/>
    <s v="CMR004002"/>
    <s v="Logone-Et-Chari"/>
    <s v="CMR004002009"/>
    <s v="Makary"/>
  </r>
  <r>
    <s v="Extrême-Nord"/>
    <s v="CMR004"/>
    <x v="2"/>
    <s v="CMR004002"/>
    <x v="8"/>
    <s v="CMR004002009"/>
    <s v="MAK-0058"/>
    <s v="MAKARY CENTRE"/>
    <m/>
    <x v="0"/>
    <s v="Avant 2020"/>
    <n v="2126"/>
    <n v="9901"/>
    <x v="0"/>
    <m/>
    <s v="Même département, autre arrondissement"/>
    <s v="CMR"/>
    <s v="Cameroun"/>
    <s v="CMR004"/>
    <s v="Extrême-Nord"/>
    <s v="CMR004002"/>
    <s v="Logone-Et-Chari"/>
    <s v="CMR004002008"/>
    <s v="Fotokol"/>
  </r>
  <r>
    <s v="Extrême-Nord"/>
    <s v="CMR004"/>
    <x v="2"/>
    <s v="CMR004002"/>
    <x v="8"/>
    <s v="CMR004002009"/>
    <s v="MAK-0058"/>
    <s v="MAKARY CENTRE"/>
    <m/>
    <x v="0"/>
    <s v="En 2020"/>
    <n v="3661"/>
    <n v="6240"/>
    <x v="0"/>
    <m/>
    <s v="Même département, autre arrondissement"/>
    <s v="CMR"/>
    <s v="Cameroun"/>
    <s v="CMR004"/>
    <s v="Extrême-Nord"/>
    <s v="CMR004002"/>
    <s v="Logone-Et-Chari"/>
    <s v="CMR004002008"/>
    <s v="Fotokol"/>
  </r>
  <r>
    <s v="Extrême-Nord"/>
    <s v="CMR004"/>
    <x v="2"/>
    <s v="CMR004002"/>
    <x v="8"/>
    <s v="CMR004002009"/>
    <s v="MAK-0058"/>
    <s v="MAKARY CENTRE"/>
    <m/>
    <x v="0"/>
    <s v="Janvier - Aout 2022"/>
    <n v="82"/>
    <n v="200"/>
    <x v="0"/>
    <m/>
    <s v="Même département, autre arrondissement"/>
    <s v="CMR"/>
    <s v="Cameroun"/>
    <s v="CMR004"/>
    <s v="Extrême-Nord"/>
    <s v="CMR004002"/>
    <s v="Logone-Et-Chari"/>
    <s v="CMR004002007"/>
    <s v="Darak"/>
  </r>
  <r>
    <s v="Extrême-Nord"/>
    <s v="CMR004"/>
    <x v="2"/>
    <s v="CMR004002"/>
    <x v="8"/>
    <s v="CMR004002009"/>
    <s v="XXXX"/>
    <s v="SITE DE MAKARY - KATIKIME"/>
    <s v="SITE DE MAKARY - KATIKIME"/>
    <x v="0"/>
    <s v="Septembre 2022 – Février 2023"/>
    <n v="263"/>
    <n v="401"/>
    <x v="0"/>
    <m/>
    <s v="Même département, autre arrondissement"/>
    <s v="CMR"/>
    <s v="Cameroun"/>
    <s v="CMR004"/>
    <s v="Extrême-Nord"/>
    <s v="CMR004002"/>
    <s v="Logone-Et-Chari"/>
    <m/>
    <s v="Hile-Alifa"/>
  </r>
  <r>
    <s v="Extrême-Nord"/>
    <s v="CMR004"/>
    <x v="2"/>
    <s v="CMR004002"/>
    <x v="8"/>
    <s v="CMR004002009"/>
    <s v="MAK-0062"/>
    <s v="MANAWADJI"/>
    <m/>
    <x v="0"/>
    <s v="Avant 2020"/>
    <n v="24"/>
    <n v="182"/>
    <x v="0"/>
    <m/>
    <s v="Même arrondissement"/>
    <s v="CMR"/>
    <s v="Cameroun"/>
    <s v="CMR004"/>
    <s v="Extrême-Nord"/>
    <s v="CMR004002"/>
    <s v="Logone-Et-Chari"/>
    <s v="CMR004002009"/>
    <s v="Makary"/>
  </r>
  <r>
    <s v="Extrême-Nord"/>
    <s v="CMR004"/>
    <x v="2"/>
    <s v="CMR004002"/>
    <x v="8"/>
    <s v="CMR004002009"/>
    <s v="MAK-0062"/>
    <s v="MANAWADJI"/>
    <m/>
    <x v="0"/>
    <s v="En 2021"/>
    <n v="0"/>
    <n v="165"/>
    <x v="0"/>
    <m/>
    <s v="Même arrondissement"/>
    <s v="CMR"/>
    <s v="Cameroun"/>
    <s v="CMR004"/>
    <s v="Extrême-Nord"/>
    <s v="CMR004002"/>
    <s v="Logone-Et-Chari"/>
    <s v="CMR004002009"/>
    <s v="Makary"/>
  </r>
  <r>
    <s v="Extrême-Nord"/>
    <s v="CMR004"/>
    <x v="2"/>
    <s v="CMR004002"/>
    <x v="13"/>
    <s v="CMR004002001"/>
    <s v="WAZ-0003"/>
    <s v="KABE 2"/>
    <m/>
    <x v="0"/>
    <s v="Septembre 2022 – Février 2023"/>
    <n v="1"/>
    <n v="10"/>
    <x v="3"/>
    <m/>
    <s v="Même département, autre arrondissement"/>
    <s v="CMR"/>
    <s v="Cameroun"/>
    <s v="CMR004"/>
    <s v="Extrême-Nord"/>
    <s v="CMR004002"/>
    <s v="Logone-Et-Chari"/>
    <s v="CMR004002009"/>
    <s v="Makary"/>
  </r>
  <r>
    <s v="Extrême-Nord"/>
    <s v="CMR004"/>
    <x v="2"/>
    <s v="CMR004002"/>
    <x v="13"/>
    <s v="CMR004002001"/>
    <s v="WAZ-0003"/>
    <s v="KABE 2"/>
    <m/>
    <x v="0"/>
    <s v="Janvier - Aout 2022"/>
    <n v="13"/>
    <n v="44"/>
    <x v="0"/>
    <m/>
    <s v="Même arrondissement"/>
    <s v="CMR"/>
    <s v="Cameroun"/>
    <s v="CMR004"/>
    <s v="Extrême-Nord"/>
    <s v="CMR004002"/>
    <s v="Logone-Et-Chari"/>
    <s v="CMR004002001"/>
    <s v="Waza"/>
  </r>
  <r>
    <s v="Extrême-Nord"/>
    <s v="CMR004"/>
    <x v="2"/>
    <s v="CMR004002"/>
    <x v="13"/>
    <s v="CMR004002001"/>
    <s v="WAZ-0024"/>
    <s v="ANGOUROU"/>
    <m/>
    <x v="0"/>
    <s v="Septembre 2022 – Février 2023"/>
    <n v="2"/>
    <n v="15"/>
    <x v="3"/>
    <m/>
    <s v="Même département, autre arrondissement"/>
    <s v="CMR"/>
    <s v="Cameroun"/>
    <s v="CMR004"/>
    <s v="Extrême-Nord"/>
    <s v="CMR004002"/>
    <s v="Logone-Et-Chari"/>
    <s v="CMR004002004"/>
    <s v="Logone-Birni"/>
  </r>
  <r>
    <s v="Extrême-Nord"/>
    <s v="CMR004"/>
    <x v="2"/>
    <s v="CMR004002"/>
    <x v="13"/>
    <s v="CMR004002001"/>
    <s v="WAZ-0024"/>
    <s v="ANGOUROU"/>
    <m/>
    <x v="0"/>
    <s v="En 2021"/>
    <n v="15"/>
    <n v="60"/>
    <x v="1"/>
    <m/>
    <s v="Même département, autre arrondissement"/>
    <s v="CMR"/>
    <s v="Cameroun"/>
    <s v="CMR004"/>
    <s v="Extrême-Nord"/>
    <s v="CMR004002"/>
    <s v="Logone-Et-Chari"/>
    <s v="CMR004002004"/>
    <s v="Logone-Birni"/>
  </r>
  <r>
    <s v="Extrême-Nord"/>
    <s v="CMR004"/>
    <x v="2"/>
    <s v="CMR004002"/>
    <x v="13"/>
    <s v="CMR004002001"/>
    <s v="WAZ-0005"/>
    <s v="MICHEDIRE"/>
    <m/>
    <x v="0"/>
    <s v="En 2021"/>
    <n v="7"/>
    <n v="57"/>
    <x v="1"/>
    <m/>
    <s v="Même département, autre arrondissement"/>
    <s v="CMR"/>
    <s v="Cameroun"/>
    <s v="CMR004"/>
    <s v="Extrême-Nord"/>
    <s v="CMR004002"/>
    <s v="Logone-Et-Chari"/>
    <s v="CMR004002004"/>
    <s v="Logone-Birni"/>
  </r>
  <r>
    <s v="Extrême-Nord"/>
    <s v="CMR004"/>
    <x v="2"/>
    <s v="CMR004002"/>
    <x v="13"/>
    <s v="CMR004002001"/>
    <s v="WAZ-0005"/>
    <s v="MICHEDIRE"/>
    <m/>
    <x v="0"/>
    <s v="Septembre 2022 – Février 2023"/>
    <n v="1"/>
    <n v="7"/>
    <x v="3"/>
    <m/>
    <s v="Même département, autre arrondissement"/>
    <s v="CMR"/>
    <s v="Cameroun"/>
    <s v="CMR004"/>
    <s v="Extrême-Nord"/>
    <s v="CMR004002"/>
    <s v="Logone-Et-Chari"/>
    <s v="CMR004002004"/>
    <s v="Logone-Birni"/>
  </r>
  <r>
    <s v="Extrême-Nord"/>
    <s v="CMR004"/>
    <x v="2"/>
    <s v="CMR004002"/>
    <x v="13"/>
    <s v="CMR004002001"/>
    <s v="WAZ-0018"/>
    <s v="MATKOUNA 1"/>
    <m/>
    <x v="0"/>
    <s v="Avant 2020"/>
    <n v="17"/>
    <n v="189"/>
    <x v="0"/>
    <m/>
    <s v="Même arrondissement"/>
    <s v="CMR"/>
    <s v="Cameroun"/>
    <s v="CMR004"/>
    <s v="Extrême-Nord"/>
    <s v="CMR004002"/>
    <s v="Logone-Et-Chari"/>
    <s v="CMR004002001"/>
    <s v="Waza"/>
  </r>
  <r>
    <s v="Extrême-Nord"/>
    <s v="CMR004"/>
    <x v="2"/>
    <s v="CMR004002"/>
    <x v="13"/>
    <s v="CMR004002001"/>
    <s v="WAZ-0018"/>
    <s v="MATKOUNA 1"/>
    <m/>
    <x v="0"/>
    <s v="Septembre 2022 – Février 2023"/>
    <n v="0"/>
    <n v="4"/>
    <x v="0"/>
    <m/>
    <s v="Même arrondissement"/>
    <s v="CMR"/>
    <s v="Cameroun"/>
    <s v="CMR004"/>
    <s v="Extrême-Nord"/>
    <s v="CMR004002"/>
    <s v="Logone-Et-Chari"/>
    <s v="CMR004002001"/>
    <s v="Waza"/>
  </r>
  <r>
    <s v="Extrême-Nord"/>
    <s v="CMR004"/>
    <x v="2"/>
    <s v="CMR004002"/>
    <x v="10"/>
    <s v="CMR004002003"/>
    <s v="BLA-0025"/>
    <s v="SITE DE MASSAKI"/>
    <m/>
    <x v="0"/>
    <s v="Avant 2020"/>
    <n v="25"/>
    <n v="199"/>
    <x v="3"/>
    <m/>
    <s v="Même arrondissement"/>
    <s v="CMR"/>
    <s v="Cameroun"/>
    <s v="CMR004"/>
    <s v="Extrême-Nord"/>
    <s v="CMR004002"/>
    <s v="Logone-Et-Chari"/>
    <s v="CMR004002003"/>
    <s v="Blangoua"/>
  </r>
  <r>
    <s v="Extrême-Nord"/>
    <s v="CMR004"/>
    <x v="2"/>
    <s v="CMR004002"/>
    <x v="10"/>
    <s v="CMR004002003"/>
    <s v="BLA-0025"/>
    <s v="SITE DE MASSAKI"/>
    <m/>
    <x v="0"/>
    <s v="Septembre 2022 – Février 2023"/>
    <n v="3"/>
    <n v="21"/>
    <x v="3"/>
    <m/>
    <s v="Même arrondissement"/>
    <s v="CMR"/>
    <s v="Cameroun"/>
    <s v="CMR004"/>
    <s v="Extrême-Nord"/>
    <s v="CMR004002"/>
    <s v="Logone-Et-Chari"/>
    <s v="CMR004002003"/>
    <s v="Blangoua"/>
  </r>
  <r>
    <s v="Extrême-Nord"/>
    <s v="CMR004"/>
    <x v="2"/>
    <s v="CMR004002"/>
    <x v="10"/>
    <s v="CMR004002003"/>
    <s v="BLA-0016"/>
    <s v="TCHOLLORE"/>
    <m/>
    <x v="0"/>
    <s v="Avant 2020"/>
    <n v="23"/>
    <n v="103"/>
    <x v="0"/>
    <m/>
    <s v="Même département, autre arrondissement"/>
    <s v="CMR"/>
    <s v="Cameroun"/>
    <s v="CMR004"/>
    <s v="Extrême-Nord"/>
    <s v="CMR004002"/>
    <s v="Logone-Et-Chari"/>
    <s v="CMR004002008"/>
    <s v="Fotokol"/>
  </r>
  <r>
    <s v="Extrême-Nord"/>
    <s v="CMR004"/>
    <x v="2"/>
    <s v="CMR004002"/>
    <x v="10"/>
    <s v="CMR004002003"/>
    <s v="BLA-0016"/>
    <s v="TCHOLLORE"/>
    <m/>
    <x v="0"/>
    <s v="En 2020"/>
    <n v="2"/>
    <n v="14"/>
    <x v="0"/>
    <m/>
    <s v="Même département, autre arrondissement"/>
    <s v="CMR"/>
    <s v="Cameroun"/>
    <s v="CMR004"/>
    <s v="Extrême-Nord"/>
    <s v="CMR004002"/>
    <s v="Logone-Et-Chari"/>
    <s v="CMR004002008"/>
    <s v="Fotokol"/>
  </r>
  <r>
    <s v="Extrême-Nord"/>
    <s v="CMR004"/>
    <x v="2"/>
    <s v="CMR004002"/>
    <x v="15"/>
    <s v="CMR004002004"/>
    <s v="LBI-0041"/>
    <s v="TIKINI"/>
    <m/>
    <x v="0"/>
    <s v="Janvier - Aout 2022"/>
    <n v="11"/>
    <n v="42"/>
    <x v="1"/>
    <m/>
    <s v="Même arrondissement"/>
    <s v="CMR"/>
    <s v="Cameroun"/>
    <s v="CMR004"/>
    <s v="Extrême-Nord"/>
    <s v="CMR004002"/>
    <s v="Logone-Et-Chari"/>
    <s v="CMR004002004"/>
    <s v="Logone-Birni"/>
  </r>
  <r>
    <s v="Extrême-Nord"/>
    <s v="CMR004"/>
    <x v="2"/>
    <s v="CMR004002"/>
    <x v="15"/>
    <s v="CMR004002004"/>
    <s v="LBI-0056"/>
    <s v="GAWI"/>
    <m/>
    <x v="0"/>
    <s v="En 2021"/>
    <n v="5"/>
    <n v="18"/>
    <x v="0"/>
    <m/>
    <s v="Même arrondissement"/>
    <s v="CMR"/>
    <s v="Cameroun"/>
    <s v="CMR004"/>
    <s v="Extrême-Nord"/>
    <s v="CMR004002"/>
    <s v="Logone-Et-Chari"/>
    <s v="CMR004002004"/>
    <s v="Logone-Birni"/>
  </r>
  <r>
    <s v="Extrême-Nord"/>
    <s v="CMR004"/>
    <x v="2"/>
    <s v="CMR004002"/>
    <x v="15"/>
    <s v="CMR004002004"/>
    <s v="LBI-0056"/>
    <s v="GAWI"/>
    <m/>
    <x v="0"/>
    <s v="Janvier - Aout 2022"/>
    <n v="0"/>
    <n v="2"/>
    <x v="0"/>
    <m/>
    <s v="Même arrondissement"/>
    <s v="CMR"/>
    <s v="Cameroun"/>
    <s v="CMR004"/>
    <s v="Extrême-Nord"/>
    <s v="CMR004002"/>
    <s v="Logone-Et-Chari"/>
    <s v="CMR004002004"/>
    <s v="Logone-Birni"/>
  </r>
  <r>
    <s v="Extrême-Nord"/>
    <s v="CMR004"/>
    <x v="2"/>
    <s v="CMR004002"/>
    <x v="15"/>
    <s v="CMR004002004"/>
    <s v="LBI-0056"/>
    <s v="GAWI"/>
    <m/>
    <x v="0"/>
    <s v="Septembre 2022 – Février 2023"/>
    <n v="0"/>
    <n v="1"/>
    <x v="0"/>
    <m/>
    <s v="Même arrondissement"/>
    <s v="CMR"/>
    <s v="Cameroun"/>
    <s v="CMR004"/>
    <s v="Extrême-Nord"/>
    <s v="CMR004002"/>
    <s v="Logone-Et-Chari"/>
    <s v="CMR004002004"/>
    <s v="Logone-Birni"/>
  </r>
  <r>
    <s v="Extrême-Nord"/>
    <s v="CMR004"/>
    <x v="1"/>
    <s v="CMR004006"/>
    <x v="16"/>
    <s v="CMR004006004"/>
    <s v="KOZ-0037"/>
    <s v="LAMORDE"/>
    <m/>
    <x v="0"/>
    <s v="Avant 2020"/>
    <n v="133"/>
    <n v="1045"/>
    <x v="0"/>
    <m/>
    <s v="Même département, autre arrondissement"/>
    <s v="CMR"/>
    <s v="Cameroun"/>
    <s v="CMR004"/>
    <s v="Extrême-Nord"/>
    <s v="CMR004006"/>
    <s v="Mayo-Tsanaga"/>
    <s v="CMR004006005"/>
    <s v="Mayo-Moskota"/>
  </r>
  <r>
    <s v="Extrême-Nord"/>
    <s v="CMR004"/>
    <x v="1"/>
    <s v="CMR004006"/>
    <x v="16"/>
    <s v="CMR004006004"/>
    <s v="KOZ-0037"/>
    <s v="LAMORDE"/>
    <m/>
    <x v="0"/>
    <s v="Janvier - Aout 2022"/>
    <n v="217"/>
    <n v="1133"/>
    <x v="0"/>
    <m/>
    <s v="Même département, autre arrondissement"/>
    <s v="CMR"/>
    <s v="Cameroun"/>
    <s v="CMR004"/>
    <s v="Extrême-Nord"/>
    <s v="CMR004006"/>
    <s v="Mayo-Tsanaga"/>
    <s v="CMR004006005"/>
    <s v="Mayo-Moskota"/>
  </r>
  <r>
    <s v="Extrême-Nord"/>
    <s v="CMR004"/>
    <x v="1"/>
    <s v="CMR004006"/>
    <x v="16"/>
    <s v="CMR004006004"/>
    <s v="KOZ-0037"/>
    <s v="LAMORDE"/>
    <m/>
    <x v="0"/>
    <s v="Septembre 2022 – Février 2023"/>
    <n v="23"/>
    <n v="172"/>
    <x v="0"/>
    <m/>
    <s v="Même département, autre arrondissement"/>
    <s v="CMR"/>
    <s v="Cameroun"/>
    <s v="CMR004"/>
    <s v="Extrême-Nord"/>
    <s v="CMR004006"/>
    <s v="Mayo-Tsanaga"/>
    <s v="CMR004006005"/>
    <s v="Mayo-Moskota"/>
  </r>
  <r>
    <s v="Extrême-Nord"/>
    <s v="CMR004"/>
    <x v="4"/>
    <s v="CMR004005"/>
    <x v="17"/>
    <s v="CMR004005002"/>
    <s v="MOR-0008"/>
    <s v="IGAGOUA 2"/>
    <m/>
    <x v="0"/>
    <s v="Septembre 2022 – Février 2023"/>
    <n v="3"/>
    <n v="17"/>
    <x v="0"/>
    <m/>
    <s v="Même arrondissement"/>
    <s v="CMR"/>
    <s v="Cameroun"/>
    <s v="CMR004"/>
    <s v="Extrême-Nord"/>
    <s v="CMR004005"/>
    <s v="Mayo-Sava"/>
    <s v="CMR004005002"/>
    <s v="Mora"/>
  </r>
  <r>
    <s v="Extrême-Nord"/>
    <s v="CMR004"/>
    <x v="4"/>
    <s v="CMR004005"/>
    <x v="17"/>
    <s v="CMR004005002"/>
    <s v="MOR-0008"/>
    <s v="IGAGOUA 2"/>
    <m/>
    <x v="0"/>
    <s v="Avant 2020"/>
    <n v="77"/>
    <n v="309"/>
    <x v="0"/>
    <m/>
    <s v="Même arrondissement"/>
    <s v="CMR"/>
    <s v="Cameroun"/>
    <s v="CMR004"/>
    <s v="Extrême-Nord"/>
    <s v="CMR004005"/>
    <s v="Mayo-Sava"/>
    <s v="CMR004005002"/>
    <s v="Mora"/>
  </r>
  <r>
    <s v="Extrême-Nord"/>
    <s v="CMR004"/>
    <x v="4"/>
    <s v="CMR004005"/>
    <x v="17"/>
    <s v="CMR004005002"/>
    <s v="MOR-0008"/>
    <s v="IGAGOUA 2"/>
    <m/>
    <x v="0"/>
    <s v="En 2020"/>
    <n v="12"/>
    <n v="36"/>
    <x v="0"/>
    <m/>
    <s v="Même arrondissement"/>
    <s v="CMR"/>
    <s v="Cameroun"/>
    <s v="CMR004"/>
    <s v="Extrême-Nord"/>
    <s v="CMR004005"/>
    <s v="Mayo-Sava"/>
    <s v="CMR004005002"/>
    <s v="Mora"/>
  </r>
  <r>
    <s v="Extrême-Nord"/>
    <s v="CMR004"/>
    <x v="4"/>
    <s v="CMR004005"/>
    <x v="17"/>
    <s v="CMR004005002"/>
    <s v="MOR-0008"/>
    <s v="IGAGOUA 2"/>
    <m/>
    <x v="0"/>
    <s v="En 2021"/>
    <n v="4"/>
    <n v="88"/>
    <x v="0"/>
    <m/>
    <s v="Même arrondissement"/>
    <s v="CMR"/>
    <s v="Cameroun"/>
    <s v="CMR004"/>
    <s v="Extrême-Nord"/>
    <s v="CMR004005"/>
    <s v="Mayo-Sava"/>
    <s v="CMR004005002"/>
    <s v="Mora"/>
  </r>
  <r>
    <s v="Extrême-Nord"/>
    <s v="CMR004"/>
    <x v="4"/>
    <s v="CMR004005"/>
    <x v="17"/>
    <s v="CMR004005002"/>
    <s v="MOR-0008"/>
    <s v="IGAGOUA 2"/>
    <m/>
    <x v="0"/>
    <s v="Janvier - Aout 2022"/>
    <n v="6"/>
    <n v="76"/>
    <x v="0"/>
    <m/>
    <s v="Même arrondissement"/>
    <s v="CMR"/>
    <s v="Cameroun"/>
    <s v="CMR004"/>
    <s v="Extrême-Nord"/>
    <s v="CMR004005"/>
    <s v="Mayo-Sava"/>
    <s v="CMR004005002"/>
    <s v="Mora"/>
  </r>
  <r>
    <s v="Extrême-Nord"/>
    <s v="CMR004"/>
    <x v="4"/>
    <s v="CMR004005"/>
    <x v="17"/>
    <s v="CMR004005002"/>
    <s v="MOR-0025"/>
    <s v="VOUAWA"/>
    <m/>
    <x v="0"/>
    <s v="Avant 2020"/>
    <n v="47"/>
    <n v="294"/>
    <x v="0"/>
    <m/>
    <s v="Même arrondissement"/>
    <s v="CMR"/>
    <s v="Cameroun"/>
    <s v="CMR004"/>
    <s v="Extrême-Nord"/>
    <s v="CMR004005"/>
    <s v="Mayo-Sava"/>
    <s v="CMR004005002"/>
    <s v="Mora"/>
  </r>
  <r>
    <s v="Extrême-Nord"/>
    <s v="CMR004"/>
    <x v="4"/>
    <s v="CMR004005"/>
    <x v="17"/>
    <s v="CMR004005002"/>
    <s v="MOR-0025"/>
    <s v="VOUAWA"/>
    <m/>
    <x v="0"/>
    <s v="En 2020"/>
    <n v="7"/>
    <n v="56"/>
    <x v="0"/>
    <m/>
    <s v="Même arrondissement"/>
    <s v="CMR"/>
    <s v="Cameroun"/>
    <s v="CMR004"/>
    <s v="Extrême-Nord"/>
    <s v="CMR004005"/>
    <s v="Mayo-Sava"/>
    <s v="CMR004005002"/>
    <s v="Mora"/>
  </r>
  <r>
    <s v="Extrême-Nord"/>
    <s v="CMR004"/>
    <x v="4"/>
    <s v="CMR004005"/>
    <x v="17"/>
    <s v="CMR004005002"/>
    <s v="MOR-0025"/>
    <s v="VOUAWA"/>
    <m/>
    <x v="0"/>
    <s v="En 2021"/>
    <n v="8"/>
    <n v="52"/>
    <x v="0"/>
    <m/>
    <s v="Même arrondissement"/>
    <s v="CMR"/>
    <s v="Cameroun"/>
    <s v="CMR004"/>
    <s v="Extrême-Nord"/>
    <s v="CMR004005"/>
    <s v="Mayo-Sava"/>
    <s v="CMR004005002"/>
    <s v="Mora"/>
  </r>
  <r>
    <s v="Extrême-Nord"/>
    <s v="CMR004"/>
    <x v="4"/>
    <s v="CMR004005"/>
    <x v="17"/>
    <s v="CMR004005002"/>
    <s v="MOR-0025"/>
    <s v="VOUAWA"/>
    <m/>
    <x v="0"/>
    <s v="Janvier - Aout 2022"/>
    <n v="0"/>
    <n v="20"/>
    <x v="0"/>
    <m/>
    <s v="Même arrondissement"/>
    <s v="CMR"/>
    <s v="Cameroun"/>
    <s v="CMR004"/>
    <s v="Extrême-Nord"/>
    <s v="CMR004005"/>
    <s v="Mayo-Sava"/>
    <s v="CMR004005002"/>
    <s v="Mora"/>
  </r>
  <r>
    <s v="Extrême-Nord"/>
    <s v="CMR004"/>
    <x v="4"/>
    <s v="CMR004005"/>
    <x v="17"/>
    <s v="CMR004005002"/>
    <s v="MOR-0044"/>
    <s v="SITE DE MEME - ALDJE 1"/>
    <m/>
    <x v="0"/>
    <s v="Janvier - Aout 2022"/>
    <n v="5"/>
    <n v="19"/>
    <x v="0"/>
    <m/>
    <s v="Même arrondissement"/>
    <s v="CMR"/>
    <s v="Cameroun"/>
    <s v="CMR004"/>
    <s v="Extrême-Nord"/>
    <s v="CMR004005"/>
    <s v="Mayo-Sava"/>
    <s v="CMR004005002"/>
    <s v="Mora"/>
  </r>
  <r>
    <s v="Extrême-Nord"/>
    <s v="CMR004"/>
    <x v="4"/>
    <s v="CMR004005"/>
    <x v="17"/>
    <s v="CMR004005002"/>
    <s v="MOR-0044"/>
    <s v="SITE DE MEME - ALDJE 1"/>
    <m/>
    <x v="0"/>
    <s v="Avant 2020"/>
    <n v="105"/>
    <n v="342"/>
    <x v="0"/>
    <m/>
    <s v="Même arrondissement"/>
    <s v="CMR"/>
    <s v="Cameroun"/>
    <s v="CMR004"/>
    <s v="Extrême-Nord"/>
    <s v="CMR004005"/>
    <s v="Mayo-Sava"/>
    <s v="CMR004005002"/>
    <s v="Mora"/>
  </r>
  <r>
    <s v="Extrême-Nord"/>
    <s v="CMR004"/>
    <x v="4"/>
    <s v="CMR004005"/>
    <x v="17"/>
    <s v="CMR004005002"/>
    <s v="MOR-0044"/>
    <s v="SITE DE MEME - ALDJE 1"/>
    <m/>
    <x v="0"/>
    <s v="En 2020"/>
    <n v="3"/>
    <n v="37"/>
    <x v="0"/>
    <m/>
    <s v="Même arrondissement"/>
    <s v="CMR"/>
    <s v="Cameroun"/>
    <s v="CMR004"/>
    <s v="Extrême-Nord"/>
    <s v="CMR004005"/>
    <s v="Mayo-Sava"/>
    <s v="CMR004005002"/>
    <s v="Mora"/>
  </r>
  <r>
    <s v="Extrême-Nord"/>
    <s v="CMR004"/>
    <x v="4"/>
    <s v="CMR004005"/>
    <x v="17"/>
    <s v="CMR004005002"/>
    <s v="MOR-0044"/>
    <s v="SITE DE MEME - ALDJE 1"/>
    <m/>
    <x v="0"/>
    <s v="En 2021"/>
    <n v="9"/>
    <n v="84"/>
    <x v="0"/>
    <m/>
    <s v="Même arrondissement"/>
    <s v="CMR"/>
    <s v="Cameroun"/>
    <s v="CMR004"/>
    <s v="Extrême-Nord"/>
    <s v="CMR004005"/>
    <s v="Mayo-Sava"/>
    <s v="CMR004005002"/>
    <s v="Mora"/>
  </r>
  <r>
    <s v="Extrême-Nord"/>
    <s v="CMR004"/>
    <x v="4"/>
    <s v="CMR004005"/>
    <x v="17"/>
    <s v="CMR004005002"/>
    <s v="MOR-0044"/>
    <s v="SITE DE MEME - ALDJE 1"/>
    <m/>
    <x v="0"/>
    <s v="Septembre 2022 – Février 2023"/>
    <n v="3"/>
    <n v="29"/>
    <x v="0"/>
    <m/>
    <s v="Même arrondissement"/>
    <s v="CMR"/>
    <s v="Cameroun"/>
    <s v="CMR004"/>
    <s v="Extrême-Nord"/>
    <s v="CMR004005"/>
    <s v="Mayo-Sava"/>
    <s v="CMR004005002"/>
    <s v="Mora"/>
  </r>
  <r>
    <s v="Extrême-Nord"/>
    <s v="CMR004"/>
    <x v="2"/>
    <s v="CMR004002"/>
    <x v="8"/>
    <s v="CMR004002009"/>
    <s v="MAK-0032"/>
    <s v="DOROROYA 1"/>
    <m/>
    <x v="0"/>
    <s v="Septembre 2022 – Février 2023"/>
    <n v="17"/>
    <n v="50"/>
    <x v="0"/>
    <m/>
    <s v="Même département, autre arrondissement"/>
    <s v="CMR"/>
    <s v="Cameroun"/>
    <s v="CMR004"/>
    <s v="Extrême-Nord"/>
    <s v="CMR004002"/>
    <s v="Logone-Et-Chari"/>
    <s v="CMR004002007"/>
    <s v="Darak"/>
  </r>
  <r>
    <s v="Extrême-Nord"/>
    <s v="CMR004"/>
    <x v="2"/>
    <s v="CMR004002"/>
    <x v="8"/>
    <s v="CMR004002009"/>
    <s v="MAK-0032"/>
    <s v="DOROROYA 1"/>
    <m/>
    <x v="0"/>
    <s v="Janvier - Aout 2022"/>
    <n v="10"/>
    <n v="73"/>
    <x v="0"/>
    <m/>
    <s v="Même département, autre arrondissement"/>
    <s v="CMR"/>
    <s v="Cameroun"/>
    <s v="CMR004"/>
    <s v="Extrême-Nord"/>
    <s v="CMR004002"/>
    <s v="Logone-Et-Chari"/>
    <s v="CMR004002007"/>
    <s v="Darak"/>
  </r>
  <r>
    <s v="Extrême-Nord"/>
    <s v="CMR004"/>
    <x v="5"/>
    <s v="CMR004004"/>
    <x v="18"/>
    <s v="CMR004004001"/>
    <s v="GUI-0001"/>
    <s v="DJANINI"/>
    <m/>
    <x v="0"/>
    <s v="Avant 2020"/>
    <n v="1"/>
    <n v="4"/>
    <x v="0"/>
    <m/>
    <s v="Autre département"/>
    <s v="CMR"/>
    <s v="Cameroun"/>
    <s v="CMR004"/>
    <s v="Extrême-Nord"/>
    <s v="CMR004005"/>
    <s v="Mayo-Sava"/>
    <m/>
    <m/>
  </r>
  <r>
    <s v="Extrême-Nord"/>
    <s v="CMR004"/>
    <x v="2"/>
    <s v="CMR004002"/>
    <x v="12"/>
    <s v="CMR004002002"/>
    <s v="GOU-0002"/>
    <s v="ARDEBE"/>
    <m/>
    <x v="0"/>
    <s v="Avant 2020"/>
    <n v="5"/>
    <n v="17"/>
    <x v="0"/>
    <m/>
    <s v="Même département, autre arrondissement"/>
    <s v="CMR"/>
    <s v="Cameroun"/>
    <s v="CMR004"/>
    <s v="Extrême-Nord"/>
    <s v="CMR004002"/>
    <s v="Logone-Et-Chari"/>
    <s v="CMR004002008"/>
    <s v="Fotokol"/>
  </r>
  <r>
    <s v="Extrême-Nord"/>
    <s v="CMR004"/>
    <x v="2"/>
    <s v="CMR004002"/>
    <x v="12"/>
    <s v="CMR004002002"/>
    <s v="GOU-0002"/>
    <s v="ARDEBE"/>
    <m/>
    <x v="0"/>
    <s v="Septembre 2022 – Février 2023"/>
    <n v="2"/>
    <n v="12"/>
    <x v="3"/>
    <m/>
    <s v="Même arrondissement"/>
    <s v="CMR"/>
    <s v="Cameroun"/>
    <s v="CMR004"/>
    <s v="Extrême-Nord"/>
    <s v="CMR004002"/>
    <s v="Logone-Et-Chari"/>
    <s v="CMR004002002"/>
    <s v="Goulfey"/>
  </r>
  <r>
    <s v="Extrême-Nord"/>
    <s v="CMR004"/>
    <x v="0"/>
    <s v="CMR004001"/>
    <x v="5"/>
    <s v="CMR004001002"/>
    <s v="MA2-0004"/>
    <s v="GADAMAHOL 4"/>
    <m/>
    <x v="0"/>
    <s v="Avant 2020"/>
    <n v="12"/>
    <n v="203"/>
    <x v="0"/>
    <m/>
    <s v="Autre département"/>
    <s v="CMR"/>
    <s v="Cameroun"/>
    <s v="CMR004"/>
    <s v="Extrême-Nord"/>
    <s v="CMR004005"/>
    <s v="Mayo-Sava"/>
    <m/>
    <m/>
  </r>
  <r>
    <s v="Extrême-Nord"/>
    <s v="CMR004"/>
    <x v="2"/>
    <s v="CMR004002"/>
    <x v="9"/>
    <s v="CMR004002010"/>
    <s v="HIL-0009"/>
    <s v="HILE ALIFA 2"/>
    <m/>
    <x v="0"/>
    <s v="Avant 2020"/>
    <n v="31"/>
    <n v="200"/>
    <x v="0"/>
    <m/>
    <s v="Même département, autre arrondissement"/>
    <s v="CMR"/>
    <s v="Cameroun"/>
    <s v="CMR004"/>
    <s v="Extrême-Nord"/>
    <s v="CMR004002"/>
    <s v="Logone-Et-Chari"/>
    <s v="CMR004002008"/>
    <s v="Fotokol"/>
  </r>
  <r>
    <s v="Extrême-Nord"/>
    <s v="CMR004"/>
    <x v="2"/>
    <s v="CMR004002"/>
    <x v="9"/>
    <s v="CMR004002010"/>
    <s v="HIL-0009"/>
    <s v="HILE ALIFA 2"/>
    <m/>
    <x v="0"/>
    <s v="En 2021"/>
    <n v="25"/>
    <n v="175"/>
    <x v="0"/>
    <m/>
    <s v="Même arrondissement"/>
    <s v="CMR"/>
    <s v="Cameroun"/>
    <s v="CMR004"/>
    <s v="Extrême-Nord"/>
    <s v="CMR004002"/>
    <s v="Logone-Et-Chari"/>
    <s v="CMR004002010"/>
    <s v="Hile-Alifa"/>
  </r>
  <r>
    <s v="Extrême-Nord"/>
    <s v="CMR004"/>
    <x v="2"/>
    <s v="CMR004002"/>
    <x v="9"/>
    <s v="CMR004002010"/>
    <s v="HIL-0009"/>
    <s v="HILE ALIFA 2"/>
    <m/>
    <x v="0"/>
    <s v="Janvier - Aout 2022"/>
    <n v="67"/>
    <n v="469"/>
    <x v="0"/>
    <m/>
    <s v="Même arrondissement"/>
    <s v="CMR"/>
    <s v="Cameroun"/>
    <s v="CMR004"/>
    <s v="Extrême-Nord"/>
    <s v="CMR004002"/>
    <s v="Logone-Et-Chari"/>
    <s v="CMR004002010"/>
    <s v="Hile-Alifa"/>
  </r>
  <r>
    <s v="Extrême-Nord"/>
    <s v="CMR004"/>
    <x v="2"/>
    <s v="CMR004002"/>
    <x v="9"/>
    <s v="CMR004002010"/>
    <s v="HIL-0009"/>
    <s v="HILE ALIFA 2"/>
    <m/>
    <x v="0"/>
    <s v="Septembre 2022 – Février 2023"/>
    <n v="700"/>
    <n v="4200"/>
    <x v="0"/>
    <m/>
    <s v="Même arrondissement"/>
    <s v="CMR"/>
    <s v="Cameroun"/>
    <s v="CMR004"/>
    <s v="Extrême-Nord"/>
    <s v="CMR004002"/>
    <s v="Logone-Et-Chari"/>
    <s v="CMR004002010"/>
    <s v="Hile-Alifa"/>
  </r>
  <r>
    <s v="Extrême-Nord"/>
    <s v="CMR004"/>
    <x v="2"/>
    <s v="CMR004002"/>
    <x v="12"/>
    <s v="CMR004002002"/>
    <s v="XXXX"/>
    <s v="SITE DE ANGROWO (GOURLE)"/>
    <s v="SITE DE ANGROWO (GOURLE)"/>
    <x v="0"/>
    <s v="Septembre 2022 – Février 2023"/>
    <n v="15"/>
    <n v="172"/>
    <x v="4"/>
    <s v="rupture de digue"/>
    <s v="Même arrondissement"/>
    <s v="CMR"/>
    <s v="Cameroun"/>
    <s v="CMR004"/>
    <s v="Extrême-Nord"/>
    <s v="CMR004002"/>
    <s v="Logone-Et-Chari"/>
    <s v="CMR004002002"/>
    <s v="Goulfey"/>
  </r>
  <r>
    <s v="Extrême-Nord"/>
    <s v="CMR004"/>
    <x v="4"/>
    <s v="CMR004005"/>
    <x v="17"/>
    <s v="CMR004005002"/>
    <s v="MOR-0026"/>
    <s v="BONDERI"/>
    <m/>
    <x v="0"/>
    <s v="Avant 2020"/>
    <n v="21"/>
    <n v="144"/>
    <x v="0"/>
    <m/>
    <s v="Même arrondissement"/>
    <s v="CMR"/>
    <s v="Cameroun"/>
    <s v="CMR004"/>
    <s v="Extrême-Nord"/>
    <s v="CMR004005"/>
    <s v="Mayo-Sava"/>
    <s v="CMR004005002"/>
    <s v="Mora"/>
  </r>
  <r>
    <s v="Extrême-Nord"/>
    <s v="CMR004"/>
    <x v="4"/>
    <s v="CMR004005"/>
    <x v="17"/>
    <s v="CMR004005002"/>
    <s v="MOR-0026"/>
    <s v="BONDERI"/>
    <m/>
    <x v="0"/>
    <s v="En 2020"/>
    <n v="1"/>
    <n v="8"/>
    <x v="0"/>
    <m/>
    <s v="Même arrondissement"/>
    <s v="CMR"/>
    <s v="Cameroun"/>
    <s v="CMR004"/>
    <s v="Extrême-Nord"/>
    <s v="CMR004005"/>
    <s v="Mayo-Sava"/>
    <s v="CMR004005002"/>
    <s v="Mora"/>
  </r>
  <r>
    <s v="Extrême-Nord"/>
    <s v="CMR004"/>
    <x v="4"/>
    <s v="CMR004005"/>
    <x v="17"/>
    <s v="CMR004005002"/>
    <s v="MOR-0026"/>
    <s v="BONDERI"/>
    <m/>
    <x v="0"/>
    <s v="En 2021"/>
    <n v="0"/>
    <n v="15"/>
    <x v="0"/>
    <m/>
    <s v="Même arrondissement"/>
    <s v="CMR"/>
    <s v="Cameroun"/>
    <s v="CMR004"/>
    <s v="Extrême-Nord"/>
    <s v="CMR004005"/>
    <s v="Mayo-Sava"/>
    <s v="CMR004005002"/>
    <s v="Mora"/>
  </r>
  <r>
    <s v="Extrême-Nord"/>
    <s v="CMR004"/>
    <x v="4"/>
    <s v="CMR004005"/>
    <x v="17"/>
    <s v="CMR004005002"/>
    <s v="MOR-0026"/>
    <s v="BONDERI"/>
    <m/>
    <x v="0"/>
    <s v="Janvier - Aout 2022"/>
    <n v="15"/>
    <n v="113"/>
    <x v="0"/>
    <m/>
    <s v="Même arrondissement"/>
    <s v="CMR"/>
    <s v="Cameroun"/>
    <s v="CMR004"/>
    <s v="Extrême-Nord"/>
    <s v="CMR004005"/>
    <s v="Mayo-Sava"/>
    <s v="CMR004005002"/>
    <s v="Mora"/>
  </r>
  <r>
    <s v="Extrême-Nord"/>
    <s v="CMR004"/>
    <x v="4"/>
    <s v="CMR004005"/>
    <x v="17"/>
    <s v="CMR004005002"/>
    <s v="MOR-0026"/>
    <s v="BONDERI"/>
    <m/>
    <x v="0"/>
    <s v="Septembre 2022 – Février 2023"/>
    <n v="2"/>
    <n v="16"/>
    <x v="0"/>
    <m/>
    <s v="Même arrondissement"/>
    <s v="CMR"/>
    <s v="Cameroun"/>
    <s v="CMR004"/>
    <s v="Extrême-Nord"/>
    <s v="CMR004005"/>
    <s v="Mayo-Sava"/>
    <s v="CMR004005002"/>
    <s v="Mora"/>
  </r>
  <r>
    <s v="Extrême-Nord"/>
    <s v="CMR004"/>
    <x v="4"/>
    <s v="CMR004005"/>
    <x v="17"/>
    <s v="CMR004005002"/>
    <s v="MOR-0079"/>
    <s v="TOUSKI"/>
    <m/>
    <x v="0"/>
    <s v="Janvier - Aout 2022"/>
    <n v="7"/>
    <n v="31"/>
    <x v="0"/>
    <m/>
    <s v="Même arrondissement"/>
    <s v="CMR"/>
    <s v="Cameroun"/>
    <s v="CMR004"/>
    <s v="Extrême-Nord"/>
    <s v="CMR004005"/>
    <s v="Mayo-Sava"/>
    <s v="CMR004005002"/>
    <s v="Mora"/>
  </r>
  <r>
    <s v="Extrême-Nord"/>
    <s v="CMR004"/>
    <x v="4"/>
    <s v="CMR004005"/>
    <x v="17"/>
    <s v="CMR004005002"/>
    <s v="MOR-0079"/>
    <s v="TOUSKI"/>
    <m/>
    <x v="0"/>
    <s v="Septembre 2022 – Février 2023"/>
    <n v="0"/>
    <n v="10"/>
    <x v="0"/>
    <m/>
    <s v="Même arrondissement"/>
    <s v="CMR"/>
    <s v="Cameroun"/>
    <s v="CMR004"/>
    <s v="Extrême-Nord"/>
    <s v="CMR004005"/>
    <s v="Mayo-Sava"/>
    <s v="CMR004005002"/>
    <s v="Mora"/>
  </r>
  <r>
    <s v="Extrême-Nord"/>
    <s v="CMR004"/>
    <x v="4"/>
    <s v="CMR004005"/>
    <x v="17"/>
    <s v="CMR004005002"/>
    <s v="MOR-0074"/>
    <s v="OUMAKA"/>
    <m/>
    <x v="0"/>
    <s v="En 2020"/>
    <n v="197"/>
    <n v="1211"/>
    <x v="0"/>
    <m/>
    <s v="Même arrondissement"/>
    <s v="CMR"/>
    <s v="Cameroun"/>
    <s v="CMR004"/>
    <s v="Extrême-Nord"/>
    <s v="CMR004005"/>
    <s v="Mayo-Sava"/>
    <s v="CMR004005002"/>
    <s v="Mora"/>
  </r>
  <r>
    <s v="Extrême-Nord"/>
    <s v="CMR004"/>
    <x v="4"/>
    <s v="CMR004005"/>
    <x v="17"/>
    <s v="CMR004005002"/>
    <s v="MOR-0074"/>
    <s v="OUMAKA"/>
    <m/>
    <x v="0"/>
    <s v="En 2021"/>
    <n v="0"/>
    <n v="47"/>
    <x v="0"/>
    <m/>
    <s v="Même arrondissement"/>
    <s v="CMR"/>
    <s v="Cameroun"/>
    <s v="CMR004"/>
    <s v="Extrême-Nord"/>
    <s v="CMR004005"/>
    <s v="Mayo-Sava"/>
    <s v="CMR004005002"/>
    <s v="Mora"/>
  </r>
  <r>
    <s v="Extrême-Nord"/>
    <s v="CMR004"/>
    <x v="4"/>
    <s v="CMR004005"/>
    <x v="17"/>
    <s v="CMR004005002"/>
    <s v="MOR-0074"/>
    <s v="OUMAKA"/>
    <m/>
    <x v="0"/>
    <s v="Janvier - Aout 2022"/>
    <n v="0"/>
    <n v="33"/>
    <x v="0"/>
    <m/>
    <s v="Même arrondissement"/>
    <s v="CMR"/>
    <s v="Cameroun"/>
    <s v="CMR004"/>
    <s v="Extrême-Nord"/>
    <s v="CMR004005"/>
    <s v="Mayo-Sava"/>
    <s v="CMR004005002"/>
    <s v="Mora"/>
  </r>
  <r>
    <s v="Extrême-Nord"/>
    <s v="CMR004"/>
    <x v="4"/>
    <s v="CMR004005"/>
    <x v="17"/>
    <s v="CMR004005002"/>
    <s v="MOR-0074"/>
    <s v="OUMAKA"/>
    <m/>
    <x v="0"/>
    <s v="Septembre 2022 – Février 2023"/>
    <n v="0"/>
    <n v="15"/>
    <x v="0"/>
    <m/>
    <s v="Même arrondissement"/>
    <s v="CMR"/>
    <s v="Cameroun"/>
    <s v="CMR004"/>
    <s v="Extrême-Nord"/>
    <s v="CMR004005"/>
    <s v="Mayo-Sava"/>
    <s v="CMR004005002"/>
    <s v="Mora"/>
  </r>
  <r>
    <s v="Extrême-Nord"/>
    <s v="CMR004"/>
    <x v="4"/>
    <s v="CMR004005"/>
    <x v="17"/>
    <s v="CMR004005002"/>
    <s v="MOR-0086"/>
    <s v="TAGAWA 2 (DALIL)"/>
    <m/>
    <x v="0"/>
    <s v="Avant 2020"/>
    <n v="15"/>
    <n v="99"/>
    <x v="0"/>
    <m/>
    <s v="Même arrondissement"/>
    <s v="CMR"/>
    <s v="Cameroun"/>
    <s v="CMR004"/>
    <s v="Extrême-Nord"/>
    <s v="CMR004005"/>
    <s v="Mayo-Sava"/>
    <s v="CMR004005002"/>
    <s v="Mora"/>
  </r>
  <r>
    <s v="Extrême-Nord"/>
    <s v="CMR004"/>
    <x v="4"/>
    <s v="CMR004005"/>
    <x v="17"/>
    <s v="CMR004005002"/>
    <s v="MOR-0086"/>
    <s v="TAGAWA 2 (DALIL)"/>
    <m/>
    <x v="0"/>
    <s v="Janvier - Aout 2022"/>
    <n v="0"/>
    <n v="15"/>
    <x v="0"/>
    <m/>
    <s v="Même arrondissement"/>
    <s v="CMR"/>
    <s v="Cameroun"/>
    <s v="CMR004"/>
    <s v="Extrême-Nord"/>
    <s v="CMR004005"/>
    <s v="Mayo-Sava"/>
    <s v="CMR004005002"/>
    <s v="Mora"/>
  </r>
  <r>
    <s v="Extrême-Nord"/>
    <s v="CMR004"/>
    <x v="4"/>
    <s v="CMR004005"/>
    <x v="17"/>
    <s v="CMR004005002"/>
    <s v="MOR-0086"/>
    <s v="TAGAWA 2 (DALIL)"/>
    <m/>
    <x v="0"/>
    <s v="Septembre 2022 – Février 2023"/>
    <n v="0"/>
    <n v="3"/>
    <x v="0"/>
    <m/>
    <s v="Même arrondissement"/>
    <s v="CMR"/>
    <s v="Cameroun"/>
    <s v="CMR004"/>
    <s v="Extrême-Nord"/>
    <s v="CMR004005"/>
    <s v="Mayo-Sava"/>
    <s v="CMR004005002"/>
    <s v="Mora"/>
  </r>
  <r>
    <s v="Extrême-Nord"/>
    <s v="CMR004"/>
    <x v="2"/>
    <s v="CMR004002"/>
    <x v="9"/>
    <s v="CMR004002010"/>
    <s v="XXXX"/>
    <s v="SITE DE HILE-ALIFA II"/>
    <s v="SITE DE HILE-ALIFA II"/>
    <x v="0"/>
    <s v="Septembre 2022 – Février 2023"/>
    <n v="146"/>
    <n v="1100"/>
    <x v="0"/>
    <m/>
    <s v="Même arrondissement"/>
    <s v="CMR"/>
    <s v="Cameroun"/>
    <s v="CMR004"/>
    <s v="Extrême-Nord"/>
    <s v="CMR004002"/>
    <s v="Logone-Et-Chari"/>
    <s v="CMR004002010"/>
    <s v="Hile-Alifa"/>
  </r>
  <r>
    <s v="Extrême-Nord"/>
    <s v="CMR004"/>
    <x v="4"/>
    <s v="CMR004005"/>
    <x v="17"/>
    <s v="CMR004005002"/>
    <s v="MOR-0084"/>
    <s v="SITE DE MAGDEME GANAI"/>
    <m/>
    <x v="0"/>
    <s v="En 2020"/>
    <n v="76"/>
    <n v="925"/>
    <x v="0"/>
    <m/>
    <s v="Même arrondissement"/>
    <s v="CMR"/>
    <s v="Cameroun"/>
    <s v="CMR004"/>
    <s v="Extrême-Nord"/>
    <s v="CMR004005"/>
    <s v="Mayo-Sava"/>
    <s v="CMR004005002"/>
    <s v="Mora"/>
  </r>
  <r>
    <s v="Extrême-Nord"/>
    <s v="CMR004"/>
    <x v="4"/>
    <s v="CMR004005"/>
    <x v="17"/>
    <s v="CMR004005002"/>
    <s v="MOR-0084"/>
    <s v="SITE DE MAGDEME GANAI"/>
    <m/>
    <x v="0"/>
    <s v="En 2021"/>
    <n v="64"/>
    <n v="483"/>
    <x v="0"/>
    <m/>
    <s v="Même arrondissement"/>
    <s v="CMR"/>
    <s v="Cameroun"/>
    <s v="CMR004"/>
    <s v="Extrême-Nord"/>
    <s v="CMR004005"/>
    <s v="Mayo-Sava"/>
    <s v="CMR004005002"/>
    <s v="Mora"/>
  </r>
  <r>
    <s v="Extrême-Nord"/>
    <s v="CMR004"/>
    <x v="4"/>
    <s v="CMR004005"/>
    <x v="17"/>
    <s v="CMR004005002"/>
    <s v="MOR-0084"/>
    <s v="SITE DE MAGDEME GANAI"/>
    <m/>
    <x v="0"/>
    <s v="Janvier - Aout 2022"/>
    <n v="0"/>
    <n v="19"/>
    <x v="0"/>
    <m/>
    <s v="Même arrondissement"/>
    <s v="CMR"/>
    <s v="Cameroun"/>
    <s v="CMR004"/>
    <s v="Extrême-Nord"/>
    <s v="CMR004005"/>
    <s v="Mayo-Sava"/>
    <s v="CMR004005002"/>
    <s v="Mora"/>
  </r>
  <r>
    <s v="Extrême-Nord"/>
    <s v="CMR004"/>
    <x v="4"/>
    <s v="CMR004005"/>
    <x v="17"/>
    <s v="CMR004005002"/>
    <s v="MOR-0084"/>
    <s v="SITE DE MAGDEME GANAI"/>
    <m/>
    <x v="0"/>
    <s v="Septembre 2022 – Février 2023"/>
    <n v="0"/>
    <n v="20"/>
    <x v="0"/>
    <m/>
    <s v="Même arrondissement"/>
    <s v="CMR"/>
    <s v="Cameroun"/>
    <s v="CMR004"/>
    <s v="Extrême-Nord"/>
    <s v="CMR004005"/>
    <s v="Mayo-Sava"/>
    <s v="CMR004005002"/>
    <s v="Mora"/>
  </r>
  <r>
    <s v="Extrême-Nord"/>
    <s v="CMR004"/>
    <x v="4"/>
    <s v="CMR004005"/>
    <x v="17"/>
    <s v="CMR004005002"/>
    <s v="MOR-0087"/>
    <s v="TAGAWA 3 (MAHAMAT)"/>
    <m/>
    <x v="0"/>
    <s v="Avant 2020"/>
    <n v="4"/>
    <n v="12"/>
    <x v="0"/>
    <m/>
    <s v="Même arrondissement"/>
    <s v="CMR"/>
    <s v="Cameroun"/>
    <s v="CMR004"/>
    <s v="Extrême-Nord"/>
    <s v="CMR004005"/>
    <s v="Mayo-Sava"/>
    <s v="CMR004005002"/>
    <s v="Mora"/>
  </r>
  <r>
    <s v="Extrême-Nord"/>
    <s v="CMR004"/>
    <x v="4"/>
    <s v="CMR004005"/>
    <x v="17"/>
    <s v="CMR004005002"/>
    <s v="MOR-0087"/>
    <s v="TAGAWA 3 (MAHAMAT)"/>
    <m/>
    <x v="0"/>
    <s v="En 2021"/>
    <n v="0"/>
    <n v="4"/>
    <x v="0"/>
    <m/>
    <s v="Même arrondissement"/>
    <s v="CMR"/>
    <s v="Cameroun"/>
    <s v="CMR004"/>
    <s v="Extrême-Nord"/>
    <s v="CMR004005"/>
    <s v="Mayo-Sava"/>
    <s v="CMR004005002"/>
    <s v="Mora"/>
  </r>
  <r>
    <s v="Extrême-Nord"/>
    <s v="CMR004"/>
    <x v="4"/>
    <s v="CMR004005"/>
    <x v="17"/>
    <s v="CMR004005002"/>
    <s v="MOR-0087"/>
    <s v="TAGAWA 3 (MAHAMAT)"/>
    <m/>
    <x v="0"/>
    <s v="Septembre 2022 – Février 2023"/>
    <n v="0"/>
    <n v="10"/>
    <x v="0"/>
    <m/>
    <s v="Même arrondissement"/>
    <s v="CMR"/>
    <s v="Cameroun"/>
    <s v="CMR004"/>
    <s v="Extrême-Nord"/>
    <s v="CMR004005"/>
    <s v="Mayo-Sava"/>
    <s v="CMR004005002"/>
    <s v="Mora"/>
  </r>
  <r>
    <s v="Extrême-Nord"/>
    <s v="CMR004"/>
    <x v="4"/>
    <s v="CMR004005"/>
    <x v="17"/>
    <s v="CMR004005002"/>
    <s v="MOR-0087"/>
    <s v="TAGAWA 3 (MAHAMAT)"/>
    <m/>
    <x v="0"/>
    <s v="Janvier - Aout 2022"/>
    <n v="5"/>
    <n v="25"/>
    <x v="0"/>
    <m/>
    <s v="Même arrondissement"/>
    <s v="CMR"/>
    <s v="Cameroun"/>
    <s v="CMR004"/>
    <s v="Extrême-Nord"/>
    <s v="CMR004005"/>
    <s v="Mayo-Sava"/>
    <s v="CMR004005002"/>
    <s v="Mora"/>
  </r>
  <r>
    <s v="Extrême-Nord"/>
    <s v="CMR004"/>
    <x v="4"/>
    <s v="CMR004005"/>
    <x v="17"/>
    <s v="CMR004005002"/>
    <s v="MOR-0081"/>
    <s v="SITE DE ALAGARNO"/>
    <m/>
    <x v="0"/>
    <s v="En 2020"/>
    <n v="60"/>
    <n v="417"/>
    <x v="0"/>
    <m/>
    <s v="Même arrondissement"/>
    <s v="CMR"/>
    <s v="Cameroun"/>
    <s v="CMR004"/>
    <s v="Extrême-Nord"/>
    <s v="CMR004005"/>
    <s v="Mayo-Sava"/>
    <s v="CMR004005002"/>
    <s v="Mora"/>
  </r>
  <r>
    <s v="Extrême-Nord"/>
    <s v="CMR004"/>
    <x v="4"/>
    <s v="CMR004005"/>
    <x v="17"/>
    <s v="CMR004005002"/>
    <s v="MOR-0081"/>
    <s v="SITE DE ALAGARNO"/>
    <m/>
    <x v="0"/>
    <s v="En 2021"/>
    <n v="4"/>
    <n v="30"/>
    <x v="0"/>
    <m/>
    <s v="Même arrondissement"/>
    <s v="CMR"/>
    <s v="Cameroun"/>
    <s v="CMR004"/>
    <s v="Extrême-Nord"/>
    <s v="CMR004005"/>
    <s v="Mayo-Sava"/>
    <s v="CMR004005002"/>
    <s v="Mora"/>
  </r>
  <r>
    <s v="Extrême-Nord"/>
    <s v="CMR004"/>
    <x v="4"/>
    <s v="CMR004005"/>
    <x v="17"/>
    <s v="CMR004005002"/>
    <s v="MOR-0081"/>
    <s v="SITE DE ALAGARNO"/>
    <m/>
    <x v="0"/>
    <s v="Janvier - Aout 2022"/>
    <n v="10"/>
    <n v="53"/>
    <x v="0"/>
    <m/>
    <s v="Même arrondissement"/>
    <s v="CMR"/>
    <s v="Cameroun"/>
    <s v="CMR004"/>
    <s v="Extrême-Nord"/>
    <s v="CMR004005"/>
    <s v="Mayo-Sava"/>
    <s v="CMR004005002"/>
    <s v="Mora"/>
  </r>
  <r>
    <s v="Extrême-Nord"/>
    <s v="CMR004"/>
    <x v="4"/>
    <s v="CMR004005"/>
    <x v="17"/>
    <s v="CMR004005002"/>
    <s v="MOR-0081"/>
    <s v="SITE DE ALAGARNO"/>
    <m/>
    <x v="0"/>
    <s v="Septembre 2022 – Février 2023"/>
    <n v="0"/>
    <n v="4"/>
    <x v="0"/>
    <m/>
    <s v="Même arrondissement"/>
    <s v="CMR"/>
    <s v="Cameroun"/>
    <s v="CMR004"/>
    <s v="Extrême-Nord"/>
    <s v="CMR004005"/>
    <s v="Mayo-Sava"/>
    <s v="CMR004005002"/>
    <s v="Mora"/>
  </r>
  <r>
    <s v="Extrême-Nord"/>
    <s v="CMR004"/>
    <x v="4"/>
    <s v="CMR004005"/>
    <x v="17"/>
    <s v="CMR004005002"/>
    <s v="MOR-0062"/>
    <s v="SITE DE DOUBLE - LINGUIDIWA"/>
    <m/>
    <x v="0"/>
    <s v="Avant 2020"/>
    <n v="249"/>
    <n v="1688"/>
    <x v="0"/>
    <m/>
    <s v="Même arrondissement"/>
    <s v="CMR"/>
    <s v="Cameroun"/>
    <s v="CMR004"/>
    <s v="Extrême-Nord"/>
    <s v="CMR004005"/>
    <s v="Mayo-Sava"/>
    <s v="CMR004005002"/>
    <s v="Mora"/>
  </r>
  <r>
    <s v="Extrême-Nord"/>
    <s v="CMR004"/>
    <x v="4"/>
    <s v="CMR004005"/>
    <x v="17"/>
    <s v="CMR004005002"/>
    <s v="MOR-0062"/>
    <s v="SITE DE DOUBLE - LINGUIDIWA"/>
    <m/>
    <x v="0"/>
    <s v="En 2020"/>
    <n v="1"/>
    <n v="2"/>
    <x v="0"/>
    <m/>
    <s v="Même arrondissement"/>
    <s v="CMR"/>
    <s v="Cameroun"/>
    <s v="CMR004"/>
    <s v="Extrême-Nord"/>
    <s v="CMR004005"/>
    <s v="Mayo-Sava"/>
    <s v="CMR004005002"/>
    <s v="Mora"/>
  </r>
  <r>
    <s v="Extrême-Nord"/>
    <s v="CMR004"/>
    <x v="4"/>
    <s v="CMR004005"/>
    <x v="17"/>
    <s v="CMR004005002"/>
    <s v="MOR-0062"/>
    <s v="SITE DE DOUBLE - LINGUIDIWA"/>
    <m/>
    <x v="0"/>
    <s v="En 2021"/>
    <n v="6"/>
    <n v="44"/>
    <x v="0"/>
    <m/>
    <s v="Même arrondissement"/>
    <s v="CMR"/>
    <s v="Cameroun"/>
    <s v="CMR004"/>
    <s v="Extrême-Nord"/>
    <s v="CMR004005"/>
    <s v="Mayo-Sava"/>
    <s v="CMR004005002"/>
    <s v="Mora"/>
  </r>
  <r>
    <s v="Extrême-Nord"/>
    <s v="CMR004"/>
    <x v="4"/>
    <s v="CMR004005"/>
    <x v="17"/>
    <s v="CMR004005002"/>
    <s v="MOR-0062"/>
    <s v="SITE DE DOUBLE - LINGUIDIWA"/>
    <m/>
    <x v="0"/>
    <s v="Janvier - Aout 2022"/>
    <n v="0"/>
    <n v="19"/>
    <x v="0"/>
    <m/>
    <s v="Même arrondissement"/>
    <s v="CMR"/>
    <s v="Cameroun"/>
    <s v="CMR004"/>
    <s v="Extrême-Nord"/>
    <s v="CMR004005"/>
    <s v="Mayo-Sava"/>
    <s v="CMR004005002"/>
    <s v="Mora"/>
  </r>
  <r>
    <s v="Extrême-Nord"/>
    <s v="CMR004"/>
    <x v="4"/>
    <s v="CMR004005"/>
    <x v="17"/>
    <s v="CMR004005002"/>
    <s v="MOR-0062"/>
    <s v="SITE DE DOUBLE - LINGUIDIWA"/>
    <m/>
    <x v="0"/>
    <s v="Septembre 2022 – Février 2023"/>
    <n v="0"/>
    <n v="8"/>
    <x v="0"/>
    <m/>
    <s v="Même arrondissement"/>
    <s v="CMR"/>
    <s v="Cameroun"/>
    <s v="CMR004"/>
    <s v="Extrême-Nord"/>
    <s v="CMR004005"/>
    <s v="Mayo-Sava"/>
    <s v="CMR004005002"/>
    <s v="Mora"/>
  </r>
  <r>
    <s v="Extrême-Nord"/>
    <s v="CMR004"/>
    <x v="4"/>
    <s v="CMR004005"/>
    <x v="17"/>
    <s v="CMR004005002"/>
    <s v="MOR-0047"/>
    <s v="SITE DE MEME - BIA"/>
    <m/>
    <x v="0"/>
    <s v="Avant 2020"/>
    <n v="64"/>
    <n v="169"/>
    <x v="0"/>
    <m/>
    <s v="Même arrondissement"/>
    <s v="CMR"/>
    <s v="Cameroun"/>
    <s v="CMR004"/>
    <s v="Extrême-Nord"/>
    <s v="CMR004005"/>
    <s v="Mayo-Sava"/>
    <s v="CMR004005002"/>
    <s v="Mora"/>
  </r>
  <r>
    <s v="Extrême-Nord"/>
    <s v="CMR004"/>
    <x v="4"/>
    <s v="CMR004005"/>
    <x v="17"/>
    <s v="CMR004005002"/>
    <s v="MOR-0047"/>
    <s v="SITE DE MEME - BIA"/>
    <m/>
    <x v="0"/>
    <s v="En 2020"/>
    <n v="16"/>
    <n v="58"/>
    <x v="0"/>
    <m/>
    <s v="Même arrondissement"/>
    <s v="CMR"/>
    <s v="Cameroun"/>
    <s v="CMR004"/>
    <s v="Extrême-Nord"/>
    <s v="CMR004005"/>
    <s v="Mayo-Sava"/>
    <s v="CMR004005002"/>
    <s v="Mora"/>
  </r>
  <r>
    <s v="Extrême-Nord"/>
    <s v="CMR004"/>
    <x v="4"/>
    <s v="CMR004005"/>
    <x v="17"/>
    <s v="CMR004005002"/>
    <s v="MOR-0047"/>
    <s v="SITE DE MEME - BIA"/>
    <m/>
    <x v="0"/>
    <s v="En 2021"/>
    <n v="7"/>
    <n v="69"/>
    <x v="0"/>
    <m/>
    <s v="Même arrondissement"/>
    <s v="CMR"/>
    <s v="Cameroun"/>
    <s v="CMR004"/>
    <s v="Extrême-Nord"/>
    <s v="CMR004005"/>
    <s v="Mayo-Sava"/>
    <s v="CMR004005002"/>
    <s v="Mora"/>
  </r>
  <r>
    <s v="Extrême-Nord"/>
    <s v="CMR004"/>
    <x v="4"/>
    <s v="CMR004005"/>
    <x v="17"/>
    <s v="CMR004005002"/>
    <s v="MOR-0047"/>
    <s v="SITE DE MEME - BIA"/>
    <m/>
    <x v="0"/>
    <s v="Janvier - Aout 2022"/>
    <n v="6"/>
    <n v="28"/>
    <x v="0"/>
    <m/>
    <s v="Même arrondissement"/>
    <s v="CMR"/>
    <s v="Cameroun"/>
    <s v="CMR004"/>
    <s v="Extrême-Nord"/>
    <s v="CMR004005"/>
    <s v="Mayo-Sava"/>
    <s v="CMR004005002"/>
    <s v="Mora"/>
  </r>
  <r>
    <s v="Extrême-Nord"/>
    <s v="CMR004"/>
    <x v="4"/>
    <s v="CMR004005"/>
    <x v="17"/>
    <s v="CMR004005002"/>
    <s v="MOR-0047"/>
    <s v="SITE DE MEME - BIA"/>
    <m/>
    <x v="0"/>
    <s v="Septembre 2022 – Février 2023"/>
    <n v="1"/>
    <n v="11"/>
    <x v="0"/>
    <m/>
    <s v="Même arrondissement"/>
    <s v="CMR"/>
    <s v="Cameroun"/>
    <s v="CMR004"/>
    <s v="Extrême-Nord"/>
    <s v="CMR004005"/>
    <s v="Mayo-Sava"/>
    <s v="CMR004005002"/>
    <s v="Mora"/>
  </r>
  <r>
    <s v="Extrême-Nord"/>
    <s v="CMR004"/>
    <x v="4"/>
    <s v="CMR004005"/>
    <x v="17"/>
    <s v="CMR004005002"/>
    <s v="MOR-0045"/>
    <s v="SITE DE MEME - IGAWA 2"/>
    <m/>
    <x v="0"/>
    <s v="Avant 2020"/>
    <n v="127"/>
    <n v="488"/>
    <x v="0"/>
    <m/>
    <s v="Même arrondissement"/>
    <s v="CMR"/>
    <s v="Cameroun"/>
    <s v="CMR004"/>
    <s v="Extrême-Nord"/>
    <s v="CMR004005"/>
    <s v="Mayo-Sava"/>
    <s v="CMR004005002"/>
    <s v="Mora"/>
  </r>
  <r>
    <s v="Extrême-Nord"/>
    <s v="CMR004"/>
    <x v="4"/>
    <s v="CMR004005"/>
    <x v="17"/>
    <s v="CMR004005002"/>
    <s v="MOR-0045"/>
    <s v="SITE DE MEME - IGAWA 2"/>
    <m/>
    <x v="0"/>
    <s v="En 2020"/>
    <n v="0"/>
    <n v="16"/>
    <x v="0"/>
    <m/>
    <s v="Même arrondissement"/>
    <s v="CMR"/>
    <s v="Cameroun"/>
    <s v="CMR004"/>
    <s v="Extrême-Nord"/>
    <s v="CMR004005"/>
    <s v="Mayo-Sava"/>
    <s v="CMR004005002"/>
    <s v="Mora"/>
  </r>
  <r>
    <s v="Extrême-Nord"/>
    <s v="CMR004"/>
    <x v="4"/>
    <s v="CMR004005"/>
    <x v="17"/>
    <s v="CMR004005002"/>
    <s v="MOR-0045"/>
    <s v="SITE DE MEME - IGAWA 2"/>
    <m/>
    <x v="0"/>
    <s v="En 2021"/>
    <n v="5"/>
    <n v="69"/>
    <x v="0"/>
    <m/>
    <s v="Même arrondissement"/>
    <s v="CMR"/>
    <s v="Cameroun"/>
    <s v="CMR004"/>
    <s v="Extrême-Nord"/>
    <s v="CMR004005"/>
    <s v="Mayo-Sava"/>
    <s v="CMR004005002"/>
    <s v="Mora"/>
  </r>
  <r>
    <s v="Extrême-Nord"/>
    <s v="CMR004"/>
    <x v="4"/>
    <s v="CMR004005"/>
    <x v="17"/>
    <s v="CMR004005002"/>
    <s v="MOR-0045"/>
    <s v="SITE DE MEME - IGAWA 2"/>
    <m/>
    <x v="0"/>
    <s v="Janvier - Aout 2022"/>
    <n v="1"/>
    <n v="19"/>
    <x v="0"/>
    <m/>
    <s v="Même arrondissement"/>
    <s v="CMR"/>
    <s v="Cameroun"/>
    <s v="CMR004"/>
    <s v="Extrême-Nord"/>
    <s v="CMR004005"/>
    <s v="Mayo-Sava"/>
    <s v="CMR004005002"/>
    <s v="Mora"/>
  </r>
  <r>
    <s v="Extrême-Nord"/>
    <s v="CMR004"/>
    <x v="4"/>
    <s v="CMR004005"/>
    <x v="17"/>
    <s v="CMR004005002"/>
    <s v="MOR-0045"/>
    <s v="SITE DE MEME - IGAWA 2"/>
    <m/>
    <x v="0"/>
    <s v="Septembre 2022 – Février 2023"/>
    <n v="0"/>
    <n v="12"/>
    <x v="0"/>
    <m/>
    <s v="Même arrondissement"/>
    <s v="CMR"/>
    <s v="Cameroun"/>
    <s v="CMR004"/>
    <s v="Extrême-Nord"/>
    <s v="CMR004005"/>
    <s v="Mayo-Sava"/>
    <s v="CMR004005002"/>
    <s v="Mora"/>
  </r>
  <r>
    <s v="Extrême-Nord"/>
    <s v="CMR004"/>
    <x v="4"/>
    <s v="CMR004005"/>
    <x v="17"/>
    <s v="CMR004005002"/>
    <s v="MOR-0048"/>
    <s v="SITE DE MEME - ALDJE 2"/>
    <m/>
    <x v="0"/>
    <s v="Avant 2020"/>
    <n v="31"/>
    <n v="192"/>
    <x v="0"/>
    <m/>
    <s v="Même arrondissement"/>
    <s v="CMR"/>
    <s v="Cameroun"/>
    <s v="CMR004"/>
    <s v="Extrême-Nord"/>
    <s v="CMR004005"/>
    <s v="Mayo-Sava"/>
    <s v="CMR004005002"/>
    <s v="Mora"/>
  </r>
  <r>
    <s v="Extrême-Nord"/>
    <s v="CMR004"/>
    <x v="4"/>
    <s v="CMR004005"/>
    <x v="17"/>
    <s v="CMR004005002"/>
    <s v="MOR-0048"/>
    <s v="SITE DE MEME - ALDJE 2"/>
    <m/>
    <x v="0"/>
    <s v="En 2020"/>
    <n v="3"/>
    <n v="16"/>
    <x v="0"/>
    <m/>
    <s v="Même arrondissement"/>
    <s v="CMR"/>
    <s v="Cameroun"/>
    <s v="CMR004"/>
    <s v="Extrême-Nord"/>
    <s v="CMR004005"/>
    <s v="Mayo-Sava"/>
    <s v="CMR004005002"/>
    <s v="Mora"/>
  </r>
  <r>
    <s v="Extrême-Nord"/>
    <s v="CMR004"/>
    <x v="4"/>
    <s v="CMR004005"/>
    <x v="17"/>
    <s v="CMR004005002"/>
    <s v="MOR-0048"/>
    <s v="SITE DE MEME - ALDJE 2"/>
    <m/>
    <x v="0"/>
    <s v="En 2021"/>
    <n v="4"/>
    <n v="38"/>
    <x v="0"/>
    <m/>
    <s v="Même arrondissement"/>
    <s v="CMR"/>
    <s v="Cameroun"/>
    <s v="CMR004"/>
    <s v="Extrême-Nord"/>
    <s v="CMR004005"/>
    <s v="Mayo-Sava"/>
    <s v="CMR004005002"/>
    <s v="Mora"/>
  </r>
  <r>
    <s v="Extrême-Nord"/>
    <s v="CMR004"/>
    <x v="4"/>
    <s v="CMR004005"/>
    <x v="17"/>
    <s v="CMR004005002"/>
    <s v="MOR-0048"/>
    <s v="SITE DE MEME - ALDJE 2"/>
    <m/>
    <x v="0"/>
    <s v="Janvier - Aout 2022"/>
    <n v="2"/>
    <n v="14"/>
    <x v="0"/>
    <m/>
    <s v="Même arrondissement"/>
    <s v="CMR"/>
    <s v="Cameroun"/>
    <s v="CMR004"/>
    <s v="Extrême-Nord"/>
    <s v="CMR004005"/>
    <s v="Mayo-Sava"/>
    <s v="CMR004005002"/>
    <s v="Mora"/>
  </r>
  <r>
    <s v="Extrême-Nord"/>
    <s v="CMR004"/>
    <x v="4"/>
    <s v="CMR004005"/>
    <x v="17"/>
    <s v="CMR004005002"/>
    <s v="MOR-0048"/>
    <s v="SITE DE MEME - ALDJE 2"/>
    <m/>
    <x v="0"/>
    <s v="Septembre 2022 – Février 2023"/>
    <n v="1"/>
    <n v="13"/>
    <x v="0"/>
    <m/>
    <s v="Même arrondissement"/>
    <s v="CMR"/>
    <s v="Cameroun"/>
    <s v="CMR004"/>
    <s v="Extrême-Nord"/>
    <s v="CMR004005"/>
    <s v="Mayo-Sava"/>
    <s v="CMR004005002"/>
    <s v="Mora"/>
  </r>
  <r>
    <s v="Extrême-Nord"/>
    <s v="CMR004"/>
    <x v="4"/>
    <s v="CMR004005"/>
    <x v="17"/>
    <s v="CMR004005002"/>
    <s v="MOR-0022"/>
    <s v="MASSARE 2"/>
    <m/>
    <x v="0"/>
    <s v="Avant 2020"/>
    <n v="125"/>
    <n v="162"/>
    <x v="0"/>
    <m/>
    <s v="Même arrondissement"/>
    <s v="CMR"/>
    <s v="Cameroun"/>
    <s v="CMR004"/>
    <s v="Extrême-Nord"/>
    <s v="CMR004005"/>
    <s v="Mayo-Sava"/>
    <s v="CMR004005002"/>
    <s v="Mora"/>
  </r>
  <r>
    <s v="Extrême-Nord"/>
    <s v="CMR004"/>
    <x v="4"/>
    <s v="CMR004005"/>
    <x v="17"/>
    <s v="CMR004005002"/>
    <s v="MOR-0022"/>
    <s v="MASSARE 2"/>
    <m/>
    <x v="0"/>
    <s v="En 2020"/>
    <n v="64"/>
    <n v="441"/>
    <x v="0"/>
    <m/>
    <s v="Même arrondissement"/>
    <s v="CMR"/>
    <s v="Cameroun"/>
    <s v="CMR004"/>
    <s v="Extrême-Nord"/>
    <s v="CMR004005"/>
    <s v="Mayo-Sava"/>
    <s v="CMR004005002"/>
    <s v="Mora"/>
  </r>
  <r>
    <s v="Extrême-Nord"/>
    <s v="CMR004"/>
    <x v="4"/>
    <s v="CMR004005"/>
    <x v="17"/>
    <s v="CMR004005002"/>
    <s v="MOR-0022"/>
    <s v="MASSARE 2"/>
    <m/>
    <x v="0"/>
    <s v="En 2021"/>
    <n v="0"/>
    <n v="41"/>
    <x v="0"/>
    <m/>
    <s v="Même arrondissement"/>
    <s v="CMR"/>
    <s v="Cameroun"/>
    <s v="CMR004"/>
    <s v="Extrême-Nord"/>
    <s v="CMR004005"/>
    <s v="Mayo-Sava"/>
    <s v="CMR004005002"/>
    <s v="Mora"/>
  </r>
  <r>
    <s v="Extrême-Nord"/>
    <s v="CMR004"/>
    <x v="4"/>
    <s v="CMR004005"/>
    <x v="17"/>
    <s v="CMR004005002"/>
    <s v="MOR-0022"/>
    <s v="MASSARE 2"/>
    <m/>
    <x v="0"/>
    <s v="Janvier - Aout 2022"/>
    <n v="3"/>
    <n v="39"/>
    <x v="0"/>
    <m/>
    <s v="Même arrondissement"/>
    <s v="CMR"/>
    <s v="Cameroun"/>
    <s v="CMR004"/>
    <s v="Extrême-Nord"/>
    <s v="CMR004005"/>
    <s v="Mayo-Sava"/>
    <s v="CMR004005002"/>
    <s v="Mora"/>
  </r>
  <r>
    <s v="Extrême-Nord"/>
    <s v="CMR004"/>
    <x v="4"/>
    <s v="CMR004005"/>
    <x v="17"/>
    <s v="CMR004005002"/>
    <s v="MOR-0022"/>
    <s v="MASSARE 2"/>
    <m/>
    <x v="0"/>
    <s v="Septembre 2022 – Février 2023"/>
    <n v="5"/>
    <n v="57"/>
    <x v="0"/>
    <m/>
    <s v="Même arrondissement"/>
    <s v="CMR"/>
    <s v="Cameroun"/>
    <s v="CMR004"/>
    <s v="Extrême-Nord"/>
    <s v="CMR004005"/>
    <s v="Mayo-Sava"/>
    <s v="CMR004005002"/>
    <s v="Mora"/>
  </r>
  <r>
    <s v="Extrême-Nord"/>
    <s v="CMR004"/>
    <x v="4"/>
    <s v="CMR004005"/>
    <x v="19"/>
    <s v="CMR004005001"/>
    <s v="KOL-0034"/>
    <s v="SITE DE GREYA"/>
    <m/>
    <x v="0"/>
    <s v="En 2021"/>
    <n v="30"/>
    <n v="261"/>
    <x v="0"/>
    <m/>
    <s v="Même arrondissement"/>
    <s v="CMR"/>
    <s v="Cameroun"/>
    <s v="CMR004"/>
    <s v="Extrême-Nord"/>
    <s v="CMR004005"/>
    <s v="Mayo-Sava"/>
    <s v="CMR004005001"/>
    <s v="Kolofata"/>
  </r>
  <r>
    <s v="Extrême-Nord"/>
    <s v="CMR004"/>
    <x v="4"/>
    <s v="CMR004005"/>
    <x v="19"/>
    <s v="CMR004005001"/>
    <s v="KOL-0034"/>
    <s v="SITE DE GREYA"/>
    <m/>
    <x v="0"/>
    <s v="Janvier - Aout 2022"/>
    <n v="85"/>
    <n v="537"/>
    <x v="0"/>
    <m/>
    <s v="Même arrondissement"/>
    <s v="CMR"/>
    <s v="Cameroun"/>
    <s v="CMR004"/>
    <s v="Extrême-Nord"/>
    <s v="CMR004005"/>
    <s v="Mayo-Sava"/>
    <s v="CMR004005001"/>
    <s v="Kolofata"/>
  </r>
  <r>
    <s v="Extrême-Nord"/>
    <s v="CMR004"/>
    <x v="4"/>
    <s v="CMR004005"/>
    <x v="19"/>
    <s v="CMR004005001"/>
    <s v="KOL-0034"/>
    <s v="SITE DE GREYA"/>
    <m/>
    <x v="0"/>
    <s v="Septembre 2022 – Février 2023"/>
    <n v="58"/>
    <n v="500"/>
    <x v="0"/>
    <m/>
    <s v="Même arrondissement"/>
    <s v="CMR"/>
    <s v="Cameroun"/>
    <s v="CMR004"/>
    <s v="Extrême-Nord"/>
    <s v="CMR004005"/>
    <s v="Mayo-Sava"/>
    <s v="CMR004005001"/>
    <s v="Kolofata"/>
  </r>
  <r>
    <s v="Extrême-Nord"/>
    <s v="CMR004"/>
    <x v="2"/>
    <s v="CMR004002"/>
    <x v="15"/>
    <s v="CMR004002004"/>
    <s v="LBI-0006"/>
    <s v="GACHALMEDIK"/>
    <m/>
    <x v="0"/>
    <s v="Avant 2020"/>
    <n v="65"/>
    <n v="276"/>
    <x v="0"/>
    <m/>
    <s v="Même arrondissement"/>
    <s v="CMR"/>
    <s v="Cameroun"/>
    <s v="CMR004"/>
    <s v="Extrême-Nord"/>
    <s v="CMR004002"/>
    <s v="Logone-Et-Chari"/>
    <s v="CMR004002004"/>
    <s v="Logone-Birni"/>
  </r>
  <r>
    <s v="Extrême-Nord"/>
    <s v="CMR004"/>
    <x v="2"/>
    <s v="CMR004002"/>
    <x v="15"/>
    <s v="CMR004002004"/>
    <s v="LBI-0040"/>
    <s v="SITE DE TILDE"/>
    <m/>
    <x v="0"/>
    <s v="Avant 2020"/>
    <n v="145"/>
    <n v="1259"/>
    <x v="0"/>
    <m/>
    <s v="Même arrondissement"/>
    <s v="CMR"/>
    <s v="Cameroun"/>
    <s v="CMR004"/>
    <s v="Extrême-Nord"/>
    <s v="CMR004002"/>
    <s v="Logone-Et-Chari"/>
    <s v="CMR004002004"/>
    <s v="Logone-Birni"/>
  </r>
  <r>
    <s v="Extrême-Nord"/>
    <s v="CMR004"/>
    <x v="2"/>
    <s v="CMR004002"/>
    <x v="15"/>
    <s v="CMR004002004"/>
    <s v="LBI-0040"/>
    <s v="SITE DE TILDE"/>
    <m/>
    <x v="0"/>
    <s v="En 2020"/>
    <n v="8"/>
    <n v="73"/>
    <x v="0"/>
    <m/>
    <s v="Même arrondissement"/>
    <s v="CMR"/>
    <s v="Cameroun"/>
    <s v="CMR004"/>
    <s v="Extrême-Nord"/>
    <s v="CMR004002"/>
    <s v="Logone-Et-Chari"/>
    <s v="CMR004002004"/>
    <s v="Logone-Birni"/>
  </r>
  <r>
    <s v="Extrême-Nord"/>
    <s v="CMR004"/>
    <x v="2"/>
    <s v="CMR004002"/>
    <x v="15"/>
    <s v="CMR004002004"/>
    <s v="LBI-0039"/>
    <s v="LABADO"/>
    <m/>
    <x v="0"/>
    <s v="Avant 2020"/>
    <n v="35"/>
    <n v="355"/>
    <x v="0"/>
    <m/>
    <s v="Même arrondissement"/>
    <s v="CMR"/>
    <s v="Cameroun"/>
    <s v="CMR004"/>
    <s v="Extrême-Nord"/>
    <s v="CMR004002"/>
    <s v="Logone-Et-Chari"/>
    <s v="CMR004002004"/>
    <s v="Logone-Birni"/>
  </r>
  <r>
    <s v="Extrême-Nord"/>
    <s v="CMR004"/>
    <x v="2"/>
    <s v="CMR004002"/>
    <x v="15"/>
    <s v="CMR004002004"/>
    <s v="LBI-0039"/>
    <s v="LABADO"/>
    <m/>
    <x v="0"/>
    <s v="En 2020"/>
    <n v="0"/>
    <n v="15"/>
    <x v="0"/>
    <m/>
    <s v="Même arrondissement"/>
    <s v="CMR"/>
    <s v="Cameroun"/>
    <s v="CMR004"/>
    <s v="Extrême-Nord"/>
    <s v="CMR004002"/>
    <s v="Logone-Et-Chari"/>
    <s v="CMR004002004"/>
    <s v="Logone-Birni"/>
  </r>
  <r>
    <s v="Extrême-Nord"/>
    <s v="CMR004"/>
    <x v="2"/>
    <s v="CMR004002"/>
    <x v="15"/>
    <s v="CMR004002004"/>
    <s v="LBI-0045"/>
    <s v="DABANGA 1"/>
    <m/>
    <x v="0"/>
    <s v="Avant 2020"/>
    <n v="81"/>
    <n v="635"/>
    <x v="0"/>
    <m/>
    <s v="Même arrondissement"/>
    <s v="CMR"/>
    <s v="Cameroun"/>
    <s v="CMR004"/>
    <s v="Extrême-Nord"/>
    <s v="CMR004002"/>
    <s v="Logone-Et-Chari"/>
    <s v="CMR004002004"/>
    <s v="Logone-Birni"/>
  </r>
  <r>
    <s v="Extrême-Nord"/>
    <s v="CMR004"/>
    <x v="5"/>
    <s v="CMR004004"/>
    <x v="20"/>
    <s v="CMR004004006"/>
    <s v="KAE-0014"/>
    <s v="WINDEO"/>
    <m/>
    <x v="0"/>
    <s v="Avant 2020"/>
    <n v="18"/>
    <n v="87"/>
    <x v="0"/>
    <m/>
    <s v="Autre département"/>
    <s v="CMR"/>
    <s v="Cameroun"/>
    <s v="CMR004"/>
    <s v="Extrême-Nord"/>
    <s v="CMR004005"/>
    <s v="Mayo-Sava"/>
    <m/>
    <m/>
  </r>
  <r>
    <s v="Extrême-Nord"/>
    <s v="CMR004"/>
    <x v="5"/>
    <s v="CMR004004"/>
    <x v="21"/>
    <s v="CMR004004007"/>
    <s v="MIN-0003"/>
    <s v="MINDIF CENTRE"/>
    <m/>
    <x v="0"/>
    <s v="Avant 2020"/>
    <n v="11"/>
    <n v="48"/>
    <x v="0"/>
    <m/>
    <s v="Autre département"/>
    <s v="CMR"/>
    <s v="Cameroun"/>
    <s v="CMR004"/>
    <s v="Extrême-Nord"/>
    <s v="CMR004005"/>
    <s v="Mayo-Sava"/>
    <m/>
    <m/>
  </r>
  <r>
    <s v="Extrême-Nord"/>
    <s v="CMR004"/>
    <x v="2"/>
    <s v="CMR004002"/>
    <x v="13"/>
    <s v="CMR004002001"/>
    <s v="WAZ-0020"/>
    <s v="TOUNGA"/>
    <m/>
    <x v="0"/>
    <s v="Janvier - Aout 2022"/>
    <n v="9"/>
    <n v="46"/>
    <x v="1"/>
    <m/>
    <s v="Même département, autre arrondissement"/>
    <s v="CMR"/>
    <s v="Cameroun"/>
    <s v="CMR004"/>
    <s v="Extrême-Nord"/>
    <s v="CMR004002"/>
    <s v="Logone-Et-Chari"/>
    <s v="CMR004002004"/>
    <s v="Logone-Birni"/>
  </r>
  <r>
    <s v="Extrême-Nord"/>
    <s v="CMR004"/>
    <x v="2"/>
    <s v="CMR004002"/>
    <x v="13"/>
    <s v="CMR004002001"/>
    <s v="WAZ-0020"/>
    <s v="TOUNGA"/>
    <m/>
    <x v="0"/>
    <s v="Septembre 2022 – Février 2023"/>
    <n v="0"/>
    <n v="6"/>
    <x v="1"/>
    <m/>
    <s v="Même département, autre arrondissement"/>
    <s v="CMR"/>
    <s v="Cameroun"/>
    <s v="CMR004"/>
    <s v="Extrême-Nord"/>
    <s v="CMR004002"/>
    <s v="Logone-Et-Chari"/>
    <s v="CMR004002004"/>
    <s v="Logone-Birni"/>
  </r>
  <r>
    <s v="Extrême-Nord"/>
    <s v="CMR004"/>
    <x v="2"/>
    <s v="CMR004002"/>
    <x v="13"/>
    <s v="CMR004002001"/>
    <s v="XXXX"/>
    <s v="MALIA"/>
    <s v="MALIA"/>
    <x v="0"/>
    <s v="Janvier - Aout 2022"/>
    <n v="15"/>
    <n v="68"/>
    <x v="0"/>
    <m/>
    <s v="Même arrondissement"/>
    <s v="CMR"/>
    <s v="Cameroun"/>
    <s v="CMR004"/>
    <s v="Extrême-Nord"/>
    <s v="CMR004002"/>
    <s v="Logone-Et-Chari"/>
    <s v="CMR004002001"/>
    <s v="Waza"/>
  </r>
  <r>
    <s v="Extrême-Nord"/>
    <s v="CMR004"/>
    <x v="2"/>
    <s v="CMR004002"/>
    <x v="13"/>
    <s v="CMR004002001"/>
    <s v="XXXX"/>
    <s v="MALIA"/>
    <s v="MALIA"/>
    <x v="0"/>
    <s v="Septembre 2022 – Février 2023"/>
    <n v="7"/>
    <n v="36"/>
    <x v="1"/>
    <m/>
    <s v="Même département, autre arrondissement"/>
    <s v="CMR"/>
    <s v="Cameroun"/>
    <s v="CMR004"/>
    <s v="Extrême-Nord"/>
    <s v="CMR004002"/>
    <s v="Logone-Et-Chari"/>
    <s v="CMR004002004"/>
    <s v="Logone-Birni"/>
  </r>
  <r>
    <s v="Extrême-Nord"/>
    <s v="CMR004"/>
    <x v="2"/>
    <s v="CMR004002"/>
    <x v="13"/>
    <s v="CMR004002001"/>
    <s v="XXXX"/>
    <s v="MALIA"/>
    <s v="MALIA"/>
    <x v="0"/>
    <s v="Avant 2020"/>
    <n v="0"/>
    <n v="5"/>
    <x v="0"/>
    <m/>
    <s v="Même arrondissement"/>
    <s v="CMR"/>
    <s v="Cameroun"/>
    <s v="CMR004"/>
    <s v="Extrême-Nord"/>
    <s v="CMR004002"/>
    <s v="Logone-Et-Chari"/>
    <s v="CMR004002001"/>
    <s v="Waza"/>
  </r>
  <r>
    <s v="Extrême-Nord"/>
    <s v="CMR004"/>
    <x v="4"/>
    <s v="CMR004005"/>
    <x v="19"/>
    <s v="CMR004005001"/>
    <s v="KOL-0018"/>
    <s v="SITE DE KOLOFATA - BLAKODJI"/>
    <m/>
    <x v="0"/>
    <s v="En 2021"/>
    <n v="279"/>
    <n v="2285"/>
    <x v="0"/>
    <m/>
    <s v="Même arrondissement"/>
    <s v="CMR"/>
    <s v="Cameroun"/>
    <s v="CMR004"/>
    <s v="Extrême-Nord"/>
    <s v="CMR004005"/>
    <s v="Mayo-Sava"/>
    <s v="CMR004005001"/>
    <s v="Kolofata"/>
  </r>
  <r>
    <s v="Extrême-Nord"/>
    <s v="CMR004"/>
    <x v="4"/>
    <s v="CMR004005"/>
    <x v="19"/>
    <s v="CMR004005001"/>
    <s v="KOL-0018"/>
    <s v="SITE DE KOLOFATA - BLAKODJI"/>
    <m/>
    <x v="0"/>
    <s v="Janvier - Aout 2022"/>
    <n v="2"/>
    <n v="35"/>
    <x v="0"/>
    <m/>
    <s v="Même arrondissement"/>
    <s v="CMR"/>
    <s v="Cameroun"/>
    <s v="CMR004"/>
    <s v="Extrême-Nord"/>
    <s v="CMR004005"/>
    <s v="Mayo-Sava"/>
    <s v="CMR004005001"/>
    <s v="Kolofata"/>
  </r>
  <r>
    <s v="Extrême-Nord"/>
    <s v="CMR004"/>
    <x v="4"/>
    <s v="CMR004005"/>
    <x v="19"/>
    <s v="CMR004005001"/>
    <s v="KOL-0018"/>
    <s v="SITE DE KOLOFATA - BLAKODJI"/>
    <m/>
    <x v="0"/>
    <s v="Septembre 2022 – Février 2023"/>
    <n v="34"/>
    <n v="288"/>
    <x v="0"/>
    <m/>
    <s v="Même arrondissement"/>
    <s v="CMR"/>
    <s v="Cameroun"/>
    <s v="CMR004"/>
    <s v="Extrême-Nord"/>
    <s v="CMR004005"/>
    <s v="Mayo-Sava"/>
    <s v="CMR004005001"/>
    <s v="Kolofata"/>
  </r>
  <r>
    <s v="Extrême-Nord"/>
    <s v="CMR004"/>
    <x v="2"/>
    <s v="CMR004002"/>
    <x v="8"/>
    <s v="CMR004002009"/>
    <s v="MAK-0046"/>
    <s v="KAOUSSE"/>
    <m/>
    <x v="0"/>
    <s v="Avant 2020"/>
    <n v="10"/>
    <n v="66"/>
    <x v="0"/>
    <m/>
    <s v="Même département, autre arrondissement"/>
    <s v="CMR"/>
    <s v="Cameroun"/>
    <s v="CMR004"/>
    <s v="Extrême-Nord"/>
    <s v="CMR004002"/>
    <s v="Logone-Et-Chari"/>
    <s v="CMR004002008"/>
    <s v="Fotokol"/>
  </r>
  <r>
    <s v="Extrême-Nord"/>
    <s v="CMR004"/>
    <x v="2"/>
    <s v="CMR004002"/>
    <x v="8"/>
    <s v="CMR004002009"/>
    <s v="MAK-0046"/>
    <s v="KAOUSSE"/>
    <m/>
    <x v="0"/>
    <s v="En 2021"/>
    <n v="10"/>
    <n v="55"/>
    <x v="0"/>
    <m/>
    <s v="Même département, autre arrondissement"/>
    <s v="CMR"/>
    <s v="Cameroun"/>
    <s v="CMR004"/>
    <s v="Extrême-Nord"/>
    <s v="CMR004002"/>
    <s v="Logone-Et-Chari"/>
    <s v="CMR004002008"/>
    <s v="Fotokol"/>
  </r>
  <r>
    <s v="Extrême-Nord"/>
    <s v="CMR004"/>
    <x v="2"/>
    <s v="CMR004002"/>
    <x v="8"/>
    <s v="CMR004002009"/>
    <s v="MAK-0095"/>
    <s v="ZAMAN"/>
    <m/>
    <x v="0"/>
    <s v="Avant 2020"/>
    <n v="12"/>
    <n v="55"/>
    <x v="0"/>
    <m/>
    <s v="Même arrondissement"/>
    <s v="CMR"/>
    <s v="Cameroun"/>
    <s v="CMR004"/>
    <s v="Extrême-Nord"/>
    <s v="CMR004002"/>
    <s v="Logone-Et-Chari"/>
    <s v="CMR004002009"/>
    <s v="Makary"/>
  </r>
  <r>
    <s v="Extrême-Nord"/>
    <s v="CMR004"/>
    <x v="2"/>
    <s v="CMR004002"/>
    <x v="8"/>
    <s v="CMR004002009"/>
    <s v="MAK-0095"/>
    <s v="ZAMAN"/>
    <m/>
    <x v="0"/>
    <s v="En 2021"/>
    <n v="9"/>
    <n v="35"/>
    <x v="0"/>
    <m/>
    <s v="Même département, autre arrondissement"/>
    <s v="CMR"/>
    <s v="Cameroun"/>
    <s v="CMR004"/>
    <s v="Extrême-Nord"/>
    <s v="CMR004002"/>
    <s v="Logone-Et-Chari"/>
    <s v="CMR004002008"/>
    <s v="Fotokol"/>
  </r>
  <r>
    <s v="Extrême-Nord"/>
    <s v="CMR004"/>
    <x v="2"/>
    <s v="CMR004002"/>
    <x v="10"/>
    <s v="CMR004002003"/>
    <s v="BLA-0023"/>
    <s v="KOUK 2"/>
    <m/>
    <x v="0"/>
    <s v="Avant 2020"/>
    <n v="80"/>
    <n v="220"/>
    <x v="3"/>
    <m/>
    <s v="Même arrondissement"/>
    <s v="CMR"/>
    <s v="Cameroun"/>
    <s v="CMR004"/>
    <s v="Extrême-Nord"/>
    <s v="CMR004002"/>
    <s v="Logone-Et-Chari"/>
    <s v="CMR004002003"/>
    <s v="Blangoua"/>
  </r>
  <r>
    <s v="Extrême-Nord"/>
    <s v="CMR004"/>
    <x v="2"/>
    <s v="CMR004002"/>
    <x v="10"/>
    <s v="CMR004002003"/>
    <s v="BLA-0023"/>
    <s v="KOUK 2"/>
    <m/>
    <x v="0"/>
    <s v="Septembre 2022 – Février 2023"/>
    <n v="9"/>
    <n v="67"/>
    <x v="0"/>
    <m/>
    <s v="Même arrondissement"/>
    <s v="CMR"/>
    <s v="Cameroun"/>
    <s v="CMR004"/>
    <s v="Extrême-Nord"/>
    <s v="CMR004002"/>
    <s v="Logone-Et-Chari"/>
    <s v="CMR004002003"/>
    <s v="Blangoua"/>
  </r>
  <r>
    <s v="Extrême-Nord"/>
    <s v="CMR004"/>
    <x v="0"/>
    <s v="CMR004001"/>
    <x v="0"/>
    <s v="CMR004001003"/>
    <s v="PET-0022"/>
    <s v="NDJAMENA"/>
    <m/>
    <x v="0"/>
    <s v="En 2020"/>
    <n v="3"/>
    <n v="21"/>
    <x v="0"/>
    <m/>
    <s v="Autre département"/>
    <s v="CMR"/>
    <s v="Cameroun"/>
    <s v="CMR004"/>
    <s v="Extrême-Nord"/>
    <s v="CMR004005"/>
    <s v="Mayo-Sava"/>
    <m/>
    <m/>
  </r>
  <r>
    <s v="Extrême-Nord"/>
    <s v="CMR004"/>
    <x v="0"/>
    <s v="CMR004001"/>
    <x v="0"/>
    <s v="CMR004001003"/>
    <s v="PET-0022"/>
    <s v="NDJAMENA"/>
    <m/>
    <x v="0"/>
    <s v="En 2021"/>
    <n v="0"/>
    <n v="2"/>
    <x v="0"/>
    <m/>
    <s v="Autre département"/>
    <s v="CMR"/>
    <s v="Cameroun"/>
    <s v="CMR004"/>
    <s v="Extrême-Nord"/>
    <s v="CMR004005"/>
    <s v="Mayo-Sava"/>
    <m/>
    <m/>
  </r>
  <r>
    <s v="Extrême-Nord"/>
    <s v="CMR004"/>
    <x v="2"/>
    <s v="CMR004002"/>
    <x v="8"/>
    <s v="CMR004002009"/>
    <s v="MAK-0073"/>
    <s v="NDAGALGUI"/>
    <m/>
    <x v="0"/>
    <s v="Avant 2020"/>
    <n v="13"/>
    <n v="65"/>
    <x v="0"/>
    <m/>
    <s v="Même arrondissement"/>
    <s v="CMR"/>
    <s v="Cameroun"/>
    <s v="CMR004"/>
    <s v="Extrême-Nord"/>
    <s v="CMR004002"/>
    <s v="Logone-Et-Chari"/>
    <s v="CMR004002009"/>
    <s v="Makary"/>
  </r>
  <r>
    <s v="Extrême-Nord"/>
    <s v="CMR004"/>
    <x v="2"/>
    <s v="CMR004002"/>
    <x v="8"/>
    <s v="CMR004002009"/>
    <s v="MAK-0073"/>
    <s v="NDAGALGUI"/>
    <m/>
    <x v="0"/>
    <s v="En 2020"/>
    <n v="0"/>
    <n v="21"/>
    <x v="0"/>
    <m/>
    <s v="Même arrondissement"/>
    <s v="CMR"/>
    <s v="Cameroun"/>
    <s v="CMR004"/>
    <s v="Extrême-Nord"/>
    <s v="CMR004002"/>
    <s v="Logone-Et-Chari"/>
    <s v="CMR004002009"/>
    <s v="Makary"/>
  </r>
  <r>
    <s v="Extrême-Nord"/>
    <s v="CMR004"/>
    <x v="2"/>
    <s v="CMR004002"/>
    <x v="8"/>
    <s v="CMR004002009"/>
    <s v="MAK-0073"/>
    <s v="NDAGALGUI"/>
    <m/>
    <x v="0"/>
    <s v="En 2021"/>
    <n v="0"/>
    <n v="120"/>
    <x v="0"/>
    <m/>
    <s v="Même arrondissement"/>
    <s v="CMR"/>
    <s v="Cameroun"/>
    <s v="CMR004"/>
    <s v="Extrême-Nord"/>
    <s v="CMR004002"/>
    <s v="Logone-Et-Chari"/>
    <s v="CMR004002009"/>
    <s v="Makary"/>
  </r>
  <r>
    <s v="Extrême-Nord"/>
    <s v="CMR004"/>
    <x v="2"/>
    <s v="CMR004002"/>
    <x v="8"/>
    <s v="CMR004002009"/>
    <s v="MAK-0073"/>
    <s v="NDAGALGUI"/>
    <m/>
    <x v="0"/>
    <s v="Septembre 2022 – Février 2023"/>
    <n v="19"/>
    <n v="74"/>
    <x v="0"/>
    <m/>
    <s v="Même département, autre arrondissement"/>
    <s v="CMR"/>
    <s v="Cameroun"/>
    <s v="CMR004"/>
    <s v="Extrême-Nord"/>
    <s v="CMR004002"/>
    <s v="Logone-Et-Chari"/>
    <m/>
    <s v="Hile-Alifa"/>
  </r>
  <r>
    <s v="Extrême-Nord"/>
    <s v="CMR004"/>
    <x v="2"/>
    <s v="CMR004002"/>
    <x v="8"/>
    <s v="CMR004002009"/>
    <s v="MAK-0076"/>
    <s v="NDEGO 3"/>
    <m/>
    <x v="0"/>
    <s v="Avant 2020"/>
    <n v="14"/>
    <n v="58"/>
    <x v="0"/>
    <m/>
    <s v="Même département, autre arrondissement"/>
    <s v="CMR"/>
    <s v="Cameroun"/>
    <s v="CMR004"/>
    <s v="Extrême-Nord"/>
    <s v="CMR004002"/>
    <s v="Logone-Et-Chari"/>
    <m/>
    <s v="Hile-Alifa"/>
  </r>
  <r>
    <s v="Extrême-Nord"/>
    <s v="CMR004"/>
    <x v="2"/>
    <s v="CMR004002"/>
    <x v="8"/>
    <s v="CMR004002009"/>
    <s v="MAK-0076"/>
    <s v="NDEGO 3"/>
    <m/>
    <x v="0"/>
    <s v="En 2020"/>
    <n v="0"/>
    <n v="13"/>
    <x v="0"/>
    <m/>
    <s v="Même arrondissement"/>
    <s v="CMR"/>
    <s v="Cameroun"/>
    <s v="CMR004"/>
    <s v="Extrême-Nord"/>
    <s v="CMR004002"/>
    <s v="Logone-Et-Chari"/>
    <s v="CMR004002009"/>
    <s v="Makary"/>
  </r>
  <r>
    <s v="Extrême-Nord"/>
    <s v="CMR004"/>
    <x v="2"/>
    <s v="CMR004002"/>
    <x v="8"/>
    <s v="CMR004002009"/>
    <s v="MAK-0076"/>
    <s v="NDEGO 3"/>
    <m/>
    <x v="0"/>
    <s v="En 2021"/>
    <n v="6"/>
    <n v="66"/>
    <x v="0"/>
    <m/>
    <s v="Même arrondissement"/>
    <s v="CMR"/>
    <s v="Cameroun"/>
    <s v="CMR004"/>
    <s v="Extrême-Nord"/>
    <s v="CMR004002"/>
    <s v="Logone-Et-Chari"/>
    <s v="CMR004002009"/>
    <s v="Makary"/>
  </r>
  <r>
    <s v="Extrême-Nord"/>
    <s v="CMR004"/>
    <x v="2"/>
    <s v="CMR004002"/>
    <x v="8"/>
    <s v="CMR004002009"/>
    <s v="MAK-0076"/>
    <s v="NDEGO 3"/>
    <m/>
    <x v="0"/>
    <s v="Janvier - Aout 2022"/>
    <n v="3"/>
    <n v="17"/>
    <x v="0"/>
    <m/>
    <s v="Même département, autre arrondissement"/>
    <s v="CMR"/>
    <s v="Cameroun"/>
    <s v="CMR004"/>
    <s v="Extrême-Nord"/>
    <s v="CMR004002"/>
    <s v="Logone-Et-Chari"/>
    <m/>
    <s v="Hile-Alifa"/>
  </r>
  <r>
    <s v="Extrême-Nord"/>
    <s v="CMR004"/>
    <x v="2"/>
    <s v="CMR004002"/>
    <x v="8"/>
    <s v="CMR004002009"/>
    <s v="MAK-0048"/>
    <s v="KASSIBE"/>
    <m/>
    <x v="0"/>
    <s v="Avant 2020"/>
    <n v="23"/>
    <n v="232"/>
    <x v="0"/>
    <m/>
    <s v="Même département, autre arrondissement"/>
    <s v="CMR"/>
    <s v="Cameroun"/>
    <s v="CMR004"/>
    <s v="Extrême-Nord"/>
    <s v="CMR004002"/>
    <s v="Logone-Et-Chari"/>
    <m/>
    <s v="Hile-Alifa"/>
  </r>
  <r>
    <s v="Extrême-Nord"/>
    <s v="CMR004"/>
    <x v="2"/>
    <s v="CMR004002"/>
    <x v="8"/>
    <s v="CMR004002009"/>
    <s v="MAK-0048"/>
    <s v="KASSIBE"/>
    <m/>
    <x v="0"/>
    <s v="Septembre 2022 – Février 2023"/>
    <n v="4"/>
    <n v="13"/>
    <x v="2"/>
    <s v="Ils ont fuis par crainte"/>
    <s v="Même département, autre arrondissement"/>
    <s v="CMR"/>
    <s v="Cameroun"/>
    <s v="CMR004"/>
    <s v="Extrême-Nord"/>
    <s v="CMR004002"/>
    <s v="Logone-Et-Chari"/>
    <s v="CMR004002007"/>
    <s v="Darak"/>
  </r>
  <r>
    <s v="Extrême-Nord"/>
    <s v="CMR004"/>
    <x v="2"/>
    <s v="CMR004002"/>
    <x v="8"/>
    <s v="CMR004002009"/>
    <s v="MAK-0063"/>
    <s v="MANDA 1"/>
    <m/>
    <x v="0"/>
    <s v="Avant 2020"/>
    <n v="14"/>
    <n v="114"/>
    <x v="0"/>
    <m/>
    <s v="Même département, autre arrondissement"/>
    <s v="CMR"/>
    <s v="Cameroun"/>
    <s v="CMR004"/>
    <s v="Extrême-Nord"/>
    <s v="CMR004002"/>
    <s v="Logone-Et-Chari"/>
    <s v="CMR004002008"/>
    <s v="Fotokol"/>
  </r>
  <r>
    <s v="Extrême-Nord"/>
    <s v="CMR004"/>
    <x v="2"/>
    <s v="CMR004002"/>
    <x v="8"/>
    <s v="CMR004002009"/>
    <s v="MAK-0063"/>
    <s v="MANDA 1"/>
    <m/>
    <x v="0"/>
    <s v="Septembre 2022 – Février 2023"/>
    <n v="2"/>
    <n v="6"/>
    <x v="0"/>
    <m/>
    <s v="Même département, autre arrondissement"/>
    <s v="CMR"/>
    <s v="Cameroun"/>
    <s v="CMR004"/>
    <s v="Extrême-Nord"/>
    <s v="CMR004002"/>
    <s v="Logone-Et-Chari"/>
    <m/>
    <s v="Hile-Alifa"/>
  </r>
  <r>
    <s v="Extrême-Nord"/>
    <s v="CMR004"/>
    <x v="2"/>
    <s v="CMR004002"/>
    <x v="8"/>
    <s v="CMR004002009"/>
    <s v="MAK-0020"/>
    <s v="BODO"/>
    <m/>
    <x v="0"/>
    <s v="Avant 2020"/>
    <n v="32"/>
    <n v="268"/>
    <x v="0"/>
    <m/>
    <s v="Même département, autre arrondissement"/>
    <s v="CMR"/>
    <s v="Cameroun"/>
    <s v="CMR004"/>
    <s v="Extrême-Nord"/>
    <s v="CMR004002"/>
    <s v="Logone-Et-Chari"/>
    <s v="CMR004002008"/>
    <s v="Fotokol"/>
  </r>
  <r>
    <s v="Extrême-Nord"/>
    <s v="CMR004"/>
    <x v="2"/>
    <s v="CMR004002"/>
    <x v="8"/>
    <s v="CMR004002009"/>
    <s v="MAK-0020"/>
    <s v="BODO"/>
    <m/>
    <x v="0"/>
    <s v="En 2020"/>
    <n v="7"/>
    <n v="26"/>
    <x v="0"/>
    <m/>
    <s v="Même département, autre arrondissement"/>
    <s v="CMR"/>
    <s v="Cameroun"/>
    <s v="CMR004"/>
    <s v="Extrême-Nord"/>
    <s v="CMR004002"/>
    <s v="Logone-Et-Chari"/>
    <m/>
    <s v="Hile-Alifa"/>
  </r>
  <r>
    <s v="Extrême-Nord"/>
    <s v="CMR004"/>
    <x v="2"/>
    <s v="CMR004002"/>
    <x v="8"/>
    <s v="CMR004002009"/>
    <s v="MAK-0020"/>
    <s v="BODO"/>
    <m/>
    <x v="0"/>
    <s v="En 2021"/>
    <n v="1"/>
    <n v="7"/>
    <x v="1"/>
    <m/>
    <s v="Même département, autre arrondissement"/>
    <s v="CMR"/>
    <s v="Cameroun"/>
    <s v="CMR004"/>
    <s v="Extrême-Nord"/>
    <s v="CMR004002"/>
    <s v="Logone-Et-Chari"/>
    <m/>
    <s v="Hile-Alifa"/>
  </r>
  <r>
    <s v="Extrême-Nord"/>
    <s v="CMR004"/>
    <x v="2"/>
    <s v="CMR004002"/>
    <x v="8"/>
    <s v="CMR004002009"/>
    <s v="MAK-0089"/>
    <s v="SOULFA"/>
    <m/>
    <x v="0"/>
    <s v="Avant 2020"/>
    <n v="6"/>
    <n v="25"/>
    <x v="0"/>
    <m/>
    <s v="Même département, autre arrondissement"/>
    <s v="CMR"/>
    <s v="Cameroun"/>
    <s v="CMR004"/>
    <s v="Extrême-Nord"/>
    <s v="CMR004002"/>
    <s v="Logone-Et-Chari"/>
    <s v="CMR004002008"/>
    <s v="Fotokol"/>
  </r>
  <r>
    <s v="Extrême-Nord"/>
    <s v="CMR004"/>
    <x v="2"/>
    <s v="CMR004002"/>
    <x v="8"/>
    <s v="CMR004002009"/>
    <s v="MAK-0089"/>
    <s v="SOULFA"/>
    <m/>
    <x v="0"/>
    <s v="Janvier - Aout 2022"/>
    <n v="2"/>
    <n v="10"/>
    <x v="0"/>
    <m/>
    <s v="Même département, autre arrondissement"/>
    <s v="CMR"/>
    <s v="Cameroun"/>
    <s v="CMR004"/>
    <s v="Extrême-Nord"/>
    <s v="CMR004002"/>
    <s v="Logone-Et-Chari"/>
    <m/>
    <s v="Hile-Alifa"/>
  </r>
  <r>
    <s v="Extrême-Nord"/>
    <s v="CMR004"/>
    <x v="2"/>
    <s v="CMR004002"/>
    <x v="9"/>
    <s v="CMR004002010"/>
    <s v="HIL-0008"/>
    <s v="HILE ALIFA 1"/>
    <m/>
    <x v="0"/>
    <s v="Avant 2020"/>
    <n v="84"/>
    <n v="672"/>
    <x v="0"/>
    <m/>
    <s v="Même arrondissement"/>
    <s v="CMR"/>
    <s v="Cameroun"/>
    <s v="CMR004"/>
    <s v="Extrême-Nord"/>
    <s v="CMR004002"/>
    <s v="Logone-Et-Chari"/>
    <s v="CMR004002010"/>
    <s v="Hile-Alifa"/>
  </r>
  <r>
    <s v="Extrême-Nord"/>
    <s v="CMR004"/>
    <x v="2"/>
    <s v="CMR004002"/>
    <x v="9"/>
    <s v="CMR004002010"/>
    <s v="HIL-0008"/>
    <s v="HILE ALIFA 1"/>
    <m/>
    <x v="0"/>
    <s v="En 2020"/>
    <n v="20"/>
    <n v="160"/>
    <x v="0"/>
    <m/>
    <s v="Même arrondissement"/>
    <s v="CMR"/>
    <s v="Cameroun"/>
    <s v="CMR004"/>
    <s v="Extrême-Nord"/>
    <s v="CMR004002"/>
    <s v="Logone-Et-Chari"/>
    <s v="CMR004002010"/>
    <s v="Hile-Alifa"/>
  </r>
  <r>
    <s v="Extrême-Nord"/>
    <s v="CMR004"/>
    <x v="2"/>
    <s v="CMR004002"/>
    <x v="9"/>
    <s v="CMR004002010"/>
    <s v="HIL-0008"/>
    <s v="HILE ALIFA 1"/>
    <m/>
    <x v="0"/>
    <s v="En 2021"/>
    <n v="20"/>
    <n v="160"/>
    <x v="0"/>
    <m/>
    <s v="Même arrondissement"/>
    <s v="CMR"/>
    <s v="Cameroun"/>
    <s v="CMR004"/>
    <s v="Extrême-Nord"/>
    <s v="CMR004002"/>
    <s v="Logone-Et-Chari"/>
    <s v="CMR004002010"/>
    <s v="Hile-Alifa"/>
  </r>
  <r>
    <s v="Extrême-Nord"/>
    <s v="CMR004"/>
    <x v="2"/>
    <s v="CMR004002"/>
    <x v="9"/>
    <s v="CMR004002010"/>
    <s v="HIL-0008"/>
    <s v="HILE ALIFA 1"/>
    <m/>
    <x v="0"/>
    <s v="Janvier - Aout 2022"/>
    <n v="54"/>
    <n v="422"/>
    <x v="0"/>
    <m/>
    <s v="Même arrondissement"/>
    <s v="CMR"/>
    <s v="Cameroun"/>
    <s v="CMR004"/>
    <s v="Extrême-Nord"/>
    <s v="CMR004002"/>
    <s v="Logone-Et-Chari"/>
    <s v="CMR004002010"/>
    <s v="Hile-Alifa"/>
  </r>
  <r>
    <s v="Extrême-Nord"/>
    <s v="CMR004"/>
    <x v="2"/>
    <s v="CMR004002"/>
    <x v="9"/>
    <s v="CMR004002010"/>
    <s v="HIL-0008"/>
    <s v="HILE ALIFA 1"/>
    <m/>
    <x v="0"/>
    <s v="Septembre 2022 – Février 2023"/>
    <n v="270"/>
    <n v="1890"/>
    <x v="0"/>
    <m/>
    <s v="Même arrondissement"/>
    <s v="CMR"/>
    <s v="Cameroun"/>
    <s v="CMR004"/>
    <s v="Extrême-Nord"/>
    <s v="CMR004002"/>
    <s v="Logone-Et-Chari"/>
    <s v="CMR004002010"/>
    <s v="Hile-Alifa"/>
  </r>
  <r>
    <s v="Extrême-Nord"/>
    <s v="CMR004"/>
    <x v="2"/>
    <s v="CMR004002"/>
    <x v="9"/>
    <s v="CMR004002010"/>
    <s v="XXXX"/>
    <s v="SITE DE ANCIEN MAIRIE"/>
    <s v="SITE DE ANCIEN MAIRIE"/>
    <x v="0"/>
    <s v="Septembre 2022 – Février 2023"/>
    <n v="350"/>
    <n v="2450"/>
    <x v="0"/>
    <m/>
    <s v="Même département, autre arrondissement"/>
    <s v="CMR"/>
    <s v="Cameroun"/>
    <s v="CMR004"/>
    <s v="Extrême-Nord"/>
    <s v="CMR004002"/>
    <s v="Logone-Et-Chari"/>
    <s v="CMR004002007"/>
    <s v="Darak"/>
  </r>
  <r>
    <s v="Extrême-Nord"/>
    <s v="CMR004"/>
    <x v="5"/>
    <s v="CMR004004"/>
    <x v="20"/>
    <s v="CMR004004006"/>
    <s v="KAE-0003"/>
    <s v="KAELE"/>
    <m/>
    <x v="0"/>
    <s v="Septembre 2022 – Février 2023"/>
    <n v="2"/>
    <n v="9"/>
    <x v="1"/>
    <m/>
    <s v="Autre département"/>
    <s v="CMR"/>
    <s v="Cameroun"/>
    <s v="CMR004"/>
    <s v="Extrême-Nord"/>
    <s v="CMR004003"/>
    <s v="Mayo-Danay"/>
    <m/>
    <m/>
  </r>
  <r>
    <s v="Extrême-Nord"/>
    <s v="CMR004"/>
    <x v="5"/>
    <s v="CMR004004"/>
    <x v="20"/>
    <s v="CMR004004006"/>
    <s v="KAE-0001"/>
    <s v="BOURGOURI"/>
    <m/>
    <x v="0"/>
    <s v="Avant 2020"/>
    <n v="4"/>
    <n v="30"/>
    <x v="0"/>
    <m/>
    <s v="Autre département"/>
    <s v="CMR"/>
    <s v="Cameroun"/>
    <s v="CMR004"/>
    <s v="Extrême-Nord"/>
    <s v="CMR004005"/>
    <s v="Mayo-Sava"/>
    <m/>
    <m/>
  </r>
  <r>
    <s v="Extrême-Nord"/>
    <s v="CMR004"/>
    <x v="5"/>
    <s v="CMR004004"/>
    <x v="20"/>
    <s v="CMR004004006"/>
    <s v="KAE-0009"/>
    <s v="GOUDJOUING"/>
    <m/>
    <x v="0"/>
    <s v="En 2020"/>
    <n v="3"/>
    <n v="8"/>
    <x v="0"/>
    <m/>
    <s v="Autre département"/>
    <s v="CMR"/>
    <s v="Cameroun"/>
    <s v="CMR004"/>
    <s v="Extrême-Nord"/>
    <s v="CMR004005"/>
    <s v="Mayo-Sava"/>
    <m/>
    <m/>
  </r>
  <r>
    <s v="Extrême-Nord"/>
    <s v="CMR004"/>
    <x v="5"/>
    <s v="CMR004004"/>
    <x v="22"/>
    <s v="CMR004004005"/>
    <s v="MOT-0002"/>
    <s v="MOUDA"/>
    <m/>
    <x v="0"/>
    <s v="En 2021"/>
    <n v="10"/>
    <n v="47"/>
    <x v="1"/>
    <m/>
    <s v="Autre département"/>
    <s v="CMR"/>
    <s v="Cameroun"/>
    <s v="CMR004"/>
    <s v="Extrême-Nord"/>
    <s v="CMR004002"/>
    <s v="Logone-Et-Chari"/>
    <m/>
    <m/>
  </r>
  <r>
    <s v="Extrême-Nord"/>
    <s v="CMR004"/>
    <x v="5"/>
    <s v="CMR004004"/>
    <x v="22"/>
    <s v="CMR004004005"/>
    <s v="MOT-0002"/>
    <s v="MOUDA"/>
    <m/>
    <x v="0"/>
    <s v="Avant 2020"/>
    <n v="3"/>
    <n v="20"/>
    <x v="0"/>
    <m/>
    <s v="Autre département"/>
    <s v="CMR"/>
    <s v="Cameroun"/>
    <s v="CMR004"/>
    <s v="Extrême-Nord"/>
    <s v="CMR004005"/>
    <s v="Mayo-Sava"/>
    <m/>
    <m/>
  </r>
  <r>
    <s v="Extrême-Nord"/>
    <s v="CMR004"/>
    <x v="5"/>
    <s v="CMR004004"/>
    <x v="22"/>
    <s v="CMR004004005"/>
    <s v="MOT-0004"/>
    <s v="MOUSOURTOUK"/>
    <m/>
    <x v="0"/>
    <s v="Avant 2020"/>
    <n v="5"/>
    <n v="36"/>
    <x v="0"/>
    <m/>
    <s v="Autre département"/>
    <s v="CMR"/>
    <s v="Cameroun"/>
    <s v="CMR004"/>
    <s v="Extrême-Nord"/>
    <s v="CMR004005"/>
    <s v="Mayo-Sava"/>
    <m/>
    <m/>
  </r>
  <r>
    <s v="Extrême-Nord"/>
    <s v="CMR004"/>
    <x v="5"/>
    <s v="CMR004004"/>
    <x v="22"/>
    <s v="CMR004004005"/>
    <s v="MOT-0004"/>
    <s v="MOUSOURTOUK"/>
    <m/>
    <x v="0"/>
    <s v="En 2021"/>
    <n v="2"/>
    <n v="11"/>
    <x v="1"/>
    <m/>
    <s v="Autre département"/>
    <s v="CMR"/>
    <s v="Cameroun"/>
    <s v="CMR004"/>
    <s v="Extrême-Nord"/>
    <s v="CMR004002"/>
    <s v="Logone-Et-Chari"/>
    <m/>
    <m/>
  </r>
  <r>
    <s v="Extrême-Nord"/>
    <s v="CMR004"/>
    <x v="5"/>
    <s v="CMR004004"/>
    <x v="22"/>
    <s v="CMR004004005"/>
    <s v="MOT-0001"/>
    <s v="BADJAVA TWONGO"/>
    <m/>
    <x v="0"/>
    <s v="En 2020"/>
    <n v="3"/>
    <n v="18"/>
    <x v="0"/>
    <m/>
    <s v="Autre département"/>
    <s v="CMR"/>
    <s v="Cameroun"/>
    <s v="CMR004"/>
    <s v="Extrême-Nord"/>
    <s v="CMR004005"/>
    <s v="Mayo-Sava"/>
    <m/>
    <m/>
  </r>
  <r>
    <s v="Extrême-Nord"/>
    <s v="CMR004"/>
    <x v="5"/>
    <s v="CMR004004"/>
    <x v="22"/>
    <s v="CMR004004005"/>
    <s v="MOT-0003"/>
    <s v="MOUTOUROUA ROOM"/>
    <m/>
    <x v="0"/>
    <s v="Avant 2020"/>
    <n v="4"/>
    <n v="25"/>
    <x v="0"/>
    <m/>
    <s v="Autre département"/>
    <s v="CMR"/>
    <s v="Cameroun"/>
    <s v="CMR004"/>
    <s v="Extrême-Nord"/>
    <s v="CMR004005"/>
    <s v="Mayo-Sava"/>
    <m/>
    <m/>
  </r>
  <r>
    <s v="Extrême-Nord"/>
    <s v="CMR004"/>
    <x v="5"/>
    <s v="CMR004004"/>
    <x v="22"/>
    <s v="CMR004004005"/>
    <s v="MOT-0003"/>
    <s v="MOUTOUROUA ROOM"/>
    <m/>
    <x v="0"/>
    <s v="En 2021"/>
    <n v="1"/>
    <n v="3"/>
    <x v="1"/>
    <m/>
    <s v="Autre département"/>
    <s v="CMR"/>
    <s v="Cameroun"/>
    <s v="CMR004"/>
    <s v="Extrême-Nord"/>
    <s v="CMR004002"/>
    <s v="Logone-Et-Chari"/>
    <m/>
    <m/>
  </r>
  <r>
    <s v="Extrême-Nord"/>
    <s v="CMR004"/>
    <x v="5"/>
    <s v="CMR004004"/>
    <x v="22"/>
    <s v="CMR004004005"/>
    <s v="MOT-0005"/>
    <s v="SITE DE ZIBOU"/>
    <m/>
    <x v="0"/>
    <s v="Septembre 2022 – Février 2023"/>
    <n v="12"/>
    <n v="71"/>
    <x v="2"/>
    <s v="Enlèvement contre rançon, vole des bétails"/>
    <s v="Autre région"/>
    <s v="CMR"/>
    <s v="Cameroun"/>
    <s v="CMR001"/>
    <s v="Adamaoua"/>
    <m/>
    <m/>
    <m/>
    <m/>
  </r>
  <r>
    <s v="Extrême-Nord"/>
    <s v="CMR004"/>
    <x v="5"/>
    <s v="CMR004004"/>
    <x v="22"/>
    <s v="CMR004004005"/>
    <s v="MOT-0005"/>
    <s v="SITE DE ZIBOU"/>
    <m/>
    <x v="0"/>
    <s v="Avant 2020"/>
    <n v="4"/>
    <n v="15"/>
    <x v="0"/>
    <m/>
    <s v="Autre département"/>
    <s v="CMR"/>
    <s v="Cameroun"/>
    <s v="CMR004"/>
    <s v="Extrême-Nord"/>
    <s v="CMR004005"/>
    <s v="Mayo-Sava"/>
    <m/>
    <m/>
  </r>
  <r>
    <s v="Extrême-Nord"/>
    <s v="CMR004"/>
    <x v="1"/>
    <s v="CMR004006"/>
    <x v="1"/>
    <s v="CMR004006002"/>
    <s v="MOK-0007"/>
    <s v="KOSSEHONE"/>
    <m/>
    <x v="0"/>
    <s v="Avant 2020"/>
    <n v="80"/>
    <n v="350"/>
    <x v="0"/>
    <m/>
    <s v="Même arrondissement"/>
    <s v="CMR"/>
    <s v="Cameroun"/>
    <s v="CMR004"/>
    <s v="Extrême-Nord"/>
    <s v="CMR004006"/>
    <s v="Mayo-Tsanaga"/>
    <s v="CMR004006002"/>
    <s v="Mokolo"/>
  </r>
  <r>
    <s v="Extrême-Nord"/>
    <s v="CMR004"/>
    <x v="1"/>
    <s v="CMR004006"/>
    <x v="1"/>
    <s v="CMR004006002"/>
    <s v="MOK-0007"/>
    <s v="KOSSEHONE"/>
    <m/>
    <x v="0"/>
    <s v="Janvier - Aout 2022"/>
    <n v="20"/>
    <n v="150"/>
    <x v="0"/>
    <m/>
    <s v="Même arrondissement"/>
    <s v="CMR"/>
    <s v="Cameroun"/>
    <s v="CMR004"/>
    <s v="Extrême-Nord"/>
    <s v="CMR004006"/>
    <s v="Mayo-Tsanaga"/>
    <s v="CMR004006002"/>
    <s v="Mokolo"/>
  </r>
  <r>
    <s v="Extrême-Nord"/>
    <s v="CMR004"/>
    <x v="1"/>
    <s v="CMR004006"/>
    <x v="1"/>
    <s v="CMR004006002"/>
    <s v="MOK-0007"/>
    <s v="KOSSEHONE"/>
    <m/>
    <x v="0"/>
    <s v="Septembre 2022 – Février 2023"/>
    <n v="100"/>
    <n v="900"/>
    <x v="0"/>
    <m/>
    <s v="Même arrondissement"/>
    <s v="CMR"/>
    <s v="Cameroun"/>
    <s v="CMR004"/>
    <s v="Extrême-Nord"/>
    <s v="CMR004006"/>
    <s v="Mayo-Tsanaga"/>
    <s v="CMR004006002"/>
    <s v="Mokolo"/>
  </r>
  <r>
    <s v="Extrême-Nord"/>
    <s v="CMR004"/>
    <x v="2"/>
    <s v="CMR004002"/>
    <x v="8"/>
    <s v="CMR004002009"/>
    <s v="MAK-0164"/>
    <s v="BIANG"/>
    <m/>
    <x v="0"/>
    <s v="Avant 2020"/>
    <n v="4"/>
    <n v="36"/>
    <x v="0"/>
    <m/>
    <s v="Même département, autre arrondissement"/>
    <s v="CMR"/>
    <s v="Cameroun"/>
    <s v="CMR004"/>
    <s v="Extrême-Nord"/>
    <s v="CMR004002"/>
    <s v="Logone-Et-Chari"/>
    <s v="CMR004002008"/>
    <s v="Fotokol"/>
  </r>
  <r>
    <s v="Extrême-Nord"/>
    <s v="CMR004"/>
    <x v="2"/>
    <s v="CMR004002"/>
    <x v="8"/>
    <s v="CMR004002009"/>
    <s v="MAK-0164"/>
    <s v="BIANG"/>
    <m/>
    <x v="0"/>
    <s v="En 2021"/>
    <n v="8"/>
    <n v="53"/>
    <x v="0"/>
    <m/>
    <s v="Même département, autre arrondissement"/>
    <s v="CMR"/>
    <s v="Cameroun"/>
    <s v="CMR004"/>
    <s v="Extrême-Nord"/>
    <s v="CMR004002"/>
    <s v="Logone-Et-Chari"/>
    <s v="CMR004002007"/>
    <s v="Darak"/>
  </r>
  <r>
    <s v="Extrême-Nord"/>
    <s v="CMR004"/>
    <x v="2"/>
    <s v="CMR004002"/>
    <x v="8"/>
    <s v="CMR004002009"/>
    <s v="MAK-0180"/>
    <s v="TCHABOUTE"/>
    <m/>
    <x v="0"/>
    <s v="En 2021"/>
    <n v="7"/>
    <n v="47"/>
    <x v="0"/>
    <m/>
    <s v="Même département, autre arrondissement"/>
    <s v="CMR"/>
    <s v="Cameroun"/>
    <s v="CMR004"/>
    <s v="Extrême-Nord"/>
    <s v="CMR004002"/>
    <s v="Logone-Et-Chari"/>
    <s v="CMR004002008"/>
    <s v="Fotokol"/>
  </r>
  <r>
    <s v="Extrême-Nord"/>
    <s v="CMR004"/>
    <x v="2"/>
    <s v="CMR004002"/>
    <x v="23"/>
    <s v="CMR004002005"/>
    <s v="ZIN-0006"/>
    <s v="MARGOUE"/>
    <m/>
    <x v="0"/>
    <s v="Septembre 2022 – Février 2023"/>
    <n v="4"/>
    <n v="40"/>
    <x v="3"/>
    <m/>
    <s v="Même arrondissement"/>
    <s v="CMR"/>
    <s v="Cameroun"/>
    <s v="CMR004"/>
    <s v="Extrême-Nord"/>
    <s v="CMR004002"/>
    <s v="Logone-Et-Chari"/>
    <s v="CMR004002005"/>
    <s v="Zina"/>
  </r>
  <r>
    <s v="Extrême-Nord"/>
    <s v="CMR004"/>
    <x v="2"/>
    <s v="CMR004002"/>
    <x v="23"/>
    <s v="CMR004002005"/>
    <s v="ZIN-0011"/>
    <s v="SARA-SARA"/>
    <m/>
    <x v="0"/>
    <s v="Septembre 2022 – Février 2023"/>
    <n v="20"/>
    <n v="140"/>
    <x v="3"/>
    <m/>
    <s v="Même arrondissement"/>
    <s v="CMR"/>
    <s v="Cameroun"/>
    <s v="CMR004"/>
    <s v="Extrême-Nord"/>
    <s v="CMR004002"/>
    <s v="Logone-Et-Chari"/>
    <s v="CMR004002005"/>
    <s v="Zina"/>
  </r>
  <r>
    <s v="Extrême-Nord"/>
    <s v="CMR004"/>
    <x v="0"/>
    <s v="CMR004001"/>
    <x v="6"/>
    <s v="CMR004001001"/>
    <s v="MA3-0004"/>
    <s v="SARRARE"/>
    <m/>
    <x v="0"/>
    <s v="Avant 2020"/>
    <n v="9"/>
    <n v="110"/>
    <x v="0"/>
    <m/>
    <s v="Autre département"/>
    <s v="CMR"/>
    <s v="Cameroun"/>
    <s v="CMR004"/>
    <s v="Extrême-Nord"/>
    <s v="CMR004005"/>
    <s v="Mayo-Sava"/>
    <m/>
    <m/>
  </r>
  <r>
    <s v="Extrême-Nord"/>
    <s v="CMR004"/>
    <x v="1"/>
    <s v="CMR004006"/>
    <x v="1"/>
    <s v="CMR004006002"/>
    <s v="MOK-0053"/>
    <s v="WINDE ZAMAI"/>
    <m/>
    <x v="0"/>
    <s v="Avant 2020"/>
    <n v="1"/>
    <n v="8"/>
    <x v="0"/>
    <m/>
    <s v="Même arrondissement"/>
    <s v="CMR"/>
    <s v="Cameroun"/>
    <s v="CMR004"/>
    <s v="Extrême-Nord"/>
    <s v="CMR004006"/>
    <s v="Mayo-Tsanaga"/>
    <s v="CMR004006002"/>
    <s v="Mokolo"/>
  </r>
  <r>
    <s v="Extrême-Nord"/>
    <s v="CMR004"/>
    <x v="1"/>
    <s v="CMR004006"/>
    <x v="1"/>
    <s v="CMR004006002"/>
    <s v="MOK-0053"/>
    <s v="WINDE ZAMAI"/>
    <m/>
    <x v="0"/>
    <s v="Septembre 2022 – Février 2023"/>
    <n v="1"/>
    <n v="3"/>
    <x v="0"/>
    <m/>
    <s v="Même arrondissement"/>
    <s v="CMR"/>
    <s v="Cameroun"/>
    <s v="CMR004"/>
    <s v="Extrême-Nord"/>
    <s v="CMR004006"/>
    <s v="Mayo-Tsanaga"/>
    <s v="CMR004006002"/>
    <s v="Mokolo"/>
  </r>
  <r>
    <s v="Extrême-Nord"/>
    <s v="CMR004"/>
    <x v="1"/>
    <s v="CMR004006"/>
    <x v="1"/>
    <s v="CMR004006002"/>
    <s v="MOK-0052"/>
    <s v="WAGANFO ZAMAI"/>
    <m/>
    <x v="0"/>
    <s v="Avant 2020"/>
    <n v="13"/>
    <n v="70"/>
    <x v="0"/>
    <m/>
    <s v="Même arrondissement"/>
    <s v="CMR"/>
    <s v="Cameroun"/>
    <s v="CMR004"/>
    <s v="Extrême-Nord"/>
    <s v="CMR004006"/>
    <s v="Mayo-Tsanaga"/>
    <s v="CMR004006002"/>
    <s v="Mokolo"/>
  </r>
  <r>
    <s v="Extrême-Nord"/>
    <s v="CMR004"/>
    <x v="2"/>
    <s v="CMR004002"/>
    <x v="8"/>
    <s v="CMR004002009"/>
    <s v="MAK-0181"/>
    <s v="TREBOULO 1"/>
    <m/>
    <x v="0"/>
    <s v="Janvier - Aout 2022"/>
    <n v="32"/>
    <n v="224"/>
    <x v="0"/>
    <m/>
    <s v="Même arrondissement"/>
    <s v="CMR"/>
    <s v="Cameroun"/>
    <s v="CMR004"/>
    <s v="Extrême-Nord"/>
    <s v="CMR004002"/>
    <s v="Logone-Et-Chari"/>
    <s v="CMR004002009"/>
    <s v="Makary"/>
  </r>
  <r>
    <s v="Extrême-Nord"/>
    <s v="CMR004"/>
    <x v="2"/>
    <s v="CMR004002"/>
    <x v="8"/>
    <s v="CMR004002009"/>
    <s v="MAK-0181"/>
    <s v="TREBOULO 1"/>
    <m/>
    <x v="0"/>
    <s v="Septembre 2022 – Février 2023"/>
    <n v="4"/>
    <n v="11"/>
    <x v="3"/>
    <m/>
    <s v="Même arrondissement"/>
    <s v="CMR"/>
    <s v="Cameroun"/>
    <s v="CMR004"/>
    <s v="Extrême-Nord"/>
    <s v="CMR004002"/>
    <s v="Logone-Et-Chari"/>
    <s v="CMR004002009"/>
    <s v="Makary"/>
  </r>
  <r>
    <s v="Extrême-Nord"/>
    <s v="CMR004"/>
    <x v="2"/>
    <s v="CMR004002"/>
    <x v="8"/>
    <s v="CMR004002009"/>
    <s v="MAK-0172"/>
    <s v="MERAHA"/>
    <m/>
    <x v="0"/>
    <s v="Janvier - Aout 2022"/>
    <n v="51"/>
    <n v="223"/>
    <x v="1"/>
    <m/>
    <s v="Même arrondissement"/>
    <s v="CMR"/>
    <s v="Cameroun"/>
    <s v="CMR004"/>
    <s v="Extrême-Nord"/>
    <s v="CMR004002"/>
    <s v="Logone-Et-Chari"/>
    <s v="CMR004002009"/>
    <s v="Makary"/>
  </r>
  <r>
    <s v="Extrême-Nord"/>
    <s v="CMR004"/>
    <x v="2"/>
    <s v="CMR004002"/>
    <x v="8"/>
    <s v="CMR004002009"/>
    <s v="MAK-0172"/>
    <s v="MERAHA"/>
    <m/>
    <x v="0"/>
    <s v="Septembre 2022 – Février 2023"/>
    <n v="4"/>
    <n v="10"/>
    <x v="1"/>
    <m/>
    <s v="Même arrondissement"/>
    <s v="CMR"/>
    <s v="Cameroun"/>
    <s v="CMR004"/>
    <s v="Extrême-Nord"/>
    <s v="CMR004002"/>
    <s v="Logone-Et-Chari"/>
    <s v="CMR004002009"/>
    <s v="Makary"/>
  </r>
  <r>
    <s v="Extrême-Nord"/>
    <s v="CMR004"/>
    <x v="0"/>
    <s v="CMR004001"/>
    <x v="2"/>
    <s v="CMR004001005"/>
    <s v="BOG-0004"/>
    <s v="SITE DE KOURDAYA"/>
    <m/>
    <x v="0"/>
    <s v="Janvier - Aout 2022"/>
    <n v="57"/>
    <n v="358"/>
    <x v="1"/>
    <m/>
    <s v="Autre département"/>
    <s v="CMR"/>
    <s v="Cameroun"/>
    <s v="CMR004"/>
    <s v="Extrême-Nord"/>
    <s v="CMR004003"/>
    <s v="Mayo-Danay"/>
    <m/>
    <m/>
  </r>
  <r>
    <s v="Extrême-Nord"/>
    <s v="CMR004"/>
    <x v="2"/>
    <s v="CMR004002"/>
    <x v="8"/>
    <s v="CMR004002009"/>
    <s v="MAK-0135"/>
    <s v="DOUGOUM"/>
    <m/>
    <x v="0"/>
    <s v="Avant 2020"/>
    <n v="3"/>
    <n v="18"/>
    <x v="0"/>
    <m/>
    <s v="Même arrondissement"/>
    <s v="CMR"/>
    <s v="Cameroun"/>
    <s v="CMR004"/>
    <s v="Extrême-Nord"/>
    <s v="CMR004002"/>
    <s v="Logone-Et-Chari"/>
    <s v="CMR004002009"/>
    <s v="Makary"/>
  </r>
  <r>
    <s v="Extrême-Nord"/>
    <s v="CMR004"/>
    <x v="2"/>
    <s v="CMR004002"/>
    <x v="8"/>
    <s v="CMR004002009"/>
    <s v="MAK-0135"/>
    <s v="DOUGOUM"/>
    <m/>
    <x v="0"/>
    <s v="Septembre 2022 – Février 2023"/>
    <n v="3"/>
    <n v="20"/>
    <x v="3"/>
    <m/>
    <s v="Même arrondissement"/>
    <s v="CMR"/>
    <s v="Cameroun"/>
    <s v="CMR004"/>
    <s v="Extrême-Nord"/>
    <s v="CMR004002"/>
    <s v="Logone-Et-Chari"/>
    <s v="CMR004002009"/>
    <s v="Makary"/>
  </r>
  <r>
    <s v="Extrême-Nord"/>
    <s v="CMR004"/>
    <x v="2"/>
    <s v="CMR004002"/>
    <x v="8"/>
    <s v="CMR004002009"/>
    <s v="MAK-0033"/>
    <s v="DOUBABEL GOSS"/>
    <m/>
    <x v="0"/>
    <s v="Avant 2020"/>
    <n v="17"/>
    <n v="50"/>
    <x v="0"/>
    <m/>
    <s v="Même arrondissement"/>
    <s v="CMR"/>
    <s v="Cameroun"/>
    <s v="CMR004"/>
    <s v="Extrême-Nord"/>
    <s v="CMR004002"/>
    <s v="Logone-Et-Chari"/>
    <s v="CMR004002009"/>
    <s v="Makary"/>
  </r>
  <r>
    <s v="Extrême-Nord"/>
    <s v="CMR004"/>
    <x v="2"/>
    <s v="CMR004002"/>
    <x v="8"/>
    <s v="CMR004002009"/>
    <s v="MAK-0033"/>
    <s v="DOUBABEL GOSS"/>
    <m/>
    <x v="0"/>
    <s v="Septembre 2022 – Février 2023"/>
    <n v="12"/>
    <n v="35"/>
    <x v="3"/>
    <m/>
    <s v="Même arrondissement"/>
    <s v="CMR"/>
    <s v="Cameroun"/>
    <s v="CMR004"/>
    <s v="Extrême-Nord"/>
    <s v="CMR004002"/>
    <s v="Logone-Et-Chari"/>
    <s v="CMR004002009"/>
    <s v="Makary"/>
  </r>
  <r>
    <s v="Extrême-Nord"/>
    <s v="CMR004"/>
    <x v="2"/>
    <s v="CMR004002"/>
    <x v="10"/>
    <s v="CMR004002003"/>
    <s v="BLA-0022"/>
    <s v="DOR IMAR"/>
    <m/>
    <x v="0"/>
    <s v="Avant 2020"/>
    <n v="7"/>
    <n v="35"/>
    <x v="0"/>
    <m/>
    <s v="Même département, autre arrondissement"/>
    <s v="CMR"/>
    <s v="Cameroun"/>
    <s v="CMR004"/>
    <s v="Extrême-Nord"/>
    <s v="CMR004002"/>
    <s v="Logone-Et-Chari"/>
    <s v="CMR004002007"/>
    <s v="Darak"/>
  </r>
  <r>
    <s v="Extrême-Nord"/>
    <s v="CMR004"/>
    <x v="0"/>
    <s v="CMR004001"/>
    <x v="0"/>
    <s v="CMR004001003"/>
    <s v="PET-0035"/>
    <s v="SITE DE ADOUMER"/>
    <m/>
    <x v="0"/>
    <s v="Janvier - Aout 2022"/>
    <n v="30"/>
    <n v="235"/>
    <x v="1"/>
    <m/>
    <s v="Autre département"/>
    <s v="CMR"/>
    <s v="Cameroun"/>
    <s v="CMR004"/>
    <s v="Extrême-Nord"/>
    <s v="CMR004002"/>
    <s v="Logone-Et-Chari"/>
    <m/>
    <m/>
  </r>
  <r>
    <s v="Extrême-Nord"/>
    <s v="CMR004"/>
    <x v="0"/>
    <s v="CMR004001"/>
    <x v="0"/>
    <s v="CMR004001003"/>
    <s v="PET-0016"/>
    <s v="SITE DE KOURGNOUGNOU"/>
    <m/>
    <x v="0"/>
    <s v="Avant 2020"/>
    <n v="30"/>
    <n v="254"/>
    <x v="0"/>
    <m/>
    <s v="Autre département"/>
    <s v="CMR"/>
    <s v="Cameroun"/>
    <s v="CMR004"/>
    <s v="Extrême-Nord"/>
    <s v="CMR004005"/>
    <s v="Mayo-Sava"/>
    <m/>
    <m/>
  </r>
  <r>
    <s v="Extrême-Nord"/>
    <s v="CMR004"/>
    <x v="0"/>
    <s v="CMR004001"/>
    <x v="0"/>
    <s v="CMR004001003"/>
    <s v="PET-0036"/>
    <s v="TCHALGA"/>
    <m/>
    <x v="0"/>
    <s v="Avant 2020"/>
    <n v="2"/>
    <n v="11"/>
    <x v="0"/>
    <m/>
    <s v="Autre département"/>
    <s v="CMR"/>
    <s v="Cameroun"/>
    <s v="CMR004"/>
    <s v="Extrême-Nord"/>
    <s v="CMR004005"/>
    <s v="Mayo-Sava"/>
    <m/>
    <m/>
  </r>
  <r>
    <s v="Extrême-Nord"/>
    <s v="CMR004"/>
    <x v="0"/>
    <s v="CMR004001"/>
    <x v="0"/>
    <s v="CMR004001003"/>
    <s v="PET-0029"/>
    <s v="SITE DE ZAOUZAOU"/>
    <m/>
    <x v="0"/>
    <s v="Avant 2020"/>
    <n v="3"/>
    <n v="30"/>
    <x v="0"/>
    <m/>
    <s v="Autre département"/>
    <s v="CMR"/>
    <s v="Cameroun"/>
    <s v="CMR004"/>
    <s v="Extrême-Nord"/>
    <s v="CMR004005"/>
    <s v="Mayo-Sava"/>
    <m/>
    <m/>
  </r>
  <r>
    <s v="Extrême-Nord"/>
    <s v="CMR004"/>
    <x v="0"/>
    <s v="CMR004001"/>
    <x v="0"/>
    <s v="CMR004001003"/>
    <s v="PET-0033"/>
    <s v="GAO ALI"/>
    <m/>
    <x v="0"/>
    <s v="Avant 2020"/>
    <n v="5"/>
    <n v="30"/>
    <x v="0"/>
    <m/>
    <s v="Autre département"/>
    <s v="CMR"/>
    <s v="Cameroun"/>
    <s v="CMR004"/>
    <s v="Extrême-Nord"/>
    <s v="CMR004005"/>
    <s v="Mayo-Sava"/>
    <m/>
    <m/>
  </r>
  <r>
    <s v="Extrême-Nord"/>
    <s v="CMR004"/>
    <x v="1"/>
    <s v="CMR004006"/>
    <x v="7"/>
    <s v="CMR004006005"/>
    <s v="MOZ-0022"/>
    <s v="GOLDAVI"/>
    <m/>
    <x v="0"/>
    <s v="Avant 2020"/>
    <n v="33"/>
    <n v="137"/>
    <x v="0"/>
    <m/>
    <s v="Même arrondissement"/>
    <s v="CMR"/>
    <s v="Cameroun"/>
    <s v="CMR004"/>
    <s v="Extrême-Nord"/>
    <s v="CMR004006"/>
    <s v="Mayo-Tsanaga"/>
    <s v="CMR004006005"/>
    <s v="Mayo-Moskota"/>
  </r>
  <r>
    <s v="Extrême-Nord"/>
    <s v="CMR004"/>
    <x v="1"/>
    <s v="CMR004006"/>
    <x v="7"/>
    <s v="CMR004006005"/>
    <s v="MOZ-0022"/>
    <s v="GOLDAVI"/>
    <m/>
    <x v="0"/>
    <s v="En 2020"/>
    <n v="6"/>
    <n v="12"/>
    <x v="0"/>
    <m/>
    <s v="Même arrondissement"/>
    <s v="CMR"/>
    <s v="Cameroun"/>
    <s v="CMR004"/>
    <s v="Extrême-Nord"/>
    <s v="CMR004006"/>
    <s v="Mayo-Tsanaga"/>
    <s v="CMR004006005"/>
    <s v="Mayo-Moskota"/>
  </r>
  <r>
    <s v="Extrême-Nord"/>
    <s v="CMR004"/>
    <x v="1"/>
    <s v="CMR004006"/>
    <x v="7"/>
    <s v="CMR004006005"/>
    <s v="MOZ-0022"/>
    <s v="GOLDAVI"/>
    <m/>
    <x v="0"/>
    <s v="En 2021"/>
    <n v="12"/>
    <n v="35"/>
    <x v="0"/>
    <m/>
    <s v="Même arrondissement"/>
    <s v="CMR"/>
    <s v="Cameroun"/>
    <s v="CMR004"/>
    <s v="Extrême-Nord"/>
    <s v="CMR004006"/>
    <s v="Mayo-Tsanaga"/>
    <s v="CMR004006005"/>
    <s v="Mayo-Moskota"/>
  </r>
  <r>
    <s v="Extrême-Nord"/>
    <s v="CMR004"/>
    <x v="1"/>
    <s v="CMR004006"/>
    <x v="7"/>
    <s v="CMR004006005"/>
    <s v="MOZ-0022"/>
    <s v="GOLDAVI"/>
    <m/>
    <x v="0"/>
    <s v="Janvier - Aout 2022"/>
    <n v="3"/>
    <n v="22"/>
    <x v="0"/>
    <m/>
    <s v="Même arrondissement"/>
    <s v="CMR"/>
    <s v="Cameroun"/>
    <s v="CMR004"/>
    <s v="Extrême-Nord"/>
    <s v="CMR004006"/>
    <s v="Mayo-Tsanaga"/>
    <s v="CMR004006005"/>
    <s v="Mayo-Moskota"/>
  </r>
  <r>
    <s v="Extrême-Nord"/>
    <s v="CMR004"/>
    <x v="1"/>
    <s v="CMR004006"/>
    <x v="7"/>
    <s v="CMR004006005"/>
    <s v="MOZ-0022"/>
    <s v="GOLDAVI"/>
    <m/>
    <x v="0"/>
    <s v="Septembre 2022 – Février 2023"/>
    <n v="20"/>
    <n v="94"/>
    <x v="0"/>
    <m/>
    <s v="Même arrondissement"/>
    <s v="CMR"/>
    <s v="Cameroun"/>
    <s v="CMR004"/>
    <s v="Extrême-Nord"/>
    <s v="CMR004006"/>
    <s v="Mayo-Tsanaga"/>
    <s v="CMR004006005"/>
    <s v="Mayo-Moskota"/>
  </r>
  <r>
    <s v="Extrême-Nord"/>
    <s v="CMR004"/>
    <x v="1"/>
    <s v="CMR004006"/>
    <x v="14"/>
    <s v="CMR004006007"/>
    <s v="BOU-0007"/>
    <s v="DJEKI"/>
    <m/>
    <x v="0"/>
    <s v="Avant 2020"/>
    <n v="26"/>
    <n v="124"/>
    <x v="0"/>
    <m/>
    <s v="Même département, autre arrondissement"/>
    <s v="CMR"/>
    <s v="Cameroun"/>
    <s v="CMR004"/>
    <s v="Extrême-Nord"/>
    <s v="CMR004006"/>
    <s v="Mayo-Tsanaga"/>
    <s v="CMR004006005"/>
    <s v="Mayo-Moskota"/>
  </r>
  <r>
    <s v="Extrême-Nord"/>
    <s v="CMR004"/>
    <x v="1"/>
    <s v="CMR004006"/>
    <x v="14"/>
    <s v="CMR004006007"/>
    <s v="BOU-0007"/>
    <s v="DJEKI"/>
    <m/>
    <x v="0"/>
    <s v="En 2020"/>
    <n v="0"/>
    <n v="15"/>
    <x v="0"/>
    <m/>
    <s v="Même département, autre arrondissement"/>
    <s v="CMR"/>
    <s v="Cameroun"/>
    <s v="CMR004"/>
    <s v="Extrême-Nord"/>
    <s v="CMR004006"/>
    <s v="Mayo-Tsanaga"/>
    <s v="CMR004006005"/>
    <s v="Mayo-Moskota"/>
  </r>
  <r>
    <s v="Extrême-Nord"/>
    <s v="CMR004"/>
    <x v="1"/>
    <s v="CMR004006"/>
    <x v="14"/>
    <s v="CMR004006007"/>
    <s v="BOU-0007"/>
    <s v="DJEKI"/>
    <m/>
    <x v="0"/>
    <s v="En 2021"/>
    <n v="0"/>
    <n v="5"/>
    <x v="0"/>
    <m/>
    <s v="Même arrondissement"/>
    <s v="CMR"/>
    <s v="Cameroun"/>
    <s v="CMR004"/>
    <s v="Extrême-Nord"/>
    <s v="CMR004006"/>
    <s v="Mayo-Tsanaga"/>
    <s v="CMR004006007"/>
    <s v="Bourha"/>
  </r>
  <r>
    <s v="Extrême-Nord"/>
    <s v="CMR004"/>
    <x v="1"/>
    <s v="CMR004006"/>
    <x v="14"/>
    <s v="CMR004006007"/>
    <s v="BOU-0007"/>
    <s v="DJEKI"/>
    <m/>
    <x v="0"/>
    <s v="Janvier - Aout 2022"/>
    <n v="0"/>
    <n v="14"/>
    <x v="0"/>
    <m/>
    <s v="Même arrondissement"/>
    <s v="CMR"/>
    <s v="Cameroun"/>
    <s v="CMR004"/>
    <s v="Extrême-Nord"/>
    <s v="CMR004006"/>
    <s v="Mayo-Tsanaga"/>
    <s v="CMR004006007"/>
    <s v="Bourha"/>
  </r>
  <r>
    <s v="Extrême-Nord"/>
    <s v="CMR004"/>
    <x v="2"/>
    <s v="CMR004002"/>
    <x v="8"/>
    <s v="CMR004002009"/>
    <s v="MAK-0165"/>
    <s v="BOMBOYO"/>
    <m/>
    <x v="0"/>
    <s v="Janvier - Aout 2022"/>
    <n v="15"/>
    <n v="250"/>
    <x v="0"/>
    <m/>
    <s v="Même département, autre arrondissement"/>
    <s v="CMR"/>
    <s v="Cameroun"/>
    <s v="CMR004"/>
    <s v="Extrême-Nord"/>
    <s v="CMR004002"/>
    <s v="Logone-Et-Chari"/>
    <s v="CMR004002008"/>
    <s v="Fotokol"/>
  </r>
  <r>
    <s v="Extrême-Nord"/>
    <s v="CMR004"/>
    <x v="2"/>
    <s v="CMR004002"/>
    <x v="8"/>
    <s v="CMR004002009"/>
    <s v="MAK-0165"/>
    <s v="BOMBOYO"/>
    <m/>
    <x v="0"/>
    <s v="Septembre 2022 – Février 2023"/>
    <n v="8"/>
    <n v="62"/>
    <x v="3"/>
    <m/>
    <s v="Même département, autre arrondissement"/>
    <s v="CMR"/>
    <s v="Cameroun"/>
    <s v="CMR004"/>
    <s v="Extrême-Nord"/>
    <s v="CMR004002"/>
    <s v="Logone-Et-Chari"/>
    <s v="CMR004002007"/>
    <s v="Darak"/>
  </r>
  <r>
    <s v="Extrême-Nord"/>
    <s v="CMR004"/>
    <x v="5"/>
    <s v="CMR004004"/>
    <x v="24"/>
    <s v="CMR004004002"/>
    <s v="MOL-0012"/>
    <s v="LOPÉRÉ"/>
    <m/>
    <x v="0"/>
    <s v="En 2020"/>
    <n v="1"/>
    <n v="11"/>
    <x v="1"/>
    <m/>
    <s v="Même arrondissement"/>
    <s v="CMR"/>
    <s v="Cameroun"/>
    <s v="CMR004"/>
    <s v="Extrême-Nord"/>
    <s v="CMR004004"/>
    <s v="Mayo-Kani"/>
    <s v="CMR004004002"/>
    <s v="Moulvoudaye"/>
  </r>
  <r>
    <s v="Extrême-Nord"/>
    <s v="CMR004"/>
    <x v="5"/>
    <s v="CMR004004"/>
    <x v="24"/>
    <s v="CMR004004002"/>
    <s v="MOL-0006"/>
    <s v="TOWDÉ 2"/>
    <m/>
    <x v="0"/>
    <s v="En 2020"/>
    <n v="22"/>
    <n v="166"/>
    <x v="3"/>
    <m/>
    <s v="Même arrondissement"/>
    <s v="CMR"/>
    <s v="Cameroun"/>
    <s v="CMR004"/>
    <s v="Extrême-Nord"/>
    <s v="CMR004004"/>
    <s v="Mayo-Kani"/>
    <s v="CMR004004002"/>
    <s v="Moulvoudaye"/>
  </r>
  <r>
    <s v="Extrême-Nord"/>
    <s v="CMR004"/>
    <x v="5"/>
    <s v="CMR004004"/>
    <x v="24"/>
    <s v="CMR004004002"/>
    <s v="MOL-0006"/>
    <s v="TOWDÉ 2"/>
    <m/>
    <x v="0"/>
    <s v="Janvier - Aout 2022"/>
    <n v="1"/>
    <n v="7"/>
    <x v="1"/>
    <m/>
    <s v="Même arrondissement"/>
    <s v="CMR"/>
    <s v="Cameroun"/>
    <s v="CMR004"/>
    <s v="Extrême-Nord"/>
    <s v="CMR004004"/>
    <s v="Mayo-Kani"/>
    <s v="CMR004004002"/>
    <s v="Moulvoudaye"/>
  </r>
  <r>
    <s v="Extrême-Nord"/>
    <s v="CMR004"/>
    <x v="5"/>
    <s v="CMR004004"/>
    <x v="24"/>
    <s v="CMR004004002"/>
    <s v="MOL-0005"/>
    <s v="TOWDÉ 1"/>
    <m/>
    <x v="0"/>
    <s v="Septembre 2022 – Février 2023"/>
    <n v="6"/>
    <n v="54"/>
    <x v="1"/>
    <m/>
    <s v="Même arrondissement"/>
    <s v="CMR"/>
    <s v="Cameroun"/>
    <s v="CMR004"/>
    <s v="Extrême-Nord"/>
    <s v="CMR004004"/>
    <s v="Mayo-Kani"/>
    <s v="CMR004004002"/>
    <s v="Moulvoudaye"/>
  </r>
  <r>
    <s v="Extrême-Nord"/>
    <s v="CMR004"/>
    <x v="5"/>
    <s v="CMR004004"/>
    <x v="24"/>
    <s v="CMR004004002"/>
    <s v="MOL-0005"/>
    <s v="TOWDÉ 1"/>
    <m/>
    <x v="0"/>
    <s v="En 2020"/>
    <n v="11"/>
    <n v="186"/>
    <x v="3"/>
    <m/>
    <s v="Même arrondissement"/>
    <s v="CMR"/>
    <s v="Cameroun"/>
    <s v="CMR004"/>
    <s v="Extrême-Nord"/>
    <s v="CMR004004"/>
    <s v="Mayo-Kani"/>
    <s v="CMR004004002"/>
    <s v="Moulvoudaye"/>
  </r>
  <r>
    <s v="Extrême-Nord"/>
    <s v="CMR004"/>
    <x v="0"/>
    <s v="CMR004001"/>
    <x v="3"/>
    <s v="CMR004001009"/>
    <s v="MA1-0003"/>
    <s v="DOMAYO PATCHIGUINARI"/>
    <m/>
    <x v="0"/>
    <s v="Avant 2020"/>
    <n v="31"/>
    <n v="166"/>
    <x v="0"/>
    <m/>
    <s v="Autre département"/>
    <s v="CMR"/>
    <s v="Cameroun"/>
    <s v="CMR004"/>
    <s v="Extrême-Nord"/>
    <s v="CMR004005"/>
    <s v="Mayo-Sava"/>
    <m/>
    <m/>
  </r>
  <r>
    <s v="Extrême-Nord"/>
    <s v="CMR004"/>
    <x v="2"/>
    <s v="CMR004002"/>
    <x v="10"/>
    <s v="CMR004002003"/>
    <s v="BLA-0007"/>
    <s v="KINZAYAKOU"/>
    <m/>
    <x v="0"/>
    <s v="Avant 2020"/>
    <n v="14"/>
    <n v="94"/>
    <x v="0"/>
    <m/>
    <s v="Même département, autre arrondissement"/>
    <s v="CMR"/>
    <s v="Cameroun"/>
    <s v="CMR004"/>
    <s v="Extrême-Nord"/>
    <s v="CMR004002"/>
    <s v="Logone-Et-Chari"/>
    <s v="CMR004002007"/>
    <s v="Darak"/>
  </r>
  <r>
    <s v="Extrême-Nord"/>
    <s v="CMR004"/>
    <x v="2"/>
    <s v="CMR004002"/>
    <x v="10"/>
    <s v="CMR004002003"/>
    <s v="BLA-0007"/>
    <s v="KINZAYAKOU"/>
    <m/>
    <x v="0"/>
    <s v="En 2020"/>
    <n v="2"/>
    <n v="14"/>
    <x v="0"/>
    <m/>
    <s v="Même département, autre arrondissement"/>
    <s v="CMR"/>
    <s v="Cameroun"/>
    <s v="CMR004"/>
    <s v="Extrême-Nord"/>
    <s v="CMR004002"/>
    <s v="Logone-Et-Chari"/>
    <s v="CMR004002007"/>
    <s v="Darak"/>
  </r>
  <r>
    <s v="Extrême-Nord"/>
    <s v="CMR004"/>
    <x v="2"/>
    <s v="CMR004002"/>
    <x v="10"/>
    <s v="CMR004002003"/>
    <s v="BLA-0020"/>
    <s v="TAHA"/>
    <m/>
    <x v="0"/>
    <s v="Avant 2020"/>
    <n v="20"/>
    <n v="140"/>
    <x v="0"/>
    <m/>
    <s v="Même arrondissement"/>
    <s v="CMR"/>
    <s v="Cameroun"/>
    <s v="CMR004"/>
    <s v="Extrême-Nord"/>
    <s v="CMR004002"/>
    <s v="Logone-Et-Chari"/>
    <s v="CMR004002003"/>
    <s v="Blangoua"/>
  </r>
  <r>
    <s v="Extrême-Nord"/>
    <s v="CMR004"/>
    <x v="2"/>
    <s v="CMR004002"/>
    <x v="10"/>
    <s v="CMR004002003"/>
    <s v="BLA-0020"/>
    <s v="TAHA"/>
    <m/>
    <x v="0"/>
    <s v="En 2020"/>
    <n v="6"/>
    <n v="42"/>
    <x v="0"/>
    <m/>
    <s v="Même arrondissement"/>
    <s v="CMR"/>
    <s v="Cameroun"/>
    <s v="CMR004"/>
    <s v="Extrême-Nord"/>
    <s v="CMR004002"/>
    <s v="Logone-Et-Chari"/>
    <s v="CMR004002003"/>
    <s v="Blangoua"/>
  </r>
  <r>
    <s v="Extrême-Nord"/>
    <s v="CMR004"/>
    <x v="4"/>
    <s v="CMR004005"/>
    <x v="17"/>
    <s v="CMR004005002"/>
    <s v="MOR-0035"/>
    <s v="DOUBLE"/>
    <m/>
    <x v="0"/>
    <s v="Avant 2020"/>
    <n v="119"/>
    <n v="585"/>
    <x v="0"/>
    <m/>
    <s v="Même arrondissement"/>
    <s v="CMR"/>
    <s v="Cameroun"/>
    <s v="CMR004"/>
    <s v="Extrême-Nord"/>
    <s v="CMR004005"/>
    <s v="Mayo-Sava"/>
    <s v="CMR004005002"/>
    <s v="Mora"/>
  </r>
  <r>
    <s v="Extrême-Nord"/>
    <s v="CMR004"/>
    <x v="4"/>
    <s v="CMR004005"/>
    <x v="17"/>
    <s v="CMR004005002"/>
    <s v="MOR-0035"/>
    <s v="DOUBLE"/>
    <m/>
    <x v="0"/>
    <s v="En 2020"/>
    <n v="124"/>
    <n v="635"/>
    <x v="0"/>
    <m/>
    <s v="Même arrondissement"/>
    <s v="CMR"/>
    <s v="Cameroun"/>
    <s v="CMR004"/>
    <s v="Extrême-Nord"/>
    <s v="CMR004005"/>
    <s v="Mayo-Sava"/>
    <s v="CMR004005002"/>
    <s v="Mora"/>
  </r>
  <r>
    <s v="Extrême-Nord"/>
    <s v="CMR004"/>
    <x v="4"/>
    <s v="CMR004005"/>
    <x v="17"/>
    <s v="CMR004005002"/>
    <s v="MOR-0035"/>
    <s v="DOUBLE"/>
    <m/>
    <x v="0"/>
    <s v="En 2021"/>
    <n v="43"/>
    <n v="368"/>
    <x v="0"/>
    <m/>
    <s v="Même arrondissement"/>
    <s v="CMR"/>
    <s v="Cameroun"/>
    <s v="CMR004"/>
    <s v="Extrême-Nord"/>
    <s v="CMR004005"/>
    <s v="Mayo-Sava"/>
    <s v="CMR004005002"/>
    <s v="Mora"/>
  </r>
  <r>
    <s v="Extrême-Nord"/>
    <s v="CMR004"/>
    <x v="4"/>
    <s v="CMR004005"/>
    <x v="17"/>
    <s v="CMR004005002"/>
    <s v="MOR-0035"/>
    <s v="DOUBLE"/>
    <m/>
    <x v="0"/>
    <s v="Janvier - Aout 2022"/>
    <n v="0"/>
    <n v="85"/>
    <x v="0"/>
    <m/>
    <s v="Même arrondissement"/>
    <s v="CMR"/>
    <s v="Cameroun"/>
    <s v="CMR004"/>
    <s v="Extrême-Nord"/>
    <s v="CMR004005"/>
    <s v="Mayo-Sava"/>
    <s v="CMR004005002"/>
    <s v="Mora"/>
  </r>
  <r>
    <s v="Extrême-Nord"/>
    <s v="CMR004"/>
    <x v="4"/>
    <s v="CMR004005"/>
    <x v="17"/>
    <s v="CMR004005002"/>
    <s v="MOR-0035"/>
    <s v="DOUBLE"/>
    <m/>
    <x v="0"/>
    <s v="Septembre 2022 – Février 2023"/>
    <n v="16"/>
    <n v="126"/>
    <x v="0"/>
    <m/>
    <s v="Même arrondissement"/>
    <s v="CMR"/>
    <s v="Cameroun"/>
    <s v="CMR004"/>
    <s v="Extrême-Nord"/>
    <s v="CMR004005"/>
    <s v="Mayo-Sava"/>
    <s v="CMR004005002"/>
    <s v="Mora"/>
  </r>
  <r>
    <s v="Extrême-Nord"/>
    <s v="CMR004"/>
    <x v="4"/>
    <s v="CMR004005"/>
    <x v="17"/>
    <s v="CMR004005002"/>
    <s v="MOR-0015"/>
    <s v="MORA MASSIF"/>
    <m/>
    <x v="0"/>
    <s v="Avant 2020"/>
    <n v="57"/>
    <n v="82"/>
    <x v="0"/>
    <m/>
    <s v="Même arrondissement"/>
    <s v="CMR"/>
    <s v="Cameroun"/>
    <s v="CMR004"/>
    <s v="Extrême-Nord"/>
    <s v="CMR004005"/>
    <s v="Mayo-Sava"/>
    <s v="CMR004005002"/>
    <s v="Mora"/>
  </r>
  <r>
    <s v="Extrême-Nord"/>
    <s v="CMR004"/>
    <x v="4"/>
    <s v="CMR004005"/>
    <x v="17"/>
    <s v="CMR004005002"/>
    <s v="MOR-0015"/>
    <s v="MORA MASSIF"/>
    <m/>
    <x v="0"/>
    <s v="En 2020"/>
    <n v="51"/>
    <n v="354"/>
    <x v="0"/>
    <m/>
    <s v="Même arrondissement"/>
    <s v="CMR"/>
    <s v="Cameroun"/>
    <s v="CMR004"/>
    <s v="Extrême-Nord"/>
    <s v="CMR004005"/>
    <s v="Mayo-Sava"/>
    <s v="CMR004005002"/>
    <s v="Mora"/>
  </r>
  <r>
    <s v="Extrême-Nord"/>
    <s v="CMR004"/>
    <x v="4"/>
    <s v="CMR004005"/>
    <x v="17"/>
    <s v="CMR004005002"/>
    <s v="MOR-0015"/>
    <s v="MORA MASSIF"/>
    <m/>
    <x v="0"/>
    <s v="En 2021"/>
    <n v="1"/>
    <n v="22"/>
    <x v="0"/>
    <m/>
    <s v="Même arrondissement"/>
    <s v="CMR"/>
    <s v="Cameroun"/>
    <s v="CMR004"/>
    <s v="Extrême-Nord"/>
    <s v="CMR004005"/>
    <s v="Mayo-Sava"/>
    <s v="CMR004005002"/>
    <s v="Mora"/>
  </r>
  <r>
    <s v="Extrême-Nord"/>
    <s v="CMR004"/>
    <x v="4"/>
    <s v="CMR004005"/>
    <x v="17"/>
    <s v="CMR004005002"/>
    <s v="MOR-0015"/>
    <s v="MORA MASSIF"/>
    <m/>
    <x v="0"/>
    <s v="Janvier - Aout 2022"/>
    <n v="16"/>
    <n v="160"/>
    <x v="0"/>
    <m/>
    <s v="Même arrondissement"/>
    <s v="CMR"/>
    <s v="Cameroun"/>
    <s v="CMR004"/>
    <s v="Extrême-Nord"/>
    <s v="CMR004005"/>
    <s v="Mayo-Sava"/>
    <s v="CMR004005002"/>
    <s v="Mora"/>
  </r>
  <r>
    <s v="Extrême-Nord"/>
    <s v="CMR004"/>
    <x v="4"/>
    <s v="CMR004005"/>
    <x v="17"/>
    <s v="CMR004005002"/>
    <s v="MOR-0015"/>
    <s v="MORA MASSIF"/>
    <m/>
    <x v="0"/>
    <s v="Septembre 2022 – Février 2023"/>
    <n v="0"/>
    <n v="30"/>
    <x v="0"/>
    <m/>
    <s v="Même arrondissement"/>
    <s v="CMR"/>
    <s v="Cameroun"/>
    <s v="CMR004"/>
    <s v="Extrême-Nord"/>
    <s v="CMR004005"/>
    <s v="Mayo-Sava"/>
    <s v="CMR004005002"/>
    <s v="Mora"/>
  </r>
  <r>
    <s v="Extrême-Nord"/>
    <s v="CMR004"/>
    <x v="1"/>
    <s v="CMR004006"/>
    <x v="14"/>
    <s v="CMR004006007"/>
    <s v="BOU-0001"/>
    <s v="BOUKOULA"/>
    <m/>
    <x v="0"/>
    <s v="Avant 2020"/>
    <n v="10"/>
    <n v="92"/>
    <x v="0"/>
    <m/>
    <s v="Même arrondissement"/>
    <s v="CMR"/>
    <s v="Cameroun"/>
    <s v="CMR004"/>
    <s v="Extrême-Nord"/>
    <s v="CMR004006"/>
    <s v="Mayo-Tsanaga"/>
    <s v="CMR004006007"/>
    <s v="Bourha"/>
  </r>
  <r>
    <s v="Extrême-Nord"/>
    <s v="CMR004"/>
    <x v="1"/>
    <s v="CMR004006"/>
    <x v="14"/>
    <s v="CMR004006007"/>
    <s v="BOU-0001"/>
    <s v="BOUKOULA"/>
    <m/>
    <x v="0"/>
    <s v="En 2020"/>
    <n v="0"/>
    <n v="2"/>
    <x v="0"/>
    <m/>
    <s v="Même arrondissement"/>
    <s v="CMR"/>
    <s v="Cameroun"/>
    <s v="CMR004"/>
    <s v="Extrême-Nord"/>
    <s v="CMR004006"/>
    <s v="Mayo-Tsanaga"/>
    <s v="CMR004006007"/>
    <s v="Bourha"/>
  </r>
  <r>
    <s v="Extrême-Nord"/>
    <s v="CMR004"/>
    <x v="1"/>
    <s v="CMR004006"/>
    <x v="14"/>
    <s v="CMR004006007"/>
    <s v="BOU-0001"/>
    <s v="BOUKOULA"/>
    <m/>
    <x v="0"/>
    <s v="Septembre 2022 – Février 2023"/>
    <n v="0"/>
    <n v="4"/>
    <x v="0"/>
    <m/>
    <s v="Même arrondissement"/>
    <s v="CMR"/>
    <s v="Cameroun"/>
    <s v="CMR004"/>
    <s v="Extrême-Nord"/>
    <s v="CMR004006"/>
    <s v="Mayo-Tsanaga"/>
    <s v="CMR004006007"/>
    <s v="Bourha"/>
  </r>
  <r>
    <s v="Extrême-Nord"/>
    <s v="CMR004"/>
    <x v="1"/>
    <s v="CMR004006"/>
    <x v="14"/>
    <s v="CMR004006007"/>
    <s v="BOU-0001"/>
    <s v="BOUKOULA"/>
    <m/>
    <x v="0"/>
    <s v="En 2021"/>
    <n v="0"/>
    <n v="3"/>
    <x v="0"/>
    <m/>
    <s v="Même arrondissement"/>
    <s v="CMR"/>
    <s v="Cameroun"/>
    <s v="CMR004"/>
    <s v="Extrême-Nord"/>
    <s v="CMR004006"/>
    <s v="Mayo-Tsanaga"/>
    <s v="CMR004006007"/>
    <s v="Bourha"/>
  </r>
  <r>
    <s v="Extrême-Nord"/>
    <s v="CMR004"/>
    <x v="1"/>
    <s v="CMR004006"/>
    <x v="14"/>
    <s v="CMR004006007"/>
    <s v="BOU-0001"/>
    <s v="BOUKOULA"/>
    <m/>
    <x v="0"/>
    <s v="Janvier - Aout 2022"/>
    <n v="0"/>
    <n v="4"/>
    <x v="0"/>
    <m/>
    <s v="Même arrondissement"/>
    <s v="CMR"/>
    <s v="Cameroun"/>
    <s v="CMR004"/>
    <s v="Extrême-Nord"/>
    <s v="CMR004006"/>
    <s v="Mayo-Tsanaga"/>
    <s v="CMR004006007"/>
    <s v="Bourha"/>
  </r>
  <r>
    <s v="Extrême-Nord"/>
    <s v="CMR004"/>
    <x v="4"/>
    <s v="CMR004005"/>
    <x v="17"/>
    <s v="CMR004005002"/>
    <s v="MOR-0030"/>
    <s v="LIMANI"/>
    <m/>
    <x v="0"/>
    <s v="Avant 2020"/>
    <n v="62"/>
    <n v="333"/>
    <x v="0"/>
    <m/>
    <s v="Même arrondissement"/>
    <s v="CMR"/>
    <s v="Cameroun"/>
    <s v="CMR004"/>
    <s v="Extrême-Nord"/>
    <s v="CMR004005"/>
    <s v="Mayo-Sava"/>
    <s v="CMR004005002"/>
    <s v="Mora"/>
  </r>
  <r>
    <s v="Extrême-Nord"/>
    <s v="CMR004"/>
    <x v="4"/>
    <s v="CMR004005"/>
    <x v="17"/>
    <s v="CMR004005002"/>
    <s v="MOR-0030"/>
    <s v="LIMANI"/>
    <m/>
    <x v="0"/>
    <s v="En 2021"/>
    <n v="0"/>
    <n v="34"/>
    <x v="0"/>
    <m/>
    <s v="Même arrondissement"/>
    <s v="CMR"/>
    <s v="Cameroun"/>
    <s v="CMR004"/>
    <s v="Extrême-Nord"/>
    <s v="CMR004005"/>
    <s v="Mayo-Sava"/>
    <s v="CMR004005002"/>
    <s v="Mora"/>
  </r>
  <r>
    <s v="Extrême-Nord"/>
    <s v="CMR004"/>
    <x v="4"/>
    <s v="CMR004005"/>
    <x v="17"/>
    <s v="CMR004005002"/>
    <s v="MOR-0030"/>
    <s v="LIMANI"/>
    <m/>
    <x v="0"/>
    <s v="Janvier - Aout 2022"/>
    <n v="0"/>
    <n v="10"/>
    <x v="0"/>
    <m/>
    <s v="Même arrondissement"/>
    <s v="CMR"/>
    <s v="Cameroun"/>
    <s v="CMR004"/>
    <s v="Extrême-Nord"/>
    <s v="CMR004005"/>
    <s v="Mayo-Sava"/>
    <s v="CMR004005002"/>
    <s v="Mora"/>
  </r>
  <r>
    <s v="Extrême-Nord"/>
    <s v="CMR004"/>
    <x v="4"/>
    <s v="CMR004005"/>
    <x v="17"/>
    <s v="CMR004005002"/>
    <s v="MOR-0056"/>
    <s v="PIVOU 1"/>
    <m/>
    <x v="0"/>
    <s v="Avant 2020"/>
    <n v="39"/>
    <n v="85"/>
    <x v="0"/>
    <m/>
    <s v="Même arrondissement"/>
    <s v="CMR"/>
    <s v="Cameroun"/>
    <s v="CMR004"/>
    <s v="Extrême-Nord"/>
    <s v="CMR004005"/>
    <s v="Mayo-Sava"/>
    <s v="CMR004005002"/>
    <s v="Mora"/>
  </r>
  <r>
    <s v="Extrême-Nord"/>
    <s v="CMR004"/>
    <x v="4"/>
    <s v="CMR004005"/>
    <x v="17"/>
    <s v="CMR004005002"/>
    <s v="MOR-0056"/>
    <s v="PIVOU 1"/>
    <m/>
    <x v="0"/>
    <s v="En 2020"/>
    <n v="0"/>
    <n v="6"/>
    <x v="0"/>
    <m/>
    <s v="Même arrondissement"/>
    <s v="CMR"/>
    <s v="Cameroun"/>
    <s v="CMR004"/>
    <s v="Extrême-Nord"/>
    <s v="CMR004005"/>
    <s v="Mayo-Sava"/>
    <s v="CMR004005002"/>
    <s v="Mora"/>
  </r>
  <r>
    <s v="Extrême-Nord"/>
    <s v="CMR004"/>
    <x v="4"/>
    <s v="CMR004005"/>
    <x v="17"/>
    <s v="CMR004005002"/>
    <s v="MOR-0056"/>
    <s v="PIVOU 1"/>
    <m/>
    <x v="0"/>
    <s v="En 2021"/>
    <n v="0"/>
    <n v="3"/>
    <x v="0"/>
    <m/>
    <s v="Même arrondissement"/>
    <s v="CMR"/>
    <s v="Cameroun"/>
    <s v="CMR004"/>
    <s v="Extrême-Nord"/>
    <s v="CMR004005"/>
    <s v="Mayo-Sava"/>
    <s v="CMR004005002"/>
    <s v="Mora"/>
  </r>
  <r>
    <s v="Extrême-Nord"/>
    <s v="CMR004"/>
    <x v="4"/>
    <s v="CMR004005"/>
    <x v="17"/>
    <s v="CMR004005002"/>
    <s v="MOR-0056"/>
    <s v="PIVOU 1"/>
    <m/>
    <x v="0"/>
    <s v="Septembre 2022 – Février 2023"/>
    <n v="0"/>
    <n v="3"/>
    <x v="0"/>
    <m/>
    <s v="Même arrondissement"/>
    <s v="CMR"/>
    <s v="Cameroun"/>
    <s v="CMR004"/>
    <s v="Extrême-Nord"/>
    <s v="CMR004005"/>
    <s v="Mayo-Sava"/>
    <s v="CMR004005002"/>
    <s v="Mora"/>
  </r>
  <r>
    <s v="Extrême-Nord"/>
    <s v="CMR004"/>
    <x v="4"/>
    <s v="CMR004005"/>
    <x v="17"/>
    <s v="CMR004005002"/>
    <s v="MOR-0056"/>
    <s v="PIVOU 1"/>
    <m/>
    <x v="0"/>
    <s v="Janvier - Aout 2022"/>
    <n v="8"/>
    <n v="59"/>
    <x v="0"/>
    <m/>
    <s v="Même arrondissement"/>
    <s v="CMR"/>
    <s v="Cameroun"/>
    <s v="CMR004"/>
    <s v="Extrême-Nord"/>
    <s v="CMR004005"/>
    <s v="Mayo-Sava"/>
    <s v="CMR004005002"/>
    <s v="Mora"/>
  </r>
  <r>
    <s v="Extrême-Nord"/>
    <s v="CMR004"/>
    <x v="2"/>
    <s v="CMR004002"/>
    <x v="25"/>
    <s v="CMR004002008"/>
    <s v="FOT-0020"/>
    <s v="CHOLOBA"/>
    <m/>
    <x v="0"/>
    <s v="Avant 2020"/>
    <n v="10"/>
    <n v="70"/>
    <x v="0"/>
    <m/>
    <s v="Même arrondissement"/>
    <s v="CMR"/>
    <s v="Cameroun"/>
    <s v="CMR004"/>
    <s v="Extrême-Nord"/>
    <s v="CMR004002"/>
    <s v="Logone-Et-Chari"/>
    <s v="CMR004002008"/>
    <s v="Fotokol"/>
  </r>
  <r>
    <s v="Extrême-Nord"/>
    <s v="CMR004"/>
    <x v="2"/>
    <s v="CMR004002"/>
    <x v="25"/>
    <s v="CMR004002008"/>
    <s v="FOT-0019"/>
    <s v="SITE DE WAROU"/>
    <m/>
    <x v="0"/>
    <s v="Avant 2020"/>
    <n v="16"/>
    <n v="102"/>
    <x v="0"/>
    <m/>
    <s v="Même arrondissement"/>
    <s v="CMR"/>
    <s v="Cameroun"/>
    <s v="CMR004"/>
    <s v="Extrême-Nord"/>
    <s v="CMR004002"/>
    <s v="Logone-Et-Chari"/>
    <s v="CMR004002008"/>
    <s v="Fotokol"/>
  </r>
  <r>
    <s v="Extrême-Nord"/>
    <s v="CMR004"/>
    <x v="4"/>
    <s v="CMR004005"/>
    <x v="17"/>
    <s v="CMR004005002"/>
    <s v="MOR-0019"/>
    <s v="SANDALE 2"/>
    <m/>
    <x v="0"/>
    <s v="Avant 2020"/>
    <n v="187"/>
    <n v="639"/>
    <x v="0"/>
    <m/>
    <s v="Même arrondissement"/>
    <s v="CMR"/>
    <s v="Cameroun"/>
    <s v="CMR004"/>
    <s v="Extrême-Nord"/>
    <s v="CMR004005"/>
    <s v="Mayo-Sava"/>
    <s v="CMR004005002"/>
    <s v="Mora"/>
  </r>
  <r>
    <s v="Extrême-Nord"/>
    <s v="CMR004"/>
    <x v="4"/>
    <s v="CMR004005"/>
    <x v="17"/>
    <s v="CMR004005002"/>
    <s v="MOR-0019"/>
    <s v="SANDALE 2"/>
    <m/>
    <x v="0"/>
    <s v="En 2020"/>
    <n v="65"/>
    <n v="332"/>
    <x v="0"/>
    <m/>
    <s v="Même arrondissement"/>
    <s v="CMR"/>
    <s v="Cameroun"/>
    <s v="CMR004"/>
    <s v="Extrême-Nord"/>
    <s v="CMR004005"/>
    <s v="Mayo-Sava"/>
    <s v="CMR004005002"/>
    <s v="Mora"/>
  </r>
  <r>
    <s v="Extrême-Nord"/>
    <s v="CMR004"/>
    <x v="4"/>
    <s v="CMR004005"/>
    <x v="17"/>
    <s v="CMR004005002"/>
    <s v="MOR-0019"/>
    <s v="SANDALE 2"/>
    <m/>
    <x v="0"/>
    <s v="En 2021"/>
    <n v="9"/>
    <n v="50"/>
    <x v="0"/>
    <m/>
    <s v="Même arrondissement"/>
    <s v="CMR"/>
    <s v="Cameroun"/>
    <s v="CMR004"/>
    <s v="Extrême-Nord"/>
    <s v="CMR004005"/>
    <s v="Mayo-Sava"/>
    <s v="CMR004005002"/>
    <s v="Mora"/>
  </r>
  <r>
    <s v="Extrême-Nord"/>
    <s v="CMR004"/>
    <x v="4"/>
    <s v="CMR004005"/>
    <x v="17"/>
    <s v="CMR004005002"/>
    <s v="MOR-0019"/>
    <s v="SANDALE 2"/>
    <m/>
    <x v="0"/>
    <s v="Janvier - Aout 2022"/>
    <n v="15"/>
    <n v="114"/>
    <x v="0"/>
    <m/>
    <s v="Même arrondissement"/>
    <s v="CMR"/>
    <s v="Cameroun"/>
    <s v="CMR004"/>
    <s v="Extrême-Nord"/>
    <s v="CMR004005"/>
    <s v="Mayo-Sava"/>
    <s v="CMR004005002"/>
    <s v="Mora"/>
  </r>
  <r>
    <s v="Extrême-Nord"/>
    <s v="CMR004"/>
    <x v="4"/>
    <s v="CMR004005"/>
    <x v="17"/>
    <s v="CMR004005002"/>
    <s v="MOR-0019"/>
    <s v="SANDALE 2"/>
    <m/>
    <x v="0"/>
    <s v="Septembre 2022 – Février 2023"/>
    <n v="5"/>
    <n v="33"/>
    <x v="0"/>
    <m/>
    <s v="Même arrondissement"/>
    <s v="CMR"/>
    <s v="Cameroun"/>
    <s v="CMR004"/>
    <s v="Extrême-Nord"/>
    <s v="CMR004005"/>
    <s v="Mayo-Sava"/>
    <s v="CMR004005002"/>
    <s v="Mora"/>
  </r>
  <r>
    <s v="Extrême-Nord"/>
    <s v="CMR004"/>
    <x v="4"/>
    <s v="CMR004005"/>
    <x v="17"/>
    <s v="CMR004005002"/>
    <s v="MOR-0009"/>
    <s v="IGAGOUA 1"/>
    <m/>
    <x v="0"/>
    <s v="Avant 2020"/>
    <n v="117"/>
    <n v="422"/>
    <x v="0"/>
    <m/>
    <s v="Même arrondissement"/>
    <s v="CMR"/>
    <s v="Cameroun"/>
    <s v="CMR004"/>
    <s v="Extrême-Nord"/>
    <s v="CMR004005"/>
    <s v="Mayo-Sava"/>
    <s v="CMR004005002"/>
    <s v="Mora"/>
  </r>
  <r>
    <s v="Extrême-Nord"/>
    <s v="CMR004"/>
    <x v="4"/>
    <s v="CMR004005"/>
    <x v="17"/>
    <s v="CMR004005002"/>
    <s v="MOR-0009"/>
    <s v="IGAGOUA 1"/>
    <m/>
    <x v="0"/>
    <s v="En 2020"/>
    <n v="72"/>
    <n v="390"/>
    <x v="0"/>
    <m/>
    <s v="Même arrondissement"/>
    <s v="CMR"/>
    <s v="Cameroun"/>
    <s v="CMR004"/>
    <s v="Extrême-Nord"/>
    <s v="CMR004005"/>
    <s v="Mayo-Sava"/>
    <s v="CMR004005002"/>
    <s v="Mora"/>
  </r>
  <r>
    <s v="Extrême-Nord"/>
    <s v="CMR004"/>
    <x v="4"/>
    <s v="CMR004005"/>
    <x v="17"/>
    <s v="CMR004005002"/>
    <s v="MOR-0009"/>
    <s v="IGAGOUA 1"/>
    <m/>
    <x v="0"/>
    <s v="En 2021"/>
    <n v="8"/>
    <n v="95"/>
    <x v="0"/>
    <m/>
    <s v="Même arrondissement"/>
    <s v="CMR"/>
    <s v="Cameroun"/>
    <s v="CMR004"/>
    <s v="Extrême-Nord"/>
    <s v="CMR004005"/>
    <s v="Mayo-Sava"/>
    <s v="CMR004005002"/>
    <s v="Mora"/>
  </r>
  <r>
    <s v="Extrême-Nord"/>
    <s v="CMR004"/>
    <x v="4"/>
    <s v="CMR004005"/>
    <x v="17"/>
    <s v="CMR004005002"/>
    <s v="MOR-0009"/>
    <s v="IGAGOUA 1"/>
    <m/>
    <x v="0"/>
    <s v="Janvier - Aout 2022"/>
    <n v="8"/>
    <n v="73"/>
    <x v="0"/>
    <m/>
    <s v="Même arrondissement"/>
    <s v="CMR"/>
    <s v="Cameroun"/>
    <s v="CMR004"/>
    <s v="Extrême-Nord"/>
    <s v="CMR004005"/>
    <s v="Mayo-Sava"/>
    <s v="CMR004005002"/>
    <s v="Mora"/>
  </r>
  <r>
    <s v="Extrême-Nord"/>
    <s v="CMR004"/>
    <x v="4"/>
    <s v="CMR004005"/>
    <x v="17"/>
    <s v="CMR004005002"/>
    <s v="MOR-0009"/>
    <s v="IGAGOUA 1"/>
    <m/>
    <x v="0"/>
    <s v="Septembre 2022 – Février 2023"/>
    <n v="10"/>
    <n v="55"/>
    <x v="0"/>
    <m/>
    <s v="Même arrondissement"/>
    <s v="CMR"/>
    <s v="Cameroun"/>
    <s v="CMR004"/>
    <s v="Extrême-Nord"/>
    <s v="CMR004005"/>
    <s v="Mayo-Sava"/>
    <s v="CMR004005002"/>
    <s v="Mora"/>
  </r>
  <r>
    <s v="Extrême-Nord"/>
    <s v="CMR004"/>
    <x v="4"/>
    <s v="CMR004005"/>
    <x v="17"/>
    <s v="CMR004005002"/>
    <s v="MOR-0012"/>
    <s v="MASSARE 1"/>
    <m/>
    <x v="0"/>
    <s v="Avant 2020"/>
    <n v="122"/>
    <n v="281"/>
    <x v="0"/>
    <m/>
    <s v="Même arrondissement"/>
    <s v="CMR"/>
    <s v="Cameroun"/>
    <s v="CMR004"/>
    <s v="Extrême-Nord"/>
    <s v="CMR004005"/>
    <s v="Mayo-Sava"/>
    <s v="CMR004005002"/>
    <s v="Mora"/>
  </r>
  <r>
    <s v="Extrême-Nord"/>
    <s v="CMR004"/>
    <x v="4"/>
    <s v="CMR004005"/>
    <x v="17"/>
    <s v="CMR004005002"/>
    <s v="MOR-0012"/>
    <s v="MASSARE 1"/>
    <m/>
    <x v="0"/>
    <s v="En 2020"/>
    <n v="20"/>
    <n v="172"/>
    <x v="0"/>
    <m/>
    <s v="Même arrondissement"/>
    <s v="CMR"/>
    <s v="Cameroun"/>
    <s v="CMR004"/>
    <s v="Extrême-Nord"/>
    <s v="CMR004005"/>
    <s v="Mayo-Sava"/>
    <s v="CMR004005002"/>
    <s v="Mora"/>
  </r>
  <r>
    <s v="Extrême-Nord"/>
    <s v="CMR004"/>
    <x v="4"/>
    <s v="CMR004005"/>
    <x v="17"/>
    <s v="CMR004005002"/>
    <s v="MOR-0012"/>
    <s v="MASSARE 1"/>
    <m/>
    <x v="0"/>
    <s v="En 2021"/>
    <n v="17"/>
    <n v="140"/>
    <x v="0"/>
    <m/>
    <s v="Même arrondissement"/>
    <s v="CMR"/>
    <s v="Cameroun"/>
    <s v="CMR004"/>
    <s v="Extrême-Nord"/>
    <s v="CMR004005"/>
    <s v="Mayo-Sava"/>
    <s v="CMR004005002"/>
    <s v="Mora"/>
  </r>
  <r>
    <s v="Extrême-Nord"/>
    <s v="CMR004"/>
    <x v="4"/>
    <s v="CMR004005"/>
    <x v="17"/>
    <s v="CMR004005002"/>
    <s v="MOR-0012"/>
    <s v="MASSARE 1"/>
    <m/>
    <x v="0"/>
    <s v="Janvier - Aout 2022"/>
    <n v="0"/>
    <n v="18"/>
    <x v="0"/>
    <m/>
    <s v="Même arrondissement"/>
    <s v="CMR"/>
    <s v="Cameroun"/>
    <s v="CMR004"/>
    <s v="Extrême-Nord"/>
    <s v="CMR004005"/>
    <s v="Mayo-Sava"/>
    <s v="CMR004005002"/>
    <s v="Mora"/>
  </r>
  <r>
    <s v="Extrême-Nord"/>
    <s v="CMR004"/>
    <x v="4"/>
    <s v="CMR004005"/>
    <x v="17"/>
    <s v="CMR004005002"/>
    <s v="MOR-0012"/>
    <s v="MASSARE 1"/>
    <m/>
    <x v="0"/>
    <s v="Septembre 2022 – Février 2023"/>
    <n v="0"/>
    <n v="15"/>
    <x v="0"/>
    <m/>
    <s v="Même arrondissement"/>
    <s v="CMR"/>
    <s v="Cameroun"/>
    <s v="CMR004"/>
    <s v="Extrême-Nord"/>
    <s v="CMR004005"/>
    <s v="Mayo-Sava"/>
    <s v="CMR004005002"/>
    <s v="Mora"/>
  </r>
  <r>
    <s v="Extrême-Nord"/>
    <s v="CMR004"/>
    <x v="4"/>
    <s v="CMR004005"/>
    <x v="17"/>
    <s v="CMR004005002"/>
    <s v="MOR-0054"/>
    <s v="YALA YALTA"/>
    <m/>
    <x v="0"/>
    <s v="Avant 2020"/>
    <n v="72"/>
    <n v="189"/>
    <x v="0"/>
    <m/>
    <s v="Même arrondissement"/>
    <s v="CMR"/>
    <s v="Cameroun"/>
    <s v="CMR004"/>
    <s v="Extrême-Nord"/>
    <s v="CMR004005"/>
    <s v="Mayo-Sava"/>
    <s v="CMR004005002"/>
    <s v="Mora"/>
  </r>
  <r>
    <s v="Extrême-Nord"/>
    <s v="CMR004"/>
    <x v="4"/>
    <s v="CMR004005"/>
    <x v="17"/>
    <s v="CMR004005002"/>
    <s v="MOR-0054"/>
    <s v="YALA YALTA"/>
    <m/>
    <x v="0"/>
    <s v="En 2020"/>
    <n v="8"/>
    <n v="44"/>
    <x v="0"/>
    <m/>
    <s v="Même arrondissement"/>
    <s v="CMR"/>
    <s v="Cameroun"/>
    <s v="CMR004"/>
    <s v="Extrême-Nord"/>
    <s v="CMR004005"/>
    <s v="Mayo-Sava"/>
    <s v="CMR004005002"/>
    <s v="Mora"/>
  </r>
  <r>
    <s v="Extrême-Nord"/>
    <s v="CMR004"/>
    <x v="4"/>
    <s v="CMR004005"/>
    <x v="17"/>
    <s v="CMR004005002"/>
    <s v="MOR-0054"/>
    <s v="YALA YALTA"/>
    <m/>
    <x v="0"/>
    <s v="En 2021"/>
    <n v="3"/>
    <n v="37"/>
    <x v="0"/>
    <m/>
    <s v="Même arrondissement"/>
    <s v="CMR"/>
    <s v="Cameroun"/>
    <s v="CMR004"/>
    <s v="Extrême-Nord"/>
    <s v="CMR004005"/>
    <s v="Mayo-Sava"/>
    <s v="CMR004005002"/>
    <s v="Mora"/>
  </r>
  <r>
    <s v="Extrême-Nord"/>
    <s v="CMR004"/>
    <x v="4"/>
    <s v="CMR004005"/>
    <x v="17"/>
    <s v="CMR004005002"/>
    <s v="MOR-0054"/>
    <s v="YALA YALTA"/>
    <m/>
    <x v="0"/>
    <s v="Janvier - Aout 2022"/>
    <n v="21"/>
    <n v="145"/>
    <x v="0"/>
    <m/>
    <s v="Même arrondissement"/>
    <s v="CMR"/>
    <s v="Cameroun"/>
    <s v="CMR004"/>
    <s v="Extrême-Nord"/>
    <s v="CMR004005"/>
    <s v="Mayo-Sava"/>
    <s v="CMR004005002"/>
    <s v="Mora"/>
  </r>
  <r>
    <s v="Extrême-Nord"/>
    <s v="CMR004"/>
    <x v="4"/>
    <s v="CMR004005"/>
    <x v="17"/>
    <s v="CMR004005002"/>
    <s v="MOR-0054"/>
    <s v="YALA YALTA"/>
    <m/>
    <x v="0"/>
    <s v="Septembre 2022 – Février 2023"/>
    <n v="10"/>
    <n v="100"/>
    <x v="0"/>
    <m/>
    <s v="Même arrondissement"/>
    <s v="CMR"/>
    <s v="Cameroun"/>
    <s v="CMR004"/>
    <s v="Extrême-Nord"/>
    <s v="CMR004005"/>
    <s v="Mayo-Sava"/>
    <s v="CMR004005002"/>
    <s v="Mora"/>
  </r>
  <r>
    <s v="Extrême-Nord"/>
    <s v="CMR004"/>
    <x v="4"/>
    <s v="CMR004005"/>
    <x v="17"/>
    <s v="CMR004005002"/>
    <s v="MOR-0066"/>
    <s v="MANGAVE YANOUSSE"/>
    <m/>
    <x v="0"/>
    <s v="En 2020"/>
    <n v="45"/>
    <n v="200"/>
    <x v="0"/>
    <m/>
    <s v="Même arrondissement"/>
    <s v="CMR"/>
    <s v="Cameroun"/>
    <s v="CMR004"/>
    <s v="Extrême-Nord"/>
    <s v="CMR004005"/>
    <s v="Mayo-Sava"/>
    <s v="CMR004005002"/>
    <s v="Mora"/>
  </r>
  <r>
    <s v="Extrême-Nord"/>
    <s v="CMR004"/>
    <x v="4"/>
    <s v="CMR004005"/>
    <x v="17"/>
    <s v="CMR004005002"/>
    <s v="MOR-0066"/>
    <s v="MANGAVE YANOUSSE"/>
    <m/>
    <x v="0"/>
    <s v="En 2021"/>
    <n v="0"/>
    <n v="9"/>
    <x v="0"/>
    <m/>
    <s v="Même arrondissement"/>
    <s v="CMR"/>
    <s v="Cameroun"/>
    <s v="CMR004"/>
    <s v="Extrême-Nord"/>
    <s v="CMR004005"/>
    <s v="Mayo-Sava"/>
    <s v="CMR004005002"/>
    <s v="Mora"/>
  </r>
  <r>
    <s v="Extrême-Nord"/>
    <s v="CMR004"/>
    <x v="4"/>
    <s v="CMR004005"/>
    <x v="17"/>
    <s v="CMR004005002"/>
    <s v="MOR-0066"/>
    <s v="MANGAVE YANOUSSE"/>
    <m/>
    <x v="0"/>
    <s v="Janvier - Aout 2022"/>
    <n v="0"/>
    <n v="7"/>
    <x v="0"/>
    <m/>
    <s v="Même arrondissement"/>
    <s v="CMR"/>
    <s v="Cameroun"/>
    <s v="CMR004"/>
    <s v="Extrême-Nord"/>
    <s v="CMR004005"/>
    <s v="Mayo-Sava"/>
    <s v="CMR004005002"/>
    <s v="Mora"/>
  </r>
  <r>
    <s v="Extrême-Nord"/>
    <s v="CMR004"/>
    <x v="4"/>
    <s v="CMR004005"/>
    <x v="17"/>
    <s v="CMR004005002"/>
    <s v="MOR-0016"/>
    <s v="OUDJILA"/>
    <m/>
    <x v="0"/>
    <s v="Avant 2020"/>
    <n v="41"/>
    <n v="297"/>
    <x v="0"/>
    <m/>
    <s v="Même arrondissement"/>
    <s v="CMR"/>
    <s v="Cameroun"/>
    <s v="CMR004"/>
    <s v="Extrême-Nord"/>
    <s v="CMR004005"/>
    <s v="Mayo-Sava"/>
    <s v="CMR004005002"/>
    <s v="Mora"/>
  </r>
  <r>
    <s v="Extrême-Nord"/>
    <s v="CMR004"/>
    <x v="4"/>
    <s v="CMR004005"/>
    <x v="17"/>
    <s v="CMR004005002"/>
    <s v="MOR-0016"/>
    <s v="OUDJILA"/>
    <m/>
    <x v="0"/>
    <s v="En 2020"/>
    <n v="50"/>
    <n v="142"/>
    <x v="0"/>
    <m/>
    <s v="Même arrondissement"/>
    <s v="CMR"/>
    <s v="Cameroun"/>
    <s v="CMR004"/>
    <s v="Extrême-Nord"/>
    <s v="CMR004005"/>
    <s v="Mayo-Sava"/>
    <s v="CMR004005002"/>
    <s v="Mora"/>
  </r>
  <r>
    <s v="Extrême-Nord"/>
    <s v="CMR004"/>
    <x v="4"/>
    <s v="CMR004005"/>
    <x v="17"/>
    <s v="CMR004005002"/>
    <s v="MOR-0016"/>
    <s v="OUDJILA"/>
    <m/>
    <x v="0"/>
    <s v="En 2021"/>
    <n v="40"/>
    <n v="181"/>
    <x v="0"/>
    <m/>
    <s v="Même arrondissement"/>
    <s v="CMR"/>
    <s v="Cameroun"/>
    <s v="CMR004"/>
    <s v="Extrême-Nord"/>
    <s v="CMR004005"/>
    <s v="Mayo-Sava"/>
    <s v="CMR004005002"/>
    <s v="Mora"/>
  </r>
  <r>
    <s v="Extrême-Nord"/>
    <s v="CMR004"/>
    <x v="4"/>
    <s v="CMR004005"/>
    <x v="17"/>
    <s v="CMR004005002"/>
    <s v="MOR-0016"/>
    <s v="OUDJILA"/>
    <m/>
    <x v="0"/>
    <s v="Janvier - Aout 2022"/>
    <n v="0"/>
    <n v="38"/>
    <x v="0"/>
    <m/>
    <s v="Même arrondissement"/>
    <s v="CMR"/>
    <s v="Cameroun"/>
    <s v="CMR004"/>
    <s v="Extrême-Nord"/>
    <s v="CMR004005"/>
    <s v="Mayo-Sava"/>
    <s v="CMR004005002"/>
    <s v="Mora"/>
  </r>
  <r>
    <s v="Extrême-Nord"/>
    <s v="CMR004"/>
    <x v="4"/>
    <s v="CMR004005"/>
    <x v="17"/>
    <s v="CMR004005002"/>
    <s v="MOR-0016"/>
    <s v="OUDJILA"/>
    <m/>
    <x v="0"/>
    <s v="Septembre 2022 – Février 2023"/>
    <n v="4"/>
    <n v="24"/>
    <x v="0"/>
    <m/>
    <s v="Même arrondissement"/>
    <s v="CMR"/>
    <s v="Cameroun"/>
    <s v="CMR004"/>
    <s v="Extrême-Nord"/>
    <s v="CMR004005"/>
    <s v="Mayo-Sava"/>
    <s v="CMR004005002"/>
    <s v="Mora"/>
  </r>
  <r>
    <s v="Extrême-Nord"/>
    <s v="CMR004"/>
    <x v="2"/>
    <s v="CMR004002"/>
    <x v="8"/>
    <s v="CMR004002009"/>
    <s v="MAK-0132"/>
    <s v="DILEBE"/>
    <m/>
    <x v="0"/>
    <s v="Avant 2020"/>
    <n v="3"/>
    <n v="43"/>
    <x v="0"/>
    <m/>
    <s v="Même département, autre arrondissement"/>
    <s v="CMR"/>
    <s v="Cameroun"/>
    <s v="CMR004"/>
    <s v="Extrême-Nord"/>
    <s v="CMR004002"/>
    <s v="Logone-Et-Chari"/>
    <s v="CMR004002008"/>
    <s v="Fotokol"/>
  </r>
  <r>
    <s v="Extrême-Nord"/>
    <s v="CMR004"/>
    <x v="2"/>
    <s v="CMR004002"/>
    <x v="8"/>
    <s v="CMR004002009"/>
    <s v="MAK-0132"/>
    <s v="DILEBE"/>
    <m/>
    <x v="0"/>
    <s v="En 2021"/>
    <n v="0"/>
    <n v="6"/>
    <x v="0"/>
    <m/>
    <s v="Même département, autre arrondissement"/>
    <s v="CMR"/>
    <s v="Cameroun"/>
    <s v="CMR004"/>
    <s v="Extrême-Nord"/>
    <s v="CMR004002"/>
    <s v="Logone-Et-Chari"/>
    <m/>
    <s v="Hile-Alifa"/>
  </r>
  <r>
    <s v="Extrême-Nord"/>
    <s v="CMR004"/>
    <x v="2"/>
    <s v="CMR004002"/>
    <x v="8"/>
    <s v="CMR004002009"/>
    <s v="MAK-0132"/>
    <s v="DILEBE"/>
    <m/>
    <x v="0"/>
    <s v="Janvier - Aout 2022"/>
    <n v="0"/>
    <n v="2"/>
    <x v="0"/>
    <m/>
    <s v="Même département, autre arrondissement"/>
    <s v="CMR"/>
    <s v="Cameroun"/>
    <s v="CMR004"/>
    <s v="Extrême-Nord"/>
    <s v="CMR004002"/>
    <s v="Logone-Et-Chari"/>
    <s v="CMR004002008"/>
    <s v="Fotokol"/>
  </r>
  <r>
    <s v="Extrême-Nord"/>
    <s v="CMR004"/>
    <x v="2"/>
    <s v="CMR004002"/>
    <x v="8"/>
    <s v="CMR004002009"/>
    <s v="MAK-0143"/>
    <s v="NDARKA"/>
    <m/>
    <x v="0"/>
    <s v="Avant 2020"/>
    <n v="8"/>
    <n v="42"/>
    <x v="0"/>
    <m/>
    <s v="Même département, autre arrondissement"/>
    <s v="CMR"/>
    <s v="Cameroun"/>
    <s v="CMR004"/>
    <s v="Extrême-Nord"/>
    <s v="CMR004002"/>
    <s v="Logone-Et-Chari"/>
    <s v="CMR004002008"/>
    <s v="Fotokol"/>
  </r>
  <r>
    <s v="Extrême-Nord"/>
    <s v="CMR004"/>
    <x v="2"/>
    <s v="CMR004002"/>
    <x v="8"/>
    <s v="CMR004002009"/>
    <s v="MAK-0143"/>
    <s v="NDARKA"/>
    <m/>
    <x v="0"/>
    <s v="En 2020"/>
    <n v="3"/>
    <n v="42"/>
    <x v="0"/>
    <m/>
    <s v="Même département, autre arrondissement"/>
    <s v="CMR"/>
    <s v="Cameroun"/>
    <s v="CMR004"/>
    <s v="Extrême-Nord"/>
    <s v="CMR004002"/>
    <s v="Logone-Et-Chari"/>
    <s v="CMR004002008"/>
    <s v="Fotokol"/>
  </r>
  <r>
    <s v="Extrême-Nord"/>
    <s v="CMR004"/>
    <x v="2"/>
    <s v="CMR004002"/>
    <x v="8"/>
    <s v="CMR004002009"/>
    <s v="MAK-0143"/>
    <s v="NDARKA"/>
    <m/>
    <x v="0"/>
    <s v="En 2021"/>
    <n v="2"/>
    <n v="11"/>
    <x v="0"/>
    <m/>
    <s v="Même arrondissement"/>
    <s v="CMR"/>
    <s v="Cameroun"/>
    <s v="CMR004"/>
    <s v="Extrême-Nord"/>
    <s v="CMR004002"/>
    <s v="Logone-Et-Chari"/>
    <s v="CMR004002009"/>
    <s v="Makary"/>
  </r>
  <r>
    <s v="Extrême-Nord"/>
    <s v="CMR004"/>
    <x v="2"/>
    <s v="CMR004002"/>
    <x v="8"/>
    <s v="CMR004002009"/>
    <s v="MAK-0143"/>
    <s v="NDARKA"/>
    <m/>
    <x v="0"/>
    <s v="Janvier - Aout 2022"/>
    <n v="15"/>
    <n v="63"/>
    <x v="1"/>
    <m/>
    <s v="Même département, autre arrondissement"/>
    <s v="CMR"/>
    <s v="Cameroun"/>
    <s v="CMR004"/>
    <s v="Extrême-Nord"/>
    <s v="CMR004002"/>
    <s v="Logone-Et-Chari"/>
    <s v="CMR004002004"/>
    <s v="Logone-Birni"/>
  </r>
  <r>
    <s v="Extrême-Nord"/>
    <s v="CMR004"/>
    <x v="2"/>
    <s v="CMR004002"/>
    <x v="8"/>
    <s v="CMR004002009"/>
    <s v="MAK-0075"/>
    <s v="NDEGO 4"/>
    <m/>
    <x v="0"/>
    <s v="Avant 2020"/>
    <n v="4"/>
    <n v="31"/>
    <x v="0"/>
    <m/>
    <s v="Même département, autre arrondissement"/>
    <s v="CMR"/>
    <s v="Cameroun"/>
    <s v="CMR004"/>
    <s v="Extrême-Nord"/>
    <s v="CMR004002"/>
    <s v="Logone-Et-Chari"/>
    <m/>
    <s v="Hile-Alifa"/>
  </r>
  <r>
    <s v="Extrême-Nord"/>
    <s v="CMR004"/>
    <x v="2"/>
    <s v="CMR004002"/>
    <x v="8"/>
    <s v="CMR004002009"/>
    <s v="MAK-0075"/>
    <s v="NDEGO 4"/>
    <m/>
    <x v="0"/>
    <s v="Janvier - Aout 2022"/>
    <n v="7"/>
    <n v="24"/>
    <x v="0"/>
    <m/>
    <s v="Même département, autre arrondissement"/>
    <s v="CMR"/>
    <s v="Cameroun"/>
    <s v="CMR004"/>
    <s v="Extrême-Nord"/>
    <s v="CMR004002"/>
    <s v="Logone-Et-Chari"/>
    <m/>
    <s v="Hile-Alifa"/>
  </r>
  <r>
    <s v="Extrême-Nord"/>
    <s v="CMR004"/>
    <x v="2"/>
    <s v="CMR004002"/>
    <x v="8"/>
    <s v="CMR004002009"/>
    <s v="MAK-0075"/>
    <s v="NDEGO 4"/>
    <m/>
    <x v="0"/>
    <s v="Septembre 2022 – Février 2023"/>
    <n v="11"/>
    <n v="31"/>
    <x v="0"/>
    <m/>
    <s v="Même département, autre arrondissement"/>
    <s v="CMR"/>
    <s v="Cameroun"/>
    <s v="CMR004"/>
    <s v="Extrême-Nord"/>
    <s v="CMR004002"/>
    <s v="Logone-Et-Chari"/>
    <s v="CMR004002007"/>
    <s v="Darak"/>
  </r>
  <r>
    <s v="Extrême-Nord"/>
    <s v="CMR004"/>
    <x v="2"/>
    <s v="CMR004002"/>
    <x v="8"/>
    <s v="CMR004002009"/>
    <s v="MAK-0074"/>
    <s v="NDEGO 1"/>
    <m/>
    <x v="0"/>
    <s v="En 2021"/>
    <n v="4"/>
    <n v="15"/>
    <x v="0"/>
    <m/>
    <s v="Même arrondissement"/>
    <s v="CMR"/>
    <s v="Cameroun"/>
    <s v="CMR004"/>
    <s v="Extrême-Nord"/>
    <s v="CMR004002"/>
    <s v="Logone-Et-Chari"/>
    <s v="CMR004002009"/>
    <s v="Makary"/>
  </r>
  <r>
    <s v="Extrême-Nord"/>
    <s v="CMR004"/>
    <x v="2"/>
    <s v="CMR004002"/>
    <x v="8"/>
    <s v="CMR004002009"/>
    <s v="MAK-0074"/>
    <s v="NDEGO 1"/>
    <m/>
    <x v="0"/>
    <s v="En 2020"/>
    <n v="27"/>
    <n v="120"/>
    <x v="0"/>
    <m/>
    <s v="Même département, autre arrondissement"/>
    <s v="CMR"/>
    <s v="Cameroun"/>
    <s v="CMR004"/>
    <s v="Extrême-Nord"/>
    <s v="CMR004002"/>
    <s v="Logone-Et-Chari"/>
    <s v="CMR004002008"/>
    <s v="Fotokol"/>
  </r>
  <r>
    <s v="Extrême-Nord"/>
    <s v="CMR004"/>
    <x v="2"/>
    <s v="CMR004002"/>
    <x v="8"/>
    <s v="CMR004002009"/>
    <s v="MAK-0109"/>
    <s v="GALE-GALE"/>
    <m/>
    <x v="0"/>
    <s v="Janvier - Aout 2022"/>
    <n v="7"/>
    <n v="107"/>
    <x v="0"/>
    <m/>
    <s v="Même arrondissement"/>
    <s v="CMR"/>
    <s v="Cameroun"/>
    <s v="CMR004"/>
    <s v="Extrême-Nord"/>
    <s v="CMR004002"/>
    <s v="Logone-Et-Chari"/>
    <s v="CMR004002009"/>
    <s v="Makary"/>
  </r>
  <r>
    <s v="Extrême-Nord"/>
    <s v="CMR004"/>
    <x v="2"/>
    <s v="CMR004002"/>
    <x v="8"/>
    <s v="CMR004002009"/>
    <s v="MAK-0137"/>
    <s v="GOULOUMBO"/>
    <m/>
    <x v="0"/>
    <s v="Janvier - Aout 2022"/>
    <n v="11"/>
    <n v="112"/>
    <x v="0"/>
    <m/>
    <s v="Même arrondissement"/>
    <s v="CMR"/>
    <s v="Cameroun"/>
    <s v="CMR004"/>
    <s v="Extrême-Nord"/>
    <s v="CMR004002"/>
    <s v="Logone-Et-Chari"/>
    <s v="CMR004002009"/>
    <s v="Makary"/>
  </r>
  <r>
    <s v="Extrême-Nord"/>
    <s v="CMR004"/>
    <x v="2"/>
    <s v="CMR004002"/>
    <x v="8"/>
    <s v="CMR004002009"/>
    <s v="MAK-0187"/>
    <s v="HEREDIBE MOUSSA"/>
    <m/>
    <x v="0"/>
    <s v="Janvier - Aout 2022"/>
    <n v="7"/>
    <n v="74"/>
    <x v="0"/>
    <m/>
    <s v="Même arrondissement"/>
    <s v="CMR"/>
    <s v="Cameroun"/>
    <s v="CMR004"/>
    <s v="Extrême-Nord"/>
    <s v="CMR004002"/>
    <s v="Logone-Et-Chari"/>
    <s v="CMR004002009"/>
    <s v="Makary"/>
  </r>
  <r>
    <s v="Extrême-Nord"/>
    <s v="CMR004"/>
    <x v="2"/>
    <s v="CMR004002"/>
    <x v="8"/>
    <s v="CMR004002009"/>
    <s v="MAK-0142"/>
    <s v="MONGNOKO"/>
    <m/>
    <x v="0"/>
    <s v="Janvier - Aout 2022"/>
    <n v="35"/>
    <n v="330"/>
    <x v="0"/>
    <m/>
    <s v="Même arrondissement"/>
    <s v="CMR"/>
    <s v="Cameroun"/>
    <s v="CMR004"/>
    <s v="Extrême-Nord"/>
    <s v="CMR004002"/>
    <s v="Logone-Et-Chari"/>
    <s v="CMR004002009"/>
    <s v="Makary"/>
  </r>
  <r>
    <s v="Extrême-Nord"/>
    <s v="CMR004"/>
    <x v="2"/>
    <s v="CMR004002"/>
    <x v="8"/>
    <s v="CMR004002009"/>
    <s v="MAK-0176"/>
    <s v="NAÏRA"/>
    <m/>
    <x v="0"/>
    <s v="Janvier - Aout 2022"/>
    <n v="20"/>
    <n v="112"/>
    <x v="0"/>
    <m/>
    <s v="Même département, autre arrondissement"/>
    <s v="CMR"/>
    <s v="Cameroun"/>
    <s v="CMR004"/>
    <s v="Extrême-Nord"/>
    <s v="CMR004002"/>
    <s v="Logone-Et-Chari"/>
    <s v="CMR004002007"/>
    <s v="Darak"/>
  </r>
  <r>
    <s v="Extrême-Nord"/>
    <s v="CMR004"/>
    <x v="2"/>
    <s v="CMR004002"/>
    <x v="8"/>
    <s v="CMR004002009"/>
    <s v="MAK-0176"/>
    <s v="NAÏRA"/>
    <m/>
    <x v="0"/>
    <s v="Septembre 2022 – Février 2023"/>
    <n v="9"/>
    <n v="53"/>
    <x v="3"/>
    <m/>
    <s v="Même département, autre arrondissement"/>
    <s v="CMR"/>
    <s v="Cameroun"/>
    <s v="CMR004"/>
    <s v="Extrême-Nord"/>
    <s v="CMR004002"/>
    <s v="Logone-Et-Chari"/>
    <s v="CMR004002007"/>
    <s v="Darak"/>
  </r>
  <r>
    <s v="Extrême-Nord"/>
    <s v="CMR004"/>
    <x v="2"/>
    <s v="CMR004002"/>
    <x v="8"/>
    <s v="CMR004002009"/>
    <s v="MAK-0168"/>
    <s v="FADJE ADOUM"/>
    <m/>
    <x v="0"/>
    <s v="Janvier - Aout 2022"/>
    <n v="13"/>
    <n v="90"/>
    <x v="0"/>
    <m/>
    <s v="Même département, autre arrondissement"/>
    <s v="CMR"/>
    <s v="Cameroun"/>
    <s v="CMR004"/>
    <s v="Extrême-Nord"/>
    <s v="CMR004002"/>
    <s v="Logone-Et-Chari"/>
    <s v="CMR004002007"/>
    <s v="Darak"/>
  </r>
  <r>
    <s v="Extrême-Nord"/>
    <s v="CMR004"/>
    <x v="2"/>
    <s v="CMR004002"/>
    <x v="8"/>
    <s v="CMR004002009"/>
    <s v="MAK-0218"/>
    <s v="HABOBA"/>
    <m/>
    <x v="0"/>
    <s v="Janvier - Aout 2022"/>
    <n v="2"/>
    <n v="8"/>
    <x v="0"/>
    <m/>
    <s v="Même département, autre arrondissement"/>
    <s v="CMR"/>
    <s v="Cameroun"/>
    <s v="CMR004"/>
    <s v="Extrême-Nord"/>
    <s v="CMR004002"/>
    <s v="Logone-Et-Chari"/>
    <s v="CMR004002007"/>
    <s v="Darak"/>
  </r>
  <r>
    <s v="Extrême-Nord"/>
    <s v="CMR004"/>
    <x v="2"/>
    <s v="CMR004002"/>
    <x v="15"/>
    <s v="CMR004002004"/>
    <s v="LBI-0036"/>
    <s v="DOKI"/>
    <m/>
    <x v="0"/>
    <s v="Avant 2020"/>
    <n v="8"/>
    <n v="53"/>
    <x v="0"/>
    <m/>
    <s v="Même arrondissement"/>
    <s v="CMR"/>
    <s v="Cameroun"/>
    <s v="CMR004"/>
    <s v="Extrême-Nord"/>
    <s v="CMR004002"/>
    <s v="Logone-Et-Chari"/>
    <s v="CMR004002004"/>
    <s v="Logone-Birni"/>
  </r>
  <r>
    <s v="Extrême-Nord"/>
    <s v="CMR004"/>
    <x v="2"/>
    <s v="CMR004002"/>
    <x v="15"/>
    <s v="CMR004002004"/>
    <s v="LBI-0048"/>
    <s v="DABANGA ARDEBE"/>
    <m/>
    <x v="0"/>
    <s v="En 2021"/>
    <n v="3"/>
    <n v="18"/>
    <x v="0"/>
    <m/>
    <s v="Même arrondissement"/>
    <s v="CMR"/>
    <s v="Cameroun"/>
    <s v="CMR004"/>
    <s v="Extrême-Nord"/>
    <s v="CMR004002"/>
    <s v="Logone-Et-Chari"/>
    <s v="CMR004002004"/>
    <s v="Logone-Birni"/>
  </r>
  <r>
    <s v="Extrême-Nord"/>
    <s v="CMR004"/>
    <x v="2"/>
    <s v="CMR004002"/>
    <x v="15"/>
    <s v="CMR004002004"/>
    <s v="LBI-0049"/>
    <s v="DABANGA MOULHIYE"/>
    <m/>
    <x v="0"/>
    <s v="Avant 2020"/>
    <n v="10"/>
    <n v="58"/>
    <x v="0"/>
    <m/>
    <s v="Même arrondissement"/>
    <s v="CMR"/>
    <s v="Cameroun"/>
    <s v="CMR004"/>
    <s v="Extrême-Nord"/>
    <s v="CMR004002"/>
    <s v="Logone-Et-Chari"/>
    <s v="CMR004002004"/>
    <s v="Logone-Birni"/>
  </r>
  <r>
    <s v="Extrême-Nord"/>
    <s v="CMR004"/>
    <x v="2"/>
    <s v="CMR004002"/>
    <x v="15"/>
    <s v="CMR004002004"/>
    <s v="LBI-0049"/>
    <s v="DABANGA MOULHIYE"/>
    <m/>
    <x v="0"/>
    <s v="En 2021"/>
    <n v="20"/>
    <n v="125"/>
    <x v="0"/>
    <m/>
    <s v="Même arrondissement"/>
    <s v="CMR"/>
    <s v="Cameroun"/>
    <s v="CMR004"/>
    <s v="Extrême-Nord"/>
    <s v="CMR004002"/>
    <s v="Logone-Et-Chari"/>
    <s v="CMR004002004"/>
    <s v="Logone-Birni"/>
  </r>
  <r>
    <s v="Extrême-Nord"/>
    <s v="CMR004"/>
    <x v="2"/>
    <s v="CMR004002"/>
    <x v="15"/>
    <s v="CMR004002004"/>
    <s v="LBI-0001"/>
    <s v="KABO"/>
    <m/>
    <x v="0"/>
    <s v="Avant 2020"/>
    <n v="116"/>
    <n v="778"/>
    <x v="0"/>
    <m/>
    <s v="Même arrondissement"/>
    <s v="CMR"/>
    <s v="Cameroun"/>
    <s v="CMR004"/>
    <s v="Extrême-Nord"/>
    <s v="CMR004002"/>
    <s v="Logone-Et-Chari"/>
    <s v="CMR004002004"/>
    <s v="Logone-Birni"/>
  </r>
  <r>
    <s v="Extrême-Nord"/>
    <s v="CMR004"/>
    <x v="1"/>
    <s v="CMR004006"/>
    <x v="14"/>
    <s v="CMR004006007"/>
    <s v="BOU-0002"/>
    <s v="GAMBOURA"/>
    <m/>
    <x v="0"/>
    <s v="Septembre 2022 – Février 2023"/>
    <n v="2"/>
    <n v="7"/>
    <x v="0"/>
    <m/>
    <s v="Même département, autre arrondissement"/>
    <s v="CMR"/>
    <s v="Cameroun"/>
    <s v="CMR004"/>
    <s v="Extrême-Nord"/>
    <s v="CMR004006"/>
    <s v="Mayo-Tsanaga"/>
    <s v="CMR004006002"/>
    <s v="Mokolo"/>
  </r>
  <r>
    <s v="Extrême-Nord"/>
    <s v="CMR004"/>
    <x v="2"/>
    <s v="CMR004002"/>
    <x v="15"/>
    <s v="CMR004002004"/>
    <s v="LBI-0046"/>
    <s v="DABANGA 2"/>
    <m/>
    <x v="0"/>
    <s v="En 2021"/>
    <n v="10"/>
    <n v="85"/>
    <x v="0"/>
    <m/>
    <s v="Même arrondissement"/>
    <s v="CMR"/>
    <s v="Cameroun"/>
    <s v="CMR004"/>
    <s v="Extrême-Nord"/>
    <s v="CMR004002"/>
    <s v="Logone-Et-Chari"/>
    <s v="CMR004002004"/>
    <s v="Logone-Birni"/>
  </r>
  <r>
    <s v="Extrême-Nord"/>
    <s v="CMR004"/>
    <x v="2"/>
    <s v="CMR004002"/>
    <x v="15"/>
    <s v="CMR004002004"/>
    <s v="LBI-0046"/>
    <s v="DABANGA 2"/>
    <m/>
    <x v="0"/>
    <s v="Avant 2020"/>
    <n v="15"/>
    <n v="130"/>
    <x v="0"/>
    <m/>
    <s v="Même arrondissement"/>
    <s v="CMR"/>
    <s v="Cameroun"/>
    <s v="CMR004"/>
    <s v="Extrême-Nord"/>
    <s v="CMR004002"/>
    <s v="Logone-Et-Chari"/>
    <s v="CMR004002004"/>
    <s v="Logone-Birni"/>
  </r>
  <r>
    <s v="Extrême-Nord"/>
    <s v="CMR004"/>
    <x v="2"/>
    <s v="CMR004002"/>
    <x v="15"/>
    <s v="CMR004002004"/>
    <s v="XXXX"/>
    <s v="SITE DE SALERI"/>
    <s v="SITE DE SALERI"/>
    <x v="0"/>
    <s v="Avant 2020"/>
    <n v="82"/>
    <n v="567"/>
    <x v="0"/>
    <m/>
    <s v="Même arrondissement"/>
    <s v="CMR"/>
    <s v="Cameroun"/>
    <s v="CMR004"/>
    <s v="Extrême-Nord"/>
    <s v="CMR004002"/>
    <s v="Logone-Et-Chari"/>
    <s v="CMR004002004"/>
    <s v="Logone-Birni"/>
  </r>
  <r>
    <s v="Extrême-Nord"/>
    <s v="CMR004"/>
    <x v="2"/>
    <s v="CMR004002"/>
    <x v="15"/>
    <s v="CMR004002004"/>
    <s v="XXXX"/>
    <s v="SITE DE TABOYE"/>
    <s v="SITE DE TABOYE"/>
    <x v="0"/>
    <s v="Avant 2020"/>
    <n v="74"/>
    <n v="612"/>
    <x v="0"/>
    <m/>
    <s v="Même arrondissement"/>
    <s v="CMR"/>
    <s v="Cameroun"/>
    <s v="CMR004"/>
    <s v="Extrême-Nord"/>
    <s v="CMR004002"/>
    <s v="Logone-Et-Chari"/>
    <s v="CMR004002004"/>
    <s v="Logone-Birni"/>
  </r>
  <r>
    <s v="Extrême-Nord"/>
    <s v="CMR004"/>
    <x v="2"/>
    <s v="CMR004002"/>
    <x v="15"/>
    <s v="CMR004002004"/>
    <s v="XXXX"/>
    <s v="SITE DE TABOYE"/>
    <s v="SITE DE TABOYE"/>
    <x v="0"/>
    <s v="En 2020"/>
    <n v="0"/>
    <n v="10"/>
    <x v="0"/>
    <m/>
    <s v="Même arrondissement"/>
    <s v="CMR"/>
    <s v="Cameroun"/>
    <s v="CMR004"/>
    <s v="Extrême-Nord"/>
    <s v="CMR004002"/>
    <s v="Logone-Et-Chari"/>
    <s v="CMR004002004"/>
    <s v="Logone-Birni"/>
  </r>
  <r>
    <s v="Extrême-Nord"/>
    <s v="CMR004"/>
    <x v="2"/>
    <s v="CMR004002"/>
    <x v="8"/>
    <s v="CMR004002009"/>
    <s v="MAK-0064"/>
    <s v="MARGUI"/>
    <m/>
    <x v="0"/>
    <s v="Avant 2020"/>
    <n v="23"/>
    <n v="231"/>
    <x v="0"/>
    <m/>
    <s v="Même département, autre arrondissement"/>
    <s v="CMR"/>
    <s v="Cameroun"/>
    <s v="CMR004"/>
    <s v="Extrême-Nord"/>
    <s v="CMR004002"/>
    <s v="Logone-Et-Chari"/>
    <s v="CMR004002008"/>
    <s v="Fotokol"/>
  </r>
  <r>
    <s v="Extrême-Nord"/>
    <s v="CMR004"/>
    <x v="2"/>
    <s v="CMR004002"/>
    <x v="8"/>
    <s v="CMR004002009"/>
    <s v="MAK-0182"/>
    <s v="TREBOULO 2"/>
    <m/>
    <x v="0"/>
    <s v="Janvier - Aout 2022"/>
    <n v="26"/>
    <n v="147"/>
    <x v="1"/>
    <m/>
    <s v="Même arrondissement"/>
    <s v="CMR"/>
    <s v="Cameroun"/>
    <s v="CMR004"/>
    <s v="Extrême-Nord"/>
    <s v="CMR004002"/>
    <s v="Logone-Et-Chari"/>
    <s v="CMR004002009"/>
    <s v="Makary"/>
  </r>
  <r>
    <s v="Extrême-Nord"/>
    <s v="CMR004"/>
    <x v="2"/>
    <s v="CMR004002"/>
    <x v="9"/>
    <s v="CMR004002010"/>
    <s v="HIL-0002"/>
    <s v="ABASSOUNI 1"/>
    <m/>
    <x v="0"/>
    <s v="Avant 2020"/>
    <n v="70"/>
    <n v="488"/>
    <x v="0"/>
    <m/>
    <s v="Même département, autre arrondissement"/>
    <s v="CMR"/>
    <s v="Cameroun"/>
    <s v="CMR004"/>
    <s v="Extrême-Nord"/>
    <s v="CMR004002"/>
    <s v="Logone-Et-Chari"/>
    <s v="CMR004002008"/>
    <s v="Fotokol"/>
  </r>
  <r>
    <s v="Extrême-Nord"/>
    <s v="CMR004"/>
    <x v="2"/>
    <s v="CMR004002"/>
    <x v="9"/>
    <s v="CMR004002010"/>
    <s v="HIL-0002"/>
    <s v="ABASSOUNI 1"/>
    <m/>
    <x v="0"/>
    <s v="En 2021"/>
    <n v="0"/>
    <n v="7"/>
    <x v="0"/>
    <m/>
    <s v="Même arrondissement"/>
    <s v="CMR"/>
    <s v="Cameroun"/>
    <s v="CMR004"/>
    <s v="Extrême-Nord"/>
    <s v="CMR004002"/>
    <s v="Logone-Et-Chari"/>
    <s v="CMR004002010"/>
    <s v="Hile-Alifa"/>
  </r>
  <r>
    <s v="Extrême-Nord"/>
    <s v="CMR004"/>
    <x v="2"/>
    <s v="CMR004002"/>
    <x v="9"/>
    <s v="CMR004002010"/>
    <s v="HIL-0002"/>
    <s v="ABASSOUNI 1"/>
    <m/>
    <x v="0"/>
    <s v="Janvier - Aout 2022"/>
    <n v="39"/>
    <n v="342"/>
    <x v="0"/>
    <m/>
    <s v="Même arrondissement"/>
    <s v="CMR"/>
    <s v="Cameroun"/>
    <s v="CMR004"/>
    <s v="Extrême-Nord"/>
    <s v="CMR004002"/>
    <s v="Logone-Et-Chari"/>
    <s v="CMR004002010"/>
    <s v="Hile-Alifa"/>
  </r>
  <r>
    <s v="Extrême-Nord"/>
    <s v="CMR004"/>
    <x v="2"/>
    <s v="CMR004002"/>
    <x v="9"/>
    <s v="CMR004002010"/>
    <s v="HIL-0002"/>
    <s v="ABASSOUNI 1"/>
    <m/>
    <x v="0"/>
    <s v="Septembre 2022 – Février 2023"/>
    <n v="31"/>
    <n v="217"/>
    <x v="0"/>
    <m/>
    <s v="Même arrondissement"/>
    <s v="CMR"/>
    <s v="Cameroun"/>
    <s v="CMR004"/>
    <s v="Extrême-Nord"/>
    <s v="CMR004002"/>
    <s v="Logone-Et-Chari"/>
    <s v="CMR004002010"/>
    <s v="Hile-Alifa"/>
  </r>
  <r>
    <s v="Extrême-Nord"/>
    <s v="CMR004"/>
    <x v="2"/>
    <s v="CMR004002"/>
    <x v="8"/>
    <s v="CMR004002009"/>
    <s v="MAK-0024"/>
    <s v="DAMBA 1"/>
    <m/>
    <x v="0"/>
    <s v="Janvier - Aout 2022"/>
    <n v="6"/>
    <n v="50"/>
    <x v="0"/>
    <m/>
    <s v="Même arrondissement"/>
    <s v="CMR"/>
    <s v="Cameroun"/>
    <s v="CMR004"/>
    <s v="Extrême-Nord"/>
    <s v="CMR004002"/>
    <s v="Logone-Et-Chari"/>
    <s v="CMR004002009"/>
    <s v="Makary"/>
  </r>
  <r>
    <s v="Extrême-Nord"/>
    <s v="CMR004"/>
    <x v="2"/>
    <s v="CMR004002"/>
    <x v="8"/>
    <s v="CMR004002009"/>
    <s v="MAK-0068"/>
    <s v="MEITO"/>
    <m/>
    <x v="0"/>
    <s v="Janvier - Aout 2022"/>
    <n v="12"/>
    <n v="74"/>
    <x v="0"/>
    <m/>
    <s v="Même arrondissement"/>
    <s v="CMR"/>
    <s v="Cameroun"/>
    <s v="CMR004"/>
    <s v="Extrême-Nord"/>
    <s v="CMR004002"/>
    <s v="Logone-Et-Chari"/>
    <s v="CMR004002009"/>
    <s v="Makary"/>
  </r>
  <r>
    <s v="Extrême-Nord"/>
    <s v="CMR004"/>
    <x v="2"/>
    <s v="CMR004002"/>
    <x v="8"/>
    <s v="CMR004002009"/>
    <s v="MAK-0085"/>
    <s v="NGONFLA 2"/>
    <m/>
    <x v="0"/>
    <s v="Janvier - Aout 2022"/>
    <n v="1"/>
    <n v="9"/>
    <x v="0"/>
    <m/>
    <s v="Même arrondissement"/>
    <s v="CMR"/>
    <s v="Cameroun"/>
    <s v="CMR004"/>
    <s v="Extrême-Nord"/>
    <s v="CMR004002"/>
    <s v="Logone-Et-Chari"/>
    <s v="CMR004002009"/>
    <s v="Makary"/>
  </r>
  <r>
    <s v="Extrême-Nord"/>
    <s v="CMR004"/>
    <x v="2"/>
    <s v="CMR004002"/>
    <x v="8"/>
    <s v="CMR004002009"/>
    <s v="MAK-0069"/>
    <s v="MISKA-AFADE"/>
    <m/>
    <x v="0"/>
    <s v="Janvier - Aout 2022"/>
    <n v="15"/>
    <n v="98"/>
    <x v="0"/>
    <m/>
    <s v="Même arrondissement"/>
    <s v="CMR"/>
    <s v="Cameroun"/>
    <s v="CMR004"/>
    <s v="Extrême-Nord"/>
    <s v="CMR004002"/>
    <s v="Logone-Et-Chari"/>
    <s v="CMR004002009"/>
    <s v="Makary"/>
  </r>
  <r>
    <s v="Extrême-Nord"/>
    <s v="CMR004"/>
    <x v="2"/>
    <s v="CMR004002"/>
    <x v="8"/>
    <s v="CMR004002009"/>
    <s v="MAK-0186"/>
    <s v="SITE DE BLEM"/>
    <m/>
    <x v="0"/>
    <s v="Janvier - Aout 2022"/>
    <n v="3"/>
    <n v="16"/>
    <x v="0"/>
    <m/>
    <s v="Même arrondissement"/>
    <s v="CMR"/>
    <s v="Cameroun"/>
    <s v="CMR004"/>
    <s v="Extrême-Nord"/>
    <s v="CMR004002"/>
    <s v="Logone-Et-Chari"/>
    <s v="CMR004002009"/>
    <s v="Makary"/>
  </r>
  <r>
    <s v="Extrême-Nord"/>
    <s v="CMR004"/>
    <x v="2"/>
    <s v="CMR004002"/>
    <x v="8"/>
    <s v="CMR004002009"/>
    <s v="MAK-0096"/>
    <s v="MESSIO"/>
    <m/>
    <x v="0"/>
    <s v="Avant 2020"/>
    <n v="14"/>
    <n v="89"/>
    <x v="0"/>
    <m/>
    <s v="Même département, autre arrondissement"/>
    <s v="CMR"/>
    <s v="Cameroun"/>
    <s v="CMR004"/>
    <s v="Extrême-Nord"/>
    <s v="CMR004002"/>
    <s v="Logone-Et-Chari"/>
    <s v="CMR004002008"/>
    <s v="Fotokol"/>
  </r>
  <r>
    <s v="Extrême-Nord"/>
    <s v="CMR004"/>
    <x v="2"/>
    <s v="CMR004002"/>
    <x v="8"/>
    <s v="CMR004002009"/>
    <s v="MAK-0096"/>
    <s v="MESSIO"/>
    <m/>
    <x v="0"/>
    <s v="En 2020"/>
    <n v="0"/>
    <n v="5"/>
    <x v="0"/>
    <m/>
    <s v="Même département, autre arrondissement"/>
    <s v="CMR"/>
    <s v="Cameroun"/>
    <s v="CMR004"/>
    <s v="Extrême-Nord"/>
    <s v="CMR004002"/>
    <s v="Logone-Et-Chari"/>
    <m/>
    <s v="Hile-Alifa"/>
  </r>
  <r>
    <s v="Extrême-Nord"/>
    <s v="CMR004"/>
    <x v="2"/>
    <s v="CMR004002"/>
    <x v="8"/>
    <s v="CMR004002009"/>
    <s v="MAK-0029"/>
    <s v="DJIMTILO"/>
    <m/>
    <x v="0"/>
    <s v="Avant 2020"/>
    <n v="14"/>
    <n v="84"/>
    <x v="0"/>
    <m/>
    <s v="Même département, autre arrondissement"/>
    <s v="CMR"/>
    <s v="Cameroun"/>
    <s v="CMR004"/>
    <s v="Extrême-Nord"/>
    <s v="CMR004002"/>
    <s v="Logone-Et-Chari"/>
    <s v="CMR004002008"/>
    <s v="Fotokol"/>
  </r>
  <r>
    <s v="Extrême-Nord"/>
    <s v="CMR004"/>
    <x v="2"/>
    <s v="CMR004002"/>
    <x v="8"/>
    <s v="CMR004002009"/>
    <s v="MAK-0029"/>
    <s v="DJIMTILO"/>
    <m/>
    <x v="0"/>
    <s v="Septembre 2022 – Février 2023"/>
    <n v="1"/>
    <n v="3"/>
    <x v="3"/>
    <m/>
    <s v="Même arrondissement"/>
    <s v="CMR"/>
    <s v="Cameroun"/>
    <s v="CMR004"/>
    <s v="Extrême-Nord"/>
    <s v="CMR004002"/>
    <s v="Logone-Et-Chari"/>
    <s v="CMR004002009"/>
    <s v="Makary"/>
  </r>
  <r>
    <s v="Extrême-Nord"/>
    <s v="CMR004"/>
    <x v="2"/>
    <s v="CMR004002"/>
    <x v="8"/>
    <s v="CMR004002009"/>
    <s v="MAK-0019"/>
    <s v="BLOUMTAGUI"/>
    <m/>
    <x v="0"/>
    <s v="Avant 2020"/>
    <n v="6"/>
    <n v="28"/>
    <x v="0"/>
    <m/>
    <s v="Même département, autre arrondissement"/>
    <s v="CMR"/>
    <s v="Cameroun"/>
    <s v="CMR004"/>
    <s v="Extrême-Nord"/>
    <s v="CMR004002"/>
    <s v="Logone-Et-Chari"/>
    <s v="CMR004002008"/>
    <s v="Fotokol"/>
  </r>
  <r>
    <s v="Extrême-Nord"/>
    <s v="CMR004"/>
    <x v="2"/>
    <s v="CMR004002"/>
    <x v="8"/>
    <s v="CMR004002009"/>
    <s v="MAK-0019"/>
    <s v="BLOUMTAGUI"/>
    <m/>
    <x v="0"/>
    <s v="Janvier - Aout 2022"/>
    <n v="1"/>
    <n v="2"/>
    <x v="0"/>
    <m/>
    <s v="Même département, autre arrondissement"/>
    <s v="CMR"/>
    <s v="Cameroun"/>
    <s v="CMR004"/>
    <s v="Extrême-Nord"/>
    <s v="CMR004002"/>
    <s v="Logone-Et-Chari"/>
    <s v="CMR004002007"/>
    <s v="Darak"/>
  </r>
  <r>
    <s v="Extrême-Nord"/>
    <s v="CMR004"/>
    <x v="2"/>
    <s v="CMR004002"/>
    <x v="10"/>
    <s v="CMR004002003"/>
    <s v="BLA-0006"/>
    <s v="GORE KOUBOU"/>
    <m/>
    <x v="0"/>
    <s v="Avant 2020"/>
    <n v="1"/>
    <n v="4"/>
    <x v="0"/>
    <m/>
    <s v="Même arrondissement"/>
    <s v="CMR"/>
    <s v="Cameroun"/>
    <s v="CMR004"/>
    <s v="Extrême-Nord"/>
    <s v="CMR004002"/>
    <s v="Logone-Et-Chari"/>
    <s v="CMR004002003"/>
    <s v="Blangoua"/>
  </r>
  <r>
    <s v="Extrême-Nord"/>
    <s v="CMR004"/>
    <x v="4"/>
    <s v="CMR004005"/>
    <x v="17"/>
    <s v="CMR004005002"/>
    <s v="MOR-0080"/>
    <s v="BIWANA"/>
    <m/>
    <x v="0"/>
    <s v="En 2020"/>
    <n v="29"/>
    <n v="200"/>
    <x v="0"/>
    <m/>
    <s v="Même arrondissement"/>
    <s v="CMR"/>
    <s v="Cameroun"/>
    <s v="CMR004"/>
    <s v="Extrême-Nord"/>
    <s v="CMR004005"/>
    <s v="Mayo-Sava"/>
    <s v="CMR004005002"/>
    <s v="Mora"/>
  </r>
  <r>
    <s v="Extrême-Nord"/>
    <s v="CMR004"/>
    <x v="4"/>
    <s v="CMR004005"/>
    <x v="17"/>
    <s v="CMR004005002"/>
    <s v="MOR-0080"/>
    <s v="BIWANA"/>
    <m/>
    <x v="0"/>
    <s v="En 2021"/>
    <n v="63"/>
    <n v="484"/>
    <x v="0"/>
    <m/>
    <s v="Même arrondissement"/>
    <s v="CMR"/>
    <s v="Cameroun"/>
    <s v="CMR004"/>
    <s v="Extrême-Nord"/>
    <s v="CMR004005"/>
    <s v="Mayo-Sava"/>
    <s v="CMR004005002"/>
    <s v="Mora"/>
  </r>
  <r>
    <s v="Extrême-Nord"/>
    <s v="CMR004"/>
    <x v="4"/>
    <s v="CMR004005"/>
    <x v="17"/>
    <s v="CMR004005002"/>
    <s v="MOR-0080"/>
    <s v="BIWANA"/>
    <m/>
    <x v="0"/>
    <s v="Janvier - Aout 2022"/>
    <n v="3"/>
    <n v="13"/>
    <x v="0"/>
    <m/>
    <s v="Même arrondissement"/>
    <s v="CMR"/>
    <s v="Cameroun"/>
    <s v="CMR004"/>
    <s v="Extrême-Nord"/>
    <s v="CMR004005"/>
    <s v="Mayo-Sava"/>
    <s v="CMR004005002"/>
    <s v="Mora"/>
  </r>
  <r>
    <s v="Extrême-Nord"/>
    <s v="CMR004"/>
    <x v="4"/>
    <s v="CMR004005"/>
    <x v="17"/>
    <s v="CMR004005002"/>
    <s v="MOR-0080"/>
    <s v="BIWANA"/>
    <m/>
    <x v="0"/>
    <s v="Septembre 2022 – Février 2023"/>
    <n v="5"/>
    <n v="28"/>
    <x v="0"/>
    <m/>
    <s v="Même arrondissement"/>
    <s v="CMR"/>
    <s v="Cameroun"/>
    <s v="CMR004"/>
    <s v="Extrême-Nord"/>
    <s v="CMR004005"/>
    <s v="Mayo-Sava"/>
    <s v="CMR004005002"/>
    <s v="Mora"/>
  </r>
  <r>
    <s v="Extrême-Nord"/>
    <s v="CMR004"/>
    <x v="4"/>
    <s v="CMR004005"/>
    <x v="17"/>
    <s v="CMR004005002"/>
    <s v="MOR-0088"/>
    <s v="BABA SIMON KOURGUI"/>
    <m/>
    <x v="0"/>
    <s v="En 2021"/>
    <n v="29"/>
    <n v="114"/>
    <x v="0"/>
    <m/>
    <s v="Même département, autre arrondissement"/>
    <s v="CMR"/>
    <s v="Cameroun"/>
    <s v="CMR004"/>
    <s v="Extrême-Nord"/>
    <s v="CMR004005"/>
    <s v="Mayo-Sava"/>
    <s v="CMR004005001"/>
    <s v="Kolofata"/>
  </r>
  <r>
    <s v="Extrême-Nord"/>
    <s v="CMR004"/>
    <x v="4"/>
    <s v="CMR004005"/>
    <x v="17"/>
    <s v="CMR004005002"/>
    <s v="MOR-0088"/>
    <s v="BABA SIMON KOURGUI"/>
    <m/>
    <x v="0"/>
    <s v="Septembre 2022 – Février 2023"/>
    <n v="1"/>
    <n v="4"/>
    <x v="0"/>
    <m/>
    <s v="Même arrondissement"/>
    <s v="CMR"/>
    <s v="Cameroun"/>
    <s v="CMR004"/>
    <s v="Extrême-Nord"/>
    <s v="CMR004005"/>
    <s v="Mayo-Sava"/>
    <s v="CMR004005002"/>
    <s v="Mora"/>
  </r>
  <r>
    <s v="Extrême-Nord"/>
    <s v="CMR004"/>
    <x v="4"/>
    <s v="CMR004005"/>
    <x v="17"/>
    <s v="CMR004005002"/>
    <s v="MOR-0088"/>
    <s v="BABA SIMON KOURGUI"/>
    <m/>
    <x v="0"/>
    <s v="Janvier - Aout 2022"/>
    <n v="14"/>
    <n v="87"/>
    <x v="0"/>
    <m/>
    <s v="Même arrondissement"/>
    <s v="CMR"/>
    <s v="Cameroun"/>
    <s v="CMR004"/>
    <s v="Extrême-Nord"/>
    <s v="CMR004005"/>
    <s v="Mayo-Sava"/>
    <s v="CMR004005002"/>
    <s v="Mora"/>
  </r>
  <r>
    <s v="Extrême-Nord"/>
    <s v="CMR004"/>
    <x v="4"/>
    <s v="CMR004005"/>
    <x v="17"/>
    <s v="CMR004005002"/>
    <s v="MOR-0075"/>
    <s v="SITE DE GALBI"/>
    <m/>
    <x v="0"/>
    <s v="En 2021"/>
    <n v="6"/>
    <n v="39"/>
    <x v="0"/>
    <m/>
    <s v="Même arrondissement"/>
    <s v="CMR"/>
    <s v="Cameroun"/>
    <s v="CMR004"/>
    <s v="Extrême-Nord"/>
    <s v="CMR004005"/>
    <s v="Mayo-Sava"/>
    <s v="CMR004005002"/>
    <s v="Mora"/>
  </r>
  <r>
    <s v="Extrême-Nord"/>
    <s v="CMR004"/>
    <x v="4"/>
    <s v="CMR004005"/>
    <x v="17"/>
    <s v="CMR004005002"/>
    <s v="MOR-0075"/>
    <s v="SITE DE GALBI"/>
    <m/>
    <x v="0"/>
    <s v="Janvier - Aout 2022"/>
    <n v="0"/>
    <n v="15"/>
    <x v="0"/>
    <m/>
    <s v="Même arrondissement"/>
    <s v="CMR"/>
    <s v="Cameroun"/>
    <s v="CMR004"/>
    <s v="Extrême-Nord"/>
    <s v="CMR004005"/>
    <s v="Mayo-Sava"/>
    <s v="CMR004005002"/>
    <s v="Mora"/>
  </r>
  <r>
    <s v="Extrême-Nord"/>
    <s v="CMR004"/>
    <x v="4"/>
    <s v="CMR004005"/>
    <x v="17"/>
    <s v="CMR004005002"/>
    <s v="MOR-0075"/>
    <s v="SITE DE GALBI"/>
    <m/>
    <x v="0"/>
    <s v="Septembre 2022 – Février 2023"/>
    <n v="0"/>
    <n v="10"/>
    <x v="2"/>
    <s v="Naissance "/>
    <s v="Même arrondissement"/>
    <s v="CMR"/>
    <s v="Cameroun"/>
    <s v="CMR004"/>
    <s v="Extrême-Nord"/>
    <s v="CMR004005"/>
    <s v="Mayo-Sava"/>
    <s v="CMR004005002"/>
    <s v="Mora"/>
  </r>
  <r>
    <s v="Extrême-Nord"/>
    <s v="CMR004"/>
    <x v="4"/>
    <s v="CMR004005"/>
    <x v="17"/>
    <s v="CMR004005002"/>
    <s v="MOR-0075"/>
    <s v="SITE DE GALBI"/>
    <m/>
    <x v="0"/>
    <s v="En 2020"/>
    <n v="25"/>
    <n v="260"/>
    <x v="0"/>
    <m/>
    <s v="Même arrondissement"/>
    <s v="CMR"/>
    <s v="Cameroun"/>
    <s v="CMR004"/>
    <s v="Extrême-Nord"/>
    <s v="CMR004005"/>
    <s v="Mayo-Sava"/>
    <s v="CMR004005002"/>
    <s v="Mora"/>
  </r>
  <r>
    <s v="Extrême-Nord"/>
    <s v="CMR004"/>
    <x v="4"/>
    <s v="CMR004005"/>
    <x v="17"/>
    <s v="CMR004005002"/>
    <s v="MOR-0018"/>
    <s v="SANDALE 1"/>
    <m/>
    <x v="0"/>
    <s v="Avant 2020"/>
    <n v="118"/>
    <n v="680"/>
    <x v="0"/>
    <m/>
    <s v="Même arrondissement"/>
    <s v="CMR"/>
    <s v="Cameroun"/>
    <s v="CMR004"/>
    <s v="Extrême-Nord"/>
    <s v="CMR004005"/>
    <s v="Mayo-Sava"/>
    <s v="CMR004005002"/>
    <s v="Mora"/>
  </r>
  <r>
    <s v="Extrême-Nord"/>
    <s v="CMR004"/>
    <x v="4"/>
    <s v="CMR004005"/>
    <x v="17"/>
    <s v="CMR004005002"/>
    <s v="MOR-0018"/>
    <s v="SANDALE 1"/>
    <m/>
    <x v="0"/>
    <s v="En 2020"/>
    <n v="20"/>
    <n v="80"/>
    <x v="0"/>
    <m/>
    <s v="Même arrondissement"/>
    <s v="CMR"/>
    <s v="Cameroun"/>
    <s v="CMR004"/>
    <s v="Extrême-Nord"/>
    <s v="CMR004005"/>
    <s v="Mayo-Sava"/>
    <s v="CMR004005002"/>
    <s v="Mora"/>
  </r>
  <r>
    <s v="Extrême-Nord"/>
    <s v="CMR004"/>
    <x v="4"/>
    <s v="CMR004005"/>
    <x v="17"/>
    <s v="CMR004005002"/>
    <s v="MOR-0018"/>
    <s v="SANDALE 1"/>
    <m/>
    <x v="0"/>
    <s v="En 2021"/>
    <n v="8"/>
    <n v="66"/>
    <x v="0"/>
    <m/>
    <s v="Même arrondissement"/>
    <s v="CMR"/>
    <s v="Cameroun"/>
    <s v="CMR004"/>
    <s v="Extrême-Nord"/>
    <s v="CMR004005"/>
    <s v="Mayo-Sava"/>
    <s v="CMR004005002"/>
    <s v="Mora"/>
  </r>
  <r>
    <s v="Extrême-Nord"/>
    <s v="CMR004"/>
    <x v="4"/>
    <s v="CMR004005"/>
    <x v="17"/>
    <s v="CMR004005002"/>
    <s v="MOR-0018"/>
    <s v="SANDALE 1"/>
    <m/>
    <x v="0"/>
    <s v="Janvier - Aout 2022"/>
    <n v="2"/>
    <n v="29"/>
    <x v="0"/>
    <m/>
    <s v="Même arrondissement"/>
    <s v="CMR"/>
    <s v="Cameroun"/>
    <s v="CMR004"/>
    <s v="Extrême-Nord"/>
    <s v="CMR004005"/>
    <s v="Mayo-Sava"/>
    <s v="CMR004005002"/>
    <s v="Mora"/>
  </r>
  <r>
    <s v="Extrême-Nord"/>
    <s v="CMR004"/>
    <x v="4"/>
    <s v="CMR004005"/>
    <x v="17"/>
    <s v="CMR004005002"/>
    <s v="MOR-0018"/>
    <s v="SANDALE 1"/>
    <m/>
    <x v="0"/>
    <s v="Septembre 2022 – Février 2023"/>
    <n v="5"/>
    <n v="25"/>
    <x v="0"/>
    <m/>
    <s v="Même arrondissement"/>
    <s v="CMR"/>
    <s v="Cameroun"/>
    <s v="CMR004"/>
    <s v="Extrême-Nord"/>
    <s v="CMR004005"/>
    <s v="Mayo-Sava"/>
    <s v="CMR004005002"/>
    <s v="Mora"/>
  </r>
  <r>
    <s v="Extrême-Nord"/>
    <s v="CMR004"/>
    <x v="4"/>
    <s v="CMR004005"/>
    <x v="17"/>
    <s v="CMR004005002"/>
    <s v="MOR-0028"/>
    <s v="GOUDJOUMDELE"/>
    <m/>
    <x v="0"/>
    <s v="Avant 2020"/>
    <n v="11"/>
    <n v="55"/>
    <x v="0"/>
    <m/>
    <s v="Même arrondissement"/>
    <s v="CMR"/>
    <s v="Cameroun"/>
    <s v="CMR004"/>
    <s v="Extrême-Nord"/>
    <s v="CMR004005"/>
    <s v="Mayo-Sava"/>
    <s v="CMR004005002"/>
    <s v="Mora"/>
  </r>
  <r>
    <s v="Extrême-Nord"/>
    <s v="CMR004"/>
    <x v="4"/>
    <s v="CMR004005"/>
    <x v="17"/>
    <s v="CMR004005002"/>
    <s v="MOR-0028"/>
    <s v="GOUDJOUMDELE"/>
    <m/>
    <x v="0"/>
    <s v="En 2020"/>
    <n v="25"/>
    <n v="93"/>
    <x v="0"/>
    <m/>
    <s v="Même arrondissement"/>
    <s v="CMR"/>
    <s v="Cameroun"/>
    <s v="CMR004"/>
    <s v="Extrême-Nord"/>
    <s v="CMR004005"/>
    <s v="Mayo-Sava"/>
    <s v="CMR004005002"/>
    <s v="Mora"/>
  </r>
  <r>
    <s v="Extrême-Nord"/>
    <s v="CMR004"/>
    <x v="4"/>
    <s v="CMR004005"/>
    <x v="17"/>
    <s v="CMR004005002"/>
    <s v="MOR-0028"/>
    <s v="GOUDJOUMDELE"/>
    <m/>
    <x v="0"/>
    <s v="En 2021"/>
    <n v="25"/>
    <n v="147"/>
    <x v="0"/>
    <m/>
    <s v="Même arrondissement"/>
    <s v="CMR"/>
    <s v="Cameroun"/>
    <s v="CMR004"/>
    <s v="Extrême-Nord"/>
    <s v="CMR004005"/>
    <s v="Mayo-Sava"/>
    <s v="CMR004005002"/>
    <s v="Mora"/>
  </r>
  <r>
    <s v="Extrême-Nord"/>
    <s v="CMR004"/>
    <x v="4"/>
    <s v="CMR004005"/>
    <x v="17"/>
    <s v="CMR004005002"/>
    <s v="MOR-0028"/>
    <s v="GOUDJOUMDELE"/>
    <m/>
    <x v="0"/>
    <s v="Janvier - Aout 2022"/>
    <n v="3"/>
    <n v="39"/>
    <x v="0"/>
    <m/>
    <s v="Même arrondissement"/>
    <s v="CMR"/>
    <s v="Cameroun"/>
    <s v="CMR004"/>
    <s v="Extrême-Nord"/>
    <s v="CMR004005"/>
    <s v="Mayo-Sava"/>
    <s v="CMR004005002"/>
    <s v="Mora"/>
  </r>
  <r>
    <s v="Extrême-Nord"/>
    <s v="CMR004"/>
    <x v="4"/>
    <s v="CMR004005"/>
    <x v="17"/>
    <s v="CMR004005002"/>
    <s v="MOR-0028"/>
    <s v="GOUDJOUMDELE"/>
    <m/>
    <x v="0"/>
    <s v="Septembre 2022 – Février 2023"/>
    <n v="10"/>
    <n v="32"/>
    <x v="0"/>
    <m/>
    <s v="Même arrondissement"/>
    <s v="CMR"/>
    <s v="Cameroun"/>
    <s v="CMR004"/>
    <s v="Extrême-Nord"/>
    <s v="CMR004005"/>
    <s v="Mayo-Sava"/>
    <s v="CMR004005002"/>
    <s v="Mora"/>
  </r>
  <r>
    <s v="Extrême-Nord"/>
    <s v="CMR004"/>
    <x v="4"/>
    <s v="CMR004005"/>
    <x v="17"/>
    <s v="CMR004005002"/>
    <s v="MOR-0065"/>
    <s v="MANGAVE ABBA FADI"/>
    <m/>
    <x v="0"/>
    <s v="Avant 2020"/>
    <n v="31"/>
    <n v="107"/>
    <x v="0"/>
    <m/>
    <s v="Même arrondissement"/>
    <s v="CMR"/>
    <s v="Cameroun"/>
    <s v="CMR004"/>
    <s v="Extrême-Nord"/>
    <s v="CMR004005"/>
    <s v="Mayo-Sava"/>
    <s v="CMR004005002"/>
    <s v="Mora"/>
  </r>
  <r>
    <s v="Extrême-Nord"/>
    <s v="CMR004"/>
    <x v="4"/>
    <s v="CMR004005"/>
    <x v="17"/>
    <s v="CMR004005002"/>
    <s v="MOR-0065"/>
    <s v="MANGAVE ABBA FADI"/>
    <m/>
    <x v="0"/>
    <s v="En 2020"/>
    <n v="5"/>
    <n v="45"/>
    <x v="0"/>
    <m/>
    <s v="Même arrondissement"/>
    <s v="CMR"/>
    <s v="Cameroun"/>
    <s v="CMR004"/>
    <s v="Extrême-Nord"/>
    <s v="CMR004005"/>
    <s v="Mayo-Sava"/>
    <s v="CMR004005002"/>
    <s v="Mora"/>
  </r>
  <r>
    <s v="Extrême-Nord"/>
    <s v="CMR004"/>
    <x v="4"/>
    <s v="CMR004005"/>
    <x v="17"/>
    <s v="CMR004005002"/>
    <s v="MOR-0065"/>
    <s v="MANGAVE ABBA FADI"/>
    <m/>
    <x v="0"/>
    <s v="En 2021"/>
    <n v="0"/>
    <n v="5"/>
    <x v="2"/>
    <s v="Naissance "/>
    <s v="Même arrondissement"/>
    <s v="CMR"/>
    <s v="Cameroun"/>
    <s v="CMR004"/>
    <s v="Extrême-Nord"/>
    <s v="CMR004005"/>
    <s v="Mayo-Sava"/>
    <s v="CMR004005002"/>
    <s v="Mora"/>
  </r>
  <r>
    <s v="Extrême-Nord"/>
    <s v="CMR004"/>
    <x v="4"/>
    <s v="CMR004005"/>
    <x v="17"/>
    <s v="CMR004005002"/>
    <s v="MOR-0065"/>
    <s v="MANGAVE ABBA FADI"/>
    <m/>
    <x v="0"/>
    <s v="Janvier - Aout 2022"/>
    <n v="0"/>
    <n v="7"/>
    <x v="2"/>
    <s v="Naissance "/>
    <s v="Même arrondissement"/>
    <s v="CMR"/>
    <s v="Cameroun"/>
    <s v="CMR004"/>
    <s v="Extrême-Nord"/>
    <s v="CMR004005"/>
    <s v="Mayo-Sava"/>
    <s v="CMR004005002"/>
    <s v="Mora"/>
  </r>
  <r>
    <s v="Extrême-Nord"/>
    <s v="CMR004"/>
    <x v="2"/>
    <s v="CMR004002"/>
    <x v="8"/>
    <s v="CMR004002009"/>
    <s v="MAK-0215"/>
    <s v="ARDEBE"/>
    <m/>
    <x v="0"/>
    <s v="Avant 2020"/>
    <n v="13"/>
    <n v="97"/>
    <x v="0"/>
    <m/>
    <s v="Même département, autre arrondissement"/>
    <s v="CMR"/>
    <s v="Cameroun"/>
    <s v="CMR004"/>
    <s v="Extrême-Nord"/>
    <s v="CMR004002"/>
    <s v="Logone-Et-Chari"/>
    <s v="CMR004002008"/>
    <s v="Fotokol"/>
  </r>
  <r>
    <s v="Extrême-Nord"/>
    <s v="CMR004"/>
    <x v="2"/>
    <s v="CMR004002"/>
    <x v="8"/>
    <s v="CMR004002009"/>
    <s v="MAK-0215"/>
    <s v="ARDEBE"/>
    <m/>
    <x v="0"/>
    <s v="En 2021"/>
    <n v="3"/>
    <n v="16"/>
    <x v="0"/>
    <m/>
    <s v="Même département, autre arrondissement"/>
    <s v="CMR"/>
    <s v="Cameroun"/>
    <s v="CMR004"/>
    <s v="Extrême-Nord"/>
    <s v="CMR004002"/>
    <s v="Logone-Et-Chari"/>
    <s v="CMR004002007"/>
    <s v="Darak"/>
  </r>
  <r>
    <s v="Extrême-Nord"/>
    <s v="CMR004"/>
    <x v="2"/>
    <s v="CMR004002"/>
    <x v="8"/>
    <s v="CMR004002009"/>
    <s v="MAK-0084"/>
    <s v="NGLEME"/>
    <m/>
    <x v="0"/>
    <s v="Avant 2020"/>
    <n v="20"/>
    <n v="178"/>
    <x v="0"/>
    <m/>
    <s v="Même département, autre arrondissement"/>
    <s v="CMR"/>
    <s v="Cameroun"/>
    <s v="CMR004"/>
    <s v="Extrême-Nord"/>
    <s v="CMR004002"/>
    <s v="Logone-Et-Chari"/>
    <s v="CMR004002008"/>
    <s v="Fotokol"/>
  </r>
  <r>
    <s v="Extrême-Nord"/>
    <s v="CMR004"/>
    <x v="2"/>
    <s v="CMR004002"/>
    <x v="8"/>
    <s v="CMR004002009"/>
    <s v="MAK-0084"/>
    <s v="NGLEME"/>
    <m/>
    <x v="0"/>
    <s v="En 2020"/>
    <n v="0"/>
    <n v="3"/>
    <x v="0"/>
    <m/>
    <s v="Même département, autre arrondissement"/>
    <s v="CMR"/>
    <s v="Cameroun"/>
    <s v="CMR004"/>
    <s v="Extrême-Nord"/>
    <s v="CMR004002"/>
    <s v="Logone-Et-Chari"/>
    <s v="CMR004002008"/>
    <s v="Fotokol"/>
  </r>
  <r>
    <s v="Extrême-Nord"/>
    <s v="CMR004"/>
    <x v="2"/>
    <s v="CMR004002"/>
    <x v="8"/>
    <s v="CMR004002009"/>
    <s v="MAK-0084"/>
    <s v="NGLEME"/>
    <m/>
    <x v="0"/>
    <s v="En 2021"/>
    <n v="0"/>
    <n v="5"/>
    <x v="0"/>
    <m/>
    <s v="Même département, autre arrondissement"/>
    <s v="CMR"/>
    <s v="Cameroun"/>
    <s v="CMR004"/>
    <s v="Extrême-Nord"/>
    <s v="CMR004002"/>
    <s v="Logone-Et-Chari"/>
    <s v="CMR004002008"/>
    <s v="Fotokol"/>
  </r>
  <r>
    <s v="Extrême-Nord"/>
    <s v="CMR004"/>
    <x v="2"/>
    <s v="CMR004002"/>
    <x v="8"/>
    <s v="CMR004002009"/>
    <s v="MAK-0084"/>
    <s v="NGLEME"/>
    <m/>
    <x v="0"/>
    <s v="Janvier - Aout 2022"/>
    <n v="0"/>
    <n v="3"/>
    <x v="0"/>
    <m/>
    <s v="Même département, autre arrondissement"/>
    <s v="CMR"/>
    <s v="Cameroun"/>
    <s v="CMR004"/>
    <s v="Extrême-Nord"/>
    <s v="CMR004002"/>
    <s v="Logone-Et-Chari"/>
    <s v="CMR004002008"/>
    <s v="Fotokol"/>
  </r>
  <r>
    <s v="Extrême-Nord"/>
    <s v="CMR004"/>
    <x v="0"/>
    <s v="CMR004001"/>
    <x v="6"/>
    <s v="CMR004001001"/>
    <s v="MA3-0001"/>
    <s v="DOUGOI"/>
    <m/>
    <x v="0"/>
    <s v="Avant 2020"/>
    <n v="75"/>
    <n v="440"/>
    <x v="0"/>
    <m/>
    <s v="Autre département"/>
    <s v="CMR"/>
    <s v="Cameroun"/>
    <s v="CMR004"/>
    <s v="Extrême-Nord"/>
    <s v="CMR004005"/>
    <s v="Mayo-Sava"/>
    <m/>
    <m/>
  </r>
  <r>
    <s v="Extrême-Nord"/>
    <s v="CMR004"/>
    <x v="2"/>
    <s v="CMR004002"/>
    <x v="10"/>
    <s v="CMR004002003"/>
    <s v="BLA-0009"/>
    <s v="KOFIA"/>
    <m/>
    <x v="0"/>
    <s v="Avant 2020"/>
    <n v="300"/>
    <n v="1209"/>
    <x v="0"/>
    <m/>
    <s v="Même département, autre arrondissement"/>
    <s v="CMR"/>
    <s v="Cameroun"/>
    <s v="CMR004"/>
    <s v="Extrême-Nord"/>
    <s v="CMR004002"/>
    <s v="Logone-Et-Chari"/>
    <s v="CMR004002007"/>
    <s v="Darak"/>
  </r>
  <r>
    <s v="Extrême-Nord"/>
    <s v="CMR004"/>
    <x v="2"/>
    <s v="CMR004002"/>
    <x v="10"/>
    <s v="CMR004002003"/>
    <s v="BLA-0021"/>
    <s v="KOKI"/>
    <m/>
    <x v="0"/>
    <s v="Avant 2020"/>
    <n v="2"/>
    <n v="14"/>
    <x v="0"/>
    <m/>
    <s v="Même arrondissement"/>
    <s v="CMR"/>
    <s v="Cameroun"/>
    <s v="CMR004"/>
    <s v="Extrême-Nord"/>
    <s v="CMR004002"/>
    <s v="Logone-Et-Chari"/>
    <s v="CMR004002003"/>
    <s v="Blangoua"/>
  </r>
  <r>
    <s v="Extrême-Nord"/>
    <s v="CMR004"/>
    <x v="2"/>
    <s v="CMR004002"/>
    <x v="10"/>
    <s v="CMR004002003"/>
    <s v="BLA-0021"/>
    <s v="KOKI"/>
    <m/>
    <x v="0"/>
    <s v="En 2020"/>
    <n v="3"/>
    <n v="21"/>
    <x v="0"/>
    <m/>
    <s v="Même arrondissement"/>
    <s v="CMR"/>
    <s v="Cameroun"/>
    <s v="CMR004"/>
    <s v="Extrême-Nord"/>
    <s v="CMR004002"/>
    <s v="Logone-Et-Chari"/>
    <s v="CMR004002003"/>
    <s v="Blangoua"/>
  </r>
  <r>
    <s v="Extrême-Nord"/>
    <s v="CMR004"/>
    <x v="2"/>
    <s v="CMR004002"/>
    <x v="10"/>
    <s v="CMR004002003"/>
    <s v="BLA-0021"/>
    <s v="KOKI"/>
    <m/>
    <x v="0"/>
    <s v="Septembre 2022 – Février 2023"/>
    <n v="13"/>
    <n v="91"/>
    <x v="0"/>
    <m/>
    <s v="Même arrondissement"/>
    <s v="CMR"/>
    <s v="Cameroun"/>
    <s v="CMR004"/>
    <s v="Extrême-Nord"/>
    <s v="CMR004002"/>
    <s v="Logone-Et-Chari"/>
    <s v="CMR004002003"/>
    <s v="Blangoua"/>
  </r>
  <r>
    <s v="Extrême-Nord"/>
    <s v="CMR004"/>
    <x v="1"/>
    <s v="CMR004006"/>
    <x v="7"/>
    <s v="CMR004006005"/>
    <s v="MOZ-0018"/>
    <s v="KRAWA-MAFA"/>
    <m/>
    <x v="0"/>
    <s v="Avant 2020"/>
    <n v="92"/>
    <n v="373"/>
    <x v="0"/>
    <m/>
    <s v="Même arrondissement"/>
    <s v="CMR"/>
    <s v="Cameroun"/>
    <s v="CMR004"/>
    <s v="Extrême-Nord"/>
    <s v="CMR004006"/>
    <s v="Mayo-Tsanaga"/>
    <s v="CMR004006005"/>
    <s v="Mayo-Moskota"/>
  </r>
  <r>
    <s v="Extrême-Nord"/>
    <s v="CMR004"/>
    <x v="1"/>
    <s v="CMR004006"/>
    <x v="7"/>
    <s v="CMR004006005"/>
    <s v="MOZ-0018"/>
    <s v="KRAWA-MAFA"/>
    <m/>
    <x v="0"/>
    <s v="En 2020"/>
    <n v="6"/>
    <n v="30"/>
    <x v="0"/>
    <m/>
    <s v="Même arrondissement"/>
    <s v="CMR"/>
    <s v="Cameroun"/>
    <s v="CMR004"/>
    <s v="Extrême-Nord"/>
    <s v="CMR004006"/>
    <s v="Mayo-Tsanaga"/>
    <s v="CMR004006005"/>
    <s v="Mayo-Moskota"/>
  </r>
  <r>
    <s v="Extrême-Nord"/>
    <s v="CMR004"/>
    <x v="1"/>
    <s v="CMR004006"/>
    <x v="7"/>
    <s v="CMR004006005"/>
    <s v="MOZ-0018"/>
    <s v="KRAWA-MAFA"/>
    <m/>
    <x v="0"/>
    <s v="En 2021"/>
    <n v="21"/>
    <n v="121"/>
    <x v="0"/>
    <m/>
    <s v="Même arrondissement"/>
    <s v="CMR"/>
    <s v="Cameroun"/>
    <s v="CMR004"/>
    <s v="Extrême-Nord"/>
    <s v="CMR004006"/>
    <s v="Mayo-Tsanaga"/>
    <s v="CMR004006005"/>
    <s v="Mayo-Moskota"/>
  </r>
  <r>
    <s v="Extrême-Nord"/>
    <s v="CMR004"/>
    <x v="1"/>
    <s v="CMR004006"/>
    <x v="7"/>
    <s v="CMR004006005"/>
    <s v="MOZ-0018"/>
    <s v="KRAWA-MAFA"/>
    <m/>
    <x v="0"/>
    <s v="Janvier - Aout 2022"/>
    <n v="2"/>
    <n v="3"/>
    <x v="0"/>
    <m/>
    <s v="Même arrondissement"/>
    <s v="CMR"/>
    <s v="Cameroun"/>
    <s v="CMR004"/>
    <s v="Extrême-Nord"/>
    <s v="CMR004006"/>
    <s v="Mayo-Tsanaga"/>
    <s v="CMR004006005"/>
    <s v="Mayo-Moskota"/>
  </r>
  <r>
    <s v="Extrême-Nord"/>
    <s v="CMR004"/>
    <x v="1"/>
    <s v="CMR004006"/>
    <x v="7"/>
    <s v="CMR004006005"/>
    <s v="MOZ-0004"/>
    <s v="KELARI"/>
    <m/>
    <x v="0"/>
    <s v="Avant 2020"/>
    <n v="30"/>
    <n v="150"/>
    <x v="0"/>
    <m/>
    <s v="Même arrondissement"/>
    <s v="CMR"/>
    <s v="Cameroun"/>
    <s v="CMR004"/>
    <s v="Extrême-Nord"/>
    <s v="CMR004006"/>
    <s v="Mayo-Tsanaga"/>
    <s v="CMR004006005"/>
    <s v="Mayo-Moskota"/>
  </r>
  <r>
    <s v="Extrême-Nord"/>
    <s v="CMR004"/>
    <x v="1"/>
    <s v="CMR004006"/>
    <x v="7"/>
    <s v="CMR004006005"/>
    <s v="MOZ-0004"/>
    <s v="KELARI"/>
    <m/>
    <x v="0"/>
    <s v="En 2021"/>
    <n v="7"/>
    <n v="65"/>
    <x v="0"/>
    <m/>
    <s v="Même arrondissement"/>
    <s v="CMR"/>
    <s v="Cameroun"/>
    <s v="CMR004"/>
    <s v="Extrême-Nord"/>
    <s v="CMR004006"/>
    <s v="Mayo-Tsanaga"/>
    <s v="CMR004006005"/>
    <s v="Mayo-Moskota"/>
  </r>
  <r>
    <s v="Extrême-Nord"/>
    <s v="CMR004"/>
    <x v="1"/>
    <s v="CMR004006"/>
    <x v="7"/>
    <s v="CMR004006005"/>
    <s v="MOZ-0004"/>
    <s v="KELARI"/>
    <m/>
    <x v="0"/>
    <s v="Janvier - Aout 2022"/>
    <n v="11"/>
    <n v="37"/>
    <x v="0"/>
    <m/>
    <s v="Même arrondissement"/>
    <s v="CMR"/>
    <s v="Cameroun"/>
    <s v="CMR004"/>
    <s v="Extrême-Nord"/>
    <s v="CMR004006"/>
    <s v="Mayo-Tsanaga"/>
    <s v="CMR004006005"/>
    <s v="Mayo-Moskota"/>
  </r>
  <r>
    <s v="Extrême-Nord"/>
    <s v="CMR004"/>
    <x v="1"/>
    <s v="CMR004006"/>
    <x v="7"/>
    <s v="CMR004006005"/>
    <s v="MOZ-0004"/>
    <s v="KELARI"/>
    <m/>
    <x v="0"/>
    <s v="Septembre 2022 – Février 2023"/>
    <n v="12"/>
    <n v="34"/>
    <x v="0"/>
    <m/>
    <s v="Même arrondissement"/>
    <s v="CMR"/>
    <s v="Cameroun"/>
    <s v="CMR004"/>
    <s v="Extrême-Nord"/>
    <s v="CMR004006"/>
    <s v="Mayo-Tsanaga"/>
    <s v="CMR004006005"/>
    <s v="Mayo-Moskota"/>
  </r>
  <r>
    <s v="Extrême-Nord"/>
    <s v="CMR004"/>
    <x v="0"/>
    <s v="CMR004001"/>
    <x v="2"/>
    <s v="CMR004001005"/>
    <s v="BOG-0002"/>
    <s v="SITE DE ARDJANIRE"/>
    <m/>
    <x v="0"/>
    <s v="En 2021"/>
    <n v="312"/>
    <n v="1874"/>
    <x v="1"/>
    <m/>
    <s v="Autre département"/>
    <s v="CMR"/>
    <s v="Cameroun"/>
    <s v="CMR004"/>
    <s v="Extrême-Nord"/>
    <s v="CMR004003"/>
    <s v="Mayo-Danay"/>
    <m/>
    <m/>
  </r>
  <r>
    <s v="Extrême-Nord"/>
    <s v="CMR004"/>
    <x v="0"/>
    <s v="CMR004001"/>
    <x v="2"/>
    <s v="CMR004001005"/>
    <s v="BOG-0007"/>
    <s v="SITE DE OURO DJOUGOULE"/>
    <m/>
    <x v="0"/>
    <s v="En 2021"/>
    <n v="122"/>
    <n v="650"/>
    <x v="1"/>
    <m/>
    <s v="Autre département"/>
    <s v="CMR"/>
    <s v="Cameroun"/>
    <s v="CMR004"/>
    <s v="Extrême-Nord"/>
    <s v="CMR004003"/>
    <s v="Mayo-Danay"/>
    <m/>
    <m/>
  </r>
  <r>
    <s v="Extrême-Nord"/>
    <s v="CMR004"/>
    <x v="0"/>
    <s v="CMR004001"/>
    <x v="3"/>
    <s v="CMR004001009"/>
    <s v="MA1-0007"/>
    <s v="SITE DE DOMAYO COMPLEXE  (CAMP)"/>
    <m/>
    <x v="0"/>
    <s v="En 2021"/>
    <n v="102"/>
    <n v="708"/>
    <x v="1"/>
    <m/>
    <s v="Autre département"/>
    <s v="CMR"/>
    <s v="Cameroun"/>
    <s v="CMR004"/>
    <s v="Extrême-Nord"/>
    <s v="CMR004003"/>
    <s v="Mayo-Danay"/>
    <m/>
    <m/>
  </r>
  <r>
    <s v="Extrême-Nord"/>
    <s v="CMR004"/>
    <x v="0"/>
    <s v="CMR004001"/>
    <x v="0"/>
    <s v="CMR004001003"/>
    <s v="XXXX"/>
    <s v="SITE DE OURO DANDJI "/>
    <s v="SITE DE OURO DANDJI "/>
    <x v="0"/>
    <s v="Janvier - Aout 2022"/>
    <n v="5"/>
    <n v="48"/>
    <x v="1"/>
    <m/>
    <s v="Autre département"/>
    <s v="CMR"/>
    <s v="Cameroun"/>
    <s v="CMR004"/>
    <s v="Extrême-Nord"/>
    <s v="CMR004003"/>
    <s v="Mayo-Danay"/>
    <m/>
    <m/>
  </r>
  <r>
    <s v="Extrême-Nord"/>
    <s v="CMR004"/>
    <x v="0"/>
    <s v="CMR004001"/>
    <x v="0"/>
    <s v="CMR004001003"/>
    <s v="PET-0030"/>
    <s v="SITE DE OURO HABIROU"/>
    <m/>
    <x v="0"/>
    <s v="Avant 2020"/>
    <n v="17"/>
    <n v="135"/>
    <x v="3"/>
    <m/>
    <s v="Même arrondissement"/>
    <s v="CMR"/>
    <s v="Cameroun"/>
    <s v="CMR004"/>
    <s v="Extrême-Nord"/>
    <s v="CMR004001"/>
    <s v="Diamaré"/>
    <s v="CMR004001003"/>
    <s v="Petté"/>
  </r>
  <r>
    <s v="Extrême-Nord"/>
    <s v="CMR004"/>
    <x v="0"/>
    <s v="CMR004001"/>
    <x v="0"/>
    <s v="CMR004001003"/>
    <s v="PET-0030"/>
    <s v="SITE DE OURO HABIROU"/>
    <m/>
    <x v="0"/>
    <s v="Janvier - Aout 2022"/>
    <n v="0"/>
    <n v="5"/>
    <x v="3"/>
    <m/>
    <s v="Même arrondissement"/>
    <s v="CMR"/>
    <s v="Cameroun"/>
    <s v="CMR004"/>
    <s v="Extrême-Nord"/>
    <s v="CMR004001"/>
    <s v="Diamaré"/>
    <s v="CMR004001003"/>
    <s v="Petté"/>
  </r>
  <r>
    <s v="Extrême-Nord"/>
    <s v="CMR004"/>
    <x v="4"/>
    <s v="CMR004005"/>
    <x v="19"/>
    <s v="CMR004005001"/>
    <s v="KOL-0020"/>
    <s v="KOUYAPE"/>
    <m/>
    <x v="0"/>
    <s v="Avant 2020"/>
    <n v="125"/>
    <n v="771"/>
    <x v="0"/>
    <m/>
    <s v="Même arrondissement"/>
    <s v="CMR"/>
    <s v="Cameroun"/>
    <s v="CMR004"/>
    <s v="Extrême-Nord"/>
    <s v="CMR004005"/>
    <s v="Mayo-Sava"/>
    <s v="CMR004005001"/>
    <s v="Kolofata"/>
  </r>
  <r>
    <s v="Extrême-Nord"/>
    <s v="CMR004"/>
    <x v="4"/>
    <s v="CMR004005"/>
    <x v="19"/>
    <s v="CMR004005001"/>
    <s v="KOL-0020"/>
    <s v="KOUYAPE"/>
    <m/>
    <x v="0"/>
    <s v="En 2020"/>
    <n v="489"/>
    <n v="2384"/>
    <x v="0"/>
    <m/>
    <s v="Même arrondissement"/>
    <s v="CMR"/>
    <s v="Cameroun"/>
    <s v="CMR004"/>
    <s v="Extrême-Nord"/>
    <s v="CMR004005"/>
    <s v="Mayo-Sava"/>
    <s v="CMR004005001"/>
    <s v="Kolofata"/>
  </r>
  <r>
    <s v="Extrême-Nord"/>
    <s v="CMR004"/>
    <x v="4"/>
    <s v="CMR004005"/>
    <x v="19"/>
    <s v="CMR004005001"/>
    <s v="KOL-0020"/>
    <s v="KOUYAPE"/>
    <m/>
    <x v="0"/>
    <s v="En 2021"/>
    <n v="100"/>
    <n v="2520"/>
    <x v="0"/>
    <m/>
    <s v="Même arrondissement"/>
    <s v="CMR"/>
    <s v="Cameroun"/>
    <s v="CMR004"/>
    <s v="Extrême-Nord"/>
    <s v="CMR004005"/>
    <s v="Mayo-Sava"/>
    <s v="CMR004005001"/>
    <s v="Kolofata"/>
  </r>
  <r>
    <s v="Extrême-Nord"/>
    <s v="CMR004"/>
    <x v="4"/>
    <s v="CMR004005"/>
    <x v="19"/>
    <s v="CMR004005001"/>
    <s v="KOL-0020"/>
    <s v="KOUYAPE"/>
    <m/>
    <x v="0"/>
    <s v="Janvier - Aout 2022"/>
    <n v="45"/>
    <n v="357"/>
    <x v="0"/>
    <m/>
    <s v="Même arrondissement"/>
    <s v="CMR"/>
    <s v="Cameroun"/>
    <s v="CMR004"/>
    <s v="Extrême-Nord"/>
    <s v="CMR004005"/>
    <s v="Mayo-Sava"/>
    <s v="CMR004005001"/>
    <s v="Kolofata"/>
  </r>
  <r>
    <s v="Extrême-Nord"/>
    <s v="CMR004"/>
    <x v="4"/>
    <s v="CMR004005"/>
    <x v="19"/>
    <s v="CMR004005001"/>
    <s v="KOL-0020"/>
    <s v="KOUYAPE"/>
    <m/>
    <x v="0"/>
    <s v="Septembre 2022 – Février 2023"/>
    <n v="73"/>
    <n v="556"/>
    <x v="0"/>
    <m/>
    <s v="Même arrondissement"/>
    <s v="CMR"/>
    <s v="Cameroun"/>
    <s v="CMR004"/>
    <s v="Extrême-Nord"/>
    <s v="CMR004005"/>
    <s v="Mayo-Sava"/>
    <s v="CMR004005001"/>
    <s v="Kolofata"/>
  </r>
  <r>
    <s v="Extrême-Nord"/>
    <s v="CMR004"/>
    <x v="2"/>
    <s v="CMR004002"/>
    <x v="8"/>
    <s v="CMR004002009"/>
    <s v="MAK-0231"/>
    <s v="NGOUT 2"/>
    <m/>
    <x v="0"/>
    <s v="Avant 2020"/>
    <n v="10"/>
    <n v="70"/>
    <x v="0"/>
    <m/>
    <s v="Même arrondissement"/>
    <s v="CMR"/>
    <s v="Cameroun"/>
    <s v="CMR004"/>
    <s v="Extrême-Nord"/>
    <s v="CMR004002"/>
    <s v="Logone-Et-Chari"/>
    <s v="CMR004002009"/>
    <s v="Makary"/>
  </r>
  <r>
    <s v="Extrême-Nord"/>
    <s v="CMR004"/>
    <x v="2"/>
    <s v="CMR004002"/>
    <x v="8"/>
    <s v="CMR004002009"/>
    <s v="MAK-0231"/>
    <s v="NGOUT 2"/>
    <m/>
    <x v="0"/>
    <s v="Septembre 2022 – Février 2023"/>
    <n v="8"/>
    <n v="71"/>
    <x v="3"/>
    <m/>
    <s v="Même arrondissement"/>
    <s v="CMR"/>
    <s v="Cameroun"/>
    <s v="CMR004"/>
    <s v="Extrême-Nord"/>
    <s v="CMR004002"/>
    <s v="Logone-Et-Chari"/>
    <s v="CMR004002009"/>
    <s v="Makary"/>
  </r>
  <r>
    <s v="Extrême-Nord"/>
    <s v="CMR004"/>
    <x v="2"/>
    <s v="CMR004002"/>
    <x v="8"/>
    <s v="CMR004002009"/>
    <s v="MAK-0230"/>
    <s v="NGOUT 1"/>
    <m/>
    <x v="0"/>
    <s v="Avant 2020"/>
    <n v="60"/>
    <n v="90"/>
    <x v="0"/>
    <m/>
    <s v="Même arrondissement"/>
    <s v="CMR"/>
    <s v="Cameroun"/>
    <s v="CMR004"/>
    <s v="Extrême-Nord"/>
    <s v="CMR004002"/>
    <s v="Logone-Et-Chari"/>
    <s v="CMR004002009"/>
    <s v="Makary"/>
  </r>
  <r>
    <s v="Extrême-Nord"/>
    <s v="CMR004"/>
    <x v="2"/>
    <s v="CMR004002"/>
    <x v="8"/>
    <s v="CMR004002009"/>
    <s v="MAK-0230"/>
    <s v="NGOUT 1"/>
    <m/>
    <x v="0"/>
    <s v="Septembre 2022 – Février 2023"/>
    <n v="5"/>
    <n v="15"/>
    <x v="3"/>
    <m/>
    <s v="Même arrondissement"/>
    <s v="CMR"/>
    <s v="Cameroun"/>
    <s v="CMR004"/>
    <s v="Extrême-Nord"/>
    <s v="CMR004002"/>
    <s v="Logone-Et-Chari"/>
    <s v="CMR004002009"/>
    <s v="Makary"/>
  </r>
  <r>
    <s v="Extrême-Nord"/>
    <s v="CMR004"/>
    <x v="2"/>
    <s v="CMR004002"/>
    <x v="26"/>
    <s v="CMR004002006"/>
    <s v="KOU-0040"/>
    <s v="NDJAMENA"/>
    <m/>
    <x v="0"/>
    <s v="Avant 2020"/>
    <n v="12"/>
    <n v="100"/>
    <x v="0"/>
    <m/>
    <s v="Même département, autre arrondissement"/>
    <s v="CMR"/>
    <s v="Cameroun"/>
    <s v="CMR004"/>
    <s v="Extrême-Nord"/>
    <s v="CMR004002"/>
    <s v="Logone-Et-Chari"/>
    <s v="CMR004002008"/>
    <s v="Fotokol"/>
  </r>
  <r>
    <s v="Extrême-Nord"/>
    <s v="CMR004"/>
    <x v="2"/>
    <s v="CMR004002"/>
    <x v="26"/>
    <s v="CMR004002006"/>
    <s v="KOU-0040"/>
    <s v="NDJAMENA"/>
    <m/>
    <x v="0"/>
    <s v="En 2020"/>
    <n v="6"/>
    <n v="54"/>
    <x v="0"/>
    <m/>
    <s v="Même département, autre arrondissement"/>
    <s v="CMR"/>
    <s v="Cameroun"/>
    <s v="CMR004"/>
    <s v="Extrême-Nord"/>
    <s v="CMR004002"/>
    <s v="Logone-Et-Chari"/>
    <s v="CMR004002008"/>
    <s v="Fotokol"/>
  </r>
  <r>
    <s v="Extrême-Nord"/>
    <s v="CMR004"/>
    <x v="2"/>
    <s v="CMR004002"/>
    <x v="26"/>
    <s v="CMR004002006"/>
    <s v="KOU-0040"/>
    <s v="NDJAMENA"/>
    <m/>
    <x v="0"/>
    <s v="En 2021"/>
    <n v="3"/>
    <n v="30"/>
    <x v="0"/>
    <m/>
    <s v="Même département, autre arrondissement"/>
    <s v="CMR"/>
    <s v="Cameroun"/>
    <s v="CMR004"/>
    <s v="Extrême-Nord"/>
    <s v="CMR004002"/>
    <s v="Logone-Et-Chari"/>
    <s v="CMR004002008"/>
    <s v="Fotokol"/>
  </r>
  <r>
    <s v="Extrême-Nord"/>
    <s v="CMR004"/>
    <x v="2"/>
    <s v="CMR004002"/>
    <x v="26"/>
    <s v="CMR004002006"/>
    <s v="KOU-0040"/>
    <s v="NDJAMENA"/>
    <m/>
    <x v="0"/>
    <s v="Janvier - Aout 2022"/>
    <n v="2"/>
    <n v="20"/>
    <x v="1"/>
    <m/>
    <s v="Même département, autre arrondissement"/>
    <s v="CMR"/>
    <s v="Cameroun"/>
    <s v="CMR004"/>
    <s v="Extrême-Nord"/>
    <s v="CMR004002"/>
    <s v="Logone-Et-Chari"/>
    <s v="CMR004002004"/>
    <s v="Logone-Birni"/>
  </r>
  <r>
    <s v="Extrême-Nord"/>
    <s v="CMR004"/>
    <x v="2"/>
    <s v="CMR004002"/>
    <x v="26"/>
    <s v="CMR004002006"/>
    <s v="KOU-0042"/>
    <s v="LAKTA 1"/>
    <m/>
    <x v="0"/>
    <s v="En 2020"/>
    <n v="5"/>
    <n v="47"/>
    <x v="0"/>
    <m/>
    <s v="Même département, autre arrondissement"/>
    <s v="CMR"/>
    <s v="Cameroun"/>
    <s v="CMR004"/>
    <s v="Extrême-Nord"/>
    <s v="CMR004002"/>
    <s v="Logone-Et-Chari"/>
    <s v="CMR004002008"/>
    <s v="Fotokol"/>
  </r>
  <r>
    <s v="Extrême-Nord"/>
    <s v="CMR004"/>
    <x v="2"/>
    <s v="CMR004002"/>
    <x v="26"/>
    <s v="CMR004002006"/>
    <s v="KOU-0042"/>
    <s v="LAKTA 1"/>
    <m/>
    <x v="0"/>
    <s v="En 2021"/>
    <n v="3"/>
    <n v="15"/>
    <x v="0"/>
    <m/>
    <s v="Même département, autre arrondissement"/>
    <s v="CMR"/>
    <s v="Cameroun"/>
    <s v="CMR004"/>
    <s v="Extrême-Nord"/>
    <s v="CMR004002"/>
    <s v="Logone-Et-Chari"/>
    <s v="CMR004002004"/>
    <s v="Logone-Birni"/>
  </r>
  <r>
    <s v="Extrême-Nord"/>
    <s v="CMR004"/>
    <x v="2"/>
    <s v="CMR004002"/>
    <x v="26"/>
    <s v="CMR004002006"/>
    <s v="KOU-0042"/>
    <s v="LAKTA 1"/>
    <m/>
    <x v="0"/>
    <s v="Janvier - Aout 2022"/>
    <n v="8"/>
    <n v="48"/>
    <x v="1"/>
    <m/>
    <s v="Même département, autre arrondissement"/>
    <s v="CMR"/>
    <s v="Cameroun"/>
    <s v="CMR004"/>
    <s v="Extrême-Nord"/>
    <s v="CMR004002"/>
    <s v="Logone-Et-Chari"/>
    <s v="CMR004002004"/>
    <s v="Logone-Birni"/>
  </r>
  <r>
    <s v="Extrême-Nord"/>
    <s v="CMR004"/>
    <x v="2"/>
    <s v="CMR004002"/>
    <x v="26"/>
    <s v="CMR004002006"/>
    <s v="KOU-0042"/>
    <s v="LAKTA 1"/>
    <m/>
    <x v="0"/>
    <s v="Septembre 2022 – Février 2023"/>
    <n v="2"/>
    <n v="10"/>
    <x v="3"/>
    <m/>
    <s v="Même département, autre arrondissement"/>
    <s v="CMR"/>
    <s v="Cameroun"/>
    <s v="CMR004"/>
    <s v="Extrême-Nord"/>
    <s v="CMR004002"/>
    <s v="Logone-Et-Chari"/>
    <s v="CMR004002004"/>
    <s v="Logone-Birni"/>
  </r>
  <r>
    <s v="Extrême-Nord"/>
    <s v="CMR004"/>
    <x v="2"/>
    <s v="CMR004002"/>
    <x v="26"/>
    <s v="CMR004002006"/>
    <s v="KOU-0042"/>
    <s v="LAKTA 1"/>
    <m/>
    <x v="0"/>
    <s v="Avant 2020"/>
    <n v="14"/>
    <n v="47"/>
    <x v="0"/>
    <m/>
    <s v="Même département, autre arrondissement"/>
    <s v="CMR"/>
    <s v="Cameroun"/>
    <s v="CMR004"/>
    <s v="Extrême-Nord"/>
    <s v="CMR004002"/>
    <s v="Logone-Et-Chari"/>
    <s v="CMR004002008"/>
    <s v="Fotokol"/>
  </r>
  <r>
    <s v="Extrême-Nord"/>
    <s v="CMR004"/>
    <x v="2"/>
    <s v="CMR004002"/>
    <x v="26"/>
    <s v="CMR004002006"/>
    <s v="KOU-0045"/>
    <s v="NIGUE"/>
    <m/>
    <x v="0"/>
    <s v="En 2021"/>
    <n v="2"/>
    <n v="12"/>
    <x v="0"/>
    <m/>
    <s v="Même département, autre arrondissement"/>
    <s v="CMR"/>
    <s v="Cameroun"/>
    <s v="CMR004"/>
    <s v="Extrême-Nord"/>
    <s v="CMR004002"/>
    <s v="Logone-Et-Chari"/>
    <s v="CMR004002004"/>
    <s v="Logone-Birni"/>
  </r>
  <r>
    <s v="Extrême-Nord"/>
    <s v="CMR004"/>
    <x v="2"/>
    <s v="CMR004002"/>
    <x v="26"/>
    <s v="CMR004002006"/>
    <s v="KOU-0045"/>
    <s v="NIGUE"/>
    <m/>
    <x v="0"/>
    <s v="Janvier - Aout 2022"/>
    <n v="1"/>
    <n v="4"/>
    <x v="1"/>
    <m/>
    <s v="Même département, autre arrondissement"/>
    <s v="CMR"/>
    <s v="Cameroun"/>
    <s v="CMR004"/>
    <s v="Extrême-Nord"/>
    <s v="CMR004002"/>
    <s v="Logone-Et-Chari"/>
    <s v="CMR004002004"/>
    <s v="Logone-Birni"/>
  </r>
  <r>
    <s v="Extrême-Nord"/>
    <s v="CMR004"/>
    <x v="2"/>
    <s v="CMR004002"/>
    <x v="26"/>
    <s v="CMR004002006"/>
    <s v="KOU-0045"/>
    <s v="NIGUE"/>
    <m/>
    <x v="0"/>
    <s v="Septembre 2022 – Février 2023"/>
    <n v="1"/>
    <n v="4"/>
    <x v="3"/>
    <m/>
    <s v="Même département, autre arrondissement"/>
    <s v="CMR"/>
    <s v="Cameroun"/>
    <s v="CMR004"/>
    <s v="Extrême-Nord"/>
    <s v="CMR004002"/>
    <s v="Logone-Et-Chari"/>
    <s v="CMR004002004"/>
    <s v="Logone-Birni"/>
  </r>
  <r>
    <s v="Extrême-Nord"/>
    <s v="CMR004"/>
    <x v="2"/>
    <s v="CMR004002"/>
    <x v="26"/>
    <s v="CMR004002006"/>
    <s v="KOU-0041"/>
    <s v="TAMARAYA"/>
    <m/>
    <x v="0"/>
    <s v="Avant 2020"/>
    <n v="4"/>
    <n v="38"/>
    <x v="0"/>
    <m/>
    <s v="Même département, autre arrondissement"/>
    <s v="CMR"/>
    <s v="Cameroun"/>
    <s v="CMR004"/>
    <s v="Extrême-Nord"/>
    <s v="CMR004002"/>
    <s v="Logone-Et-Chari"/>
    <s v="CMR004002008"/>
    <s v="Fotokol"/>
  </r>
  <r>
    <s v="Extrême-Nord"/>
    <s v="CMR004"/>
    <x v="2"/>
    <s v="CMR004002"/>
    <x v="26"/>
    <s v="CMR004002006"/>
    <s v="KOU-0041"/>
    <s v="TAMARAYA"/>
    <m/>
    <x v="0"/>
    <s v="En 2021"/>
    <n v="3"/>
    <n v="20"/>
    <x v="1"/>
    <m/>
    <s v="Même département, autre arrondissement"/>
    <s v="CMR"/>
    <s v="Cameroun"/>
    <s v="CMR004"/>
    <s v="Extrême-Nord"/>
    <s v="CMR004002"/>
    <s v="Logone-Et-Chari"/>
    <s v="CMR004002008"/>
    <s v="Fotokol"/>
  </r>
  <r>
    <s v="Extrême-Nord"/>
    <s v="CMR004"/>
    <x v="2"/>
    <s v="CMR004002"/>
    <x v="26"/>
    <s v="CMR004002006"/>
    <s v="KOU-0041"/>
    <s v="TAMARAYA"/>
    <m/>
    <x v="0"/>
    <s v="Janvier - Aout 2022"/>
    <n v="3"/>
    <n v="16"/>
    <x v="1"/>
    <m/>
    <s v="Même département, autre arrondissement"/>
    <s v="CMR"/>
    <s v="Cameroun"/>
    <s v="CMR004"/>
    <s v="Extrême-Nord"/>
    <s v="CMR004002"/>
    <s v="Logone-Et-Chari"/>
    <s v="CMR004002004"/>
    <s v="Logone-Birni"/>
  </r>
  <r>
    <s v="Extrême-Nord"/>
    <s v="CMR004"/>
    <x v="2"/>
    <s v="CMR004002"/>
    <x v="26"/>
    <s v="CMR004002006"/>
    <s v="KOU-0041"/>
    <s v="TAMARAYA"/>
    <m/>
    <x v="0"/>
    <s v="En 2020"/>
    <n v="4"/>
    <n v="18"/>
    <x v="3"/>
    <m/>
    <s v="Même département, autre arrondissement"/>
    <s v="CMR"/>
    <s v="Cameroun"/>
    <s v="CMR004"/>
    <s v="Extrême-Nord"/>
    <s v="CMR004002"/>
    <s v="Logone-Et-Chari"/>
    <s v="CMR004002004"/>
    <s v="Logone-Birni"/>
  </r>
  <r>
    <s v="Extrême-Nord"/>
    <s v="CMR004"/>
    <x v="2"/>
    <s v="CMR004002"/>
    <x v="26"/>
    <s v="CMR004002006"/>
    <s v="KOU-0041"/>
    <s v="TAMARAYA"/>
    <m/>
    <x v="0"/>
    <s v="Septembre 2022 – Février 2023"/>
    <n v="2"/>
    <n v="8"/>
    <x v="3"/>
    <m/>
    <s v="Même département, autre arrondissement"/>
    <s v="CMR"/>
    <s v="Cameroun"/>
    <s v="CMR004"/>
    <s v="Extrême-Nord"/>
    <s v="CMR004002"/>
    <s v="Logone-Et-Chari"/>
    <s v="CMR004002004"/>
    <s v="Logone-Birni"/>
  </r>
  <r>
    <s v="Extrême-Nord"/>
    <s v="CMR004"/>
    <x v="2"/>
    <s v="CMR004002"/>
    <x v="26"/>
    <s v="CMR004002006"/>
    <s v="KOU-0043"/>
    <s v="LAKTA 2"/>
    <m/>
    <x v="0"/>
    <s v="Avant 2020"/>
    <n v="3"/>
    <n v="20"/>
    <x v="0"/>
    <m/>
    <s v="Même département, autre arrondissement"/>
    <s v="CMR"/>
    <s v="Cameroun"/>
    <s v="CMR004"/>
    <s v="Extrême-Nord"/>
    <s v="CMR004002"/>
    <s v="Logone-Et-Chari"/>
    <s v="CMR004002008"/>
    <s v="Fotokol"/>
  </r>
  <r>
    <s v="Extrême-Nord"/>
    <s v="CMR004"/>
    <x v="2"/>
    <s v="CMR004002"/>
    <x v="26"/>
    <s v="CMR004002006"/>
    <s v="KOU-0043"/>
    <s v="LAKTA 2"/>
    <m/>
    <x v="0"/>
    <s v="Janvier - Aout 2022"/>
    <n v="1"/>
    <n v="8"/>
    <x v="1"/>
    <m/>
    <s v="Même département, autre arrondissement"/>
    <s v="CMR"/>
    <s v="Cameroun"/>
    <s v="CMR004"/>
    <s v="Extrême-Nord"/>
    <s v="CMR004002"/>
    <s v="Logone-Et-Chari"/>
    <s v="CMR004002004"/>
    <s v="Logone-Birni"/>
  </r>
  <r>
    <s v="Extrême-Nord"/>
    <s v="CMR004"/>
    <x v="2"/>
    <s v="CMR004002"/>
    <x v="26"/>
    <s v="CMR004002006"/>
    <s v="KOU-0043"/>
    <s v="LAKTA 2"/>
    <m/>
    <x v="0"/>
    <s v="Septembre 2022 – Février 2023"/>
    <n v="1"/>
    <n v="4"/>
    <x v="3"/>
    <m/>
    <s v="Même département, autre arrondissement"/>
    <s v="CMR"/>
    <s v="Cameroun"/>
    <s v="CMR004"/>
    <s v="Extrême-Nord"/>
    <s v="CMR004002"/>
    <s v="Logone-Et-Chari"/>
    <s v="CMR004002004"/>
    <s v="Logone-Birni"/>
  </r>
  <r>
    <s v="Extrême-Nord"/>
    <s v="CMR004"/>
    <x v="1"/>
    <s v="CMR004006"/>
    <x v="16"/>
    <s v="CMR004006004"/>
    <s v="XXXX"/>
    <s v="DZAKOURMA"/>
    <s v="DZAKOURMA"/>
    <x v="0"/>
    <s v="Septembre 2022 – Février 2023"/>
    <n v="60"/>
    <n v="300"/>
    <x v="0"/>
    <m/>
    <s v="Même arrondissement"/>
    <s v="CMR"/>
    <s v="Cameroun"/>
    <s v="CMR004"/>
    <s v="Extrême-Nord"/>
    <s v="CMR004006"/>
    <s v="Mayo-Tsanaga"/>
    <s v="CMR004006004"/>
    <s v="Koza"/>
  </r>
  <r>
    <s v="Extrême-Nord"/>
    <s v="CMR004"/>
    <x v="1"/>
    <s v="CMR004006"/>
    <x v="16"/>
    <s v="CMR004006004"/>
    <s v="KOZ-0002"/>
    <s v="DJINGIYA PLAINE"/>
    <m/>
    <x v="0"/>
    <s v="Avant 2020"/>
    <n v="75"/>
    <n v="389"/>
    <x v="0"/>
    <m/>
    <s v="Même arrondissement"/>
    <s v="CMR"/>
    <s v="Cameroun"/>
    <s v="CMR004"/>
    <s v="Extrême-Nord"/>
    <s v="CMR004006"/>
    <s v="Mayo-Tsanaga"/>
    <s v="CMR004006004"/>
    <s v="Koza"/>
  </r>
  <r>
    <s v="Extrême-Nord"/>
    <s v="CMR004"/>
    <x v="1"/>
    <s v="CMR004006"/>
    <x v="16"/>
    <s v="CMR004006004"/>
    <s v="KOZ-0002"/>
    <s v="DJINGIYA PLAINE"/>
    <m/>
    <x v="0"/>
    <s v="En 2021"/>
    <n v="95"/>
    <n v="612"/>
    <x v="0"/>
    <m/>
    <s v="Même arrondissement"/>
    <s v="CMR"/>
    <s v="Cameroun"/>
    <s v="CMR004"/>
    <s v="Extrême-Nord"/>
    <s v="CMR004006"/>
    <s v="Mayo-Tsanaga"/>
    <s v="CMR004006004"/>
    <s v="Koza"/>
  </r>
  <r>
    <s v="Extrême-Nord"/>
    <s v="CMR004"/>
    <x v="1"/>
    <s v="CMR004006"/>
    <x v="16"/>
    <s v="CMR004006004"/>
    <s v="KOZ-0002"/>
    <s v="DJINGIYA PLAINE"/>
    <m/>
    <x v="0"/>
    <s v="Janvier - Aout 2022"/>
    <n v="113"/>
    <n v="663"/>
    <x v="0"/>
    <m/>
    <s v="Même arrondissement"/>
    <s v="CMR"/>
    <s v="Cameroun"/>
    <s v="CMR004"/>
    <s v="Extrême-Nord"/>
    <s v="CMR004006"/>
    <s v="Mayo-Tsanaga"/>
    <s v="CMR004006004"/>
    <s v="Koza"/>
  </r>
  <r>
    <s v="Extrême-Nord"/>
    <s v="CMR004"/>
    <x v="1"/>
    <s v="CMR004006"/>
    <x v="16"/>
    <s v="CMR004006004"/>
    <s v="KOZ-0002"/>
    <s v="DJINGIYA PLAINE"/>
    <m/>
    <x v="0"/>
    <s v="Septembre 2022 – Février 2023"/>
    <n v="61"/>
    <n v="240"/>
    <x v="0"/>
    <m/>
    <s v="Même arrondissement"/>
    <s v="CMR"/>
    <s v="Cameroun"/>
    <s v="CMR004"/>
    <s v="Extrême-Nord"/>
    <s v="CMR004006"/>
    <s v="Mayo-Tsanaga"/>
    <s v="CMR004006004"/>
    <s v="Koza"/>
  </r>
  <r>
    <s v="Extrême-Nord"/>
    <s v="CMR004"/>
    <x v="4"/>
    <s v="CMR004005"/>
    <x v="19"/>
    <s v="CMR004005001"/>
    <s v="KOL-0019"/>
    <s v="SITE DE KOLOFATA - MARCHE"/>
    <m/>
    <x v="0"/>
    <s v="Avant 2020"/>
    <n v="693"/>
    <n v="5513"/>
    <x v="0"/>
    <m/>
    <s v="Même arrondissement"/>
    <s v="CMR"/>
    <s v="Cameroun"/>
    <s v="CMR004"/>
    <s v="Extrême-Nord"/>
    <s v="CMR004005"/>
    <s v="Mayo-Sava"/>
    <s v="CMR004005001"/>
    <s v="Kolofata"/>
  </r>
  <r>
    <s v="Extrême-Nord"/>
    <s v="CMR004"/>
    <x v="4"/>
    <s v="CMR004005"/>
    <x v="19"/>
    <s v="CMR004005001"/>
    <s v="KOL-0019"/>
    <s v="SITE DE KOLOFATA - MARCHE"/>
    <m/>
    <x v="0"/>
    <s v="En 2020"/>
    <n v="0"/>
    <n v="75"/>
    <x v="0"/>
    <m/>
    <s v="Même arrondissement"/>
    <s v="CMR"/>
    <s v="Cameroun"/>
    <s v="CMR004"/>
    <s v="Extrême-Nord"/>
    <s v="CMR004005"/>
    <s v="Mayo-Sava"/>
    <s v="CMR004005001"/>
    <s v="Kolofata"/>
  </r>
  <r>
    <s v="Extrême-Nord"/>
    <s v="CMR004"/>
    <x v="4"/>
    <s v="CMR004005"/>
    <x v="19"/>
    <s v="CMR004005001"/>
    <s v="KOL-0019"/>
    <s v="SITE DE KOLOFATA - MARCHE"/>
    <m/>
    <x v="0"/>
    <s v="En 2021"/>
    <n v="0"/>
    <n v="19"/>
    <x v="0"/>
    <m/>
    <s v="Même arrondissement"/>
    <s v="CMR"/>
    <s v="Cameroun"/>
    <s v="CMR004"/>
    <s v="Extrême-Nord"/>
    <s v="CMR004005"/>
    <s v="Mayo-Sava"/>
    <s v="CMR004005001"/>
    <s v="Kolofata"/>
  </r>
  <r>
    <s v="Extrême-Nord"/>
    <s v="CMR004"/>
    <x v="4"/>
    <s v="CMR004005"/>
    <x v="19"/>
    <s v="CMR004005001"/>
    <s v="KOL-0019"/>
    <s v="SITE DE KOLOFATA - MARCHE"/>
    <m/>
    <x v="0"/>
    <s v="Janvier - Aout 2022"/>
    <n v="0"/>
    <n v="92"/>
    <x v="0"/>
    <m/>
    <s v="Même arrondissement"/>
    <s v="CMR"/>
    <s v="Cameroun"/>
    <s v="CMR004"/>
    <s v="Extrême-Nord"/>
    <s v="CMR004005"/>
    <s v="Mayo-Sava"/>
    <s v="CMR004005001"/>
    <s v="Kolofata"/>
  </r>
  <r>
    <s v="Extrême-Nord"/>
    <s v="CMR004"/>
    <x v="4"/>
    <s v="CMR004005"/>
    <x v="19"/>
    <s v="CMR004005001"/>
    <s v="KOL-0019"/>
    <s v="SITE DE KOLOFATA - MARCHE"/>
    <m/>
    <x v="0"/>
    <s v="Septembre 2022 – Février 2023"/>
    <n v="0"/>
    <n v="10"/>
    <x v="0"/>
    <m/>
    <s v="Même arrondissement"/>
    <s v="CMR"/>
    <s v="Cameroun"/>
    <s v="CMR004"/>
    <s v="Extrême-Nord"/>
    <s v="CMR004005"/>
    <s v="Mayo-Sava"/>
    <s v="CMR004005001"/>
    <s v="Kolofata"/>
  </r>
  <r>
    <s v="Extrême-Nord"/>
    <s v="CMR004"/>
    <x v="1"/>
    <s v="CMR004006"/>
    <x v="7"/>
    <s v="CMR004006005"/>
    <s v="MOZ-0011"/>
    <s v="MOZOGO TCHEKODE"/>
    <m/>
    <x v="0"/>
    <s v="Avant 2020"/>
    <n v="42"/>
    <n v="216"/>
    <x v="0"/>
    <m/>
    <s v="Même arrondissement"/>
    <s v="CMR"/>
    <s v="Cameroun"/>
    <s v="CMR004"/>
    <s v="Extrême-Nord"/>
    <s v="CMR004006"/>
    <s v="Mayo-Tsanaga"/>
    <s v="CMR004006005"/>
    <s v="Mayo-Moskota"/>
  </r>
  <r>
    <s v="Extrême-Nord"/>
    <s v="CMR004"/>
    <x v="1"/>
    <s v="CMR004006"/>
    <x v="7"/>
    <s v="CMR004006005"/>
    <s v="MOZ-0011"/>
    <s v="MOZOGO TCHEKODE"/>
    <m/>
    <x v="0"/>
    <s v="Janvier - Aout 2022"/>
    <n v="7"/>
    <n v="31"/>
    <x v="0"/>
    <m/>
    <s v="Même arrondissement"/>
    <s v="CMR"/>
    <s v="Cameroun"/>
    <s v="CMR004"/>
    <s v="Extrême-Nord"/>
    <s v="CMR004006"/>
    <s v="Mayo-Tsanaga"/>
    <s v="CMR004006005"/>
    <s v="Mayo-Moskota"/>
  </r>
  <r>
    <s v="Extrême-Nord"/>
    <s v="CMR004"/>
    <x v="1"/>
    <s v="CMR004006"/>
    <x v="7"/>
    <s v="CMR004006005"/>
    <s v="MOZ-0011"/>
    <s v="MOZOGO TCHEKODE"/>
    <m/>
    <x v="0"/>
    <s v="Septembre 2022 – Février 2023"/>
    <n v="4"/>
    <n v="28"/>
    <x v="0"/>
    <m/>
    <s v="Même arrondissement"/>
    <s v="CMR"/>
    <s v="Cameroun"/>
    <s v="CMR004"/>
    <s v="Extrême-Nord"/>
    <s v="CMR004006"/>
    <s v="Mayo-Tsanaga"/>
    <s v="CMR004006005"/>
    <s v="Mayo-Moskota"/>
  </r>
  <r>
    <s v="Extrême-Nord"/>
    <s v="CMR004"/>
    <x v="1"/>
    <s v="CMR004006"/>
    <x v="7"/>
    <s v="CMR004006005"/>
    <s v="MOZ-0011"/>
    <s v="MOZOGO TCHEKODE"/>
    <m/>
    <x v="0"/>
    <s v="En 2020"/>
    <n v="0"/>
    <n v="5"/>
    <x v="0"/>
    <m/>
    <s v="Même arrondissement"/>
    <s v="CMR"/>
    <s v="Cameroun"/>
    <s v="CMR004"/>
    <s v="Extrême-Nord"/>
    <s v="CMR004006"/>
    <s v="Mayo-Tsanaga"/>
    <s v="CMR004006005"/>
    <s v="Mayo-Moskota"/>
  </r>
  <r>
    <s v="Extrême-Nord"/>
    <s v="CMR004"/>
    <x v="1"/>
    <s v="CMR004006"/>
    <x v="7"/>
    <s v="CMR004006005"/>
    <s v="MOZ-0011"/>
    <s v="MOZOGO TCHEKODE"/>
    <m/>
    <x v="0"/>
    <s v="En 2021"/>
    <n v="0"/>
    <n v="2"/>
    <x v="0"/>
    <m/>
    <s v="Même arrondissement"/>
    <s v="CMR"/>
    <s v="Cameroun"/>
    <s v="CMR004"/>
    <s v="Extrême-Nord"/>
    <s v="CMR004006"/>
    <s v="Mayo-Tsanaga"/>
    <s v="CMR004006005"/>
    <s v="Mayo-Moskota"/>
  </r>
  <r>
    <s v="Extrême-Nord"/>
    <s v="CMR004"/>
    <x v="2"/>
    <s v="CMR004002"/>
    <x v="26"/>
    <s v="CMR004002006"/>
    <s v="KOU-0033"/>
    <s v="SEHEBA"/>
    <m/>
    <x v="0"/>
    <s v="Avant 2020"/>
    <n v="3"/>
    <n v="25"/>
    <x v="0"/>
    <m/>
    <s v="Même département, autre arrondissement"/>
    <s v="CMR"/>
    <s v="Cameroun"/>
    <s v="CMR004"/>
    <s v="Extrême-Nord"/>
    <s v="CMR004002"/>
    <s v="Logone-Et-Chari"/>
    <s v="CMR004002008"/>
    <s v="Fotokol"/>
  </r>
  <r>
    <s v="Extrême-Nord"/>
    <s v="CMR004"/>
    <x v="2"/>
    <s v="CMR004002"/>
    <x v="26"/>
    <s v="CMR004002006"/>
    <s v="KOU-0033"/>
    <s v="SEHEBA"/>
    <m/>
    <x v="0"/>
    <s v="En 2020"/>
    <n v="1"/>
    <n v="12"/>
    <x v="0"/>
    <m/>
    <s v="Même département, autre arrondissement"/>
    <s v="CMR"/>
    <s v="Cameroun"/>
    <s v="CMR004"/>
    <s v="Extrême-Nord"/>
    <s v="CMR004002"/>
    <s v="Logone-Et-Chari"/>
    <s v="CMR004002008"/>
    <s v="Fotokol"/>
  </r>
  <r>
    <s v="Extrême-Nord"/>
    <s v="CMR004"/>
    <x v="2"/>
    <s v="CMR004002"/>
    <x v="26"/>
    <s v="CMR004002006"/>
    <s v="KOU-0033"/>
    <s v="SEHEBA"/>
    <m/>
    <x v="0"/>
    <s v="En 2021"/>
    <n v="1"/>
    <n v="8"/>
    <x v="0"/>
    <m/>
    <s v="Même département, autre arrondissement"/>
    <s v="CMR"/>
    <s v="Cameroun"/>
    <s v="CMR004"/>
    <s v="Extrême-Nord"/>
    <s v="CMR004002"/>
    <s v="Logone-Et-Chari"/>
    <s v="CMR004002008"/>
    <s v="Fotokol"/>
  </r>
  <r>
    <s v="Extrême-Nord"/>
    <s v="CMR004"/>
    <x v="2"/>
    <s v="CMR004002"/>
    <x v="26"/>
    <s v="CMR004002006"/>
    <s v="KOU-0033"/>
    <s v="SEHEBA"/>
    <m/>
    <x v="0"/>
    <s v="Janvier - Aout 2022"/>
    <n v="1"/>
    <n v="5"/>
    <x v="1"/>
    <m/>
    <s v="Même département, autre arrondissement"/>
    <s v="CMR"/>
    <s v="Cameroun"/>
    <s v="CMR004"/>
    <s v="Extrême-Nord"/>
    <s v="CMR004002"/>
    <s v="Logone-Et-Chari"/>
    <s v="CMR004002004"/>
    <s v="Logone-Birni"/>
  </r>
  <r>
    <s v="Extrême-Nord"/>
    <s v="CMR004"/>
    <x v="2"/>
    <s v="CMR004002"/>
    <x v="13"/>
    <s v="CMR004002001"/>
    <s v="WAZ-0035"/>
    <s v="ARDEBE 1"/>
    <m/>
    <x v="0"/>
    <s v="En 2020"/>
    <n v="11"/>
    <n v="63"/>
    <x v="0"/>
    <m/>
    <s v="Même arrondissement"/>
    <s v="CMR"/>
    <s v="Cameroun"/>
    <s v="CMR004"/>
    <s v="Extrême-Nord"/>
    <s v="CMR004002"/>
    <s v="Logone-Et-Chari"/>
    <s v="CMR004002001"/>
    <s v="Waza"/>
  </r>
  <r>
    <s v="Extrême-Nord"/>
    <s v="CMR004"/>
    <x v="2"/>
    <s v="CMR004002"/>
    <x v="13"/>
    <s v="CMR004002001"/>
    <s v="WAZ-0035"/>
    <s v="ARDEBE 1"/>
    <m/>
    <x v="0"/>
    <s v="En 2021"/>
    <n v="5"/>
    <n v="34"/>
    <x v="0"/>
    <m/>
    <s v="Même arrondissement"/>
    <s v="CMR"/>
    <s v="Cameroun"/>
    <s v="CMR004"/>
    <s v="Extrême-Nord"/>
    <s v="CMR004002"/>
    <s v="Logone-Et-Chari"/>
    <s v="CMR004002001"/>
    <s v="Waza"/>
  </r>
  <r>
    <s v="Extrême-Nord"/>
    <s v="CMR004"/>
    <x v="2"/>
    <s v="CMR004002"/>
    <x v="13"/>
    <s v="CMR004002001"/>
    <s v="WAZ-0035"/>
    <s v="ARDEBE 1"/>
    <m/>
    <x v="0"/>
    <s v="Janvier - Aout 2022"/>
    <n v="45"/>
    <n v="115"/>
    <x v="1"/>
    <m/>
    <s v="Même département, autre arrondissement"/>
    <s v="CMR"/>
    <s v="Cameroun"/>
    <s v="CMR004"/>
    <s v="Extrême-Nord"/>
    <s v="CMR004002"/>
    <s v="Logone-Et-Chari"/>
    <s v="CMR004002004"/>
    <s v="Logone-Birni"/>
  </r>
  <r>
    <s v="Extrême-Nord"/>
    <s v="CMR004"/>
    <x v="2"/>
    <s v="CMR004002"/>
    <x v="15"/>
    <s v="CMR004002004"/>
    <s v="LBI-0073"/>
    <s v="NGOUAMA"/>
    <m/>
    <x v="0"/>
    <s v="En 2021"/>
    <n v="20"/>
    <n v="73"/>
    <x v="0"/>
    <m/>
    <s v="Même arrondissement"/>
    <s v="CMR"/>
    <s v="Cameroun"/>
    <s v="CMR004"/>
    <s v="Extrême-Nord"/>
    <s v="CMR004002"/>
    <s v="Logone-Et-Chari"/>
    <s v="CMR004002004"/>
    <s v="Logone-Birni"/>
  </r>
  <r>
    <s v="Extrême-Nord"/>
    <s v="CMR004"/>
    <x v="2"/>
    <s v="CMR004002"/>
    <x v="15"/>
    <s v="CMR004002004"/>
    <s v="LBI-0073"/>
    <s v="NGOUAMA"/>
    <m/>
    <x v="0"/>
    <s v="Septembre 2022 – Février 2023"/>
    <n v="0"/>
    <n v="2"/>
    <x v="0"/>
    <m/>
    <s v="Même arrondissement"/>
    <s v="CMR"/>
    <s v="Cameroun"/>
    <s v="CMR004"/>
    <s v="Extrême-Nord"/>
    <s v="CMR004002"/>
    <s v="Logone-Et-Chari"/>
    <s v="CMR004002004"/>
    <s v="Logone-Birni"/>
  </r>
  <r>
    <s v="Extrême-Nord"/>
    <s v="CMR004"/>
    <x v="2"/>
    <s v="CMR004002"/>
    <x v="13"/>
    <s v="CMR004002001"/>
    <s v="WAZ-0023"/>
    <s v="MASSOUGOURMA SITE"/>
    <m/>
    <x v="0"/>
    <s v="Avant 2020"/>
    <n v="30"/>
    <n v="163"/>
    <x v="0"/>
    <m/>
    <s v="Même arrondissement"/>
    <s v="CMR"/>
    <s v="Cameroun"/>
    <s v="CMR004"/>
    <s v="Extrême-Nord"/>
    <s v="CMR004002"/>
    <s v="Logone-Et-Chari"/>
    <s v="CMR004002001"/>
    <s v="Waza"/>
  </r>
  <r>
    <s v="Extrême-Nord"/>
    <s v="CMR004"/>
    <x v="2"/>
    <s v="CMR004002"/>
    <x v="13"/>
    <s v="CMR004002001"/>
    <s v="WAZ-0023"/>
    <s v="MASSOUGOURMA SITE"/>
    <m/>
    <x v="0"/>
    <s v="Janvier - Aout 2022"/>
    <n v="17"/>
    <n v="100"/>
    <x v="1"/>
    <m/>
    <s v="Même département, autre arrondissement"/>
    <s v="CMR"/>
    <s v="Cameroun"/>
    <s v="CMR004"/>
    <s v="Extrême-Nord"/>
    <s v="CMR004002"/>
    <s v="Logone-Et-Chari"/>
    <s v="CMR004002004"/>
    <s v="Logone-Birni"/>
  </r>
  <r>
    <s v="Extrême-Nord"/>
    <s v="CMR004"/>
    <x v="2"/>
    <s v="CMR004002"/>
    <x v="13"/>
    <s v="CMR004002001"/>
    <s v="WAZ-0023"/>
    <s v="MASSOUGOURMA SITE"/>
    <m/>
    <x v="0"/>
    <s v="Septembre 2022 – Février 2023"/>
    <n v="0"/>
    <n v="6"/>
    <x v="0"/>
    <m/>
    <s v="Même arrondissement"/>
    <s v="CMR"/>
    <s v="Cameroun"/>
    <s v="CMR004"/>
    <s v="Extrême-Nord"/>
    <s v="CMR004002"/>
    <s v="Logone-Et-Chari"/>
    <s v="CMR004002001"/>
    <s v="Waza"/>
  </r>
  <r>
    <s v="Extrême-Nord"/>
    <s v="CMR004"/>
    <x v="2"/>
    <s v="CMR004002"/>
    <x v="15"/>
    <s v="CMR004002004"/>
    <s v="LBI-0066"/>
    <s v="LOGONE BIRNI (SAGOULA)"/>
    <m/>
    <x v="0"/>
    <s v="Janvier - Aout 2022"/>
    <n v="35"/>
    <n v="100"/>
    <x v="1"/>
    <m/>
    <s v="Même arrondissement"/>
    <s v="CMR"/>
    <s v="Cameroun"/>
    <s v="CMR004"/>
    <s v="Extrême-Nord"/>
    <s v="CMR004002"/>
    <s v="Logone-Et-Chari"/>
    <s v="CMR004002004"/>
    <s v="Logone-Birni"/>
  </r>
  <r>
    <s v="Extrême-Nord"/>
    <s v="CMR004"/>
    <x v="2"/>
    <s v="CMR004002"/>
    <x v="13"/>
    <s v="CMR004002001"/>
    <s v="WAZ-0025"/>
    <s v="TOUKOUMAYA"/>
    <m/>
    <x v="0"/>
    <s v="En 2021"/>
    <n v="52"/>
    <n v="366"/>
    <x v="0"/>
    <m/>
    <s v="Même arrondissement"/>
    <s v="CMR"/>
    <s v="Cameroun"/>
    <s v="CMR004"/>
    <s v="Extrême-Nord"/>
    <s v="CMR004002"/>
    <s v="Logone-Et-Chari"/>
    <s v="CMR004002001"/>
    <s v="Waza"/>
  </r>
  <r>
    <s v="Extrême-Nord"/>
    <s v="CMR004"/>
    <x v="2"/>
    <s v="CMR004002"/>
    <x v="13"/>
    <s v="CMR004002001"/>
    <s v="WAZ-0025"/>
    <s v="TOUKOUMAYA"/>
    <m/>
    <x v="0"/>
    <s v="Janvier - Aout 2022"/>
    <n v="17"/>
    <n v="146"/>
    <x v="1"/>
    <m/>
    <s v="Même département, autre arrondissement"/>
    <s v="CMR"/>
    <s v="Cameroun"/>
    <s v="CMR004"/>
    <s v="Extrême-Nord"/>
    <s v="CMR004002"/>
    <s v="Logone-Et-Chari"/>
    <s v="CMR004002004"/>
    <s v="Logone-Birni"/>
  </r>
  <r>
    <s v="Extrême-Nord"/>
    <s v="CMR004"/>
    <x v="1"/>
    <s v="CMR004006"/>
    <x v="16"/>
    <s v="CMR004006004"/>
    <s v="KOZ-0005"/>
    <s v="DOURWAT"/>
    <m/>
    <x v="0"/>
    <s v="En 2020"/>
    <n v="27"/>
    <n v="40"/>
    <x v="0"/>
    <m/>
    <s v="Même département, autre arrondissement"/>
    <s v="CMR"/>
    <s v="Cameroun"/>
    <s v="CMR004"/>
    <s v="Extrême-Nord"/>
    <s v="CMR004006"/>
    <s v="Mayo-Tsanaga"/>
    <s v="CMR004006005"/>
    <s v="Mayo-Moskota"/>
  </r>
  <r>
    <s v="Extrême-Nord"/>
    <s v="CMR004"/>
    <x v="1"/>
    <s v="CMR004006"/>
    <x v="16"/>
    <s v="CMR004006004"/>
    <s v="KOZ-0005"/>
    <s v="DOURWAT"/>
    <m/>
    <x v="0"/>
    <s v="En 2021"/>
    <n v="10"/>
    <n v="30"/>
    <x v="0"/>
    <m/>
    <s v="Même département, autre arrondissement"/>
    <s v="CMR"/>
    <s v="Cameroun"/>
    <s v="CMR004"/>
    <s v="Extrême-Nord"/>
    <s v="CMR004006"/>
    <s v="Mayo-Tsanaga"/>
    <s v="CMR004006005"/>
    <s v="Mayo-Moskota"/>
  </r>
  <r>
    <s v="Extrême-Nord"/>
    <s v="CMR004"/>
    <x v="1"/>
    <s v="CMR004006"/>
    <x v="16"/>
    <s v="CMR004006004"/>
    <s v="KOZ-0005"/>
    <s v="DOURWAT"/>
    <m/>
    <x v="0"/>
    <s v="Janvier - Aout 2022"/>
    <n v="85"/>
    <n v="365"/>
    <x v="0"/>
    <m/>
    <s v="Même département, autre arrondissement"/>
    <s v="CMR"/>
    <s v="Cameroun"/>
    <s v="CMR004"/>
    <s v="Extrême-Nord"/>
    <s v="CMR004006"/>
    <s v="Mayo-Tsanaga"/>
    <s v="CMR004006005"/>
    <s v="Mayo-Moskota"/>
  </r>
  <r>
    <s v="Extrême-Nord"/>
    <s v="CMR004"/>
    <x v="1"/>
    <s v="CMR004006"/>
    <x v="16"/>
    <s v="CMR004006004"/>
    <s v="KOZ-0005"/>
    <s v="DOURWAT"/>
    <m/>
    <x v="0"/>
    <s v="Septembre 2022 – Février 2023"/>
    <n v="5"/>
    <n v="20"/>
    <x v="0"/>
    <m/>
    <s v="Même département, autre arrondissement"/>
    <s v="CMR"/>
    <s v="Cameroun"/>
    <s v="CMR004"/>
    <s v="Extrême-Nord"/>
    <s v="CMR004006"/>
    <s v="Mayo-Tsanaga"/>
    <s v="CMR004006005"/>
    <s v="Mayo-Moskota"/>
  </r>
  <r>
    <s v="Extrême-Nord"/>
    <s v="CMR004"/>
    <x v="1"/>
    <s v="CMR004006"/>
    <x v="16"/>
    <s v="CMR004006004"/>
    <s v="KOZ-0029"/>
    <s v="GOUSD MLAIL"/>
    <m/>
    <x v="0"/>
    <s v="En 2020"/>
    <n v="5"/>
    <n v="26"/>
    <x v="0"/>
    <m/>
    <s v="Même département, autre arrondissement"/>
    <s v="CMR"/>
    <s v="Cameroun"/>
    <s v="CMR004"/>
    <s v="Extrême-Nord"/>
    <s v="CMR004006"/>
    <s v="Mayo-Tsanaga"/>
    <s v="CMR004006005"/>
    <s v="Mayo-Moskota"/>
  </r>
  <r>
    <s v="Extrême-Nord"/>
    <s v="CMR004"/>
    <x v="1"/>
    <s v="CMR004006"/>
    <x v="16"/>
    <s v="CMR004006004"/>
    <s v="KOZ-0029"/>
    <s v="GOUSD MLAIL"/>
    <m/>
    <x v="0"/>
    <s v="En 2021"/>
    <n v="0"/>
    <n v="3"/>
    <x v="0"/>
    <m/>
    <s v="Même département, autre arrondissement"/>
    <s v="CMR"/>
    <s v="Cameroun"/>
    <s v="CMR004"/>
    <s v="Extrême-Nord"/>
    <s v="CMR004006"/>
    <s v="Mayo-Tsanaga"/>
    <s v="CMR004006005"/>
    <s v="Mayo-Moskota"/>
  </r>
  <r>
    <s v="Extrême-Nord"/>
    <s v="CMR004"/>
    <x v="1"/>
    <s v="CMR004006"/>
    <x v="16"/>
    <s v="CMR004006004"/>
    <s v="KOZ-0029"/>
    <s v="GOUSD MLAIL"/>
    <m/>
    <x v="0"/>
    <s v="Janvier - Aout 2022"/>
    <n v="35"/>
    <n v="144"/>
    <x v="0"/>
    <m/>
    <s v="Même département, autre arrondissement"/>
    <s v="CMR"/>
    <s v="Cameroun"/>
    <s v="CMR004"/>
    <s v="Extrême-Nord"/>
    <s v="CMR004006"/>
    <s v="Mayo-Tsanaga"/>
    <s v="CMR004006005"/>
    <s v="Mayo-Moskota"/>
  </r>
  <r>
    <s v="Extrême-Nord"/>
    <s v="CMR004"/>
    <x v="1"/>
    <s v="CMR004006"/>
    <x v="16"/>
    <s v="CMR004006004"/>
    <s v="KOZ-0029"/>
    <s v="GOUSD MLAIL"/>
    <m/>
    <x v="0"/>
    <s v="Septembre 2022 – Février 2023"/>
    <n v="22"/>
    <n v="165"/>
    <x v="0"/>
    <m/>
    <s v="Même département, autre arrondissement"/>
    <s v="CMR"/>
    <s v="Cameroun"/>
    <s v="CMR004"/>
    <s v="Extrême-Nord"/>
    <s v="CMR004006"/>
    <s v="Mayo-Tsanaga"/>
    <s v="CMR004006005"/>
    <s v="Mayo-Moskota"/>
  </r>
  <r>
    <s v="Extrême-Nord"/>
    <s v="CMR004"/>
    <x v="1"/>
    <s v="CMR004006"/>
    <x v="16"/>
    <s v="CMR004006004"/>
    <s v="KOZ-0021"/>
    <s v="MODOKO"/>
    <m/>
    <x v="0"/>
    <s v="En 2021"/>
    <n v="5"/>
    <n v="20"/>
    <x v="0"/>
    <m/>
    <s v="Même département, autre arrondissement"/>
    <s v="CMR"/>
    <s v="Cameroun"/>
    <s v="CMR004"/>
    <s v="Extrême-Nord"/>
    <s v="CMR004006"/>
    <s v="Mayo-Tsanaga"/>
    <s v="CMR004006005"/>
    <s v="Mayo-Moskota"/>
  </r>
  <r>
    <s v="Extrême-Nord"/>
    <s v="CMR004"/>
    <x v="1"/>
    <s v="CMR004006"/>
    <x v="16"/>
    <s v="CMR004006004"/>
    <s v="KOZ-0021"/>
    <s v="MODOKO"/>
    <m/>
    <x v="0"/>
    <s v="Janvier - Aout 2022"/>
    <n v="153"/>
    <n v="814"/>
    <x v="0"/>
    <m/>
    <s v="Même département, autre arrondissement"/>
    <s v="CMR"/>
    <s v="Cameroun"/>
    <s v="CMR004"/>
    <s v="Extrême-Nord"/>
    <s v="CMR004006"/>
    <s v="Mayo-Tsanaga"/>
    <s v="CMR004006005"/>
    <s v="Mayo-Moskota"/>
  </r>
  <r>
    <s v="Extrême-Nord"/>
    <s v="CMR004"/>
    <x v="1"/>
    <s v="CMR004006"/>
    <x v="16"/>
    <s v="CMR004006004"/>
    <s v="KOZ-0021"/>
    <s v="MODOKO"/>
    <m/>
    <x v="0"/>
    <s v="Septembre 2022 – Février 2023"/>
    <n v="85"/>
    <n v="317"/>
    <x v="0"/>
    <m/>
    <s v="Même département, autre arrondissement"/>
    <s v="CMR"/>
    <s v="Cameroun"/>
    <s v="CMR004"/>
    <s v="Extrême-Nord"/>
    <s v="CMR004006"/>
    <s v="Mayo-Tsanaga"/>
    <s v="CMR004006005"/>
    <s v="Mayo-Moskota"/>
  </r>
  <r>
    <s v="Extrême-Nord"/>
    <s v="CMR004"/>
    <x v="1"/>
    <s v="CMR004006"/>
    <x v="16"/>
    <s v="CMR004006004"/>
    <s v="KOZ-0031"/>
    <s v="KAZIER"/>
    <m/>
    <x v="0"/>
    <s v="En 2020"/>
    <n v="2"/>
    <n v="9"/>
    <x v="0"/>
    <m/>
    <s v="Même département, autre arrondissement"/>
    <s v="CMR"/>
    <s v="Cameroun"/>
    <s v="CMR004"/>
    <s v="Extrême-Nord"/>
    <s v="CMR004006"/>
    <s v="Mayo-Tsanaga"/>
    <s v="CMR004006005"/>
    <s v="Mayo-Moskota"/>
  </r>
  <r>
    <s v="Extrême-Nord"/>
    <s v="CMR004"/>
    <x v="1"/>
    <s v="CMR004006"/>
    <x v="16"/>
    <s v="CMR004006004"/>
    <s v="KOZ-0031"/>
    <s v="KAZIER"/>
    <m/>
    <x v="0"/>
    <s v="En 2021"/>
    <n v="0"/>
    <n v="1"/>
    <x v="0"/>
    <m/>
    <s v="Même département, autre arrondissement"/>
    <s v="CMR"/>
    <s v="Cameroun"/>
    <s v="CMR004"/>
    <s v="Extrême-Nord"/>
    <s v="CMR004006"/>
    <s v="Mayo-Tsanaga"/>
    <s v="CMR004006005"/>
    <s v="Mayo-Moskota"/>
  </r>
  <r>
    <s v="Extrême-Nord"/>
    <s v="CMR004"/>
    <x v="1"/>
    <s v="CMR004006"/>
    <x v="16"/>
    <s v="CMR004006004"/>
    <s v="KOZ-0031"/>
    <s v="KAZIER"/>
    <m/>
    <x v="0"/>
    <s v="Janvier - Aout 2022"/>
    <n v="22"/>
    <n v="129"/>
    <x v="0"/>
    <m/>
    <s v="Même département, autre arrondissement"/>
    <s v="CMR"/>
    <s v="Cameroun"/>
    <s v="CMR004"/>
    <s v="Extrême-Nord"/>
    <s v="CMR004006"/>
    <s v="Mayo-Tsanaga"/>
    <s v="CMR004006005"/>
    <s v="Mayo-Moskota"/>
  </r>
  <r>
    <s v="Extrême-Nord"/>
    <s v="CMR004"/>
    <x v="1"/>
    <s v="CMR004006"/>
    <x v="16"/>
    <s v="CMR004006004"/>
    <s v="KOZ-0031"/>
    <s v="KAZIER"/>
    <m/>
    <x v="0"/>
    <s v="Septembre 2022 – Février 2023"/>
    <n v="2"/>
    <n v="7"/>
    <x v="0"/>
    <m/>
    <s v="Même département, autre arrondissement"/>
    <s v="CMR"/>
    <s v="Cameroun"/>
    <s v="CMR004"/>
    <s v="Extrême-Nord"/>
    <s v="CMR004006"/>
    <s v="Mayo-Tsanaga"/>
    <s v="CMR004006005"/>
    <s v="Mayo-Moskota"/>
  </r>
  <r>
    <s v="Extrême-Nord"/>
    <s v="CMR004"/>
    <x v="1"/>
    <s v="CMR004006"/>
    <x v="16"/>
    <s v="CMR004006004"/>
    <s v="KOZ-0004"/>
    <s v="DOUMBOGO"/>
    <m/>
    <x v="0"/>
    <s v="En 2020"/>
    <n v="20"/>
    <n v="51"/>
    <x v="0"/>
    <m/>
    <s v="Même département, autre arrondissement"/>
    <s v="CMR"/>
    <s v="Cameroun"/>
    <s v="CMR004"/>
    <s v="Extrême-Nord"/>
    <s v="CMR004006"/>
    <s v="Mayo-Tsanaga"/>
    <s v="CMR004006005"/>
    <s v="Mayo-Moskota"/>
  </r>
  <r>
    <s v="Extrême-Nord"/>
    <s v="CMR004"/>
    <x v="1"/>
    <s v="CMR004006"/>
    <x v="16"/>
    <s v="CMR004006004"/>
    <s v="KOZ-0004"/>
    <s v="DOUMBOGO"/>
    <m/>
    <x v="0"/>
    <s v="En 2021"/>
    <n v="25"/>
    <n v="75"/>
    <x v="0"/>
    <m/>
    <s v="Même département, autre arrondissement"/>
    <s v="CMR"/>
    <s v="Cameroun"/>
    <s v="CMR004"/>
    <s v="Extrême-Nord"/>
    <s v="CMR004006"/>
    <s v="Mayo-Tsanaga"/>
    <s v="CMR004006005"/>
    <s v="Mayo-Moskota"/>
  </r>
  <r>
    <s v="Extrême-Nord"/>
    <s v="CMR004"/>
    <x v="1"/>
    <s v="CMR004006"/>
    <x v="16"/>
    <s v="CMR004006004"/>
    <s v="KOZ-0004"/>
    <s v="DOUMBOGO"/>
    <m/>
    <x v="0"/>
    <s v="Janvier - Aout 2022"/>
    <n v="104"/>
    <n v="497"/>
    <x v="0"/>
    <m/>
    <s v="Même département, autre arrondissement"/>
    <s v="CMR"/>
    <s v="Cameroun"/>
    <s v="CMR004"/>
    <s v="Extrême-Nord"/>
    <s v="CMR004006"/>
    <s v="Mayo-Tsanaga"/>
    <s v="CMR004006005"/>
    <s v="Mayo-Moskota"/>
  </r>
  <r>
    <s v="Extrême-Nord"/>
    <s v="CMR004"/>
    <x v="1"/>
    <s v="CMR004006"/>
    <x v="16"/>
    <s v="CMR004006004"/>
    <s v="KOZ-0004"/>
    <s v="DOUMBOGO"/>
    <m/>
    <x v="0"/>
    <s v="Septembre 2022 – Février 2023"/>
    <n v="19"/>
    <n v="92"/>
    <x v="0"/>
    <m/>
    <s v="Même département, autre arrondissement"/>
    <s v="CMR"/>
    <s v="Cameroun"/>
    <s v="CMR004"/>
    <s v="Extrême-Nord"/>
    <s v="CMR004006"/>
    <s v="Mayo-Tsanaga"/>
    <s v="CMR004006005"/>
    <s v="Mayo-Moskota"/>
  </r>
  <r>
    <s v="Extrême-Nord"/>
    <s v="CMR004"/>
    <x v="2"/>
    <s v="CMR004002"/>
    <x v="26"/>
    <s v="CMR004002006"/>
    <s v="KOU-0028"/>
    <s v="NGALLO"/>
    <m/>
    <x v="0"/>
    <s v="Septembre 2022 – Février 2023"/>
    <n v="10"/>
    <n v="120"/>
    <x v="3"/>
    <m/>
    <s v="Même arrondissement"/>
    <s v="CMR"/>
    <s v="Cameroun"/>
    <s v="CMR004"/>
    <s v="Extrême-Nord"/>
    <s v="CMR004002"/>
    <s v="Logone-Et-Chari"/>
    <s v="CMR004002006"/>
    <s v="Kousséri"/>
  </r>
  <r>
    <s v="Extrême-Nord"/>
    <s v="CMR004"/>
    <x v="4"/>
    <s v="CMR004005"/>
    <x v="17"/>
    <s v="CMR004005002"/>
    <s v="MOR-0021"/>
    <s v="WALADE 3"/>
    <m/>
    <x v="0"/>
    <s v="Avant 2020"/>
    <n v="161"/>
    <n v="630"/>
    <x v="0"/>
    <m/>
    <s v="Même arrondissement"/>
    <s v="CMR"/>
    <s v="Cameroun"/>
    <s v="CMR004"/>
    <s v="Extrême-Nord"/>
    <s v="CMR004005"/>
    <s v="Mayo-Sava"/>
    <s v="CMR004005002"/>
    <s v="Mora"/>
  </r>
  <r>
    <s v="Extrême-Nord"/>
    <s v="CMR004"/>
    <x v="4"/>
    <s v="CMR004005"/>
    <x v="17"/>
    <s v="CMR004005002"/>
    <s v="MOR-0021"/>
    <s v="WALADE 3"/>
    <m/>
    <x v="0"/>
    <s v="En 2020"/>
    <n v="135"/>
    <n v="940"/>
    <x v="0"/>
    <m/>
    <s v="Même arrondissement"/>
    <s v="CMR"/>
    <s v="Cameroun"/>
    <s v="CMR004"/>
    <s v="Extrême-Nord"/>
    <s v="CMR004005"/>
    <s v="Mayo-Sava"/>
    <s v="CMR004005002"/>
    <s v="Mora"/>
  </r>
  <r>
    <s v="Extrême-Nord"/>
    <s v="CMR004"/>
    <x v="4"/>
    <s v="CMR004005"/>
    <x v="17"/>
    <s v="CMR004005002"/>
    <s v="MOR-0021"/>
    <s v="WALADE 3"/>
    <m/>
    <x v="0"/>
    <s v="En 2021"/>
    <n v="75"/>
    <n v="567"/>
    <x v="0"/>
    <m/>
    <s v="Même arrondissement"/>
    <s v="CMR"/>
    <s v="Cameroun"/>
    <s v="CMR004"/>
    <s v="Extrême-Nord"/>
    <s v="CMR004005"/>
    <s v="Mayo-Sava"/>
    <s v="CMR004005002"/>
    <s v="Mora"/>
  </r>
  <r>
    <s v="Extrême-Nord"/>
    <s v="CMR004"/>
    <x v="4"/>
    <s v="CMR004005"/>
    <x v="17"/>
    <s v="CMR004005002"/>
    <s v="MOR-0021"/>
    <s v="WALADE 3"/>
    <m/>
    <x v="0"/>
    <s v="Janvier - Aout 2022"/>
    <n v="3"/>
    <n v="34"/>
    <x v="0"/>
    <m/>
    <s v="Même arrondissement"/>
    <s v="CMR"/>
    <s v="Cameroun"/>
    <s v="CMR004"/>
    <s v="Extrême-Nord"/>
    <s v="CMR004005"/>
    <s v="Mayo-Sava"/>
    <s v="CMR004005002"/>
    <s v="Mora"/>
  </r>
  <r>
    <s v="Extrême-Nord"/>
    <s v="CMR004"/>
    <x v="4"/>
    <s v="CMR004005"/>
    <x v="17"/>
    <s v="CMR004005002"/>
    <s v="MOR-0021"/>
    <s v="WALADE 3"/>
    <m/>
    <x v="0"/>
    <s v="Septembre 2022 – Février 2023"/>
    <n v="0"/>
    <n v="28"/>
    <x v="0"/>
    <m/>
    <s v="Même arrondissement"/>
    <s v="CMR"/>
    <s v="Cameroun"/>
    <s v="CMR004"/>
    <s v="Extrême-Nord"/>
    <s v="CMR004005"/>
    <s v="Mayo-Sava"/>
    <s v="CMR004005002"/>
    <s v="Mora"/>
  </r>
  <r>
    <s v="Extrême-Nord"/>
    <s v="CMR004"/>
    <x v="2"/>
    <s v="CMR004002"/>
    <x v="26"/>
    <s v="CMR004002006"/>
    <s v="KOU-0032"/>
    <s v="RIGGIL KOTOKO"/>
    <m/>
    <x v="0"/>
    <s v="Avant 2020"/>
    <n v="15"/>
    <n v="32"/>
    <x v="0"/>
    <m/>
    <s v="Même département, autre arrondissement"/>
    <s v="CMR"/>
    <s v="Cameroun"/>
    <s v="CMR004"/>
    <s v="Extrême-Nord"/>
    <s v="CMR004002"/>
    <s v="Logone-Et-Chari"/>
    <s v="CMR004002008"/>
    <s v="Fotokol"/>
  </r>
  <r>
    <s v="Extrême-Nord"/>
    <s v="CMR004"/>
    <x v="2"/>
    <s v="CMR004002"/>
    <x v="26"/>
    <s v="CMR004002006"/>
    <s v="KOU-0032"/>
    <s v="RIGGIL KOTOKO"/>
    <m/>
    <x v="0"/>
    <s v="En 2020"/>
    <n v="2"/>
    <n v="16"/>
    <x v="0"/>
    <m/>
    <s v="Même département, autre arrondissement"/>
    <s v="CMR"/>
    <s v="Cameroun"/>
    <s v="CMR004"/>
    <s v="Extrême-Nord"/>
    <s v="CMR004002"/>
    <s v="Logone-Et-Chari"/>
    <s v="CMR004002008"/>
    <s v="Fotokol"/>
  </r>
  <r>
    <s v="Extrême-Nord"/>
    <s v="CMR004"/>
    <x v="2"/>
    <s v="CMR004002"/>
    <x v="26"/>
    <s v="CMR004002006"/>
    <s v="KOU-0032"/>
    <s v="RIGGIL KOTOKO"/>
    <m/>
    <x v="0"/>
    <s v="En 2021"/>
    <n v="1"/>
    <n v="8"/>
    <x v="0"/>
    <m/>
    <s v="Même département, autre arrondissement"/>
    <s v="CMR"/>
    <s v="Cameroun"/>
    <s v="CMR004"/>
    <s v="Extrême-Nord"/>
    <s v="CMR004002"/>
    <s v="Logone-Et-Chari"/>
    <s v="CMR004002008"/>
    <s v="Fotokol"/>
  </r>
  <r>
    <s v="Extrême-Nord"/>
    <s v="CMR004"/>
    <x v="2"/>
    <s v="CMR004002"/>
    <x v="26"/>
    <s v="CMR004002006"/>
    <s v="KOU-0032"/>
    <s v="RIGGIL KOTOKO"/>
    <m/>
    <x v="0"/>
    <s v="Janvier - Aout 2022"/>
    <n v="2"/>
    <n v="14"/>
    <x v="1"/>
    <m/>
    <s v="Même département, autre arrondissement"/>
    <s v="CMR"/>
    <s v="Cameroun"/>
    <s v="CMR004"/>
    <s v="Extrême-Nord"/>
    <s v="CMR004002"/>
    <s v="Logone-Et-Chari"/>
    <s v="CMR004002004"/>
    <s v="Logone-Birni"/>
  </r>
  <r>
    <s v="Extrême-Nord"/>
    <s v="CMR004"/>
    <x v="2"/>
    <s v="CMR004002"/>
    <x v="26"/>
    <s v="CMR004002006"/>
    <s v="KOU-0032"/>
    <s v="RIGGIL KOTOKO"/>
    <m/>
    <x v="0"/>
    <s v="Septembre 2022 – Février 2023"/>
    <n v="1"/>
    <n v="8"/>
    <x v="3"/>
    <m/>
    <s v="Même département, autre arrondissement"/>
    <s v="CMR"/>
    <s v="Cameroun"/>
    <s v="CMR004"/>
    <s v="Extrême-Nord"/>
    <s v="CMR004002"/>
    <s v="Logone-Et-Chari"/>
    <s v="CMR004002004"/>
    <s v="Logone-Birni"/>
  </r>
  <r>
    <s v="Extrême-Nord"/>
    <s v="CMR004"/>
    <x v="2"/>
    <s v="CMR004002"/>
    <x v="8"/>
    <s v="CMR004002009"/>
    <s v="MAK-0129"/>
    <s v="DAGLE"/>
    <m/>
    <x v="0"/>
    <s v="Avant 2020"/>
    <n v="18"/>
    <n v="119"/>
    <x v="0"/>
    <m/>
    <s v="Même département, autre arrondissement"/>
    <s v="CMR"/>
    <s v="Cameroun"/>
    <s v="CMR004"/>
    <s v="Extrême-Nord"/>
    <s v="CMR004002"/>
    <s v="Logone-Et-Chari"/>
    <s v="CMR004002008"/>
    <s v="Fotokol"/>
  </r>
  <r>
    <s v="Extrême-Nord"/>
    <s v="CMR004"/>
    <x v="2"/>
    <s v="CMR004002"/>
    <x v="8"/>
    <s v="CMR004002009"/>
    <s v="MAK-0129"/>
    <s v="DAGLE"/>
    <m/>
    <x v="0"/>
    <s v="En 2020"/>
    <n v="0"/>
    <n v="17"/>
    <x v="0"/>
    <m/>
    <s v="Même département, autre arrondissement"/>
    <s v="CMR"/>
    <s v="Cameroun"/>
    <s v="CMR004"/>
    <s v="Extrême-Nord"/>
    <s v="CMR004002"/>
    <s v="Logone-Et-Chari"/>
    <s v="CMR004002008"/>
    <s v="Fotokol"/>
  </r>
  <r>
    <s v="Extrême-Nord"/>
    <s v="CMR004"/>
    <x v="2"/>
    <s v="CMR004002"/>
    <x v="8"/>
    <s v="CMR004002009"/>
    <s v="MAK-0129"/>
    <s v="DAGLE"/>
    <m/>
    <x v="0"/>
    <s v="Janvier - Aout 2022"/>
    <n v="30"/>
    <n v="166"/>
    <x v="1"/>
    <m/>
    <s v="Même département, autre arrondissement"/>
    <s v="CMR"/>
    <s v="Cameroun"/>
    <s v="CMR004"/>
    <s v="Extrême-Nord"/>
    <s v="CMR004002"/>
    <s v="Logone-Et-Chari"/>
    <s v="CMR004002004"/>
    <s v="Logone-Birni"/>
  </r>
  <r>
    <s v="Extrême-Nord"/>
    <s v="CMR004"/>
    <x v="2"/>
    <s v="CMR004002"/>
    <x v="8"/>
    <s v="CMR004002009"/>
    <s v="MAK-0129"/>
    <s v="DAGLE"/>
    <m/>
    <x v="0"/>
    <s v="Septembre 2022 – Février 2023"/>
    <n v="0"/>
    <n v="6"/>
    <x v="1"/>
    <m/>
    <s v="Même département, autre arrondissement"/>
    <s v="CMR"/>
    <s v="Cameroun"/>
    <s v="CMR004"/>
    <s v="Extrême-Nord"/>
    <s v="CMR004002"/>
    <s v="Logone-Et-Chari"/>
    <s v="CMR004002004"/>
    <s v="Logone-Birni"/>
  </r>
  <r>
    <s v="Extrême-Nord"/>
    <s v="CMR004"/>
    <x v="5"/>
    <s v="CMR004004"/>
    <x v="20"/>
    <s v="CMR004004006"/>
    <s v="KAE-0011"/>
    <s v="KASSÉLÉ"/>
    <m/>
    <x v="0"/>
    <s v="Avant 2020"/>
    <n v="40"/>
    <n v="98"/>
    <x v="0"/>
    <m/>
    <s v="Autre département"/>
    <s v="CMR"/>
    <s v="Cameroun"/>
    <s v="CMR004"/>
    <s v="Extrême-Nord"/>
    <s v="CMR004005"/>
    <s v="Mayo-Sava"/>
    <m/>
    <m/>
  </r>
  <r>
    <s v="Extrême-Nord"/>
    <s v="CMR004"/>
    <x v="0"/>
    <s v="CMR004001"/>
    <x v="0"/>
    <s v="CMR004001003"/>
    <s v="PET-0026"/>
    <s v="TOUTKA"/>
    <m/>
    <x v="0"/>
    <s v="Avant 2020"/>
    <n v="3"/>
    <n v="21"/>
    <x v="0"/>
    <m/>
    <s v="Autre département"/>
    <s v="CMR"/>
    <s v="Cameroun"/>
    <s v="CMR004"/>
    <s v="Extrême-Nord"/>
    <s v="CMR004005"/>
    <s v="Mayo-Sava"/>
    <m/>
    <m/>
  </r>
  <r>
    <s v="Extrême-Nord"/>
    <s v="CMR004"/>
    <x v="5"/>
    <s v="CMR004004"/>
    <x v="20"/>
    <s v="CMR004004006"/>
    <s v="KAE-0010"/>
    <s v="MADA"/>
    <m/>
    <x v="0"/>
    <s v="Avant 2020"/>
    <n v="82"/>
    <n v="637"/>
    <x v="1"/>
    <m/>
    <s v="Autre région"/>
    <s v="CMR"/>
    <s v="Cameroun"/>
    <s v="CMR006"/>
    <s v="Nord"/>
    <m/>
    <m/>
    <m/>
    <m/>
  </r>
  <r>
    <s v="Extrême-Nord"/>
    <s v="CMR004"/>
    <x v="2"/>
    <s v="CMR004002"/>
    <x v="15"/>
    <s v="CMR004002004"/>
    <s v="LBI-0089"/>
    <s v="HERWA BAGTABA"/>
    <m/>
    <x v="0"/>
    <s v="Septembre 2022 – Février 2023"/>
    <n v="25"/>
    <n v="250"/>
    <x v="3"/>
    <m/>
    <s v="Même arrondissement"/>
    <s v="CMR"/>
    <s v="Cameroun"/>
    <s v="CMR004"/>
    <s v="Extrême-Nord"/>
    <s v="CMR004002"/>
    <s v="Logone-Et-Chari"/>
    <s v="CMR004002004"/>
    <s v="Logone-Birni"/>
  </r>
  <r>
    <s v="Extrême-Nord"/>
    <s v="CMR004"/>
    <x v="2"/>
    <s v="CMR004002"/>
    <x v="15"/>
    <s v="CMR004002004"/>
    <s v="LBI-0091"/>
    <s v="DILGA MOUSGOUM"/>
    <m/>
    <x v="0"/>
    <s v="Septembre 2022 – Février 2023"/>
    <n v="3"/>
    <n v="9"/>
    <x v="3"/>
    <m/>
    <s v="Autre département"/>
    <s v="CMR"/>
    <s v="Cameroun"/>
    <s v="CMR004"/>
    <s v="Extrême-Nord"/>
    <s v="CMR004003"/>
    <s v="Mayo-Danay"/>
    <m/>
    <m/>
  </r>
  <r>
    <s v="Extrême-Nord"/>
    <s v="CMR004"/>
    <x v="2"/>
    <s v="CMR004002"/>
    <x v="15"/>
    <s v="CMR004002004"/>
    <s v="XXXX"/>
    <s v="DILGA ARABE"/>
    <s v="DILGA ARABE"/>
    <x v="0"/>
    <s v="Septembre 2022 – Février 2023"/>
    <n v="15"/>
    <n v="50"/>
    <x v="3"/>
    <m/>
    <s v="Même arrondissement"/>
    <s v="CMR"/>
    <s v="Cameroun"/>
    <s v="CMR004"/>
    <s v="Extrême-Nord"/>
    <s v="CMR004002"/>
    <s v="Logone-Et-Chari"/>
    <s v="CMR004002004"/>
    <s v="Logone-Birni"/>
  </r>
  <r>
    <s v="Extrême-Nord"/>
    <s v="CMR004"/>
    <x v="2"/>
    <s v="CMR004002"/>
    <x v="15"/>
    <s v="CMR004002004"/>
    <s v="LBI-0072"/>
    <s v="MBOUTOUFKA"/>
    <m/>
    <x v="0"/>
    <s v="Avant 2020"/>
    <n v="10"/>
    <n v="55"/>
    <x v="0"/>
    <m/>
    <s v="Même département, autre arrondissement"/>
    <s v="CMR"/>
    <s v="Cameroun"/>
    <s v="CMR004"/>
    <s v="Extrême-Nord"/>
    <s v="CMR004002"/>
    <s v="Logone-Et-Chari"/>
    <s v="CMR004002001"/>
    <s v="Waza"/>
  </r>
  <r>
    <s v="Extrême-Nord"/>
    <s v="CMR004"/>
    <x v="2"/>
    <s v="CMR004002"/>
    <x v="8"/>
    <s v="CMR004002009"/>
    <s v="MAK-0117"/>
    <s v="RINGUE"/>
    <m/>
    <x v="0"/>
    <s v="Avant 2020"/>
    <n v="11"/>
    <n v="40"/>
    <x v="0"/>
    <m/>
    <s v="Même département, autre arrondissement"/>
    <s v="CMR"/>
    <s v="Cameroun"/>
    <s v="CMR004"/>
    <s v="Extrême-Nord"/>
    <s v="CMR004002"/>
    <s v="Logone-Et-Chari"/>
    <s v="CMR004002008"/>
    <s v="Fotokol"/>
  </r>
  <r>
    <s v="Extrême-Nord"/>
    <s v="CMR004"/>
    <x v="2"/>
    <s v="CMR004002"/>
    <x v="8"/>
    <s v="CMR004002009"/>
    <s v="MAK-0117"/>
    <s v="RINGUE"/>
    <m/>
    <x v="0"/>
    <s v="En 2021"/>
    <n v="0"/>
    <n v="17"/>
    <x v="0"/>
    <m/>
    <s v="Même département, autre arrondissement"/>
    <s v="CMR"/>
    <s v="Cameroun"/>
    <s v="CMR004"/>
    <s v="Extrême-Nord"/>
    <s v="CMR004002"/>
    <s v="Logone-Et-Chari"/>
    <s v="CMR004002008"/>
    <s v="Fotokol"/>
  </r>
  <r>
    <s v="Extrême-Nord"/>
    <s v="CMR004"/>
    <x v="2"/>
    <s v="CMR004002"/>
    <x v="8"/>
    <s v="CMR004002009"/>
    <s v="MAK-0056"/>
    <s v="MAFANDE"/>
    <m/>
    <x v="0"/>
    <s v="Avant 2020"/>
    <n v="20"/>
    <n v="56"/>
    <x v="0"/>
    <m/>
    <s v="Même département, autre arrondissement"/>
    <s v="CMR"/>
    <s v="Cameroun"/>
    <s v="CMR004"/>
    <s v="Extrême-Nord"/>
    <s v="CMR004002"/>
    <s v="Logone-Et-Chari"/>
    <s v="CMR004002008"/>
    <s v="Fotokol"/>
  </r>
  <r>
    <s v="Extrême-Nord"/>
    <s v="CMR004"/>
    <x v="1"/>
    <s v="CMR004006"/>
    <x v="16"/>
    <s v="CMR004006004"/>
    <s v="KOZ-0040"/>
    <s v="BANQUETTE"/>
    <m/>
    <x v="0"/>
    <s v="Avant 2020"/>
    <n v="23"/>
    <n v="84"/>
    <x v="0"/>
    <m/>
    <s v="Même département, autre arrondissement"/>
    <s v="CMR"/>
    <s v="Cameroun"/>
    <s v="CMR004"/>
    <s v="Extrême-Nord"/>
    <s v="CMR004006"/>
    <s v="Mayo-Tsanaga"/>
    <s v="CMR004006005"/>
    <s v="Mayo-Moskota"/>
  </r>
  <r>
    <s v="Extrême-Nord"/>
    <s v="CMR004"/>
    <x v="1"/>
    <s v="CMR004006"/>
    <x v="16"/>
    <s v="CMR004006004"/>
    <s v="KOZ-0040"/>
    <s v="BANQUETTE"/>
    <m/>
    <x v="0"/>
    <s v="Janvier - Aout 2022"/>
    <n v="1"/>
    <n v="3"/>
    <x v="0"/>
    <m/>
    <s v="Même département, autre arrondissement"/>
    <s v="CMR"/>
    <s v="Cameroun"/>
    <s v="CMR004"/>
    <s v="Extrême-Nord"/>
    <s v="CMR004006"/>
    <s v="Mayo-Tsanaga"/>
    <s v="CMR004006005"/>
    <s v="Mayo-Moskota"/>
  </r>
  <r>
    <s v="Extrême-Nord"/>
    <s v="CMR004"/>
    <x v="1"/>
    <s v="CMR004006"/>
    <x v="16"/>
    <s v="CMR004006004"/>
    <s v="KOZ-0040"/>
    <s v="BANQUETTE"/>
    <m/>
    <x v="0"/>
    <s v="Septembre 2022 – Février 2023"/>
    <n v="3"/>
    <n v="14"/>
    <x v="0"/>
    <m/>
    <s v="Même département, autre arrondissement"/>
    <s v="CMR"/>
    <s v="Cameroun"/>
    <s v="CMR004"/>
    <s v="Extrême-Nord"/>
    <s v="CMR004006"/>
    <s v="Mayo-Tsanaga"/>
    <s v="CMR004006005"/>
    <s v="Mayo-Moskota"/>
  </r>
  <r>
    <s v="Extrême-Nord"/>
    <s v="CMR004"/>
    <x v="1"/>
    <s v="CMR004006"/>
    <x v="16"/>
    <s v="CMR004006004"/>
    <s v="KOZ-0040"/>
    <s v="BANQUETTE"/>
    <m/>
    <x v="0"/>
    <s v="En 2021"/>
    <n v="3"/>
    <n v="12"/>
    <x v="0"/>
    <m/>
    <s v="Même département, autre arrondissement"/>
    <s v="CMR"/>
    <s v="Cameroun"/>
    <s v="CMR004"/>
    <s v="Extrême-Nord"/>
    <s v="CMR004006"/>
    <s v="Mayo-Tsanaga"/>
    <s v="CMR004006005"/>
    <s v="Mayo-Moskota"/>
  </r>
  <r>
    <s v="Extrême-Nord"/>
    <s v="CMR004"/>
    <x v="1"/>
    <s v="CMR004006"/>
    <x v="16"/>
    <s v="CMR004006004"/>
    <s v="KOZ-0017"/>
    <s v="KILDA"/>
    <m/>
    <x v="0"/>
    <s v="Avant 2020"/>
    <n v="60"/>
    <n v="472"/>
    <x v="0"/>
    <m/>
    <s v="Même département, autre arrondissement"/>
    <s v="CMR"/>
    <s v="Cameroun"/>
    <s v="CMR004"/>
    <s v="Extrême-Nord"/>
    <s v="CMR004006"/>
    <s v="Mayo-Tsanaga"/>
    <s v="CMR004006005"/>
    <s v="Mayo-Moskota"/>
  </r>
  <r>
    <s v="Extrême-Nord"/>
    <s v="CMR004"/>
    <x v="1"/>
    <s v="CMR004006"/>
    <x v="16"/>
    <s v="CMR004006004"/>
    <s v="KOZ-0017"/>
    <s v="KILDA"/>
    <m/>
    <x v="0"/>
    <s v="En 2021"/>
    <n v="5"/>
    <n v="35"/>
    <x v="0"/>
    <m/>
    <s v="Même département, autre arrondissement"/>
    <s v="CMR"/>
    <s v="Cameroun"/>
    <s v="CMR004"/>
    <s v="Extrême-Nord"/>
    <s v="CMR004006"/>
    <s v="Mayo-Tsanaga"/>
    <s v="CMR004006005"/>
    <s v="Mayo-Moskota"/>
  </r>
  <r>
    <s v="Extrême-Nord"/>
    <s v="CMR004"/>
    <x v="1"/>
    <s v="CMR004006"/>
    <x v="16"/>
    <s v="CMR004006004"/>
    <s v="KOZ-0017"/>
    <s v="KILDA"/>
    <m/>
    <x v="0"/>
    <s v="Janvier - Aout 2022"/>
    <n v="1"/>
    <n v="7"/>
    <x v="0"/>
    <m/>
    <s v="Même département, autre arrondissement"/>
    <s v="CMR"/>
    <s v="Cameroun"/>
    <s v="CMR004"/>
    <s v="Extrême-Nord"/>
    <s v="CMR004006"/>
    <s v="Mayo-Tsanaga"/>
    <s v="CMR004006005"/>
    <s v="Mayo-Moskota"/>
  </r>
  <r>
    <s v="Extrême-Nord"/>
    <s v="CMR004"/>
    <x v="1"/>
    <s v="CMR004006"/>
    <x v="16"/>
    <s v="CMR004006004"/>
    <s v="KOZ-0017"/>
    <s v="KILDA"/>
    <m/>
    <x v="0"/>
    <s v="Septembre 2022 – Février 2023"/>
    <n v="7"/>
    <n v="35"/>
    <x v="0"/>
    <m/>
    <s v="Même département, autre arrondissement"/>
    <s v="CMR"/>
    <s v="Cameroun"/>
    <s v="CMR004"/>
    <s v="Extrême-Nord"/>
    <s v="CMR004006"/>
    <s v="Mayo-Tsanaga"/>
    <s v="CMR004006005"/>
    <s v="Mayo-Moskota"/>
  </r>
  <r>
    <s v="Extrême-Nord"/>
    <s v="CMR004"/>
    <x v="1"/>
    <s v="CMR004006"/>
    <x v="16"/>
    <s v="CMR004006004"/>
    <s v="KOZ-0017"/>
    <s v="KILDA"/>
    <m/>
    <x v="0"/>
    <s v="En 2020"/>
    <n v="4"/>
    <n v="16"/>
    <x v="0"/>
    <m/>
    <s v="Même département, autre arrondissement"/>
    <s v="CMR"/>
    <s v="Cameroun"/>
    <s v="CMR004"/>
    <s v="Extrême-Nord"/>
    <s v="CMR004006"/>
    <s v="Mayo-Tsanaga"/>
    <s v="CMR004006005"/>
    <s v="Mayo-Moskota"/>
  </r>
  <r>
    <s v="Extrême-Nord"/>
    <s v="CMR004"/>
    <x v="1"/>
    <s v="CMR004006"/>
    <x v="16"/>
    <s v="CMR004006004"/>
    <s v="KOZ-0034"/>
    <s v="LDAGAM"/>
    <m/>
    <x v="0"/>
    <s v="Avant 2020"/>
    <n v="70"/>
    <n v="472"/>
    <x v="0"/>
    <m/>
    <s v="Même département, autre arrondissement"/>
    <s v="CMR"/>
    <s v="Cameroun"/>
    <s v="CMR004"/>
    <s v="Extrême-Nord"/>
    <s v="CMR004006"/>
    <s v="Mayo-Tsanaga"/>
    <s v="CMR004006005"/>
    <s v="Mayo-Moskota"/>
  </r>
  <r>
    <s v="Extrême-Nord"/>
    <s v="CMR004"/>
    <x v="1"/>
    <s v="CMR004006"/>
    <x v="16"/>
    <s v="CMR004006004"/>
    <s v="KOZ-0034"/>
    <s v="LDAGAM"/>
    <m/>
    <x v="0"/>
    <s v="En 2020"/>
    <n v="0"/>
    <n v="8"/>
    <x v="0"/>
    <m/>
    <s v="Même département, autre arrondissement"/>
    <s v="CMR"/>
    <s v="Cameroun"/>
    <s v="CMR004"/>
    <s v="Extrême-Nord"/>
    <s v="CMR004006"/>
    <s v="Mayo-Tsanaga"/>
    <s v="CMR004006005"/>
    <s v="Mayo-Moskota"/>
  </r>
  <r>
    <s v="Extrême-Nord"/>
    <s v="CMR004"/>
    <x v="1"/>
    <s v="CMR004006"/>
    <x v="16"/>
    <s v="CMR004006004"/>
    <s v="KOZ-0034"/>
    <s v="LDAGAM"/>
    <m/>
    <x v="0"/>
    <s v="En 2021"/>
    <n v="35"/>
    <n v="70"/>
    <x v="0"/>
    <m/>
    <s v="Même département, autre arrondissement"/>
    <s v="CMR"/>
    <s v="Cameroun"/>
    <s v="CMR004"/>
    <s v="Extrême-Nord"/>
    <s v="CMR004006"/>
    <s v="Mayo-Tsanaga"/>
    <s v="CMR004006005"/>
    <s v="Mayo-Moskota"/>
  </r>
  <r>
    <s v="Extrême-Nord"/>
    <s v="CMR004"/>
    <x v="1"/>
    <s v="CMR004006"/>
    <x v="16"/>
    <s v="CMR004006004"/>
    <s v="KOZ-0034"/>
    <s v="LDAGAM"/>
    <m/>
    <x v="0"/>
    <s v="Janvier - Aout 2022"/>
    <n v="14"/>
    <n v="50"/>
    <x v="0"/>
    <m/>
    <s v="Même département, autre arrondissement"/>
    <s v="CMR"/>
    <s v="Cameroun"/>
    <s v="CMR004"/>
    <s v="Extrême-Nord"/>
    <s v="CMR004006"/>
    <s v="Mayo-Tsanaga"/>
    <s v="CMR004006005"/>
    <s v="Mayo-Moskota"/>
  </r>
  <r>
    <s v="Extrême-Nord"/>
    <s v="CMR004"/>
    <x v="1"/>
    <s v="CMR004006"/>
    <x v="16"/>
    <s v="CMR004006004"/>
    <s v="KOZ-0034"/>
    <s v="LDAGAM"/>
    <m/>
    <x v="0"/>
    <s v="Septembre 2022 – Février 2023"/>
    <n v="10"/>
    <n v="67"/>
    <x v="0"/>
    <m/>
    <s v="Même département, autre arrondissement"/>
    <s v="CMR"/>
    <s v="Cameroun"/>
    <s v="CMR004"/>
    <s v="Extrême-Nord"/>
    <s v="CMR004006"/>
    <s v="Mayo-Tsanaga"/>
    <s v="CMR004006005"/>
    <s v="Mayo-Moskota"/>
  </r>
  <r>
    <s v="Extrême-Nord"/>
    <s v="CMR004"/>
    <x v="1"/>
    <s v="CMR004006"/>
    <x v="16"/>
    <s v="CMR004006004"/>
    <s v="KOZ-0039"/>
    <s v="MAWA"/>
    <m/>
    <x v="0"/>
    <s v="Avant 2020"/>
    <n v="98"/>
    <n v="795"/>
    <x v="0"/>
    <m/>
    <s v="Même département, autre arrondissement"/>
    <s v="CMR"/>
    <s v="Cameroun"/>
    <s v="CMR004"/>
    <s v="Extrême-Nord"/>
    <s v="CMR004006"/>
    <s v="Mayo-Tsanaga"/>
    <s v="CMR004006005"/>
    <s v="Mayo-Moskota"/>
  </r>
  <r>
    <s v="Extrême-Nord"/>
    <s v="CMR004"/>
    <x v="1"/>
    <s v="CMR004006"/>
    <x v="16"/>
    <s v="CMR004006004"/>
    <s v="KOZ-0039"/>
    <s v="MAWA"/>
    <m/>
    <x v="0"/>
    <s v="En 2020"/>
    <n v="0"/>
    <n v="10"/>
    <x v="0"/>
    <m/>
    <s v="Même département, autre arrondissement"/>
    <s v="CMR"/>
    <s v="Cameroun"/>
    <s v="CMR004"/>
    <s v="Extrême-Nord"/>
    <s v="CMR004006"/>
    <s v="Mayo-Tsanaga"/>
    <s v="CMR004006005"/>
    <s v="Mayo-Moskota"/>
  </r>
  <r>
    <s v="Extrême-Nord"/>
    <s v="CMR004"/>
    <x v="1"/>
    <s v="CMR004006"/>
    <x v="16"/>
    <s v="CMR004006004"/>
    <s v="KOZ-0039"/>
    <s v="MAWA"/>
    <m/>
    <x v="0"/>
    <s v="En 2021"/>
    <n v="10"/>
    <n v="37"/>
    <x v="0"/>
    <m/>
    <s v="Même département, autre arrondissement"/>
    <s v="CMR"/>
    <s v="Cameroun"/>
    <s v="CMR004"/>
    <s v="Extrême-Nord"/>
    <s v="CMR004006"/>
    <s v="Mayo-Tsanaga"/>
    <s v="CMR004006005"/>
    <s v="Mayo-Moskota"/>
  </r>
  <r>
    <s v="Extrême-Nord"/>
    <s v="CMR004"/>
    <x v="1"/>
    <s v="CMR004006"/>
    <x v="16"/>
    <s v="CMR004006004"/>
    <s v="KOZ-0039"/>
    <s v="MAWA"/>
    <m/>
    <x v="0"/>
    <s v="Janvier - Aout 2022"/>
    <n v="51"/>
    <n v="320"/>
    <x v="0"/>
    <m/>
    <s v="Même département, autre arrondissement"/>
    <s v="CMR"/>
    <s v="Cameroun"/>
    <s v="CMR004"/>
    <s v="Extrême-Nord"/>
    <s v="CMR004006"/>
    <s v="Mayo-Tsanaga"/>
    <s v="CMR004006005"/>
    <s v="Mayo-Moskota"/>
  </r>
  <r>
    <s v="Extrême-Nord"/>
    <s v="CMR004"/>
    <x v="1"/>
    <s v="CMR004006"/>
    <x v="16"/>
    <s v="CMR004006004"/>
    <s v="KOZ-0039"/>
    <s v="MAWA"/>
    <m/>
    <x v="0"/>
    <s v="Septembre 2022 – Février 2023"/>
    <n v="2"/>
    <n v="15"/>
    <x v="0"/>
    <m/>
    <s v="Même département, autre arrondissement"/>
    <s v="CMR"/>
    <s v="Cameroun"/>
    <s v="CMR004"/>
    <s v="Extrême-Nord"/>
    <s v="CMR004006"/>
    <s v="Mayo-Tsanaga"/>
    <s v="CMR004006005"/>
    <s v="Mayo-Moskota"/>
  </r>
  <r>
    <s v="Extrême-Nord"/>
    <s v="CMR004"/>
    <x v="1"/>
    <s v="CMR004006"/>
    <x v="16"/>
    <s v="CMR004006004"/>
    <s v="KOZ-0009"/>
    <s v="GALDALA"/>
    <m/>
    <x v="0"/>
    <s v="Avant 2020"/>
    <n v="142"/>
    <n v="925"/>
    <x v="0"/>
    <m/>
    <s v="Même département, autre arrondissement"/>
    <s v="CMR"/>
    <s v="Cameroun"/>
    <s v="CMR004"/>
    <s v="Extrême-Nord"/>
    <s v="CMR004006"/>
    <s v="Mayo-Tsanaga"/>
    <s v="CMR004006005"/>
    <s v="Mayo-Moskota"/>
  </r>
  <r>
    <s v="Extrême-Nord"/>
    <s v="CMR004"/>
    <x v="1"/>
    <s v="CMR004006"/>
    <x v="16"/>
    <s v="CMR004006004"/>
    <s v="KOZ-0009"/>
    <s v="GALDALA"/>
    <m/>
    <x v="0"/>
    <s v="En 2020"/>
    <n v="20"/>
    <n v="60"/>
    <x v="0"/>
    <m/>
    <s v="Même département, autre arrondissement"/>
    <s v="CMR"/>
    <s v="Cameroun"/>
    <s v="CMR004"/>
    <s v="Extrême-Nord"/>
    <s v="CMR004006"/>
    <s v="Mayo-Tsanaga"/>
    <s v="CMR004006005"/>
    <s v="Mayo-Moskota"/>
  </r>
  <r>
    <s v="Extrême-Nord"/>
    <s v="CMR004"/>
    <x v="1"/>
    <s v="CMR004006"/>
    <x v="16"/>
    <s v="CMR004006004"/>
    <s v="KOZ-0009"/>
    <s v="GALDALA"/>
    <m/>
    <x v="0"/>
    <s v="En 2021"/>
    <n v="27"/>
    <n v="60"/>
    <x v="0"/>
    <m/>
    <s v="Même département, autre arrondissement"/>
    <s v="CMR"/>
    <s v="Cameroun"/>
    <s v="CMR004"/>
    <s v="Extrême-Nord"/>
    <s v="CMR004006"/>
    <s v="Mayo-Tsanaga"/>
    <s v="CMR004006005"/>
    <s v="Mayo-Moskota"/>
  </r>
  <r>
    <s v="Extrême-Nord"/>
    <s v="CMR004"/>
    <x v="1"/>
    <s v="CMR004006"/>
    <x v="16"/>
    <s v="CMR004006004"/>
    <s v="KOZ-0009"/>
    <s v="GALDALA"/>
    <m/>
    <x v="0"/>
    <s v="Janvier - Aout 2022"/>
    <n v="7"/>
    <n v="35"/>
    <x v="0"/>
    <m/>
    <s v="Même département, autre arrondissement"/>
    <s v="CMR"/>
    <s v="Cameroun"/>
    <s v="CMR004"/>
    <s v="Extrême-Nord"/>
    <s v="CMR004006"/>
    <s v="Mayo-Tsanaga"/>
    <s v="CMR004006005"/>
    <s v="Mayo-Moskota"/>
  </r>
  <r>
    <s v="Extrême-Nord"/>
    <s v="CMR004"/>
    <x v="1"/>
    <s v="CMR004006"/>
    <x v="16"/>
    <s v="CMR004006004"/>
    <s v="KOZ-0009"/>
    <s v="GALDALA"/>
    <m/>
    <x v="0"/>
    <s v="Septembre 2022 – Février 2023"/>
    <n v="6"/>
    <n v="89"/>
    <x v="0"/>
    <m/>
    <s v="Même département, autre arrondissement"/>
    <s v="CMR"/>
    <s v="Cameroun"/>
    <s v="CMR004"/>
    <s v="Extrême-Nord"/>
    <s v="CMR004006"/>
    <s v="Mayo-Tsanaga"/>
    <s v="CMR004006005"/>
    <s v="Mayo-Moskota"/>
  </r>
  <r>
    <s v="Extrême-Nord"/>
    <s v="CMR004"/>
    <x v="1"/>
    <s v="CMR004006"/>
    <x v="16"/>
    <s v="CMR004006004"/>
    <s v="KOZ-0027"/>
    <s v="ZILER"/>
    <m/>
    <x v="0"/>
    <s v="Avant 2020"/>
    <n v="61"/>
    <n v="492"/>
    <x v="0"/>
    <m/>
    <s v="Même département, autre arrondissement"/>
    <s v="CMR"/>
    <s v="Cameroun"/>
    <s v="CMR004"/>
    <s v="Extrême-Nord"/>
    <s v="CMR004006"/>
    <s v="Mayo-Tsanaga"/>
    <s v="CMR004006005"/>
    <s v="Mayo-Moskota"/>
  </r>
  <r>
    <s v="Extrême-Nord"/>
    <s v="CMR004"/>
    <x v="1"/>
    <s v="CMR004006"/>
    <x v="16"/>
    <s v="CMR004006004"/>
    <s v="KOZ-0027"/>
    <s v="ZILER"/>
    <m/>
    <x v="0"/>
    <s v="En 2020"/>
    <n v="8"/>
    <n v="36"/>
    <x v="0"/>
    <m/>
    <s v="Même département, autre arrondissement"/>
    <s v="CMR"/>
    <s v="Cameroun"/>
    <s v="CMR004"/>
    <s v="Extrême-Nord"/>
    <s v="CMR004006"/>
    <s v="Mayo-Tsanaga"/>
    <s v="CMR004006005"/>
    <s v="Mayo-Moskota"/>
  </r>
  <r>
    <s v="Extrême-Nord"/>
    <s v="CMR004"/>
    <x v="1"/>
    <s v="CMR004006"/>
    <x v="16"/>
    <s v="CMR004006004"/>
    <s v="KOZ-0027"/>
    <s v="ZILER"/>
    <m/>
    <x v="0"/>
    <s v="Janvier - Aout 2022"/>
    <n v="30"/>
    <n v="57"/>
    <x v="0"/>
    <m/>
    <s v="Même département, autre arrondissement"/>
    <s v="CMR"/>
    <s v="Cameroun"/>
    <s v="CMR004"/>
    <s v="Extrême-Nord"/>
    <s v="CMR004006"/>
    <s v="Mayo-Tsanaga"/>
    <s v="CMR004006005"/>
    <s v="Mayo-Moskota"/>
  </r>
  <r>
    <s v="Extrême-Nord"/>
    <s v="CMR004"/>
    <x v="1"/>
    <s v="CMR004006"/>
    <x v="16"/>
    <s v="CMR004006004"/>
    <s v="KOZ-0027"/>
    <s v="ZILER"/>
    <m/>
    <x v="0"/>
    <s v="Septembre 2022 – Février 2023"/>
    <n v="15"/>
    <n v="75"/>
    <x v="0"/>
    <m/>
    <s v="Même département, autre arrondissement"/>
    <s v="CMR"/>
    <s v="Cameroun"/>
    <s v="CMR004"/>
    <s v="Extrême-Nord"/>
    <s v="CMR004006"/>
    <s v="Mayo-Tsanaga"/>
    <s v="CMR004006005"/>
    <s v="Mayo-Moskota"/>
  </r>
  <r>
    <s v="Extrême-Nord"/>
    <s v="CMR004"/>
    <x v="1"/>
    <s v="CMR004006"/>
    <x v="16"/>
    <s v="CMR004006004"/>
    <s v="KOZ-0027"/>
    <s v="ZILER"/>
    <m/>
    <x v="0"/>
    <s v="En 2021"/>
    <n v="5"/>
    <n v="26"/>
    <x v="0"/>
    <m/>
    <s v="Même département, autre arrondissement"/>
    <s v="CMR"/>
    <s v="Cameroun"/>
    <s v="CMR004"/>
    <s v="Extrême-Nord"/>
    <s v="CMR004006"/>
    <s v="Mayo-Tsanaga"/>
    <s v="CMR004006005"/>
    <s v="Mayo-Moskota"/>
  </r>
  <r>
    <s v="Extrême-Nord"/>
    <s v="CMR004"/>
    <x v="1"/>
    <s v="CMR004006"/>
    <x v="16"/>
    <s v="CMR004006004"/>
    <s v="KOZ-0018"/>
    <s v="MALTAMAYA"/>
    <m/>
    <x v="0"/>
    <s v="Avant 2020"/>
    <n v="66"/>
    <n v="408"/>
    <x v="0"/>
    <m/>
    <s v="Même département, autre arrondissement"/>
    <s v="CMR"/>
    <s v="Cameroun"/>
    <s v="CMR004"/>
    <s v="Extrême-Nord"/>
    <s v="CMR004006"/>
    <s v="Mayo-Tsanaga"/>
    <s v="CMR004006005"/>
    <s v="Mayo-Moskota"/>
  </r>
  <r>
    <s v="Extrême-Nord"/>
    <s v="CMR004"/>
    <x v="1"/>
    <s v="CMR004006"/>
    <x v="16"/>
    <s v="CMR004006004"/>
    <s v="KOZ-0018"/>
    <s v="MALTAMAYA"/>
    <m/>
    <x v="0"/>
    <s v="En 2020"/>
    <n v="9"/>
    <n v="50"/>
    <x v="0"/>
    <m/>
    <s v="Même département, autre arrondissement"/>
    <s v="CMR"/>
    <s v="Cameroun"/>
    <s v="CMR004"/>
    <s v="Extrême-Nord"/>
    <s v="CMR004006"/>
    <s v="Mayo-Tsanaga"/>
    <s v="CMR004006005"/>
    <s v="Mayo-Moskota"/>
  </r>
  <r>
    <s v="Extrême-Nord"/>
    <s v="CMR004"/>
    <x v="1"/>
    <s v="CMR004006"/>
    <x v="16"/>
    <s v="CMR004006004"/>
    <s v="KOZ-0018"/>
    <s v="MALTAMAYA"/>
    <m/>
    <x v="0"/>
    <s v="En 2021"/>
    <n v="10"/>
    <n v="29"/>
    <x v="0"/>
    <m/>
    <s v="Même département, autre arrondissement"/>
    <s v="CMR"/>
    <s v="Cameroun"/>
    <s v="CMR004"/>
    <s v="Extrême-Nord"/>
    <s v="CMR004006"/>
    <s v="Mayo-Tsanaga"/>
    <s v="CMR004006005"/>
    <s v="Mayo-Moskota"/>
  </r>
  <r>
    <s v="Extrême-Nord"/>
    <s v="CMR004"/>
    <x v="1"/>
    <s v="CMR004006"/>
    <x v="16"/>
    <s v="CMR004006004"/>
    <s v="KOZ-0018"/>
    <s v="MALTAMAYA"/>
    <m/>
    <x v="0"/>
    <s v="Janvier - Aout 2022"/>
    <n v="40"/>
    <n v="110"/>
    <x v="0"/>
    <m/>
    <s v="Même département, autre arrondissement"/>
    <s v="CMR"/>
    <s v="Cameroun"/>
    <s v="CMR004"/>
    <s v="Extrême-Nord"/>
    <s v="CMR004006"/>
    <s v="Mayo-Tsanaga"/>
    <s v="CMR004006005"/>
    <s v="Mayo-Moskota"/>
  </r>
  <r>
    <s v="Extrême-Nord"/>
    <s v="CMR004"/>
    <x v="1"/>
    <s v="CMR004006"/>
    <x v="16"/>
    <s v="CMR004006004"/>
    <s v="KOZ-0018"/>
    <s v="MALTAMAYA"/>
    <m/>
    <x v="0"/>
    <s v="Septembre 2022 – Février 2023"/>
    <n v="8"/>
    <n v="43"/>
    <x v="0"/>
    <m/>
    <s v="Même département, autre arrondissement"/>
    <s v="CMR"/>
    <s v="Cameroun"/>
    <s v="CMR004"/>
    <s v="Extrême-Nord"/>
    <s v="CMR004006"/>
    <s v="Mayo-Tsanaga"/>
    <s v="CMR004006005"/>
    <s v="Mayo-Moskota"/>
  </r>
  <r>
    <s v="Extrême-Nord"/>
    <s v="CMR004"/>
    <x v="1"/>
    <s v="CMR004006"/>
    <x v="16"/>
    <s v="CMR004006004"/>
    <s v="KOZ-0028"/>
    <s v="MATALAM"/>
    <m/>
    <x v="0"/>
    <s v="Avant 2020"/>
    <n v="32"/>
    <n v="184"/>
    <x v="0"/>
    <m/>
    <s v="Même département, autre arrondissement"/>
    <s v="CMR"/>
    <s v="Cameroun"/>
    <s v="CMR004"/>
    <s v="Extrême-Nord"/>
    <s v="CMR004006"/>
    <s v="Mayo-Tsanaga"/>
    <s v="CMR004006005"/>
    <s v="Mayo-Moskota"/>
  </r>
  <r>
    <s v="Extrême-Nord"/>
    <s v="CMR004"/>
    <x v="1"/>
    <s v="CMR004006"/>
    <x v="16"/>
    <s v="CMR004006004"/>
    <s v="KOZ-0028"/>
    <s v="MATALAM"/>
    <m/>
    <x v="0"/>
    <s v="En 2020"/>
    <n v="6"/>
    <n v="30"/>
    <x v="0"/>
    <m/>
    <s v="Même département, autre arrondissement"/>
    <s v="CMR"/>
    <s v="Cameroun"/>
    <s v="CMR004"/>
    <s v="Extrême-Nord"/>
    <s v="CMR004006"/>
    <s v="Mayo-Tsanaga"/>
    <s v="CMR004006005"/>
    <s v="Mayo-Moskota"/>
  </r>
  <r>
    <s v="Extrême-Nord"/>
    <s v="CMR004"/>
    <x v="1"/>
    <s v="CMR004006"/>
    <x v="16"/>
    <s v="CMR004006004"/>
    <s v="KOZ-0028"/>
    <s v="MATALAM"/>
    <m/>
    <x v="0"/>
    <s v="En 2021"/>
    <n v="8"/>
    <n v="20"/>
    <x v="0"/>
    <m/>
    <s v="Même département, autre arrondissement"/>
    <s v="CMR"/>
    <s v="Cameroun"/>
    <s v="CMR004"/>
    <s v="Extrême-Nord"/>
    <s v="CMR004006"/>
    <s v="Mayo-Tsanaga"/>
    <s v="CMR004006005"/>
    <s v="Mayo-Moskota"/>
  </r>
  <r>
    <s v="Extrême-Nord"/>
    <s v="CMR004"/>
    <x v="1"/>
    <s v="CMR004006"/>
    <x v="16"/>
    <s v="CMR004006004"/>
    <s v="KOZ-0028"/>
    <s v="MATALAM"/>
    <m/>
    <x v="0"/>
    <s v="Janvier - Aout 2022"/>
    <n v="0"/>
    <n v="4"/>
    <x v="0"/>
    <m/>
    <s v="Même département, autre arrondissement"/>
    <s v="CMR"/>
    <s v="Cameroun"/>
    <s v="CMR004"/>
    <s v="Extrême-Nord"/>
    <s v="CMR004006"/>
    <s v="Mayo-Tsanaga"/>
    <s v="CMR004006005"/>
    <s v="Mayo-Moskota"/>
  </r>
  <r>
    <s v="Extrême-Nord"/>
    <s v="CMR004"/>
    <x v="1"/>
    <s v="CMR004006"/>
    <x v="16"/>
    <s v="CMR004006004"/>
    <s v="KOZ-0028"/>
    <s v="MATALAM"/>
    <m/>
    <x v="0"/>
    <s v="Septembre 2022 – Février 2023"/>
    <n v="4"/>
    <n v="28"/>
    <x v="0"/>
    <m/>
    <s v="Même département, autre arrondissement"/>
    <s v="CMR"/>
    <s v="Cameroun"/>
    <s v="CMR004"/>
    <s v="Extrême-Nord"/>
    <s v="CMR004006"/>
    <s v="Mayo-Tsanaga"/>
    <s v="CMR004006005"/>
    <s v="Mayo-Moskota"/>
  </r>
  <r>
    <s v="Extrême-Nord"/>
    <s v="CMR004"/>
    <x v="4"/>
    <s v="CMR004005"/>
    <x v="17"/>
    <s v="CMR004005002"/>
    <s v="MOR-0023"/>
    <s v="DJARME"/>
    <m/>
    <x v="0"/>
    <s v="Avant 2020"/>
    <n v="73"/>
    <n v="534"/>
    <x v="0"/>
    <m/>
    <s v="Même arrondissement"/>
    <s v="CMR"/>
    <s v="Cameroun"/>
    <s v="CMR004"/>
    <s v="Extrême-Nord"/>
    <s v="CMR004005"/>
    <s v="Mayo-Sava"/>
    <s v="CMR004005002"/>
    <s v="Mora"/>
  </r>
  <r>
    <s v="Extrême-Nord"/>
    <s v="CMR004"/>
    <x v="4"/>
    <s v="CMR004005"/>
    <x v="17"/>
    <s v="CMR004005002"/>
    <s v="MOR-0023"/>
    <s v="DJARME"/>
    <m/>
    <x v="0"/>
    <s v="En 2020"/>
    <n v="6"/>
    <n v="38"/>
    <x v="0"/>
    <m/>
    <s v="Même arrondissement"/>
    <s v="CMR"/>
    <s v="Cameroun"/>
    <s v="CMR004"/>
    <s v="Extrême-Nord"/>
    <s v="CMR004005"/>
    <s v="Mayo-Sava"/>
    <s v="CMR004005002"/>
    <s v="Mora"/>
  </r>
  <r>
    <s v="Extrême-Nord"/>
    <s v="CMR004"/>
    <x v="4"/>
    <s v="CMR004005"/>
    <x v="17"/>
    <s v="CMR004005002"/>
    <s v="MOR-0023"/>
    <s v="DJARME"/>
    <m/>
    <x v="0"/>
    <s v="Janvier - Aout 2022"/>
    <n v="15"/>
    <n v="171"/>
    <x v="0"/>
    <m/>
    <s v="Même arrondissement"/>
    <s v="CMR"/>
    <s v="Cameroun"/>
    <s v="CMR004"/>
    <s v="Extrême-Nord"/>
    <s v="CMR004005"/>
    <s v="Mayo-Sava"/>
    <s v="CMR004005002"/>
    <s v="Mora"/>
  </r>
  <r>
    <s v="Extrême-Nord"/>
    <s v="CMR004"/>
    <x v="4"/>
    <s v="CMR004005"/>
    <x v="17"/>
    <s v="CMR004005002"/>
    <s v="MOR-0023"/>
    <s v="DJARME"/>
    <m/>
    <x v="0"/>
    <s v="Septembre 2022 – Février 2023"/>
    <n v="4"/>
    <n v="51"/>
    <x v="0"/>
    <m/>
    <s v="Même arrondissement"/>
    <s v="CMR"/>
    <s v="Cameroun"/>
    <s v="CMR004"/>
    <s v="Extrême-Nord"/>
    <s v="CMR004005"/>
    <s v="Mayo-Sava"/>
    <s v="CMR004005002"/>
    <s v="Mora"/>
  </r>
  <r>
    <s v="Extrême-Nord"/>
    <s v="CMR004"/>
    <x v="4"/>
    <s v="CMR004005"/>
    <x v="17"/>
    <s v="CMR004005002"/>
    <s v="MOR-0053"/>
    <s v="MANGAVE GOEGOE"/>
    <m/>
    <x v="0"/>
    <s v="Avant 2020"/>
    <n v="41"/>
    <n v="353"/>
    <x v="0"/>
    <m/>
    <s v="Même arrondissement"/>
    <s v="CMR"/>
    <s v="Cameroun"/>
    <s v="CMR004"/>
    <s v="Extrême-Nord"/>
    <s v="CMR004005"/>
    <s v="Mayo-Sava"/>
    <s v="CMR004005002"/>
    <s v="Mora"/>
  </r>
  <r>
    <s v="Extrême-Nord"/>
    <s v="CMR004"/>
    <x v="4"/>
    <s v="CMR004005"/>
    <x v="17"/>
    <s v="CMR004005002"/>
    <s v="MOR-0053"/>
    <s v="MANGAVE GOEGOE"/>
    <m/>
    <x v="0"/>
    <s v="En 2021"/>
    <n v="0"/>
    <n v="4"/>
    <x v="0"/>
    <m/>
    <s v="Même arrondissement"/>
    <s v="CMR"/>
    <s v="Cameroun"/>
    <s v="CMR004"/>
    <s v="Extrême-Nord"/>
    <s v="CMR004005"/>
    <s v="Mayo-Sava"/>
    <s v="CMR004005002"/>
    <s v="Mora"/>
  </r>
  <r>
    <s v="Extrême-Nord"/>
    <s v="CMR004"/>
    <x v="4"/>
    <s v="CMR004005"/>
    <x v="17"/>
    <s v="CMR004005002"/>
    <s v="MOR-0053"/>
    <s v="MANGAVE GOEGOE"/>
    <m/>
    <x v="0"/>
    <s v="Janvier - Aout 2022"/>
    <n v="0"/>
    <n v="1"/>
    <x v="0"/>
    <m/>
    <s v="Même arrondissement"/>
    <s v="CMR"/>
    <s v="Cameroun"/>
    <s v="CMR004"/>
    <s v="Extrême-Nord"/>
    <s v="CMR004005"/>
    <s v="Mayo-Sava"/>
    <s v="CMR004005002"/>
    <s v="Mora"/>
  </r>
  <r>
    <s v="Extrême-Nord"/>
    <s v="CMR004"/>
    <x v="4"/>
    <s v="CMR004005"/>
    <x v="17"/>
    <s v="CMR004005002"/>
    <s v="MOR-0053"/>
    <s v="MANGAVE GOEGOE"/>
    <m/>
    <x v="0"/>
    <s v="Septembre 2022 – Février 2023"/>
    <n v="0"/>
    <n v="5"/>
    <x v="0"/>
    <m/>
    <s v="Même arrondissement"/>
    <s v="CMR"/>
    <s v="Cameroun"/>
    <s v="CMR004"/>
    <s v="Extrême-Nord"/>
    <s v="CMR004005"/>
    <s v="Mayo-Sava"/>
    <s v="CMR004005002"/>
    <s v="Mora"/>
  </r>
  <r>
    <s v="Extrême-Nord"/>
    <s v="CMR004"/>
    <x v="4"/>
    <s v="CMR004005"/>
    <x v="17"/>
    <s v="CMR004005002"/>
    <s v="MOR-0069"/>
    <s v="MOKOCHE"/>
    <m/>
    <x v="0"/>
    <s v="En 2020"/>
    <n v="0"/>
    <n v="1"/>
    <x v="0"/>
    <m/>
    <s v="Même arrondissement"/>
    <s v="CMR"/>
    <s v="Cameroun"/>
    <s v="CMR004"/>
    <s v="Extrême-Nord"/>
    <s v="CMR004005"/>
    <s v="Mayo-Sava"/>
    <s v="CMR004005002"/>
    <s v="Mora"/>
  </r>
  <r>
    <s v="Extrême-Nord"/>
    <s v="CMR004"/>
    <x v="4"/>
    <s v="CMR004005"/>
    <x v="17"/>
    <s v="CMR004005002"/>
    <s v="MOR-0069"/>
    <s v="MOKOCHE"/>
    <m/>
    <x v="0"/>
    <s v="En 2021"/>
    <n v="49"/>
    <n v="290"/>
    <x v="0"/>
    <m/>
    <s v="Même arrondissement"/>
    <s v="CMR"/>
    <s v="Cameroun"/>
    <s v="CMR004"/>
    <s v="Extrême-Nord"/>
    <s v="CMR004005"/>
    <s v="Mayo-Sava"/>
    <s v="CMR004005002"/>
    <s v="Mora"/>
  </r>
  <r>
    <s v="Extrême-Nord"/>
    <s v="CMR004"/>
    <x v="4"/>
    <s v="CMR004005"/>
    <x v="17"/>
    <s v="CMR004005002"/>
    <s v="MOR-0069"/>
    <s v="MOKOCHE"/>
    <m/>
    <x v="0"/>
    <s v="Janvier - Aout 2022"/>
    <n v="0"/>
    <n v="22"/>
    <x v="0"/>
    <m/>
    <s v="Même arrondissement"/>
    <s v="CMR"/>
    <s v="Cameroun"/>
    <s v="CMR004"/>
    <s v="Extrême-Nord"/>
    <s v="CMR004005"/>
    <s v="Mayo-Sava"/>
    <s v="CMR004005002"/>
    <s v="Mora"/>
  </r>
  <r>
    <s v="Extrême-Nord"/>
    <s v="CMR004"/>
    <x v="4"/>
    <s v="CMR004005"/>
    <x v="17"/>
    <s v="CMR004005002"/>
    <s v="MOR-0069"/>
    <s v="MOKOCHE"/>
    <m/>
    <x v="0"/>
    <s v="Septembre 2022 – Février 2023"/>
    <n v="0"/>
    <n v="2"/>
    <x v="0"/>
    <m/>
    <s v="Même arrondissement"/>
    <s v="CMR"/>
    <s v="Cameroun"/>
    <s v="CMR004"/>
    <s v="Extrême-Nord"/>
    <s v="CMR004005"/>
    <s v="Mayo-Sava"/>
    <s v="CMR004005002"/>
    <s v="Mora"/>
  </r>
  <r>
    <s v="Extrême-Nord"/>
    <s v="CMR004"/>
    <x v="2"/>
    <s v="CMR004002"/>
    <x v="25"/>
    <s v="CMR004002008"/>
    <s v="FOT-0035"/>
    <s v="MAKAMBARA"/>
    <m/>
    <x v="0"/>
    <s v="Avant 2020"/>
    <n v="13"/>
    <n v="112"/>
    <x v="0"/>
    <m/>
    <s v="Même arrondissement"/>
    <s v="CMR"/>
    <s v="Cameroun"/>
    <s v="CMR004"/>
    <s v="Extrême-Nord"/>
    <s v="CMR004002"/>
    <s v="Logone-Et-Chari"/>
    <s v="CMR004002008"/>
    <s v="Fotokol"/>
  </r>
  <r>
    <s v="Extrême-Nord"/>
    <s v="CMR004"/>
    <x v="2"/>
    <s v="CMR004002"/>
    <x v="10"/>
    <s v="CMR004002003"/>
    <s v="BLA-0001"/>
    <s v="ANDOURMAN"/>
    <m/>
    <x v="0"/>
    <s v="Avant 2020"/>
    <n v="14"/>
    <n v="38"/>
    <x v="0"/>
    <m/>
    <s v="Même arrondissement"/>
    <s v="CMR"/>
    <s v="Cameroun"/>
    <s v="CMR004"/>
    <s v="Extrême-Nord"/>
    <s v="CMR004002"/>
    <s v="Logone-Et-Chari"/>
    <s v="CMR004002003"/>
    <s v="Blangoua"/>
  </r>
  <r>
    <s v="Extrême-Nord"/>
    <s v="CMR004"/>
    <x v="2"/>
    <s v="CMR004002"/>
    <x v="10"/>
    <s v="CMR004002003"/>
    <s v="BLA-0002"/>
    <s v="BLANGOUA"/>
    <m/>
    <x v="0"/>
    <s v="Avant 2020"/>
    <n v="900"/>
    <n v="5010"/>
    <x v="0"/>
    <m/>
    <s v="Même département, autre arrondissement"/>
    <s v="CMR"/>
    <s v="Cameroun"/>
    <s v="CMR004"/>
    <s v="Extrême-Nord"/>
    <s v="CMR004002"/>
    <s v="Logone-Et-Chari"/>
    <s v="CMR004002008"/>
    <s v="Fotokol"/>
  </r>
  <r>
    <s v="Extrême-Nord"/>
    <s v="CMR004"/>
    <x v="2"/>
    <s v="CMR004002"/>
    <x v="26"/>
    <s v="CMR004002006"/>
    <s v="KOU-0018"/>
    <s v="MADAGASCAR 1"/>
    <m/>
    <x v="0"/>
    <s v="Septembre 2022 – Février 2023"/>
    <n v="105"/>
    <n v="301"/>
    <x v="3"/>
    <m/>
    <s v="Même arrondissement"/>
    <s v="CMR"/>
    <s v="Cameroun"/>
    <s v="CMR004"/>
    <s v="Extrême-Nord"/>
    <s v="CMR004002"/>
    <s v="Logone-Et-Chari"/>
    <s v="CMR004002006"/>
    <s v="Kousséri"/>
  </r>
  <r>
    <s v="Extrême-Nord"/>
    <s v="CMR004"/>
    <x v="2"/>
    <s v="CMR004002"/>
    <x v="26"/>
    <s v="CMR004002006"/>
    <s v="KOU-0005"/>
    <s v="BABOU"/>
    <m/>
    <x v="0"/>
    <s v="Avant 2020"/>
    <n v="60"/>
    <n v="200"/>
    <x v="0"/>
    <m/>
    <s v="Même arrondissement"/>
    <s v="CMR"/>
    <s v="Cameroun"/>
    <s v="CMR004"/>
    <s v="Extrême-Nord"/>
    <s v="CMR004002"/>
    <s v="Logone-Et-Chari"/>
    <s v="CMR004002006"/>
    <s v="Kousséri"/>
  </r>
  <r>
    <s v="Extrême-Nord"/>
    <s v="CMR004"/>
    <x v="2"/>
    <s v="CMR004002"/>
    <x v="26"/>
    <s v="CMR004002006"/>
    <s v="KOU-0005"/>
    <s v="BABOU"/>
    <m/>
    <x v="0"/>
    <s v="Septembre 2022 – Février 2023"/>
    <n v="40"/>
    <n v="155"/>
    <x v="3"/>
    <m/>
    <s v="Même arrondissement"/>
    <s v="CMR"/>
    <s v="Cameroun"/>
    <s v="CMR004"/>
    <s v="Extrême-Nord"/>
    <s v="CMR004002"/>
    <s v="Logone-Et-Chari"/>
    <s v="CMR004002006"/>
    <s v="Kousséri"/>
  </r>
  <r>
    <s v="Extrême-Nord"/>
    <s v="CMR004"/>
    <x v="2"/>
    <s v="CMR004002"/>
    <x v="8"/>
    <s v="CMR004002009"/>
    <s v="MAK-0144"/>
    <s v="NGAIWA"/>
    <m/>
    <x v="0"/>
    <s v="En 2021"/>
    <n v="15"/>
    <n v="48"/>
    <x v="0"/>
    <m/>
    <s v="Même département, autre arrondissement"/>
    <s v="CMR"/>
    <s v="Cameroun"/>
    <s v="CMR004"/>
    <s v="Extrême-Nord"/>
    <s v="CMR004002"/>
    <s v="Logone-Et-Chari"/>
    <s v="CMR004002008"/>
    <s v="Fotokol"/>
  </r>
  <r>
    <s v="Extrême-Nord"/>
    <s v="CMR004"/>
    <x v="2"/>
    <s v="CMR004002"/>
    <x v="8"/>
    <s v="CMR004002009"/>
    <s v="MAK-0144"/>
    <s v="NGAIWA"/>
    <m/>
    <x v="0"/>
    <s v="Janvier - Aout 2022"/>
    <n v="15"/>
    <n v="59"/>
    <x v="0"/>
    <m/>
    <s v="Même arrondissement"/>
    <s v="CMR"/>
    <s v="Cameroun"/>
    <s v="CMR004"/>
    <s v="Extrême-Nord"/>
    <s v="CMR004002"/>
    <s v="Logone-Et-Chari"/>
    <s v="CMR004002009"/>
    <s v="Makary"/>
  </r>
  <r>
    <s v="Extrême-Nord"/>
    <s v="CMR004"/>
    <x v="2"/>
    <s v="CMR004002"/>
    <x v="26"/>
    <s v="CMR004002006"/>
    <s v="XXXX"/>
    <s v="SITE DE KROUANG 2"/>
    <s v="SITE DE KROUANG 2"/>
    <x v="0"/>
    <s v="Avant 2020"/>
    <n v="200"/>
    <n v="377"/>
    <x v="0"/>
    <m/>
    <s v="Même département, autre arrondissement"/>
    <s v="CMR"/>
    <s v="Cameroun"/>
    <s v="CMR004"/>
    <s v="Extrême-Nord"/>
    <s v="CMR004002"/>
    <s v="Logone-Et-Chari"/>
    <s v="CMR004002008"/>
    <s v="Fotokol"/>
  </r>
  <r>
    <s v="Extrême-Nord"/>
    <s v="CMR004"/>
    <x v="2"/>
    <s v="CMR004002"/>
    <x v="26"/>
    <s v="CMR004002006"/>
    <s v="XXXX"/>
    <s v="SITE DE KROUANG 2"/>
    <s v="SITE DE KROUANG 2"/>
    <x v="0"/>
    <s v="Septembre 2022 – Février 2023"/>
    <n v="100"/>
    <n v="200"/>
    <x v="3"/>
    <m/>
    <s v="Même département, autre arrondissement"/>
    <s v="CMR"/>
    <s v="Cameroun"/>
    <s v="CMR004"/>
    <s v="Extrême-Nord"/>
    <s v="CMR004002"/>
    <s v="Logone-Et-Chari"/>
    <s v="CMR004002004"/>
    <s v="Logone-Birni"/>
  </r>
  <r>
    <s v="Extrême-Nord"/>
    <s v="CMR004"/>
    <x v="4"/>
    <s v="CMR004005"/>
    <x v="17"/>
    <s v="CMR004005002"/>
    <s v="MOR-0027"/>
    <s v="DJAKANA"/>
    <m/>
    <x v="0"/>
    <s v="Avant 2020"/>
    <n v="136"/>
    <n v="656"/>
    <x v="0"/>
    <m/>
    <s v="Même arrondissement"/>
    <s v="CMR"/>
    <s v="Cameroun"/>
    <s v="CMR004"/>
    <s v="Extrême-Nord"/>
    <s v="CMR004005"/>
    <s v="Mayo-Sava"/>
    <s v="CMR004005002"/>
    <s v="Mora"/>
  </r>
  <r>
    <s v="Extrême-Nord"/>
    <s v="CMR004"/>
    <x v="4"/>
    <s v="CMR004005"/>
    <x v="17"/>
    <s v="CMR004005002"/>
    <s v="MOR-0027"/>
    <s v="DJAKANA"/>
    <m/>
    <x v="0"/>
    <s v="En 2021"/>
    <n v="0"/>
    <n v="20"/>
    <x v="0"/>
    <m/>
    <s v="Même arrondissement"/>
    <s v="CMR"/>
    <s v="Cameroun"/>
    <s v="CMR004"/>
    <s v="Extrême-Nord"/>
    <s v="CMR004005"/>
    <s v="Mayo-Sava"/>
    <s v="CMR004005002"/>
    <s v="Mora"/>
  </r>
  <r>
    <s v="Extrême-Nord"/>
    <s v="CMR004"/>
    <x v="4"/>
    <s v="CMR004005"/>
    <x v="17"/>
    <s v="CMR004005002"/>
    <s v="MOR-0027"/>
    <s v="DJAKANA"/>
    <m/>
    <x v="0"/>
    <s v="Janvier - Aout 2022"/>
    <n v="0"/>
    <n v="4"/>
    <x v="0"/>
    <m/>
    <s v="Même arrondissement"/>
    <s v="CMR"/>
    <s v="Cameroun"/>
    <s v="CMR004"/>
    <s v="Extrême-Nord"/>
    <s v="CMR004005"/>
    <s v="Mayo-Sava"/>
    <s v="CMR004005002"/>
    <s v="Mora"/>
  </r>
  <r>
    <s v="Extrême-Nord"/>
    <s v="CMR004"/>
    <x v="4"/>
    <s v="CMR004005"/>
    <x v="17"/>
    <s v="CMR004005002"/>
    <s v="MOR-0004"/>
    <s v="DOULO"/>
    <m/>
    <x v="0"/>
    <s v="Avant 2020"/>
    <n v="430"/>
    <n v="1917"/>
    <x v="0"/>
    <m/>
    <s v="Même arrondissement"/>
    <s v="CMR"/>
    <s v="Cameroun"/>
    <s v="CMR004"/>
    <s v="Extrême-Nord"/>
    <s v="CMR004005"/>
    <s v="Mayo-Sava"/>
    <s v="CMR004005002"/>
    <s v="Mora"/>
  </r>
  <r>
    <s v="Extrême-Nord"/>
    <s v="CMR004"/>
    <x v="4"/>
    <s v="CMR004005"/>
    <x v="17"/>
    <s v="CMR004005002"/>
    <s v="MOR-0004"/>
    <s v="DOULO"/>
    <m/>
    <x v="0"/>
    <s v="En 2020"/>
    <n v="100"/>
    <n v="400"/>
    <x v="0"/>
    <m/>
    <s v="Même arrondissement"/>
    <s v="CMR"/>
    <s v="Cameroun"/>
    <s v="CMR004"/>
    <s v="Extrême-Nord"/>
    <s v="CMR004005"/>
    <s v="Mayo-Sava"/>
    <s v="CMR004005002"/>
    <s v="Mora"/>
  </r>
  <r>
    <s v="Extrême-Nord"/>
    <s v="CMR004"/>
    <x v="4"/>
    <s v="CMR004005"/>
    <x v="17"/>
    <s v="CMR004005002"/>
    <s v="MOR-0004"/>
    <s v="DOULO"/>
    <m/>
    <x v="0"/>
    <s v="En 2021"/>
    <n v="9"/>
    <n v="73"/>
    <x v="0"/>
    <m/>
    <s v="Même arrondissement"/>
    <s v="CMR"/>
    <s v="Cameroun"/>
    <s v="CMR004"/>
    <s v="Extrême-Nord"/>
    <s v="CMR004005"/>
    <s v="Mayo-Sava"/>
    <s v="CMR004005002"/>
    <s v="Mora"/>
  </r>
  <r>
    <s v="Extrême-Nord"/>
    <s v="CMR004"/>
    <x v="4"/>
    <s v="CMR004005"/>
    <x v="17"/>
    <s v="CMR004005002"/>
    <s v="MOR-0004"/>
    <s v="DOULO"/>
    <m/>
    <x v="0"/>
    <s v="Janvier - Aout 2022"/>
    <n v="0"/>
    <n v="45"/>
    <x v="0"/>
    <m/>
    <s v="Même arrondissement"/>
    <s v="CMR"/>
    <s v="Cameroun"/>
    <s v="CMR004"/>
    <s v="Extrême-Nord"/>
    <s v="CMR004005"/>
    <s v="Mayo-Sava"/>
    <s v="CMR004005002"/>
    <s v="Mora"/>
  </r>
  <r>
    <s v="Extrême-Nord"/>
    <s v="CMR004"/>
    <x v="4"/>
    <s v="CMR004005"/>
    <x v="17"/>
    <s v="CMR004005002"/>
    <s v="MOR-0004"/>
    <s v="DOULO"/>
    <m/>
    <x v="0"/>
    <s v="Septembre 2022 – Février 2023"/>
    <n v="0"/>
    <n v="30"/>
    <x v="0"/>
    <m/>
    <s v="Même arrondissement"/>
    <s v="CMR"/>
    <s v="Cameroun"/>
    <s v="CMR004"/>
    <s v="Extrême-Nord"/>
    <s v="CMR004005"/>
    <s v="Mayo-Sava"/>
    <s v="CMR004005002"/>
    <s v="Mora"/>
  </r>
  <r>
    <s v="Extrême-Nord"/>
    <s v="CMR004"/>
    <x v="2"/>
    <s v="CMR004002"/>
    <x v="9"/>
    <s v="CMR004002010"/>
    <s v="HIL-0004"/>
    <s v="ABASSOUNI 3"/>
    <m/>
    <x v="0"/>
    <s v="Avant 2020"/>
    <n v="16"/>
    <n v="119"/>
    <x v="0"/>
    <m/>
    <s v="Même arrondissement"/>
    <s v="CMR"/>
    <s v="Cameroun"/>
    <s v="CMR004"/>
    <s v="Extrême-Nord"/>
    <s v="CMR004002"/>
    <s v="Logone-Et-Chari"/>
    <s v="CMR004002010"/>
    <s v="Hile-Alifa"/>
  </r>
  <r>
    <s v="Extrême-Nord"/>
    <s v="CMR004"/>
    <x v="2"/>
    <s v="CMR004002"/>
    <x v="9"/>
    <s v="CMR004002010"/>
    <s v="HIL-0004"/>
    <s v="ABASSOUNI 3"/>
    <m/>
    <x v="0"/>
    <s v="Janvier - Aout 2022"/>
    <n v="5"/>
    <n v="40"/>
    <x v="0"/>
    <m/>
    <s v="Même arrondissement"/>
    <s v="CMR"/>
    <s v="Cameroun"/>
    <s v="CMR004"/>
    <s v="Extrême-Nord"/>
    <s v="CMR004002"/>
    <s v="Logone-Et-Chari"/>
    <s v="CMR004002010"/>
    <s v="Hile-Alifa"/>
  </r>
  <r>
    <s v="Extrême-Nord"/>
    <s v="CMR004"/>
    <x v="2"/>
    <s v="CMR004002"/>
    <x v="9"/>
    <s v="CMR004002010"/>
    <s v="HIL-0004"/>
    <s v="ABASSOUNI 3"/>
    <m/>
    <x v="0"/>
    <s v="Septembre 2022 – Février 2023"/>
    <n v="10"/>
    <n v="100"/>
    <x v="0"/>
    <m/>
    <s v="Même arrondissement"/>
    <s v="CMR"/>
    <s v="Cameroun"/>
    <s v="CMR004"/>
    <s v="Extrême-Nord"/>
    <s v="CMR004002"/>
    <s v="Logone-Et-Chari"/>
    <s v="CMR004002010"/>
    <s v="Hile-Alifa"/>
  </r>
  <r>
    <s v="Extrême-Nord"/>
    <s v="CMR004"/>
    <x v="2"/>
    <s v="CMR004002"/>
    <x v="8"/>
    <s v="CMR004002009"/>
    <s v="MAK-0221"/>
    <s v="KRENACK"/>
    <m/>
    <x v="0"/>
    <s v="Avant 2020"/>
    <n v="27"/>
    <n v="208"/>
    <x v="0"/>
    <m/>
    <s v="Même département, autre arrondissement"/>
    <s v="CMR"/>
    <s v="Cameroun"/>
    <s v="CMR004"/>
    <s v="Extrême-Nord"/>
    <s v="CMR004002"/>
    <s v="Logone-Et-Chari"/>
    <s v="CMR004002008"/>
    <s v="Fotokol"/>
  </r>
  <r>
    <s v="Extrême-Nord"/>
    <s v="CMR004"/>
    <x v="2"/>
    <s v="CMR004002"/>
    <x v="8"/>
    <s v="CMR004002009"/>
    <s v="MAK-0067"/>
    <s v="MEDINA 3"/>
    <m/>
    <x v="0"/>
    <s v="Avant 2020"/>
    <n v="4"/>
    <n v="20"/>
    <x v="0"/>
    <m/>
    <s v="Même département, autre arrondissement"/>
    <s v="CMR"/>
    <s v="Cameroun"/>
    <s v="CMR004"/>
    <s v="Extrême-Nord"/>
    <s v="CMR004002"/>
    <s v="Logone-Et-Chari"/>
    <s v="CMR004002008"/>
    <s v="Fotokol"/>
  </r>
  <r>
    <s v="Extrême-Nord"/>
    <s v="CMR004"/>
    <x v="2"/>
    <s v="CMR004002"/>
    <x v="8"/>
    <s v="CMR004002009"/>
    <s v="MAK-0054"/>
    <s v="MADINA 1"/>
    <m/>
    <x v="0"/>
    <s v="Avant 2020"/>
    <n v="4"/>
    <n v="15"/>
    <x v="0"/>
    <m/>
    <s v="Même département, autre arrondissement"/>
    <s v="CMR"/>
    <s v="Cameroun"/>
    <s v="CMR004"/>
    <s v="Extrême-Nord"/>
    <s v="CMR004002"/>
    <s v="Logone-Et-Chari"/>
    <s v="CMR004002008"/>
    <s v="Fotokol"/>
  </r>
  <r>
    <s v="Extrême-Nord"/>
    <s v="CMR004"/>
    <x v="2"/>
    <s v="CMR004002"/>
    <x v="8"/>
    <s v="CMR004002009"/>
    <s v="MAK-0017"/>
    <s v="BLABLIN VILLAGE"/>
    <m/>
    <x v="0"/>
    <s v="Avant 2020"/>
    <n v="7"/>
    <n v="20"/>
    <x v="0"/>
    <m/>
    <s v="Même département, autre arrondissement"/>
    <s v="CMR"/>
    <s v="Cameroun"/>
    <s v="CMR004"/>
    <s v="Extrême-Nord"/>
    <s v="CMR004002"/>
    <s v="Logone-Et-Chari"/>
    <s v="CMR004002008"/>
    <s v="Fotokol"/>
  </r>
  <r>
    <s v="Extrême-Nord"/>
    <s v="CMR004"/>
    <x v="2"/>
    <s v="CMR004002"/>
    <x v="27"/>
    <s v="CMR004002007"/>
    <s v="DAR-0010"/>
    <s v="KARENA"/>
    <m/>
    <x v="0"/>
    <s v="En 2021"/>
    <n v="33"/>
    <n v="134"/>
    <x v="0"/>
    <m/>
    <s v="Même arrondissement"/>
    <s v="CMR"/>
    <s v="Cameroun"/>
    <s v="CMR004"/>
    <s v="Extrême-Nord"/>
    <s v="CMR004002"/>
    <s v="Logone-Et-Chari"/>
    <s v="CMR004002007"/>
    <s v="Darak"/>
  </r>
  <r>
    <s v="Extrême-Nord"/>
    <s v="CMR004"/>
    <x v="2"/>
    <s v="CMR004002"/>
    <x v="27"/>
    <s v="CMR004002007"/>
    <s v="DAR-0010"/>
    <s v="KARENA"/>
    <m/>
    <x v="0"/>
    <s v="Septembre 2022 – Février 2023"/>
    <n v="710"/>
    <n v="3365"/>
    <x v="0"/>
    <m/>
    <s v="Même arrondissement"/>
    <s v="CMR"/>
    <s v="Cameroun"/>
    <s v="CMR004"/>
    <s v="Extrême-Nord"/>
    <s v="CMR004002"/>
    <s v="Logone-Et-Chari"/>
    <s v="CMR004002007"/>
    <s v="Darak"/>
  </r>
  <r>
    <s v="Extrême-Nord"/>
    <s v="CMR004"/>
    <x v="2"/>
    <s v="CMR004002"/>
    <x v="27"/>
    <s v="CMR004002007"/>
    <s v="DAR-0008"/>
    <s v="SITE DE KARAMA 1"/>
    <m/>
    <x v="0"/>
    <s v="Septembre 2022 – Février 2023"/>
    <n v="50"/>
    <n v="270"/>
    <x v="0"/>
    <m/>
    <s v="Même arrondissement"/>
    <s v="CMR"/>
    <s v="Cameroun"/>
    <s v="CMR004"/>
    <s v="Extrême-Nord"/>
    <s v="CMR004002"/>
    <s v="Logone-Et-Chari"/>
    <s v="CMR004002007"/>
    <s v="Darak"/>
  </r>
  <r>
    <s v="Extrême-Nord"/>
    <s v="CMR004"/>
    <x v="2"/>
    <s v="CMR004002"/>
    <x v="27"/>
    <s v="CMR004002007"/>
    <s v="DAR-0009"/>
    <s v="KARAMA 2"/>
    <m/>
    <x v="0"/>
    <s v="Septembre 2022 – Février 2023"/>
    <n v="70"/>
    <n v="350"/>
    <x v="0"/>
    <m/>
    <s v="Même arrondissement"/>
    <s v="CMR"/>
    <s v="Cameroun"/>
    <s v="CMR004"/>
    <s v="Extrême-Nord"/>
    <s v="CMR004002"/>
    <s v="Logone-Et-Chari"/>
    <s v="CMR004002007"/>
    <s v="Darak"/>
  </r>
  <r>
    <s v="Extrême-Nord"/>
    <s v="CMR004"/>
    <x v="2"/>
    <s v="CMR004002"/>
    <x v="27"/>
    <s v="CMR004002007"/>
    <s v="DAR-0003"/>
    <s v="DARAK"/>
    <m/>
    <x v="0"/>
    <s v="Avant 2020"/>
    <n v="80"/>
    <n v="572"/>
    <x v="0"/>
    <m/>
    <s v="Même département, autre arrondissement"/>
    <s v="CMR"/>
    <s v="Cameroun"/>
    <s v="CMR004"/>
    <s v="Extrême-Nord"/>
    <s v="CMR004002"/>
    <s v="Logone-Et-Chari"/>
    <m/>
    <s v="Hile-Alifa"/>
  </r>
  <r>
    <s v="Extrême-Nord"/>
    <s v="CMR004"/>
    <x v="1"/>
    <s v="CMR004006"/>
    <x v="1"/>
    <s v="CMR004006002"/>
    <s v="MOK-0005"/>
    <s v="GAWAR"/>
    <m/>
    <x v="0"/>
    <s v="Avant 2020"/>
    <n v="46"/>
    <n v="176"/>
    <x v="0"/>
    <m/>
    <s v="Même arrondissement"/>
    <s v="CMR"/>
    <s v="Cameroun"/>
    <s v="CMR004"/>
    <s v="Extrême-Nord"/>
    <s v="CMR004006"/>
    <s v="Mayo-Tsanaga"/>
    <s v="CMR004006002"/>
    <s v="Mokolo"/>
  </r>
  <r>
    <s v="Extrême-Nord"/>
    <s v="CMR004"/>
    <x v="1"/>
    <s v="CMR004006"/>
    <x v="1"/>
    <s v="CMR004006002"/>
    <s v="MOK-0005"/>
    <s v="GAWAR"/>
    <m/>
    <x v="0"/>
    <s v="En 2020"/>
    <n v="15"/>
    <n v="112"/>
    <x v="0"/>
    <m/>
    <s v="Même arrondissement"/>
    <s v="CMR"/>
    <s v="Cameroun"/>
    <s v="CMR004"/>
    <s v="Extrême-Nord"/>
    <s v="CMR004006"/>
    <s v="Mayo-Tsanaga"/>
    <s v="CMR004006002"/>
    <s v="Mokolo"/>
  </r>
  <r>
    <s v="Extrême-Nord"/>
    <s v="CMR004"/>
    <x v="1"/>
    <s v="CMR004006"/>
    <x v="1"/>
    <s v="CMR004006002"/>
    <s v="MOK-0005"/>
    <s v="GAWAR"/>
    <m/>
    <x v="0"/>
    <s v="En 2021"/>
    <n v="3"/>
    <n v="21"/>
    <x v="0"/>
    <m/>
    <s v="Même arrondissement"/>
    <s v="CMR"/>
    <s v="Cameroun"/>
    <s v="CMR004"/>
    <s v="Extrême-Nord"/>
    <s v="CMR004006"/>
    <s v="Mayo-Tsanaga"/>
    <s v="CMR004006002"/>
    <s v="Mokolo"/>
  </r>
  <r>
    <s v="Extrême-Nord"/>
    <s v="CMR004"/>
    <x v="1"/>
    <s v="CMR004006"/>
    <x v="1"/>
    <s v="CMR004006002"/>
    <s v="MOK-0005"/>
    <s v="GAWAR"/>
    <m/>
    <x v="0"/>
    <s v="Janvier - Aout 2022"/>
    <n v="1"/>
    <n v="3"/>
    <x v="0"/>
    <m/>
    <s v="Même arrondissement"/>
    <s v="CMR"/>
    <s v="Cameroun"/>
    <s v="CMR004"/>
    <s v="Extrême-Nord"/>
    <s v="CMR004006"/>
    <s v="Mayo-Tsanaga"/>
    <s v="CMR004006002"/>
    <s v="Mokolo"/>
  </r>
  <r>
    <s v="Extrême-Nord"/>
    <s v="CMR004"/>
    <x v="1"/>
    <s v="CMR004006"/>
    <x v="1"/>
    <s v="CMR004006002"/>
    <s v="MOK-0005"/>
    <s v="GAWAR"/>
    <m/>
    <x v="0"/>
    <s v="Septembre 2022 – Février 2023"/>
    <n v="2"/>
    <n v="6"/>
    <x v="0"/>
    <m/>
    <s v="Même arrondissement"/>
    <s v="CMR"/>
    <s v="Cameroun"/>
    <s v="CMR004"/>
    <s v="Extrême-Nord"/>
    <s v="CMR004006"/>
    <s v="Mayo-Tsanaga"/>
    <s v="CMR004006002"/>
    <s v="Mokolo"/>
  </r>
  <r>
    <s v="Extrême-Nord"/>
    <s v="CMR004"/>
    <x v="1"/>
    <s v="CMR004006"/>
    <x v="1"/>
    <s v="CMR004006002"/>
    <s v="MOK-0003"/>
    <s v="DJALINGO"/>
    <m/>
    <x v="0"/>
    <s v="Janvier - Aout 2022"/>
    <n v="2"/>
    <n v="14"/>
    <x v="0"/>
    <m/>
    <s v="Même arrondissement"/>
    <s v="CMR"/>
    <s v="Cameroun"/>
    <s v="CMR004"/>
    <s v="Extrême-Nord"/>
    <s v="CMR004006"/>
    <s v="Mayo-Tsanaga"/>
    <s v="CMR004006002"/>
    <s v="Mokolo"/>
  </r>
  <r>
    <s v="Extrême-Nord"/>
    <s v="CMR004"/>
    <x v="1"/>
    <s v="CMR004006"/>
    <x v="1"/>
    <s v="CMR004006002"/>
    <s v="MOK-0003"/>
    <s v="DJALINGO"/>
    <m/>
    <x v="0"/>
    <s v="Septembre 2022 – Février 2023"/>
    <n v="1"/>
    <n v="3"/>
    <x v="0"/>
    <m/>
    <s v="Même arrondissement"/>
    <s v="CMR"/>
    <s v="Cameroun"/>
    <s v="CMR004"/>
    <s v="Extrême-Nord"/>
    <s v="CMR004006"/>
    <s v="Mayo-Tsanaga"/>
    <s v="CMR004006002"/>
    <s v="Mokolo"/>
  </r>
  <r>
    <s v="Extrême-Nord"/>
    <s v="CMR004"/>
    <x v="1"/>
    <s v="CMR004006"/>
    <x v="28"/>
    <s v="CMR004006003"/>
    <s v="HIN-0003"/>
    <s v="BERING"/>
    <m/>
    <x v="0"/>
    <s v="Avant 2020"/>
    <n v="2"/>
    <n v="16"/>
    <x v="0"/>
    <m/>
    <s v="Même département, autre arrondissement"/>
    <s v="CMR"/>
    <s v="Cameroun"/>
    <s v="CMR004"/>
    <s v="Extrême-Nord"/>
    <s v="CMR004006"/>
    <s v="Mayo-Tsanaga"/>
    <s v="CMR004006005"/>
    <s v="Mayo-Moskota"/>
  </r>
  <r>
    <s v="Extrême-Nord"/>
    <s v="CMR004"/>
    <x v="1"/>
    <s v="CMR004006"/>
    <x v="28"/>
    <s v="CMR004006003"/>
    <s v="HIN-0003"/>
    <s v="BERING"/>
    <m/>
    <x v="0"/>
    <s v="En 2021"/>
    <n v="5"/>
    <n v="33"/>
    <x v="0"/>
    <m/>
    <s v="Même département, autre arrondissement"/>
    <s v="CMR"/>
    <s v="Cameroun"/>
    <s v="CMR004"/>
    <s v="Extrême-Nord"/>
    <s v="CMR004006"/>
    <s v="Mayo-Tsanaga"/>
    <s v="CMR004006005"/>
    <s v="Mayo-Moskota"/>
  </r>
  <r>
    <s v="Extrême-Nord"/>
    <s v="CMR004"/>
    <x v="1"/>
    <s v="CMR004006"/>
    <x v="28"/>
    <s v="CMR004006003"/>
    <s v="HIN-0003"/>
    <s v="BERING"/>
    <m/>
    <x v="0"/>
    <s v="Septembre 2022 – Février 2023"/>
    <n v="6"/>
    <n v="28"/>
    <x v="0"/>
    <m/>
    <s v="Même arrondissement"/>
    <s v="CMR"/>
    <s v="Cameroun"/>
    <s v="CMR004"/>
    <s v="Extrême-Nord"/>
    <s v="CMR004006"/>
    <s v="Mayo-Tsanaga"/>
    <s v="CMR004006003"/>
    <s v="Hina"/>
  </r>
  <r>
    <s v="Extrême-Nord"/>
    <s v="CMR004"/>
    <x v="1"/>
    <s v="CMR004006"/>
    <x v="28"/>
    <s v="CMR004006003"/>
    <s v="HIN-0003"/>
    <s v="BERING"/>
    <m/>
    <x v="0"/>
    <s v="Janvier - Aout 2022"/>
    <n v="15"/>
    <n v="45"/>
    <x v="0"/>
    <m/>
    <s v="Même arrondissement"/>
    <s v="CMR"/>
    <s v="Cameroun"/>
    <s v="CMR004"/>
    <s v="Extrême-Nord"/>
    <s v="CMR004006"/>
    <s v="Mayo-Tsanaga"/>
    <s v="CMR004006003"/>
    <s v="Hina"/>
  </r>
  <r>
    <s v="Extrême-Nord"/>
    <s v="CMR004"/>
    <x v="1"/>
    <s v="CMR004006"/>
    <x v="28"/>
    <s v="CMR004006003"/>
    <s v="HIN-0004"/>
    <s v="HINA CENTRE"/>
    <m/>
    <x v="0"/>
    <s v="Avant 2020"/>
    <n v="25"/>
    <n v="144"/>
    <x v="0"/>
    <m/>
    <s v="Même département, autre arrondissement"/>
    <s v="CMR"/>
    <s v="Cameroun"/>
    <s v="CMR004"/>
    <s v="Extrême-Nord"/>
    <s v="CMR004006"/>
    <s v="Mayo-Tsanaga"/>
    <s v="CMR004006005"/>
    <s v="Mayo-Moskota"/>
  </r>
  <r>
    <s v="Extrême-Nord"/>
    <s v="CMR004"/>
    <x v="1"/>
    <s v="CMR004006"/>
    <x v="28"/>
    <s v="CMR004006003"/>
    <s v="HIN-0004"/>
    <s v="HINA CENTRE"/>
    <m/>
    <x v="0"/>
    <s v="En 2020"/>
    <n v="5"/>
    <n v="31"/>
    <x v="0"/>
    <m/>
    <s v="Même département, autre arrondissement"/>
    <s v="CMR"/>
    <s v="Cameroun"/>
    <s v="CMR004"/>
    <s v="Extrême-Nord"/>
    <s v="CMR004006"/>
    <s v="Mayo-Tsanaga"/>
    <s v="CMR004006005"/>
    <s v="Mayo-Moskota"/>
  </r>
  <r>
    <s v="Extrême-Nord"/>
    <s v="CMR004"/>
    <x v="1"/>
    <s v="CMR004006"/>
    <x v="28"/>
    <s v="CMR004006003"/>
    <s v="HIN-0004"/>
    <s v="HINA CENTRE"/>
    <m/>
    <x v="0"/>
    <s v="En 2021"/>
    <n v="4"/>
    <n v="35"/>
    <x v="0"/>
    <m/>
    <s v="Même département, autre arrondissement"/>
    <s v="CMR"/>
    <s v="Cameroun"/>
    <s v="CMR004"/>
    <s v="Extrême-Nord"/>
    <s v="CMR004006"/>
    <s v="Mayo-Tsanaga"/>
    <s v="CMR004006006"/>
    <s v="Soulédé-Roua"/>
  </r>
  <r>
    <s v="Extrême-Nord"/>
    <s v="CMR004"/>
    <x v="1"/>
    <s v="CMR004006"/>
    <x v="28"/>
    <s v="CMR004006003"/>
    <s v="HIN-0004"/>
    <s v="HINA CENTRE"/>
    <m/>
    <x v="0"/>
    <s v="Janvier - Aout 2022"/>
    <n v="7"/>
    <n v="45"/>
    <x v="0"/>
    <m/>
    <s v="Même département, autre arrondissement"/>
    <s v="CMR"/>
    <s v="Cameroun"/>
    <s v="CMR004"/>
    <s v="Extrême-Nord"/>
    <s v="CMR004006"/>
    <s v="Mayo-Tsanaga"/>
    <s v="CMR004006002"/>
    <s v="Mokolo"/>
  </r>
  <r>
    <s v="Extrême-Nord"/>
    <s v="CMR004"/>
    <x v="1"/>
    <s v="CMR004006"/>
    <x v="28"/>
    <s v="CMR004006003"/>
    <s v="HIN-0004"/>
    <s v="HINA CENTRE"/>
    <m/>
    <x v="0"/>
    <s v="Septembre 2022 – Février 2023"/>
    <n v="2"/>
    <n v="9"/>
    <x v="0"/>
    <m/>
    <s v="Même département, autre arrondissement"/>
    <s v="CMR"/>
    <s v="Cameroun"/>
    <s v="CMR004"/>
    <s v="Extrême-Nord"/>
    <s v="CMR004006"/>
    <s v="Mayo-Tsanaga"/>
    <s v="CMR004006002"/>
    <s v="Mokolo"/>
  </r>
  <r>
    <s v="Extrême-Nord"/>
    <s v="CMR004"/>
    <x v="1"/>
    <s v="CMR004006"/>
    <x v="28"/>
    <s v="CMR004006003"/>
    <s v="HIN-0008"/>
    <s v="HINA WIDE"/>
    <m/>
    <x v="0"/>
    <s v="Septembre 2022 – Février 2023"/>
    <n v="7"/>
    <n v="23"/>
    <x v="0"/>
    <m/>
    <s v="Même département, autre arrondissement"/>
    <s v="CMR"/>
    <s v="Cameroun"/>
    <s v="CMR004"/>
    <s v="Extrême-Nord"/>
    <s v="CMR004006"/>
    <s v="Mayo-Tsanaga"/>
    <s v="CMR004006005"/>
    <s v="Mayo-Moskota"/>
  </r>
  <r>
    <s v="Extrême-Nord"/>
    <s v="CMR004"/>
    <x v="1"/>
    <s v="CMR004006"/>
    <x v="28"/>
    <s v="CMR004006003"/>
    <s v="HIN-0008"/>
    <s v="HINA WIDE"/>
    <m/>
    <x v="0"/>
    <s v="Avant 2020"/>
    <n v="9"/>
    <n v="23"/>
    <x v="0"/>
    <m/>
    <s v="Même département, autre arrondissement"/>
    <s v="CMR"/>
    <s v="Cameroun"/>
    <s v="CMR004"/>
    <s v="Extrême-Nord"/>
    <s v="CMR004006"/>
    <s v="Mayo-Tsanaga"/>
    <s v="CMR004006002"/>
    <s v="Mokolo"/>
  </r>
  <r>
    <s v="Extrême-Nord"/>
    <s v="CMR004"/>
    <x v="1"/>
    <s v="CMR004006"/>
    <x v="28"/>
    <s v="CMR004006003"/>
    <s v="HIN-0006"/>
    <s v="ZOUVOUL"/>
    <m/>
    <x v="0"/>
    <s v="Septembre 2022 – Février 2023"/>
    <n v="1"/>
    <n v="6"/>
    <x v="0"/>
    <m/>
    <s v="Même département, autre arrondissement"/>
    <s v="CMR"/>
    <s v="Cameroun"/>
    <s v="CMR004"/>
    <s v="Extrême-Nord"/>
    <s v="CMR004006"/>
    <s v="Mayo-Tsanaga"/>
    <s v="CMR004006002"/>
    <s v="Mokolo"/>
  </r>
  <r>
    <s v="Extrême-Nord"/>
    <s v="CMR004"/>
    <x v="1"/>
    <s v="CMR004006"/>
    <x v="28"/>
    <s v="CMR004006003"/>
    <s v="HIN-0002"/>
    <s v="BASSARA"/>
    <m/>
    <x v="0"/>
    <s v="Avant 2020"/>
    <n v="18"/>
    <n v="126"/>
    <x v="0"/>
    <m/>
    <s v="Même département, autre arrondissement"/>
    <s v="CMR"/>
    <s v="Cameroun"/>
    <s v="CMR004"/>
    <s v="Extrême-Nord"/>
    <s v="CMR004006"/>
    <s v="Mayo-Tsanaga"/>
    <s v="CMR004006005"/>
    <s v="Mayo-Moskota"/>
  </r>
  <r>
    <s v="Extrême-Nord"/>
    <s v="CMR004"/>
    <x v="1"/>
    <s v="CMR004006"/>
    <x v="28"/>
    <s v="CMR004006003"/>
    <s v="HIN-0002"/>
    <s v="BASSARA"/>
    <m/>
    <x v="0"/>
    <s v="Septembre 2022 – Février 2023"/>
    <n v="0"/>
    <n v="2"/>
    <x v="0"/>
    <m/>
    <s v="Même département, autre arrondissement"/>
    <s v="CMR"/>
    <s v="Cameroun"/>
    <s v="CMR004"/>
    <s v="Extrême-Nord"/>
    <s v="CMR004006"/>
    <s v="Mayo-Tsanaga"/>
    <s v="CMR004006005"/>
    <s v="Mayo-Moskota"/>
  </r>
  <r>
    <s v="Extrême-Nord"/>
    <s v="CMR004"/>
    <x v="1"/>
    <s v="CMR004006"/>
    <x v="28"/>
    <s v="CMR004006003"/>
    <s v="HIN-0002"/>
    <s v="BASSARA"/>
    <m/>
    <x v="0"/>
    <s v="Janvier - Aout 2022"/>
    <n v="2"/>
    <n v="13"/>
    <x v="0"/>
    <m/>
    <s v="Même département, autre arrondissement"/>
    <s v="CMR"/>
    <s v="Cameroun"/>
    <s v="CMR004"/>
    <s v="Extrême-Nord"/>
    <s v="CMR004006"/>
    <s v="Mayo-Tsanaga"/>
    <s v="CMR004006002"/>
    <s v="Mokolo"/>
  </r>
  <r>
    <s v="Extrême-Nord"/>
    <s v="CMR004"/>
    <x v="1"/>
    <s v="CMR004006"/>
    <x v="28"/>
    <s v="CMR004006003"/>
    <s v="HIN-0001"/>
    <s v="BAMGUEL BORORO"/>
    <m/>
    <x v="0"/>
    <s v="Avant 2020"/>
    <n v="7"/>
    <n v="30"/>
    <x v="0"/>
    <m/>
    <s v="Même département, autre arrondissement"/>
    <s v="CMR"/>
    <s v="Cameroun"/>
    <s v="CMR004"/>
    <s v="Extrême-Nord"/>
    <s v="CMR004006"/>
    <s v="Mayo-Tsanaga"/>
    <s v="CMR004006005"/>
    <s v="Mayo-Moskota"/>
  </r>
  <r>
    <s v="Extrême-Nord"/>
    <s v="CMR004"/>
    <x v="1"/>
    <s v="CMR004006"/>
    <x v="28"/>
    <s v="CMR004006003"/>
    <s v="HIN-0001"/>
    <s v="BAMGUEL BORORO"/>
    <m/>
    <x v="0"/>
    <s v="En 2020"/>
    <n v="3"/>
    <n v="15"/>
    <x v="0"/>
    <m/>
    <s v="Même département, autre arrondissement"/>
    <s v="CMR"/>
    <s v="Cameroun"/>
    <s v="CMR004"/>
    <s v="Extrême-Nord"/>
    <s v="CMR004006"/>
    <s v="Mayo-Tsanaga"/>
    <s v="CMR004006005"/>
    <s v="Mayo-Moskota"/>
  </r>
  <r>
    <s v="Extrême-Nord"/>
    <s v="CMR004"/>
    <x v="1"/>
    <s v="CMR004006"/>
    <x v="28"/>
    <s v="CMR004006003"/>
    <s v="HIN-0001"/>
    <s v="BAMGUEL BORORO"/>
    <m/>
    <x v="0"/>
    <s v="En 2021"/>
    <n v="1"/>
    <n v="4"/>
    <x v="0"/>
    <m/>
    <s v="Même département, autre arrondissement"/>
    <s v="CMR"/>
    <s v="Cameroun"/>
    <s v="CMR004"/>
    <s v="Extrême-Nord"/>
    <s v="CMR004006"/>
    <s v="Mayo-Tsanaga"/>
    <s v="CMR004006005"/>
    <s v="Mayo-Moskota"/>
  </r>
  <r>
    <s v="Extrême-Nord"/>
    <s v="CMR004"/>
    <x v="1"/>
    <s v="CMR004006"/>
    <x v="28"/>
    <s v="CMR004006003"/>
    <s v="HIN-0001"/>
    <s v="BAMGUEL BORORO"/>
    <m/>
    <x v="0"/>
    <s v="Septembre 2022 – Février 2023"/>
    <n v="4"/>
    <n v="19"/>
    <x v="0"/>
    <m/>
    <s v="Même département, autre arrondissement"/>
    <s v="CMR"/>
    <s v="Cameroun"/>
    <s v="CMR004"/>
    <s v="Extrême-Nord"/>
    <s v="CMR004006"/>
    <s v="Mayo-Tsanaga"/>
    <s v="CMR004006002"/>
    <s v="Mokolo"/>
  </r>
  <r>
    <s v="Extrême-Nord"/>
    <s v="CMR004"/>
    <x v="1"/>
    <s v="CMR004006"/>
    <x v="28"/>
    <s v="CMR004006003"/>
    <s v="HIN-0007"/>
    <s v="GAMDOUGOUM"/>
    <m/>
    <x v="0"/>
    <s v="Janvier - Aout 2022"/>
    <n v="1"/>
    <n v="18"/>
    <x v="0"/>
    <m/>
    <s v="Même département, autre arrondissement"/>
    <s v="CMR"/>
    <s v="Cameroun"/>
    <s v="CMR004"/>
    <s v="Extrême-Nord"/>
    <s v="CMR004006"/>
    <s v="Mayo-Tsanaga"/>
    <s v="CMR004006005"/>
    <s v="Mayo-Moskota"/>
  </r>
  <r>
    <s v="Extrême-Nord"/>
    <s v="CMR004"/>
    <x v="1"/>
    <s v="CMR004006"/>
    <x v="28"/>
    <s v="CMR004006003"/>
    <s v="HIN-0007"/>
    <s v="GAMDOUGOUM"/>
    <m/>
    <x v="0"/>
    <s v="Septembre 2022 – Février 2023"/>
    <n v="1"/>
    <n v="7"/>
    <x v="0"/>
    <m/>
    <s v="Même département, autre arrondissement"/>
    <s v="CMR"/>
    <s v="Cameroun"/>
    <s v="CMR004"/>
    <s v="Extrême-Nord"/>
    <s v="CMR004006"/>
    <s v="Mayo-Tsanaga"/>
    <s v="CMR004006002"/>
    <s v="Mokolo"/>
  </r>
  <r>
    <s v="Extrême-Nord"/>
    <s v="CMR004"/>
    <x v="1"/>
    <s v="CMR004006"/>
    <x v="28"/>
    <s v="CMR004006003"/>
    <s v="HIN-0005"/>
    <s v="MADINA"/>
    <m/>
    <x v="0"/>
    <s v="Avant 2020"/>
    <n v="8"/>
    <n v="60"/>
    <x v="0"/>
    <m/>
    <s v="Même département, autre arrondissement"/>
    <s v="CMR"/>
    <s v="Cameroun"/>
    <s v="CMR004"/>
    <s v="Extrême-Nord"/>
    <s v="CMR004006"/>
    <s v="Mayo-Tsanaga"/>
    <s v="CMR004006005"/>
    <s v="Mayo-Moskota"/>
  </r>
  <r>
    <s v="Extrême-Nord"/>
    <s v="CMR004"/>
    <x v="1"/>
    <s v="CMR004006"/>
    <x v="28"/>
    <s v="CMR004006003"/>
    <s v="HIN-0005"/>
    <s v="MADINA"/>
    <m/>
    <x v="0"/>
    <s v="Janvier - Aout 2022"/>
    <n v="0"/>
    <n v="5"/>
    <x v="0"/>
    <m/>
    <s v="Même département, autre arrondissement"/>
    <s v="CMR"/>
    <s v="Cameroun"/>
    <s v="CMR004"/>
    <s v="Extrême-Nord"/>
    <s v="CMR004006"/>
    <s v="Mayo-Tsanaga"/>
    <s v="CMR004006005"/>
    <s v="Mayo-Moskota"/>
  </r>
  <r>
    <s v="Extrême-Nord"/>
    <s v="CMR004"/>
    <x v="1"/>
    <s v="CMR004006"/>
    <x v="28"/>
    <s v="CMR004006003"/>
    <s v="HIN-0005"/>
    <s v="MADINA"/>
    <m/>
    <x v="0"/>
    <s v="Septembre 2022 – Février 2023"/>
    <n v="4"/>
    <n v="18"/>
    <x v="0"/>
    <m/>
    <s v="Même département, autre arrondissement"/>
    <s v="CMR"/>
    <s v="Cameroun"/>
    <s v="CMR004"/>
    <s v="Extrême-Nord"/>
    <s v="CMR004006"/>
    <s v="Mayo-Tsanaga"/>
    <s v="CMR004006002"/>
    <s v="Mokolo"/>
  </r>
  <r>
    <s v="Extrême-Nord"/>
    <s v="CMR004"/>
    <x v="2"/>
    <s v="CMR004002"/>
    <x v="13"/>
    <s v="CMR004002001"/>
    <s v="WAZ-0039"/>
    <s v="SITE DE MADA 1"/>
    <m/>
    <x v="0"/>
    <s v="En 2021"/>
    <n v="20"/>
    <n v="103"/>
    <x v="1"/>
    <m/>
    <s v="Même département, autre arrondissement"/>
    <s v="CMR"/>
    <s v="Cameroun"/>
    <s v="CMR004"/>
    <s v="Extrême-Nord"/>
    <s v="CMR004002"/>
    <s v="Logone-Et-Chari"/>
    <s v="CMR004002004"/>
    <s v="Logone-Birni"/>
  </r>
  <r>
    <s v="Extrême-Nord"/>
    <s v="CMR004"/>
    <x v="2"/>
    <s v="CMR004002"/>
    <x v="13"/>
    <s v="CMR004002001"/>
    <s v="WAZ-0015"/>
    <s v="DJINGUI"/>
    <m/>
    <x v="0"/>
    <s v="En 2021"/>
    <n v="40"/>
    <n v="338"/>
    <x v="0"/>
    <m/>
    <s v="Même arrondissement"/>
    <s v="CMR"/>
    <s v="Cameroun"/>
    <s v="CMR004"/>
    <s v="Extrême-Nord"/>
    <s v="CMR004002"/>
    <s v="Logone-Et-Chari"/>
    <s v="CMR004002001"/>
    <s v="Waza"/>
  </r>
  <r>
    <s v="Extrême-Nord"/>
    <s v="CMR004"/>
    <x v="2"/>
    <s v="CMR004002"/>
    <x v="13"/>
    <s v="CMR004002001"/>
    <s v="WAZ-0015"/>
    <s v="DJINGUI"/>
    <m/>
    <x v="0"/>
    <s v="Septembre 2022 – Février 2023"/>
    <n v="0"/>
    <n v="2"/>
    <x v="0"/>
    <m/>
    <s v="Même arrondissement"/>
    <s v="CMR"/>
    <s v="Cameroun"/>
    <s v="CMR004"/>
    <s v="Extrême-Nord"/>
    <s v="CMR004002"/>
    <s v="Logone-Et-Chari"/>
    <s v="CMR004002001"/>
    <s v="Waza"/>
  </r>
  <r>
    <s v="Extrême-Nord"/>
    <s v="CMR004"/>
    <x v="2"/>
    <s v="CMR004002"/>
    <x v="8"/>
    <s v="CMR004002009"/>
    <s v="MAK-0160"/>
    <s v="ALMITERAP"/>
    <m/>
    <x v="0"/>
    <s v="Janvier - Aout 2022"/>
    <n v="5"/>
    <n v="15"/>
    <x v="1"/>
    <m/>
    <s v="Même département, autre arrondissement"/>
    <s v="CMR"/>
    <s v="Cameroun"/>
    <s v="CMR004"/>
    <s v="Extrême-Nord"/>
    <s v="CMR004002"/>
    <s v="Logone-Et-Chari"/>
    <s v="CMR004002007"/>
    <s v="Darak"/>
  </r>
  <r>
    <s v="Extrême-Nord"/>
    <s v="CMR004"/>
    <x v="2"/>
    <s v="CMR004002"/>
    <x v="8"/>
    <s v="CMR004002009"/>
    <s v="MAK-0160"/>
    <s v="ALMITERAP"/>
    <m/>
    <x v="0"/>
    <s v="Septembre 2022 – Février 2023"/>
    <n v="3"/>
    <n v="17"/>
    <x v="3"/>
    <m/>
    <s v="Même département, autre arrondissement"/>
    <s v="CMR"/>
    <s v="Cameroun"/>
    <s v="CMR004"/>
    <s v="Extrême-Nord"/>
    <s v="CMR004002"/>
    <s v="Logone-Et-Chari"/>
    <s v="CMR004002003"/>
    <s v="Blangoua"/>
  </r>
  <r>
    <s v="Extrême-Nord"/>
    <s v="CMR004"/>
    <x v="2"/>
    <s v="CMR004002"/>
    <x v="8"/>
    <s v="CMR004002009"/>
    <s v="MAK-0157"/>
    <s v="ABOKI"/>
    <m/>
    <x v="0"/>
    <s v="Janvier - Aout 2022"/>
    <n v="7"/>
    <n v="40"/>
    <x v="1"/>
    <m/>
    <s v="Même arrondissement"/>
    <s v="CMR"/>
    <s v="Cameroun"/>
    <s v="CMR004"/>
    <s v="Extrême-Nord"/>
    <s v="CMR004002"/>
    <s v="Logone-Et-Chari"/>
    <s v="CMR004002009"/>
    <s v="Makary"/>
  </r>
  <r>
    <s v="Extrême-Nord"/>
    <s v="CMR004"/>
    <x v="2"/>
    <s v="CMR004002"/>
    <x v="8"/>
    <s v="CMR004002009"/>
    <s v="MAK-0157"/>
    <s v="ABOKI"/>
    <m/>
    <x v="0"/>
    <s v="Septembre 2022 – Février 2023"/>
    <n v="4"/>
    <n v="27"/>
    <x v="3"/>
    <m/>
    <s v="Même arrondissement"/>
    <s v="CMR"/>
    <s v="Cameroun"/>
    <s v="CMR004"/>
    <s v="Extrême-Nord"/>
    <s v="CMR004002"/>
    <s v="Logone-Et-Chari"/>
    <s v="CMR004002009"/>
    <s v="Makary"/>
  </r>
  <r>
    <s v="Extrême-Nord"/>
    <s v="CMR004"/>
    <x v="2"/>
    <s v="CMR004002"/>
    <x v="8"/>
    <s v="CMR004002009"/>
    <s v="MAK-0047"/>
    <s v="KARTCHE"/>
    <m/>
    <x v="0"/>
    <s v="Avant 2020"/>
    <n v="3"/>
    <n v="25"/>
    <x v="0"/>
    <m/>
    <s v="Même département, autre arrondissement"/>
    <s v="CMR"/>
    <s v="Cameroun"/>
    <s v="CMR004"/>
    <s v="Extrême-Nord"/>
    <s v="CMR004002"/>
    <s v="Logone-Et-Chari"/>
    <s v="CMR004002008"/>
    <s v="Fotokol"/>
  </r>
  <r>
    <s v="Extrême-Nord"/>
    <s v="CMR004"/>
    <x v="2"/>
    <s v="CMR004002"/>
    <x v="8"/>
    <s v="CMR004002009"/>
    <s v="MAK-0047"/>
    <s v="KARTCHE"/>
    <m/>
    <x v="0"/>
    <s v="Septembre 2022 – Février 2023"/>
    <n v="2"/>
    <n v="7"/>
    <x v="0"/>
    <m/>
    <s v="Même département, autre arrondissement"/>
    <s v="CMR"/>
    <s v="Cameroun"/>
    <s v="CMR004"/>
    <s v="Extrême-Nord"/>
    <s v="CMR004002"/>
    <s v="Logone-Et-Chari"/>
    <s v="CMR004002007"/>
    <s v="Darak"/>
  </r>
  <r>
    <s v="Extrême-Nord"/>
    <s v="CMR004"/>
    <x v="2"/>
    <s v="CMR004002"/>
    <x v="8"/>
    <s v="CMR004002009"/>
    <s v="MAK-0107"/>
    <s v="DJADJAYA"/>
    <m/>
    <x v="0"/>
    <s v="Avant 2020"/>
    <n v="55"/>
    <n v="265"/>
    <x v="0"/>
    <m/>
    <s v="Même département, autre arrondissement"/>
    <s v="CMR"/>
    <s v="Cameroun"/>
    <s v="CMR004"/>
    <s v="Extrême-Nord"/>
    <s v="CMR004002"/>
    <s v="Logone-Et-Chari"/>
    <s v="CMR004002008"/>
    <s v="Fotokol"/>
  </r>
  <r>
    <s v="Extrême-Nord"/>
    <s v="CMR004"/>
    <x v="2"/>
    <s v="CMR004002"/>
    <x v="26"/>
    <s v="CMR004002006"/>
    <s v="KOU-0027"/>
    <s v="NAGA"/>
    <m/>
    <x v="0"/>
    <s v="Avant 2020"/>
    <n v="4"/>
    <n v="24"/>
    <x v="0"/>
    <m/>
    <s v="Même département, autre arrondissement"/>
    <s v="CMR"/>
    <s v="Cameroun"/>
    <s v="CMR004"/>
    <s v="Extrême-Nord"/>
    <s v="CMR004002"/>
    <s v="Logone-Et-Chari"/>
    <s v="CMR004002008"/>
    <s v="Fotokol"/>
  </r>
  <r>
    <s v="Extrême-Nord"/>
    <s v="CMR004"/>
    <x v="2"/>
    <s v="CMR004002"/>
    <x v="26"/>
    <s v="CMR004002006"/>
    <s v="KOU-0027"/>
    <s v="NAGA"/>
    <m/>
    <x v="0"/>
    <s v="En 2020"/>
    <n v="1"/>
    <n v="6"/>
    <x v="0"/>
    <m/>
    <s v="Même département, autre arrondissement"/>
    <s v="CMR"/>
    <s v="Cameroun"/>
    <s v="CMR004"/>
    <s v="Extrême-Nord"/>
    <s v="CMR004002"/>
    <s v="Logone-Et-Chari"/>
    <s v="CMR004002008"/>
    <s v="Fotokol"/>
  </r>
  <r>
    <s v="Extrême-Nord"/>
    <s v="CMR004"/>
    <x v="2"/>
    <s v="CMR004002"/>
    <x v="26"/>
    <s v="CMR004002006"/>
    <s v="KOU-0027"/>
    <s v="NAGA"/>
    <m/>
    <x v="0"/>
    <s v="En 2021"/>
    <n v="1"/>
    <n v="6"/>
    <x v="0"/>
    <m/>
    <s v="Même département, autre arrondissement"/>
    <s v="CMR"/>
    <s v="Cameroun"/>
    <s v="CMR004"/>
    <s v="Extrême-Nord"/>
    <s v="CMR004002"/>
    <s v="Logone-Et-Chari"/>
    <s v="CMR004002008"/>
    <s v="Fotokol"/>
  </r>
  <r>
    <s v="Extrême-Nord"/>
    <s v="CMR004"/>
    <x v="2"/>
    <s v="CMR004002"/>
    <x v="26"/>
    <s v="CMR004002006"/>
    <s v="KOU-0027"/>
    <s v="NAGA"/>
    <m/>
    <x v="0"/>
    <s v="Janvier - Aout 2022"/>
    <n v="1"/>
    <n v="4"/>
    <x v="1"/>
    <m/>
    <s v="Même département, autre arrondissement"/>
    <s v="CMR"/>
    <s v="Cameroun"/>
    <s v="CMR004"/>
    <s v="Extrême-Nord"/>
    <s v="CMR004002"/>
    <s v="Logone-Et-Chari"/>
    <s v="CMR004002004"/>
    <s v="Logone-Birni"/>
  </r>
  <r>
    <s v="Extrême-Nord"/>
    <s v="CMR004"/>
    <x v="2"/>
    <s v="CMR004002"/>
    <x v="26"/>
    <s v="CMR004002006"/>
    <s v="KOU-0027"/>
    <s v="NAGA"/>
    <m/>
    <x v="0"/>
    <s v="Septembre 2022 – Février 2023"/>
    <n v="1"/>
    <n v="5"/>
    <x v="3"/>
    <m/>
    <s v="Même département, autre arrondissement"/>
    <s v="CMR"/>
    <s v="Cameroun"/>
    <s v="CMR004"/>
    <s v="Extrême-Nord"/>
    <s v="CMR004002"/>
    <s v="Logone-Et-Chari"/>
    <s v="CMR004002004"/>
    <s v="Logone-Birni"/>
  </r>
  <r>
    <s v="Extrême-Nord"/>
    <s v="CMR004"/>
    <x v="2"/>
    <s v="CMR004002"/>
    <x v="15"/>
    <s v="CMR004002004"/>
    <s v="LBI-0038"/>
    <s v="KRENACK"/>
    <m/>
    <x v="0"/>
    <s v="Avant 2020"/>
    <n v="22"/>
    <n v="90"/>
    <x v="0"/>
    <m/>
    <s v="Même arrondissement"/>
    <s v="CMR"/>
    <s v="Cameroun"/>
    <s v="CMR004"/>
    <s v="Extrême-Nord"/>
    <s v="CMR004002"/>
    <s v="Logone-Et-Chari"/>
    <s v="CMR004002004"/>
    <s v="Logone-Birni"/>
  </r>
  <r>
    <s v="Extrême-Nord"/>
    <s v="CMR004"/>
    <x v="2"/>
    <s v="CMR004002"/>
    <x v="26"/>
    <s v="CMR004002006"/>
    <s v="KOU-0024"/>
    <s v="ADJEINE 1"/>
    <m/>
    <x v="0"/>
    <s v="Avant 2020"/>
    <n v="43"/>
    <n v="90"/>
    <x v="1"/>
    <m/>
    <s v="Même département, autre arrondissement"/>
    <s v="CMR"/>
    <s v="Cameroun"/>
    <s v="CMR004"/>
    <s v="Extrême-Nord"/>
    <s v="CMR004002"/>
    <s v="Logone-Et-Chari"/>
    <s v="CMR004002008"/>
    <s v="Fotokol"/>
  </r>
  <r>
    <s v="Extrême-Nord"/>
    <s v="CMR004"/>
    <x v="2"/>
    <s v="CMR004002"/>
    <x v="26"/>
    <s v="CMR004002006"/>
    <s v="KOU-0024"/>
    <s v="ADJEINE 1"/>
    <m/>
    <x v="0"/>
    <s v="En 2020"/>
    <n v="13"/>
    <n v="50"/>
    <x v="0"/>
    <m/>
    <s v="Même département, autre arrondissement"/>
    <s v="CMR"/>
    <s v="Cameroun"/>
    <s v="CMR004"/>
    <s v="Extrême-Nord"/>
    <s v="CMR004002"/>
    <s v="Logone-Et-Chari"/>
    <s v="CMR004002008"/>
    <s v="Fotokol"/>
  </r>
  <r>
    <s v="Extrême-Nord"/>
    <s v="CMR004"/>
    <x v="2"/>
    <s v="CMR004002"/>
    <x v="26"/>
    <s v="CMR004002006"/>
    <s v="KOU-0024"/>
    <s v="ADJEINE 1"/>
    <m/>
    <x v="0"/>
    <s v="En 2021"/>
    <n v="4"/>
    <n v="30"/>
    <x v="0"/>
    <m/>
    <s v="Même département, autre arrondissement"/>
    <s v="CMR"/>
    <s v="Cameroun"/>
    <s v="CMR004"/>
    <s v="Extrême-Nord"/>
    <s v="CMR004002"/>
    <s v="Logone-Et-Chari"/>
    <s v="CMR004002008"/>
    <s v="Fotokol"/>
  </r>
  <r>
    <s v="Extrême-Nord"/>
    <s v="CMR004"/>
    <x v="2"/>
    <s v="CMR004002"/>
    <x v="26"/>
    <s v="CMR004002006"/>
    <s v="KOU-0024"/>
    <s v="ADJEINE 1"/>
    <m/>
    <x v="0"/>
    <s v="Janvier - Aout 2022"/>
    <n v="15"/>
    <n v="90"/>
    <x v="1"/>
    <m/>
    <s v="Même département, autre arrondissement"/>
    <s v="CMR"/>
    <s v="Cameroun"/>
    <s v="CMR004"/>
    <s v="Extrême-Nord"/>
    <s v="CMR004002"/>
    <s v="Logone-Et-Chari"/>
    <s v="CMR004002004"/>
    <s v="Logone-Birni"/>
  </r>
  <r>
    <s v="Extrême-Nord"/>
    <s v="CMR004"/>
    <x v="2"/>
    <s v="CMR004002"/>
    <x v="26"/>
    <s v="CMR004002006"/>
    <s v="KOU-0024"/>
    <s v="ADJEINE 1"/>
    <m/>
    <x v="0"/>
    <s v="Septembre 2022 – Février 2023"/>
    <n v="2"/>
    <n v="20"/>
    <x v="3"/>
    <m/>
    <s v="Même département, autre arrondissement"/>
    <s v="CMR"/>
    <s v="Cameroun"/>
    <s v="CMR004"/>
    <s v="Extrême-Nord"/>
    <s v="CMR004002"/>
    <s v="Logone-Et-Chari"/>
    <s v="CMR004002004"/>
    <s v="Logone-Birni"/>
  </r>
  <r>
    <s v="Extrême-Nord"/>
    <s v="CMR004"/>
    <x v="2"/>
    <s v="CMR004002"/>
    <x v="8"/>
    <s v="CMR004002009"/>
    <s v="MAK-0158"/>
    <s v="ABOUDANGALA"/>
    <m/>
    <x v="0"/>
    <s v="Avant 2020"/>
    <n v="12"/>
    <n v="82"/>
    <x v="0"/>
    <m/>
    <s v="Même département, autre arrondissement"/>
    <s v="CMR"/>
    <s v="Cameroun"/>
    <s v="CMR004"/>
    <s v="Extrême-Nord"/>
    <s v="CMR004002"/>
    <s v="Logone-Et-Chari"/>
    <s v="CMR004002008"/>
    <s v="Fotokol"/>
  </r>
  <r>
    <s v="Extrême-Nord"/>
    <s v="CMR004"/>
    <x v="2"/>
    <s v="CMR004002"/>
    <x v="8"/>
    <s v="CMR004002009"/>
    <s v="MAK-0158"/>
    <s v="ABOUDANGALA"/>
    <m/>
    <x v="0"/>
    <s v="En 2021"/>
    <n v="4"/>
    <n v="27"/>
    <x v="0"/>
    <m/>
    <s v="Même département, autre arrondissement"/>
    <s v="CMR"/>
    <s v="Cameroun"/>
    <s v="CMR004"/>
    <s v="Extrême-Nord"/>
    <s v="CMR004002"/>
    <s v="Logone-Et-Chari"/>
    <s v="CMR004002007"/>
    <s v="Darak"/>
  </r>
  <r>
    <s v="Extrême-Nord"/>
    <s v="CMR004"/>
    <x v="2"/>
    <s v="CMR004002"/>
    <x v="8"/>
    <s v="CMR004002009"/>
    <s v="MAK-0179"/>
    <s v="SOURDJIE"/>
    <m/>
    <x v="0"/>
    <s v="Avant 2020"/>
    <n v="35"/>
    <n v="139"/>
    <x v="0"/>
    <m/>
    <s v="Même arrondissement"/>
    <s v="CMR"/>
    <s v="Cameroun"/>
    <s v="CMR004"/>
    <s v="Extrême-Nord"/>
    <s v="CMR004002"/>
    <s v="Logone-Et-Chari"/>
    <s v="CMR004002009"/>
    <s v="Makary"/>
  </r>
  <r>
    <s v="Extrême-Nord"/>
    <s v="CMR004"/>
    <x v="2"/>
    <s v="CMR004002"/>
    <x v="8"/>
    <s v="CMR004002009"/>
    <s v="MAK-0179"/>
    <s v="SOURDJIE"/>
    <m/>
    <x v="0"/>
    <s v="En 2021"/>
    <n v="2"/>
    <n v="7"/>
    <x v="0"/>
    <m/>
    <s v="Même département, autre arrondissement"/>
    <s v="CMR"/>
    <s v="Cameroun"/>
    <s v="CMR004"/>
    <s v="Extrême-Nord"/>
    <s v="CMR004002"/>
    <s v="Logone-Et-Chari"/>
    <s v="CMR004002008"/>
    <s v="Fotokol"/>
  </r>
  <r>
    <s v="Extrême-Nord"/>
    <s v="CMR004"/>
    <x v="2"/>
    <s v="CMR004002"/>
    <x v="8"/>
    <s v="CMR004002009"/>
    <s v="MAK-0015"/>
    <s v="SITE DE BEDEO"/>
    <m/>
    <x v="0"/>
    <s v="Janvier - Aout 2022"/>
    <n v="153"/>
    <n v="837"/>
    <x v="0"/>
    <m/>
    <s v="Même arrondissement"/>
    <s v="CMR"/>
    <s v="Cameroun"/>
    <s v="CMR004"/>
    <s v="Extrême-Nord"/>
    <s v="CMR004002"/>
    <s v="Logone-Et-Chari"/>
    <s v="CMR004002009"/>
    <s v="Makary"/>
  </r>
  <r>
    <s v="Extrême-Nord"/>
    <s v="CMR004"/>
    <x v="2"/>
    <s v="CMR004002"/>
    <x v="8"/>
    <s v="CMR004002009"/>
    <s v="MAK-0023"/>
    <s v="CHALAMTINI"/>
    <m/>
    <x v="0"/>
    <s v="Janvier - Aout 2022"/>
    <n v="49"/>
    <n v="367"/>
    <x v="3"/>
    <m/>
    <s v="Même arrondissement"/>
    <s v="CMR"/>
    <s v="Cameroun"/>
    <s v="CMR004"/>
    <s v="Extrême-Nord"/>
    <s v="CMR004002"/>
    <s v="Logone-Et-Chari"/>
    <s v="CMR004002009"/>
    <s v="Makary"/>
  </r>
  <r>
    <s v="Extrême-Nord"/>
    <s v="CMR004"/>
    <x v="2"/>
    <s v="CMR004002"/>
    <x v="8"/>
    <s v="CMR004002009"/>
    <s v="MAK-0023"/>
    <s v="CHALAMTINI"/>
    <m/>
    <x v="0"/>
    <s v="Septembre 2022 – Février 2023"/>
    <n v="1"/>
    <n v="2"/>
    <x v="3"/>
    <m/>
    <s v="Même arrondissement"/>
    <s v="CMR"/>
    <s v="Cameroun"/>
    <s v="CMR004"/>
    <s v="Extrême-Nord"/>
    <s v="CMR004002"/>
    <s v="Logone-Et-Chari"/>
    <s v="CMR004002009"/>
    <s v="Makary"/>
  </r>
  <r>
    <s v="Extrême-Nord"/>
    <s v="CMR004"/>
    <x v="2"/>
    <s v="CMR004002"/>
    <x v="10"/>
    <s v="CMR004002003"/>
    <s v="BLA-0003"/>
    <s v="SITE DE BLANGOUA BACHE"/>
    <m/>
    <x v="0"/>
    <s v="Avant 2020"/>
    <n v="118"/>
    <n v="1500"/>
    <x v="3"/>
    <m/>
    <s v="Même arrondissement"/>
    <s v="CMR"/>
    <s v="Cameroun"/>
    <s v="CMR004"/>
    <s v="Extrême-Nord"/>
    <s v="CMR004002"/>
    <s v="Logone-Et-Chari"/>
    <s v="CMR004002003"/>
    <s v="Blangoua"/>
  </r>
  <r>
    <s v="Extrême-Nord"/>
    <s v="CMR004"/>
    <x v="2"/>
    <s v="CMR004002"/>
    <x v="10"/>
    <s v="CMR004002003"/>
    <s v="BLA-0003"/>
    <s v="SITE DE BLANGOUA BACHE"/>
    <m/>
    <x v="0"/>
    <s v="Septembre 2022 – Février 2023"/>
    <n v="5"/>
    <n v="53"/>
    <x v="0"/>
    <m/>
    <s v="Même département, autre arrondissement"/>
    <s v="CMR"/>
    <s v="Cameroun"/>
    <s v="CMR004"/>
    <s v="Extrême-Nord"/>
    <s v="CMR004002"/>
    <s v="Logone-Et-Chari"/>
    <s v="CMR004002007"/>
    <s v="Darak"/>
  </r>
  <r>
    <s v="Extrême-Nord"/>
    <s v="CMR004"/>
    <x v="2"/>
    <s v="CMR004002"/>
    <x v="10"/>
    <s v="CMR004002003"/>
    <s v="BLA-0011"/>
    <s v="NDARABAYA"/>
    <m/>
    <x v="0"/>
    <s v="Avant 2020"/>
    <n v="11"/>
    <n v="26"/>
    <x v="0"/>
    <m/>
    <s v="Même arrondissement"/>
    <s v="CMR"/>
    <s v="Cameroun"/>
    <s v="CMR004"/>
    <s v="Extrême-Nord"/>
    <s v="CMR004002"/>
    <s v="Logone-Et-Chari"/>
    <s v="CMR004002003"/>
    <s v="Blangoua"/>
  </r>
  <r>
    <s v="Extrême-Nord"/>
    <s v="CMR004"/>
    <x v="2"/>
    <s v="CMR004002"/>
    <x v="10"/>
    <s v="CMR004002003"/>
    <s v="BLA-0011"/>
    <s v="NDARABAYA"/>
    <m/>
    <x v="0"/>
    <s v="Septembre 2022 – Février 2023"/>
    <n v="5"/>
    <n v="25"/>
    <x v="0"/>
    <m/>
    <s v="Même département, autre arrondissement"/>
    <s v="CMR"/>
    <s v="Cameroun"/>
    <s v="CMR004"/>
    <s v="Extrême-Nord"/>
    <s v="CMR004002"/>
    <s v="Logone-Et-Chari"/>
    <s v="CMR004002009"/>
    <s v="Makary"/>
  </r>
  <r>
    <s v="Extrême-Nord"/>
    <s v="CMR004"/>
    <x v="2"/>
    <s v="CMR004002"/>
    <x v="8"/>
    <s v="CMR004002009"/>
    <s v="MAK-0002"/>
    <s v="ABOUYAKOUBA"/>
    <m/>
    <x v="0"/>
    <s v="Janvier - Aout 2022"/>
    <n v="6"/>
    <n v="35"/>
    <x v="0"/>
    <m/>
    <s v="Même département, autre arrondissement"/>
    <s v="CMR"/>
    <s v="Cameroun"/>
    <s v="CMR004"/>
    <s v="Extrême-Nord"/>
    <s v="CMR004002"/>
    <s v="Logone-Et-Chari"/>
    <s v="CMR004002007"/>
    <s v="Darak"/>
  </r>
  <r>
    <s v="Extrême-Nord"/>
    <s v="CMR004"/>
    <x v="2"/>
    <s v="CMR004002"/>
    <x v="8"/>
    <s v="CMR004002009"/>
    <s v="MAK-0002"/>
    <s v="ABOUYAKOUBA"/>
    <m/>
    <x v="0"/>
    <s v="Septembre 2022 – Février 2023"/>
    <n v="10"/>
    <n v="57"/>
    <x v="0"/>
    <m/>
    <s v="Même département, autre arrondissement"/>
    <s v="CMR"/>
    <s v="Cameroun"/>
    <s v="CMR004"/>
    <s v="Extrême-Nord"/>
    <s v="CMR004002"/>
    <s v="Logone-Et-Chari"/>
    <s v="CMR004002003"/>
    <s v="Blangoua"/>
  </r>
  <r>
    <s v="Extrême-Nord"/>
    <s v="CMR004"/>
    <x v="2"/>
    <s v="CMR004002"/>
    <x v="8"/>
    <s v="CMR004002009"/>
    <s v="MAK-0007"/>
    <s v="AMCHITIRE"/>
    <m/>
    <x v="0"/>
    <s v="Janvier - Aout 2022"/>
    <n v="3"/>
    <n v="15"/>
    <x v="0"/>
    <m/>
    <s v="Même département, autre arrondissement"/>
    <s v="CMR"/>
    <s v="Cameroun"/>
    <s v="CMR004"/>
    <s v="Extrême-Nord"/>
    <s v="CMR004002"/>
    <s v="Logone-Et-Chari"/>
    <s v="CMR004002007"/>
    <s v="Darak"/>
  </r>
  <r>
    <s v="Extrême-Nord"/>
    <s v="CMR004"/>
    <x v="2"/>
    <s v="CMR004002"/>
    <x v="8"/>
    <s v="CMR004002009"/>
    <s v="MAK-0007"/>
    <s v="AMCHITIRE"/>
    <m/>
    <x v="0"/>
    <s v="Septembre 2022 – Février 2023"/>
    <n v="8"/>
    <n v="38"/>
    <x v="0"/>
    <m/>
    <s v="Même département, autre arrondissement"/>
    <s v="CMR"/>
    <s v="Cameroun"/>
    <s v="CMR004"/>
    <s v="Extrême-Nord"/>
    <s v="CMR004002"/>
    <s v="Logone-Et-Chari"/>
    <s v="CMR004002008"/>
    <s v="Fotokol"/>
  </r>
  <r>
    <s v="Extrême-Nord"/>
    <s v="CMR004"/>
    <x v="1"/>
    <s v="CMR004006"/>
    <x v="16"/>
    <s v="CMR004006004"/>
    <s v="KOZ-0016"/>
    <s v="KECHKEME"/>
    <m/>
    <x v="0"/>
    <s v="En 2020"/>
    <n v="44"/>
    <n v="274"/>
    <x v="0"/>
    <m/>
    <s v="Même arrondissement"/>
    <s v="CMR"/>
    <s v="Cameroun"/>
    <s v="CMR004"/>
    <s v="Extrême-Nord"/>
    <s v="CMR004006"/>
    <s v="Mayo-Tsanaga"/>
    <s v="CMR004006004"/>
    <s v="Koza"/>
  </r>
  <r>
    <s v="Extrême-Nord"/>
    <s v="CMR004"/>
    <x v="1"/>
    <s v="CMR004006"/>
    <x v="16"/>
    <s v="CMR004006004"/>
    <s v="KOZ-0016"/>
    <s v="KECHKEME"/>
    <m/>
    <x v="0"/>
    <s v="En 2021"/>
    <n v="52"/>
    <n v="301"/>
    <x v="0"/>
    <m/>
    <s v="Même arrondissement"/>
    <s v="CMR"/>
    <s v="Cameroun"/>
    <s v="CMR004"/>
    <s v="Extrême-Nord"/>
    <s v="CMR004006"/>
    <s v="Mayo-Tsanaga"/>
    <s v="CMR004006004"/>
    <s v="Koza"/>
  </r>
  <r>
    <s v="Extrême-Nord"/>
    <s v="CMR004"/>
    <x v="1"/>
    <s v="CMR004006"/>
    <x v="16"/>
    <s v="CMR004006004"/>
    <s v="KOZ-0016"/>
    <s v="KECHKEME"/>
    <m/>
    <x v="0"/>
    <s v="Janvier - Aout 2022"/>
    <n v="52"/>
    <n v="296"/>
    <x v="0"/>
    <m/>
    <s v="Même arrondissement"/>
    <s v="CMR"/>
    <s v="Cameroun"/>
    <s v="CMR004"/>
    <s v="Extrême-Nord"/>
    <s v="CMR004006"/>
    <s v="Mayo-Tsanaga"/>
    <s v="CMR004006004"/>
    <s v="Koza"/>
  </r>
  <r>
    <s v="Extrême-Nord"/>
    <s v="CMR004"/>
    <x v="1"/>
    <s v="CMR004006"/>
    <x v="16"/>
    <s v="CMR004006004"/>
    <s v="KOZ-0016"/>
    <s v="KECHKEME"/>
    <m/>
    <x v="0"/>
    <s v="Septembre 2022 – Février 2023"/>
    <n v="13"/>
    <n v="57"/>
    <x v="0"/>
    <m/>
    <s v="Même arrondissement"/>
    <s v="CMR"/>
    <s v="Cameroun"/>
    <s v="CMR004"/>
    <s v="Extrême-Nord"/>
    <s v="CMR004006"/>
    <s v="Mayo-Tsanaga"/>
    <s v="CMR004006004"/>
    <s v="Koza"/>
  </r>
  <r>
    <s v="Extrême-Nord"/>
    <s v="CMR004"/>
    <x v="1"/>
    <s v="CMR004006"/>
    <x v="16"/>
    <s v="CMR004006004"/>
    <s v="KOZ-0014"/>
    <s v="HAMDALA"/>
    <m/>
    <x v="0"/>
    <s v="En 2020"/>
    <n v="79"/>
    <n v="555"/>
    <x v="0"/>
    <m/>
    <s v="Même arrondissement"/>
    <s v="CMR"/>
    <s v="Cameroun"/>
    <s v="CMR004"/>
    <s v="Extrême-Nord"/>
    <s v="CMR004006"/>
    <s v="Mayo-Tsanaga"/>
    <s v="CMR004006004"/>
    <s v="Koza"/>
  </r>
  <r>
    <s v="Extrême-Nord"/>
    <s v="CMR004"/>
    <x v="1"/>
    <s v="CMR004006"/>
    <x v="16"/>
    <s v="CMR004006004"/>
    <s v="KOZ-0014"/>
    <s v="HAMDALA"/>
    <m/>
    <x v="0"/>
    <s v="En 2021"/>
    <n v="83"/>
    <n v="572"/>
    <x v="0"/>
    <m/>
    <s v="Même arrondissement"/>
    <s v="CMR"/>
    <s v="Cameroun"/>
    <s v="CMR004"/>
    <s v="Extrême-Nord"/>
    <s v="CMR004006"/>
    <s v="Mayo-Tsanaga"/>
    <s v="CMR004006004"/>
    <s v="Koza"/>
  </r>
  <r>
    <s v="Extrême-Nord"/>
    <s v="CMR004"/>
    <x v="1"/>
    <s v="CMR004006"/>
    <x v="16"/>
    <s v="CMR004006004"/>
    <s v="KOZ-0014"/>
    <s v="HAMDALA"/>
    <m/>
    <x v="0"/>
    <s v="Janvier - Aout 2022"/>
    <n v="95"/>
    <n v="609"/>
    <x v="0"/>
    <m/>
    <s v="Même arrondissement"/>
    <s v="CMR"/>
    <s v="Cameroun"/>
    <s v="CMR004"/>
    <s v="Extrême-Nord"/>
    <s v="CMR004006"/>
    <s v="Mayo-Tsanaga"/>
    <s v="CMR004006004"/>
    <s v="Koza"/>
  </r>
  <r>
    <s v="Extrême-Nord"/>
    <s v="CMR004"/>
    <x v="1"/>
    <s v="CMR004006"/>
    <x v="16"/>
    <s v="CMR004006004"/>
    <s v="KOZ-0014"/>
    <s v="HAMDALA"/>
    <m/>
    <x v="0"/>
    <s v="Septembre 2022 – Février 2023"/>
    <n v="20"/>
    <n v="127"/>
    <x v="0"/>
    <m/>
    <s v="Même arrondissement"/>
    <s v="CMR"/>
    <s v="Cameroun"/>
    <s v="CMR004"/>
    <s v="Extrême-Nord"/>
    <s v="CMR004006"/>
    <s v="Mayo-Tsanaga"/>
    <s v="CMR004006004"/>
    <s v="Koza"/>
  </r>
  <r>
    <s v="Extrême-Nord"/>
    <s v="CMR004"/>
    <x v="1"/>
    <s v="CMR004006"/>
    <x v="16"/>
    <s v="CMR004006004"/>
    <s v="KOZ-0011"/>
    <s v="GOUSDA WAYAM"/>
    <m/>
    <x v="0"/>
    <s v="Septembre 2022 – Février 2023"/>
    <n v="280"/>
    <n v="1718"/>
    <x v="0"/>
    <m/>
    <s v="Même département, autre arrondissement"/>
    <s v="CMR"/>
    <s v="Cameroun"/>
    <s v="CMR004"/>
    <s v="Extrême-Nord"/>
    <s v="CMR004006"/>
    <s v="Mayo-Tsanaga"/>
    <s v="CMR004006005"/>
    <s v="Mayo-Moskota"/>
  </r>
  <r>
    <s v="Extrême-Nord"/>
    <s v="CMR004"/>
    <x v="1"/>
    <s v="CMR004006"/>
    <x v="16"/>
    <s v="CMR004006004"/>
    <s v="KOZ-0011"/>
    <s v="GOUSDA WAYAM"/>
    <m/>
    <x v="0"/>
    <s v="Janvier - Aout 2022"/>
    <n v="297"/>
    <n v="1780"/>
    <x v="0"/>
    <m/>
    <s v="Même arrondissement"/>
    <s v="CMR"/>
    <s v="Cameroun"/>
    <s v="CMR004"/>
    <s v="Extrême-Nord"/>
    <s v="CMR004006"/>
    <s v="Mayo-Tsanaga"/>
    <s v="CMR004006004"/>
    <s v="Koza"/>
  </r>
  <r>
    <s v="Extrême-Nord"/>
    <s v="CMR004"/>
    <x v="1"/>
    <s v="CMR004006"/>
    <x v="16"/>
    <s v="CMR004006004"/>
    <s v="KOZ-0011"/>
    <s v="GOUSDA WAYAM"/>
    <m/>
    <x v="0"/>
    <s v="En 2021"/>
    <n v="355"/>
    <n v="2118"/>
    <x v="0"/>
    <m/>
    <s v="Même arrondissement"/>
    <s v="CMR"/>
    <s v="Cameroun"/>
    <s v="CMR004"/>
    <s v="Extrême-Nord"/>
    <s v="CMR004006"/>
    <s v="Mayo-Tsanaga"/>
    <s v="CMR004006004"/>
    <s v="Koza"/>
  </r>
  <r>
    <s v="Extrême-Nord"/>
    <s v="CMR004"/>
    <x v="1"/>
    <s v="CMR004006"/>
    <x v="16"/>
    <s v="CMR004006004"/>
    <s v="KOZ-0011"/>
    <s v="GOUSDA WAYAM"/>
    <m/>
    <x v="0"/>
    <s v="En 2020"/>
    <n v="13"/>
    <n v="72"/>
    <x v="0"/>
    <m/>
    <s v="Même arrondissement"/>
    <s v="CMR"/>
    <s v="Cameroun"/>
    <s v="CMR004"/>
    <s v="Extrême-Nord"/>
    <s v="CMR004006"/>
    <s v="Mayo-Tsanaga"/>
    <s v="CMR004006004"/>
    <s v="Koza"/>
  </r>
  <r>
    <s v="Extrême-Nord"/>
    <s v="CMR004"/>
    <x v="1"/>
    <s v="CMR004006"/>
    <x v="16"/>
    <s v="CMR004006004"/>
    <s v="KOZ-0003"/>
    <s v="DJINGLIYA MONTAGNE"/>
    <m/>
    <x v="0"/>
    <s v="Janvier - Aout 2022"/>
    <n v="43"/>
    <n v="310"/>
    <x v="0"/>
    <m/>
    <s v="Même arrondissement"/>
    <s v="CMR"/>
    <s v="Cameroun"/>
    <s v="CMR004"/>
    <s v="Extrême-Nord"/>
    <s v="CMR004006"/>
    <s v="Mayo-Tsanaga"/>
    <s v="CMR004006004"/>
    <s v="Koza"/>
  </r>
  <r>
    <s v="Extrême-Nord"/>
    <s v="CMR004"/>
    <x v="1"/>
    <s v="CMR004006"/>
    <x v="16"/>
    <s v="CMR004006004"/>
    <s v="KOZ-0003"/>
    <s v="DJINGLIYA MONTAGNE"/>
    <m/>
    <x v="0"/>
    <s v="Septembre 2022 – Février 2023"/>
    <n v="6"/>
    <n v="40"/>
    <x v="0"/>
    <m/>
    <s v="Même département, autre arrondissement"/>
    <s v="CMR"/>
    <s v="Cameroun"/>
    <s v="CMR004"/>
    <s v="Extrême-Nord"/>
    <s v="CMR004006"/>
    <s v="Mayo-Tsanaga"/>
    <s v="CMR004006005"/>
    <s v="Mayo-Moskota"/>
  </r>
  <r>
    <s v="Extrême-Nord"/>
    <s v="CMR004"/>
    <x v="2"/>
    <s v="CMR004002"/>
    <x v="8"/>
    <s v="CMR004002009"/>
    <s v="MAK-0016"/>
    <s v="BIAMO"/>
    <m/>
    <x v="0"/>
    <s v="Avant 2020"/>
    <n v="86"/>
    <n v="300"/>
    <x v="0"/>
    <m/>
    <s v="Même arrondissement"/>
    <s v="CMR"/>
    <s v="Cameroun"/>
    <s v="CMR004"/>
    <s v="Extrême-Nord"/>
    <s v="CMR004002"/>
    <s v="Logone-Et-Chari"/>
    <s v="CMR004002009"/>
    <s v="Makary"/>
  </r>
  <r>
    <s v="Extrême-Nord"/>
    <s v="CMR004"/>
    <x v="2"/>
    <s v="CMR004002"/>
    <x v="8"/>
    <s v="CMR004002009"/>
    <s v="MAK-0122"/>
    <s v="ALAK 1"/>
    <m/>
    <x v="0"/>
    <s v="Avant 2020"/>
    <n v="7"/>
    <n v="30"/>
    <x v="0"/>
    <m/>
    <s v="Même arrondissement"/>
    <s v="CMR"/>
    <s v="Cameroun"/>
    <s v="CMR004"/>
    <s v="Extrême-Nord"/>
    <s v="CMR004002"/>
    <s v="Logone-Et-Chari"/>
    <s v="CMR004002009"/>
    <s v="Makary"/>
  </r>
  <r>
    <s v="Extrême-Nord"/>
    <s v="CMR004"/>
    <x v="2"/>
    <s v="CMR004002"/>
    <x v="8"/>
    <s v="CMR004002009"/>
    <s v="MAK-0123"/>
    <s v="ALAK 2"/>
    <m/>
    <x v="0"/>
    <s v="Avant 2020"/>
    <n v="4"/>
    <n v="30"/>
    <x v="0"/>
    <m/>
    <s v="Même arrondissement"/>
    <s v="CMR"/>
    <s v="Cameroun"/>
    <s v="CMR004"/>
    <s v="Extrême-Nord"/>
    <s v="CMR004002"/>
    <s v="Logone-Et-Chari"/>
    <s v="CMR004002009"/>
    <s v="Makary"/>
  </r>
  <r>
    <s v="Extrême-Nord"/>
    <s v="CMR004"/>
    <x v="2"/>
    <s v="CMR004002"/>
    <x v="8"/>
    <s v="CMR004002009"/>
    <s v="MAK-0028"/>
    <s v="DJIDANSAMA"/>
    <m/>
    <x v="0"/>
    <s v="Avant 2020"/>
    <n v="9"/>
    <n v="71"/>
    <x v="0"/>
    <m/>
    <s v="Même arrondissement"/>
    <s v="CMR"/>
    <s v="Cameroun"/>
    <s v="CMR004"/>
    <s v="Extrême-Nord"/>
    <s v="CMR004002"/>
    <s v="Logone-Et-Chari"/>
    <s v="CMR004002009"/>
    <s v="Makary"/>
  </r>
  <r>
    <s v="Extrême-Nord"/>
    <s v="CMR004"/>
    <x v="2"/>
    <s v="CMR004002"/>
    <x v="8"/>
    <s v="CMR004002009"/>
    <s v="MAK-0126"/>
    <s v="ARDEB 2"/>
    <m/>
    <x v="0"/>
    <s v="Avant 2020"/>
    <n v="8"/>
    <n v="29"/>
    <x v="0"/>
    <m/>
    <s v="Même arrondissement"/>
    <s v="CMR"/>
    <s v="Cameroun"/>
    <s v="CMR004"/>
    <s v="Extrême-Nord"/>
    <s v="CMR004002"/>
    <s v="Logone-Et-Chari"/>
    <s v="CMR004002009"/>
    <s v="Makary"/>
  </r>
  <r>
    <s v="Extrême-Nord"/>
    <s v="CMR004"/>
    <x v="2"/>
    <s v="CMR004002"/>
    <x v="8"/>
    <s v="CMR004002009"/>
    <s v="MAK-0125"/>
    <s v="ARDEB 1"/>
    <m/>
    <x v="0"/>
    <s v="Avant 2020"/>
    <n v="5"/>
    <n v="15"/>
    <x v="0"/>
    <m/>
    <s v="Même arrondissement"/>
    <s v="CMR"/>
    <s v="Cameroun"/>
    <s v="CMR004"/>
    <s v="Extrême-Nord"/>
    <s v="CMR004002"/>
    <s v="Logone-Et-Chari"/>
    <s v="CMR004002009"/>
    <s v="Makary"/>
  </r>
  <r>
    <s v="Extrême-Nord"/>
    <s v="CMR004"/>
    <x v="2"/>
    <s v="CMR004002"/>
    <x v="8"/>
    <s v="CMR004002009"/>
    <s v="MAK-0027"/>
    <s v="DJAMOUS"/>
    <m/>
    <x v="0"/>
    <s v="Avant 2020"/>
    <n v="2"/>
    <n v="8"/>
    <x v="0"/>
    <m/>
    <s v="Même arrondissement"/>
    <s v="CMR"/>
    <s v="Cameroun"/>
    <s v="CMR004"/>
    <s v="Extrême-Nord"/>
    <s v="CMR004002"/>
    <s v="Logone-Et-Chari"/>
    <s v="CMR004002009"/>
    <s v="Makary"/>
  </r>
  <r>
    <s v="Extrême-Nord"/>
    <s v="CMR004"/>
    <x v="2"/>
    <s v="CMR004002"/>
    <x v="8"/>
    <s v="CMR004002009"/>
    <s v="MAK-0010"/>
    <s v="ANAMBARI"/>
    <m/>
    <x v="0"/>
    <s v="Avant 2020"/>
    <n v="4"/>
    <n v="20"/>
    <x v="0"/>
    <m/>
    <s v="Même arrondissement"/>
    <s v="CMR"/>
    <s v="Cameroun"/>
    <s v="CMR004"/>
    <s v="Extrême-Nord"/>
    <s v="CMR004002"/>
    <s v="Logone-Et-Chari"/>
    <s v="CMR004002009"/>
    <s v="Makary"/>
  </r>
  <r>
    <s v="Extrême-Nord"/>
    <s v="CMR004"/>
    <x v="2"/>
    <s v="CMR004002"/>
    <x v="8"/>
    <s v="CMR004002009"/>
    <s v="MAK-0010"/>
    <s v="ANAMBARI"/>
    <m/>
    <x v="0"/>
    <s v="Septembre 2022 – Février 2023"/>
    <n v="1"/>
    <n v="2"/>
    <x v="2"/>
    <s v="Conflit communautaire entre arabes choas et Mousgoum."/>
    <s v="Même département, autre arrondissement"/>
    <s v="CMR"/>
    <s v="Cameroun"/>
    <s v="CMR004"/>
    <s v="Extrême-Nord"/>
    <s v="CMR004002"/>
    <s v="Logone-Et-Chari"/>
    <s v="CMR004002004"/>
    <s v="Logone-Birni"/>
  </r>
  <r>
    <s v="Extrême-Nord"/>
    <s v="CMR004"/>
    <x v="1"/>
    <s v="CMR004006"/>
    <x v="1"/>
    <s v="CMR004006002"/>
    <s v="MOK-0006"/>
    <s v="GOLE KADJOLE"/>
    <m/>
    <x v="0"/>
    <s v="Avant 2020"/>
    <n v="16"/>
    <n v="86"/>
    <x v="0"/>
    <m/>
    <s v="Même arrondissement"/>
    <s v="CMR"/>
    <s v="Cameroun"/>
    <s v="CMR004"/>
    <s v="Extrême-Nord"/>
    <s v="CMR004006"/>
    <s v="Mayo-Tsanaga"/>
    <s v="CMR004006002"/>
    <s v="Mokolo"/>
  </r>
  <r>
    <s v="Extrême-Nord"/>
    <s v="CMR004"/>
    <x v="1"/>
    <s v="CMR004006"/>
    <x v="1"/>
    <s v="CMR004006002"/>
    <s v="MOK-0006"/>
    <s v="GOLE KADJOLE"/>
    <m/>
    <x v="0"/>
    <s v="Janvier - Aout 2022"/>
    <n v="9"/>
    <n v="34"/>
    <x v="0"/>
    <m/>
    <s v="Même arrondissement"/>
    <s v="CMR"/>
    <s v="Cameroun"/>
    <s v="CMR004"/>
    <s v="Extrême-Nord"/>
    <s v="CMR004006"/>
    <s v="Mayo-Tsanaga"/>
    <s v="CMR004006002"/>
    <s v="Mokolo"/>
  </r>
  <r>
    <s v="Extrême-Nord"/>
    <s v="CMR004"/>
    <x v="1"/>
    <s v="CMR004006"/>
    <x v="1"/>
    <s v="CMR004006002"/>
    <s v="MOK-0006"/>
    <s v="GOLE KADJOLE"/>
    <m/>
    <x v="0"/>
    <s v="Septembre 2022 – Février 2023"/>
    <n v="5"/>
    <n v="16"/>
    <x v="0"/>
    <m/>
    <s v="Même arrondissement"/>
    <s v="CMR"/>
    <s v="Cameroun"/>
    <s v="CMR004"/>
    <s v="Extrême-Nord"/>
    <s v="CMR004006"/>
    <s v="Mayo-Tsanaga"/>
    <s v="CMR004006002"/>
    <s v="Mokolo"/>
  </r>
  <r>
    <s v="Extrême-Nord"/>
    <s v="CMR004"/>
    <x v="4"/>
    <s v="CMR004005"/>
    <x v="17"/>
    <s v="CMR004005002"/>
    <s v="MOR-0058"/>
    <s v="AISSA-HARDE"/>
    <m/>
    <x v="0"/>
    <s v="Avant 2020"/>
    <n v="54"/>
    <n v="366"/>
    <x v="0"/>
    <m/>
    <s v="Même arrondissement"/>
    <s v="CMR"/>
    <s v="Cameroun"/>
    <s v="CMR004"/>
    <s v="Extrême-Nord"/>
    <s v="CMR004005"/>
    <s v="Mayo-Sava"/>
    <s v="CMR004005002"/>
    <s v="Mora"/>
  </r>
  <r>
    <s v="Extrême-Nord"/>
    <s v="CMR004"/>
    <x v="4"/>
    <s v="CMR004005"/>
    <x v="17"/>
    <s v="CMR004005002"/>
    <s v="MOR-0058"/>
    <s v="AISSA-HARDE"/>
    <m/>
    <x v="0"/>
    <s v="En 2020"/>
    <n v="21"/>
    <n v="106"/>
    <x v="0"/>
    <m/>
    <s v="Même arrondissement"/>
    <s v="CMR"/>
    <s v="Cameroun"/>
    <s v="CMR004"/>
    <s v="Extrême-Nord"/>
    <s v="CMR004005"/>
    <s v="Mayo-Sava"/>
    <s v="CMR004005002"/>
    <s v="Mora"/>
  </r>
  <r>
    <s v="Extrême-Nord"/>
    <s v="CMR004"/>
    <x v="4"/>
    <s v="CMR004005"/>
    <x v="17"/>
    <s v="CMR004005002"/>
    <s v="MOR-0058"/>
    <s v="AISSA-HARDE"/>
    <m/>
    <x v="0"/>
    <s v="En 2021"/>
    <n v="0"/>
    <n v="42"/>
    <x v="0"/>
    <m/>
    <s v="Même arrondissement"/>
    <s v="CMR"/>
    <s v="Cameroun"/>
    <s v="CMR004"/>
    <s v="Extrême-Nord"/>
    <s v="CMR004005"/>
    <s v="Mayo-Sava"/>
    <s v="CMR004005002"/>
    <s v="Mora"/>
  </r>
  <r>
    <s v="Extrême-Nord"/>
    <s v="CMR004"/>
    <x v="4"/>
    <s v="CMR004005"/>
    <x v="17"/>
    <s v="CMR004005002"/>
    <s v="MOR-0058"/>
    <s v="AISSA-HARDE"/>
    <m/>
    <x v="0"/>
    <s v="Janvier - Aout 2022"/>
    <n v="2"/>
    <n v="47"/>
    <x v="0"/>
    <m/>
    <s v="Même arrondissement"/>
    <s v="CMR"/>
    <s v="Cameroun"/>
    <s v="CMR004"/>
    <s v="Extrême-Nord"/>
    <s v="CMR004005"/>
    <s v="Mayo-Sava"/>
    <s v="CMR004005002"/>
    <s v="Mora"/>
  </r>
  <r>
    <s v="Extrême-Nord"/>
    <s v="CMR004"/>
    <x v="4"/>
    <s v="CMR004005"/>
    <x v="17"/>
    <s v="CMR004005002"/>
    <s v="MOR-0058"/>
    <s v="AISSA-HARDE"/>
    <m/>
    <x v="0"/>
    <s v="Septembre 2022 – Février 2023"/>
    <n v="0"/>
    <n v="28"/>
    <x v="0"/>
    <m/>
    <s v="Même arrondissement"/>
    <s v="CMR"/>
    <s v="Cameroun"/>
    <s v="CMR004"/>
    <s v="Extrême-Nord"/>
    <s v="CMR004005"/>
    <s v="Mayo-Sava"/>
    <s v="CMR004005002"/>
    <s v="Mora"/>
  </r>
  <r>
    <s v="Extrême-Nord"/>
    <s v="CMR004"/>
    <x v="4"/>
    <s v="CMR004005"/>
    <x v="17"/>
    <s v="CMR004005002"/>
    <s v="MOR-0006"/>
    <s v="FIKE 2"/>
    <m/>
    <x v="0"/>
    <s v="Avant 2020"/>
    <n v="128"/>
    <n v="472"/>
    <x v="0"/>
    <m/>
    <s v="Même arrondissement"/>
    <s v="CMR"/>
    <s v="Cameroun"/>
    <s v="CMR004"/>
    <s v="Extrême-Nord"/>
    <s v="CMR004005"/>
    <s v="Mayo-Sava"/>
    <s v="CMR004005002"/>
    <s v="Mora"/>
  </r>
  <r>
    <s v="Extrême-Nord"/>
    <s v="CMR004"/>
    <x v="4"/>
    <s v="CMR004005"/>
    <x v="17"/>
    <s v="CMR004005002"/>
    <s v="MOR-0006"/>
    <s v="FIKE 2"/>
    <m/>
    <x v="0"/>
    <s v="En 2020"/>
    <n v="3"/>
    <n v="52"/>
    <x v="0"/>
    <m/>
    <s v="Même arrondissement"/>
    <s v="CMR"/>
    <s v="Cameroun"/>
    <s v="CMR004"/>
    <s v="Extrême-Nord"/>
    <s v="CMR004005"/>
    <s v="Mayo-Sava"/>
    <s v="CMR004005002"/>
    <s v="Mora"/>
  </r>
  <r>
    <s v="Extrême-Nord"/>
    <s v="CMR004"/>
    <x v="4"/>
    <s v="CMR004005"/>
    <x v="17"/>
    <s v="CMR004005002"/>
    <s v="MOR-0006"/>
    <s v="FIKE 2"/>
    <m/>
    <x v="0"/>
    <s v="En 2021"/>
    <n v="12"/>
    <n v="68"/>
    <x v="0"/>
    <m/>
    <s v="Même arrondissement"/>
    <s v="CMR"/>
    <s v="Cameroun"/>
    <s v="CMR004"/>
    <s v="Extrême-Nord"/>
    <s v="CMR004005"/>
    <s v="Mayo-Sava"/>
    <s v="CMR004005002"/>
    <s v="Mora"/>
  </r>
  <r>
    <s v="Extrême-Nord"/>
    <s v="CMR004"/>
    <x v="4"/>
    <s v="CMR004005"/>
    <x v="17"/>
    <s v="CMR004005002"/>
    <s v="MOR-0006"/>
    <s v="FIKE 2"/>
    <m/>
    <x v="0"/>
    <s v="Janvier - Aout 2022"/>
    <n v="13"/>
    <n v="103"/>
    <x v="0"/>
    <m/>
    <s v="Même arrondissement"/>
    <s v="CMR"/>
    <s v="Cameroun"/>
    <s v="CMR004"/>
    <s v="Extrême-Nord"/>
    <s v="CMR004005"/>
    <s v="Mayo-Sava"/>
    <s v="CMR004005002"/>
    <s v="Mora"/>
  </r>
  <r>
    <s v="Extrême-Nord"/>
    <s v="CMR004"/>
    <x v="4"/>
    <s v="CMR004005"/>
    <x v="17"/>
    <s v="CMR004005002"/>
    <s v="MOR-0006"/>
    <s v="FIKE 2"/>
    <m/>
    <x v="0"/>
    <s v="Septembre 2022 – Février 2023"/>
    <n v="4"/>
    <n v="37"/>
    <x v="0"/>
    <m/>
    <s v="Même arrondissement"/>
    <s v="CMR"/>
    <s v="Cameroun"/>
    <s v="CMR004"/>
    <s v="Extrême-Nord"/>
    <s v="CMR004005"/>
    <s v="Mayo-Sava"/>
    <s v="CMR004005002"/>
    <s v="Mora"/>
  </r>
  <r>
    <s v="Extrême-Nord"/>
    <s v="CMR004"/>
    <x v="2"/>
    <s v="CMR004002"/>
    <x v="10"/>
    <s v="CMR004002003"/>
    <s v="BLA-0004"/>
    <s v="BLARAM"/>
    <m/>
    <x v="0"/>
    <s v="Avant 2020"/>
    <n v="6"/>
    <n v="46"/>
    <x v="0"/>
    <m/>
    <s v="Même département, autre arrondissement"/>
    <s v="CMR"/>
    <s v="Cameroun"/>
    <s v="CMR004"/>
    <s v="Extrême-Nord"/>
    <s v="CMR004002"/>
    <s v="Logone-Et-Chari"/>
    <s v="CMR004002008"/>
    <s v="Fotokol"/>
  </r>
  <r>
    <s v="Extrême-Nord"/>
    <s v="CMR004"/>
    <x v="1"/>
    <s v="CMR004006"/>
    <x v="1"/>
    <s v="CMR004006002"/>
    <s v="MOK-0023"/>
    <s v="WOULA"/>
    <m/>
    <x v="0"/>
    <s v="Avant 2020"/>
    <n v="263"/>
    <n v="1337"/>
    <x v="0"/>
    <m/>
    <s v="Même arrondissement"/>
    <s v="CMR"/>
    <s v="Cameroun"/>
    <s v="CMR004"/>
    <s v="Extrême-Nord"/>
    <s v="CMR004006"/>
    <s v="Mayo-Tsanaga"/>
    <s v="CMR004006002"/>
    <s v="Mokolo"/>
  </r>
  <r>
    <s v="Extrême-Nord"/>
    <s v="CMR004"/>
    <x v="1"/>
    <s v="CMR004006"/>
    <x v="1"/>
    <s v="CMR004006002"/>
    <s v="MOK-0023"/>
    <s v="WOULA"/>
    <m/>
    <x v="0"/>
    <s v="Septembre 2022 – Février 2023"/>
    <n v="3"/>
    <n v="13"/>
    <x v="0"/>
    <m/>
    <s v="Même arrondissement"/>
    <s v="CMR"/>
    <s v="Cameroun"/>
    <s v="CMR004"/>
    <s v="Extrême-Nord"/>
    <s v="CMR004006"/>
    <s v="Mayo-Tsanaga"/>
    <s v="CMR004006002"/>
    <s v="Mokolo"/>
  </r>
  <r>
    <s v="Extrême-Nord"/>
    <s v="CMR004"/>
    <x v="2"/>
    <s v="CMR004002"/>
    <x v="26"/>
    <s v="CMR004002006"/>
    <s v="KOU-0026"/>
    <s v="MAWAK"/>
    <m/>
    <x v="0"/>
    <s v="Avant 2020"/>
    <n v="39"/>
    <n v="192"/>
    <x v="0"/>
    <m/>
    <s v="Même département, autre arrondissement"/>
    <s v="CMR"/>
    <s v="Cameroun"/>
    <s v="CMR004"/>
    <s v="Extrême-Nord"/>
    <s v="CMR004002"/>
    <s v="Logone-Et-Chari"/>
    <s v="CMR004002008"/>
    <s v="Fotokol"/>
  </r>
  <r>
    <s v="Extrême-Nord"/>
    <s v="CMR004"/>
    <x v="2"/>
    <s v="CMR004002"/>
    <x v="26"/>
    <s v="CMR004002006"/>
    <s v="KOU-0026"/>
    <s v="MAWAK"/>
    <m/>
    <x v="0"/>
    <s v="En 2020"/>
    <n v="18"/>
    <n v="100"/>
    <x v="0"/>
    <m/>
    <s v="Même département, autre arrondissement"/>
    <s v="CMR"/>
    <s v="Cameroun"/>
    <s v="CMR004"/>
    <s v="Extrême-Nord"/>
    <s v="CMR004002"/>
    <s v="Logone-Et-Chari"/>
    <s v="CMR004002008"/>
    <s v="Fotokol"/>
  </r>
  <r>
    <s v="Extrême-Nord"/>
    <s v="CMR004"/>
    <x v="2"/>
    <s v="CMR004002"/>
    <x v="26"/>
    <s v="CMR004002006"/>
    <s v="KOU-0026"/>
    <s v="MAWAK"/>
    <m/>
    <x v="0"/>
    <s v="Janvier - Aout 2022"/>
    <n v="7"/>
    <n v="80"/>
    <x v="1"/>
    <m/>
    <s v="Même département, autre arrondissement"/>
    <s v="CMR"/>
    <s v="Cameroun"/>
    <s v="CMR004"/>
    <s v="Extrême-Nord"/>
    <s v="CMR004002"/>
    <s v="Logone-Et-Chari"/>
    <s v="CMR004002004"/>
    <s v="Logone-Birni"/>
  </r>
  <r>
    <s v="Extrême-Nord"/>
    <s v="CMR004"/>
    <x v="2"/>
    <s v="CMR004002"/>
    <x v="26"/>
    <s v="CMR004002006"/>
    <s v="KOU-0026"/>
    <s v="MAWAK"/>
    <m/>
    <x v="0"/>
    <s v="Septembre 2022 – Février 2023"/>
    <n v="3"/>
    <n v="50"/>
    <x v="3"/>
    <m/>
    <s v="Même département, autre arrondissement"/>
    <s v="CMR"/>
    <s v="Cameroun"/>
    <s v="CMR004"/>
    <s v="Extrême-Nord"/>
    <s v="CMR004002"/>
    <s v="Logone-Et-Chari"/>
    <s v="CMR004002004"/>
    <s v="Logone-Birni"/>
  </r>
  <r>
    <s v="Extrême-Nord"/>
    <s v="CMR004"/>
    <x v="2"/>
    <s v="CMR004002"/>
    <x v="26"/>
    <s v="CMR004002006"/>
    <s v="XXXX"/>
    <s v="SITE DE KAWADJI 1"/>
    <s v="SITE DE KAWADJI 1"/>
    <x v="0"/>
    <s v="Septembre 2022 – Février 2023"/>
    <n v="100"/>
    <n v="1150"/>
    <x v="3"/>
    <m/>
    <s v="Même arrondissement"/>
    <s v="CMR"/>
    <s v="Cameroun"/>
    <s v="CMR004"/>
    <s v="Extrême-Nord"/>
    <s v="CMR004002"/>
    <s v="Logone-Et-Chari"/>
    <s v="CMR004002006"/>
    <s v="Kousséri"/>
  </r>
  <r>
    <s v="Extrême-Nord"/>
    <s v="CMR004"/>
    <x v="2"/>
    <s v="CMR004002"/>
    <x v="26"/>
    <s v="CMR004002006"/>
    <s v="KOU-0037"/>
    <s v="KAWADJI 2"/>
    <m/>
    <x v="0"/>
    <s v="Septembre 2022 – Février 2023"/>
    <n v="11"/>
    <n v="80"/>
    <x v="3"/>
    <m/>
    <s v="Même arrondissement"/>
    <s v="CMR"/>
    <s v="Cameroun"/>
    <s v="CMR004"/>
    <s v="Extrême-Nord"/>
    <s v="CMR004002"/>
    <s v="Logone-Et-Chari"/>
    <s v="CMR004002006"/>
    <s v="Kousséri"/>
  </r>
  <r>
    <s v="Extrême-Nord"/>
    <s v="CMR004"/>
    <x v="1"/>
    <s v="CMR004006"/>
    <x v="1"/>
    <s v="CMR004006002"/>
    <s v="MOK-0011"/>
    <s v="MAXI MABASS"/>
    <m/>
    <x v="0"/>
    <s v="En 2020"/>
    <n v="160"/>
    <n v="726"/>
    <x v="0"/>
    <m/>
    <s v="Même arrondissement"/>
    <s v="CMR"/>
    <s v="Cameroun"/>
    <s v="CMR004"/>
    <s v="Extrême-Nord"/>
    <s v="CMR004006"/>
    <s v="Mayo-Tsanaga"/>
    <s v="CMR004006002"/>
    <s v="Mokolo"/>
  </r>
  <r>
    <s v="Extrême-Nord"/>
    <s v="CMR004"/>
    <x v="1"/>
    <s v="CMR004006"/>
    <x v="1"/>
    <s v="CMR004006002"/>
    <s v="MOK-0011"/>
    <s v="MAXI MABASS"/>
    <m/>
    <x v="0"/>
    <s v="Septembre 2022 – Février 2023"/>
    <n v="35"/>
    <n v="80"/>
    <x v="0"/>
    <m/>
    <s v="Même arrondissement"/>
    <s v="CMR"/>
    <s v="Cameroun"/>
    <s v="CMR004"/>
    <s v="Extrême-Nord"/>
    <s v="CMR004006"/>
    <s v="Mayo-Tsanaga"/>
    <s v="CMR004006002"/>
    <s v="Mokolo"/>
  </r>
  <r>
    <s v="Extrême-Nord"/>
    <s v="CMR004"/>
    <x v="1"/>
    <s v="CMR004006"/>
    <x v="7"/>
    <s v="CMR004006005"/>
    <s v="MOZ-0026"/>
    <s v="WOUDAL"/>
    <m/>
    <x v="0"/>
    <s v="Avant 2020"/>
    <n v="21"/>
    <n v="108"/>
    <x v="0"/>
    <m/>
    <s v="Même arrondissement"/>
    <s v="CMR"/>
    <s v="Cameroun"/>
    <s v="CMR004"/>
    <s v="Extrême-Nord"/>
    <s v="CMR004006"/>
    <s v="Mayo-Tsanaga"/>
    <s v="CMR004006005"/>
    <s v="Mayo-Moskota"/>
  </r>
  <r>
    <s v="Extrême-Nord"/>
    <s v="CMR004"/>
    <x v="1"/>
    <s v="CMR004006"/>
    <x v="7"/>
    <s v="CMR004006005"/>
    <s v="MOZ-0026"/>
    <s v="WOUDAL"/>
    <m/>
    <x v="0"/>
    <s v="En 2020"/>
    <n v="15"/>
    <n v="22"/>
    <x v="0"/>
    <m/>
    <s v="Même arrondissement"/>
    <s v="CMR"/>
    <s v="Cameroun"/>
    <s v="CMR004"/>
    <s v="Extrême-Nord"/>
    <s v="CMR004006"/>
    <s v="Mayo-Tsanaga"/>
    <s v="CMR004006005"/>
    <s v="Mayo-Moskota"/>
  </r>
  <r>
    <s v="Extrême-Nord"/>
    <s v="CMR004"/>
    <x v="1"/>
    <s v="CMR004006"/>
    <x v="7"/>
    <s v="CMR004006005"/>
    <s v="MOZ-0026"/>
    <s v="WOUDAL"/>
    <m/>
    <x v="0"/>
    <s v="Janvier - Aout 2022"/>
    <n v="18"/>
    <n v="54"/>
    <x v="0"/>
    <m/>
    <s v="Même arrondissement"/>
    <s v="CMR"/>
    <s v="Cameroun"/>
    <s v="CMR004"/>
    <s v="Extrême-Nord"/>
    <s v="CMR004006"/>
    <s v="Mayo-Tsanaga"/>
    <s v="CMR004006005"/>
    <s v="Mayo-Moskota"/>
  </r>
  <r>
    <s v="Extrême-Nord"/>
    <s v="CMR004"/>
    <x v="1"/>
    <s v="CMR004006"/>
    <x v="7"/>
    <s v="CMR004006005"/>
    <s v="MOZ-0026"/>
    <s v="WOUDAL"/>
    <m/>
    <x v="0"/>
    <s v="Septembre 2022 – Février 2023"/>
    <n v="20"/>
    <n v="210"/>
    <x v="0"/>
    <m/>
    <s v="Même arrondissement"/>
    <s v="CMR"/>
    <s v="Cameroun"/>
    <s v="CMR004"/>
    <s v="Extrême-Nord"/>
    <s v="CMR004006"/>
    <s v="Mayo-Tsanaga"/>
    <s v="CMR004006005"/>
    <s v="Mayo-Moskota"/>
  </r>
  <r>
    <s v="Extrême-Nord"/>
    <s v="CMR004"/>
    <x v="2"/>
    <s v="CMR004002"/>
    <x v="8"/>
    <s v="CMR004002009"/>
    <s v="MAK-0087"/>
    <s v="NGREE 1"/>
    <m/>
    <x v="0"/>
    <s v="Avant 2020"/>
    <n v="35"/>
    <n v="300"/>
    <x v="0"/>
    <m/>
    <s v="Même arrondissement"/>
    <s v="CMR"/>
    <s v="Cameroun"/>
    <s v="CMR004"/>
    <s v="Extrême-Nord"/>
    <s v="CMR004002"/>
    <s v="Logone-Et-Chari"/>
    <s v="CMR004002009"/>
    <s v="Makary"/>
  </r>
  <r>
    <s v="Extrême-Nord"/>
    <s v="CMR004"/>
    <x v="2"/>
    <s v="CMR004002"/>
    <x v="8"/>
    <s v="CMR004002009"/>
    <s v="MAK-0087"/>
    <s v="NGREE 1"/>
    <m/>
    <x v="0"/>
    <s v="Septembre 2022 – Février 2023"/>
    <n v="0"/>
    <n v="8"/>
    <x v="2"/>
    <s v="Naissance"/>
    <s v="Même arrondissement"/>
    <s v="CMR"/>
    <s v="Cameroun"/>
    <s v="CMR004"/>
    <s v="Extrême-Nord"/>
    <s v="CMR004002"/>
    <s v="Logone-Et-Chari"/>
    <s v="CMR004002009"/>
    <s v="Makary"/>
  </r>
  <r>
    <s v="Extrême-Nord"/>
    <s v="CMR004"/>
    <x v="2"/>
    <s v="CMR004002"/>
    <x v="8"/>
    <s v="CMR004002009"/>
    <s v="MAK-0088"/>
    <s v="NGREE 2"/>
    <m/>
    <x v="0"/>
    <s v="Avant 2020"/>
    <n v="46"/>
    <n v="250"/>
    <x v="0"/>
    <m/>
    <s v="Même arrondissement"/>
    <s v="CMR"/>
    <s v="Cameroun"/>
    <s v="CMR004"/>
    <s v="Extrême-Nord"/>
    <s v="CMR004002"/>
    <s v="Logone-Et-Chari"/>
    <s v="CMR004002009"/>
    <s v="Makary"/>
  </r>
  <r>
    <s v="Extrême-Nord"/>
    <s v="CMR004"/>
    <x v="2"/>
    <s v="CMR004002"/>
    <x v="8"/>
    <s v="CMR004002009"/>
    <s v="MAK-0088"/>
    <s v="NGREE 2"/>
    <m/>
    <x v="0"/>
    <s v="Septembre 2022 – Février 2023"/>
    <n v="5"/>
    <n v="30"/>
    <x v="3"/>
    <m/>
    <s v="Même arrondissement"/>
    <s v="CMR"/>
    <s v="Cameroun"/>
    <s v="CMR004"/>
    <s v="Extrême-Nord"/>
    <s v="CMR004002"/>
    <s v="Logone-Et-Chari"/>
    <s v="CMR004002009"/>
    <s v="Makary"/>
  </r>
  <r>
    <s v="Extrême-Nord"/>
    <s v="CMR004"/>
    <x v="1"/>
    <s v="CMR004006"/>
    <x v="7"/>
    <s v="CMR004006005"/>
    <s v="XXXX"/>
    <s v="SITE DE YAMGAZAYA"/>
    <s v="SITE DE YAMGAZAYA"/>
    <x v="0"/>
    <s v="Septembre 2022 – Février 2023"/>
    <n v="30"/>
    <n v="150"/>
    <x v="0"/>
    <m/>
    <s v="Même arrondissement"/>
    <s v="CMR"/>
    <s v="Cameroun"/>
    <s v="CMR004"/>
    <s v="Extrême-Nord"/>
    <s v="CMR004006"/>
    <s v="Mayo-Tsanaga"/>
    <s v="CMR004006005"/>
    <s v="Mayo-Moskota"/>
  </r>
  <r>
    <s v="Extrême-Nord"/>
    <s v="CMR004"/>
    <x v="2"/>
    <s v="CMR004002"/>
    <x v="8"/>
    <s v="CMR004002009"/>
    <s v="MAK-0139"/>
    <s v="GRELIE"/>
    <m/>
    <x v="0"/>
    <s v="Avant 2020"/>
    <n v="13"/>
    <n v="127"/>
    <x v="0"/>
    <m/>
    <s v="Même arrondissement"/>
    <s v="CMR"/>
    <s v="Cameroun"/>
    <s v="CMR004"/>
    <s v="Extrême-Nord"/>
    <s v="CMR004002"/>
    <s v="Logone-Et-Chari"/>
    <s v="CMR004002009"/>
    <s v="Makary"/>
  </r>
  <r>
    <s v="Extrême-Nord"/>
    <s v="CMR004"/>
    <x v="2"/>
    <s v="CMR004002"/>
    <x v="8"/>
    <s v="CMR004002009"/>
    <s v="MAK-0205"/>
    <s v="GOURA LEIFA"/>
    <m/>
    <x v="0"/>
    <s v="Avant 2020"/>
    <n v="2"/>
    <n v="19"/>
    <x v="0"/>
    <m/>
    <s v="Même arrondissement"/>
    <s v="CMR"/>
    <s v="Cameroun"/>
    <s v="CMR004"/>
    <s v="Extrême-Nord"/>
    <s v="CMR004002"/>
    <s v="Logone-Et-Chari"/>
    <s v="CMR004002009"/>
    <s v="Makary"/>
  </r>
  <r>
    <s v="Extrême-Nord"/>
    <s v="CMR004"/>
    <x v="2"/>
    <s v="CMR004002"/>
    <x v="9"/>
    <s v="CMR004002010"/>
    <s v="XXXX"/>
    <s v="SITE DE BARARA"/>
    <s v="SITE DE BARARA"/>
    <x v="0"/>
    <s v="Septembre 2022 – Février 2023"/>
    <n v="100"/>
    <n v="700"/>
    <x v="0"/>
    <m/>
    <s v="Même arrondissement"/>
    <s v="CMR"/>
    <s v="Cameroun"/>
    <s v="CMR004"/>
    <s v="Extrême-Nord"/>
    <s v="CMR004002"/>
    <s v="Logone-Et-Chari"/>
    <s v="CMR004002010"/>
    <s v="Hile-Alifa"/>
  </r>
  <r>
    <s v="Extrême-Nord"/>
    <s v="CMR004"/>
    <x v="2"/>
    <s v="CMR004002"/>
    <x v="9"/>
    <s v="CMR004002010"/>
    <s v="HIL-0017"/>
    <s v="MAFOULSO 1"/>
    <m/>
    <x v="0"/>
    <s v="Septembre 2022 – Février 2023"/>
    <n v="9"/>
    <n v="98"/>
    <x v="0"/>
    <m/>
    <s v="Même arrondissement"/>
    <s v="CMR"/>
    <s v="Cameroun"/>
    <s v="CMR004"/>
    <s v="Extrême-Nord"/>
    <s v="CMR004002"/>
    <s v="Logone-Et-Chari"/>
    <s v="CMR004002010"/>
    <s v="Hile-Alifa"/>
  </r>
  <r>
    <s v="Extrême-Nord"/>
    <s v="CMR004"/>
    <x v="2"/>
    <s v="CMR004002"/>
    <x v="9"/>
    <s v="CMR004002010"/>
    <s v="HIL-0017"/>
    <s v="MAFOULSO 1"/>
    <m/>
    <x v="0"/>
    <s v="Avant 2020"/>
    <n v="10"/>
    <n v="70"/>
    <x v="0"/>
    <m/>
    <s v="Même arrondissement"/>
    <s v="CMR"/>
    <s v="Cameroun"/>
    <s v="CMR004"/>
    <s v="Extrême-Nord"/>
    <s v="CMR004002"/>
    <s v="Logone-Et-Chari"/>
    <s v="CMR004002010"/>
    <s v="Hile-Alifa"/>
  </r>
  <r>
    <s v="Extrême-Nord"/>
    <s v="CMR004"/>
    <x v="2"/>
    <s v="CMR004002"/>
    <x v="9"/>
    <s v="CMR004002010"/>
    <s v="HIL-0017"/>
    <s v="MAFOULSO 1"/>
    <m/>
    <x v="0"/>
    <s v="En 2021"/>
    <n v="61"/>
    <n v="366"/>
    <x v="0"/>
    <m/>
    <s v="Même arrondissement"/>
    <s v="CMR"/>
    <s v="Cameroun"/>
    <s v="CMR004"/>
    <s v="Extrême-Nord"/>
    <s v="CMR004002"/>
    <s v="Logone-Et-Chari"/>
    <s v="CMR004002010"/>
    <s v="Hile-Alifa"/>
  </r>
  <r>
    <s v="Extrême-Nord"/>
    <s v="CMR004"/>
    <x v="2"/>
    <s v="CMR004002"/>
    <x v="9"/>
    <s v="CMR004002010"/>
    <s v="HIL-0001"/>
    <s v="MADINA"/>
    <m/>
    <x v="0"/>
    <s v="Avant 2020"/>
    <n v="9"/>
    <n v="79"/>
    <x v="0"/>
    <m/>
    <s v="Même arrondissement"/>
    <s v="CMR"/>
    <s v="Cameroun"/>
    <s v="CMR004"/>
    <s v="Extrême-Nord"/>
    <s v="CMR004002"/>
    <s v="Logone-Et-Chari"/>
    <s v="CMR004002010"/>
    <s v="Hile-Alifa"/>
  </r>
  <r>
    <s v="Extrême-Nord"/>
    <s v="CMR004"/>
    <x v="2"/>
    <s v="CMR004002"/>
    <x v="9"/>
    <s v="CMR004002010"/>
    <s v="HIL-0001"/>
    <s v="MADINA"/>
    <m/>
    <x v="0"/>
    <s v="En 2021"/>
    <n v="5"/>
    <n v="16"/>
    <x v="0"/>
    <m/>
    <s v="Même arrondissement"/>
    <s v="CMR"/>
    <s v="Cameroun"/>
    <s v="CMR004"/>
    <s v="Extrême-Nord"/>
    <s v="CMR004002"/>
    <s v="Logone-Et-Chari"/>
    <s v="CMR004002010"/>
    <s v="Hile-Alifa"/>
  </r>
  <r>
    <s v="Extrême-Nord"/>
    <s v="CMR004"/>
    <x v="2"/>
    <s v="CMR004002"/>
    <x v="9"/>
    <s v="CMR004002010"/>
    <s v="HIL-0001"/>
    <s v="MADINA"/>
    <m/>
    <x v="0"/>
    <s v="Septembre 2022 – Février 2023"/>
    <n v="115"/>
    <n v="805"/>
    <x v="0"/>
    <m/>
    <s v="Même arrondissement"/>
    <s v="CMR"/>
    <s v="Cameroun"/>
    <s v="CMR004"/>
    <s v="Extrême-Nord"/>
    <s v="CMR004002"/>
    <s v="Logone-Et-Chari"/>
    <s v="CMR004002010"/>
    <s v="Hile-Alifa"/>
  </r>
  <r>
    <s v="Extrême-Nord"/>
    <s v="CMR004"/>
    <x v="2"/>
    <s v="CMR004002"/>
    <x v="12"/>
    <s v="CMR004002002"/>
    <s v="GOU-0001"/>
    <s v="AMDANE"/>
    <m/>
    <x v="0"/>
    <s v="Janvier - Aout 2022"/>
    <n v="50"/>
    <n v="50"/>
    <x v="0"/>
    <m/>
    <s v="Même arrondissement"/>
    <s v="CMR"/>
    <s v="Cameroun"/>
    <s v="CMR004"/>
    <s v="Extrême-Nord"/>
    <s v="CMR004002"/>
    <s v="Logone-Et-Chari"/>
    <s v="CMR004002002"/>
    <s v="Goulfey"/>
  </r>
  <r>
    <s v="Extrême-Nord"/>
    <s v="CMR004"/>
    <x v="2"/>
    <s v="CMR004002"/>
    <x v="12"/>
    <s v="CMR004002002"/>
    <s v="GOU-0010"/>
    <s v="MAHADJIRI"/>
    <m/>
    <x v="0"/>
    <s v="En 2021"/>
    <n v="60"/>
    <n v="60"/>
    <x v="0"/>
    <m/>
    <s v="Même arrondissement"/>
    <s v="CMR"/>
    <s v="Cameroun"/>
    <s v="CMR004"/>
    <s v="Extrême-Nord"/>
    <s v="CMR004002"/>
    <s v="Logone-Et-Chari"/>
    <s v="CMR004002002"/>
    <s v="Goulfey"/>
  </r>
  <r>
    <s v="Extrême-Nord"/>
    <s v="CMR004"/>
    <x v="2"/>
    <s v="CMR004002"/>
    <x v="12"/>
    <s v="CMR004002002"/>
    <s v="GOU-0045"/>
    <s v="HABOBA"/>
    <m/>
    <x v="0"/>
    <s v="Janvier - Aout 2022"/>
    <n v="55"/>
    <n v="55"/>
    <x v="0"/>
    <m/>
    <s v="Même arrondissement"/>
    <s v="CMR"/>
    <s v="Cameroun"/>
    <s v="CMR004"/>
    <s v="Extrême-Nord"/>
    <s v="CMR004002"/>
    <s v="Logone-Et-Chari"/>
    <s v="CMR004002002"/>
    <s v="Goulfey"/>
  </r>
  <r>
    <s v="Extrême-Nord"/>
    <s v="CMR004"/>
    <x v="2"/>
    <s v="CMR004002"/>
    <x v="12"/>
    <s v="CMR004002002"/>
    <s v="GOU-0022"/>
    <s v="TILAM 1"/>
    <m/>
    <x v="0"/>
    <s v="Janvier - Aout 2022"/>
    <n v="40"/>
    <n v="40"/>
    <x v="0"/>
    <m/>
    <s v="Même arrondissement"/>
    <s v="CMR"/>
    <s v="Cameroun"/>
    <s v="CMR004"/>
    <s v="Extrême-Nord"/>
    <s v="CMR004002"/>
    <s v="Logone-Et-Chari"/>
    <s v="CMR004002002"/>
    <s v="Goulfey"/>
  </r>
  <r>
    <s v="Extrême-Nord"/>
    <s v="CMR004"/>
    <x v="2"/>
    <s v="CMR004002"/>
    <x v="12"/>
    <s v="CMR004002002"/>
    <s v="GOU-0047"/>
    <s v="ANKOUMBOULA"/>
    <m/>
    <x v="0"/>
    <s v="Janvier - Aout 2022"/>
    <n v="10"/>
    <n v="10"/>
    <x v="0"/>
    <m/>
    <s v="Même arrondissement"/>
    <s v="CMR"/>
    <s v="Cameroun"/>
    <s v="CMR004"/>
    <s v="Extrême-Nord"/>
    <s v="CMR004002"/>
    <s v="Logone-Et-Chari"/>
    <s v="CMR004002002"/>
    <s v="Goulfey"/>
  </r>
  <r>
    <s v="Extrême-Nord"/>
    <s v="CMR004"/>
    <x v="2"/>
    <s v="CMR004002"/>
    <x v="12"/>
    <s v="CMR004002002"/>
    <s v="GOU-0014"/>
    <s v="MAYA"/>
    <m/>
    <x v="0"/>
    <s v="Janvier - Aout 2022"/>
    <n v="30"/>
    <n v="30"/>
    <x v="0"/>
    <m/>
    <s v="Même arrondissement"/>
    <s v="CMR"/>
    <s v="Cameroun"/>
    <s v="CMR004"/>
    <s v="Extrême-Nord"/>
    <s v="CMR004002"/>
    <s v="Logone-Et-Chari"/>
    <s v="CMR004002002"/>
    <s v="Goulfey"/>
  </r>
  <r>
    <s v="Extrême-Nord"/>
    <s v="CMR004"/>
    <x v="2"/>
    <s v="CMR004002"/>
    <x v="8"/>
    <s v="CMR004002009"/>
    <s v="MAK-0133"/>
    <s v="DJAKDJAKKAYA 2"/>
    <m/>
    <x v="0"/>
    <s v="Avant 2020"/>
    <n v="6"/>
    <n v="63"/>
    <x v="0"/>
    <m/>
    <s v="Même arrondissement"/>
    <s v="CMR"/>
    <s v="Cameroun"/>
    <s v="CMR004"/>
    <s v="Extrême-Nord"/>
    <s v="CMR004002"/>
    <s v="Logone-Et-Chari"/>
    <s v="CMR004002009"/>
    <s v="Makary"/>
  </r>
  <r>
    <s v="Extrême-Nord"/>
    <s v="CMR004"/>
    <x v="2"/>
    <s v="CMR004002"/>
    <x v="8"/>
    <s v="CMR004002009"/>
    <s v="MAK-0133"/>
    <s v="DJAKDJAKKAYA 2"/>
    <m/>
    <x v="0"/>
    <s v="Septembre 2022 – Février 2023"/>
    <n v="4"/>
    <n v="12"/>
    <x v="3"/>
    <m/>
    <s v="Même arrondissement"/>
    <s v="CMR"/>
    <s v="Cameroun"/>
    <s v="CMR004"/>
    <s v="Extrême-Nord"/>
    <s v="CMR004002"/>
    <s v="Logone-Et-Chari"/>
    <s v="CMR004002009"/>
    <s v="Makary"/>
  </r>
  <r>
    <s v="Extrême-Nord"/>
    <s v="CMR004"/>
    <x v="2"/>
    <s v="CMR004002"/>
    <x v="8"/>
    <s v="CMR004002009"/>
    <s v="MAK-0154"/>
    <s v="GLAO AFADE"/>
    <m/>
    <x v="0"/>
    <s v="Avant 2020"/>
    <n v="10"/>
    <n v="62"/>
    <x v="0"/>
    <m/>
    <s v="Même arrondissement"/>
    <s v="CMR"/>
    <s v="Cameroun"/>
    <s v="CMR004"/>
    <s v="Extrême-Nord"/>
    <s v="CMR004002"/>
    <s v="Logone-Et-Chari"/>
    <s v="CMR004002009"/>
    <s v="Makary"/>
  </r>
  <r>
    <s v="Extrême-Nord"/>
    <s v="CMR004"/>
    <x v="2"/>
    <s v="CMR004002"/>
    <x v="8"/>
    <s v="CMR004002009"/>
    <s v="MAK-0155"/>
    <s v="GLAO BARDAI"/>
    <m/>
    <x v="0"/>
    <s v="Avant 2020"/>
    <n v="4"/>
    <n v="79"/>
    <x v="0"/>
    <m/>
    <s v="Même arrondissement"/>
    <s v="CMR"/>
    <s v="Cameroun"/>
    <s v="CMR004"/>
    <s v="Extrême-Nord"/>
    <s v="CMR004002"/>
    <s v="Logone-Et-Chari"/>
    <s v="CMR004002009"/>
    <s v="Makary"/>
  </r>
  <r>
    <s v="Extrême-Nord"/>
    <s v="CMR004"/>
    <x v="2"/>
    <s v="CMR004002"/>
    <x v="8"/>
    <s v="CMR004002009"/>
    <s v="MAK-0130"/>
    <s v="DIAM 1"/>
    <m/>
    <x v="0"/>
    <s v="Avant 2020"/>
    <n v="27"/>
    <n v="153"/>
    <x v="0"/>
    <m/>
    <s v="Même département, autre arrondissement"/>
    <s v="CMR"/>
    <s v="Cameroun"/>
    <s v="CMR004"/>
    <s v="Extrême-Nord"/>
    <s v="CMR004002"/>
    <s v="Logone-Et-Chari"/>
    <s v="CMR004002008"/>
    <s v="Fotokol"/>
  </r>
  <r>
    <s v="Extrême-Nord"/>
    <s v="CMR004"/>
    <x v="2"/>
    <s v="CMR004002"/>
    <x v="8"/>
    <s v="CMR004002009"/>
    <s v="MAK-0130"/>
    <s v="DIAM 1"/>
    <m/>
    <x v="0"/>
    <s v="En 2020"/>
    <n v="0"/>
    <n v="14"/>
    <x v="0"/>
    <m/>
    <s v="Même département, autre arrondissement"/>
    <s v="CMR"/>
    <s v="Cameroun"/>
    <s v="CMR004"/>
    <s v="Extrême-Nord"/>
    <s v="CMR004002"/>
    <s v="Logone-Et-Chari"/>
    <s v="CMR004002008"/>
    <s v="Fotokol"/>
  </r>
  <r>
    <s v="Extrême-Nord"/>
    <s v="CMR004"/>
    <x v="2"/>
    <s v="CMR004002"/>
    <x v="8"/>
    <s v="CMR004002009"/>
    <s v="MAK-0130"/>
    <s v="DIAM 1"/>
    <m/>
    <x v="0"/>
    <s v="Septembre 2022 – Février 2023"/>
    <n v="0"/>
    <n v="6"/>
    <x v="1"/>
    <m/>
    <s v="Même département, autre arrondissement"/>
    <s v="CMR"/>
    <s v="Cameroun"/>
    <s v="CMR004"/>
    <s v="Extrême-Nord"/>
    <s v="CMR004002"/>
    <s v="Logone-Et-Chari"/>
    <s v="CMR004002004"/>
    <s v="Logone-Birni"/>
  </r>
  <r>
    <s v="Extrême-Nord"/>
    <s v="CMR004"/>
    <x v="2"/>
    <s v="CMR004002"/>
    <x v="8"/>
    <s v="CMR004002009"/>
    <s v="MAK-0130"/>
    <s v="DIAM 1"/>
    <m/>
    <x v="0"/>
    <s v="Janvier - Aout 2022"/>
    <n v="0"/>
    <n v="7"/>
    <x v="0"/>
    <m/>
    <s v="Même département, autre arrondissement"/>
    <s v="CMR"/>
    <s v="Cameroun"/>
    <s v="CMR004"/>
    <s v="Extrême-Nord"/>
    <s v="CMR004002"/>
    <s v="Logone-Et-Chari"/>
    <s v="CMR004002008"/>
    <s v="Fotokol"/>
  </r>
  <r>
    <s v="Extrême-Nord"/>
    <s v="CMR004"/>
    <x v="4"/>
    <s v="CMR004005"/>
    <x v="29"/>
    <s v="CMR004005003"/>
    <s v="TOK-0001"/>
    <s v="LALAWAI"/>
    <m/>
    <x v="0"/>
    <s v="Avant 2020"/>
    <n v="10"/>
    <n v="74"/>
    <x v="0"/>
    <m/>
    <s v="Même arrondissement"/>
    <s v="CMR"/>
    <s v="Cameroun"/>
    <s v="CMR004"/>
    <s v="Extrême-Nord"/>
    <s v="CMR004005"/>
    <s v="Mayo-Sava"/>
    <s v="CMR004005003"/>
    <s v="Tokombéré"/>
  </r>
  <r>
    <s v="Extrême-Nord"/>
    <s v="CMR004"/>
    <x v="4"/>
    <s v="CMR004005"/>
    <x v="29"/>
    <s v="CMR004005003"/>
    <s v="TOK-0001"/>
    <s v="LALAWAI"/>
    <m/>
    <x v="0"/>
    <s v="En 2020"/>
    <n v="0"/>
    <n v="21"/>
    <x v="0"/>
    <m/>
    <s v="Même arrondissement"/>
    <s v="CMR"/>
    <s v="Cameroun"/>
    <s v="CMR004"/>
    <s v="Extrême-Nord"/>
    <s v="CMR004005"/>
    <s v="Mayo-Sava"/>
    <s v="CMR004005003"/>
    <s v="Tokombéré"/>
  </r>
  <r>
    <s v="Extrême-Nord"/>
    <s v="CMR004"/>
    <x v="4"/>
    <s v="CMR004005"/>
    <x v="29"/>
    <s v="CMR004005003"/>
    <s v="TOK-0001"/>
    <s v="LALAWAI"/>
    <m/>
    <x v="0"/>
    <s v="En 2021"/>
    <n v="0"/>
    <n v="26"/>
    <x v="0"/>
    <m/>
    <s v="Même arrondissement"/>
    <s v="CMR"/>
    <s v="Cameroun"/>
    <s v="CMR004"/>
    <s v="Extrême-Nord"/>
    <s v="CMR004005"/>
    <s v="Mayo-Sava"/>
    <s v="CMR004005003"/>
    <s v="Tokombéré"/>
  </r>
  <r>
    <s v="Extrême-Nord"/>
    <s v="CMR004"/>
    <x v="4"/>
    <s v="CMR004005"/>
    <x v="29"/>
    <s v="CMR004005003"/>
    <s v="TOK-0001"/>
    <s v="LALAWAI"/>
    <m/>
    <x v="0"/>
    <s v="Janvier - Aout 2022"/>
    <n v="0"/>
    <n v="15"/>
    <x v="0"/>
    <m/>
    <s v="Même arrondissement"/>
    <s v="CMR"/>
    <s v="Cameroun"/>
    <s v="CMR004"/>
    <s v="Extrême-Nord"/>
    <s v="CMR004005"/>
    <s v="Mayo-Sava"/>
    <s v="CMR004005003"/>
    <s v="Tokombéré"/>
  </r>
  <r>
    <s v="Extrême-Nord"/>
    <s v="CMR004"/>
    <x v="4"/>
    <s v="CMR004005"/>
    <x v="29"/>
    <s v="CMR004005003"/>
    <s v="TOK-0001"/>
    <s v="LALAWAI"/>
    <m/>
    <x v="0"/>
    <s v="Septembre 2022 – Février 2023"/>
    <n v="0"/>
    <n v="8"/>
    <x v="0"/>
    <m/>
    <s v="Même arrondissement"/>
    <s v="CMR"/>
    <s v="Cameroun"/>
    <s v="CMR004"/>
    <s v="Extrême-Nord"/>
    <s v="CMR004005"/>
    <s v="Mayo-Sava"/>
    <s v="CMR004005003"/>
    <s v="Tokombéré"/>
  </r>
  <r>
    <s v="Extrême-Nord"/>
    <s v="CMR004"/>
    <x v="2"/>
    <s v="CMR004002"/>
    <x v="8"/>
    <s v="CMR004002009"/>
    <s v="MAK-0190"/>
    <s v="GOURA 3"/>
    <m/>
    <x v="0"/>
    <s v="Avant 2020"/>
    <n v="21"/>
    <n v="119"/>
    <x v="0"/>
    <m/>
    <s v="Même arrondissement"/>
    <s v="CMR"/>
    <s v="Cameroun"/>
    <s v="CMR004"/>
    <s v="Extrême-Nord"/>
    <s v="CMR004002"/>
    <s v="Logone-Et-Chari"/>
    <s v="CMR004002009"/>
    <s v="Makary"/>
  </r>
  <r>
    <s v="Extrême-Nord"/>
    <s v="CMR004"/>
    <x v="2"/>
    <s v="CMR004002"/>
    <x v="8"/>
    <s v="CMR004002009"/>
    <s v="MAK-0204"/>
    <s v="GOURA ABOUNOUMRE"/>
    <m/>
    <x v="0"/>
    <s v="Avant 2020"/>
    <n v="2"/>
    <n v="10"/>
    <x v="0"/>
    <m/>
    <s v="Même arrondissement"/>
    <s v="CMR"/>
    <s v="Cameroun"/>
    <s v="CMR004"/>
    <s v="Extrême-Nord"/>
    <s v="CMR004002"/>
    <s v="Logone-Et-Chari"/>
    <s v="CMR004002009"/>
    <s v="Makary"/>
  </r>
  <r>
    <s v="Extrême-Nord"/>
    <s v="CMR004"/>
    <x v="1"/>
    <s v="CMR004006"/>
    <x v="16"/>
    <s v="CMR004006004"/>
    <s v="KOZ-0023"/>
    <s v="PAMBAO"/>
    <m/>
    <x v="0"/>
    <s v="Avant 2020"/>
    <n v="181"/>
    <n v="1275"/>
    <x v="0"/>
    <m/>
    <s v="Même arrondissement"/>
    <s v="CMR"/>
    <s v="Cameroun"/>
    <s v="CMR004"/>
    <s v="Extrême-Nord"/>
    <s v="CMR004006"/>
    <s v="Mayo-Tsanaga"/>
    <s v="CMR004006004"/>
    <s v="Koza"/>
  </r>
  <r>
    <s v="Extrême-Nord"/>
    <s v="CMR004"/>
    <x v="1"/>
    <s v="CMR004006"/>
    <x v="16"/>
    <s v="CMR004006004"/>
    <s v="KOZ-0023"/>
    <s v="PAMBAO"/>
    <m/>
    <x v="0"/>
    <s v="En 2020"/>
    <n v="7"/>
    <n v="50"/>
    <x v="0"/>
    <m/>
    <s v="Même arrondissement"/>
    <s v="CMR"/>
    <s v="Cameroun"/>
    <s v="CMR004"/>
    <s v="Extrême-Nord"/>
    <s v="CMR004006"/>
    <s v="Mayo-Tsanaga"/>
    <s v="CMR004006004"/>
    <s v="Koza"/>
  </r>
  <r>
    <s v="Extrême-Nord"/>
    <s v="CMR004"/>
    <x v="1"/>
    <s v="CMR004006"/>
    <x v="16"/>
    <s v="CMR004006004"/>
    <s v="KOZ-0023"/>
    <s v="PAMBAO"/>
    <m/>
    <x v="0"/>
    <s v="En 2021"/>
    <n v="7"/>
    <n v="34"/>
    <x v="0"/>
    <m/>
    <s v="Même arrondissement"/>
    <s v="CMR"/>
    <s v="Cameroun"/>
    <s v="CMR004"/>
    <s v="Extrême-Nord"/>
    <s v="CMR004006"/>
    <s v="Mayo-Tsanaga"/>
    <s v="CMR004006004"/>
    <s v="Koza"/>
  </r>
  <r>
    <s v="Extrême-Nord"/>
    <s v="CMR004"/>
    <x v="1"/>
    <s v="CMR004006"/>
    <x v="16"/>
    <s v="CMR004006004"/>
    <s v="KOZ-0023"/>
    <s v="PAMBAO"/>
    <m/>
    <x v="0"/>
    <s v="Janvier - Aout 2022"/>
    <n v="3"/>
    <n v="11"/>
    <x v="0"/>
    <m/>
    <s v="Même arrondissement"/>
    <s v="CMR"/>
    <s v="Cameroun"/>
    <s v="CMR004"/>
    <s v="Extrême-Nord"/>
    <s v="CMR004006"/>
    <s v="Mayo-Tsanaga"/>
    <s v="CMR004006004"/>
    <s v="Koza"/>
  </r>
  <r>
    <s v="Extrême-Nord"/>
    <s v="CMR004"/>
    <x v="1"/>
    <s v="CMR004006"/>
    <x v="16"/>
    <s v="CMR004006004"/>
    <s v="KOZ-0023"/>
    <s v="PAMBAO"/>
    <m/>
    <x v="0"/>
    <s v="Septembre 2022 – Février 2023"/>
    <n v="4"/>
    <n v="15"/>
    <x v="0"/>
    <m/>
    <s v="Même arrondissement"/>
    <s v="CMR"/>
    <s v="Cameroun"/>
    <s v="CMR004"/>
    <s v="Extrême-Nord"/>
    <s v="CMR004006"/>
    <s v="Mayo-Tsanaga"/>
    <s v="CMR004006004"/>
    <s v="Koza"/>
  </r>
  <r>
    <s v="Extrême-Nord"/>
    <s v="CMR004"/>
    <x v="1"/>
    <s v="CMR004006"/>
    <x v="16"/>
    <s v="CMR004006004"/>
    <s v="KOZ-0025"/>
    <s v="WALADE"/>
    <m/>
    <x v="0"/>
    <s v="Avant 2020"/>
    <n v="100"/>
    <n v="640"/>
    <x v="0"/>
    <m/>
    <s v="Même arrondissement"/>
    <s v="CMR"/>
    <s v="Cameroun"/>
    <s v="CMR004"/>
    <s v="Extrême-Nord"/>
    <s v="CMR004006"/>
    <s v="Mayo-Tsanaga"/>
    <s v="CMR004006004"/>
    <s v="Koza"/>
  </r>
  <r>
    <s v="Extrême-Nord"/>
    <s v="CMR004"/>
    <x v="1"/>
    <s v="CMR004006"/>
    <x v="16"/>
    <s v="CMR004006004"/>
    <s v="KOZ-0025"/>
    <s v="WALADE"/>
    <m/>
    <x v="0"/>
    <s v="En 2020"/>
    <n v="7"/>
    <n v="111"/>
    <x v="0"/>
    <m/>
    <s v="Même arrondissement"/>
    <s v="CMR"/>
    <s v="Cameroun"/>
    <s v="CMR004"/>
    <s v="Extrême-Nord"/>
    <s v="CMR004006"/>
    <s v="Mayo-Tsanaga"/>
    <s v="CMR004006004"/>
    <s v="Koza"/>
  </r>
  <r>
    <s v="Extrême-Nord"/>
    <s v="CMR004"/>
    <x v="1"/>
    <s v="CMR004006"/>
    <x v="16"/>
    <s v="CMR004006004"/>
    <s v="KOZ-0025"/>
    <s v="WALADE"/>
    <m/>
    <x v="0"/>
    <s v="En 2021"/>
    <n v="2"/>
    <n v="27"/>
    <x v="0"/>
    <m/>
    <s v="Même arrondissement"/>
    <s v="CMR"/>
    <s v="Cameroun"/>
    <s v="CMR004"/>
    <s v="Extrême-Nord"/>
    <s v="CMR004006"/>
    <s v="Mayo-Tsanaga"/>
    <s v="CMR004006004"/>
    <s v="Koza"/>
  </r>
  <r>
    <s v="Extrême-Nord"/>
    <s v="CMR004"/>
    <x v="1"/>
    <s v="CMR004006"/>
    <x v="16"/>
    <s v="CMR004006004"/>
    <s v="KOZ-0025"/>
    <s v="WALADE"/>
    <m/>
    <x v="0"/>
    <s v="Janvier - Aout 2022"/>
    <n v="3"/>
    <n v="13"/>
    <x v="0"/>
    <m/>
    <s v="Même arrondissement"/>
    <s v="CMR"/>
    <s v="Cameroun"/>
    <s v="CMR004"/>
    <s v="Extrême-Nord"/>
    <s v="CMR004006"/>
    <s v="Mayo-Tsanaga"/>
    <s v="CMR004006004"/>
    <s v="Koza"/>
  </r>
  <r>
    <s v="Extrême-Nord"/>
    <s v="CMR004"/>
    <x v="1"/>
    <s v="CMR004006"/>
    <x v="16"/>
    <s v="CMR004006004"/>
    <s v="KOZ-0025"/>
    <s v="WALADE"/>
    <m/>
    <x v="0"/>
    <s v="Septembre 2022 – Février 2023"/>
    <n v="3"/>
    <n v="11"/>
    <x v="0"/>
    <m/>
    <s v="Même arrondissement"/>
    <s v="CMR"/>
    <s v="Cameroun"/>
    <s v="CMR004"/>
    <s v="Extrême-Nord"/>
    <s v="CMR004006"/>
    <s v="Mayo-Tsanaga"/>
    <s v="CMR004006004"/>
    <s v="Koza"/>
  </r>
  <r>
    <s v="Extrême-Nord"/>
    <s v="CMR004"/>
    <x v="1"/>
    <s v="CMR004006"/>
    <x v="16"/>
    <s v="CMR004006004"/>
    <s v="KOZ-0033"/>
    <s v="GABOUA MARCHE"/>
    <m/>
    <x v="0"/>
    <s v="Avant 2020"/>
    <n v="44"/>
    <n v="204"/>
    <x v="0"/>
    <m/>
    <s v="Même département, autre arrondissement"/>
    <s v="CMR"/>
    <s v="Cameroun"/>
    <s v="CMR004"/>
    <s v="Extrême-Nord"/>
    <s v="CMR004006"/>
    <s v="Mayo-Tsanaga"/>
    <s v="CMR004006005"/>
    <s v="Mayo-Moskota"/>
  </r>
  <r>
    <s v="Extrême-Nord"/>
    <s v="CMR004"/>
    <x v="1"/>
    <s v="CMR004006"/>
    <x v="16"/>
    <s v="CMR004006004"/>
    <s v="KOZ-0033"/>
    <s v="GABOUA MARCHE"/>
    <m/>
    <x v="0"/>
    <s v="En 2021"/>
    <n v="7"/>
    <n v="28"/>
    <x v="0"/>
    <m/>
    <s v="Même département, autre arrondissement"/>
    <s v="CMR"/>
    <s v="Cameroun"/>
    <s v="CMR004"/>
    <s v="Extrême-Nord"/>
    <s v="CMR004006"/>
    <s v="Mayo-Tsanaga"/>
    <s v="CMR004006005"/>
    <s v="Mayo-Moskota"/>
  </r>
  <r>
    <s v="Extrême-Nord"/>
    <s v="CMR004"/>
    <x v="1"/>
    <s v="CMR004006"/>
    <x v="16"/>
    <s v="CMR004006004"/>
    <s v="KOZ-0033"/>
    <s v="GABOUA MARCHE"/>
    <m/>
    <x v="0"/>
    <s v="En 2020"/>
    <n v="35"/>
    <n v="150"/>
    <x v="0"/>
    <m/>
    <s v="Même département, autre arrondissement"/>
    <s v="CMR"/>
    <s v="Cameroun"/>
    <s v="CMR004"/>
    <s v="Extrême-Nord"/>
    <s v="CMR004006"/>
    <s v="Mayo-Tsanaga"/>
    <s v="CMR004006005"/>
    <s v="Mayo-Moskota"/>
  </r>
  <r>
    <s v="Extrême-Nord"/>
    <s v="CMR004"/>
    <x v="1"/>
    <s v="CMR004006"/>
    <x v="16"/>
    <s v="CMR004006004"/>
    <s v="KOZ-0033"/>
    <s v="GABOUA MARCHE"/>
    <m/>
    <x v="0"/>
    <s v="Janvier - Aout 2022"/>
    <n v="2"/>
    <n v="11"/>
    <x v="0"/>
    <m/>
    <s v="Même département, autre arrondissement"/>
    <s v="CMR"/>
    <s v="Cameroun"/>
    <s v="CMR004"/>
    <s v="Extrême-Nord"/>
    <s v="CMR004006"/>
    <s v="Mayo-Tsanaga"/>
    <s v="CMR004006005"/>
    <s v="Mayo-Moskota"/>
  </r>
  <r>
    <s v="Extrême-Nord"/>
    <s v="CMR004"/>
    <x v="1"/>
    <s v="CMR004006"/>
    <x v="16"/>
    <s v="CMR004006004"/>
    <s v="KOZ-0033"/>
    <s v="GABOUA MARCHE"/>
    <m/>
    <x v="0"/>
    <s v="Septembre 2022 – Février 2023"/>
    <n v="7"/>
    <n v="50"/>
    <x v="0"/>
    <m/>
    <s v="Même département, autre arrondissement"/>
    <s v="CMR"/>
    <s v="Cameroun"/>
    <s v="CMR004"/>
    <s v="Extrême-Nord"/>
    <s v="CMR004006"/>
    <s v="Mayo-Tsanaga"/>
    <s v="CMR004006005"/>
    <s v="Mayo-Moskota"/>
  </r>
  <r>
    <s v="Extrême-Nord"/>
    <s v="CMR004"/>
    <x v="1"/>
    <s v="CMR004006"/>
    <x v="16"/>
    <s v="CMR004006004"/>
    <s v="KOZ-0006"/>
    <s v="GABAS"/>
    <m/>
    <x v="0"/>
    <s v="Avant 2020"/>
    <n v="22"/>
    <n v="160"/>
    <x v="0"/>
    <m/>
    <s v="Même arrondissement"/>
    <s v="CMR"/>
    <s v="Cameroun"/>
    <s v="CMR004"/>
    <s v="Extrême-Nord"/>
    <s v="CMR004006"/>
    <s v="Mayo-Tsanaga"/>
    <s v="CMR004006004"/>
    <s v="Koza"/>
  </r>
  <r>
    <s v="Extrême-Nord"/>
    <s v="CMR004"/>
    <x v="1"/>
    <s v="CMR004006"/>
    <x v="16"/>
    <s v="CMR004006004"/>
    <s v="KOZ-0006"/>
    <s v="GABAS"/>
    <m/>
    <x v="0"/>
    <s v="En 2020"/>
    <n v="13"/>
    <n v="100"/>
    <x v="0"/>
    <m/>
    <s v="Même arrondissement"/>
    <s v="CMR"/>
    <s v="Cameroun"/>
    <s v="CMR004"/>
    <s v="Extrême-Nord"/>
    <s v="CMR004006"/>
    <s v="Mayo-Tsanaga"/>
    <s v="CMR004006004"/>
    <s v="Koza"/>
  </r>
  <r>
    <s v="Extrême-Nord"/>
    <s v="CMR004"/>
    <x v="1"/>
    <s v="CMR004006"/>
    <x v="16"/>
    <s v="CMR004006004"/>
    <s v="KOZ-0006"/>
    <s v="GABAS"/>
    <m/>
    <x v="0"/>
    <s v="En 2021"/>
    <n v="13"/>
    <n v="110"/>
    <x v="0"/>
    <m/>
    <s v="Même arrondissement"/>
    <s v="CMR"/>
    <s v="Cameroun"/>
    <s v="CMR004"/>
    <s v="Extrême-Nord"/>
    <s v="CMR004006"/>
    <s v="Mayo-Tsanaga"/>
    <s v="CMR004006004"/>
    <s v="Koza"/>
  </r>
  <r>
    <s v="Extrême-Nord"/>
    <s v="CMR004"/>
    <x v="1"/>
    <s v="CMR004006"/>
    <x v="16"/>
    <s v="CMR004006004"/>
    <s v="KOZ-0006"/>
    <s v="GABAS"/>
    <m/>
    <x v="0"/>
    <s v="Janvier - Aout 2022"/>
    <n v="16"/>
    <n v="113"/>
    <x v="0"/>
    <m/>
    <s v="Même arrondissement"/>
    <s v="CMR"/>
    <s v="Cameroun"/>
    <s v="CMR004"/>
    <s v="Extrême-Nord"/>
    <s v="CMR004006"/>
    <s v="Mayo-Tsanaga"/>
    <s v="CMR004006004"/>
    <s v="Koza"/>
  </r>
  <r>
    <s v="Extrême-Nord"/>
    <s v="CMR004"/>
    <x v="1"/>
    <s v="CMR004006"/>
    <x v="16"/>
    <s v="CMR004006004"/>
    <s v="KOZ-0006"/>
    <s v="GABAS"/>
    <m/>
    <x v="0"/>
    <s v="Septembre 2022 – Février 2023"/>
    <n v="28"/>
    <n v="162"/>
    <x v="0"/>
    <m/>
    <s v="Même arrondissement"/>
    <s v="CMR"/>
    <s v="Cameroun"/>
    <s v="CMR004"/>
    <s v="Extrême-Nord"/>
    <s v="CMR004006"/>
    <s v="Mayo-Tsanaga"/>
    <s v="CMR004006004"/>
    <s v="Koza"/>
  </r>
  <r>
    <s v="Extrême-Nord"/>
    <s v="CMR004"/>
    <x v="1"/>
    <s v="CMR004006"/>
    <x v="16"/>
    <s v="CMR004006004"/>
    <s v="KOZ-0022"/>
    <s v="MORGO"/>
    <m/>
    <x v="0"/>
    <s v="Avant 2020"/>
    <n v="230"/>
    <n v="1484"/>
    <x v="0"/>
    <m/>
    <s v="Même département, autre arrondissement"/>
    <s v="CMR"/>
    <s v="Cameroun"/>
    <s v="CMR004"/>
    <s v="Extrême-Nord"/>
    <s v="CMR004006"/>
    <s v="Mayo-Tsanaga"/>
    <s v="CMR004006005"/>
    <s v="Mayo-Moskota"/>
  </r>
  <r>
    <s v="Extrême-Nord"/>
    <s v="CMR004"/>
    <x v="1"/>
    <s v="CMR004006"/>
    <x v="16"/>
    <s v="CMR004006004"/>
    <s v="KOZ-0022"/>
    <s v="MORGO"/>
    <m/>
    <x v="0"/>
    <s v="En 2020"/>
    <n v="15"/>
    <n v="128"/>
    <x v="0"/>
    <m/>
    <s v="Même département, autre arrondissement"/>
    <s v="CMR"/>
    <s v="Cameroun"/>
    <s v="CMR004"/>
    <s v="Extrême-Nord"/>
    <s v="CMR004006"/>
    <s v="Mayo-Tsanaga"/>
    <s v="CMR004006005"/>
    <s v="Mayo-Moskota"/>
  </r>
  <r>
    <s v="Extrême-Nord"/>
    <s v="CMR004"/>
    <x v="1"/>
    <s v="CMR004006"/>
    <x v="16"/>
    <s v="CMR004006004"/>
    <s v="KOZ-0022"/>
    <s v="MORGO"/>
    <m/>
    <x v="0"/>
    <s v="En 2021"/>
    <n v="13"/>
    <n v="49"/>
    <x v="0"/>
    <m/>
    <s v="Même département, autre arrondissement"/>
    <s v="CMR"/>
    <s v="Cameroun"/>
    <s v="CMR004"/>
    <s v="Extrême-Nord"/>
    <s v="CMR004006"/>
    <s v="Mayo-Tsanaga"/>
    <s v="CMR004006005"/>
    <s v="Mayo-Moskota"/>
  </r>
  <r>
    <s v="Extrême-Nord"/>
    <s v="CMR004"/>
    <x v="1"/>
    <s v="CMR004006"/>
    <x v="16"/>
    <s v="CMR004006004"/>
    <s v="KOZ-0022"/>
    <s v="MORGO"/>
    <m/>
    <x v="0"/>
    <s v="Janvier - Aout 2022"/>
    <n v="27"/>
    <n v="90"/>
    <x v="0"/>
    <m/>
    <s v="Même département, autre arrondissement"/>
    <s v="CMR"/>
    <s v="Cameroun"/>
    <s v="CMR004"/>
    <s v="Extrême-Nord"/>
    <s v="CMR004006"/>
    <s v="Mayo-Tsanaga"/>
    <s v="CMR004006005"/>
    <s v="Mayo-Moskota"/>
  </r>
  <r>
    <s v="Extrême-Nord"/>
    <s v="CMR004"/>
    <x v="1"/>
    <s v="CMR004006"/>
    <x v="16"/>
    <s v="CMR004006004"/>
    <s v="KOZ-0022"/>
    <s v="MORGO"/>
    <m/>
    <x v="0"/>
    <s v="Septembre 2022 – Février 2023"/>
    <n v="4"/>
    <n v="15"/>
    <x v="0"/>
    <m/>
    <s v="Même département, autre arrondissement"/>
    <s v="CMR"/>
    <s v="Cameroun"/>
    <s v="CMR004"/>
    <s v="Extrême-Nord"/>
    <s v="CMR004006"/>
    <s v="Mayo-Tsanaga"/>
    <s v="CMR004006005"/>
    <s v="Mayo-Moskota"/>
  </r>
  <r>
    <s v="Extrême-Nord"/>
    <s v="CMR004"/>
    <x v="1"/>
    <s v="CMR004006"/>
    <x v="16"/>
    <s v="CMR004006004"/>
    <s v="KOZ-0024"/>
    <s v="TENDEO"/>
    <m/>
    <x v="0"/>
    <s v="Avant 2020"/>
    <n v="97"/>
    <n v="440"/>
    <x v="0"/>
    <m/>
    <s v="Même département, autre arrondissement"/>
    <s v="CMR"/>
    <s v="Cameroun"/>
    <s v="CMR004"/>
    <s v="Extrême-Nord"/>
    <s v="CMR004006"/>
    <s v="Mayo-Tsanaga"/>
    <s v="CMR004006005"/>
    <s v="Mayo-Moskota"/>
  </r>
  <r>
    <s v="Extrême-Nord"/>
    <s v="CMR004"/>
    <x v="1"/>
    <s v="CMR004006"/>
    <x v="16"/>
    <s v="CMR004006004"/>
    <s v="KOZ-0024"/>
    <s v="TENDEO"/>
    <m/>
    <x v="0"/>
    <s v="En 2020"/>
    <n v="10"/>
    <n v="50"/>
    <x v="0"/>
    <m/>
    <s v="Même département, autre arrondissement"/>
    <s v="CMR"/>
    <s v="Cameroun"/>
    <s v="CMR004"/>
    <s v="Extrême-Nord"/>
    <s v="CMR004006"/>
    <s v="Mayo-Tsanaga"/>
    <s v="CMR004006005"/>
    <s v="Mayo-Moskota"/>
  </r>
  <r>
    <s v="Extrême-Nord"/>
    <s v="CMR004"/>
    <x v="1"/>
    <s v="CMR004006"/>
    <x v="16"/>
    <s v="CMR004006004"/>
    <s v="KOZ-0024"/>
    <s v="TENDEO"/>
    <m/>
    <x v="0"/>
    <s v="En 2021"/>
    <n v="10"/>
    <n v="43"/>
    <x v="0"/>
    <m/>
    <s v="Même département, autre arrondissement"/>
    <s v="CMR"/>
    <s v="Cameroun"/>
    <s v="CMR004"/>
    <s v="Extrême-Nord"/>
    <s v="CMR004006"/>
    <s v="Mayo-Tsanaga"/>
    <s v="CMR004006005"/>
    <s v="Mayo-Moskota"/>
  </r>
  <r>
    <s v="Extrême-Nord"/>
    <s v="CMR004"/>
    <x v="1"/>
    <s v="CMR004006"/>
    <x v="16"/>
    <s v="CMR004006004"/>
    <s v="KOZ-0024"/>
    <s v="TENDEO"/>
    <m/>
    <x v="0"/>
    <s v="Janvier - Aout 2022"/>
    <n v="15"/>
    <n v="50"/>
    <x v="0"/>
    <m/>
    <s v="Même département, autre arrondissement"/>
    <s v="CMR"/>
    <s v="Cameroun"/>
    <s v="CMR004"/>
    <s v="Extrême-Nord"/>
    <s v="CMR004006"/>
    <s v="Mayo-Tsanaga"/>
    <s v="CMR004006005"/>
    <s v="Mayo-Moskota"/>
  </r>
  <r>
    <s v="Extrême-Nord"/>
    <s v="CMR004"/>
    <x v="1"/>
    <s v="CMR004006"/>
    <x v="16"/>
    <s v="CMR004006004"/>
    <s v="KOZ-0007"/>
    <s v="GABOUA"/>
    <m/>
    <x v="0"/>
    <s v="Avant 2020"/>
    <n v="121"/>
    <n v="888"/>
    <x v="0"/>
    <m/>
    <s v="Même département, autre arrondissement"/>
    <s v="CMR"/>
    <s v="Cameroun"/>
    <s v="CMR004"/>
    <s v="Extrême-Nord"/>
    <s v="CMR004006"/>
    <s v="Mayo-Tsanaga"/>
    <s v="CMR004006005"/>
    <s v="Mayo-Moskota"/>
  </r>
  <r>
    <s v="Extrême-Nord"/>
    <s v="CMR004"/>
    <x v="1"/>
    <s v="CMR004006"/>
    <x v="16"/>
    <s v="CMR004006004"/>
    <s v="KOZ-0007"/>
    <s v="GABOUA"/>
    <m/>
    <x v="0"/>
    <s v="En 2020"/>
    <n v="27"/>
    <n v="50"/>
    <x v="0"/>
    <m/>
    <s v="Même département, autre arrondissement"/>
    <s v="CMR"/>
    <s v="Cameroun"/>
    <s v="CMR004"/>
    <s v="Extrême-Nord"/>
    <s v="CMR004006"/>
    <s v="Mayo-Tsanaga"/>
    <s v="CMR004006005"/>
    <s v="Mayo-Moskota"/>
  </r>
  <r>
    <s v="Extrême-Nord"/>
    <s v="CMR004"/>
    <x v="1"/>
    <s v="CMR004006"/>
    <x v="16"/>
    <s v="CMR004006004"/>
    <s v="KOZ-0007"/>
    <s v="GABOUA"/>
    <m/>
    <x v="0"/>
    <s v="En 2021"/>
    <n v="100"/>
    <n v="540"/>
    <x v="0"/>
    <m/>
    <s v="Même département, autre arrondissement"/>
    <s v="CMR"/>
    <s v="Cameroun"/>
    <s v="CMR004"/>
    <s v="Extrême-Nord"/>
    <s v="CMR004006"/>
    <s v="Mayo-Tsanaga"/>
    <s v="CMR004006005"/>
    <s v="Mayo-Moskota"/>
  </r>
  <r>
    <s v="Extrême-Nord"/>
    <s v="CMR004"/>
    <x v="1"/>
    <s v="CMR004006"/>
    <x v="16"/>
    <s v="CMR004006004"/>
    <s v="KOZ-0007"/>
    <s v="GABOUA"/>
    <m/>
    <x v="0"/>
    <s v="Janvier - Aout 2022"/>
    <n v="21"/>
    <n v="55"/>
    <x v="0"/>
    <m/>
    <s v="Même département, autre arrondissement"/>
    <s v="CMR"/>
    <s v="Cameroun"/>
    <s v="CMR004"/>
    <s v="Extrême-Nord"/>
    <s v="CMR004006"/>
    <s v="Mayo-Tsanaga"/>
    <s v="CMR004006005"/>
    <s v="Mayo-Moskota"/>
  </r>
  <r>
    <s v="Extrême-Nord"/>
    <s v="CMR004"/>
    <x v="1"/>
    <s v="CMR004006"/>
    <x v="16"/>
    <s v="CMR004006004"/>
    <s v="KOZ-0007"/>
    <s v="GABOUA"/>
    <m/>
    <x v="0"/>
    <s v="Septembre 2022 – Février 2023"/>
    <n v="3"/>
    <n v="14"/>
    <x v="0"/>
    <m/>
    <s v="Même département, autre arrondissement"/>
    <s v="CMR"/>
    <s v="Cameroun"/>
    <s v="CMR004"/>
    <s v="Extrême-Nord"/>
    <s v="CMR004006"/>
    <s v="Mayo-Tsanaga"/>
    <s v="CMR004006005"/>
    <s v="Mayo-Moskota"/>
  </r>
  <r>
    <s v="Extrême-Nord"/>
    <s v="CMR004"/>
    <x v="0"/>
    <s v="CMR004001"/>
    <x v="6"/>
    <s v="CMR004001001"/>
    <s v="MA3-0002"/>
    <s v="DOURSOUNGO"/>
    <m/>
    <x v="0"/>
    <s v="Avant 2020"/>
    <n v="109"/>
    <n v="570"/>
    <x v="0"/>
    <m/>
    <s v="Autre département"/>
    <s v="CMR"/>
    <s v="Cameroun"/>
    <s v="CMR004"/>
    <s v="Extrême-Nord"/>
    <s v="CMR004005"/>
    <s v="Mayo-Sava"/>
    <m/>
    <m/>
  </r>
  <r>
    <s v="Extrême-Nord"/>
    <s v="CMR004"/>
    <x v="0"/>
    <s v="CMR004001"/>
    <x v="6"/>
    <s v="CMR004001001"/>
    <s v="MA3-0002"/>
    <s v="DOURSOUNGO"/>
    <m/>
    <x v="0"/>
    <s v="Septembre 2022 – Février 2023"/>
    <n v="2"/>
    <n v="10"/>
    <x v="2"/>
    <s v="Bien qu'étant deplaces,jls ont rejoint les autres membres de la famille qui se trouvait à doursoungo "/>
    <s v="Même département, autre arrondissement"/>
    <s v="CMR"/>
    <s v="Cameroun"/>
    <s v="CMR004"/>
    <s v="Extrême-Nord"/>
    <s v="CMR004001"/>
    <s v="Diamaré"/>
    <s v="CMR004001002"/>
    <s v="Maroua II"/>
  </r>
  <r>
    <s v="Extrême-Nord"/>
    <s v="CMR004"/>
    <x v="0"/>
    <s v="CMR004001"/>
    <x v="30"/>
    <s v="CMR004001007"/>
    <s v="MER-0003"/>
    <s v="DOGBA GARRE"/>
    <m/>
    <x v="0"/>
    <s v="Avant 2020"/>
    <n v="8"/>
    <n v="79"/>
    <x v="0"/>
    <m/>
    <s v="Autre département"/>
    <s v="CMR"/>
    <s v="Cameroun"/>
    <s v="CMR004"/>
    <s v="Extrême-Nord"/>
    <s v="CMR004005"/>
    <s v="Mayo-Sava"/>
    <m/>
    <m/>
  </r>
  <r>
    <s v="Extrême-Nord"/>
    <s v="CMR004"/>
    <x v="0"/>
    <s v="CMR004001"/>
    <x v="30"/>
    <s v="CMR004001007"/>
    <s v="MER-0002"/>
    <s v="DOGBA ALHADJI"/>
    <m/>
    <x v="0"/>
    <s v="Avant 2020"/>
    <n v="3"/>
    <n v="23"/>
    <x v="0"/>
    <m/>
    <s v="Autre département"/>
    <s v="CMR"/>
    <s v="Cameroun"/>
    <s v="CMR004"/>
    <s v="Extrême-Nord"/>
    <s v="CMR004005"/>
    <s v="Mayo-Sava"/>
    <m/>
    <m/>
  </r>
  <r>
    <s v="Extrême-Nord"/>
    <s v="CMR004"/>
    <x v="0"/>
    <s v="CMR004001"/>
    <x v="5"/>
    <s v="CMR004001002"/>
    <s v="MA2-0007"/>
    <s v="MISSINGLEO"/>
    <m/>
    <x v="0"/>
    <s v="Avant 2020"/>
    <n v="21"/>
    <n v="136"/>
    <x v="0"/>
    <m/>
    <s v="Autre département"/>
    <s v="CMR"/>
    <s v="Cameroun"/>
    <s v="CMR004"/>
    <s v="Extrême-Nord"/>
    <s v="CMR004005"/>
    <s v="Mayo-Sava"/>
    <m/>
    <m/>
  </r>
  <r>
    <s v="Extrême-Nord"/>
    <s v="CMR004"/>
    <x v="4"/>
    <s v="CMR004005"/>
    <x v="29"/>
    <s v="CMR004005003"/>
    <s v="TOK-0009"/>
    <s v="TOKOMBERE"/>
    <m/>
    <x v="0"/>
    <s v="Avant 2020"/>
    <n v="38"/>
    <n v="226"/>
    <x v="0"/>
    <m/>
    <s v="Même arrondissement"/>
    <s v="CMR"/>
    <s v="Cameroun"/>
    <s v="CMR004"/>
    <s v="Extrême-Nord"/>
    <s v="CMR004005"/>
    <s v="Mayo-Sava"/>
    <s v="CMR004005003"/>
    <s v="Tokombéré"/>
  </r>
  <r>
    <s v="Extrême-Nord"/>
    <s v="CMR004"/>
    <x v="4"/>
    <s v="CMR004005"/>
    <x v="29"/>
    <s v="CMR004005003"/>
    <s v="TOK-0009"/>
    <s v="TOKOMBERE"/>
    <m/>
    <x v="0"/>
    <s v="En 2020"/>
    <n v="0"/>
    <n v="17"/>
    <x v="0"/>
    <m/>
    <s v="Même arrondissement"/>
    <s v="CMR"/>
    <s v="Cameroun"/>
    <s v="CMR004"/>
    <s v="Extrême-Nord"/>
    <s v="CMR004005"/>
    <s v="Mayo-Sava"/>
    <s v="CMR004005003"/>
    <s v="Tokombéré"/>
  </r>
  <r>
    <s v="Extrême-Nord"/>
    <s v="CMR004"/>
    <x v="4"/>
    <s v="CMR004005"/>
    <x v="29"/>
    <s v="CMR004005003"/>
    <s v="TOK-0009"/>
    <s v="TOKOMBERE"/>
    <m/>
    <x v="0"/>
    <s v="En 2021"/>
    <n v="0"/>
    <n v="49"/>
    <x v="0"/>
    <m/>
    <s v="Même arrondissement"/>
    <s v="CMR"/>
    <s v="Cameroun"/>
    <s v="CMR004"/>
    <s v="Extrême-Nord"/>
    <s v="CMR004005"/>
    <s v="Mayo-Sava"/>
    <s v="CMR004005003"/>
    <s v="Tokombéré"/>
  </r>
  <r>
    <s v="Extrême-Nord"/>
    <s v="CMR004"/>
    <x v="4"/>
    <s v="CMR004005"/>
    <x v="29"/>
    <s v="CMR004005003"/>
    <s v="TOK-0009"/>
    <s v="TOKOMBERE"/>
    <m/>
    <x v="0"/>
    <s v="Janvier - Aout 2022"/>
    <n v="0"/>
    <n v="16"/>
    <x v="0"/>
    <m/>
    <s v="Même arrondissement"/>
    <s v="CMR"/>
    <s v="Cameroun"/>
    <s v="CMR004"/>
    <s v="Extrême-Nord"/>
    <s v="CMR004005"/>
    <s v="Mayo-Sava"/>
    <s v="CMR004005003"/>
    <s v="Tokombéré"/>
  </r>
  <r>
    <s v="Extrême-Nord"/>
    <s v="CMR004"/>
    <x v="4"/>
    <s v="CMR004005"/>
    <x v="29"/>
    <s v="CMR004005003"/>
    <s v="TOK-0009"/>
    <s v="TOKOMBERE"/>
    <m/>
    <x v="0"/>
    <s v="Septembre 2022 – Février 2023"/>
    <n v="0"/>
    <n v="11"/>
    <x v="0"/>
    <m/>
    <s v="Même arrondissement"/>
    <s v="CMR"/>
    <s v="Cameroun"/>
    <s v="CMR004"/>
    <s v="Extrême-Nord"/>
    <s v="CMR004005"/>
    <s v="Mayo-Sava"/>
    <s v="CMR004005003"/>
    <s v="Tokombéré"/>
  </r>
  <r>
    <s v="Extrême-Nord"/>
    <s v="CMR004"/>
    <x v="4"/>
    <s v="CMR004005"/>
    <x v="29"/>
    <s v="CMR004005003"/>
    <s v="TOK-0007"/>
    <s v="SERAWA"/>
    <m/>
    <x v="0"/>
    <s v="Avant 2020"/>
    <n v="36"/>
    <n v="72"/>
    <x v="0"/>
    <m/>
    <s v="Même arrondissement"/>
    <s v="CMR"/>
    <s v="Cameroun"/>
    <s v="CMR004"/>
    <s v="Extrême-Nord"/>
    <s v="CMR004005"/>
    <s v="Mayo-Sava"/>
    <s v="CMR004005003"/>
    <s v="Tokombéré"/>
  </r>
  <r>
    <s v="Extrême-Nord"/>
    <s v="CMR004"/>
    <x v="4"/>
    <s v="CMR004005"/>
    <x v="29"/>
    <s v="CMR004005003"/>
    <s v="TOK-0007"/>
    <s v="SERAWA"/>
    <m/>
    <x v="0"/>
    <s v="En 2020"/>
    <n v="0"/>
    <n v="4"/>
    <x v="0"/>
    <m/>
    <s v="Même arrondissement"/>
    <s v="CMR"/>
    <s v="Cameroun"/>
    <s v="CMR004"/>
    <s v="Extrême-Nord"/>
    <s v="CMR004005"/>
    <s v="Mayo-Sava"/>
    <s v="CMR004005003"/>
    <s v="Tokombéré"/>
  </r>
  <r>
    <s v="Extrême-Nord"/>
    <s v="CMR004"/>
    <x v="4"/>
    <s v="CMR004005"/>
    <x v="29"/>
    <s v="CMR004005003"/>
    <s v="TOK-0007"/>
    <s v="SERAWA"/>
    <m/>
    <x v="0"/>
    <s v="En 2021"/>
    <n v="0"/>
    <n v="75"/>
    <x v="0"/>
    <m/>
    <s v="Même arrondissement"/>
    <s v="CMR"/>
    <s v="Cameroun"/>
    <s v="CMR004"/>
    <s v="Extrême-Nord"/>
    <s v="CMR004005"/>
    <s v="Mayo-Sava"/>
    <s v="CMR004005003"/>
    <s v="Tokombéré"/>
  </r>
  <r>
    <s v="Extrême-Nord"/>
    <s v="CMR004"/>
    <x v="4"/>
    <s v="CMR004005"/>
    <x v="29"/>
    <s v="CMR004005003"/>
    <s v="TOK-0007"/>
    <s v="SERAWA"/>
    <m/>
    <x v="0"/>
    <s v="Janvier - Aout 2022"/>
    <n v="0"/>
    <n v="20"/>
    <x v="0"/>
    <m/>
    <s v="Même arrondissement"/>
    <s v="CMR"/>
    <s v="Cameroun"/>
    <s v="CMR004"/>
    <s v="Extrême-Nord"/>
    <s v="CMR004005"/>
    <s v="Mayo-Sava"/>
    <s v="CMR004005003"/>
    <s v="Tokombéré"/>
  </r>
  <r>
    <s v="Extrême-Nord"/>
    <s v="CMR004"/>
    <x v="4"/>
    <s v="CMR004005"/>
    <x v="29"/>
    <s v="CMR004005003"/>
    <s v="TOK-0007"/>
    <s v="SERAWA"/>
    <m/>
    <x v="0"/>
    <s v="Septembre 2022 – Février 2023"/>
    <n v="0"/>
    <n v="11"/>
    <x v="0"/>
    <m/>
    <s v="Même arrondissement"/>
    <s v="CMR"/>
    <s v="Cameroun"/>
    <s v="CMR004"/>
    <s v="Extrême-Nord"/>
    <s v="CMR004005"/>
    <s v="Mayo-Sava"/>
    <s v="CMR004005003"/>
    <s v="Tokombéré"/>
  </r>
  <r>
    <s v="Extrême-Nord"/>
    <s v="CMR004"/>
    <x v="4"/>
    <s v="CMR004005"/>
    <x v="17"/>
    <s v="CMR004005002"/>
    <s v="MOR-0013"/>
    <s v="MBARMA"/>
    <m/>
    <x v="0"/>
    <s v="Avant 2020"/>
    <n v="80"/>
    <n v="342"/>
    <x v="0"/>
    <m/>
    <s v="Même arrondissement"/>
    <s v="CMR"/>
    <s v="Cameroun"/>
    <s v="CMR004"/>
    <s v="Extrême-Nord"/>
    <s v="CMR004005"/>
    <s v="Mayo-Sava"/>
    <s v="CMR004005002"/>
    <s v="Mora"/>
  </r>
  <r>
    <s v="Extrême-Nord"/>
    <s v="CMR004"/>
    <x v="4"/>
    <s v="CMR004005"/>
    <x v="17"/>
    <s v="CMR004005002"/>
    <s v="MOR-0013"/>
    <s v="MBARMA"/>
    <m/>
    <x v="0"/>
    <s v="En 2020"/>
    <n v="0"/>
    <n v="6"/>
    <x v="0"/>
    <m/>
    <s v="Même arrondissement"/>
    <s v="CMR"/>
    <s v="Cameroun"/>
    <s v="CMR004"/>
    <s v="Extrême-Nord"/>
    <s v="CMR004005"/>
    <s v="Mayo-Sava"/>
    <s v="CMR004005002"/>
    <s v="Mora"/>
  </r>
  <r>
    <s v="Extrême-Nord"/>
    <s v="CMR004"/>
    <x v="4"/>
    <s v="CMR004005"/>
    <x v="17"/>
    <s v="CMR004005002"/>
    <s v="MOR-0013"/>
    <s v="MBARMA"/>
    <m/>
    <x v="0"/>
    <s v="En 2021"/>
    <n v="6"/>
    <n v="24"/>
    <x v="0"/>
    <m/>
    <s v="Même arrondissement"/>
    <s v="CMR"/>
    <s v="Cameroun"/>
    <s v="CMR004"/>
    <s v="Extrême-Nord"/>
    <s v="CMR004005"/>
    <s v="Mayo-Sava"/>
    <s v="CMR004005002"/>
    <s v="Mora"/>
  </r>
  <r>
    <s v="Extrême-Nord"/>
    <s v="CMR004"/>
    <x v="4"/>
    <s v="CMR004005"/>
    <x v="17"/>
    <s v="CMR004005002"/>
    <s v="MOR-0013"/>
    <s v="MBARMA"/>
    <m/>
    <x v="0"/>
    <s v="Janvier - Aout 2022"/>
    <n v="0"/>
    <n v="30"/>
    <x v="0"/>
    <m/>
    <s v="Même arrondissement"/>
    <s v="CMR"/>
    <s v="Cameroun"/>
    <s v="CMR004"/>
    <s v="Extrême-Nord"/>
    <s v="CMR004005"/>
    <s v="Mayo-Sava"/>
    <s v="CMR004005002"/>
    <s v="Mora"/>
  </r>
  <r>
    <s v="Extrême-Nord"/>
    <s v="CMR004"/>
    <x v="4"/>
    <s v="CMR004005"/>
    <x v="17"/>
    <s v="CMR004005002"/>
    <s v="MOR-0013"/>
    <s v="MBARMA"/>
    <m/>
    <x v="0"/>
    <s v="Septembre 2022 – Février 2023"/>
    <n v="0"/>
    <n v="1"/>
    <x v="0"/>
    <m/>
    <s v="Même arrondissement"/>
    <s v="CMR"/>
    <s v="Cameroun"/>
    <s v="CMR004"/>
    <s v="Extrême-Nord"/>
    <s v="CMR004005"/>
    <s v="Mayo-Sava"/>
    <s v="CMR004005002"/>
    <s v="Mora"/>
  </r>
  <r>
    <s v="Extrême-Nord"/>
    <s v="CMR004"/>
    <x v="4"/>
    <s v="CMR004005"/>
    <x v="29"/>
    <s v="CMR004005003"/>
    <s v="TOK-0018"/>
    <s v="SITE DE GODJI-GODJI"/>
    <m/>
    <x v="0"/>
    <s v="En 2020"/>
    <n v="129"/>
    <n v="1009"/>
    <x v="0"/>
    <m/>
    <s v="Même arrondissement"/>
    <s v="CMR"/>
    <s v="Cameroun"/>
    <s v="CMR004"/>
    <s v="Extrême-Nord"/>
    <s v="CMR004005"/>
    <s v="Mayo-Sava"/>
    <s v="CMR004005003"/>
    <s v="Tokombéré"/>
  </r>
  <r>
    <s v="Extrême-Nord"/>
    <s v="CMR004"/>
    <x v="4"/>
    <s v="CMR004005"/>
    <x v="29"/>
    <s v="CMR004005003"/>
    <s v="TOK-0018"/>
    <s v="SITE DE GODJI-GODJI"/>
    <m/>
    <x v="0"/>
    <s v="En 2021"/>
    <n v="3"/>
    <n v="41"/>
    <x v="0"/>
    <m/>
    <s v="Même arrondissement"/>
    <s v="CMR"/>
    <s v="Cameroun"/>
    <s v="CMR004"/>
    <s v="Extrême-Nord"/>
    <s v="CMR004005"/>
    <s v="Mayo-Sava"/>
    <s v="CMR004005003"/>
    <s v="Tokombéré"/>
  </r>
  <r>
    <s v="Extrême-Nord"/>
    <s v="CMR004"/>
    <x v="4"/>
    <s v="CMR004005"/>
    <x v="29"/>
    <s v="CMR004005003"/>
    <s v="TOK-0018"/>
    <s v="SITE DE GODJI-GODJI"/>
    <m/>
    <x v="0"/>
    <s v="Janvier - Aout 2022"/>
    <n v="13"/>
    <n v="140"/>
    <x v="0"/>
    <m/>
    <s v="Même arrondissement"/>
    <s v="CMR"/>
    <s v="Cameroun"/>
    <s v="CMR004"/>
    <s v="Extrême-Nord"/>
    <s v="CMR004005"/>
    <s v="Mayo-Sava"/>
    <s v="CMR004005003"/>
    <s v="Tokombéré"/>
  </r>
  <r>
    <s v="Extrême-Nord"/>
    <s v="CMR004"/>
    <x v="4"/>
    <s v="CMR004005"/>
    <x v="29"/>
    <s v="CMR004005003"/>
    <s v="TOK-0018"/>
    <s v="SITE DE GODJI-GODJI"/>
    <m/>
    <x v="0"/>
    <s v="Septembre 2022 – Février 2023"/>
    <n v="12"/>
    <n v="86"/>
    <x v="0"/>
    <m/>
    <s v="Même arrondissement"/>
    <s v="CMR"/>
    <s v="Cameroun"/>
    <s v="CMR004"/>
    <s v="Extrême-Nord"/>
    <s v="CMR004005"/>
    <s v="Mayo-Sava"/>
    <s v="CMR004005003"/>
    <s v="Tokombéré"/>
  </r>
  <r>
    <s v="Extrême-Nord"/>
    <s v="CMR004"/>
    <x v="4"/>
    <s v="CMR004005"/>
    <x v="29"/>
    <s v="CMR004005003"/>
    <s v="TOK-0017"/>
    <s v="KOTARBA"/>
    <m/>
    <x v="0"/>
    <s v="En 2020"/>
    <n v="27"/>
    <n v="189"/>
    <x v="0"/>
    <m/>
    <s v="Même arrondissement"/>
    <s v="CMR"/>
    <s v="Cameroun"/>
    <s v="CMR004"/>
    <s v="Extrême-Nord"/>
    <s v="CMR004005"/>
    <s v="Mayo-Sava"/>
    <s v="CMR004005003"/>
    <s v="Tokombéré"/>
  </r>
  <r>
    <s v="Extrême-Nord"/>
    <s v="CMR004"/>
    <x v="4"/>
    <s v="CMR004005"/>
    <x v="29"/>
    <s v="CMR004005003"/>
    <s v="TOK-0017"/>
    <s v="KOTARBA"/>
    <m/>
    <x v="0"/>
    <s v="En 2021"/>
    <n v="0"/>
    <n v="29"/>
    <x v="0"/>
    <m/>
    <s v="Même arrondissement"/>
    <s v="CMR"/>
    <s v="Cameroun"/>
    <s v="CMR004"/>
    <s v="Extrême-Nord"/>
    <s v="CMR004005"/>
    <s v="Mayo-Sava"/>
    <s v="CMR004005003"/>
    <s v="Tokombéré"/>
  </r>
  <r>
    <s v="Extrême-Nord"/>
    <s v="CMR004"/>
    <x v="4"/>
    <s v="CMR004005"/>
    <x v="29"/>
    <s v="CMR004005003"/>
    <s v="TOK-0017"/>
    <s v="KOTARBA"/>
    <m/>
    <x v="0"/>
    <s v="Janvier - Aout 2022"/>
    <n v="0"/>
    <n v="24"/>
    <x v="0"/>
    <m/>
    <s v="Même arrondissement"/>
    <s v="CMR"/>
    <s v="Cameroun"/>
    <s v="CMR004"/>
    <s v="Extrême-Nord"/>
    <s v="CMR004005"/>
    <s v="Mayo-Sava"/>
    <s v="CMR004005003"/>
    <s v="Tokombéré"/>
  </r>
  <r>
    <s v="Extrême-Nord"/>
    <s v="CMR004"/>
    <x v="4"/>
    <s v="CMR004005"/>
    <x v="29"/>
    <s v="CMR004005003"/>
    <s v="TOK-0017"/>
    <s v="KOTARBA"/>
    <m/>
    <x v="0"/>
    <s v="Septembre 2022 – Février 2023"/>
    <n v="0"/>
    <n v="8"/>
    <x v="0"/>
    <m/>
    <s v="Même arrondissement"/>
    <s v="CMR"/>
    <s v="Cameroun"/>
    <s v="CMR004"/>
    <s v="Extrême-Nord"/>
    <s v="CMR004005"/>
    <s v="Mayo-Sava"/>
    <s v="CMR004005003"/>
    <s v="Tokombéré"/>
  </r>
  <r>
    <s v="Extrême-Nord"/>
    <s v="CMR004"/>
    <x v="4"/>
    <s v="CMR004005"/>
    <x v="29"/>
    <s v="CMR004005003"/>
    <s v="TOK-0008"/>
    <s v="TAZANG"/>
    <m/>
    <x v="0"/>
    <s v="Avant 2020"/>
    <n v="6"/>
    <n v="54"/>
    <x v="0"/>
    <m/>
    <s v="Même arrondissement"/>
    <s v="CMR"/>
    <s v="Cameroun"/>
    <s v="CMR004"/>
    <s v="Extrême-Nord"/>
    <s v="CMR004005"/>
    <s v="Mayo-Sava"/>
    <s v="CMR004005003"/>
    <s v="Tokombéré"/>
  </r>
  <r>
    <s v="Extrême-Nord"/>
    <s v="CMR004"/>
    <x v="4"/>
    <s v="CMR004005"/>
    <x v="29"/>
    <s v="CMR004005003"/>
    <s v="TOK-0008"/>
    <s v="TAZANG"/>
    <m/>
    <x v="0"/>
    <s v="En 2020"/>
    <n v="4"/>
    <n v="20"/>
    <x v="0"/>
    <m/>
    <s v="Même arrondissement"/>
    <s v="CMR"/>
    <s v="Cameroun"/>
    <s v="CMR004"/>
    <s v="Extrême-Nord"/>
    <s v="CMR004005"/>
    <s v="Mayo-Sava"/>
    <s v="CMR004005003"/>
    <s v="Tokombéré"/>
  </r>
  <r>
    <s v="Extrême-Nord"/>
    <s v="CMR004"/>
    <x v="4"/>
    <s v="CMR004005"/>
    <x v="29"/>
    <s v="CMR004005003"/>
    <s v="TOK-0008"/>
    <s v="TAZANG"/>
    <m/>
    <x v="0"/>
    <s v="En 2021"/>
    <n v="0"/>
    <n v="30"/>
    <x v="0"/>
    <m/>
    <s v="Même arrondissement"/>
    <s v="CMR"/>
    <s v="Cameroun"/>
    <s v="CMR004"/>
    <s v="Extrême-Nord"/>
    <s v="CMR004005"/>
    <s v="Mayo-Sava"/>
    <s v="CMR004005003"/>
    <s v="Tokombéré"/>
  </r>
  <r>
    <s v="Extrême-Nord"/>
    <s v="CMR004"/>
    <x v="4"/>
    <s v="CMR004005"/>
    <x v="29"/>
    <s v="CMR004005003"/>
    <s v="TOK-0008"/>
    <s v="TAZANG"/>
    <m/>
    <x v="0"/>
    <s v="Janvier - Aout 2022"/>
    <n v="0"/>
    <n v="14"/>
    <x v="0"/>
    <m/>
    <s v="Même arrondissement"/>
    <s v="CMR"/>
    <s v="Cameroun"/>
    <s v="CMR004"/>
    <s v="Extrême-Nord"/>
    <s v="CMR004005"/>
    <s v="Mayo-Sava"/>
    <s v="CMR004005003"/>
    <s v="Tokombéré"/>
  </r>
  <r>
    <s v="Extrême-Nord"/>
    <s v="CMR004"/>
    <x v="4"/>
    <s v="CMR004005"/>
    <x v="29"/>
    <s v="CMR004005003"/>
    <s v="TOK-0008"/>
    <s v="TAZANG"/>
    <m/>
    <x v="0"/>
    <s v="Septembre 2022 – Février 2023"/>
    <n v="0"/>
    <n v="6"/>
    <x v="0"/>
    <m/>
    <s v="Même arrondissement"/>
    <s v="CMR"/>
    <s v="Cameroun"/>
    <s v="CMR004"/>
    <s v="Extrême-Nord"/>
    <s v="CMR004005"/>
    <s v="Mayo-Sava"/>
    <s v="CMR004005003"/>
    <s v="Tokombéré"/>
  </r>
  <r>
    <s v="Extrême-Nord"/>
    <s v="CMR004"/>
    <x v="4"/>
    <s v="CMR004005"/>
    <x v="29"/>
    <s v="CMR004005003"/>
    <s v="TOK-0004"/>
    <s v="MAKELINGAI"/>
    <m/>
    <x v="0"/>
    <s v="Avant 2020"/>
    <n v="10"/>
    <n v="96"/>
    <x v="0"/>
    <m/>
    <s v="Même arrondissement"/>
    <s v="CMR"/>
    <s v="Cameroun"/>
    <s v="CMR004"/>
    <s v="Extrême-Nord"/>
    <s v="CMR004005"/>
    <s v="Mayo-Sava"/>
    <s v="CMR004005003"/>
    <s v="Tokombéré"/>
  </r>
  <r>
    <s v="Extrême-Nord"/>
    <s v="CMR004"/>
    <x v="4"/>
    <s v="CMR004005"/>
    <x v="29"/>
    <s v="CMR004005003"/>
    <s v="TOK-0004"/>
    <s v="MAKELINGAI"/>
    <m/>
    <x v="0"/>
    <s v="En 2020"/>
    <n v="0"/>
    <n v="25"/>
    <x v="0"/>
    <m/>
    <s v="Même arrondissement"/>
    <s v="CMR"/>
    <s v="Cameroun"/>
    <s v="CMR004"/>
    <s v="Extrême-Nord"/>
    <s v="CMR004005"/>
    <s v="Mayo-Sava"/>
    <s v="CMR004005003"/>
    <s v="Tokombéré"/>
  </r>
  <r>
    <s v="Extrême-Nord"/>
    <s v="CMR004"/>
    <x v="4"/>
    <s v="CMR004005"/>
    <x v="29"/>
    <s v="CMR004005003"/>
    <s v="TOK-0004"/>
    <s v="MAKELINGAI"/>
    <m/>
    <x v="0"/>
    <s v="En 2021"/>
    <n v="0"/>
    <n v="28"/>
    <x v="0"/>
    <m/>
    <s v="Même arrondissement"/>
    <s v="CMR"/>
    <s v="Cameroun"/>
    <s v="CMR004"/>
    <s v="Extrême-Nord"/>
    <s v="CMR004005"/>
    <s v="Mayo-Sava"/>
    <s v="CMR004005003"/>
    <s v="Tokombéré"/>
  </r>
  <r>
    <s v="Extrême-Nord"/>
    <s v="CMR004"/>
    <x v="4"/>
    <s v="CMR004005"/>
    <x v="29"/>
    <s v="CMR004005003"/>
    <s v="TOK-0004"/>
    <s v="MAKELINGAI"/>
    <m/>
    <x v="0"/>
    <s v="Janvier - Aout 2022"/>
    <n v="0"/>
    <n v="41"/>
    <x v="0"/>
    <m/>
    <s v="Même arrondissement"/>
    <s v="CMR"/>
    <s v="Cameroun"/>
    <s v="CMR004"/>
    <s v="Extrême-Nord"/>
    <s v="CMR004005"/>
    <s v="Mayo-Sava"/>
    <s v="CMR004005003"/>
    <s v="Tokombéré"/>
  </r>
  <r>
    <s v="Extrême-Nord"/>
    <s v="CMR004"/>
    <x v="4"/>
    <s v="CMR004005"/>
    <x v="29"/>
    <s v="CMR004005003"/>
    <s v="TOK-0004"/>
    <s v="MAKELINGAI"/>
    <m/>
    <x v="0"/>
    <s v="Septembre 2022 – Février 2023"/>
    <n v="0"/>
    <n v="13"/>
    <x v="0"/>
    <m/>
    <s v="Même arrondissement"/>
    <s v="CMR"/>
    <s v="Cameroun"/>
    <s v="CMR004"/>
    <s v="Extrême-Nord"/>
    <s v="CMR004005"/>
    <s v="Mayo-Sava"/>
    <s v="CMR004005003"/>
    <s v="Tokombéré"/>
  </r>
  <r>
    <s v="Extrême-Nord"/>
    <s v="CMR004"/>
    <x v="2"/>
    <s v="CMR004002"/>
    <x v="15"/>
    <s v="CMR004002004"/>
    <s v="LBI-0074"/>
    <s v="SOUHARA"/>
    <m/>
    <x v="0"/>
    <s v="Janvier - Aout 2022"/>
    <n v="10"/>
    <n v="50"/>
    <x v="1"/>
    <m/>
    <s v="Même arrondissement"/>
    <s v="CMR"/>
    <s v="Cameroun"/>
    <s v="CMR004"/>
    <s v="Extrême-Nord"/>
    <s v="CMR004002"/>
    <s v="Logone-Et-Chari"/>
    <s v="CMR004002004"/>
    <s v="Logone-Birni"/>
  </r>
  <r>
    <s v="Extrême-Nord"/>
    <s v="CMR004"/>
    <x v="4"/>
    <s v="CMR004005"/>
    <x v="29"/>
    <s v="CMR004005003"/>
    <s v="TOK-0010"/>
    <s v="TINDERME"/>
    <m/>
    <x v="0"/>
    <s v="Avant 2020"/>
    <n v="24"/>
    <n v="183"/>
    <x v="0"/>
    <m/>
    <s v="Même arrondissement"/>
    <s v="CMR"/>
    <s v="Cameroun"/>
    <s v="CMR004"/>
    <s v="Extrême-Nord"/>
    <s v="CMR004005"/>
    <s v="Mayo-Sava"/>
    <s v="CMR004005003"/>
    <s v="Tokombéré"/>
  </r>
  <r>
    <s v="Extrême-Nord"/>
    <s v="CMR004"/>
    <x v="4"/>
    <s v="CMR004005"/>
    <x v="29"/>
    <s v="CMR004005003"/>
    <s v="TOK-0010"/>
    <s v="TINDERME"/>
    <m/>
    <x v="0"/>
    <s v="En 2020"/>
    <n v="4"/>
    <n v="36"/>
    <x v="0"/>
    <m/>
    <s v="Même arrondissement"/>
    <s v="CMR"/>
    <s v="Cameroun"/>
    <s v="CMR004"/>
    <s v="Extrême-Nord"/>
    <s v="CMR004005"/>
    <s v="Mayo-Sava"/>
    <s v="CMR004005003"/>
    <s v="Tokombéré"/>
  </r>
  <r>
    <s v="Extrême-Nord"/>
    <s v="CMR004"/>
    <x v="4"/>
    <s v="CMR004005"/>
    <x v="29"/>
    <s v="CMR004005003"/>
    <s v="TOK-0010"/>
    <s v="TINDERME"/>
    <m/>
    <x v="0"/>
    <s v="En 2021"/>
    <n v="0"/>
    <n v="30"/>
    <x v="0"/>
    <m/>
    <s v="Même arrondissement"/>
    <s v="CMR"/>
    <s v="Cameroun"/>
    <s v="CMR004"/>
    <s v="Extrême-Nord"/>
    <s v="CMR004005"/>
    <s v="Mayo-Sava"/>
    <s v="CMR004005003"/>
    <s v="Tokombéré"/>
  </r>
  <r>
    <s v="Extrême-Nord"/>
    <s v="CMR004"/>
    <x v="4"/>
    <s v="CMR004005"/>
    <x v="29"/>
    <s v="CMR004005003"/>
    <s v="TOK-0010"/>
    <s v="TINDERME"/>
    <m/>
    <x v="0"/>
    <s v="Janvier - Aout 2022"/>
    <n v="2"/>
    <n v="41"/>
    <x v="0"/>
    <m/>
    <s v="Même arrondissement"/>
    <s v="CMR"/>
    <s v="Cameroun"/>
    <s v="CMR004"/>
    <s v="Extrême-Nord"/>
    <s v="CMR004005"/>
    <s v="Mayo-Sava"/>
    <s v="CMR004005003"/>
    <s v="Tokombéré"/>
  </r>
  <r>
    <s v="Extrême-Nord"/>
    <s v="CMR004"/>
    <x v="4"/>
    <s v="CMR004005"/>
    <x v="29"/>
    <s v="CMR004005003"/>
    <s v="TOK-0010"/>
    <s v="TINDERME"/>
    <m/>
    <x v="0"/>
    <s v="Septembre 2022 – Février 2023"/>
    <n v="0"/>
    <n v="9"/>
    <x v="0"/>
    <m/>
    <s v="Même arrondissement"/>
    <s v="CMR"/>
    <s v="Cameroun"/>
    <s v="CMR004"/>
    <s v="Extrême-Nord"/>
    <s v="CMR004005"/>
    <s v="Mayo-Sava"/>
    <s v="CMR004005003"/>
    <s v="Tokombéré"/>
  </r>
  <r>
    <s v="Extrême-Nord"/>
    <s v="CMR004"/>
    <x v="2"/>
    <s v="CMR004002"/>
    <x v="8"/>
    <s v="CMR004002009"/>
    <s v="MAK-0184"/>
    <s v="ABANKOURI"/>
    <m/>
    <x v="0"/>
    <s v="Avant 2020"/>
    <n v="315"/>
    <n v="3120"/>
    <x v="0"/>
    <m/>
    <s v="Même arrondissement"/>
    <s v="CMR"/>
    <s v="Cameroun"/>
    <s v="CMR004"/>
    <s v="Extrême-Nord"/>
    <s v="CMR004002"/>
    <s v="Logone-Et-Chari"/>
    <s v="CMR004002009"/>
    <s v="Makary"/>
  </r>
  <r>
    <s v="Extrême-Nord"/>
    <s v="CMR004"/>
    <x v="2"/>
    <s v="CMR004002"/>
    <x v="8"/>
    <s v="CMR004002009"/>
    <s v="MAK-0184"/>
    <s v="ABANKOURI"/>
    <m/>
    <x v="0"/>
    <s v="Janvier - Aout 2022"/>
    <n v="11"/>
    <n v="23"/>
    <x v="0"/>
    <m/>
    <s v="Même département, autre arrondissement"/>
    <s v="CMR"/>
    <s v="Cameroun"/>
    <s v="CMR004"/>
    <s v="Extrême-Nord"/>
    <s v="CMR004002"/>
    <s v="Logone-Et-Chari"/>
    <m/>
    <s v="Hile-Alifa"/>
  </r>
  <r>
    <s v="Extrême-Nord"/>
    <s v="CMR004"/>
    <x v="2"/>
    <s v="CMR004002"/>
    <x v="8"/>
    <s v="CMR004002009"/>
    <s v="MAK-0086"/>
    <s v="NGOUMA"/>
    <m/>
    <x v="0"/>
    <s v="Avant 2020"/>
    <n v="176"/>
    <n v="843"/>
    <x v="0"/>
    <m/>
    <s v="Même arrondissement"/>
    <s v="CMR"/>
    <s v="Cameroun"/>
    <s v="CMR004"/>
    <s v="Extrême-Nord"/>
    <s v="CMR004002"/>
    <s v="Logone-Et-Chari"/>
    <s v="CMR004002009"/>
    <s v="Makary"/>
  </r>
  <r>
    <s v="Extrême-Nord"/>
    <s v="CMR004"/>
    <x v="2"/>
    <s v="CMR004002"/>
    <x v="8"/>
    <s v="CMR004002009"/>
    <s v="MAK-0086"/>
    <s v="NGOUMA"/>
    <m/>
    <x v="0"/>
    <s v="Janvier - Aout 2022"/>
    <n v="225"/>
    <n v="330"/>
    <x v="0"/>
    <m/>
    <s v="Même département, autre arrondissement"/>
    <s v="CMR"/>
    <s v="Cameroun"/>
    <s v="CMR004"/>
    <s v="Extrême-Nord"/>
    <s v="CMR004002"/>
    <s v="Logone-Et-Chari"/>
    <m/>
    <s v="Hile-Alifa"/>
  </r>
  <r>
    <s v="Extrême-Nord"/>
    <s v="CMR004"/>
    <x v="4"/>
    <s v="CMR004005"/>
    <x v="17"/>
    <s v="CMR004005002"/>
    <s v="MOR-0011"/>
    <s v="MAHOULA"/>
    <m/>
    <x v="0"/>
    <s v="Avant 2020"/>
    <n v="41"/>
    <n v="236"/>
    <x v="0"/>
    <m/>
    <s v="Même arrondissement"/>
    <s v="CMR"/>
    <s v="Cameroun"/>
    <s v="CMR004"/>
    <s v="Extrême-Nord"/>
    <s v="CMR004005"/>
    <s v="Mayo-Sava"/>
    <s v="CMR004005002"/>
    <s v="Mora"/>
  </r>
  <r>
    <s v="Extrême-Nord"/>
    <s v="CMR004"/>
    <x v="4"/>
    <s v="CMR004005"/>
    <x v="17"/>
    <s v="CMR004005002"/>
    <s v="MOR-0011"/>
    <s v="MAHOULA"/>
    <m/>
    <x v="0"/>
    <s v="En 2020"/>
    <n v="38"/>
    <n v="178"/>
    <x v="0"/>
    <m/>
    <s v="Même arrondissement"/>
    <s v="CMR"/>
    <s v="Cameroun"/>
    <s v="CMR004"/>
    <s v="Extrême-Nord"/>
    <s v="CMR004005"/>
    <s v="Mayo-Sava"/>
    <s v="CMR004005002"/>
    <s v="Mora"/>
  </r>
  <r>
    <s v="Extrême-Nord"/>
    <s v="CMR004"/>
    <x v="4"/>
    <s v="CMR004005"/>
    <x v="17"/>
    <s v="CMR004005002"/>
    <s v="MOR-0011"/>
    <s v="MAHOULA"/>
    <m/>
    <x v="0"/>
    <s v="En 2021"/>
    <n v="2"/>
    <n v="19"/>
    <x v="0"/>
    <m/>
    <s v="Même arrondissement"/>
    <s v="CMR"/>
    <s v="Cameroun"/>
    <s v="CMR004"/>
    <s v="Extrême-Nord"/>
    <s v="CMR004005"/>
    <s v="Mayo-Sava"/>
    <s v="CMR004005002"/>
    <s v="Mora"/>
  </r>
  <r>
    <s v="Extrême-Nord"/>
    <s v="CMR004"/>
    <x v="4"/>
    <s v="CMR004005"/>
    <x v="17"/>
    <s v="CMR004005002"/>
    <s v="MOR-0011"/>
    <s v="MAHOULA"/>
    <m/>
    <x v="0"/>
    <s v="Janvier - Aout 2022"/>
    <n v="2"/>
    <n v="33"/>
    <x v="0"/>
    <m/>
    <s v="Même arrondissement"/>
    <s v="CMR"/>
    <s v="Cameroun"/>
    <s v="CMR004"/>
    <s v="Extrême-Nord"/>
    <s v="CMR004005"/>
    <s v="Mayo-Sava"/>
    <s v="CMR004005002"/>
    <s v="Mora"/>
  </r>
  <r>
    <s v="Extrême-Nord"/>
    <s v="CMR004"/>
    <x v="4"/>
    <s v="CMR004005"/>
    <x v="17"/>
    <s v="CMR004005002"/>
    <s v="MOR-0011"/>
    <s v="MAHOULA"/>
    <m/>
    <x v="0"/>
    <s v="Septembre 2022 – Février 2023"/>
    <n v="0"/>
    <n v="10"/>
    <x v="0"/>
    <m/>
    <s v="Même arrondissement"/>
    <s v="CMR"/>
    <s v="Cameroun"/>
    <s v="CMR004"/>
    <s v="Extrême-Nord"/>
    <s v="CMR004005"/>
    <s v="Mayo-Sava"/>
    <s v="CMR004005002"/>
    <s v="Mora"/>
  </r>
  <r>
    <s v="Extrême-Nord"/>
    <s v="CMR004"/>
    <x v="4"/>
    <s v="CMR004005"/>
    <x v="17"/>
    <s v="CMR004005002"/>
    <s v="MOR-0070"/>
    <s v="SERADOUMDA"/>
    <m/>
    <x v="0"/>
    <s v="Avant 2020"/>
    <n v="57"/>
    <n v="380"/>
    <x v="0"/>
    <m/>
    <s v="Même arrondissement"/>
    <s v="CMR"/>
    <s v="Cameroun"/>
    <s v="CMR004"/>
    <s v="Extrême-Nord"/>
    <s v="CMR004005"/>
    <s v="Mayo-Sava"/>
    <s v="CMR004005002"/>
    <s v="Mora"/>
  </r>
  <r>
    <s v="Extrême-Nord"/>
    <s v="CMR004"/>
    <x v="4"/>
    <s v="CMR004005"/>
    <x v="17"/>
    <s v="CMR004005002"/>
    <s v="MOR-0070"/>
    <s v="SERADOUMDA"/>
    <m/>
    <x v="0"/>
    <s v="En 2020"/>
    <n v="0"/>
    <n v="4"/>
    <x v="0"/>
    <m/>
    <s v="Même arrondissement"/>
    <s v="CMR"/>
    <s v="Cameroun"/>
    <s v="CMR004"/>
    <s v="Extrême-Nord"/>
    <s v="CMR004005"/>
    <s v="Mayo-Sava"/>
    <s v="CMR004005002"/>
    <s v="Mora"/>
  </r>
  <r>
    <s v="Extrême-Nord"/>
    <s v="CMR004"/>
    <x v="4"/>
    <s v="CMR004005"/>
    <x v="17"/>
    <s v="CMR004005002"/>
    <s v="MOR-0070"/>
    <s v="SERADOUMDA"/>
    <m/>
    <x v="0"/>
    <s v="En 2021"/>
    <n v="0"/>
    <n v="13"/>
    <x v="0"/>
    <m/>
    <s v="Même arrondissement"/>
    <s v="CMR"/>
    <s v="Cameroun"/>
    <s v="CMR004"/>
    <s v="Extrême-Nord"/>
    <s v="CMR004005"/>
    <s v="Mayo-Sava"/>
    <s v="CMR004005002"/>
    <s v="Mora"/>
  </r>
  <r>
    <s v="Extrême-Nord"/>
    <s v="CMR004"/>
    <x v="4"/>
    <s v="CMR004005"/>
    <x v="17"/>
    <s v="CMR004005002"/>
    <s v="MOR-0070"/>
    <s v="SERADOUMDA"/>
    <m/>
    <x v="0"/>
    <s v="Janvier - Aout 2022"/>
    <n v="4"/>
    <n v="44"/>
    <x v="0"/>
    <m/>
    <s v="Même arrondissement"/>
    <s v="CMR"/>
    <s v="Cameroun"/>
    <s v="CMR004"/>
    <s v="Extrême-Nord"/>
    <s v="CMR004005"/>
    <s v="Mayo-Sava"/>
    <s v="CMR004005002"/>
    <s v="Mora"/>
  </r>
  <r>
    <s v="Extrême-Nord"/>
    <s v="CMR004"/>
    <x v="4"/>
    <s v="CMR004005"/>
    <x v="17"/>
    <s v="CMR004005002"/>
    <s v="MOR-0070"/>
    <s v="SERADOUMDA"/>
    <m/>
    <x v="0"/>
    <s v="Septembre 2022 – Février 2023"/>
    <n v="0"/>
    <n v="12"/>
    <x v="0"/>
    <m/>
    <s v="Même arrondissement"/>
    <s v="CMR"/>
    <s v="Cameroun"/>
    <s v="CMR004"/>
    <s v="Extrême-Nord"/>
    <s v="CMR004005"/>
    <s v="Mayo-Sava"/>
    <s v="CMR004005002"/>
    <s v="Mora"/>
  </r>
  <r>
    <s v="Extrême-Nord"/>
    <s v="CMR004"/>
    <x v="4"/>
    <s v="CMR004005"/>
    <x v="17"/>
    <s v="CMR004005002"/>
    <s v="MOR-0078"/>
    <s v="TALLA LAWAN"/>
    <m/>
    <x v="0"/>
    <s v="En 2020"/>
    <n v="20"/>
    <n v="94"/>
    <x v="0"/>
    <m/>
    <s v="Même arrondissement"/>
    <s v="CMR"/>
    <s v="Cameroun"/>
    <s v="CMR004"/>
    <s v="Extrême-Nord"/>
    <s v="CMR004005"/>
    <s v="Mayo-Sava"/>
    <s v="CMR004005002"/>
    <s v="Mora"/>
  </r>
  <r>
    <s v="Extrême-Nord"/>
    <s v="CMR004"/>
    <x v="4"/>
    <s v="CMR004005"/>
    <x v="17"/>
    <s v="CMR004005002"/>
    <s v="MOR-0078"/>
    <s v="TALLA LAWAN"/>
    <m/>
    <x v="0"/>
    <s v="En 2021"/>
    <n v="3"/>
    <n v="42"/>
    <x v="0"/>
    <m/>
    <s v="Même arrondissement"/>
    <s v="CMR"/>
    <s v="Cameroun"/>
    <s v="CMR004"/>
    <s v="Extrême-Nord"/>
    <s v="CMR004005"/>
    <s v="Mayo-Sava"/>
    <s v="CMR004005002"/>
    <s v="Mora"/>
  </r>
  <r>
    <s v="Extrême-Nord"/>
    <s v="CMR004"/>
    <x v="4"/>
    <s v="CMR004005"/>
    <x v="17"/>
    <s v="CMR004005002"/>
    <s v="MOR-0078"/>
    <s v="TALLA LAWAN"/>
    <m/>
    <x v="0"/>
    <s v="Janvier - Aout 2022"/>
    <n v="0"/>
    <n v="15"/>
    <x v="0"/>
    <m/>
    <s v="Même arrondissement"/>
    <s v="CMR"/>
    <s v="Cameroun"/>
    <s v="CMR004"/>
    <s v="Extrême-Nord"/>
    <s v="CMR004005"/>
    <s v="Mayo-Sava"/>
    <s v="CMR004005002"/>
    <s v="Mora"/>
  </r>
  <r>
    <s v="Extrême-Nord"/>
    <s v="CMR004"/>
    <x v="4"/>
    <s v="CMR004005"/>
    <x v="17"/>
    <s v="CMR004005002"/>
    <s v="MOR-0078"/>
    <s v="TALLA LAWAN"/>
    <m/>
    <x v="0"/>
    <s v="Septembre 2022 – Février 2023"/>
    <n v="0"/>
    <n v="9"/>
    <x v="0"/>
    <m/>
    <s v="Même arrondissement"/>
    <s v="CMR"/>
    <s v="Cameroun"/>
    <s v="CMR004"/>
    <s v="Extrême-Nord"/>
    <s v="CMR004005"/>
    <s v="Mayo-Sava"/>
    <s v="CMR004005002"/>
    <s v="Mora"/>
  </r>
  <r>
    <s v="Extrême-Nord"/>
    <s v="CMR004"/>
    <x v="4"/>
    <s v="CMR004005"/>
    <x v="17"/>
    <s v="CMR004005002"/>
    <s v="MOR-0061"/>
    <s v="DJAMPALA"/>
    <m/>
    <x v="0"/>
    <s v="Avant 2020"/>
    <n v="59"/>
    <n v="222"/>
    <x v="0"/>
    <m/>
    <s v="Même arrondissement"/>
    <s v="CMR"/>
    <s v="Cameroun"/>
    <s v="CMR004"/>
    <s v="Extrême-Nord"/>
    <s v="CMR004005"/>
    <s v="Mayo-Sava"/>
    <s v="CMR004005002"/>
    <s v="Mora"/>
  </r>
  <r>
    <s v="Extrême-Nord"/>
    <s v="CMR004"/>
    <x v="4"/>
    <s v="CMR004005"/>
    <x v="17"/>
    <s v="CMR004005002"/>
    <s v="MOR-0061"/>
    <s v="DJAMPALA"/>
    <m/>
    <x v="0"/>
    <s v="En 2020"/>
    <n v="0"/>
    <n v="9"/>
    <x v="0"/>
    <m/>
    <s v="Même arrondissement"/>
    <s v="CMR"/>
    <s v="Cameroun"/>
    <s v="CMR004"/>
    <s v="Extrême-Nord"/>
    <s v="CMR004005"/>
    <s v="Mayo-Sava"/>
    <s v="CMR004005002"/>
    <s v="Mora"/>
  </r>
  <r>
    <s v="Extrême-Nord"/>
    <s v="CMR004"/>
    <x v="4"/>
    <s v="CMR004005"/>
    <x v="17"/>
    <s v="CMR004005002"/>
    <s v="MOR-0061"/>
    <s v="DJAMPALA"/>
    <m/>
    <x v="0"/>
    <s v="En 2021"/>
    <n v="0"/>
    <n v="8"/>
    <x v="0"/>
    <m/>
    <s v="Même arrondissement"/>
    <s v="CMR"/>
    <s v="Cameroun"/>
    <s v="CMR004"/>
    <s v="Extrême-Nord"/>
    <s v="CMR004005"/>
    <s v="Mayo-Sava"/>
    <s v="CMR004005002"/>
    <s v="Mora"/>
  </r>
  <r>
    <s v="Extrême-Nord"/>
    <s v="CMR004"/>
    <x v="4"/>
    <s v="CMR004005"/>
    <x v="17"/>
    <s v="CMR004005002"/>
    <s v="MOR-0061"/>
    <s v="DJAMPALA"/>
    <m/>
    <x v="0"/>
    <s v="Janvier - Aout 2022"/>
    <n v="0"/>
    <n v="32"/>
    <x v="0"/>
    <m/>
    <s v="Même arrondissement"/>
    <s v="CMR"/>
    <s v="Cameroun"/>
    <s v="CMR004"/>
    <s v="Extrême-Nord"/>
    <s v="CMR004005"/>
    <s v="Mayo-Sava"/>
    <s v="CMR004005002"/>
    <s v="Mora"/>
  </r>
  <r>
    <s v="Extrême-Nord"/>
    <s v="CMR004"/>
    <x v="4"/>
    <s v="CMR004005"/>
    <x v="17"/>
    <s v="CMR004005002"/>
    <s v="MOR-0061"/>
    <s v="DJAMPALA"/>
    <m/>
    <x v="0"/>
    <s v="Septembre 2022 – Février 2023"/>
    <n v="0"/>
    <n v="22"/>
    <x v="0"/>
    <m/>
    <s v="Même arrondissement"/>
    <s v="CMR"/>
    <s v="Cameroun"/>
    <s v="CMR004"/>
    <s v="Extrême-Nord"/>
    <s v="CMR004005"/>
    <s v="Mayo-Sava"/>
    <s v="CMR004005002"/>
    <s v="Mora"/>
  </r>
  <r>
    <s v="Extrême-Nord"/>
    <s v="CMR004"/>
    <x v="2"/>
    <s v="CMR004002"/>
    <x v="25"/>
    <s v="CMR004002008"/>
    <s v="FOT-0025"/>
    <s v="GOLMO ARABE"/>
    <m/>
    <x v="0"/>
    <s v="Avant 2020"/>
    <n v="10"/>
    <n v="99"/>
    <x v="0"/>
    <m/>
    <s v="Même arrondissement"/>
    <s v="CMR"/>
    <s v="Cameroun"/>
    <s v="CMR004"/>
    <s v="Extrême-Nord"/>
    <s v="CMR004002"/>
    <s v="Logone-Et-Chari"/>
    <s v="CMR004002008"/>
    <s v="Fotokol"/>
  </r>
  <r>
    <s v="Extrême-Nord"/>
    <s v="CMR004"/>
    <x v="4"/>
    <s v="CMR004005"/>
    <x v="29"/>
    <s v="CMR004005003"/>
    <s v="TOK-0002"/>
    <s v="MADA KOLKACH"/>
    <m/>
    <x v="0"/>
    <s v="Avant 2020"/>
    <n v="138"/>
    <n v="270"/>
    <x v="0"/>
    <m/>
    <s v="Même arrondissement"/>
    <s v="CMR"/>
    <s v="Cameroun"/>
    <s v="CMR004"/>
    <s v="Extrême-Nord"/>
    <s v="CMR004005"/>
    <s v="Mayo-Sava"/>
    <s v="CMR004005003"/>
    <s v="Tokombéré"/>
  </r>
  <r>
    <s v="Extrême-Nord"/>
    <s v="CMR004"/>
    <x v="4"/>
    <s v="CMR004005"/>
    <x v="29"/>
    <s v="CMR004005003"/>
    <s v="TOK-0002"/>
    <s v="MADA KOLKACH"/>
    <m/>
    <x v="0"/>
    <s v="En 2020"/>
    <n v="0"/>
    <n v="45"/>
    <x v="0"/>
    <m/>
    <s v="Même arrondissement"/>
    <s v="CMR"/>
    <s v="Cameroun"/>
    <s v="CMR004"/>
    <s v="Extrême-Nord"/>
    <s v="CMR004005"/>
    <s v="Mayo-Sava"/>
    <s v="CMR004005003"/>
    <s v="Tokombéré"/>
  </r>
  <r>
    <s v="Extrême-Nord"/>
    <s v="CMR004"/>
    <x v="4"/>
    <s v="CMR004005"/>
    <x v="29"/>
    <s v="CMR004005003"/>
    <s v="TOK-0002"/>
    <s v="MADA KOLKACH"/>
    <m/>
    <x v="0"/>
    <s v="En 2021"/>
    <n v="0"/>
    <n v="30"/>
    <x v="0"/>
    <m/>
    <s v="Même arrondissement"/>
    <s v="CMR"/>
    <s v="Cameroun"/>
    <s v="CMR004"/>
    <s v="Extrême-Nord"/>
    <s v="CMR004005"/>
    <s v="Mayo-Sava"/>
    <s v="CMR004005003"/>
    <s v="Tokombéré"/>
  </r>
  <r>
    <s v="Extrême-Nord"/>
    <s v="CMR004"/>
    <x v="4"/>
    <s v="CMR004005"/>
    <x v="29"/>
    <s v="CMR004005003"/>
    <s v="TOK-0002"/>
    <s v="MADA KOLKACH"/>
    <m/>
    <x v="0"/>
    <s v="Janvier - Aout 2022"/>
    <n v="0"/>
    <n v="18"/>
    <x v="0"/>
    <m/>
    <s v="Même arrondissement"/>
    <s v="CMR"/>
    <s v="Cameroun"/>
    <s v="CMR004"/>
    <s v="Extrême-Nord"/>
    <s v="CMR004005"/>
    <s v="Mayo-Sava"/>
    <s v="CMR004005003"/>
    <s v="Tokombéré"/>
  </r>
  <r>
    <s v="Extrême-Nord"/>
    <s v="CMR004"/>
    <x v="4"/>
    <s v="CMR004005"/>
    <x v="29"/>
    <s v="CMR004005003"/>
    <s v="TOK-0002"/>
    <s v="MADA KOLKACH"/>
    <m/>
    <x v="0"/>
    <s v="Septembre 2022 – Février 2023"/>
    <n v="0"/>
    <n v="11"/>
    <x v="0"/>
    <m/>
    <s v="Même arrondissement"/>
    <s v="CMR"/>
    <s v="Cameroun"/>
    <s v="CMR004"/>
    <s v="Extrême-Nord"/>
    <s v="CMR004005"/>
    <s v="Mayo-Sava"/>
    <s v="CMR004005003"/>
    <s v="Tokombéré"/>
  </r>
  <r>
    <s v="Extrême-Nord"/>
    <s v="CMR004"/>
    <x v="2"/>
    <s v="CMR004002"/>
    <x v="26"/>
    <s v="CMR004002006"/>
    <s v="KOU-0001"/>
    <s v="ALAYA"/>
    <m/>
    <x v="0"/>
    <s v="Avant 2020"/>
    <n v="21"/>
    <n v="110"/>
    <x v="0"/>
    <m/>
    <s v="Même département, autre arrondissement"/>
    <s v="CMR"/>
    <s v="Cameroun"/>
    <s v="CMR004"/>
    <s v="Extrême-Nord"/>
    <s v="CMR004002"/>
    <s v="Logone-Et-Chari"/>
    <s v="CMR004002008"/>
    <s v="Fotokol"/>
  </r>
  <r>
    <s v="Extrême-Nord"/>
    <s v="CMR004"/>
    <x v="2"/>
    <s v="CMR004002"/>
    <x v="26"/>
    <s v="CMR004002006"/>
    <s v="KOU-0001"/>
    <s v="ALAYA"/>
    <m/>
    <x v="0"/>
    <s v="En 2020"/>
    <n v="11"/>
    <n v="50"/>
    <x v="0"/>
    <m/>
    <s v="Même département, autre arrondissement"/>
    <s v="CMR"/>
    <s v="Cameroun"/>
    <s v="CMR004"/>
    <s v="Extrême-Nord"/>
    <s v="CMR004002"/>
    <s v="Logone-Et-Chari"/>
    <s v="CMR004002008"/>
    <s v="Fotokol"/>
  </r>
  <r>
    <s v="Extrême-Nord"/>
    <s v="CMR004"/>
    <x v="2"/>
    <s v="CMR004002"/>
    <x v="26"/>
    <s v="CMR004002006"/>
    <s v="KOU-0001"/>
    <s v="ALAYA"/>
    <m/>
    <x v="0"/>
    <s v="En 2021"/>
    <n v="9"/>
    <n v="50"/>
    <x v="0"/>
    <m/>
    <s v="Même département, autre arrondissement"/>
    <s v="CMR"/>
    <s v="Cameroun"/>
    <s v="CMR004"/>
    <s v="Extrême-Nord"/>
    <s v="CMR004002"/>
    <s v="Logone-Et-Chari"/>
    <s v="CMR004002008"/>
    <s v="Fotokol"/>
  </r>
  <r>
    <s v="Extrême-Nord"/>
    <s v="CMR004"/>
    <x v="2"/>
    <s v="CMR004002"/>
    <x v="26"/>
    <s v="CMR004002006"/>
    <s v="KOU-0001"/>
    <s v="ALAYA"/>
    <m/>
    <x v="0"/>
    <s v="Janvier - Aout 2022"/>
    <n v="9"/>
    <n v="44"/>
    <x v="1"/>
    <m/>
    <s v="Même département, autre arrondissement"/>
    <s v="CMR"/>
    <s v="Cameroun"/>
    <s v="CMR004"/>
    <s v="Extrême-Nord"/>
    <s v="CMR004002"/>
    <s v="Logone-Et-Chari"/>
    <s v="CMR004002004"/>
    <s v="Logone-Birni"/>
  </r>
  <r>
    <s v="Extrême-Nord"/>
    <s v="CMR004"/>
    <x v="2"/>
    <s v="CMR004002"/>
    <x v="26"/>
    <s v="CMR004002006"/>
    <s v="KOU-0001"/>
    <s v="ALAYA"/>
    <m/>
    <x v="0"/>
    <s v="Septembre 2022 – Février 2023"/>
    <n v="2"/>
    <n v="18"/>
    <x v="3"/>
    <m/>
    <s v="Même département, autre arrondissement"/>
    <s v="CMR"/>
    <s v="Cameroun"/>
    <s v="CMR004"/>
    <s v="Extrême-Nord"/>
    <s v="CMR004002"/>
    <s v="Logone-Et-Chari"/>
    <s v="CMR004002004"/>
    <s v="Logone-Birni"/>
  </r>
  <r>
    <s v="Extrême-Nord"/>
    <s v="CMR004"/>
    <x v="4"/>
    <s v="CMR004005"/>
    <x v="29"/>
    <s v="CMR004005003"/>
    <s v="TOK-0006"/>
    <s v="OULDEME"/>
    <m/>
    <x v="0"/>
    <s v="Avant 2020"/>
    <n v="9"/>
    <n v="55"/>
    <x v="0"/>
    <m/>
    <s v="Même arrondissement"/>
    <s v="CMR"/>
    <s v="Cameroun"/>
    <s v="CMR004"/>
    <s v="Extrême-Nord"/>
    <s v="CMR004005"/>
    <s v="Mayo-Sava"/>
    <s v="CMR004005003"/>
    <s v="Tokombéré"/>
  </r>
  <r>
    <s v="Extrême-Nord"/>
    <s v="CMR004"/>
    <x v="4"/>
    <s v="CMR004005"/>
    <x v="29"/>
    <s v="CMR004005003"/>
    <s v="TOK-0006"/>
    <s v="OULDEME"/>
    <m/>
    <x v="0"/>
    <s v="En 2020"/>
    <n v="0"/>
    <n v="11"/>
    <x v="0"/>
    <m/>
    <s v="Même arrondissement"/>
    <s v="CMR"/>
    <s v="Cameroun"/>
    <s v="CMR004"/>
    <s v="Extrême-Nord"/>
    <s v="CMR004005"/>
    <s v="Mayo-Sava"/>
    <s v="CMR004005003"/>
    <s v="Tokombéré"/>
  </r>
  <r>
    <s v="Extrême-Nord"/>
    <s v="CMR004"/>
    <x v="4"/>
    <s v="CMR004005"/>
    <x v="29"/>
    <s v="CMR004005003"/>
    <s v="TOK-0006"/>
    <s v="OULDEME"/>
    <m/>
    <x v="0"/>
    <s v="En 2021"/>
    <n v="0"/>
    <n v="42"/>
    <x v="0"/>
    <m/>
    <s v="Même arrondissement"/>
    <s v="CMR"/>
    <s v="Cameroun"/>
    <s v="CMR004"/>
    <s v="Extrême-Nord"/>
    <s v="CMR004005"/>
    <s v="Mayo-Sava"/>
    <s v="CMR004005003"/>
    <s v="Tokombéré"/>
  </r>
  <r>
    <s v="Extrême-Nord"/>
    <s v="CMR004"/>
    <x v="4"/>
    <s v="CMR004005"/>
    <x v="29"/>
    <s v="CMR004005003"/>
    <s v="TOK-0006"/>
    <s v="OULDEME"/>
    <m/>
    <x v="0"/>
    <s v="Janvier - Aout 2022"/>
    <n v="0"/>
    <n v="15"/>
    <x v="0"/>
    <m/>
    <s v="Même arrondissement"/>
    <s v="CMR"/>
    <s v="Cameroun"/>
    <s v="CMR004"/>
    <s v="Extrême-Nord"/>
    <s v="CMR004005"/>
    <s v="Mayo-Sava"/>
    <s v="CMR004005003"/>
    <s v="Tokombéré"/>
  </r>
  <r>
    <s v="Extrême-Nord"/>
    <s v="CMR004"/>
    <x v="4"/>
    <s v="CMR004005"/>
    <x v="29"/>
    <s v="CMR004005003"/>
    <s v="TOK-0006"/>
    <s v="OULDEME"/>
    <m/>
    <x v="0"/>
    <s v="Septembre 2022 – Février 2023"/>
    <n v="3"/>
    <n v="10"/>
    <x v="0"/>
    <m/>
    <s v="Même arrondissement"/>
    <s v="CMR"/>
    <s v="Cameroun"/>
    <s v="CMR004"/>
    <s v="Extrême-Nord"/>
    <s v="CMR004005"/>
    <s v="Mayo-Sava"/>
    <s v="CMR004005003"/>
    <s v="Tokombéré"/>
  </r>
  <r>
    <s v="Extrême-Nord"/>
    <s v="CMR004"/>
    <x v="2"/>
    <s v="CMR004002"/>
    <x v="8"/>
    <s v="CMR004002009"/>
    <s v="MAK-0093"/>
    <s v="WOSSO"/>
    <m/>
    <x v="0"/>
    <s v="Avant 2020"/>
    <n v="6"/>
    <n v="21"/>
    <x v="0"/>
    <m/>
    <s v="Même département, autre arrondissement"/>
    <s v="CMR"/>
    <s v="Cameroun"/>
    <s v="CMR004"/>
    <s v="Extrême-Nord"/>
    <s v="CMR004002"/>
    <s v="Logone-Et-Chari"/>
    <s v="CMR004002008"/>
    <s v="Fotokol"/>
  </r>
  <r>
    <s v="Extrême-Nord"/>
    <s v="CMR004"/>
    <x v="2"/>
    <s v="CMR004002"/>
    <x v="8"/>
    <s v="CMR004002009"/>
    <s v="MAK-0055"/>
    <s v="MADINA 2"/>
    <m/>
    <x v="0"/>
    <s v="Avant 2020"/>
    <n v="10"/>
    <n v="56"/>
    <x v="0"/>
    <m/>
    <s v="Même département, autre arrondissement"/>
    <s v="CMR"/>
    <s v="Cameroun"/>
    <s v="CMR004"/>
    <s v="Extrême-Nord"/>
    <s v="CMR004002"/>
    <s v="Logone-Et-Chari"/>
    <s v="CMR004002008"/>
    <s v="Fotokol"/>
  </r>
  <r>
    <s v="Extrême-Nord"/>
    <s v="CMR004"/>
    <x v="2"/>
    <s v="CMR004002"/>
    <x v="8"/>
    <s v="CMR004002009"/>
    <s v="MAK-0034"/>
    <s v="FARCH 1"/>
    <m/>
    <x v="0"/>
    <s v="Avant 2020"/>
    <n v="12"/>
    <n v="157"/>
    <x v="0"/>
    <m/>
    <s v="Même département, autre arrondissement"/>
    <s v="CMR"/>
    <s v="Cameroun"/>
    <s v="CMR004"/>
    <s v="Extrême-Nord"/>
    <s v="CMR004002"/>
    <s v="Logone-Et-Chari"/>
    <s v="CMR004002008"/>
    <s v="Fotokol"/>
  </r>
  <r>
    <s v="Extrême-Nord"/>
    <s v="CMR004"/>
    <x v="4"/>
    <s v="CMR004005"/>
    <x v="29"/>
    <s v="CMR004005003"/>
    <s v="TOK-0011"/>
    <s v="PALBARA"/>
    <m/>
    <x v="0"/>
    <s v="Avant 2020"/>
    <n v="18"/>
    <n v="89"/>
    <x v="0"/>
    <m/>
    <s v="Même arrondissement"/>
    <s v="CMR"/>
    <s v="Cameroun"/>
    <s v="CMR004"/>
    <s v="Extrême-Nord"/>
    <s v="CMR004005"/>
    <s v="Mayo-Sava"/>
    <s v="CMR004005003"/>
    <s v="Tokombéré"/>
  </r>
  <r>
    <s v="Extrême-Nord"/>
    <s v="CMR004"/>
    <x v="4"/>
    <s v="CMR004005"/>
    <x v="29"/>
    <s v="CMR004005003"/>
    <s v="TOK-0011"/>
    <s v="PALBARA"/>
    <m/>
    <x v="0"/>
    <s v="En 2020"/>
    <n v="0"/>
    <n v="13"/>
    <x v="0"/>
    <m/>
    <s v="Même arrondissement"/>
    <s v="CMR"/>
    <s v="Cameroun"/>
    <s v="CMR004"/>
    <s v="Extrême-Nord"/>
    <s v="CMR004005"/>
    <s v="Mayo-Sava"/>
    <s v="CMR004005003"/>
    <s v="Tokombéré"/>
  </r>
  <r>
    <s v="Extrême-Nord"/>
    <s v="CMR004"/>
    <x v="4"/>
    <s v="CMR004005"/>
    <x v="29"/>
    <s v="CMR004005003"/>
    <s v="TOK-0011"/>
    <s v="PALBARA"/>
    <m/>
    <x v="0"/>
    <s v="En 2021"/>
    <n v="0"/>
    <n v="35"/>
    <x v="0"/>
    <m/>
    <s v="Même arrondissement"/>
    <s v="CMR"/>
    <s v="Cameroun"/>
    <s v="CMR004"/>
    <s v="Extrême-Nord"/>
    <s v="CMR004005"/>
    <s v="Mayo-Sava"/>
    <s v="CMR004005003"/>
    <s v="Tokombéré"/>
  </r>
  <r>
    <s v="Extrême-Nord"/>
    <s v="CMR004"/>
    <x v="4"/>
    <s v="CMR004005"/>
    <x v="29"/>
    <s v="CMR004005003"/>
    <s v="TOK-0011"/>
    <s v="PALBARA"/>
    <m/>
    <x v="0"/>
    <s v="Janvier - Aout 2022"/>
    <n v="0"/>
    <n v="11"/>
    <x v="0"/>
    <m/>
    <s v="Même arrondissement"/>
    <s v="CMR"/>
    <s v="Cameroun"/>
    <s v="CMR004"/>
    <s v="Extrême-Nord"/>
    <s v="CMR004005"/>
    <s v="Mayo-Sava"/>
    <s v="CMR004005003"/>
    <s v="Tokombéré"/>
  </r>
  <r>
    <s v="Extrême-Nord"/>
    <s v="CMR004"/>
    <x v="4"/>
    <s v="CMR004005"/>
    <x v="29"/>
    <s v="CMR004005003"/>
    <s v="TOK-0011"/>
    <s v="PALBARA"/>
    <m/>
    <x v="0"/>
    <s v="Septembre 2022 – Février 2023"/>
    <n v="0"/>
    <n v="10"/>
    <x v="0"/>
    <m/>
    <s v="Même arrondissement"/>
    <s v="CMR"/>
    <s v="Cameroun"/>
    <s v="CMR004"/>
    <s v="Extrême-Nord"/>
    <s v="CMR004005"/>
    <s v="Mayo-Sava"/>
    <s v="CMR004005003"/>
    <s v="Tokombéré"/>
  </r>
  <r>
    <s v="Extrême-Nord"/>
    <s v="CMR004"/>
    <x v="5"/>
    <s v="CMR004004"/>
    <x v="20"/>
    <s v="CMR004004006"/>
    <s v="KAE-0007"/>
    <s v="LARA"/>
    <m/>
    <x v="0"/>
    <s v="Avant 2020"/>
    <n v="4"/>
    <n v="26"/>
    <x v="3"/>
    <m/>
    <s v="Autre département"/>
    <s v="CMR"/>
    <s v="Cameroun"/>
    <s v="CMR004"/>
    <s v="Extrême-Nord"/>
    <s v="CMR004003"/>
    <s v="Mayo-Danay"/>
    <m/>
    <m/>
  </r>
  <r>
    <s v="Extrême-Nord"/>
    <s v="CMR004"/>
    <x v="1"/>
    <s v="CMR004006"/>
    <x v="16"/>
    <s v="CMR004006004"/>
    <s v="KOZ-0041"/>
    <s v="GUIDEMBEK"/>
    <m/>
    <x v="0"/>
    <s v="Septembre 2022 – Février 2023"/>
    <n v="10"/>
    <n v="87"/>
    <x v="0"/>
    <m/>
    <s v="Même département, autre arrondissement"/>
    <s v="CMR"/>
    <s v="Cameroun"/>
    <s v="CMR004"/>
    <s v="Extrême-Nord"/>
    <s v="CMR004006"/>
    <s v="Mayo-Tsanaga"/>
    <s v="CMR004006005"/>
    <s v="Mayo-Moskota"/>
  </r>
  <r>
    <s v="Extrême-Nord"/>
    <s v="CMR004"/>
    <x v="1"/>
    <s v="CMR004006"/>
    <x v="16"/>
    <s v="CMR004006004"/>
    <s v="KOZ-0041"/>
    <s v="GUIDEMBEK"/>
    <m/>
    <x v="0"/>
    <s v="Janvier - Aout 2022"/>
    <n v="5"/>
    <n v="20"/>
    <x v="0"/>
    <m/>
    <s v="Même département, autre arrondissement"/>
    <s v="CMR"/>
    <s v="Cameroun"/>
    <s v="CMR004"/>
    <s v="Extrême-Nord"/>
    <s v="CMR004006"/>
    <s v="Mayo-Tsanaga"/>
    <s v="CMR004006005"/>
    <s v="Mayo-Moskota"/>
  </r>
  <r>
    <s v="Extrême-Nord"/>
    <s v="CMR004"/>
    <x v="1"/>
    <s v="CMR004006"/>
    <x v="16"/>
    <s v="CMR004006004"/>
    <s v="KOZ-0041"/>
    <s v="GUIDEMBEK"/>
    <m/>
    <x v="0"/>
    <s v="En 2021"/>
    <n v="6"/>
    <n v="42"/>
    <x v="0"/>
    <m/>
    <s v="Même département, autre arrondissement"/>
    <s v="CMR"/>
    <s v="Cameroun"/>
    <s v="CMR004"/>
    <s v="Extrême-Nord"/>
    <s v="CMR004006"/>
    <s v="Mayo-Tsanaga"/>
    <s v="CMR004006005"/>
    <s v="Mayo-Moskota"/>
  </r>
  <r>
    <s v="Extrême-Nord"/>
    <s v="CMR004"/>
    <x v="1"/>
    <s v="CMR004006"/>
    <x v="16"/>
    <s v="CMR004006004"/>
    <s v="KOZ-0043"/>
    <s v="GUID CHIGUE"/>
    <m/>
    <x v="0"/>
    <s v="Septembre 2022 – Février 2023"/>
    <n v="16"/>
    <n v="96"/>
    <x v="0"/>
    <m/>
    <s v="Même département, autre arrondissement"/>
    <s v="CMR"/>
    <s v="Cameroun"/>
    <s v="CMR004"/>
    <s v="Extrême-Nord"/>
    <s v="CMR004006"/>
    <s v="Mayo-Tsanaga"/>
    <s v="CMR004006005"/>
    <s v="Mayo-Moskota"/>
  </r>
  <r>
    <s v="Extrême-Nord"/>
    <s v="CMR004"/>
    <x v="1"/>
    <s v="CMR004006"/>
    <x v="16"/>
    <s v="CMR004006004"/>
    <s v="KOZ-0043"/>
    <s v="GUID CHIGUE"/>
    <m/>
    <x v="0"/>
    <s v="Janvier - Aout 2022"/>
    <n v="9"/>
    <n v="67"/>
    <x v="0"/>
    <m/>
    <s v="Même département, autre arrondissement"/>
    <s v="CMR"/>
    <s v="Cameroun"/>
    <s v="CMR004"/>
    <s v="Extrême-Nord"/>
    <s v="CMR004006"/>
    <s v="Mayo-Tsanaga"/>
    <s v="CMR004006005"/>
    <s v="Mayo-Moskota"/>
  </r>
  <r>
    <s v="Extrême-Nord"/>
    <s v="CMR004"/>
    <x v="1"/>
    <s v="CMR004006"/>
    <x v="16"/>
    <s v="CMR004006004"/>
    <s v="XXXX"/>
    <s v="VEGUE "/>
    <s v="VEGUE "/>
    <x v="0"/>
    <s v="Septembre 2022 – Février 2023"/>
    <n v="34"/>
    <n v="79"/>
    <x v="0"/>
    <m/>
    <s v="Même département, autre arrondissement"/>
    <s v="CMR"/>
    <s v="Cameroun"/>
    <s v="CMR004"/>
    <s v="Extrême-Nord"/>
    <s v="CMR004006"/>
    <s v="Mayo-Tsanaga"/>
    <s v="CMR004006005"/>
    <s v="Mayo-Moskota"/>
  </r>
  <r>
    <s v="Extrême-Nord"/>
    <s v="CMR004"/>
    <x v="4"/>
    <s v="CMR004005"/>
    <x v="17"/>
    <s v="CMR004005002"/>
    <s v="MOR-0068"/>
    <s v="MEHE SANDA"/>
    <m/>
    <x v="0"/>
    <s v="Avant 2020"/>
    <n v="50"/>
    <n v="161"/>
    <x v="0"/>
    <m/>
    <s v="Même arrondissement"/>
    <s v="CMR"/>
    <s v="Cameroun"/>
    <s v="CMR004"/>
    <s v="Extrême-Nord"/>
    <s v="CMR004005"/>
    <s v="Mayo-Sava"/>
    <s v="CMR004005002"/>
    <s v="Mora"/>
  </r>
  <r>
    <s v="Extrême-Nord"/>
    <s v="CMR004"/>
    <x v="4"/>
    <s v="CMR004005"/>
    <x v="17"/>
    <s v="CMR004005002"/>
    <s v="MOR-0068"/>
    <s v="MEHE SANDA"/>
    <m/>
    <x v="0"/>
    <s v="En 2020"/>
    <n v="1"/>
    <n v="4"/>
    <x v="0"/>
    <m/>
    <s v="Même arrondissement"/>
    <s v="CMR"/>
    <s v="Cameroun"/>
    <s v="CMR004"/>
    <s v="Extrême-Nord"/>
    <s v="CMR004005"/>
    <s v="Mayo-Sava"/>
    <s v="CMR004005002"/>
    <s v="Mora"/>
  </r>
  <r>
    <s v="Extrême-Nord"/>
    <s v="CMR004"/>
    <x v="4"/>
    <s v="CMR004005"/>
    <x v="17"/>
    <s v="CMR004005002"/>
    <s v="MOR-0068"/>
    <s v="MEHE SANDA"/>
    <m/>
    <x v="0"/>
    <s v="En 2021"/>
    <n v="55"/>
    <n v="264"/>
    <x v="0"/>
    <m/>
    <s v="Même arrondissement"/>
    <s v="CMR"/>
    <s v="Cameroun"/>
    <s v="CMR004"/>
    <s v="Extrême-Nord"/>
    <s v="CMR004005"/>
    <s v="Mayo-Sava"/>
    <s v="CMR004005002"/>
    <s v="Mora"/>
  </r>
  <r>
    <s v="Extrême-Nord"/>
    <s v="CMR004"/>
    <x v="4"/>
    <s v="CMR004005"/>
    <x v="17"/>
    <s v="CMR004005002"/>
    <s v="MOR-0068"/>
    <s v="MEHE SANDA"/>
    <m/>
    <x v="0"/>
    <s v="Janvier - Aout 2022"/>
    <n v="0"/>
    <n v="40"/>
    <x v="0"/>
    <m/>
    <s v="Même arrondissement"/>
    <s v="CMR"/>
    <s v="Cameroun"/>
    <s v="CMR004"/>
    <s v="Extrême-Nord"/>
    <s v="CMR004005"/>
    <s v="Mayo-Sava"/>
    <s v="CMR004005002"/>
    <s v="Mora"/>
  </r>
  <r>
    <s v="Extrême-Nord"/>
    <s v="CMR004"/>
    <x v="4"/>
    <s v="CMR004005"/>
    <x v="17"/>
    <s v="CMR004005002"/>
    <s v="MOR-0068"/>
    <s v="MEHE SANDA"/>
    <m/>
    <x v="0"/>
    <s v="Septembre 2022 – Février 2023"/>
    <n v="3"/>
    <n v="25"/>
    <x v="0"/>
    <m/>
    <s v="Même arrondissement"/>
    <s v="CMR"/>
    <s v="Cameroun"/>
    <s v="CMR004"/>
    <s v="Extrême-Nord"/>
    <s v="CMR004005"/>
    <s v="Mayo-Sava"/>
    <s v="CMR004005002"/>
    <s v="Mora"/>
  </r>
  <r>
    <s v="Extrême-Nord"/>
    <s v="CMR004"/>
    <x v="4"/>
    <s v="CMR004005"/>
    <x v="17"/>
    <s v="CMR004005002"/>
    <s v="MOR-0067"/>
    <s v="MANDALARI"/>
    <m/>
    <x v="0"/>
    <s v="Avant 2020"/>
    <n v="41"/>
    <n v="201"/>
    <x v="0"/>
    <m/>
    <s v="Même arrondissement"/>
    <s v="CMR"/>
    <s v="Cameroun"/>
    <s v="CMR004"/>
    <s v="Extrême-Nord"/>
    <s v="CMR004005"/>
    <s v="Mayo-Sava"/>
    <s v="CMR004005002"/>
    <s v="Mora"/>
  </r>
  <r>
    <s v="Extrême-Nord"/>
    <s v="CMR004"/>
    <x v="4"/>
    <s v="CMR004005"/>
    <x v="17"/>
    <s v="CMR004005002"/>
    <s v="MOR-0067"/>
    <s v="MANDALARI"/>
    <m/>
    <x v="0"/>
    <s v="En 2020"/>
    <n v="2"/>
    <n v="11"/>
    <x v="0"/>
    <m/>
    <s v="Même arrondissement"/>
    <s v="CMR"/>
    <s v="Cameroun"/>
    <s v="CMR004"/>
    <s v="Extrême-Nord"/>
    <s v="CMR004005"/>
    <s v="Mayo-Sava"/>
    <s v="CMR004005002"/>
    <s v="Mora"/>
  </r>
  <r>
    <s v="Extrême-Nord"/>
    <s v="CMR004"/>
    <x v="4"/>
    <s v="CMR004005"/>
    <x v="17"/>
    <s v="CMR004005002"/>
    <s v="MOR-0067"/>
    <s v="MANDALARI"/>
    <m/>
    <x v="0"/>
    <s v="En 2021"/>
    <n v="3"/>
    <n v="34"/>
    <x v="0"/>
    <m/>
    <s v="Même arrondissement"/>
    <s v="CMR"/>
    <s v="Cameroun"/>
    <s v="CMR004"/>
    <s v="Extrême-Nord"/>
    <s v="CMR004005"/>
    <s v="Mayo-Sava"/>
    <s v="CMR004005002"/>
    <s v="Mora"/>
  </r>
  <r>
    <s v="Extrême-Nord"/>
    <s v="CMR004"/>
    <x v="4"/>
    <s v="CMR004005"/>
    <x v="17"/>
    <s v="CMR004005002"/>
    <s v="MOR-0067"/>
    <s v="MANDALARI"/>
    <m/>
    <x v="0"/>
    <s v="Janvier - Aout 2022"/>
    <n v="10"/>
    <n v="105"/>
    <x v="0"/>
    <m/>
    <s v="Même arrondissement"/>
    <s v="CMR"/>
    <s v="Cameroun"/>
    <s v="CMR004"/>
    <s v="Extrême-Nord"/>
    <s v="CMR004005"/>
    <s v="Mayo-Sava"/>
    <s v="CMR004005002"/>
    <s v="Mora"/>
  </r>
  <r>
    <s v="Extrême-Nord"/>
    <s v="CMR004"/>
    <x v="4"/>
    <s v="CMR004005"/>
    <x v="17"/>
    <s v="CMR004005002"/>
    <s v="MOR-0067"/>
    <s v="MANDALARI"/>
    <m/>
    <x v="0"/>
    <s v="Septembre 2022 – Février 2023"/>
    <n v="0"/>
    <n v="3"/>
    <x v="0"/>
    <m/>
    <s v="Même arrondissement"/>
    <s v="CMR"/>
    <s v="Cameroun"/>
    <s v="CMR004"/>
    <s v="Extrême-Nord"/>
    <s v="CMR004005"/>
    <s v="Mayo-Sava"/>
    <s v="CMR004005002"/>
    <s v="Mora"/>
  </r>
  <r>
    <s v="Extrême-Nord"/>
    <s v="CMR004"/>
    <x v="2"/>
    <s v="CMR004002"/>
    <x v="12"/>
    <s v="CMR004002002"/>
    <s v="GOU-0052"/>
    <s v="HILEGUIME"/>
    <m/>
    <x v="0"/>
    <s v="En 2020"/>
    <n v="10"/>
    <n v="40"/>
    <x v="1"/>
    <m/>
    <s v="Même département, autre arrondissement"/>
    <s v="CMR"/>
    <s v="Cameroun"/>
    <s v="CMR004"/>
    <s v="Extrême-Nord"/>
    <s v="CMR004002"/>
    <s v="Logone-Et-Chari"/>
    <s v="CMR004002004"/>
    <s v="Logone-Birni"/>
  </r>
  <r>
    <s v="Extrême-Nord"/>
    <s v="CMR004"/>
    <x v="2"/>
    <s v="CMR004002"/>
    <x v="10"/>
    <s v="CMR004002003"/>
    <s v="BLA-0027"/>
    <s v="BLARAM SIGNAKA"/>
    <m/>
    <x v="0"/>
    <s v="Avant 2020"/>
    <n v="4"/>
    <n v="28"/>
    <x v="0"/>
    <m/>
    <s v="Même département, autre arrondissement"/>
    <s v="CMR"/>
    <s v="Cameroun"/>
    <s v="CMR004"/>
    <s v="Extrême-Nord"/>
    <s v="CMR004002"/>
    <s v="Logone-Et-Chari"/>
    <s v="CMR004002007"/>
    <s v="Darak"/>
  </r>
  <r>
    <s v="Extrême-Nord"/>
    <s v="CMR004"/>
    <x v="2"/>
    <s v="CMR004002"/>
    <x v="26"/>
    <s v="CMR004002006"/>
    <s v="KOU-0009"/>
    <s v="HARAZAYA"/>
    <m/>
    <x v="0"/>
    <s v="Avant 2020"/>
    <n v="60"/>
    <n v="250"/>
    <x v="0"/>
    <m/>
    <s v="Même département, autre arrondissement"/>
    <s v="CMR"/>
    <s v="Cameroun"/>
    <s v="CMR004"/>
    <s v="Extrême-Nord"/>
    <s v="CMR004002"/>
    <s v="Logone-Et-Chari"/>
    <s v="CMR004002008"/>
    <s v="Fotokol"/>
  </r>
  <r>
    <s v="Extrême-Nord"/>
    <s v="CMR004"/>
    <x v="2"/>
    <s v="CMR004002"/>
    <x v="26"/>
    <s v="CMR004002006"/>
    <s v="KOU-0009"/>
    <s v="HARAZAYA"/>
    <m/>
    <x v="0"/>
    <s v="En 2020"/>
    <n v="30"/>
    <n v="140"/>
    <x v="0"/>
    <m/>
    <s v="Même département, autre arrondissement"/>
    <s v="CMR"/>
    <s v="Cameroun"/>
    <s v="CMR004"/>
    <s v="Extrême-Nord"/>
    <s v="CMR004002"/>
    <s v="Logone-Et-Chari"/>
    <s v="CMR004002008"/>
    <s v="Fotokol"/>
  </r>
  <r>
    <s v="Extrême-Nord"/>
    <s v="CMR004"/>
    <x v="2"/>
    <s v="CMR004002"/>
    <x v="26"/>
    <s v="CMR004002006"/>
    <s v="KOU-0009"/>
    <s v="HARAZAYA"/>
    <m/>
    <x v="0"/>
    <s v="En 2021"/>
    <n v="12"/>
    <n v="70"/>
    <x v="0"/>
    <m/>
    <s v="Même département, autre arrondissement"/>
    <s v="CMR"/>
    <s v="Cameroun"/>
    <s v="CMR004"/>
    <s v="Extrême-Nord"/>
    <s v="CMR004002"/>
    <s v="Logone-Et-Chari"/>
    <s v="CMR004002008"/>
    <s v="Fotokol"/>
  </r>
  <r>
    <s v="Extrême-Nord"/>
    <s v="CMR004"/>
    <x v="2"/>
    <s v="CMR004002"/>
    <x v="26"/>
    <s v="CMR004002006"/>
    <s v="KOU-0009"/>
    <s v="HARAZAYA"/>
    <m/>
    <x v="0"/>
    <s v="Janvier - Aout 2022"/>
    <n v="17"/>
    <n v="152"/>
    <x v="1"/>
    <m/>
    <s v="Même département, autre arrondissement"/>
    <s v="CMR"/>
    <s v="Cameroun"/>
    <s v="CMR004"/>
    <s v="Extrême-Nord"/>
    <s v="CMR004002"/>
    <s v="Logone-Et-Chari"/>
    <s v="CMR004002004"/>
    <s v="Logone-Birni"/>
  </r>
  <r>
    <s v="Extrême-Nord"/>
    <s v="CMR004"/>
    <x v="2"/>
    <s v="CMR004002"/>
    <x v="26"/>
    <s v="CMR004002006"/>
    <s v="KOU-0009"/>
    <s v="HARAZAYA"/>
    <m/>
    <x v="0"/>
    <s v="Septembre 2022 – Février 2023"/>
    <n v="3"/>
    <n v="26"/>
    <x v="3"/>
    <m/>
    <s v="Même département, autre arrondissement"/>
    <s v="CMR"/>
    <s v="Cameroun"/>
    <s v="CMR004"/>
    <s v="Extrême-Nord"/>
    <s v="CMR004002"/>
    <s v="Logone-Et-Chari"/>
    <s v="CMR004002004"/>
    <s v="Logone-Birni"/>
  </r>
  <r>
    <s v="Extrême-Nord"/>
    <s v="CMR004"/>
    <x v="2"/>
    <s v="CMR004002"/>
    <x v="8"/>
    <s v="CMR004002009"/>
    <s v="MAK-0106"/>
    <s v="CHOU-SALAMAT"/>
    <m/>
    <x v="0"/>
    <s v="Janvier - Aout 2022"/>
    <n v="10"/>
    <n v="29"/>
    <x v="0"/>
    <m/>
    <s v="Même arrondissement"/>
    <s v="CMR"/>
    <s v="Cameroun"/>
    <s v="CMR004"/>
    <s v="Extrême-Nord"/>
    <s v="CMR004002"/>
    <s v="Logone-Et-Chari"/>
    <s v="CMR004002009"/>
    <s v="Makary"/>
  </r>
  <r>
    <s v="Extrême-Nord"/>
    <s v="CMR004"/>
    <x v="2"/>
    <s v="CMR004002"/>
    <x v="8"/>
    <s v="CMR004002009"/>
    <s v="MAK-0105"/>
    <s v="CHOU-KOTOKO"/>
    <m/>
    <x v="0"/>
    <s v="Janvier - Aout 2022"/>
    <n v="11"/>
    <n v="50"/>
    <x v="0"/>
    <m/>
    <s v="Même arrondissement"/>
    <s v="CMR"/>
    <s v="Cameroun"/>
    <s v="CMR004"/>
    <s v="Extrême-Nord"/>
    <s v="CMR004002"/>
    <s v="Logone-Et-Chari"/>
    <s v="CMR004002009"/>
    <s v="Makary"/>
  </r>
  <r>
    <s v="Extrême-Nord"/>
    <s v="CMR004"/>
    <x v="2"/>
    <s v="CMR004002"/>
    <x v="8"/>
    <s v="CMR004002009"/>
    <s v="MAK-0115"/>
    <s v="NGORTCHONO 2"/>
    <m/>
    <x v="0"/>
    <s v="Janvier - Aout 2022"/>
    <n v="14"/>
    <n v="110"/>
    <x v="0"/>
    <m/>
    <s v="Même arrondissement"/>
    <s v="CMR"/>
    <s v="Cameroun"/>
    <s v="CMR004"/>
    <s v="Extrême-Nord"/>
    <s v="CMR004002"/>
    <s v="Logone-Et-Chari"/>
    <s v="CMR004002009"/>
    <s v="Makary"/>
  </r>
  <r>
    <s v="Extrême-Nord"/>
    <s v="CMR004"/>
    <x v="2"/>
    <s v="CMR004002"/>
    <x v="8"/>
    <s v="CMR004002009"/>
    <s v="MAK-0082"/>
    <s v="NGARDOUGOUM"/>
    <m/>
    <x v="0"/>
    <s v="Janvier - Aout 2022"/>
    <n v="37"/>
    <n v="339"/>
    <x v="0"/>
    <m/>
    <s v="Même arrondissement"/>
    <s v="CMR"/>
    <s v="Cameroun"/>
    <s v="CMR004"/>
    <s v="Extrême-Nord"/>
    <s v="CMR004002"/>
    <s v="Logone-Et-Chari"/>
    <s v="CMR004002009"/>
    <s v="Makary"/>
  </r>
  <r>
    <s v="Extrême-Nord"/>
    <s v="CMR004"/>
    <x v="2"/>
    <s v="CMR004002"/>
    <x v="8"/>
    <s v="CMR004002009"/>
    <s v="MAK-0103"/>
    <s v="NGOURNOU"/>
    <m/>
    <x v="0"/>
    <s v="Janvier - Aout 2022"/>
    <n v="130"/>
    <n v="246"/>
    <x v="0"/>
    <m/>
    <s v="Même arrondissement"/>
    <s v="CMR"/>
    <s v="Cameroun"/>
    <s v="CMR004"/>
    <s v="Extrême-Nord"/>
    <s v="CMR004002"/>
    <s v="Logone-Et-Chari"/>
    <s v="CMR004002009"/>
    <s v="Makary"/>
  </r>
  <r>
    <s v="Extrême-Nord"/>
    <s v="CMR004"/>
    <x v="2"/>
    <s v="CMR004002"/>
    <x v="8"/>
    <s v="CMR004002009"/>
    <s v="MAK-0101"/>
    <s v="MBEE"/>
    <m/>
    <x v="0"/>
    <s v="Janvier - Aout 2022"/>
    <n v="24"/>
    <n v="182"/>
    <x v="0"/>
    <m/>
    <s v="Même arrondissement"/>
    <s v="CMR"/>
    <s v="Cameroun"/>
    <s v="CMR004"/>
    <s v="Extrême-Nord"/>
    <s v="CMR004002"/>
    <s v="Logone-Et-Chari"/>
    <s v="CMR004002009"/>
    <s v="Makary"/>
  </r>
  <r>
    <s v="Extrême-Nord"/>
    <s v="CMR004"/>
    <x v="2"/>
    <s v="CMR004002"/>
    <x v="8"/>
    <s v="CMR004002009"/>
    <s v="MAK-0207"/>
    <s v="SITE DE MAFOUFOU"/>
    <m/>
    <x v="0"/>
    <s v="Janvier - Aout 2022"/>
    <n v="87"/>
    <n v="1048"/>
    <x v="0"/>
    <m/>
    <s v="Même arrondissement"/>
    <s v="CMR"/>
    <s v="Cameroun"/>
    <s v="CMR004"/>
    <s v="Extrême-Nord"/>
    <s v="CMR004002"/>
    <s v="Logone-Et-Chari"/>
    <s v="CMR004002009"/>
    <s v="Makary"/>
  </r>
  <r>
    <s v="Extrême-Nord"/>
    <s v="CMR004"/>
    <x v="2"/>
    <s v="CMR004002"/>
    <x v="8"/>
    <s v="CMR004002009"/>
    <s v="MAK-0127"/>
    <s v="SITE DE BEDA"/>
    <m/>
    <x v="0"/>
    <s v="Avant 2020"/>
    <n v="49"/>
    <n v="485"/>
    <x v="0"/>
    <m/>
    <s v="Même arrondissement"/>
    <s v="CMR"/>
    <s v="Cameroun"/>
    <s v="CMR004"/>
    <s v="Extrême-Nord"/>
    <s v="CMR004002"/>
    <s v="Logone-Et-Chari"/>
    <s v="CMR004002009"/>
    <s v="Makary"/>
  </r>
  <r>
    <s v="Extrême-Nord"/>
    <s v="CMR004"/>
    <x v="2"/>
    <s v="CMR004002"/>
    <x v="25"/>
    <s v="CMR004002008"/>
    <s v="FOT-0037"/>
    <s v="BIDI"/>
    <m/>
    <x v="0"/>
    <s v="Avant 2020"/>
    <n v="1"/>
    <n v="8"/>
    <x v="0"/>
    <m/>
    <s v="Même arrondissement"/>
    <s v="CMR"/>
    <s v="Cameroun"/>
    <s v="CMR004"/>
    <s v="Extrême-Nord"/>
    <s v="CMR004002"/>
    <s v="Logone-Et-Chari"/>
    <s v="CMR004002008"/>
    <s v="Fotokol"/>
  </r>
  <r>
    <s v="Extrême-Nord"/>
    <s v="CMR004"/>
    <x v="2"/>
    <s v="CMR004002"/>
    <x v="25"/>
    <s v="CMR004002008"/>
    <s v="FOT-0002"/>
    <s v="BLANGAFE"/>
    <m/>
    <x v="0"/>
    <s v="En 2021"/>
    <n v="75"/>
    <n v="428"/>
    <x v="0"/>
    <m/>
    <s v="Même arrondissement"/>
    <s v="CMR"/>
    <s v="Cameroun"/>
    <s v="CMR004"/>
    <s v="Extrême-Nord"/>
    <s v="CMR004002"/>
    <s v="Logone-Et-Chari"/>
    <s v="CMR004002008"/>
    <s v="Fotokol"/>
  </r>
  <r>
    <s v="Extrême-Nord"/>
    <s v="CMR004"/>
    <x v="2"/>
    <s v="CMR004002"/>
    <x v="25"/>
    <s v="CMR004002008"/>
    <s v="FOT-0022"/>
    <s v="BELGUEDE"/>
    <m/>
    <x v="0"/>
    <s v="Avant 2020"/>
    <n v="63"/>
    <n v="403"/>
    <x v="0"/>
    <m/>
    <s v="Même arrondissement"/>
    <s v="CMR"/>
    <s v="Cameroun"/>
    <s v="CMR004"/>
    <s v="Extrême-Nord"/>
    <s v="CMR004002"/>
    <s v="Logone-Et-Chari"/>
    <s v="CMR004002008"/>
    <s v="Fotokol"/>
  </r>
  <r>
    <s v="Extrême-Nord"/>
    <s v="CMR004"/>
    <x v="2"/>
    <s v="CMR004002"/>
    <x v="25"/>
    <s v="CMR004002008"/>
    <s v="FOT-0022"/>
    <s v="BELGUEDE"/>
    <m/>
    <x v="0"/>
    <s v="En 2021"/>
    <n v="4"/>
    <n v="16"/>
    <x v="0"/>
    <m/>
    <s v="Même arrondissement"/>
    <s v="CMR"/>
    <s v="Cameroun"/>
    <s v="CMR004"/>
    <s v="Extrême-Nord"/>
    <s v="CMR004002"/>
    <s v="Logone-Et-Chari"/>
    <s v="CMR004002008"/>
    <s v="Fotokol"/>
  </r>
  <r>
    <s v="Extrême-Nord"/>
    <s v="CMR004"/>
    <x v="2"/>
    <s v="CMR004002"/>
    <x v="25"/>
    <s v="CMR004002008"/>
    <s v="FOT-0007"/>
    <s v="KALOUE"/>
    <m/>
    <x v="0"/>
    <s v="Avant 2020"/>
    <n v="10"/>
    <n v="59"/>
    <x v="0"/>
    <m/>
    <s v="Même arrondissement"/>
    <s v="CMR"/>
    <s v="Cameroun"/>
    <s v="CMR004"/>
    <s v="Extrême-Nord"/>
    <s v="CMR004002"/>
    <s v="Logone-Et-Chari"/>
    <s v="CMR004002008"/>
    <s v="Fotokol"/>
  </r>
  <r>
    <s v="Extrême-Nord"/>
    <s v="CMR004"/>
    <x v="2"/>
    <s v="CMR004002"/>
    <x v="8"/>
    <s v="CMR004002009"/>
    <s v="MAK-0141"/>
    <s v="KOUMBOULA"/>
    <m/>
    <x v="0"/>
    <s v="Avant 2020"/>
    <n v="21"/>
    <n v="77"/>
    <x v="0"/>
    <m/>
    <s v="Même arrondissement"/>
    <s v="CMR"/>
    <s v="Cameroun"/>
    <s v="CMR004"/>
    <s v="Extrême-Nord"/>
    <s v="CMR004002"/>
    <s v="Logone-Et-Chari"/>
    <s v="CMR004002009"/>
    <s v="Makary"/>
  </r>
  <r>
    <s v="Extrême-Nord"/>
    <s v="CMR004"/>
    <x v="2"/>
    <s v="CMR004002"/>
    <x v="8"/>
    <s v="CMR004002009"/>
    <s v="MAK-0145"/>
    <s v="NGORTCHONO 1"/>
    <m/>
    <x v="0"/>
    <s v="Avant 2020"/>
    <n v="3"/>
    <n v="47"/>
    <x v="0"/>
    <m/>
    <s v="Même arrondissement"/>
    <s v="CMR"/>
    <s v="Cameroun"/>
    <s v="CMR004"/>
    <s v="Extrême-Nord"/>
    <s v="CMR004002"/>
    <s v="Logone-Et-Chari"/>
    <s v="CMR004002009"/>
    <s v="Makary"/>
  </r>
  <r>
    <s v="Extrême-Nord"/>
    <s v="CMR004"/>
    <x v="4"/>
    <s v="CMR004005"/>
    <x v="19"/>
    <s v="CMR004005001"/>
    <s v="KOL-0010"/>
    <s v="KERAWA"/>
    <m/>
    <x v="0"/>
    <s v="Avant 2020"/>
    <n v="559"/>
    <n v="4482"/>
    <x v="0"/>
    <m/>
    <s v="Même arrondissement"/>
    <s v="CMR"/>
    <s v="Cameroun"/>
    <s v="CMR004"/>
    <s v="Extrême-Nord"/>
    <s v="CMR004005"/>
    <s v="Mayo-Sava"/>
    <s v="CMR004005001"/>
    <s v="Kolofata"/>
  </r>
  <r>
    <s v="Extrême-Nord"/>
    <s v="CMR004"/>
    <x v="4"/>
    <s v="CMR004005"/>
    <x v="19"/>
    <s v="CMR004005001"/>
    <s v="KOL-0010"/>
    <s v="KERAWA"/>
    <m/>
    <x v="0"/>
    <s v="En 2020"/>
    <n v="6"/>
    <n v="43"/>
    <x v="0"/>
    <m/>
    <s v="Même arrondissement"/>
    <s v="CMR"/>
    <s v="Cameroun"/>
    <s v="CMR004"/>
    <s v="Extrême-Nord"/>
    <s v="CMR004005"/>
    <s v="Mayo-Sava"/>
    <s v="CMR004005001"/>
    <s v="Kolofata"/>
  </r>
  <r>
    <s v="Extrême-Nord"/>
    <s v="CMR004"/>
    <x v="4"/>
    <s v="CMR004005"/>
    <x v="19"/>
    <s v="CMR004005001"/>
    <s v="KOL-0010"/>
    <s v="KERAWA"/>
    <m/>
    <x v="0"/>
    <s v="En 2021"/>
    <n v="193"/>
    <n v="916"/>
    <x v="0"/>
    <m/>
    <s v="Même arrondissement"/>
    <s v="CMR"/>
    <s v="Cameroun"/>
    <s v="CMR004"/>
    <s v="Extrême-Nord"/>
    <s v="CMR004005"/>
    <s v="Mayo-Sava"/>
    <s v="CMR004005001"/>
    <s v="Kolofata"/>
  </r>
  <r>
    <s v="Extrême-Nord"/>
    <s v="CMR004"/>
    <x v="4"/>
    <s v="CMR004005"/>
    <x v="19"/>
    <s v="CMR004005001"/>
    <s v="KOL-0010"/>
    <s v="KERAWA"/>
    <m/>
    <x v="0"/>
    <s v="Janvier - Aout 2022"/>
    <n v="45"/>
    <n v="525"/>
    <x v="0"/>
    <m/>
    <s v="Même arrondissement"/>
    <s v="CMR"/>
    <s v="Cameroun"/>
    <s v="CMR004"/>
    <s v="Extrême-Nord"/>
    <s v="CMR004005"/>
    <s v="Mayo-Sava"/>
    <s v="CMR004005001"/>
    <s v="Kolofata"/>
  </r>
  <r>
    <s v="Extrême-Nord"/>
    <s v="CMR004"/>
    <x v="4"/>
    <s v="CMR004005"/>
    <x v="19"/>
    <s v="CMR004005001"/>
    <s v="KOL-0010"/>
    <s v="KERAWA"/>
    <m/>
    <x v="0"/>
    <s v="Septembre 2022 – Février 2023"/>
    <n v="0"/>
    <n v="80"/>
    <x v="0"/>
    <m/>
    <s v="Même arrondissement"/>
    <s v="CMR"/>
    <s v="Cameroun"/>
    <s v="CMR004"/>
    <s v="Extrême-Nord"/>
    <s v="CMR004005"/>
    <s v="Mayo-Sava"/>
    <s v="CMR004005001"/>
    <s v="Kolofata"/>
  </r>
  <r>
    <s v="Extrême-Nord"/>
    <s v="CMR004"/>
    <x v="1"/>
    <s v="CMR004006"/>
    <x v="16"/>
    <s v="CMR004006004"/>
    <s v="KOZ-0010"/>
    <s v="GOUSDA MAKANDAI"/>
    <m/>
    <x v="0"/>
    <s v="Avant 2020"/>
    <n v="1"/>
    <n v="6"/>
    <x v="0"/>
    <m/>
    <s v="Même département, autre arrondissement"/>
    <s v="CMR"/>
    <s v="Cameroun"/>
    <s v="CMR004"/>
    <s v="Extrême-Nord"/>
    <s v="CMR004006"/>
    <s v="Mayo-Tsanaga"/>
    <s v="CMR004006005"/>
    <s v="Mayo-Moskota"/>
  </r>
  <r>
    <s v="Extrême-Nord"/>
    <s v="CMR004"/>
    <x v="1"/>
    <s v="CMR004006"/>
    <x v="16"/>
    <s v="CMR004006004"/>
    <s v="KOZ-0010"/>
    <s v="GOUSDA MAKANDAI"/>
    <m/>
    <x v="0"/>
    <s v="Janvier - Aout 2022"/>
    <n v="36"/>
    <n v="250"/>
    <x v="0"/>
    <m/>
    <s v="Même département, autre arrondissement"/>
    <s v="CMR"/>
    <s v="Cameroun"/>
    <s v="CMR004"/>
    <s v="Extrême-Nord"/>
    <s v="CMR004006"/>
    <s v="Mayo-Tsanaga"/>
    <s v="CMR004006005"/>
    <s v="Mayo-Moskota"/>
  </r>
  <r>
    <s v="Extrême-Nord"/>
    <s v="CMR004"/>
    <x v="1"/>
    <s v="CMR004006"/>
    <x v="16"/>
    <s v="CMR004006004"/>
    <s v="KOZ-0010"/>
    <s v="GOUSDA MAKANDAI"/>
    <m/>
    <x v="0"/>
    <s v="Septembre 2022 – Février 2023"/>
    <n v="3"/>
    <n v="12"/>
    <x v="0"/>
    <m/>
    <s v="Même département, autre arrondissement"/>
    <s v="CMR"/>
    <s v="Cameroun"/>
    <s v="CMR004"/>
    <s v="Extrême-Nord"/>
    <s v="CMR004006"/>
    <s v="Mayo-Tsanaga"/>
    <s v="CMR004006005"/>
    <s v="Mayo-Moskota"/>
  </r>
  <r>
    <s v="Extrême-Nord"/>
    <s v="CMR004"/>
    <x v="1"/>
    <s v="CMR004006"/>
    <x v="16"/>
    <s v="CMR004006004"/>
    <s v="KOZ-0013"/>
    <s v="GUID BALA"/>
    <m/>
    <x v="0"/>
    <s v="Janvier - Aout 2022"/>
    <n v="164"/>
    <n v="701"/>
    <x v="0"/>
    <m/>
    <s v="Même département, autre arrondissement"/>
    <s v="CMR"/>
    <s v="Cameroun"/>
    <s v="CMR004"/>
    <s v="Extrême-Nord"/>
    <s v="CMR004006"/>
    <s v="Mayo-Tsanaga"/>
    <s v="CMR004006005"/>
    <s v="Mayo-Moskota"/>
  </r>
  <r>
    <s v="Extrême-Nord"/>
    <s v="CMR004"/>
    <x v="1"/>
    <s v="CMR004006"/>
    <x v="16"/>
    <s v="CMR004006004"/>
    <s v="KOZ-0013"/>
    <s v="GUID BALA"/>
    <m/>
    <x v="0"/>
    <s v="Septembre 2022 – Février 2023"/>
    <n v="176"/>
    <n v="1464"/>
    <x v="0"/>
    <m/>
    <s v="Même arrondissement"/>
    <s v="CMR"/>
    <s v="Cameroun"/>
    <s v="CMR004"/>
    <s v="Extrême-Nord"/>
    <s v="CMR004006"/>
    <s v="Mayo-Tsanaga"/>
    <s v="CMR004006004"/>
    <s v="Koza"/>
  </r>
  <r>
    <s v="Extrême-Nord"/>
    <s v="CMR004"/>
    <x v="1"/>
    <s v="CMR004006"/>
    <x v="16"/>
    <s v="CMR004006004"/>
    <s v="KOZ-0019"/>
    <s v="MAZI"/>
    <m/>
    <x v="0"/>
    <s v="En 2021"/>
    <n v="25"/>
    <n v="200"/>
    <x v="0"/>
    <m/>
    <s v="Même département, autre arrondissement"/>
    <s v="CMR"/>
    <s v="Cameroun"/>
    <s v="CMR004"/>
    <s v="Extrême-Nord"/>
    <s v="CMR004006"/>
    <s v="Mayo-Tsanaga"/>
    <s v="CMR004006005"/>
    <s v="Mayo-Moskota"/>
  </r>
  <r>
    <s v="Extrême-Nord"/>
    <s v="CMR004"/>
    <x v="1"/>
    <s v="CMR004006"/>
    <x v="16"/>
    <s v="CMR004006004"/>
    <s v="KOZ-0019"/>
    <s v="MAZI"/>
    <m/>
    <x v="0"/>
    <s v="Janvier - Aout 2022"/>
    <n v="86"/>
    <n v="609"/>
    <x v="0"/>
    <m/>
    <s v="Même département, autre arrondissement"/>
    <s v="CMR"/>
    <s v="Cameroun"/>
    <s v="CMR004"/>
    <s v="Extrême-Nord"/>
    <s v="CMR004006"/>
    <s v="Mayo-Tsanaga"/>
    <s v="CMR004006005"/>
    <s v="Mayo-Moskota"/>
  </r>
  <r>
    <s v="Extrême-Nord"/>
    <s v="CMR004"/>
    <x v="1"/>
    <s v="CMR004006"/>
    <x v="16"/>
    <s v="CMR004006004"/>
    <s v="KOZ-0019"/>
    <s v="MAZI"/>
    <m/>
    <x v="0"/>
    <s v="Septembre 2022 – Février 2023"/>
    <n v="51"/>
    <n v="260"/>
    <x v="0"/>
    <m/>
    <s v="Même département, autre arrondissement"/>
    <s v="CMR"/>
    <s v="Cameroun"/>
    <s v="CMR004"/>
    <s v="Extrême-Nord"/>
    <s v="CMR004006"/>
    <s v="Mayo-Tsanaga"/>
    <s v="CMR004006005"/>
    <s v="Mayo-Moskota"/>
  </r>
  <r>
    <s v="Extrême-Nord"/>
    <s v="CMR004"/>
    <x v="1"/>
    <s v="CMR004006"/>
    <x v="16"/>
    <s v="CMR004006004"/>
    <s v="KOZ-0038"/>
    <s v="MAVOUMAY"/>
    <m/>
    <x v="0"/>
    <s v="En 2021"/>
    <n v="0"/>
    <n v="15"/>
    <x v="0"/>
    <m/>
    <s v="Même département, autre arrondissement"/>
    <s v="CMR"/>
    <s v="Cameroun"/>
    <s v="CMR004"/>
    <s v="Extrême-Nord"/>
    <s v="CMR004006"/>
    <s v="Mayo-Tsanaga"/>
    <s v="CMR004006005"/>
    <s v="Mayo-Moskota"/>
  </r>
  <r>
    <s v="Extrême-Nord"/>
    <s v="CMR004"/>
    <x v="1"/>
    <s v="CMR004006"/>
    <x v="16"/>
    <s v="CMR004006004"/>
    <s v="KOZ-0038"/>
    <s v="MAVOUMAY"/>
    <m/>
    <x v="0"/>
    <s v="Janvier - Aout 2022"/>
    <n v="92"/>
    <n v="445"/>
    <x v="0"/>
    <m/>
    <s v="Même département, autre arrondissement"/>
    <s v="CMR"/>
    <s v="Cameroun"/>
    <s v="CMR004"/>
    <s v="Extrême-Nord"/>
    <s v="CMR004006"/>
    <s v="Mayo-Tsanaga"/>
    <s v="CMR004006005"/>
    <s v="Mayo-Moskota"/>
  </r>
  <r>
    <s v="Extrême-Nord"/>
    <s v="CMR004"/>
    <x v="1"/>
    <s v="CMR004006"/>
    <x v="16"/>
    <s v="CMR004006004"/>
    <s v="KOZ-0038"/>
    <s v="MAVOUMAY"/>
    <m/>
    <x v="0"/>
    <s v="Septembre 2022 – Février 2023"/>
    <n v="23"/>
    <n v="176"/>
    <x v="0"/>
    <m/>
    <s v="Même département, autre arrondissement"/>
    <s v="CMR"/>
    <s v="Cameroun"/>
    <s v="CMR004"/>
    <s v="Extrême-Nord"/>
    <s v="CMR004006"/>
    <s v="Mayo-Tsanaga"/>
    <s v="CMR004006005"/>
    <s v="Mayo-Moskota"/>
  </r>
  <r>
    <s v="Extrême-Nord"/>
    <s v="CMR004"/>
    <x v="2"/>
    <s v="CMR004002"/>
    <x v="9"/>
    <s v="CMR004002010"/>
    <s v="HIL-0022"/>
    <s v="FADJA"/>
    <m/>
    <x v="0"/>
    <s v="Avant 2020"/>
    <n v="5"/>
    <n v="35"/>
    <x v="0"/>
    <m/>
    <s v="Même arrondissement"/>
    <s v="CMR"/>
    <s v="Cameroun"/>
    <s v="CMR004"/>
    <s v="Extrême-Nord"/>
    <s v="CMR004002"/>
    <s v="Logone-Et-Chari"/>
    <s v="CMR004002010"/>
    <s v="Hile-Alifa"/>
  </r>
  <r>
    <s v="Extrême-Nord"/>
    <s v="CMR004"/>
    <x v="2"/>
    <s v="CMR004002"/>
    <x v="9"/>
    <s v="CMR004002010"/>
    <s v="HIL-0022"/>
    <s v="FADJA"/>
    <m/>
    <x v="0"/>
    <s v="Septembre 2022 – Février 2023"/>
    <n v="6"/>
    <n v="42"/>
    <x v="0"/>
    <m/>
    <s v="Même département, autre arrondissement"/>
    <s v="CMR"/>
    <s v="Cameroun"/>
    <s v="CMR004"/>
    <s v="Extrême-Nord"/>
    <s v="CMR004002"/>
    <s v="Logone-Et-Chari"/>
    <s v="CMR004002007"/>
    <s v="Darak"/>
  </r>
  <r>
    <s v="Extrême-Nord"/>
    <s v="CMR004"/>
    <x v="2"/>
    <s v="CMR004002"/>
    <x v="9"/>
    <s v="CMR004002010"/>
    <s v="HIL-0023"/>
    <s v="GONONI"/>
    <m/>
    <x v="0"/>
    <s v="Avant 2020"/>
    <n v="5"/>
    <n v="45"/>
    <x v="0"/>
    <m/>
    <s v="Même arrondissement"/>
    <s v="CMR"/>
    <s v="Cameroun"/>
    <s v="CMR004"/>
    <s v="Extrême-Nord"/>
    <s v="CMR004002"/>
    <s v="Logone-Et-Chari"/>
    <s v="CMR004002010"/>
    <s v="Hile-Alifa"/>
  </r>
  <r>
    <s v="Extrême-Nord"/>
    <s v="CMR004"/>
    <x v="2"/>
    <s v="CMR004002"/>
    <x v="9"/>
    <s v="CMR004002010"/>
    <s v="HIL-0023"/>
    <s v="GONONI"/>
    <m/>
    <x v="0"/>
    <s v="En 2021"/>
    <n v="2"/>
    <n v="26"/>
    <x v="0"/>
    <m/>
    <s v="Même arrondissement"/>
    <s v="CMR"/>
    <s v="Cameroun"/>
    <s v="CMR004"/>
    <s v="Extrême-Nord"/>
    <s v="CMR004002"/>
    <s v="Logone-Et-Chari"/>
    <s v="CMR004002010"/>
    <s v="Hile-Alifa"/>
  </r>
  <r>
    <s v="Extrême-Nord"/>
    <s v="CMR004"/>
    <x v="2"/>
    <s v="CMR004002"/>
    <x v="9"/>
    <s v="CMR004002010"/>
    <s v="HIL-0023"/>
    <s v="GONONI"/>
    <m/>
    <x v="0"/>
    <s v="Septembre 2022 – Février 2023"/>
    <n v="35"/>
    <n v="201"/>
    <x v="0"/>
    <m/>
    <s v="Même département, autre arrondissement"/>
    <s v="CMR"/>
    <s v="Cameroun"/>
    <s v="CMR004"/>
    <s v="Extrême-Nord"/>
    <s v="CMR004002"/>
    <s v="Logone-Et-Chari"/>
    <s v="CMR004002007"/>
    <s v="Darak"/>
  </r>
  <r>
    <s v="Extrême-Nord"/>
    <s v="CMR004"/>
    <x v="1"/>
    <s v="CMR004006"/>
    <x v="7"/>
    <s v="CMR004006005"/>
    <s v="MOZ-0013"/>
    <s v="MANDOUSSA"/>
    <m/>
    <x v="0"/>
    <s v="Septembre 2022 – Février 2023"/>
    <n v="8"/>
    <n v="137"/>
    <x v="0"/>
    <m/>
    <s v="Même arrondissement"/>
    <s v="CMR"/>
    <s v="Cameroun"/>
    <s v="CMR004"/>
    <s v="Extrême-Nord"/>
    <s v="CMR004006"/>
    <s v="Mayo-Tsanaga"/>
    <s v="CMR004006005"/>
    <s v="Mayo-Moskota"/>
  </r>
  <r>
    <s v="Extrême-Nord"/>
    <s v="CMR004"/>
    <x v="1"/>
    <s v="CMR004006"/>
    <x v="7"/>
    <s v="CMR004006005"/>
    <s v="MOZ-0013"/>
    <s v="MANDOUSSA"/>
    <m/>
    <x v="0"/>
    <s v="Janvier - Aout 2022"/>
    <n v="5"/>
    <n v="39"/>
    <x v="0"/>
    <m/>
    <s v="Même arrondissement"/>
    <s v="CMR"/>
    <s v="Cameroun"/>
    <s v="CMR004"/>
    <s v="Extrême-Nord"/>
    <s v="CMR004006"/>
    <s v="Mayo-Tsanaga"/>
    <s v="CMR004006005"/>
    <s v="Mayo-Moskota"/>
  </r>
  <r>
    <s v="Extrême-Nord"/>
    <s v="CMR004"/>
    <x v="1"/>
    <s v="CMR004006"/>
    <x v="7"/>
    <s v="CMR004006005"/>
    <s v="MOZ-0034"/>
    <s v="GODZ-GODZON"/>
    <m/>
    <x v="0"/>
    <s v="Septembre 2022 – Février 2023"/>
    <n v="11"/>
    <n v="80"/>
    <x v="0"/>
    <m/>
    <s v="Même arrondissement"/>
    <s v="CMR"/>
    <s v="Cameroun"/>
    <s v="CMR004"/>
    <s v="Extrême-Nord"/>
    <s v="CMR004006"/>
    <s v="Mayo-Tsanaga"/>
    <s v="CMR004006005"/>
    <s v="Mayo-Moskota"/>
  </r>
  <r>
    <s v="Extrême-Nord"/>
    <s v="CMR004"/>
    <x v="1"/>
    <s v="CMR004006"/>
    <x v="7"/>
    <s v="CMR004006005"/>
    <s v="MOZ-0034"/>
    <s v="GODZ-GODZON"/>
    <m/>
    <x v="0"/>
    <s v="Janvier - Aout 2022"/>
    <n v="51"/>
    <n v="281"/>
    <x v="0"/>
    <m/>
    <s v="Même arrondissement"/>
    <s v="CMR"/>
    <s v="Cameroun"/>
    <s v="CMR004"/>
    <s v="Extrême-Nord"/>
    <s v="CMR004006"/>
    <s v="Mayo-Tsanaga"/>
    <s v="CMR004006005"/>
    <s v="Mayo-Moskota"/>
  </r>
  <r>
    <s v="Extrême-Nord"/>
    <s v="CMR004"/>
    <x v="1"/>
    <s v="CMR004006"/>
    <x v="7"/>
    <s v="CMR004006005"/>
    <s v="MOZ-0027"/>
    <s v="TALLA KATCHI"/>
    <m/>
    <x v="0"/>
    <s v="Janvier - Aout 2022"/>
    <n v="6"/>
    <n v="27"/>
    <x v="0"/>
    <m/>
    <s v="Même arrondissement"/>
    <s v="CMR"/>
    <s v="Cameroun"/>
    <s v="CMR004"/>
    <s v="Extrême-Nord"/>
    <s v="CMR004006"/>
    <s v="Mayo-Tsanaga"/>
    <s v="CMR004006005"/>
    <s v="Mayo-Moskota"/>
  </r>
  <r>
    <s v="Extrême-Nord"/>
    <s v="CMR004"/>
    <x v="1"/>
    <s v="CMR004006"/>
    <x v="7"/>
    <s v="CMR004006005"/>
    <s v="MOZ-0001"/>
    <s v="GOKORO"/>
    <m/>
    <x v="0"/>
    <s v="Janvier - Aout 2022"/>
    <n v="116"/>
    <n v="559"/>
    <x v="0"/>
    <m/>
    <s v="Même arrondissement"/>
    <s v="CMR"/>
    <s v="Cameroun"/>
    <s v="CMR004"/>
    <s v="Extrême-Nord"/>
    <s v="CMR004006"/>
    <s v="Mayo-Tsanaga"/>
    <s v="CMR004006005"/>
    <s v="Mayo-Moskota"/>
  </r>
  <r>
    <s v="Extrême-Nord"/>
    <s v="CMR004"/>
    <x v="1"/>
    <s v="CMR004006"/>
    <x v="7"/>
    <s v="CMR004006005"/>
    <s v="MOZ-0012"/>
    <s v="NGUETCHEWE CENTRE"/>
    <m/>
    <x v="0"/>
    <s v="Janvier - Aout 2022"/>
    <n v="94"/>
    <n v="577"/>
    <x v="0"/>
    <m/>
    <s v="Même arrondissement"/>
    <s v="CMR"/>
    <s v="Cameroun"/>
    <s v="CMR004"/>
    <s v="Extrême-Nord"/>
    <s v="CMR004006"/>
    <s v="Mayo-Tsanaga"/>
    <s v="CMR004006005"/>
    <s v="Mayo-Moskota"/>
  </r>
  <r>
    <s v="Extrême-Nord"/>
    <s v="CMR004"/>
    <x v="1"/>
    <s v="CMR004006"/>
    <x v="7"/>
    <s v="CMR004006005"/>
    <s v="MOZ-0012"/>
    <s v="NGUETCHEWE CENTRE"/>
    <m/>
    <x v="0"/>
    <s v="Septembre 2022 – Février 2023"/>
    <n v="14"/>
    <n v="91"/>
    <x v="0"/>
    <m/>
    <s v="Même arrondissement"/>
    <s v="CMR"/>
    <s v="Cameroun"/>
    <s v="CMR004"/>
    <s v="Extrême-Nord"/>
    <s v="CMR004006"/>
    <s v="Mayo-Tsanaga"/>
    <s v="CMR004006005"/>
    <s v="Mayo-Moskota"/>
  </r>
  <r>
    <s v="Extrême-Nord"/>
    <s v="CMR004"/>
    <x v="1"/>
    <s v="CMR004006"/>
    <x v="7"/>
    <s v="CMR004006005"/>
    <s v="MOZ-0033"/>
    <s v="SITE DE NGUETCHEWE"/>
    <m/>
    <x v="0"/>
    <s v="Janvier - Aout 2022"/>
    <n v="65"/>
    <n v="680"/>
    <x v="0"/>
    <m/>
    <s v="Même arrondissement"/>
    <s v="CMR"/>
    <s v="Cameroun"/>
    <s v="CMR004"/>
    <s v="Extrême-Nord"/>
    <s v="CMR004006"/>
    <s v="Mayo-Tsanaga"/>
    <s v="CMR004006005"/>
    <s v="Mayo-Moskota"/>
  </r>
  <r>
    <s v="Extrême-Nord"/>
    <s v="CMR004"/>
    <x v="1"/>
    <s v="CMR004006"/>
    <x v="7"/>
    <s v="CMR004006005"/>
    <s v="MOZ-0033"/>
    <s v="SITE DE NGUETCHEWE"/>
    <m/>
    <x v="0"/>
    <s v="Septembre 2022 – Février 2023"/>
    <n v="7"/>
    <n v="21"/>
    <x v="0"/>
    <m/>
    <s v="Même arrondissement"/>
    <s v="CMR"/>
    <s v="Cameroun"/>
    <s v="CMR004"/>
    <s v="Extrême-Nord"/>
    <s v="CMR004006"/>
    <s v="Mayo-Tsanaga"/>
    <s v="CMR004006005"/>
    <s v="Mayo-Moskota"/>
  </r>
  <r>
    <s v="Extrême-Nord"/>
    <s v="CMR004"/>
    <x v="2"/>
    <s v="CMR004002"/>
    <x v="9"/>
    <s v="CMR004002010"/>
    <s v="HIL-0016"/>
    <s v="DOUGOUMSILIO 2"/>
    <m/>
    <x v="0"/>
    <s v="Avant 2020"/>
    <n v="24"/>
    <n v="164"/>
    <x v="0"/>
    <m/>
    <s v="Même arrondissement"/>
    <s v="CMR"/>
    <s v="Cameroun"/>
    <s v="CMR004"/>
    <s v="Extrême-Nord"/>
    <s v="CMR004002"/>
    <s v="Logone-Et-Chari"/>
    <s v="CMR004002010"/>
    <s v="Hile-Alifa"/>
  </r>
  <r>
    <s v="Extrême-Nord"/>
    <s v="CMR004"/>
    <x v="2"/>
    <s v="CMR004002"/>
    <x v="9"/>
    <s v="CMR004002010"/>
    <s v="HIL-0016"/>
    <s v="DOUGOUMSILIO 2"/>
    <m/>
    <x v="0"/>
    <s v="Septembre 2022 – Février 2023"/>
    <n v="5"/>
    <n v="30"/>
    <x v="0"/>
    <m/>
    <s v="Même arrondissement"/>
    <s v="CMR"/>
    <s v="Cameroun"/>
    <s v="CMR004"/>
    <s v="Extrême-Nord"/>
    <s v="CMR004002"/>
    <s v="Logone-Et-Chari"/>
    <s v="CMR004002010"/>
    <s v="Hile-Alifa"/>
  </r>
  <r>
    <s v="Extrême-Nord"/>
    <s v="CMR004"/>
    <x v="2"/>
    <s v="CMR004002"/>
    <x v="8"/>
    <s v="CMR004002009"/>
    <s v="MAK-0100"/>
    <s v="KESSAWA"/>
    <m/>
    <x v="0"/>
    <s v="Janvier - Aout 2022"/>
    <n v="165"/>
    <n v="1229"/>
    <x v="0"/>
    <m/>
    <s v="Même arrondissement"/>
    <s v="CMR"/>
    <s v="Cameroun"/>
    <s v="CMR004"/>
    <s v="Extrême-Nord"/>
    <s v="CMR004002"/>
    <s v="Logone-Et-Chari"/>
    <s v="CMR004002009"/>
    <s v="Makary"/>
  </r>
  <r>
    <s v="Extrême-Nord"/>
    <s v="CMR004"/>
    <x v="2"/>
    <s v="CMR004002"/>
    <x v="8"/>
    <s v="CMR004002009"/>
    <s v="MAK-0049"/>
    <s v="KESAWA"/>
    <m/>
    <x v="0"/>
    <s v="Janvier - Aout 2022"/>
    <n v="21"/>
    <n v="175"/>
    <x v="0"/>
    <m/>
    <s v="Même arrondissement"/>
    <s v="CMR"/>
    <s v="Cameroun"/>
    <s v="CMR004"/>
    <s v="Extrême-Nord"/>
    <s v="CMR004002"/>
    <s v="Logone-Et-Chari"/>
    <s v="CMR004002009"/>
    <s v="Makary"/>
  </r>
  <r>
    <s v="Extrême-Nord"/>
    <s v="CMR004"/>
    <x v="2"/>
    <s v="CMR004002"/>
    <x v="8"/>
    <s v="CMR004002009"/>
    <s v="MAK-0110"/>
    <s v="HELISNA"/>
    <m/>
    <x v="0"/>
    <s v="Janvier - Aout 2022"/>
    <n v="12"/>
    <n v="87"/>
    <x v="0"/>
    <m/>
    <s v="Même arrondissement"/>
    <s v="CMR"/>
    <s v="Cameroun"/>
    <s v="CMR004"/>
    <s v="Extrême-Nord"/>
    <s v="CMR004002"/>
    <s v="Logone-Et-Chari"/>
    <s v="CMR004002009"/>
    <s v="Makary"/>
  </r>
  <r>
    <s v="Extrême-Nord"/>
    <s v="CMR004"/>
    <x v="2"/>
    <s v="CMR004002"/>
    <x v="8"/>
    <s v="CMR004002009"/>
    <s v="MAK-0003"/>
    <s v="AFADE (village)"/>
    <m/>
    <x v="0"/>
    <s v="Janvier - Aout 2022"/>
    <n v="931"/>
    <n v="8346"/>
    <x v="0"/>
    <m/>
    <s v="Même arrondissement"/>
    <s v="CMR"/>
    <s v="Cameroun"/>
    <s v="CMR004"/>
    <s v="Extrême-Nord"/>
    <s v="CMR004002"/>
    <s v="Logone-Et-Chari"/>
    <s v="CMR004002009"/>
    <s v="Makary"/>
  </r>
  <r>
    <s v="Extrême-Nord"/>
    <s v="CMR004"/>
    <x v="2"/>
    <s v="CMR004002"/>
    <x v="8"/>
    <s v="CMR004002009"/>
    <s v="MAK-0003"/>
    <s v="AFADE (village)"/>
    <m/>
    <x v="0"/>
    <s v="Septembre 2022 – Février 2023"/>
    <n v="5"/>
    <n v="15"/>
    <x v="3"/>
    <m/>
    <s v="Même arrondissement"/>
    <s v="CMR"/>
    <s v="Cameroun"/>
    <s v="CMR004"/>
    <s v="Extrême-Nord"/>
    <s v="CMR004002"/>
    <s v="Logone-Et-Chari"/>
    <s v="CMR004002009"/>
    <s v="Makary"/>
  </r>
  <r>
    <s v="Extrême-Nord"/>
    <s v="CMR004"/>
    <x v="2"/>
    <s v="CMR004002"/>
    <x v="8"/>
    <s v="CMR004002009"/>
    <s v="MAK-0004"/>
    <s v="SITE DE AFADE"/>
    <m/>
    <x v="0"/>
    <s v="Janvier - Aout 2022"/>
    <n v="440"/>
    <n v="3776"/>
    <x v="0"/>
    <m/>
    <s v="Même arrondissement"/>
    <s v="CMR"/>
    <s v="Cameroun"/>
    <s v="CMR004"/>
    <s v="Extrême-Nord"/>
    <s v="CMR004002"/>
    <s v="Logone-Et-Chari"/>
    <s v="CMR004002009"/>
    <s v="Makary"/>
  </r>
  <r>
    <s v="Extrême-Nord"/>
    <s v="CMR004"/>
    <x v="2"/>
    <s v="CMR004002"/>
    <x v="8"/>
    <s v="CMR004002009"/>
    <s v="MAK-0004"/>
    <s v="SITE DE AFADE"/>
    <m/>
    <x v="0"/>
    <s v="Septembre 2022 – Février 2023"/>
    <n v="3"/>
    <n v="15"/>
    <x v="3"/>
    <m/>
    <s v="Même arrondissement"/>
    <s v="CMR"/>
    <s v="Cameroun"/>
    <s v="CMR004"/>
    <s v="Extrême-Nord"/>
    <s v="CMR004002"/>
    <s v="Logone-Et-Chari"/>
    <s v="CMR004002009"/>
    <s v="Makary"/>
  </r>
  <r>
    <s v="Extrême-Nord"/>
    <s v="CMR004"/>
    <x v="2"/>
    <s v="CMR004002"/>
    <x v="13"/>
    <s v="CMR004002001"/>
    <s v="WAZ-0014"/>
    <s v="ZOLZALÉ"/>
    <m/>
    <x v="0"/>
    <s v="En 2021"/>
    <n v="5"/>
    <n v="41"/>
    <x v="1"/>
    <m/>
    <s v="Même département, autre arrondissement"/>
    <s v="CMR"/>
    <s v="Cameroun"/>
    <s v="CMR004"/>
    <s v="Extrême-Nord"/>
    <s v="CMR004002"/>
    <s v="Logone-Et-Chari"/>
    <s v="CMR004002004"/>
    <s v="Logone-Birni"/>
  </r>
  <r>
    <s v="Extrême-Nord"/>
    <s v="CMR004"/>
    <x v="2"/>
    <s v="CMR004002"/>
    <x v="13"/>
    <s v="CMR004002001"/>
    <s v="WAZ-0037"/>
    <s v="ARDEBE 2"/>
    <m/>
    <x v="0"/>
    <s v="En 2021"/>
    <n v="11"/>
    <n v="66"/>
    <x v="1"/>
    <m/>
    <s v="Même département, autre arrondissement"/>
    <s v="CMR"/>
    <s v="Cameroun"/>
    <s v="CMR004"/>
    <s v="Extrême-Nord"/>
    <s v="CMR004002"/>
    <s v="Logone-Et-Chari"/>
    <s v="CMR004002004"/>
    <s v="Logone-Birni"/>
  </r>
  <r>
    <s v="Extrême-Nord"/>
    <s v="CMR004"/>
    <x v="2"/>
    <s v="CMR004002"/>
    <x v="13"/>
    <s v="CMR004002001"/>
    <s v="WAZ-0004"/>
    <s v="MADA 1"/>
    <m/>
    <x v="0"/>
    <s v="En 2021"/>
    <n v="20"/>
    <n v="99"/>
    <x v="1"/>
    <m/>
    <s v="Même département, autre arrondissement"/>
    <s v="CMR"/>
    <s v="Cameroun"/>
    <s v="CMR004"/>
    <s v="Extrême-Nord"/>
    <s v="CMR004002"/>
    <s v="Logone-Et-Chari"/>
    <s v="CMR004002004"/>
    <s v="Logone-Birni"/>
  </r>
  <r>
    <s v="Extrême-Nord"/>
    <s v="CMR004"/>
    <x v="2"/>
    <s v="CMR004002"/>
    <x v="15"/>
    <s v="CMR004002004"/>
    <s v="LBI-0011"/>
    <s v="MELARI"/>
    <m/>
    <x v="0"/>
    <s v="Avant 2020"/>
    <n v="18"/>
    <n v="138"/>
    <x v="0"/>
    <m/>
    <s v="Même arrondissement"/>
    <s v="CMR"/>
    <s v="Cameroun"/>
    <s v="CMR004"/>
    <s v="Extrême-Nord"/>
    <s v="CMR004002"/>
    <s v="Logone-Et-Chari"/>
    <s v="CMR004002004"/>
    <s v="Logone-Birni"/>
  </r>
  <r>
    <s v="Extrême-Nord"/>
    <s v="CMR004"/>
    <x v="2"/>
    <s v="CMR004002"/>
    <x v="15"/>
    <s v="CMR004002004"/>
    <s v="LBI-0017"/>
    <s v="SKLIO"/>
    <m/>
    <x v="0"/>
    <s v="Avant 2020"/>
    <n v="84"/>
    <n v="465"/>
    <x v="0"/>
    <m/>
    <s v="Même arrondissement"/>
    <s v="CMR"/>
    <s v="Cameroun"/>
    <s v="CMR004"/>
    <s v="Extrême-Nord"/>
    <s v="CMR004002"/>
    <s v="Logone-Et-Chari"/>
    <s v="CMR004002004"/>
    <s v="Logone-Birni"/>
  </r>
  <r>
    <s v="Extrême-Nord"/>
    <s v="CMR004"/>
    <x v="2"/>
    <s v="CMR004002"/>
    <x v="15"/>
    <s v="CMR004002004"/>
    <s v="LBI-0017"/>
    <s v="SKLIO"/>
    <m/>
    <x v="0"/>
    <s v="Janvier - Aout 2022"/>
    <n v="14"/>
    <n v="87"/>
    <x v="0"/>
    <m/>
    <s v="Même arrondissement"/>
    <s v="CMR"/>
    <s v="Cameroun"/>
    <s v="CMR004"/>
    <s v="Extrême-Nord"/>
    <s v="CMR004002"/>
    <s v="Logone-Et-Chari"/>
    <s v="CMR004002004"/>
    <s v="Logone-Birni"/>
  </r>
  <r>
    <s v="Extrême-Nord"/>
    <s v="CMR004"/>
    <x v="2"/>
    <s v="CMR004002"/>
    <x v="15"/>
    <s v="CMR004002004"/>
    <s v="LBI-0013"/>
    <s v="MOULADOCK 2"/>
    <m/>
    <x v="0"/>
    <s v="Avant 2020"/>
    <n v="4"/>
    <n v="40"/>
    <x v="0"/>
    <m/>
    <s v="Même arrondissement"/>
    <s v="CMR"/>
    <s v="Cameroun"/>
    <s v="CMR004"/>
    <s v="Extrême-Nord"/>
    <s v="CMR004002"/>
    <s v="Logone-Et-Chari"/>
    <s v="CMR004002004"/>
    <s v="Logone-Birni"/>
  </r>
  <r>
    <s v="Extrême-Nord"/>
    <s v="CMR004"/>
    <x v="2"/>
    <s v="CMR004002"/>
    <x v="15"/>
    <s v="CMR004002004"/>
    <s v="LBI-0013"/>
    <s v="MOULADOCK 2"/>
    <m/>
    <x v="0"/>
    <s v="Janvier - Aout 2022"/>
    <n v="10"/>
    <n v="45"/>
    <x v="0"/>
    <m/>
    <s v="Même arrondissement"/>
    <s v="CMR"/>
    <s v="Cameroun"/>
    <s v="CMR004"/>
    <s v="Extrême-Nord"/>
    <s v="CMR004002"/>
    <s v="Logone-Et-Chari"/>
    <s v="CMR004002004"/>
    <s v="Logone-Birni"/>
  </r>
  <r>
    <s v="Extrême-Nord"/>
    <s v="CMR004"/>
    <x v="2"/>
    <s v="CMR004002"/>
    <x v="25"/>
    <s v="CMR004002008"/>
    <s v="FOT-0026"/>
    <s v="GOLMO KOTOKO"/>
    <m/>
    <x v="0"/>
    <s v="Avant 2020"/>
    <n v="15"/>
    <n v="42"/>
    <x v="0"/>
    <m/>
    <s v="Même arrondissement"/>
    <s v="CMR"/>
    <s v="Cameroun"/>
    <s v="CMR004"/>
    <s v="Extrême-Nord"/>
    <s v="CMR004002"/>
    <s v="Logone-Et-Chari"/>
    <s v="CMR004002008"/>
    <s v="Fotokol"/>
  </r>
  <r>
    <s v="Extrême-Nord"/>
    <s v="CMR004"/>
    <x v="2"/>
    <s v="CMR004002"/>
    <x v="13"/>
    <s v="CMR004002001"/>
    <s v="WAZ-0022"/>
    <s v="SITE DE MADA 2"/>
    <m/>
    <x v="0"/>
    <s v="Avant 2020"/>
    <n v="55"/>
    <n v="459"/>
    <x v="0"/>
    <m/>
    <s v="Même arrondissement"/>
    <s v="CMR"/>
    <s v="Cameroun"/>
    <s v="CMR004"/>
    <s v="Extrême-Nord"/>
    <s v="CMR004002"/>
    <s v="Logone-Et-Chari"/>
    <s v="CMR004002001"/>
    <s v="Waza"/>
  </r>
  <r>
    <s v="Extrême-Nord"/>
    <s v="CMR004"/>
    <x v="2"/>
    <s v="CMR004002"/>
    <x v="13"/>
    <s v="CMR004002001"/>
    <s v="WAZ-0022"/>
    <s v="SITE DE MADA 2"/>
    <m/>
    <x v="0"/>
    <s v="En 2020"/>
    <n v="0"/>
    <n v="2"/>
    <x v="0"/>
    <m/>
    <s v="Même arrondissement"/>
    <s v="CMR"/>
    <s v="Cameroun"/>
    <s v="CMR004"/>
    <s v="Extrême-Nord"/>
    <s v="CMR004002"/>
    <s v="Logone-Et-Chari"/>
    <s v="CMR004002001"/>
    <s v="Waza"/>
  </r>
  <r>
    <s v="Extrême-Nord"/>
    <s v="CMR004"/>
    <x v="2"/>
    <s v="CMR004002"/>
    <x v="10"/>
    <s v="CMR004002003"/>
    <s v="BLA-0017"/>
    <s v="SABOURA"/>
    <m/>
    <x v="0"/>
    <s v="Avant 2020"/>
    <n v="20"/>
    <n v="49"/>
    <x v="0"/>
    <m/>
    <s v="Même département, autre arrondissement"/>
    <s v="CMR"/>
    <s v="Cameroun"/>
    <s v="CMR004"/>
    <s v="Extrême-Nord"/>
    <s v="CMR004002"/>
    <s v="Logone-Et-Chari"/>
    <s v="CMR004002008"/>
    <s v="Fotokol"/>
  </r>
  <r>
    <s v="Extrême-Nord"/>
    <s v="CMR004"/>
    <x v="2"/>
    <s v="CMR004002"/>
    <x v="8"/>
    <s v="CMR004002009"/>
    <s v="MAK-0197"/>
    <s v="SITE DE BLABLIN"/>
    <m/>
    <x v="0"/>
    <s v="Avant 2020"/>
    <n v="60"/>
    <n v="100"/>
    <x v="0"/>
    <m/>
    <s v="Même arrondissement"/>
    <s v="CMR"/>
    <s v="Cameroun"/>
    <s v="CMR004"/>
    <s v="Extrême-Nord"/>
    <s v="CMR004002"/>
    <s v="Logone-Et-Chari"/>
    <s v="CMR004002009"/>
    <s v="Makary"/>
  </r>
  <r>
    <s v="Extrême-Nord"/>
    <s v="CMR004"/>
    <x v="2"/>
    <s v="CMR004002"/>
    <x v="8"/>
    <s v="CMR004002009"/>
    <s v="MAK-0189"/>
    <s v="SITE DE MADINA 2"/>
    <m/>
    <x v="0"/>
    <s v="Avant 2020"/>
    <n v="10"/>
    <n v="20"/>
    <x v="0"/>
    <m/>
    <s v="Même arrondissement"/>
    <s v="CMR"/>
    <s v="Cameroun"/>
    <s v="CMR004"/>
    <s v="Extrême-Nord"/>
    <s v="CMR004002"/>
    <s v="Logone-Et-Chari"/>
    <s v="CMR004002009"/>
    <s v="Makary"/>
  </r>
  <r>
    <s v="Extrême-Nord"/>
    <s v="CMR004"/>
    <x v="2"/>
    <s v="CMR004002"/>
    <x v="8"/>
    <s v="CMR004002009"/>
    <s v="MAK-0159"/>
    <s v="ABOUSOULTAN"/>
    <m/>
    <x v="0"/>
    <s v="Janvier - Aout 2022"/>
    <n v="4"/>
    <n v="22"/>
    <x v="0"/>
    <m/>
    <s v="Même département, autre arrondissement"/>
    <s v="CMR"/>
    <s v="Cameroun"/>
    <s v="CMR004"/>
    <s v="Extrême-Nord"/>
    <s v="CMR004002"/>
    <s v="Logone-Et-Chari"/>
    <s v="CMR004002007"/>
    <s v="Darak"/>
  </r>
  <r>
    <s v="Extrême-Nord"/>
    <s v="CMR004"/>
    <x v="2"/>
    <s v="CMR004002"/>
    <x v="8"/>
    <s v="CMR004002009"/>
    <s v="MAK-0191"/>
    <s v="SOUDRALHEL"/>
    <m/>
    <x v="0"/>
    <s v="Avant 2020"/>
    <n v="42"/>
    <n v="342"/>
    <x v="0"/>
    <m/>
    <s v="Même département, autre arrondissement"/>
    <s v="CMR"/>
    <s v="Cameroun"/>
    <s v="CMR004"/>
    <s v="Extrême-Nord"/>
    <s v="CMR004002"/>
    <s v="Logone-Et-Chari"/>
    <s v="CMR004002008"/>
    <s v="Fotokol"/>
  </r>
  <r>
    <s v="Extrême-Nord"/>
    <s v="CMR004"/>
    <x v="2"/>
    <s v="CMR004002"/>
    <x v="8"/>
    <s v="CMR004002009"/>
    <s v="MAK-0191"/>
    <s v="SOUDRALHEL"/>
    <m/>
    <x v="0"/>
    <s v="En 2021"/>
    <n v="0"/>
    <n v="9"/>
    <x v="0"/>
    <m/>
    <s v="Même arrondissement"/>
    <s v="CMR"/>
    <s v="Cameroun"/>
    <s v="CMR004"/>
    <s v="Extrême-Nord"/>
    <s v="CMR004002"/>
    <s v="Logone-Et-Chari"/>
    <s v="CMR004002009"/>
    <s v="Makary"/>
  </r>
  <r>
    <s v="Extrême-Nord"/>
    <s v="CMR004"/>
    <x v="2"/>
    <s v="CMR004002"/>
    <x v="8"/>
    <s v="CMR004002009"/>
    <s v="MAK-0191"/>
    <s v="SOUDRALHEL"/>
    <m/>
    <x v="0"/>
    <s v="Janvier - Aout 2022"/>
    <n v="7"/>
    <n v="23"/>
    <x v="0"/>
    <m/>
    <s v="Même département, autre arrondissement"/>
    <s v="CMR"/>
    <s v="Cameroun"/>
    <s v="CMR004"/>
    <s v="Extrême-Nord"/>
    <s v="CMR004002"/>
    <s v="Logone-Et-Chari"/>
    <s v="CMR004002008"/>
    <s v="Fotokol"/>
  </r>
  <r>
    <s v="Extrême-Nord"/>
    <s v="CMR004"/>
    <x v="2"/>
    <s v="CMR004002"/>
    <x v="27"/>
    <s v="CMR004002007"/>
    <s v="DAR-0007"/>
    <s v="SITE DE HIL-WANZAN"/>
    <m/>
    <x v="0"/>
    <s v="Septembre 2022 – Février 2023"/>
    <n v="150"/>
    <n v="600"/>
    <x v="0"/>
    <m/>
    <s v="Même arrondissement"/>
    <s v="CMR"/>
    <s v="Cameroun"/>
    <s v="CMR004"/>
    <s v="Extrême-Nord"/>
    <s v="CMR004002"/>
    <s v="Logone-Et-Chari"/>
    <s v="CMR004002007"/>
    <s v="Darak"/>
  </r>
  <r>
    <s v="Extrême-Nord"/>
    <s v="CMR004"/>
    <x v="5"/>
    <s v="CMR004004"/>
    <x v="20"/>
    <s v="CMR004004006"/>
    <s v="XXXX"/>
    <s v="BIPAING"/>
    <s v="BIPAING"/>
    <x v="0"/>
    <s v="Septembre 2022 – Février 2023"/>
    <n v="4"/>
    <n v="26"/>
    <x v="0"/>
    <m/>
    <s v="Autre département"/>
    <s v="CMR"/>
    <s v="Cameroun"/>
    <s v="CMR004"/>
    <s v="Extrême-Nord"/>
    <s v="CMR004006"/>
    <s v="Mayo-Tsanaga"/>
    <m/>
    <m/>
  </r>
  <r>
    <s v="Extrême-Nord"/>
    <s v="CMR004"/>
    <x v="5"/>
    <s v="CMR004004"/>
    <x v="20"/>
    <s v="CMR004004006"/>
    <s v="XXXX"/>
    <s v="GABAN (HOURO BARKA)"/>
    <s v="GABAN (HOURO BARKA)"/>
    <x v="0"/>
    <s v="Septembre 2022 – Février 2023"/>
    <n v="15"/>
    <n v="100"/>
    <x v="1"/>
    <m/>
    <s v="Autre département"/>
    <s v="CMR"/>
    <s v="Cameroun"/>
    <s v="CMR004"/>
    <s v="Extrême-Nord"/>
    <s v="CMR004003"/>
    <s v="Mayo-Danay"/>
    <m/>
    <m/>
  </r>
  <r>
    <s v="Extrême-Nord"/>
    <s v="CMR004"/>
    <x v="2"/>
    <s v="CMR004002"/>
    <x v="8"/>
    <s v="CMR004002009"/>
    <s v="MAK-0178"/>
    <s v="NGOUSSIRE"/>
    <m/>
    <x v="0"/>
    <s v="Avant 2020"/>
    <n v="4"/>
    <n v="24"/>
    <x v="0"/>
    <m/>
    <s v="Même arrondissement"/>
    <s v="CMR"/>
    <s v="Cameroun"/>
    <s v="CMR004"/>
    <s v="Extrême-Nord"/>
    <s v="CMR004002"/>
    <s v="Logone-Et-Chari"/>
    <s v="CMR004002009"/>
    <s v="Makary"/>
  </r>
  <r>
    <s v="Extrême-Nord"/>
    <s v="CMR004"/>
    <x v="2"/>
    <s v="CMR004002"/>
    <x v="8"/>
    <s v="CMR004002009"/>
    <s v="MAK-0178"/>
    <s v="NGOUSSIRE"/>
    <m/>
    <x v="0"/>
    <s v="Septembre 2022 – Février 2023"/>
    <n v="2"/>
    <n v="6"/>
    <x v="0"/>
    <m/>
    <s v="Même arrondissement"/>
    <s v="CMR"/>
    <s v="Cameroun"/>
    <s v="CMR004"/>
    <s v="Extrême-Nord"/>
    <s v="CMR004002"/>
    <s v="Logone-Et-Chari"/>
    <s v="CMR004002009"/>
    <s v="Makary"/>
  </r>
  <r>
    <s v="Extrême-Nord"/>
    <s v="CMR004"/>
    <x v="2"/>
    <s v="CMR004002"/>
    <x v="8"/>
    <s v="CMR004002009"/>
    <s v="MAK-0001"/>
    <s v="ABBARI"/>
    <m/>
    <x v="0"/>
    <s v="Avant 2020"/>
    <n v="20"/>
    <n v="100"/>
    <x v="0"/>
    <m/>
    <s v="Même département, autre arrondissement"/>
    <s v="CMR"/>
    <s v="Cameroun"/>
    <s v="CMR004"/>
    <s v="Extrême-Nord"/>
    <s v="CMR004002"/>
    <s v="Logone-Et-Chari"/>
    <s v="CMR004002008"/>
    <s v="Fotokol"/>
  </r>
  <r>
    <s v="Extrême-Nord"/>
    <s v="CMR004"/>
    <x v="2"/>
    <s v="CMR004002"/>
    <x v="8"/>
    <s v="CMR004002009"/>
    <s v="MAK-0150"/>
    <s v="HOURAHOURI"/>
    <m/>
    <x v="0"/>
    <s v="Avant 2020"/>
    <n v="15"/>
    <n v="75"/>
    <x v="0"/>
    <m/>
    <s v="Même arrondissement"/>
    <s v="CMR"/>
    <s v="Cameroun"/>
    <s v="CMR004"/>
    <s v="Extrême-Nord"/>
    <s v="CMR004002"/>
    <s v="Logone-Et-Chari"/>
    <s v="CMR004002009"/>
    <s v="Makary"/>
  </r>
  <r>
    <s v="Extrême-Nord"/>
    <s v="CMR004"/>
    <x v="2"/>
    <s v="CMR004002"/>
    <x v="8"/>
    <s v="CMR004002009"/>
    <s v="MAK-0150"/>
    <s v="HOURAHOURI"/>
    <m/>
    <x v="0"/>
    <s v="Septembre 2022 – Février 2023"/>
    <n v="0"/>
    <n v="5"/>
    <x v="2"/>
    <s v="Naissance"/>
    <s v="Même arrondissement"/>
    <s v="CMR"/>
    <s v="Cameroun"/>
    <s v="CMR004"/>
    <s v="Extrême-Nord"/>
    <s v="CMR004002"/>
    <s v="Logone-Et-Chari"/>
    <s v="CMR004002009"/>
    <s v="Makary"/>
  </r>
  <r>
    <s v="Extrême-Nord"/>
    <s v="CMR004"/>
    <x v="2"/>
    <s v="CMR004002"/>
    <x v="8"/>
    <s v="CMR004002009"/>
    <s v="MAK-0177"/>
    <s v="NGAME"/>
    <m/>
    <x v="0"/>
    <s v="Avant 2020"/>
    <n v="43"/>
    <n v="231"/>
    <x v="0"/>
    <m/>
    <s v="Même arrondissement"/>
    <s v="CMR"/>
    <s v="Cameroun"/>
    <s v="CMR004"/>
    <s v="Extrême-Nord"/>
    <s v="CMR004002"/>
    <s v="Logone-Et-Chari"/>
    <s v="CMR004002009"/>
    <s v="Makary"/>
  </r>
  <r>
    <s v="Extrême-Nord"/>
    <s v="CMR004"/>
    <x v="2"/>
    <s v="CMR004002"/>
    <x v="8"/>
    <s v="CMR004002009"/>
    <s v="MAK-0166"/>
    <s v="CHAIBOU"/>
    <m/>
    <x v="0"/>
    <s v="Avant 2020"/>
    <n v="18"/>
    <n v="98"/>
    <x v="0"/>
    <m/>
    <s v="Même arrondissement"/>
    <s v="CMR"/>
    <s v="Cameroun"/>
    <s v="CMR004"/>
    <s v="Extrême-Nord"/>
    <s v="CMR004002"/>
    <s v="Logone-Et-Chari"/>
    <s v="CMR004002009"/>
    <s v="Makary"/>
  </r>
  <r>
    <s v="Extrême-Nord"/>
    <s v="CMR004"/>
    <x v="2"/>
    <s v="CMR004002"/>
    <x v="8"/>
    <s v="CMR004002009"/>
    <s v="MAK-0131"/>
    <s v="DIAM 2"/>
    <m/>
    <x v="0"/>
    <s v="Avant 2020"/>
    <n v="22"/>
    <n v="123"/>
    <x v="0"/>
    <m/>
    <s v="Même département, autre arrondissement"/>
    <s v="CMR"/>
    <s v="Cameroun"/>
    <s v="CMR004"/>
    <s v="Extrême-Nord"/>
    <s v="CMR004002"/>
    <s v="Logone-Et-Chari"/>
    <s v="CMR004002001"/>
    <s v="Waza"/>
  </r>
  <r>
    <s v="Extrême-Nord"/>
    <s v="CMR004"/>
    <x v="2"/>
    <s v="CMR004002"/>
    <x v="8"/>
    <s v="CMR004002009"/>
    <s v="MAK-0131"/>
    <s v="DIAM 2"/>
    <m/>
    <x v="0"/>
    <s v="En 2020"/>
    <n v="0"/>
    <n v="25"/>
    <x v="0"/>
    <m/>
    <s v="Même département, autre arrondissement"/>
    <s v="CMR"/>
    <s v="Cameroun"/>
    <s v="CMR004"/>
    <s v="Extrême-Nord"/>
    <s v="CMR004002"/>
    <s v="Logone-Et-Chari"/>
    <s v="CMR004002001"/>
    <s v="Waza"/>
  </r>
  <r>
    <s v="Extrême-Nord"/>
    <s v="CMR004"/>
    <x v="2"/>
    <s v="CMR004002"/>
    <x v="8"/>
    <s v="CMR004002009"/>
    <s v="MAK-0131"/>
    <s v="DIAM 2"/>
    <m/>
    <x v="0"/>
    <s v="Janvier - Aout 2022"/>
    <n v="1"/>
    <n v="23"/>
    <x v="1"/>
    <m/>
    <s v="Même département, autre arrondissement"/>
    <s v="CMR"/>
    <s v="Cameroun"/>
    <s v="CMR004"/>
    <s v="Extrême-Nord"/>
    <s v="CMR004002"/>
    <s v="Logone-Et-Chari"/>
    <s v="CMR004002004"/>
    <s v="Logone-Birni"/>
  </r>
  <r>
    <s v="Extrême-Nord"/>
    <s v="CMR004"/>
    <x v="2"/>
    <s v="CMR004002"/>
    <x v="8"/>
    <s v="CMR004002009"/>
    <s v="MAK-0131"/>
    <s v="DIAM 2"/>
    <m/>
    <x v="0"/>
    <s v="Septembre 2022 – Février 2023"/>
    <n v="0"/>
    <n v="2"/>
    <x v="0"/>
    <m/>
    <s v="Même département, autre arrondissement"/>
    <s v="CMR"/>
    <s v="Cameroun"/>
    <s v="CMR004"/>
    <s v="Extrême-Nord"/>
    <s v="CMR004002"/>
    <s v="Logone-Et-Chari"/>
    <s v="CMR004002001"/>
    <s v="Waza"/>
  </r>
  <r>
    <s v="Extrême-Nord"/>
    <s v="CMR004"/>
    <x v="2"/>
    <s v="CMR004002"/>
    <x v="10"/>
    <s v="CMR004002003"/>
    <s v="BLA-0005"/>
    <s v="CHAOUE"/>
    <m/>
    <x v="0"/>
    <s v="Avant 2020"/>
    <n v="22"/>
    <n v="39"/>
    <x v="0"/>
    <m/>
    <s v="Même département, autre arrondissement"/>
    <s v="CMR"/>
    <s v="Cameroun"/>
    <s v="CMR004"/>
    <s v="Extrême-Nord"/>
    <s v="CMR004002"/>
    <s v="Logone-Et-Chari"/>
    <s v="CMR004002008"/>
    <s v="Fotokol"/>
  </r>
  <r>
    <s v="Extrême-Nord"/>
    <s v="CMR004"/>
    <x v="4"/>
    <s v="CMR004005"/>
    <x v="17"/>
    <s v="CMR004005002"/>
    <s v="MOR-0038"/>
    <s v="KESSA GANA"/>
    <m/>
    <x v="0"/>
    <s v="Avant 2020"/>
    <n v="3"/>
    <n v="25"/>
    <x v="0"/>
    <m/>
    <s v="Autre département"/>
    <s v="CMR"/>
    <s v="Cameroun"/>
    <s v="CMR004"/>
    <s v="Extrême-Nord"/>
    <s v="CMR004002"/>
    <s v="Logone-Et-Chari"/>
    <m/>
    <m/>
  </r>
  <r>
    <s v="Extrême-Nord"/>
    <s v="CMR004"/>
    <x v="4"/>
    <s v="CMR004005"/>
    <x v="17"/>
    <s v="CMR004005002"/>
    <s v="MOR-0038"/>
    <s v="KESSA GANA"/>
    <m/>
    <x v="0"/>
    <s v="En 2020"/>
    <n v="0"/>
    <n v="3"/>
    <x v="0"/>
    <m/>
    <s v="Même arrondissement"/>
    <s v="CMR"/>
    <s v="Cameroun"/>
    <s v="CMR004"/>
    <s v="Extrême-Nord"/>
    <s v="CMR004005"/>
    <s v="Mayo-Sava"/>
    <s v="CMR004005002"/>
    <s v="Mora"/>
  </r>
  <r>
    <s v="Extrême-Nord"/>
    <s v="CMR004"/>
    <x v="4"/>
    <s v="CMR004005"/>
    <x v="17"/>
    <s v="CMR004005002"/>
    <s v="MOR-0038"/>
    <s v="KESSA GANA"/>
    <m/>
    <x v="0"/>
    <s v="En 2021"/>
    <n v="0"/>
    <n v="2"/>
    <x v="0"/>
    <m/>
    <s v="Même arrondissement"/>
    <s v="CMR"/>
    <s v="Cameroun"/>
    <s v="CMR004"/>
    <s v="Extrême-Nord"/>
    <s v="CMR004005"/>
    <s v="Mayo-Sava"/>
    <s v="CMR004005002"/>
    <s v="Mora"/>
  </r>
  <r>
    <s v="Extrême-Nord"/>
    <s v="CMR004"/>
    <x v="4"/>
    <s v="CMR004005"/>
    <x v="17"/>
    <s v="CMR004005002"/>
    <s v="MOR-0038"/>
    <s v="KESSA GANA"/>
    <m/>
    <x v="0"/>
    <s v="Janvier - Aout 2022"/>
    <n v="0"/>
    <n v="1"/>
    <x v="0"/>
    <m/>
    <s v="Même arrondissement"/>
    <s v="CMR"/>
    <s v="Cameroun"/>
    <s v="CMR004"/>
    <s v="Extrême-Nord"/>
    <s v="CMR004005"/>
    <s v="Mayo-Sava"/>
    <s v="CMR004005002"/>
    <s v="Mora"/>
  </r>
  <r>
    <s v="Extrême-Nord"/>
    <s v="CMR004"/>
    <x v="4"/>
    <s v="CMR004005"/>
    <x v="17"/>
    <s v="CMR004005002"/>
    <s v="MOR-0037"/>
    <s v="KALDJE"/>
    <m/>
    <x v="0"/>
    <s v="Avant 2020"/>
    <n v="11"/>
    <n v="62"/>
    <x v="0"/>
    <m/>
    <s v="Même arrondissement"/>
    <s v="CMR"/>
    <s v="Cameroun"/>
    <s v="CMR004"/>
    <s v="Extrême-Nord"/>
    <s v="CMR004005"/>
    <s v="Mayo-Sava"/>
    <s v="CMR004005002"/>
    <s v="Mora"/>
  </r>
  <r>
    <s v="Extrême-Nord"/>
    <s v="CMR004"/>
    <x v="4"/>
    <s v="CMR004005"/>
    <x v="17"/>
    <s v="CMR004005002"/>
    <s v="MOR-0037"/>
    <s v="KALDJE"/>
    <m/>
    <x v="0"/>
    <s v="En 2020"/>
    <n v="4"/>
    <n v="19"/>
    <x v="0"/>
    <m/>
    <s v="Même arrondissement"/>
    <s v="CMR"/>
    <s v="Cameroun"/>
    <s v="CMR004"/>
    <s v="Extrême-Nord"/>
    <s v="CMR004005"/>
    <s v="Mayo-Sava"/>
    <s v="CMR004005002"/>
    <s v="Mora"/>
  </r>
  <r>
    <s v="Extrême-Nord"/>
    <s v="CMR004"/>
    <x v="4"/>
    <s v="CMR004005"/>
    <x v="17"/>
    <s v="CMR004005002"/>
    <s v="MOR-0037"/>
    <s v="KALDJE"/>
    <m/>
    <x v="0"/>
    <s v="En 2021"/>
    <n v="0"/>
    <n v="3"/>
    <x v="0"/>
    <m/>
    <s v="Même arrondissement"/>
    <s v="CMR"/>
    <s v="Cameroun"/>
    <s v="CMR004"/>
    <s v="Extrême-Nord"/>
    <s v="CMR004005"/>
    <s v="Mayo-Sava"/>
    <s v="CMR004005002"/>
    <s v="Mora"/>
  </r>
  <r>
    <s v="Extrême-Nord"/>
    <s v="CMR004"/>
    <x v="4"/>
    <s v="CMR004005"/>
    <x v="17"/>
    <s v="CMR004005002"/>
    <s v="MOR-0037"/>
    <s v="KALDJE"/>
    <m/>
    <x v="0"/>
    <s v="Janvier - Aout 2022"/>
    <n v="0"/>
    <n v="4"/>
    <x v="0"/>
    <m/>
    <s v="Même arrondissement"/>
    <s v="CMR"/>
    <s v="Cameroun"/>
    <s v="CMR004"/>
    <s v="Extrême-Nord"/>
    <s v="CMR004005"/>
    <s v="Mayo-Sava"/>
    <s v="CMR004005002"/>
    <s v="Mora"/>
  </r>
  <r>
    <s v="Extrême-Nord"/>
    <s v="CMR004"/>
    <x v="4"/>
    <s v="CMR004005"/>
    <x v="17"/>
    <s v="CMR004005002"/>
    <s v="MOR-0037"/>
    <s v="KALDJE"/>
    <m/>
    <x v="0"/>
    <s v="Septembre 2022 – Février 2023"/>
    <n v="0"/>
    <n v="5"/>
    <x v="0"/>
    <m/>
    <s v="Même arrondissement"/>
    <s v="CMR"/>
    <s v="Cameroun"/>
    <s v="CMR004"/>
    <s v="Extrême-Nord"/>
    <s v="CMR004005"/>
    <s v="Mayo-Sava"/>
    <s v="CMR004005002"/>
    <s v="Mora"/>
  </r>
  <r>
    <s v="Extrême-Nord"/>
    <s v="CMR004"/>
    <x v="4"/>
    <s v="CMR004005"/>
    <x v="17"/>
    <s v="CMR004005002"/>
    <s v="MOR-0031"/>
    <s v="MAGDEME"/>
    <m/>
    <x v="0"/>
    <s v="Avant 2020"/>
    <n v="105"/>
    <n v="499"/>
    <x v="0"/>
    <m/>
    <s v="Même arrondissement"/>
    <s v="CMR"/>
    <s v="Cameroun"/>
    <s v="CMR004"/>
    <s v="Extrême-Nord"/>
    <s v="CMR004005"/>
    <s v="Mayo-Sava"/>
    <s v="CMR004005002"/>
    <s v="Mora"/>
  </r>
  <r>
    <s v="Extrême-Nord"/>
    <s v="CMR004"/>
    <x v="4"/>
    <s v="CMR004005"/>
    <x v="17"/>
    <s v="CMR004005002"/>
    <s v="MOR-0031"/>
    <s v="MAGDEME"/>
    <m/>
    <x v="0"/>
    <s v="En 2020"/>
    <n v="16"/>
    <n v="31"/>
    <x v="0"/>
    <m/>
    <s v="Même arrondissement"/>
    <s v="CMR"/>
    <s v="Cameroun"/>
    <s v="CMR004"/>
    <s v="Extrême-Nord"/>
    <s v="CMR004005"/>
    <s v="Mayo-Sava"/>
    <s v="CMR004005002"/>
    <s v="Mora"/>
  </r>
  <r>
    <s v="Extrême-Nord"/>
    <s v="CMR004"/>
    <x v="4"/>
    <s v="CMR004005"/>
    <x v="17"/>
    <s v="CMR004005002"/>
    <s v="MOR-0031"/>
    <s v="MAGDEME"/>
    <m/>
    <x v="0"/>
    <s v="En 2021"/>
    <n v="30"/>
    <n v="170"/>
    <x v="0"/>
    <m/>
    <s v="Même arrondissement"/>
    <s v="CMR"/>
    <s v="Cameroun"/>
    <s v="CMR004"/>
    <s v="Extrême-Nord"/>
    <s v="CMR004005"/>
    <s v="Mayo-Sava"/>
    <s v="CMR004005002"/>
    <s v="Mora"/>
  </r>
  <r>
    <s v="Extrême-Nord"/>
    <s v="CMR004"/>
    <x v="4"/>
    <s v="CMR004005"/>
    <x v="17"/>
    <s v="CMR004005002"/>
    <s v="MOR-0031"/>
    <s v="MAGDEME"/>
    <m/>
    <x v="0"/>
    <s v="Janvier - Aout 2022"/>
    <n v="0"/>
    <n v="40"/>
    <x v="0"/>
    <m/>
    <s v="Même arrondissement"/>
    <s v="CMR"/>
    <s v="Cameroun"/>
    <s v="CMR004"/>
    <s v="Extrême-Nord"/>
    <s v="CMR004005"/>
    <s v="Mayo-Sava"/>
    <s v="CMR004005002"/>
    <s v="Mora"/>
  </r>
  <r>
    <s v="Extrême-Nord"/>
    <s v="CMR004"/>
    <x v="4"/>
    <s v="CMR004005"/>
    <x v="17"/>
    <s v="CMR004005002"/>
    <s v="MOR-0031"/>
    <s v="MAGDEME"/>
    <m/>
    <x v="0"/>
    <s v="Septembre 2022 – Février 2023"/>
    <n v="0"/>
    <n v="5"/>
    <x v="0"/>
    <m/>
    <s v="Même arrondissement"/>
    <s v="CMR"/>
    <s v="Cameroun"/>
    <s v="CMR004"/>
    <s v="Extrême-Nord"/>
    <s v="CMR004005"/>
    <s v="Mayo-Sava"/>
    <s v="CMR004005002"/>
    <s v="Mora"/>
  </r>
  <r>
    <s v="Extrême-Nord"/>
    <s v="CMR004"/>
    <x v="1"/>
    <s v="CMR004006"/>
    <x v="1"/>
    <s v="CMR004006002"/>
    <s v="MOK-0035"/>
    <s v="MAYO SANGUE"/>
    <m/>
    <x v="0"/>
    <s v="Avant 2020"/>
    <n v="63"/>
    <n v="460"/>
    <x v="0"/>
    <m/>
    <s v="Même arrondissement"/>
    <s v="CMR"/>
    <s v="Cameroun"/>
    <s v="CMR004"/>
    <s v="Extrême-Nord"/>
    <s v="CMR004006"/>
    <s v="Mayo-Tsanaga"/>
    <s v="CMR004006002"/>
    <s v="Mokolo"/>
  </r>
  <r>
    <s v="Extrême-Nord"/>
    <s v="CMR004"/>
    <x v="1"/>
    <s v="CMR004006"/>
    <x v="1"/>
    <s v="CMR004006002"/>
    <s v="MOK-0035"/>
    <s v="MAYO SANGUE"/>
    <m/>
    <x v="0"/>
    <s v="Janvier - Aout 2022"/>
    <n v="3"/>
    <n v="9"/>
    <x v="0"/>
    <m/>
    <s v="Même arrondissement"/>
    <s v="CMR"/>
    <s v="Cameroun"/>
    <s v="CMR004"/>
    <s v="Extrême-Nord"/>
    <s v="CMR004006"/>
    <s v="Mayo-Tsanaga"/>
    <s v="CMR004006002"/>
    <s v="Mokolo"/>
  </r>
  <r>
    <s v="Extrême-Nord"/>
    <s v="CMR004"/>
    <x v="1"/>
    <s v="CMR004006"/>
    <x v="16"/>
    <s v="CMR004006004"/>
    <s v="KOZ-0030"/>
    <s v="HOUVA"/>
    <m/>
    <x v="0"/>
    <s v="En 2020"/>
    <n v="21"/>
    <n v="126"/>
    <x v="0"/>
    <m/>
    <s v="Même département, autre arrondissement"/>
    <s v="CMR"/>
    <s v="Cameroun"/>
    <s v="CMR004"/>
    <s v="Extrême-Nord"/>
    <s v="CMR004006"/>
    <s v="Mayo-Tsanaga"/>
    <s v="CMR004006005"/>
    <s v="Mayo-Moskota"/>
  </r>
  <r>
    <s v="Extrême-Nord"/>
    <s v="CMR004"/>
    <x v="1"/>
    <s v="CMR004006"/>
    <x v="16"/>
    <s v="CMR004006004"/>
    <s v="KOZ-0030"/>
    <s v="HOUVA"/>
    <m/>
    <x v="0"/>
    <s v="En 2021"/>
    <n v="37"/>
    <n v="216"/>
    <x v="0"/>
    <m/>
    <s v="Même arrondissement"/>
    <s v="CMR"/>
    <s v="Cameroun"/>
    <s v="CMR004"/>
    <s v="Extrême-Nord"/>
    <s v="CMR004006"/>
    <s v="Mayo-Tsanaga"/>
    <s v="CMR004006004"/>
    <s v="Koza"/>
  </r>
  <r>
    <s v="Extrême-Nord"/>
    <s v="CMR004"/>
    <x v="1"/>
    <s v="CMR004006"/>
    <x v="16"/>
    <s v="CMR004006004"/>
    <s v="KOZ-0030"/>
    <s v="HOUVA"/>
    <m/>
    <x v="0"/>
    <s v="Janvier - Aout 2022"/>
    <n v="9"/>
    <n v="42"/>
    <x v="0"/>
    <m/>
    <s v="Même arrondissement"/>
    <s v="CMR"/>
    <s v="Cameroun"/>
    <s v="CMR004"/>
    <s v="Extrême-Nord"/>
    <s v="CMR004006"/>
    <s v="Mayo-Tsanaga"/>
    <s v="CMR004006004"/>
    <s v="Koza"/>
  </r>
  <r>
    <s v="Extrême-Nord"/>
    <s v="CMR004"/>
    <x v="1"/>
    <s v="CMR004006"/>
    <x v="16"/>
    <s v="CMR004006004"/>
    <s v="KOZ-0030"/>
    <s v="HOUVA"/>
    <m/>
    <x v="0"/>
    <s v="Septembre 2022 – Février 2023"/>
    <n v="13"/>
    <n v="71"/>
    <x v="0"/>
    <m/>
    <s v="Même arrondissement"/>
    <s v="CMR"/>
    <s v="Cameroun"/>
    <s v="CMR004"/>
    <s v="Extrême-Nord"/>
    <s v="CMR004006"/>
    <s v="Mayo-Tsanaga"/>
    <s v="CMR004006004"/>
    <s v="Koza"/>
  </r>
  <r>
    <s v="Extrême-Nord"/>
    <s v="CMR004"/>
    <x v="1"/>
    <s v="CMR004006"/>
    <x v="16"/>
    <s v="CMR004006004"/>
    <s v="KOZ-0026"/>
    <s v="WOULAD"/>
    <m/>
    <x v="0"/>
    <s v="En 2020"/>
    <n v="69"/>
    <n v="412"/>
    <x v="0"/>
    <m/>
    <s v="Même arrondissement"/>
    <s v="CMR"/>
    <s v="Cameroun"/>
    <s v="CMR004"/>
    <s v="Extrême-Nord"/>
    <s v="CMR004006"/>
    <s v="Mayo-Tsanaga"/>
    <s v="CMR004006004"/>
    <s v="Koza"/>
  </r>
  <r>
    <s v="Extrême-Nord"/>
    <s v="CMR004"/>
    <x v="1"/>
    <s v="CMR004006"/>
    <x v="16"/>
    <s v="CMR004006004"/>
    <s v="KOZ-0026"/>
    <s v="WOULAD"/>
    <m/>
    <x v="0"/>
    <s v="En 2021"/>
    <n v="73"/>
    <n v="422"/>
    <x v="0"/>
    <m/>
    <s v="Même arrondissement"/>
    <s v="CMR"/>
    <s v="Cameroun"/>
    <s v="CMR004"/>
    <s v="Extrême-Nord"/>
    <s v="CMR004006"/>
    <s v="Mayo-Tsanaga"/>
    <s v="CMR004006004"/>
    <s v="Koza"/>
  </r>
  <r>
    <s v="Extrême-Nord"/>
    <s v="CMR004"/>
    <x v="1"/>
    <s v="CMR004006"/>
    <x v="16"/>
    <s v="CMR004006004"/>
    <s v="KOZ-0026"/>
    <s v="WOULAD"/>
    <m/>
    <x v="0"/>
    <s v="Janvier - Aout 2022"/>
    <n v="123"/>
    <n v="562"/>
    <x v="0"/>
    <m/>
    <s v="Même département, autre arrondissement"/>
    <s v="CMR"/>
    <s v="Cameroun"/>
    <s v="CMR004"/>
    <s v="Extrême-Nord"/>
    <s v="CMR004006"/>
    <s v="Mayo-Tsanaga"/>
    <s v="CMR004006005"/>
    <s v="Mayo-Moskota"/>
  </r>
  <r>
    <s v="Extrême-Nord"/>
    <s v="CMR004"/>
    <x v="1"/>
    <s v="CMR004006"/>
    <x v="16"/>
    <s v="CMR004006004"/>
    <s v="KOZ-0026"/>
    <s v="WOULAD"/>
    <m/>
    <x v="0"/>
    <s v="Septembre 2022 – Février 2023"/>
    <n v="45"/>
    <n v="225"/>
    <x v="0"/>
    <m/>
    <s v="Même arrondissement"/>
    <s v="CMR"/>
    <s v="Cameroun"/>
    <s v="CMR004"/>
    <s v="Extrême-Nord"/>
    <s v="CMR004006"/>
    <s v="Mayo-Tsanaga"/>
    <s v="CMR004006004"/>
    <s v="Koza"/>
  </r>
  <r>
    <s v="Extrême-Nord"/>
    <s v="CMR004"/>
    <x v="1"/>
    <s v="CMR004006"/>
    <x v="1"/>
    <s v="CMR004006002"/>
    <s v="MOK-0025"/>
    <s v="ZILENG"/>
    <m/>
    <x v="0"/>
    <s v="Avant 2020"/>
    <n v="7"/>
    <n v="30"/>
    <x v="0"/>
    <m/>
    <s v="Même arrondissement"/>
    <s v="CMR"/>
    <s v="Cameroun"/>
    <s v="CMR004"/>
    <s v="Extrême-Nord"/>
    <s v="CMR004006"/>
    <s v="Mayo-Tsanaga"/>
    <s v="CMR004006002"/>
    <s v="Mokolo"/>
  </r>
  <r>
    <s v="Extrême-Nord"/>
    <s v="CMR004"/>
    <x v="1"/>
    <s v="CMR004006"/>
    <x v="1"/>
    <s v="CMR004006002"/>
    <s v="MOK-0025"/>
    <s v="ZILENG"/>
    <m/>
    <x v="0"/>
    <s v="Septembre 2022 – Février 2023"/>
    <n v="25"/>
    <n v="243"/>
    <x v="0"/>
    <m/>
    <s v="Même arrondissement"/>
    <s v="CMR"/>
    <s v="Cameroun"/>
    <s v="CMR004"/>
    <s v="Extrême-Nord"/>
    <s v="CMR004006"/>
    <s v="Mayo-Tsanaga"/>
    <s v="CMR004006002"/>
    <s v="Mokolo"/>
  </r>
  <r>
    <s v="Extrême-Nord"/>
    <s v="CMR004"/>
    <x v="2"/>
    <s v="CMR004002"/>
    <x v="12"/>
    <s v="CMR004002002"/>
    <s v="GOU-0046"/>
    <s v="MAYA KOTOKO"/>
    <m/>
    <x v="0"/>
    <s v="Janvier - Aout 2022"/>
    <n v="70"/>
    <n v="70"/>
    <x v="0"/>
    <m/>
    <s v="Même arrondissement"/>
    <s v="CMR"/>
    <s v="Cameroun"/>
    <s v="CMR004"/>
    <s v="Extrême-Nord"/>
    <s v="CMR004002"/>
    <s v="Logone-Et-Chari"/>
    <s v="CMR004002002"/>
    <s v="Goulfey"/>
  </r>
  <r>
    <s v="Extrême-Nord"/>
    <s v="CMR004"/>
    <x v="2"/>
    <s v="CMR004002"/>
    <x v="12"/>
    <s v="CMR004002002"/>
    <s v="GOU-0007"/>
    <s v="GOULFEY-GANA"/>
    <m/>
    <x v="0"/>
    <s v="Janvier - Aout 2022"/>
    <n v="68"/>
    <n v="270"/>
    <x v="0"/>
    <m/>
    <s v="Même arrondissement"/>
    <s v="CMR"/>
    <s v="Cameroun"/>
    <s v="CMR004"/>
    <s v="Extrême-Nord"/>
    <s v="CMR004002"/>
    <s v="Logone-Et-Chari"/>
    <s v="CMR004002002"/>
    <s v="Goulfey"/>
  </r>
  <r>
    <s v="Extrême-Nord"/>
    <s v="CMR004"/>
    <x v="2"/>
    <s v="CMR004002"/>
    <x v="12"/>
    <s v="CMR004002002"/>
    <s v="GOU-0041"/>
    <s v="SITE HILE-NIMR"/>
    <m/>
    <x v="0"/>
    <s v="Janvier - Aout 2022"/>
    <n v="1"/>
    <n v="3"/>
    <x v="0"/>
    <m/>
    <s v="Même arrondissement"/>
    <s v="CMR"/>
    <s v="Cameroun"/>
    <s v="CMR004"/>
    <s v="Extrême-Nord"/>
    <s v="CMR004002"/>
    <s v="Logone-Et-Chari"/>
    <s v="CMR004002002"/>
    <s v="Goulfey"/>
  </r>
  <r>
    <s v="Extrême-Nord"/>
    <s v="CMR004"/>
    <x v="4"/>
    <s v="CMR004005"/>
    <x v="17"/>
    <s v="CMR004005002"/>
    <s v="MOR-0046"/>
    <s v="SITE DE MEME - IGAWA 1"/>
    <m/>
    <x v="0"/>
    <s v="Avant 2020"/>
    <n v="1012"/>
    <n v="4690"/>
    <x v="0"/>
    <m/>
    <s v="Même arrondissement"/>
    <s v="CMR"/>
    <s v="Cameroun"/>
    <s v="CMR004"/>
    <s v="Extrême-Nord"/>
    <s v="CMR004005"/>
    <s v="Mayo-Sava"/>
    <s v="CMR004005002"/>
    <s v="Mora"/>
  </r>
  <r>
    <s v="Extrême-Nord"/>
    <s v="CMR004"/>
    <x v="4"/>
    <s v="CMR004005"/>
    <x v="17"/>
    <s v="CMR004005002"/>
    <s v="MOR-0046"/>
    <s v="SITE DE MEME - IGAWA 1"/>
    <m/>
    <x v="0"/>
    <s v="En 2020"/>
    <n v="70"/>
    <n v="255"/>
    <x v="0"/>
    <m/>
    <s v="Même arrondissement"/>
    <s v="CMR"/>
    <s v="Cameroun"/>
    <s v="CMR004"/>
    <s v="Extrême-Nord"/>
    <s v="CMR004005"/>
    <s v="Mayo-Sava"/>
    <s v="CMR004005002"/>
    <s v="Mora"/>
  </r>
  <r>
    <s v="Extrême-Nord"/>
    <s v="CMR004"/>
    <x v="4"/>
    <s v="CMR004005"/>
    <x v="17"/>
    <s v="CMR004005002"/>
    <s v="MOR-0046"/>
    <s v="SITE DE MEME - IGAWA 1"/>
    <m/>
    <x v="0"/>
    <s v="En 2021"/>
    <n v="3"/>
    <n v="218"/>
    <x v="0"/>
    <m/>
    <s v="Même arrondissement"/>
    <s v="CMR"/>
    <s v="Cameroun"/>
    <s v="CMR004"/>
    <s v="Extrême-Nord"/>
    <s v="CMR004005"/>
    <s v="Mayo-Sava"/>
    <s v="CMR004005002"/>
    <s v="Mora"/>
  </r>
  <r>
    <s v="Extrême-Nord"/>
    <s v="CMR004"/>
    <x v="4"/>
    <s v="CMR004005"/>
    <x v="17"/>
    <s v="CMR004005002"/>
    <s v="MOR-0046"/>
    <s v="SITE DE MEME - IGAWA 1"/>
    <m/>
    <x v="0"/>
    <s v="Janvier - Aout 2022"/>
    <n v="3"/>
    <n v="252"/>
    <x v="0"/>
    <m/>
    <s v="Même arrondissement"/>
    <s v="CMR"/>
    <s v="Cameroun"/>
    <s v="CMR004"/>
    <s v="Extrême-Nord"/>
    <s v="CMR004005"/>
    <s v="Mayo-Sava"/>
    <s v="CMR004005002"/>
    <s v="Mora"/>
  </r>
  <r>
    <s v="Extrême-Nord"/>
    <s v="CMR004"/>
    <x v="4"/>
    <s v="CMR004005"/>
    <x v="17"/>
    <s v="CMR004005002"/>
    <s v="MOR-0046"/>
    <s v="SITE DE MEME - IGAWA 1"/>
    <m/>
    <x v="0"/>
    <s v="Septembre 2022 – Février 2023"/>
    <n v="0"/>
    <n v="90"/>
    <x v="0"/>
    <m/>
    <s v="Même arrondissement"/>
    <s v="CMR"/>
    <s v="Cameroun"/>
    <s v="CMR004"/>
    <s v="Extrême-Nord"/>
    <s v="CMR004005"/>
    <s v="Mayo-Sava"/>
    <s v="CMR004005002"/>
    <s v="Mora"/>
  </r>
  <r>
    <s v="Extrême-Nord"/>
    <s v="CMR004"/>
    <x v="4"/>
    <s v="CMR004005"/>
    <x v="17"/>
    <s v="CMR004005002"/>
    <s v="MOR-0049"/>
    <s v="SITE DE MEME - TALLA BRAHIM"/>
    <m/>
    <x v="0"/>
    <s v="Avant 2020"/>
    <n v="8"/>
    <n v="33"/>
    <x v="0"/>
    <m/>
    <s v="Même arrondissement"/>
    <s v="CMR"/>
    <s v="Cameroun"/>
    <s v="CMR004"/>
    <s v="Extrême-Nord"/>
    <s v="CMR004005"/>
    <s v="Mayo-Sava"/>
    <s v="CMR004005002"/>
    <s v="Mora"/>
  </r>
  <r>
    <s v="Extrême-Nord"/>
    <s v="CMR004"/>
    <x v="4"/>
    <s v="CMR004005"/>
    <x v="17"/>
    <s v="CMR004005002"/>
    <s v="MOR-0049"/>
    <s v="SITE DE MEME - TALLA BRAHIM"/>
    <m/>
    <x v="0"/>
    <s v="En 2021"/>
    <n v="3"/>
    <n v="27"/>
    <x v="0"/>
    <m/>
    <s v="Même arrondissement"/>
    <s v="CMR"/>
    <s v="Cameroun"/>
    <s v="CMR004"/>
    <s v="Extrême-Nord"/>
    <s v="CMR004005"/>
    <s v="Mayo-Sava"/>
    <s v="CMR004005002"/>
    <s v="Mora"/>
  </r>
  <r>
    <s v="Extrême-Nord"/>
    <s v="CMR004"/>
    <x v="4"/>
    <s v="CMR004005"/>
    <x v="17"/>
    <s v="CMR004005002"/>
    <s v="MOR-0049"/>
    <s v="SITE DE MEME - TALLA BRAHIM"/>
    <m/>
    <x v="0"/>
    <s v="Janvier - Aout 2022"/>
    <n v="4"/>
    <n v="44"/>
    <x v="0"/>
    <m/>
    <s v="Même arrondissement"/>
    <s v="CMR"/>
    <s v="Cameroun"/>
    <s v="CMR004"/>
    <s v="Extrême-Nord"/>
    <s v="CMR004005"/>
    <s v="Mayo-Sava"/>
    <s v="CMR004005002"/>
    <s v="Mora"/>
  </r>
  <r>
    <s v="Extrême-Nord"/>
    <s v="CMR004"/>
    <x v="4"/>
    <s v="CMR004005"/>
    <x v="17"/>
    <s v="CMR004005002"/>
    <s v="MOR-0049"/>
    <s v="SITE DE MEME - TALLA BRAHIM"/>
    <m/>
    <x v="0"/>
    <s v="Septembre 2022 – Février 2023"/>
    <n v="2"/>
    <n v="17"/>
    <x v="0"/>
    <m/>
    <s v="Même arrondissement"/>
    <s v="CMR"/>
    <s v="Cameroun"/>
    <s v="CMR004"/>
    <s v="Extrême-Nord"/>
    <s v="CMR004005"/>
    <s v="Mayo-Sava"/>
    <s v="CMR004005002"/>
    <s v="Mora"/>
  </r>
  <r>
    <s v="Extrême-Nord"/>
    <s v="CMR004"/>
    <x v="4"/>
    <s v="CMR004005"/>
    <x v="17"/>
    <s v="CMR004005002"/>
    <s v="MOR-0017"/>
    <s v="POUCHE"/>
    <m/>
    <x v="0"/>
    <s v="Avant 2020"/>
    <n v="61"/>
    <n v="497"/>
    <x v="0"/>
    <m/>
    <s v="Même arrondissement"/>
    <s v="CMR"/>
    <s v="Cameroun"/>
    <s v="CMR004"/>
    <s v="Extrême-Nord"/>
    <s v="CMR004005"/>
    <s v="Mayo-Sava"/>
    <s v="CMR004005002"/>
    <s v="Mora"/>
  </r>
  <r>
    <s v="Extrême-Nord"/>
    <s v="CMR004"/>
    <x v="4"/>
    <s v="CMR004005"/>
    <x v="17"/>
    <s v="CMR004005002"/>
    <s v="MOR-0017"/>
    <s v="POUCHE"/>
    <m/>
    <x v="0"/>
    <s v="En 2020"/>
    <n v="20"/>
    <n v="145"/>
    <x v="0"/>
    <m/>
    <s v="Même arrondissement"/>
    <s v="CMR"/>
    <s v="Cameroun"/>
    <s v="CMR004"/>
    <s v="Extrême-Nord"/>
    <s v="CMR004005"/>
    <s v="Mayo-Sava"/>
    <s v="CMR004005002"/>
    <s v="Mora"/>
  </r>
  <r>
    <s v="Extrême-Nord"/>
    <s v="CMR004"/>
    <x v="4"/>
    <s v="CMR004005"/>
    <x v="17"/>
    <s v="CMR004005002"/>
    <s v="MOR-0017"/>
    <s v="POUCHE"/>
    <m/>
    <x v="0"/>
    <s v="En 2021"/>
    <n v="25"/>
    <n v="168"/>
    <x v="0"/>
    <m/>
    <s v="Même arrondissement"/>
    <s v="CMR"/>
    <s v="Cameroun"/>
    <s v="CMR004"/>
    <s v="Extrême-Nord"/>
    <s v="CMR004005"/>
    <s v="Mayo-Sava"/>
    <s v="CMR004005002"/>
    <s v="Mora"/>
  </r>
  <r>
    <s v="Extrême-Nord"/>
    <s v="CMR004"/>
    <x v="4"/>
    <s v="CMR004005"/>
    <x v="17"/>
    <s v="CMR004005002"/>
    <s v="MOR-0017"/>
    <s v="POUCHE"/>
    <m/>
    <x v="0"/>
    <s v="Janvier - Aout 2022"/>
    <n v="3"/>
    <n v="40"/>
    <x v="0"/>
    <m/>
    <s v="Même arrondissement"/>
    <s v="CMR"/>
    <s v="Cameroun"/>
    <s v="CMR004"/>
    <s v="Extrême-Nord"/>
    <s v="CMR004005"/>
    <s v="Mayo-Sava"/>
    <s v="CMR004005002"/>
    <s v="Mora"/>
  </r>
  <r>
    <s v="Extrême-Nord"/>
    <s v="CMR004"/>
    <x v="4"/>
    <s v="CMR004005"/>
    <x v="17"/>
    <s v="CMR004005002"/>
    <s v="MOR-0017"/>
    <s v="POUCHE"/>
    <m/>
    <x v="0"/>
    <s v="Septembre 2022 – Février 2023"/>
    <n v="0"/>
    <n v="6"/>
    <x v="0"/>
    <m/>
    <s v="Même arrondissement"/>
    <s v="CMR"/>
    <s v="Cameroun"/>
    <s v="CMR004"/>
    <s v="Extrême-Nord"/>
    <s v="CMR004005"/>
    <s v="Mayo-Sava"/>
    <s v="CMR004005002"/>
    <s v="Mora"/>
  </r>
  <r>
    <s v="Extrême-Nord"/>
    <s v="CMR004"/>
    <x v="2"/>
    <s v="CMR004002"/>
    <x v="8"/>
    <s v="CMR004002009"/>
    <s v="MAK-0030"/>
    <s v="DOLE-AFADE"/>
    <m/>
    <x v="0"/>
    <s v="Avant 2020"/>
    <n v="9"/>
    <n v="79"/>
    <x v="0"/>
    <m/>
    <s v="Même arrondissement"/>
    <s v="CMR"/>
    <s v="Cameroun"/>
    <s v="CMR004"/>
    <s v="Extrême-Nord"/>
    <s v="CMR004002"/>
    <s v="Logone-Et-Chari"/>
    <s v="CMR004002009"/>
    <s v="Makary"/>
  </r>
  <r>
    <s v="Extrême-Nord"/>
    <s v="CMR004"/>
    <x v="2"/>
    <s v="CMR004002"/>
    <x v="8"/>
    <s v="CMR004002009"/>
    <s v="MAK-0121"/>
    <s v="ABTABILO FADJAWA"/>
    <m/>
    <x v="0"/>
    <s v="Septembre 2022 – Février 2023"/>
    <n v="2"/>
    <n v="19"/>
    <x v="0"/>
    <m/>
    <s v="Même département, autre arrondissement"/>
    <s v="CMR"/>
    <s v="Cameroun"/>
    <s v="CMR004"/>
    <s v="Extrême-Nord"/>
    <s v="CMR004002"/>
    <s v="Logone-Et-Chari"/>
    <s v="CMR004002003"/>
    <s v="Blangoua"/>
  </r>
  <r>
    <s v="Extrême-Nord"/>
    <s v="CMR004"/>
    <x v="2"/>
    <s v="CMR004002"/>
    <x v="8"/>
    <s v="CMR004002009"/>
    <s v="MAK-0146"/>
    <s v="NBOUNG"/>
    <m/>
    <x v="0"/>
    <s v="Avant 2020"/>
    <n v="14"/>
    <n v="128"/>
    <x v="0"/>
    <m/>
    <s v="Autre département"/>
    <s v="CMR"/>
    <s v="Cameroun"/>
    <s v="CMR004"/>
    <s v="Extrême-Nord"/>
    <s v="CMR004005"/>
    <s v="Mayo-Sava"/>
    <m/>
    <m/>
  </r>
  <r>
    <s v="Extrême-Nord"/>
    <s v="CMR004"/>
    <x v="2"/>
    <s v="CMR004002"/>
    <x v="8"/>
    <s v="CMR004002009"/>
    <s v="MAK-0077"/>
    <s v="NDIGUINI"/>
    <m/>
    <x v="0"/>
    <s v="Avant 2020"/>
    <n v="35"/>
    <n v="219"/>
    <x v="0"/>
    <m/>
    <s v="Même département, autre arrondissement"/>
    <s v="CMR"/>
    <s v="Cameroun"/>
    <s v="CMR004"/>
    <s v="Extrême-Nord"/>
    <s v="CMR004002"/>
    <s v="Logone-Et-Chari"/>
    <s v="CMR004002007"/>
    <s v="Darak"/>
  </r>
  <r>
    <s v="Extrême-Nord"/>
    <s v="CMR004"/>
    <x v="2"/>
    <s v="CMR004002"/>
    <x v="8"/>
    <s v="CMR004002009"/>
    <s v="MAK-0077"/>
    <s v="NDIGUINI"/>
    <m/>
    <x v="0"/>
    <s v="Septembre 2022 – Février 2023"/>
    <n v="4"/>
    <n v="31"/>
    <x v="0"/>
    <m/>
    <s v="Même département, autre arrondissement"/>
    <s v="CMR"/>
    <s v="Cameroun"/>
    <s v="CMR004"/>
    <s v="Extrême-Nord"/>
    <s v="CMR004002"/>
    <s v="Logone-Et-Chari"/>
    <s v="CMR004002003"/>
    <s v="Blangoua"/>
  </r>
  <r>
    <s v="Extrême-Nord"/>
    <s v="CMR004"/>
    <x v="2"/>
    <s v="CMR004002"/>
    <x v="8"/>
    <s v="CMR004002009"/>
    <s v="MAK-0098"/>
    <s v="DIGAM BAR"/>
    <m/>
    <x v="0"/>
    <s v="Avant 2020"/>
    <n v="8"/>
    <n v="65"/>
    <x v="0"/>
    <m/>
    <s v="Même arrondissement"/>
    <s v="CMR"/>
    <s v="Cameroun"/>
    <s v="CMR004"/>
    <s v="Extrême-Nord"/>
    <s v="CMR004002"/>
    <s v="Logone-Et-Chari"/>
    <s v="CMR004002009"/>
    <s v="Makary"/>
  </r>
  <r>
    <s v="Extrême-Nord"/>
    <s v="CMR004"/>
    <x v="2"/>
    <s v="CMR004002"/>
    <x v="8"/>
    <s v="CMR004002009"/>
    <s v="MAK-0037"/>
    <s v="GLAO"/>
    <m/>
    <x v="0"/>
    <s v="En 2021"/>
    <n v="2"/>
    <n v="15"/>
    <x v="0"/>
    <m/>
    <s v="Même département, autre arrondissement"/>
    <s v="CMR"/>
    <s v="Cameroun"/>
    <s v="CMR004"/>
    <s v="Extrême-Nord"/>
    <s v="CMR004002"/>
    <s v="Logone-Et-Chari"/>
    <s v="CMR004002007"/>
    <s v="Darak"/>
  </r>
  <r>
    <s v="Extrême-Nord"/>
    <s v="CMR004"/>
    <x v="2"/>
    <s v="CMR004002"/>
    <x v="8"/>
    <s v="CMR004002009"/>
    <s v="MAK-0094"/>
    <s v="WOULKIOKALE"/>
    <m/>
    <x v="0"/>
    <s v="Avant 2020"/>
    <n v="15"/>
    <n v="100"/>
    <x v="0"/>
    <m/>
    <s v="Même arrondissement"/>
    <s v="CMR"/>
    <s v="Cameroun"/>
    <s v="CMR004"/>
    <s v="Extrême-Nord"/>
    <s v="CMR004002"/>
    <s v="Logone-Et-Chari"/>
    <s v="CMR004002009"/>
    <s v="Makary"/>
  </r>
  <r>
    <s v="Extrême-Nord"/>
    <s v="CMR004"/>
    <x v="2"/>
    <s v="CMR004002"/>
    <x v="8"/>
    <s v="CMR004002009"/>
    <s v="MAK-0148"/>
    <s v="WERA"/>
    <m/>
    <x v="0"/>
    <s v="Avant 2020"/>
    <n v="8"/>
    <n v="40"/>
    <x v="0"/>
    <m/>
    <s v="Même département, autre arrondissement"/>
    <s v="CMR"/>
    <s v="Cameroun"/>
    <s v="CMR004"/>
    <s v="Extrême-Nord"/>
    <s v="CMR004002"/>
    <s v="Logone-Et-Chari"/>
    <s v="CMR004002008"/>
    <s v="Fotokol"/>
  </r>
  <r>
    <s v="Extrême-Nord"/>
    <s v="CMR004"/>
    <x v="2"/>
    <s v="CMR004002"/>
    <x v="8"/>
    <s v="CMR004002009"/>
    <s v="MAK-0008"/>
    <s v="AMSABANG"/>
    <m/>
    <x v="0"/>
    <s v="Avant 2020"/>
    <n v="66"/>
    <n v="552"/>
    <x v="0"/>
    <m/>
    <s v="Même arrondissement"/>
    <s v="CMR"/>
    <s v="Cameroun"/>
    <s v="CMR004"/>
    <s v="Extrême-Nord"/>
    <s v="CMR004002"/>
    <s v="Logone-Et-Chari"/>
    <s v="CMR004002009"/>
    <s v="Makary"/>
  </r>
  <r>
    <s v="Extrême-Nord"/>
    <s v="CMR004"/>
    <x v="2"/>
    <s v="CMR004002"/>
    <x v="8"/>
    <s v="CMR004002009"/>
    <s v="MAK-0009"/>
    <s v="AMSABANG 2"/>
    <m/>
    <x v="0"/>
    <s v="Avant 2020"/>
    <n v="10"/>
    <n v="69"/>
    <x v="0"/>
    <m/>
    <s v="Même arrondissement"/>
    <s v="CMR"/>
    <s v="Cameroun"/>
    <s v="CMR004"/>
    <s v="Extrême-Nord"/>
    <s v="CMR004002"/>
    <s v="Logone-Et-Chari"/>
    <s v="CMR004002009"/>
    <s v="Makary"/>
  </r>
  <r>
    <s v="Extrême-Nord"/>
    <s v="CMR004"/>
    <x v="2"/>
    <s v="CMR004002"/>
    <x v="9"/>
    <s v="CMR004002010"/>
    <s v="HIL-0018"/>
    <s v="MAFOULSO 2"/>
    <m/>
    <x v="0"/>
    <s v="Avant 2020"/>
    <n v="7"/>
    <n v="57"/>
    <x v="0"/>
    <m/>
    <s v="Même arrondissement"/>
    <s v="CMR"/>
    <s v="Cameroun"/>
    <s v="CMR004"/>
    <s v="Extrême-Nord"/>
    <s v="CMR004002"/>
    <s v="Logone-Et-Chari"/>
    <s v="CMR004002010"/>
    <s v="Hile-Alifa"/>
  </r>
  <r>
    <s v="Extrême-Nord"/>
    <s v="CMR004"/>
    <x v="2"/>
    <s v="CMR004002"/>
    <x v="9"/>
    <s v="CMR004002010"/>
    <s v="HIL-0018"/>
    <s v="MAFOULSO 2"/>
    <m/>
    <x v="0"/>
    <s v="Janvier - Aout 2022"/>
    <n v="2"/>
    <n v="14"/>
    <x v="0"/>
    <m/>
    <s v="Même arrondissement"/>
    <s v="CMR"/>
    <s v="Cameroun"/>
    <s v="CMR004"/>
    <s v="Extrême-Nord"/>
    <s v="CMR004002"/>
    <s v="Logone-Et-Chari"/>
    <s v="CMR004002010"/>
    <s v="Hile-Alifa"/>
  </r>
  <r>
    <s v="Extrême-Nord"/>
    <s v="CMR004"/>
    <x v="2"/>
    <s v="CMR004002"/>
    <x v="9"/>
    <s v="CMR004002010"/>
    <s v="HIL-0018"/>
    <s v="MAFOULSO 2"/>
    <m/>
    <x v="0"/>
    <s v="Septembre 2022 – Février 2023"/>
    <n v="20"/>
    <n v="140"/>
    <x v="0"/>
    <m/>
    <s v="Même département, autre arrondissement"/>
    <s v="CMR"/>
    <s v="Cameroun"/>
    <s v="CMR004"/>
    <s v="Extrême-Nord"/>
    <s v="CMR004002"/>
    <s v="Logone-Et-Chari"/>
    <s v="CMR004002007"/>
    <s v="Darak"/>
  </r>
  <r>
    <s v="Extrême-Nord"/>
    <s v="CMR004"/>
    <x v="2"/>
    <s v="CMR004002"/>
    <x v="9"/>
    <s v="CMR004002010"/>
    <s v="HIL-0021"/>
    <s v="FAMARE"/>
    <m/>
    <x v="0"/>
    <s v="Janvier - Aout 2022"/>
    <n v="1"/>
    <n v="8"/>
    <x v="0"/>
    <m/>
    <s v="Même arrondissement"/>
    <s v="CMR"/>
    <s v="Cameroun"/>
    <s v="CMR004"/>
    <s v="Extrême-Nord"/>
    <s v="CMR004002"/>
    <s v="Logone-Et-Chari"/>
    <s v="CMR004002010"/>
    <s v="Hile-Alifa"/>
  </r>
  <r>
    <s v="Extrême-Nord"/>
    <s v="CMR004"/>
    <x v="2"/>
    <s v="CMR004002"/>
    <x v="9"/>
    <s v="CMR004002010"/>
    <s v="HIL-0021"/>
    <s v="FAMARE"/>
    <m/>
    <x v="0"/>
    <s v="Septembre 2022 – Février 2023"/>
    <n v="50"/>
    <n v="300"/>
    <x v="0"/>
    <m/>
    <s v="Même département, autre arrondissement"/>
    <s v="CMR"/>
    <s v="Cameroun"/>
    <s v="CMR004"/>
    <s v="Extrême-Nord"/>
    <s v="CMR004002"/>
    <s v="Logone-Et-Chari"/>
    <s v="CMR004002007"/>
    <s v="Darak"/>
  </r>
  <r>
    <s v="Extrême-Nord"/>
    <s v="CMR004"/>
    <x v="2"/>
    <s v="CMR004002"/>
    <x v="25"/>
    <s v="CMR004002008"/>
    <s v="FOT-0028"/>
    <s v="MAGADI 1"/>
    <m/>
    <x v="0"/>
    <s v="Avant 2020"/>
    <n v="39"/>
    <n v="321"/>
    <x v="0"/>
    <m/>
    <s v="Même arrondissement"/>
    <s v="CMR"/>
    <s v="Cameroun"/>
    <s v="CMR004"/>
    <s v="Extrême-Nord"/>
    <s v="CMR004002"/>
    <s v="Logone-Et-Chari"/>
    <s v="CMR004002008"/>
    <s v="Fotokol"/>
  </r>
  <r>
    <s v="Extrême-Nord"/>
    <s v="CMR004"/>
    <x v="2"/>
    <s v="CMR004002"/>
    <x v="8"/>
    <s v="CMR004002009"/>
    <s v="MAK-0216"/>
    <s v="SITE DE DAGUÉ"/>
    <m/>
    <x v="0"/>
    <s v="Septembre 2022 – Février 2023"/>
    <n v="16"/>
    <n v="64"/>
    <x v="3"/>
    <m/>
    <s v="Même arrondissement"/>
    <s v="CMR"/>
    <s v="Cameroun"/>
    <s v="CMR004"/>
    <s v="Extrême-Nord"/>
    <s v="CMR004002"/>
    <s v="Logone-Et-Chari"/>
    <s v="CMR004002009"/>
    <s v="Makary"/>
  </r>
  <r>
    <s v="Extrême-Nord"/>
    <s v="CMR004"/>
    <x v="4"/>
    <s v="CMR004005"/>
    <x v="17"/>
    <s v="CMR004005002"/>
    <s v="MOR-0014"/>
    <s v="MEME CENTRE"/>
    <m/>
    <x v="0"/>
    <s v="Avant 2020"/>
    <n v="790"/>
    <n v="10214"/>
    <x v="0"/>
    <m/>
    <s v="Même arrondissement"/>
    <s v="CMR"/>
    <s v="Cameroun"/>
    <s v="CMR004"/>
    <s v="Extrême-Nord"/>
    <s v="CMR004005"/>
    <s v="Mayo-Sava"/>
    <s v="CMR004005002"/>
    <s v="Mora"/>
  </r>
  <r>
    <s v="Extrême-Nord"/>
    <s v="CMR004"/>
    <x v="4"/>
    <s v="CMR004005"/>
    <x v="17"/>
    <s v="CMR004005002"/>
    <s v="MOR-0014"/>
    <s v="MEME CENTRE"/>
    <m/>
    <x v="0"/>
    <s v="En 2020"/>
    <n v="90"/>
    <n v="503"/>
    <x v="0"/>
    <m/>
    <s v="Même arrondissement"/>
    <s v="CMR"/>
    <s v="Cameroun"/>
    <s v="CMR004"/>
    <s v="Extrême-Nord"/>
    <s v="CMR004005"/>
    <s v="Mayo-Sava"/>
    <s v="CMR004005002"/>
    <s v="Mora"/>
  </r>
  <r>
    <s v="Extrême-Nord"/>
    <s v="CMR004"/>
    <x v="4"/>
    <s v="CMR004005"/>
    <x v="17"/>
    <s v="CMR004005002"/>
    <s v="MOR-0014"/>
    <s v="MEME CENTRE"/>
    <m/>
    <x v="0"/>
    <s v="En 2021"/>
    <n v="0"/>
    <n v="243"/>
    <x v="0"/>
    <m/>
    <s v="Même arrondissement"/>
    <s v="CMR"/>
    <s v="Cameroun"/>
    <s v="CMR004"/>
    <s v="Extrême-Nord"/>
    <s v="CMR004005"/>
    <s v="Mayo-Sava"/>
    <s v="CMR004005002"/>
    <s v="Mora"/>
  </r>
  <r>
    <s v="Extrême-Nord"/>
    <s v="CMR004"/>
    <x v="4"/>
    <s v="CMR004005"/>
    <x v="17"/>
    <s v="CMR004005002"/>
    <s v="MOR-0014"/>
    <s v="MEME CENTRE"/>
    <m/>
    <x v="0"/>
    <s v="Janvier - Aout 2022"/>
    <n v="40"/>
    <n v="340"/>
    <x v="0"/>
    <m/>
    <s v="Même arrondissement"/>
    <s v="CMR"/>
    <s v="Cameroun"/>
    <s v="CMR004"/>
    <s v="Extrême-Nord"/>
    <s v="CMR004005"/>
    <s v="Mayo-Sava"/>
    <s v="CMR004005002"/>
    <s v="Mora"/>
  </r>
  <r>
    <s v="Extrême-Nord"/>
    <s v="CMR004"/>
    <x v="4"/>
    <s v="CMR004005"/>
    <x v="17"/>
    <s v="CMR004005002"/>
    <s v="MOR-0014"/>
    <s v="MEME CENTRE"/>
    <m/>
    <x v="0"/>
    <s v="Septembre 2022 – Février 2023"/>
    <n v="0"/>
    <n v="94"/>
    <x v="0"/>
    <m/>
    <s v="Même arrondissement"/>
    <s v="CMR"/>
    <s v="Cameroun"/>
    <s v="CMR004"/>
    <s v="Extrême-Nord"/>
    <s v="CMR004005"/>
    <s v="Mayo-Sava"/>
    <s v="CMR004005002"/>
    <s v="Mora"/>
  </r>
  <r>
    <s v="Extrême-Nord"/>
    <s v="CMR004"/>
    <x v="4"/>
    <s v="CMR004005"/>
    <x v="29"/>
    <s v="CMR004005003"/>
    <s v="TOK-0003"/>
    <s v="MADOUVAYA"/>
    <m/>
    <x v="0"/>
    <s v="Avant 2020"/>
    <n v="31"/>
    <n v="431"/>
    <x v="0"/>
    <m/>
    <s v="Même arrondissement"/>
    <s v="CMR"/>
    <s v="Cameroun"/>
    <s v="CMR004"/>
    <s v="Extrême-Nord"/>
    <s v="CMR004005"/>
    <s v="Mayo-Sava"/>
    <s v="CMR004005003"/>
    <s v="Tokombéré"/>
  </r>
  <r>
    <s v="Extrême-Nord"/>
    <s v="CMR004"/>
    <x v="4"/>
    <s v="CMR004005"/>
    <x v="29"/>
    <s v="CMR004005003"/>
    <s v="TOK-0003"/>
    <s v="MADOUVAYA"/>
    <m/>
    <x v="0"/>
    <s v="En 2020"/>
    <n v="3"/>
    <n v="24"/>
    <x v="0"/>
    <m/>
    <s v="Même arrondissement"/>
    <s v="CMR"/>
    <s v="Cameroun"/>
    <s v="CMR004"/>
    <s v="Extrême-Nord"/>
    <s v="CMR004005"/>
    <s v="Mayo-Sava"/>
    <s v="CMR004005003"/>
    <s v="Tokombéré"/>
  </r>
  <r>
    <s v="Extrême-Nord"/>
    <s v="CMR004"/>
    <x v="4"/>
    <s v="CMR004005"/>
    <x v="29"/>
    <s v="CMR004005003"/>
    <s v="TOK-0003"/>
    <s v="MADOUVAYA"/>
    <m/>
    <x v="0"/>
    <s v="En 2021"/>
    <n v="0"/>
    <n v="80"/>
    <x v="0"/>
    <m/>
    <s v="Même arrondissement"/>
    <s v="CMR"/>
    <s v="Cameroun"/>
    <s v="CMR004"/>
    <s v="Extrême-Nord"/>
    <s v="CMR004005"/>
    <s v="Mayo-Sava"/>
    <s v="CMR004005003"/>
    <s v="Tokombéré"/>
  </r>
  <r>
    <s v="Extrême-Nord"/>
    <s v="CMR004"/>
    <x v="4"/>
    <s v="CMR004005"/>
    <x v="29"/>
    <s v="CMR004005003"/>
    <s v="TOK-0003"/>
    <s v="MADOUVAYA"/>
    <m/>
    <x v="0"/>
    <s v="Janvier - Aout 2022"/>
    <n v="7"/>
    <n v="51"/>
    <x v="0"/>
    <m/>
    <s v="Même arrondissement"/>
    <s v="CMR"/>
    <s v="Cameroun"/>
    <s v="CMR004"/>
    <s v="Extrême-Nord"/>
    <s v="CMR004005"/>
    <s v="Mayo-Sava"/>
    <s v="CMR004005003"/>
    <s v="Tokombéré"/>
  </r>
  <r>
    <s v="Extrême-Nord"/>
    <s v="CMR004"/>
    <x v="4"/>
    <s v="CMR004005"/>
    <x v="29"/>
    <s v="CMR004005003"/>
    <s v="TOK-0003"/>
    <s v="MADOUVAYA"/>
    <m/>
    <x v="0"/>
    <s v="Septembre 2022 – Février 2023"/>
    <n v="0"/>
    <n v="3"/>
    <x v="0"/>
    <m/>
    <s v="Même arrondissement"/>
    <s v="CMR"/>
    <s v="Cameroun"/>
    <s v="CMR004"/>
    <s v="Extrême-Nord"/>
    <s v="CMR004005"/>
    <s v="Mayo-Sava"/>
    <s v="CMR004005003"/>
    <s v="Tokombéré"/>
  </r>
  <r>
    <s v="Extrême-Nord"/>
    <s v="CMR004"/>
    <x v="4"/>
    <s v="CMR004005"/>
    <x v="29"/>
    <s v="CMR004005003"/>
    <s v="TOK-0019"/>
    <s v="SITE DE MADOUVAYA"/>
    <m/>
    <x v="0"/>
    <s v="En 2021"/>
    <n v="30"/>
    <n v="232"/>
    <x v="0"/>
    <m/>
    <s v="Même arrondissement"/>
    <s v="CMR"/>
    <s v="Cameroun"/>
    <s v="CMR004"/>
    <s v="Extrême-Nord"/>
    <s v="CMR004005"/>
    <s v="Mayo-Sava"/>
    <s v="CMR004005003"/>
    <s v="Tokombéré"/>
  </r>
  <r>
    <s v="Extrême-Nord"/>
    <s v="CMR004"/>
    <x v="4"/>
    <s v="CMR004005"/>
    <x v="29"/>
    <s v="CMR004005003"/>
    <s v="TOK-0019"/>
    <s v="SITE DE MADOUVAYA"/>
    <m/>
    <x v="0"/>
    <s v="Janvier - Aout 2022"/>
    <n v="0"/>
    <n v="7"/>
    <x v="0"/>
    <m/>
    <s v="Même arrondissement"/>
    <s v="CMR"/>
    <s v="Cameroun"/>
    <s v="CMR004"/>
    <s v="Extrême-Nord"/>
    <s v="CMR004005"/>
    <s v="Mayo-Sava"/>
    <s v="CMR004005003"/>
    <s v="Tokombéré"/>
  </r>
  <r>
    <s v="Extrême-Nord"/>
    <s v="CMR004"/>
    <x v="4"/>
    <s v="CMR004005"/>
    <x v="29"/>
    <s v="CMR004005003"/>
    <s v="TOK-0019"/>
    <s v="SITE DE MADOUVAYA"/>
    <m/>
    <x v="0"/>
    <s v="Septembre 2022 – Février 2023"/>
    <n v="0"/>
    <n v="4"/>
    <x v="0"/>
    <m/>
    <s v="Même arrondissement"/>
    <s v="CMR"/>
    <s v="Cameroun"/>
    <s v="CMR004"/>
    <s v="Extrême-Nord"/>
    <s v="CMR004005"/>
    <s v="Mayo-Sava"/>
    <s v="CMR004005003"/>
    <s v="Tokombéré"/>
  </r>
  <r>
    <s v="Extrême-Nord"/>
    <s v="CMR004"/>
    <x v="4"/>
    <s v="CMR004005"/>
    <x v="29"/>
    <s v="CMR004005003"/>
    <s v="TOK-0016"/>
    <s v="MAYO-PLATA"/>
    <m/>
    <x v="0"/>
    <s v="Avant 2020"/>
    <n v="34"/>
    <n v="238"/>
    <x v="0"/>
    <m/>
    <s v="Même arrondissement"/>
    <s v="CMR"/>
    <s v="Cameroun"/>
    <s v="CMR004"/>
    <s v="Extrême-Nord"/>
    <s v="CMR004005"/>
    <s v="Mayo-Sava"/>
    <s v="CMR004005003"/>
    <s v="Tokombéré"/>
  </r>
  <r>
    <s v="Extrême-Nord"/>
    <s v="CMR004"/>
    <x v="4"/>
    <s v="CMR004005"/>
    <x v="29"/>
    <s v="CMR004005003"/>
    <s v="TOK-0016"/>
    <s v="MAYO-PLATA"/>
    <m/>
    <x v="0"/>
    <s v="En 2020"/>
    <n v="3"/>
    <n v="23"/>
    <x v="0"/>
    <m/>
    <s v="Même arrondissement"/>
    <s v="CMR"/>
    <s v="Cameroun"/>
    <s v="CMR004"/>
    <s v="Extrême-Nord"/>
    <s v="CMR004005"/>
    <s v="Mayo-Sava"/>
    <s v="CMR004005003"/>
    <s v="Tokombéré"/>
  </r>
  <r>
    <s v="Extrême-Nord"/>
    <s v="CMR004"/>
    <x v="4"/>
    <s v="CMR004005"/>
    <x v="29"/>
    <s v="CMR004005003"/>
    <s v="TOK-0016"/>
    <s v="MAYO-PLATA"/>
    <m/>
    <x v="0"/>
    <s v="En 2021"/>
    <n v="0"/>
    <n v="34"/>
    <x v="0"/>
    <m/>
    <s v="Même arrondissement"/>
    <s v="CMR"/>
    <s v="Cameroun"/>
    <s v="CMR004"/>
    <s v="Extrême-Nord"/>
    <s v="CMR004005"/>
    <s v="Mayo-Sava"/>
    <s v="CMR004005003"/>
    <s v="Tokombéré"/>
  </r>
  <r>
    <s v="Extrême-Nord"/>
    <s v="CMR004"/>
    <x v="4"/>
    <s v="CMR004005"/>
    <x v="29"/>
    <s v="CMR004005003"/>
    <s v="TOK-0016"/>
    <s v="MAYO-PLATA"/>
    <m/>
    <x v="0"/>
    <s v="Janvier - Aout 2022"/>
    <n v="0"/>
    <n v="11"/>
    <x v="0"/>
    <m/>
    <s v="Même arrondissement"/>
    <s v="CMR"/>
    <s v="Cameroun"/>
    <s v="CMR004"/>
    <s v="Extrême-Nord"/>
    <s v="CMR004005"/>
    <s v="Mayo-Sava"/>
    <s v="CMR004005003"/>
    <s v="Tokombéré"/>
  </r>
  <r>
    <s v="Extrême-Nord"/>
    <s v="CMR004"/>
    <x v="4"/>
    <s v="CMR004005"/>
    <x v="29"/>
    <s v="CMR004005003"/>
    <s v="TOK-0016"/>
    <s v="MAYO-PLATA"/>
    <m/>
    <x v="0"/>
    <s v="Septembre 2022 – Février 2023"/>
    <n v="0"/>
    <n v="12"/>
    <x v="0"/>
    <m/>
    <s v="Même arrondissement"/>
    <s v="CMR"/>
    <s v="Cameroun"/>
    <s v="CMR004"/>
    <s v="Extrême-Nord"/>
    <s v="CMR004005"/>
    <s v="Mayo-Sava"/>
    <s v="CMR004005003"/>
    <s v="Tokombéré"/>
  </r>
  <r>
    <s v="Extrême-Nord"/>
    <s v="CMR004"/>
    <x v="4"/>
    <s v="CMR004005"/>
    <x v="17"/>
    <s v="CMR004005002"/>
    <s v="MOR-0076"/>
    <s v="SITE DE KOURGUI ECOLE"/>
    <m/>
    <x v="0"/>
    <s v="En 2020"/>
    <n v="107"/>
    <n v="513"/>
    <x v="0"/>
    <m/>
    <s v="Même arrondissement"/>
    <s v="CMR"/>
    <s v="Cameroun"/>
    <s v="CMR004"/>
    <s v="Extrême-Nord"/>
    <s v="CMR004005"/>
    <s v="Mayo-Sava"/>
    <s v="CMR004005002"/>
    <s v="Mora"/>
  </r>
  <r>
    <s v="Extrême-Nord"/>
    <s v="CMR004"/>
    <x v="4"/>
    <s v="CMR004005"/>
    <x v="17"/>
    <s v="CMR004005002"/>
    <s v="MOR-0076"/>
    <s v="SITE DE KOURGUI ECOLE"/>
    <m/>
    <x v="0"/>
    <s v="En 2021"/>
    <n v="0"/>
    <n v="5"/>
    <x v="0"/>
    <m/>
    <s v="Même arrondissement"/>
    <s v="CMR"/>
    <s v="Cameroun"/>
    <s v="CMR004"/>
    <s v="Extrême-Nord"/>
    <s v="CMR004005"/>
    <s v="Mayo-Sava"/>
    <s v="CMR004005002"/>
    <s v="Mora"/>
  </r>
  <r>
    <s v="Extrême-Nord"/>
    <s v="CMR004"/>
    <x v="4"/>
    <s v="CMR004005"/>
    <x v="17"/>
    <s v="CMR004005002"/>
    <s v="MOR-0076"/>
    <s v="SITE DE KOURGUI ECOLE"/>
    <m/>
    <x v="0"/>
    <s v="Janvier - Aout 2022"/>
    <n v="2"/>
    <n v="21"/>
    <x v="0"/>
    <m/>
    <s v="Même arrondissement"/>
    <s v="CMR"/>
    <s v="Cameroun"/>
    <s v="CMR004"/>
    <s v="Extrême-Nord"/>
    <s v="CMR004005"/>
    <s v="Mayo-Sava"/>
    <s v="CMR004005002"/>
    <s v="Mora"/>
  </r>
  <r>
    <s v="Extrême-Nord"/>
    <s v="CMR004"/>
    <x v="4"/>
    <s v="CMR004005"/>
    <x v="17"/>
    <s v="CMR004005002"/>
    <s v="MOR-0076"/>
    <s v="SITE DE KOURGUI ECOLE"/>
    <m/>
    <x v="0"/>
    <s v="Septembre 2022 – Février 2023"/>
    <n v="6"/>
    <n v="40"/>
    <x v="0"/>
    <m/>
    <s v="Même arrondissement"/>
    <s v="CMR"/>
    <s v="Cameroun"/>
    <s v="CMR004"/>
    <s v="Extrême-Nord"/>
    <s v="CMR004005"/>
    <s v="Mayo-Sava"/>
    <s v="CMR004005002"/>
    <s v="Mora"/>
  </r>
  <r>
    <s v="Extrême-Nord"/>
    <s v="CMR004"/>
    <x v="4"/>
    <s v="CMR004005"/>
    <x v="17"/>
    <s v="CMR004005002"/>
    <s v="MOR-0077"/>
    <s v="SITE DE KOURGUI - MAYO"/>
    <m/>
    <x v="0"/>
    <s v="En 2020"/>
    <n v="85"/>
    <n v="445"/>
    <x v="0"/>
    <m/>
    <s v="Même arrondissement"/>
    <s v="CMR"/>
    <s v="Cameroun"/>
    <s v="CMR004"/>
    <s v="Extrême-Nord"/>
    <s v="CMR004005"/>
    <s v="Mayo-Sava"/>
    <s v="CMR004005002"/>
    <s v="Mora"/>
  </r>
  <r>
    <s v="Extrême-Nord"/>
    <s v="CMR004"/>
    <x v="4"/>
    <s v="CMR004005"/>
    <x v="17"/>
    <s v="CMR004005002"/>
    <s v="MOR-0077"/>
    <s v="SITE DE KOURGUI - MAYO"/>
    <m/>
    <x v="0"/>
    <s v="En 2021"/>
    <n v="0"/>
    <n v="10"/>
    <x v="0"/>
    <m/>
    <s v="Même arrondissement"/>
    <s v="CMR"/>
    <s v="Cameroun"/>
    <s v="CMR004"/>
    <s v="Extrême-Nord"/>
    <s v="CMR004005"/>
    <s v="Mayo-Sava"/>
    <s v="CMR004005002"/>
    <s v="Mora"/>
  </r>
  <r>
    <s v="Extrême-Nord"/>
    <s v="CMR004"/>
    <x v="4"/>
    <s v="CMR004005"/>
    <x v="17"/>
    <s v="CMR004005002"/>
    <s v="MOR-0077"/>
    <s v="SITE DE KOURGUI - MAYO"/>
    <m/>
    <x v="0"/>
    <s v="Janvier - Aout 2022"/>
    <n v="0"/>
    <n v="7"/>
    <x v="0"/>
    <m/>
    <s v="Même arrondissement"/>
    <s v="CMR"/>
    <s v="Cameroun"/>
    <s v="CMR004"/>
    <s v="Extrême-Nord"/>
    <s v="CMR004005"/>
    <s v="Mayo-Sava"/>
    <s v="CMR004005002"/>
    <s v="Mora"/>
  </r>
  <r>
    <s v="Extrême-Nord"/>
    <s v="CMR004"/>
    <x v="4"/>
    <s v="CMR004005"/>
    <x v="17"/>
    <s v="CMR004005002"/>
    <s v="MOR-0077"/>
    <s v="SITE DE KOURGUI - MAYO"/>
    <m/>
    <x v="0"/>
    <s v="Septembre 2022 – Février 2023"/>
    <n v="5"/>
    <n v="25"/>
    <x v="0"/>
    <m/>
    <s v="Même arrondissement"/>
    <s v="CMR"/>
    <s v="Cameroun"/>
    <s v="CMR004"/>
    <s v="Extrême-Nord"/>
    <s v="CMR004005"/>
    <s v="Mayo-Sava"/>
    <s v="CMR004005002"/>
    <s v="Mora"/>
  </r>
  <r>
    <s v="Extrême-Nord"/>
    <s v="CMR004"/>
    <x v="4"/>
    <s v="CMR004005"/>
    <x v="17"/>
    <s v="CMR004005002"/>
    <s v="MOR-0073"/>
    <s v="KOSSERE ZOUELVA"/>
    <m/>
    <x v="0"/>
    <s v="En 2020"/>
    <n v="14"/>
    <n v="111"/>
    <x v="0"/>
    <m/>
    <s v="Même arrondissement"/>
    <s v="CMR"/>
    <s v="Cameroun"/>
    <s v="CMR004"/>
    <s v="Extrême-Nord"/>
    <s v="CMR004005"/>
    <s v="Mayo-Sava"/>
    <s v="CMR004005002"/>
    <s v="Mora"/>
  </r>
  <r>
    <s v="Extrême-Nord"/>
    <s v="CMR004"/>
    <x v="4"/>
    <s v="CMR004005"/>
    <x v="17"/>
    <s v="CMR004005002"/>
    <s v="MOR-0073"/>
    <s v="KOSSERE ZOUELVA"/>
    <m/>
    <x v="0"/>
    <s v="En 2021"/>
    <n v="5"/>
    <n v="26"/>
    <x v="0"/>
    <m/>
    <s v="Même arrondissement"/>
    <s v="CMR"/>
    <s v="Cameroun"/>
    <s v="CMR004"/>
    <s v="Extrême-Nord"/>
    <s v="CMR004005"/>
    <s v="Mayo-Sava"/>
    <s v="CMR004005002"/>
    <s v="Mora"/>
  </r>
  <r>
    <s v="Extrême-Nord"/>
    <s v="CMR004"/>
    <x v="4"/>
    <s v="CMR004005"/>
    <x v="17"/>
    <s v="CMR004005002"/>
    <s v="MOR-0073"/>
    <s v="KOSSERE ZOUELVA"/>
    <m/>
    <x v="0"/>
    <s v="Janvier - Aout 2022"/>
    <n v="17"/>
    <n v="88"/>
    <x v="0"/>
    <m/>
    <s v="Même arrondissement"/>
    <s v="CMR"/>
    <s v="Cameroun"/>
    <s v="CMR004"/>
    <s v="Extrême-Nord"/>
    <s v="CMR004005"/>
    <s v="Mayo-Sava"/>
    <s v="CMR004005002"/>
    <s v="Mora"/>
  </r>
  <r>
    <s v="Extrême-Nord"/>
    <s v="CMR004"/>
    <x v="4"/>
    <s v="CMR004005"/>
    <x v="17"/>
    <s v="CMR004005002"/>
    <s v="MOR-0073"/>
    <s v="KOSSERE ZOUELVA"/>
    <m/>
    <x v="0"/>
    <s v="Septembre 2022 – Février 2023"/>
    <n v="8"/>
    <n v="27"/>
    <x v="0"/>
    <m/>
    <s v="Même arrondissement"/>
    <s v="CMR"/>
    <s v="Cameroun"/>
    <s v="CMR004"/>
    <s v="Extrême-Nord"/>
    <s v="CMR004005"/>
    <s v="Mayo-Sava"/>
    <s v="CMR004005002"/>
    <s v="Mora"/>
  </r>
  <r>
    <s v="Extrême-Nord"/>
    <s v="CMR004"/>
    <x v="1"/>
    <s v="CMR004006"/>
    <x v="7"/>
    <s v="CMR004006005"/>
    <s v="MOZ-0005"/>
    <s v="KORSAMBA"/>
    <m/>
    <x v="0"/>
    <s v="Avant 2020"/>
    <n v="89"/>
    <n v="409"/>
    <x v="0"/>
    <m/>
    <s v="Même arrondissement"/>
    <s v="CMR"/>
    <s v="Cameroun"/>
    <s v="CMR004"/>
    <s v="Extrême-Nord"/>
    <s v="CMR004006"/>
    <s v="Mayo-Tsanaga"/>
    <s v="CMR004006005"/>
    <s v="Mayo-Moskota"/>
  </r>
  <r>
    <s v="Extrême-Nord"/>
    <s v="CMR004"/>
    <x v="1"/>
    <s v="CMR004006"/>
    <x v="7"/>
    <s v="CMR004006005"/>
    <s v="MOZ-0005"/>
    <s v="KORSAMBA"/>
    <m/>
    <x v="0"/>
    <s v="Septembre 2022 – Février 2023"/>
    <n v="12"/>
    <n v="73"/>
    <x v="0"/>
    <m/>
    <s v="Même arrondissement"/>
    <s v="CMR"/>
    <s v="Cameroun"/>
    <s v="CMR004"/>
    <s v="Extrême-Nord"/>
    <s v="CMR004006"/>
    <s v="Mayo-Tsanaga"/>
    <s v="CMR004006005"/>
    <s v="Mayo-Moskota"/>
  </r>
  <r>
    <s v="Extrême-Nord"/>
    <s v="CMR004"/>
    <x v="1"/>
    <s v="CMR004006"/>
    <x v="7"/>
    <s v="CMR004006005"/>
    <s v="MOZ-0008"/>
    <s v="DEKERE CENTRE"/>
    <m/>
    <x v="0"/>
    <s v="Janvier - Aout 2022"/>
    <n v="99"/>
    <n v="468"/>
    <x v="0"/>
    <m/>
    <s v="Même arrondissement"/>
    <s v="CMR"/>
    <s v="Cameroun"/>
    <s v="CMR004"/>
    <s v="Extrême-Nord"/>
    <s v="CMR004006"/>
    <s v="Mayo-Tsanaga"/>
    <s v="CMR004006005"/>
    <s v="Mayo-Moskota"/>
  </r>
  <r>
    <s v="Extrême-Nord"/>
    <s v="CMR004"/>
    <x v="1"/>
    <s v="CMR004006"/>
    <x v="7"/>
    <s v="CMR004006005"/>
    <s v="MOZ-0008"/>
    <s v="DEKERE CENTRE"/>
    <m/>
    <x v="0"/>
    <s v="Septembre 2022 – Février 2023"/>
    <n v="9"/>
    <n v="32"/>
    <x v="0"/>
    <m/>
    <s v="Même arrondissement"/>
    <s v="CMR"/>
    <s v="Cameroun"/>
    <s v="CMR004"/>
    <s v="Extrême-Nord"/>
    <s v="CMR004006"/>
    <s v="Mayo-Tsanaga"/>
    <s v="CMR004006005"/>
    <s v="Mayo-Moskota"/>
  </r>
  <r>
    <s v="Extrême-Nord"/>
    <s v="CMR004"/>
    <x v="1"/>
    <s v="CMR004006"/>
    <x v="7"/>
    <s v="CMR004006005"/>
    <s v="MOZ-0036"/>
    <s v="DJIBRILLI"/>
    <m/>
    <x v="0"/>
    <s v="Avant 2020"/>
    <n v="90"/>
    <n v="544"/>
    <x v="0"/>
    <m/>
    <s v="Même arrondissement"/>
    <s v="CMR"/>
    <s v="Cameroun"/>
    <s v="CMR004"/>
    <s v="Extrême-Nord"/>
    <s v="CMR004006"/>
    <s v="Mayo-Tsanaga"/>
    <s v="CMR004006005"/>
    <s v="Mayo-Moskota"/>
  </r>
  <r>
    <s v="Extrême-Nord"/>
    <s v="CMR004"/>
    <x v="2"/>
    <s v="CMR004002"/>
    <x v="8"/>
    <s v="CMR004002009"/>
    <s v="MAK-0011"/>
    <s v="ATTRI-SALAMAT"/>
    <m/>
    <x v="0"/>
    <s v="Avant 2020"/>
    <n v="6"/>
    <n v="27"/>
    <x v="0"/>
    <m/>
    <s v="Même département, autre arrondissement"/>
    <s v="CMR"/>
    <s v="Cameroun"/>
    <s v="CMR004"/>
    <s v="Extrême-Nord"/>
    <s v="CMR004002"/>
    <s v="Logone-Et-Chari"/>
    <s v="CMR004002008"/>
    <s v="Fotokol"/>
  </r>
  <r>
    <s v="Extrême-Nord"/>
    <s v="CMR004"/>
    <x v="2"/>
    <s v="CMR004002"/>
    <x v="8"/>
    <s v="CMR004002009"/>
    <s v="MAK-0011"/>
    <s v="ATTRI-SALAMAT"/>
    <m/>
    <x v="0"/>
    <s v="En 2021"/>
    <n v="10"/>
    <n v="80"/>
    <x v="0"/>
    <m/>
    <s v="Même département, autre arrondissement"/>
    <s v="CMR"/>
    <s v="Cameroun"/>
    <s v="CMR004"/>
    <s v="Extrême-Nord"/>
    <s v="CMR004002"/>
    <s v="Logone-Et-Chari"/>
    <s v="CMR004002008"/>
    <s v="Fotokol"/>
  </r>
  <r>
    <s v="Extrême-Nord"/>
    <s v="CMR004"/>
    <x v="2"/>
    <s v="CMR004002"/>
    <x v="8"/>
    <s v="CMR004002009"/>
    <s v="MAK-0011"/>
    <s v="ATTRI-SALAMAT"/>
    <m/>
    <x v="0"/>
    <s v="Janvier - Aout 2022"/>
    <n v="0"/>
    <n v="2"/>
    <x v="0"/>
    <m/>
    <s v="Même département, autre arrondissement"/>
    <s v="CMR"/>
    <s v="Cameroun"/>
    <s v="CMR004"/>
    <s v="Extrême-Nord"/>
    <s v="CMR004002"/>
    <s v="Logone-Et-Chari"/>
    <s v="CMR004002008"/>
    <s v="Fotokol"/>
  </r>
  <r>
    <s v="Extrême-Nord"/>
    <s v="CMR004"/>
    <x v="2"/>
    <s v="CMR004002"/>
    <x v="25"/>
    <s v="CMR004002008"/>
    <s v="FOT-0024"/>
    <s v="WORO KEYME"/>
    <m/>
    <x v="0"/>
    <s v="Avant 2020"/>
    <n v="7"/>
    <n v="55"/>
    <x v="0"/>
    <m/>
    <s v="Même arrondissement"/>
    <s v="CMR"/>
    <s v="Cameroun"/>
    <s v="CMR004"/>
    <s v="Extrême-Nord"/>
    <s v="CMR004002"/>
    <s v="Logone-Et-Chari"/>
    <s v="CMR004002008"/>
    <s v="Fotokol"/>
  </r>
  <r>
    <s v="Extrême-Nord"/>
    <s v="CMR004"/>
    <x v="2"/>
    <s v="CMR004002"/>
    <x v="8"/>
    <s v="CMR004002009"/>
    <s v="MAK-0169"/>
    <s v="GAWAWA"/>
    <m/>
    <x v="0"/>
    <s v="Janvier - Aout 2022"/>
    <n v="5"/>
    <n v="47"/>
    <x v="1"/>
    <m/>
    <s v="Même arrondissement"/>
    <s v="CMR"/>
    <s v="Cameroun"/>
    <s v="CMR004"/>
    <s v="Extrême-Nord"/>
    <s v="CMR004002"/>
    <s v="Logone-Et-Chari"/>
    <s v="CMR004002009"/>
    <s v="Makary"/>
  </r>
  <r>
    <s v="Extrême-Nord"/>
    <s v="CMR004"/>
    <x v="2"/>
    <s v="CMR004002"/>
    <x v="8"/>
    <s v="CMR004002009"/>
    <s v="MAK-0169"/>
    <s v="GAWAWA"/>
    <m/>
    <x v="0"/>
    <s v="Septembre 2022 – Février 2023"/>
    <n v="3"/>
    <n v="27"/>
    <x v="3"/>
    <m/>
    <s v="Même arrondissement"/>
    <s v="CMR"/>
    <s v="Cameroun"/>
    <s v="CMR004"/>
    <s v="Extrême-Nord"/>
    <s v="CMR004002"/>
    <s v="Logone-Et-Chari"/>
    <s v="CMR004002009"/>
    <s v="Makary"/>
  </r>
  <r>
    <s v="Extrême-Nord"/>
    <s v="CMR004"/>
    <x v="2"/>
    <s v="CMR004002"/>
    <x v="8"/>
    <s v="CMR004002009"/>
    <s v="MAK-0051"/>
    <s v="KRENAK"/>
    <m/>
    <x v="0"/>
    <s v="Septembre 2022 – Février 2023"/>
    <n v="21"/>
    <n v="137"/>
    <x v="1"/>
    <m/>
    <s v="Même arrondissement"/>
    <s v="CMR"/>
    <s v="Cameroun"/>
    <s v="CMR004"/>
    <s v="Extrême-Nord"/>
    <s v="CMR004002"/>
    <s v="Logone-Et-Chari"/>
    <s v="CMR004002009"/>
    <s v="Makary"/>
  </r>
  <r>
    <s v="Extrême-Nord"/>
    <s v="CMR004"/>
    <x v="2"/>
    <s v="CMR004002"/>
    <x v="8"/>
    <s v="CMR004002009"/>
    <s v="MAK-0051"/>
    <s v="KRENAK"/>
    <m/>
    <x v="0"/>
    <s v="Janvier - Aout 2022"/>
    <n v="6"/>
    <n v="27"/>
    <x v="1"/>
    <m/>
    <s v="Même arrondissement"/>
    <s v="CMR"/>
    <s v="Cameroun"/>
    <s v="CMR004"/>
    <s v="Extrême-Nord"/>
    <s v="CMR004002"/>
    <s v="Logone-Et-Chari"/>
    <s v="CMR004002009"/>
    <s v="Makary"/>
  </r>
  <r>
    <s v="Extrême-Nord"/>
    <s v="CMR004"/>
    <x v="1"/>
    <s v="CMR004006"/>
    <x v="1"/>
    <s v="CMR004006002"/>
    <s v="MOK-0058"/>
    <s v="WANAROU MOKOLO"/>
    <m/>
    <x v="0"/>
    <s v="En 2021"/>
    <n v="2"/>
    <n v="8"/>
    <x v="0"/>
    <m/>
    <s v="Même arrondissement"/>
    <s v="CMR"/>
    <s v="Cameroun"/>
    <s v="CMR004"/>
    <s v="Extrême-Nord"/>
    <s v="CMR004006"/>
    <s v="Mayo-Tsanaga"/>
    <s v="CMR004006002"/>
    <s v="Mokolo"/>
  </r>
  <r>
    <s v="Extrême-Nord"/>
    <s v="CMR004"/>
    <x v="1"/>
    <s v="CMR004006"/>
    <x v="1"/>
    <s v="CMR004006002"/>
    <s v="MOK-0058"/>
    <s v="WANAROU MOKOLO"/>
    <m/>
    <x v="0"/>
    <s v="Janvier - Aout 2022"/>
    <n v="5"/>
    <n v="20"/>
    <x v="0"/>
    <m/>
    <s v="Même arrondissement"/>
    <s v="CMR"/>
    <s v="Cameroun"/>
    <s v="CMR004"/>
    <s v="Extrême-Nord"/>
    <s v="CMR004006"/>
    <s v="Mayo-Tsanaga"/>
    <s v="CMR004006002"/>
    <s v="Mokolo"/>
  </r>
  <r>
    <s v="Extrême-Nord"/>
    <s v="CMR004"/>
    <x v="1"/>
    <s v="CMR004006"/>
    <x v="1"/>
    <s v="CMR004006002"/>
    <s v="MOK-0058"/>
    <s v="WANAROU MOKOLO"/>
    <m/>
    <x v="0"/>
    <s v="Septembre 2022 – Février 2023"/>
    <n v="2"/>
    <n v="13"/>
    <x v="0"/>
    <m/>
    <s v="Même arrondissement"/>
    <s v="CMR"/>
    <s v="Cameroun"/>
    <s v="CMR004"/>
    <s v="Extrême-Nord"/>
    <s v="CMR004006"/>
    <s v="Mayo-Tsanaga"/>
    <s v="CMR004006002"/>
    <s v="Mokolo"/>
  </r>
  <r>
    <s v="Extrême-Nord"/>
    <s v="CMR004"/>
    <x v="1"/>
    <s v="CMR004006"/>
    <x v="16"/>
    <s v="CMR004006004"/>
    <s v="KOZ-0042"/>
    <s v="MADAKAR"/>
    <m/>
    <x v="0"/>
    <s v="En 2021"/>
    <n v="50"/>
    <n v="700"/>
    <x v="0"/>
    <m/>
    <s v="Même département, autre arrondissement"/>
    <s v="CMR"/>
    <s v="Cameroun"/>
    <s v="CMR004"/>
    <s v="Extrême-Nord"/>
    <s v="CMR004006"/>
    <s v="Mayo-Tsanaga"/>
    <s v="CMR004006005"/>
    <s v="Mayo-Moskota"/>
  </r>
  <r>
    <s v="Extrême-Nord"/>
    <s v="CMR004"/>
    <x v="1"/>
    <s v="CMR004006"/>
    <x v="16"/>
    <s v="CMR004006004"/>
    <s v="KOZ-0042"/>
    <s v="MADAKAR"/>
    <m/>
    <x v="0"/>
    <s v="Janvier - Aout 2022"/>
    <n v="7"/>
    <n v="36"/>
    <x v="0"/>
    <m/>
    <s v="Même département, autre arrondissement"/>
    <s v="CMR"/>
    <s v="Cameroun"/>
    <s v="CMR004"/>
    <s v="Extrême-Nord"/>
    <s v="CMR004006"/>
    <s v="Mayo-Tsanaga"/>
    <s v="CMR004006005"/>
    <s v="Mayo-Moskota"/>
  </r>
  <r>
    <s v="Extrême-Nord"/>
    <s v="CMR004"/>
    <x v="1"/>
    <s v="CMR004006"/>
    <x v="16"/>
    <s v="CMR004006004"/>
    <s v="KOZ-0042"/>
    <s v="MADAKAR"/>
    <m/>
    <x v="0"/>
    <s v="Septembre 2022 – Février 2023"/>
    <n v="0"/>
    <n v="3"/>
    <x v="0"/>
    <m/>
    <s v="Même département, autre arrondissement"/>
    <s v="CMR"/>
    <s v="Cameroun"/>
    <s v="CMR004"/>
    <s v="Extrême-Nord"/>
    <s v="CMR004006"/>
    <s v="Mayo-Tsanaga"/>
    <s v="CMR004006005"/>
    <s v="Mayo-Moskota"/>
  </r>
  <r>
    <s v="Extrême-Nord"/>
    <s v="CMR004"/>
    <x v="2"/>
    <s v="CMR004002"/>
    <x v="13"/>
    <s v="CMR004002001"/>
    <s v="WAZ-0011"/>
    <s v="SITE DE WAZA"/>
    <m/>
    <x v="0"/>
    <s v="Septembre 2022 – Février 2023"/>
    <n v="0"/>
    <n v="0"/>
    <x v="0"/>
    <m/>
    <s v="Même arrondissement"/>
    <s v="CMR"/>
    <s v="Cameroun"/>
    <s v="CMR004"/>
    <s v="Extrême-Nord"/>
    <s v="CMR004002"/>
    <s v="Logone-Et-Chari"/>
    <s v="CMR004002001"/>
    <s v="Waza"/>
  </r>
  <r>
    <s v="Extrême-Nord"/>
    <s v="CMR004"/>
    <x v="2"/>
    <s v="CMR004002"/>
    <x v="13"/>
    <s v="CMR004002001"/>
    <s v="WAZ-0011"/>
    <s v="SITE DE WAZA"/>
    <m/>
    <x v="0"/>
    <s v="Avant 2020"/>
    <n v="457"/>
    <n v="2767"/>
    <x v="1"/>
    <m/>
    <s v="Même département, autre arrondissement"/>
    <s v="CMR"/>
    <s v="Cameroun"/>
    <s v="CMR004"/>
    <s v="Extrême-Nord"/>
    <s v="CMR004002"/>
    <s v="Logone-Et-Chari"/>
    <s v="CMR004002004"/>
    <s v="Logone-Birni"/>
  </r>
  <r>
    <s v="Extrême-Nord"/>
    <s v="CMR004"/>
    <x v="2"/>
    <s v="CMR004002"/>
    <x v="13"/>
    <s v="CMR004002001"/>
    <s v="WAZ-0011"/>
    <s v="SITE DE WAZA"/>
    <m/>
    <x v="0"/>
    <s v="Janvier - Aout 2022"/>
    <n v="18"/>
    <n v="36"/>
    <x v="0"/>
    <m/>
    <s v="Même arrondissement"/>
    <s v="CMR"/>
    <s v="Cameroun"/>
    <s v="CMR004"/>
    <s v="Extrême-Nord"/>
    <s v="CMR004002"/>
    <s v="Logone-Et-Chari"/>
    <s v="CMR004002001"/>
    <s v="Waza"/>
  </r>
  <r>
    <s v="Extrême-Nord"/>
    <s v="CMR004"/>
    <x v="2"/>
    <s v="CMR004002"/>
    <x v="13"/>
    <s v="CMR004002001"/>
    <s v="WAZ-0010"/>
    <s v="TAGAWA 4"/>
    <m/>
    <x v="0"/>
    <s v="Avant 2020"/>
    <n v="32"/>
    <n v="200"/>
    <x v="0"/>
    <m/>
    <s v="Autre département"/>
    <s v="CMR"/>
    <s v="Cameroun"/>
    <s v="CMR004"/>
    <s v="Extrême-Nord"/>
    <s v="CMR004005"/>
    <s v="Mayo-Sava"/>
    <m/>
    <m/>
  </r>
  <r>
    <s v="Extrême-Nord"/>
    <s v="CMR004"/>
    <x v="2"/>
    <s v="CMR004002"/>
    <x v="13"/>
    <s v="CMR004002001"/>
    <s v="WAZ-0013"/>
    <s v="CHAOUDE"/>
    <m/>
    <x v="0"/>
    <s v="Janvier - Aout 2022"/>
    <n v="39"/>
    <n v="351"/>
    <x v="1"/>
    <m/>
    <s v="Même département, autre arrondissement"/>
    <s v="CMR"/>
    <s v="Cameroun"/>
    <s v="CMR004"/>
    <s v="Extrême-Nord"/>
    <s v="CMR004002"/>
    <s v="Logone-Et-Chari"/>
    <s v="CMR004002004"/>
    <s v="Logone-Birni"/>
  </r>
  <r>
    <s v="Extrême-Nord"/>
    <s v="CMR004"/>
    <x v="2"/>
    <s v="CMR004002"/>
    <x v="9"/>
    <s v="CMR004002010"/>
    <s v="HIL-0005"/>
    <s v="BARGARAM"/>
    <m/>
    <x v="0"/>
    <s v="Avant 2020"/>
    <n v="27"/>
    <n v="230"/>
    <x v="0"/>
    <m/>
    <s v="Même arrondissement"/>
    <s v="CMR"/>
    <s v="Cameroun"/>
    <s v="CMR004"/>
    <s v="Extrême-Nord"/>
    <s v="CMR004002"/>
    <s v="Logone-Et-Chari"/>
    <s v="CMR004002010"/>
    <s v="Hile-Alifa"/>
  </r>
  <r>
    <s v="Extrême-Nord"/>
    <s v="CMR004"/>
    <x v="2"/>
    <s v="CMR004002"/>
    <x v="9"/>
    <s v="CMR004002010"/>
    <s v="HIL-0005"/>
    <s v="BARGARAM"/>
    <m/>
    <x v="0"/>
    <s v="Janvier - Aout 2022"/>
    <n v="5"/>
    <n v="40"/>
    <x v="0"/>
    <m/>
    <s v="Même arrondissement"/>
    <s v="CMR"/>
    <s v="Cameroun"/>
    <s v="CMR004"/>
    <s v="Extrême-Nord"/>
    <s v="CMR004002"/>
    <s v="Logone-Et-Chari"/>
    <s v="CMR004002010"/>
    <s v="Hile-Alifa"/>
  </r>
  <r>
    <s v="Extrême-Nord"/>
    <s v="CMR004"/>
    <x v="2"/>
    <s v="CMR004002"/>
    <x v="9"/>
    <s v="CMR004002010"/>
    <s v="HIL-0005"/>
    <s v="BARGARAM"/>
    <m/>
    <x v="0"/>
    <s v="Septembre 2022 – Février 2023"/>
    <n v="25"/>
    <n v="150"/>
    <x v="0"/>
    <m/>
    <s v="Même département, autre arrondissement"/>
    <s v="CMR"/>
    <s v="Cameroun"/>
    <s v="CMR004"/>
    <s v="Extrême-Nord"/>
    <s v="CMR004002"/>
    <s v="Logone-Et-Chari"/>
    <s v="CMR004002007"/>
    <s v="Darak"/>
  </r>
  <r>
    <s v="Extrême-Nord"/>
    <s v="CMR004"/>
    <x v="0"/>
    <s v="CMR004001"/>
    <x v="3"/>
    <s v="CMR004001009"/>
    <s v="MA1-0005"/>
    <s v="DIGUIRWO 1"/>
    <m/>
    <x v="0"/>
    <s v="Avant 2020"/>
    <n v="8"/>
    <n v="44"/>
    <x v="0"/>
    <m/>
    <s v="Autre département"/>
    <s v="CMR"/>
    <s v="Cameroun"/>
    <s v="CMR004"/>
    <s v="Extrême-Nord"/>
    <s v="CMR004005"/>
    <s v="Mayo-Sava"/>
    <m/>
    <m/>
  </r>
  <r>
    <s v="Extrême-Nord"/>
    <s v="CMR004"/>
    <x v="2"/>
    <s v="CMR004002"/>
    <x v="8"/>
    <s v="CMR004002009"/>
    <s v="MAK-0006"/>
    <s v="AMCHILGA"/>
    <m/>
    <x v="0"/>
    <s v="Avant 2020"/>
    <n v="36"/>
    <n v="155"/>
    <x v="1"/>
    <m/>
    <s v="Même département, autre arrondissement"/>
    <s v="CMR"/>
    <s v="Cameroun"/>
    <s v="CMR004"/>
    <s v="Extrême-Nord"/>
    <s v="CMR004002"/>
    <s v="Logone-Et-Chari"/>
    <s v="CMR004002004"/>
    <s v="Logone-Birni"/>
  </r>
  <r>
    <s v="Extrême-Nord"/>
    <s v="CMR004"/>
    <x v="2"/>
    <s v="CMR004002"/>
    <x v="8"/>
    <s v="CMR004002009"/>
    <s v="MAK-0006"/>
    <s v="AMCHILGA"/>
    <m/>
    <x v="0"/>
    <s v="Septembre 2022 – Février 2023"/>
    <n v="7"/>
    <n v="30"/>
    <x v="0"/>
    <m/>
    <s v="Même département, autre arrondissement"/>
    <s v="CMR"/>
    <s v="Cameroun"/>
    <s v="CMR004"/>
    <s v="Extrême-Nord"/>
    <s v="CMR004002"/>
    <s v="Logone-Et-Chari"/>
    <s v="CMR004002007"/>
    <s v="Darak"/>
  </r>
  <r>
    <s v="Extrême-Nord"/>
    <s v="CMR004"/>
    <x v="2"/>
    <s v="CMR004002"/>
    <x v="8"/>
    <s v="CMR004002009"/>
    <s v="MAK-0006"/>
    <s v="AMCHILGA"/>
    <m/>
    <x v="0"/>
    <s v="Janvier - Aout 2022"/>
    <n v="7"/>
    <n v="25"/>
    <x v="1"/>
    <m/>
    <s v="Même département, autre arrondissement"/>
    <s v="CMR"/>
    <s v="Cameroun"/>
    <s v="CMR004"/>
    <s v="Extrême-Nord"/>
    <s v="CMR004002"/>
    <s v="Logone-Et-Chari"/>
    <s v="CMR004002004"/>
    <s v="Logone-Birni"/>
  </r>
  <r>
    <s v="Extrême-Nord"/>
    <s v="CMR004"/>
    <x v="2"/>
    <s v="CMR004002"/>
    <x v="8"/>
    <s v="CMR004002009"/>
    <s v="MAK-0161"/>
    <s v="AMSAOURA"/>
    <m/>
    <x v="0"/>
    <s v="Avant 2020"/>
    <n v="5"/>
    <n v="27"/>
    <x v="3"/>
    <m/>
    <s v="Même arrondissement"/>
    <s v="CMR"/>
    <s v="Cameroun"/>
    <s v="CMR004"/>
    <s v="Extrême-Nord"/>
    <s v="CMR004002"/>
    <s v="Logone-Et-Chari"/>
    <s v="CMR004002009"/>
    <s v="Makary"/>
  </r>
  <r>
    <s v="Extrême-Nord"/>
    <s v="CMR004"/>
    <x v="2"/>
    <s v="CMR004002"/>
    <x v="8"/>
    <s v="CMR004002009"/>
    <s v="MAK-0161"/>
    <s v="AMSAOURA"/>
    <m/>
    <x v="0"/>
    <s v="Septembre 2022 – Février 2023"/>
    <n v="1"/>
    <n v="4"/>
    <x v="3"/>
    <m/>
    <s v="Même département, autre arrondissement"/>
    <s v="CMR"/>
    <s v="Cameroun"/>
    <s v="CMR004"/>
    <s v="Extrême-Nord"/>
    <s v="CMR004002"/>
    <s v="Logone-Et-Chari"/>
    <s v="CMR004002007"/>
    <s v="Darak"/>
  </r>
  <r>
    <s v="Extrême-Nord"/>
    <s v="CMR004"/>
    <x v="2"/>
    <s v="CMR004002"/>
    <x v="10"/>
    <s v="CMR004002003"/>
    <s v="BLA-0008"/>
    <s v="KOBRO"/>
    <m/>
    <x v="0"/>
    <s v="Avant 2020"/>
    <n v="7"/>
    <n v="48"/>
    <x v="0"/>
    <m/>
    <s v="Même département, autre arrondissement"/>
    <s v="CMR"/>
    <s v="Cameroun"/>
    <s v="CMR004"/>
    <s v="Extrême-Nord"/>
    <s v="CMR004002"/>
    <s v="Logone-Et-Chari"/>
    <s v="CMR004002008"/>
    <s v="Fotokol"/>
  </r>
  <r>
    <s v="Extrême-Nord"/>
    <s v="CMR004"/>
    <x v="2"/>
    <s v="CMR004002"/>
    <x v="10"/>
    <s v="CMR004002003"/>
    <s v="BLA-0013"/>
    <s v="SERO ABOU"/>
    <m/>
    <x v="0"/>
    <s v="Avant 2020"/>
    <n v="8"/>
    <n v="65"/>
    <x v="0"/>
    <m/>
    <s v="Même département, autre arrondissement"/>
    <s v="CMR"/>
    <s v="Cameroun"/>
    <s v="CMR004"/>
    <s v="Extrême-Nord"/>
    <s v="CMR004002"/>
    <s v="Logone-Et-Chari"/>
    <s v="CMR004002008"/>
    <s v="Fotokol"/>
  </r>
  <r>
    <s v="Extrême-Nord"/>
    <s v="CMR004"/>
    <x v="2"/>
    <s v="CMR004002"/>
    <x v="8"/>
    <s v="CMR004002009"/>
    <s v="MAK-0208"/>
    <s v="MIDJOKHINE"/>
    <m/>
    <x v="0"/>
    <s v="Avant 2020"/>
    <n v="1"/>
    <n v="4"/>
    <x v="0"/>
    <m/>
    <s v="Même arrondissement"/>
    <s v="CMR"/>
    <s v="Cameroun"/>
    <s v="CMR004"/>
    <s v="Extrême-Nord"/>
    <s v="CMR004002"/>
    <s v="Logone-Et-Chari"/>
    <s v="CMR004002009"/>
    <s v="Makary"/>
  </r>
  <r>
    <s v="Extrême-Nord"/>
    <s v="CMR004"/>
    <x v="2"/>
    <s v="CMR004002"/>
    <x v="8"/>
    <s v="CMR004002009"/>
    <s v="MAK-0206"/>
    <s v="LABADO SITE"/>
    <m/>
    <x v="0"/>
    <s v="Avant 2020"/>
    <n v="110"/>
    <n v="1000"/>
    <x v="0"/>
    <m/>
    <s v="Même arrondissement"/>
    <s v="CMR"/>
    <s v="Cameroun"/>
    <s v="CMR004"/>
    <s v="Extrême-Nord"/>
    <s v="CMR004002"/>
    <s v="Logone-Et-Chari"/>
    <s v="CMR004002009"/>
    <s v="Makary"/>
  </r>
  <r>
    <s v="Extrême-Nord"/>
    <s v="CMR004"/>
    <x v="2"/>
    <s v="CMR004002"/>
    <x v="8"/>
    <s v="CMR004002009"/>
    <s v="MAK-0222"/>
    <s v="LABADO"/>
    <m/>
    <x v="0"/>
    <s v="Avant 2020"/>
    <n v="5"/>
    <n v="20"/>
    <x v="0"/>
    <m/>
    <s v="Même arrondissement"/>
    <s v="CMR"/>
    <s v="Cameroun"/>
    <s v="CMR004"/>
    <s v="Extrême-Nord"/>
    <s v="CMR004002"/>
    <s v="Logone-Et-Chari"/>
    <s v="CMR004002009"/>
    <s v="Makary"/>
  </r>
  <r>
    <s v="Extrême-Nord"/>
    <s v="CMR004"/>
    <x v="2"/>
    <s v="CMR004002"/>
    <x v="10"/>
    <s v="CMR004002003"/>
    <s v="BLA-0014"/>
    <s v="WAYA-WAYA"/>
    <m/>
    <x v="0"/>
    <s v="Avant 2020"/>
    <n v="3"/>
    <n v="22"/>
    <x v="0"/>
    <m/>
    <s v="Même département, autre arrondissement"/>
    <s v="CMR"/>
    <s v="Cameroun"/>
    <s v="CMR004"/>
    <s v="Extrême-Nord"/>
    <s v="CMR004002"/>
    <s v="Logone-Et-Chari"/>
    <s v="CMR004002008"/>
    <s v="Fotokol"/>
  </r>
  <r>
    <s v="Extrême-Nord"/>
    <s v="CMR004"/>
    <x v="2"/>
    <s v="CMR004002"/>
    <x v="10"/>
    <s v="CMR004002003"/>
    <s v="BLA-0014"/>
    <s v="WAYA-WAYA"/>
    <m/>
    <x v="0"/>
    <s v="Janvier - Aout 2022"/>
    <n v="1"/>
    <n v="5"/>
    <x v="3"/>
    <m/>
    <s v="Même département, autre arrondissement"/>
    <s v="CMR"/>
    <s v="Cameroun"/>
    <s v="CMR004"/>
    <s v="Extrême-Nord"/>
    <s v="CMR004002"/>
    <s v="Logone-Et-Chari"/>
    <s v="CMR004002007"/>
    <s v="Darak"/>
  </r>
  <r>
    <s v="Extrême-Nord"/>
    <s v="CMR004"/>
    <x v="2"/>
    <s v="CMR004002"/>
    <x v="10"/>
    <s v="CMR004002003"/>
    <s v="BLA-0014"/>
    <s v="WAYA-WAYA"/>
    <m/>
    <x v="0"/>
    <s v="Septembre 2022 – Février 2023"/>
    <n v="2"/>
    <n v="14"/>
    <x v="3"/>
    <m/>
    <s v="Même arrondissement"/>
    <s v="CMR"/>
    <s v="Cameroun"/>
    <s v="CMR004"/>
    <s v="Extrême-Nord"/>
    <s v="CMR004002"/>
    <s v="Logone-Et-Chari"/>
    <s v="CMR004002003"/>
    <s v="Blangoua"/>
  </r>
  <r>
    <s v="Extrême-Nord"/>
    <s v="CMR004"/>
    <x v="1"/>
    <s v="CMR004006"/>
    <x v="16"/>
    <s v="CMR004006004"/>
    <s v="KOZ-0032"/>
    <s v="YAMEDE"/>
    <m/>
    <x v="0"/>
    <s v="En 2021"/>
    <n v="14"/>
    <n v="68"/>
    <x v="0"/>
    <m/>
    <s v="Même département, autre arrondissement"/>
    <s v="CMR"/>
    <s v="Cameroun"/>
    <s v="CMR004"/>
    <s v="Extrême-Nord"/>
    <s v="CMR004006"/>
    <s v="Mayo-Tsanaga"/>
    <s v="CMR004006005"/>
    <s v="Mayo-Moskota"/>
  </r>
  <r>
    <s v="Extrême-Nord"/>
    <s v="CMR004"/>
    <x v="1"/>
    <s v="CMR004006"/>
    <x v="16"/>
    <s v="CMR004006004"/>
    <s v="KOZ-0032"/>
    <s v="YAMEDE"/>
    <m/>
    <x v="0"/>
    <s v="Janvier - Aout 2022"/>
    <n v="0"/>
    <n v="6"/>
    <x v="0"/>
    <m/>
    <s v="Même département, autre arrondissement"/>
    <s v="CMR"/>
    <s v="Cameroun"/>
    <s v="CMR004"/>
    <s v="Extrême-Nord"/>
    <s v="CMR004006"/>
    <s v="Mayo-Tsanaga"/>
    <s v="CMR004006005"/>
    <s v="Mayo-Moskota"/>
  </r>
  <r>
    <s v="Extrême-Nord"/>
    <s v="CMR004"/>
    <x v="1"/>
    <s v="CMR004006"/>
    <x v="16"/>
    <s v="CMR004006004"/>
    <s v="KOZ-0032"/>
    <s v="YAMEDE"/>
    <m/>
    <x v="0"/>
    <s v="Septembre 2022 – Février 2023"/>
    <n v="5"/>
    <n v="30"/>
    <x v="0"/>
    <m/>
    <s v="Même département, autre arrondissement"/>
    <s v="CMR"/>
    <s v="Cameroun"/>
    <s v="CMR004"/>
    <s v="Extrême-Nord"/>
    <s v="CMR004006"/>
    <s v="Mayo-Tsanaga"/>
    <s v="CMR004006005"/>
    <s v="Mayo-Moskota"/>
  </r>
  <r>
    <s v="Extrême-Nord"/>
    <s v="CMR004"/>
    <x v="1"/>
    <s v="CMR004006"/>
    <x v="16"/>
    <s v="CMR004006004"/>
    <s v="KOZ-0001"/>
    <s v="DJENGUE"/>
    <m/>
    <x v="0"/>
    <s v="Avant 2020"/>
    <n v="47"/>
    <n v="244"/>
    <x v="0"/>
    <m/>
    <s v="Même département, autre arrondissement"/>
    <s v="CMR"/>
    <s v="Cameroun"/>
    <s v="CMR004"/>
    <s v="Extrême-Nord"/>
    <s v="CMR004006"/>
    <s v="Mayo-Tsanaga"/>
    <s v="CMR004006005"/>
    <s v="Mayo-Moskota"/>
  </r>
  <r>
    <s v="Extrême-Nord"/>
    <s v="CMR004"/>
    <x v="1"/>
    <s v="CMR004006"/>
    <x v="16"/>
    <s v="CMR004006004"/>
    <s v="KOZ-0001"/>
    <s v="DJENGUE"/>
    <m/>
    <x v="0"/>
    <s v="En 2020"/>
    <n v="2"/>
    <n v="18"/>
    <x v="0"/>
    <m/>
    <s v="Même département, autre arrondissement"/>
    <s v="CMR"/>
    <s v="Cameroun"/>
    <s v="CMR004"/>
    <s v="Extrême-Nord"/>
    <s v="CMR004006"/>
    <s v="Mayo-Tsanaga"/>
    <s v="CMR004006005"/>
    <s v="Mayo-Moskota"/>
  </r>
  <r>
    <s v="Extrême-Nord"/>
    <s v="CMR004"/>
    <x v="1"/>
    <s v="CMR004006"/>
    <x v="16"/>
    <s v="CMR004006004"/>
    <s v="KOZ-0001"/>
    <s v="DJENGUE"/>
    <m/>
    <x v="0"/>
    <s v="Janvier - Aout 2022"/>
    <n v="5"/>
    <n v="30"/>
    <x v="0"/>
    <m/>
    <s v="Même département, autre arrondissement"/>
    <s v="CMR"/>
    <s v="Cameroun"/>
    <s v="CMR004"/>
    <s v="Extrême-Nord"/>
    <s v="CMR004006"/>
    <s v="Mayo-Tsanaga"/>
    <s v="CMR004006005"/>
    <s v="Mayo-Moskota"/>
  </r>
  <r>
    <s v="Extrême-Nord"/>
    <s v="CMR004"/>
    <x v="1"/>
    <s v="CMR004006"/>
    <x v="16"/>
    <s v="CMR004006004"/>
    <s v="KOZ-0001"/>
    <s v="DJENGUE"/>
    <m/>
    <x v="0"/>
    <s v="Septembre 2022 – Février 2023"/>
    <n v="2"/>
    <n v="7"/>
    <x v="0"/>
    <m/>
    <s v="Même département, autre arrondissement"/>
    <s v="CMR"/>
    <s v="Cameroun"/>
    <s v="CMR004"/>
    <s v="Extrême-Nord"/>
    <s v="CMR004006"/>
    <s v="Mayo-Tsanaga"/>
    <s v="CMR004006005"/>
    <s v="Mayo-Moskota"/>
  </r>
  <r>
    <s v="Extrême-Nord"/>
    <s v="CMR004"/>
    <x v="1"/>
    <s v="CMR004006"/>
    <x v="16"/>
    <s v="CMR004006004"/>
    <s v="XXXX"/>
    <s v="DAKOTCHER"/>
    <s v="DAKOTCHER"/>
    <x v="0"/>
    <s v="Septembre 2022 – Février 2023"/>
    <n v="40"/>
    <n v="150"/>
    <x v="0"/>
    <m/>
    <s v="Même arrondissement"/>
    <s v="CMR"/>
    <s v="Cameroun"/>
    <s v="CMR004"/>
    <s v="Extrême-Nord"/>
    <s v="CMR004006"/>
    <s v="Mayo-Tsanaga"/>
    <s v="CMR004006004"/>
    <s v="Koza"/>
  </r>
  <r>
    <s v="Extrême-Nord"/>
    <s v="CMR004"/>
    <x v="1"/>
    <s v="CMR004006"/>
    <x v="16"/>
    <s v="CMR004006004"/>
    <s v="KOZ-0044"/>
    <s v="NDOUVGUI KILDA"/>
    <m/>
    <x v="0"/>
    <s v="Janvier - Aout 2022"/>
    <n v="25"/>
    <n v="136"/>
    <x v="0"/>
    <m/>
    <s v="Même arrondissement"/>
    <s v="CMR"/>
    <s v="Cameroun"/>
    <s v="CMR004"/>
    <s v="Extrême-Nord"/>
    <s v="CMR004006"/>
    <s v="Mayo-Tsanaga"/>
    <s v="CMR004006004"/>
    <s v="Koza"/>
  </r>
  <r>
    <s v="Extrême-Nord"/>
    <s v="CMR004"/>
    <x v="1"/>
    <s v="CMR004006"/>
    <x v="16"/>
    <s v="CMR004006004"/>
    <s v="KOZ-0044"/>
    <s v="NDOUVGUI KILDA"/>
    <m/>
    <x v="0"/>
    <s v="Septembre 2022 – Février 2023"/>
    <n v="0"/>
    <n v="3"/>
    <x v="0"/>
    <m/>
    <s v="Même arrondissement"/>
    <s v="CMR"/>
    <s v="Cameroun"/>
    <s v="CMR004"/>
    <s v="Extrême-Nord"/>
    <s v="CMR004006"/>
    <s v="Mayo-Tsanaga"/>
    <s v="CMR004006004"/>
    <s v="Koza"/>
  </r>
  <r>
    <s v="Extrême-Nord"/>
    <s v="CMR004"/>
    <x v="2"/>
    <s v="CMR004002"/>
    <x v="15"/>
    <s v="CMR004002004"/>
    <s v="LBI-0012"/>
    <s v="MOULADOCK 1"/>
    <m/>
    <x v="0"/>
    <s v="Avant 2020"/>
    <n v="7"/>
    <n v="72"/>
    <x v="0"/>
    <m/>
    <s v="Même arrondissement"/>
    <s v="CMR"/>
    <s v="Cameroun"/>
    <s v="CMR004"/>
    <s v="Extrême-Nord"/>
    <s v="CMR004002"/>
    <s v="Logone-Et-Chari"/>
    <s v="CMR004002004"/>
    <s v="Logone-Birni"/>
  </r>
  <r>
    <s v="Extrême-Nord"/>
    <s v="CMR004"/>
    <x v="1"/>
    <s v="CMR004006"/>
    <x v="16"/>
    <s v="CMR004006004"/>
    <s v="KOZ-0008"/>
    <s v="GAIVOUKIDA"/>
    <m/>
    <x v="0"/>
    <s v="Avant 2020"/>
    <n v="42"/>
    <n v="252"/>
    <x v="0"/>
    <m/>
    <s v="Même département, autre arrondissement"/>
    <s v="CMR"/>
    <s v="Cameroun"/>
    <s v="CMR004"/>
    <s v="Extrême-Nord"/>
    <s v="CMR004006"/>
    <s v="Mayo-Tsanaga"/>
    <s v="CMR004006005"/>
    <s v="Mayo-Moskota"/>
  </r>
  <r>
    <s v="Extrême-Nord"/>
    <s v="CMR004"/>
    <x v="1"/>
    <s v="CMR004006"/>
    <x v="16"/>
    <s v="CMR004006004"/>
    <s v="KOZ-0008"/>
    <s v="GAIVOUKIDA"/>
    <m/>
    <x v="0"/>
    <s v="En 2020"/>
    <n v="8"/>
    <n v="43"/>
    <x v="0"/>
    <m/>
    <s v="Même département, autre arrondissement"/>
    <s v="CMR"/>
    <s v="Cameroun"/>
    <s v="CMR004"/>
    <s v="Extrême-Nord"/>
    <s v="CMR004006"/>
    <s v="Mayo-Tsanaga"/>
    <s v="CMR004006005"/>
    <s v="Mayo-Moskota"/>
  </r>
  <r>
    <s v="Extrême-Nord"/>
    <s v="CMR004"/>
    <x v="1"/>
    <s v="CMR004006"/>
    <x v="16"/>
    <s v="CMR004006004"/>
    <s v="KOZ-0008"/>
    <s v="GAIVOUKIDA"/>
    <m/>
    <x v="0"/>
    <s v="En 2021"/>
    <n v="10"/>
    <n v="30"/>
    <x v="0"/>
    <m/>
    <s v="Même département, autre arrondissement"/>
    <s v="CMR"/>
    <s v="Cameroun"/>
    <s v="CMR004"/>
    <s v="Extrême-Nord"/>
    <s v="CMR004006"/>
    <s v="Mayo-Tsanaga"/>
    <s v="CMR004006005"/>
    <s v="Mayo-Moskota"/>
  </r>
  <r>
    <s v="Extrême-Nord"/>
    <s v="CMR004"/>
    <x v="1"/>
    <s v="CMR004006"/>
    <x v="16"/>
    <s v="CMR004006004"/>
    <s v="KOZ-0008"/>
    <s v="GAIVOUKIDA"/>
    <m/>
    <x v="0"/>
    <s v="Janvier - Aout 2022"/>
    <n v="19"/>
    <n v="70"/>
    <x v="0"/>
    <m/>
    <s v="Même département, autre arrondissement"/>
    <s v="CMR"/>
    <s v="Cameroun"/>
    <s v="CMR004"/>
    <s v="Extrême-Nord"/>
    <s v="CMR004006"/>
    <s v="Mayo-Tsanaga"/>
    <s v="CMR004006005"/>
    <s v="Mayo-Moskota"/>
  </r>
  <r>
    <s v="Extrême-Nord"/>
    <s v="CMR004"/>
    <x v="1"/>
    <s v="CMR004006"/>
    <x v="16"/>
    <s v="CMR004006004"/>
    <s v="KOZ-0008"/>
    <s v="GAIVOUKIDA"/>
    <m/>
    <x v="0"/>
    <s v="Septembre 2022 – Février 2023"/>
    <n v="4"/>
    <n v="32"/>
    <x v="0"/>
    <m/>
    <s v="Même département, autre arrondissement"/>
    <s v="CMR"/>
    <s v="Cameroun"/>
    <s v="CMR004"/>
    <s v="Extrême-Nord"/>
    <s v="CMR004006"/>
    <s v="Mayo-Tsanaga"/>
    <s v="CMR004006005"/>
    <s v="Mayo-Moskota"/>
  </r>
  <r>
    <s v="Extrême-Nord"/>
    <s v="CMR004"/>
    <x v="1"/>
    <s v="CMR004006"/>
    <x v="16"/>
    <s v="CMR004006004"/>
    <s v="KOZ-0015"/>
    <s v="HIRCHE"/>
    <m/>
    <x v="0"/>
    <s v="Avant 2020"/>
    <n v="120"/>
    <n v="1013"/>
    <x v="0"/>
    <m/>
    <s v="Même département, autre arrondissement"/>
    <s v="CMR"/>
    <s v="Cameroun"/>
    <s v="CMR004"/>
    <s v="Extrême-Nord"/>
    <s v="CMR004006"/>
    <s v="Mayo-Tsanaga"/>
    <s v="CMR004006005"/>
    <s v="Mayo-Moskota"/>
  </r>
  <r>
    <s v="Extrême-Nord"/>
    <s v="CMR004"/>
    <x v="1"/>
    <s v="CMR004006"/>
    <x v="16"/>
    <s v="CMR004006004"/>
    <s v="KOZ-0015"/>
    <s v="HIRCHE"/>
    <m/>
    <x v="0"/>
    <s v="En 2020"/>
    <n v="28"/>
    <n v="113"/>
    <x v="0"/>
    <m/>
    <s v="Même département, autre arrondissement"/>
    <s v="CMR"/>
    <s v="Cameroun"/>
    <s v="CMR004"/>
    <s v="Extrême-Nord"/>
    <s v="CMR004006"/>
    <s v="Mayo-Tsanaga"/>
    <s v="CMR004006005"/>
    <s v="Mayo-Moskota"/>
  </r>
  <r>
    <s v="Extrême-Nord"/>
    <s v="CMR004"/>
    <x v="1"/>
    <s v="CMR004006"/>
    <x v="16"/>
    <s v="CMR004006004"/>
    <s v="KOZ-0015"/>
    <s v="HIRCHE"/>
    <m/>
    <x v="0"/>
    <s v="En 2021"/>
    <n v="0"/>
    <n v="6"/>
    <x v="0"/>
    <m/>
    <s v="Même département, autre arrondissement"/>
    <s v="CMR"/>
    <s v="Cameroun"/>
    <s v="CMR004"/>
    <s v="Extrême-Nord"/>
    <s v="CMR004006"/>
    <s v="Mayo-Tsanaga"/>
    <s v="CMR004006005"/>
    <s v="Mayo-Moskota"/>
  </r>
  <r>
    <s v="Extrême-Nord"/>
    <s v="CMR004"/>
    <x v="1"/>
    <s v="CMR004006"/>
    <x v="16"/>
    <s v="CMR004006004"/>
    <s v="KOZ-0015"/>
    <s v="HIRCHE"/>
    <m/>
    <x v="0"/>
    <s v="Janvier - Aout 2022"/>
    <n v="5"/>
    <n v="25"/>
    <x v="0"/>
    <m/>
    <s v="Même département, autre arrondissement"/>
    <s v="CMR"/>
    <s v="Cameroun"/>
    <s v="CMR004"/>
    <s v="Extrême-Nord"/>
    <s v="CMR004006"/>
    <s v="Mayo-Tsanaga"/>
    <s v="CMR004006005"/>
    <s v="Mayo-Moskota"/>
  </r>
  <r>
    <s v="Extrême-Nord"/>
    <s v="CMR004"/>
    <x v="1"/>
    <s v="CMR004006"/>
    <x v="16"/>
    <s v="CMR004006004"/>
    <s v="KOZ-0015"/>
    <s v="HIRCHE"/>
    <m/>
    <x v="0"/>
    <s v="Septembre 2022 – Février 2023"/>
    <n v="17"/>
    <n v="57"/>
    <x v="0"/>
    <m/>
    <s v="Même département, autre arrondissement"/>
    <s v="CMR"/>
    <s v="Cameroun"/>
    <s v="CMR004"/>
    <s v="Extrême-Nord"/>
    <s v="CMR004006"/>
    <s v="Mayo-Tsanaga"/>
    <s v="CMR004006005"/>
    <s v="Mayo-Moskota"/>
  </r>
  <r>
    <s v="Extrême-Nord"/>
    <s v="CMR004"/>
    <x v="2"/>
    <s v="CMR004002"/>
    <x v="13"/>
    <s v="CMR004002001"/>
    <s v="WAZ-0007"/>
    <s v="TAGAWA 1"/>
    <m/>
    <x v="0"/>
    <s v="En 2020"/>
    <n v="35"/>
    <n v="216"/>
    <x v="0"/>
    <m/>
    <s v="Même arrondissement"/>
    <s v="CMR"/>
    <s v="Cameroun"/>
    <s v="CMR004"/>
    <s v="Extrême-Nord"/>
    <s v="CMR004002"/>
    <s v="Logone-Et-Chari"/>
    <s v="CMR004002001"/>
    <s v="Waza"/>
  </r>
  <r>
    <s v="Extrême-Nord"/>
    <s v="CMR004"/>
    <x v="2"/>
    <s v="CMR004002"/>
    <x v="13"/>
    <s v="CMR004002001"/>
    <s v="WAZ-0007"/>
    <s v="TAGAWA 1"/>
    <m/>
    <x v="0"/>
    <s v="Septembre 2022 – Février 2023"/>
    <n v="0"/>
    <n v="5"/>
    <x v="0"/>
    <m/>
    <s v="Même arrondissement"/>
    <s v="CMR"/>
    <s v="Cameroun"/>
    <s v="CMR004"/>
    <s v="Extrême-Nord"/>
    <s v="CMR004002"/>
    <s v="Logone-Et-Chari"/>
    <s v="CMR004002001"/>
    <s v="Waza"/>
  </r>
  <r>
    <s v="Extrême-Nord"/>
    <s v="CMR004"/>
    <x v="2"/>
    <s v="CMR004002"/>
    <x v="8"/>
    <s v="CMR004002009"/>
    <s v="MAK-0199"/>
    <s v="CHAHAK"/>
    <m/>
    <x v="0"/>
    <s v="Avant 2020"/>
    <n v="70"/>
    <n v="374"/>
    <x v="0"/>
    <m/>
    <s v="Même département, autre arrondissement"/>
    <s v="CMR"/>
    <s v="Cameroun"/>
    <s v="CMR004"/>
    <s v="Extrême-Nord"/>
    <s v="CMR004002"/>
    <s v="Logone-Et-Chari"/>
    <s v="CMR004002007"/>
    <s v="Darak"/>
  </r>
  <r>
    <s v="Extrême-Nord"/>
    <s v="CMR004"/>
    <x v="2"/>
    <s v="CMR004002"/>
    <x v="8"/>
    <s v="CMR004002009"/>
    <s v="MAK-0199"/>
    <s v="CHAHAK"/>
    <m/>
    <x v="0"/>
    <s v="Janvier - Aout 2022"/>
    <n v="19"/>
    <n v="30"/>
    <x v="0"/>
    <m/>
    <s v="Même département, autre arrondissement"/>
    <s v="CMR"/>
    <s v="Cameroun"/>
    <s v="CMR004"/>
    <s v="Extrême-Nord"/>
    <s v="CMR004002"/>
    <s v="Logone-Et-Chari"/>
    <s v="CMR004002007"/>
    <s v="Darak"/>
  </r>
  <r>
    <s v="Extrême-Nord"/>
    <s v="CMR004"/>
    <x v="2"/>
    <s v="CMR004002"/>
    <x v="25"/>
    <s v="CMR004002008"/>
    <s v="FOT-0038"/>
    <s v="MADINA"/>
    <m/>
    <x v="0"/>
    <s v="Avant 2020"/>
    <n v="42"/>
    <n v="255"/>
    <x v="0"/>
    <m/>
    <s v="Même arrondissement"/>
    <s v="CMR"/>
    <s v="Cameroun"/>
    <s v="CMR004"/>
    <s v="Extrême-Nord"/>
    <s v="CMR004002"/>
    <s v="Logone-Et-Chari"/>
    <s v="CMR004002008"/>
    <s v="Fotokol"/>
  </r>
  <r>
    <s v="Extrême-Nord"/>
    <s v="CMR004"/>
    <x v="2"/>
    <s v="CMR004002"/>
    <x v="25"/>
    <s v="CMR004002008"/>
    <s v="FOT-0031"/>
    <s v="GADAFAI"/>
    <m/>
    <x v="0"/>
    <s v="Avant 2020"/>
    <n v="115"/>
    <n v="545"/>
    <x v="0"/>
    <m/>
    <s v="Même arrondissement"/>
    <s v="CMR"/>
    <s v="Cameroun"/>
    <s v="CMR004"/>
    <s v="Extrême-Nord"/>
    <s v="CMR004002"/>
    <s v="Logone-Et-Chari"/>
    <s v="CMR004002008"/>
    <s v="Fotokol"/>
  </r>
  <r>
    <s v="Extrême-Nord"/>
    <s v="CMR004"/>
    <x v="2"/>
    <s v="CMR004002"/>
    <x v="26"/>
    <s v="CMR004002006"/>
    <s v="KOU-0002"/>
    <s v="AMCHEDIRE"/>
    <m/>
    <x v="0"/>
    <s v="Avant 2020"/>
    <n v="273"/>
    <n v="890"/>
    <x v="0"/>
    <m/>
    <s v="Même département, autre arrondissement"/>
    <s v="CMR"/>
    <s v="Cameroun"/>
    <s v="CMR004"/>
    <s v="Extrême-Nord"/>
    <s v="CMR004002"/>
    <s v="Logone-Et-Chari"/>
    <s v="CMR004002008"/>
    <s v="Fotokol"/>
  </r>
  <r>
    <s v="Extrême-Nord"/>
    <s v="CMR004"/>
    <x v="2"/>
    <s v="CMR004002"/>
    <x v="26"/>
    <s v="CMR004002006"/>
    <s v="KOU-0002"/>
    <s v="AMCHEDIRE"/>
    <m/>
    <x v="0"/>
    <s v="Janvier - Aout 2022"/>
    <n v="360"/>
    <n v="530"/>
    <x v="1"/>
    <m/>
    <s v="Même département, autre arrondissement"/>
    <s v="CMR"/>
    <s v="Cameroun"/>
    <s v="CMR004"/>
    <s v="Extrême-Nord"/>
    <s v="CMR004002"/>
    <s v="Logone-Et-Chari"/>
    <s v="CMR004002004"/>
    <s v="Logone-Birni"/>
  </r>
  <r>
    <s v="Extrême-Nord"/>
    <s v="CMR004"/>
    <x v="2"/>
    <s v="CMR004002"/>
    <x v="26"/>
    <s v="CMR004002006"/>
    <s v="KOU-0002"/>
    <s v="AMCHEDIRE"/>
    <m/>
    <x v="0"/>
    <s v="Septembre 2022 – Février 2023"/>
    <n v="50"/>
    <n v="1000"/>
    <x v="3"/>
    <m/>
    <s v="Même département, autre arrondissement"/>
    <s v="CMR"/>
    <s v="Cameroun"/>
    <s v="CMR004"/>
    <s v="Extrême-Nord"/>
    <s v="CMR004002"/>
    <s v="Logone-Et-Chari"/>
    <s v="CMR004002004"/>
    <s v="Logone-Birni"/>
  </r>
  <r>
    <s v="Extrême-Nord"/>
    <s v="CMR004"/>
    <x v="2"/>
    <s v="CMR004002"/>
    <x v="25"/>
    <s v="CMR004002008"/>
    <s v="FOT-0029"/>
    <s v="MAGADI 2"/>
    <m/>
    <x v="0"/>
    <s v="Avant 2020"/>
    <n v="18"/>
    <n v="150"/>
    <x v="0"/>
    <m/>
    <s v="Même arrondissement"/>
    <s v="CMR"/>
    <s v="Cameroun"/>
    <s v="CMR004"/>
    <s v="Extrême-Nord"/>
    <s v="CMR004002"/>
    <s v="Logone-Et-Chari"/>
    <s v="CMR004002008"/>
    <s v="Fotokol"/>
  </r>
  <r>
    <s v="Extrême-Nord"/>
    <s v="CMR004"/>
    <x v="2"/>
    <s v="CMR004002"/>
    <x v="25"/>
    <s v="CMR004002008"/>
    <s v="FOT-0039"/>
    <s v="BIDEINE"/>
    <m/>
    <x v="0"/>
    <s v="Avant 2020"/>
    <n v="38"/>
    <n v="124"/>
    <x v="0"/>
    <m/>
    <s v="Même arrondissement"/>
    <s v="CMR"/>
    <s v="Cameroun"/>
    <s v="CMR004"/>
    <s v="Extrême-Nord"/>
    <s v="CMR004002"/>
    <s v="Logone-Et-Chari"/>
    <s v="CMR004002008"/>
    <s v="Fotokol"/>
  </r>
  <r>
    <s v="Extrême-Nord"/>
    <s v="CMR004"/>
    <x v="2"/>
    <s v="CMR004002"/>
    <x v="25"/>
    <s v="CMR004002008"/>
    <s v="FOT-0034"/>
    <s v="GUEGUERI"/>
    <m/>
    <x v="0"/>
    <s v="Avant 2020"/>
    <n v="38"/>
    <n v="124"/>
    <x v="0"/>
    <m/>
    <s v="Même arrondissement"/>
    <s v="CMR"/>
    <s v="Cameroun"/>
    <s v="CMR004"/>
    <s v="Extrême-Nord"/>
    <s v="CMR004002"/>
    <s v="Logone-Et-Chari"/>
    <s v="CMR004002008"/>
    <s v="Fotokol"/>
  </r>
  <r>
    <s v="Extrême-Nord"/>
    <s v="CMR004"/>
    <x v="2"/>
    <s v="CMR004002"/>
    <x v="12"/>
    <s v="CMR004002002"/>
    <s v="GOU-0009"/>
    <s v="MAFANG"/>
    <m/>
    <x v="0"/>
    <s v="Janvier - Aout 2022"/>
    <n v="20"/>
    <n v="119"/>
    <x v="0"/>
    <m/>
    <s v="Même département, autre arrondissement"/>
    <s v="CMR"/>
    <s v="Cameroun"/>
    <s v="CMR004"/>
    <s v="Extrême-Nord"/>
    <s v="CMR004002"/>
    <s v="Logone-Et-Chari"/>
    <s v="CMR004002008"/>
    <s v="Fotokol"/>
  </r>
  <r>
    <s v="Extrême-Nord"/>
    <s v="CMR004"/>
    <x v="2"/>
    <s v="CMR004002"/>
    <x v="12"/>
    <s v="CMR004002002"/>
    <s v="GOU-0019"/>
    <s v="NGRAN"/>
    <m/>
    <x v="0"/>
    <s v="Janvier - Aout 2022"/>
    <n v="60"/>
    <n v="750"/>
    <x v="4"/>
    <s v="rupture de digue"/>
    <s v="Même arrondissement"/>
    <s v="CMR"/>
    <s v="Cameroun"/>
    <s v="CMR004"/>
    <s v="Extrême-Nord"/>
    <s v="CMR004002"/>
    <s v="Logone-Et-Chari"/>
    <s v="CMR004002002"/>
    <s v="Goulfey"/>
  </r>
  <r>
    <s v="Extrême-Nord"/>
    <s v="CMR004"/>
    <x v="2"/>
    <s v="CMR004002"/>
    <x v="12"/>
    <s v="CMR004002002"/>
    <s v="GOU-0011"/>
    <s v="MALTAM GOULFEY"/>
    <m/>
    <x v="0"/>
    <s v="Janvier - Aout 2022"/>
    <n v="2"/>
    <n v="4"/>
    <x v="3"/>
    <m/>
    <s v="Même arrondissement"/>
    <s v="CMR"/>
    <s v="Cameroun"/>
    <s v="CMR004"/>
    <s v="Extrême-Nord"/>
    <s v="CMR004002"/>
    <s v="Logone-Et-Chari"/>
    <s v="CMR004002002"/>
    <s v="Goulfey"/>
  </r>
  <r>
    <s v="Extrême-Nord"/>
    <s v="CMR004"/>
    <x v="2"/>
    <s v="CMR004002"/>
    <x v="8"/>
    <s v="CMR004002009"/>
    <s v="MAK-0053"/>
    <s v="MADA"/>
    <m/>
    <x v="0"/>
    <s v="Avant 2020"/>
    <n v="211"/>
    <n v="847"/>
    <x v="0"/>
    <m/>
    <s v="Même département, autre arrondissement"/>
    <s v="CMR"/>
    <s v="Cameroun"/>
    <s v="CMR004"/>
    <s v="Extrême-Nord"/>
    <s v="CMR004002"/>
    <s v="Logone-Et-Chari"/>
    <s v="CMR004002008"/>
    <s v="Fotokol"/>
  </r>
  <r>
    <s v="Extrême-Nord"/>
    <s v="CMR004"/>
    <x v="2"/>
    <s v="CMR004002"/>
    <x v="8"/>
    <s v="CMR004002009"/>
    <s v="MAK-0039"/>
    <s v="GOLALA"/>
    <m/>
    <x v="0"/>
    <s v="Avant 2020"/>
    <n v="34"/>
    <n v="206"/>
    <x v="0"/>
    <m/>
    <s v="Même département, autre arrondissement"/>
    <s v="CMR"/>
    <s v="Cameroun"/>
    <s v="CMR004"/>
    <s v="Extrême-Nord"/>
    <s v="CMR004002"/>
    <s v="Logone-Et-Chari"/>
    <s v="CMR004002008"/>
    <s v="Fotokol"/>
  </r>
  <r>
    <s v="Extrême-Nord"/>
    <s v="CMR004"/>
    <x v="2"/>
    <s v="CMR004002"/>
    <x v="8"/>
    <s v="CMR004002009"/>
    <s v="MAK-0039"/>
    <s v="GOLALA"/>
    <m/>
    <x v="0"/>
    <s v="En 2020"/>
    <n v="0"/>
    <n v="4"/>
    <x v="0"/>
    <m/>
    <s v="Même département, autre arrondissement"/>
    <s v="CMR"/>
    <s v="Cameroun"/>
    <s v="CMR004"/>
    <s v="Extrême-Nord"/>
    <s v="CMR004002"/>
    <s v="Logone-Et-Chari"/>
    <s v="CMR004002008"/>
    <s v="Fotokol"/>
  </r>
  <r>
    <s v="Extrême-Nord"/>
    <s v="CMR004"/>
    <x v="2"/>
    <s v="CMR004002"/>
    <x v="8"/>
    <s v="CMR004002009"/>
    <s v="MAK-0039"/>
    <s v="GOLALA"/>
    <m/>
    <x v="0"/>
    <s v="En 2021"/>
    <n v="5"/>
    <n v="34"/>
    <x v="0"/>
    <m/>
    <s v="Même département, autre arrondissement"/>
    <s v="CMR"/>
    <s v="Cameroun"/>
    <s v="CMR004"/>
    <s v="Extrême-Nord"/>
    <s v="CMR004002"/>
    <s v="Logone-Et-Chari"/>
    <s v="CMR004002008"/>
    <s v="Fotokol"/>
  </r>
  <r>
    <s v="Extrême-Nord"/>
    <s v="CMR004"/>
    <x v="2"/>
    <s v="CMR004002"/>
    <x v="8"/>
    <s v="CMR004002009"/>
    <s v="MAK-0039"/>
    <s v="GOLALA"/>
    <m/>
    <x v="0"/>
    <s v="Janvier - Aout 2022"/>
    <n v="0"/>
    <n v="3"/>
    <x v="0"/>
    <m/>
    <s v="Même département, autre arrondissement"/>
    <s v="CMR"/>
    <s v="Cameroun"/>
    <s v="CMR004"/>
    <s v="Extrême-Nord"/>
    <s v="CMR004002"/>
    <s v="Logone-Et-Chari"/>
    <s v="CMR004002008"/>
    <s v="Fotokol"/>
  </r>
  <r>
    <s v="Extrême-Nord"/>
    <s v="CMR004"/>
    <x v="4"/>
    <s v="CMR004005"/>
    <x v="17"/>
    <s v="CMR004005002"/>
    <s v="MOR-0040"/>
    <s v="TAGAWA"/>
    <m/>
    <x v="0"/>
    <s v="Avant 2020"/>
    <n v="14"/>
    <n v="41"/>
    <x v="0"/>
    <m/>
    <s v="Même arrondissement"/>
    <s v="CMR"/>
    <s v="Cameroun"/>
    <s v="CMR004"/>
    <s v="Extrême-Nord"/>
    <s v="CMR004005"/>
    <s v="Mayo-Sava"/>
    <s v="CMR004005002"/>
    <s v="Mora"/>
  </r>
  <r>
    <s v="Extrême-Nord"/>
    <s v="CMR004"/>
    <x v="4"/>
    <s v="CMR004005"/>
    <x v="17"/>
    <s v="CMR004005002"/>
    <s v="MOR-0040"/>
    <s v="TAGAWA"/>
    <m/>
    <x v="0"/>
    <s v="En 2020"/>
    <n v="0"/>
    <n v="5"/>
    <x v="0"/>
    <m/>
    <s v="Même arrondissement"/>
    <s v="CMR"/>
    <s v="Cameroun"/>
    <s v="CMR004"/>
    <s v="Extrême-Nord"/>
    <s v="CMR004005"/>
    <s v="Mayo-Sava"/>
    <s v="CMR004005002"/>
    <s v="Mora"/>
  </r>
  <r>
    <s v="Extrême-Nord"/>
    <s v="CMR004"/>
    <x v="4"/>
    <s v="CMR004005"/>
    <x v="17"/>
    <s v="CMR004005002"/>
    <s v="MOR-0040"/>
    <s v="TAGAWA"/>
    <m/>
    <x v="0"/>
    <s v="En 2021"/>
    <n v="0"/>
    <n v="7"/>
    <x v="0"/>
    <m/>
    <s v="Même arrondissement"/>
    <s v="CMR"/>
    <s v="Cameroun"/>
    <s v="CMR004"/>
    <s v="Extrême-Nord"/>
    <s v="CMR004005"/>
    <s v="Mayo-Sava"/>
    <s v="CMR004005002"/>
    <s v="Mora"/>
  </r>
  <r>
    <s v="Extrême-Nord"/>
    <s v="CMR004"/>
    <x v="4"/>
    <s v="CMR004005"/>
    <x v="17"/>
    <s v="CMR004005002"/>
    <s v="MOR-0040"/>
    <s v="TAGAWA"/>
    <m/>
    <x v="0"/>
    <s v="Janvier - Aout 2022"/>
    <n v="27"/>
    <n v="147"/>
    <x v="0"/>
    <m/>
    <s v="Même arrondissement"/>
    <s v="CMR"/>
    <s v="Cameroun"/>
    <s v="CMR004"/>
    <s v="Extrême-Nord"/>
    <s v="CMR004005"/>
    <s v="Mayo-Sava"/>
    <s v="CMR004005002"/>
    <s v="Mora"/>
  </r>
  <r>
    <s v="Extrême-Nord"/>
    <s v="CMR004"/>
    <x v="4"/>
    <s v="CMR004005"/>
    <x v="17"/>
    <s v="CMR004005002"/>
    <s v="MOR-0040"/>
    <s v="TAGAWA"/>
    <m/>
    <x v="0"/>
    <s v="Septembre 2022 – Février 2023"/>
    <n v="0"/>
    <n v="12"/>
    <x v="0"/>
    <m/>
    <s v="Même arrondissement"/>
    <s v="CMR"/>
    <s v="Cameroun"/>
    <s v="CMR004"/>
    <s v="Extrême-Nord"/>
    <s v="CMR004005"/>
    <s v="Mayo-Sava"/>
    <s v="CMR004005002"/>
    <s v="Mora"/>
  </r>
  <r>
    <s v="Extrême-Nord"/>
    <s v="CMR004"/>
    <x v="4"/>
    <s v="CMR004005"/>
    <x v="17"/>
    <s v="CMR004005002"/>
    <s v="MOR-0085"/>
    <s v="TAGAWA 1 (OURO-HOURSO)"/>
    <m/>
    <x v="0"/>
    <s v="Avant 2020"/>
    <n v="4"/>
    <n v="14"/>
    <x v="0"/>
    <m/>
    <s v="Même arrondissement"/>
    <s v="CMR"/>
    <s v="Cameroun"/>
    <s v="CMR004"/>
    <s v="Extrême-Nord"/>
    <s v="CMR004005"/>
    <s v="Mayo-Sava"/>
    <s v="CMR004005002"/>
    <s v="Mora"/>
  </r>
  <r>
    <s v="Extrême-Nord"/>
    <s v="CMR004"/>
    <x v="4"/>
    <s v="CMR004005"/>
    <x v="17"/>
    <s v="CMR004005002"/>
    <s v="MOR-0085"/>
    <s v="TAGAWA 1 (OURO-HOURSO)"/>
    <m/>
    <x v="0"/>
    <s v="En 2021"/>
    <n v="0"/>
    <n v="3"/>
    <x v="0"/>
    <m/>
    <s v="Même arrondissement"/>
    <s v="CMR"/>
    <s v="Cameroun"/>
    <s v="CMR004"/>
    <s v="Extrême-Nord"/>
    <s v="CMR004005"/>
    <s v="Mayo-Sava"/>
    <s v="CMR004005002"/>
    <s v="Mora"/>
  </r>
  <r>
    <s v="Extrême-Nord"/>
    <s v="CMR004"/>
    <x v="4"/>
    <s v="CMR004005"/>
    <x v="17"/>
    <s v="CMR004005002"/>
    <s v="MOR-0085"/>
    <s v="TAGAWA 1 (OURO-HOURSO)"/>
    <m/>
    <x v="0"/>
    <s v="Janvier - Aout 2022"/>
    <n v="16"/>
    <n v="88"/>
    <x v="0"/>
    <m/>
    <s v="Même arrondissement"/>
    <s v="CMR"/>
    <s v="Cameroun"/>
    <s v="CMR004"/>
    <s v="Extrême-Nord"/>
    <s v="CMR004005"/>
    <s v="Mayo-Sava"/>
    <s v="CMR004005002"/>
    <s v="Mora"/>
  </r>
  <r>
    <s v="Extrême-Nord"/>
    <s v="CMR004"/>
    <x v="4"/>
    <s v="CMR004005"/>
    <x v="17"/>
    <s v="CMR004005002"/>
    <s v="MOR-0085"/>
    <s v="TAGAWA 1 (OURO-HOURSO)"/>
    <m/>
    <x v="0"/>
    <s v="Septembre 2022 – Février 2023"/>
    <n v="0"/>
    <n v="5"/>
    <x v="0"/>
    <m/>
    <s v="Même arrondissement"/>
    <s v="CMR"/>
    <s v="Cameroun"/>
    <s v="CMR004"/>
    <s v="Extrême-Nord"/>
    <s v="CMR004005"/>
    <s v="Mayo-Sava"/>
    <s v="CMR004005002"/>
    <s v="Mora"/>
  </r>
  <r>
    <s v="Extrême-Nord"/>
    <s v="CMR004"/>
    <x v="4"/>
    <s v="CMR004005"/>
    <x v="17"/>
    <s v="CMR004005002"/>
    <s v="MOR-0033"/>
    <s v="TCHAKARMARI"/>
    <m/>
    <x v="0"/>
    <s v="Avant 2020"/>
    <n v="293"/>
    <n v="974"/>
    <x v="0"/>
    <m/>
    <s v="Même arrondissement"/>
    <s v="CMR"/>
    <s v="Cameroun"/>
    <s v="CMR004"/>
    <s v="Extrême-Nord"/>
    <s v="CMR004005"/>
    <s v="Mayo-Sava"/>
    <s v="CMR004005002"/>
    <s v="Mora"/>
  </r>
  <r>
    <s v="Extrême-Nord"/>
    <s v="CMR004"/>
    <x v="4"/>
    <s v="CMR004005"/>
    <x v="17"/>
    <s v="CMR004005002"/>
    <s v="MOR-0033"/>
    <s v="TCHAKARMARI"/>
    <m/>
    <x v="0"/>
    <s v="En 2020"/>
    <n v="125"/>
    <n v="507"/>
    <x v="0"/>
    <m/>
    <s v="Même arrondissement"/>
    <s v="CMR"/>
    <s v="Cameroun"/>
    <s v="CMR004"/>
    <s v="Extrême-Nord"/>
    <s v="CMR004005"/>
    <s v="Mayo-Sava"/>
    <s v="CMR004005002"/>
    <s v="Mora"/>
  </r>
  <r>
    <s v="Extrême-Nord"/>
    <s v="CMR004"/>
    <x v="4"/>
    <s v="CMR004005"/>
    <x v="17"/>
    <s v="CMR004005002"/>
    <s v="MOR-0033"/>
    <s v="TCHAKARMARI"/>
    <m/>
    <x v="0"/>
    <s v="En 2021"/>
    <n v="20"/>
    <n v="128"/>
    <x v="0"/>
    <m/>
    <s v="Même arrondissement"/>
    <s v="CMR"/>
    <s v="Cameroun"/>
    <s v="CMR004"/>
    <s v="Extrême-Nord"/>
    <s v="CMR004005"/>
    <s v="Mayo-Sava"/>
    <s v="CMR004005002"/>
    <s v="Mora"/>
  </r>
  <r>
    <s v="Extrême-Nord"/>
    <s v="CMR004"/>
    <x v="4"/>
    <s v="CMR004005"/>
    <x v="17"/>
    <s v="CMR004005002"/>
    <s v="MOR-0033"/>
    <s v="TCHAKARMARI"/>
    <m/>
    <x v="0"/>
    <s v="Janvier - Aout 2022"/>
    <n v="32"/>
    <n v="109"/>
    <x v="0"/>
    <m/>
    <s v="Même arrondissement"/>
    <s v="CMR"/>
    <s v="Cameroun"/>
    <s v="CMR004"/>
    <s v="Extrême-Nord"/>
    <s v="CMR004005"/>
    <s v="Mayo-Sava"/>
    <s v="CMR004005002"/>
    <s v="Mora"/>
  </r>
  <r>
    <s v="Extrême-Nord"/>
    <s v="CMR004"/>
    <x v="4"/>
    <s v="CMR004005"/>
    <x v="17"/>
    <s v="CMR004005002"/>
    <s v="MOR-0033"/>
    <s v="TCHAKARMARI"/>
    <m/>
    <x v="0"/>
    <s v="Septembre 2022 – Février 2023"/>
    <n v="0"/>
    <n v="15"/>
    <x v="0"/>
    <m/>
    <s v="Même arrondissement"/>
    <s v="CMR"/>
    <s v="Cameroun"/>
    <s v="CMR004"/>
    <s v="Extrême-Nord"/>
    <s v="CMR004005"/>
    <s v="Mayo-Sava"/>
    <s v="CMR004005002"/>
    <s v="Mora"/>
  </r>
  <r>
    <s v="Extrême-Nord"/>
    <s v="CMR004"/>
    <x v="1"/>
    <s v="CMR004006"/>
    <x v="16"/>
    <s v="CMR004006004"/>
    <s v="KOZ-0012"/>
    <s v="GUETALE"/>
    <m/>
    <x v="0"/>
    <s v="Avant 2020"/>
    <n v="63"/>
    <n v="368"/>
    <x v="0"/>
    <m/>
    <s v="Même arrondissement"/>
    <s v="CMR"/>
    <s v="Cameroun"/>
    <s v="CMR004"/>
    <s v="Extrême-Nord"/>
    <s v="CMR004006"/>
    <s v="Mayo-Tsanaga"/>
    <s v="CMR004006004"/>
    <s v="Koza"/>
  </r>
  <r>
    <s v="Extrême-Nord"/>
    <s v="CMR004"/>
    <x v="1"/>
    <s v="CMR004006"/>
    <x v="16"/>
    <s v="CMR004006004"/>
    <s v="KOZ-0012"/>
    <s v="GUETALE"/>
    <m/>
    <x v="0"/>
    <s v="En 2021"/>
    <n v="56"/>
    <n v="314"/>
    <x v="0"/>
    <m/>
    <s v="Même département, autre arrondissement"/>
    <s v="CMR"/>
    <s v="Cameroun"/>
    <s v="CMR004"/>
    <s v="Extrême-Nord"/>
    <s v="CMR004006"/>
    <s v="Mayo-Tsanaga"/>
    <s v="CMR004006005"/>
    <s v="Mayo-Moskota"/>
  </r>
  <r>
    <s v="Extrême-Nord"/>
    <s v="CMR004"/>
    <x v="1"/>
    <s v="CMR004006"/>
    <x v="16"/>
    <s v="CMR004006004"/>
    <s v="KOZ-0012"/>
    <s v="GUETALE"/>
    <m/>
    <x v="0"/>
    <s v="Janvier - Aout 2022"/>
    <n v="69"/>
    <n v="396"/>
    <x v="0"/>
    <m/>
    <s v="Même arrondissement"/>
    <s v="CMR"/>
    <s v="Cameroun"/>
    <s v="CMR004"/>
    <s v="Extrême-Nord"/>
    <s v="CMR004006"/>
    <s v="Mayo-Tsanaga"/>
    <s v="CMR004006004"/>
    <s v="Koza"/>
  </r>
  <r>
    <s v="Extrême-Nord"/>
    <s v="CMR004"/>
    <x v="1"/>
    <s v="CMR004006"/>
    <x v="16"/>
    <s v="CMR004006004"/>
    <s v="KOZ-0012"/>
    <s v="GUETALE"/>
    <m/>
    <x v="0"/>
    <s v="Septembre 2022 – Février 2023"/>
    <n v="8"/>
    <n v="63"/>
    <x v="0"/>
    <m/>
    <s v="Même arrondissement"/>
    <s v="CMR"/>
    <s v="Cameroun"/>
    <s v="CMR004"/>
    <s v="Extrême-Nord"/>
    <s v="CMR004006"/>
    <s v="Mayo-Tsanaga"/>
    <s v="CMR004006004"/>
    <s v="Koza"/>
  </r>
  <r>
    <s v="Extrême-Nord"/>
    <s v="CMR004"/>
    <x v="1"/>
    <s v="CMR004006"/>
    <x v="16"/>
    <s v="CMR004006004"/>
    <s v="KOZ-0020"/>
    <s v="MBARDAM"/>
    <m/>
    <x v="0"/>
    <s v="En 2020"/>
    <n v="21"/>
    <n v="129"/>
    <x v="0"/>
    <m/>
    <s v="Même département, autre arrondissement"/>
    <s v="CMR"/>
    <s v="Cameroun"/>
    <s v="CMR004"/>
    <s v="Extrême-Nord"/>
    <s v="CMR004006"/>
    <s v="Mayo-Tsanaga"/>
    <s v="CMR004006005"/>
    <s v="Mayo-Moskota"/>
  </r>
  <r>
    <s v="Extrême-Nord"/>
    <s v="CMR004"/>
    <x v="1"/>
    <s v="CMR004006"/>
    <x v="16"/>
    <s v="CMR004006004"/>
    <s v="KOZ-0020"/>
    <s v="MBARDAM"/>
    <m/>
    <x v="0"/>
    <s v="En 2021"/>
    <n v="24"/>
    <n v="136"/>
    <x v="0"/>
    <m/>
    <s v="Même arrondissement"/>
    <s v="CMR"/>
    <s v="Cameroun"/>
    <s v="CMR004"/>
    <s v="Extrême-Nord"/>
    <s v="CMR004006"/>
    <s v="Mayo-Tsanaga"/>
    <s v="CMR004006004"/>
    <s v="Koza"/>
  </r>
  <r>
    <s v="Extrême-Nord"/>
    <s v="CMR004"/>
    <x v="1"/>
    <s v="CMR004006"/>
    <x v="16"/>
    <s v="CMR004006004"/>
    <s v="KOZ-0020"/>
    <s v="MBARDAM"/>
    <m/>
    <x v="0"/>
    <s v="Janvier - Aout 2022"/>
    <n v="32"/>
    <n v="171"/>
    <x v="0"/>
    <m/>
    <s v="Même arrondissement"/>
    <s v="CMR"/>
    <s v="Cameroun"/>
    <s v="CMR004"/>
    <s v="Extrême-Nord"/>
    <s v="CMR004006"/>
    <s v="Mayo-Tsanaga"/>
    <s v="CMR004006004"/>
    <s v="Koza"/>
  </r>
  <r>
    <s v="Extrême-Nord"/>
    <s v="CMR004"/>
    <x v="1"/>
    <s v="CMR004006"/>
    <x v="16"/>
    <s v="CMR004006004"/>
    <s v="KOZ-0020"/>
    <s v="MBARDAM"/>
    <m/>
    <x v="0"/>
    <s v="Septembre 2022 – Février 2023"/>
    <n v="0"/>
    <n v="1"/>
    <x v="0"/>
    <m/>
    <s v="Même arrondissement"/>
    <s v="CMR"/>
    <s v="Cameroun"/>
    <s v="CMR004"/>
    <s v="Extrême-Nord"/>
    <s v="CMR004006"/>
    <s v="Mayo-Tsanaga"/>
    <s v="CMR004006004"/>
    <s v="Koza"/>
  </r>
  <r>
    <s v="Extrême-Nord"/>
    <s v="CMR004"/>
    <x v="1"/>
    <s v="CMR004006"/>
    <x v="1"/>
    <s v="CMR004006002"/>
    <s v="MOK-0029"/>
    <s v="BOULA"/>
    <m/>
    <x v="0"/>
    <s v="En 2020"/>
    <n v="4"/>
    <n v="28"/>
    <x v="0"/>
    <m/>
    <s v="Autre département"/>
    <s v="CMR"/>
    <s v="Cameroun"/>
    <s v="CMR004"/>
    <s v="Extrême-Nord"/>
    <s v="CMR004005"/>
    <s v="Mayo-Sava"/>
    <m/>
    <m/>
  </r>
  <r>
    <s v="Extrême-Nord"/>
    <s v="CMR004"/>
    <x v="1"/>
    <s v="CMR004006"/>
    <x v="1"/>
    <s v="CMR004006002"/>
    <s v="MOK-0029"/>
    <s v="BOULA"/>
    <m/>
    <x v="0"/>
    <s v="En 2021"/>
    <n v="8"/>
    <n v="48"/>
    <x v="0"/>
    <m/>
    <s v="Autre département"/>
    <s v="CMR"/>
    <s v="Cameroun"/>
    <s v="CMR004"/>
    <s v="Extrême-Nord"/>
    <s v="CMR004005"/>
    <s v="Mayo-Sava"/>
    <m/>
    <m/>
  </r>
  <r>
    <s v="Extrême-Nord"/>
    <s v="CMR004"/>
    <x v="1"/>
    <s v="CMR004006"/>
    <x v="1"/>
    <s v="CMR004006002"/>
    <s v="MOK-0029"/>
    <s v="BOULA"/>
    <m/>
    <x v="0"/>
    <s v="Janvier - Aout 2022"/>
    <n v="11"/>
    <n v="69"/>
    <x v="0"/>
    <m/>
    <s v="Même département, autre arrondissement"/>
    <s v="CMR"/>
    <s v="Cameroun"/>
    <s v="CMR004"/>
    <s v="Extrême-Nord"/>
    <s v="CMR004006"/>
    <s v="Mayo-Tsanaga"/>
    <m/>
    <s v="Koza"/>
  </r>
  <r>
    <s v="Extrême-Nord"/>
    <s v="CMR004"/>
    <x v="4"/>
    <s v="CMR004005"/>
    <x v="17"/>
    <s v="CMR004005002"/>
    <s v="MOR-0043"/>
    <s v="SITE DE YEME"/>
    <m/>
    <x v="0"/>
    <s v="Avant 2020"/>
    <n v="2"/>
    <n v="16"/>
    <x v="0"/>
    <m/>
    <s v="Même arrondissement"/>
    <s v="CMR"/>
    <s v="Cameroun"/>
    <s v="CMR004"/>
    <s v="Extrême-Nord"/>
    <s v="CMR004005"/>
    <s v="Mayo-Sava"/>
    <s v="CMR004005002"/>
    <s v="Mora"/>
  </r>
  <r>
    <s v="Extrême-Nord"/>
    <s v="CMR004"/>
    <x v="4"/>
    <s v="CMR004005"/>
    <x v="17"/>
    <s v="CMR004005002"/>
    <s v="MOR-0041"/>
    <s v="MADJINA"/>
    <m/>
    <x v="0"/>
    <s v="Avant 2020"/>
    <n v="56"/>
    <n v="225"/>
    <x v="0"/>
    <m/>
    <s v="Même arrondissement"/>
    <s v="CMR"/>
    <s v="Cameroun"/>
    <s v="CMR004"/>
    <s v="Extrême-Nord"/>
    <s v="CMR004005"/>
    <s v="Mayo-Sava"/>
    <s v="CMR004005002"/>
    <s v="Mora"/>
  </r>
  <r>
    <s v="Extrême-Nord"/>
    <s v="CMR004"/>
    <x v="4"/>
    <s v="CMR004005"/>
    <x v="17"/>
    <s v="CMR004005002"/>
    <s v="MOR-0041"/>
    <s v="MADJINA"/>
    <m/>
    <x v="0"/>
    <s v="En 2020"/>
    <n v="0"/>
    <n v="13"/>
    <x v="0"/>
    <m/>
    <s v="Même arrondissement"/>
    <s v="CMR"/>
    <s v="Cameroun"/>
    <s v="CMR004"/>
    <s v="Extrême-Nord"/>
    <s v="CMR004005"/>
    <s v="Mayo-Sava"/>
    <s v="CMR004005002"/>
    <s v="Mora"/>
  </r>
  <r>
    <s v="Extrême-Nord"/>
    <s v="CMR004"/>
    <x v="4"/>
    <s v="CMR004005"/>
    <x v="17"/>
    <s v="CMR004005002"/>
    <s v="MOR-0041"/>
    <s v="MADJINA"/>
    <m/>
    <x v="0"/>
    <s v="En 2021"/>
    <n v="0"/>
    <n v="6"/>
    <x v="0"/>
    <m/>
    <s v="Même arrondissement"/>
    <s v="CMR"/>
    <s v="Cameroun"/>
    <s v="CMR004"/>
    <s v="Extrême-Nord"/>
    <s v="CMR004005"/>
    <s v="Mayo-Sava"/>
    <s v="CMR004005002"/>
    <s v="Mora"/>
  </r>
  <r>
    <s v="Extrême-Nord"/>
    <s v="CMR004"/>
    <x v="4"/>
    <s v="CMR004005"/>
    <x v="17"/>
    <s v="CMR004005002"/>
    <s v="MOR-0042"/>
    <s v="DJALA"/>
    <m/>
    <x v="0"/>
    <s v="Avant 2020"/>
    <n v="11"/>
    <n v="67"/>
    <x v="0"/>
    <m/>
    <s v="Même arrondissement"/>
    <s v="CMR"/>
    <s v="Cameroun"/>
    <s v="CMR004"/>
    <s v="Extrême-Nord"/>
    <s v="CMR004005"/>
    <s v="Mayo-Sava"/>
    <s v="CMR004005002"/>
    <s v="Mora"/>
  </r>
  <r>
    <s v="Extrême-Nord"/>
    <s v="CMR004"/>
    <x v="4"/>
    <s v="CMR004005"/>
    <x v="17"/>
    <s v="CMR004005002"/>
    <s v="MOR-0042"/>
    <s v="DJALA"/>
    <m/>
    <x v="0"/>
    <s v="En 2020"/>
    <n v="0"/>
    <n v="3"/>
    <x v="0"/>
    <m/>
    <s v="Même arrondissement"/>
    <s v="CMR"/>
    <s v="Cameroun"/>
    <s v="CMR004"/>
    <s v="Extrême-Nord"/>
    <s v="CMR004005"/>
    <s v="Mayo-Sava"/>
    <s v="CMR004005002"/>
    <s v="Mora"/>
  </r>
  <r>
    <s v="Extrême-Nord"/>
    <s v="CMR004"/>
    <x v="4"/>
    <s v="CMR004005"/>
    <x v="17"/>
    <s v="CMR004005002"/>
    <s v="MOR-0064"/>
    <s v="SITE DE KOSSA - BLAMADERI"/>
    <m/>
    <x v="0"/>
    <s v="Avant 2020"/>
    <n v="82"/>
    <n v="553"/>
    <x v="0"/>
    <m/>
    <s v="Même arrondissement"/>
    <s v="CMR"/>
    <s v="Cameroun"/>
    <s v="CMR004"/>
    <s v="Extrême-Nord"/>
    <s v="CMR004005"/>
    <s v="Mayo-Sava"/>
    <s v="CMR004005002"/>
    <s v="Mora"/>
  </r>
  <r>
    <s v="Extrême-Nord"/>
    <s v="CMR004"/>
    <x v="4"/>
    <s v="CMR004005"/>
    <x v="17"/>
    <s v="CMR004005002"/>
    <s v="MOR-0064"/>
    <s v="SITE DE KOSSA - BLAMADERI"/>
    <m/>
    <x v="0"/>
    <s v="En 2020"/>
    <n v="0"/>
    <n v="8"/>
    <x v="0"/>
    <m/>
    <s v="Même arrondissement"/>
    <s v="CMR"/>
    <s v="Cameroun"/>
    <s v="CMR004"/>
    <s v="Extrême-Nord"/>
    <s v="CMR004005"/>
    <s v="Mayo-Sava"/>
    <s v="CMR004005002"/>
    <s v="Mora"/>
  </r>
  <r>
    <s v="Extrême-Nord"/>
    <s v="CMR004"/>
    <x v="4"/>
    <s v="CMR004005"/>
    <x v="17"/>
    <s v="CMR004005002"/>
    <s v="MOR-0064"/>
    <s v="SITE DE KOSSA - BLAMADERI"/>
    <m/>
    <x v="0"/>
    <s v="En 2021"/>
    <n v="0"/>
    <n v="8"/>
    <x v="0"/>
    <m/>
    <s v="Même arrondissement"/>
    <s v="CMR"/>
    <s v="Cameroun"/>
    <s v="CMR004"/>
    <s v="Extrême-Nord"/>
    <s v="CMR004005"/>
    <s v="Mayo-Sava"/>
    <s v="CMR004005002"/>
    <s v="Mora"/>
  </r>
  <r>
    <s v="Extrême-Nord"/>
    <s v="CMR004"/>
    <x v="4"/>
    <s v="CMR004005"/>
    <x v="17"/>
    <s v="CMR004005002"/>
    <s v="MOR-0064"/>
    <s v="SITE DE KOSSA - BLAMADERI"/>
    <m/>
    <x v="0"/>
    <s v="Janvier - Aout 2022"/>
    <n v="0"/>
    <n v="11"/>
    <x v="0"/>
    <m/>
    <s v="Même arrondissement"/>
    <s v="CMR"/>
    <s v="Cameroun"/>
    <s v="CMR004"/>
    <s v="Extrême-Nord"/>
    <s v="CMR004005"/>
    <s v="Mayo-Sava"/>
    <s v="CMR004005002"/>
    <s v="Mora"/>
  </r>
  <r>
    <s v="Extrême-Nord"/>
    <s v="CMR004"/>
    <x v="4"/>
    <s v="CMR004005"/>
    <x v="17"/>
    <s v="CMR004005002"/>
    <s v="MOR-0064"/>
    <s v="SITE DE KOSSA - BLAMADERI"/>
    <m/>
    <x v="0"/>
    <s v="Septembre 2022 – Février 2023"/>
    <n v="0"/>
    <n v="8"/>
    <x v="0"/>
    <m/>
    <s v="Même arrondissement"/>
    <s v="CMR"/>
    <s v="Cameroun"/>
    <s v="CMR004"/>
    <s v="Extrême-Nord"/>
    <s v="CMR004005"/>
    <s v="Mayo-Sava"/>
    <s v="CMR004005002"/>
    <s v="Mora"/>
  </r>
  <r>
    <s v="Extrême-Nord"/>
    <s v="CMR004"/>
    <x v="4"/>
    <s v="CMR004005"/>
    <x v="17"/>
    <s v="CMR004005002"/>
    <s v="MOR-0083"/>
    <s v="SITE DE GANAY"/>
    <m/>
    <x v="0"/>
    <s v="En 2021"/>
    <n v="120"/>
    <n v="841"/>
    <x v="0"/>
    <m/>
    <s v="Même arrondissement"/>
    <s v="CMR"/>
    <s v="Cameroun"/>
    <s v="CMR004"/>
    <s v="Extrême-Nord"/>
    <s v="CMR004005"/>
    <s v="Mayo-Sava"/>
    <s v="CMR004005002"/>
    <s v="Mora"/>
  </r>
  <r>
    <s v="Extrême-Nord"/>
    <s v="CMR004"/>
    <x v="4"/>
    <s v="CMR004005"/>
    <x v="17"/>
    <s v="CMR004005002"/>
    <s v="MOR-0083"/>
    <s v="SITE DE GANAY"/>
    <m/>
    <x v="0"/>
    <s v="Janvier - Aout 2022"/>
    <n v="0"/>
    <n v="15"/>
    <x v="0"/>
    <m/>
    <s v="Même arrondissement"/>
    <s v="CMR"/>
    <s v="Cameroun"/>
    <s v="CMR004"/>
    <s v="Extrême-Nord"/>
    <s v="CMR004005"/>
    <s v="Mayo-Sava"/>
    <s v="CMR004005002"/>
    <s v="Mora"/>
  </r>
  <r>
    <s v="Extrême-Nord"/>
    <s v="CMR004"/>
    <x v="4"/>
    <s v="CMR004005"/>
    <x v="17"/>
    <s v="CMR004005002"/>
    <s v="MOR-0083"/>
    <s v="SITE DE GANAY"/>
    <m/>
    <x v="0"/>
    <s v="Septembre 2022 – Février 2023"/>
    <n v="0"/>
    <n v="7"/>
    <x v="0"/>
    <m/>
    <s v="Même arrondissement"/>
    <s v="CMR"/>
    <s v="Cameroun"/>
    <s v="CMR004"/>
    <s v="Extrême-Nord"/>
    <s v="CMR004005"/>
    <s v="Mayo-Sava"/>
    <s v="CMR004005002"/>
    <s v="Mora"/>
  </r>
  <r>
    <s v="Extrême-Nord"/>
    <s v="CMR004"/>
    <x v="4"/>
    <s v="CMR004005"/>
    <x v="17"/>
    <s v="CMR004005002"/>
    <s v="MOR-0050"/>
    <s v="KANGALERI"/>
    <m/>
    <x v="0"/>
    <s v="Avant 2020"/>
    <n v="20"/>
    <n v="85"/>
    <x v="0"/>
    <m/>
    <s v="Même arrondissement"/>
    <s v="CMR"/>
    <s v="Cameroun"/>
    <s v="CMR004"/>
    <s v="Extrême-Nord"/>
    <s v="CMR004005"/>
    <s v="Mayo-Sava"/>
    <s v="CMR004005002"/>
    <s v="Mora"/>
  </r>
  <r>
    <s v="Extrême-Nord"/>
    <s v="CMR004"/>
    <x v="4"/>
    <s v="CMR004005"/>
    <x v="17"/>
    <s v="CMR004005002"/>
    <s v="MOR-0050"/>
    <s v="KANGALERI"/>
    <m/>
    <x v="0"/>
    <s v="En 2020"/>
    <n v="20"/>
    <n v="117"/>
    <x v="0"/>
    <m/>
    <s v="Même arrondissement"/>
    <s v="CMR"/>
    <s v="Cameroun"/>
    <s v="CMR004"/>
    <s v="Extrême-Nord"/>
    <s v="CMR004005"/>
    <s v="Mayo-Sava"/>
    <s v="CMR004005002"/>
    <s v="Mora"/>
  </r>
  <r>
    <s v="Extrême-Nord"/>
    <s v="CMR004"/>
    <x v="4"/>
    <s v="CMR004005"/>
    <x v="17"/>
    <s v="CMR004005002"/>
    <s v="MOR-0050"/>
    <s v="KANGALERI"/>
    <m/>
    <x v="0"/>
    <s v="En 2021"/>
    <n v="0"/>
    <n v="32"/>
    <x v="0"/>
    <m/>
    <s v="Même arrondissement"/>
    <s v="CMR"/>
    <s v="Cameroun"/>
    <s v="CMR004"/>
    <s v="Extrême-Nord"/>
    <s v="CMR004005"/>
    <s v="Mayo-Sava"/>
    <s v="CMR004005002"/>
    <s v="Mora"/>
  </r>
  <r>
    <s v="Extrême-Nord"/>
    <s v="CMR004"/>
    <x v="4"/>
    <s v="CMR004005"/>
    <x v="17"/>
    <s v="CMR004005002"/>
    <s v="MOR-0050"/>
    <s v="KANGALERI"/>
    <m/>
    <x v="0"/>
    <s v="Janvier - Aout 2022"/>
    <n v="3"/>
    <n v="40"/>
    <x v="0"/>
    <m/>
    <s v="Même arrondissement"/>
    <s v="CMR"/>
    <s v="Cameroun"/>
    <s v="CMR004"/>
    <s v="Extrême-Nord"/>
    <s v="CMR004005"/>
    <s v="Mayo-Sava"/>
    <s v="CMR004005002"/>
    <s v="Mora"/>
  </r>
  <r>
    <s v="Extrême-Nord"/>
    <s v="CMR004"/>
    <x v="4"/>
    <s v="CMR004005"/>
    <x v="17"/>
    <s v="CMR004005002"/>
    <s v="MOR-0050"/>
    <s v="KANGALERI"/>
    <m/>
    <x v="0"/>
    <s v="Septembre 2022 – Février 2023"/>
    <n v="0"/>
    <n v="13"/>
    <x v="0"/>
    <m/>
    <s v="Même arrondissement"/>
    <s v="CMR"/>
    <s v="Cameroun"/>
    <s v="CMR004"/>
    <s v="Extrême-Nord"/>
    <s v="CMR004005"/>
    <s v="Mayo-Sava"/>
    <s v="CMR004005002"/>
    <s v="Mora"/>
  </r>
  <r>
    <s v="Extrême-Nord"/>
    <s v="CMR004"/>
    <x v="2"/>
    <s v="CMR004002"/>
    <x v="25"/>
    <s v="CMR004002008"/>
    <s v="FOT-0012"/>
    <s v="MARGAMA"/>
    <m/>
    <x v="0"/>
    <s v="Avant 2020"/>
    <n v="29"/>
    <n v="159"/>
    <x v="0"/>
    <m/>
    <s v="Même arrondissement"/>
    <s v="CMR"/>
    <s v="Cameroun"/>
    <s v="CMR004"/>
    <s v="Extrême-Nord"/>
    <s v="CMR004002"/>
    <s v="Logone-Et-Chari"/>
    <s v="CMR004002008"/>
    <s v="Fotokol"/>
  </r>
  <r>
    <s v="Extrême-Nord"/>
    <s v="CMR004"/>
    <x v="2"/>
    <s v="CMR004002"/>
    <x v="25"/>
    <s v="CMR004002008"/>
    <s v="FOT-0027"/>
    <s v="HAÏGAYO"/>
    <m/>
    <x v="0"/>
    <s v="Avant 2020"/>
    <n v="35"/>
    <n v="251"/>
    <x v="0"/>
    <m/>
    <s v="Même arrondissement"/>
    <s v="CMR"/>
    <s v="Cameroun"/>
    <s v="CMR004"/>
    <s v="Extrême-Nord"/>
    <s v="CMR004002"/>
    <s v="Logone-Et-Chari"/>
    <s v="CMR004002008"/>
    <s v="Fotokol"/>
  </r>
  <r>
    <s v="Extrême-Nord"/>
    <s v="CMR004"/>
    <x v="2"/>
    <s v="CMR004002"/>
    <x v="8"/>
    <s v="CMR004002009"/>
    <s v="MAK-0228"/>
    <s v="MALTAM CENTRE"/>
    <m/>
    <x v="0"/>
    <s v="Avant 2020"/>
    <n v="50"/>
    <n v="390"/>
    <x v="1"/>
    <m/>
    <s v="Même arrondissement"/>
    <s v="CMR"/>
    <s v="Cameroun"/>
    <s v="CMR004"/>
    <s v="Extrême-Nord"/>
    <s v="CMR004002"/>
    <s v="Logone-Et-Chari"/>
    <s v="CMR004002009"/>
    <s v="Makary"/>
  </r>
  <r>
    <s v="Extrême-Nord"/>
    <s v="CMR004"/>
    <x v="2"/>
    <s v="CMR004002"/>
    <x v="8"/>
    <s v="CMR004002009"/>
    <s v="MAK-0228"/>
    <s v="MALTAM CENTRE"/>
    <m/>
    <x v="0"/>
    <s v="Septembre 2022 – Février 2023"/>
    <n v="10"/>
    <n v="72"/>
    <x v="3"/>
    <m/>
    <s v="Même arrondissement"/>
    <s v="CMR"/>
    <s v="Cameroun"/>
    <s v="CMR004"/>
    <s v="Extrême-Nord"/>
    <s v="CMR004002"/>
    <s v="Logone-Et-Chari"/>
    <s v="CMR004002009"/>
    <s v="Makary"/>
  </r>
  <r>
    <s v="Extrême-Nord"/>
    <s v="CMR004"/>
    <x v="2"/>
    <s v="CMR004002"/>
    <x v="8"/>
    <s v="CMR004002009"/>
    <s v="MAK-0227"/>
    <s v="MALTAM (QUARTIER TOUPOURI)"/>
    <m/>
    <x v="0"/>
    <s v="Avant 2020"/>
    <n v="10"/>
    <n v="167"/>
    <x v="0"/>
    <m/>
    <s v="Même arrondissement"/>
    <s v="CMR"/>
    <s v="Cameroun"/>
    <s v="CMR004"/>
    <s v="Extrême-Nord"/>
    <s v="CMR004002"/>
    <s v="Logone-Et-Chari"/>
    <s v="CMR004002009"/>
    <s v="Makary"/>
  </r>
  <r>
    <s v="Extrême-Nord"/>
    <s v="CMR004"/>
    <x v="2"/>
    <s v="CMR004002"/>
    <x v="8"/>
    <s v="CMR004002009"/>
    <s v="MAK-0227"/>
    <s v="MALTAM (QUARTIER TOUPOURI)"/>
    <m/>
    <x v="0"/>
    <s v="Septembre 2022 – Février 2023"/>
    <n v="10"/>
    <n v="35"/>
    <x v="3"/>
    <m/>
    <s v="Même département, autre arrondissement"/>
    <s v="CMR"/>
    <s v="Cameroun"/>
    <s v="CMR004"/>
    <s v="Extrême-Nord"/>
    <s v="CMR004002"/>
    <s v="Logone-Et-Chari"/>
    <s v="CMR004002002"/>
    <s v="Goulfey"/>
  </r>
  <r>
    <s v="Extrême-Nord"/>
    <s v="CMR004"/>
    <x v="1"/>
    <s v="CMR004006"/>
    <x v="1"/>
    <s v="CMR004006002"/>
    <s v="MOK-0022"/>
    <s v="WANDAI"/>
    <m/>
    <x v="0"/>
    <s v="Avant 2020"/>
    <n v="38"/>
    <n v="208"/>
    <x v="0"/>
    <m/>
    <s v="Même arrondissement"/>
    <s v="CMR"/>
    <s v="Cameroun"/>
    <s v="CMR004"/>
    <s v="Extrême-Nord"/>
    <s v="CMR004006"/>
    <s v="Mayo-Tsanaga"/>
    <s v="CMR004006002"/>
    <s v="Mokolo"/>
  </r>
  <r>
    <s v="Extrême-Nord"/>
    <s v="CMR004"/>
    <x v="1"/>
    <s v="CMR004006"/>
    <x v="1"/>
    <s v="CMR004006002"/>
    <s v="MOK-0022"/>
    <s v="WANDAI"/>
    <m/>
    <x v="0"/>
    <s v="Septembre 2022 – Février 2023"/>
    <n v="2"/>
    <n v="11"/>
    <x v="0"/>
    <m/>
    <s v="Même arrondissement"/>
    <s v="CMR"/>
    <s v="Cameroun"/>
    <s v="CMR004"/>
    <s v="Extrême-Nord"/>
    <s v="CMR004006"/>
    <s v="Mayo-Tsanaga"/>
    <s v="CMR004006002"/>
    <s v="Mokolo"/>
  </r>
  <r>
    <s v="Extrême-Nord"/>
    <s v="CMR004"/>
    <x v="2"/>
    <s v="CMR004002"/>
    <x v="8"/>
    <s v="CMR004002009"/>
    <s v="MAK-0078"/>
    <s v="NDJAMENA 3"/>
    <m/>
    <x v="0"/>
    <s v="Janvier - Aout 2022"/>
    <n v="18"/>
    <n v="109"/>
    <x v="0"/>
    <m/>
    <s v="Même arrondissement"/>
    <s v="CMR"/>
    <s v="Cameroun"/>
    <s v="CMR004"/>
    <s v="Extrême-Nord"/>
    <s v="CMR004002"/>
    <s v="Logone-Et-Chari"/>
    <s v="CMR004002009"/>
    <s v="Makary"/>
  </r>
  <r>
    <s v="Extrême-Nord"/>
    <s v="CMR004"/>
    <x v="2"/>
    <s v="CMR004002"/>
    <x v="8"/>
    <s v="CMR004002009"/>
    <s v="MAK-0200"/>
    <s v="SITE DE AMADABO 1"/>
    <m/>
    <x v="0"/>
    <s v="Janvier - Aout 2022"/>
    <n v="15"/>
    <n v="43"/>
    <x v="0"/>
    <m/>
    <s v="Même arrondissement"/>
    <s v="CMR"/>
    <s v="Cameroun"/>
    <s v="CMR004"/>
    <s v="Extrême-Nord"/>
    <s v="CMR004002"/>
    <s v="Logone-Et-Chari"/>
    <s v="CMR004002009"/>
    <s v="Makary"/>
  </r>
  <r>
    <s v="Extrême-Nord"/>
    <s v="CMR004"/>
    <x v="2"/>
    <s v="CMR004002"/>
    <x v="8"/>
    <s v="CMR004002009"/>
    <s v="MAK-0214"/>
    <s v="SITE DE MICHKINDING"/>
    <m/>
    <x v="0"/>
    <s v="Janvier - Aout 2022"/>
    <n v="32"/>
    <n v="132"/>
    <x v="0"/>
    <m/>
    <s v="Même arrondissement"/>
    <s v="CMR"/>
    <s v="Cameroun"/>
    <s v="CMR004"/>
    <s v="Extrême-Nord"/>
    <s v="CMR004002"/>
    <s v="Logone-Et-Chari"/>
    <s v="CMR004002009"/>
    <s v="Makary"/>
  </r>
  <r>
    <s v="Extrême-Nord"/>
    <s v="CMR004"/>
    <x v="2"/>
    <s v="CMR004002"/>
    <x v="8"/>
    <s v="CMR004002009"/>
    <s v="MAK-0201"/>
    <s v="SITE DE AMADABO 2"/>
    <m/>
    <x v="0"/>
    <s v="Janvier - Aout 2022"/>
    <n v="45"/>
    <n v="427"/>
    <x v="0"/>
    <m/>
    <s v="Même arrondissement"/>
    <s v="CMR"/>
    <s v="Cameroun"/>
    <s v="CMR004"/>
    <s v="Extrême-Nord"/>
    <s v="CMR004002"/>
    <s v="Logone-Et-Chari"/>
    <s v="CMR004002009"/>
    <s v="Makary"/>
  </r>
  <r>
    <s v="Extrême-Nord"/>
    <s v="CMR004"/>
    <x v="2"/>
    <s v="CMR004002"/>
    <x v="8"/>
    <s v="CMR004002009"/>
    <s v="MAK-0220"/>
    <s v="SITE DE TILDE"/>
    <m/>
    <x v="0"/>
    <s v="Avant 2020"/>
    <n v="64"/>
    <n v="449"/>
    <x v="0"/>
    <m/>
    <s v="Même arrondissement"/>
    <s v="CMR"/>
    <s v="Cameroun"/>
    <s v="CMR004"/>
    <s v="Extrême-Nord"/>
    <s v="CMR004002"/>
    <s v="Logone-Et-Chari"/>
    <s v="CMR004002009"/>
    <s v="Makary"/>
  </r>
  <r>
    <s v="Extrême-Nord"/>
    <s v="CMR004"/>
    <x v="2"/>
    <s v="CMR004002"/>
    <x v="8"/>
    <s v="CMR004002009"/>
    <s v="MAK-0220"/>
    <s v="SITE DE TILDE"/>
    <m/>
    <x v="0"/>
    <s v="En 2020"/>
    <n v="8"/>
    <n v="73"/>
    <x v="0"/>
    <m/>
    <s v="Même arrondissement"/>
    <s v="CMR"/>
    <s v="Cameroun"/>
    <s v="CMR004"/>
    <s v="Extrême-Nord"/>
    <s v="CMR004002"/>
    <s v="Logone-Et-Chari"/>
    <s v="CMR004002009"/>
    <s v="Makary"/>
  </r>
  <r>
    <s v="Extrême-Nord"/>
    <s v="CMR004"/>
    <x v="2"/>
    <s v="CMR004002"/>
    <x v="8"/>
    <s v="CMR004002009"/>
    <s v="MAK-0220"/>
    <s v="SITE DE TILDE"/>
    <m/>
    <x v="0"/>
    <s v="En 2021"/>
    <n v="0"/>
    <n v="8"/>
    <x v="0"/>
    <m/>
    <s v="Même arrondissement"/>
    <s v="CMR"/>
    <s v="Cameroun"/>
    <s v="CMR004"/>
    <s v="Extrême-Nord"/>
    <s v="CMR004002"/>
    <s v="Logone-Et-Chari"/>
    <s v="CMR004002009"/>
    <s v="Makary"/>
  </r>
  <r>
    <s v="Extrême-Nord"/>
    <s v="CMR004"/>
    <x v="2"/>
    <s v="CMR004002"/>
    <x v="8"/>
    <s v="CMR004002009"/>
    <s v="MAK-0220"/>
    <s v="SITE DE TILDE"/>
    <m/>
    <x v="0"/>
    <s v="Janvier - Aout 2022"/>
    <n v="8"/>
    <n v="60"/>
    <x v="1"/>
    <m/>
    <s v="Même département, autre arrondissement"/>
    <s v="CMR"/>
    <s v="Cameroun"/>
    <s v="CMR004"/>
    <s v="Extrême-Nord"/>
    <s v="CMR004002"/>
    <s v="Logone-Et-Chari"/>
    <s v="CMR004002004"/>
    <s v="Logone-Birni"/>
  </r>
  <r>
    <s v="Extrême-Nord"/>
    <s v="CMR004"/>
    <x v="2"/>
    <s v="CMR004002"/>
    <x v="8"/>
    <s v="CMR004002009"/>
    <s v="MAK-0220"/>
    <s v="SITE DE TILDE"/>
    <m/>
    <x v="0"/>
    <s v="Septembre 2022 – Février 2023"/>
    <n v="0"/>
    <n v="7"/>
    <x v="0"/>
    <m/>
    <s v="Même arrondissement"/>
    <s v="CMR"/>
    <s v="Cameroun"/>
    <s v="CMR004"/>
    <s v="Extrême-Nord"/>
    <s v="CMR004002"/>
    <s v="Logone-Et-Chari"/>
    <s v="CMR004002009"/>
    <s v="Makary"/>
  </r>
  <r>
    <s v="Extrême-Nord"/>
    <s v="CMR004"/>
    <x v="2"/>
    <s v="CMR004002"/>
    <x v="8"/>
    <s v="CMR004002009"/>
    <s v="MAK-0091"/>
    <s v="TILDE-PONT"/>
    <m/>
    <x v="0"/>
    <s v="Avant 2020"/>
    <n v="57"/>
    <n v="516"/>
    <x v="0"/>
    <m/>
    <s v="Même arrondissement"/>
    <s v="CMR"/>
    <s v="Cameroun"/>
    <s v="CMR004"/>
    <s v="Extrême-Nord"/>
    <s v="CMR004002"/>
    <s v="Logone-Et-Chari"/>
    <s v="CMR004002009"/>
    <s v="Makary"/>
  </r>
  <r>
    <s v="Extrême-Nord"/>
    <s v="CMR004"/>
    <x v="2"/>
    <s v="CMR004002"/>
    <x v="8"/>
    <s v="CMR004002009"/>
    <s v="MAK-0091"/>
    <s v="TILDE-PONT"/>
    <m/>
    <x v="0"/>
    <s v="En 2020"/>
    <n v="0"/>
    <n v="17"/>
    <x v="0"/>
    <m/>
    <s v="Même arrondissement"/>
    <s v="CMR"/>
    <s v="Cameroun"/>
    <s v="CMR004"/>
    <s v="Extrême-Nord"/>
    <s v="CMR004002"/>
    <s v="Logone-Et-Chari"/>
    <s v="CMR004002009"/>
    <s v="Makary"/>
  </r>
  <r>
    <s v="Extrême-Nord"/>
    <s v="CMR004"/>
    <x v="2"/>
    <s v="CMR004002"/>
    <x v="8"/>
    <s v="CMR004002009"/>
    <s v="MAK-0091"/>
    <s v="TILDE-PONT"/>
    <m/>
    <x v="0"/>
    <s v="Janvier - Aout 2022"/>
    <n v="0"/>
    <n v="12"/>
    <x v="0"/>
    <m/>
    <s v="Même arrondissement"/>
    <s v="CMR"/>
    <s v="Cameroun"/>
    <s v="CMR004"/>
    <s v="Extrême-Nord"/>
    <s v="CMR004002"/>
    <s v="Logone-Et-Chari"/>
    <s v="CMR004002009"/>
    <s v="Makary"/>
  </r>
  <r>
    <s v="Extrême-Nord"/>
    <s v="CMR004"/>
    <x v="2"/>
    <s v="CMR004002"/>
    <x v="8"/>
    <s v="CMR004002009"/>
    <s v="MAK-0091"/>
    <s v="TILDE-PONT"/>
    <m/>
    <x v="0"/>
    <s v="Septembre 2022 – Février 2023"/>
    <n v="0"/>
    <n v="10"/>
    <x v="0"/>
    <m/>
    <s v="Même arrondissement"/>
    <s v="CMR"/>
    <s v="Cameroun"/>
    <s v="CMR004"/>
    <s v="Extrême-Nord"/>
    <s v="CMR004002"/>
    <s v="Logone-Et-Chari"/>
    <s v="CMR004002009"/>
    <s v="Makary"/>
  </r>
  <r>
    <s v="Extrême-Nord"/>
    <s v="CMR004"/>
    <x v="2"/>
    <s v="CMR004002"/>
    <x v="12"/>
    <s v="CMR004002002"/>
    <s v="GOU-0043"/>
    <s v="MOURA"/>
    <m/>
    <x v="0"/>
    <s v="Janvier - Aout 2022"/>
    <n v="8"/>
    <n v="16"/>
    <x v="0"/>
    <m/>
    <s v="Même arrondissement"/>
    <s v="CMR"/>
    <s v="Cameroun"/>
    <s v="CMR004"/>
    <s v="Extrême-Nord"/>
    <s v="CMR004002"/>
    <s v="Logone-Et-Chari"/>
    <s v="CMR004002002"/>
    <s v="Goulfey"/>
  </r>
  <r>
    <s v="Extrême-Nord"/>
    <s v="CMR004"/>
    <x v="2"/>
    <s v="CMR004002"/>
    <x v="12"/>
    <s v="CMR004002002"/>
    <s v="GOU-0040"/>
    <s v="NAGABAYA"/>
    <m/>
    <x v="0"/>
    <s v="Janvier - Aout 2022"/>
    <n v="20"/>
    <n v="49"/>
    <x v="0"/>
    <m/>
    <s v="Même arrondissement"/>
    <s v="CMR"/>
    <s v="Cameroun"/>
    <s v="CMR004"/>
    <s v="Extrême-Nord"/>
    <s v="CMR004002"/>
    <s v="Logone-Et-Chari"/>
    <s v="CMR004002002"/>
    <s v="Goulfey"/>
  </r>
  <r>
    <s v="Extrême-Nord"/>
    <s v="CMR004"/>
    <x v="2"/>
    <s v="CMR004002"/>
    <x v="12"/>
    <s v="CMR004002002"/>
    <s v="GOU-0030"/>
    <s v="GOUMRI"/>
    <m/>
    <x v="0"/>
    <s v="Janvier - Aout 2022"/>
    <n v="3"/>
    <n v="12"/>
    <x v="0"/>
    <m/>
    <s v="Même arrondissement"/>
    <s v="CMR"/>
    <s v="Cameroun"/>
    <s v="CMR004"/>
    <s v="Extrême-Nord"/>
    <s v="CMR004002"/>
    <s v="Logone-Et-Chari"/>
    <s v="CMR004002002"/>
    <s v="Goulfey"/>
  </r>
  <r>
    <s v="Extrême-Nord"/>
    <s v="CMR004"/>
    <x v="4"/>
    <s v="CMR004005"/>
    <x v="17"/>
    <s v="CMR004005002"/>
    <s v="MOR-0005"/>
    <s v="FIKE 1"/>
    <m/>
    <x v="0"/>
    <s v="Avant 2020"/>
    <n v="106"/>
    <n v="466"/>
    <x v="0"/>
    <m/>
    <s v="Même arrondissement"/>
    <s v="CMR"/>
    <s v="Cameroun"/>
    <s v="CMR004"/>
    <s v="Extrême-Nord"/>
    <s v="CMR004005"/>
    <s v="Mayo-Sava"/>
    <s v="CMR004005002"/>
    <s v="Mora"/>
  </r>
  <r>
    <s v="Extrême-Nord"/>
    <s v="CMR004"/>
    <x v="4"/>
    <s v="CMR004005"/>
    <x v="17"/>
    <s v="CMR004005002"/>
    <s v="MOR-0005"/>
    <s v="FIKE 1"/>
    <m/>
    <x v="0"/>
    <s v="En 2020"/>
    <n v="93"/>
    <n v="536"/>
    <x v="0"/>
    <m/>
    <s v="Même arrondissement"/>
    <s v="CMR"/>
    <s v="Cameroun"/>
    <s v="CMR004"/>
    <s v="Extrême-Nord"/>
    <s v="CMR004005"/>
    <s v="Mayo-Sava"/>
    <s v="CMR004005002"/>
    <s v="Mora"/>
  </r>
  <r>
    <s v="Extrême-Nord"/>
    <s v="CMR004"/>
    <x v="4"/>
    <s v="CMR004005"/>
    <x v="17"/>
    <s v="CMR004005002"/>
    <s v="MOR-0005"/>
    <s v="FIKE 1"/>
    <m/>
    <x v="0"/>
    <s v="En 2021"/>
    <n v="20"/>
    <n v="106"/>
    <x v="0"/>
    <m/>
    <s v="Même arrondissement"/>
    <s v="CMR"/>
    <s v="Cameroun"/>
    <s v="CMR004"/>
    <s v="Extrême-Nord"/>
    <s v="CMR004005"/>
    <s v="Mayo-Sava"/>
    <s v="CMR004005002"/>
    <s v="Mora"/>
  </r>
  <r>
    <s v="Extrême-Nord"/>
    <s v="CMR004"/>
    <x v="4"/>
    <s v="CMR004005"/>
    <x v="17"/>
    <s v="CMR004005002"/>
    <s v="MOR-0005"/>
    <s v="FIKE 1"/>
    <m/>
    <x v="0"/>
    <s v="Janvier - Aout 2022"/>
    <n v="18"/>
    <n v="110"/>
    <x v="0"/>
    <m/>
    <s v="Même arrondissement"/>
    <s v="CMR"/>
    <s v="Cameroun"/>
    <s v="CMR004"/>
    <s v="Extrême-Nord"/>
    <s v="CMR004005"/>
    <s v="Mayo-Sava"/>
    <s v="CMR004005002"/>
    <s v="Mora"/>
  </r>
  <r>
    <s v="Extrême-Nord"/>
    <s v="CMR004"/>
    <x v="4"/>
    <s v="CMR004005"/>
    <x v="17"/>
    <s v="CMR004005002"/>
    <s v="MOR-0005"/>
    <s v="FIKE 1"/>
    <m/>
    <x v="0"/>
    <s v="Septembre 2022 – Février 2023"/>
    <n v="10"/>
    <n v="39"/>
    <x v="0"/>
    <m/>
    <s v="Même arrondissement"/>
    <s v="CMR"/>
    <s v="Cameroun"/>
    <s v="CMR004"/>
    <s v="Extrême-Nord"/>
    <s v="CMR004005"/>
    <s v="Mayo-Sava"/>
    <s v="CMR004005002"/>
    <s v="Mora"/>
  </r>
  <r>
    <s v="Extrême-Nord"/>
    <s v="CMR004"/>
    <x v="4"/>
    <s v="CMR004005"/>
    <x v="17"/>
    <s v="CMR004005002"/>
    <s v="MOR-0032"/>
    <s v="TAYER"/>
    <m/>
    <x v="0"/>
    <s v="Avant 2020"/>
    <n v="90"/>
    <n v="358"/>
    <x v="0"/>
    <m/>
    <s v="Même arrondissement"/>
    <s v="CMR"/>
    <s v="Cameroun"/>
    <s v="CMR004"/>
    <s v="Extrême-Nord"/>
    <s v="CMR004005"/>
    <s v="Mayo-Sava"/>
    <s v="CMR004005002"/>
    <s v="Mora"/>
  </r>
  <r>
    <s v="Extrême-Nord"/>
    <s v="CMR004"/>
    <x v="4"/>
    <s v="CMR004005"/>
    <x v="17"/>
    <s v="CMR004005002"/>
    <s v="MOR-0032"/>
    <s v="TAYER"/>
    <m/>
    <x v="0"/>
    <s v="En 2021"/>
    <n v="15"/>
    <n v="82"/>
    <x v="0"/>
    <m/>
    <s v="Même arrondissement"/>
    <s v="CMR"/>
    <s v="Cameroun"/>
    <s v="CMR004"/>
    <s v="Extrême-Nord"/>
    <s v="CMR004005"/>
    <s v="Mayo-Sava"/>
    <s v="CMR004005002"/>
    <s v="Mora"/>
  </r>
  <r>
    <s v="Extrême-Nord"/>
    <s v="CMR004"/>
    <x v="4"/>
    <s v="CMR004005"/>
    <x v="17"/>
    <s v="CMR004005002"/>
    <s v="MOR-0032"/>
    <s v="TAYER"/>
    <m/>
    <x v="0"/>
    <s v="Janvier - Aout 2022"/>
    <n v="3"/>
    <n v="59"/>
    <x v="0"/>
    <m/>
    <s v="Même arrondissement"/>
    <s v="CMR"/>
    <s v="Cameroun"/>
    <s v="CMR004"/>
    <s v="Extrême-Nord"/>
    <s v="CMR004005"/>
    <s v="Mayo-Sava"/>
    <s v="CMR004005002"/>
    <s v="Mora"/>
  </r>
  <r>
    <s v="Extrême-Nord"/>
    <s v="CMR004"/>
    <x v="4"/>
    <s v="CMR004005"/>
    <x v="17"/>
    <s v="CMR004005002"/>
    <s v="MOR-0032"/>
    <s v="TAYER"/>
    <m/>
    <x v="0"/>
    <s v="Septembre 2022 – Février 2023"/>
    <n v="30"/>
    <n v="90"/>
    <x v="0"/>
    <m/>
    <s v="Même arrondissement"/>
    <s v="CMR"/>
    <s v="Cameroun"/>
    <s v="CMR004"/>
    <s v="Extrême-Nord"/>
    <s v="CMR004005"/>
    <s v="Mayo-Sava"/>
    <s v="CMR004005002"/>
    <s v="Mora"/>
  </r>
  <r>
    <s v="Extrême-Nord"/>
    <s v="CMR004"/>
    <x v="4"/>
    <s v="CMR004005"/>
    <x v="17"/>
    <s v="CMR004005002"/>
    <s v="MOR-0032"/>
    <s v="TAYER"/>
    <m/>
    <x v="0"/>
    <s v="En 2020"/>
    <n v="50"/>
    <n v="306"/>
    <x v="0"/>
    <m/>
    <s v="Même arrondissement"/>
    <s v="CMR"/>
    <s v="Cameroun"/>
    <s v="CMR004"/>
    <s v="Extrême-Nord"/>
    <s v="CMR004005"/>
    <s v="Mayo-Sava"/>
    <s v="CMR004005002"/>
    <s v="Mora"/>
  </r>
  <r>
    <s v="Extrême-Nord"/>
    <s v="CMR004"/>
    <x v="2"/>
    <s v="CMR004002"/>
    <x v="15"/>
    <s v="CMR004002004"/>
    <s v="LBI-0067"/>
    <s v="MAGO"/>
    <m/>
    <x v="0"/>
    <s v="Janvier - Aout 2022"/>
    <n v="25"/>
    <n v="53"/>
    <x v="1"/>
    <m/>
    <s v="Même arrondissement"/>
    <s v="CMR"/>
    <s v="Cameroun"/>
    <s v="CMR004"/>
    <s v="Extrême-Nord"/>
    <s v="CMR004002"/>
    <s v="Logone-Et-Chari"/>
    <s v="CMR004002004"/>
    <s v="Logone-Birni"/>
  </r>
  <r>
    <s v="Extrême-Nord"/>
    <s v="CMR004"/>
    <x v="1"/>
    <s v="CMR004006"/>
    <x v="1"/>
    <s v="CMR004006002"/>
    <s v="MOK-0010"/>
    <s v="MENDEZE"/>
    <m/>
    <x v="0"/>
    <s v="Septembre 2022 – Février 2023"/>
    <n v="5"/>
    <n v="15"/>
    <x v="0"/>
    <m/>
    <s v="Autre département"/>
    <s v="CMR"/>
    <s v="Cameroun"/>
    <s v="CMR004"/>
    <s v="Extrême-Nord"/>
    <s v="CMR004005"/>
    <s v="Mayo-Sava"/>
    <m/>
    <m/>
  </r>
  <r>
    <s v="Extrême-Nord"/>
    <s v="CMR004"/>
    <x v="1"/>
    <s v="CMR004006"/>
    <x v="1"/>
    <s v="CMR004006002"/>
    <s v="MOK-0010"/>
    <s v="MENDEZE"/>
    <m/>
    <x v="0"/>
    <s v="En 2020"/>
    <n v="7"/>
    <n v="82"/>
    <x v="0"/>
    <m/>
    <s v="Autre département"/>
    <s v="CMR"/>
    <s v="Cameroun"/>
    <s v="CMR004"/>
    <s v="Extrême-Nord"/>
    <s v="CMR004005"/>
    <s v="Mayo-Sava"/>
    <m/>
    <m/>
  </r>
  <r>
    <s v="Extrême-Nord"/>
    <s v="CMR004"/>
    <x v="1"/>
    <s v="CMR004006"/>
    <x v="1"/>
    <s v="CMR004006002"/>
    <s v="MOK-0010"/>
    <s v="MENDEZE"/>
    <m/>
    <x v="0"/>
    <s v="En 2021"/>
    <n v="7"/>
    <n v="14"/>
    <x v="0"/>
    <m/>
    <s v="Autre département"/>
    <s v="CMR"/>
    <s v="Cameroun"/>
    <s v="CMR004"/>
    <s v="Extrême-Nord"/>
    <s v="CMR004005"/>
    <s v="Mayo-Sava"/>
    <m/>
    <m/>
  </r>
  <r>
    <s v="Extrême-Nord"/>
    <s v="CMR004"/>
    <x v="1"/>
    <s v="CMR004006"/>
    <x v="1"/>
    <s v="CMR004006002"/>
    <s v="MOK-0010"/>
    <s v="MENDEZE"/>
    <m/>
    <x v="0"/>
    <s v="Janvier - Aout 2022"/>
    <n v="1"/>
    <n v="8"/>
    <x v="0"/>
    <m/>
    <s v="Autre département"/>
    <s v="CMR"/>
    <s v="Cameroun"/>
    <s v="CMR004"/>
    <s v="Extrême-Nord"/>
    <s v="CMR004005"/>
    <s v="Mayo-Sava"/>
    <m/>
    <m/>
  </r>
  <r>
    <s v="Extrême-Nord"/>
    <s v="CMR004"/>
    <x v="1"/>
    <s v="CMR004006"/>
    <x v="1"/>
    <s v="CMR004006002"/>
    <s v="MOK-0016"/>
    <s v="OURO KESSOUM"/>
    <m/>
    <x v="0"/>
    <s v="En 2020"/>
    <n v="52"/>
    <n v="297"/>
    <x v="0"/>
    <m/>
    <s v="Même département, autre arrondissement"/>
    <s v="CMR"/>
    <s v="Cameroun"/>
    <s v="CMR004"/>
    <s v="Extrême-Nord"/>
    <s v="CMR004006"/>
    <s v="Mayo-Tsanaga"/>
    <s v="CMR004006005"/>
    <s v="Mayo-Moskota"/>
  </r>
  <r>
    <s v="Extrême-Nord"/>
    <s v="CMR004"/>
    <x v="1"/>
    <s v="CMR004006"/>
    <x v="1"/>
    <s v="CMR004006002"/>
    <s v="MOK-0016"/>
    <s v="OURO KESSOUM"/>
    <m/>
    <x v="0"/>
    <s v="En 2021"/>
    <n v="0"/>
    <n v="3"/>
    <x v="0"/>
    <m/>
    <s v="Même département, autre arrondissement"/>
    <s v="CMR"/>
    <s v="Cameroun"/>
    <s v="CMR004"/>
    <s v="Extrême-Nord"/>
    <s v="CMR004006"/>
    <s v="Mayo-Tsanaga"/>
    <s v="CMR004006005"/>
    <s v="Mayo-Moskota"/>
  </r>
  <r>
    <s v="Extrême-Nord"/>
    <s v="CMR004"/>
    <x v="1"/>
    <s v="CMR004006"/>
    <x v="1"/>
    <s v="CMR004006002"/>
    <s v="MOK-0016"/>
    <s v="OURO KESSOUM"/>
    <m/>
    <x v="0"/>
    <s v="Septembre 2022 – Février 2023"/>
    <n v="100"/>
    <n v="300"/>
    <x v="0"/>
    <m/>
    <s v="Même département, autre arrondissement"/>
    <s v="CMR"/>
    <s v="Cameroun"/>
    <s v="CMR004"/>
    <s v="Extrême-Nord"/>
    <s v="CMR004006"/>
    <s v="Mayo-Tsanaga"/>
    <s v="CMR004006005"/>
    <s v="Mayo-Moskota"/>
  </r>
  <r>
    <s v="Extrême-Nord"/>
    <s v="CMR004"/>
    <x v="1"/>
    <s v="CMR004006"/>
    <x v="1"/>
    <s v="CMR004006002"/>
    <s v="MOK-0046"/>
    <s v="LDAMTSAI"/>
    <m/>
    <x v="0"/>
    <s v="Avant 2020"/>
    <n v="5"/>
    <n v="37"/>
    <x v="0"/>
    <m/>
    <s v="Même arrondissement"/>
    <s v="CMR"/>
    <s v="Cameroun"/>
    <s v="CMR004"/>
    <s v="Extrême-Nord"/>
    <s v="CMR004006"/>
    <s v="Mayo-Tsanaga"/>
    <s v="CMR004006002"/>
    <s v="Mokolo"/>
  </r>
  <r>
    <s v="Extrême-Nord"/>
    <s v="CMR004"/>
    <x v="1"/>
    <s v="CMR004006"/>
    <x v="1"/>
    <s v="CMR004006002"/>
    <s v="MOK-0046"/>
    <s v="LDAMTSAI"/>
    <m/>
    <x v="0"/>
    <s v="En 2020"/>
    <n v="11"/>
    <n v="82"/>
    <x v="0"/>
    <m/>
    <s v="Même arrondissement"/>
    <s v="CMR"/>
    <s v="Cameroun"/>
    <s v="CMR004"/>
    <s v="Extrême-Nord"/>
    <s v="CMR004006"/>
    <s v="Mayo-Tsanaga"/>
    <s v="CMR004006002"/>
    <s v="Mokolo"/>
  </r>
  <r>
    <s v="Extrême-Nord"/>
    <s v="CMR004"/>
    <x v="1"/>
    <s v="CMR004006"/>
    <x v="1"/>
    <s v="CMR004006002"/>
    <s v="MOK-0046"/>
    <s v="LDAMTSAI"/>
    <m/>
    <x v="0"/>
    <s v="En 2021"/>
    <n v="0"/>
    <n v="3"/>
    <x v="0"/>
    <m/>
    <s v="Même arrondissement"/>
    <s v="CMR"/>
    <s v="Cameroun"/>
    <s v="CMR004"/>
    <s v="Extrême-Nord"/>
    <s v="CMR004006"/>
    <s v="Mayo-Tsanaga"/>
    <s v="CMR004006002"/>
    <s v="Mokolo"/>
  </r>
  <r>
    <s v="Extrême-Nord"/>
    <s v="CMR004"/>
    <x v="1"/>
    <s v="CMR004006"/>
    <x v="1"/>
    <s v="CMR004006002"/>
    <s v="MOK-0046"/>
    <s v="LDAMTSAI"/>
    <m/>
    <x v="0"/>
    <s v="Janvier - Aout 2022"/>
    <n v="18"/>
    <n v="144"/>
    <x v="0"/>
    <m/>
    <s v="Même arrondissement"/>
    <s v="CMR"/>
    <s v="Cameroun"/>
    <s v="CMR004"/>
    <s v="Extrême-Nord"/>
    <s v="CMR004006"/>
    <s v="Mayo-Tsanaga"/>
    <s v="CMR004006002"/>
    <s v="Mokolo"/>
  </r>
  <r>
    <s v="Extrême-Nord"/>
    <s v="CMR004"/>
    <x v="1"/>
    <s v="CMR004006"/>
    <x v="1"/>
    <s v="CMR004006002"/>
    <s v="MOK-0046"/>
    <s v="LDAMTSAI"/>
    <m/>
    <x v="0"/>
    <s v="Septembre 2022 – Février 2023"/>
    <n v="6"/>
    <n v="27"/>
    <x v="0"/>
    <m/>
    <s v="Même arrondissement"/>
    <s v="CMR"/>
    <s v="Cameroun"/>
    <s v="CMR004"/>
    <s v="Extrême-Nord"/>
    <s v="CMR004006"/>
    <s v="Mayo-Tsanaga"/>
    <s v="CMR004006002"/>
    <s v="Mokolo"/>
  </r>
  <r>
    <s v="Extrême-Nord"/>
    <s v="CMR004"/>
    <x v="1"/>
    <s v="CMR004006"/>
    <x v="1"/>
    <s v="CMR004006002"/>
    <s v="MOK-0024"/>
    <s v="SITE DE ZAMAI 1"/>
    <m/>
    <x v="0"/>
    <s v="Septembre 2022 – Février 2023"/>
    <n v="0"/>
    <n v="3"/>
    <x v="0"/>
    <m/>
    <s v="Même arrondissement"/>
    <s v="CMR"/>
    <s v="Cameroun"/>
    <s v="CMR004"/>
    <s v="Extrême-Nord"/>
    <s v="CMR004006"/>
    <s v="Mayo-Tsanaga"/>
    <s v="CMR004006002"/>
    <s v="Mokolo"/>
  </r>
  <r>
    <s v="Extrême-Nord"/>
    <s v="CMR004"/>
    <x v="1"/>
    <s v="CMR004006"/>
    <x v="1"/>
    <s v="CMR004006002"/>
    <s v="MOK-0024"/>
    <s v="SITE DE ZAMAI 1"/>
    <m/>
    <x v="0"/>
    <s v="Janvier - Aout 2022"/>
    <n v="0"/>
    <n v="2"/>
    <x v="0"/>
    <m/>
    <s v="Même arrondissement"/>
    <s v="CMR"/>
    <s v="Cameroun"/>
    <s v="CMR004"/>
    <s v="Extrême-Nord"/>
    <s v="CMR004006"/>
    <s v="Mayo-Tsanaga"/>
    <s v="CMR004006002"/>
    <s v="Mokolo"/>
  </r>
  <r>
    <s v="Extrême-Nord"/>
    <s v="CMR004"/>
    <x v="1"/>
    <s v="CMR004006"/>
    <x v="1"/>
    <s v="CMR004006002"/>
    <s v="MOK-0024"/>
    <s v="SITE DE ZAMAI 1"/>
    <m/>
    <x v="0"/>
    <s v="En 2021"/>
    <n v="5"/>
    <n v="20"/>
    <x v="0"/>
    <m/>
    <s v="Même arrondissement"/>
    <s v="CMR"/>
    <s v="Cameroun"/>
    <s v="CMR004"/>
    <s v="Extrême-Nord"/>
    <s v="CMR004006"/>
    <s v="Mayo-Tsanaga"/>
    <s v="CMR004006002"/>
    <s v="Mokolo"/>
  </r>
  <r>
    <s v="Extrême-Nord"/>
    <s v="CMR004"/>
    <x v="1"/>
    <s v="CMR004006"/>
    <x v="1"/>
    <s v="CMR004006002"/>
    <s v="MOK-0024"/>
    <s v="SITE DE ZAMAI 1"/>
    <m/>
    <x v="0"/>
    <s v="En 2020"/>
    <n v="25"/>
    <n v="177"/>
    <x v="0"/>
    <m/>
    <s v="Même arrondissement"/>
    <s v="CMR"/>
    <s v="Cameroun"/>
    <s v="CMR004"/>
    <s v="Extrême-Nord"/>
    <s v="CMR004006"/>
    <s v="Mayo-Tsanaga"/>
    <s v="CMR004006002"/>
    <s v="Mokolo"/>
  </r>
  <r>
    <s v="Extrême-Nord"/>
    <s v="CMR004"/>
    <x v="1"/>
    <s v="CMR004006"/>
    <x v="1"/>
    <s v="CMR004006002"/>
    <s v="MOK-0041"/>
    <s v="ZAMAI CENTRE"/>
    <m/>
    <x v="0"/>
    <s v="Septembre 2022 – Février 2023"/>
    <n v="0"/>
    <n v="3"/>
    <x v="0"/>
    <m/>
    <s v="Même arrondissement"/>
    <s v="CMR"/>
    <s v="Cameroun"/>
    <s v="CMR004"/>
    <s v="Extrême-Nord"/>
    <s v="CMR004006"/>
    <s v="Mayo-Tsanaga"/>
    <s v="CMR004006002"/>
    <s v="Mokolo"/>
  </r>
  <r>
    <s v="Extrême-Nord"/>
    <s v="CMR004"/>
    <x v="1"/>
    <s v="CMR004006"/>
    <x v="1"/>
    <s v="CMR004006002"/>
    <s v="MOK-0041"/>
    <s v="ZAMAI CENTRE"/>
    <m/>
    <x v="0"/>
    <s v="Janvier - Aout 2022"/>
    <n v="10"/>
    <n v="50"/>
    <x v="0"/>
    <m/>
    <s v="Même arrondissement"/>
    <s v="CMR"/>
    <s v="Cameroun"/>
    <s v="CMR004"/>
    <s v="Extrême-Nord"/>
    <s v="CMR004006"/>
    <s v="Mayo-Tsanaga"/>
    <s v="CMR004006002"/>
    <s v="Mokolo"/>
  </r>
  <r>
    <s v="Extrême-Nord"/>
    <s v="CMR004"/>
    <x v="1"/>
    <s v="CMR004006"/>
    <x v="1"/>
    <s v="CMR004006002"/>
    <s v="MOK-0038"/>
    <s v="SITE DE ZAMAI 2"/>
    <m/>
    <x v="0"/>
    <s v="Septembre 2022 – Février 2023"/>
    <n v="0"/>
    <n v="2"/>
    <x v="0"/>
    <m/>
    <s v="Même arrondissement"/>
    <s v="CMR"/>
    <s v="Cameroun"/>
    <s v="CMR004"/>
    <s v="Extrême-Nord"/>
    <s v="CMR004006"/>
    <s v="Mayo-Tsanaga"/>
    <s v="CMR004006002"/>
    <s v="Mokolo"/>
  </r>
  <r>
    <s v="Extrême-Nord"/>
    <s v="CMR004"/>
    <x v="1"/>
    <s v="CMR004006"/>
    <x v="1"/>
    <s v="CMR004006002"/>
    <s v="MOK-0038"/>
    <s v="SITE DE ZAMAI 2"/>
    <m/>
    <x v="0"/>
    <s v="Janvier - Aout 2022"/>
    <n v="13"/>
    <n v="77"/>
    <x v="0"/>
    <m/>
    <s v="Même arrondissement"/>
    <s v="CMR"/>
    <s v="Cameroun"/>
    <s v="CMR004"/>
    <s v="Extrême-Nord"/>
    <s v="CMR004006"/>
    <s v="Mayo-Tsanaga"/>
    <s v="CMR004006002"/>
    <s v="Mokolo"/>
  </r>
  <r>
    <s v="Extrême-Nord"/>
    <s v="CMR004"/>
    <x v="1"/>
    <s v="CMR004006"/>
    <x v="1"/>
    <s v="CMR004006002"/>
    <s v="MOK-0038"/>
    <s v="SITE DE ZAMAI 2"/>
    <m/>
    <x v="0"/>
    <s v="En 2021"/>
    <n v="25"/>
    <n v="85"/>
    <x v="0"/>
    <m/>
    <s v="Même arrondissement"/>
    <s v="CMR"/>
    <s v="Cameroun"/>
    <s v="CMR004"/>
    <s v="Extrême-Nord"/>
    <s v="CMR004006"/>
    <s v="Mayo-Tsanaga"/>
    <s v="CMR004006002"/>
    <s v="Mokolo"/>
  </r>
  <r>
    <s v="Extrême-Nord"/>
    <s v="CMR004"/>
    <x v="1"/>
    <s v="CMR004006"/>
    <x v="1"/>
    <s v="CMR004006002"/>
    <s v="MOK-0038"/>
    <s v="SITE DE ZAMAI 2"/>
    <m/>
    <x v="0"/>
    <s v="En 2020"/>
    <n v="65"/>
    <n v="325"/>
    <x v="0"/>
    <m/>
    <s v="Même arrondissement"/>
    <s v="CMR"/>
    <s v="Cameroun"/>
    <s v="CMR004"/>
    <s v="Extrême-Nord"/>
    <s v="CMR004006"/>
    <s v="Mayo-Tsanaga"/>
    <s v="CMR004006002"/>
    <s v="Mokolo"/>
  </r>
  <r>
    <s v="Extrême-Nord"/>
    <s v="CMR004"/>
    <x v="1"/>
    <s v="CMR004006"/>
    <x v="1"/>
    <s v="CMR004006002"/>
    <s v="MOK-0047"/>
    <s v="SITE DE MIKILEK"/>
    <m/>
    <x v="0"/>
    <s v="Septembre 2022 – Février 2023"/>
    <n v="54"/>
    <n v="227"/>
    <x v="0"/>
    <m/>
    <s v="Même arrondissement"/>
    <s v="CMR"/>
    <s v="Cameroun"/>
    <s v="CMR004"/>
    <s v="Extrême-Nord"/>
    <s v="CMR004006"/>
    <s v="Mayo-Tsanaga"/>
    <s v="CMR004006002"/>
    <s v="Mokolo"/>
  </r>
  <r>
    <s v="Extrême-Nord"/>
    <s v="CMR004"/>
    <x v="1"/>
    <s v="CMR004006"/>
    <x v="1"/>
    <s v="CMR004006002"/>
    <s v="MOK-0047"/>
    <s v="SITE DE MIKILEK"/>
    <m/>
    <x v="0"/>
    <s v="Janvier - Aout 2022"/>
    <n v="9"/>
    <n v="35"/>
    <x v="0"/>
    <m/>
    <s v="Même arrondissement"/>
    <s v="CMR"/>
    <s v="Cameroun"/>
    <s v="CMR004"/>
    <s v="Extrême-Nord"/>
    <s v="CMR004006"/>
    <s v="Mayo-Tsanaga"/>
    <s v="CMR004006002"/>
    <s v="Mokolo"/>
  </r>
  <r>
    <s v="Extrême-Nord"/>
    <s v="CMR004"/>
    <x v="1"/>
    <s v="CMR004006"/>
    <x v="1"/>
    <s v="CMR004006002"/>
    <s v="MOK-0047"/>
    <s v="SITE DE MIKILEK"/>
    <m/>
    <x v="0"/>
    <s v="En 2021"/>
    <n v="3"/>
    <n v="13"/>
    <x v="0"/>
    <m/>
    <s v="Même arrondissement"/>
    <s v="CMR"/>
    <s v="Cameroun"/>
    <s v="CMR004"/>
    <s v="Extrême-Nord"/>
    <s v="CMR004006"/>
    <s v="Mayo-Tsanaga"/>
    <s v="CMR004006002"/>
    <s v="Mokolo"/>
  </r>
  <r>
    <s v="Extrême-Nord"/>
    <s v="CMR004"/>
    <x v="1"/>
    <s v="CMR004006"/>
    <x v="1"/>
    <s v="CMR004006002"/>
    <s v="MOK-0047"/>
    <s v="SITE DE MIKILEK"/>
    <m/>
    <x v="0"/>
    <s v="En 2020"/>
    <n v="50"/>
    <n v="225"/>
    <x v="0"/>
    <m/>
    <s v="Même arrondissement"/>
    <s v="CMR"/>
    <s v="Cameroun"/>
    <s v="CMR004"/>
    <s v="Extrême-Nord"/>
    <s v="CMR004006"/>
    <s v="Mayo-Tsanaga"/>
    <s v="CMR004006002"/>
    <s v="Mokolo"/>
  </r>
  <r>
    <s v="Extrême-Nord"/>
    <s v="CMR004"/>
    <x v="1"/>
    <s v="CMR004006"/>
    <x v="1"/>
    <s v="CMR004006002"/>
    <s v="MOK-0050"/>
    <s v="SITE DE SIRAK-GORAI"/>
    <m/>
    <x v="0"/>
    <s v="Septembre 2022 – Février 2023"/>
    <n v="52"/>
    <n v="248"/>
    <x v="0"/>
    <m/>
    <s v="Même arrondissement"/>
    <s v="CMR"/>
    <s v="Cameroun"/>
    <s v="CMR004"/>
    <s v="Extrême-Nord"/>
    <s v="CMR004006"/>
    <s v="Mayo-Tsanaga"/>
    <s v="CMR004006002"/>
    <s v="Mokolo"/>
  </r>
  <r>
    <s v="Extrême-Nord"/>
    <s v="CMR004"/>
    <x v="1"/>
    <s v="CMR004006"/>
    <x v="1"/>
    <s v="CMR004006002"/>
    <s v="MOK-0050"/>
    <s v="SITE DE SIRAK-GORAI"/>
    <m/>
    <x v="0"/>
    <s v="Janvier - Aout 2022"/>
    <n v="10"/>
    <n v="37"/>
    <x v="0"/>
    <m/>
    <s v="Même arrondissement"/>
    <s v="CMR"/>
    <s v="Cameroun"/>
    <s v="CMR004"/>
    <s v="Extrême-Nord"/>
    <s v="CMR004006"/>
    <s v="Mayo-Tsanaga"/>
    <s v="CMR004006002"/>
    <s v="Mokolo"/>
  </r>
  <r>
    <s v="Extrême-Nord"/>
    <s v="CMR004"/>
    <x v="1"/>
    <s v="CMR004006"/>
    <x v="1"/>
    <s v="CMR004006002"/>
    <s v="MOK-0050"/>
    <s v="SITE DE SIRAK-GORAI"/>
    <m/>
    <x v="0"/>
    <s v="En 2021"/>
    <n v="12"/>
    <n v="80"/>
    <x v="0"/>
    <m/>
    <s v="Même arrondissement"/>
    <s v="CMR"/>
    <s v="Cameroun"/>
    <s v="CMR004"/>
    <s v="Extrême-Nord"/>
    <s v="CMR004006"/>
    <s v="Mayo-Tsanaga"/>
    <s v="CMR004006002"/>
    <s v="Mokolo"/>
  </r>
  <r>
    <s v="Extrême-Nord"/>
    <s v="CMR004"/>
    <x v="1"/>
    <s v="CMR004006"/>
    <x v="1"/>
    <s v="CMR004006002"/>
    <s v="MOK-0050"/>
    <s v="SITE DE SIRAK-GORAI"/>
    <m/>
    <x v="0"/>
    <s v="En 2020"/>
    <n v="68"/>
    <n v="483"/>
    <x v="0"/>
    <m/>
    <s v="Même arrondissement"/>
    <s v="CMR"/>
    <s v="Cameroun"/>
    <s v="CMR004"/>
    <s v="Extrême-Nord"/>
    <s v="CMR004006"/>
    <s v="Mayo-Tsanaga"/>
    <s v="CMR004006002"/>
    <s v="Mokolo"/>
  </r>
  <r>
    <s v="Extrême-Nord"/>
    <s v="CMR004"/>
    <x v="1"/>
    <s v="CMR004006"/>
    <x v="1"/>
    <s v="CMR004006002"/>
    <s v="MOK-0040"/>
    <s v="SITE DE OURO TADA"/>
    <m/>
    <x v="0"/>
    <s v="Septembre 2022 – Février 2023"/>
    <n v="100"/>
    <n v="416"/>
    <x v="0"/>
    <m/>
    <s v="Même arrondissement"/>
    <s v="CMR"/>
    <s v="Cameroun"/>
    <s v="CMR004"/>
    <s v="Extrême-Nord"/>
    <s v="CMR004006"/>
    <s v="Mayo-Tsanaga"/>
    <s v="CMR004006002"/>
    <s v="Mokolo"/>
  </r>
  <r>
    <s v="Extrême-Nord"/>
    <s v="CMR004"/>
    <x v="1"/>
    <s v="CMR004006"/>
    <x v="1"/>
    <s v="CMR004006002"/>
    <s v="MOK-0040"/>
    <s v="SITE DE OURO TADA"/>
    <m/>
    <x v="0"/>
    <s v="Janvier - Aout 2022"/>
    <n v="68"/>
    <n v="424"/>
    <x v="0"/>
    <m/>
    <s v="Même arrondissement"/>
    <s v="CMR"/>
    <s v="Cameroun"/>
    <s v="CMR004"/>
    <s v="Extrême-Nord"/>
    <s v="CMR004006"/>
    <s v="Mayo-Tsanaga"/>
    <s v="CMR004006002"/>
    <s v="Mokolo"/>
  </r>
  <r>
    <s v="Extrême-Nord"/>
    <s v="CMR004"/>
    <x v="1"/>
    <s v="CMR004006"/>
    <x v="1"/>
    <s v="CMR004006002"/>
    <s v="MOK-0040"/>
    <s v="SITE DE OURO TADA"/>
    <m/>
    <x v="0"/>
    <s v="En 2020"/>
    <n v="45"/>
    <n v="964"/>
    <x v="0"/>
    <m/>
    <s v="Même arrondissement"/>
    <s v="CMR"/>
    <s v="Cameroun"/>
    <s v="CMR004"/>
    <s v="Extrême-Nord"/>
    <s v="CMR004006"/>
    <s v="Mayo-Tsanaga"/>
    <s v="CMR004006002"/>
    <s v="Mokolo"/>
  </r>
  <r>
    <s v="Extrême-Nord"/>
    <s v="CMR004"/>
    <x v="1"/>
    <s v="CMR004006"/>
    <x v="1"/>
    <s v="CMR004006002"/>
    <s v="MOK-0040"/>
    <s v="SITE DE OURO TADA"/>
    <m/>
    <x v="0"/>
    <s v="En 2021"/>
    <n v="218"/>
    <n v="1029"/>
    <x v="0"/>
    <m/>
    <s v="Même arrondissement"/>
    <s v="CMR"/>
    <s v="Cameroun"/>
    <s v="CMR004"/>
    <s v="Extrême-Nord"/>
    <s v="CMR004006"/>
    <s v="Mayo-Tsanaga"/>
    <s v="CMR004006002"/>
    <s v="Mokolo"/>
  </r>
  <r>
    <s v="Extrême-Nord"/>
    <s v="CMR004"/>
    <x v="1"/>
    <s v="CMR004006"/>
    <x v="1"/>
    <s v="CMR004006002"/>
    <s v="MOK-0040"/>
    <s v="SITE DE OURO TADA"/>
    <m/>
    <x v="0"/>
    <s v="Avant 2020"/>
    <n v="80"/>
    <n v="630"/>
    <x v="0"/>
    <m/>
    <s v="Même arrondissement"/>
    <s v="CMR"/>
    <s v="Cameroun"/>
    <s v="CMR004"/>
    <s v="Extrême-Nord"/>
    <s v="CMR004006"/>
    <s v="Mayo-Tsanaga"/>
    <s v="CMR004006002"/>
    <s v="Mokolo"/>
  </r>
  <r>
    <s v="Extrême-Nord"/>
    <s v="CMR004"/>
    <x v="1"/>
    <s v="CMR004006"/>
    <x v="1"/>
    <s v="CMR004006002"/>
    <s v="MOK-0056"/>
    <s v="MAVOUMAY"/>
    <m/>
    <x v="0"/>
    <s v="Septembre 2022 – Février 2023"/>
    <n v="15"/>
    <n v="100"/>
    <x v="0"/>
    <m/>
    <s v="Même arrondissement"/>
    <s v="CMR"/>
    <s v="Cameroun"/>
    <s v="CMR004"/>
    <s v="Extrême-Nord"/>
    <s v="CMR004006"/>
    <s v="Mayo-Tsanaga"/>
    <s v="CMR004006002"/>
    <s v="Mokolo"/>
  </r>
  <r>
    <s v="Extrême-Nord"/>
    <s v="CMR004"/>
    <x v="1"/>
    <s v="CMR004006"/>
    <x v="1"/>
    <s v="CMR004006002"/>
    <s v="MOK-0056"/>
    <s v="MAVOUMAY"/>
    <m/>
    <x v="0"/>
    <s v="Janvier - Aout 2022"/>
    <n v="28"/>
    <n v="250"/>
    <x v="0"/>
    <m/>
    <s v="Même arrondissement"/>
    <s v="CMR"/>
    <s v="Cameroun"/>
    <s v="CMR004"/>
    <s v="Extrême-Nord"/>
    <s v="CMR004006"/>
    <s v="Mayo-Tsanaga"/>
    <s v="CMR004006002"/>
    <s v="Mokolo"/>
  </r>
  <r>
    <s v="Extrême-Nord"/>
    <s v="CMR004"/>
    <x v="1"/>
    <s v="CMR004006"/>
    <x v="1"/>
    <s v="CMR004006002"/>
    <s v="MOK-0056"/>
    <s v="MAVOUMAY"/>
    <m/>
    <x v="0"/>
    <s v="En 2021"/>
    <n v="18"/>
    <n v="57"/>
    <x v="0"/>
    <m/>
    <s v="Même arrondissement"/>
    <s v="CMR"/>
    <s v="Cameroun"/>
    <s v="CMR004"/>
    <s v="Extrême-Nord"/>
    <s v="CMR004006"/>
    <s v="Mayo-Tsanaga"/>
    <s v="CMR004006002"/>
    <s v="Mokolo"/>
  </r>
  <r>
    <s v="Extrême-Nord"/>
    <s v="CMR004"/>
    <x v="1"/>
    <s v="CMR004006"/>
    <x v="1"/>
    <s v="CMR004006002"/>
    <s v="MOK-0056"/>
    <s v="MAVOUMAY"/>
    <m/>
    <x v="0"/>
    <s v="En 2020"/>
    <n v="9"/>
    <n v="55"/>
    <x v="0"/>
    <m/>
    <s v="Même arrondissement"/>
    <s v="CMR"/>
    <s v="Cameroun"/>
    <s v="CMR004"/>
    <s v="Extrême-Nord"/>
    <s v="CMR004006"/>
    <s v="Mayo-Tsanaga"/>
    <s v="CMR004006002"/>
    <s v="Mokolo"/>
  </r>
  <r>
    <s v="Extrême-Nord"/>
    <s v="CMR004"/>
    <x v="2"/>
    <s v="CMR004002"/>
    <x v="26"/>
    <s v="CMR004002006"/>
    <s v="KOU-0039"/>
    <s v="MASSAKI"/>
    <m/>
    <x v="0"/>
    <s v="Avant 2020"/>
    <n v="13"/>
    <n v="138"/>
    <x v="0"/>
    <m/>
    <s v="Même département, autre arrondissement"/>
    <s v="CMR"/>
    <s v="Cameroun"/>
    <s v="CMR004"/>
    <s v="Extrême-Nord"/>
    <s v="CMR004002"/>
    <s v="Logone-Et-Chari"/>
    <s v="CMR004002008"/>
    <s v="Fotokol"/>
  </r>
  <r>
    <s v="Extrême-Nord"/>
    <s v="CMR004"/>
    <x v="2"/>
    <s v="CMR004002"/>
    <x v="26"/>
    <s v="CMR004002006"/>
    <s v="KOU-0039"/>
    <s v="MASSAKI"/>
    <m/>
    <x v="0"/>
    <s v="En 2020"/>
    <n v="7"/>
    <n v="62"/>
    <x v="0"/>
    <m/>
    <s v="Même département, autre arrondissement"/>
    <s v="CMR"/>
    <s v="Cameroun"/>
    <s v="CMR004"/>
    <s v="Extrême-Nord"/>
    <s v="CMR004002"/>
    <s v="Logone-Et-Chari"/>
    <s v="CMR004002008"/>
    <s v="Fotokol"/>
  </r>
  <r>
    <s v="Extrême-Nord"/>
    <s v="CMR004"/>
    <x v="2"/>
    <s v="CMR004002"/>
    <x v="26"/>
    <s v="CMR004002006"/>
    <s v="KOU-0039"/>
    <s v="MASSAKI"/>
    <m/>
    <x v="0"/>
    <s v="En 2021"/>
    <n v="3"/>
    <n v="20"/>
    <x v="0"/>
    <m/>
    <s v="Même département, autre arrondissement"/>
    <s v="CMR"/>
    <s v="Cameroun"/>
    <s v="CMR004"/>
    <s v="Extrême-Nord"/>
    <s v="CMR004002"/>
    <s v="Logone-Et-Chari"/>
    <s v="CMR004002008"/>
    <s v="Fotokol"/>
  </r>
  <r>
    <s v="Extrême-Nord"/>
    <s v="CMR004"/>
    <x v="2"/>
    <s v="CMR004002"/>
    <x v="26"/>
    <s v="CMR004002006"/>
    <s v="KOU-0039"/>
    <s v="MASSAKI"/>
    <m/>
    <x v="0"/>
    <s v="Janvier - Aout 2022"/>
    <n v="6"/>
    <n v="52"/>
    <x v="1"/>
    <m/>
    <s v="Même département, autre arrondissement"/>
    <s v="CMR"/>
    <s v="Cameroun"/>
    <s v="CMR004"/>
    <s v="Extrême-Nord"/>
    <s v="CMR004002"/>
    <s v="Logone-Et-Chari"/>
    <s v="CMR004002004"/>
    <s v="Logone-Birni"/>
  </r>
  <r>
    <s v="Extrême-Nord"/>
    <s v="CMR004"/>
    <x v="2"/>
    <s v="CMR004002"/>
    <x v="26"/>
    <s v="CMR004002006"/>
    <s v="KOU-0039"/>
    <s v="MASSAKI"/>
    <m/>
    <x v="0"/>
    <s v="Septembre 2022 – Février 2023"/>
    <n v="3"/>
    <n v="18"/>
    <x v="3"/>
    <m/>
    <s v="Même département, autre arrondissement"/>
    <s v="CMR"/>
    <s v="Cameroun"/>
    <s v="CMR004"/>
    <s v="Extrême-Nord"/>
    <s v="CMR004002"/>
    <s v="Logone-Et-Chari"/>
    <s v="CMR004002004"/>
    <s v="Logone-Birni"/>
  </r>
  <r>
    <s v="Extrême-Nord"/>
    <s v="CMR004"/>
    <x v="2"/>
    <s v="CMR004002"/>
    <x v="26"/>
    <s v="CMR004002006"/>
    <s v="KOU-0010"/>
    <s v="HILE HAOUSSA"/>
    <m/>
    <x v="0"/>
    <s v="Avant 2020"/>
    <n v="38"/>
    <n v="172"/>
    <x v="0"/>
    <m/>
    <s v="Même département, autre arrondissement"/>
    <s v="CMR"/>
    <s v="Cameroun"/>
    <s v="CMR004"/>
    <s v="Extrême-Nord"/>
    <s v="CMR004002"/>
    <s v="Logone-Et-Chari"/>
    <s v="CMR004002008"/>
    <s v="Fotokol"/>
  </r>
  <r>
    <s v="Extrême-Nord"/>
    <s v="CMR004"/>
    <x v="2"/>
    <s v="CMR004002"/>
    <x v="26"/>
    <s v="CMR004002006"/>
    <s v="KOU-0010"/>
    <s v="HILE HAOUSSA"/>
    <m/>
    <x v="0"/>
    <s v="En 2020"/>
    <n v="10"/>
    <n v="62"/>
    <x v="0"/>
    <m/>
    <s v="Même département, autre arrondissement"/>
    <s v="CMR"/>
    <s v="Cameroun"/>
    <s v="CMR004"/>
    <s v="Extrême-Nord"/>
    <s v="CMR004002"/>
    <s v="Logone-Et-Chari"/>
    <s v="CMR004002008"/>
    <s v="Fotokol"/>
  </r>
  <r>
    <s v="Extrême-Nord"/>
    <s v="CMR004"/>
    <x v="2"/>
    <s v="CMR004002"/>
    <x v="26"/>
    <s v="CMR004002006"/>
    <s v="KOU-0010"/>
    <s v="HILE HAOUSSA"/>
    <m/>
    <x v="0"/>
    <s v="En 2021"/>
    <n v="6"/>
    <n v="47"/>
    <x v="0"/>
    <m/>
    <s v="Même département, autre arrondissement"/>
    <s v="CMR"/>
    <s v="Cameroun"/>
    <s v="CMR004"/>
    <s v="Extrême-Nord"/>
    <s v="CMR004002"/>
    <s v="Logone-Et-Chari"/>
    <s v="CMR004002008"/>
    <s v="Fotokol"/>
  </r>
  <r>
    <s v="Extrême-Nord"/>
    <s v="CMR004"/>
    <x v="2"/>
    <s v="CMR004002"/>
    <x v="26"/>
    <s v="CMR004002006"/>
    <s v="KOU-0010"/>
    <s v="HILE HAOUSSA"/>
    <m/>
    <x v="0"/>
    <s v="Janvier - Aout 2022"/>
    <n v="12"/>
    <n v="60"/>
    <x v="1"/>
    <m/>
    <s v="Même département, autre arrondissement"/>
    <s v="CMR"/>
    <s v="Cameroun"/>
    <s v="CMR004"/>
    <s v="Extrême-Nord"/>
    <s v="CMR004002"/>
    <s v="Logone-Et-Chari"/>
    <s v="CMR004002004"/>
    <s v="Logone-Birni"/>
  </r>
  <r>
    <s v="Extrême-Nord"/>
    <s v="CMR004"/>
    <x v="2"/>
    <s v="CMR004002"/>
    <x v="26"/>
    <s v="CMR004002006"/>
    <s v="KOU-0010"/>
    <s v="HILE HAOUSSA"/>
    <m/>
    <x v="0"/>
    <s v="Septembre 2022 – Février 2023"/>
    <n v="2"/>
    <n v="18"/>
    <x v="3"/>
    <m/>
    <s v="Même département, autre arrondissement"/>
    <s v="CMR"/>
    <s v="Cameroun"/>
    <s v="CMR004"/>
    <s v="Extrême-Nord"/>
    <s v="CMR004002"/>
    <s v="Logone-Et-Chari"/>
    <s v="CMR004002004"/>
    <s v="Logone-Birni"/>
  </r>
  <r>
    <s v="Extrême-Nord"/>
    <s v="CMR004"/>
    <x v="4"/>
    <s v="CMR004005"/>
    <x v="19"/>
    <s v="CMR004005001"/>
    <s v="KOL-0031"/>
    <s v="SITE DE DOUGDJE"/>
    <m/>
    <x v="0"/>
    <s v="En 2020"/>
    <n v="279"/>
    <n v="2266"/>
    <x v="0"/>
    <m/>
    <s v="Même arrondissement"/>
    <s v="CMR"/>
    <s v="Cameroun"/>
    <s v="CMR004"/>
    <s v="Extrême-Nord"/>
    <s v="CMR004005"/>
    <s v="Mayo-Sava"/>
    <s v="CMR004005001"/>
    <s v="Kolofata"/>
  </r>
  <r>
    <s v="Extrême-Nord"/>
    <s v="CMR004"/>
    <x v="4"/>
    <s v="CMR004005"/>
    <x v="19"/>
    <s v="CMR004005001"/>
    <s v="KOL-0031"/>
    <s v="SITE DE DOUGDJE"/>
    <m/>
    <x v="0"/>
    <s v="En 2021"/>
    <n v="0"/>
    <n v="12"/>
    <x v="0"/>
    <m/>
    <s v="Même arrondissement"/>
    <s v="CMR"/>
    <s v="Cameroun"/>
    <s v="CMR004"/>
    <s v="Extrême-Nord"/>
    <s v="CMR004005"/>
    <s v="Mayo-Sava"/>
    <s v="CMR004005001"/>
    <s v="Kolofata"/>
  </r>
  <r>
    <s v="Extrême-Nord"/>
    <s v="CMR004"/>
    <x v="4"/>
    <s v="CMR004005"/>
    <x v="19"/>
    <s v="CMR004005001"/>
    <s v="KOL-0031"/>
    <s v="SITE DE DOUGDJE"/>
    <m/>
    <x v="0"/>
    <s v="Janvier - Aout 2022"/>
    <n v="40"/>
    <n v="136"/>
    <x v="0"/>
    <m/>
    <s v="Même arrondissement"/>
    <s v="CMR"/>
    <s v="Cameroun"/>
    <s v="CMR004"/>
    <s v="Extrême-Nord"/>
    <s v="CMR004005"/>
    <s v="Mayo-Sava"/>
    <s v="CMR004005001"/>
    <s v="Kolofata"/>
  </r>
  <r>
    <s v="Extrême-Nord"/>
    <s v="CMR004"/>
    <x v="4"/>
    <s v="CMR004005"/>
    <x v="19"/>
    <s v="CMR004005001"/>
    <s v="KOL-0031"/>
    <s v="SITE DE DOUGDJE"/>
    <m/>
    <x v="0"/>
    <s v="Septembre 2022 – Février 2023"/>
    <n v="35"/>
    <n v="263"/>
    <x v="0"/>
    <m/>
    <s v="Même arrondissement"/>
    <s v="CMR"/>
    <s v="Cameroun"/>
    <s v="CMR004"/>
    <s v="Extrême-Nord"/>
    <s v="CMR004005"/>
    <s v="Mayo-Sava"/>
    <s v="CMR004005001"/>
    <s v="Kolofata"/>
  </r>
  <r>
    <s v="Extrême-Nord"/>
    <s v="CMR004"/>
    <x v="4"/>
    <s v="CMR004005"/>
    <x v="19"/>
    <s v="CMR004005001"/>
    <s v="KOL-0025"/>
    <s v="SANDAWADJIRI"/>
    <m/>
    <x v="0"/>
    <s v="Avant 2020"/>
    <n v="63"/>
    <n v="276"/>
    <x v="0"/>
    <m/>
    <s v="Même arrondissement"/>
    <s v="CMR"/>
    <s v="Cameroun"/>
    <s v="CMR004"/>
    <s v="Extrême-Nord"/>
    <s v="CMR004005"/>
    <s v="Mayo-Sava"/>
    <s v="CMR004005001"/>
    <s v="Kolofata"/>
  </r>
  <r>
    <s v="Extrême-Nord"/>
    <s v="CMR004"/>
    <x v="4"/>
    <s v="CMR004005"/>
    <x v="19"/>
    <s v="CMR004005001"/>
    <s v="KOL-0025"/>
    <s v="SANDAWADJIRI"/>
    <m/>
    <x v="0"/>
    <s v="En 2020"/>
    <n v="0"/>
    <n v="4"/>
    <x v="0"/>
    <m/>
    <s v="Même arrondissement"/>
    <s v="CMR"/>
    <s v="Cameroun"/>
    <s v="CMR004"/>
    <s v="Extrême-Nord"/>
    <s v="CMR004005"/>
    <s v="Mayo-Sava"/>
    <s v="CMR004005001"/>
    <s v="Kolofata"/>
  </r>
  <r>
    <s v="Extrême-Nord"/>
    <s v="CMR004"/>
    <x v="4"/>
    <s v="CMR004005"/>
    <x v="19"/>
    <s v="CMR004005001"/>
    <s v="KOL-0025"/>
    <s v="SANDAWADJIRI"/>
    <m/>
    <x v="0"/>
    <s v="En 2021"/>
    <n v="40"/>
    <n v="131"/>
    <x v="0"/>
    <m/>
    <s v="Même arrondissement"/>
    <s v="CMR"/>
    <s v="Cameroun"/>
    <s v="CMR004"/>
    <s v="Extrême-Nord"/>
    <s v="CMR004005"/>
    <s v="Mayo-Sava"/>
    <s v="CMR004005001"/>
    <s v="Kolofata"/>
  </r>
  <r>
    <s v="Extrême-Nord"/>
    <s v="CMR004"/>
    <x v="4"/>
    <s v="CMR004005"/>
    <x v="19"/>
    <s v="CMR004005001"/>
    <s v="KOL-0025"/>
    <s v="SANDAWADJIRI"/>
    <m/>
    <x v="0"/>
    <s v="Janvier - Aout 2022"/>
    <n v="0"/>
    <n v="50"/>
    <x v="0"/>
    <m/>
    <s v="Même arrondissement"/>
    <s v="CMR"/>
    <s v="Cameroun"/>
    <s v="CMR004"/>
    <s v="Extrême-Nord"/>
    <s v="CMR004005"/>
    <s v="Mayo-Sava"/>
    <s v="CMR004005001"/>
    <s v="Kolofata"/>
  </r>
  <r>
    <s v="Extrême-Nord"/>
    <s v="CMR004"/>
    <x v="4"/>
    <s v="CMR004005"/>
    <x v="19"/>
    <s v="CMR004005001"/>
    <s v="KOL-0025"/>
    <s v="SANDAWADJIRI"/>
    <m/>
    <x v="0"/>
    <s v="Septembre 2022 – Février 2023"/>
    <n v="0"/>
    <n v="10"/>
    <x v="0"/>
    <m/>
    <s v="Même arrondissement"/>
    <s v="CMR"/>
    <s v="Cameroun"/>
    <s v="CMR004"/>
    <s v="Extrême-Nord"/>
    <s v="CMR004005"/>
    <s v="Mayo-Sava"/>
    <s v="CMR004005001"/>
    <s v="Kolofata"/>
  </r>
  <r>
    <s v="Extrême-Nord"/>
    <s v="CMR004"/>
    <x v="2"/>
    <s v="CMR004002"/>
    <x v="8"/>
    <s v="CMR004002009"/>
    <s v="MAK-0050"/>
    <s v="KOKIO 1"/>
    <m/>
    <x v="0"/>
    <s v="Janvier - Aout 2022"/>
    <n v="27"/>
    <n v="145"/>
    <x v="0"/>
    <m/>
    <s v="Même département, autre arrondissement"/>
    <s v="CMR"/>
    <s v="Cameroun"/>
    <s v="CMR004"/>
    <s v="Extrême-Nord"/>
    <s v="CMR004002"/>
    <s v="Logone-Et-Chari"/>
    <s v="CMR004002008"/>
    <s v="Fotokol"/>
  </r>
  <r>
    <s v="Extrême-Nord"/>
    <s v="CMR004"/>
    <x v="2"/>
    <s v="CMR004002"/>
    <x v="8"/>
    <s v="CMR004002009"/>
    <s v="MAK-0040"/>
    <s v="GOUBAGO"/>
    <m/>
    <x v="0"/>
    <s v="Janvier - Aout 2022"/>
    <n v="10"/>
    <n v="82"/>
    <x v="0"/>
    <m/>
    <s v="Même département, autre arrondissement"/>
    <s v="CMR"/>
    <s v="Cameroun"/>
    <s v="CMR004"/>
    <s v="Extrême-Nord"/>
    <s v="CMR004002"/>
    <s v="Logone-Et-Chari"/>
    <s v="CMR004002008"/>
    <s v="Fotokol"/>
  </r>
  <r>
    <s v="Extrême-Nord"/>
    <s v="CMR004"/>
    <x v="2"/>
    <s v="CMR004002"/>
    <x v="26"/>
    <s v="CMR004002006"/>
    <s v="KOU-0044"/>
    <s v="LAKTA 3"/>
    <m/>
    <x v="0"/>
    <s v="Avant 2020"/>
    <n v="3"/>
    <n v="22"/>
    <x v="0"/>
    <m/>
    <s v="Même département, autre arrondissement"/>
    <s v="CMR"/>
    <s v="Cameroun"/>
    <s v="CMR004"/>
    <s v="Extrême-Nord"/>
    <s v="CMR004002"/>
    <s v="Logone-Et-Chari"/>
    <s v="CMR004002008"/>
    <s v="Fotokol"/>
  </r>
  <r>
    <s v="Extrême-Nord"/>
    <s v="CMR004"/>
    <x v="2"/>
    <s v="CMR004002"/>
    <x v="26"/>
    <s v="CMR004002006"/>
    <s v="KOU-0044"/>
    <s v="LAKTA 3"/>
    <m/>
    <x v="0"/>
    <s v="En 2020"/>
    <n v="2"/>
    <n v="16"/>
    <x v="0"/>
    <m/>
    <s v="Même département, autre arrondissement"/>
    <s v="CMR"/>
    <s v="Cameroun"/>
    <s v="CMR004"/>
    <s v="Extrême-Nord"/>
    <s v="CMR004002"/>
    <s v="Logone-Et-Chari"/>
    <s v="CMR004002008"/>
    <s v="Fotokol"/>
  </r>
  <r>
    <s v="Extrême-Nord"/>
    <s v="CMR004"/>
    <x v="2"/>
    <s v="CMR004002"/>
    <x v="26"/>
    <s v="CMR004002006"/>
    <s v="KOU-0044"/>
    <s v="LAKTA 3"/>
    <m/>
    <x v="0"/>
    <s v="Janvier - Aout 2022"/>
    <n v="1"/>
    <n v="2"/>
    <x v="1"/>
    <m/>
    <s v="Même département, autre arrondissement"/>
    <s v="CMR"/>
    <s v="Cameroun"/>
    <s v="CMR004"/>
    <s v="Extrême-Nord"/>
    <s v="CMR004002"/>
    <s v="Logone-Et-Chari"/>
    <s v="CMR004002004"/>
    <s v="Logone-Birni"/>
  </r>
  <r>
    <s v="Extrême-Nord"/>
    <s v="CMR004"/>
    <x v="2"/>
    <s v="CMR004002"/>
    <x v="26"/>
    <s v="CMR004002006"/>
    <s v="KOU-0044"/>
    <s v="LAKTA 3"/>
    <m/>
    <x v="0"/>
    <s v="Septembre 2022 – Février 2023"/>
    <n v="1"/>
    <n v="8"/>
    <x v="3"/>
    <m/>
    <s v="Même département, autre arrondissement"/>
    <s v="CMR"/>
    <s v="Cameroun"/>
    <s v="CMR004"/>
    <s v="Extrême-Nord"/>
    <s v="CMR004002"/>
    <s v="Logone-Et-Chari"/>
    <s v="CMR004002004"/>
    <s v="Logone-Birni"/>
  </r>
  <r>
    <s v="Extrême-Nord"/>
    <s v="CMR004"/>
    <x v="2"/>
    <s v="CMR004002"/>
    <x v="26"/>
    <s v="CMR004002006"/>
    <s v="KOU-0036"/>
    <s v="KAWADJI 1"/>
    <m/>
    <x v="0"/>
    <s v="Septembre 2022 – Février 2023"/>
    <n v="4"/>
    <n v="25"/>
    <x v="3"/>
    <m/>
    <s v="Même arrondissement"/>
    <s v="CMR"/>
    <s v="Cameroun"/>
    <s v="CMR004"/>
    <s v="Extrême-Nord"/>
    <s v="CMR004002"/>
    <s v="Logone-Et-Chari"/>
    <s v="CMR004002006"/>
    <s v="Kousséri"/>
  </r>
  <r>
    <s v="Extrême-Nord"/>
    <s v="CMR004"/>
    <x v="2"/>
    <s v="CMR004002"/>
    <x v="26"/>
    <s v="CMR004002006"/>
    <s v="KOU-0031"/>
    <s v="PAR-PAR"/>
    <m/>
    <x v="0"/>
    <s v="Septembre 2022 – Février 2023"/>
    <n v="3"/>
    <n v="15"/>
    <x v="3"/>
    <m/>
    <s v="Même arrondissement"/>
    <s v="CMR"/>
    <s v="Cameroun"/>
    <s v="CMR004"/>
    <s v="Extrême-Nord"/>
    <s v="CMR004002"/>
    <s v="Logone-Et-Chari"/>
    <s v="CMR004002006"/>
    <s v="Kousséri"/>
  </r>
  <r>
    <s v="Extrême-Nord"/>
    <s v="CMR004"/>
    <x v="4"/>
    <s v="CMR004005"/>
    <x v="17"/>
    <s v="CMR004005002"/>
    <s v="MOR-0034"/>
    <s v="WARAGA"/>
    <m/>
    <x v="0"/>
    <s v="En 2021"/>
    <n v="10"/>
    <n v="61"/>
    <x v="0"/>
    <m/>
    <s v="Même arrondissement"/>
    <s v="CMR"/>
    <s v="Cameroun"/>
    <s v="CMR004"/>
    <s v="Extrême-Nord"/>
    <s v="CMR004005"/>
    <s v="Mayo-Sava"/>
    <s v="CMR004005002"/>
    <s v="Mora"/>
  </r>
  <r>
    <s v="Extrême-Nord"/>
    <s v="CMR004"/>
    <x v="4"/>
    <s v="CMR004005"/>
    <x v="17"/>
    <s v="CMR004005002"/>
    <s v="MOR-0034"/>
    <s v="WARAGA"/>
    <m/>
    <x v="0"/>
    <s v="Janvier - Aout 2022"/>
    <n v="0"/>
    <n v="15"/>
    <x v="0"/>
    <m/>
    <s v="Même arrondissement"/>
    <s v="CMR"/>
    <s v="Cameroun"/>
    <s v="CMR004"/>
    <s v="Extrême-Nord"/>
    <s v="CMR004005"/>
    <s v="Mayo-Sava"/>
    <s v="CMR004005002"/>
    <s v="Mora"/>
  </r>
  <r>
    <s v="Extrême-Nord"/>
    <s v="CMR004"/>
    <x v="4"/>
    <s v="CMR004005"/>
    <x v="17"/>
    <s v="CMR004005002"/>
    <s v="MOR-0034"/>
    <s v="WARAGA"/>
    <m/>
    <x v="0"/>
    <s v="Septembre 2022 – Février 2023"/>
    <n v="0"/>
    <n v="2"/>
    <x v="0"/>
    <m/>
    <s v="Même arrondissement"/>
    <s v="CMR"/>
    <s v="Cameroun"/>
    <s v="CMR004"/>
    <s v="Extrême-Nord"/>
    <s v="CMR004005"/>
    <s v="Mayo-Sava"/>
    <s v="CMR004005002"/>
    <s v="Mora"/>
  </r>
  <r>
    <s v="Extrême-Nord"/>
    <s v="CMR004"/>
    <x v="4"/>
    <s v="CMR004005"/>
    <x v="19"/>
    <s v="CMR004005001"/>
    <s v="KOL-0030"/>
    <s v="SITE DE BAKARISSE"/>
    <m/>
    <x v="0"/>
    <s v="Janvier - Aout 2022"/>
    <n v="8"/>
    <n v="86"/>
    <x v="0"/>
    <m/>
    <s v="Même arrondissement"/>
    <s v="CMR"/>
    <s v="Cameroun"/>
    <s v="CMR004"/>
    <s v="Extrême-Nord"/>
    <s v="CMR004005"/>
    <s v="Mayo-Sava"/>
    <s v="CMR004005001"/>
    <s v="Kolofata"/>
  </r>
  <r>
    <s v="Extrême-Nord"/>
    <s v="CMR004"/>
    <x v="4"/>
    <s v="CMR004005"/>
    <x v="19"/>
    <s v="CMR004005001"/>
    <s v="KOL-0030"/>
    <s v="SITE DE BAKARISSE"/>
    <m/>
    <x v="0"/>
    <s v="Septembre 2022 – Février 2023"/>
    <n v="0"/>
    <n v="2"/>
    <x v="0"/>
    <m/>
    <s v="Même arrondissement"/>
    <s v="CMR"/>
    <s v="Cameroun"/>
    <s v="CMR004"/>
    <s v="Extrême-Nord"/>
    <s v="CMR004005"/>
    <s v="Mayo-Sava"/>
    <s v="CMR004005001"/>
    <s v="Kolofata"/>
  </r>
  <r>
    <s v="Extrême-Nord"/>
    <s v="CMR004"/>
    <x v="4"/>
    <s v="CMR004005"/>
    <x v="19"/>
    <s v="CMR004005001"/>
    <s v="KOL-0030"/>
    <s v="SITE DE BAKARISSE"/>
    <m/>
    <x v="0"/>
    <s v="En 2021"/>
    <n v="55"/>
    <n v="297"/>
    <x v="0"/>
    <m/>
    <s v="Même arrondissement"/>
    <s v="CMR"/>
    <s v="Cameroun"/>
    <s v="CMR004"/>
    <s v="Extrême-Nord"/>
    <s v="CMR004005"/>
    <s v="Mayo-Sava"/>
    <s v="CMR004005001"/>
    <s v="Kolofata"/>
  </r>
  <r>
    <s v="Extrême-Nord"/>
    <s v="CMR004"/>
    <x v="4"/>
    <s v="CMR004005"/>
    <x v="19"/>
    <s v="CMR004005001"/>
    <s v="KOL-0011"/>
    <s v="GANCE"/>
    <m/>
    <x v="0"/>
    <s v="En 2021"/>
    <n v="0"/>
    <n v="50"/>
    <x v="0"/>
    <m/>
    <s v="Même arrondissement"/>
    <s v="CMR"/>
    <s v="Cameroun"/>
    <s v="CMR004"/>
    <s v="Extrême-Nord"/>
    <s v="CMR004005"/>
    <s v="Mayo-Sava"/>
    <s v="CMR004005001"/>
    <s v="Kolofata"/>
  </r>
  <r>
    <s v="Extrême-Nord"/>
    <s v="CMR004"/>
    <x v="4"/>
    <s v="CMR004005"/>
    <x v="19"/>
    <s v="CMR004005001"/>
    <s v="KOL-0011"/>
    <s v="GANCE"/>
    <m/>
    <x v="0"/>
    <s v="Janvier - Aout 2022"/>
    <n v="288"/>
    <n v="2086"/>
    <x v="0"/>
    <m/>
    <s v="Même arrondissement"/>
    <s v="CMR"/>
    <s v="Cameroun"/>
    <s v="CMR004"/>
    <s v="Extrême-Nord"/>
    <s v="CMR004005"/>
    <s v="Mayo-Sava"/>
    <s v="CMR004005001"/>
    <s v="Kolofata"/>
  </r>
  <r>
    <s v="Extrême-Nord"/>
    <s v="CMR004"/>
    <x v="4"/>
    <s v="CMR004005"/>
    <x v="19"/>
    <s v="CMR004005001"/>
    <s v="KOL-0011"/>
    <s v="GANCE"/>
    <m/>
    <x v="0"/>
    <s v="Avant 2020"/>
    <n v="109"/>
    <n v="720"/>
    <x v="0"/>
    <m/>
    <s v="Même arrondissement"/>
    <s v="CMR"/>
    <s v="Cameroun"/>
    <s v="CMR004"/>
    <s v="Extrême-Nord"/>
    <s v="CMR004005"/>
    <s v="Mayo-Sava"/>
    <s v="CMR004005001"/>
    <s v="Kolofata"/>
  </r>
  <r>
    <s v="Extrême-Nord"/>
    <s v="CMR004"/>
    <x v="4"/>
    <s v="CMR004005"/>
    <x v="19"/>
    <s v="CMR004005001"/>
    <s v="KOL-0011"/>
    <s v="GANCE"/>
    <m/>
    <x v="0"/>
    <s v="En 2020"/>
    <n v="1555"/>
    <n v="9610"/>
    <x v="0"/>
    <m/>
    <s v="Même arrondissement"/>
    <s v="CMR"/>
    <s v="Cameroun"/>
    <s v="CMR004"/>
    <s v="Extrême-Nord"/>
    <s v="CMR004005"/>
    <s v="Mayo-Sava"/>
    <s v="CMR004005001"/>
    <s v="Kolofata"/>
  </r>
  <r>
    <s v="Extrême-Nord"/>
    <s v="CMR004"/>
    <x v="2"/>
    <s v="CMR004002"/>
    <x v="12"/>
    <s v="CMR004002002"/>
    <s v="GOU-0049"/>
    <s v="ANDOURMAN"/>
    <m/>
    <x v="0"/>
    <s v="Janvier - Aout 2022"/>
    <n v="52"/>
    <n v="300"/>
    <x v="3"/>
    <m/>
    <s v="Même arrondissement"/>
    <s v="CMR"/>
    <s v="Cameroun"/>
    <s v="CMR004"/>
    <s v="Extrême-Nord"/>
    <s v="CMR004002"/>
    <s v="Logone-Et-Chari"/>
    <s v="CMR004002002"/>
    <s v="Goulfey"/>
  </r>
  <r>
    <s v="Extrême-Nord"/>
    <s v="CMR004"/>
    <x v="2"/>
    <s v="CMR004002"/>
    <x v="12"/>
    <s v="CMR004002002"/>
    <s v="GOU-0044"/>
    <s v="FADJE"/>
    <m/>
    <x v="0"/>
    <s v="Avant 2020"/>
    <n v="67"/>
    <n v="232"/>
    <x v="0"/>
    <m/>
    <s v="Même département, autre arrondissement"/>
    <s v="CMR"/>
    <s v="Cameroun"/>
    <s v="CMR004"/>
    <s v="Extrême-Nord"/>
    <s v="CMR004002"/>
    <s v="Logone-Et-Chari"/>
    <s v="CMR004002009"/>
    <s v="Makary"/>
  </r>
  <r>
    <s v="Extrême-Nord"/>
    <s v="CMR004"/>
    <x v="4"/>
    <s v="CMR004005"/>
    <x v="17"/>
    <s v="CMR004005002"/>
    <s v="MOR-0089"/>
    <s v="OURO DOLÉ"/>
    <m/>
    <x v="0"/>
    <s v="En 2021"/>
    <n v="42"/>
    <n v="203"/>
    <x v="0"/>
    <m/>
    <s v="Même département, autre arrondissement"/>
    <s v="CMR"/>
    <s v="Cameroun"/>
    <s v="CMR004"/>
    <s v="Extrême-Nord"/>
    <s v="CMR004005"/>
    <s v="Mayo-Sava"/>
    <s v="CMR004005001"/>
    <s v="Kolofata"/>
  </r>
  <r>
    <s v="Extrême-Nord"/>
    <s v="CMR004"/>
    <x v="4"/>
    <s v="CMR004005"/>
    <x v="17"/>
    <s v="CMR004005002"/>
    <s v="MOR-0089"/>
    <s v="OURO DOLÉ"/>
    <m/>
    <x v="0"/>
    <s v="Janvier - Aout 2022"/>
    <n v="0"/>
    <n v="21"/>
    <x v="2"/>
    <s v="Naissances "/>
    <s v="Même arrondissement"/>
    <s v="CMR"/>
    <s v="Cameroun"/>
    <s v="CMR004"/>
    <s v="Extrême-Nord"/>
    <s v="CMR004005"/>
    <s v="Mayo-Sava"/>
    <s v="CMR004005002"/>
    <s v="Mora"/>
  </r>
  <r>
    <s v="Extrême-Nord"/>
    <s v="CMR004"/>
    <x v="4"/>
    <s v="CMR004005"/>
    <x v="17"/>
    <s v="CMR004005002"/>
    <s v="MOR-0089"/>
    <s v="OURO DOLÉ"/>
    <m/>
    <x v="0"/>
    <s v="Septembre 2022 – Février 2023"/>
    <n v="0"/>
    <n v="3"/>
    <x v="2"/>
    <s v="Naissances "/>
    <s v="Même arrondissement"/>
    <s v="CMR"/>
    <s v="Cameroun"/>
    <s v="CMR004"/>
    <s v="Extrême-Nord"/>
    <s v="CMR004005"/>
    <s v="Mayo-Sava"/>
    <s v="CMR004005002"/>
    <s v="Mora"/>
  </r>
  <r>
    <s v="Extrême-Nord"/>
    <s v="CMR004"/>
    <x v="4"/>
    <s v="CMR004005"/>
    <x v="17"/>
    <s v="CMR004005002"/>
    <s v="MOR-0003"/>
    <s v="DJOUNDE"/>
    <m/>
    <x v="0"/>
    <s v="Avant 2020"/>
    <n v="391"/>
    <n v="859"/>
    <x v="0"/>
    <m/>
    <s v="Même arrondissement"/>
    <s v="CMR"/>
    <s v="Cameroun"/>
    <s v="CMR004"/>
    <s v="Extrême-Nord"/>
    <s v="CMR004005"/>
    <s v="Mayo-Sava"/>
    <s v="CMR004005002"/>
    <s v="Mora"/>
  </r>
  <r>
    <s v="Extrême-Nord"/>
    <s v="CMR004"/>
    <x v="4"/>
    <s v="CMR004005"/>
    <x v="17"/>
    <s v="CMR004005002"/>
    <s v="MOR-0003"/>
    <s v="DJOUNDE"/>
    <m/>
    <x v="0"/>
    <s v="En 2020"/>
    <n v="2"/>
    <n v="25"/>
    <x v="0"/>
    <m/>
    <s v="Même arrondissement"/>
    <s v="CMR"/>
    <s v="Cameroun"/>
    <s v="CMR004"/>
    <s v="Extrême-Nord"/>
    <s v="CMR004005"/>
    <s v="Mayo-Sava"/>
    <s v="CMR004005002"/>
    <s v="Mora"/>
  </r>
  <r>
    <s v="Extrême-Nord"/>
    <s v="CMR004"/>
    <x v="4"/>
    <s v="CMR004005"/>
    <x v="17"/>
    <s v="CMR004005002"/>
    <s v="MOR-0003"/>
    <s v="DJOUNDE"/>
    <m/>
    <x v="0"/>
    <s v="En 2021"/>
    <n v="23"/>
    <n v="149"/>
    <x v="0"/>
    <m/>
    <s v="Même arrondissement"/>
    <s v="CMR"/>
    <s v="Cameroun"/>
    <s v="CMR004"/>
    <s v="Extrême-Nord"/>
    <s v="CMR004005"/>
    <s v="Mayo-Sava"/>
    <s v="CMR004005002"/>
    <s v="Mora"/>
  </r>
  <r>
    <s v="Extrême-Nord"/>
    <s v="CMR004"/>
    <x v="4"/>
    <s v="CMR004005"/>
    <x v="17"/>
    <s v="CMR004005002"/>
    <s v="MOR-0003"/>
    <s v="DJOUNDE"/>
    <m/>
    <x v="0"/>
    <s v="Janvier - Aout 2022"/>
    <n v="13"/>
    <n v="68"/>
    <x v="0"/>
    <m/>
    <s v="Même arrondissement"/>
    <s v="CMR"/>
    <s v="Cameroun"/>
    <s v="CMR004"/>
    <s v="Extrême-Nord"/>
    <s v="CMR004005"/>
    <s v="Mayo-Sava"/>
    <s v="CMR004005002"/>
    <s v="Mora"/>
  </r>
  <r>
    <s v="Extrême-Nord"/>
    <s v="CMR004"/>
    <x v="4"/>
    <s v="CMR004005"/>
    <x v="17"/>
    <s v="CMR004005002"/>
    <s v="MOR-0003"/>
    <s v="DJOUNDE"/>
    <m/>
    <x v="0"/>
    <s v="Septembre 2022 – Février 2023"/>
    <n v="15"/>
    <n v="80"/>
    <x v="0"/>
    <m/>
    <s v="Même arrondissement"/>
    <s v="CMR"/>
    <s v="Cameroun"/>
    <s v="CMR004"/>
    <s v="Extrême-Nord"/>
    <s v="CMR004005"/>
    <s v="Mayo-Sava"/>
    <s v="CMR004005002"/>
    <s v="Mora"/>
  </r>
  <r>
    <s v="Extrême-Nord"/>
    <s v="CMR004"/>
    <x v="4"/>
    <s v="CMR004005"/>
    <x v="17"/>
    <s v="CMR004005002"/>
    <s v="MOR-0001"/>
    <s v="AMTCHALIE"/>
    <m/>
    <x v="0"/>
    <s v="Avant 2020"/>
    <n v="167"/>
    <n v="669"/>
    <x v="0"/>
    <m/>
    <s v="Même arrondissement"/>
    <s v="CMR"/>
    <s v="Cameroun"/>
    <s v="CMR004"/>
    <s v="Extrême-Nord"/>
    <s v="CMR004005"/>
    <s v="Mayo-Sava"/>
    <s v="CMR004005002"/>
    <s v="Mora"/>
  </r>
  <r>
    <s v="Extrême-Nord"/>
    <s v="CMR004"/>
    <x v="4"/>
    <s v="CMR004005"/>
    <x v="17"/>
    <s v="CMR004005002"/>
    <s v="MOR-0001"/>
    <s v="AMTCHALIE"/>
    <m/>
    <x v="0"/>
    <s v="En 2020"/>
    <n v="75"/>
    <n v="380"/>
    <x v="0"/>
    <m/>
    <s v="Même arrondissement"/>
    <s v="CMR"/>
    <s v="Cameroun"/>
    <s v="CMR004"/>
    <s v="Extrême-Nord"/>
    <s v="CMR004005"/>
    <s v="Mayo-Sava"/>
    <s v="CMR004005002"/>
    <s v="Mora"/>
  </r>
  <r>
    <s v="Extrême-Nord"/>
    <s v="CMR004"/>
    <x v="4"/>
    <s v="CMR004005"/>
    <x v="17"/>
    <s v="CMR004005002"/>
    <s v="MOR-0001"/>
    <s v="AMTCHALIE"/>
    <m/>
    <x v="0"/>
    <s v="En 2021"/>
    <n v="3"/>
    <n v="62"/>
    <x v="0"/>
    <m/>
    <s v="Même arrondissement"/>
    <s v="CMR"/>
    <s v="Cameroun"/>
    <s v="CMR004"/>
    <s v="Extrême-Nord"/>
    <s v="CMR004005"/>
    <s v="Mayo-Sava"/>
    <s v="CMR004005002"/>
    <s v="Mora"/>
  </r>
  <r>
    <s v="Extrême-Nord"/>
    <s v="CMR004"/>
    <x v="4"/>
    <s v="CMR004005"/>
    <x v="17"/>
    <s v="CMR004005002"/>
    <s v="MOR-0001"/>
    <s v="AMTCHALIE"/>
    <m/>
    <x v="0"/>
    <s v="Janvier - Aout 2022"/>
    <n v="0"/>
    <n v="13"/>
    <x v="0"/>
    <m/>
    <s v="Même arrondissement"/>
    <s v="CMR"/>
    <s v="Cameroun"/>
    <s v="CMR004"/>
    <s v="Extrême-Nord"/>
    <s v="CMR004005"/>
    <s v="Mayo-Sava"/>
    <s v="CMR004005002"/>
    <s v="Mora"/>
  </r>
  <r>
    <s v="Extrême-Nord"/>
    <s v="CMR004"/>
    <x v="4"/>
    <s v="CMR004005"/>
    <x v="17"/>
    <s v="CMR004005002"/>
    <s v="MOR-0001"/>
    <s v="AMTCHALIE"/>
    <m/>
    <x v="0"/>
    <s v="Septembre 2022 – Février 2023"/>
    <n v="40"/>
    <n v="320"/>
    <x v="0"/>
    <m/>
    <s v="Même arrondissement"/>
    <s v="CMR"/>
    <s v="Cameroun"/>
    <s v="CMR004"/>
    <s v="Extrême-Nord"/>
    <s v="CMR004005"/>
    <s v="Mayo-Sava"/>
    <s v="CMR004005002"/>
    <s v="Mora"/>
  </r>
  <r>
    <s v="Extrême-Nord"/>
    <s v="CMR004"/>
    <x v="2"/>
    <s v="CMR004002"/>
    <x v="8"/>
    <s v="CMR004002009"/>
    <s v="MAK-0014"/>
    <s v="BAOURI"/>
    <m/>
    <x v="0"/>
    <s v="Avant 2020"/>
    <n v="12"/>
    <n v="56"/>
    <x v="0"/>
    <m/>
    <s v="Même département, autre arrondissement"/>
    <s v="CMR"/>
    <s v="Cameroun"/>
    <s v="CMR004"/>
    <s v="Extrême-Nord"/>
    <s v="CMR004002"/>
    <s v="Logone-Et-Chari"/>
    <s v="CMR004002008"/>
    <s v="Fotokol"/>
  </r>
  <r>
    <s v="Extrême-Nord"/>
    <s v="CMR004"/>
    <x v="2"/>
    <s v="CMR004002"/>
    <x v="8"/>
    <s v="CMR004002009"/>
    <s v="MAK-0014"/>
    <s v="BAOURI"/>
    <m/>
    <x v="0"/>
    <s v="En 2020"/>
    <n v="0"/>
    <n v="3"/>
    <x v="0"/>
    <m/>
    <s v="Même département, autre arrondissement"/>
    <s v="CMR"/>
    <s v="Cameroun"/>
    <s v="CMR004"/>
    <s v="Extrême-Nord"/>
    <s v="CMR004002"/>
    <s v="Logone-Et-Chari"/>
    <s v="CMR004002008"/>
    <s v="Fotokol"/>
  </r>
  <r>
    <s v="Extrême-Nord"/>
    <s v="CMR004"/>
    <x v="2"/>
    <s v="CMR004002"/>
    <x v="8"/>
    <s v="CMR004002009"/>
    <s v="MAK-0014"/>
    <s v="BAOURI"/>
    <m/>
    <x v="0"/>
    <s v="En 2021"/>
    <n v="0"/>
    <n v="5"/>
    <x v="0"/>
    <m/>
    <s v="Même département, autre arrondissement"/>
    <s v="CMR"/>
    <s v="Cameroun"/>
    <s v="CMR004"/>
    <s v="Extrême-Nord"/>
    <s v="CMR004002"/>
    <s v="Logone-Et-Chari"/>
    <s v="CMR004002008"/>
    <s v="Fotokol"/>
  </r>
  <r>
    <s v="Extrême-Nord"/>
    <s v="CMR004"/>
    <x v="2"/>
    <s v="CMR004002"/>
    <x v="8"/>
    <s v="CMR004002009"/>
    <s v="MAK-0014"/>
    <s v="BAOURI"/>
    <m/>
    <x v="0"/>
    <s v="Janvier - Aout 2022"/>
    <n v="8"/>
    <n v="59"/>
    <x v="0"/>
    <m/>
    <s v="Même département, autre arrondissement"/>
    <s v="CMR"/>
    <s v="Cameroun"/>
    <s v="CMR004"/>
    <s v="Extrême-Nord"/>
    <s v="CMR004002"/>
    <s v="Logone-Et-Chari"/>
    <s v="CMR004002007"/>
    <s v="Darak"/>
  </r>
  <r>
    <s v="Extrême-Nord"/>
    <s v="CMR004"/>
    <x v="2"/>
    <s v="CMR004002"/>
    <x v="8"/>
    <s v="CMR004002009"/>
    <s v="MAK-0045"/>
    <s v="HISSAINIE"/>
    <m/>
    <x v="0"/>
    <s v="Avant 2020"/>
    <n v="11"/>
    <n v="60"/>
    <x v="0"/>
    <m/>
    <s v="Même département, autre arrondissement"/>
    <s v="CMR"/>
    <s v="Cameroun"/>
    <s v="CMR004"/>
    <s v="Extrême-Nord"/>
    <s v="CMR004002"/>
    <s v="Logone-Et-Chari"/>
    <s v="CMR004002008"/>
    <s v="Fotokol"/>
  </r>
  <r>
    <s v="Extrême-Nord"/>
    <s v="CMR004"/>
    <x v="2"/>
    <s v="CMR004002"/>
    <x v="8"/>
    <s v="CMR004002009"/>
    <s v="MAK-0174"/>
    <s v="MIREMIE"/>
    <m/>
    <x v="0"/>
    <s v="Avant 2020"/>
    <n v="16"/>
    <n v="83"/>
    <x v="3"/>
    <m/>
    <s v="Même arrondissement"/>
    <s v="CMR"/>
    <s v="Cameroun"/>
    <s v="CMR004"/>
    <s v="Extrême-Nord"/>
    <s v="CMR004002"/>
    <s v="Logone-Et-Chari"/>
    <s v="CMR004002009"/>
    <s v="Makary"/>
  </r>
  <r>
    <s v="Extrême-Nord"/>
    <s v="CMR004"/>
    <x v="2"/>
    <s v="CMR004002"/>
    <x v="8"/>
    <s v="CMR004002009"/>
    <s v="MAK-0174"/>
    <s v="MIREMIE"/>
    <m/>
    <x v="0"/>
    <s v="Septembre 2022 – Février 2023"/>
    <n v="2"/>
    <n v="6"/>
    <x v="3"/>
    <m/>
    <s v="Même arrondissement"/>
    <s v="CMR"/>
    <s v="Cameroun"/>
    <s v="CMR004"/>
    <s v="Extrême-Nord"/>
    <s v="CMR004002"/>
    <s v="Logone-Et-Chari"/>
    <s v="CMR004002009"/>
    <s v="Makary"/>
  </r>
  <r>
    <s v="Extrême-Nord"/>
    <s v="CMR004"/>
    <x v="5"/>
    <s v="CMR004004"/>
    <x v="24"/>
    <s v="CMR004004002"/>
    <s v="MOL-0004"/>
    <s v="SITE DE KORRE KAYA"/>
    <m/>
    <x v="0"/>
    <s v="En 2020"/>
    <n v="94"/>
    <n v="2328"/>
    <x v="0"/>
    <m/>
    <s v="Autre département"/>
    <s v="CMR"/>
    <s v="Cameroun"/>
    <s v="CMR004"/>
    <s v="Extrême-Nord"/>
    <s v="CMR004005"/>
    <s v="Mayo-Sava"/>
    <m/>
    <m/>
  </r>
  <r>
    <s v="Extrême-Nord"/>
    <s v="CMR004"/>
    <x v="5"/>
    <s v="CMR004004"/>
    <x v="24"/>
    <s v="CMR004004002"/>
    <s v="XXXX"/>
    <s v="MAIDAKOURE"/>
    <s v="MAIDAKOURE"/>
    <x v="0"/>
    <s v="Janvier - Aout 2022"/>
    <n v="28"/>
    <n v="206"/>
    <x v="1"/>
    <m/>
    <s v="Autre département"/>
    <s v="CMR"/>
    <s v="Cameroun"/>
    <s v="CMR004"/>
    <s v="Extrême-Nord"/>
    <s v="CMR004003"/>
    <s v="Mayo-Danay"/>
    <m/>
    <m/>
  </r>
  <r>
    <s v="Extrême-Nord"/>
    <s v="CMR004"/>
    <x v="2"/>
    <s v="CMR004002"/>
    <x v="8"/>
    <s v="CMR004002009"/>
    <s v="MAK-0149"/>
    <s v="WERENGOULMO"/>
    <m/>
    <x v="0"/>
    <s v="Avant 2020"/>
    <n v="29"/>
    <n v="287"/>
    <x v="0"/>
    <m/>
    <s v="Même arrondissement"/>
    <s v="CMR"/>
    <s v="Cameroun"/>
    <s v="CMR004"/>
    <s v="Extrême-Nord"/>
    <s v="CMR004002"/>
    <s v="Logone-Et-Chari"/>
    <s v="CMR004002009"/>
    <s v="Makary"/>
  </r>
  <r>
    <s v="Extrême-Nord"/>
    <s v="CMR004"/>
    <x v="2"/>
    <s v="CMR004002"/>
    <x v="8"/>
    <s v="CMR004002009"/>
    <s v="MAK-0120"/>
    <s v="HEREZAYA SITE"/>
    <m/>
    <x v="0"/>
    <s v="Avant 2020"/>
    <n v="30"/>
    <n v="82"/>
    <x v="0"/>
    <m/>
    <s v="Même arrondissement"/>
    <s v="CMR"/>
    <s v="Cameroun"/>
    <s v="CMR004"/>
    <s v="Extrême-Nord"/>
    <s v="CMR004002"/>
    <s v="Logone-Et-Chari"/>
    <s v="CMR004002009"/>
    <s v="Makary"/>
  </r>
  <r>
    <s v="Extrême-Nord"/>
    <s v="CMR004"/>
    <x v="4"/>
    <s v="CMR004005"/>
    <x v="17"/>
    <s v="CMR004005002"/>
    <s v="MOR-0029"/>
    <s v="KOSSA"/>
    <m/>
    <x v="0"/>
    <s v="Avant 2020"/>
    <n v="612"/>
    <n v="2925"/>
    <x v="0"/>
    <m/>
    <s v="Même arrondissement"/>
    <s v="CMR"/>
    <s v="Cameroun"/>
    <s v="CMR004"/>
    <s v="Extrême-Nord"/>
    <s v="CMR004005"/>
    <s v="Mayo-Sava"/>
    <s v="CMR004005002"/>
    <s v="Mora"/>
  </r>
  <r>
    <s v="Extrême-Nord"/>
    <s v="CMR004"/>
    <x v="4"/>
    <s v="CMR004005"/>
    <x v="17"/>
    <s v="CMR004005002"/>
    <s v="MOR-0029"/>
    <s v="KOSSA"/>
    <m/>
    <x v="0"/>
    <s v="En 2021"/>
    <n v="0"/>
    <n v="4"/>
    <x v="0"/>
    <m/>
    <s v="Même arrondissement"/>
    <s v="CMR"/>
    <s v="Cameroun"/>
    <s v="CMR004"/>
    <s v="Extrême-Nord"/>
    <s v="CMR004005"/>
    <s v="Mayo-Sava"/>
    <s v="CMR004005002"/>
    <s v="Mora"/>
  </r>
  <r>
    <s v="Extrême-Nord"/>
    <s v="CMR004"/>
    <x v="4"/>
    <s v="CMR004005"/>
    <x v="17"/>
    <s v="CMR004005002"/>
    <s v="MOR-0029"/>
    <s v="KOSSA"/>
    <m/>
    <x v="0"/>
    <s v="Janvier - Aout 2022"/>
    <n v="0"/>
    <n v="8"/>
    <x v="0"/>
    <m/>
    <s v="Même arrondissement"/>
    <s v="CMR"/>
    <s v="Cameroun"/>
    <s v="CMR004"/>
    <s v="Extrême-Nord"/>
    <s v="CMR004005"/>
    <s v="Mayo-Sava"/>
    <s v="CMR004005002"/>
    <s v="Mora"/>
  </r>
  <r>
    <s v="Extrême-Nord"/>
    <s v="CMR004"/>
    <x v="2"/>
    <s v="CMR004002"/>
    <x v="8"/>
    <s v="CMR004002009"/>
    <s v="MAK-0044"/>
    <s v="HEREDIBE"/>
    <m/>
    <x v="0"/>
    <s v="Avant 2020"/>
    <n v="19"/>
    <n v="171"/>
    <x v="0"/>
    <m/>
    <s v="Même département, autre arrondissement"/>
    <s v="CMR"/>
    <s v="Cameroun"/>
    <s v="CMR004"/>
    <s v="Extrême-Nord"/>
    <s v="CMR004002"/>
    <s v="Logone-Et-Chari"/>
    <s v="CMR004002010"/>
    <s v="Hile-Alifa"/>
  </r>
  <r>
    <s v="Extrême-Nord"/>
    <s v="CMR004"/>
    <x v="2"/>
    <s v="CMR004002"/>
    <x v="8"/>
    <s v="CMR004002009"/>
    <s v="MAK-0217"/>
    <s v="BIDEINE"/>
    <m/>
    <x v="0"/>
    <s v="Avant 2020"/>
    <n v="38"/>
    <n v="135"/>
    <x v="0"/>
    <m/>
    <s v="Même département, autre arrondissement"/>
    <s v="CMR"/>
    <s v="Cameroun"/>
    <s v="CMR004"/>
    <s v="Extrême-Nord"/>
    <s v="CMR004002"/>
    <s v="Logone-Et-Chari"/>
    <s v="CMR004002010"/>
    <s v="Hile-Alifa"/>
  </r>
  <r>
    <s v="Extrême-Nord"/>
    <s v="CMR004"/>
    <x v="2"/>
    <s v="CMR004002"/>
    <x v="9"/>
    <s v="CMR004002010"/>
    <s v="HIL-0015"/>
    <s v="DOUGOUMSILIO 1"/>
    <m/>
    <x v="0"/>
    <s v="Avant 2020"/>
    <n v="20"/>
    <n v="161"/>
    <x v="0"/>
    <m/>
    <s v="Même arrondissement"/>
    <s v="CMR"/>
    <s v="Cameroun"/>
    <s v="CMR004"/>
    <s v="Extrême-Nord"/>
    <s v="CMR004002"/>
    <s v="Logone-Et-Chari"/>
    <s v="CMR004002010"/>
    <s v="Hile-Alifa"/>
  </r>
  <r>
    <s v="Extrême-Nord"/>
    <s v="CMR004"/>
    <x v="2"/>
    <s v="CMR004002"/>
    <x v="9"/>
    <s v="CMR004002010"/>
    <s v="HIL-0015"/>
    <s v="DOUGOUMSILIO 1"/>
    <m/>
    <x v="0"/>
    <s v="Janvier - Aout 2022"/>
    <n v="1"/>
    <n v="3"/>
    <x v="0"/>
    <m/>
    <s v="Même arrondissement"/>
    <s v="CMR"/>
    <s v="Cameroun"/>
    <s v="CMR004"/>
    <s v="Extrême-Nord"/>
    <s v="CMR004002"/>
    <s v="Logone-Et-Chari"/>
    <s v="CMR004002010"/>
    <s v="Hile-Alifa"/>
  </r>
  <r>
    <s v="Extrême-Nord"/>
    <s v="CMR004"/>
    <x v="2"/>
    <s v="CMR004002"/>
    <x v="9"/>
    <s v="CMR004002010"/>
    <s v="HIL-0015"/>
    <s v="DOUGOUMSILIO 1"/>
    <m/>
    <x v="0"/>
    <s v="Septembre 2022 – Février 2023"/>
    <n v="10"/>
    <n v="70"/>
    <x v="0"/>
    <m/>
    <s v="Même arrondissement"/>
    <s v="CMR"/>
    <s v="Cameroun"/>
    <s v="CMR004"/>
    <s v="Extrême-Nord"/>
    <s v="CMR004002"/>
    <s v="Logone-Et-Chari"/>
    <s v="CMR004002010"/>
    <s v="Hile-Alifa"/>
  </r>
  <r>
    <s v="Extrême-Nord"/>
    <s v="CMR004"/>
    <x v="2"/>
    <s v="CMR004002"/>
    <x v="9"/>
    <s v="CMR004002010"/>
    <s v="HIL-0007"/>
    <s v="GORETAL GOUTOUN"/>
    <m/>
    <x v="0"/>
    <s v="Avant 2020"/>
    <n v="21"/>
    <n v="157"/>
    <x v="0"/>
    <m/>
    <s v="Même arrondissement"/>
    <s v="CMR"/>
    <s v="Cameroun"/>
    <s v="CMR004"/>
    <s v="Extrême-Nord"/>
    <s v="CMR004002"/>
    <s v="Logone-Et-Chari"/>
    <s v="CMR004002010"/>
    <s v="Hile-Alifa"/>
  </r>
  <r>
    <s v="Extrême-Nord"/>
    <s v="CMR004"/>
    <x v="4"/>
    <s v="CMR004005"/>
    <x v="17"/>
    <s v="CMR004005002"/>
    <s v="MOR-0072"/>
    <s v="WARBA"/>
    <m/>
    <x v="0"/>
    <s v="Avant 2020"/>
    <n v="37"/>
    <n v="355"/>
    <x v="0"/>
    <m/>
    <s v="Même arrondissement"/>
    <s v="CMR"/>
    <s v="Cameroun"/>
    <s v="CMR004"/>
    <s v="Extrême-Nord"/>
    <s v="CMR004005"/>
    <s v="Mayo-Sava"/>
    <s v="CMR004005002"/>
    <s v="Mora"/>
  </r>
  <r>
    <s v="Extrême-Nord"/>
    <s v="CMR004"/>
    <x v="4"/>
    <s v="CMR004005"/>
    <x v="17"/>
    <s v="CMR004005002"/>
    <s v="MOR-0072"/>
    <s v="WARBA"/>
    <m/>
    <x v="0"/>
    <s v="En 2020"/>
    <n v="0"/>
    <n v="23"/>
    <x v="0"/>
    <m/>
    <s v="Même arrondissement"/>
    <s v="CMR"/>
    <s v="Cameroun"/>
    <s v="CMR004"/>
    <s v="Extrême-Nord"/>
    <s v="CMR004005"/>
    <s v="Mayo-Sava"/>
    <s v="CMR004005002"/>
    <s v="Mora"/>
  </r>
  <r>
    <s v="Extrême-Nord"/>
    <s v="CMR004"/>
    <x v="4"/>
    <s v="CMR004005"/>
    <x v="17"/>
    <s v="CMR004005002"/>
    <s v="MOR-0072"/>
    <s v="WARBA"/>
    <m/>
    <x v="0"/>
    <s v="En 2021"/>
    <n v="0"/>
    <n v="46"/>
    <x v="0"/>
    <m/>
    <s v="Même arrondissement"/>
    <s v="CMR"/>
    <s v="Cameroun"/>
    <s v="CMR004"/>
    <s v="Extrême-Nord"/>
    <s v="CMR004005"/>
    <s v="Mayo-Sava"/>
    <s v="CMR004005002"/>
    <s v="Mora"/>
  </r>
  <r>
    <s v="Extrême-Nord"/>
    <s v="CMR004"/>
    <x v="4"/>
    <s v="CMR004005"/>
    <x v="17"/>
    <s v="CMR004005002"/>
    <s v="MOR-0072"/>
    <s v="WARBA"/>
    <m/>
    <x v="0"/>
    <s v="Janvier - Aout 2022"/>
    <n v="0"/>
    <n v="25"/>
    <x v="0"/>
    <m/>
    <s v="Même arrondissement"/>
    <s v="CMR"/>
    <s v="Cameroun"/>
    <s v="CMR004"/>
    <s v="Extrême-Nord"/>
    <s v="CMR004005"/>
    <s v="Mayo-Sava"/>
    <s v="CMR004005002"/>
    <s v="Mora"/>
  </r>
  <r>
    <s v="Extrême-Nord"/>
    <s v="CMR004"/>
    <x v="4"/>
    <s v="CMR004005"/>
    <x v="17"/>
    <s v="CMR004005002"/>
    <s v="MOR-0072"/>
    <s v="WARBA"/>
    <m/>
    <x v="0"/>
    <s v="Septembre 2022 – Février 2023"/>
    <n v="5"/>
    <n v="37"/>
    <x v="0"/>
    <m/>
    <s v="Même arrondissement"/>
    <s v="CMR"/>
    <s v="Cameroun"/>
    <s v="CMR004"/>
    <s v="Extrême-Nord"/>
    <s v="CMR004005"/>
    <s v="Mayo-Sava"/>
    <s v="CMR004005002"/>
    <s v="Mora"/>
  </r>
  <r>
    <s v="Extrême-Nord"/>
    <s v="CMR004"/>
    <x v="4"/>
    <s v="CMR004005"/>
    <x v="17"/>
    <s v="CMR004005002"/>
    <s v="MOR-0010"/>
    <s v="KOURGUI"/>
    <m/>
    <x v="0"/>
    <s v="Avant 2020"/>
    <n v="377"/>
    <n v="1755"/>
    <x v="0"/>
    <m/>
    <s v="Même arrondissement"/>
    <s v="CMR"/>
    <s v="Cameroun"/>
    <s v="CMR004"/>
    <s v="Extrême-Nord"/>
    <s v="CMR004005"/>
    <s v="Mayo-Sava"/>
    <s v="CMR004005002"/>
    <s v="Mora"/>
  </r>
  <r>
    <s v="Extrême-Nord"/>
    <s v="CMR004"/>
    <x v="4"/>
    <s v="CMR004005"/>
    <x v="17"/>
    <s v="CMR004005002"/>
    <s v="MOR-0010"/>
    <s v="KOURGUI"/>
    <m/>
    <x v="0"/>
    <s v="En 2020"/>
    <n v="108"/>
    <n v="635"/>
    <x v="0"/>
    <m/>
    <s v="Même arrondissement"/>
    <s v="CMR"/>
    <s v="Cameroun"/>
    <s v="CMR004"/>
    <s v="Extrême-Nord"/>
    <s v="CMR004005"/>
    <s v="Mayo-Sava"/>
    <s v="CMR004005002"/>
    <s v="Mora"/>
  </r>
  <r>
    <s v="Extrême-Nord"/>
    <s v="CMR004"/>
    <x v="4"/>
    <s v="CMR004005"/>
    <x v="17"/>
    <s v="CMR004005002"/>
    <s v="MOR-0010"/>
    <s v="KOURGUI"/>
    <m/>
    <x v="0"/>
    <s v="En 2021"/>
    <n v="118"/>
    <n v="733"/>
    <x v="0"/>
    <m/>
    <s v="Même arrondissement"/>
    <s v="CMR"/>
    <s v="Cameroun"/>
    <s v="CMR004"/>
    <s v="Extrême-Nord"/>
    <s v="CMR004005"/>
    <s v="Mayo-Sava"/>
    <s v="CMR004005002"/>
    <s v="Mora"/>
  </r>
  <r>
    <s v="Extrême-Nord"/>
    <s v="CMR004"/>
    <x v="4"/>
    <s v="CMR004005"/>
    <x v="17"/>
    <s v="CMR004005002"/>
    <s v="MOR-0010"/>
    <s v="KOURGUI"/>
    <m/>
    <x v="0"/>
    <s v="Janvier - Aout 2022"/>
    <n v="35"/>
    <n v="333"/>
    <x v="0"/>
    <m/>
    <s v="Même arrondissement"/>
    <s v="CMR"/>
    <s v="Cameroun"/>
    <s v="CMR004"/>
    <s v="Extrême-Nord"/>
    <s v="CMR004005"/>
    <s v="Mayo-Sava"/>
    <s v="CMR004005002"/>
    <s v="Mora"/>
  </r>
  <r>
    <s v="Extrême-Nord"/>
    <s v="CMR004"/>
    <x v="4"/>
    <s v="CMR004005"/>
    <x v="17"/>
    <s v="CMR004005002"/>
    <s v="MOR-0010"/>
    <s v="KOURGUI"/>
    <m/>
    <x v="0"/>
    <s v="Septembre 2022 – Février 2023"/>
    <n v="1"/>
    <n v="25"/>
    <x v="0"/>
    <m/>
    <s v="Même arrondissement"/>
    <s v="CMR"/>
    <s v="Cameroun"/>
    <s v="CMR004"/>
    <s v="Extrême-Nord"/>
    <s v="CMR004005"/>
    <s v="Mayo-Sava"/>
    <s v="CMR004005002"/>
    <s v="Mora"/>
  </r>
  <r>
    <s v="Extrême-Nord"/>
    <s v="CMR004"/>
    <x v="4"/>
    <s v="CMR004005"/>
    <x v="17"/>
    <s v="CMR004005002"/>
    <s v="MOR-0020"/>
    <s v="WALADE 2"/>
    <m/>
    <x v="0"/>
    <s v="Avant 2020"/>
    <n v="62"/>
    <n v="472"/>
    <x v="0"/>
    <m/>
    <s v="Même arrondissement"/>
    <s v="CMR"/>
    <s v="Cameroun"/>
    <s v="CMR004"/>
    <s v="Extrême-Nord"/>
    <s v="CMR004005"/>
    <s v="Mayo-Sava"/>
    <s v="CMR004005002"/>
    <s v="Mora"/>
  </r>
  <r>
    <s v="Extrême-Nord"/>
    <s v="CMR004"/>
    <x v="4"/>
    <s v="CMR004005"/>
    <x v="17"/>
    <s v="CMR004005002"/>
    <s v="MOR-0020"/>
    <s v="WALADE 2"/>
    <m/>
    <x v="0"/>
    <s v="En 2020"/>
    <n v="30"/>
    <n v="116"/>
    <x v="0"/>
    <m/>
    <s v="Même arrondissement"/>
    <s v="CMR"/>
    <s v="Cameroun"/>
    <s v="CMR004"/>
    <s v="Extrême-Nord"/>
    <s v="CMR004005"/>
    <s v="Mayo-Sava"/>
    <s v="CMR004005002"/>
    <s v="Mora"/>
  </r>
  <r>
    <s v="Extrême-Nord"/>
    <s v="CMR004"/>
    <x v="4"/>
    <s v="CMR004005"/>
    <x v="17"/>
    <s v="CMR004005002"/>
    <s v="MOR-0020"/>
    <s v="WALADE 2"/>
    <m/>
    <x v="0"/>
    <s v="En 2021"/>
    <n v="5"/>
    <n v="20"/>
    <x v="0"/>
    <m/>
    <s v="Même arrondissement"/>
    <s v="CMR"/>
    <s v="Cameroun"/>
    <s v="CMR004"/>
    <s v="Extrême-Nord"/>
    <s v="CMR004005"/>
    <s v="Mayo-Sava"/>
    <s v="CMR004005002"/>
    <s v="Mora"/>
  </r>
  <r>
    <s v="Extrême-Nord"/>
    <s v="CMR004"/>
    <x v="4"/>
    <s v="CMR004005"/>
    <x v="17"/>
    <s v="CMR004005002"/>
    <s v="MOR-0020"/>
    <s v="WALADE 2"/>
    <m/>
    <x v="0"/>
    <s v="Janvier - Aout 2022"/>
    <n v="20"/>
    <n v="147"/>
    <x v="0"/>
    <m/>
    <s v="Même arrondissement"/>
    <s v="CMR"/>
    <s v="Cameroun"/>
    <s v="CMR004"/>
    <s v="Extrême-Nord"/>
    <s v="CMR004005"/>
    <s v="Mayo-Sava"/>
    <s v="CMR004005002"/>
    <s v="Mora"/>
  </r>
  <r>
    <s v="Extrême-Nord"/>
    <s v="CMR004"/>
    <x v="4"/>
    <s v="CMR004005"/>
    <x v="17"/>
    <s v="CMR004005002"/>
    <s v="MOR-0020"/>
    <s v="WALADE 2"/>
    <m/>
    <x v="0"/>
    <s v="Septembre 2022 – Février 2023"/>
    <n v="5"/>
    <n v="21"/>
    <x v="0"/>
    <m/>
    <s v="Même arrondissement"/>
    <s v="CMR"/>
    <s v="Cameroun"/>
    <s v="CMR004"/>
    <s v="Extrême-Nord"/>
    <s v="CMR004005"/>
    <s v="Mayo-Sava"/>
    <s v="CMR004005002"/>
    <s v="Mora"/>
  </r>
  <r>
    <s v="Extrême-Nord"/>
    <s v="CMR004"/>
    <x v="4"/>
    <s v="CMR004005"/>
    <x v="17"/>
    <s v="CMR004005002"/>
    <s v="MOR-0036"/>
    <s v="BOUDOUA"/>
    <m/>
    <x v="0"/>
    <s v="En 2020"/>
    <n v="3"/>
    <n v="7"/>
    <x v="0"/>
    <m/>
    <s v="Même arrondissement"/>
    <s v="CMR"/>
    <s v="Cameroun"/>
    <s v="CMR004"/>
    <s v="Extrême-Nord"/>
    <s v="CMR004005"/>
    <s v="Mayo-Sava"/>
    <s v="CMR004005002"/>
    <s v="Mora"/>
  </r>
  <r>
    <s v="Extrême-Nord"/>
    <s v="CMR004"/>
    <x v="4"/>
    <s v="CMR004005"/>
    <x v="17"/>
    <s v="CMR004005002"/>
    <s v="MOR-0036"/>
    <s v="BOUDOUA"/>
    <m/>
    <x v="0"/>
    <s v="Septembre 2022 – Février 2023"/>
    <n v="0"/>
    <n v="14"/>
    <x v="0"/>
    <m/>
    <s v="Même arrondissement"/>
    <s v="CMR"/>
    <s v="Cameroun"/>
    <s v="CMR004"/>
    <s v="Extrême-Nord"/>
    <s v="CMR004005"/>
    <s v="Mayo-Sava"/>
    <s v="CMR004005002"/>
    <s v="Mora"/>
  </r>
  <r>
    <s v="Extrême-Nord"/>
    <s v="CMR004"/>
    <x v="4"/>
    <s v="CMR004005"/>
    <x v="17"/>
    <s v="CMR004005002"/>
    <s v="MOR-0063"/>
    <s v="JILVE"/>
    <m/>
    <x v="0"/>
    <s v="Avant 2020"/>
    <n v="7"/>
    <n v="44"/>
    <x v="0"/>
    <m/>
    <s v="Même arrondissement"/>
    <s v="CMR"/>
    <s v="Cameroun"/>
    <s v="CMR004"/>
    <s v="Extrême-Nord"/>
    <s v="CMR004005"/>
    <s v="Mayo-Sava"/>
    <s v="CMR004005002"/>
    <s v="Mora"/>
  </r>
  <r>
    <s v="Extrême-Nord"/>
    <s v="CMR004"/>
    <x v="4"/>
    <s v="CMR004005"/>
    <x v="17"/>
    <s v="CMR004005002"/>
    <s v="MOR-0063"/>
    <s v="JILVE"/>
    <m/>
    <x v="0"/>
    <s v="En 2020"/>
    <n v="1"/>
    <n v="3"/>
    <x v="0"/>
    <m/>
    <s v="Même arrondissement"/>
    <s v="CMR"/>
    <s v="Cameroun"/>
    <s v="CMR004"/>
    <s v="Extrême-Nord"/>
    <s v="CMR004005"/>
    <s v="Mayo-Sava"/>
    <s v="CMR004005002"/>
    <s v="Mora"/>
  </r>
  <r>
    <s v="Extrême-Nord"/>
    <s v="CMR004"/>
    <x v="4"/>
    <s v="CMR004005"/>
    <x v="17"/>
    <s v="CMR004005002"/>
    <s v="MOR-0063"/>
    <s v="JILVE"/>
    <m/>
    <x v="0"/>
    <s v="En 2021"/>
    <n v="0"/>
    <n v="37"/>
    <x v="0"/>
    <m/>
    <s v="Même arrondissement"/>
    <s v="CMR"/>
    <s v="Cameroun"/>
    <s v="CMR004"/>
    <s v="Extrême-Nord"/>
    <s v="CMR004005"/>
    <s v="Mayo-Sava"/>
    <s v="CMR004005002"/>
    <s v="Mora"/>
  </r>
  <r>
    <s v="Extrême-Nord"/>
    <s v="CMR004"/>
    <x v="4"/>
    <s v="CMR004005"/>
    <x v="17"/>
    <s v="CMR004005002"/>
    <s v="MOR-0063"/>
    <s v="JILVE"/>
    <m/>
    <x v="0"/>
    <s v="Janvier - Aout 2022"/>
    <n v="0"/>
    <n v="10"/>
    <x v="0"/>
    <m/>
    <s v="Même arrondissement"/>
    <s v="CMR"/>
    <s v="Cameroun"/>
    <s v="CMR004"/>
    <s v="Extrême-Nord"/>
    <s v="CMR004005"/>
    <s v="Mayo-Sava"/>
    <s v="CMR004005002"/>
    <s v="Mora"/>
  </r>
  <r>
    <s v="Extrême-Nord"/>
    <s v="CMR004"/>
    <x v="4"/>
    <s v="CMR004005"/>
    <x v="17"/>
    <s v="CMR004005002"/>
    <s v="MOR-0063"/>
    <s v="JILVE"/>
    <m/>
    <x v="0"/>
    <s v="Septembre 2022 – Février 2023"/>
    <n v="0"/>
    <n v="15"/>
    <x v="0"/>
    <m/>
    <s v="Même arrondissement"/>
    <s v="CMR"/>
    <s v="Cameroun"/>
    <s v="CMR004"/>
    <s v="Extrême-Nord"/>
    <s v="CMR004005"/>
    <s v="Mayo-Sava"/>
    <s v="CMR004005002"/>
    <s v="Mora"/>
  </r>
  <r>
    <s v="Extrême-Nord"/>
    <s v="CMR004"/>
    <x v="4"/>
    <s v="CMR004005"/>
    <x v="17"/>
    <s v="CMR004005002"/>
    <s v="MOR-0002"/>
    <s v="BALDAMA"/>
    <m/>
    <x v="0"/>
    <s v="Avant 2020"/>
    <n v="41"/>
    <n v="185"/>
    <x v="0"/>
    <m/>
    <s v="Même arrondissement"/>
    <s v="CMR"/>
    <s v="Cameroun"/>
    <s v="CMR004"/>
    <s v="Extrême-Nord"/>
    <s v="CMR004005"/>
    <s v="Mayo-Sava"/>
    <s v="CMR004005002"/>
    <s v="Mora"/>
  </r>
  <r>
    <s v="Extrême-Nord"/>
    <s v="CMR004"/>
    <x v="4"/>
    <s v="CMR004005"/>
    <x v="17"/>
    <s v="CMR004005002"/>
    <s v="MOR-0002"/>
    <s v="BALDAMA"/>
    <m/>
    <x v="0"/>
    <s v="En 2020"/>
    <n v="20"/>
    <n v="109"/>
    <x v="0"/>
    <m/>
    <s v="Même arrondissement"/>
    <s v="CMR"/>
    <s v="Cameroun"/>
    <s v="CMR004"/>
    <s v="Extrême-Nord"/>
    <s v="CMR004005"/>
    <s v="Mayo-Sava"/>
    <s v="CMR004005002"/>
    <s v="Mora"/>
  </r>
  <r>
    <s v="Extrême-Nord"/>
    <s v="CMR004"/>
    <x v="4"/>
    <s v="CMR004005"/>
    <x v="17"/>
    <s v="CMR004005002"/>
    <s v="MOR-0002"/>
    <s v="BALDAMA"/>
    <m/>
    <x v="0"/>
    <s v="En 2021"/>
    <n v="3"/>
    <n v="37"/>
    <x v="0"/>
    <m/>
    <s v="Même arrondissement"/>
    <s v="CMR"/>
    <s v="Cameroun"/>
    <s v="CMR004"/>
    <s v="Extrême-Nord"/>
    <s v="CMR004005"/>
    <s v="Mayo-Sava"/>
    <s v="CMR004005002"/>
    <s v="Mora"/>
  </r>
  <r>
    <s v="Extrême-Nord"/>
    <s v="CMR004"/>
    <x v="4"/>
    <s v="CMR004005"/>
    <x v="17"/>
    <s v="CMR004005002"/>
    <s v="MOR-0002"/>
    <s v="BALDAMA"/>
    <m/>
    <x v="0"/>
    <s v="Janvier - Aout 2022"/>
    <n v="6"/>
    <n v="34"/>
    <x v="0"/>
    <m/>
    <s v="Même arrondissement"/>
    <s v="CMR"/>
    <s v="Cameroun"/>
    <s v="CMR004"/>
    <s v="Extrême-Nord"/>
    <s v="CMR004005"/>
    <s v="Mayo-Sava"/>
    <s v="CMR004005002"/>
    <s v="Mora"/>
  </r>
  <r>
    <s v="Extrême-Nord"/>
    <s v="CMR004"/>
    <x v="4"/>
    <s v="CMR004005"/>
    <x v="17"/>
    <s v="CMR004005002"/>
    <s v="MOR-0002"/>
    <s v="BALDAMA"/>
    <m/>
    <x v="0"/>
    <s v="Septembre 2022 – Février 2023"/>
    <n v="0"/>
    <n v="3"/>
    <x v="0"/>
    <m/>
    <s v="Même arrondissement"/>
    <s v="CMR"/>
    <s v="Cameroun"/>
    <s v="CMR004"/>
    <s v="Extrême-Nord"/>
    <s v="CMR004005"/>
    <s v="Mayo-Sava"/>
    <s v="CMR004005002"/>
    <s v="Mora"/>
  </r>
  <r>
    <s v="Extrême-Nord"/>
    <s v="CMR004"/>
    <x v="4"/>
    <s v="CMR004005"/>
    <x v="17"/>
    <s v="CMR004005002"/>
    <s v="MOR-0007"/>
    <s v="GODIGONG"/>
    <m/>
    <x v="0"/>
    <s v="Avant 2020"/>
    <n v="37"/>
    <n v="166"/>
    <x v="0"/>
    <m/>
    <s v="Même arrondissement"/>
    <s v="CMR"/>
    <s v="Cameroun"/>
    <s v="CMR004"/>
    <s v="Extrême-Nord"/>
    <s v="CMR004005"/>
    <s v="Mayo-Sava"/>
    <s v="CMR004005002"/>
    <s v="Mora"/>
  </r>
  <r>
    <s v="Extrême-Nord"/>
    <s v="CMR004"/>
    <x v="4"/>
    <s v="CMR004005"/>
    <x v="17"/>
    <s v="CMR004005002"/>
    <s v="MOR-0007"/>
    <s v="GODIGONG"/>
    <m/>
    <x v="0"/>
    <s v="En 2020"/>
    <n v="83"/>
    <n v="427"/>
    <x v="0"/>
    <m/>
    <s v="Même arrondissement"/>
    <s v="CMR"/>
    <s v="Cameroun"/>
    <s v="CMR004"/>
    <s v="Extrême-Nord"/>
    <s v="CMR004005"/>
    <s v="Mayo-Sava"/>
    <s v="CMR004005002"/>
    <s v="Mora"/>
  </r>
  <r>
    <s v="Extrême-Nord"/>
    <s v="CMR004"/>
    <x v="4"/>
    <s v="CMR004005"/>
    <x v="17"/>
    <s v="CMR004005002"/>
    <s v="MOR-0007"/>
    <s v="GODIGONG"/>
    <m/>
    <x v="0"/>
    <s v="En 2021"/>
    <n v="15"/>
    <n v="114"/>
    <x v="0"/>
    <m/>
    <s v="Même arrondissement"/>
    <s v="CMR"/>
    <s v="Cameroun"/>
    <s v="CMR004"/>
    <s v="Extrême-Nord"/>
    <s v="CMR004005"/>
    <s v="Mayo-Sava"/>
    <s v="CMR004005002"/>
    <s v="Mora"/>
  </r>
  <r>
    <s v="Extrême-Nord"/>
    <s v="CMR004"/>
    <x v="4"/>
    <s v="CMR004005"/>
    <x v="17"/>
    <s v="CMR004005002"/>
    <s v="MOR-0007"/>
    <s v="GODIGONG"/>
    <m/>
    <x v="0"/>
    <s v="Janvier - Aout 2022"/>
    <n v="12"/>
    <n v="75"/>
    <x v="0"/>
    <m/>
    <s v="Même arrondissement"/>
    <s v="CMR"/>
    <s v="Cameroun"/>
    <s v="CMR004"/>
    <s v="Extrême-Nord"/>
    <s v="CMR004005"/>
    <s v="Mayo-Sava"/>
    <s v="CMR004005002"/>
    <s v="Mora"/>
  </r>
  <r>
    <s v="Extrême-Nord"/>
    <s v="CMR004"/>
    <x v="4"/>
    <s v="CMR004005"/>
    <x v="17"/>
    <s v="CMR004005002"/>
    <s v="MOR-0007"/>
    <s v="GODIGONG"/>
    <m/>
    <x v="0"/>
    <s v="Septembre 2022 – Février 2023"/>
    <n v="17"/>
    <n v="61"/>
    <x v="0"/>
    <m/>
    <s v="Même arrondissement"/>
    <s v="CMR"/>
    <s v="Cameroun"/>
    <s v="CMR004"/>
    <s v="Extrême-Nord"/>
    <s v="CMR004005"/>
    <s v="Mayo-Sava"/>
    <s v="CMR004005002"/>
    <s v="Mora"/>
  </r>
  <r>
    <s v="Extrême-Nord"/>
    <s v="CMR004"/>
    <x v="4"/>
    <s v="CMR004005"/>
    <x v="17"/>
    <s v="CMR004005002"/>
    <s v="MOR-0024"/>
    <s v="JAJA"/>
    <m/>
    <x v="0"/>
    <s v="Avant 2020"/>
    <n v="240"/>
    <n v="282"/>
    <x v="0"/>
    <m/>
    <s v="Même arrondissement"/>
    <s v="CMR"/>
    <s v="Cameroun"/>
    <s v="CMR004"/>
    <s v="Extrême-Nord"/>
    <s v="CMR004005"/>
    <s v="Mayo-Sava"/>
    <s v="CMR004005002"/>
    <s v="Mora"/>
  </r>
  <r>
    <s v="Extrême-Nord"/>
    <s v="CMR004"/>
    <x v="4"/>
    <s v="CMR004005"/>
    <x v="17"/>
    <s v="CMR004005002"/>
    <s v="MOR-0024"/>
    <s v="JAJA"/>
    <m/>
    <x v="0"/>
    <s v="En 2020"/>
    <n v="20"/>
    <n v="151"/>
    <x v="0"/>
    <m/>
    <s v="Même arrondissement"/>
    <s v="CMR"/>
    <s v="Cameroun"/>
    <s v="CMR004"/>
    <s v="Extrême-Nord"/>
    <s v="CMR004005"/>
    <s v="Mayo-Sava"/>
    <s v="CMR004005002"/>
    <s v="Mora"/>
  </r>
  <r>
    <s v="Extrême-Nord"/>
    <s v="CMR004"/>
    <x v="4"/>
    <s v="CMR004005"/>
    <x v="17"/>
    <s v="CMR004005002"/>
    <s v="MOR-0024"/>
    <s v="JAJA"/>
    <m/>
    <x v="0"/>
    <s v="En 2021"/>
    <n v="20"/>
    <n v="100"/>
    <x v="0"/>
    <m/>
    <s v="Même arrondissement"/>
    <s v="CMR"/>
    <s v="Cameroun"/>
    <s v="CMR004"/>
    <s v="Extrême-Nord"/>
    <s v="CMR004005"/>
    <s v="Mayo-Sava"/>
    <s v="CMR004005002"/>
    <s v="Mora"/>
  </r>
  <r>
    <s v="Extrême-Nord"/>
    <s v="CMR004"/>
    <x v="4"/>
    <s v="CMR004005"/>
    <x v="17"/>
    <s v="CMR004005002"/>
    <s v="MOR-0024"/>
    <s v="JAJA"/>
    <m/>
    <x v="0"/>
    <s v="Janvier - Aout 2022"/>
    <n v="28"/>
    <n v="160"/>
    <x v="0"/>
    <m/>
    <s v="Même arrondissement"/>
    <s v="CMR"/>
    <s v="Cameroun"/>
    <s v="CMR004"/>
    <s v="Extrême-Nord"/>
    <s v="CMR004005"/>
    <s v="Mayo-Sava"/>
    <s v="CMR004005002"/>
    <s v="Mora"/>
  </r>
  <r>
    <s v="Extrême-Nord"/>
    <s v="CMR004"/>
    <x v="4"/>
    <s v="CMR004005"/>
    <x v="17"/>
    <s v="CMR004005002"/>
    <s v="MOR-0024"/>
    <s v="JAJA"/>
    <m/>
    <x v="0"/>
    <s v="Septembre 2022 – Février 2023"/>
    <n v="0"/>
    <n v="3"/>
    <x v="0"/>
    <m/>
    <s v="Même arrondissement"/>
    <s v="CMR"/>
    <s v="Cameroun"/>
    <s v="CMR004"/>
    <s v="Extrême-Nord"/>
    <s v="CMR004005"/>
    <s v="Mayo-Sava"/>
    <s v="CMR004005002"/>
    <s v="Mora"/>
  </r>
  <r>
    <s v="Extrême-Nord"/>
    <s v="CMR004"/>
    <x v="2"/>
    <s v="CMR004002"/>
    <x v="8"/>
    <s v="CMR004002009"/>
    <s v="MAK-0065"/>
    <s v="MASSIO"/>
    <m/>
    <x v="0"/>
    <s v="En 2020"/>
    <n v="47"/>
    <n v="440"/>
    <x v="0"/>
    <m/>
    <s v="Même arrondissement"/>
    <s v="CMR"/>
    <s v="Cameroun"/>
    <s v="CMR004"/>
    <s v="Extrême-Nord"/>
    <s v="CMR004002"/>
    <s v="Logone-Et-Chari"/>
    <s v="CMR004002009"/>
    <s v="Makary"/>
  </r>
  <r>
    <s v="Extrême-Nord"/>
    <s v="CMR004"/>
    <x v="2"/>
    <s v="CMR004002"/>
    <x v="25"/>
    <s v="CMR004002008"/>
    <s v="FOT-0001"/>
    <s v="AMTCHOUKOULI"/>
    <m/>
    <x v="0"/>
    <s v="Avant 2020"/>
    <n v="22"/>
    <n v="158"/>
    <x v="0"/>
    <m/>
    <s v="Même arrondissement"/>
    <s v="CMR"/>
    <s v="Cameroun"/>
    <s v="CMR004"/>
    <s v="Extrême-Nord"/>
    <s v="CMR004002"/>
    <s v="Logone-Et-Chari"/>
    <s v="CMR004002008"/>
    <s v="Fotokol"/>
  </r>
  <r>
    <s v="Extrême-Nord"/>
    <s v="CMR004"/>
    <x v="2"/>
    <s v="CMR004002"/>
    <x v="15"/>
    <s v="CMR004002004"/>
    <s v="LBI-0034"/>
    <s v="NGOYKOKA"/>
    <m/>
    <x v="0"/>
    <s v="Avant 2020"/>
    <n v="15"/>
    <n v="31"/>
    <x v="0"/>
    <m/>
    <s v="Même arrondissement"/>
    <s v="CMR"/>
    <s v="Cameroun"/>
    <s v="CMR004"/>
    <s v="Extrême-Nord"/>
    <s v="CMR004002"/>
    <s v="Logone-Et-Chari"/>
    <s v="CMR004002004"/>
    <s v="Logone-Birni"/>
  </r>
  <r>
    <s v="Extrême-Nord"/>
    <s v="CMR004"/>
    <x v="2"/>
    <s v="CMR004002"/>
    <x v="15"/>
    <s v="CMR004002004"/>
    <s v="LBI-0014"/>
    <s v="SITE DE MOULADOCK"/>
    <m/>
    <x v="0"/>
    <s v="Avant 2020"/>
    <n v="31"/>
    <n v="207"/>
    <x v="0"/>
    <m/>
    <s v="Même arrondissement"/>
    <s v="CMR"/>
    <s v="Cameroun"/>
    <s v="CMR004"/>
    <s v="Extrême-Nord"/>
    <s v="CMR004002"/>
    <s v="Logone-Et-Chari"/>
    <s v="CMR004002004"/>
    <s v="Logone-Birni"/>
  </r>
  <r>
    <s v="Extrême-Nord"/>
    <s v="CMR004"/>
    <x v="2"/>
    <s v="CMR004002"/>
    <x v="12"/>
    <s v="CMR004002002"/>
    <s v="GOU-0004"/>
    <s v="ZALAT DORO-ROYA"/>
    <m/>
    <x v="0"/>
    <s v="Avant 2020"/>
    <n v="5"/>
    <n v="35"/>
    <x v="0"/>
    <m/>
    <s v="Même département, autre arrondissement"/>
    <s v="CMR"/>
    <s v="Cameroun"/>
    <s v="CMR004"/>
    <s v="Extrême-Nord"/>
    <s v="CMR004002"/>
    <s v="Logone-Et-Chari"/>
    <s v="CMR004002008"/>
    <s v="Fotokol"/>
  </r>
  <r>
    <s v="Extrême-Nord"/>
    <s v="CMR004"/>
    <x v="2"/>
    <s v="CMR004002"/>
    <x v="12"/>
    <s v="CMR004002002"/>
    <s v="GOU-0029"/>
    <s v="MARAFAINE"/>
    <m/>
    <x v="0"/>
    <s v="Avant 2020"/>
    <n v="3"/>
    <n v="15"/>
    <x v="0"/>
    <m/>
    <s v="Même département, autre arrondissement"/>
    <s v="CMR"/>
    <s v="Cameroun"/>
    <s v="CMR004"/>
    <s v="Extrême-Nord"/>
    <s v="CMR004002"/>
    <s v="Logone-Et-Chari"/>
    <s v="CMR004002008"/>
    <s v="Fotokol"/>
  </r>
  <r>
    <s v="Extrême-Nord"/>
    <s v="CMR004"/>
    <x v="4"/>
    <s v="CMR004005"/>
    <x v="19"/>
    <s v="CMR004005001"/>
    <s v="KOL-0012"/>
    <s v="GOUZOUDOU"/>
    <m/>
    <x v="0"/>
    <s v="En 2020"/>
    <n v="43"/>
    <n v="374"/>
    <x v="0"/>
    <m/>
    <s v="Même arrondissement"/>
    <s v="CMR"/>
    <s v="Cameroun"/>
    <s v="CMR004"/>
    <s v="Extrême-Nord"/>
    <s v="CMR004005"/>
    <s v="Mayo-Sava"/>
    <s v="CMR004005001"/>
    <s v="Kolofata"/>
  </r>
  <r>
    <s v="Extrême-Nord"/>
    <s v="CMR004"/>
    <x v="4"/>
    <s v="CMR004005"/>
    <x v="19"/>
    <s v="CMR004005001"/>
    <s v="KOL-0012"/>
    <s v="GOUZOUDOU"/>
    <m/>
    <x v="0"/>
    <s v="En 2021"/>
    <n v="7"/>
    <n v="79"/>
    <x v="0"/>
    <m/>
    <s v="Même arrondissement"/>
    <s v="CMR"/>
    <s v="Cameroun"/>
    <s v="CMR004"/>
    <s v="Extrême-Nord"/>
    <s v="CMR004005"/>
    <s v="Mayo-Sava"/>
    <s v="CMR004005001"/>
    <s v="Kolofata"/>
  </r>
  <r>
    <s v="Extrême-Nord"/>
    <s v="CMR004"/>
    <x v="4"/>
    <s v="CMR004005"/>
    <x v="19"/>
    <s v="CMR004005001"/>
    <s v="KOL-0012"/>
    <s v="GOUZOUDOU"/>
    <m/>
    <x v="0"/>
    <s v="Janvier - Aout 2022"/>
    <n v="0"/>
    <n v="30"/>
    <x v="0"/>
    <m/>
    <s v="Même arrondissement"/>
    <s v="CMR"/>
    <s v="Cameroun"/>
    <s v="CMR004"/>
    <s v="Extrême-Nord"/>
    <s v="CMR004005"/>
    <s v="Mayo-Sava"/>
    <s v="CMR004005001"/>
    <s v="Kolofata"/>
  </r>
  <r>
    <s v="Extrême-Nord"/>
    <s v="CMR004"/>
    <x v="4"/>
    <s v="CMR004005"/>
    <x v="19"/>
    <s v="CMR004005001"/>
    <s v="KOL-0012"/>
    <s v="GOUZOUDOU"/>
    <m/>
    <x v="0"/>
    <s v="Septembre 2022 – Février 2023"/>
    <n v="0"/>
    <n v="3"/>
    <x v="0"/>
    <m/>
    <s v="Même arrondissement"/>
    <s v="CMR"/>
    <s v="Cameroun"/>
    <s v="CMR004"/>
    <s v="Extrême-Nord"/>
    <s v="CMR004005"/>
    <s v="Mayo-Sava"/>
    <s v="CMR004005001"/>
    <s v="Kolofata"/>
  </r>
  <r>
    <s v="Extrême-Nord"/>
    <s v="CMR004"/>
    <x v="4"/>
    <s v="CMR004005"/>
    <x v="19"/>
    <s v="CMR004005001"/>
    <s v="KOL-0012"/>
    <s v="GOUZOUDOU"/>
    <m/>
    <x v="0"/>
    <s v="Avant 2020"/>
    <n v="0"/>
    <n v="27"/>
    <x v="0"/>
    <m/>
    <s v="Même arrondissement"/>
    <s v="CMR"/>
    <s v="Cameroun"/>
    <s v="CMR004"/>
    <s v="Extrême-Nord"/>
    <s v="CMR004005"/>
    <s v="Mayo-Sava"/>
    <s v="CMR004005001"/>
    <s v="Kolofata"/>
  </r>
  <r>
    <s v="Extrême-Nord"/>
    <s v="CMR004"/>
    <x v="2"/>
    <s v="CMR004002"/>
    <x v="15"/>
    <s v="CMR004002004"/>
    <s v="LBI-0023"/>
    <s v="DOUGOUMBRA"/>
    <m/>
    <x v="0"/>
    <s v="Avant 2020"/>
    <n v="22"/>
    <n v="107"/>
    <x v="0"/>
    <m/>
    <s v="Même département, autre arrondissement"/>
    <s v="CMR"/>
    <s v="Cameroun"/>
    <s v="CMR004"/>
    <s v="Extrême-Nord"/>
    <s v="CMR004002"/>
    <s v="Logone-Et-Chari"/>
    <s v="CMR004002001"/>
    <s v="Waza"/>
  </r>
  <r>
    <s v="Extrême-Nord"/>
    <s v="CMR004"/>
    <x v="2"/>
    <s v="CMR004002"/>
    <x v="15"/>
    <s v="CMR004002004"/>
    <s v="LBI-0023"/>
    <s v="DOUGOUMBRA"/>
    <m/>
    <x v="0"/>
    <s v="Janvier - Aout 2022"/>
    <n v="7"/>
    <n v="30"/>
    <x v="1"/>
    <m/>
    <s v="Même département, autre arrondissement"/>
    <s v="CMR"/>
    <s v="Cameroun"/>
    <s v="CMR004"/>
    <s v="Extrême-Nord"/>
    <s v="CMR004002"/>
    <s v="Logone-Et-Chari"/>
    <s v="CMR004002005"/>
    <s v="Zina"/>
  </r>
  <r>
    <s v="Extrême-Nord"/>
    <s v="CMR004"/>
    <x v="2"/>
    <s v="CMR004002"/>
    <x v="15"/>
    <s v="CMR004002004"/>
    <s v="LBI-0025"/>
    <s v="GUESH"/>
    <m/>
    <x v="0"/>
    <s v="Avant 2020"/>
    <n v="17"/>
    <n v="107"/>
    <x v="0"/>
    <m/>
    <s v="Même département, autre arrondissement"/>
    <s v="CMR"/>
    <s v="Cameroun"/>
    <s v="CMR004"/>
    <s v="Extrême-Nord"/>
    <s v="CMR004002"/>
    <s v="Logone-Et-Chari"/>
    <s v="CMR004002001"/>
    <s v="Waza"/>
  </r>
  <r>
    <s v="Extrême-Nord"/>
    <s v="CMR004"/>
    <x v="2"/>
    <s v="CMR004002"/>
    <x v="15"/>
    <s v="CMR004002004"/>
    <s v="LBI-0026"/>
    <s v="HINALE"/>
    <m/>
    <x v="0"/>
    <s v="Avant 2020"/>
    <n v="33"/>
    <n v="209"/>
    <x v="0"/>
    <m/>
    <s v="Même département, autre arrondissement"/>
    <s v="CMR"/>
    <s v="Cameroun"/>
    <s v="CMR004"/>
    <s v="Extrême-Nord"/>
    <s v="CMR004002"/>
    <s v="Logone-Et-Chari"/>
    <s v="CMR004002001"/>
    <s v="Waza"/>
  </r>
  <r>
    <s v="Extrême-Nord"/>
    <s v="CMR004"/>
    <x v="2"/>
    <s v="CMR004002"/>
    <x v="15"/>
    <s v="CMR004002004"/>
    <s v="LBI-0027"/>
    <s v="HOUNANGARE"/>
    <m/>
    <x v="0"/>
    <s v="Avant 2020"/>
    <n v="34"/>
    <n v="139"/>
    <x v="0"/>
    <m/>
    <s v="Même département, autre arrondissement"/>
    <s v="CMR"/>
    <s v="Cameroun"/>
    <s v="CMR004"/>
    <s v="Extrême-Nord"/>
    <s v="CMR004002"/>
    <s v="Logone-Et-Chari"/>
    <s v="CMR004002001"/>
    <s v="Waza"/>
  </r>
  <r>
    <s v="Extrême-Nord"/>
    <s v="CMR004"/>
    <x v="2"/>
    <s v="CMR004002"/>
    <x v="15"/>
    <s v="CMR004002004"/>
    <s v="LBI-0016"/>
    <s v="SAHABA 3"/>
    <m/>
    <x v="0"/>
    <s v="Avant 2020"/>
    <n v="98"/>
    <n v="492"/>
    <x v="0"/>
    <m/>
    <s v="Même arrondissement"/>
    <s v="CMR"/>
    <s v="Cameroun"/>
    <s v="CMR004"/>
    <s v="Extrême-Nord"/>
    <s v="CMR004002"/>
    <s v="Logone-Et-Chari"/>
    <s v="CMR004002004"/>
    <s v="Logone-Birni"/>
  </r>
  <r>
    <s v="Extrême-Nord"/>
    <s v="CMR004"/>
    <x v="2"/>
    <s v="CMR004002"/>
    <x v="15"/>
    <s v="CMR004002004"/>
    <s v="LBI-0032"/>
    <s v="MAHANA"/>
    <m/>
    <x v="0"/>
    <s v="Avant 2020"/>
    <n v="22"/>
    <n v="148"/>
    <x v="0"/>
    <m/>
    <s v="Même département, autre arrondissement"/>
    <s v="CMR"/>
    <s v="Cameroun"/>
    <s v="CMR004"/>
    <s v="Extrême-Nord"/>
    <s v="CMR004002"/>
    <s v="Logone-Et-Chari"/>
    <s v="CMR004002001"/>
    <s v="Waza"/>
  </r>
  <r>
    <s v="Extrême-Nord"/>
    <s v="CMR004"/>
    <x v="2"/>
    <s v="CMR004002"/>
    <x v="15"/>
    <s v="CMR004002004"/>
    <s v="LBI-0037"/>
    <s v="NDJAMENA"/>
    <m/>
    <x v="0"/>
    <s v="Janvier - Aout 2022"/>
    <n v="8"/>
    <n v="39"/>
    <x v="1"/>
    <m/>
    <s v="Même arrondissement"/>
    <s v="CMR"/>
    <s v="Cameroun"/>
    <s v="CMR004"/>
    <s v="Extrême-Nord"/>
    <s v="CMR004002"/>
    <s v="Logone-Et-Chari"/>
    <s v="CMR004002004"/>
    <s v="Logone-Birni"/>
  </r>
  <r>
    <s v="Extrême-Nord"/>
    <s v="CMR004"/>
    <x v="2"/>
    <s v="CMR004002"/>
    <x v="15"/>
    <s v="CMR004002004"/>
    <s v="LBI-0018"/>
    <s v="TRAYA"/>
    <m/>
    <x v="0"/>
    <s v="Avant 2020"/>
    <n v="18"/>
    <n v="142"/>
    <x v="0"/>
    <m/>
    <s v="Même arrondissement"/>
    <s v="CMR"/>
    <s v="Cameroun"/>
    <s v="CMR004"/>
    <s v="Extrême-Nord"/>
    <s v="CMR004002"/>
    <s v="Logone-Et-Chari"/>
    <s v="CMR004002004"/>
    <s v="Logone-Birni"/>
  </r>
  <r>
    <s v="Extrême-Nord"/>
    <s v="CMR004"/>
    <x v="2"/>
    <s v="CMR004002"/>
    <x v="10"/>
    <s v="CMR004002003"/>
    <s v="XXXX"/>
    <s v="SITE DE DINDO"/>
    <s v="SITE DE DINDO"/>
    <x v="0"/>
    <s v="Septembre 2022 – Février 2023"/>
    <n v="29"/>
    <n v="116"/>
    <x v="3"/>
    <m/>
    <s v="Même arrondissement"/>
    <s v="CMR"/>
    <s v="Cameroun"/>
    <s v="CMR004"/>
    <s v="Extrême-Nord"/>
    <s v="CMR004002"/>
    <s v="Logone-Et-Chari"/>
    <s v="CMR004002003"/>
    <s v="Blangoua"/>
  </r>
  <r>
    <s v="Extrême-Nord"/>
    <s v="CMR004"/>
    <x v="4"/>
    <s v="CMR004005"/>
    <x v="19"/>
    <s v="CMR004005001"/>
    <s v="KOL-0003"/>
    <s v="KOLOFATA CENTRE"/>
    <m/>
    <x v="0"/>
    <s v="Avant 2020"/>
    <n v="294"/>
    <n v="1287"/>
    <x v="0"/>
    <m/>
    <s v="Même arrondissement"/>
    <s v="CMR"/>
    <s v="Cameroun"/>
    <s v="CMR004"/>
    <s v="Extrême-Nord"/>
    <s v="CMR004005"/>
    <s v="Mayo-Sava"/>
    <s v="CMR004005001"/>
    <s v="Kolofata"/>
  </r>
  <r>
    <s v="Extrême-Nord"/>
    <s v="CMR004"/>
    <x v="4"/>
    <s v="CMR004005"/>
    <x v="19"/>
    <s v="CMR004005001"/>
    <s v="KOL-0003"/>
    <s v="KOLOFATA CENTRE"/>
    <m/>
    <x v="0"/>
    <s v="En 2020"/>
    <n v="46"/>
    <n v="479"/>
    <x v="0"/>
    <m/>
    <s v="Même arrondissement"/>
    <s v="CMR"/>
    <s v="Cameroun"/>
    <s v="CMR004"/>
    <s v="Extrême-Nord"/>
    <s v="CMR004005"/>
    <s v="Mayo-Sava"/>
    <s v="CMR004005001"/>
    <s v="Kolofata"/>
  </r>
  <r>
    <s v="Extrême-Nord"/>
    <s v="CMR004"/>
    <x v="4"/>
    <s v="CMR004005"/>
    <x v="19"/>
    <s v="CMR004005001"/>
    <s v="KOL-0003"/>
    <s v="KOLOFATA CENTRE"/>
    <m/>
    <x v="0"/>
    <s v="En 2021"/>
    <n v="15"/>
    <n v="120"/>
    <x v="0"/>
    <m/>
    <s v="Même arrondissement"/>
    <s v="CMR"/>
    <s v="Cameroun"/>
    <s v="CMR004"/>
    <s v="Extrême-Nord"/>
    <s v="CMR004005"/>
    <s v="Mayo-Sava"/>
    <s v="CMR004005001"/>
    <s v="Kolofata"/>
  </r>
  <r>
    <s v="Extrême-Nord"/>
    <s v="CMR004"/>
    <x v="4"/>
    <s v="CMR004005"/>
    <x v="19"/>
    <s v="CMR004005001"/>
    <s v="KOL-0003"/>
    <s v="KOLOFATA CENTRE"/>
    <m/>
    <x v="0"/>
    <s v="Janvier - Aout 2022"/>
    <n v="0"/>
    <n v="24"/>
    <x v="0"/>
    <m/>
    <s v="Même arrondissement"/>
    <s v="CMR"/>
    <s v="Cameroun"/>
    <s v="CMR004"/>
    <s v="Extrême-Nord"/>
    <s v="CMR004005"/>
    <s v="Mayo-Sava"/>
    <s v="CMR004005001"/>
    <s v="Kolofata"/>
  </r>
  <r>
    <s v="Extrême-Nord"/>
    <s v="CMR004"/>
    <x v="4"/>
    <s v="CMR004005"/>
    <x v="19"/>
    <s v="CMR004005001"/>
    <s v="KOL-0003"/>
    <s v="KOLOFATA CENTRE"/>
    <m/>
    <x v="0"/>
    <s v="Septembre 2022 – Février 2023"/>
    <n v="8"/>
    <n v="92"/>
    <x v="0"/>
    <m/>
    <s v="Même arrondissement"/>
    <s v="CMR"/>
    <s v="Cameroun"/>
    <s v="CMR004"/>
    <s v="Extrême-Nord"/>
    <s v="CMR004005"/>
    <s v="Mayo-Sava"/>
    <s v="CMR004005001"/>
    <s v="Kolofata"/>
  </r>
  <r>
    <s v="Extrême-Nord"/>
    <s v="CMR004"/>
    <x v="2"/>
    <s v="CMR004002"/>
    <x v="25"/>
    <s v="CMR004002008"/>
    <s v="FOT-0021"/>
    <s v="NIGUE"/>
    <m/>
    <x v="0"/>
    <s v="Avant 2020"/>
    <n v="150"/>
    <n v="450"/>
    <x v="0"/>
    <m/>
    <s v="Même arrondissement"/>
    <s v="CMR"/>
    <s v="Cameroun"/>
    <s v="CMR004"/>
    <s v="Extrême-Nord"/>
    <s v="CMR004002"/>
    <s v="Logone-Et-Chari"/>
    <s v="CMR004002008"/>
    <s v="Fotokol"/>
  </r>
  <r>
    <s v="Extrême-Nord"/>
    <s v="CMR004"/>
    <x v="2"/>
    <s v="CMR004002"/>
    <x v="25"/>
    <s v="CMR004002008"/>
    <s v="FOT-0032"/>
    <s v="NGANAWAI"/>
    <m/>
    <x v="0"/>
    <s v="Avant 2020"/>
    <n v="7"/>
    <n v="50"/>
    <x v="0"/>
    <m/>
    <s v="Même arrondissement"/>
    <s v="CMR"/>
    <s v="Cameroun"/>
    <s v="CMR004"/>
    <s v="Extrême-Nord"/>
    <s v="CMR004002"/>
    <s v="Logone-Et-Chari"/>
    <s v="CMR004002008"/>
    <s v="Fotokol"/>
  </r>
  <r>
    <s v="Extrême-Nord"/>
    <s v="CMR004"/>
    <x v="2"/>
    <s v="CMR004002"/>
    <x v="25"/>
    <s v="CMR004002008"/>
    <s v="FOT-0030"/>
    <s v="ROUNDE"/>
    <m/>
    <x v="0"/>
    <s v="Avant 2020"/>
    <n v="40"/>
    <n v="85"/>
    <x v="0"/>
    <m/>
    <s v="Même arrondissement"/>
    <s v="CMR"/>
    <s v="Cameroun"/>
    <s v="CMR004"/>
    <s v="Extrême-Nord"/>
    <s v="CMR004002"/>
    <s v="Logone-Et-Chari"/>
    <s v="CMR004002008"/>
    <s v="Fotokol"/>
  </r>
  <r>
    <s v="Extrême-Nord"/>
    <s v="CMR004"/>
    <x v="2"/>
    <s v="CMR004002"/>
    <x v="25"/>
    <s v="CMR004002008"/>
    <s v="FOT-0023"/>
    <s v="SITE DE GLO KOTOKO"/>
    <m/>
    <x v="0"/>
    <s v="Avant 2020"/>
    <n v="51"/>
    <n v="233"/>
    <x v="0"/>
    <m/>
    <s v="Même arrondissement"/>
    <s v="CMR"/>
    <s v="Cameroun"/>
    <s v="CMR004"/>
    <s v="Extrême-Nord"/>
    <s v="CMR004002"/>
    <s v="Logone-Et-Chari"/>
    <s v="CMR004002008"/>
    <s v="Fotokol"/>
  </r>
  <r>
    <s v="Extrême-Nord"/>
    <s v="CMR004"/>
    <x v="2"/>
    <s v="CMR004002"/>
    <x v="12"/>
    <s v="CMR004002002"/>
    <s v="GOU-0058"/>
    <s v="ANFARA6 (HILELE)"/>
    <m/>
    <x v="0"/>
    <s v="Avant 2020"/>
    <n v="1"/>
    <n v="2"/>
    <x v="0"/>
    <m/>
    <s v="Même arrondissement"/>
    <s v="CMR"/>
    <s v="Cameroun"/>
    <s v="CMR004"/>
    <s v="Extrême-Nord"/>
    <s v="CMR004002"/>
    <s v="Logone-Et-Chari"/>
    <s v="CMR004002002"/>
    <s v="Goulfey"/>
  </r>
  <r>
    <s v="Extrême-Nord"/>
    <s v="CMR004"/>
    <x v="2"/>
    <s v="CMR004002"/>
    <x v="12"/>
    <s v="CMR004002002"/>
    <s v="GOU-0032"/>
    <s v="TOUYOUS"/>
    <m/>
    <x v="0"/>
    <s v="Avant 2020"/>
    <n v="10"/>
    <n v="50"/>
    <x v="0"/>
    <m/>
    <s v="Même arrondissement"/>
    <s v="CMR"/>
    <s v="Cameroun"/>
    <s v="CMR004"/>
    <s v="Extrême-Nord"/>
    <s v="CMR004002"/>
    <s v="Logone-Et-Chari"/>
    <s v="CMR004002002"/>
    <s v="Goulfey"/>
  </r>
  <r>
    <s v="Extrême-Nord"/>
    <s v="CMR004"/>
    <x v="2"/>
    <s v="CMR004002"/>
    <x v="12"/>
    <s v="CMR004002002"/>
    <s v="GOU-0033"/>
    <s v="NGOULOU"/>
    <m/>
    <x v="0"/>
    <s v="Avant 2020"/>
    <n v="15"/>
    <n v="60"/>
    <x v="0"/>
    <m/>
    <s v="Même arrondissement"/>
    <s v="CMR"/>
    <s v="Cameroun"/>
    <s v="CMR004"/>
    <s v="Extrême-Nord"/>
    <s v="CMR004002"/>
    <s v="Logone-Et-Chari"/>
    <s v="CMR004002002"/>
    <s v="Goulfey"/>
  </r>
  <r>
    <s v="Extrême-Nord"/>
    <s v="CMR004"/>
    <x v="2"/>
    <s v="CMR004002"/>
    <x v="12"/>
    <s v="CMR004002002"/>
    <s v="GOU-0016"/>
    <s v="MOLODIA"/>
    <m/>
    <x v="0"/>
    <s v="Avant 2020"/>
    <n v="16"/>
    <n v="106"/>
    <x v="0"/>
    <m/>
    <s v="Même arrondissement"/>
    <s v="CMR"/>
    <s v="Cameroun"/>
    <s v="CMR004"/>
    <s v="Extrême-Nord"/>
    <s v="CMR004002"/>
    <s v="Logone-Et-Chari"/>
    <s v="CMR004002002"/>
    <s v="Goulfey"/>
  </r>
  <r>
    <s v="Extrême-Nord"/>
    <s v="CMR004"/>
    <x v="2"/>
    <s v="CMR004002"/>
    <x v="12"/>
    <s v="CMR004002002"/>
    <s v="GOU-0036"/>
    <s v="AMFADENA"/>
    <m/>
    <x v="0"/>
    <s v="Avant 2020"/>
    <n v="11"/>
    <n v="50"/>
    <x v="0"/>
    <m/>
    <s v="Même arrondissement"/>
    <s v="CMR"/>
    <s v="Cameroun"/>
    <s v="CMR004"/>
    <s v="Extrême-Nord"/>
    <s v="CMR004002"/>
    <s v="Logone-Et-Chari"/>
    <s v="CMR004002002"/>
    <s v="Goulfey"/>
  </r>
  <r>
    <s v="Extrême-Nord"/>
    <s v="CMR004"/>
    <x v="2"/>
    <s v="CMR004002"/>
    <x v="12"/>
    <s v="CMR004002002"/>
    <s v="GOU-0038"/>
    <s v="AMBASSANA"/>
    <m/>
    <x v="0"/>
    <s v="Avant 2020"/>
    <n v="10"/>
    <n v="30"/>
    <x v="0"/>
    <m/>
    <s v="Même arrondissement"/>
    <s v="CMR"/>
    <s v="Cameroun"/>
    <s v="CMR004"/>
    <s v="Extrême-Nord"/>
    <s v="CMR004002"/>
    <s v="Logone-Et-Chari"/>
    <s v="CMR004002002"/>
    <s v="Goulfey"/>
  </r>
  <r>
    <s v="Extrême-Nord"/>
    <s v="CMR004"/>
    <x v="2"/>
    <s v="CMR004002"/>
    <x v="12"/>
    <s v="CMR004002002"/>
    <s v="GOU-0039"/>
    <s v="NADJI"/>
    <m/>
    <x v="0"/>
    <s v="Avant 2020"/>
    <n v="22"/>
    <n v="185"/>
    <x v="0"/>
    <m/>
    <s v="Même arrondissement"/>
    <s v="CMR"/>
    <s v="Cameroun"/>
    <s v="CMR004"/>
    <s v="Extrême-Nord"/>
    <s v="CMR004002"/>
    <s v="Logone-Et-Chari"/>
    <s v="CMR004002002"/>
    <s v="Goulfey"/>
  </r>
  <r>
    <s v="Extrême-Nord"/>
    <s v="CMR004"/>
    <x v="2"/>
    <s v="CMR004002"/>
    <x v="12"/>
    <s v="CMR004002002"/>
    <s v="GOU-0034"/>
    <s v="BOUTAL-HADOUM"/>
    <m/>
    <x v="0"/>
    <s v="Avant 2020"/>
    <n v="18"/>
    <n v="50"/>
    <x v="0"/>
    <m/>
    <s v="Même arrondissement"/>
    <s v="CMR"/>
    <s v="Cameroun"/>
    <s v="CMR004"/>
    <s v="Extrême-Nord"/>
    <s v="CMR004002"/>
    <s v="Logone-Et-Chari"/>
    <s v="CMR004002002"/>
    <s v="Goulfey"/>
  </r>
  <r>
    <s v="Extrême-Nord"/>
    <s v="CMR004"/>
    <x v="1"/>
    <s v="CMR004006"/>
    <x v="1"/>
    <s v="CMR004006002"/>
    <s v="MOK-0061"/>
    <s v="SITE DE MOKOLO ( MATAKAM-SUD)"/>
    <m/>
    <x v="0"/>
    <s v="Septembre 2022 – Février 2023"/>
    <n v="25"/>
    <n v="243"/>
    <x v="0"/>
    <m/>
    <s v="Même arrondissement"/>
    <s v="CMR"/>
    <s v="Cameroun"/>
    <s v="CMR004"/>
    <s v="Extrême-Nord"/>
    <s v="CMR004006"/>
    <s v="Mayo-Tsanaga"/>
    <s v="CMR004006002"/>
    <s v="Mokolo"/>
  </r>
  <r>
    <s v="Extrême-Nord"/>
    <s v="CMR004"/>
    <x v="3"/>
    <s v="CMR004003"/>
    <x v="11"/>
    <s v="CMR004003002"/>
    <s v="MAG-0002"/>
    <s v="SITE DE GAGRAI"/>
    <m/>
    <x v="0"/>
    <s v="Avant 2020"/>
    <n v="102"/>
    <n v="1549"/>
    <x v="3"/>
    <m/>
    <s v="Même arrondissement"/>
    <s v="CMR"/>
    <s v="Cameroun"/>
    <s v="CMR004"/>
    <s v="Extrême-Nord"/>
    <s v="CMR004003"/>
    <s v="Mayo-Danay"/>
    <s v="CMR004003002"/>
    <s v="Maga"/>
  </r>
  <r>
    <s v="Extrême-Nord"/>
    <s v="CMR004"/>
    <x v="3"/>
    <s v="CMR004003"/>
    <x v="11"/>
    <s v="CMR004003002"/>
    <s v="MAG-0002"/>
    <s v="SITE DE GAGRAI"/>
    <m/>
    <x v="0"/>
    <s v="En 2020"/>
    <n v="0"/>
    <n v="35"/>
    <x v="3"/>
    <m/>
    <s v="Même arrondissement"/>
    <s v="CMR"/>
    <s v="Cameroun"/>
    <s v="CMR004"/>
    <s v="Extrême-Nord"/>
    <s v="CMR004003"/>
    <s v="Mayo-Danay"/>
    <s v="CMR004003002"/>
    <s v="Maga"/>
  </r>
  <r>
    <s v="Extrême-Nord"/>
    <s v="CMR004"/>
    <x v="3"/>
    <s v="CMR004003"/>
    <x v="11"/>
    <s v="CMR004003002"/>
    <s v="MAG-0002"/>
    <s v="SITE DE GAGRAI"/>
    <m/>
    <x v="0"/>
    <s v="En 2021"/>
    <n v="0"/>
    <n v="31"/>
    <x v="3"/>
    <m/>
    <s v="Même arrondissement"/>
    <s v="CMR"/>
    <s v="Cameroun"/>
    <s v="CMR004"/>
    <s v="Extrême-Nord"/>
    <s v="CMR004003"/>
    <s v="Mayo-Danay"/>
    <s v="CMR004003002"/>
    <s v="Maga"/>
  </r>
  <r>
    <s v="Extrême-Nord"/>
    <s v="CMR004"/>
    <x v="3"/>
    <s v="CMR004003"/>
    <x v="11"/>
    <s v="CMR004003002"/>
    <s v="MAG-0002"/>
    <s v="SITE DE GAGRAI"/>
    <m/>
    <x v="0"/>
    <s v="Janvier - Aout 2022"/>
    <n v="0"/>
    <n v="36"/>
    <x v="3"/>
    <m/>
    <s v="Même arrondissement"/>
    <s v="CMR"/>
    <s v="Cameroun"/>
    <s v="CMR004"/>
    <s v="Extrême-Nord"/>
    <s v="CMR004003"/>
    <s v="Mayo-Danay"/>
    <s v="CMR004003002"/>
    <s v="Maga"/>
  </r>
  <r>
    <s v="Extrême-Nord"/>
    <s v="CMR004"/>
    <x v="3"/>
    <s v="CMR004003"/>
    <x v="11"/>
    <s v="CMR004003002"/>
    <s v="MAG-0002"/>
    <s v="SITE DE GAGRAI"/>
    <m/>
    <x v="0"/>
    <s v="Septembre 2022 – Février 2023"/>
    <n v="0"/>
    <n v="19"/>
    <x v="3"/>
    <m/>
    <s v="Même arrondissement"/>
    <s v="CMR"/>
    <s v="Cameroun"/>
    <s v="CMR004"/>
    <s v="Extrême-Nord"/>
    <s v="CMR004003"/>
    <s v="Mayo-Danay"/>
    <s v="CMR004003002"/>
    <s v="Maga"/>
  </r>
  <r>
    <s v="Extrême-Nord"/>
    <s v="CMR004"/>
    <x v="3"/>
    <s v="CMR004003"/>
    <x v="11"/>
    <s v="CMR004003002"/>
    <s v="MAG-0001"/>
    <s v="SITE DE FARAOULOU"/>
    <m/>
    <x v="0"/>
    <s v="Avant 2020"/>
    <n v="31"/>
    <n v="162"/>
    <x v="3"/>
    <m/>
    <s v="Même arrondissement"/>
    <s v="CMR"/>
    <s v="Cameroun"/>
    <s v="CMR004"/>
    <s v="Extrême-Nord"/>
    <s v="CMR004003"/>
    <s v="Mayo-Danay"/>
    <s v="CMR004003002"/>
    <s v="Maga"/>
  </r>
  <r>
    <s v="Extrême-Nord"/>
    <s v="CMR004"/>
    <x v="3"/>
    <s v="CMR004003"/>
    <x v="11"/>
    <s v="CMR004003002"/>
    <s v="MAG-0001"/>
    <s v="SITE DE FARAOULOU"/>
    <m/>
    <x v="0"/>
    <s v="En 2021"/>
    <n v="0"/>
    <n v="3"/>
    <x v="3"/>
    <m/>
    <s v="Même arrondissement"/>
    <s v="CMR"/>
    <s v="Cameroun"/>
    <s v="CMR004"/>
    <s v="Extrême-Nord"/>
    <s v="CMR004003"/>
    <s v="Mayo-Danay"/>
    <s v="CMR004003002"/>
    <s v="Maga"/>
  </r>
  <r>
    <s v="Extrême-Nord"/>
    <s v="CMR004"/>
    <x v="3"/>
    <s v="CMR004003"/>
    <x v="11"/>
    <s v="CMR004003002"/>
    <s v="MAG-0001"/>
    <s v="SITE DE FARAOULOU"/>
    <m/>
    <x v="0"/>
    <s v="Janvier - Aout 2022"/>
    <n v="0"/>
    <n v="1"/>
    <x v="3"/>
    <m/>
    <s v="Même arrondissement"/>
    <s v="CMR"/>
    <s v="Cameroun"/>
    <s v="CMR004"/>
    <s v="Extrême-Nord"/>
    <s v="CMR004003"/>
    <s v="Mayo-Danay"/>
    <s v="CMR004003002"/>
    <s v="Maga"/>
  </r>
  <r>
    <s v="Extrême-Nord"/>
    <s v="CMR004"/>
    <x v="3"/>
    <s v="CMR004003"/>
    <x v="11"/>
    <s v="CMR004003002"/>
    <s v="MAG-0001"/>
    <s v="SITE DE FARAOULOU"/>
    <m/>
    <x v="0"/>
    <s v="Septembre 2022 – Février 2023"/>
    <n v="0"/>
    <n v="5"/>
    <x v="3"/>
    <m/>
    <s v="Même arrondissement"/>
    <s v="CMR"/>
    <s v="Cameroun"/>
    <s v="CMR004"/>
    <s v="Extrême-Nord"/>
    <s v="CMR004003"/>
    <s v="Mayo-Danay"/>
    <s v="CMR004003002"/>
    <s v="Maga"/>
  </r>
  <r>
    <s v="Extrême-Nord"/>
    <s v="CMR004"/>
    <x v="3"/>
    <s v="CMR004003"/>
    <x v="11"/>
    <s v="CMR004003002"/>
    <s v="MAG-0011"/>
    <s v="GRONG"/>
    <m/>
    <x v="0"/>
    <s v="Avant 2020"/>
    <n v="12"/>
    <n v="110"/>
    <x v="3"/>
    <m/>
    <s v="Même arrondissement"/>
    <s v="CMR"/>
    <s v="Cameroun"/>
    <s v="CMR004"/>
    <s v="Extrême-Nord"/>
    <s v="CMR004003"/>
    <s v="Mayo-Danay"/>
    <s v="CMR004003002"/>
    <s v="Maga"/>
  </r>
  <r>
    <s v="Extrême-Nord"/>
    <s v="CMR004"/>
    <x v="3"/>
    <s v="CMR004003"/>
    <x v="11"/>
    <s v="CMR004003002"/>
    <s v="MAG-0011"/>
    <s v="GRONG"/>
    <m/>
    <x v="0"/>
    <s v="En 2020"/>
    <n v="0"/>
    <n v="15"/>
    <x v="3"/>
    <m/>
    <s v="Même arrondissement"/>
    <s v="CMR"/>
    <s v="Cameroun"/>
    <s v="CMR004"/>
    <s v="Extrême-Nord"/>
    <s v="CMR004003"/>
    <s v="Mayo-Danay"/>
    <s v="CMR004003002"/>
    <s v="Maga"/>
  </r>
  <r>
    <s v="Extrême-Nord"/>
    <s v="CMR004"/>
    <x v="3"/>
    <s v="CMR004003"/>
    <x v="11"/>
    <s v="CMR004003002"/>
    <s v="MAG-0011"/>
    <s v="GRONG"/>
    <m/>
    <x v="0"/>
    <s v="En 2021"/>
    <n v="0"/>
    <n v="10"/>
    <x v="3"/>
    <m/>
    <s v="Même arrondissement"/>
    <s v="CMR"/>
    <s v="Cameroun"/>
    <s v="CMR004"/>
    <s v="Extrême-Nord"/>
    <s v="CMR004003"/>
    <s v="Mayo-Danay"/>
    <s v="CMR004003002"/>
    <s v="Maga"/>
  </r>
  <r>
    <s v="Extrême-Nord"/>
    <s v="CMR004"/>
    <x v="3"/>
    <s v="CMR004003"/>
    <x v="11"/>
    <s v="CMR004003002"/>
    <s v="MAG-0011"/>
    <s v="GRONG"/>
    <m/>
    <x v="0"/>
    <s v="Janvier - Aout 2022"/>
    <n v="0"/>
    <n v="6"/>
    <x v="3"/>
    <m/>
    <s v="Même arrondissement"/>
    <s v="CMR"/>
    <s v="Cameroun"/>
    <s v="CMR004"/>
    <s v="Extrême-Nord"/>
    <s v="CMR004003"/>
    <s v="Mayo-Danay"/>
    <s v="CMR004003002"/>
    <s v="Maga"/>
  </r>
  <r>
    <s v="Extrême-Nord"/>
    <s v="CMR004"/>
    <x v="3"/>
    <s v="CMR004003"/>
    <x v="11"/>
    <s v="CMR004003002"/>
    <s v="MAG-0011"/>
    <s v="GRONG"/>
    <m/>
    <x v="0"/>
    <s v="Septembre 2022 – Février 2023"/>
    <n v="0"/>
    <n v="7"/>
    <x v="3"/>
    <m/>
    <s v="Même arrondissement"/>
    <s v="CMR"/>
    <s v="Cameroun"/>
    <s v="CMR004"/>
    <s v="Extrême-Nord"/>
    <s v="CMR004003"/>
    <s v="Mayo-Danay"/>
    <s v="CMR004003002"/>
    <s v="Maga"/>
  </r>
  <r>
    <s v="Extrême-Nord"/>
    <s v="CMR004"/>
    <x v="2"/>
    <s v="CMR004002"/>
    <x v="8"/>
    <s v="CMR004002009"/>
    <s v="MAK-0061"/>
    <s v="MALTAM"/>
    <m/>
    <x v="0"/>
    <s v="Avant 2020"/>
    <n v="20"/>
    <n v="420"/>
    <x v="0"/>
    <m/>
    <s v="Même arrondissement"/>
    <s v="CMR"/>
    <s v="Cameroun"/>
    <s v="CMR004"/>
    <s v="Extrême-Nord"/>
    <s v="CMR004002"/>
    <s v="Logone-Et-Chari"/>
    <s v="CMR004002009"/>
    <s v="Makary"/>
  </r>
  <r>
    <s v="Extrême-Nord"/>
    <s v="CMR004"/>
    <x v="2"/>
    <s v="CMR004002"/>
    <x v="8"/>
    <s v="CMR004002009"/>
    <s v="MAK-0061"/>
    <s v="MALTAM"/>
    <m/>
    <x v="0"/>
    <s v="Septembre 2022 – Février 2023"/>
    <n v="20"/>
    <n v="250"/>
    <x v="3"/>
    <m/>
    <s v="Même département, autre arrondissement"/>
    <s v="CMR"/>
    <s v="Cameroun"/>
    <s v="CMR004"/>
    <s v="Extrême-Nord"/>
    <s v="CMR004002"/>
    <s v="Logone-Et-Chari"/>
    <s v="CMR004002002"/>
    <s v="Goulfey"/>
  </r>
  <r>
    <s v="Extrême-Nord"/>
    <s v="CMR004"/>
    <x v="2"/>
    <s v="CMR004002"/>
    <x v="8"/>
    <s v="CMR004002009"/>
    <s v="MAK-0223"/>
    <s v="BACKE"/>
    <m/>
    <x v="0"/>
    <s v="Avant 2020"/>
    <n v="3"/>
    <n v="15"/>
    <x v="0"/>
    <m/>
    <s v="Même arrondissement"/>
    <s v="CMR"/>
    <s v="Cameroun"/>
    <s v="CMR004"/>
    <s v="Extrême-Nord"/>
    <s v="CMR004002"/>
    <s v="Logone-Et-Chari"/>
    <s v="CMR004002009"/>
    <s v="Makary"/>
  </r>
  <r>
    <s v="Extrême-Nord"/>
    <s v="CMR004"/>
    <x v="2"/>
    <s v="CMR004002"/>
    <x v="8"/>
    <s v="CMR004002009"/>
    <s v="MAK-0223"/>
    <s v="BACKE"/>
    <m/>
    <x v="0"/>
    <s v="Septembre 2022 – Février 2023"/>
    <n v="10"/>
    <n v="27"/>
    <x v="3"/>
    <m/>
    <s v="Même arrondissement"/>
    <s v="CMR"/>
    <s v="Cameroun"/>
    <s v="CMR004"/>
    <s v="Extrême-Nord"/>
    <s v="CMR004002"/>
    <s v="Logone-Et-Chari"/>
    <s v="CMR004002009"/>
    <s v="Makary"/>
  </r>
  <r>
    <s v="Extrême-Nord"/>
    <s v="CMR004"/>
    <x v="2"/>
    <s v="CMR004002"/>
    <x v="8"/>
    <s v="CMR004002009"/>
    <s v="MAK-0081"/>
    <s v="NDOLOHE ARABE"/>
    <m/>
    <x v="0"/>
    <s v="Janvier - Aout 2022"/>
    <n v="5"/>
    <n v="20"/>
    <x v="0"/>
    <m/>
    <s v="Même département, autre arrondissement"/>
    <s v="CMR"/>
    <s v="Cameroun"/>
    <s v="CMR004"/>
    <s v="Extrême-Nord"/>
    <s v="CMR004002"/>
    <s v="Logone-Et-Chari"/>
    <s v="CMR004002007"/>
    <s v="Darak"/>
  </r>
  <r>
    <s v="Extrême-Nord"/>
    <s v="CMR004"/>
    <x v="2"/>
    <s v="CMR004002"/>
    <x v="8"/>
    <s v="CMR004002009"/>
    <s v="MAK-0081"/>
    <s v="NDOLOHE ARABE"/>
    <m/>
    <x v="0"/>
    <s v="Septembre 2022 – Février 2023"/>
    <n v="5"/>
    <n v="42"/>
    <x v="0"/>
    <m/>
    <s v="Même département, autre arrondissement"/>
    <s v="CMR"/>
    <s v="Cameroun"/>
    <s v="CMR004"/>
    <s v="Extrême-Nord"/>
    <s v="CMR004002"/>
    <s v="Logone-Et-Chari"/>
    <s v="CMR004002002"/>
    <s v="Goulfey"/>
  </r>
  <r>
    <s v="Extrême-Nord"/>
    <s v="CMR004"/>
    <x v="2"/>
    <s v="CMR004002"/>
    <x v="8"/>
    <s v="CMR004002009"/>
    <s v="MAK-0036"/>
    <s v="GAMBAROU"/>
    <m/>
    <x v="0"/>
    <s v="Janvier - Aout 2022"/>
    <n v="4"/>
    <n v="9"/>
    <x v="0"/>
    <m/>
    <s v="Même département, autre arrondissement"/>
    <s v="CMR"/>
    <s v="Cameroun"/>
    <s v="CMR004"/>
    <s v="Extrême-Nord"/>
    <s v="CMR004002"/>
    <s v="Logone-Et-Chari"/>
    <s v="CMR004002008"/>
    <s v="Fotokol"/>
  </r>
  <r>
    <s v="Extrême-Nord"/>
    <s v="CMR004"/>
    <x v="2"/>
    <s v="CMR004002"/>
    <x v="8"/>
    <s v="CMR004002009"/>
    <s v="MAK-0036"/>
    <s v="GAMBAROU"/>
    <m/>
    <x v="0"/>
    <s v="Septembre 2022 – Février 2023"/>
    <n v="10"/>
    <n v="59"/>
    <x v="0"/>
    <m/>
    <s v="Même département, autre arrondissement"/>
    <s v="CMR"/>
    <s v="Cameroun"/>
    <s v="CMR004"/>
    <s v="Extrême-Nord"/>
    <s v="CMR004002"/>
    <s v="Logone-Et-Chari"/>
    <s v="CMR004002008"/>
    <s v="Fotokol"/>
  </r>
  <r>
    <s v="Extrême-Nord"/>
    <s v="CMR004"/>
    <x v="2"/>
    <s v="CMR004002"/>
    <x v="8"/>
    <s v="CMR004002009"/>
    <s v="MAK-0104"/>
    <s v="KOKIO 2"/>
    <m/>
    <x v="0"/>
    <s v="Janvier - Aout 2022"/>
    <n v="2"/>
    <n v="11"/>
    <x v="0"/>
    <m/>
    <s v="Même département, autre arrondissement"/>
    <s v="CMR"/>
    <s v="Cameroun"/>
    <s v="CMR004"/>
    <s v="Extrême-Nord"/>
    <s v="CMR004002"/>
    <s v="Logone-Et-Chari"/>
    <s v="CMR004002007"/>
    <s v="Darak"/>
  </r>
  <r>
    <s v="Extrême-Nord"/>
    <s v="CMR004"/>
    <x v="2"/>
    <s v="CMR004002"/>
    <x v="8"/>
    <s v="CMR004002009"/>
    <s v="MAK-0104"/>
    <s v="KOKIO 2"/>
    <m/>
    <x v="0"/>
    <s v="Septembre 2022 – Février 2023"/>
    <n v="4"/>
    <n v="32"/>
    <x v="0"/>
    <m/>
    <s v="Même département, autre arrondissement"/>
    <s v="CMR"/>
    <s v="Cameroun"/>
    <s v="CMR004"/>
    <s v="Extrême-Nord"/>
    <s v="CMR004002"/>
    <s v="Logone-Et-Chari"/>
    <s v="CMR004002008"/>
    <s v="Fotokol"/>
  </r>
  <r>
    <s v="Extrême-Nord"/>
    <s v="CMR004"/>
    <x v="2"/>
    <s v="CMR004002"/>
    <x v="8"/>
    <s v="CMR004002009"/>
    <s v="MAK-0059"/>
    <s v="MALADI"/>
    <m/>
    <x v="0"/>
    <s v="Janvier - Aout 2022"/>
    <n v="5"/>
    <n v="23"/>
    <x v="0"/>
    <m/>
    <s v="Même département, autre arrondissement"/>
    <s v="CMR"/>
    <s v="Cameroun"/>
    <s v="CMR004"/>
    <s v="Extrême-Nord"/>
    <s v="CMR004002"/>
    <s v="Logone-Et-Chari"/>
    <s v="CMR004002007"/>
    <s v="Darak"/>
  </r>
  <r>
    <s v="Extrême-Nord"/>
    <s v="CMR004"/>
    <x v="2"/>
    <s v="CMR004002"/>
    <x v="8"/>
    <s v="CMR004002009"/>
    <s v="MAK-0059"/>
    <s v="MALADI"/>
    <m/>
    <x v="0"/>
    <s v="Septembre 2022 – Février 2023"/>
    <n v="27"/>
    <n v="146"/>
    <x v="0"/>
    <m/>
    <s v="Même département, autre arrondissement"/>
    <s v="CMR"/>
    <s v="Cameroun"/>
    <s v="CMR004"/>
    <s v="Extrême-Nord"/>
    <s v="CMR004002"/>
    <s v="Logone-Et-Chari"/>
    <s v="CMR004002008"/>
    <s v="Fotokol"/>
  </r>
  <r>
    <s v="Extrême-Nord"/>
    <s v="CMR004"/>
    <x v="2"/>
    <s v="CMR004002"/>
    <x v="9"/>
    <s v="CMR004002010"/>
    <s v="XXXX"/>
    <s v="SITE DE RAMIDORINA"/>
    <s v="SITE DE RAMIDORINA"/>
    <x v="0"/>
    <s v="Septembre 2022 – Février 2023"/>
    <n v="94"/>
    <n v="658"/>
    <x v="0"/>
    <m/>
    <s v="Même département, autre arrondissement"/>
    <s v="CMR"/>
    <s v="Cameroun"/>
    <s v="CMR004"/>
    <s v="Extrême-Nord"/>
    <s v="CMR004002"/>
    <s v="Logone-Et-Chari"/>
    <s v="CMR004002007"/>
    <s v="Darak"/>
  </r>
  <r>
    <s v="Extrême-Nord"/>
    <s v="CMR004"/>
    <x v="2"/>
    <s v="CMR004002"/>
    <x v="9"/>
    <s v="CMR004002010"/>
    <s v="HIL-0019"/>
    <s v="MAFOULSO 3"/>
    <m/>
    <x v="0"/>
    <s v="Avant 2020"/>
    <n v="2"/>
    <n v="17"/>
    <x v="0"/>
    <m/>
    <s v="Même arrondissement"/>
    <s v="CMR"/>
    <s v="Cameroun"/>
    <s v="CMR004"/>
    <s v="Extrême-Nord"/>
    <s v="CMR004002"/>
    <s v="Logone-Et-Chari"/>
    <s v="CMR004002010"/>
    <s v="Hile-Alifa"/>
  </r>
  <r>
    <s v="Extrême-Nord"/>
    <s v="CMR004"/>
    <x v="2"/>
    <s v="CMR004002"/>
    <x v="9"/>
    <s v="CMR004002010"/>
    <s v="HIL-0019"/>
    <s v="MAFOULSO 3"/>
    <m/>
    <x v="0"/>
    <s v="En 2021"/>
    <n v="10"/>
    <n v="70"/>
    <x v="0"/>
    <m/>
    <s v="Même arrondissement"/>
    <s v="CMR"/>
    <s v="Cameroun"/>
    <s v="CMR004"/>
    <s v="Extrême-Nord"/>
    <s v="CMR004002"/>
    <s v="Logone-Et-Chari"/>
    <s v="CMR004002010"/>
    <s v="Hile-Alifa"/>
  </r>
  <r>
    <s v="Extrême-Nord"/>
    <s v="CMR004"/>
    <x v="2"/>
    <s v="CMR004002"/>
    <x v="9"/>
    <s v="CMR004002010"/>
    <s v="HIL-0019"/>
    <s v="MAFOULSO 3"/>
    <m/>
    <x v="0"/>
    <s v="Janvier - Aout 2022"/>
    <n v="9"/>
    <n v="63"/>
    <x v="0"/>
    <m/>
    <s v="Même arrondissement"/>
    <s v="CMR"/>
    <s v="Cameroun"/>
    <s v="CMR004"/>
    <s v="Extrême-Nord"/>
    <s v="CMR004002"/>
    <s v="Logone-Et-Chari"/>
    <s v="CMR004002010"/>
    <s v="Hile-Alifa"/>
  </r>
  <r>
    <s v="Extrême-Nord"/>
    <s v="CMR004"/>
    <x v="2"/>
    <s v="CMR004002"/>
    <x v="9"/>
    <s v="CMR004002010"/>
    <s v="HIL-0019"/>
    <s v="MAFOULSO 3"/>
    <m/>
    <x v="0"/>
    <s v="Septembre 2022 – Février 2023"/>
    <n v="30"/>
    <n v="180"/>
    <x v="0"/>
    <m/>
    <s v="Même arrondissement"/>
    <s v="CMR"/>
    <s v="Cameroun"/>
    <s v="CMR004"/>
    <s v="Extrême-Nord"/>
    <s v="CMR004002"/>
    <s v="Logone-Et-Chari"/>
    <s v="CMR004002010"/>
    <s v="Hile-Alifa"/>
  </r>
  <r>
    <s v="Extrême-Nord"/>
    <s v="CMR004"/>
    <x v="2"/>
    <s v="CMR004002"/>
    <x v="9"/>
    <s v="CMR004002010"/>
    <s v="HIL-0024"/>
    <s v="MAITO"/>
    <m/>
    <x v="0"/>
    <s v="Janvier - Aout 2022"/>
    <n v="5"/>
    <n v="34"/>
    <x v="0"/>
    <m/>
    <s v="Même arrondissement"/>
    <s v="CMR"/>
    <s v="Cameroun"/>
    <s v="CMR004"/>
    <s v="Extrême-Nord"/>
    <s v="CMR004002"/>
    <s v="Logone-Et-Chari"/>
    <s v="CMR004002010"/>
    <s v="Hile-Alifa"/>
  </r>
  <r>
    <s v="Extrême-Nord"/>
    <s v="CMR004"/>
    <x v="2"/>
    <s v="CMR004002"/>
    <x v="9"/>
    <s v="CMR004002010"/>
    <s v="HIL-0024"/>
    <s v="MAITO"/>
    <m/>
    <x v="0"/>
    <s v="Septembre 2022 – Février 2023"/>
    <n v="65"/>
    <n v="455"/>
    <x v="0"/>
    <m/>
    <s v="Même arrondissement"/>
    <s v="CMR"/>
    <s v="Cameroun"/>
    <s v="CMR004"/>
    <s v="Extrême-Nord"/>
    <s v="CMR004002"/>
    <s v="Logone-Et-Chari"/>
    <s v="CMR004002010"/>
    <s v="Hile-Alifa"/>
  </r>
  <r>
    <s v="Extrême-Nord"/>
    <s v="CMR004"/>
    <x v="2"/>
    <s v="CMR004002"/>
    <x v="9"/>
    <s v="CMR004002010"/>
    <s v="HIL-0012"/>
    <s v="TERBOU"/>
    <m/>
    <x v="0"/>
    <s v="Avant 2020"/>
    <n v="34"/>
    <n v="295"/>
    <x v="0"/>
    <m/>
    <s v="Même arrondissement"/>
    <s v="CMR"/>
    <s v="Cameroun"/>
    <s v="CMR004"/>
    <s v="Extrême-Nord"/>
    <s v="CMR004002"/>
    <s v="Logone-Et-Chari"/>
    <s v="CMR004002010"/>
    <s v="Hile-Alifa"/>
  </r>
  <r>
    <s v="Extrême-Nord"/>
    <s v="CMR004"/>
    <x v="1"/>
    <s v="CMR004006"/>
    <x v="7"/>
    <s v="CMR004006005"/>
    <s v="MOZ-0029"/>
    <s v="SITE DE MOSKOTA - TCHEBE-TCHEBE"/>
    <m/>
    <x v="0"/>
    <s v="Avant 2020"/>
    <n v="57"/>
    <n v="656"/>
    <x v="0"/>
    <m/>
    <s v="Même arrondissement"/>
    <s v="CMR"/>
    <s v="Cameroun"/>
    <s v="CMR004"/>
    <s v="Extrême-Nord"/>
    <s v="CMR004006"/>
    <s v="Mayo-Tsanaga"/>
    <s v="CMR004006005"/>
    <s v="Mayo-Moskota"/>
  </r>
  <r>
    <s v="Extrême-Nord"/>
    <s v="CMR004"/>
    <x v="1"/>
    <s v="CMR004006"/>
    <x v="7"/>
    <s v="CMR004006005"/>
    <s v="MOZ-0029"/>
    <s v="SITE DE MOSKOTA - TCHEBE-TCHEBE"/>
    <m/>
    <x v="0"/>
    <s v="En 2020"/>
    <n v="0"/>
    <n v="20"/>
    <x v="0"/>
    <m/>
    <s v="Même arrondissement"/>
    <s v="CMR"/>
    <s v="Cameroun"/>
    <s v="CMR004"/>
    <s v="Extrême-Nord"/>
    <s v="CMR004006"/>
    <s v="Mayo-Tsanaga"/>
    <s v="CMR004006005"/>
    <s v="Mayo-Moskota"/>
  </r>
  <r>
    <s v="Extrême-Nord"/>
    <s v="CMR004"/>
    <x v="1"/>
    <s v="CMR004006"/>
    <x v="7"/>
    <s v="CMR004006005"/>
    <s v="MOZ-0029"/>
    <s v="SITE DE MOSKOTA - TCHEBE-TCHEBE"/>
    <m/>
    <x v="0"/>
    <s v="En 2021"/>
    <n v="19"/>
    <n v="43"/>
    <x v="0"/>
    <m/>
    <s v="Même arrondissement"/>
    <s v="CMR"/>
    <s v="Cameroun"/>
    <s v="CMR004"/>
    <s v="Extrême-Nord"/>
    <s v="CMR004006"/>
    <s v="Mayo-Tsanaga"/>
    <s v="CMR004006005"/>
    <s v="Mayo-Moskota"/>
  </r>
  <r>
    <s v="Extrême-Nord"/>
    <s v="CMR004"/>
    <x v="1"/>
    <s v="CMR004006"/>
    <x v="7"/>
    <s v="CMR004006005"/>
    <s v="MOZ-0029"/>
    <s v="SITE DE MOSKOTA - TCHEBE-TCHEBE"/>
    <m/>
    <x v="0"/>
    <s v="Janvier - Aout 2022"/>
    <n v="1"/>
    <n v="7"/>
    <x v="0"/>
    <m/>
    <s v="Même arrondissement"/>
    <s v="CMR"/>
    <s v="Cameroun"/>
    <s v="CMR004"/>
    <s v="Extrême-Nord"/>
    <s v="CMR004006"/>
    <s v="Mayo-Tsanaga"/>
    <s v="CMR004006005"/>
    <s v="Mayo-Moskota"/>
  </r>
  <r>
    <s v="Extrême-Nord"/>
    <s v="CMR004"/>
    <x v="1"/>
    <s v="CMR004006"/>
    <x v="7"/>
    <s v="CMR004006005"/>
    <s v="MOZ-0029"/>
    <s v="SITE DE MOSKOTA - TCHEBE-TCHEBE"/>
    <m/>
    <x v="0"/>
    <s v="Septembre 2022 – Février 2023"/>
    <n v="6"/>
    <n v="40"/>
    <x v="0"/>
    <m/>
    <s v="Même arrondissement"/>
    <s v="CMR"/>
    <s v="Cameroun"/>
    <s v="CMR004"/>
    <s v="Extrême-Nord"/>
    <s v="CMR004006"/>
    <s v="Mayo-Tsanaga"/>
    <s v="CMR004006005"/>
    <s v="Mayo-Moskota"/>
  </r>
  <r>
    <s v="Extrême-Nord"/>
    <s v="CMR004"/>
    <x v="1"/>
    <s v="CMR004006"/>
    <x v="7"/>
    <s v="CMR004006005"/>
    <s v="MOZ-0039"/>
    <s v="SITE DE KERAWA - MAFA"/>
    <m/>
    <x v="0"/>
    <s v="Janvier - Aout 2022"/>
    <n v="60"/>
    <n v="656"/>
    <x v="0"/>
    <m/>
    <s v="Même arrondissement"/>
    <s v="CMR"/>
    <s v="Cameroun"/>
    <s v="CMR004"/>
    <s v="Extrême-Nord"/>
    <s v="CMR004006"/>
    <s v="Mayo-Tsanaga"/>
    <s v="CMR004006005"/>
    <s v="Mayo-Moskota"/>
  </r>
  <r>
    <s v="Extrême-Nord"/>
    <s v="CMR004"/>
    <x v="1"/>
    <s v="CMR004006"/>
    <x v="7"/>
    <s v="CMR004006005"/>
    <s v="MOZ-0039"/>
    <s v="SITE DE KERAWA - MAFA"/>
    <m/>
    <x v="0"/>
    <s v="Septembre 2022 – Février 2023"/>
    <n v="10"/>
    <n v="40"/>
    <x v="0"/>
    <m/>
    <s v="Même arrondissement"/>
    <s v="CMR"/>
    <s v="Cameroun"/>
    <s v="CMR004"/>
    <s v="Extrême-Nord"/>
    <s v="CMR004006"/>
    <s v="Mayo-Tsanaga"/>
    <s v="CMR004006005"/>
    <s v="Mayo-Moskota"/>
  </r>
  <r>
    <s v="Extrême-Nord"/>
    <s v="CMR004"/>
    <x v="1"/>
    <s v="CMR004006"/>
    <x v="7"/>
    <s v="CMR004006005"/>
    <s v="MOZ-0003"/>
    <s v="KARAZAWA"/>
    <m/>
    <x v="0"/>
    <s v="Avant 2020"/>
    <n v="23"/>
    <n v="132"/>
    <x v="0"/>
    <m/>
    <s v="Même arrondissement"/>
    <s v="CMR"/>
    <s v="Cameroun"/>
    <s v="CMR004"/>
    <s v="Extrême-Nord"/>
    <s v="CMR004006"/>
    <s v="Mayo-Tsanaga"/>
    <s v="CMR004006005"/>
    <s v="Mayo-Moskota"/>
  </r>
  <r>
    <s v="Extrême-Nord"/>
    <s v="CMR004"/>
    <x v="1"/>
    <s v="CMR004006"/>
    <x v="7"/>
    <s v="CMR004006005"/>
    <s v="MOZ-0003"/>
    <s v="KARAZAWA"/>
    <m/>
    <x v="0"/>
    <s v="En 2020"/>
    <n v="0"/>
    <n v="10"/>
    <x v="0"/>
    <m/>
    <s v="Même arrondissement"/>
    <s v="CMR"/>
    <s v="Cameroun"/>
    <s v="CMR004"/>
    <s v="Extrême-Nord"/>
    <s v="CMR004006"/>
    <s v="Mayo-Tsanaga"/>
    <s v="CMR004006005"/>
    <s v="Mayo-Moskota"/>
  </r>
  <r>
    <s v="Extrême-Nord"/>
    <s v="CMR004"/>
    <x v="1"/>
    <s v="CMR004006"/>
    <x v="7"/>
    <s v="CMR004006005"/>
    <s v="MOZ-0003"/>
    <s v="KARAZAWA"/>
    <m/>
    <x v="0"/>
    <s v="En 2021"/>
    <n v="2"/>
    <n v="23"/>
    <x v="0"/>
    <m/>
    <s v="Même arrondissement"/>
    <s v="CMR"/>
    <s v="Cameroun"/>
    <s v="CMR004"/>
    <s v="Extrême-Nord"/>
    <s v="CMR004006"/>
    <s v="Mayo-Tsanaga"/>
    <s v="CMR004006005"/>
    <s v="Mayo-Moskota"/>
  </r>
  <r>
    <s v="Extrême-Nord"/>
    <s v="CMR004"/>
    <x v="1"/>
    <s v="CMR004006"/>
    <x v="7"/>
    <s v="CMR004006005"/>
    <s v="MOZ-0003"/>
    <s v="KARAZAWA"/>
    <m/>
    <x v="0"/>
    <s v="Janvier - Aout 2022"/>
    <n v="40"/>
    <n v="150"/>
    <x v="0"/>
    <m/>
    <s v="Même arrondissement"/>
    <s v="CMR"/>
    <s v="Cameroun"/>
    <s v="CMR004"/>
    <s v="Extrême-Nord"/>
    <s v="CMR004006"/>
    <s v="Mayo-Tsanaga"/>
    <s v="CMR004006005"/>
    <s v="Mayo-Moskota"/>
  </r>
  <r>
    <s v="Extrême-Nord"/>
    <s v="CMR004"/>
    <x v="1"/>
    <s v="CMR004006"/>
    <x v="7"/>
    <s v="CMR004006005"/>
    <s v="MOZ-0003"/>
    <s v="KARAZAWA"/>
    <m/>
    <x v="0"/>
    <s v="Septembre 2022 – Février 2023"/>
    <n v="50"/>
    <n v="170"/>
    <x v="0"/>
    <m/>
    <s v="Même arrondissement"/>
    <s v="CMR"/>
    <s v="Cameroun"/>
    <s v="CMR004"/>
    <s v="Extrême-Nord"/>
    <s v="CMR004006"/>
    <s v="Mayo-Tsanaga"/>
    <s v="CMR004006005"/>
    <s v="Mayo-Moskota"/>
  </r>
  <r>
    <s v="Extrême-Nord"/>
    <s v="CMR004"/>
    <x v="1"/>
    <s v="CMR004006"/>
    <x v="7"/>
    <s v="CMR004006005"/>
    <s v="MOZ-0024"/>
    <s v="ZELEVED"/>
    <m/>
    <x v="0"/>
    <s v="Avant 2020"/>
    <n v="9"/>
    <n v="47"/>
    <x v="0"/>
    <m/>
    <s v="Même arrondissement"/>
    <s v="CMR"/>
    <s v="Cameroun"/>
    <s v="CMR004"/>
    <s v="Extrême-Nord"/>
    <s v="CMR004006"/>
    <s v="Mayo-Tsanaga"/>
    <s v="CMR004006005"/>
    <s v="Mayo-Moskota"/>
  </r>
  <r>
    <s v="Extrême-Nord"/>
    <s v="CMR004"/>
    <x v="1"/>
    <s v="CMR004006"/>
    <x v="7"/>
    <s v="CMR004006005"/>
    <s v="MOZ-0024"/>
    <s v="ZELEVED"/>
    <m/>
    <x v="0"/>
    <s v="Septembre 2022 – Février 2023"/>
    <n v="0"/>
    <n v="15"/>
    <x v="0"/>
    <m/>
    <s v="Même arrondissement"/>
    <s v="CMR"/>
    <s v="Cameroun"/>
    <s v="CMR004"/>
    <s v="Extrême-Nord"/>
    <s v="CMR004006"/>
    <s v="Mayo-Tsanaga"/>
    <s v="CMR004006005"/>
    <s v="Mayo-Moskota"/>
  </r>
  <r>
    <s v="Extrême-Nord"/>
    <s v="CMR004"/>
    <x v="2"/>
    <s v="CMR004002"/>
    <x v="26"/>
    <s v="CMR004002006"/>
    <s v="KOU-0006"/>
    <s v="DJAMBAL BAR"/>
    <m/>
    <x v="0"/>
    <s v="Janvier - Aout 2022"/>
    <n v="40"/>
    <n v="400"/>
    <x v="3"/>
    <m/>
    <s v="Même arrondissement"/>
    <s v="CMR"/>
    <s v="Cameroun"/>
    <s v="CMR004"/>
    <s v="Extrême-Nord"/>
    <s v="CMR004002"/>
    <s v="Logone-Et-Chari"/>
    <s v="CMR004002006"/>
    <s v="Kousséri"/>
  </r>
  <r>
    <s v="Extrême-Nord"/>
    <s v="CMR004"/>
    <x v="2"/>
    <s v="CMR004002"/>
    <x v="26"/>
    <s v="CMR004002006"/>
    <s v="KOU-0006"/>
    <s v="DJAMBAL BAR"/>
    <m/>
    <x v="0"/>
    <s v="Septembre 2022 – Février 2023"/>
    <n v="60"/>
    <n v="500"/>
    <x v="3"/>
    <m/>
    <s v="Même arrondissement"/>
    <s v="CMR"/>
    <s v="Cameroun"/>
    <s v="CMR004"/>
    <s v="Extrême-Nord"/>
    <s v="CMR004002"/>
    <s v="Logone-Et-Chari"/>
    <s v="CMR004002006"/>
    <s v="Kousséri"/>
  </r>
  <r>
    <s v="Extrême-Nord"/>
    <s v="CMR004"/>
    <x v="2"/>
    <s v="CMR004002"/>
    <x v="26"/>
    <s v="CMR004002006"/>
    <s v="KOU-0025"/>
    <s v="MASSIL-AL-KANAM"/>
    <m/>
    <x v="0"/>
    <s v="Septembre 2022 – Février 2023"/>
    <n v="10"/>
    <n v="100"/>
    <x v="3"/>
    <m/>
    <s v="Même arrondissement"/>
    <s v="CMR"/>
    <s v="Cameroun"/>
    <s v="CMR004"/>
    <s v="Extrême-Nord"/>
    <s v="CMR004002"/>
    <s v="Logone-Et-Chari"/>
    <s v="CMR004002006"/>
    <s v="Kousséri"/>
  </r>
  <r>
    <s v="Extrême-Nord"/>
    <s v="CMR004"/>
    <x v="2"/>
    <s v="CMR004002"/>
    <x v="26"/>
    <s v="CMR004002006"/>
    <s v="KOU-0011"/>
    <s v="IBOU"/>
    <m/>
    <x v="0"/>
    <s v="Septembre 2022 – Février 2023"/>
    <n v="10"/>
    <n v="30"/>
    <x v="3"/>
    <m/>
    <s v="Même arrondissement"/>
    <s v="CMR"/>
    <s v="Cameroun"/>
    <s v="CMR004"/>
    <s v="Extrême-Nord"/>
    <s v="CMR004002"/>
    <s v="Logone-Et-Chari"/>
    <s v="CMR004002006"/>
    <s v="Kousséri"/>
  </r>
  <r>
    <s v="Extrême-Nord"/>
    <s v="CMR004"/>
    <x v="2"/>
    <s v="CMR004002"/>
    <x v="15"/>
    <s v="CMR004002004"/>
    <s v="LBI-0071"/>
    <s v="MBANAMAMTE"/>
    <m/>
    <x v="0"/>
    <s v="En 2021"/>
    <n v="35"/>
    <n v="75"/>
    <x v="0"/>
    <m/>
    <s v="Même arrondissement"/>
    <s v="CMR"/>
    <s v="Cameroun"/>
    <s v="CMR004"/>
    <s v="Extrême-Nord"/>
    <s v="CMR004002"/>
    <s v="Logone-Et-Chari"/>
    <s v="CMR004002004"/>
    <s v="Logone-Birni"/>
  </r>
  <r>
    <s v="Extrême-Nord"/>
    <s v="CMR004"/>
    <x v="2"/>
    <s v="CMR004002"/>
    <x v="15"/>
    <s v="CMR004002004"/>
    <s v="LBI-0071"/>
    <s v="MBANAMAMTE"/>
    <m/>
    <x v="0"/>
    <s v="Janvier - Aout 2022"/>
    <n v="0"/>
    <n v="5"/>
    <x v="0"/>
    <m/>
    <s v="Même arrondissement"/>
    <s v="CMR"/>
    <s v="Cameroun"/>
    <s v="CMR004"/>
    <s v="Extrême-Nord"/>
    <s v="CMR004002"/>
    <s v="Logone-Et-Chari"/>
    <s v="CMR004002004"/>
    <s v="Logone-Birni"/>
  </r>
  <r>
    <s v="Extrême-Nord"/>
    <s v="CMR004"/>
    <x v="2"/>
    <s v="CMR004002"/>
    <x v="13"/>
    <s v="CMR004002001"/>
    <s v="WAZ-0008"/>
    <s v="TAGAWA 2"/>
    <m/>
    <x v="0"/>
    <s v="Avant 2020"/>
    <n v="6"/>
    <n v="41"/>
    <x v="0"/>
    <m/>
    <s v="Même arrondissement"/>
    <s v="CMR"/>
    <s v="Cameroun"/>
    <s v="CMR004"/>
    <s v="Extrême-Nord"/>
    <s v="CMR004002"/>
    <s v="Logone-Et-Chari"/>
    <s v="CMR004002001"/>
    <s v="Waza"/>
  </r>
  <r>
    <s v="Extrême-Nord"/>
    <s v="CMR004"/>
    <x v="2"/>
    <s v="CMR004002"/>
    <x v="13"/>
    <s v="CMR004002001"/>
    <s v="WAZ-0008"/>
    <s v="TAGAWA 2"/>
    <m/>
    <x v="0"/>
    <s v="En 2020"/>
    <n v="1"/>
    <n v="13"/>
    <x v="0"/>
    <m/>
    <s v="Même arrondissement"/>
    <s v="CMR"/>
    <s v="Cameroun"/>
    <s v="CMR004"/>
    <s v="Extrême-Nord"/>
    <s v="CMR004002"/>
    <s v="Logone-Et-Chari"/>
    <s v="CMR004002001"/>
    <s v="Waza"/>
  </r>
  <r>
    <s v="Extrême-Nord"/>
    <s v="CMR004"/>
    <x v="2"/>
    <s v="CMR004002"/>
    <x v="13"/>
    <s v="CMR004002001"/>
    <s v="WAZ-0008"/>
    <s v="TAGAWA 2"/>
    <m/>
    <x v="0"/>
    <s v="En 2021"/>
    <n v="26"/>
    <n v="117"/>
    <x v="1"/>
    <m/>
    <s v="Autre département"/>
    <s v="CMR"/>
    <s v="Cameroun"/>
    <s v="CMR004"/>
    <s v="Extrême-Nord"/>
    <s v="CMR004003"/>
    <s v="Mayo-Danay"/>
    <m/>
    <m/>
  </r>
  <r>
    <s v="Extrême-Nord"/>
    <s v="CMR004"/>
    <x v="2"/>
    <s v="CMR004002"/>
    <x v="8"/>
    <s v="CMR004002009"/>
    <s v="MAK-0225"/>
    <s v="FOURKOURI"/>
    <m/>
    <x v="0"/>
    <s v="En 2021"/>
    <n v="3"/>
    <n v="30"/>
    <x v="3"/>
    <m/>
    <s v="Même arrondissement"/>
    <s v="CMR"/>
    <s v="Cameroun"/>
    <s v="CMR004"/>
    <s v="Extrême-Nord"/>
    <s v="CMR004002"/>
    <s v="Logone-Et-Chari"/>
    <s v="CMR004002009"/>
    <s v="Makary"/>
  </r>
  <r>
    <s v="Extrême-Nord"/>
    <s v="CMR004"/>
    <x v="1"/>
    <s v="CMR004006"/>
    <x v="1"/>
    <s v="CMR004006002"/>
    <s v="MOK-0001"/>
    <s v="BOUNGUELRE"/>
    <m/>
    <x v="0"/>
    <s v="En 2020"/>
    <n v="3"/>
    <n v="18"/>
    <x v="0"/>
    <m/>
    <s v="Même arrondissement"/>
    <s v="CMR"/>
    <s v="Cameroun"/>
    <s v="CMR004"/>
    <s v="Extrême-Nord"/>
    <s v="CMR004006"/>
    <s v="Mayo-Tsanaga"/>
    <s v="CMR004006002"/>
    <s v="Mokolo"/>
  </r>
  <r>
    <s v="Extrême-Nord"/>
    <s v="CMR004"/>
    <x v="1"/>
    <s v="CMR004006"/>
    <x v="1"/>
    <s v="CMR004006002"/>
    <s v="MOK-0001"/>
    <s v="BOUNGUELRE"/>
    <m/>
    <x v="0"/>
    <s v="En 2021"/>
    <n v="30"/>
    <n v="203"/>
    <x v="0"/>
    <m/>
    <s v="Même arrondissement"/>
    <s v="CMR"/>
    <s v="Cameroun"/>
    <s v="CMR004"/>
    <s v="Extrême-Nord"/>
    <s v="CMR004006"/>
    <s v="Mayo-Tsanaga"/>
    <s v="CMR004006002"/>
    <s v="Mokolo"/>
  </r>
  <r>
    <s v="Extrême-Nord"/>
    <s v="CMR004"/>
    <x v="1"/>
    <s v="CMR004006"/>
    <x v="1"/>
    <s v="CMR004006002"/>
    <s v="MOK-0001"/>
    <s v="BOUNGUELRE"/>
    <m/>
    <x v="0"/>
    <s v="Janvier - Aout 2022"/>
    <n v="19"/>
    <n v="58"/>
    <x v="0"/>
    <m/>
    <s v="Même arrondissement"/>
    <s v="CMR"/>
    <s v="Cameroun"/>
    <s v="CMR004"/>
    <s v="Extrême-Nord"/>
    <s v="CMR004006"/>
    <s v="Mayo-Tsanaga"/>
    <s v="CMR004006002"/>
    <s v="Mokolo"/>
  </r>
  <r>
    <s v="Extrême-Nord"/>
    <s v="CMR004"/>
    <x v="1"/>
    <s v="CMR004006"/>
    <x v="1"/>
    <s v="CMR004006002"/>
    <s v="MOK-0001"/>
    <s v="BOUNGUELRE"/>
    <m/>
    <x v="0"/>
    <s v="Septembre 2022 – Février 2023"/>
    <n v="23"/>
    <n v="212"/>
    <x v="0"/>
    <m/>
    <s v="Même arrondissement"/>
    <s v="CMR"/>
    <s v="Cameroun"/>
    <s v="CMR004"/>
    <s v="Extrême-Nord"/>
    <s v="CMR004006"/>
    <s v="Mayo-Tsanaga"/>
    <s v="CMR004006002"/>
    <s v="Mokolo"/>
  </r>
  <r>
    <s v="Extrême-Nord"/>
    <s v="CMR004"/>
    <x v="2"/>
    <s v="CMR004002"/>
    <x v="9"/>
    <s v="CMR004002010"/>
    <s v="HIL-0014"/>
    <s v="DOLE MILIMI"/>
    <m/>
    <x v="0"/>
    <s v="En 2021"/>
    <n v="14"/>
    <n v="108"/>
    <x v="0"/>
    <m/>
    <s v="Même arrondissement"/>
    <s v="CMR"/>
    <s v="Cameroun"/>
    <s v="CMR004"/>
    <s v="Extrême-Nord"/>
    <s v="CMR004002"/>
    <s v="Logone-Et-Chari"/>
    <s v="CMR004002010"/>
    <s v="Hile-Alifa"/>
  </r>
  <r>
    <s v="Extrême-Nord"/>
    <s v="CMR004"/>
    <x v="2"/>
    <s v="CMR004002"/>
    <x v="9"/>
    <s v="CMR004002010"/>
    <s v="HIL-0014"/>
    <s v="DOLE MILIMI"/>
    <m/>
    <x v="0"/>
    <s v="Janvier - Aout 2022"/>
    <n v="6"/>
    <n v="30"/>
    <x v="0"/>
    <m/>
    <s v="Même arrondissement"/>
    <s v="CMR"/>
    <s v="Cameroun"/>
    <s v="CMR004"/>
    <s v="Extrême-Nord"/>
    <s v="CMR004002"/>
    <s v="Logone-Et-Chari"/>
    <s v="CMR004002010"/>
    <s v="Hile-Alifa"/>
  </r>
  <r>
    <s v="Extrême-Nord"/>
    <s v="CMR004"/>
    <x v="2"/>
    <s v="CMR004002"/>
    <x v="9"/>
    <s v="CMR004002010"/>
    <s v="HIL-0014"/>
    <s v="DOLE MILIMI"/>
    <m/>
    <x v="0"/>
    <s v="Septembre 2022 – Février 2023"/>
    <n v="70"/>
    <n v="420"/>
    <x v="0"/>
    <m/>
    <s v="Même arrondissement"/>
    <s v="CMR"/>
    <s v="Cameroun"/>
    <s v="CMR004"/>
    <s v="Extrême-Nord"/>
    <s v="CMR004002"/>
    <s v="Logone-Et-Chari"/>
    <s v="CMR004002010"/>
    <s v="Hile-Alifa"/>
  </r>
  <r>
    <s v="Extrême-Nord"/>
    <s v="CMR004"/>
    <x v="2"/>
    <s v="CMR004002"/>
    <x v="9"/>
    <s v="CMR004002010"/>
    <s v="HIL-0020"/>
    <s v="WADAK"/>
    <m/>
    <x v="0"/>
    <s v="Avant 2020"/>
    <n v="10"/>
    <n v="78"/>
    <x v="0"/>
    <m/>
    <s v="Même arrondissement"/>
    <s v="CMR"/>
    <s v="Cameroun"/>
    <s v="CMR004"/>
    <s v="Extrême-Nord"/>
    <s v="CMR004002"/>
    <s v="Logone-Et-Chari"/>
    <s v="CMR004002010"/>
    <s v="Hile-Alifa"/>
  </r>
  <r>
    <s v="Extrême-Nord"/>
    <s v="CMR004"/>
    <x v="2"/>
    <s v="CMR004002"/>
    <x v="9"/>
    <s v="CMR004002010"/>
    <s v="HIL-0020"/>
    <s v="WADAK"/>
    <m/>
    <x v="0"/>
    <s v="Janvier - Aout 2022"/>
    <n v="7"/>
    <n v="30"/>
    <x v="0"/>
    <m/>
    <s v="Même arrondissement"/>
    <s v="CMR"/>
    <s v="Cameroun"/>
    <s v="CMR004"/>
    <s v="Extrême-Nord"/>
    <s v="CMR004002"/>
    <s v="Logone-Et-Chari"/>
    <s v="CMR004002010"/>
    <s v="Hile-Alifa"/>
  </r>
  <r>
    <s v="Extrême-Nord"/>
    <s v="CMR004"/>
    <x v="2"/>
    <s v="CMR004002"/>
    <x v="9"/>
    <s v="CMR004002010"/>
    <s v="HIL-0020"/>
    <s v="WADAK"/>
    <m/>
    <x v="0"/>
    <s v="Septembre 2022 – Février 2023"/>
    <n v="70"/>
    <n v="420"/>
    <x v="0"/>
    <m/>
    <s v="Même arrondissement"/>
    <s v="CMR"/>
    <s v="Cameroun"/>
    <s v="CMR004"/>
    <s v="Extrême-Nord"/>
    <s v="CMR004002"/>
    <s v="Logone-Et-Chari"/>
    <s v="CMR004002010"/>
    <s v="Hile-Alifa"/>
  </r>
  <r>
    <s v="Extrême-Nord"/>
    <s v="CMR004"/>
    <x v="2"/>
    <s v="CMR004002"/>
    <x v="8"/>
    <s v="CMR004002009"/>
    <s v="MAK-0090"/>
    <s v="TILDE-ECOLE"/>
    <m/>
    <x v="0"/>
    <s v="Avant 2020"/>
    <n v="61"/>
    <n v="505"/>
    <x v="0"/>
    <m/>
    <s v="Même arrondissement"/>
    <s v="CMR"/>
    <s v="Cameroun"/>
    <s v="CMR004"/>
    <s v="Extrême-Nord"/>
    <s v="CMR004002"/>
    <s v="Logone-Et-Chari"/>
    <s v="CMR004002009"/>
    <s v="Makary"/>
  </r>
  <r>
    <s v="Extrême-Nord"/>
    <s v="CMR004"/>
    <x v="2"/>
    <s v="CMR004002"/>
    <x v="8"/>
    <s v="CMR004002009"/>
    <s v="MAK-0090"/>
    <s v="TILDE-ECOLE"/>
    <m/>
    <x v="0"/>
    <s v="En 2020"/>
    <n v="0"/>
    <n v="19"/>
    <x v="0"/>
    <m/>
    <s v="Même arrondissement"/>
    <s v="CMR"/>
    <s v="Cameroun"/>
    <s v="CMR004"/>
    <s v="Extrême-Nord"/>
    <s v="CMR004002"/>
    <s v="Logone-Et-Chari"/>
    <s v="CMR004002009"/>
    <s v="Makary"/>
  </r>
  <r>
    <s v="Extrême-Nord"/>
    <s v="CMR004"/>
    <x v="2"/>
    <s v="CMR004002"/>
    <x v="8"/>
    <s v="CMR004002009"/>
    <s v="MAK-0090"/>
    <s v="TILDE-ECOLE"/>
    <m/>
    <x v="0"/>
    <s v="Janvier - Aout 2022"/>
    <n v="0"/>
    <n v="13"/>
    <x v="0"/>
    <m/>
    <s v="Même arrondissement"/>
    <s v="CMR"/>
    <s v="Cameroun"/>
    <s v="CMR004"/>
    <s v="Extrême-Nord"/>
    <s v="CMR004002"/>
    <s v="Logone-Et-Chari"/>
    <s v="CMR004002009"/>
    <s v="Makary"/>
  </r>
  <r>
    <s v="Extrême-Nord"/>
    <s v="CMR004"/>
    <x v="2"/>
    <s v="CMR004002"/>
    <x v="8"/>
    <s v="CMR004002009"/>
    <s v="MAK-0090"/>
    <s v="TILDE-ECOLE"/>
    <m/>
    <x v="0"/>
    <s v="Septembre 2022 – Février 2023"/>
    <n v="0"/>
    <n v="5"/>
    <x v="0"/>
    <m/>
    <s v="Même arrondissement"/>
    <s v="CMR"/>
    <s v="Cameroun"/>
    <s v="CMR004"/>
    <s v="Extrême-Nord"/>
    <s v="CMR004002"/>
    <s v="Logone-Et-Chari"/>
    <s v="CMR004002009"/>
    <s v="Makary"/>
  </r>
  <r>
    <s v="Extrême-Nord"/>
    <s v="CMR004"/>
    <x v="2"/>
    <s v="CMR004002"/>
    <x v="12"/>
    <s v="CMR004002002"/>
    <s v="GOU-0021"/>
    <s v="SAO"/>
    <m/>
    <x v="0"/>
    <s v="Avant 2020"/>
    <n v="38"/>
    <n v="238"/>
    <x v="0"/>
    <m/>
    <s v="Même arrondissement"/>
    <s v="CMR"/>
    <s v="Cameroun"/>
    <s v="CMR004"/>
    <s v="Extrême-Nord"/>
    <s v="CMR004002"/>
    <s v="Logone-Et-Chari"/>
    <s v="CMR004002002"/>
    <s v="Goulfey"/>
  </r>
  <r>
    <s v="Extrême-Nord"/>
    <s v="CMR004"/>
    <x v="2"/>
    <s v="CMR004002"/>
    <x v="12"/>
    <s v="CMR004002002"/>
    <s v="GOU-0015"/>
    <s v="MICH-MICH"/>
    <m/>
    <x v="0"/>
    <s v="Avant 2020"/>
    <n v="6"/>
    <n v="30"/>
    <x v="0"/>
    <m/>
    <s v="Même département, autre arrondissement"/>
    <s v="CMR"/>
    <s v="Cameroun"/>
    <s v="CMR004"/>
    <s v="Extrême-Nord"/>
    <s v="CMR004002"/>
    <s v="Logone-Et-Chari"/>
    <s v="CMR004002008"/>
    <s v="Fotokol"/>
  </r>
  <r>
    <s v="Extrême-Nord"/>
    <s v="CMR004"/>
    <x v="2"/>
    <s v="CMR004002"/>
    <x v="12"/>
    <s v="CMR004002002"/>
    <s v="GOU-0027"/>
    <s v="MADINA"/>
    <m/>
    <x v="0"/>
    <s v="Janvier - Aout 2022"/>
    <n v="3"/>
    <n v="19"/>
    <x v="3"/>
    <m/>
    <s v="Même département, autre arrondissement"/>
    <s v="CMR"/>
    <s v="Cameroun"/>
    <s v="CMR004"/>
    <s v="Extrême-Nord"/>
    <s v="CMR004002"/>
    <s v="Logone-Et-Chari"/>
    <s v="CMR004002004"/>
    <s v="Logone-Birni"/>
  </r>
  <r>
    <s v="Extrême-Nord"/>
    <s v="CMR004"/>
    <x v="2"/>
    <s v="CMR004002"/>
    <x v="12"/>
    <s v="CMR004002002"/>
    <s v="GOU-0026"/>
    <s v="LABADO"/>
    <m/>
    <x v="0"/>
    <s v="Avant 2020"/>
    <n v="4"/>
    <n v="29"/>
    <x v="0"/>
    <m/>
    <s v="Même département, autre arrondissement"/>
    <s v="CMR"/>
    <s v="Cameroun"/>
    <s v="CMR004"/>
    <s v="Extrême-Nord"/>
    <s v="CMR004002"/>
    <s v="Logone-Et-Chari"/>
    <s v="CMR004002008"/>
    <s v="Fotokol"/>
  </r>
  <r>
    <s v="Extrême-Nord"/>
    <s v="CMR004"/>
    <x v="2"/>
    <s v="CMR004002"/>
    <x v="8"/>
    <s v="CMR004002009"/>
    <s v="MAK-0138"/>
    <s v="GOURLE 2"/>
    <m/>
    <x v="0"/>
    <s v="Janvier - Aout 2022"/>
    <n v="4"/>
    <n v="46"/>
    <x v="0"/>
    <m/>
    <s v="Même arrondissement"/>
    <s v="CMR"/>
    <s v="Cameroun"/>
    <s v="CMR004"/>
    <s v="Extrême-Nord"/>
    <s v="CMR004002"/>
    <s v="Logone-Et-Chari"/>
    <s v="CMR004002009"/>
    <s v="Makary"/>
  </r>
  <r>
    <s v="Extrême-Nord"/>
    <s v="CMR004"/>
    <x v="2"/>
    <s v="CMR004002"/>
    <x v="8"/>
    <s v="CMR004002009"/>
    <s v="MAK-0211"/>
    <s v="BHARAM"/>
    <m/>
    <x v="0"/>
    <s v="Janvier - Aout 2022"/>
    <n v="6"/>
    <n v="28"/>
    <x v="0"/>
    <m/>
    <s v="Même arrondissement"/>
    <s v="CMR"/>
    <s v="Cameroun"/>
    <s v="CMR004"/>
    <s v="Extrême-Nord"/>
    <s v="CMR004002"/>
    <s v="Logone-Et-Chari"/>
    <s v="CMR004002009"/>
    <s v="Makary"/>
  </r>
  <r>
    <s v="Extrême-Nord"/>
    <s v="CMR004"/>
    <x v="2"/>
    <s v="CMR004002"/>
    <x v="8"/>
    <s v="CMR004002009"/>
    <s v="XXXX"/>
    <s v="SITE DE BIAMO"/>
    <s v="SITE DE BIAMO"/>
    <x v="0"/>
    <s v="Septembre 2022 – Février 2023"/>
    <n v="100"/>
    <n v="200"/>
    <x v="3"/>
    <m/>
    <s v="Même arrondissement"/>
    <s v="CMR"/>
    <s v="Cameroun"/>
    <s v="CMR004"/>
    <s v="Extrême-Nord"/>
    <s v="CMR004002"/>
    <s v="Logone-Et-Chari"/>
    <s v="CMR004002009"/>
    <s v="Makary"/>
  </r>
  <r>
    <s v="Extrême-Nord"/>
    <s v="CMR004"/>
    <x v="2"/>
    <s v="CMR004002"/>
    <x v="8"/>
    <s v="CMR004002009"/>
    <s v="MAK-0012"/>
    <s v="BADRA"/>
    <m/>
    <x v="0"/>
    <s v="Janvier - Aout 2022"/>
    <n v="2"/>
    <n v="13"/>
    <x v="0"/>
    <m/>
    <s v="Même département, autre arrondissement"/>
    <s v="CMR"/>
    <s v="Cameroun"/>
    <s v="CMR004"/>
    <s v="Extrême-Nord"/>
    <s v="CMR004002"/>
    <s v="Logone-Et-Chari"/>
    <s v="CMR004002007"/>
    <s v="Darak"/>
  </r>
  <r>
    <s v="Extrême-Nord"/>
    <s v="CMR004"/>
    <x v="2"/>
    <s v="CMR004002"/>
    <x v="8"/>
    <s v="CMR004002009"/>
    <s v="MAK-0012"/>
    <s v="BADRA"/>
    <m/>
    <x v="0"/>
    <s v="Septembre 2022 – Février 2023"/>
    <n v="6"/>
    <n v="25"/>
    <x v="0"/>
    <m/>
    <s v="Même département, autre arrondissement"/>
    <s v="CMR"/>
    <s v="Cameroun"/>
    <s v="CMR004"/>
    <s v="Extrême-Nord"/>
    <s v="CMR004002"/>
    <s v="Logone-Et-Chari"/>
    <s v="CMR004002008"/>
    <s v="Fotokol"/>
  </r>
  <r>
    <s v="Extrême-Nord"/>
    <s v="CMR004"/>
    <x v="2"/>
    <s v="CMR004002"/>
    <x v="8"/>
    <s v="CMR004002009"/>
    <s v="MAK-0018"/>
    <s v="BLAHE"/>
    <m/>
    <x v="0"/>
    <s v="Janvier - Aout 2022"/>
    <n v="11"/>
    <n v="54"/>
    <x v="0"/>
    <m/>
    <s v="Même département, autre arrondissement"/>
    <s v="CMR"/>
    <s v="Cameroun"/>
    <s v="CMR004"/>
    <s v="Extrême-Nord"/>
    <s v="CMR004002"/>
    <s v="Logone-Et-Chari"/>
    <s v="CMR004002007"/>
    <s v="Darak"/>
  </r>
  <r>
    <s v="Extrême-Nord"/>
    <s v="CMR004"/>
    <x v="2"/>
    <s v="CMR004002"/>
    <x v="8"/>
    <s v="CMR004002009"/>
    <s v="MAK-0018"/>
    <s v="BLAHE"/>
    <m/>
    <x v="0"/>
    <s v="Septembre 2022 – Février 2023"/>
    <n v="3"/>
    <n v="16"/>
    <x v="0"/>
    <m/>
    <s v="Même département, autre arrondissement"/>
    <s v="CMR"/>
    <s v="Cameroun"/>
    <s v="CMR004"/>
    <s v="Extrême-Nord"/>
    <s v="CMR004002"/>
    <s v="Logone-Et-Chari"/>
    <s v="CMR004002008"/>
    <s v="Fotokol"/>
  </r>
  <r>
    <s v="Extrême-Nord"/>
    <s v="CMR004"/>
    <x v="2"/>
    <s v="CMR004002"/>
    <x v="8"/>
    <s v="CMR004002009"/>
    <s v="MAK-0079"/>
    <s v="NDODOHE KALIA"/>
    <m/>
    <x v="0"/>
    <s v="Janvier - Aout 2022"/>
    <n v="3"/>
    <n v="15"/>
    <x v="0"/>
    <m/>
    <s v="Même département, autre arrondissement"/>
    <s v="CMR"/>
    <s v="Cameroun"/>
    <s v="CMR004"/>
    <s v="Extrême-Nord"/>
    <s v="CMR004002"/>
    <s v="Logone-Et-Chari"/>
    <s v="CMR004002007"/>
    <s v="Darak"/>
  </r>
  <r>
    <s v="Extrême-Nord"/>
    <s v="CMR004"/>
    <x v="2"/>
    <s v="CMR004002"/>
    <x v="8"/>
    <s v="CMR004002009"/>
    <s v="MAK-0079"/>
    <s v="NDODOHE KALIA"/>
    <m/>
    <x v="0"/>
    <s v="Septembre 2022 – Février 2023"/>
    <n v="4"/>
    <n v="26"/>
    <x v="0"/>
    <m/>
    <s v="Même département, autre arrondissement"/>
    <s v="CMR"/>
    <s v="Cameroun"/>
    <s v="CMR004"/>
    <s v="Extrême-Nord"/>
    <s v="CMR004002"/>
    <s v="Logone-Et-Chari"/>
    <s v="CMR004002002"/>
    <s v="Goulfey"/>
  </r>
  <r>
    <s v="Extrême-Nord"/>
    <s v="CMR004"/>
    <x v="2"/>
    <s v="CMR004002"/>
    <x v="8"/>
    <s v="CMR004002009"/>
    <s v="MAK-0080"/>
    <s v="NDODOHE YOUSSOUF"/>
    <m/>
    <x v="0"/>
    <s v="Janvier - Aout 2022"/>
    <n v="6"/>
    <n v="56"/>
    <x v="0"/>
    <m/>
    <s v="Même département, autre arrondissement"/>
    <s v="CMR"/>
    <s v="Cameroun"/>
    <s v="CMR004"/>
    <s v="Extrême-Nord"/>
    <s v="CMR004002"/>
    <s v="Logone-Et-Chari"/>
    <s v="CMR004002007"/>
    <s v="Darak"/>
  </r>
  <r>
    <s v="Extrême-Nord"/>
    <s v="CMR004"/>
    <x v="2"/>
    <s v="CMR004002"/>
    <x v="8"/>
    <s v="CMR004002009"/>
    <s v="MAK-0080"/>
    <s v="NDODOHE YOUSSOUF"/>
    <m/>
    <x v="0"/>
    <s v="Septembre 2022 – Février 2023"/>
    <n v="8"/>
    <n v="48"/>
    <x v="0"/>
    <m/>
    <s v="Même département, autre arrondissement"/>
    <s v="CMR"/>
    <s v="Cameroun"/>
    <s v="CMR004"/>
    <s v="Extrême-Nord"/>
    <s v="CMR004002"/>
    <s v="Logone-Et-Chari"/>
    <s v="CMR004002002"/>
    <s v="Goulfey"/>
  </r>
  <r>
    <s v="Extrême-Nord"/>
    <s v="CMR004"/>
    <x v="2"/>
    <s v="CMR004002"/>
    <x v="8"/>
    <s v="CMR004002009"/>
    <s v="MAK-0219"/>
    <s v="FADJE"/>
    <m/>
    <x v="0"/>
    <s v="Janvier - Aout 2022"/>
    <n v="4"/>
    <n v="17"/>
    <x v="0"/>
    <m/>
    <s v="Même département, autre arrondissement"/>
    <s v="CMR"/>
    <s v="Cameroun"/>
    <s v="CMR004"/>
    <s v="Extrême-Nord"/>
    <s v="CMR004002"/>
    <s v="Logone-Et-Chari"/>
    <s v="CMR004002007"/>
    <s v="Darak"/>
  </r>
  <r>
    <s v="Extrême-Nord"/>
    <s v="CMR004"/>
    <x v="2"/>
    <s v="CMR004002"/>
    <x v="8"/>
    <s v="CMR004002009"/>
    <s v="MAK-0219"/>
    <s v="FADJE"/>
    <m/>
    <x v="0"/>
    <s v="Septembre 2022 – Février 2023"/>
    <n v="11"/>
    <n v="68"/>
    <x v="0"/>
    <m/>
    <s v="Même département, autre arrondissement"/>
    <s v="CMR"/>
    <s v="Cameroun"/>
    <s v="CMR004"/>
    <s v="Extrême-Nord"/>
    <s v="CMR004002"/>
    <s v="Logone-Et-Chari"/>
    <s v="CMR004002008"/>
    <s v="Fotokol"/>
  </r>
  <r>
    <s v="Extrême-Nord"/>
    <s v="CMR004"/>
    <x v="2"/>
    <s v="CMR004002"/>
    <x v="8"/>
    <s v="CMR004002009"/>
    <s v="MAK-0042"/>
    <s v="GOURGOURA"/>
    <m/>
    <x v="0"/>
    <s v="Janvier - Aout 2022"/>
    <n v="10"/>
    <n v="39"/>
    <x v="0"/>
    <m/>
    <s v="Même département, autre arrondissement"/>
    <s v="CMR"/>
    <s v="Cameroun"/>
    <s v="CMR004"/>
    <s v="Extrême-Nord"/>
    <s v="CMR004002"/>
    <s v="Logone-Et-Chari"/>
    <s v="CMR004002007"/>
    <s v="Darak"/>
  </r>
  <r>
    <s v="Extrême-Nord"/>
    <s v="CMR004"/>
    <x v="2"/>
    <s v="CMR004002"/>
    <x v="8"/>
    <s v="CMR004002009"/>
    <s v="MAK-0042"/>
    <s v="GOURGOURA"/>
    <m/>
    <x v="0"/>
    <s v="Septembre 2022 – Février 2023"/>
    <n v="10"/>
    <n v="76"/>
    <x v="0"/>
    <m/>
    <s v="Même département, autre arrondissement"/>
    <s v="CMR"/>
    <s v="Cameroun"/>
    <s v="CMR004"/>
    <s v="Extrême-Nord"/>
    <s v="CMR004002"/>
    <s v="Logone-Et-Chari"/>
    <s v="CMR004002008"/>
    <s v="Fotokol"/>
  </r>
  <r>
    <s v="Extrême-Nord"/>
    <s v="CMR004"/>
    <x v="3"/>
    <s v="CMR004003"/>
    <x v="31"/>
    <s v="CMR004003006"/>
    <s v="GUM-0001"/>
    <s v="BANGALA"/>
    <m/>
    <x v="0"/>
    <s v="Septembre 2022 – Février 2023"/>
    <n v="35"/>
    <n v="285"/>
    <x v="3"/>
    <m/>
    <s v="Même arrondissement"/>
    <s v="CMR"/>
    <s v="Cameroun"/>
    <s v="CMR004"/>
    <s v="Extrême-Nord"/>
    <s v="CMR004003"/>
    <s v="Mayo-Danay"/>
    <s v="CMR004003006"/>
    <s v="Guémé"/>
  </r>
  <r>
    <s v="Extrême-Nord"/>
    <s v="CMR004"/>
    <x v="2"/>
    <s v="CMR004002"/>
    <x v="8"/>
    <s v="CMR004002009"/>
    <s v="MAK-0092"/>
    <s v="WACHAMO"/>
    <m/>
    <x v="0"/>
    <s v="Avant 2020"/>
    <n v="16"/>
    <n v="86"/>
    <x v="0"/>
    <m/>
    <s v="Même département, autre arrondissement"/>
    <s v="CMR"/>
    <s v="Cameroun"/>
    <s v="CMR004"/>
    <s v="Extrême-Nord"/>
    <s v="CMR004002"/>
    <s v="Logone-Et-Chari"/>
    <s v="CMR004002008"/>
    <s v="Fotokol"/>
  </r>
  <r>
    <s v="Extrême-Nord"/>
    <s v="CMR004"/>
    <x v="2"/>
    <s v="CMR004002"/>
    <x v="8"/>
    <s v="CMR004002009"/>
    <s v="MAK-0092"/>
    <s v="WACHAMO"/>
    <m/>
    <x v="0"/>
    <s v="En 2021"/>
    <n v="0"/>
    <n v="8"/>
    <x v="0"/>
    <m/>
    <s v="Même département, autre arrondissement"/>
    <s v="CMR"/>
    <s v="Cameroun"/>
    <s v="CMR004"/>
    <s v="Extrême-Nord"/>
    <s v="CMR004002"/>
    <s v="Logone-Et-Chari"/>
    <s v="CMR004002008"/>
    <s v="Fotokol"/>
  </r>
  <r>
    <s v="Extrême-Nord"/>
    <s v="CMR004"/>
    <x v="2"/>
    <s v="CMR004002"/>
    <x v="26"/>
    <s v="CMR004002006"/>
    <s v="KOU-0013"/>
    <s v="KOULKADA"/>
    <m/>
    <x v="0"/>
    <s v="Avant 2020"/>
    <n v="50"/>
    <n v="200"/>
    <x v="0"/>
    <m/>
    <s v="Même département, autre arrondissement"/>
    <s v="CMR"/>
    <s v="Cameroun"/>
    <s v="CMR004"/>
    <s v="Extrême-Nord"/>
    <s v="CMR004002"/>
    <s v="Logone-Et-Chari"/>
    <s v="CMR004002008"/>
    <s v="Fotokol"/>
  </r>
  <r>
    <s v="Extrême-Nord"/>
    <s v="CMR004"/>
    <x v="2"/>
    <s v="CMR004002"/>
    <x v="26"/>
    <s v="CMR004002006"/>
    <s v="KOU-0013"/>
    <s v="KOULKADA"/>
    <m/>
    <x v="0"/>
    <s v="Septembre 2022 – Février 2023"/>
    <n v="10"/>
    <n v="55"/>
    <x v="3"/>
    <m/>
    <s v="Même arrondissement"/>
    <s v="CMR"/>
    <s v="Cameroun"/>
    <s v="CMR004"/>
    <s v="Extrême-Nord"/>
    <s v="CMR004002"/>
    <s v="Logone-Et-Chari"/>
    <s v="CMR004002006"/>
    <s v="Kousséri"/>
  </r>
  <r>
    <s v="Extrême-Nord"/>
    <s v="CMR004"/>
    <x v="3"/>
    <s v="CMR004003"/>
    <x v="31"/>
    <s v="CMR004003006"/>
    <s v="GUM-0002"/>
    <s v="GUEME"/>
    <m/>
    <x v="0"/>
    <s v="Septembre 2022 – Février 2023"/>
    <n v="41"/>
    <n v="454"/>
    <x v="3"/>
    <m/>
    <s v="Même arrondissement"/>
    <s v="CMR"/>
    <s v="Cameroun"/>
    <s v="CMR004"/>
    <s v="Extrême-Nord"/>
    <s v="CMR004003"/>
    <s v="Mayo-Danay"/>
    <s v="CMR004003006"/>
    <s v="Guémé"/>
  </r>
  <r>
    <s v="Extrême-Nord"/>
    <s v="CMR004"/>
    <x v="4"/>
    <s v="CMR004005"/>
    <x v="19"/>
    <s v="CMR004005001"/>
    <s v="XXXX"/>
    <s v="SITE DE GAKARA"/>
    <s v="SITE DE GAKARA"/>
    <x v="0"/>
    <s v="Septembre 2022 – Février 2023"/>
    <n v="200"/>
    <n v="600"/>
    <x v="0"/>
    <m/>
    <s v="Même arrondissement"/>
    <s v="CMR"/>
    <s v="Cameroun"/>
    <s v="CMR004"/>
    <s v="Extrême-Nord"/>
    <s v="CMR004005"/>
    <s v="Mayo-Sava"/>
    <s v="CMR004005001"/>
    <s v="Kolofata"/>
  </r>
  <r>
    <s v="Extrême-Nord"/>
    <s v="CMR004"/>
    <x v="4"/>
    <s v="CMR004005"/>
    <x v="19"/>
    <s v="CMR004005001"/>
    <s v="KOL-0001"/>
    <s v="AMCHIDE"/>
    <m/>
    <x v="0"/>
    <s v="Septembre 2022 – Février 2023"/>
    <n v="117"/>
    <n v="868"/>
    <x v="0"/>
    <m/>
    <s v="Même arrondissement"/>
    <s v="CMR"/>
    <s v="Cameroun"/>
    <s v="CMR004"/>
    <s v="Extrême-Nord"/>
    <s v="CMR004005"/>
    <s v="Mayo-Sava"/>
    <s v="CMR004005001"/>
    <s v="Kolofata"/>
  </r>
  <r>
    <s v="Extrême-Nord"/>
    <s v="CMR004"/>
    <x v="4"/>
    <s v="CMR004005"/>
    <x v="19"/>
    <s v="CMR004005001"/>
    <s v="KOL-0001"/>
    <s v="AMCHIDE"/>
    <m/>
    <x v="0"/>
    <s v="Avant 2020"/>
    <n v="627"/>
    <n v="4445"/>
    <x v="0"/>
    <m/>
    <s v="Même arrondissement"/>
    <s v="CMR"/>
    <s v="Cameroun"/>
    <s v="CMR004"/>
    <s v="Extrême-Nord"/>
    <s v="CMR004005"/>
    <s v="Mayo-Sava"/>
    <s v="CMR004005001"/>
    <s v="Kolofata"/>
  </r>
  <r>
    <s v="Extrême-Nord"/>
    <s v="CMR004"/>
    <x v="4"/>
    <s v="CMR004005"/>
    <x v="19"/>
    <s v="CMR004005001"/>
    <s v="KOL-0001"/>
    <s v="AMCHIDE"/>
    <m/>
    <x v="0"/>
    <s v="En 2020"/>
    <n v="0"/>
    <n v="34"/>
    <x v="0"/>
    <m/>
    <s v="Même arrondissement"/>
    <s v="CMR"/>
    <s v="Cameroun"/>
    <s v="CMR004"/>
    <s v="Extrême-Nord"/>
    <s v="CMR004005"/>
    <s v="Mayo-Sava"/>
    <s v="CMR004005001"/>
    <s v="Kolofata"/>
  </r>
  <r>
    <s v="Extrême-Nord"/>
    <s v="CMR004"/>
    <x v="4"/>
    <s v="CMR004005"/>
    <x v="19"/>
    <s v="CMR004005001"/>
    <s v="KOL-0001"/>
    <s v="AMCHIDE"/>
    <m/>
    <x v="0"/>
    <s v="En 2021"/>
    <n v="0"/>
    <n v="51"/>
    <x v="0"/>
    <m/>
    <s v="Même arrondissement"/>
    <s v="CMR"/>
    <s v="Cameroun"/>
    <s v="CMR004"/>
    <s v="Extrême-Nord"/>
    <s v="CMR004005"/>
    <s v="Mayo-Sava"/>
    <s v="CMR004005001"/>
    <s v="Kolofata"/>
  </r>
  <r>
    <s v="Extrême-Nord"/>
    <s v="CMR004"/>
    <x v="4"/>
    <s v="CMR004005"/>
    <x v="19"/>
    <s v="CMR004005001"/>
    <s v="KOL-0001"/>
    <s v="AMCHIDE"/>
    <m/>
    <x v="0"/>
    <s v="Janvier - Aout 2022"/>
    <n v="0"/>
    <n v="60"/>
    <x v="0"/>
    <m/>
    <s v="Même arrondissement"/>
    <s v="CMR"/>
    <s v="Cameroun"/>
    <s v="CMR004"/>
    <s v="Extrême-Nord"/>
    <s v="CMR004005"/>
    <s v="Mayo-Sava"/>
    <s v="CMR004005001"/>
    <s v="Kolofata"/>
  </r>
  <r>
    <s v="Extrême-Nord"/>
    <s v="CMR004"/>
    <x v="4"/>
    <s v="CMR004005"/>
    <x v="29"/>
    <s v="CMR004005003"/>
    <s v="TOK-0005"/>
    <s v="MBZAGABAI"/>
    <m/>
    <x v="0"/>
    <s v="Septembre 2022 – Février 2023"/>
    <n v="4"/>
    <n v="32"/>
    <x v="0"/>
    <m/>
    <s v="Même arrondissement"/>
    <s v="CMR"/>
    <s v="Cameroun"/>
    <s v="CMR004"/>
    <s v="Extrême-Nord"/>
    <s v="CMR004005"/>
    <s v="Mayo-Sava"/>
    <s v="CMR004005003"/>
    <s v="Tokombéré"/>
  </r>
  <r>
    <s v="Extrême-Nord"/>
    <s v="CMR004"/>
    <x v="4"/>
    <s v="CMR004005"/>
    <x v="29"/>
    <s v="CMR004005003"/>
    <s v="TOK-0005"/>
    <s v="MBZAGABAI"/>
    <m/>
    <x v="0"/>
    <s v="Avant 2020"/>
    <n v="10"/>
    <n v="136"/>
    <x v="0"/>
    <m/>
    <s v="Même arrondissement"/>
    <s v="CMR"/>
    <s v="Cameroun"/>
    <s v="CMR004"/>
    <s v="Extrême-Nord"/>
    <s v="CMR004005"/>
    <s v="Mayo-Sava"/>
    <s v="CMR004005003"/>
    <s v="Tokombéré"/>
  </r>
  <r>
    <s v="Extrême-Nord"/>
    <s v="CMR004"/>
    <x v="4"/>
    <s v="CMR004005"/>
    <x v="29"/>
    <s v="CMR004005003"/>
    <s v="TOK-0005"/>
    <s v="MBZAGABAI"/>
    <m/>
    <x v="0"/>
    <s v="En 2020"/>
    <n v="0"/>
    <n v="15"/>
    <x v="0"/>
    <m/>
    <s v="Même arrondissement"/>
    <s v="CMR"/>
    <s v="Cameroun"/>
    <s v="CMR004"/>
    <s v="Extrême-Nord"/>
    <s v="CMR004005"/>
    <s v="Mayo-Sava"/>
    <s v="CMR004005003"/>
    <s v="Tokombéré"/>
  </r>
  <r>
    <s v="Extrême-Nord"/>
    <s v="CMR004"/>
    <x v="4"/>
    <s v="CMR004005"/>
    <x v="29"/>
    <s v="CMR004005003"/>
    <s v="TOK-0005"/>
    <s v="MBZAGABAI"/>
    <m/>
    <x v="0"/>
    <s v="En 2021"/>
    <n v="0"/>
    <n v="43"/>
    <x v="0"/>
    <m/>
    <s v="Même arrondissement"/>
    <s v="CMR"/>
    <s v="Cameroun"/>
    <s v="CMR004"/>
    <s v="Extrême-Nord"/>
    <s v="CMR004005"/>
    <s v="Mayo-Sava"/>
    <s v="CMR004005003"/>
    <s v="Tokombéré"/>
  </r>
  <r>
    <s v="Extrême-Nord"/>
    <s v="CMR004"/>
    <x v="4"/>
    <s v="CMR004005"/>
    <x v="29"/>
    <s v="CMR004005003"/>
    <s v="TOK-0005"/>
    <s v="MBZAGABAI"/>
    <m/>
    <x v="0"/>
    <s v="Janvier - Aout 2022"/>
    <n v="0"/>
    <n v="6"/>
    <x v="0"/>
    <m/>
    <s v="Même arrondissement"/>
    <s v="CMR"/>
    <s v="Cameroun"/>
    <s v="CMR004"/>
    <s v="Extrême-Nord"/>
    <s v="CMR004005"/>
    <s v="Mayo-Sava"/>
    <s v="CMR004005003"/>
    <s v="Tokombéré"/>
  </r>
  <r>
    <s v="Extrême-Nord"/>
    <s v="CMR004"/>
    <x v="4"/>
    <s v="CMR004005"/>
    <x v="29"/>
    <s v="CMR004005003"/>
    <s v="TOK-0012"/>
    <s v="DAKADALA GADADOU"/>
    <m/>
    <x v="0"/>
    <s v="Septembre 2022 – Février 2023"/>
    <n v="0"/>
    <n v="2"/>
    <x v="0"/>
    <m/>
    <s v="Même arrondissement"/>
    <s v="CMR"/>
    <s v="Cameroun"/>
    <s v="CMR004"/>
    <s v="Extrême-Nord"/>
    <s v="CMR004005"/>
    <s v="Mayo-Sava"/>
    <s v="CMR004005003"/>
    <s v="Tokombéré"/>
  </r>
  <r>
    <s v="Extrême-Nord"/>
    <s v="CMR004"/>
    <x v="4"/>
    <s v="CMR004005"/>
    <x v="29"/>
    <s v="CMR004005003"/>
    <s v="TOK-0012"/>
    <s v="DAKADALA GADADOU"/>
    <m/>
    <x v="0"/>
    <s v="En 2020"/>
    <n v="1"/>
    <n v="36"/>
    <x v="0"/>
    <m/>
    <s v="Même arrondissement"/>
    <s v="CMR"/>
    <s v="Cameroun"/>
    <s v="CMR004"/>
    <s v="Extrême-Nord"/>
    <s v="CMR004005"/>
    <s v="Mayo-Sava"/>
    <s v="CMR004005003"/>
    <s v="Tokombéré"/>
  </r>
  <r>
    <s v="Extrême-Nord"/>
    <s v="CMR004"/>
    <x v="4"/>
    <s v="CMR004005"/>
    <x v="29"/>
    <s v="CMR004005003"/>
    <s v="TOK-0012"/>
    <s v="DAKADALA GADADOU"/>
    <m/>
    <x v="0"/>
    <s v="En 2021"/>
    <n v="0"/>
    <n v="13"/>
    <x v="0"/>
    <m/>
    <s v="Même arrondissement"/>
    <s v="CMR"/>
    <s v="Cameroun"/>
    <s v="CMR004"/>
    <s v="Extrême-Nord"/>
    <s v="CMR004005"/>
    <s v="Mayo-Sava"/>
    <s v="CMR004005003"/>
    <s v="Tokombéré"/>
  </r>
  <r>
    <s v="Extrême-Nord"/>
    <s v="CMR004"/>
    <x v="4"/>
    <s v="CMR004005"/>
    <x v="29"/>
    <s v="CMR004005003"/>
    <s v="TOK-0012"/>
    <s v="DAKADALA GADADOU"/>
    <m/>
    <x v="0"/>
    <s v="Janvier - Aout 2022"/>
    <n v="0"/>
    <n v="10"/>
    <x v="0"/>
    <m/>
    <s v="Même arrondissement"/>
    <s v="CMR"/>
    <s v="Cameroun"/>
    <s v="CMR004"/>
    <s v="Extrême-Nord"/>
    <s v="CMR004005"/>
    <s v="Mayo-Sava"/>
    <s v="CMR004005003"/>
    <s v="Tokombéré"/>
  </r>
  <r>
    <s v="Extrême-Nord"/>
    <s v="CMR004"/>
    <x v="4"/>
    <s v="CMR004005"/>
    <x v="29"/>
    <s v="CMR004005003"/>
    <s v="TOK-0015"/>
    <s v="BALA"/>
    <m/>
    <x v="0"/>
    <s v="Septembre 2022 – Février 2023"/>
    <n v="0"/>
    <n v="1"/>
    <x v="0"/>
    <m/>
    <s v="Même arrondissement"/>
    <s v="CMR"/>
    <s v="Cameroun"/>
    <s v="CMR004"/>
    <s v="Extrême-Nord"/>
    <s v="CMR004005"/>
    <s v="Mayo-Sava"/>
    <s v="CMR004005003"/>
    <s v="Tokombéré"/>
  </r>
  <r>
    <s v="Extrême-Nord"/>
    <s v="CMR004"/>
    <x v="4"/>
    <s v="CMR004005"/>
    <x v="29"/>
    <s v="CMR004005003"/>
    <s v="TOK-0015"/>
    <s v="BALA"/>
    <m/>
    <x v="0"/>
    <s v="Avant 2020"/>
    <n v="3"/>
    <n v="21"/>
    <x v="0"/>
    <m/>
    <s v="Même arrondissement"/>
    <s v="CMR"/>
    <s v="Cameroun"/>
    <s v="CMR004"/>
    <s v="Extrême-Nord"/>
    <s v="CMR004005"/>
    <s v="Mayo-Sava"/>
    <s v="CMR004005003"/>
    <s v="Tokombéré"/>
  </r>
  <r>
    <s v="Extrême-Nord"/>
    <s v="CMR004"/>
    <x v="4"/>
    <s v="CMR004005"/>
    <x v="29"/>
    <s v="CMR004005003"/>
    <s v="TOK-0015"/>
    <s v="BALA"/>
    <m/>
    <x v="0"/>
    <s v="En 2020"/>
    <n v="1"/>
    <n v="6"/>
    <x v="0"/>
    <m/>
    <s v="Même arrondissement"/>
    <s v="CMR"/>
    <s v="Cameroun"/>
    <s v="CMR004"/>
    <s v="Extrême-Nord"/>
    <s v="CMR004005"/>
    <s v="Mayo-Sava"/>
    <s v="CMR004005003"/>
    <s v="Tokombéré"/>
  </r>
  <r>
    <s v="Extrême-Nord"/>
    <s v="CMR004"/>
    <x v="4"/>
    <s v="CMR004005"/>
    <x v="29"/>
    <s v="CMR004005003"/>
    <s v="TOK-0015"/>
    <s v="BALA"/>
    <m/>
    <x v="0"/>
    <s v="En 2021"/>
    <n v="0"/>
    <n v="20"/>
    <x v="0"/>
    <m/>
    <s v="Même arrondissement"/>
    <s v="CMR"/>
    <s v="Cameroun"/>
    <s v="CMR004"/>
    <s v="Extrême-Nord"/>
    <s v="CMR004005"/>
    <s v="Mayo-Sava"/>
    <s v="CMR004005003"/>
    <s v="Tokombéré"/>
  </r>
  <r>
    <s v="Extrême-Nord"/>
    <s v="CMR004"/>
    <x v="4"/>
    <s v="CMR004005"/>
    <x v="29"/>
    <s v="CMR004005003"/>
    <s v="TOK-0015"/>
    <s v="BALA"/>
    <m/>
    <x v="0"/>
    <s v="Janvier - Aout 2022"/>
    <n v="0"/>
    <n v="2"/>
    <x v="0"/>
    <m/>
    <s v="Même arrondissement"/>
    <s v="CMR"/>
    <s v="Cameroun"/>
    <s v="CMR004"/>
    <s v="Extrême-Nord"/>
    <s v="CMR004005"/>
    <s v="Mayo-Sava"/>
    <s v="CMR004005003"/>
    <s v="Tokombéré"/>
  </r>
  <r>
    <s v="Extrême-Nord"/>
    <s v="CMR004"/>
    <x v="2"/>
    <s v="CMR004002"/>
    <x v="25"/>
    <s v="CMR004002008"/>
    <s v="FOT-0006"/>
    <s v="FOTOKOL VILLE"/>
    <m/>
    <x v="0"/>
    <s v="En 2020"/>
    <n v="2"/>
    <n v="10"/>
    <x v="0"/>
    <m/>
    <s v="Même arrondissement"/>
    <s v="CMR"/>
    <s v="Cameroun"/>
    <s v="CMR004"/>
    <s v="Extrême-Nord"/>
    <s v="CMR004002"/>
    <s v="Logone-Et-Chari"/>
    <s v="CMR004002008"/>
    <s v="Fotokol"/>
  </r>
  <r>
    <s v="Extrême-Nord"/>
    <s v="CMR004"/>
    <x v="2"/>
    <s v="CMR004002"/>
    <x v="25"/>
    <s v="CMR004002008"/>
    <s v="FOT-0006"/>
    <s v="FOTOKOL VILLE"/>
    <m/>
    <x v="0"/>
    <s v="Avant 2020"/>
    <n v="2392"/>
    <n v="12370"/>
    <x v="0"/>
    <m/>
    <s v="Même arrondissement"/>
    <s v="CMR"/>
    <s v="Cameroun"/>
    <s v="CMR004"/>
    <s v="Extrême-Nord"/>
    <s v="CMR004002"/>
    <s v="Logone-Et-Chari"/>
    <s v="CMR004002008"/>
    <s v="Fotokol"/>
  </r>
  <r>
    <s v="Extrême-Nord"/>
    <s v="CMR004"/>
    <x v="3"/>
    <s v="CMR004003"/>
    <x v="11"/>
    <s v="CMR004003002"/>
    <s v="MAG-0009"/>
    <s v="ARGAZAMA"/>
    <m/>
    <x v="0"/>
    <s v="Avant 2020"/>
    <n v="10"/>
    <n v="43"/>
    <x v="3"/>
    <m/>
    <s v="Même arrondissement"/>
    <s v="CMR"/>
    <s v="Cameroun"/>
    <s v="CMR004"/>
    <s v="Extrême-Nord"/>
    <s v="CMR004003"/>
    <s v="Mayo-Danay"/>
    <s v="CMR004003002"/>
    <s v="Maga"/>
  </r>
  <r>
    <s v="Extrême-Nord"/>
    <s v="CMR004"/>
    <x v="3"/>
    <s v="CMR004003"/>
    <x v="11"/>
    <s v="CMR004003002"/>
    <s v="MAG-0009"/>
    <s v="ARGAZAMA"/>
    <m/>
    <x v="0"/>
    <s v="En 2020"/>
    <n v="0"/>
    <n v="8"/>
    <x v="3"/>
    <m/>
    <s v="Même arrondissement"/>
    <s v="CMR"/>
    <s v="Cameroun"/>
    <s v="CMR004"/>
    <s v="Extrême-Nord"/>
    <s v="CMR004003"/>
    <s v="Mayo-Danay"/>
    <s v="CMR004003002"/>
    <s v="Maga"/>
  </r>
  <r>
    <s v="Extrême-Nord"/>
    <s v="CMR004"/>
    <x v="3"/>
    <s v="CMR004003"/>
    <x v="11"/>
    <s v="CMR004003002"/>
    <s v="MAG-0009"/>
    <s v="ARGAZAMA"/>
    <m/>
    <x v="0"/>
    <s v="Janvier - Aout 2022"/>
    <n v="0"/>
    <n v="2"/>
    <x v="3"/>
    <m/>
    <s v="Même arrondissement"/>
    <s v="CMR"/>
    <s v="Cameroun"/>
    <s v="CMR004"/>
    <s v="Extrême-Nord"/>
    <s v="CMR004003"/>
    <s v="Mayo-Danay"/>
    <s v="CMR004003002"/>
    <s v="Maga"/>
  </r>
  <r>
    <s v="Extrême-Nord"/>
    <s v="CMR004"/>
    <x v="3"/>
    <s v="CMR004003"/>
    <x v="11"/>
    <s v="CMR004003002"/>
    <s v="MAG-0009"/>
    <s v="ARGAZAMA"/>
    <m/>
    <x v="0"/>
    <s v="En 2021"/>
    <n v="0"/>
    <n v="3"/>
    <x v="3"/>
    <m/>
    <s v="Même arrondissement"/>
    <s v="CMR"/>
    <s v="Cameroun"/>
    <s v="CMR004"/>
    <s v="Extrême-Nord"/>
    <s v="CMR004003"/>
    <s v="Mayo-Danay"/>
    <s v="CMR004003002"/>
    <s v="Maga"/>
  </r>
  <r>
    <s v="Extrême-Nord"/>
    <s v="CMR004"/>
    <x v="3"/>
    <s v="CMR004003"/>
    <x v="11"/>
    <s v="CMR004003002"/>
    <s v="MAG-0014"/>
    <s v="PINFOUNG"/>
    <m/>
    <x v="0"/>
    <s v="Avant 2020"/>
    <n v="30"/>
    <n v="218"/>
    <x v="3"/>
    <m/>
    <s v="Même arrondissement"/>
    <s v="CMR"/>
    <s v="Cameroun"/>
    <s v="CMR004"/>
    <s v="Extrême-Nord"/>
    <s v="CMR004003"/>
    <s v="Mayo-Danay"/>
    <s v="CMR004003002"/>
    <s v="Maga"/>
  </r>
  <r>
    <s v="Extrême-Nord"/>
    <s v="CMR004"/>
    <x v="3"/>
    <s v="CMR004003"/>
    <x v="11"/>
    <s v="CMR004003002"/>
    <s v="MAG-0014"/>
    <s v="PINFOUNG"/>
    <m/>
    <x v="0"/>
    <s v="En 2020"/>
    <n v="0"/>
    <n v="20"/>
    <x v="3"/>
    <m/>
    <s v="Même arrondissement"/>
    <s v="CMR"/>
    <s v="Cameroun"/>
    <s v="CMR004"/>
    <s v="Extrême-Nord"/>
    <s v="CMR004003"/>
    <s v="Mayo-Danay"/>
    <s v="CMR004003002"/>
    <s v="Maga"/>
  </r>
  <r>
    <s v="Extrême-Nord"/>
    <s v="CMR004"/>
    <x v="3"/>
    <s v="CMR004003"/>
    <x v="11"/>
    <s v="CMR004003002"/>
    <s v="MAG-0014"/>
    <s v="PINFOUNG"/>
    <m/>
    <x v="0"/>
    <s v="En 2021"/>
    <n v="0"/>
    <n v="10"/>
    <x v="3"/>
    <m/>
    <s v="Même arrondissement"/>
    <s v="CMR"/>
    <s v="Cameroun"/>
    <s v="CMR004"/>
    <s v="Extrême-Nord"/>
    <s v="CMR004003"/>
    <s v="Mayo-Danay"/>
    <s v="CMR004003002"/>
    <s v="Maga"/>
  </r>
  <r>
    <s v="Extrême-Nord"/>
    <s v="CMR004"/>
    <x v="3"/>
    <s v="CMR004003"/>
    <x v="11"/>
    <s v="CMR004003002"/>
    <s v="MAG-0014"/>
    <s v="PINFOUNG"/>
    <m/>
    <x v="0"/>
    <s v="Janvier - Aout 2022"/>
    <n v="0"/>
    <n v="11"/>
    <x v="3"/>
    <m/>
    <s v="Même arrondissement"/>
    <s v="CMR"/>
    <s v="Cameroun"/>
    <s v="CMR004"/>
    <s v="Extrême-Nord"/>
    <s v="CMR004003"/>
    <s v="Mayo-Danay"/>
    <s v="CMR004003002"/>
    <s v="Maga"/>
  </r>
  <r>
    <s v="Extrême-Nord"/>
    <s v="CMR004"/>
    <x v="3"/>
    <s v="CMR004003"/>
    <x v="11"/>
    <s v="CMR004003002"/>
    <s v="MAG-0014"/>
    <s v="PINFOUNG"/>
    <m/>
    <x v="0"/>
    <s v="Septembre 2022 – Février 2023"/>
    <n v="0"/>
    <n v="11"/>
    <x v="3"/>
    <m/>
    <s v="Même arrondissement"/>
    <s v="CMR"/>
    <s v="Cameroun"/>
    <s v="CMR004"/>
    <s v="Extrême-Nord"/>
    <s v="CMR004003"/>
    <s v="Mayo-Danay"/>
    <s v="CMR004003002"/>
    <s v="Maga"/>
  </r>
  <r>
    <s v="Extrême-Nord"/>
    <s v="CMR004"/>
    <x v="3"/>
    <s v="CMR004003"/>
    <x v="11"/>
    <s v="CMR004003002"/>
    <s v="MAG-0007"/>
    <s v="GAYA 2 SITE"/>
    <m/>
    <x v="0"/>
    <s v="En 2021"/>
    <n v="0"/>
    <n v="7"/>
    <x v="3"/>
    <m/>
    <s v="Même arrondissement"/>
    <s v="CMR"/>
    <s v="Cameroun"/>
    <s v="CMR004"/>
    <s v="Extrême-Nord"/>
    <s v="CMR004003"/>
    <s v="Mayo-Danay"/>
    <s v="CMR004003002"/>
    <s v="Maga"/>
  </r>
  <r>
    <s v="Extrême-Nord"/>
    <s v="CMR004"/>
    <x v="3"/>
    <s v="CMR004003"/>
    <x v="11"/>
    <s v="CMR004003002"/>
    <s v="MAG-0007"/>
    <s v="GAYA 2 SITE"/>
    <m/>
    <x v="0"/>
    <s v="Janvier - Aout 2022"/>
    <n v="0"/>
    <n v="12"/>
    <x v="3"/>
    <m/>
    <s v="Même arrondissement"/>
    <s v="CMR"/>
    <s v="Cameroun"/>
    <s v="CMR004"/>
    <s v="Extrême-Nord"/>
    <s v="CMR004003"/>
    <s v="Mayo-Danay"/>
    <s v="CMR004003002"/>
    <s v="Maga"/>
  </r>
  <r>
    <s v="Extrême-Nord"/>
    <s v="CMR004"/>
    <x v="3"/>
    <s v="CMR004003"/>
    <x v="11"/>
    <s v="CMR004003002"/>
    <s v="MAG-0007"/>
    <s v="GAYA 2 SITE"/>
    <m/>
    <x v="0"/>
    <s v="Septembre 2022 – Février 2023"/>
    <n v="0"/>
    <n v="9"/>
    <x v="3"/>
    <m/>
    <s v="Même arrondissement"/>
    <s v="CMR"/>
    <s v="Cameroun"/>
    <s v="CMR004"/>
    <s v="Extrême-Nord"/>
    <s v="CMR004003"/>
    <s v="Mayo-Danay"/>
    <s v="CMR004003002"/>
    <s v="Maga"/>
  </r>
  <r>
    <s v="Extrême-Nord"/>
    <s v="CMR004"/>
    <x v="3"/>
    <s v="CMR004003"/>
    <x v="11"/>
    <s v="CMR004003002"/>
    <s v="MAG-0007"/>
    <s v="GAYA 2 SITE"/>
    <m/>
    <x v="0"/>
    <s v="En 2020"/>
    <n v="0"/>
    <n v="2"/>
    <x v="3"/>
    <m/>
    <s v="Même arrondissement"/>
    <s v="CMR"/>
    <s v="Cameroun"/>
    <s v="CMR004"/>
    <s v="Extrême-Nord"/>
    <s v="CMR004003"/>
    <s v="Mayo-Danay"/>
    <s v="CMR004003002"/>
    <s v="Maga"/>
  </r>
  <r>
    <s v="Extrême-Nord"/>
    <s v="CMR004"/>
    <x v="3"/>
    <s v="CMR004003"/>
    <x v="11"/>
    <s v="CMR004003002"/>
    <s v="MAG-0007"/>
    <s v="GAYA 2 SITE"/>
    <m/>
    <x v="0"/>
    <s v="Avant 2020"/>
    <n v="49"/>
    <n v="294"/>
    <x v="3"/>
    <m/>
    <s v="Même arrondissement"/>
    <s v="CMR"/>
    <s v="Cameroun"/>
    <s v="CMR004"/>
    <s v="Extrême-Nord"/>
    <s v="CMR004003"/>
    <s v="Mayo-Danay"/>
    <s v="CMR004003002"/>
    <s v="Maga"/>
  </r>
  <r>
    <s v="Extrême-Nord"/>
    <s v="CMR004"/>
    <x v="3"/>
    <s v="CMR004003"/>
    <x v="11"/>
    <s v="CMR004003002"/>
    <s v="MAG-0003"/>
    <s v="GUIRVIDIG"/>
    <m/>
    <x v="0"/>
    <s v="Avant 2020"/>
    <n v="60"/>
    <n v="546"/>
    <x v="3"/>
    <m/>
    <s v="Même arrondissement"/>
    <s v="CMR"/>
    <s v="Cameroun"/>
    <s v="CMR004"/>
    <s v="Extrême-Nord"/>
    <s v="CMR004003"/>
    <s v="Mayo-Danay"/>
    <s v="CMR004003002"/>
    <s v="Maga"/>
  </r>
  <r>
    <s v="Extrême-Nord"/>
    <s v="CMR004"/>
    <x v="3"/>
    <s v="CMR004003"/>
    <x v="11"/>
    <s v="CMR004003002"/>
    <s v="MAG-0003"/>
    <s v="GUIRVIDIG"/>
    <m/>
    <x v="0"/>
    <s v="En 2021"/>
    <n v="0"/>
    <n v="4"/>
    <x v="3"/>
    <m/>
    <s v="Même arrondissement"/>
    <s v="CMR"/>
    <s v="Cameroun"/>
    <s v="CMR004"/>
    <s v="Extrême-Nord"/>
    <s v="CMR004003"/>
    <s v="Mayo-Danay"/>
    <s v="CMR004003002"/>
    <s v="Maga"/>
  </r>
  <r>
    <s v="Extrême-Nord"/>
    <s v="CMR004"/>
    <x v="3"/>
    <s v="CMR004003"/>
    <x v="11"/>
    <s v="CMR004003002"/>
    <s v="MAG-0003"/>
    <s v="GUIRVIDIG"/>
    <m/>
    <x v="0"/>
    <s v="Janvier - Aout 2022"/>
    <n v="0"/>
    <n v="6"/>
    <x v="3"/>
    <m/>
    <s v="Même arrondissement"/>
    <s v="CMR"/>
    <s v="Cameroun"/>
    <s v="CMR004"/>
    <s v="Extrême-Nord"/>
    <s v="CMR004003"/>
    <s v="Mayo-Danay"/>
    <s v="CMR004003002"/>
    <s v="Maga"/>
  </r>
  <r>
    <s v="Extrême-Nord"/>
    <s v="CMR004"/>
    <x v="3"/>
    <s v="CMR004003"/>
    <x v="11"/>
    <s v="CMR004003002"/>
    <s v="MAG-0003"/>
    <s v="GUIRVIDIG"/>
    <m/>
    <x v="0"/>
    <s v="Septembre 2022 – Février 2023"/>
    <n v="0"/>
    <n v="4"/>
    <x v="3"/>
    <m/>
    <s v="Même arrondissement"/>
    <s v="CMR"/>
    <s v="Cameroun"/>
    <s v="CMR004"/>
    <s v="Extrême-Nord"/>
    <s v="CMR004003"/>
    <s v="Mayo-Danay"/>
    <s v="CMR004003002"/>
    <s v="Maga"/>
  </r>
  <r>
    <s v="Extrême-Nord"/>
    <s v="CMR004"/>
    <x v="1"/>
    <s v="CMR004006"/>
    <x v="1"/>
    <s v="CMR004006002"/>
    <s v="MOK-0009"/>
    <s v="MAGOUMAZ"/>
    <m/>
    <x v="0"/>
    <s v="Avant 2020"/>
    <n v="93"/>
    <n v="571"/>
    <x v="0"/>
    <m/>
    <s v="Même arrondissement"/>
    <s v="CMR"/>
    <s v="Cameroun"/>
    <s v="CMR004"/>
    <s v="Extrême-Nord"/>
    <s v="CMR004006"/>
    <s v="Mayo-Tsanaga"/>
    <s v="CMR004006002"/>
    <s v="Mokolo"/>
  </r>
  <r>
    <s v="Extrême-Nord"/>
    <s v="CMR004"/>
    <x v="1"/>
    <s v="CMR004006"/>
    <x v="1"/>
    <s v="CMR004006002"/>
    <s v="MOK-0009"/>
    <s v="MAGOUMAZ"/>
    <m/>
    <x v="0"/>
    <s v="En 2020"/>
    <n v="71"/>
    <n v="505"/>
    <x v="0"/>
    <m/>
    <s v="Même arrondissement"/>
    <s v="CMR"/>
    <s v="Cameroun"/>
    <s v="CMR004"/>
    <s v="Extrême-Nord"/>
    <s v="CMR004006"/>
    <s v="Mayo-Tsanaga"/>
    <s v="CMR004006002"/>
    <s v="Mokolo"/>
  </r>
  <r>
    <s v="Extrême-Nord"/>
    <s v="CMR004"/>
    <x v="1"/>
    <s v="CMR004006"/>
    <x v="1"/>
    <s v="CMR004006002"/>
    <s v="MOK-0009"/>
    <s v="MAGOUMAZ"/>
    <m/>
    <x v="0"/>
    <s v="En 2021"/>
    <n v="12"/>
    <n v="73"/>
    <x v="0"/>
    <m/>
    <s v="Même arrondissement"/>
    <s v="CMR"/>
    <s v="Cameroun"/>
    <s v="CMR004"/>
    <s v="Extrême-Nord"/>
    <s v="CMR004006"/>
    <s v="Mayo-Tsanaga"/>
    <s v="CMR004006002"/>
    <s v="Mokolo"/>
  </r>
  <r>
    <s v="Extrême-Nord"/>
    <s v="CMR004"/>
    <x v="1"/>
    <s v="CMR004006"/>
    <x v="1"/>
    <s v="CMR004006002"/>
    <s v="MOK-0009"/>
    <s v="MAGOUMAZ"/>
    <m/>
    <x v="0"/>
    <s v="Janvier - Aout 2022"/>
    <n v="48"/>
    <n v="76"/>
    <x v="0"/>
    <m/>
    <s v="Même arrondissement"/>
    <s v="CMR"/>
    <s v="Cameroun"/>
    <s v="CMR004"/>
    <s v="Extrême-Nord"/>
    <s v="CMR004006"/>
    <s v="Mayo-Tsanaga"/>
    <s v="CMR004006002"/>
    <s v="Mokolo"/>
  </r>
  <r>
    <s v="Extrême-Nord"/>
    <s v="CMR004"/>
    <x v="1"/>
    <s v="CMR004006"/>
    <x v="1"/>
    <s v="CMR004006002"/>
    <s v="MOK-0009"/>
    <s v="MAGOUMAZ"/>
    <m/>
    <x v="0"/>
    <s v="Septembre 2022 – Février 2023"/>
    <n v="60"/>
    <n v="240"/>
    <x v="0"/>
    <m/>
    <s v="Même département, autre arrondissement"/>
    <s v="CMR"/>
    <s v="Cameroun"/>
    <s v="CMR004"/>
    <s v="Extrême-Nord"/>
    <s v="CMR004006"/>
    <s v="Mayo-Tsanaga"/>
    <m/>
    <s v="Koza"/>
  </r>
  <r>
    <s v="Extrême-Nord"/>
    <s v="CMR004"/>
    <x v="3"/>
    <s v="CMR004003"/>
    <x v="31"/>
    <s v="CMR004003006"/>
    <s v="GUM-0003"/>
    <s v="KARTOUA"/>
    <m/>
    <x v="0"/>
    <s v="Septembre 2022 – Février 2023"/>
    <n v="56"/>
    <n v="380"/>
    <x v="3"/>
    <m/>
    <s v="Même arrondissement"/>
    <s v="CMR"/>
    <s v="Cameroun"/>
    <s v="CMR004"/>
    <s v="Extrême-Nord"/>
    <s v="CMR004003"/>
    <s v="Mayo-Danay"/>
    <s v="CMR004003006"/>
    <s v="Guémé"/>
  </r>
  <r>
    <s v="Extrême-Nord"/>
    <s v="CMR004"/>
    <x v="2"/>
    <s v="CMR004002"/>
    <x v="8"/>
    <s v="CMR004002009"/>
    <s v="MAK-0226"/>
    <s v="KARENA"/>
    <m/>
    <x v="0"/>
    <s v="En 2020"/>
    <n v="1"/>
    <n v="8"/>
    <x v="3"/>
    <m/>
    <s v="Même arrondissement"/>
    <s v="CMR"/>
    <s v="Cameroun"/>
    <s v="CMR004"/>
    <s v="Extrême-Nord"/>
    <s v="CMR004002"/>
    <s v="Logone-Et-Chari"/>
    <s v="CMR004002009"/>
    <s v="Makary"/>
  </r>
  <r>
    <s v="Extrême-Nord"/>
    <s v="CMR004"/>
    <x v="2"/>
    <s v="CMR004002"/>
    <x v="8"/>
    <s v="CMR004002009"/>
    <s v="MAK-0226"/>
    <s v="KARENA"/>
    <m/>
    <x v="0"/>
    <s v="Septembre 2022 – Février 2023"/>
    <n v="5"/>
    <n v="15"/>
    <x v="3"/>
    <m/>
    <s v="Même département, autre arrondissement"/>
    <s v="CMR"/>
    <s v="Cameroun"/>
    <s v="CMR004"/>
    <s v="Extrême-Nord"/>
    <s v="CMR004002"/>
    <s v="Logone-Et-Chari"/>
    <s v="CMR004002004"/>
    <s v="Logone-Birni"/>
  </r>
  <r>
    <s v="Extrême-Nord"/>
    <s v="CMR004"/>
    <x v="3"/>
    <s v="CMR004003"/>
    <x v="31"/>
    <s v="CMR004003006"/>
    <s v="GUM-0004"/>
    <s v="VELE"/>
    <m/>
    <x v="0"/>
    <s v="Septembre 2022 – Février 2023"/>
    <n v="100"/>
    <n v="525"/>
    <x v="3"/>
    <m/>
    <s v="Même arrondissement"/>
    <s v="CMR"/>
    <s v="Cameroun"/>
    <s v="CMR004"/>
    <s v="Extrême-Nord"/>
    <s v="CMR004003"/>
    <s v="Mayo-Danay"/>
    <s v="CMR004003006"/>
    <s v="Guémé"/>
  </r>
  <r>
    <s v="Extrême-Nord"/>
    <s v="CMR004"/>
    <x v="1"/>
    <s v="CMR004006"/>
    <x v="1"/>
    <s v="CMR004006002"/>
    <s v="MOK-0014"/>
    <s v="NASSARAO 1"/>
    <m/>
    <x v="0"/>
    <s v="En 2021"/>
    <n v="20"/>
    <n v="120"/>
    <x v="0"/>
    <m/>
    <s v="Même arrondissement"/>
    <s v="CMR"/>
    <s v="Cameroun"/>
    <s v="CMR004"/>
    <s v="Extrême-Nord"/>
    <s v="CMR004006"/>
    <s v="Mayo-Tsanaga"/>
    <s v="CMR004006002"/>
    <s v="Mokolo"/>
  </r>
  <r>
    <s v="Extrême-Nord"/>
    <s v="CMR004"/>
    <x v="1"/>
    <s v="CMR004006"/>
    <x v="1"/>
    <s v="CMR004006002"/>
    <s v="MOK-0014"/>
    <s v="NASSARAO 1"/>
    <m/>
    <x v="0"/>
    <s v="Janvier - Aout 2022"/>
    <n v="5"/>
    <n v="32"/>
    <x v="0"/>
    <m/>
    <s v="Même arrondissement"/>
    <s v="CMR"/>
    <s v="Cameroun"/>
    <s v="CMR004"/>
    <s v="Extrême-Nord"/>
    <s v="CMR004006"/>
    <s v="Mayo-Tsanaga"/>
    <s v="CMR004006002"/>
    <s v="Mokolo"/>
  </r>
  <r>
    <s v="Extrême-Nord"/>
    <s v="CMR004"/>
    <x v="1"/>
    <s v="CMR004006"/>
    <x v="1"/>
    <s v="CMR004006002"/>
    <s v="MOK-0015"/>
    <s v="NASSARAO 2"/>
    <m/>
    <x v="0"/>
    <s v="Avant 2020"/>
    <n v="25"/>
    <n v="152"/>
    <x v="0"/>
    <m/>
    <s v="Même arrondissement"/>
    <s v="CMR"/>
    <s v="Cameroun"/>
    <s v="CMR004"/>
    <s v="Extrême-Nord"/>
    <s v="CMR004006"/>
    <s v="Mayo-Tsanaga"/>
    <s v="CMR004006002"/>
    <s v="Mokolo"/>
  </r>
  <r>
    <s v="Extrême-Nord"/>
    <s v="CMR004"/>
    <x v="2"/>
    <s v="CMR004002"/>
    <x v="12"/>
    <s v="CMR004002002"/>
    <s v="GOU-0024"/>
    <s v="AKMASSIRAK"/>
    <m/>
    <x v="0"/>
    <s v="Janvier - Aout 2022"/>
    <n v="70"/>
    <n v="70"/>
    <x v="0"/>
    <m/>
    <s v="Même arrondissement"/>
    <s v="CMR"/>
    <s v="Cameroun"/>
    <s v="CMR004"/>
    <s v="Extrême-Nord"/>
    <s v="CMR004002"/>
    <s v="Logone-Et-Chari"/>
    <s v="CMR004002002"/>
    <s v="Goulfey"/>
  </r>
  <r>
    <s v="Extrême-Nord"/>
    <s v="CMR004"/>
    <x v="2"/>
    <s v="CMR004002"/>
    <x v="12"/>
    <s v="CMR004002002"/>
    <s v="GOU-0028"/>
    <s v="MALA"/>
    <m/>
    <x v="0"/>
    <s v="Janvier - Aout 2022"/>
    <n v="30"/>
    <n v="30"/>
    <x v="0"/>
    <m/>
    <s v="Même arrondissement"/>
    <s v="CMR"/>
    <s v="Cameroun"/>
    <s v="CMR004"/>
    <s v="Extrême-Nord"/>
    <s v="CMR004002"/>
    <s v="Logone-Et-Chari"/>
    <s v="CMR004002002"/>
    <s v="Goulfey"/>
  </r>
  <r>
    <s v="Extrême-Nord"/>
    <s v="CMR004"/>
    <x v="3"/>
    <s v="CMR004003"/>
    <x v="31"/>
    <s v="CMR004003006"/>
    <s v="GUM-0005"/>
    <s v="VOUNALOUM"/>
    <m/>
    <x v="0"/>
    <s v="Septembre 2022 – Février 2023"/>
    <n v="5"/>
    <n v="72"/>
    <x v="3"/>
    <m/>
    <s v="Même arrondissement"/>
    <s v="CMR"/>
    <s v="Cameroun"/>
    <s v="CMR004"/>
    <s v="Extrême-Nord"/>
    <s v="CMR004003"/>
    <s v="Mayo-Danay"/>
    <s v="CMR004003006"/>
    <s v="Guémé"/>
  </r>
  <r>
    <s v="Extrême-Nord"/>
    <s v="CMR004"/>
    <x v="2"/>
    <s v="CMR004002"/>
    <x v="8"/>
    <s v="CMR004002009"/>
    <s v="MAK-0136"/>
    <s v="FARFARA 1"/>
    <m/>
    <x v="0"/>
    <s v="Avant 2020"/>
    <n v="8"/>
    <n v="60"/>
    <x v="0"/>
    <m/>
    <s v="Même département, autre arrondissement"/>
    <s v="CMR"/>
    <s v="Cameroun"/>
    <s v="CMR004"/>
    <s v="Extrême-Nord"/>
    <s v="CMR004002"/>
    <s v="Logone-Et-Chari"/>
    <s v="CMR004002001"/>
    <s v="Waza"/>
  </r>
  <r>
    <s v="Extrême-Nord"/>
    <s v="CMR004"/>
    <x v="2"/>
    <s v="CMR004002"/>
    <x v="8"/>
    <s v="CMR004002009"/>
    <s v="MAK-0136"/>
    <s v="FARFARA 1"/>
    <m/>
    <x v="0"/>
    <s v="Janvier - Aout 2022"/>
    <n v="9"/>
    <n v="30"/>
    <x v="1"/>
    <m/>
    <s v="Même département, autre arrondissement"/>
    <s v="CMR"/>
    <s v="Cameroun"/>
    <s v="CMR004"/>
    <s v="Extrême-Nord"/>
    <s v="CMR004002"/>
    <s v="Logone-Et-Chari"/>
    <s v="CMR004002004"/>
    <s v="Logone-Birni"/>
  </r>
  <r>
    <s v="Extrême-Nord"/>
    <s v="CMR004"/>
    <x v="2"/>
    <s v="CMR004002"/>
    <x v="8"/>
    <s v="CMR004002009"/>
    <s v="MAK-0136"/>
    <s v="FARFARA 1"/>
    <m/>
    <x v="0"/>
    <s v="Septembre 2022 – Février 2023"/>
    <n v="0"/>
    <n v="12"/>
    <x v="0"/>
    <m/>
    <s v="Même département, autre arrondissement"/>
    <s v="CMR"/>
    <s v="Cameroun"/>
    <s v="CMR004"/>
    <s v="Extrême-Nord"/>
    <s v="CMR004002"/>
    <s v="Logone-Et-Chari"/>
    <s v="CMR004002001"/>
    <s v="Waza"/>
  </r>
  <r>
    <s v="Extrême-Nord"/>
    <s v="CMR004"/>
    <x v="1"/>
    <s v="CMR004006"/>
    <x v="1"/>
    <s v="CMR004006002"/>
    <s v="MOK-0002"/>
    <s v="DEDEP"/>
    <m/>
    <x v="0"/>
    <s v="Janvier - Aout 2022"/>
    <n v="1"/>
    <n v="10"/>
    <x v="0"/>
    <m/>
    <s v="Même département, autre arrondissement"/>
    <s v="CMR"/>
    <s v="Cameroun"/>
    <s v="CMR004"/>
    <s v="Extrême-Nord"/>
    <s v="CMR004006"/>
    <s v="Mayo-Tsanaga"/>
    <s v="CMR004006005"/>
    <s v="Mayo-Moskota"/>
  </r>
  <r>
    <s v="Extrême-Nord"/>
    <s v="CMR004"/>
    <x v="2"/>
    <s v="CMR004002"/>
    <x v="25"/>
    <s v="CMR004002008"/>
    <s v="FOT-0013"/>
    <s v="SAGME"/>
    <m/>
    <x v="0"/>
    <s v="Avant 2020"/>
    <n v="8"/>
    <n v="37"/>
    <x v="0"/>
    <m/>
    <s v="Même arrondissement"/>
    <s v="CMR"/>
    <s v="Cameroun"/>
    <s v="CMR004"/>
    <s v="Extrême-Nord"/>
    <s v="CMR004002"/>
    <s v="Logone-Et-Chari"/>
    <s v="CMR004002008"/>
    <s v="Fotokol"/>
  </r>
  <r>
    <s v="Extrême-Nord"/>
    <s v="CMR004"/>
    <x v="1"/>
    <s v="CMR004006"/>
    <x v="1"/>
    <s v="CMR004006002"/>
    <s v="MOK-0021"/>
    <s v="TOUROU CENTRE"/>
    <m/>
    <x v="0"/>
    <s v="Avant 2020"/>
    <n v="130"/>
    <n v="987"/>
    <x v="0"/>
    <m/>
    <s v="Même arrondissement"/>
    <s v="CMR"/>
    <s v="Cameroun"/>
    <s v="CMR004"/>
    <s v="Extrême-Nord"/>
    <s v="CMR004006"/>
    <s v="Mayo-Tsanaga"/>
    <s v="CMR004006002"/>
    <s v="Mokolo"/>
  </r>
  <r>
    <s v="Extrême-Nord"/>
    <s v="CMR004"/>
    <x v="1"/>
    <s v="CMR004006"/>
    <x v="1"/>
    <s v="CMR004006002"/>
    <s v="MOK-0021"/>
    <s v="TOUROU CENTRE"/>
    <m/>
    <x v="0"/>
    <s v="En 2020"/>
    <n v="37"/>
    <n v="1125"/>
    <x v="0"/>
    <m/>
    <s v="Même arrondissement"/>
    <s v="CMR"/>
    <s v="Cameroun"/>
    <s v="CMR004"/>
    <s v="Extrême-Nord"/>
    <s v="CMR004006"/>
    <s v="Mayo-Tsanaga"/>
    <s v="CMR004006002"/>
    <s v="Mokolo"/>
  </r>
  <r>
    <s v="Extrême-Nord"/>
    <s v="CMR004"/>
    <x v="1"/>
    <s v="CMR004006"/>
    <x v="1"/>
    <s v="CMR004006002"/>
    <s v="MOK-0021"/>
    <s v="TOUROU CENTRE"/>
    <m/>
    <x v="0"/>
    <s v="En 2021"/>
    <n v="48"/>
    <n v="70"/>
    <x v="0"/>
    <m/>
    <s v="Même arrondissement"/>
    <s v="CMR"/>
    <s v="Cameroun"/>
    <s v="CMR004"/>
    <s v="Extrême-Nord"/>
    <s v="CMR004006"/>
    <s v="Mayo-Tsanaga"/>
    <s v="CMR004006002"/>
    <s v="Mokolo"/>
  </r>
  <r>
    <s v="Extrême-Nord"/>
    <s v="CMR004"/>
    <x v="1"/>
    <s v="CMR004006"/>
    <x v="1"/>
    <s v="CMR004006002"/>
    <s v="MOK-0021"/>
    <s v="TOUROU CENTRE"/>
    <m/>
    <x v="0"/>
    <s v="Janvier - Aout 2022"/>
    <n v="368"/>
    <n v="5669"/>
    <x v="0"/>
    <m/>
    <s v="Même arrondissement"/>
    <s v="CMR"/>
    <s v="Cameroun"/>
    <s v="CMR004"/>
    <s v="Extrême-Nord"/>
    <s v="CMR004006"/>
    <s v="Mayo-Tsanaga"/>
    <s v="CMR004006002"/>
    <s v="Mokolo"/>
  </r>
  <r>
    <s v="Extrême-Nord"/>
    <s v="CMR004"/>
    <x v="1"/>
    <s v="CMR004006"/>
    <x v="1"/>
    <s v="CMR004006002"/>
    <s v="MOK-0021"/>
    <s v="TOUROU CENTRE"/>
    <m/>
    <x v="0"/>
    <s v="Septembre 2022 – Février 2023"/>
    <n v="60"/>
    <n v="115"/>
    <x v="0"/>
    <m/>
    <s v="Même arrondissement"/>
    <s v="CMR"/>
    <s v="Cameroun"/>
    <s v="CMR004"/>
    <s v="Extrême-Nord"/>
    <s v="CMR004006"/>
    <s v="Mayo-Tsanaga"/>
    <s v="CMR004006002"/>
    <s v="Mokolo"/>
  </r>
  <r>
    <s v="Extrême-Nord"/>
    <s v="CMR004"/>
    <x v="2"/>
    <s v="CMR004002"/>
    <x v="8"/>
    <s v="CMR004002009"/>
    <s v="MAK-0233"/>
    <s v="SOUNGOURA 2"/>
    <m/>
    <x v="0"/>
    <s v="Avant 2020"/>
    <n v="26"/>
    <n v="157"/>
    <x v="0"/>
    <m/>
    <s v="Même arrondissement"/>
    <s v="CMR"/>
    <s v="Cameroun"/>
    <s v="CMR004"/>
    <s v="Extrême-Nord"/>
    <s v="CMR004002"/>
    <s v="Logone-Et-Chari"/>
    <s v="CMR004002009"/>
    <s v="Makary"/>
  </r>
  <r>
    <s v="Extrême-Nord"/>
    <s v="CMR004"/>
    <x v="3"/>
    <s v="CMR004003"/>
    <x v="11"/>
    <s v="CMR004003002"/>
    <s v="MAG-0004"/>
    <s v="SITE DE MAHAOUROU"/>
    <m/>
    <x v="0"/>
    <s v="Avant 2020"/>
    <n v="45"/>
    <n v="312"/>
    <x v="3"/>
    <m/>
    <s v="Même arrondissement"/>
    <s v="CMR"/>
    <s v="Cameroun"/>
    <s v="CMR004"/>
    <s v="Extrême-Nord"/>
    <s v="CMR004003"/>
    <s v="Mayo-Danay"/>
    <s v="CMR004003002"/>
    <s v="Maga"/>
  </r>
  <r>
    <s v="Extrême-Nord"/>
    <s v="CMR004"/>
    <x v="3"/>
    <s v="CMR004003"/>
    <x v="11"/>
    <s v="CMR004003002"/>
    <s v="MAG-0004"/>
    <s v="SITE DE MAHAOUROU"/>
    <m/>
    <x v="0"/>
    <s v="En 2020"/>
    <n v="1"/>
    <n v="12"/>
    <x v="3"/>
    <m/>
    <s v="Même arrondissement"/>
    <s v="CMR"/>
    <s v="Cameroun"/>
    <s v="CMR004"/>
    <s v="Extrême-Nord"/>
    <s v="CMR004003"/>
    <s v="Mayo-Danay"/>
    <s v="CMR004003002"/>
    <s v="Maga"/>
  </r>
  <r>
    <s v="Extrême-Nord"/>
    <s v="CMR004"/>
    <x v="3"/>
    <s v="CMR004003"/>
    <x v="11"/>
    <s v="CMR004003002"/>
    <s v="MAG-0004"/>
    <s v="SITE DE MAHAOUROU"/>
    <m/>
    <x v="0"/>
    <s v="En 2021"/>
    <n v="0"/>
    <n v="6"/>
    <x v="3"/>
    <m/>
    <s v="Même arrondissement"/>
    <s v="CMR"/>
    <s v="Cameroun"/>
    <s v="CMR004"/>
    <s v="Extrême-Nord"/>
    <s v="CMR004003"/>
    <s v="Mayo-Danay"/>
    <s v="CMR004003002"/>
    <s v="Maga"/>
  </r>
  <r>
    <s v="Extrême-Nord"/>
    <s v="CMR004"/>
    <x v="3"/>
    <s v="CMR004003"/>
    <x v="11"/>
    <s v="CMR004003002"/>
    <s v="MAG-0004"/>
    <s v="SITE DE MAHAOUROU"/>
    <m/>
    <x v="0"/>
    <s v="Janvier - Aout 2022"/>
    <n v="0"/>
    <n v="16"/>
    <x v="3"/>
    <m/>
    <s v="Même arrondissement"/>
    <s v="CMR"/>
    <s v="Cameroun"/>
    <s v="CMR004"/>
    <s v="Extrême-Nord"/>
    <s v="CMR004003"/>
    <s v="Mayo-Danay"/>
    <s v="CMR004003002"/>
    <s v="Maga"/>
  </r>
  <r>
    <s v="Extrême-Nord"/>
    <s v="CMR004"/>
    <x v="3"/>
    <s v="CMR004003"/>
    <x v="11"/>
    <s v="CMR004003002"/>
    <s v="MAG-0004"/>
    <s v="SITE DE MAHAOUROU"/>
    <m/>
    <x v="0"/>
    <s v="Septembre 2022 – Février 2023"/>
    <n v="0"/>
    <n v="5"/>
    <x v="3"/>
    <m/>
    <s v="Même arrondissement"/>
    <s v="CMR"/>
    <s v="Cameroun"/>
    <s v="CMR004"/>
    <s v="Extrême-Nord"/>
    <s v="CMR004003"/>
    <s v="Mayo-Danay"/>
    <s v="CMR004003002"/>
    <s v="Maga"/>
  </r>
  <r>
    <s v="Extrême-Nord"/>
    <s v="CMR004"/>
    <x v="0"/>
    <s v="CMR004001"/>
    <x v="6"/>
    <s v="CMR004001001"/>
    <s v="MA3-0007"/>
    <s v="MAYELIBE"/>
    <m/>
    <x v="0"/>
    <s v="En 2021"/>
    <n v="78"/>
    <n v="687"/>
    <x v="1"/>
    <m/>
    <s v="Autre département"/>
    <s v="CMR"/>
    <s v="Cameroun"/>
    <s v="CMR004"/>
    <s v="Extrême-Nord"/>
    <s v="CMR004003"/>
    <s v="Mayo-Danay"/>
    <m/>
    <m/>
  </r>
  <r>
    <s v="Extrême-Nord"/>
    <s v="CMR004"/>
    <x v="1"/>
    <s v="CMR004006"/>
    <x v="32"/>
    <s v="CMR004006006"/>
    <s v="SOU-0004"/>
    <s v="MADOKONAI 1"/>
    <m/>
    <x v="0"/>
    <s v="Janvier - Aout 2022"/>
    <n v="2"/>
    <n v="11"/>
    <x v="0"/>
    <m/>
    <s v="Même département, autre arrondissement"/>
    <s v="CMR"/>
    <s v="Cameroun"/>
    <s v="CMR004"/>
    <s v="Extrême-Nord"/>
    <s v="CMR004006"/>
    <s v="Mayo-Tsanaga"/>
    <s v="CMR004006005"/>
    <s v="Mayo-Moskota"/>
  </r>
  <r>
    <s v="Extrême-Nord"/>
    <s v="CMR004"/>
    <x v="1"/>
    <s v="CMR004006"/>
    <x v="32"/>
    <s v="CMR004006006"/>
    <s v="SOU-0004"/>
    <s v="MADOKONAI 1"/>
    <m/>
    <x v="0"/>
    <s v="Septembre 2022 – Février 2023"/>
    <n v="3"/>
    <n v="13"/>
    <x v="0"/>
    <m/>
    <s v="Même département, autre arrondissement"/>
    <s v="CMR"/>
    <s v="Cameroun"/>
    <s v="CMR004"/>
    <s v="Extrême-Nord"/>
    <s v="CMR004006"/>
    <s v="Mayo-Tsanaga"/>
    <s v="CMR004006005"/>
    <s v="Mayo-Moskota"/>
  </r>
  <r>
    <s v="Extrême-Nord"/>
    <s v="CMR004"/>
    <x v="1"/>
    <s v="CMR004006"/>
    <x v="1"/>
    <s v="CMR004006002"/>
    <s v="MOK-0059"/>
    <s v="MABASS"/>
    <m/>
    <x v="0"/>
    <s v="Janvier - Aout 2022"/>
    <n v="89"/>
    <n v="311"/>
    <x v="0"/>
    <m/>
    <s v="Même arrondissement"/>
    <s v="CMR"/>
    <s v="Cameroun"/>
    <s v="CMR004"/>
    <s v="Extrême-Nord"/>
    <s v="CMR004006"/>
    <s v="Mayo-Tsanaga"/>
    <s v="CMR004006002"/>
    <s v="Mokolo"/>
  </r>
  <r>
    <s v="Extrême-Nord"/>
    <s v="CMR004"/>
    <x v="1"/>
    <s v="CMR004006"/>
    <x v="1"/>
    <s v="CMR004006002"/>
    <s v="MOK-0059"/>
    <s v="MABASS"/>
    <m/>
    <x v="0"/>
    <s v="Septembre 2022 – Février 2023"/>
    <n v="83"/>
    <n v="319"/>
    <x v="0"/>
    <m/>
    <s v="Même arrondissement"/>
    <s v="CMR"/>
    <s v="Cameroun"/>
    <s v="CMR004"/>
    <s v="Extrême-Nord"/>
    <s v="CMR004006"/>
    <s v="Mayo-Tsanaga"/>
    <s v="CMR004006002"/>
    <s v="Mokolo"/>
  </r>
  <r>
    <s v="Extrême-Nord"/>
    <s v="CMR004"/>
    <x v="1"/>
    <s v="CMR004006"/>
    <x v="32"/>
    <s v="CMR004006006"/>
    <s v="SOU-0008"/>
    <s v="DOUMGAR"/>
    <m/>
    <x v="0"/>
    <s v="Janvier - Aout 2022"/>
    <n v="75"/>
    <n v="314"/>
    <x v="0"/>
    <m/>
    <s v="Même département, autre arrondissement"/>
    <s v="CMR"/>
    <s v="Cameroun"/>
    <s v="CMR004"/>
    <s v="Extrême-Nord"/>
    <s v="CMR004006"/>
    <s v="Mayo-Tsanaga"/>
    <s v="CMR004006005"/>
    <s v="Mayo-Moskota"/>
  </r>
  <r>
    <s v="Extrême-Nord"/>
    <s v="CMR004"/>
    <x v="1"/>
    <s v="CMR004006"/>
    <x v="32"/>
    <s v="CMR004006006"/>
    <s v="SOU-0008"/>
    <s v="DOUMGAR"/>
    <m/>
    <x v="0"/>
    <s v="Septembre 2022 – Février 2023"/>
    <n v="1"/>
    <n v="13"/>
    <x v="0"/>
    <m/>
    <s v="Autre département"/>
    <s v="CMR"/>
    <s v="Cameroun"/>
    <s v="CMR004"/>
    <s v="Extrême-Nord"/>
    <s v="CMR004005"/>
    <s v="Mayo-Sava"/>
    <m/>
    <m/>
  </r>
  <r>
    <s v="Extrême-Nord"/>
    <s v="CMR004"/>
    <x v="1"/>
    <s v="CMR004006"/>
    <x v="32"/>
    <s v="CMR004006006"/>
    <s v="SOU-0007"/>
    <s v="OUDOUMDJARAY"/>
    <m/>
    <x v="0"/>
    <s v="Janvier - Aout 2022"/>
    <n v="2"/>
    <n v="11"/>
    <x v="0"/>
    <m/>
    <s v="Autre département"/>
    <s v="CMR"/>
    <s v="Cameroun"/>
    <s v="CMR004"/>
    <s v="Extrême-Nord"/>
    <s v="CMR004005"/>
    <s v="Mayo-Sava"/>
    <m/>
    <m/>
  </r>
  <r>
    <s v="Extrême-Nord"/>
    <s v="CMR004"/>
    <x v="1"/>
    <s v="CMR004006"/>
    <x v="32"/>
    <s v="CMR004006006"/>
    <s v="SOU-0007"/>
    <s v="OUDOUMDJARAY"/>
    <m/>
    <x v="0"/>
    <s v="Septembre 2022 – Février 2023"/>
    <n v="1"/>
    <n v="12"/>
    <x v="0"/>
    <m/>
    <s v="Autre département"/>
    <s v="CMR"/>
    <s v="Cameroun"/>
    <s v="CMR004"/>
    <s v="Extrême-Nord"/>
    <s v="CMR004005"/>
    <s v="Mayo-Sava"/>
    <m/>
    <m/>
  </r>
  <r>
    <s v="Extrême-Nord"/>
    <s v="CMR004"/>
    <x v="2"/>
    <s v="CMR004002"/>
    <x v="26"/>
    <s v="CMR004002006"/>
    <s v="KOU-0023"/>
    <s v="MALACK"/>
    <m/>
    <x v="0"/>
    <s v="Septembre 2022 – Février 2023"/>
    <n v="4"/>
    <n v="15"/>
    <x v="3"/>
    <m/>
    <s v="Même arrondissement"/>
    <s v="CMR"/>
    <s v="Cameroun"/>
    <s v="CMR004"/>
    <s v="Extrême-Nord"/>
    <s v="CMR004002"/>
    <s v="Logone-Et-Chari"/>
    <s v="CMR004002006"/>
    <s v="Kousséri"/>
  </r>
  <r>
    <s v="Extrême-Nord"/>
    <s v="CMR004"/>
    <x v="2"/>
    <s v="CMR004002"/>
    <x v="26"/>
    <s v="CMR004002006"/>
    <s v="KOU-0034"/>
    <s v="SOKOTO"/>
    <m/>
    <x v="0"/>
    <s v="Septembre 2022 – Février 2023"/>
    <n v="5"/>
    <n v="20"/>
    <x v="3"/>
    <m/>
    <s v="Même arrondissement"/>
    <s v="CMR"/>
    <s v="Cameroun"/>
    <s v="CMR004"/>
    <s v="Extrême-Nord"/>
    <s v="CMR004002"/>
    <s v="Logone-Et-Chari"/>
    <s v="CMR004002006"/>
    <s v="Kousséri"/>
  </r>
  <r>
    <s v="Extrême-Nord"/>
    <s v="CMR004"/>
    <x v="3"/>
    <s v="CMR004003"/>
    <x v="31"/>
    <s v="CMR004003006"/>
    <s v="GUM-0007"/>
    <s v="GABARAYE"/>
    <m/>
    <x v="0"/>
    <s v="Avant 2020"/>
    <n v="159"/>
    <n v="536"/>
    <x v="3"/>
    <m/>
    <s v="Même arrondissement"/>
    <s v="CMR"/>
    <s v="Cameroun"/>
    <s v="CMR004"/>
    <s v="Extrême-Nord"/>
    <s v="CMR004003"/>
    <s v="Mayo-Danay"/>
    <s v="CMR004003006"/>
    <s v="Guémé"/>
  </r>
  <r>
    <s v="Extrême-Nord"/>
    <s v="CMR004"/>
    <x v="4"/>
    <s v="CMR004005"/>
    <x v="19"/>
    <s v="CMR004005001"/>
    <s v="KOL-0029"/>
    <s v="SATTOMI"/>
    <m/>
    <x v="0"/>
    <s v="Septembre 2022 – Février 2023"/>
    <n v="0"/>
    <n v="13"/>
    <x v="0"/>
    <m/>
    <s v="Même arrondissement"/>
    <s v="CMR"/>
    <s v="Cameroun"/>
    <s v="CMR004"/>
    <s v="Extrême-Nord"/>
    <s v="CMR004005"/>
    <s v="Mayo-Sava"/>
    <s v="CMR004005001"/>
    <s v="Kolofata"/>
  </r>
  <r>
    <s v="Extrême-Nord"/>
    <s v="CMR004"/>
    <x v="4"/>
    <s v="CMR004005"/>
    <x v="19"/>
    <s v="CMR004005001"/>
    <s v="KOL-0029"/>
    <s v="SATTOMI"/>
    <m/>
    <x v="0"/>
    <s v="En 2021"/>
    <n v="90"/>
    <n v="535"/>
    <x v="0"/>
    <m/>
    <s v="Même arrondissement"/>
    <s v="CMR"/>
    <s v="Cameroun"/>
    <s v="CMR004"/>
    <s v="Extrême-Nord"/>
    <s v="CMR004005"/>
    <s v="Mayo-Sava"/>
    <s v="CMR004005001"/>
    <s v="Kolofata"/>
  </r>
  <r>
    <s v="Extrême-Nord"/>
    <s v="CMR004"/>
    <x v="4"/>
    <s v="CMR004005"/>
    <x v="19"/>
    <s v="CMR004005001"/>
    <s v="KOL-0029"/>
    <s v="SATTOMI"/>
    <m/>
    <x v="0"/>
    <s v="Janvier - Aout 2022"/>
    <n v="0"/>
    <n v="3"/>
    <x v="0"/>
    <m/>
    <s v="Même arrondissement"/>
    <s v="CMR"/>
    <s v="Cameroun"/>
    <s v="CMR004"/>
    <s v="Extrême-Nord"/>
    <s v="CMR004005"/>
    <s v="Mayo-Sava"/>
    <s v="CMR004005001"/>
    <s v="Kolofata"/>
  </r>
  <r>
    <s v="Extrême-Nord"/>
    <s v="CMR004"/>
    <x v="0"/>
    <s v="CMR004001"/>
    <x v="3"/>
    <s v="CMR004001009"/>
    <s v="MA1-0006"/>
    <s v="WOURO DOLE"/>
    <m/>
    <x v="0"/>
    <s v="En 2021"/>
    <n v="3"/>
    <n v="11"/>
    <x v="1"/>
    <m/>
    <s v="Autre département"/>
    <s v="CMR"/>
    <s v="Cameroun"/>
    <s v="CMR004"/>
    <s v="Extrême-Nord"/>
    <s v="CMR004002"/>
    <s v="Logone-Et-Chari"/>
    <m/>
    <m/>
  </r>
  <r>
    <s v="Extrême-Nord"/>
    <s v="CMR004"/>
    <x v="1"/>
    <s v="CMR004006"/>
    <x v="1"/>
    <s v="CMR004006002"/>
    <s v="MOK-0004"/>
    <s v="DJIMETA"/>
    <m/>
    <x v="0"/>
    <s v="En 2021"/>
    <n v="9"/>
    <n v="87"/>
    <x v="0"/>
    <m/>
    <s v="Même arrondissement"/>
    <s v="CMR"/>
    <s v="Cameroun"/>
    <s v="CMR004"/>
    <s v="Extrême-Nord"/>
    <s v="CMR004006"/>
    <s v="Mayo-Tsanaga"/>
    <s v="CMR004006002"/>
    <s v="Mokolo"/>
  </r>
  <r>
    <s v="Extrême-Nord"/>
    <s v="CMR004"/>
    <x v="1"/>
    <s v="CMR004006"/>
    <x v="1"/>
    <s v="CMR004006002"/>
    <s v="MOK-0004"/>
    <s v="DJIMETA"/>
    <m/>
    <x v="0"/>
    <s v="Septembre 2022 – Février 2023"/>
    <n v="5"/>
    <n v="22"/>
    <x v="0"/>
    <m/>
    <s v="Même arrondissement"/>
    <s v="CMR"/>
    <s v="Cameroun"/>
    <s v="CMR004"/>
    <s v="Extrême-Nord"/>
    <s v="CMR004006"/>
    <s v="Mayo-Tsanaga"/>
    <s v="CMR004006002"/>
    <s v="Mokolo"/>
  </r>
  <r>
    <s v="Extrême-Nord"/>
    <s v="CMR004"/>
    <x v="1"/>
    <s v="CMR004006"/>
    <x v="1"/>
    <s v="CMR004006002"/>
    <s v="MOK-0004"/>
    <s v="DJIMETA"/>
    <m/>
    <x v="0"/>
    <s v="Avant 2020"/>
    <n v="32"/>
    <n v="233"/>
    <x v="0"/>
    <m/>
    <s v="Même arrondissement"/>
    <s v="CMR"/>
    <s v="Cameroun"/>
    <s v="CMR004"/>
    <s v="Extrême-Nord"/>
    <s v="CMR004006"/>
    <s v="Mayo-Tsanaga"/>
    <s v="CMR004006002"/>
    <s v="Mokolo"/>
  </r>
  <r>
    <s v="Extrême-Nord"/>
    <s v="CMR004"/>
    <x v="4"/>
    <s v="CMR004005"/>
    <x v="19"/>
    <s v="CMR004005001"/>
    <s v="KOL-0021"/>
    <s v="TOLKOMARI"/>
    <m/>
    <x v="0"/>
    <s v="Avant 2020"/>
    <n v="500"/>
    <n v="3170"/>
    <x v="0"/>
    <m/>
    <s v="Même arrondissement"/>
    <s v="CMR"/>
    <s v="Cameroun"/>
    <s v="CMR004"/>
    <s v="Extrême-Nord"/>
    <s v="CMR004005"/>
    <s v="Mayo-Sava"/>
    <s v="CMR004005001"/>
    <s v="Kolofata"/>
  </r>
  <r>
    <s v="Extrême-Nord"/>
    <s v="CMR004"/>
    <x v="4"/>
    <s v="CMR004005"/>
    <x v="19"/>
    <s v="CMR004005001"/>
    <s v="KOL-0021"/>
    <s v="TOLKOMARI"/>
    <m/>
    <x v="0"/>
    <s v="En 2020"/>
    <n v="0"/>
    <n v="50"/>
    <x v="0"/>
    <m/>
    <s v="Même arrondissement"/>
    <s v="CMR"/>
    <s v="Cameroun"/>
    <s v="CMR004"/>
    <s v="Extrême-Nord"/>
    <s v="CMR004005"/>
    <s v="Mayo-Sava"/>
    <s v="CMR004005001"/>
    <s v="Kolofata"/>
  </r>
  <r>
    <s v="Extrême-Nord"/>
    <s v="CMR004"/>
    <x v="4"/>
    <s v="CMR004005"/>
    <x v="19"/>
    <s v="CMR004005001"/>
    <s v="KOL-0021"/>
    <s v="TOLKOMARI"/>
    <m/>
    <x v="0"/>
    <s v="Septembre 2022 – Février 2023"/>
    <n v="17"/>
    <n v="146"/>
    <x v="0"/>
    <m/>
    <s v="Même arrondissement"/>
    <s v="CMR"/>
    <s v="Cameroun"/>
    <s v="CMR004"/>
    <s v="Extrême-Nord"/>
    <s v="CMR004005"/>
    <s v="Mayo-Sava"/>
    <s v="CMR004005001"/>
    <s v="Kolofata"/>
  </r>
  <r>
    <s v="Extrême-Nord"/>
    <s v="CMR004"/>
    <x v="4"/>
    <s v="CMR004005"/>
    <x v="19"/>
    <s v="CMR004005001"/>
    <s v="KOL-0021"/>
    <s v="TOLKOMARI"/>
    <m/>
    <x v="0"/>
    <s v="En 2021"/>
    <n v="48"/>
    <n v="397"/>
    <x v="0"/>
    <m/>
    <s v="Même arrondissement"/>
    <s v="CMR"/>
    <s v="Cameroun"/>
    <s v="CMR004"/>
    <s v="Extrême-Nord"/>
    <s v="CMR004005"/>
    <s v="Mayo-Sava"/>
    <s v="CMR004005001"/>
    <s v="Kolofata"/>
  </r>
  <r>
    <s v="Extrême-Nord"/>
    <s v="CMR004"/>
    <x v="4"/>
    <s v="CMR004005"/>
    <x v="19"/>
    <s v="CMR004005001"/>
    <s v="KOL-0021"/>
    <s v="TOLKOMARI"/>
    <m/>
    <x v="0"/>
    <s v="Janvier - Aout 2022"/>
    <n v="30"/>
    <n v="280"/>
    <x v="0"/>
    <m/>
    <s v="Même arrondissement"/>
    <s v="CMR"/>
    <s v="Cameroun"/>
    <s v="CMR004"/>
    <s v="Extrême-Nord"/>
    <s v="CMR004005"/>
    <s v="Mayo-Sava"/>
    <s v="CMR004005001"/>
    <s v="Kolofata"/>
  </r>
  <r>
    <s v="Extrême-Nord"/>
    <s v="CMR004"/>
    <x v="3"/>
    <s v="CMR004003"/>
    <x v="31"/>
    <s v="CMR004003006"/>
    <s v="GUM-0008"/>
    <s v="GABARAYE-WIDI"/>
    <m/>
    <x v="0"/>
    <s v="En 2020"/>
    <n v="160"/>
    <n v="510"/>
    <x v="3"/>
    <m/>
    <s v="Même arrondissement"/>
    <s v="CMR"/>
    <s v="Cameroun"/>
    <s v="CMR004"/>
    <s v="Extrême-Nord"/>
    <s v="CMR004003"/>
    <s v="Mayo-Danay"/>
    <s v="CMR004003006"/>
    <s v="Guémé"/>
  </r>
  <r>
    <s v="Extrême-Nord"/>
    <s v="CMR004"/>
    <x v="3"/>
    <s v="CMR004003"/>
    <x v="31"/>
    <s v="CMR004003006"/>
    <s v="GUM-0008"/>
    <s v="GABARAYE-WIDI"/>
    <m/>
    <x v="0"/>
    <s v="En 2021"/>
    <n v="0"/>
    <n v="5"/>
    <x v="3"/>
    <m/>
    <s v="Même arrondissement"/>
    <s v="CMR"/>
    <s v="Cameroun"/>
    <s v="CMR004"/>
    <s v="Extrême-Nord"/>
    <s v="CMR004003"/>
    <s v="Mayo-Danay"/>
    <s v="CMR004003006"/>
    <s v="Guémé"/>
  </r>
  <r>
    <s v="Extrême-Nord"/>
    <s v="CMR004"/>
    <x v="2"/>
    <s v="CMR004002"/>
    <x v="26"/>
    <s v="CMR004002006"/>
    <s v="KOU-0038"/>
    <s v="ARDEBE NGADJAM"/>
    <m/>
    <x v="0"/>
    <s v="Septembre 2022 – Février 2023"/>
    <n v="5"/>
    <n v="20"/>
    <x v="3"/>
    <m/>
    <s v="Même arrondissement"/>
    <s v="CMR"/>
    <s v="Cameroun"/>
    <s v="CMR004"/>
    <s v="Extrême-Nord"/>
    <s v="CMR004002"/>
    <s v="Logone-Et-Chari"/>
    <s v="CMR004002006"/>
    <s v="Kousséri"/>
  </r>
  <r>
    <s v="Extrême-Nord"/>
    <s v="CMR004"/>
    <x v="2"/>
    <s v="CMR004002"/>
    <x v="26"/>
    <s v="CMR004002006"/>
    <s v="KOU-0012"/>
    <s v="KODOGO"/>
    <m/>
    <x v="0"/>
    <s v="Septembre 2022 – Février 2023"/>
    <n v="2"/>
    <n v="15"/>
    <x v="3"/>
    <m/>
    <s v="Même arrondissement"/>
    <s v="CMR"/>
    <s v="Cameroun"/>
    <s v="CMR004"/>
    <s v="Extrême-Nord"/>
    <s v="CMR004002"/>
    <s v="Logone-Et-Chari"/>
    <s v="CMR004002006"/>
    <s v="Kousséri"/>
  </r>
  <r>
    <s v="Extrême-Nord"/>
    <s v="CMR004"/>
    <x v="2"/>
    <s v="CMR004002"/>
    <x v="15"/>
    <s v="CMR004002004"/>
    <s v="LBI-0007"/>
    <s v="MANNA"/>
    <m/>
    <x v="0"/>
    <s v="Janvier - Aout 2022"/>
    <n v="35"/>
    <n v="277"/>
    <x v="1"/>
    <m/>
    <s v="Même arrondissement"/>
    <s v="CMR"/>
    <s v="Cameroun"/>
    <s v="CMR004"/>
    <s v="Extrême-Nord"/>
    <s v="CMR004002"/>
    <s v="Logone-Et-Chari"/>
    <s v="CMR004002004"/>
    <s v="Logone-Birni"/>
  </r>
  <r>
    <s v="Extrême-Nord"/>
    <s v="CMR004"/>
    <x v="2"/>
    <s v="CMR004002"/>
    <x v="15"/>
    <s v="CMR004002004"/>
    <s v="LBI-0007"/>
    <s v="MANNA"/>
    <m/>
    <x v="0"/>
    <s v="Septembre 2022 – Février 2023"/>
    <n v="4"/>
    <n v="30"/>
    <x v="3"/>
    <m/>
    <s v="Même arrondissement"/>
    <s v="CMR"/>
    <s v="Cameroun"/>
    <s v="CMR004"/>
    <s v="Extrême-Nord"/>
    <s v="CMR004002"/>
    <s v="Logone-Et-Chari"/>
    <s v="CMR004002004"/>
    <s v="Logone-Birni"/>
  </r>
  <r>
    <s v="Extrême-Nord"/>
    <s v="CMR004"/>
    <x v="2"/>
    <s v="CMR004002"/>
    <x v="15"/>
    <s v="CMR004002004"/>
    <s v="LBI-0002"/>
    <s v="KALKOUSSAM"/>
    <m/>
    <x v="0"/>
    <s v="Avant 2020"/>
    <n v="18"/>
    <n v="100"/>
    <x v="0"/>
    <m/>
    <s v="Même arrondissement"/>
    <s v="CMR"/>
    <s v="Cameroun"/>
    <s v="CMR004"/>
    <s v="Extrême-Nord"/>
    <s v="CMR004002"/>
    <s v="Logone-Et-Chari"/>
    <s v="CMR004002004"/>
    <s v="Logone-Birni"/>
  </r>
  <r>
    <s v="Extrême-Nord"/>
    <s v="CMR004"/>
    <x v="2"/>
    <s v="CMR004002"/>
    <x v="15"/>
    <s v="CMR004002004"/>
    <s v="LBI-0031"/>
    <s v="MADEF"/>
    <m/>
    <x v="0"/>
    <s v="Septembre 2022 – Février 2023"/>
    <n v="10"/>
    <n v="54"/>
    <x v="3"/>
    <m/>
    <s v="Même arrondissement"/>
    <s v="CMR"/>
    <s v="Cameroun"/>
    <s v="CMR004"/>
    <s v="Extrême-Nord"/>
    <s v="CMR004002"/>
    <s v="Logone-Et-Chari"/>
    <s v="CMR004002004"/>
    <s v="Logone-Birni"/>
  </r>
  <r>
    <s v="Extrême-Nord"/>
    <s v="CMR004"/>
    <x v="2"/>
    <s v="CMR004002"/>
    <x v="15"/>
    <s v="CMR004002004"/>
    <s v="LBI-0031"/>
    <s v="MADEF"/>
    <m/>
    <x v="0"/>
    <s v="Janvier - Aout 2022"/>
    <n v="25"/>
    <n v="60"/>
    <x v="3"/>
    <m/>
    <s v="Même arrondissement"/>
    <s v="CMR"/>
    <s v="Cameroun"/>
    <s v="CMR004"/>
    <s v="Extrême-Nord"/>
    <s v="CMR004002"/>
    <s v="Logone-Et-Chari"/>
    <s v="CMR004002004"/>
    <s v="Logone-Birni"/>
  </r>
  <r>
    <s v="Extrême-Nord"/>
    <s v="CMR004"/>
    <x v="2"/>
    <s v="CMR004002"/>
    <x v="15"/>
    <s v="CMR004002004"/>
    <s v="LBI-0024"/>
    <s v="GALESS"/>
    <m/>
    <x v="0"/>
    <s v="Janvier - Aout 2022"/>
    <n v="52"/>
    <n v="226"/>
    <x v="3"/>
    <m/>
    <s v="Même arrondissement"/>
    <s v="CMR"/>
    <s v="Cameroun"/>
    <s v="CMR004"/>
    <s v="Extrême-Nord"/>
    <s v="CMR004002"/>
    <s v="Logone-Et-Chari"/>
    <s v="CMR004002004"/>
    <s v="Logone-Birni"/>
  </r>
  <r>
    <s v="Extrême-Nord"/>
    <s v="CMR004"/>
    <x v="2"/>
    <s v="CMR004002"/>
    <x v="15"/>
    <s v="CMR004002004"/>
    <s v="LBI-0024"/>
    <s v="GALESS"/>
    <m/>
    <x v="0"/>
    <s v="Septembre 2022 – Février 2023"/>
    <n v="35"/>
    <n v="203"/>
    <x v="3"/>
    <m/>
    <s v="Même arrondissement"/>
    <s v="CMR"/>
    <s v="Cameroun"/>
    <s v="CMR004"/>
    <s v="Extrême-Nord"/>
    <s v="CMR004002"/>
    <s v="Logone-Et-Chari"/>
    <s v="CMR004002004"/>
    <s v="Logone-Birni"/>
  </r>
  <r>
    <s v="Extrême-Nord"/>
    <s v="CMR004"/>
    <x v="2"/>
    <s v="CMR004002"/>
    <x v="15"/>
    <s v="CMR004002004"/>
    <s v="LBI-0015"/>
    <s v="NGADA"/>
    <m/>
    <x v="0"/>
    <s v="Janvier - Aout 2022"/>
    <n v="59"/>
    <n v="309"/>
    <x v="3"/>
    <m/>
    <s v="Même arrondissement"/>
    <s v="CMR"/>
    <s v="Cameroun"/>
    <s v="CMR004"/>
    <s v="Extrême-Nord"/>
    <s v="CMR004002"/>
    <s v="Logone-Et-Chari"/>
    <s v="CMR004002004"/>
    <s v="Logone-Birni"/>
  </r>
  <r>
    <s v="Extrême-Nord"/>
    <s v="CMR004"/>
    <x v="2"/>
    <s v="CMR004002"/>
    <x v="15"/>
    <s v="CMR004002004"/>
    <s v="LBI-0062"/>
    <s v="KARA GANA"/>
    <m/>
    <x v="0"/>
    <s v="Avant 2020"/>
    <n v="10"/>
    <n v="73"/>
    <x v="0"/>
    <m/>
    <s v="Même arrondissement"/>
    <s v="CMR"/>
    <s v="Cameroun"/>
    <s v="CMR004"/>
    <s v="Extrême-Nord"/>
    <s v="CMR004002"/>
    <s v="Logone-Et-Chari"/>
    <s v="CMR004002004"/>
    <s v="Logone-Birni"/>
  </r>
  <r>
    <s v="Extrême-Nord"/>
    <s v="CMR004"/>
    <x v="2"/>
    <s v="CMR004002"/>
    <x v="15"/>
    <s v="CMR004002004"/>
    <s v="LBI-0060"/>
    <s v="HOULOUF"/>
    <m/>
    <x v="0"/>
    <s v="Avant 2020"/>
    <n v="30"/>
    <n v="150"/>
    <x v="0"/>
    <m/>
    <s v="Même arrondissement"/>
    <s v="CMR"/>
    <s v="Cameroun"/>
    <s v="CMR004"/>
    <s v="Extrême-Nord"/>
    <s v="CMR004002"/>
    <s v="Logone-Et-Chari"/>
    <s v="CMR004002004"/>
    <s v="Logone-Birni"/>
  </r>
  <r>
    <s v="Extrême-Nord"/>
    <s v="CMR004"/>
    <x v="2"/>
    <s v="CMR004002"/>
    <x v="15"/>
    <s v="CMR004002004"/>
    <s v="XXXX"/>
    <s v="BOURBEDE"/>
    <s v="BOURBEDE"/>
    <x v="0"/>
    <s v="Septembre 2022 – Février 2023"/>
    <n v="40"/>
    <n v="250"/>
    <x v="3"/>
    <m/>
    <s v="Même arrondissement"/>
    <s v="CMR"/>
    <s v="Cameroun"/>
    <s v="CMR004"/>
    <s v="Extrême-Nord"/>
    <s v="CMR004002"/>
    <s v="Logone-Et-Chari"/>
    <s v="CMR004002004"/>
    <s v="Logone-Birni"/>
  </r>
  <r>
    <s v="Extrême-Nord"/>
    <s v="CMR004"/>
    <x v="2"/>
    <s v="CMR004002"/>
    <x v="15"/>
    <s v="CMR004002004"/>
    <s v="LBI-0063"/>
    <s v="KASHAL"/>
    <m/>
    <x v="0"/>
    <s v="Janvier - Aout 2022"/>
    <n v="9"/>
    <n v="50"/>
    <x v="3"/>
    <m/>
    <s v="Même arrondissement"/>
    <s v="CMR"/>
    <s v="Cameroun"/>
    <s v="CMR004"/>
    <s v="Extrême-Nord"/>
    <s v="CMR004002"/>
    <s v="Logone-Et-Chari"/>
    <s v="CMR004002004"/>
    <s v="Logone-Birni"/>
  </r>
  <r>
    <s v="Extrême-Nord"/>
    <s v="CMR004"/>
    <x v="2"/>
    <s v="CMR004002"/>
    <x v="15"/>
    <s v="CMR004002004"/>
    <s v="LBI-0063"/>
    <s v="KASHAL"/>
    <m/>
    <x v="0"/>
    <s v="Septembre 2022 – Février 2023"/>
    <n v="16"/>
    <n v="85"/>
    <x v="3"/>
    <m/>
    <s v="Même arrondissement"/>
    <s v="CMR"/>
    <s v="Cameroun"/>
    <s v="CMR004"/>
    <s v="Extrême-Nord"/>
    <s v="CMR004002"/>
    <s v="Logone-Et-Chari"/>
    <s v="CMR004002004"/>
    <s v="Logone-Birni"/>
  </r>
  <r>
    <s v="Extrême-Nord"/>
    <s v="CMR004"/>
    <x v="2"/>
    <s v="CMR004002"/>
    <x v="15"/>
    <s v="CMR004002004"/>
    <s v="XXXX"/>
    <s v="SITE DE DEIMA"/>
    <s v="SITE DE DEIMA"/>
    <x v="0"/>
    <s v="Septembre 2022 – Février 2023"/>
    <n v="131"/>
    <n v="1186"/>
    <x v="3"/>
    <m/>
    <s v="Même arrondissement"/>
    <s v="CMR"/>
    <s v="Cameroun"/>
    <s v="CMR004"/>
    <s v="Extrême-Nord"/>
    <s v="CMR004002"/>
    <s v="Logone-Et-Chari"/>
    <s v="CMR004002004"/>
    <s v="Logone-Birni"/>
  </r>
  <r>
    <s v="Extrême-Nord"/>
    <s v="CMR004"/>
    <x v="1"/>
    <s v="CMR004006"/>
    <x v="7"/>
    <s v="CMR004006005"/>
    <s v="XXXX"/>
    <s v="SITE DE DZAMADZAF"/>
    <s v="SITE DE DZAMADZAF"/>
    <x v="0"/>
    <s v="Septembre 2022 – Février 2023"/>
    <n v="83"/>
    <n v="550"/>
    <x v="0"/>
    <m/>
    <s v="Même arrondissement"/>
    <s v="CMR"/>
    <s v="Cameroun"/>
    <s v="CMR004"/>
    <s v="Extrême-Nord"/>
    <s v="CMR004006"/>
    <s v="Mayo-Tsanaga"/>
    <s v="CMR004006005"/>
    <s v="Mayo-Moskota"/>
  </r>
  <r>
    <s v="Extrême-Nord"/>
    <s v="CMR004"/>
    <x v="1"/>
    <s v="CMR004006"/>
    <x v="1"/>
    <s v="CMR004006002"/>
    <s v="MOK-0012"/>
    <s v="MBOUA ZIMAGAZAK"/>
    <m/>
    <x v="0"/>
    <s v="Avant 2020"/>
    <n v="19"/>
    <n v="130"/>
    <x v="0"/>
    <m/>
    <s v="Même département, autre arrondissement"/>
    <s v="CMR"/>
    <s v="Cameroun"/>
    <s v="CMR004"/>
    <s v="Extrême-Nord"/>
    <s v="CMR004006"/>
    <s v="Mayo-Tsanaga"/>
    <s v="CMR004006005"/>
    <s v="Mayo-Moskota"/>
  </r>
  <r>
    <s v="Extrême-Nord"/>
    <s v="CMR004"/>
    <x v="1"/>
    <s v="CMR004006"/>
    <x v="1"/>
    <s v="CMR004006002"/>
    <s v="MOK-0012"/>
    <s v="MBOUA ZIMAGAZAK"/>
    <m/>
    <x v="0"/>
    <s v="En 2021"/>
    <n v="12"/>
    <n v="100"/>
    <x v="0"/>
    <m/>
    <s v="Même département, autre arrondissement"/>
    <s v="CMR"/>
    <s v="Cameroun"/>
    <s v="CMR004"/>
    <s v="Extrême-Nord"/>
    <s v="CMR004006"/>
    <s v="Mayo-Tsanaga"/>
    <s v="CMR004006005"/>
    <s v="Mayo-Moskota"/>
  </r>
  <r>
    <s v="Extrême-Nord"/>
    <s v="CMR004"/>
    <x v="1"/>
    <s v="CMR004006"/>
    <x v="1"/>
    <s v="CMR004006002"/>
    <s v="MOK-0012"/>
    <s v="MBOUA ZIMAGAZAK"/>
    <m/>
    <x v="0"/>
    <s v="Septembre 2022 – Février 2023"/>
    <n v="50"/>
    <n v="147"/>
    <x v="0"/>
    <m/>
    <s v="Même arrondissement"/>
    <s v="CMR"/>
    <s v="Cameroun"/>
    <s v="CMR004"/>
    <s v="Extrême-Nord"/>
    <s v="CMR004006"/>
    <s v="Mayo-Tsanaga"/>
    <s v="CMR004006002"/>
    <s v="Mokolo"/>
  </r>
  <r>
    <s v="Extrême-Nord"/>
    <s v="CMR004"/>
    <x v="1"/>
    <s v="CMR004006"/>
    <x v="1"/>
    <s v="CMR004006002"/>
    <s v="MOK-0026"/>
    <s v="SARKI FADA"/>
    <m/>
    <x v="0"/>
    <s v="En 2020"/>
    <n v="15"/>
    <n v="75"/>
    <x v="0"/>
    <m/>
    <s v="Même arrondissement"/>
    <s v="CMR"/>
    <s v="Cameroun"/>
    <s v="CMR004"/>
    <s v="Extrême-Nord"/>
    <s v="CMR004006"/>
    <s v="Mayo-Tsanaga"/>
    <s v="CMR004006002"/>
    <s v="Mokolo"/>
  </r>
  <r>
    <s v="Extrême-Nord"/>
    <s v="CMR004"/>
    <x v="1"/>
    <s v="CMR004006"/>
    <x v="1"/>
    <s v="CMR004006002"/>
    <s v="MOK-0026"/>
    <s v="SARKI FADA"/>
    <m/>
    <x v="0"/>
    <s v="En 2021"/>
    <n v="5"/>
    <n v="26"/>
    <x v="0"/>
    <m/>
    <s v="Même arrondissement"/>
    <s v="CMR"/>
    <s v="Cameroun"/>
    <s v="CMR004"/>
    <s v="Extrême-Nord"/>
    <s v="CMR004006"/>
    <s v="Mayo-Tsanaga"/>
    <s v="CMR004006002"/>
    <s v="Mokolo"/>
  </r>
  <r>
    <s v="Extrême-Nord"/>
    <s v="CMR004"/>
    <x v="1"/>
    <s v="CMR004006"/>
    <x v="1"/>
    <s v="CMR004006002"/>
    <s v="MOK-0026"/>
    <s v="SARKI FADA"/>
    <m/>
    <x v="0"/>
    <s v="Janvier - Aout 2022"/>
    <n v="41"/>
    <n v="231"/>
    <x v="0"/>
    <m/>
    <s v="Même arrondissement"/>
    <s v="CMR"/>
    <s v="Cameroun"/>
    <s v="CMR004"/>
    <s v="Extrême-Nord"/>
    <s v="CMR004006"/>
    <s v="Mayo-Tsanaga"/>
    <s v="CMR004006002"/>
    <s v="Mokolo"/>
  </r>
  <r>
    <s v="Extrême-Nord"/>
    <s v="CMR004"/>
    <x v="2"/>
    <s v="CMR004002"/>
    <x v="23"/>
    <s v="CMR004002005"/>
    <s v="ZIN-0002"/>
    <s v="BALGUE 1"/>
    <m/>
    <x v="0"/>
    <s v="Avant 2020"/>
    <n v="2"/>
    <n v="9"/>
    <x v="3"/>
    <m/>
    <s v="Même arrondissement"/>
    <s v="CMR"/>
    <s v="Cameroun"/>
    <s v="CMR004"/>
    <s v="Extrême-Nord"/>
    <s v="CMR004002"/>
    <s v="Logone-Et-Chari"/>
    <s v="CMR004002005"/>
    <s v="Zina"/>
  </r>
  <r>
    <s v="Extrême-Nord"/>
    <s v="CMR004"/>
    <x v="2"/>
    <s v="CMR004002"/>
    <x v="23"/>
    <s v="CMR004002005"/>
    <s v="ZIN-0021"/>
    <s v="TCHOUKFOU 2"/>
    <m/>
    <x v="0"/>
    <s v="Janvier - Aout 2022"/>
    <n v="10"/>
    <n v="50"/>
    <x v="3"/>
    <m/>
    <s v="Même arrondissement"/>
    <s v="CMR"/>
    <s v="Cameroun"/>
    <s v="CMR004"/>
    <s v="Extrême-Nord"/>
    <s v="CMR004002"/>
    <s v="Logone-Et-Chari"/>
    <s v="CMR004002005"/>
    <s v="Zina"/>
  </r>
  <r>
    <s v="Extrême-Nord"/>
    <s v="CMR004"/>
    <x v="2"/>
    <s v="CMR004002"/>
    <x v="23"/>
    <s v="CMR004002005"/>
    <s v="ZIN-0018"/>
    <s v="LAHAI"/>
    <m/>
    <x v="0"/>
    <s v="Janvier - Aout 2022"/>
    <n v="4"/>
    <n v="30"/>
    <x v="3"/>
    <m/>
    <s v="Même arrondissement"/>
    <s v="CMR"/>
    <s v="Cameroun"/>
    <s v="CMR004"/>
    <s v="Extrême-Nord"/>
    <s v="CMR004002"/>
    <s v="Logone-Et-Chari"/>
    <s v="CMR004002005"/>
    <s v="Zina"/>
  </r>
  <r>
    <s v="Extrême-Nord"/>
    <s v="CMR004"/>
    <x v="2"/>
    <s v="CMR004002"/>
    <x v="23"/>
    <s v="CMR004002005"/>
    <s v="ZIN-0007"/>
    <s v="MASKALAI"/>
    <m/>
    <x v="0"/>
    <s v="Septembre 2022 – Février 2023"/>
    <n v="10"/>
    <n v="78"/>
    <x v="4"/>
    <s v="rupture de digue"/>
    <s v="Même arrondissement"/>
    <s v="CMR"/>
    <s v="Cameroun"/>
    <s v="CMR004"/>
    <s v="Extrême-Nord"/>
    <s v="CMR004002"/>
    <s v="Logone-Et-Chari"/>
    <s v="CMR004002005"/>
    <s v="Zina"/>
  </r>
  <r>
    <s v="Extrême-Nord"/>
    <s v="CMR004"/>
    <x v="2"/>
    <s v="CMR004002"/>
    <x v="8"/>
    <s v="CMR004002009"/>
    <s v="MAK-0151"/>
    <s v="SERO 1"/>
    <m/>
    <x v="0"/>
    <s v="Avant 2020"/>
    <n v="26"/>
    <n v="154"/>
    <x v="0"/>
    <m/>
    <s v="Même arrondissement"/>
    <s v="CMR"/>
    <s v="Cameroun"/>
    <s v="CMR004"/>
    <s v="Extrême-Nord"/>
    <s v="CMR004002"/>
    <s v="Logone-Et-Chari"/>
    <s v="CMR004002009"/>
    <s v="Makary"/>
  </r>
  <r>
    <s v="Extrême-Nord"/>
    <s v="CMR004"/>
    <x v="2"/>
    <s v="CMR004002"/>
    <x v="8"/>
    <s v="CMR004002009"/>
    <s v="MAK-0151"/>
    <s v="SERO 1"/>
    <m/>
    <x v="0"/>
    <s v="Septembre 2022 – Février 2023"/>
    <n v="10"/>
    <n v="24"/>
    <x v="3"/>
    <m/>
    <s v="Même département, autre arrondissement"/>
    <s v="CMR"/>
    <s v="Cameroun"/>
    <s v="CMR004"/>
    <s v="Extrême-Nord"/>
    <s v="CMR004002"/>
    <s v="Logone-Et-Chari"/>
    <s v="CMR004002004"/>
    <s v="Logone-Birni"/>
  </r>
  <r>
    <s v="Extrême-Nord"/>
    <s v="CMR004"/>
    <x v="2"/>
    <s v="CMR004002"/>
    <x v="8"/>
    <s v="CMR004002009"/>
    <s v="MAK-0152"/>
    <s v="SOUNGOURA 1"/>
    <m/>
    <x v="0"/>
    <s v="Avant 2020"/>
    <n v="4"/>
    <n v="30"/>
    <x v="0"/>
    <m/>
    <s v="Même arrondissement"/>
    <s v="CMR"/>
    <s v="Cameroun"/>
    <s v="CMR004"/>
    <s v="Extrême-Nord"/>
    <s v="CMR004002"/>
    <s v="Logone-Et-Chari"/>
    <s v="CMR004002009"/>
    <s v="Makary"/>
  </r>
  <r>
    <s v="Extrême-Nord"/>
    <s v="CMR004"/>
    <x v="1"/>
    <s v="CMR004006"/>
    <x v="1"/>
    <s v="CMR004006002"/>
    <s v="MOK-0027"/>
    <s v="LDAMANG"/>
    <m/>
    <x v="0"/>
    <s v="En 2020"/>
    <n v="2"/>
    <n v="6"/>
    <x v="0"/>
    <m/>
    <s v="Même arrondissement"/>
    <s v="CMR"/>
    <s v="Cameroun"/>
    <s v="CMR004"/>
    <s v="Extrême-Nord"/>
    <s v="CMR004006"/>
    <s v="Mayo-Tsanaga"/>
    <s v="CMR004006002"/>
    <s v="Mokolo"/>
  </r>
  <r>
    <s v="Extrême-Nord"/>
    <s v="CMR004"/>
    <x v="1"/>
    <s v="CMR004006"/>
    <x v="1"/>
    <s v="CMR004006002"/>
    <s v="MOK-0027"/>
    <s v="LDAMANG"/>
    <m/>
    <x v="0"/>
    <s v="En 2021"/>
    <n v="4"/>
    <n v="9"/>
    <x v="0"/>
    <m/>
    <s v="Même arrondissement"/>
    <s v="CMR"/>
    <s v="Cameroun"/>
    <s v="CMR004"/>
    <s v="Extrême-Nord"/>
    <s v="CMR004006"/>
    <s v="Mayo-Tsanaga"/>
    <s v="CMR004006002"/>
    <s v="Mokolo"/>
  </r>
  <r>
    <s v="Extrême-Nord"/>
    <s v="CMR004"/>
    <x v="1"/>
    <s v="CMR004006"/>
    <x v="1"/>
    <s v="CMR004006002"/>
    <s v="MOK-0027"/>
    <s v="LDAMANG"/>
    <m/>
    <x v="0"/>
    <s v="Janvier - Aout 2022"/>
    <n v="265"/>
    <n v="1629"/>
    <x v="0"/>
    <m/>
    <s v="Même arrondissement"/>
    <s v="CMR"/>
    <s v="Cameroun"/>
    <s v="CMR004"/>
    <s v="Extrême-Nord"/>
    <s v="CMR004006"/>
    <s v="Mayo-Tsanaga"/>
    <s v="CMR004006002"/>
    <s v="Mokolo"/>
  </r>
  <r>
    <s v="Extrême-Nord"/>
    <s v="CMR004"/>
    <x v="1"/>
    <s v="CMR004006"/>
    <x v="1"/>
    <s v="CMR004006002"/>
    <s v="MOK-0027"/>
    <s v="LDAMANG"/>
    <m/>
    <x v="0"/>
    <s v="Septembre 2022 – Février 2023"/>
    <n v="25"/>
    <n v="365"/>
    <x v="0"/>
    <m/>
    <s v="Même arrondissement"/>
    <s v="CMR"/>
    <s v="Cameroun"/>
    <s v="CMR004"/>
    <s v="Extrême-Nord"/>
    <s v="CMR004006"/>
    <s v="Mayo-Tsanaga"/>
    <s v="CMR004006002"/>
    <s v="Mokolo"/>
  </r>
  <r>
    <s v="Extrême-Nord"/>
    <s v="CMR004"/>
    <x v="2"/>
    <s v="CMR004002"/>
    <x v="23"/>
    <s v="CMR004002005"/>
    <s v="XXXX"/>
    <s v="DIBISSA"/>
    <s v="DIBISSA"/>
    <x v="0"/>
    <s v="Janvier - Aout 2022"/>
    <n v="67"/>
    <n v="570"/>
    <x v="3"/>
    <m/>
    <s v="Même arrondissement"/>
    <s v="CMR"/>
    <s v="Cameroun"/>
    <s v="CMR004"/>
    <s v="Extrême-Nord"/>
    <s v="CMR004002"/>
    <s v="Logone-Et-Chari"/>
    <s v="CMR004002005"/>
    <s v="Zina"/>
  </r>
  <r>
    <s v="Extrême-Nord"/>
    <s v="CMR004"/>
    <x v="2"/>
    <s v="CMR004002"/>
    <x v="23"/>
    <s v="CMR004002005"/>
    <s v="ZIN-0010"/>
    <s v="ZILIM 2"/>
    <m/>
    <x v="0"/>
    <s v="En 2021"/>
    <n v="6"/>
    <n v="48"/>
    <x v="3"/>
    <m/>
    <s v="Même arrondissement"/>
    <s v="CMR"/>
    <s v="Cameroun"/>
    <s v="CMR004"/>
    <s v="Extrême-Nord"/>
    <s v="CMR004002"/>
    <s v="Logone-Et-Chari"/>
    <s v="CMR004002005"/>
    <s v="Zina"/>
  </r>
  <r>
    <s v="Extrême-Nord"/>
    <s v="CMR004"/>
    <x v="2"/>
    <s v="CMR004002"/>
    <x v="15"/>
    <s v="CMR004002004"/>
    <s v="LBI-0033"/>
    <s v="NDOM"/>
    <m/>
    <x v="0"/>
    <s v="Avant 2020"/>
    <n v="16"/>
    <n v="117"/>
    <x v="0"/>
    <m/>
    <s v="Même arrondissement"/>
    <s v="CMR"/>
    <s v="Cameroun"/>
    <s v="CMR004"/>
    <s v="Extrême-Nord"/>
    <s v="CMR004002"/>
    <s v="Logone-Et-Chari"/>
    <s v="CMR004002004"/>
    <s v="Logone-Birni"/>
  </r>
  <r>
    <s v="Extrême-Nord"/>
    <s v="CMR004"/>
    <x v="2"/>
    <s v="CMR004002"/>
    <x v="8"/>
    <s v="CMR004002009"/>
    <s v="MAK-0229"/>
    <s v="NALA 1"/>
    <m/>
    <x v="0"/>
    <s v="Septembre 2022 – Février 2023"/>
    <n v="10"/>
    <n v="25"/>
    <x v="3"/>
    <m/>
    <s v="Même arrondissement"/>
    <s v="CMR"/>
    <s v="Cameroun"/>
    <s v="CMR004"/>
    <s v="Extrême-Nord"/>
    <s v="CMR004002"/>
    <s v="Logone-Et-Chari"/>
    <s v="CMR004002009"/>
    <s v="Makary"/>
  </r>
  <r>
    <s v="Extrême-Nord"/>
    <s v="CMR004"/>
    <x v="3"/>
    <s v="CMR004003"/>
    <x v="11"/>
    <s v="CMR004003002"/>
    <s v="MAG-0006"/>
    <s v="SITE DE TEKELE"/>
    <m/>
    <x v="0"/>
    <s v="Avant 2020"/>
    <n v="35"/>
    <n v="193"/>
    <x v="3"/>
    <m/>
    <s v="Même arrondissement"/>
    <s v="CMR"/>
    <s v="Cameroun"/>
    <s v="CMR004"/>
    <s v="Extrême-Nord"/>
    <s v="CMR004003"/>
    <s v="Mayo-Danay"/>
    <s v="CMR004003002"/>
    <s v="Maga"/>
  </r>
  <r>
    <s v="Extrême-Nord"/>
    <s v="CMR004"/>
    <x v="3"/>
    <s v="CMR004003"/>
    <x v="11"/>
    <s v="CMR004003002"/>
    <s v="MAG-0006"/>
    <s v="SITE DE TEKELE"/>
    <m/>
    <x v="0"/>
    <s v="En 2020"/>
    <n v="0"/>
    <n v="2"/>
    <x v="3"/>
    <m/>
    <s v="Même arrondissement"/>
    <s v="CMR"/>
    <s v="Cameroun"/>
    <s v="CMR004"/>
    <s v="Extrême-Nord"/>
    <s v="CMR004003"/>
    <s v="Mayo-Danay"/>
    <s v="CMR004003002"/>
    <s v="Maga"/>
  </r>
  <r>
    <s v="Extrême-Nord"/>
    <s v="CMR004"/>
    <x v="3"/>
    <s v="CMR004003"/>
    <x v="11"/>
    <s v="CMR004003002"/>
    <s v="MAG-0006"/>
    <s v="SITE DE TEKELE"/>
    <m/>
    <x v="0"/>
    <s v="En 2021"/>
    <n v="2"/>
    <n v="14"/>
    <x v="3"/>
    <m/>
    <s v="Même arrondissement"/>
    <s v="CMR"/>
    <s v="Cameroun"/>
    <s v="CMR004"/>
    <s v="Extrême-Nord"/>
    <s v="CMR004003"/>
    <s v="Mayo-Danay"/>
    <s v="CMR004003002"/>
    <s v="Maga"/>
  </r>
  <r>
    <s v="Extrême-Nord"/>
    <s v="CMR004"/>
    <x v="3"/>
    <s v="CMR004003"/>
    <x v="11"/>
    <s v="CMR004003002"/>
    <s v="MAG-0006"/>
    <s v="SITE DE TEKELE"/>
    <m/>
    <x v="0"/>
    <s v="Janvier - Aout 2022"/>
    <n v="0"/>
    <n v="4"/>
    <x v="3"/>
    <m/>
    <s v="Même arrondissement"/>
    <s v="CMR"/>
    <s v="Cameroun"/>
    <s v="CMR004"/>
    <s v="Extrême-Nord"/>
    <s v="CMR004003"/>
    <s v="Mayo-Danay"/>
    <s v="CMR004003002"/>
    <s v="Maga"/>
  </r>
  <r>
    <s v="Extrême-Nord"/>
    <s v="CMR004"/>
    <x v="3"/>
    <s v="CMR004003"/>
    <x v="11"/>
    <s v="CMR004003002"/>
    <s v="MAG-0006"/>
    <s v="SITE DE TEKELE"/>
    <m/>
    <x v="0"/>
    <s v="Septembre 2022 – Février 2023"/>
    <n v="0"/>
    <n v="2"/>
    <x v="3"/>
    <m/>
    <s v="Même arrondissement"/>
    <s v="CMR"/>
    <s v="Cameroun"/>
    <s v="CMR004"/>
    <s v="Extrême-Nord"/>
    <s v="CMR004003"/>
    <s v="Mayo-Danay"/>
    <s v="CMR004003002"/>
    <s v="Maga"/>
  </r>
  <r>
    <s v="Extrême-Nord"/>
    <s v="CMR004"/>
    <x v="1"/>
    <s v="CMR004006"/>
    <x v="1"/>
    <s v="CMR004006002"/>
    <s v="MOK-0033"/>
    <s v="LDUBAM"/>
    <m/>
    <x v="0"/>
    <s v="En 2020"/>
    <n v="3"/>
    <n v="73"/>
    <x v="0"/>
    <m/>
    <s v="Même arrondissement"/>
    <s v="CMR"/>
    <s v="Cameroun"/>
    <s v="CMR004"/>
    <s v="Extrême-Nord"/>
    <s v="CMR004006"/>
    <s v="Mayo-Tsanaga"/>
    <s v="CMR004006002"/>
    <s v="Mokolo"/>
  </r>
  <r>
    <s v="Extrême-Nord"/>
    <s v="CMR004"/>
    <x v="1"/>
    <s v="CMR004006"/>
    <x v="1"/>
    <s v="CMR004006002"/>
    <s v="MOK-0033"/>
    <s v="LDUBAM"/>
    <m/>
    <x v="0"/>
    <s v="En 2021"/>
    <n v="8"/>
    <n v="37"/>
    <x v="0"/>
    <m/>
    <s v="Même arrondissement"/>
    <s v="CMR"/>
    <s v="Cameroun"/>
    <s v="CMR004"/>
    <s v="Extrême-Nord"/>
    <s v="CMR004006"/>
    <s v="Mayo-Tsanaga"/>
    <s v="CMR004006002"/>
    <s v="Mokolo"/>
  </r>
  <r>
    <s v="Extrême-Nord"/>
    <s v="CMR004"/>
    <x v="1"/>
    <s v="CMR004006"/>
    <x v="1"/>
    <s v="CMR004006002"/>
    <s v="MOK-0033"/>
    <s v="LDUBAM"/>
    <m/>
    <x v="0"/>
    <s v="Janvier - Aout 2022"/>
    <n v="4"/>
    <n v="18"/>
    <x v="0"/>
    <m/>
    <s v="Même arrondissement"/>
    <s v="CMR"/>
    <s v="Cameroun"/>
    <s v="CMR004"/>
    <s v="Extrême-Nord"/>
    <s v="CMR004006"/>
    <s v="Mayo-Tsanaga"/>
    <s v="CMR004006002"/>
    <s v="Mokolo"/>
  </r>
  <r>
    <s v="Extrême-Nord"/>
    <s v="CMR004"/>
    <x v="1"/>
    <s v="CMR004006"/>
    <x v="1"/>
    <s v="CMR004006002"/>
    <s v="MOK-0033"/>
    <s v="LDUBAM"/>
    <m/>
    <x v="0"/>
    <s v="Septembre 2022 – Février 2023"/>
    <n v="50"/>
    <n v="118"/>
    <x v="0"/>
    <m/>
    <s v="Même arrondissement"/>
    <s v="CMR"/>
    <s v="Cameroun"/>
    <s v="CMR004"/>
    <s v="Extrême-Nord"/>
    <s v="CMR004006"/>
    <s v="Mayo-Tsanaga"/>
    <s v="CMR004006002"/>
    <s v="Mokolo"/>
  </r>
  <r>
    <s v="Extrême-Nord"/>
    <s v="CMR004"/>
    <x v="1"/>
    <s v="CMR004006"/>
    <x v="1"/>
    <s v="CMR004006002"/>
    <s v="MOK-0034"/>
    <s v="WOUDAHAI"/>
    <m/>
    <x v="0"/>
    <s v="Avant 2020"/>
    <n v="66"/>
    <n v="397"/>
    <x v="0"/>
    <m/>
    <s v="Même arrondissement"/>
    <s v="CMR"/>
    <s v="Cameroun"/>
    <s v="CMR004"/>
    <s v="Extrême-Nord"/>
    <s v="CMR004006"/>
    <s v="Mayo-Tsanaga"/>
    <s v="CMR004006002"/>
    <s v="Mokolo"/>
  </r>
  <r>
    <s v="Extrême-Nord"/>
    <s v="CMR004"/>
    <x v="1"/>
    <s v="CMR004006"/>
    <x v="1"/>
    <s v="CMR004006002"/>
    <s v="MOK-0034"/>
    <s v="WOUDAHAI"/>
    <m/>
    <x v="0"/>
    <s v="En 2020"/>
    <n v="0"/>
    <n v="9"/>
    <x v="0"/>
    <m/>
    <s v="Même arrondissement"/>
    <s v="CMR"/>
    <s v="Cameroun"/>
    <s v="CMR004"/>
    <s v="Extrême-Nord"/>
    <s v="CMR004006"/>
    <s v="Mayo-Tsanaga"/>
    <s v="CMR004006002"/>
    <s v="Mokolo"/>
  </r>
  <r>
    <s v="Extrême-Nord"/>
    <s v="CMR004"/>
    <x v="1"/>
    <s v="CMR004006"/>
    <x v="1"/>
    <s v="CMR004006002"/>
    <s v="MOK-0034"/>
    <s v="WOUDAHAI"/>
    <m/>
    <x v="0"/>
    <s v="En 2021"/>
    <n v="12"/>
    <n v="60"/>
    <x v="0"/>
    <m/>
    <s v="Même arrondissement"/>
    <s v="CMR"/>
    <s v="Cameroun"/>
    <s v="CMR004"/>
    <s v="Extrême-Nord"/>
    <s v="CMR004006"/>
    <s v="Mayo-Tsanaga"/>
    <s v="CMR004006002"/>
    <s v="Mokolo"/>
  </r>
  <r>
    <s v="Extrême-Nord"/>
    <s v="CMR004"/>
    <x v="1"/>
    <s v="CMR004006"/>
    <x v="1"/>
    <s v="CMR004006002"/>
    <s v="MOK-0034"/>
    <s v="WOUDAHAI"/>
    <m/>
    <x v="0"/>
    <s v="Janvier - Aout 2022"/>
    <n v="15"/>
    <n v="59"/>
    <x v="0"/>
    <m/>
    <s v="Même arrondissement"/>
    <s v="CMR"/>
    <s v="Cameroun"/>
    <s v="CMR004"/>
    <s v="Extrême-Nord"/>
    <s v="CMR004006"/>
    <s v="Mayo-Tsanaga"/>
    <s v="CMR004006002"/>
    <s v="Mokolo"/>
  </r>
  <r>
    <s v="Extrême-Nord"/>
    <s v="CMR004"/>
    <x v="1"/>
    <s v="CMR004006"/>
    <x v="1"/>
    <s v="CMR004006002"/>
    <s v="MOK-0034"/>
    <s v="WOUDAHAI"/>
    <m/>
    <x v="0"/>
    <s v="Septembre 2022 – Février 2023"/>
    <n v="60"/>
    <n v="98"/>
    <x v="0"/>
    <m/>
    <s v="Même arrondissement"/>
    <s v="CMR"/>
    <s v="Cameroun"/>
    <s v="CMR004"/>
    <s v="Extrême-Nord"/>
    <s v="CMR004006"/>
    <s v="Mayo-Tsanaga"/>
    <s v="CMR004006002"/>
    <s v="Mokolo"/>
  </r>
  <r>
    <s v="Extrême-Nord"/>
    <s v="CMR004"/>
    <x v="1"/>
    <s v="CMR004006"/>
    <x v="1"/>
    <s v="CMR004006002"/>
    <s v="MOK-0037"/>
    <s v="SITE DE ZAMAI 3"/>
    <m/>
    <x v="0"/>
    <s v="Avant 2020"/>
    <n v="552"/>
    <n v="2068"/>
    <x v="0"/>
    <m/>
    <s v="Même arrondissement"/>
    <s v="CMR"/>
    <s v="Cameroun"/>
    <s v="CMR004"/>
    <s v="Extrême-Nord"/>
    <s v="CMR004006"/>
    <s v="Mayo-Tsanaga"/>
    <s v="CMR004006002"/>
    <s v="Mokolo"/>
  </r>
  <r>
    <s v="Extrême-Nord"/>
    <s v="CMR004"/>
    <x v="1"/>
    <s v="CMR004006"/>
    <x v="1"/>
    <s v="CMR004006002"/>
    <s v="MOK-0037"/>
    <s v="SITE DE ZAMAI 3"/>
    <m/>
    <x v="0"/>
    <s v="En 2020"/>
    <n v="50"/>
    <n v="164"/>
    <x v="0"/>
    <m/>
    <s v="Même arrondissement"/>
    <s v="CMR"/>
    <s v="Cameroun"/>
    <s v="CMR004"/>
    <s v="Extrême-Nord"/>
    <s v="CMR004006"/>
    <s v="Mayo-Tsanaga"/>
    <s v="CMR004006002"/>
    <s v="Mokolo"/>
  </r>
  <r>
    <s v="Extrême-Nord"/>
    <s v="CMR004"/>
    <x v="1"/>
    <s v="CMR004006"/>
    <x v="1"/>
    <s v="CMR004006002"/>
    <s v="MOK-0037"/>
    <s v="SITE DE ZAMAI 3"/>
    <m/>
    <x v="0"/>
    <s v="En 2021"/>
    <n v="30"/>
    <n v="185"/>
    <x v="0"/>
    <m/>
    <s v="Même arrondissement"/>
    <s v="CMR"/>
    <s v="Cameroun"/>
    <s v="CMR004"/>
    <s v="Extrême-Nord"/>
    <s v="CMR004006"/>
    <s v="Mayo-Tsanaga"/>
    <s v="CMR004006002"/>
    <s v="Mokolo"/>
  </r>
  <r>
    <s v="Extrême-Nord"/>
    <s v="CMR004"/>
    <x v="1"/>
    <s v="CMR004006"/>
    <x v="1"/>
    <s v="CMR004006002"/>
    <s v="MOK-0037"/>
    <s v="SITE DE ZAMAI 3"/>
    <m/>
    <x v="0"/>
    <s v="Janvier - Aout 2022"/>
    <n v="58"/>
    <n v="268"/>
    <x v="0"/>
    <m/>
    <s v="Même arrondissement"/>
    <s v="CMR"/>
    <s v="Cameroun"/>
    <s v="CMR004"/>
    <s v="Extrême-Nord"/>
    <s v="CMR004006"/>
    <s v="Mayo-Tsanaga"/>
    <s v="CMR004006002"/>
    <s v="Mokolo"/>
  </r>
  <r>
    <s v="Extrême-Nord"/>
    <s v="CMR004"/>
    <x v="1"/>
    <s v="CMR004006"/>
    <x v="1"/>
    <s v="CMR004006002"/>
    <s v="MOK-0037"/>
    <s v="SITE DE ZAMAI 3"/>
    <m/>
    <x v="0"/>
    <s v="Septembre 2022 – Février 2023"/>
    <n v="160"/>
    <n v="450"/>
    <x v="0"/>
    <m/>
    <s v="Même arrondissement"/>
    <s v="CMR"/>
    <s v="Cameroun"/>
    <s v="CMR004"/>
    <s v="Extrême-Nord"/>
    <s v="CMR004006"/>
    <s v="Mayo-Tsanaga"/>
    <s v="CMR004006002"/>
    <s v="Mokolo"/>
  </r>
  <r>
    <s v="Extrême-Nord"/>
    <s v="CMR004"/>
    <x v="1"/>
    <s v="CMR004006"/>
    <x v="1"/>
    <s v="CMR004006002"/>
    <s v="MOK-0013"/>
    <s v="MOKONG"/>
    <m/>
    <x v="0"/>
    <s v="Avant 2020"/>
    <n v="12"/>
    <n v="70"/>
    <x v="0"/>
    <m/>
    <s v="Autre département"/>
    <s v="CMR"/>
    <s v="Cameroun"/>
    <s v="CMR004"/>
    <s v="Extrême-Nord"/>
    <s v="CMR004005"/>
    <s v="Mayo-Sava"/>
    <m/>
    <m/>
  </r>
  <r>
    <s v="Extrême-Nord"/>
    <s v="CMR004"/>
    <x v="1"/>
    <s v="CMR004006"/>
    <x v="1"/>
    <s v="CMR004006002"/>
    <s v="MOK-0013"/>
    <s v="MOKONG"/>
    <m/>
    <x v="0"/>
    <s v="Septembre 2022 – Février 2023"/>
    <n v="1"/>
    <n v="7"/>
    <x v="0"/>
    <m/>
    <s v="Même arrondissement"/>
    <s v="CMR"/>
    <s v="Cameroun"/>
    <s v="CMR004"/>
    <s v="Extrême-Nord"/>
    <s v="CMR004006"/>
    <s v="Mayo-Tsanaga"/>
    <s v="CMR004006002"/>
    <s v="Mokolo"/>
  </r>
  <r>
    <s v="Extrême-Nord"/>
    <s v="CMR004"/>
    <x v="1"/>
    <s v="CMR004006"/>
    <x v="1"/>
    <s v="CMR004006002"/>
    <s v="MOK-0018"/>
    <s v="SABONGARI"/>
    <m/>
    <x v="0"/>
    <s v="Avant 2020"/>
    <n v="9"/>
    <n v="49"/>
    <x v="0"/>
    <m/>
    <s v="Même arrondissement"/>
    <s v="CMR"/>
    <s v="Cameroun"/>
    <s v="CMR004"/>
    <s v="Extrême-Nord"/>
    <s v="CMR004006"/>
    <s v="Mayo-Tsanaga"/>
    <s v="CMR004006002"/>
    <s v="Mokolo"/>
  </r>
  <r>
    <s v="Extrême-Nord"/>
    <s v="CMR004"/>
    <x v="1"/>
    <s v="CMR004006"/>
    <x v="1"/>
    <s v="CMR004006002"/>
    <s v="MOK-0018"/>
    <s v="SABONGARI"/>
    <m/>
    <x v="0"/>
    <s v="En 2020"/>
    <n v="7"/>
    <n v="21"/>
    <x v="0"/>
    <m/>
    <s v="Même arrondissement"/>
    <s v="CMR"/>
    <s v="Cameroun"/>
    <s v="CMR004"/>
    <s v="Extrême-Nord"/>
    <s v="CMR004006"/>
    <s v="Mayo-Tsanaga"/>
    <s v="CMR004006002"/>
    <s v="Mokolo"/>
  </r>
  <r>
    <s v="Extrême-Nord"/>
    <s v="CMR004"/>
    <x v="1"/>
    <s v="CMR004006"/>
    <x v="1"/>
    <s v="CMR004006002"/>
    <s v="MOK-0018"/>
    <s v="SABONGARI"/>
    <m/>
    <x v="0"/>
    <s v="En 2021"/>
    <n v="3"/>
    <n v="34"/>
    <x v="0"/>
    <m/>
    <s v="Même arrondissement"/>
    <s v="CMR"/>
    <s v="Cameroun"/>
    <s v="CMR004"/>
    <s v="Extrême-Nord"/>
    <s v="CMR004006"/>
    <s v="Mayo-Tsanaga"/>
    <s v="CMR004006002"/>
    <s v="Mokolo"/>
  </r>
  <r>
    <s v="Extrême-Nord"/>
    <s v="CMR004"/>
    <x v="1"/>
    <s v="CMR004006"/>
    <x v="1"/>
    <s v="CMR004006002"/>
    <s v="MOK-0018"/>
    <s v="SABONGARI"/>
    <m/>
    <x v="0"/>
    <s v="Septembre 2022 – Février 2023"/>
    <n v="20"/>
    <n v="56"/>
    <x v="0"/>
    <m/>
    <s v="Même arrondissement"/>
    <s v="CMR"/>
    <s v="Cameroun"/>
    <s v="CMR004"/>
    <s v="Extrême-Nord"/>
    <s v="CMR004006"/>
    <s v="Mayo-Tsanaga"/>
    <s v="CMR004006002"/>
    <s v="Mokolo"/>
  </r>
  <r>
    <s v="Extrême-Nord"/>
    <s v="CMR004"/>
    <x v="1"/>
    <s v="CMR004006"/>
    <x v="1"/>
    <s v="CMR004006002"/>
    <s v="MOK-0039"/>
    <s v="SITE DE TOUROU"/>
    <m/>
    <x v="0"/>
    <s v="Avant 2020"/>
    <n v="466"/>
    <n v="2730"/>
    <x v="0"/>
    <m/>
    <s v="Même arrondissement"/>
    <s v="CMR"/>
    <s v="Cameroun"/>
    <s v="CMR004"/>
    <s v="Extrême-Nord"/>
    <s v="CMR004006"/>
    <s v="Mayo-Tsanaga"/>
    <s v="CMR004006002"/>
    <s v="Mokolo"/>
  </r>
  <r>
    <s v="Extrême-Nord"/>
    <s v="CMR004"/>
    <x v="1"/>
    <s v="CMR004006"/>
    <x v="1"/>
    <s v="CMR004006002"/>
    <s v="MOK-0039"/>
    <s v="SITE DE TOUROU"/>
    <m/>
    <x v="0"/>
    <s v="En 2021"/>
    <n v="0"/>
    <n v="1"/>
    <x v="0"/>
    <m/>
    <s v="Même arrondissement"/>
    <s v="CMR"/>
    <s v="Cameroun"/>
    <s v="CMR004"/>
    <s v="Extrême-Nord"/>
    <s v="CMR004006"/>
    <s v="Mayo-Tsanaga"/>
    <s v="CMR004006002"/>
    <s v="Mokolo"/>
  </r>
  <r>
    <s v="Extrême-Nord"/>
    <s v="CMR004"/>
    <x v="1"/>
    <s v="CMR004006"/>
    <x v="1"/>
    <s v="CMR004006002"/>
    <s v="MOK-0039"/>
    <s v="SITE DE TOUROU"/>
    <m/>
    <x v="0"/>
    <s v="Janvier - Aout 2022"/>
    <n v="22"/>
    <n v="195"/>
    <x v="0"/>
    <m/>
    <s v="Même arrondissement"/>
    <s v="CMR"/>
    <s v="Cameroun"/>
    <s v="CMR004"/>
    <s v="Extrême-Nord"/>
    <s v="CMR004006"/>
    <s v="Mayo-Tsanaga"/>
    <s v="CMR004006002"/>
    <s v="Mokolo"/>
  </r>
  <r>
    <s v="Extrême-Nord"/>
    <s v="CMR004"/>
    <x v="1"/>
    <s v="CMR004006"/>
    <x v="1"/>
    <s v="CMR004006002"/>
    <s v="MOK-0039"/>
    <s v="SITE DE TOUROU"/>
    <m/>
    <x v="0"/>
    <s v="Septembre 2022 – Février 2023"/>
    <n v="75"/>
    <n v="200"/>
    <x v="0"/>
    <m/>
    <s v="Même arrondissement"/>
    <s v="CMR"/>
    <s v="Cameroun"/>
    <s v="CMR004"/>
    <s v="Extrême-Nord"/>
    <s v="CMR004006"/>
    <s v="Mayo-Tsanaga"/>
    <s v="CMR004006002"/>
    <s v="Mokolo"/>
  </r>
  <r>
    <s v="Extrême-Nord"/>
    <s v="CMR004"/>
    <x v="1"/>
    <s v="CMR004006"/>
    <x v="1"/>
    <s v="CMR004006002"/>
    <s v="MOK-0045"/>
    <s v="BISKAVAI"/>
    <m/>
    <x v="0"/>
    <s v="En 2021"/>
    <n v="2"/>
    <n v="12"/>
    <x v="0"/>
    <m/>
    <s v="Même département, autre arrondissement"/>
    <s v="CMR"/>
    <s v="Cameroun"/>
    <s v="CMR004"/>
    <s v="Extrême-Nord"/>
    <s v="CMR004006"/>
    <s v="Mayo-Tsanaga"/>
    <s v="CMR004006005"/>
    <s v="Mayo-Moskota"/>
  </r>
  <r>
    <s v="Extrême-Nord"/>
    <s v="CMR004"/>
    <x v="1"/>
    <s v="CMR004006"/>
    <x v="1"/>
    <s v="CMR004006002"/>
    <s v="MOK-0045"/>
    <s v="BISKAVAI"/>
    <m/>
    <x v="0"/>
    <s v="Avant 2020"/>
    <n v="20"/>
    <n v="67"/>
    <x v="0"/>
    <m/>
    <s v="Même département, autre arrondissement"/>
    <s v="CMR"/>
    <s v="Cameroun"/>
    <s v="CMR004"/>
    <s v="Extrême-Nord"/>
    <s v="CMR004006"/>
    <s v="Mayo-Tsanaga"/>
    <s v="CMR004006005"/>
    <s v="Mayo-Moskota"/>
  </r>
  <r>
    <s v="Extrême-Nord"/>
    <s v="CMR004"/>
    <x v="1"/>
    <s v="CMR004006"/>
    <x v="1"/>
    <s v="CMR004006002"/>
    <s v="MOK-0045"/>
    <s v="BISKAVAI"/>
    <m/>
    <x v="0"/>
    <s v="Septembre 2022 – Février 2023"/>
    <n v="7"/>
    <n v="21"/>
    <x v="0"/>
    <m/>
    <s v="Même département, autre arrondissement"/>
    <s v="CMR"/>
    <s v="Cameroun"/>
    <s v="CMR004"/>
    <s v="Extrême-Nord"/>
    <s v="CMR004006"/>
    <s v="Mayo-Tsanaga"/>
    <s v="CMR004006005"/>
    <s v="Mayo-Moskota"/>
  </r>
  <r>
    <s v="Extrême-Nord"/>
    <s v="CMR004"/>
    <x v="1"/>
    <s v="CMR004006"/>
    <x v="1"/>
    <s v="CMR004006002"/>
    <s v="XXXX"/>
    <s v="DOUVAR"/>
    <s v="DOUVAR"/>
    <x v="0"/>
    <s v="Septembre 2022 – Février 2023"/>
    <n v="15"/>
    <n v="60"/>
    <x v="0"/>
    <m/>
    <s v="Même arrondissement"/>
    <s v="CMR"/>
    <s v="Cameroun"/>
    <s v="CMR004"/>
    <s v="Extrême-Nord"/>
    <s v="CMR004006"/>
    <s v="Mayo-Tsanaga"/>
    <s v="CMR004006002"/>
    <s v="Mokolo"/>
  </r>
  <r>
    <s v="Extrême-Nord"/>
    <s v="CMR004"/>
    <x v="1"/>
    <s v="CMR004006"/>
    <x v="1"/>
    <s v="CMR004006002"/>
    <s v="MOK-0054"/>
    <s v="NASSARAO"/>
    <m/>
    <x v="0"/>
    <s v="Avant 2020"/>
    <n v="20"/>
    <n v="120"/>
    <x v="0"/>
    <m/>
    <s v="Même arrondissement"/>
    <s v="CMR"/>
    <s v="Cameroun"/>
    <s v="CMR004"/>
    <s v="Extrême-Nord"/>
    <s v="CMR004006"/>
    <s v="Mayo-Tsanaga"/>
    <s v="CMR004006002"/>
    <s v="Mokolo"/>
  </r>
  <r>
    <s v="Extrême-Nord"/>
    <s v="CMR004"/>
    <x v="1"/>
    <s v="CMR004006"/>
    <x v="1"/>
    <s v="CMR004006002"/>
    <s v="MOK-0054"/>
    <s v="NASSARAO"/>
    <m/>
    <x v="0"/>
    <s v="Janvier - Aout 2022"/>
    <n v="5"/>
    <n v="33"/>
    <x v="0"/>
    <m/>
    <s v="Même arrondissement"/>
    <s v="CMR"/>
    <s v="Cameroun"/>
    <s v="CMR004"/>
    <s v="Extrême-Nord"/>
    <s v="CMR004006"/>
    <s v="Mayo-Tsanaga"/>
    <s v="CMR004006002"/>
    <s v="Mokolo"/>
  </r>
  <r>
    <s v="Extrême-Nord"/>
    <s v="CMR004"/>
    <x v="1"/>
    <s v="CMR004006"/>
    <x v="1"/>
    <s v="CMR004006002"/>
    <s v="MOK-0054"/>
    <s v="NASSARAO"/>
    <m/>
    <x v="0"/>
    <s v="Septembre 2022 – Février 2023"/>
    <n v="12"/>
    <n v="32"/>
    <x v="0"/>
    <m/>
    <s v="Même arrondissement"/>
    <s v="CMR"/>
    <s v="Cameroun"/>
    <s v="CMR004"/>
    <s v="Extrême-Nord"/>
    <s v="CMR004006"/>
    <s v="Mayo-Tsanaga"/>
    <s v="CMR004006002"/>
    <s v="Mokolo"/>
  </r>
  <r>
    <s v="Extrême-Nord"/>
    <s v="CMR004"/>
    <x v="1"/>
    <s v="CMR004006"/>
    <x v="1"/>
    <s v="CMR004006002"/>
    <s v="MOK-0008"/>
    <s v="LAIDE"/>
    <m/>
    <x v="0"/>
    <s v="En 2020"/>
    <n v="1"/>
    <n v="1"/>
    <x v="0"/>
    <m/>
    <s v="Même arrondissement"/>
    <s v="CMR"/>
    <s v="Cameroun"/>
    <s v="CMR004"/>
    <s v="Extrême-Nord"/>
    <s v="CMR004006"/>
    <s v="Mayo-Tsanaga"/>
    <s v="CMR004006002"/>
    <s v="Mokolo"/>
  </r>
  <r>
    <s v="Extrême-Nord"/>
    <s v="CMR004"/>
    <x v="1"/>
    <s v="CMR004006"/>
    <x v="1"/>
    <s v="CMR004006002"/>
    <s v="MOK-0008"/>
    <s v="LAIDE"/>
    <m/>
    <x v="0"/>
    <s v="En 2021"/>
    <n v="3"/>
    <n v="10"/>
    <x v="0"/>
    <m/>
    <s v="Même arrondissement"/>
    <s v="CMR"/>
    <s v="Cameroun"/>
    <s v="CMR004"/>
    <s v="Extrême-Nord"/>
    <s v="CMR004006"/>
    <s v="Mayo-Tsanaga"/>
    <s v="CMR004006002"/>
    <s v="Mokolo"/>
  </r>
  <r>
    <s v="Extrême-Nord"/>
    <s v="CMR004"/>
    <x v="1"/>
    <s v="CMR004006"/>
    <x v="1"/>
    <s v="CMR004006002"/>
    <s v="MOK-0048"/>
    <s v="MOKOLA"/>
    <m/>
    <x v="0"/>
    <s v="Avant 2020"/>
    <n v="2"/>
    <n v="14"/>
    <x v="0"/>
    <m/>
    <s v="Même arrondissement"/>
    <s v="CMR"/>
    <s v="Cameroun"/>
    <s v="CMR004"/>
    <s v="Extrême-Nord"/>
    <s v="CMR004006"/>
    <s v="Mayo-Tsanaga"/>
    <s v="CMR004006002"/>
    <s v="Mokolo"/>
  </r>
  <r>
    <s v="Extrême-Nord"/>
    <s v="CMR004"/>
    <x v="1"/>
    <s v="CMR004006"/>
    <x v="1"/>
    <s v="CMR004006002"/>
    <s v="MOK-0048"/>
    <s v="MOKOLA"/>
    <m/>
    <x v="0"/>
    <s v="En 2020"/>
    <n v="5"/>
    <n v="44"/>
    <x v="0"/>
    <m/>
    <s v="Même arrondissement"/>
    <s v="CMR"/>
    <s v="Cameroun"/>
    <s v="CMR004"/>
    <s v="Extrême-Nord"/>
    <s v="CMR004006"/>
    <s v="Mayo-Tsanaga"/>
    <s v="CMR004006002"/>
    <s v="Mokolo"/>
  </r>
  <r>
    <s v="Extrême-Nord"/>
    <s v="CMR004"/>
    <x v="1"/>
    <s v="CMR004006"/>
    <x v="1"/>
    <s v="CMR004006002"/>
    <s v="MOK-0048"/>
    <s v="MOKOLA"/>
    <m/>
    <x v="0"/>
    <s v="En 2021"/>
    <n v="1"/>
    <n v="5"/>
    <x v="0"/>
    <m/>
    <s v="Même arrondissement"/>
    <s v="CMR"/>
    <s v="Cameroun"/>
    <s v="CMR004"/>
    <s v="Extrême-Nord"/>
    <s v="CMR004006"/>
    <s v="Mayo-Tsanaga"/>
    <s v="CMR004006002"/>
    <s v="Mokolo"/>
  </r>
  <r>
    <s v="Extrême-Nord"/>
    <s v="CMR004"/>
    <x v="1"/>
    <s v="CMR004006"/>
    <x v="1"/>
    <s v="CMR004006002"/>
    <s v="MOK-0048"/>
    <s v="MOKOLA"/>
    <m/>
    <x v="0"/>
    <s v="Janvier - Aout 2022"/>
    <n v="18"/>
    <n v="88"/>
    <x v="0"/>
    <m/>
    <s v="Même arrondissement"/>
    <s v="CMR"/>
    <s v="Cameroun"/>
    <s v="CMR004"/>
    <s v="Extrême-Nord"/>
    <s v="CMR004006"/>
    <s v="Mayo-Tsanaga"/>
    <s v="CMR004006002"/>
    <s v="Mokolo"/>
  </r>
  <r>
    <s v="Extrême-Nord"/>
    <s v="CMR004"/>
    <x v="1"/>
    <s v="CMR004006"/>
    <x v="1"/>
    <s v="CMR004006002"/>
    <s v="MOK-0048"/>
    <s v="MOKOLA"/>
    <m/>
    <x v="0"/>
    <s v="Septembre 2022 – Février 2023"/>
    <n v="25"/>
    <n v="119"/>
    <x v="0"/>
    <m/>
    <s v="Même arrondissement"/>
    <s v="CMR"/>
    <s v="Cameroun"/>
    <s v="CMR004"/>
    <s v="Extrême-Nord"/>
    <s v="CMR004006"/>
    <s v="Mayo-Tsanaga"/>
    <s v="CMR004006002"/>
    <s v="Mokolo"/>
  </r>
  <r>
    <s v="Extrême-Nord"/>
    <s v="CMR004"/>
    <x v="5"/>
    <s v="CMR004004"/>
    <x v="20"/>
    <s v="CMR004004006"/>
    <s v="KAE-0004"/>
    <s v="ZAPILI"/>
    <m/>
    <x v="0"/>
    <s v="Avant 2020"/>
    <n v="2"/>
    <n v="9"/>
    <x v="0"/>
    <m/>
    <s v="Autre département"/>
    <s v="CMR"/>
    <s v="Cameroun"/>
    <s v="CMR004"/>
    <s v="Extrême-Nord"/>
    <s v="CMR004005"/>
    <s v="Mayo-Sava"/>
    <m/>
    <m/>
  </r>
  <r>
    <s v="Extrême-Nord"/>
    <s v="CMR004"/>
    <x v="1"/>
    <s v="CMR004006"/>
    <x v="1"/>
    <s v="CMR004006002"/>
    <s v="MOK-0019"/>
    <s v="TONGO"/>
    <m/>
    <x v="0"/>
    <s v="Avant 2020"/>
    <n v="20"/>
    <n v="111"/>
    <x v="0"/>
    <m/>
    <s v="Même arrondissement"/>
    <s v="CMR"/>
    <s v="Cameroun"/>
    <s v="CMR004"/>
    <s v="Extrême-Nord"/>
    <s v="CMR004006"/>
    <s v="Mayo-Tsanaga"/>
    <s v="CMR004006002"/>
    <s v="Mokolo"/>
  </r>
  <r>
    <s v="Extrême-Nord"/>
    <s v="CMR004"/>
    <x v="1"/>
    <s v="CMR004006"/>
    <x v="1"/>
    <s v="CMR004006002"/>
    <s v="MOK-0019"/>
    <s v="TONGO"/>
    <m/>
    <x v="0"/>
    <s v="En 2020"/>
    <n v="0"/>
    <n v="7"/>
    <x v="0"/>
    <m/>
    <s v="Même arrondissement"/>
    <s v="CMR"/>
    <s v="Cameroun"/>
    <s v="CMR004"/>
    <s v="Extrême-Nord"/>
    <s v="CMR004006"/>
    <s v="Mayo-Tsanaga"/>
    <s v="CMR004006002"/>
    <s v="Mokolo"/>
  </r>
  <r>
    <s v="Extrême-Nord"/>
    <s v="CMR004"/>
    <x v="1"/>
    <s v="CMR004006"/>
    <x v="1"/>
    <s v="CMR004006002"/>
    <s v="MOK-0019"/>
    <s v="TONGO"/>
    <m/>
    <x v="0"/>
    <s v="En 2021"/>
    <n v="1"/>
    <n v="9"/>
    <x v="0"/>
    <m/>
    <s v="Même arrondissement"/>
    <s v="CMR"/>
    <s v="Cameroun"/>
    <s v="CMR004"/>
    <s v="Extrême-Nord"/>
    <s v="CMR004006"/>
    <s v="Mayo-Tsanaga"/>
    <s v="CMR004006002"/>
    <s v="Mokolo"/>
  </r>
  <r>
    <s v="Extrême-Nord"/>
    <s v="CMR004"/>
    <x v="1"/>
    <s v="CMR004006"/>
    <x v="1"/>
    <s v="CMR004006002"/>
    <s v="MOK-0019"/>
    <s v="TONGO"/>
    <m/>
    <x v="0"/>
    <s v="Janvier - Aout 2022"/>
    <n v="26"/>
    <n v="145"/>
    <x v="0"/>
    <m/>
    <s v="Même arrondissement"/>
    <s v="CMR"/>
    <s v="Cameroun"/>
    <s v="CMR004"/>
    <s v="Extrême-Nord"/>
    <s v="CMR004006"/>
    <s v="Mayo-Tsanaga"/>
    <s v="CMR004006002"/>
    <s v="Mokolo"/>
  </r>
  <r>
    <s v="Extrême-Nord"/>
    <s v="CMR004"/>
    <x v="1"/>
    <s v="CMR004006"/>
    <x v="1"/>
    <s v="CMR004006002"/>
    <s v="MOK-0019"/>
    <s v="TONGO"/>
    <m/>
    <x v="0"/>
    <s v="Septembre 2022 – Février 2023"/>
    <n v="0"/>
    <n v="5"/>
    <x v="0"/>
    <m/>
    <s v="Même arrondissement"/>
    <s v="CMR"/>
    <s v="Cameroun"/>
    <s v="CMR004"/>
    <s v="Extrême-Nord"/>
    <s v="CMR004006"/>
    <s v="Mayo-Tsanaga"/>
    <s v="CMR004006002"/>
    <s v="Mokolo"/>
  </r>
  <r>
    <s v="Extrême-Nord"/>
    <s v="CMR004"/>
    <x v="2"/>
    <s v="CMR004002"/>
    <x v="13"/>
    <s v="CMR004002001"/>
    <s v="WAZ-0001"/>
    <s v="GOZOLNANE"/>
    <m/>
    <x v="0"/>
    <s v="Avant 2020"/>
    <n v="4"/>
    <n v="25"/>
    <x v="0"/>
    <m/>
    <s v="Même arrondissement"/>
    <s v="CMR"/>
    <s v="Cameroun"/>
    <s v="CMR004"/>
    <s v="Extrême-Nord"/>
    <s v="CMR004002"/>
    <s v="Logone-Et-Chari"/>
    <s v="CMR004002001"/>
    <s v="Waza"/>
  </r>
  <r>
    <s v="Extrême-Nord"/>
    <s v="CMR004"/>
    <x v="2"/>
    <s v="CMR004002"/>
    <x v="13"/>
    <s v="CMR004002001"/>
    <s v="WAZ-0001"/>
    <s v="GOZOLNANE"/>
    <m/>
    <x v="0"/>
    <s v="Septembre 2022 – Février 2023"/>
    <n v="13"/>
    <n v="35"/>
    <x v="1"/>
    <m/>
    <s v="Même département, autre arrondissement"/>
    <s v="CMR"/>
    <s v="Cameroun"/>
    <s v="CMR004"/>
    <s v="Extrême-Nord"/>
    <s v="CMR004002"/>
    <s v="Logone-Et-Chari"/>
    <s v="CMR004002004"/>
    <s v="Logone-Birni"/>
  </r>
  <r>
    <s v="Extrême-Nord"/>
    <s v="CMR004"/>
    <x v="2"/>
    <s v="CMR004002"/>
    <x v="13"/>
    <s v="CMR004002001"/>
    <s v="WAZ-0001"/>
    <s v="GOZOLNANE"/>
    <m/>
    <x v="0"/>
    <s v="Janvier - Aout 2022"/>
    <n v="2"/>
    <n v="16"/>
    <x v="1"/>
    <m/>
    <s v="Même département, autre arrondissement"/>
    <s v="CMR"/>
    <s v="Cameroun"/>
    <s v="CMR004"/>
    <s v="Extrême-Nord"/>
    <s v="CMR004002"/>
    <s v="Logone-Et-Chari"/>
    <s v="CMR004002004"/>
    <s v="Logone-Birni"/>
  </r>
  <r>
    <s v="Extrême-Nord"/>
    <s v="CMR004"/>
    <x v="2"/>
    <s v="CMR004002"/>
    <x v="8"/>
    <s v="CMR004002009"/>
    <s v="MAK-0213"/>
    <s v="SITE DE BEDAT"/>
    <m/>
    <x v="0"/>
    <s v="En 2021"/>
    <n v="24"/>
    <n v="115"/>
    <x v="0"/>
    <m/>
    <s v="Même arrondissement"/>
    <s v="CMR"/>
    <s v="Cameroun"/>
    <s v="CMR004"/>
    <s v="Extrême-Nord"/>
    <s v="CMR004002"/>
    <s v="Logone-Et-Chari"/>
    <s v="CMR004002009"/>
    <s v="Makary"/>
  </r>
  <r>
    <s v="Extrême-Nord"/>
    <s v="CMR004"/>
    <x v="5"/>
    <s v="CMR004004"/>
    <x v="20"/>
    <s v="CMR004004006"/>
    <s v="KAE-0008"/>
    <s v="DOUMROU"/>
    <m/>
    <x v="0"/>
    <s v="Avant 2020"/>
    <n v="17"/>
    <n v="119"/>
    <x v="0"/>
    <m/>
    <s v="Autre département"/>
    <s v="CMR"/>
    <s v="Cameroun"/>
    <s v="CMR004"/>
    <s v="Extrême-Nord"/>
    <s v="CMR004005"/>
    <s v="Mayo-Sava"/>
    <m/>
    <m/>
  </r>
  <r>
    <s v="Extrême-Nord"/>
    <s v="CMR004"/>
    <x v="5"/>
    <s v="CMR004004"/>
    <x v="20"/>
    <s v="CMR004004006"/>
    <s v="KAE-0012"/>
    <s v="SOKOYE"/>
    <m/>
    <x v="0"/>
    <s v="Avant 2020"/>
    <n v="19"/>
    <n v="180"/>
    <x v="0"/>
    <m/>
    <s v="Autre département"/>
    <s v="CMR"/>
    <s v="Cameroun"/>
    <s v="CMR004"/>
    <s v="Extrême-Nord"/>
    <s v="CMR004005"/>
    <s v="Mayo-Sava"/>
    <m/>
    <m/>
  </r>
  <r>
    <s v="Extrême-Nord"/>
    <s v="CMR004"/>
    <x v="5"/>
    <s v="CMR004004"/>
    <x v="20"/>
    <s v="CMR004004006"/>
    <s v="KAE-0018"/>
    <s v="PADJANI"/>
    <m/>
    <x v="0"/>
    <s v="Avant 2020"/>
    <n v="2"/>
    <n v="10"/>
    <x v="0"/>
    <m/>
    <s v="Autre département"/>
    <s v="CMR"/>
    <s v="Cameroun"/>
    <s v="CMR004"/>
    <s v="Extrême-Nord"/>
    <s v="CMR004002"/>
    <s v="Logone-Et-Chari"/>
    <m/>
    <m/>
  </r>
  <r>
    <s v="Extrême-Nord"/>
    <s v="CMR004"/>
    <x v="5"/>
    <s v="CMR004004"/>
    <x v="20"/>
    <s v="CMR004004006"/>
    <s v="KAE-0015"/>
    <s v="ROUMDÉ"/>
    <m/>
    <x v="0"/>
    <s v="Avant 2020"/>
    <n v="16"/>
    <n v="140"/>
    <x v="0"/>
    <m/>
    <s v="Autre département"/>
    <s v="CMR"/>
    <s v="Cameroun"/>
    <s v="CMR004"/>
    <s v="Extrême-Nord"/>
    <s v="CMR004005"/>
    <s v="Mayo-Sava"/>
    <m/>
    <m/>
  </r>
  <r>
    <s v="Extrême-Nord"/>
    <s v="CMR004"/>
    <x v="2"/>
    <s v="CMR004002"/>
    <x v="15"/>
    <s v="CMR004002004"/>
    <s v="LBI-0051"/>
    <s v="DAMBE"/>
    <m/>
    <x v="0"/>
    <s v="Janvier - Aout 2022"/>
    <n v="6"/>
    <n v="40"/>
    <x v="1"/>
    <m/>
    <s v="Même arrondissement"/>
    <s v="CMR"/>
    <s v="Cameroun"/>
    <s v="CMR004"/>
    <s v="Extrême-Nord"/>
    <s v="CMR004002"/>
    <s v="Logone-Et-Chari"/>
    <s v="CMR004002004"/>
    <s v="Logone-Birni"/>
  </r>
  <r>
    <s v="Extrême-Nord"/>
    <s v="CMR004"/>
    <x v="2"/>
    <s v="CMR004002"/>
    <x v="15"/>
    <s v="CMR004002004"/>
    <s v="LBI-0058"/>
    <s v="HILE WAYA 1"/>
    <m/>
    <x v="0"/>
    <s v="Janvier - Aout 2022"/>
    <n v="10"/>
    <n v="50"/>
    <x v="1"/>
    <m/>
    <s v="Même arrondissement"/>
    <s v="CMR"/>
    <s v="Cameroun"/>
    <s v="CMR004"/>
    <s v="Extrême-Nord"/>
    <s v="CMR004002"/>
    <s v="Logone-Et-Chari"/>
    <s v="CMR004002004"/>
    <s v="Logone-Birni"/>
  </r>
  <r>
    <s v="Extrême-Nord"/>
    <s v="CMR004"/>
    <x v="2"/>
    <s v="CMR004002"/>
    <x v="15"/>
    <s v="CMR004002004"/>
    <s v="LBI-0009"/>
    <s v="SITE DE FADJE"/>
    <m/>
    <x v="0"/>
    <s v="Avant 2020"/>
    <n v="15"/>
    <n v="82"/>
    <x v="0"/>
    <m/>
    <s v="Même arrondissement"/>
    <s v="CMR"/>
    <s v="Cameroun"/>
    <s v="CMR004"/>
    <s v="Extrême-Nord"/>
    <s v="CMR004002"/>
    <s v="Logone-Et-Chari"/>
    <s v="CMR004002004"/>
    <s v="Logone-Birni"/>
  </r>
  <r>
    <s v="Extrême-Nord"/>
    <s v="CMR004"/>
    <x v="2"/>
    <s v="CMR004002"/>
    <x v="15"/>
    <s v="CMR004002004"/>
    <s v="LBI-0003"/>
    <s v="KALAKAFRA"/>
    <m/>
    <x v="0"/>
    <s v="Avant 2020"/>
    <n v="206"/>
    <n v="1061"/>
    <x v="0"/>
    <m/>
    <s v="Même arrondissement"/>
    <s v="CMR"/>
    <s v="Cameroun"/>
    <s v="CMR004"/>
    <s v="Extrême-Nord"/>
    <s v="CMR004002"/>
    <s v="Logone-Et-Chari"/>
    <s v="CMR004002004"/>
    <s v="Logone-Birni"/>
  </r>
  <r>
    <s v="Extrême-Nord"/>
    <s v="CMR004"/>
    <x v="2"/>
    <s v="CMR004002"/>
    <x v="15"/>
    <s v="CMR004002004"/>
    <s v="LBI-0003"/>
    <s v="KALAKAFRA"/>
    <m/>
    <x v="0"/>
    <s v="Septembre 2022 – Février 2023"/>
    <n v="4"/>
    <n v="26"/>
    <x v="3"/>
    <m/>
    <s v="Même arrondissement"/>
    <s v="CMR"/>
    <s v="Cameroun"/>
    <s v="CMR004"/>
    <s v="Extrême-Nord"/>
    <s v="CMR004002"/>
    <s v="Logone-Et-Chari"/>
    <s v="CMR004002004"/>
    <s v="Logone-Birni"/>
  </r>
  <r>
    <s v="Extrême-Nord"/>
    <s v="CMR004"/>
    <x v="2"/>
    <s v="CMR004002"/>
    <x v="15"/>
    <s v="CMR004002004"/>
    <s v="LBI-0005"/>
    <s v="SITE DE CHAFOU IDJELIDJE"/>
    <m/>
    <x v="0"/>
    <s v="Avant 2020"/>
    <n v="53"/>
    <n v="228"/>
    <x v="0"/>
    <m/>
    <s v="Même arrondissement"/>
    <s v="CMR"/>
    <s v="Cameroun"/>
    <s v="CMR004"/>
    <s v="Extrême-Nord"/>
    <s v="CMR004002"/>
    <s v="Logone-Et-Chari"/>
    <s v="CMR004002004"/>
    <s v="Logone-Birni"/>
  </r>
  <r>
    <s v="Extrême-Nord"/>
    <s v="CMR004"/>
    <x v="2"/>
    <s v="CMR004002"/>
    <x v="8"/>
    <s v="CMR004002009"/>
    <s v="MAK-0234"/>
    <s v="FADJÉ ABISSO 2"/>
    <m/>
    <x v="0"/>
    <s v="En 2020"/>
    <n v="17"/>
    <n v="67"/>
    <x v="0"/>
    <m/>
    <s v="Même arrondissement"/>
    <s v="CMR"/>
    <s v="Cameroun"/>
    <s v="CMR004"/>
    <s v="Extrême-Nord"/>
    <s v="CMR004002"/>
    <s v="Logone-Et-Chari"/>
    <s v="CMR004002009"/>
    <s v="Makary"/>
  </r>
  <r>
    <s v="Extrême-Nord"/>
    <s v="CMR004"/>
    <x v="1"/>
    <s v="CMR004006"/>
    <x v="1"/>
    <s v="CMR004006002"/>
    <s v="MOK-0057"/>
    <s v="SITE DE MAYO SANGUE"/>
    <m/>
    <x v="0"/>
    <s v="Septembre 2022 – Février 2023"/>
    <n v="5"/>
    <n v="18"/>
    <x v="0"/>
    <m/>
    <s v="Même département, autre arrondissement"/>
    <s v="CMR"/>
    <s v="Cameroun"/>
    <s v="CMR004"/>
    <s v="Extrême-Nord"/>
    <s v="CMR004006"/>
    <s v="Mayo-Tsanaga"/>
    <s v="CMR004006005"/>
    <s v="Mayo-Moskota"/>
  </r>
  <r>
    <s v="Extrême-Nord"/>
    <s v="CMR004"/>
    <x v="1"/>
    <s v="CMR004006"/>
    <x v="1"/>
    <s v="CMR004006002"/>
    <s v="MOK-0057"/>
    <s v="SITE DE MAYO SANGUE"/>
    <m/>
    <x v="0"/>
    <s v="En 2021"/>
    <n v="66"/>
    <n v="469"/>
    <x v="0"/>
    <m/>
    <s v="Même département, autre arrondissement"/>
    <s v="CMR"/>
    <s v="Cameroun"/>
    <s v="CMR004"/>
    <s v="Extrême-Nord"/>
    <s v="CMR004006"/>
    <s v="Mayo-Tsanaga"/>
    <s v="CMR004006005"/>
    <s v="Mayo-Moskota"/>
  </r>
  <r>
    <s v="Extrême-Nord"/>
    <s v="CMR004"/>
    <x v="1"/>
    <s v="CMR004006"/>
    <x v="1"/>
    <s v="CMR004006002"/>
    <s v="MOK-0057"/>
    <s v="SITE DE MAYO SANGUE"/>
    <m/>
    <x v="0"/>
    <s v="En 2020"/>
    <n v="6"/>
    <n v="31"/>
    <x v="0"/>
    <m/>
    <s v="Même département, autre arrondissement"/>
    <s v="CMR"/>
    <s v="Cameroun"/>
    <s v="CMR004"/>
    <s v="Extrême-Nord"/>
    <s v="CMR004006"/>
    <s v="Mayo-Tsanaga"/>
    <s v="CMR004006005"/>
    <s v="Mayo-Moskota"/>
  </r>
  <r>
    <s v="Extrême-Nord"/>
    <s v="CMR004"/>
    <x v="1"/>
    <s v="CMR004006"/>
    <x v="7"/>
    <s v="CMR004006005"/>
    <s v="MOZ-0035"/>
    <s v="HOUDGOLOUM"/>
    <m/>
    <x v="0"/>
    <s v="Avant 2020"/>
    <n v="16"/>
    <n v="116"/>
    <x v="0"/>
    <m/>
    <s v="Même arrondissement"/>
    <s v="CMR"/>
    <s v="Cameroun"/>
    <s v="CMR004"/>
    <s v="Extrême-Nord"/>
    <s v="CMR004006"/>
    <s v="Mayo-Tsanaga"/>
    <s v="CMR004006005"/>
    <s v="Mayo-Moskota"/>
  </r>
  <r>
    <s v="Extrême-Nord"/>
    <s v="CMR004"/>
    <x v="1"/>
    <s v="CMR004006"/>
    <x v="7"/>
    <s v="CMR004006005"/>
    <s v="MOZ-0035"/>
    <s v="HOUDGOLOUM"/>
    <m/>
    <x v="0"/>
    <s v="Septembre 2022 – Février 2023"/>
    <n v="3"/>
    <n v="13"/>
    <x v="0"/>
    <m/>
    <s v="Même arrondissement"/>
    <s v="CMR"/>
    <s v="Cameroun"/>
    <s v="CMR004"/>
    <s v="Extrême-Nord"/>
    <s v="CMR004006"/>
    <s v="Mayo-Tsanaga"/>
    <s v="CMR004006005"/>
    <s v="Mayo-Moskota"/>
  </r>
  <r>
    <s v="Extrême-Nord"/>
    <s v="CMR004"/>
    <x v="5"/>
    <s v="CMR004004"/>
    <x v="20"/>
    <s v="CMR004004006"/>
    <s v="KAE-0013"/>
    <s v="GUETALÉ"/>
    <m/>
    <x v="0"/>
    <s v="Avant 2020"/>
    <n v="6"/>
    <n v="42"/>
    <x v="0"/>
    <m/>
    <s v="Autre département"/>
    <s v="CMR"/>
    <s v="Cameroun"/>
    <s v="CMR004"/>
    <s v="Extrême-Nord"/>
    <s v="CMR004005"/>
    <s v="Mayo-Sava"/>
    <m/>
    <m/>
  </r>
  <r>
    <s v="Extrême-Nord"/>
    <s v="CMR004"/>
    <x v="5"/>
    <s v="CMR004004"/>
    <x v="20"/>
    <s v="CMR004004006"/>
    <s v="KAE-0017"/>
    <s v="KEO-KEO"/>
    <m/>
    <x v="0"/>
    <s v="Avant 2020"/>
    <n v="15"/>
    <n v="129"/>
    <x v="0"/>
    <m/>
    <s v="Autre département"/>
    <s v="CMR"/>
    <s v="Cameroun"/>
    <s v="CMR004"/>
    <s v="Extrême-Nord"/>
    <s v="CMR004005"/>
    <s v="Mayo-Sava"/>
    <m/>
    <m/>
  </r>
  <r>
    <s v="Extrême-Nord"/>
    <s v="CMR004"/>
    <x v="3"/>
    <s v="CMR004003"/>
    <x v="33"/>
    <s v="CMR004003001"/>
    <s v="KAI-0008"/>
    <s v="MBOUKTANG"/>
    <m/>
    <x v="0"/>
    <s v="Septembre 2022 – Février 2023"/>
    <n v="6"/>
    <n v="51"/>
    <x v="3"/>
    <m/>
    <s v="Même arrondissement"/>
    <s v="CMR"/>
    <s v="Cameroun"/>
    <s v="CMR004"/>
    <s v="Extrême-Nord"/>
    <s v="CMR004003"/>
    <s v="Mayo-Danay"/>
    <s v="CMR004003001"/>
    <s v="Kai-Kai"/>
  </r>
  <r>
    <s v="Extrême-Nord"/>
    <s v="CMR004"/>
    <x v="3"/>
    <s v="CMR004003"/>
    <x v="33"/>
    <s v="CMR004003001"/>
    <s v="KAI-0002"/>
    <s v="BARKAYA"/>
    <m/>
    <x v="0"/>
    <s v="Avant 2020"/>
    <n v="15"/>
    <n v="90"/>
    <x v="3"/>
    <m/>
    <s v="Même arrondissement"/>
    <s v="CMR"/>
    <s v="Cameroun"/>
    <s v="CMR004"/>
    <s v="Extrême-Nord"/>
    <s v="CMR004003"/>
    <s v="Mayo-Danay"/>
    <s v="CMR004003001"/>
    <s v="Kai-Kai"/>
  </r>
  <r>
    <s v="Extrême-Nord"/>
    <s v="CMR004"/>
    <x v="3"/>
    <s v="CMR004003"/>
    <x v="33"/>
    <s v="CMR004003001"/>
    <s v="KAI-0002"/>
    <s v="BARKAYA"/>
    <m/>
    <x v="0"/>
    <s v="Janvier - Aout 2022"/>
    <n v="0"/>
    <n v="11"/>
    <x v="3"/>
    <m/>
    <s v="Même arrondissement"/>
    <s v="CMR"/>
    <s v="Cameroun"/>
    <s v="CMR004"/>
    <s v="Extrême-Nord"/>
    <s v="CMR004003"/>
    <s v="Mayo-Danay"/>
    <s v="CMR004003001"/>
    <s v="Kai-Kai"/>
  </r>
  <r>
    <s v="Extrême-Nord"/>
    <s v="CMR004"/>
    <x v="3"/>
    <s v="CMR004003"/>
    <x v="33"/>
    <s v="CMR004003001"/>
    <s v="KAI-0002"/>
    <s v="BARKAYA"/>
    <m/>
    <x v="0"/>
    <s v="Septembre 2022 – Février 2023"/>
    <n v="18"/>
    <n v="116"/>
    <x v="3"/>
    <m/>
    <s v="Même arrondissement"/>
    <s v="CMR"/>
    <s v="Cameroun"/>
    <s v="CMR004"/>
    <s v="Extrême-Nord"/>
    <s v="CMR004003"/>
    <s v="Mayo-Danay"/>
    <s v="CMR004003001"/>
    <s v="Kai-Kai"/>
  </r>
  <r>
    <s v="Extrême-Nord"/>
    <s v="CMR004"/>
    <x v="3"/>
    <s v="CMR004003"/>
    <x v="33"/>
    <s v="CMR004003001"/>
    <s v="KAI-0004"/>
    <s v="DOUGUI"/>
    <m/>
    <x v="0"/>
    <s v="Septembre 2022 – Février 2023"/>
    <n v="27"/>
    <n v="210"/>
    <x v="3"/>
    <m/>
    <s v="Même arrondissement"/>
    <s v="CMR"/>
    <s v="Cameroun"/>
    <s v="CMR004"/>
    <s v="Extrême-Nord"/>
    <s v="CMR004003"/>
    <s v="Mayo-Danay"/>
    <s v="CMR004003001"/>
    <s v="Kai-Kai"/>
  </r>
  <r>
    <s v="Extrême-Nord"/>
    <s v="CMR004"/>
    <x v="3"/>
    <s v="CMR004003"/>
    <x v="33"/>
    <s v="CMR004003001"/>
    <s v="KAI-0011"/>
    <s v="MAGAYEL"/>
    <m/>
    <x v="0"/>
    <s v="Avant 2020"/>
    <n v="33"/>
    <n v="239"/>
    <x v="3"/>
    <m/>
    <s v="Même arrondissement"/>
    <s v="CMR"/>
    <s v="Cameroun"/>
    <s v="CMR004"/>
    <s v="Extrême-Nord"/>
    <s v="CMR004003"/>
    <s v="Mayo-Danay"/>
    <s v="CMR004003001"/>
    <s v="Kai-Kai"/>
  </r>
  <r>
    <s v="Extrême-Nord"/>
    <s v="CMR004"/>
    <x v="3"/>
    <s v="CMR004003"/>
    <x v="33"/>
    <s v="CMR004003001"/>
    <s v="KAI-0011"/>
    <s v="MAGAYEL"/>
    <m/>
    <x v="0"/>
    <s v="Septembre 2022 – Février 2023"/>
    <n v="20"/>
    <n v="140"/>
    <x v="3"/>
    <m/>
    <s v="Même arrondissement"/>
    <s v="CMR"/>
    <s v="Cameroun"/>
    <s v="CMR004"/>
    <s v="Extrême-Nord"/>
    <s v="CMR004003"/>
    <s v="Mayo-Danay"/>
    <s v="CMR004003001"/>
    <s v="Kai-Kai"/>
  </r>
  <r>
    <s v="Extrême-Nord"/>
    <s v="CMR004"/>
    <x v="3"/>
    <s v="CMR004003"/>
    <x v="33"/>
    <s v="CMR004003001"/>
    <s v="KAI-0013"/>
    <s v="SITE DE BARIAGODJO"/>
    <m/>
    <x v="0"/>
    <s v="Avant 2020"/>
    <n v="152"/>
    <n v="1200"/>
    <x v="3"/>
    <m/>
    <s v="Même arrondissement"/>
    <s v="CMR"/>
    <s v="Cameroun"/>
    <s v="CMR004"/>
    <s v="Extrême-Nord"/>
    <s v="CMR004003"/>
    <s v="Mayo-Danay"/>
    <s v="CMR004003001"/>
    <s v="Kai-Kai"/>
  </r>
  <r>
    <s v="Extrême-Nord"/>
    <s v="CMR004"/>
    <x v="3"/>
    <s v="CMR004003"/>
    <x v="33"/>
    <s v="CMR004003001"/>
    <s v="KAI-0013"/>
    <s v="SITE DE BARIAGODJO"/>
    <m/>
    <x v="0"/>
    <s v="En 2021"/>
    <n v="0"/>
    <n v="6"/>
    <x v="3"/>
    <m/>
    <s v="Même arrondissement"/>
    <s v="CMR"/>
    <s v="Cameroun"/>
    <s v="CMR004"/>
    <s v="Extrême-Nord"/>
    <s v="CMR004003"/>
    <s v="Mayo-Danay"/>
    <s v="CMR004003001"/>
    <s v="Kai-Kai"/>
  </r>
  <r>
    <s v="Extrême-Nord"/>
    <s v="CMR004"/>
    <x v="3"/>
    <s v="CMR004003"/>
    <x v="33"/>
    <s v="CMR004003001"/>
    <s v="KAI-0013"/>
    <s v="SITE DE BARIAGODJO"/>
    <m/>
    <x v="0"/>
    <s v="Janvier - Aout 2022"/>
    <n v="0"/>
    <n v="14"/>
    <x v="3"/>
    <m/>
    <s v="Même arrondissement"/>
    <s v="CMR"/>
    <s v="Cameroun"/>
    <s v="CMR004"/>
    <s v="Extrême-Nord"/>
    <s v="CMR004003"/>
    <s v="Mayo-Danay"/>
    <s v="CMR004003001"/>
    <s v="Kai-Kai"/>
  </r>
  <r>
    <s v="Extrême-Nord"/>
    <s v="CMR004"/>
    <x v="2"/>
    <s v="CMR004002"/>
    <x v="8"/>
    <s v="CMR004002009"/>
    <s v="MAK-0167"/>
    <s v="DARSALAM"/>
    <m/>
    <x v="0"/>
    <s v="Janvier - Aout 2022"/>
    <n v="5"/>
    <n v="47"/>
    <x v="1"/>
    <m/>
    <s v="Même département, autre arrondissement"/>
    <s v="CMR"/>
    <s v="Cameroun"/>
    <s v="CMR004"/>
    <s v="Extrême-Nord"/>
    <s v="CMR004002"/>
    <s v="Logone-Et-Chari"/>
    <s v="CMR004002007"/>
    <s v="Darak"/>
  </r>
  <r>
    <s v="Extrême-Nord"/>
    <s v="CMR004"/>
    <x v="2"/>
    <s v="CMR004002"/>
    <x v="8"/>
    <s v="CMR004002009"/>
    <s v="MAK-0167"/>
    <s v="DARSALAM"/>
    <m/>
    <x v="0"/>
    <s v="Septembre 2022 – Février 2023"/>
    <n v="6"/>
    <n v="18"/>
    <x v="1"/>
    <m/>
    <s v="Même arrondissement"/>
    <s v="CMR"/>
    <s v="Cameroun"/>
    <s v="CMR004"/>
    <s v="Extrême-Nord"/>
    <s v="CMR004002"/>
    <s v="Logone-Et-Chari"/>
    <s v="CMR004002009"/>
    <s v="Makary"/>
  </r>
  <r>
    <s v="Extrême-Nord"/>
    <s v="CMR004"/>
    <x v="3"/>
    <s v="CMR004003"/>
    <x v="34"/>
    <s v="CMR004003011"/>
    <s v="GOB-0002"/>
    <s v="DABANA"/>
    <m/>
    <x v="0"/>
    <s v="Septembre 2022 – Février 2023"/>
    <n v="38"/>
    <n v="220"/>
    <x v="3"/>
    <m/>
    <s v="Même arrondissement"/>
    <s v="CMR"/>
    <s v="Cameroun"/>
    <s v="CMR004"/>
    <s v="Extrême-Nord"/>
    <s v="CMR004003"/>
    <s v="Mayo-Danay"/>
    <s v="CMR004003011"/>
    <s v="Gobo"/>
  </r>
  <r>
    <s v="Extrême-Nord"/>
    <s v="CMR004"/>
    <x v="3"/>
    <s v="CMR004003"/>
    <x v="34"/>
    <s v="CMR004003011"/>
    <s v="GOB-0001"/>
    <s v="BASTEBE"/>
    <m/>
    <x v="0"/>
    <s v="Septembre 2022 – Février 2023"/>
    <n v="40"/>
    <n v="305"/>
    <x v="3"/>
    <m/>
    <s v="Même arrondissement"/>
    <s v="CMR"/>
    <s v="Cameroun"/>
    <s v="CMR004"/>
    <s v="Extrême-Nord"/>
    <s v="CMR004003"/>
    <s v="Mayo-Danay"/>
    <s v="CMR004003011"/>
    <s v="Gobo"/>
  </r>
  <r>
    <s v="Extrême-Nord"/>
    <s v="CMR004"/>
    <x v="3"/>
    <s v="CMR004003"/>
    <x v="34"/>
    <s v="CMR004003011"/>
    <s v="GOB-0005"/>
    <s v="KARAM 2"/>
    <m/>
    <x v="0"/>
    <s v="Septembre 2022 – Février 2023"/>
    <n v="45"/>
    <n v="270"/>
    <x v="3"/>
    <m/>
    <s v="Même arrondissement"/>
    <s v="CMR"/>
    <s v="Cameroun"/>
    <s v="CMR004"/>
    <s v="Extrême-Nord"/>
    <s v="CMR004003"/>
    <s v="Mayo-Danay"/>
    <s v="CMR004003011"/>
    <s v="Gobo"/>
  </r>
  <r>
    <s v="Extrême-Nord"/>
    <s v="CMR004"/>
    <x v="3"/>
    <s v="CMR004003"/>
    <x v="34"/>
    <s v="CMR004003011"/>
    <s v="GOB-0006"/>
    <s v="KARAM 1"/>
    <m/>
    <x v="0"/>
    <s v="Septembre 2022 – Février 2023"/>
    <n v="30"/>
    <n v="204"/>
    <x v="3"/>
    <m/>
    <s v="Même arrondissement"/>
    <s v="CMR"/>
    <s v="Cameroun"/>
    <s v="CMR004"/>
    <s v="Extrême-Nord"/>
    <s v="CMR004003"/>
    <s v="Mayo-Danay"/>
    <s v="CMR004003011"/>
    <s v="Gobo"/>
  </r>
  <r>
    <s v="Extrême-Nord"/>
    <s v="CMR004"/>
    <x v="3"/>
    <s v="CMR004003"/>
    <x v="34"/>
    <s v="CMR004003011"/>
    <s v="GOB-0003"/>
    <s v="DJELME"/>
    <m/>
    <x v="0"/>
    <s v="Janvier - Aout 2022"/>
    <n v="22"/>
    <n v="123"/>
    <x v="3"/>
    <m/>
    <s v="Même arrondissement"/>
    <s v="CMR"/>
    <s v="Cameroun"/>
    <s v="CMR004"/>
    <s v="Extrême-Nord"/>
    <s v="CMR004003"/>
    <s v="Mayo-Danay"/>
    <s v="CMR004003011"/>
    <s v="Gobo"/>
  </r>
  <r>
    <s v="Extrême-Nord"/>
    <s v="CMR004"/>
    <x v="2"/>
    <s v="CMR004002"/>
    <x v="15"/>
    <s v="CMR004002004"/>
    <s v="LBI-0020"/>
    <s v="AMREF"/>
    <m/>
    <x v="0"/>
    <s v="Janvier - Aout 2022"/>
    <n v="85"/>
    <n v="242"/>
    <x v="1"/>
    <m/>
    <s v="Même arrondissement"/>
    <s v="CMR"/>
    <s v="Cameroun"/>
    <s v="CMR004"/>
    <s v="Extrême-Nord"/>
    <s v="CMR004002"/>
    <s v="Logone-Et-Chari"/>
    <s v="CMR004002004"/>
    <s v="Logone-Birni"/>
  </r>
  <r>
    <s v="Extrême-Nord"/>
    <s v="CMR004"/>
    <x v="2"/>
    <s v="CMR004002"/>
    <x v="15"/>
    <s v="CMR004002004"/>
    <s v="LBI-0028"/>
    <s v="HOUNDOUK"/>
    <m/>
    <x v="0"/>
    <s v="Janvier - Aout 2022"/>
    <n v="85"/>
    <n v="354"/>
    <x v="1"/>
    <m/>
    <s v="Même arrondissement"/>
    <s v="CMR"/>
    <s v="Cameroun"/>
    <s v="CMR004"/>
    <s v="Extrême-Nord"/>
    <s v="CMR004002"/>
    <s v="Logone-Et-Chari"/>
    <s v="CMR004002004"/>
    <s v="Logone-Birni"/>
  </r>
  <r>
    <s v="Extrême-Nord"/>
    <s v="CMR004"/>
    <x v="2"/>
    <s v="CMR004002"/>
    <x v="15"/>
    <s v="CMR004002004"/>
    <s v="LBI-0030"/>
    <s v="MACHOKA"/>
    <m/>
    <x v="0"/>
    <s v="Janvier - Aout 2022"/>
    <n v="9"/>
    <n v="61"/>
    <x v="1"/>
    <m/>
    <s v="Même arrondissement"/>
    <s v="CMR"/>
    <s v="Cameroun"/>
    <s v="CMR004"/>
    <s v="Extrême-Nord"/>
    <s v="CMR004002"/>
    <s v="Logone-Et-Chari"/>
    <s v="CMR004002004"/>
    <s v="Logone-Birni"/>
  </r>
  <r>
    <s v="Extrême-Nord"/>
    <s v="CMR004"/>
    <x v="3"/>
    <s v="CMR004003"/>
    <x v="34"/>
    <s v="CMR004003011"/>
    <s v="GOB-0008"/>
    <s v="MASSA KOUWEITA"/>
    <m/>
    <x v="0"/>
    <s v="Septembre 2022 – Février 2023"/>
    <n v="31"/>
    <n v="195"/>
    <x v="3"/>
    <m/>
    <s v="Même arrondissement"/>
    <s v="CMR"/>
    <s v="Cameroun"/>
    <s v="CMR004"/>
    <s v="Extrême-Nord"/>
    <s v="CMR004003"/>
    <s v="Mayo-Danay"/>
    <s v="CMR004003011"/>
    <s v="Gobo"/>
  </r>
  <r>
    <s v="Extrême-Nord"/>
    <s v="CMR004"/>
    <x v="3"/>
    <s v="CMR004003"/>
    <x v="34"/>
    <s v="CMR004003011"/>
    <s v="GOB-0007"/>
    <s v="MASSA IKA"/>
    <m/>
    <x v="0"/>
    <s v="Septembre 2022 – Février 2023"/>
    <n v="21"/>
    <n v="155"/>
    <x v="3"/>
    <m/>
    <s v="Même arrondissement"/>
    <s v="CMR"/>
    <s v="Cameroun"/>
    <s v="CMR004"/>
    <s v="Extrême-Nord"/>
    <s v="CMR004003"/>
    <s v="Mayo-Danay"/>
    <s v="CMR004003011"/>
    <s v="Gobo"/>
  </r>
  <r>
    <s v="Extrême-Nord"/>
    <s v="CMR004"/>
    <x v="3"/>
    <s v="CMR004003"/>
    <x v="34"/>
    <s v="CMR004003011"/>
    <s v="GOB-0009"/>
    <s v="NAYEGUISSIA"/>
    <m/>
    <x v="0"/>
    <s v="Septembre 2022 – Février 2023"/>
    <n v="20"/>
    <n v="115"/>
    <x v="3"/>
    <m/>
    <s v="Même arrondissement"/>
    <s v="CMR"/>
    <s v="Cameroun"/>
    <s v="CMR004"/>
    <s v="Extrême-Nord"/>
    <s v="CMR004003"/>
    <s v="Mayo-Danay"/>
    <s v="CMR004003011"/>
    <s v="Gobo"/>
  </r>
  <r>
    <s v="Extrême-Nord"/>
    <s v="CMR004"/>
    <x v="3"/>
    <s v="CMR004003"/>
    <x v="33"/>
    <s v="CMR004003001"/>
    <s v="KAI-0016"/>
    <s v="SITE DE KOLONG"/>
    <m/>
    <x v="0"/>
    <s v="Avant 2020"/>
    <n v="45"/>
    <n v="280"/>
    <x v="3"/>
    <m/>
    <s v="Même arrondissement"/>
    <s v="CMR"/>
    <s v="Cameroun"/>
    <s v="CMR004"/>
    <s v="Extrême-Nord"/>
    <s v="CMR004003"/>
    <s v="Mayo-Danay"/>
    <s v="CMR004003001"/>
    <s v="Kai-Kai"/>
  </r>
  <r>
    <s v="Extrême-Nord"/>
    <s v="CMR004"/>
    <x v="3"/>
    <s v="CMR004003"/>
    <x v="33"/>
    <s v="CMR004003001"/>
    <s v="KAI-0016"/>
    <s v="SITE DE KOLONG"/>
    <m/>
    <x v="0"/>
    <s v="Janvier - Aout 2022"/>
    <n v="0"/>
    <n v="10"/>
    <x v="3"/>
    <m/>
    <s v="Même arrondissement"/>
    <s v="CMR"/>
    <s v="Cameroun"/>
    <s v="CMR004"/>
    <s v="Extrême-Nord"/>
    <s v="CMR004003"/>
    <s v="Mayo-Danay"/>
    <s v="CMR004003001"/>
    <s v="Kai-Kai"/>
  </r>
  <r>
    <s v="Extrême-Nord"/>
    <s v="CMR004"/>
    <x v="3"/>
    <s v="CMR004003"/>
    <x v="33"/>
    <s v="CMR004003001"/>
    <s v="KAI-0012"/>
    <s v="SILLA"/>
    <m/>
    <x v="0"/>
    <s v="Avant 2020"/>
    <n v="31"/>
    <n v="270"/>
    <x v="3"/>
    <m/>
    <s v="Même arrondissement"/>
    <s v="CMR"/>
    <s v="Cameroun"/>
    <s v="CMR004"/>
    <s v="Extrême-Nord"/>
    <s v="CMR004003"/>
    <s v="Mayo-Danay"/>
    <s v="CMR004003001"/>
    <s v="Kai-Kai"/>
  </r>
  <r>
    <s v="Extrême-Nord"/>
    <s v="CMR004"/>
    <x v="3"/>
    <s v="CMR004003"/>
    <x v="33"/>
    <s v="CMR004003001"/>
    <s v="KAI-0012"/>
    <s v="SILLA"/>
    <m/>
    <x v="0"/>
    <s v="Janvier - Aout 2022"/>
    <n v="1"/>
    <n v="7"/>
    <x v="3"/>
    <m/>
    <s v="Même arrondissement"/>
    <s v="CMR"/>
    <s v="Cameroun"/>
    <s v="CMR004"/>
    <s v="Extrême-Nord"/>
    <s v="CMR004003"/>
    <s v="Mayo-Danay"/>
    <s v="CMR004003001"/>
    <s v="Kai-Kai"/>
  </r>
  <r>
    <s v="Extrême-Nord"/>
    <s v="CMR004"/>
    <x v="3"/>
    <s v="CMR004003"/>
    <x v="33"/>
    <s v="CMR004003001"/>
    <s v="KAI-0012"/>
    <s v="SILLA"/>
    <m/>
    <x v="0"/>
    <s v="Septembre 2022 – Février 2023"/>
    <n v="6"/>
    <n v="42"/>
    <x v="3"/>
    <m/>
    <s v="Même arrondissement"/>
    <s v="CMR"/>
    <s v="Cameroun"/>
    <s v="CMR004"/>
    <s v="Extrême-Nord"/>
    <s v="CMR004003"/>
    <s v="Mayo-Danay"/>
    <s v="CMR004003001"/>
    <s v="Kai-Kai"/>
  </r>
  <r>
    <s v="Extrême-Nord"/>
    <s v="CMR004"/>
    <x v="3"/>
    <s v="CMR004003"/>
    <x v="33"/>
    <s v="CMR004003001"/>
    <s v="XXXX"/>
    <s v="DARAM (BEKA)"/>
    <s v="DARAM (BEKA)"/>
    <x v="0"/>
    <s v="Janvier - Aout 2022"/>
    <n v="4"/>
    <n v="37"/>
    <x v="3"/>
    <m/>
    <s v="Même arrondissement"/>
    <s v="CMR"/>
    <s v="Cameroun"/>
    <s v="CMR004"/>
    <s v="Extrême-Nord"/>
    <s v="CMR004003"/>
    <s v="Mayo-Danay"/>
    <s v="CMR004003001"/>
    <s v="Kai-Kai"/>
  </r>
  <r>
    <s v="Extrême-Nord"/>
    <s v="CMR004"/>
    <x v="3"/>
    <s v="CMR004003"/>
    <x v="33"/>
    <s v="CMR004003001"/>
    <s v="KAI-0015"/>
    <s v="SITE DE LOUGOYE KAMASSE"/>
    <m/>
    <x v="0"/>
    <s v="Janvier - Aout 2022"/>
    <n v="0"/>
    <n v="10"/>
    <x v="3"/>
    <m/>
    <s v="Même arrondissement"/>
    <s v="CMR"/>
    <s v="Cameroun"/>
    <s v="CMR004"/>
    <s v="Extrême-Nord"/>
    <s v="CMR004003"/>
    <s v="Mayo-Danay"/>
    <s v="CMR004003001"/>
    <s v="Kai-Kai"/>
  </r>
  <r>
    <s v="Extrême-Nord"/>
    <s v="CMR004"/>
    <x v="3"/>
    <s v="CMR004003"/>
    <x v="33"/>
    <s v="CMR004003001"/>
    <s v="KAI-0015"/>
    <s v="SITE DE LOUGOYE KAMASSE"/>
    <m/>
    <x v="0"/>
    <s v="Septembre 2022 – Février 2023"/>
    <n v="252"/>
    <n v="1730"/>
    <x v="3"/>
    <m/>
    <s v="Même arrondissement"/>
    <s v="CMR"/>
    <s v="Cameroun"/>
    <s v="CMR004"/>
    <s v="Extrême-Nord"/>
    <s v="CMR004003"/>
    <s v="Mayo-Danay"/>
    <s v="CMR004003001"/>
    <s v="Kai-Kai"/>
  </r>
  <r>
    <s v="Extrême-Nord"/>
    <s v="CMR004"/>
    <x v="3"/>
    <s v="CMR004003"/>
    <x v="33"/>
    <s v="CMR004003001"/>
    <s v="KAI-0017"/>
    <s v="SITE DE MAGAYEL"/>
    <m/>
    <x v="0"/>
    <s v="Septembre 2022 – Février 2023"/>
    <n v="152"/>
    <n v="768"/>
    <x v="3"/>
    <m/>
    <s v="Même arrondissement"/>
    <s v="CMR"/>
    <s v="Cameroun"/>
    <s v="CMR004"/>
    <s v="Extrême-Nord"/>
    <s v="CMR004003"/>
    <s v="Mayo-Danay"/>
    <s v="CMR004003001"/>
    <s v="Kai-Kai"/>
  </r>
  <r>
    <s v="Extrême-Nord"/>
    <s v="CMR004"/>
    <x v="3"/>
    <s v="CMR004003"/>
    <x v="33"/>
    <s v="CMR004003001"/>
    <s v="KAI-0017"/>
    <s v="SITE DE MAGAYEL"/>
    <m/>
    <x v="0"/>
    <s v="Janvier - Aout 2022"/>
    <n v="0"/>
    <n v="17"/>
    <x v="3"/>
    <m/>
    <s v="Même arrondissement"/>
    <s v="CMR"/>
    <s v="Cameroun"/>
    <s v="CMR004"/>
    <s v="Extrême-Nord"/>
    <s v="CMR004003"/>
    <s v="Mayo-Danay"/>
    <s v="CMR004003001"/>
    <s v="Kai-Kai"/>
  </r>
  <r>
    <s v="Extrême-Nord"/>
    <s v="CMR004"/>
    <x v="3"/>
    <s v="CMR004003"/>
    <x v="33"/>
    <s v="CMR004003001"/>
    <s v="KAI-0005"/>
    <s v="KAIKAI"/>
    <m/>
    <x v="0"/>
    <s v="Avant 2020"/>
    <n v="55"/>
    <n v="339"/>
    <x v="3"/>
    <m/>
    <s v="Même arrondissement"/>
    <s v="CMR"/>
    <s v="Cameroun"/>
    <s v="CMR004"/>
    <s v="Extrême-Nord"/>
    <s v="CMR004003"/>
    <s v="Mayo-Danay"/>
    <s v="CMR004003001"/>
    <s v="Kai-Kai"/>
  </r>
  <r>
    <s v="Extrême-Nord"/>
    <s v="CMR004"/>
    <x v="3"/>
    <s v="CMR004003"/>
    <x v="33"/>
    <s v="CMR004003001"/>
    <s v="KAI-0005"/>
    <s v="KAIKAI"/>
    <m/>
    <x v="0"/>
    <s v="Janvier - Aout 2022"/>
    <n v="0"/>
    <n v="10"/>
    <x v="3"/>
    <m/>
    <s v="Même arrondissement"/>
    <s v="CMR"/>
    <s v="Cameroun"/>
    <s v="CMR004"/>
    <s v="Extrême-Nord"/>
    <s v="CMR004003"/>
    <s v="Mayo-Danay"/>
    <s v="CMR004003001"/>
    <s v="Kai-Kai"/>
  </r>
  <r>
    <s v="Extrême-Nord"/>
    <s v="CMR004"/>
    <x v="3"/>
    <s v="CMR004003"/>
    <x v="33"/>
    <s v="CMR004003001"/>
    <s v="KAI-0023"/>
    <s v="SITE DE KAIKAI CENTRE 2"/>
    <m/>
    <x v="0"/>
    <s v="Avant 2020"/>
    <n v="393"/>
    <n v="1715"/>
    <x v="3"/>
    <m/>
    <s v="Même arrondissement"/>
    <s v="CMR"/>
    <s v="Cameroun"/>
    <s v="CMR004"/>
    <s v="Extrême-Nord"/>
    <s v="CMR004003"/>
    <s v="Mayo-Danay"/>
    <s v="CMR004003001"/>
    <s v="Kai-Kai"/>
  </r>
  <r>
    <s v="Extrême-Nord"/>
    <s v="CMR004"/>
    <x v="3"/>
    <s v="CMR004003"/>
    <x v="33"/>
    <s v="CMR004003001"/>
    <s v="KAI-0023"/>
    <s v="SITE DE KAIKAI CENTRE 2"/>
    <m/>
    <x v="0"/>
    <s v="Janvier - Aout 2022"/>
    <n v="8"/>
    <n v="65"/>
    <x v="3"/>
    <m/>
    <s v="Même arrondissement"/>
    <s v="CMR"/>
    <s v="Cameroun"/>
    <s v="CMR004"/>
    <s v="Extrême-Nord"/>
    <s v="CMR004003"/>
    <s v="Mayo-Danay"/>
    <s v="CMR004003001"/>
    <s v="Kai-Kai"/>
  </r>
  <r>
    <s v="Extrême-Nord"/>
    <s v="CMR004"/>
    <x v="3"/>
    <s v="CMR004003"/>
    <x v="33"/>
    <s v="CMR004003001"/>
    <s v="KAI-0023"/>
    <s v="SITE DE KAIKAI CENTRE 2"/>
    <m/>
    <x v="0"/>
    <s v="Septembre 2022 – Février 2023"/>
    <n v="9"/>
    <n v="100"/>
    <x v="3"/>
    <m/>
    <s v="Même arrondissement"/>
    <s v="CMR"/>
    <s v="Cameroun"/>
    <s v="CMR004"/>
    <s v="Extrême-Nord"/>
    <s v="CMR004003"/>
    <s v="Mayo-Danay"/>
    <s v="CMR004003001"/>
    <s v="Kai-Kai"/>
  </r>
  <r>
    <s v="Extrême-Nord"/>
    <s v="CMR004"/>
    <x v="3"/>
    <s v="CMR004003"/>
    <x v="33"/>
    <s v="CMR004003001"/>
    <s v="KAI-0014"/>
    <s v="SITE DE KAI-KAI CENTRE"/>
    <m/>
    <x v="0"/>
    <s v="Janvier - Aout 2022"/>
    <n v="10"/>
    <n v="100"/>
    <x v="3"/>
    <m/>
    <s v="Même arrondissement"/>
    <s v="CMR"/>
    <s v="Cameroun"/>
    <s v="CMR004"/>
    <s v="Extrême-Nord"/>
    <s v="CMR004003"/>
    <s v="Mayo-Danay"/>
    <s v="CMR004003001"/>
    <s v="Kai-Kai"/>
  </r>
  <r>
    <s v="Extrême-Nord"/>
    <s v="CMR004"/>
    <x v="3"/>
    <s v="CMR004003"/>
    <x v="33"/>
    <s v="CMR004003001"/>
    <s v="KAI-0014"/>
    <s v="SITE DE KAI-KAI CENTRE"/>
    <m/>
    <x v="0"/>
    <s v="Septembre 2022 – Février 2023"/>
    <n v="20"/>
    <n v="220"/>
    <x v="3"/>
    <m/>
    <s v="Même arrondissement"/>
    <s v="CMR"/>
    <s v="Cameroun"/>
    <s v="CMR004"/>
    <s v="Extrême-Nord"/>
    <s v="CMR004003"/>
    <s v="Mayo-Danay"/>
    <s v="CMR004003001"/>
    <s v="Kai-Kai"/>
  </r>
  <r>
    <s v="Extrême-Nord"/>
    <s v="CMR004"/>
    <x v="3"/>
    <s v="CMR004003"/>
    <x v="33"/>
    <s v="CMR004003001"/>
    <s v="KAI-0010"/>
    <s v="LOUGOY MASSOUANG"/>
    <m/>
    <x v="0"/>
    <s v="Septembre 2022 – Février 2023"/>
    <n v="230"/>
    <n v="2506"/>
    <x v="3"/>
    <m/>
    <s v="Même arrondissement"/>
    <s v="CMR"/>
    <s v="Cameroun"/>
    <s v="CMR004"/>
    <s v="Extrême-Nord"/>
    <s v="CMR004003"/>
    <s v="Mayo-Danay"/>
    <s v="CMR004003001"/>
    <s v="Kai-Kai"/>
  </r>
  <r>
    <s v="Extrême-Nord"/>
    <s v="CMR004"/>
    <x v="2"/>
    <s v="CMR004002"/>
    <x v="15"/>
    <s v="CMR004002004"/>
    <s v="LBI-0080"/>
    <s v="NDOUDOUM"/>
    <m/>
    <x v="0"/>
    <s v="Janvier - Aout 2022"/>
    <n v="15"/>
    <n v="20"/>
    <x v="1"/>
    <m/>
    <s v="Même arrondissement"/>
    <s v="CMR"/>
    <s v="Cameroun"/>
    <s v="CMR004"/>
    <s v="Extrême-Nord"/>
    <s v="CMR004002"/>
    <s v="Logone-Et-Chari"/>
    <s v="CMR004002004"/>
    <s v="Logone-Birni"/>
  </r>
  <r>
    <s v="Extrême-Nord"/>
    <s v="CMR004"/>
    <x v="3"/>
    <s v="CMR004003"/>
    <x v="35"/>
    <s v="CMR004003009"/>
    <s v="YAG-0006"/>
    <s v="SITE DE TCHAKAO"/>
    <m/>
    <x v="0"/>
    <s v="En 2021"/>
    <n v="19"/>
    <n v="133"/>
    <x v="3"/>
    <m/>
    <s v="Même département, autre arrondissement"/>
    <s v="CMR"/>
    <s v="Cameroun"/>
    <s v="CMR004"/>
    <s v="Extrême-Nord"/>
    <s v="CMR004003"/>
    <s v="Mayo-Danay"/>
    <s v="CMR004003002"/>
    <s v="Maga"/>
  </r>
  <r>
    <s v="Extrême-Nord"/>
    <s v="CMR004"/>
    <x v="3"/>
    <s v="CMR004003"/>
    <x v="35"/>
    <s v="CMR004003009"/>
    <s v="YAG-0006"/>
    <s v="SITE DE TCHAKAO"/>
    <m/>
    <x v="0"/>
    <s v="Janvier - Aout 2022"/>
    <n v="13"/>
    <n v="112"/>
    <x v="3"/>
    <m/>
    <s v="Même département, autre arrondissement"/>
    <s v="CMR"/>
    <s v="Cameroun"/>
    <s v="CMR004"/>
    <s v="Extrême-Nord"/>
    <s v="CMR004003"/>
    <s v="Mayo-Danay"/>
    <s v="CMR004003002"/>
    <s v="Maga"/>
  </r>
  <r>
    <s v="Extrême-Nord"/>
    <s v="CMR004"/>
    <x v="3"/>
    <s v="CMR004003"/>
    <x v="35"/>
    <s v="CMR004003009"/>
    <s v="YAG-0006"/>
    <s v="SITE DE TCHAKAO"/>
    <m/>
    <x v="0"/>
    <s v="Septembre 2022 – Février 2023"/>
    <n v="0"/>
    <n v="36"/>
    <x v="3"/>
    <m/>
    <s v="Même département, autre arrondissement"/>
    <s v="CMR"/>
    <s v="Cameroun"/>
    <s v="CMR004"/>
    <s v="Extrême-Nord"/>
    <s v="CMR004003"/>
    <s v="Mayo-Danay"/>
    <s v="CMR004003002"/>
    <s v="Maga"/>
  </r>
  <r>
    <s v="Extrême-Nord"/>
    <s v="CMR004"/>
    <x v="3"/>
    <s v="CMR004003"/>
    <x v="35"/>
    <s v="CMR004003009"/>
    <s v="XXXX"/>
    <s v="SITE DE OURO DABANG"/>
    <s v="SITE DE OURO DABANG"/>
    <x v="0"/>
    <s v="Septembre 2022 – Février 2023"/>
    <n v="58"/>
    <n v="375"/>
    <x v="3"/>
    <m/>
    <s v="Même arrondissement"/>
    <s v="CMR"/>
    <s v="Cameroun"/>
    <s v="CMR004"/>
    <s v="Extrême-Nord"/>
    <s v="CMR004003"/>
    <s v="Mayo-Danay"/>
    <s v="CMR004003009"/>
    <s v="Yagoua"/>
  </r>
  <r>
    <s v="Extrême-Nord"/>
    <s v="CMR004"/>
    <x v="3"/>
    <s v="CMR004003"/>
    <x v="35"/>
    <s v="CMR004003009"/>
    <s v="YAG-0004"/>
    <s v="DANAY 1"/>
    <m/>
    <x v="0"/>
    <s v="Septembre 2022 – Février 2023"/>
    <n v="66"/>
    <n v="412"/>
    <x v="3"/>
    <m/>
    <s v="Même arrondissement"/>
    <s v="CMR"/>
    <s v="Cameroun"/>
    <s v="CMR004"/>
    <s v="Extrême-Nord"/>
    <s v="CMR004003"/>
    <s v="Mayo-Danay"/>
    <s v="CMR004003009"/>
    <s v="Yagoua"/>
  </r>
  <r>
    <s v="Extrême-Nord"/>
    <s v="CMR004"/>
    <x v="3"/>
    <s v="CMR004003"/>
    <x v="35"/>
    <s v="CMR004003009"/>
    <s v="YAG-0001"/>
    <s v="DANA"/>
    <m/>
    <x v="0"/>
    <s v="Avant 2020"/>
    <n v="18"/>
    <n v="131"/>
    <x v="3"/>
    <m/>
    <s v="Même arrondissement"/>
    <s v="CMR"/>
    <s v="Cameroun"/>
    <s v="CMR004"/>
    <s v="Extrême-Nord"/>
    <s v="CMR004003"/>
    <s v="Mayo-Danay"/>
    <s v="CMR004003009"/>
    <s v="Yagoua"/>
  </r>
  <r>
    <s v="Extrême-Nord"/>
    <s v="CMR004"/>
    <x v="3"/>
    <s v="CMR004003"/>
    <x v="36"/>
    <s v="CMR004003008"/>
    <s v="WIN-0002"/>
    <s v="DJONGDONG"/>
    <m/>
    <x v="0"/>
    <s v="Avant 2020"/>
    <n v="51"/>
    <n v="307"/>
    <x v="3"/>
    <m/>
    <s v="Même arrondissement"/>
    <s v="CMR"/>
    <s v="Cameroun"/>
    <s v="CMR004"/>
    <s v="Extrême-Nord"/>
    <s v="CMR004003"/>
    <s v="Mayo-Danay"/>
    <s v="CMR004003008"/>
    <s v="Wina"/>
  </r>
  <r>
    <s v="Extrême-Nord"/>
    <s v="CMR004"/>
    <x v="3"/>
    <s v="CMR004003"/>
    <x v="37"/>
    <s v="CMR004003007"/>
    <s v="DAT-0001"/>
    <s v="BAMVERE"/>
    <m/>
    <x v="0"/>
    <s v="Septembre 2022 – Février 2023"/>
    <n v="92"/>
    <n v="378"/>
    <x v="3"/>
    <m/>
    <s v="Même arrondissement"/>
    <s v="CMR"/>
    <s v="Cameroun"/>
    <s v="CMR004"/>
    <s v="Extrême-Nord"/>
    <s v="CMR004003"/>
    <s v="Mayo-Danay"/>
    <s v="CMR004003007"/>
    <s v="Datchéka"/>
  </r>
  <r>
    <s v="Extrême-Nord"/>
    <s v="CMR004"/>
    <x v="3"/>
    <s v="CMR004003"/>
    <x v="36"/>
    <s v="CMR004003008"/>
    <s v="WIN-0001"/>
    <s v="BOSGOYE"/>
    <m/>
    <x v="0"/>
    <s v="Septembre 2022 – Février 2023"/>
    <n v="48"/>
    <n v="245"/>
    <x v="3"/>
    <m/>
    <s v="Même arrondissement"/>
    <s v="CMR"/>
    <s v="Cameroun"/>
    <s v="CMR004"/>
    <s v="Extrême-Nord"/>
    <s v="CMR004003"/>
    <s v="Mayo-Danay"/>
    <s v="CMR004003008"/>
    <s v="Wina"/>
  </r>
  <r>
    <s v="Extrême-Nord"/>
    <s v="CMR004"/>
    <x v="3"/>
    <s v="CMR004003"/>
    <x v="35"/>
    <s v="CMR004003009"/>
    <s v="YAG-0002"/>
    <s v="DOMO"/>
    <m/>
    <x v="0"/>
    <s v="Septembre 2022 – Février 2023"/>
    <n v="32"/>
    <n v="165"/>
    <x v="3"/>
    <m/>
    <s v="Même arrondissement"/>
    <s v="CMR"/>
    <s v="Cameroun"/>
    <s v="CMR004"/>
    <s v="Extrême-Nord"/>
    <s v="CMR004003"/>
    <s v="Mayo-Danay"/>
    <s v="CMR004003009"/>
    <s v="Yagoua"/>
  </r>
  <r>
    <s v="Extrême-Nord"/>
    <s v="CMR004"/>
    <x v="3"/>
    <s v="CMR004003"/>
    <x v="35"/>
    <s v="CMR004003009"/>
    <s v="YAG-0003"/>
    <s v="MOURI"/>
    <m/>
    <x v="0"/>
    <s v="Septembre 2022 – Février 2023"/>
    <n v="15"/>
    <n v="83"/>
    <x v="3"/>
    <m/>
    <s v="Même arrondissement"/>
    <s v="CMR"/>
    <s v="Cameroun"/>
    <s v="CMR004"/>
    <s v="Extrême-Nord"/>
    <s v="CMR004003"/>
    <s v="Mayo-Danay"/>
    <s v="CMR004003009"/>
    <s v="Yagoua"/>
  </r>
  <r>
    <s v="Extrême-Nord"/>
    <s v="CMR004"/>
    <x v="2"/>
    <s v="CMR004002"/>
    <x v="15"/>
    <s v="CMR004002004"/>
    <s v="LBI-0043"/>
    <s v="ZIMADO KOTOKO"/>
    <m/>
    <x v="0"/>
    <s v="Avant 2020"/>
    <n v="21"/>
    <n v="198"/>
    <x v="0"/>
    <m/>
    <s v="Même département, autre arrondissement"/>
    <s v="CMR"/>
    <s v="Cameroun"/>
    <s v="CMR004"/>
    <s v="Extrême-Nord"/>
    <s v="CMR004002"/>
    <s v="Logone-Et-Chari"/>
    <s v="CMR004002001"/>
    <s v="Waza"/>
  </r>
  <r>
    <s v="Extrême-Nord"/>
    <s v="CMR004"/>
    <x v="2"/>
    <s v="CMR004002"/>
    <x v="15"/>
    <s v="CMR004002004"/>
    <s v="LBI-0042"/>
    <s v="ZIMADO 1-4"/>
    <m/>
    <x v="0"/>
    <s v="Avant 2020"/>
    <n v="7"/>
    <n v="65"/>
    <x v="1"/>
    <m/>
    <s v="Même arrondissement"/>
    <s v="CMR"/>
    <s v="Cameroun"/>
    <s v="CMR004"/>
    <s v="Extrême-Nord"/>
    <s v="CMR004002"/>
    <s v="Logone-Et-Chari"/>
    <s v="CMR004002004"/>
    <s v="Logone-Birni"/>
  </r>
  <r>
    <s v="Extrême-Nord"/>
    <s v="CMR004"/>
    <x v="2"/>
    <s v="CMR004002"/>
    <x v="15"/>
    <s v="CMR004002004"/>
    <s v="LBI-0004"/>
    <s v="ZIMADO"/>
    <m/>
    <x v="0"/>
    <s v="Avant 2020"/>
    <n v="100"/>
    <n v="724"/>
    <x v="0"/>
    <m/>
    <s v="Même département, autre arrondissement"/>
    <s v="CMR"/>
    <s v="Cameroun"/>
    <s v="CMR004"/>
    <s v="Extrême-Nord"/>
    <s v="CMR004002"/>
    <s v="Logone-Et-Chari"/>
    <s v="CMR004002001"/>
    <s v="Waza"/>
  </r>
  <r>
    <s v="Extrême-Nord"/>
    <s v="CMR004"/>
    <x v="2"/>
    <s v="CMR004002"/>
    <x v="26"/>
    <s v="CMR004002006"/>
    <s v="KOU-0022"/>
    <s v="MAINANI"/>
    <m/>
    <x v="0"/>
    <s v="Avant 2020"/>
    <n v="30"/>
    <n v="105"/>
    <x v="0"/>
    <m/>
    <s v="Même département, autre arrondissement"/>
    <s v="CMR"/>
    <s v="Cameroun"/>
    <s v="CMR004"/>
    <s v="Extrême-Nord"/>
    <s v="CMR004002"/>
    <s v="Logone-Et-Chari"/>
    <s v="CMR004002008"/>
    <s v="Fotokol"/>
  </r>
  <r>
    <s v="Extrême-Nord"/>
    <s v="CMR004"/>
    <x v="2"/>
    <s v="CMR004002"/>
    <x v="26"/>
    <s v="CMR004002006"/>
    <s v="KOU-0022"/>
    <s v="MAINANI"/>
    <m/>
    <x v="0"/>
    <s v="Septembre 2022 – Février 2023"/>
    <n v="20"/>
    <n v="100"/>
    <x v="1"/>
    <m/>
    <s v="Même département, autre arrondissement"/>
    <s v="CMR"/>
    <s v="Cameroun"/>
    <s v="CMR004"/>
    <s v="Extrême-Nord"/>
    <s v="CMR004002"/>
    <s v="Logone-Et-Chari"/>
    <s v="CMR004002004"/>
    <s v="Logone-Birni"/>
  </r>
  <r>
    <s v="Extrême-Nord"/>
    <s v="CMR004"/>
    <x v="2"/>
    <s v="CMR004002"/>
    <x v="26"/>
    <s v="CMR004002006"/>
    <s v="XXXX"/>
    <s v="SITE DE MADAGASCAR 1"/>
    <s v="SITE DE MADAGASCAR 1"/>
    <x v="0"/>
    <s v="Avant 2020"/>
    <n v="77"/>
    <n v="1500"/>
    <x v="0"/>
    <m/>
    <s v="Même département, autre arrondissement"/>
    <s v="CMR"/>
    <s v="Cameroun"/>
    <s v="CMR004"/>
    <s v="Extrême-Nord"/>
    <s v="CMR004002"/>
    <s v="Logone-Et-Chari"/>
    <s v="CMR004002008"/>
    <s v="Fotokol"/>
  </r>
  <r>
    <s v="Extrême-Nord"/>
    <s v="CMR004"/>
    <x v="2"/>
    <s v="CMR004002"/>
    <x v="26"/>
    <s v="CMR004002006"/>
    <s v="XXXX"/>
    <s v="SITE DE MADAGASCAR 1"/>
    <s v="SITE DE MADAGASCAR 1"/>
    <x v="0"/>
    <s v="Septembre 2022 – Février 2023"/>
    <n v="200"/>
    <n v="2000"/>
    <x v="3"/>
    <m/>
    <s v="Même arrondissement"/>
    <s v="CMR"/>
    <s v="Cameroun"/>
    <s v="CMR004"/>
    <s v="Extrême-Nord"/>
    <s v="CMR004002"/>
    <s v="Logone-Et-Chari"/>
    <s v="CMR004002006"/>
    <s v="Kousséri"/>
  </r>
  <r>
    <s v="Extrême-Nord"/>
    <s v="CMR004"/>
    <x v="2"/>
    <s v="CMR004002"/>
    <x v="26"/>
    <s v="CMR004002006"/>
    <s v="KOU-0030"/>
    <s v="PAGUI"/>
    <m/>
    <x v="0"/>
    <s v="Avant 2020"/>
    <n v="30"/>
    <n v="90"/>
    <x v="0"/>
    <m/>
    <s v="Même département, autre arrondissement"/>
    <s v="CMR"/>
    <s v="Cameroun"/>
    <s v="CMR004"/>
    <s v="Extrême-Nord"/>
    <s v="CMR004002"/>
    <s v="Logone-Et-Chari"/>
    <s v="CMR004002004"/>
    <s v="Logone-Birni"/>
  </r>
  <r>
    <s v="Extrême-Nord"/>
    <s v="CMR004"/>
    <x v="2"/>
    <s v="CMR004002"/>
    <x v="26"/>
    <s v="CMR004002006"/>
    <s v="KOU-0030"/>
    <s v="PAGUI"/>
    <m/>
    <x v="0"/>
    <s v="Septembre 2022 – Février 2023"/>
    <n v="5"/>
    <n v="15"/>
    <x v="3"/>
    <m/>
    <s v="Même département, autre arrondissement"/>
    <s v="CMR"/>
    <s v="Cameroun"/>
    <s v="CMR004"/>
    <s v="Extrême-Nord"/>
    <s v="CMR004002"/>
    <s v="Logone-Et-Chari"/>
    <s v="CMR004002008"/>
    <s v="Fotokol"/>
  </r>
  <r>
    <s v="Extrême-Nord"/>
    <s v="CMR004"/>
    <x v="3"/>
    <s v="CMR004003"/>
    <x v="38"/>
    <s v="CMR004003010"/>
    <s v="GUR-0004"/>
    <s v="MOUKA"/>
    <m/>
    <x v="0"/>
    <s v="Avant 2020"/>
    <n v="7"/>
    <n v="43"/>
    <x v="3"/>
    <m/>
    <s v="Même arrondissement"/>
    <s v="CMR"/>
    <s v="Cameroun"/>
    <s v="CMR004"/>
    <s v="Extrême-Nord"/>
    <s v="CMR004003"/>
    <s v="Mayo-Danay"/>
    <s v="CMR004003010"/>
    <s v="Guéré"/>
  </r>
  <r>
    <s v="Extrême-Nord"/>
    <s v="CMR004"/>
    <x v="3"/>
    <s v="CMR004003"/>
    <x v="38"/>
    <s v="CMR004003010"/>
    <s v="GUR-0004"/>
    <s v="MOUKA"/>
    <m/>
    <x v="0"/>
    <s v="En 2020"/>
    <n v="0"/>
    <n v="6"/>
    <x v="3"/>
    <m/>
    <s v="Même arrondissement"/>
    <s v="CMR"/>
    <s v="Cameroun"/>
    <s v="CMR004"/>
    <s v="Extrême-Nord"/>
    <s v="CMR004003"/>
    <s v="Mayo-Danay"/>
    <s v="CMR004003010"/>
    <s v="Guéré"/>
  </r>
  <r>
    <s v="Extrême-Nord"/>
    <s v="CMR004"/>
    <x v="2"/>
    <s v="CMR004002"/>
    <x v="8"/>
    <s v="CMR004002009"/>
    <s v="MAK-0070"/>
    <s v="MADEGOUA"/>
    <m/>
    <x v="0"/>
    <s v="Avant 2020"/>
    <n v="22"/>
    <n v="170"/>
    <x v="0"/>
    <m/>
    <s v="Même département, autre arrondissement"/>
    <s v="CMR"/>
    <s v="Cameroun"/>
    <s v="CMR004"/>
    <s v="Extrême-Nord"/>
    <s v="CMR004002"/>
    <s v="Logone-Et-Chari"/>
    <s v="CMR004002008"/>
    <s v="Fotokol"/>
  </r>
  <r>
    <s v="Extrême-Nord"/>
    <s v="CMR004"/>
    <x v="2"/>
    <s v="CMR004002"/>
    <x v="26"/>
    <s v="CMR004002006"/>
    <s v="KOU-0007"/>
    <s v="GAROUA"/>
    <m/>
    <x v="0"/>
    <s v="Septembre 2022 – Février 2023"/>
    <n v="4"/>
    <n v="25"/>
    <x v="3"/>
    <m/>
    <s v="Même arrondissement"/>
    <s v="CMR"/>
    <s v="Cameroun"/>
    <s v="CMR004"/>
    <s v="Extrême-Nord"/>
    <s v="CMR004002"/>
    <s v="Logone-Et-Chari"/>
    <s v="CMR004002006"/>
    <s v="Kousséri"/>
  </r>
  <r>
    <s v="Extrême-Nord"/>
    <s v="CMR004"/>
    <x v="2"/>
    <s v="CMR004002"/>
    <x v="12"/>
    <s v="CMR004002002"/>
    <s v="GOU-0012"/>
    <s v="MARA 1"/>
    <m/>
    <x v="0"/>
    <s v="Avant 2020"/>
    <n v="12"/>
    <n v="70"/>
    <x v="0"/>
    <m/>
    <s v="Même département, autre arrondissement"/>
    <s v="CMR"/>
    <s v="Cameroun"/>
    <s v="CMR004"/>
    <s v="Extrême-Nord"/>
    <s v="CMR004002"/>
    <s v="Logone-Et-Chari"/>
    <s v="CMR004002008"/>
    <s v="Fotokol"/>
  </r>
  <r>
    <s v="Extrême-Nord"/>
    <s v="CMR004"/>
    <x v="2"/>
    <s v="CMR004002"/>
    <x v="12"/>
    <s v="CMR004002002"/>
    <s v="GOU-0012"/>
    <s v="MARA 1"/>
    <m/>
    <x v="0"/>
    <s v="Septembre 2022 – Février 2023"/>
    <n v="0"/>
    <n v="2"/>
    <x v="0"/>
    <m/>
    <s v="Même département, autre arrondissement"/>
    <s v="CMR"/>
    <s v="Cameroun"/>
    <s v="CMR004"/>
    <s v="Extrême-Nord"/>
    <s v="CMR004002"/>
    <s v="Logone-Et-Chari"/>
    <s v="CMR004002008"/>
    <s v="Fotokol"/>
  </r>
  <r>
    <s v="Extrême-Nord"/>
    <s v="CMR004"/>
    <x v="2"/>
    <s v="CMR004002"/>
    <x v="12"/>
    <s v="CMR004002002"/>
    <s v="GOU-0013"/>
    <s v="MARA 2"/>
    <m/>
    <x v="0"/>
    <s v="Avant 2020"/>
    <n v="12"/>
    <n v="80"/>
    <x v="0"/>
    <m/>
    <s v="Même département, autre arrondissement"/>
    <s v="CMR"/>
    <s v="Cameroun"/>
    <s v="CMR004"/>
    <s v="Extrême-Nord"/>
    <s v="CMR004002"/>
    <s v="Logone-Et-Chari"/>
    <s v="CMR004002008"/>
    <s v="Fotokol"/>
  </r>
  <r>
    <s v="Extrême-Nord"/>
    <s v="CMR004"/>
    <x v="2"/>
    <s v="CMR004002"/>
    <x v="12"/>
    <s v="CMR004002002"/>
    <s v="GOU-0013"/>
    <s v="MARA 2"/>
    <m/>
    <x v="0"/>
    <s v="Septembre 2022 – Février 2023"/>
    <n v="0"/>
    <n v="1"/>
    <x v="0"/>
    <m/>
    <s v="Même département, autre arrondissement"/>
    <s v="CMR"/>
    <s v="Cameroun"/>
    <s v="CMR004"/>
    <s v="Extrême-Nord"/>
    <s v="CMR004002"/>
    <s v="Logone-Et-Chari"/>
    <s v="CMR004002008"/>
    <s v="Fotokol"/>
  </r>
  <r>
    <s v="Extrême-Nord"/>
    <s v="CMR004"/>
    <x v="1"/>
    <s v="CMR004006"/>
    <x v="1"/>
    <s v="CMR004006002"/>
    <s v="MOK-0028"/>
    <s v="DINGUILIND"/>
    <m/>
    <x v="0"/>
    <s v="Avant 2020"/>
    <n v="30"/>
    <n v="237"/>
    <x v="0"/>
    <m/>
    <s v="Même arrondissement"/>
    <s v="CMR"/>
    <s v="Cameroun"/>
    <s v="CMR004"/>
    <s v="Extrême-Nord"/>
    <s v="CMR004006"/>
    <s v="Mayo-Tsanaga"/>
    <s v="CMR004006002"/>
    <s v="Mokolo"/>
  </r>
  <r>
    <s v="Extrême-Nord"/>
    <s v="CMR004"/>
    <x v="1"/>
    <s v="CMR004006"/>
    <x v="1"/>
    <s v="CMR004006002"/>
    <s v="MOK-0028"/>
    <s v="DINGUILIND"/>
    <m/>
    <x v="0"/>
    <s v="Janvier - Aout 2022"/>
    <n v="6"/>
    <n v="36"/>
    <x v="0"/>
    <m/>
    <s v="Même arrondissement"/>
    <s v="CMR"/>
    <s v="Cameroun"/>
    <s v="CMR004"/>
    <s v="Extrême-Nord"/>
    <s v="CMR004006"/>
    <s v="Mayo-Tsanaga"/>
    <s v="CMR004006002"/>
    <s v="Mokolo"/>
  </r>
  <r>
    <s v="Extrême-Nord"/>
    <s v="CMR004"/>
    <x v="1"/>
    <s v="CMR004006"/>
    <x v="1"/>
    <s v="CMR004006002"/>
    <s v="MOK-0028"/>
    <s v="DINGUILIND"/>
    <m/>
    <x v="0"/>
    <s v="Septembre 2022 – Février 2023"/>
    <n v="10"/>
    <n v="28"/>
    <x v="0"/>
    <m/>
    <s v="Même arrondissement"/>
    <s v="CMR"/>
    <s v="Cameroun"/>
    <s v="CMR004"/>
    <s v="Extrême-Nord"/>
    <s v="CMR004006"/>
    <s v="Mayo-Tsanaga"/>
    <s v="CMR004006002"/>
    <s v="Mokolo"/>
  </r>
  <r>
    <s v="Extrême-Nord"/>
    <s v="CMR004"/>
    <x v="1"/>
    <s v="CMR004006"/>
    <x v="1"/>
    <s v="CMR004006002"/>
    <s v="MOK-0055"/>
    <s v="LAMORDE"/>
    <m/>
    <x v="0"/>
    <s v="Avant 2020"/>
    <n v="139"/>
    <n v="999"/>
    <x v="0"/>
    <m/>
    <s v="Même arrondissement"/>
    <s v="CMR"/>
    <s v="Cameroun"/>
    <s v="CMR004"/>
    <s v="Extrême-Nord"/>
    <s v="CMR004006"/>
    <s v="Mayo-Tsanaga"/>
    <s v="CMR004006002"/>
    <s v="Mokolo"/>
  </r>
  <r>
    <s v="Extrême-Nord"/>
    <s v="CMR004"/>
    <x v="1"/>
    <s v="CMR004006"/>
    <x v="1"/>
    <s v="CMR004006002"/>
    <s v="MOK-0055"/>
    <s v="LAMORDE"/>
    <m/>
    <x v="0"/>
    <s v="En 2020"/>
    <n v="2"/>
    <n v="12"/>
    <x v="0"/>
    <m/>
    <s v="Même arrondissement"/>
    <s v="CMR"/>
    <s v="Cameroun"/>
    <s v="CMR004"/>
    <s v="Extrême-Nord"/>
    <s v="CMR004006"/>
    <s v="Mayo-Tsanaga"/>
    <s v="CMR004006002"/>
    <s v="Mokolo"/>
  </r>
  <r>
    <s v="Extrême-Nord"/>
    <s v="CMR004"/>
    <x v="1"/>
    <s v="CMR004006"/>
    <x v="1"/>
    <s v="CMR004006002"/>
    <s v="MOK-0055"/>
    <s v="LAMORDE"/>
    <m/>
    <x v="0"/>
    <s v="Janvier - Aout 2022"/>
    <n v="10"/>
    <n v="32"/>
    <x v="0"/>
    <m/>
    <s v="Même arrondissement"/>
    <s v="CMR"/>
    <s v="Cameroun"/>
    <s v="CMR004"/>
    <s v="Extrême-Nord"/>
    <s v="CMR004006"/>
    <s v="Mayo-Tsanaga"/>
    <s v="CMR004006002"/>
    <s v="Mokolo"/>
  </r>
  <r>
    <s v="Extrême-Nord"/>
    <s v="CMR004"/>
    <x v="1"/>
    <s v="CMR004006"/>
    <x v="1"/>
    <s v="CMR004006002"/>
    <s v="MOK-0055"/>
    <s v="LAMORDE"/>
    <m/>
    <x v="0"/>
    <s v="Septembre 2022 – Février 2023"/>
    <n v="22"/>
    <n v="102"/>
    <x v="0"/>
    <m/>
    <s v="Même arrondissement"/>
    <s v="CMR"/>
    <s v="Cameroun"/>
    <s v="CMR004"/>
    <s v="Extrême-Nord"/>
    <s v="CMR004006"/>
    <s v="Mayo-Tsanaga"/>
    <s v="CMR004006002"/>
    <s v="Mokolo"/>
  </r>
  <r>
    <s v="Extrême-Nord"/>
    <s v="CMR004"/>
    <x v="4"/>
    <s v="CMR004005"/>
    <x v="19"/>
    <s v="CMR004005001"/>
    <s v="KOL-0028"/>
    <s v="YEGOUA"/>
    <m/>
    <x v="0"/>
    <s v="En 2020"/>
    <n v="1"/>
    <n v="1"/>
    <x v="0"/>
    <m/>
    <s v="Même arrondissement"/>
    <s v="CMR"/>
    <s v="Cameroun"/>
    <s v="CMR004"/>
    <s v="Extrême-Nord"/>
    <s v="CMR004005"/>
    <s v="Mayo-Sava"/>
    <s v="CMR004005001"/>
    <s v="Kolofata"/>
  </r>
  <r>
    <s v="Extrême-Nord"/>
    <s v="CMR004"/>
    <x v="4"/>
    <s v="CMR004005"/>
    <x v="19"/>
    <s v="CMR004005001"/>
    <s v="KOL-0028"/>
    <s v="YEGOUA"/>
    <m/>
    <x v="0"/>
    <s v="Janvier - Aout 2022"/>
    <n v="0"/>
    <n v="19"/>
    <x v="0"/>
    <m/>
    <s v="Même arrondissement"/>
    <s v="CMR"/>
    <s v="Cameroun"/>
    <s v="CMR004"/>
    <s v="Extrême-Nord"/>
    <s v="CMR004005"/>
    <s v="Mayo-Sava"/>
    <s v="CMR004005001"/>
    <s v="Kolofata"/>
  </r>
  <r>
    <s v="Extrême-Nord"/>
    <s v="CMR004"/>
    <x v="4"/>
    <s v="CMR004005"/>
    <x v="19"/>
    <s v="CMR004005001"/>
    <s v="KOL-0028"/>
    <s v="YEGOUA"/>
    <m/>
    <x v="0"/>
    <s v="Avant 2020"/>
    <n v="8"/>
    <n v="64"/>
    <x v="0"/>
    <m/>
    <s v="Même arrondissement"/>
    <s v="CMR"/>
    <s v="Cameroun"/>
    <s v="CMR004"/>
    <s v="Extrême-Nord"/>
    <s v="CMR004005"/>
    <s v="Mayo-Sava"/>
    <s v="CMR004005001"/>
    <s v="Kolofata"/>
  </r>
  <r>
    <s v="Extrême-Nord"/>
    <s v="CMR004"/>
    <x v="4"/>
    <s v="CMR004005"/>
    <x v="19"/>
    <s v="CMR004005001"/>
    <s v="KOL-0028"/>
    <s v="YEGOUA"/>
    <m/>
    <x v="0"/>
    <s v="Septembre 2022 – Février 2023"/>
    <n v="0"/>
    <n v="16"/>
    <x v="0"/>
    <m/>
    <s v="Même arrondissement"/>
    <s v="CMR"/>
    <s v="Cameroun"/>
    <s v="CMR004"/>
    <s v="Extrême-Nord"/>
    <s v="CMR004005"/>
    <s v="Mayo-Sava"/>
    <s v="CMR004005001"/>
    <s v="Kolofata"/>
  </r>
  <r>
    <s v="Extrême-Nord"/>
    <s v="CMR004"/>
    <x v="2"/>
    <s v="CMR004002"/>
    <x v="27"/>
    <s v="CMR004002007"/>
    <s v="DAR-0015"/>
    <s v="MAGALA-KABIR 2"/>
    <m/>
    <x v="0"/>
    <s v="En 2020"/>
    <n v="10"/>
    <n v="33"/>
    <x v="0"/>
    <m/>
    <s v="Même arrondissement"/>
    <s v="CMR"/>
    <s v="Cameroun"/>
    <s v="CMR004"/>
    <s v="Extrême-Nord"/>
    <s v="CMR004002"/>
    <s v="Logone-Et-Chari"/>
    <s v="CMR004002007"/>
    <s v="Darak"/>
  </r>
  <r>
    <s v="Extrême-Nord"/>
    <s v="CMR004"/>
    <x v="2"/>
    <s v="CMR004002"/>
    <x v="27"/>
    <s v="CMR004002007"/>
    <s v="DAR-0024"/>
    <s v="KADOUNA"/>
    <m/>
    <x v="0"/>
    <s v="En 2020"/>
    <n v="16"/>
    <n v="92"/>
    <x v="0"/>
    <m/>
    <s v="Même arrondissement"/>
    <s v="CMR"/>
    <s v="Cameroun"/>
    <s v="CMR004"/>
    <s v="Extrême-Nord"/>
    <s v="CMR004002"/>
    <s v="Logone-Et-Chari"/>
    <s v="CMR004002007"/>
    <s v="Darak"/>
  </r>
  <r>
    <s v="Extrême-Nord"/>
    <s v="CMR004"/>
    <x v="2"/>
    <s v="CMR004002"/>
    <x v="8"/>
    <s v="CMR004002009"/>
    <s v="MAK-0013"/>
    <s v="BAGARA"/>
    <m/>
    <x v="0"/>
    <s v="En 2020"/>
    <n v="4"/>
    <n v="37"/>
    <x v="0"/>
    <m/>
    <s v="Même arrondissement"/>
    <s v="CMR"/>
    <s v="Cameroun"/>
    <s v="CMR004"/>
    <s v="Extrême-Nord"/>
    <s v="CMR004002"/>
    <s v="Logone-Et-Chari"/>
    <s v="CMR004002009"/>
    <s v="Makary"/>
  </r>
  <r>
    <s v="Extrême-Nord"/>
    <s v="CMR004"/>
    <x v="2"/>
    <s v="CMR004002"/>
    <x v="8"/>
    <s v="CMR004002009"/>
    <s v="MAK-0147"/>
    <s v="NGOUT"/>
    <m/>
    <x v="0"/>
    <s v="En 2020"/>
    <n v="29"/>
    <n v="199"/>
    <x v="0"/>
    <m/>
    <s v="Même arrondissement"/>
    <s v="CMR"/>
    <s v="Cameroun"/>
    <s v="CMR004"/>
    <s v="Extrême-Nord"/>
    <s v="CMR004002"/>
    <s v="Logone-Et-Chari"/>
    <s v="CMR004002009"/>
    <s v="Makary"/>
  </r>
  <r>
    <s v="Extrême-Nord"/>
    <s v="CMR004"/>
    <x v="2"/>
    <s v="CMR004002"/>
    <x v="8"/>
    <s v="CMR004002009"/>
    <s v="MAK-0162"/>
    <s v="AMSOUFA"/>
    <m/>
    <x v="0"/>
    <s v="En 2020"/>
    <n v="10"/>
    <n v="96"/>
    <x v="0"/>
    <m/>
    <s v="Même arrondissement"/>
    <s v="CMR"/>
    <s v="Cameroun"/>
    <s v="CMR004"/>
    <s v="Extrême-Nord"/>
    <s v="CMR004002"/>
    <s v="Logone-Et-Chari"/>
    <s v="CMR004002009"/>
    <s v="Makary"/>
  </r>
  <r>
    <s v="Extrême-Nord"/>
    <s v="CMR004"/>
    <x v="2"/>
    <s v="CMR004002"/>
    <x v="27"/>
    <s v="CMR004002007"/>
    <s v="DAR-0027"/>
    <s v="NDJODA"/>
    <m/>
    <x v="0"/>
    <s v="En 2020"/>
    <n v="7"/>
    <n v="40"/>
    <x v="0"/>
    <m/>
    <s v="Même arrondissement"/>
    <s v="CMR"/>
    <s v="Cameroun"/>
    <s v="CMR004"/>
    <s v="Extrême-Nord"/>
    <s v="CMR004002"/>
    <s v="Logone-Et-Chari"/>
    <s v="CMR004002007"/>
    <s v="Darak"/>
  </r>
  <r>
    <s v="Extrême-Nord"/>
    <s v="CMR004"/>
    <x v="1"/>
    <s v="CMR004006"/>
    <x v="1"/>
    <s v="CMR004006002"/>
    <s v="XXXX"/>
    <s v="LARAM 2"/>
    <s v="LARAM2"/>
    <x v="0"/>
    <s v="Septembre 2022 – Février 2023"/>
    <n v="23"/>
    <n v="75"/>
    <x v="0"/>
    <m/>
    <s v="Même arrondissement"/>
    <s v="CMR"/>
    <s v="Cameroun"/>
    <s v="CMR004"/>
    <s v="Extrême-Nord"/>
    <s v="CMR004006"/>
    <s v="Mayo-Tsanaga"/>
    <s v="CMR004006002"/>
    <s v="Mokolo"/>
  </r>
  <r>
    <s v="Extrême-Nord"/>
    <s v="CMR004"/>
    <x v="1"/>
    <s v="CMR004006"/>
    <x v="7"/>
    <s v="CMR004006005"/>
    <s v="MOZ-0038"/>
    <s v="MAWA"/>
    <m/>
    <x v="0"/>
    <s v="Septembre 2022 – Février 2023"/>
    <n v="1"/>
    <n v="17"/>
    <x v="0"/>
    <m/>
    <s v="Même arrondissement"/>
    <s v="CMR"/>
    <s v="Cameroun"/>
    <s v="CMR004"/>
    <s v="Extrême-Nord"/>
    <s v="CMR004006"/>
    <s v="Mayo-Tsanaga"/>
    <s v="CMR004006005"/>
    <s v="Mayo-Moskota"/>
  </r>
  <r>
    <s v="Extrême-Nord"/>
    <s v="CMR004"/>
    <x v="1"/>
    <s v="CMR004006"/>
    <x v="7"/>
    <s v="CMR004006005"/>
    <s v="MOZ-0038"/>
    <s v="MAWA"/>
    <m/>
    <x v="0"/>
    <s v="Avant 2020"/>
    <n v="98"/>
    <n v="795"/>
    <x v="0"/>
    <m/>
    <s v="Même arrondissement"/>
    <s v="CMR"/>
    <s v="Cameroun"/>
    <s v="CMR004"/>
    <s v="Extrême-Nord"/>
    <s v="CMR004006"/>
    <s v="Mayo-Tsanaga"/>
    <s v="CMR004006005"/>
    <s v="Mayo-Moskota"/>
  </r>
  <r>
    <s v="Extrême-Nord"/>
    <s v="CMR004"/>
    <x v="1"/>
    <s v="CMR004006"/>
    <x v="7"/>
    <s v="CMR004006005"/>
    <s v="MOZ-0038"/>
    <s v="MAWA"/>
    <m/>
    <x v="0"/>
    <s v="En 2021"/>
    <n v="0"/>
    <n v="10"/>
    <x v="0"/>
    <m/>
    <s v="Même arrondissement"/>
    <s v="CMR"/>
    <s v="Cameroun"/>
    <s v="CMR004"/>
    <s v="Extrême-Nord"/>
    <s v="CMR004006"/>
    <s v="Mayo-Tsanaga"/>
    <s v="CMR004006005"/>
    <s v="Mayo-Moskota"/>
  </r>
  <r>
    <s v="Extrême-Nord"/>
    <s v="CMR004"/>
    <x v="1"/>
    <s v="CMR004006"/>
    <x v="7"/>
    <s v="CMR004006005"/>
    <s v="MOZ-0038"/>
    <s v="MAWA"/>
    <m/>
    <x v="0"/>
    <s v="Janvier - Aout 2022"/>
    <n v="10"/>
    <n v="37"/>
    <x v="0"/>
    <m/>
    <s v="Même arrondissement"/>
    <s v="CMR"/>
    <s v="Cameroun"/>
    <s v="CMR004"/>
    <s v="Extrême-Nord"/>
    <s v="CMR004006"/>
    <s v="Mayo-Tsanaga"/>
    <s v="CMR004006005"/>
    <s v="Mayo-Moskota"/>
  </r>
  <r>
    <s v="Extrême-Nord"/>
    <s v="CMR004"/>
    <x v="2"/>
    <s v="CMR004002"/>
    <x v="26"/>
    <s v="CMR004002006"/>
    <s v="KOU-0004"/>
    <s v="ARKIS"/>
    <m/>
    <x v="0"/>
    <s v="Avant 2020"/>
    <n v="4"/>
    <n v="19"/>
    <x v="0"/>
    <m/>
    <s v="Même arrondissement"/>
    <s v="CMR"/>
    <s v="Cameroun"/>
    <s v="CMR004"/>
    <s v="Extrême-Nord"/>
    <s v="CMR004002"/>
    <s v="Logone-Et-Chari"/>
    <s v="CMR004002006"/>
    <s v="Kousséri"/>
  </r>
  <r>
    <s v="Extrême-Nord"/>
    <s v="CMR004"/>
    <x v="2"/>
    <s v="CMR004002"/>
    <x v="26"/>
    <s v="CMR004002006"/>
    <s v="KOU-0004"/>
    <s v="ARKIS"/>
    <m/>
    <x v="0"/>
    <s v="Septembre 2022 – Février 2023"/>
    <n v="7"/>
    <n v="12"/>
    <x v="0"/>
    <m/>
    <s v="Même arrondissement"/>
    <s v="CMR"/>
    <s v="Cameroun"/>
    <s v="CMR004"/>
    <s v="Extrême-Nord"/>
    <s v="CMR004002"/>
    <s v="Logone-Et-Chari"/>
    <s v="CMR004002006"/>
    <s v="Kousséri"/>
  </r>
  <r>
    <s v="Extrême-Nord"/>
    <s v="CMR004"/>
    <x v="2"/>
    <s v="CMR004002"/>
    <x v="26"/>
    <s v="CMR004002006"/>
    <s v="KOU-0004"/>
    <s v="ARKIS"/>
    <m/>
    <x v="0"/>
    <s v="En 2020"/>
    <n v="0"/>
    <n v="4"/>
    <x v="2"/>
    <s v="Naissance."/>
    <s v="Même arrondissement"/>
    <s v="CMR"/>
    <s v="Cameroun"/>
    <s v="CMR004"/>
    <s v="Extrême-Nord"/>
    <s v="CMR004002"/>
    <s v="Logone-Et-Chari"/>
    <s v="CMR004002006"/>
    <s v="Kousséri"/>
  </r>
  <r>
    <s v="Extrême-Nord"/>
    <s v="CMR004"/>
    <x v="3"/>
    <s v="CMR004003"/>
    <x v="33"/>
    <s v="CMR004003001"/>
    <s v="KAI-0025"/>
    <s v="DAMA"/>
    <m/>
    <x v="0"/>
    <s v="Janvier - Aout 2022"/>
    <n v="17"/>
    <n v="56"/>
    <x v="3"/>
    <m/>
    <s v="Même arrondissement"/>
    <s v="CMR"/>
    <s v="Cameroun"/>
    <s v="CMR004"/>
    <s v="Extrême-Nord"/>
    <s v="CMR004003"/>
    <s v="Mayo-Danay"/>
    <s v="CMR004003001"/>
    <s v="Kai-Kai"/>
  </r>
  <r>
    <s v="Extrême-Nord"/>
    <s v="CMR004"/>
    <x v="0"/>
    <s v="CMR004001"/>
    <x v="0"/>
    <s v="CMR004001003"/>
    <s v="PET-0013"/>
    <s v="KLISSAWA"/>
    <m/>
    <x v="1"/>
    <s v="Avant 2020"/>
    <n v="1"/>
    <n v="5"/>
    <x v="0"/>
    <m/>
    <s v="Autre pays"/>
    <s v="NGA"/>
    <s v="Nigéria"/>
    <s v="NGA008"/>
    <s v="Borno"/>
    <m/>
    <m/>
    <m/>
    <m/>
  </r>
  <r>
    <s v="Extrême-Nord"/>
    <s v="CMR004"/>
    <x v="0"/>
    <s v="CMR004001"/>
    <x v="0"/>
    <s v="CMR004001003"/>
    <s v="PET-0020"/>
    <s v="LOUBA LOUBA"/>
    <m/>
    <x v="1"/>
    <s v="Avant 2020"/>
    <n v="2"/>
    <n v="10"/>
    <x v="0"/>
    <m/>
    <s v="Autre pays"/>
    <s v="NGA"/>
    <s v="Nigéria"/>
    <s v="NGA008"/>
    <s v="Borno"/>
    <m/>
    <m/>
    <m/>
    <m/>
  </r>
  <r>
    <s v="Extrême-Nord"/>
    <s v="CMR004"/>
    <x v="1"/>
    <s v="CMR004006"/>
    <x v="7"/>
    <s v="CMR004006005"/>
    <s v="MOZ-0014"/>
    <s v="OUZAL"/>
    <m/>
    <x v="1"/>
    <s v="Avant 2020"/>
    <n v="17"/>
    <n v="83"/>
    <x v="0"/>
    <m/>
    <s v="Autre pays"/>
    <s v="NGA"/>
    <s v="Nigéria"/>
    <s v="NGA008"/>
    <s v="Borno"/>
    <m/>
    <m/>
    <m/>
    <m/>
  </r>
  <r>
    <s v="Extrême-Nord"/>
    <s v="CMR004"/>
    <x v="1"/>
    <s v="CMR004006"/>
    <x v="7"/>
    <s v="CMR004006005"/>
    <s v="MOZ-0014"/>
    <s v="OUZAL"/>
    <m/>
    <x v="1"/>
    <s v="En 2020"/>
    <n v="6"/>
    <n v="43"/>
    <x v="0"/>
    <m/>
    <s v="Autre pays"/>
    <s v="NGA"/>
    <s v="Nigéria"/>
    <s v="NGA002"/>
    <s v="Adamawa"/>
    <m/>
    <m/>
    <m/>
    <m/>
  </r>
  <r>
    <s v="Extrême-Nord"/>
    <s v="CMR004"/>
    <x v="1"/>
    <s v="CMR004006"/>
    <x v="7"/>
    <s v="CMR004006005"/>
    <s v="MOZ-0009"/>
    <s v="MOZOGO GUIDBALA"/>
    <m/>
    <x v="1"/>
    <s v="Septembre 2022 – Février 2023"/>
    <n v="2"/>
    <n v="16"/>
    <x v="0"/>
    <m/>
    <s v="Autre pays"/>
    <s v="NGA"/>
    <s v="Nigéria"/>
    <s v="NGA025"/>
    <s v="Lagos"/>
    <m/>
    <m/>
    <m/>
    <m/>
  </r>
  <r>
    <s v="Extrême-Nord"/>
    <s v="CMR004"/>
    <x v="1"/>
    <s v="CMR004006"/>
    <x v="7"/>
    <s v="CMR004006005"/>
    <s v="MOZ-0006"/>
    <s v="MEDEGOUER"/>
    <m/>
    <x v="1"/>
    <s v="Septembre 2022 – Février 2023"/>
    <n v="1"/>
    <n v="3"/>
    <x v="0"/>
    <m/>
    <s v="Autre pays"/>
    <s v="NGA"/>
    <s v="Nigéria"/>
    <s v="NGA025"/>
    <s v="Lagos"/>
    <m/>
    <m/>
    <m/>
    <m/>
  </r>
  <r>
    <s v="Extrême-Nord"/>
    <s v="CMR004"/>
    <x v="2"/>
    <s v="CMR004002"/>
    <x v="8"/>
    <s v="CMR004002009"/>
    <s v="MAK-0071"/>
    <s v="NANAMI"/>
    <m/>
    <x v="1"/>
    <s v="Avant 2020"/>
    <n v="6"/>
    <n v="21"/>
    <x v="0"/>
    <m/>
    <s v="Autre pays"/>
    <s v="NGA"/>
    <s v="Nigéria"/>
    <s v="NGA008"/>
    <s v="Borno"/>
    <m/>
    <m/>
    <m/>
    <m/>
  </r>
  <r>
    <s v="Extrême-Nord"/>
    <s v="CMR004"/>
    <x v="2"/>
    <s v="CMR004002"/>
    <x v="8"/>
    <s v="CMR004002009"/>
    <s v="MAK-0185"/>
    <s v="GUEILALA"/>
    <m/>
    <x v="1"/>
    <s v="Avant 2020"/>
    <n v="15"/>
    <n v="115"/>
    <x v="0"/>
    <m/>
    <s v="Autre pays"/>
    <s v="NGA"/>
    <s v="Nigéria"/>
    <s v="NGA008"/>
    <s v="Borno"/>
    <m/>
    <m/>
    <m/>
    <m/>
  </r>
  <r>
    <s v="Extrême-Nord"/>
    <s v="CMR004"/>
    <x v="2"/>
    <s v="CMR004002"/>
    <x v="13"/>
    <s v="CMR004002001"/>
    <s v="WAZ-0002"/>
    <s v="KABE 1"/>
    <m/>
    <x v="1"/>
    <s v="Avant 2020"/>
    <n v="6"/>
    <n v="22"/>
    <x v="0"/>
    <m/>
    <s v="Autre pays"/>
    <s v="NGA"/>
    <s v="Nigéria"/>
    <s v="NGA008"/>
    <s v="Borno"/>
    <m/>
    <m/>
    <m/>
    <m/>
  </r>
  <r>
    <s v="Extrême-Nord"/>
    <s v="CMR004"/>
    <x v="2"/>
    <s v="CMR004002"/>
    <x v="10"/>
    <s v="CMR004002003"/>
    <s v="BLA-0019"/>
    <s v="BLABINE"/>
    <m/>
    <x v="1"/>
    <s v="Avant 2020"/>
    <n v="2"/>
    <n v="5"/>
    <x v="0"/>
    <m/>
    <s v="Autre pays"/>
    <s v="NGA"/>
    <s v="Nigéria"/>
    <s v="NGA008"/>
    <s v="Borno"/>
    <m/>
    <m/>
    <m/>
    <m/>
  </r>
  <r>
    <s v="Extrême-Nord"/>
    <s v="CMR004"/>
    <x v="2"/>
    <s v="CMR004002"/>
    <x v="10"/>
    <s v="CMR004002003"/>
    <s v="BLA-0010"/>
    <s v="KOUTOULA"/>
    <m/>
    <x v="1"/>
    <s v="Avant 2020"/>
    <n v="7"/>
    <n v="64"/>
    <x v="0"/>
    <m/>
    <s v="Autre pays"/>
    <s v="NGA"/>
    <s v="Nigéria"/>
    <s v="NGA008"/>
    <s v="Borno"/>
    <m/>
    <m/>
    <m/>
    <m/>
  </r>
  <r>
    <s v="Extrême-Nord"/>
    <s v="CMR004"/>
    <x v="0"/>
    <s v="CMR004001"/>
    <x v="0"/>
    <s v="CMR004001003"/>
    <s v="PET-0021"/>
    <s v="MOURGOUT"/>
    <m/>
    <x v="1"/>
    <s v="Avant 2020"/>
    <n v="2"/>
    <n v="14"/>
    <x v="0"/>
    <m/>
    <s v="Autre pays"/>
    <s v="NGA"/>
    <s v="Nigéria"/>
    <s v="NGA008"/>
    <s v="Borno"/>
    <m/>
    <m/>
    <m/>
    <m/>
  </r>
  <r>
    <s v="Extrême-Nord"/>
    <s v="CMR004"/>
    <x v="0"/>
    <s v="CMR004001"/>
    <x v="0"/>
    <s v="CMR004001003"/>
    <s v="PET-0021"/>
    <s v="MOURGOUT"/>
    <m/>
    <x v="1"/>
    <s v="En 2021"/>
    <n v="0"/>
    <n v="2"/>
    <x v="0"/>
    <m/>
    <s v="Autre pays"/>
    <s v="NGA"/>
    <s v="Nigéria"/>
    <s v="NGA008"/>
    <s v="Borno"/>
    <m/>
    <m/>
    <m/>
    <m/>
  </r>
  <r>
    <s v="Extrême-Nord"/>
    <s v="CMR004"/>
    <x v="1"/>
    <s v="CMR004006"/>
    <x v="39"/>
    <s v="CMR004006001"/>
    <s v="MOG-0002"/>
    <s v="KARANTCHI"/>
    <m/>
    <x v="1"/>
    <s v="Avant 2020"/>
    <n v="17"/>
    <n v="84"/>
    <x v="0"/>
    <m/>
    <s v="Autre pays"/>
    <s v="NGA"/>
    <s v="Nigéria"/>
    <s v="NGA002"/>
    <s v="Adamawa"/>
    <m/>
    <m/>
    <m/>
    <m/>
  </r>
  <r>
    <s v="Extrême-Nord"/>
    <s v="CMR004"/>
    <x v="1"/>
    <s v="CMR004006"/>
    <x v="39"/>
    <s v="CMR004006001"/>
    <s v="MOG-0002"/>
    <s v="KARANTCHI"/>
    <m/>
    <x v="1"/>
    <s v="En 2021"/>
    <n v="0"/>
    <n v="7"/>
    <x v="0"/>
    <m/>
    <s v="Autre pays"/>
    <s v="NGA"/>
    <s v="Nigéria"/>
    <s v="NGA002"/>
    <s v="Adamawa"/>
    <m/>
    <m/>
    <m/>
    <m/>
  </r>
  <r>
    <s v="Extrême-Nord"/>
    <s v="CMR004"/>
    <x v="1"/>
    <s v="CMR004006"/>
    <x v="39"/>
    <s v="CMR004006001"/>
    <s v="MOG-0002"/>
    <s v="KARANTCHI"/>
    <m/>
    <x v="1"/>
    <s v="Janvier - Aout 2022"/>
    <n v="1"/>
    <n v="6"/>
    <x v="0"/>
    <m/>
    <s v="Autre pays"/>
    <s v="NGA"/>
    <s v="Nigéria"/>
    <s v="NGA002"/>
    <s v="Adamawa"/>
    <m/>
    <m/>
    <m/>
    <m/>
  </r>
  <r>
    <s v="Extrême-Nord"/>
    <s v="CMR004"/>
    <x v="1"/>
    <s v="CMR004006"/>
    <x v="39"/>
    <s v="CMR004006001"/>
    <s v="MOG-0004"/>
    <s v="KOUFFI"/>
    <m/>
    <x v="1"/>
    <s v="Avant 2020"/>
    <n v="8"/>
    <n v="41"/>
    <x v="0"/>
    <m/>
    <s v="Autre pays"/>
    <s v="NGA"/>
    <s v="Nigéria"/>
    <s v="NGA002"/>
    <s v="Adamawa"/>
    <m/>
    <m/>
    <m/>
    <m/>
  </r>
  <r>
    <s v="Extrême-Nord"/>
    <s v="CMR004"/>
    <x v="1"/>
    <s v="CMR004006"/>
    <x v="39"/>
    <s v="CMR004006001"/>
    <s v="MOG-0004"/>
    <s v="KOUFFI"/>
    <m/>
    <x v="1"/>
    <s v="En 2021"/>
    <n v="0"/>
    <n v="1"/>
    <x v="0"/>
    <m/>
    <s v="Autre pays"/>
    <s v="NGA"/>
    <s v="Nigéria"/>
    <s v="NGA002"/>
    <s v="Adamawa"/>
    <m/>
    <m/>
    <m/>
    <m/>
  </r>
  <r>
    <s v="Extrême-Nord"/>
    <s v="CMR004"/>
    <x v="1"/>
    <s v="CMR004006"/>
    <x v="39"/>
    <s v="CMR004006001"/>
    <s v="MOG-0004"/>
    <s v="KOUFFI"/>
    <m/>
    <x v="1"/>
    <s v="Janvier - Aout 2022"/>
    <n v="0"/>
    <n v="3"/>
    <x v="0"/>
    <m/>
    <s v="Autre pays"/>
    <s v="NGA"/>
    <s v="Nigéria"/>
    <s v="NGA002"/>
    <s v="Adamawa"/>
    <m/>
    <m/>
    <m/>
    <m/>
  </r>
  <r>
    <s v="Extrême-Nord"/>
    <s v="CMR004"/>
    <x v="1"/>
    <s v="CMR004006"/>
    <x v="39"/>
    <s v="CMR004006001"/>
    <s v="MOG-0004"/>
    <s v="KOUFFI"/>
    <m/>
    <x v="1"/>
    <s v="Septembre 2022 – Février 2023"/>
    <n v="0"/>
    <n v="2"/>
    <x v="0"/>
    <m/>
    <s v="Autre pays"/>
    <s v="NGA"/>
    <s v="Nigéria"/>
    <s v="NGA002"/>
    <s v="Adamawa"/>
    <m/>
    <m/>
    <m/>
    <m/>
  </r>
  <r>
    <s v="Extrême-Nord"/>
    <s v="CMR004"/>
    <x v="1"/>
    <s v="CMR004006"/>
    <x v="39"/>
    <s v="CMR004006001"/>
    <s v="MOG-0012"/>
    <s v="VITTE"/>
    <m/>
    <x v="1"/>
    <s v="Avant 2020"/>
    <n v="5"/>
    <n v="22"/>
    <x v="0"/>
    <m/>
    <s v="Autre pays"/>
    <s v="NGA"/>
    <s v="Nigéria"/>
    <s v="NGA002"/>
    <s v="Adamawa"/>
    <m/>
    <m/>
    <m/>
    <m/>
  </r>
  <r>
    <s v="Extrême-Nord"/>
    <s v="CMR004"/>
    <x v="1"/>
    <s v="CMR004006"/>
    <x v="39"/>
    <s v="CMR004006001"/>
    <s v="MOG-0012"/>
    <s v="VITTE"/>
    <m/>
    <x v="1"/>
    <s v="Janvier - Aout 2022"/>
    <n v="0"/>
    <n v="5"/>
    <x v="0"/>
    <m/>
    <s v="Autre pays"/>
    <s v="NGA"/>
    <s v="Nigéria"/>
    <s v="NGA002"/>
    <s v="Adamawa"/>
    <m/>
    <m/>
    <m/>
    <m/>
  </r>
  <r>
    <s v="Extrême-Nord"/>
    <s v="CMR004"/>
    <x v="0"/>
    <s v="CMR004001"/>
    <x v="0"/>
    <s v="CMR004001003"/>
    <s v="PET-0002"/>
    <s v="SITE DE DJABIRE"/>
    <m/>
    <x v="1"/>
    <s v="Avant 2020"/>
    <n v="18"/>
    <n v="183"/>
    <x v="0"/>
    <m/>
    <s v="Autre pays"/>
    <s v="NGA"/>
    <s v="Nigéria"/>
    <s v="NGA008"/>
    <s v="Borno"/>
    <m/>
    <m/>
    <m/>
    <m/>
  </r>
  <r>
    <s v="Extrême-Nord"/>
    <s v="CMR004"/>
    <x v="0"/>
    <s v="CMR004001"/>
    <x v="0"/>
    <s v="CMR004001003"/>
    <s v="PET-0002"/>
    <s v="SITE DE DJABIRE"/>
    <m/>
    <x v="1"/>
    <s v="En 2021"/>
    <n v="0"/>
    <n v="8"/>
    <x v="0"/>
    <m/>
    <s v="Autre pays"/>
    <s v="NGA"/>
    <s v="Nigéria"/>
    <s v="NGA008"/>
    <s v="Borno"/>
    <m/>
    <m/>
    <m/>
    <m/>
  </r>
  <r>
    <s v="Extrême-Nord"/>
    <s v="CMR004"/>
    <x v="2"/>
    <s v="CMR004002"/>
    <x v="13"/>
    <s v="CMR004002001"/>
    <s v="WAZ-0006"/>
    <s v="SALEH"/>
    <m/>
    <x v="1"/>
    <s v="Avant 2020"/>
    <n v="7"/>
    <n v="44"/>
    <x v="0"/>
    <m/>
    <s v="Autre pays"/>
    <s v="NGA"/>
    <s v="Nigéria"/>
    <s v="NGA008"/>
    <s v="Borno"/>
    <m/>
    <m/>
    <m/>
    <m/>
  </r>
  <r>
    <s v="Extrême-Nord"/>
    <s v="CMR004"/>
    <x v="2"/>
    <s v="CMR004002"/>
    <x v="13"/>
    <s v="CMR004002001"/>
    <s v="WAZ-0006"/>
    <s v="SALEH"/>
    <m/>
    <x v="1"/>
    <s v="Septembre 2022 – Février 2023"/>
    <n v="0"/>
    <n v="2"/>
    <x v="0"/>
    <m/>
    <s v="Autre pays"/>
    <s v="NGA"/>
    <s v="Nigéria"/>
    <s v="NGA008"/>
    <s v="Borno"/>
    <m/>
    <m/>
    <m/>
    <m/>
  </r>
  <r>
    <s v="Extrême-Nord"/>
    <s v="CMR004"/>
    <x v="2"/>
    <s v="CMR004002"/>
    <x v="13"/>
    <s v="CMR004002001"/>
    <s v="WAZ-0036"/>
    <s v="ZIGUE"/>
    <m/>
    <x v="1"/>
    <s v="Janvier - Aout 2022"/>
    <n v="10"/>
    <n v="62"/>
    <x v="0"/>
    <m/>
    <s v="Autre pays"/>
    <s v="NGA"/>
    <s v="Nigéria"/>
    <s v="NGA008"/>
    <s v="Borno"/>
    <m/>
    <m/>
    <m/>
    <m/>
  </r>
  <r>
    <s v="Extrême-Nord"/>
    <s v="CMR004"/>
    <x v="2"/>
    <s v="CMR004002"/>
    <x v="13"/>
    <s v="CMR004002001"/>
    <s v="WAZ-0036"/>
    <s v="ZIGUE"/>
    <m/>
    <x v="1"/>
    <s v="Septembre 2022 – Février 2023"/>
    <n v="0"/>
    <n v="4"/>
    <x v="0"/>
    <m/>
    <s v="Autre pays"/>
    <s v="NGA"/>
    <s v="Nigéria"/>
    <s v="NGA008"/>
    <s v="Borno"/>
    <m/>
    <m/>
    <m/>
    <m/>
  </r>
  <r>
    <s v="Extrême-Nord"/>
    <s v="CMR004"/>
    <x v="2"/>
    <s v="CMR004002"/>
    <x v="13"/>
    <s v="CMR004002001"/>
    <s v="WAZ-0012"/>
    <s v="ZIGAGUE"/>
    <m/>
    <x v="1"/>
    <s v="Avant 2020"/>
    <n v="15"/>
    <n v="58"/>
    <x v="0"/>
    <m/>
    <s v="Autre pays"/>
    <s v="NGA"/>
    <s v="Nigéria"/>
    <s v="NGA008"/>
    <s v="Borno"/>
    <m/>
    <m/>
    <m/>
    <m/>
  </r>
  <r>
    <s v="Extrême-Nord"/>
    <s v="CMR004"/>
    <x v="2"/>
    <s v="CMR004002"/>
    <x v="13"/>
    <s v="CMR004002001"/>
    <s v="WAZ-0012"/>
    <s v="ZIGAGUE"/>
    <m/>
    <x v="1"/>
    <s v="Septembre 2022 – Février 2023"/>
    <n v="0"/>
    <n v="3"/>
    <x v="0"/>
    <m/>
    <s v="Autre pays"/>
    <s v="NGA"/>
    <s v="Nigéria"/>
    <s v="NGA008"/>
    <s v="Borno"/>
    <m/>
    <m/>
    <m/>
    <m/>
  </r>
  <r>
    <s v="Extrême-Nord"/>
    <s v="CMR004"/>
    <x v="2"/>
    <s v="CMR004002"/>
    <x v="13"/>
    <s v="CMR004002001"/>
    <s v="WAZ-0021"/>
    <s v="GOULOUZIVINI"/>
    <m/>
    <x v="1"/>
    <s v="Janvier - Aout 2022"/>
    <n v="5"/>
    <n v="36"/>
    <x v="0"/>
    <m/>
    <s v="Autre pays"/>
    <s v="NGA"/>
    <s v="Nigéria"/>
    <s v="NGA008"/>
    <s v="Borno"/>
    <m/>
    <m/>
    <m/>
    <m/>
  </r>
  <r>
    <s v="Extrême-Nord"/>
    <s v="CMR004"/>
    <x v="2"/>
    <s v="CMR004002"/>
    <x v="13"/>
    <s v="CMR004002001"/>
    <s v="WAZ-0021"/>
    <s v="GOULOUZIVINI"/>
    <m/>
    <x v="1"/>
    <s v="Septembre 2022 – Février 2023"/>
    <n v="0"/>
    <n v="5"/>
    <x v="0"/>
    <m/>
    <s v="Autre pays"/>
    <s v="NGA"/>
    <s v="Nigéria"/>
    <s v="NGA008"/>
    <s v="Borno"/>
    <m/>
    <m/>
    <m/>
    <m/>
  </r>
  <r>
    <s v="Extrême-Nord"/>
    <s v="CMR004"/>
    <x v="2"/>
    <s v="CMR004002"/>
    <x v="13"/>
    <s v="CMR004002001"/>
    <s v="WAZ-0021"/>
    <s v="GOULOUZIVINI"/>
    <m/>
    <x v="1"/>
    <s v="En 2021"/>
    <n v="0"/>
    <n v="2"/>
    <x v="0"/>
    <m/>
    <s v="Autre pays"/>
    <s v="NGA"/>
    <s v="Nigéria"/>
    <s v="NGA008"/>
    <s v="Borno"/>
    <m/>
    <m/>
    <m/>
    <m/>
  </r>
  <r>
    <s v="Extrême-Nord"/>
    <s v="CMR004"/>
    <x v="1"/>
    <s v="CMR004006"/>
    <x v="7"/>
    <s v="CMR004006005"/>
    <s v="MOZ-0021"/>
    <s v="ASSIGHASSIA"/>
    <m/>
    <x v="1"/>
    <s v="Avant 2020"/>
    <n v="474"/>
    <n v="2735"/>
    <x v="0"/>
    <m/>
    <s v="Autre pays"/>
    <s v="NGA"/>
    <s v="Nigéria"/>
    <s v="NGA025"/>
    <s v="Lagos"/>
    <m/>
    <m/>
    <m/>
    <m/>
  </r>
  <r>
    <s v="Extrême-Nord"/>
    <s v="CMR004"/>
    <x v="1"/>
    <s v="CMR004006"/>
    <x v="7"/>
    <s v="CMR004006005"/>
    <s v="MOZ-0021"/>
    <s v="ASSIGHASSIA"/>
    <m/>
    <x v="1"/>
    <s v="En 2020"/>
    <n v="5"/>
    <n v="20"/>
    <x v="0"/>
    <m/>
    <s v="Autre pays"/>
    <s v="NGA"/>
    <s v="Nigéria"/>
    <s v="NGA025"/>
    <s v="Lagos"/>
    <m/>
    <m/>
    <m/>
    <m/>
  </r>
  <r>
    <s v="Extrême-Nord"/>
    <s v="CMR004"/>
    <x v="1"/>
    <s v="CMR004006"/>
    <x v="7"/>
    <s v="CMR004006005"/>
    <s v="MOZ-0021"/>
    <s v="ASSIGHASSIA"/>
    <m/>
    <x v="1"/>
    <s v="En 2021"/>
    <n v="0"/>
    <n v="3"/>
    <x v="0"/>
    <m/>
    <s v="Autre pays"/>
    <s v="NGA"/>
    <s v="Nigéria"/>
    <s v="NGA020"/>
    <s v="Kano"/>
    <m/>
    <m/>
    <m/>
    <m/>
  </r>
  <r>
    <s v="Extrême-Nord"/>
    <s v="CMR004"/>
    <x v="1"/>
    <s v="CMR004006"/>
    <x v="7"/>
    <s v="CMR004006005"/>
    <s v="MOZ-0021"/>
    <s v="ASSIGHASSIA"/>
    <m/>
    <x v="1"/>
    <s v="Janvier - Aout 2022"/>
    <n v="18"/>
    <n v="150"/>
    <x v="0"/>
    <m/>
    <s v="Autre pays"/>
    <s v="NGA"/>
    <s v="Nigéria"/>
    <s v="NGA020"/>
    <s v="Kano"/>
    <m/>
    <m/>
    <m/>
    <m/>
  </r>
  <r>
    <s v="Extrême-Nord"/>
    <s v="CMR004"/>
    <x v="1"/>
    <s v="CMR004006"/>
    <x v="7"/>
    <s v="CMR004006005"/>
    <s v="MOZ-0021"/>
    <s v="ASSIGHASSIA"/>
    <m/>
    <x v="1"/>
    <s v="Septembre 2022 – Février 2023"/>
    <n v="23"/>
    <n v="210"/>
    <x v="0"/>
    <m/>
    <s v="Autre pays"/>
    <s v="NGA"/>
    <s v="Nigéria"/>
    <s v="NGA025"/>
    <s v="Lagos"/>
    <m/>
    <m/>
    <m/>
    <m/>
  </r>
  <r>
    <s v="Extrême-Nord"/>
    <s v="CMR004"/>
    <x v="2"/>
    <s v="CMR004002"/>
    <x v="10"/>
    <s v="CMR004002003"/>
    <s v="BLA-0018"/>
    <s v="DOUGOUMACHI"/>
    <m/>
    <x v="1"/>
    <s v="En 2021"/>
    <n v="10"/>
    <n v="120"/>
    <x v="0"/>
    <m/>
    <s v="Autre pays"/>
    <s v="NGA"/>
    <s v="Nigéria"/>
    <s v="NGA008"/>
    <s v="Borno"/>
    <m/>
    <m/>
    <m/>
    <m/>
  </r>
  <r>
    <s v="Extrême-Nord"/>
    <s v="CMR004"/>
    <x v="1"/>
    <s v="CMR004006"/>
    <x v="14"/>
    <s v="CMR004006007"/>
    <s v="BOU-0004"/>
    <s v="BOURHA 2"/>
    <m/>
    <x v="1"/>
    <s v="Avant 2020"/>
    <n v="18"/>
    <n v="113"/>
    <x v="0"/>
    <m/>
    <s v="Autre pays"/>
    <s v="NGA"/>
    <s v="Nigéria"/>
    <s v="NGA002"/>
    <s v="Adamawa"/>
    <m/>
    <m/>
    <m/>
    <m/>
  </r>
  <r>
    <s v="Extrême-Nord"/>
    <s v="CMR004"/>
    <x v="1"/>
    <s v="CMR004006"/>
    <x v="14"/>
    <s v="CMR004006007"/>
    <s v="BOU-0004"/>
    <s v="BOURHA 2"/>
    <m/>
    <x v="1"/>
    <s v="En 2020"/>
    <n v="0"/>
    <n v="1"/>
    <x v="0"/>
    <m/>
    <s v="Autre pays"/>
    <s v="NGA"/>
    <s v="Nigéria"/>
    <s v="NGA002"/>
    <s v="Adamawa"/>
    <m/>
    <m/>
    <m/>
    <m/>
  </r>
  <r>
    <s v="Extrême-Nord"/>
    <s v="CMR004"/>
    <x v="1"/>
    <s v="CMR004006"/>
    <x v="14"/>
    <s v="CMR004006007"/>
    <s v="BOU-0004"/>
    <s v="BOURHA 2"/>
    <m/>
    <x v="1"/>
    <s v="Janvier - Aout 2022"/>
    <n v="5"/>
    <n v="22"/>
    <x v="0"/>
    <m/>
    <s v="Autre pays"/>
    <s v="NGA"/>
    <s v="Nigéria"/>
    <s v="NGA002"/>
    <s v="Adamawa"/>
    <m/>
    <m/>
    <m/>
    <m/>
  </r>
  <r>
    <s v="Extrême-Nord"/>
    <s v="CMR004"/>
    <x v="2"/>
    <s v="CMR004002"/>
    <x v="13"/>
    <s v="CMR004002001"/>
    <s v="WAZ-0026"/>
    <s v="SITE DE LAFIA"/>
    <m/>
    <x v="1"/>
    <s v="Avant 2020"/>
    <n v="17"/>
    <n v="70"/>
    <x v="0"/>
    <m/>
    <s v="Autre pays"/>
    <s v="NGA"/>
    <s v="Nigéria"/>
    <s v="NGA008"/>
    <s v="Borno"/>
    <m/>
    <m/>
    <m/>
    <m/>
  </r>
  <r>
    <s v="Extrême-Nord"/>
    <s v="CMR004"/>
    <x v="2"/>
    <s v="CMR004002"/>
    <x v="13"/>
    <s v="CMR004002001"/>
    <s v="WAZ-0026"/>
    <s v="SITE DE LAFIA"/>
    <m/>
    <x v="1"/>
    <s v="Septembre 2022 – Février 2023"/>
    <n v="0"/>
    <n v="5"/>
    <x v="0"/>
    <m/>
    <s v="Autre pays"/>
    <s v="NGA"/>
    <s v="Nigéria"/>
    <s v="NGA008"/>
    <s v="Borno"/>
    <m/>
    <m/>
    <m/>
    <m/>
  </r>
  <r>
    <s v="Extrême-Nord"/>
    <s v="CMR004"/>
    <x v="2"/>
    <s v="CMR004002"/>
    <x v="13"/>
    <s v="CMR004002001"/>
    <s v="WAZ-0026"/>
    <s v="SITE DE LAFIA"/>
    <m/>
    <x v="1"/>
    <s v="En 2021"/>
    <n v="0"/>
    <n v="10"/>
    <x v="0"/>
    <m/>
    <s v="Autre pays"/>
    <s v="NGA"/>
    <s v="Nigéria"/>
    <s v="NGA008"/>
    <s v="Borno"/>
    <m/>
    <m/>
    <m/>
    <m/>
  </r>
  <r>
    <s v="Extrême-Nord"/>
    <s v="CMR004"/>
    <x v="1"/>
    <s v="CMR004006"/>
    <x v="7"/>
    <s v="CMR004006005"/>
    <s v="MOZ-0037"/>
    <s v="MOUNDOUGOUA"/>
    <m/>
    <x v="1"/>
    <s v="Avant 2020"/>
    <n v="60"/>
    <n v="300"/>
    <x v="0"/>
    <m/>
    <s v="Autre pays"/>
    <s v="NGA"/>
    <s v="Nigéria"/>
    <s v="NGA025"/>
    <s v="Lagos"/>
    <m/>
    <m/>
    <m/>
    <m/>
  </r>
  <r>
    <s v="Extrême-Nord"/>
    <s v="CMR004"/>
    <x v="1"/>
    <s v="CMR004006"/>
    <x v="7"/>
    <s v="CMR004006005"/>
    <s v="MOZ-0037"/>
    <s v="MOUNDOUGOUA"/>
    <m/>
    <x v="1"/>
    <s v="En 2020"/>
    <n v="11"/>
    <n v="50"/>
    <x v="0"/>
    <m/>
    <s v="Autre pays"/>
    <s v="NGA"/>
    <s v="Nigéria"/>
    <s v="NGA025"/>
    <s v="Lagos"/>
    <m/>
    <m/>
    <m/>
    <m/>
  </r>
  <r>
    <s v="Extrême-Nord"/>
    <s v="CMR004"/>
    <x v="2"/>
    <s v="CMR004002"/>
    <x v="13"/>
    <s v="CMR004002001"/>
    <s v="WAZ-0003"/>
    <s v="KABE 2"/>
    <m/>
    <x v="1"/>
    <s v="Avant 2020"/>
    <n v="17"/>
    <n v="64"/>
    <x v="0"/>
    <m/>
    <s v="Autre pays"/>
    <s v="NGA"/>
    <s v="Nigéria"/>
    <s v="NGA008"/>
    <s v="Borno"/>
    <m/>
    <m/>
    <m/>
    <m/>
  </r>
  <r>
    <s v="Extrême-Nord"/>
    <s v="CMR004"/>
    <x v="2"/>
    <s v="CMR004002"/>
    <x v="13"/>
    <s v="CMR004002001"/>
    <s v="WAZ-0024"/>
    <s v="ANGOUROU"/>
    <m/>
    <x v="1"/>
    <s v="Avant 2020"/>
    <n v="9"/>
    <n v="65"/>
    <x v="0"/>
    <m/>
    <s v="Autre pays"/>
    <s v="NGA"/>
    <s v="Nigéria"/>
    <s v="NGA008"/>
    <s v="Borno"/>
    <m/>
    <m/>
    <m/>
    <m/>
  </r>
  <r>
    <s v="Extrême-Nord"/>
    <s v="CMR004"/>
    <x v="2"/>
    <s v="CMR004002"/>
    <x v="13"/>
    <s v="CMR004002001"/>
    <s v="WAZ-0024"/>
    <s v="ANGOUROU"/>
    <m/>
    <x v="1"/>
    <s v="En 2020"/>
    <n v="0"/>
    <n v="2"/>
    <x v="0"/>
    <m/>
    <s v="Autre pays"/>
    <s v="NGA"/>
    <s v="Nigéria"/>
    <s v="NGA008"/>
    <s v="Borno"/>
    <m/>
    <m/>
    <m/>
    <m/>
  </r>
  <r>
    <s v="Extrême-Nord"/>
    <s v="CMR004"/>
    <x v="2"/>
    <s v="CMR004002"/>
    <x v="13"/>
    <s v="CMR004002001"/>
    <s v="WAZ-0024"/>
    <s v="ANGOUROU"/>
    <m/>
    <x v="1"/>
    <s v="En 2021"/>
    <n v="0"/>
    <n v="9"/>
    <x v="0"/>
    <m/>
    <s v="Autre pays"/>
    <s v="NGA"/>
    <s v="Nigéria"/>
    <s v="NGA008"/>
    <s v="Borno"/>
    <m/>
    <m/>
    <m/>
    <m/>
  </r>
  <r>
    <s v="Extrême-Nord"/>
    <s v="CMR004"/>
    <x v="2"/>
    <s v="CMR004002"/>
    <x v="13"/>
    <s v="CMR004002001"/>
    <s v="WAZ-0018"/>
    <s v="MATKOUNA 1"/>
    <m/>
    <x v="1"/>
    <s v="En 2020"/>
    <n v="15"/>
    <n v="79"/>
    <x v="0"/>
    <m/>
    <s v="Autre pays"/>
    <s v="NGA"/>
    <s v="Nigéria"/>
    <s v="NGA008"/>
    <s v="Borno"/>
    <m/>
    <m/>
    <m/>
    <m/>
  </r>
  <r>
    <s v="Extrême-Nord"/>
    <s v="CMR004"/>
    <x v="2"/>
    <s v="CMR004002"/>
    <x v="13"/>
    <s v="CMR004002001"/>
    <s v="WAZ-0018"/>
    <s v="MATKOUNA 1"/>
    <m/>
    <x v="1"/>
    <s v="Septembre 2022 – Février 2023"/>
    <n v="0"/>
    <n v="2"/>
    <x v="0"/>
    <m/>
    <s v="Autre pays"/>
    <s v="NGA"/>
    <s v="Nigéria"/>
    <s v="NGA008"/>
    <s v="Borno"/>
    <m/>
    <m/>
    <m/>
    <m/>
  </r>
  <r>
    <s v="Extrême-Nord"/>
    <s v="CMR004"/>
    <x v="2"/>
    <s v="CMR004002"/>
    <x v="15"/>
    <s v="CMR004002004"/>
    <s v="LBI-0041"/>
    <s v="TIKINI"/>
    <m/>
    <x v="1"/>
    <s v="Septembre 2022 – Février 2023"/>
    <n v="32"/>
    <n v="224"/>
    <x v="3"/>
    <m/>
    <s v="Autre pays"/>
    <s v="TCD"/>
    <s v="Tchad"/>
    <s v="TCD018"/>
    <s v="N'Djamena"/>
    <m/>
    <m/>
    <m/>
    <m/>
  </r>
  <r>
    <s v="Extrême-Nord"/>
    <s v="CMR004"/>
    <x v="2"/>
    <s v="CMR004002"/>
    <x v="8"/>
    <s v="CMR004002009"/>
    <s v="MAK-0032"/>
    <s v="DOROROYA 1"/>
    <m/>
    <x v="1"/>
    <s v="Janvier - Aout 2022"/>
    <n v="3"/>
    <n v="21"/>
    <x v="0"/>
    <m/>
    <s v="Autre pays"/>
    <s v="NGA"/>
    <s v="Nigéria"/>
    <s v="NGA008"/>
    <s v="Borno"/>
    <m/>
    <m/>
    <m/>
    <m/>
  </r>
  <r>
    <s v="Extrême-Nord"/>
    <s v="CMR004"/>
    <x v="5"/>
    <s v="CMR004004"/>
    <x v="20"/>
    <s v="CMR004004006"/>
    <s v="KAE-0016"/>
    <s v="TIBIRI"/>
    <m/>
    <x v="1"/>
    <s v="Avant 2020"/>
    <n v="6"/>
    <n v="45"/>
    <x v="1"/>
    <m/>
    <s v="Autre pays"/>
    <s v="TCD"/>
    <s v="Tchad"/>
    <s v="TCD011"/>
    <s v="Mayo Kebbi Est"/>
    <m/>
    <m/>
    <m/>
    <m/>
  </r>
  <r>
    <s v="Extrême-Nord"/>
    <s v="CMR004"/>
    <x v="2"/>
    <s v="CMR004002"/>
    <x v="9"/>
    <s v="CMR004002010"/>
    <s v="HIL-0009"/>
    <s v="HILE ALIFA 2"/>
    <m/>
    <x v="1"/>
    <s v="En 2020"/>
    <n v="5"/>
    <n v="30"/>
    <x v="0"/>
    <m/>
    <s v="Autre pays"/>
    <s v="NGA"/>
    <s v="Nigéria"/>
    <s v="NGA008"/>
    <s v="Borno"/>
    <m/>
    <m/>
    <m/>
    <m/>
  </r>
  <r>
    <s v="Extrême-Nord"/>
    <s v="CMR004"/>
    <x v="2"/>
    <s v="CMR004002"/>
    <x v="9"/>
    <s v="CMR004002010"/>
    <s v="HIL-0009"/>
    <s v="HILE ALIFA 2"/>
    <m/>
    <x v="1"/>
    <s v="Janvier - Aout 2022"/>
    <n v="10"/>
    <n v="70"/>
    <x v="0"/>
    <m/>
    <s v="Autre pays"/>
    <s v="NGA"/>
    <s v="Nigéria"/>
    <s v="NGA008"/>
    <s v="Borno"/>
    <m/>
    <m/>
    <m/>
    <m/>
  </r>
  <r>
    <s v="Extrême-Nord"/>
    <s v="CMR004"/>
    <x v="4"/>
    <s v="CMR004005"/>
    <x v="17"/>
    <s v="CMR004005002"/>
    <s v="MOR-0079"/>
    <s v="TOUSKI"/>
    <m/>
    <x v="1"/>
    <s v="Avant 2020"/>
    <n v="42"/>
    <n v="319"/>
    <x v="0"/>
    <m/>
    <s v="Autre pays"/>
    <s v="NGA"/>
    <s v="Nigéria"/>
    <s v="NGA008"/>
    <s v="Borno"/>
    <m/>
    <m/>
    <m/>
    <m/>
  </r>
  <r>
    <s v="Extrême-Nord"/>
    <s v="CMR004"/>
    <x v="4"/>
    <s v="CMR004005"/>
    <x v="17"/>
    <s v="CMR004005002"/>
    <s v="MOR-0079"/>
    <s v="TOUSKI"/>
    <m/>
    <x v="1"/>
    <s v="En 2021"/>
    <n v="0"/>
    <n v="4"/>
    <x v="0"/>
    <m/>
    <s v="Autre pays"/>
    <s v="NGA"/>
    <s v="Nigéria"/>
    <s v="NGA008"/>
    <s v="Borno"/>
    <m/>
    <m/>
    <m/>
    <m/>
  </r>
  <r>
    <s v="Extrême-Nord"/>
    <s v="CMR004"/>
    <x v="4"/>
    <s v="CMR004005"/>
    <x v="17"/>
    <s v="CMR004005002"/>
    <s v="MOR-0079"/>
    <s v="TOUSKI"/>
    <m/>
    <x v="1"/>
    <s v="Janvier - Aout 2022"/>
    <n v="0"/>
    <n v="20"/>
    <x v="0"/>
    <m/>
    <s v="Autre pays"/>
    <s v="NGA"/>
    <s v="Nigéria"/>
    <s v="NGA008"/>
    <s v="Borno"/>
    <m/>
    <m/>
    <m/>
    <m/>
  </r>
  <r>
    <s v="Extrême-Nord"/>
    <s v="CMR004"/>
    <x v="4"/>
    <s v="CMR004005"/>
    <x v="17"/>
    <s v="CMR004005002"/>
    <s v="MOR-0079"/>
    <s v="TOUSKI"/>
    <m/>
    <x v="1"/>
    <s v="Septembre 2022 – Février 2023"/>
    <n v="0"/>
    <n v="20"/>
    <x v="0"/>
    <m/>
    <s v="Autre pays"/>
    <s v="NGA"/>
    <s v="Nigéria"/>
    <s v="NGA008"/>
    <s v="Borno"/>
    <m/>
    <m/>
    <m/>
    <m/>
  </r>
  <r>
    <s v="Extrême-Nord"/>
    <s v="CMR004"/>
    <x v="4"/>
    <s v="CMR004005"/>
    <x v="17"/>
    <s v="CMR004005002"/>
    <s v="MOR-0086"/>
    <s v="TAGAWA 2 (DALIL)"/>
    <m/>
    <x v="1"/>
    <s v="Avant 2020"/>
    <n v="6"/>
    <n v="20"/>
    <x v="0"/>
    <m/>
    <s v="Autre pays"/>
    <s v="NGA"/>
    <s v="Nigéria"/>
    <s v="NGA002"/>
    <s v="Adamawa"/>
    <m/>
    <m/>
    <m/>
    <m/>
  </r>
  <r>
    <s v="Extrême-Nord"/>
    <s v="CMR004"/>
    <x v="4"/>
    <s v="CMR004005"/>
    <x v="17"/>
    <s v="CMR004005002"/>
    <s v="MOR-0086"/>
    <s v="TAGAWA 2 (DALIL)"/>
    <m/>
    <x v="1"/>
    <s v="Janvier - Aout 2022"/>
    <n v="6"/>
    <n v="38"/>
    <x v="0"/>
    <m/>
    <s v="Autre pays"/>
    <s v="NGA"/>
    <s v="Nigéria"/>
    <s v="NGA008"/>
    <s v="Borno"/>
    <m/>
    <m/>
    <m/>
    <m/>
  </r>
  <r>
    <s v="Extrême-Nord"/>
    <s v="CMR004"/>
    <x v="4"/>
    <s v="CMR004005"/>
    <x v="17"/>
    <s v="CMR004005002"/>
    <s v="MOR-0087"/>
    <s v="TAGAWA 3 (MAHAMAT)"/>
    <m/>
    <x v="1"/>
    <s v="Avant 2020"/>
    <n v="10"/>
    <n v="33"/>
    <x v="0"/>
    <m/>
    <s v="Autre pays"/>
    <s v="NGA"/>
    <s v="Nigéria"/>
    <s v="NGA002"/>
    <s v="Adamawa"/>
    <m/>
    <m/>
    <m/>
    <m/>
  </r>
  <r>
    <s v="Extrême-Nord"/>
    <s v="CMR004"/>
    <x v="4"/>
    <s v="CMR004005"/>
    <x v="17"/>
    <s v="CMR004005002"/>
    <s v="MOR-0087"/>
    <s v="TAGAWA 3 (MAHAMAT)"/>
    <m/>
    <x v="1"/>
    <s v="En 2021"/>
    <n v="0"/>
    <n v="2"/>
    <x v="0"/>
    <m/>
    <s v="Autre pays"/>
    <s v="NGA"/>
    <s v="Nigéria"/>
    <m/>
    <s v="Benue"/>
    <m/>
    <m/>
    <m/>
    <m/>
  </r>
  <r>
    <s v="Extrême-Nord"/>
    <s v="CMR004"/>
    <x v="4"/>
    <s v="CMR004005"/>
    <x v="17"/>
    <s v="CMR004005002"/>
    <s v="MOR-0087"/>
    <s v="TAGAWA 3 (MAHAMAT)"/>
    <m/>
    <x v="1"/>
    <s v="Janvier - Aout 2022"/>
    <n v="0"/>
    <n v="5"/>
    <x v="0"/>
    <m/>
    <s v="Autre pays"/>
    <s v="NGA"/>
    <s v="Nigéria"/>
    <s v="NGA008"/>
    <s v="Borno"/>
    <m/>
    <m/>
    <m/>
    <m/>
  </r>
  <r>
    <s v="Extrême-Nord"/>
    <s v="CMR004"/>
    <x v="2"/>
    <s v="CMR004002"/>
    <x v="15"/>
    <s v="CMR004002004"/>
    <s v="LBI-0040"/>
    <s v="SITE DE TILDE"/>
    <m/>
    <x v="1"/>
    <s v="Avant 2020"/>
    <n v="71"/>
    <n v="382"/>
    <x v="0"/>
    <m/>
    <s v="Autre pays"/>
    <s v="NGA"/>
    <s v="Nigéria"/>
    <s v="NGA008"/>
    <s v="Borno"/>
    <m/>
    <m/>
    <m/>
    <m/>
  </r>
  <r>
    <s v="Extrême-Nord"/>
    <s v="CMR004"/>
    <x v="2"/>
    <s v="CMR004002"/>
    <x v="15"/>
    <s v="CMR004002004"/>
    <s v="LBI-0040"/>
    <s v="SITE DE TILDE"/>
    <m/>
    <x v="1"/>
    <s v="En 2020"/>
    <n v="44"/>
    <n v="292"/>
    <x v="0"/>
    <m/>
    <s v="Autre pays"/>
    <s v="NGA"/>
    <s v="Nigéria"/>
    <s v="NGA008"/>
    <s v="Borno"/>
    <m/>
    <m/>
    <m/>
    <m/>
  </r>
  <r>
    <s v="Extrême-Nord"/>
    <s v="CMR004"/>
    <x v="5"/>
    <s v="CMR004004"/>
    <x v="20"/>
    <s v="CMR004004006"/>
    <s v="KAE-0014"/>
    <s v="WINDEO"/>
    <m/>
    <x v="1"/>
    <s v="En 2020"/>
    <n v="7"/>
    <n v="37"/>
    <x v="1"/>
    <m/>
    <s v="Autre pays"/>
    <s v="TCD"/>
    <s v="Tchad"/>
    <s v="TCD011"/>
    <s v="Mayo Kebbi Est"/>
    <m/>
    <m/>
    <m/>
    <m/>
  </r>
  <r>
    <s v="Extrême-Nord"/>
    <s v="CMR004"/>
    <x v="5"/>
    <s v="CMR004004"/>
    <x v="21"/>
    <s v="CMR004004007"/>
    <s v="MIN-0001"/>
    <s v="MOGOM"/>
    <m/>
    <x v="1"/>
    <s v="Avant 2020"/>
    <n v="3"/>
    <n v="9"/>
    <x v="1"/>
    <m/>
    <s v="Autre pays"/>
    <s v="TCD"/>
    <s v="Tchad"/>
    <s v="TCD011"/>
    <s v="Mayo Kebbi Est"/>
    <m/>
    <m/>
    <m/>
    <m/>
  </r>
  <r>
    <s v="Extrême-Nord"/>
    <s v="CMR004"/>
    <x v="2"/>
    <s v="CMR004002"/>
    <x v="13"/>
    <s v="CMR004002001"/>
    <s v="WAZ-0020"/>
    <s v="TOUNGA"/>
    <m/>
    <x v="1"/>
    <s v="Avant 2020"/>
    <n v="13"/>
    <n v="87"/>
    <x v="0"/>
    <m/>
    <s v="Autre pays"/>
    <s v="NGA"/>
    <s v="Nigéria"/>
    <s v="NGA008"/>
    <s v="Borno"/>
    <m/>
    <m/>
    <m/>
    <m/>
  </r>
  <r>
    <s v="Extrême-Nord"/>
    <s v="CMR004"/>
    <x v="2"/>
    <s v="CMR004002"/>
    <x v="13"/>
    <s v="CMR004002001"/>
    <s v="WAZ-0020"/>
    <s v="TOUNGA"/>
    <m/>
    <x v="1"/>
    <s v="Septembre 2022 – Février 2023"/>
    <n v="0"/>
    <n v="4"/>
    <x v="0"/>
    <m/>
    <s v="Autre pays"/>
    <s v="NGA"/>
    <s v="Nigéria"/>
    <s v="NGA008"/>
    <s v="Borno"/>
    <m/>
    <m/>
    <m/>
    <m/>
  </r>
  <r>
    <s v="Extrême-Nord"/>
    <s v="CMR004"/>
    <x v="2"/>
    <s v="CMR004002"/>
    <x v="13"/>
    <s v="CMR004002001"/>
    <s v="XXXX"/>
    <s v="MALIA"/>
    <s v="MALIA"/>
    <x v="1"/>
    <s v="Avant 2020"/>
    <n v="25"/>
    <n v="90"/>
    <x v="0"/>
    <m/>
    <s v="Autre pays"/>
    <s v="NGA"/>
    <s v="Nigéria"/>
    <s v="NGA008"/>
    <s v="Borno"/>
    <m/>
    <m/>
    <m/>
    <m/>
  </r>
  <r>
    <s v="Extrême-Nord"/>
    <s v="CMR004"/>
    <x v="2"/>
    <s v="CMR004002"/>
    <x v="13"/>
    <s v="CMR004002001"/>
    <s v="XXXX"/>
    <s v="MALIA"/>
    <s v="MALIA"/>
    <x v="1"/>
    <s v="Septembre 2022 – Février 2023"/>
    <n v="0"/>
    <n v="5"/>
    <x v="0"/>
    <m/>
    <s v="Autre pays"/>
    <s v="NGA"/>
    <s v="Nigéria"/>
    <s v="NGA008"/>
    <s v="Borno"/>
    <m/>
    <m/>
    <m/>
    <m/>
  </r>
  <r>
    <s v="Extrême-Nord"/>
    <s v="CMR004"/>
    <x v="2"/>
    <s v="CMR004002"/>
    <x v="8"/>
    <s v="CMR004002009"/>
    <s v="MAK-0020"/>
    <s v="BODO"/>
    <m/>
    <x v="1"/>
    <s v="Avant 2020"/>
    <n v="185"/>
    <n v="1122"/>
    <x v="0"/>
    <m/>
    <s v="Autre pays"/>
    <s v="NGA"/>
    <s v="Nigéria"/>
    <s v="NGA008"/>
    <s v="Borno"/>
    <m/>
    <m/>
    <m/>
    <m/>
  </r>
  <r>
    <s v="Extrême-Nord"/>
    <s v="CMR004"/>
    <x v="2"/>
    <s v="CMR004002"/>
    <x v="8"/>
    <s v="CMR004002009"/>
    <s v="MAK-0089"/>
    <s v="SOULFA"/>
    <m/>
    <x v="1"/>
    <s v="Avant 2020"/>
    <n v="53"/>
    <n v="359"/>
    <x v="0"/>
    <m/>
    <s v="Autre pays"/>
    <s v="NGA"/>
    <s v="Nigéria"/>
    <s v="NGA008"/>
    <s v="Borno"/>
    <m/>
    <m/>
    <m/>
    <m/>
  </r>
  <r>
    <s v="Extrême-Nord"/>
    <s v="CMR004"/>
    <x v="5"/>
    <s v="CMR004004"/>
    <x v="22"/>
    <s v="CMR004004005"/>
    <s v="MOT-0005"/>
    <s v="SITE DE ZIBOU"/>
    <m/>
    <x v="1"/>
    <s v="Avant 2020"/>
    <n v="15"/>
    <n v="150"/>
    <x v="0"/>
    <m/>
    <s v="Autre pays"/>
    <s v="NGA"/>
    <s v="Nigéria"/>
    <s v="NGA008"/>
    <s v="Borno"/>
    <m/>
    <m/>
    <m/>
    <m/>
  </r>
  <r>
    <s v="Extrême-Nord"/>
    <s v="CMR004"/>
    <x v="1"/>
    <s v="CMR004006"/>
    <x v="1"/>
    <s v="CMR004006002"/>
    <s v="MOK-0007"/>
    <s v="KOSSEHONE"/>
    <m/>
    <x v="1"/>
    <s v="Avant 2020"/>
    <n v="150"/>
    <n v="485"/>
    <x v="0"/>
    <m/>
    <s v="Autre pays"/>
    <s v="NGA"/>
    <s v="Nigéria"/>
    <s v="NGA002"/>
    <s v="Adamawa"/>
    <m/>
    <m/>
    <m/>
    <m/>
  </r>
  <r>
    <s v="Extrême-Nord"/>
    <s v="CMR004"/>
    <x v="1"/>
    <s v="CMR004006"/>
    <x v="1"/>
    <s v="CMR004006002"/>
    <s v="MOK-0052"/>
    <s v="WAGANFO ZAMAI"/>
    <m/>
    <x v="1"/>
    <s v="Avant 2020"/>
    <n v="2"/>
    <n v="15"/>
    <x v="0"/>
    <m/>
    <s v="Autre pays"/>
    <s v="NGA"/>
    <s v="Nigéria"/>
    <s v="NGA002"/>
    <s v="Adamawa"/>
    <m/>
    <m/>
    <m/>
    <m/>
  </r>
  <r>
    <s v="Extrême-Nord"/>
    <s v="CMR004"/>
    <x v="2"/>
    <s v="CMR004002"/>
    <x v="10"/>
    <s v="CMR004002003"/>
    <s v="BLA-0022"/>
    <s v="DOR IMAR"/>
    <m/>
    <x v="1"/>
    <s v="Janvier - Aout 2022"/>
    <n v="1"/>
    <n v="3"/>
    <x v="0"/>
    <m/>
    <s v="Autre pays"/>
    <s v="NGA"/>
    <s v="Nigéria"/>
    <s v="NGA008"/>
    <s v="Borno"/>
    <m/>
    <m/>
    <m/>
    <m/>
  </r>
  <r>
    <s v="Extrême-Nord"/>
    <s v="CMR004"/>
    <x v="2"/>
    <s v="CMR004002"/>
    <x v="10"/>
    <s v="CMR004002003"/>
    <s v="BLA-0022"/>
    <s v="DOR IMAR"/>
    <m/>
    <x v="1"/>
    <s v="Septembre 2022 – Février 2023"/>
    <n v="1"/>
    <n v="5"/>
    <x v="0"/>
    <m/>
    <s v="Autre pays"/>
    <s v="NGA"/>
    <s v="Nigéria"/>
    <s v="NGA008"/>
    <s v="Borno"/>
    <m/>
    <m/>
    <m/>
    <m/>
  </r>
  <r>
    <s v="Extrême-Nord"/>
    <s v="CMR004"/>
    <x v="0"/>
    <s v="CMR004001"/>
    <x v="0"/>
    <s v="CMR004001003"/>
    <s v="PET-0031"/>
    <s v="SITE DE TINI"/>
    <m/>
    <x v="1"/>
    <s v="Avant 2020"/>
    <n v="19"/>
    <n v="112"/>
    <x v="0"/>
    <m/>
    <s v="Autre pays"/>
    <s v="NGA"/>
    <s v="Nigéria"/>
    <s v="NGA002"/>
    <s v="Adamawa"/>
    <m/>
    <m/>
    <m/>
    <m/>
  </r>
  <r>
    <s v="Extrême-Nord"/>
    <s v="CMR004"/>
    <x v="1"/>
    <s v="CMR004006"/>
    <x v="7"/>
    <s v="CMR004006005"/>
    <s v="MOZ-0022"/>
    <s v="GOLDAVI"/>
    <m/>
    <x v="1"/>
    <s v="Septembre 2022 – Février 2023"/>
    <n v="2"/>
    <n v="5"/>
    <x v="0"/>
    <m/>
    <s v="Autre pays"/>
    <s v="NGA"/>
    <s v="Nigéria"/>
    <s v="NGA002"/>
    <s v="Adamawa"/>
    <m/>
    <m/>
    <m/>
    <m/>
  </r>
  <r>
    <s v="Extrême-Nord"/>
    <s v="CMR004"/>
    <x v="1"/>
    <s v="CMR004006"/>
    <x v="14"/>
    <s v="CMR004006007"/>
    <s v="BOU-0007"/>
    <s v="DJEKI"/>
    <m/>
    <x v="1"/>
    <s v="Janvier - Aout 2022"/>
    <n v="1"/>
    <n v="39"/>
    <x v="0"/>
    <m/>
    <s v="Autre pays"/>
    <s v="NGA"/>
    <s v="Nigéria"/>
    <s v="NGA002"/>
    <s v="Adamawa"/>
    <m/>
    <m/>
    <m/>
    <m/>
  </r>
  <r>
    <s v="Extrême-Nord"/>
    <s v="CMR004"/>
    <x v="2"/>
    <s v="CMR004002"/>
    <x v="15"/>
    <s v="CMR004002004"/>
    <s v="LBI-0068"/>
    <s v="MAHAM"/>
    <m/>
    <x v="1"/>
    <s v="Avant 2020"/>
    <n v="2"/>
    <n v="2"/>
    <x v="0"/>
    <m/>
    <s v="Autre pays"/>
    <s v="NGA"/>
    <s v="Nigéria"/>
    <s v="NGA008"/>
    <s v="Borno"/>
    <m/>
    <m/>
    <m/>
    <m/>
  </r>
  <r>
    <s v="Extrême-Nord"/>
    <s v="CMR004"/>
    <x v="4"/>
    <s v="CMR004005"/>
    <x v="17"/>
    <s v="CMR004005002"/>
    <s v="MOR-0030"/>
    <s v="LIMANI"/>
    <m/>
    <x v="1"/>
    <s v="En 2021"/>
    <n v="2"/>
    <n v="9"/>
    <x v="0"/>
    <m/>
    <s v="Autre pays"/>
    <s v="NGA"/>
    <s v="Nigéria"/>
    <s v="NGA008"/>
    <s v="Borno"/>
    <m/>
    <m/>
    <m/>
    <m/>
  </r>
  <r>
    <s v="Extrême-Nord"/>
    <s v="CMR004"/>
    <x v="2"/>
    <s v="CMR004002"/>
    <x v="25"/>
    <s v="CMR004002008"/>
    <s v="FOT-0020"/>
    <s v="CHOLOBA"/>
    <m/>
    <x v="1"/>
    <s v="Avant 2020"/>
    <n v="6"/>
    <n v="56"/>
    <x v="0"/>
    <m/>
    <s v="Autre pays"/>
    <s v="NGA"/>
    <s v="Nigéria"/>
    <s v="NGA008"/>
    <s v="Borno"/>
    <m/>
    <m/>
    <m/>
    <m/>
  </r>
  <r>
    <s v="Extrême-Nord"/>
    <s v="CMR004"/>
    <x v="2"/>
    <s v="CMR004002"/>
    <x v="25"/>
    <s v="CMR004002008"/>
    <s v="FOT-0019"/>
    <s v="SITE DE WAROU"/>
    <m/>
    <x v="1"/>
    <s v="Avant 2020"/>
    <n v="12"/>
    <n v="88"/>
    <x v="0"/>
    <m/>
    <s v="Autre pays"/>
    <s v="NGA"/>
    <s v="Nigéria"/>
    <s v="NGA008"/>
    <s v="Borno"/>
    <m/>
    <m/>
    <m/>
    <m/>
  </r>
  <r>
    <s v="Extrême-Nord"/>
    <s v="CMR004"/>
    <x v="2"/>
    <s v="CMR004002"/>
    <x v="25"/>
    <s v="CMR004002008"/>
    <s v="FOT-0019"/>
    <s v="SITE DE WAROU"/>
    <m/>
    <x v="1"/>
    <s v="Septembre 2022 – Février 2023"/>
    <n v="12"/>
    <n v="52"/>
    <x v="2"/>
    <s v="Pas d'assistance dans le lieu de déplacement dans leurs pays d'origine et pas lieu de culture se pour cette raison qu'il sont déplacés au Cameroun , depuis le Camp idps de NGALA au NIGERIA"/>
    <s v="Autre pays"/>
    <s v="NGA"/>
    <s v="Nigéria"/>
    <s v="NGA008"/>
    <s v="Borno"/>
    <m/>
    <m/>
    <m/>
    <m/>
  </r>
  <r>
    <s v="Extrême-Nord"/>
    <s v="CMR004"/>
    <x v="2"/>
    <s v="CMR004002"/>
    <x v="8"/>
    <s v="CMR004002009"/>
    <s v="MAK-0109"/>
    <s v="GALE-GALE"/>
    <m/>
    <x v="1"/>
    <s v="Janvier - Aout 2022"/>
    <n v="24"/>
    <n v="142"/>
    <x v="0"/>
    <m/>
    <s v="Autre pays"/>
    <s v="NGA"/>
    <s v="Nigéria"/>
    <s v="NGA008"/>
    <s v="Borno"/>
    <m/>
    <m/>
    <m/>
    <m/>
  </r>
  <r>
    <s v="Extrême-Nord"/>
    <s v="CMR004"/>
    <x v="2"/>
    <s v="CMR004002"/>
    <x v="8"/>
    <s v="CMR004002009"/>
    <s v="MAK-0137"/>
    <s v="GOULOUMBO"/>
    <m/>
    <x v="1"/>
    <s v="Janvier - Aout 2022"/>
    <n v="21"/>
    <n v="135"/>
    <x v="0"/>
    <m/>
    <s v="Autre pays"/>
    <s v="NGA"/>
    <s v="Nigéria"/>
    <s v="NGA008"/>
    <s v="Borno"/>
    <m/>
    <m/>
    <m/>
    <m/>
  </r>
  <r>
    <s v="Extrême-Nord"/>
    <s v="CMR004"/>
    <x v="2"/>
    <s v="CMR004002"/>
    <x v="8"/>
    <s v="CMR004002009"/>
    <s v="MAK-0187"/>
    <s v="HEREDIBE MOUSSA"/>
    <m/>
    <x v="1"/>
    <s v="Janvier - Aout 2022"/>
    <n v="11"/>
    <n v="93"/>
    <x v="0"/>
    <m/>
    <s v="Autre pays"/>
    <s v="NGA"/>
    <s v="Nigéria"/>
    <s v="NGA008"/>
    <s v="Borno"/>
    <m/>
    <m/>
    <m/>
    <m/>
  </r>
  <r>
    <s v="Extrême-Nord"/>
    <s v="CMR004"/>
    <x v="2"/>
    <s v="CMR004002"/>
    <x v="15"/>
    <s v="CMR004002004"/>
    <s v="LBI-0036"/>
    <s v="DOKI"/>
    <m/>
    <x v="1"/>
    <s v="Avant 2020"/>
    <n v="6"/>
    <n v="29"/>
    <x v="0"/>
    <m/>
    <s v="Autre pays"/>
    <s v="NGA"/>
    <s v="Nigéria"/>
    <s v="NGA008"/>
    <s v="Borno"/>
    <m/>
    <m/>
    <m/>
    <m/>
  </r>
  <r>
    <s v="Extrême-Nord"/>
    <s v="CMR004"/>
    <x v="2"/>
    <s v="CMR004002"/>
    <x v="15"/>
    <s v="CMR004002004"/>
    <s v="LBI-0001"/>
    <s v="KABO"/>
    <m/>
    <x v="1"/>
    <s v="Avant 2020"/>
    <n v="57"/>
    <n v="349"/>
    <x v="0"/>
    <m/>
    <s v="Autre pays"/>
    <s v="NGA"/>
    <s v="Nigéria"/>
    <s v="NGA008"/>
    <s v="Borno"/>
    <m/>
    <m/>
    <m/>
    <m/>
  </r>
  <r>
    <s v="Extrême-Nord"/>
    <s v="CMR004"/>
    <x v="1"/>
    <s v="CMR004006"/>
    <x v="14"/>
    <s v="CMR004006007"/>
    <s v="BOU-0002"/>
    <s v="GAMBOURA"/>
    <m/>
    <x v="1"/>
    <s v="Avant 2020"/>
    <n v="1"/>
    <n v="4"/>
    <x v="0"/>
    <m/>
    <s v="Autre pays"/>
    <s v="NGA"/>
    <s v="Nigéria"/>
    <s v="NGA002"/>
    <s v="Adamawa"/>
    <m/>
    <m/>
    <m/>
    <m/>
  </r>
  <r>
    <s v="Extrême-Nord"/>
    <s v="CMR004"/>
    <x v="1"/>
    <s v="CMR004006"/>
    <x v="14"/>
    <s v="CMR004006007"/>
    <s v="BOU-0002"/>
    <s v="GAMBOURA"/>
    <m/>
    <x v="1"/>
    <s v="En 2020"/>
    <n v="6"/>
    <n v="8"/>
    <x v="0"/>
    <m/>
    <s v="Autre pays"/>
    <s v="NGA"/>
    <s v="Nigéria"/>
    <s v="NGA002"/>
    <s v="Adamawa"/>
    <m/>
    <m/>
    <m/>
    <m/>
  </r>
  <r>
    <s v="Extrême-Nord"/>
    <s v="CMR004"/>
    <x v="1"/>
    <s v="CMR004006"/>
    <x v="14"/>
    <s v="CMR004006007"/>
    <s v="BOU-0002"/>
    <s v="GAMBOURA"/>
    <m/>
    <x v="1"/>
    <s v="En 2021"/>
    <n v="0"/>
    <n v="6"/>
    <x v="0"/>
    <m/>
    <s v="Autre pays"/>
    <s v="NGA"/>
    <s v="Nigéria"/>
    <s v="NGA002"/>
    <s v="Adamawa"/>
    <m/>
    <m/>
    <m/>
    <m/>
  </r>
  <r>
    <s v="Extrême-Nord"/>
    <s v="CMR004"/>
    <x v="1"/>
    <s v="CMR004006"/>
    <x v="14"/>
    <s v="CMR004006007"/>
    <s v="BOU-0002"/>
    <s v="GAMBOURA"/>
    <m/>
    <x v="1"/>
    <s v="Janvier - Aout 2022"/>
    <n v="7"/>
    <n v="33"/>
    <x v="0"/>
    <m/>
    <s v="Autre pays"/>
    <s v="NGA"/>
    <s v="Nigéria"/>
    <s v="NGA002"/>
    <s v="Adamawa"/>
    <m/>
    <m/>
    <m/>
    <m/>
  </r>
  <r>
    <s v="Extrême-Nord"/>
    <s v="CMR004"/>
    <x v="2"/>
    <s v="CMR004002"/>
    <x v="15"/>
    <s v="CMR004002004"/>
    <s v="XXXX"/>
    <s v="SITE DE TABOYE"/>
    <s v="SITE DE TABOYE"/>
    <x v="1"/>
    <s v="Avant 2020"/>
    <n v="44"/>
    <n v="254"/>
    <x v="0"/>
    <m/>
    <s v="Autre pays"/>
    <s v="NGA"/>
    <s v="Nigéria"/>
    <s v="NGA008"/>
    <s v="Borno"/>
    <m/>
    <m/>
    <m/>
    <m/>
  </r>
  <r>
    <s v="Extrême-Nord"/>
    <s v="CMR004"/>
    <x v="2"/>
    <s v="CMR004002"/>
    <x v="8"/>
    <s v="CMR004002009"/>
    <s v="MAK-0068"/>
    <s v="MEITO"/>
    <m/>
    <x v="1"/>
    <s v="Janvier - Aout 2022"/>
    <n v="13"/>
    <n v="77"/>
    <x v="0"/>
    <m/>
    <s v="Autre pays"/>
    <s v="NGA"/>
    <s v="Nigéria"/>
    <s v="NGA008"/>
    <s v="Borno"/>
    <m/>
    <m/>
    <m/>
    <m/>
  </r>
  <r>
    <s v="Extrême-Nord"/>
    <s v="CMR004"/>
    <x v="2"/>
    <s v="CMR004002"/>
    <x v="8"/>
    <s v="CMR004002009"/>
    <s v="MAK-0186"/>
    <s v="SITE DE BLEM"/>
    <m/>
    <x v="1"/>
    <s v="Janvier - Aout 2022"/>
    <n v="51"/>
    <n v="431"/>
    <x v="0"/>
    <m/>
    <s v="Autre pays"/>
    <s v="NGA"/>
    <s v="Nigéria"/>
    <s v="NGA008"/>
    <s v="Borno"/>
    <m/>
    <m/>
    <m/>
    <m/>
  </r>
  <r>
    <s v="Extrême-Nord"/>
    <s v="CMR004"/>
    <x v="2"/>
    <s v="CMR004002"/>
    <x v="8"/>
    <s v="CMR004002009"/>
    <s v="MAK-0096"/>
    <s v="MESSIO"/>
    <m/>
    <x v="1"/>
    <s v="Avant 2020"/>
    <n v="16"/>
    <n v="89"/>
    <x v="0"/>
    <m/>
    <s v="Autre pays"/>
    <s v="NGA"/>
    <s v="Nigéria"/>
    <s v="NGA008"/>
    <s v="Borno"/>
    <m/>
    <m/>
    <m/>
    <m/>
  </r>
  <r>
    <s v="Extrême-Nord"/>
    <s v="CMR004"/>
    <x v="2"/>
    <s v="CMR004002"/>
    <x v="8"/>
    <s v="CMR004002009"/>
    <s v="MAK-0096"/>
    <s v="MESSIO"/>
    <m/>
    <x v="1"/>
    <s v="En 2020"/>
    <n v="0"/>
    <n v="5"/>
    <x v="0"/>
    <m/>
    <s v="Autre pays"/>
    <s v="NGA"/>
    <s v="Nigéria"/>
    <s v="NGA008"/>
    <s v="Borno"/>
    <m/>
    <m/>
    <m/>
    <m/>
  </r>
  <r>
    <s v="Extrême-Nord"/>
    <s v="CMR004"/>
    <x v="2"/>
    <s v="CMR004002"/>
    <x v="8"/>
    <s v="CMR004002009"/>
    <s v="MAK-0029"/>
    <s v="DJIMTILO"/>
    <m/>
    <x v="1"/>
    <s v="Avant 2020"/>
    <n v="10"/>
    <n v="45"/>
    <x v="0"/>
    <m/>
    <s v="Autre pays"/>
    <s v="NGA"/>
    <s v="Nigéria"/>
    <s v="NGA008"/>
    <s v="Borno"/>
    <m/>
    <m/>
    <m/>
    <m/>
  </r>
  <r>
    <s v="Extrême-Nord"/>
    <s v="CMR004"/>
    <x v="2"/>
    <s v="CMR004002"/>
    <x v="8"/>
    <s v="CMR004002009"/>
    <s v="MAK-0019"/>
    <s v="BLOUMTAGUI"/>
    <m/>
    <x v="1"/>
    <s v="Avant 2020"/>
    <n v="13"/>
    <n v="68"/>
    <x v="0"/>
    <m/>
    <s v="Autre pays"/>
    <s v="NGA"/>
    <s v="Nigéria"/>
    <s v="NGA008"/>
    <s v="Borno"/>
    <m/>
    <m/>
    <m/>
    <m/>
  </r>
  <r>
    <s v="Extrême-Nord"/>
    <s v="CMR004"/>
    <x v="4"/>
    <s v="CMR004005"/>
    <x v="17"/>
    <s v="CMR004005002"/>
    <s v="MOR-0028"/>
    <s v="GOUDJOUMDELE"/>
    <m/>
    <x v="1"/>
    <s v="En 2020"/>
    <n v="1"/>
    <n v="1"/>
    <x v="0"/>
    <m/>
    <s v="Autre pays"/>
    <s v="NGA"/>
    <s v="Nigéria"/>
    <s v="NGA031"/>
    <s v="Oyo"/>
    <m/>
    <m/>
    <m/>
    <m/>
  </r>
  <r>
    <s v="Extrême-Nord"/>
    <s v="CMR004"/>
    <x v="4"/>
    <s v="CMR004005"/>
    <x v="17"/>
    <s v="CMR004005002"/>
    <s v="MOR-0028"/>
    <s v="GOUDJOUMDELE"/>
    <m/>
    <x v="1"/>
    <s v="En 2021"/>
    <n v="2"/>
    <n v="9"/>
    <x v="0"/>
    <m/>
    <s v="Autre pays"/>
    <s v="NGA"/>
    <s v="Nigéria"/>
    <s v="NGA031"/>
    <s v="Oyo"/>
    <m/>
    <m/>
    <m/>
    <m/>
  </r>
  <r>
    <s v="Extrême-Nord"/>
    <s v="CMR004"/>
    <x v="4"/>
    <s v="CMR004005"/>
    <x v="17"/>
    <s v="CMR004005002"/>
    <s v="MOR-0028"/>
    <s v="GOUDJOUMDELE"/>
    <m/>
    <x v="1"/>
    <s v="Janvier - Aout 2022"/>
    <n v="0"/>
    <n v="2"/>
    <x v="0"/>
    <m/>
    <s v="Autre pays"/>
    <s v="NGA"/>
    <s v="Nigéria"/>
    <s v="NGA031"/>
    <s v="Oyo"/>
    <m/>
    <m/>
    <m/>
    <m/>
  </r>
  <r>
    <s v="Extrême-Nord"/>
    <s v="CMR004"/>
    <x v="4"/>
    <s v="CMR004005"/>
    <x v="17"/>
    <s v="CMR004005002"/>
    <s v="MOR-0065"/>
    <s v="MANGAVE ABBA FADI"/>
    <m/>
    <x v="1"/>
    <s v="En 2020"/>
    <n v="1"/>
    <n v="7"/>
    <x v="0"/>
    <m/>
    <s v="Autre pays"/>
    <s v="NGA"/>
    <s v="Nigéria"/>
    <s v="NGA031"/>
    <s v="Oyo"/>
    <m/>
    <m/>
    <m/>
    <m/>
  </r>
  <r>
    <s v="Extrême-Nord"/>
    <s v="CMR004"/>
    <x v="4"/>
    <s v="CMR004005"/>
    <x v="17"/>
    <s v="CMR004005002"/>
    <s v="MOR-0065"/>
    <s v="MANGAVE ABBA FADI"/>
    <m/>
    <x v="1"/>
    <s v="En 2021"/>
    <n v="1"/>
    <n v="5"/>
    <x v="0"/>
    <m/>
    <s v="Autre pays"/>
    <s v="NGA"/>
    <s v="Nigéria"/>
    <s v="NGA031"/>
    <s v="Oyo"/>
    <m/>
    <m/>
    <m/>
    <m/>
  </r>
  <r>
    <s v="Extrême-Nord"/>
    <s v="CMR004"/>
    <x v="2"/>
    <s v="CMR004002"/>
    <x v="10"/>
    <s v="CMR004002003"/>
    <s v="BLA-0009"/>
    <s v="KOFIA"/>
    <m/>
    <x v="1"/>
    <s v="Avant 2020"/>
    <n v="61"/>
    <n v="208"/>
    <x v="0"/>
    <m/>
    <s v="Autre pays"/>
    <s v="NGA"/>
    <s v="Nigéria"/>
    <s v="NGA008"/>
    <s v="Borno"/>
    <m/>
    <m/>
    <m/>
    <m/>
  </r>
  <r>
    <s v="Extrême-Nord"/>
    <s v="CMR004"/>
    <x v="1"/>
    <s v="CMR004006"/>
    <x v="7"/>
    <s v="CMR004006005"/>
    <s v="MOZ-0018"/>
    <s v="KRAWA-MAFA"/>
    <m/>
    <x v="1"/>
    <s v="Avant 2020"/>
    <n v="15"/>
    <n v="76"/>
    <x v="0"/>
    <m/>
    <s v="Autre pays"/>
    <s v="NGA"/>
    <s v="Nigéria"/>
    <s v="NGA025"/>
    <s v="Lagos"/>
    <m/>
    <m/>
    <m/>
    <m/>
  </r>
  <r>
    <s v="Extrême-Nord"/>
    <s v="CMR004"/>
    <x v="1"/>
    <s v="CMR004006"/>
    <x v="7"/>
    <s v="CMR004006005"/>
    <s v="MOZ-0004"/>
    <s v="KELARI"/>
    <m/>
    <x v="1"/>
    <s v="Avant 2020"/>
    <n v="5"/>
    <n v="63"/>
    <x v="0"/>
    <m/>
    <s v="Autre pays"/>
    <s v="NGA"/>
    <s v="Nigéria"/>
    <s v="NGA025"/>
    <s v="Lagos"/>
    <m/>
    <m/>
    <m/>
    <m/>
  </r>
  <r>
    <s v="Extrême-Nord"/>
    <s v="CMR004"/>
    <x v="1"/>
    <s v="CMR004006"/>
    <x v="7"/>
    <s v="CMR004006005"/>
    <s v="MOZ-0011"/>
    <s v="MOZOGO TCHEKODE"/>
    <m/>
    <x v="1"/>
    <s v="Septembre 2022 – Février 2023"/>
    <n v="3"/>
    <n v="3"/>
    <x v="0"/>
    <m/>
    <s v="Autre pays"/>
    <s v="NGA"/>
    <s v="Nigéria"/>
    <s v="NGA025"/>
    <s v="Lagos"/>
    <m/>
    <m/>
    <m/>
    <m/>
  </r>
  <r>
    <s v="Extrême-Nord"/>
    <s v="CMR004"/>
    <x v="1"/>
    <s v="CMR004006"/>
    <x v="14"/>
    <s v="CMR004006007"/>
    <s v="BOU-0006"/>
    <s v="DJIMI"/>
    <m/>
    <x v="1"/>
    <s v="Avant 2020"/>
    <n v="4"/>
    <n v="15"/>
    <x v="0"/>
    <m/>
    <s v="Autre pays"/>
    <s v="NGA"/>
    <s v="Nigéria"/>
    <s v="NGA002"/>
    <s v="Adamawa"/>
    <m/>
    <m/>
    <m/>
    <m/>
  </r>
  <r>
    <s v="Extrême-Nord"/>
    <s v="CMR004"/>
    <x v="1"/>
    <s v="CMR004006"/>
    <x v="14"/>
    <s v="CMR004006007"/>
    <s v="BOU-0006"/>
    <s v="DJIMI"/>
    <m/>
    <x v="1"/>
    <s v="En 2020"/>
    <n v="0"/>
    <n v="2"/>
    <x v="0"/>
    <m/>
    <s v="Autre pays"/>
    <s v="NGA"/>
    <s v="Nigéria"/>
    <s v="NGA002"/>
    <s v="Adamawa"/>
    <m/>
    <m/>
    <m/>
    <m/>
  </r>
  <r>
    <s v="Extrême-Nord"/>
    <s v="CMR004"/>
    <x v="1"/>
    <s v="CMR004006"/>
    <x v="14"/>
    <s v="CMR004006007"/>
    <s v="BOU-0006"/>
    <s v="DJIMI"/>
    <m/>
    <x v="1"/>
    <s v="En 2021"/>
    <n v="0"/>
    <n v="4"/>
    <x v="0"/>
    <m/>
    <s v="Autre pays"/>
    <s v="NGA"/>
    <s v="Nigéria"/>
    <s v="NGA002"/>
    <s v="Adamawa"/>
    <m/>
    <m/>
    <m/>
    <m/>
  </r>
  <r>
    <s v="Extrême-Nord"/>
    <s v="CMR004"/>
    <x v="1"/>
    <s v="CMR004006"/>
    <x v="14"/>
    <s v="CMR004006007"/>
    <s v="BOU-0006"/>
    <s v="DJIMI"/>
    <m/>
    <x v="1"/>
    <s v="Janvier - Aout 2022"/>
    <n v="1"/>
    <n v="3"/>
    <x v="0"/>
    <m/>
    <s v="Autre pays"/>
    <s v="NGA"/>
    <s v="Nigéria"/>
    <s v="NGA002"/>
    <s v="Adamawa"/>
    <m/>
    <m/>
    <m/>
    <m/>
  </r>
  <r>
    <s v="Extrême-Nord"/>
    <s v="CMR004"/>
    <x v="2"/>
    <s v="CMR004002"/>
    <x v="13"/>
    <s v="CMR004002001"/>
    <s v="WAZ-0035"/>
    <s v="ARDEBE 1"/>
    <m/>
    <x v="1"/>
    <s v="En 2020"/>
    <n v="9"/>
    <n v="46"/>
    <x v="0"/>
    <m/>
    <s v="Autre pays"/>
    <s v="NGA"/>
    <s v="Nigéria"/>
    <s v="NGA008"/>
    <s v="Borno"/>
    <m/>
    <m/>
    <m/>
    <m/>
  </r>
  <r>
    <s v="Extrême-Nord"/>
    <s v="CMR004"/>
    <x v="2"/>
    <s v="CMR004002"/>
    <x v="13"/>
    <s v="CMR004002001"/>
    <s v="WAZ-0035"/>
    <s v="ARDEBE 1"/>
    <m/>
    <x v="1"/>
    <s v="Janvier - Aout 2022"/>
    <n v="4"/>
    <n v="13"/>
    <x v="0"/>
    <m/>
    <s v="Autre pays"/>
    <s v="NGA"/>
    <s v="Nigéria"/>
    <s v="NGA008"/>
    <s v="Borno"/>
    <m/>
    <m/>
    <m/>
    <m/>
  </r>
  <r>
    <s v="Extrême-Nord"/>
    <s v="CMR004"/>
    <x v="2"/>
    <s v="CMR004002"/>
    <x v="15"/>
    <s v="CMR004002004"/>
    <s v="LBI-0102"/>
    <s v="MOULOUMSA MASSA"/>
    <m/>
    <x v="1"/>
    <s v="Septembre 2022 – Février 2023"/>
    <n v="10"/>
    <n v="36"/>
    <x v="3"/>
    <m/>
    <s v="Autre pays"/>
    <s v="TCD"/>
    <s v="Tchad"/>
    <s v="TCD018"/>
    <s v="N'Djamena"/>
    <m/>
    <m/>
    <m/>
    <m/>
  </r>
  <r>
    <s v="Extrême-Nord"/>
    <s v="CMR004"/>
    <x v="2"/>
    <s v="CMR004002"/>
    <x v="15"/>
    <s v="CMR004002004"/>
    <s v="XXXX"/>
    <s v="SITE DE MARIAM"/>
    <s v="SITE DE MARIAM"/>
    <x v="1"/>
    <s v="Septembre 2022 – Février 2023"/>
    <n v="50"/>
    <n v="350"/>
    <x v="3"/>
    <m/>
    <s v="Autre pays"/>
    <s v="TCD"/>
    <s v="Tchad"/>
    <s v="TCD018"/>
    <s v="N'Djamena"/>
    <m/>
    <m/>
    <m/>
    <m/>
  </r>
  <r>
    <s v="Extrême-Nord"/>
    <s v="CMR004"/>
    <x v="2"/>
    <s v="CMR004002"/>
    <x v="15"/>
    <s v="CMR004002004"/>
    <s v="LBI-0073"/>
    <s v="NGOUAMA"/>
    <m/>
    <x v="1"/>
    <s v="Septembre 2022 – Février 2023"/>
    <n v="4"/>
    <n v="16"/>
    <x v="3"/>
    <m/>
    <s v="Autre pays"/>
    <s v="TCD"/>
    <s v="Tchad"/>
    <s v="TCD018"/>
    <s v="N'Djamena"/>
    <m/>
    <m/>
    <m/>
    <m/>
  </r>
  <r>
    <s v="Extrême-Nord"/>
    <s v="CMR004"/>
    <x v="2"/>
    <s v="CMR004002"/>
    <x v="26"/>
    <s v="CMR004002006"/>
    <s v="XXXX"/>
    <s v="SITE DE KAWADJI 2"/>
    <s v="SITE DE KAWADJI 2"/>
    <x v="1"/>
    <s v="Septembre 2022 – Février 2023"/>
    <n v="2"/>
    <n v="5"/>
    <x v="3"/>
    <m/>
    <s v="Autre pays"/>
    <s v="TCD"/>
    <s v="Tchad"/>
    <s v="TCD018"/>
    <s v="N'Djamena"/>
    <m/>
    <m/>
    <m/>
    <m/>
  </r>
  <r>
    <s v="Extrême-Nord"/>
    <s v="CMR004"/>
    <x v="2"/>
    <s v="CMR004002"/>
    <x v="15"/>
    <s v="CMR004002004"/>
    <s v="LBI-0090"/>
    <s v="MARIAM"/>
    <m/>
    <x v="1"/>
    <s v="Septembre 2022 – Février 2023"/>
    <n v="17"/>
    <n v="72"/>
    <x v="3"/>
    <m/>
    <s v="Autre pays"/>
    <s v="TCD"/>
    <s v="Tchad"/>
    <s v="TCD018"/>
    <s v="N'Djamena"/>
    <m/>
    <m/>
    <m/>
    <m/>
  </r>
  <r>
    <s v="Extrême-Nord"/>
    <s v="CMR004"/>
    <x v="2"/>
    <s v="CMR004002"/>
    <x v="15"/>
    <s v="CMR004002004"/>
    <s v="LBI-0066"/>
    <s v="LOGONE BIRNI (SAGOULA)"/>
    <m/>
    <x v="1"/>
    <s v="Septembre 2022 – Février 2023"/>
    <n v="10"/>
    <n v="80"/>
    <x v="3"/>
    <m/>
    <s v="Autre pays"/>
    <s v="TCD"/>
    <s v="Tchad"/>
    <s v="TCD018"/>
    <s v="N'Djamena"/>
    <m/>
    <m/>
    <m/>
    <m/>
  </r>
  <r>
    <s v="Extrême-Nord"/>
    <s v="CMR004"/>
    <x v="2"/>
    <s v="CMR004002"/>
    <x v="13"/>
    <s v="CMR004002001"/>
    <s v="WAZ-0025"/>
    <s v="TOUKOUMAYA"/>
    <m/>
    <x v="1"/>
    <s v="En 2021"/>
    <n v="15"/>
    <n v="120"/>
    <x v="0"/>
    <m/>
    <s v="Autre pays"/>
    <s v="NGA"/>
    <s v="Nigéria"/>
    <s v="NGA008"/>
    <s v="Borno"/>
    <m/>
    <m/>
    <m/>
    <m/>
  </r>
  <r>
    <s v="Extrême-Nord"/>
    <s v="CMR004"/>
    <x v="2"/>
    <s v="CMR004002"/>
    <x v="26"/>
    <s v="CMR004002006"/>
    <s v="KOU-0028"/>
    <s v="NGALLO"/>
    <m/>
    <x v="1"/>
    <s v="Septembre 2022 – Février 2023"/>
    <n v="7"/>
    <n v="80"/>
    <x v="3"/>
    <m/>
    <s v="Autre pays"/>
    <s v="TCD"/>
    <s v="Tchad"/>
    <s v="TCD018"/>
    <s v="N'Djamena"/>
    <m/>
    <m/>
    <m/>
    <m/>
  </r>
  <r>
    <s v="Extrême-Nord"/>
    <s v="CMR004"/>
    <x v="2"/>
    <s v="CMR004002"/>
    <x v="8"/>
    <s v="CMR004002009"/>
    <s v="MAK-0129"/>
    <s v="DAGLE"/>
    <m/>
    <x v="1"/>
    <s v="Avant 2020"/>
    <n v="33"/>
    <n v="169"/>
    <x v="0"/>
    <m/>
    <s v="Autre pays"/>
    <s v="NGA"/>
    <s v="Nigéria"/>
    <s v="NGA008"/>
    <s v="Borno"/>
    <m/>
    <m/>
    <m/>
    <m/>
  </r>
  <r>
    <s v="Extrême-Nord"/>
    <s v="CMR004"/>
    <x v="2"/>
    <s v="CMR004002"/>
    <x v="8"/>
    <s v="CMR004002009"/>
    <s v="MAK-0129"/>
    <s v="DAGLE"/>
    <m/>
    <x v="1"/>
    <s v="En 2020"/>
    <n v="4"/>
    <n v="24"/>
    <x v="0"/>
    <m/>
    <s v="Autre pays"/>
    <s v="NGA"/>
    <s v="Nigéria"/>
    <s v="NGA008"/>
    <s v="Borno"/>
    <m/>
    <m/>
    <m/>
    <m/>
  </r>
  <r>
    <s v="Extrême-Nord"/>
    <s v="CMR004"/>
    <x v="2"/>
    <s v="CMR004002"/>
    <x v="8"/>
    <s v="CMR004002009"/>
    <s v="MAK-0129"/>
    <s v="DAGLE"/>
    <m/>
    <x v="1"/>
    <s v="Janvier - Aout 2022"/>
    <n v="0"/>
    <n v="11"/>
    <x v="0"/>
    <m/>
    <s v="Autre pays"/>
    <s v="NGA"/>
    <s v="Nigéria"/>
    <s v="NGA008"/>
    <s v="Borno"/>
    <m/>
    <m/>
    <m/>
    <m/>
  </r>
  <r>
    <s v="Extrême-Nord"/>
    <s v="CMR004"/>
    <x v="2"/>
    <s v="CMR004002"/>
    <x v="8"/>
    <s v="CMR004002009"/>
    <s v="MAK-0129"/>
    <s v="DAGLE"/>
    <m/>
    <x v="1"/>
    <s v="Septembre 2022 – Février 2023"/>
    <n v="0"/>
    <n v="3"/>
    <x v="0"/>
    <m/>
    <s v="Autre pays"/>
    <s v="NGA"/>
    <s v="Nigéria"/>
    <s v="NGA008"/>
    <s v="Borno"/>
    <m/>
    <m/>
    <m/>
    <m/>
  </r>
  <r>
    <s v="Extrême-Nord"/>
    <s v="CMR004"/>
    <x v="5"/>
    <s v="CMR004004"/>
    <x v="21"/>
    <s v="CMR004004007"/>
    <s v="MIN-0002"/>
    <s v="YAKANG"/>
    <m/>
    <x v="1"/>
    <s v="Avant 2020"/>
    <n v="4"/>
    <n v="24"/>
    <x v="1"/>
    <m/>
    <s v="Autre pays"/>
    <s v="TCD"/>
    <s v="Tchad"/>
    <s v="TCD011"/>
    <s v="Mayo Kebbi Est"/>
    <m/>
    <m/>
    <m/>
    <m/>
  </r>
  <r>
    <s v="Extrême-Nord"/>
    <s v="CMR004"/>
    <x v="5"/>
    <s v="CMR004004"/>
    <x v="20"/>
    <s v="CMR004004006"/>
    <s v="KAE-0010"/>
    <s v="MADA"/>
    <m/>
    <x v="1"/>
    <s v="Septembre 2022 – Février 2023"/>
    <n v="12"/>
    <n v="75"/>
    <x v="1"/>
    <m/>
    <s v="Autre pays"/>
    <s v="NGA"/>
    <s v="Nigéria"/>
    <s v="NGA019"/>
    <s v="Kaduna"/>
    <m/>
    <m/>
    <m/>
    <m/>
  </r>
  <r>
    <s v="Extrême-Nord"/>
    <s v="CMR004"/>
    <x v="2"/>
    <s v="CMR004002"/>
    <x v="15"/>
    <s v="CMR004002004"/>
    <s v="LBI-0081"/>
    <s v="KABELA GOUDOUM"/>
    <m/>
    <x v="1"/>
    <s v="Septembre 2022 – Février 2023"/>
    <n v="200"/>
    <n v="1050"/>
    <x v="3"/>
    <m/>
    <s v="Autre pays"/>
    <s v="TCD"/>
    <s v="Tchad"/>
    <s v="TCD003"/>
    <s v="Chari Baguirmi"/>
    <m/>
    <m/>
    <m/>
    <m/>
  </r>
  <r>
    <s v="Extrême-Nord"/>
    <s v="CMR004"/>
    <x v="2"/>
    <s v="CMR004002"/>
    <x v="15"/>
    <s v="CMR004002004"/>
    <s v="XXXX"/>
    <s v="SITE DE TARADONA"/>
    <s v="SITE DE TARADONA"/>
    <x v="1"/>
    <s v="Septembre 2022 – Février 2023"/>
    <n v="200"/>
    <n v="1050"/>
    <x v="3"/>
    <m/>
    <s v="Autre pays"/>
    <s v="TCD"/>
    <s v="Tchad"/>
    <s v="TCD003"/>
    <s v="Chari Baguirmi"/>
    <m/>
    <m/>
    <m/>
    <m/>
  </r>
  <r>
    <s v="Extrême-Nord"/>
    <s v="CMR004"/>
    <x v="2"/>
    <s v="CMR004002"/>
    <x v="15"/>
    <s v="CMR004002004"/>
    <s v="LBI-0097"/>
    <s v="BARAK 1"/>
    <m/>
    <x v="1"/>
    <s v="Septembre 2022 – Février 2023"/>
    <n v="5"/>
    <n v="10"/>
    <x v="1"/>
    <m/>
    <s v="Autre pays"/>
    <s v="TCD"/>
    <s v="Tchad"/>
    <s v="TCD003"/>
    <s v="Chari Baguirmi"/>
    <m/>
    <m/>
    <m/>
    <m/>
  </r>
  <r>
    <s v="Extrême-Nord"/>
    <s v="CMR004"/>
    <x v="2"/>
    <s v="CMR004002"/>
    <x v="15"/>
    <s v="CMR004002004"/>
    <s v="LBI-0098"/>
    <s v="BARAK2"/>
    <m/>
    <x v="1"/>
    <s v="En 2020"/>
    <n v="4"/>
    <n v="9"/>
    <x v="0"/>
    <m/>
    <s v="Autre pays"/>
    <s v="NGA"/>
    <s v="Nigéria"/>
    <s v="NGA008"/>
    <s v="Borno"/>
    <m/>
    <m/>
    <m/>
    <m/>
  </r>
  <r>
    <s v="Extrême-Nord"/>
    <s v="CMR004"/>
    <x v="2"/>
    <s v="CMR004002"/>
    <x v="10"/>
    <s v="CMR004002003"/>
    <s v="BLA-0001"/>
    <s v="ANDOURMAN"/>
    <m/>
    <x v="1"/>
    <s v="Septembre 2022 – Février 2023"/>
    <n v="1"/>
    <n v="4"/>
    <x v="0"/>
    <m/>
    <s v="Autre pays"/>
    <s v="NGA"/>
    <s v="Nigéria"/>
    <s v="NGA008"/>
    <s v="Borno"/>
    <m/>
    <m/>
    <m/>
    <m/>
  </r>
  <r>
    <s v="Extrême-Nord"/>
    <s v="CMR004"/>
    <x v="2"/>
    <s v="CMR004002"/>
    <x v="10"/>
    <s v="CMR004002003"/>
    <s v="BLA-0002"/>
    <s v="BLANGOUA"/>
    <m/>
    <x v="1"/>
    <s v="Avant 2020"/>
    <n v="150"/>
    <n v="400"/>
    <x v="0"/>
    <m/>
    <s v="Autre pays"/>
    <s v="NGA"/>
    <s v="Nigéria"/>
    <s v="NGA008"/>
    <s v="Borno"/>
    <m/>
    <m/>
    <m/>
    <m/>
  </r>
  <r>
    <s v="Extrême-Nord"/>
    <s v="CMR004"/>
    <x v="2"/>
    <s v="CMR004002"/>
    <x v="10"/>
    <s v="CMR004002003"/>
    <s v="BLA-0002"/>
    <s v="BLANGOUA"/>
    <m/>
    <x v="1"/>
    <s v="Septembre 2022 – Février 2023"/>
    <n v="2"/>
    <n v="10"/>
    <x v="0"/>
    <m/>
    <s v="Autre pays"/>
    <s v="NGA"/>
    <s v="Nigéria"/>
    <s v="NGA008"/>
    <s v="Borno"/>
    <m/>
    <m/>
    <m/>
    <m/>
  </r>
  <r>
    <s v="Extrême-Nord"/>
    <s v="CMR004"/>
    <x v="4"/>
    <s v="CMR004005"/>
    <x v="17"/>
    <s v="CMR004005002"/>
    <s v="MOR-0027"/>
    <s v="DJAKANA"/>
    <m/>
    <x v="1"/>
    <s v="Avant 2020"/>
    <n v="1"/>
    <n v="10"/>
    <x v="0"/>
    <m/>
    <s v="Autre pays"/>
    <s v="NGA"/>
    <s v="Nigéria"/>
    <s v="NGA008"/>
    <s v="Borno"/>
    <m/>
    <m/>
    <m/>
    <m/>
  </r>
  <r>
    <s v="Extrême-Nord"/>
    <s v="CMR004"/>
    <x v="4"/>
    <s v="CMR004005"/>
    <x v="17"/>
    <s v="CMR004005002"/>
    <s v="MOR-0004"/>
    <s v="DOULO"/>
    <m/>
    <x v="1"/>
    <s v="En 2021"/>
    <n v="1"/>
    <n v="3"/>
    <x v="0"/>
    <m/>
    <s v="Autre pays"/>
    <s v="NGA"/>
    <s v="Nigéria"/>
    <s v="NGA008"/>
    <s v="Borno"/>
    <m/>
    <m/>
    <m/>
    <m/>
  </r>
  <r>
    <s v="Extrême-Nord"/>
    <s v="CMR004"/>
    <x v="2"/>
    <s v="CMR004002"/>
    <x v="8"/>
    <s v="CMR004002009"/>
    <s v="MAK-0067"/>
    <s v="MEDINA 3"/>
    <m/>
    <x v="1"/>
    <s v="Avant 2020"/>
    <n v="1"/>
    <n v="6"/>
    <x v="0"/>
    <m/>
    <s v="Autre pays"/>
    <s v="NGA"/>
    <s v="Nigéria"/>
    <s v="NGA008"/>
    <s v="Borno"/>
    <m/>
    <m/>
    <m/>
    <m/>
  </r>
  <r>
    <s v="Extrême-Nord"/>
    <s v="CMR004"/>
    <x v="1"/>
    <s v="CMR004006"/>
    <x v="1"/>
    <s v="CMR004006002"/>
    <s v="MOK-0005"/>
    <s v="GAWAR"/>
    <m/>
    <x v="1"/>
    <s v="Avant 2020"/>
    <n v="24"/>
    <n v="124"/>
    <x v="0"/>
    <m/>
    <s v="Autre pays"/>
    <s v="NGA"/>
    <s v="Nigéria"/>
    <s v="NGA002"/>
    <s v="Adamawa"/>
    <m/>
    <m/>
    <m/>
    <m/>
  </r>
  <r>
    <s v="Extrême-Nord"/>
    <s v="CMR004"/>
    <x v="1"/>
    <s v="CMR004006"/>
    <x v="28"/>
    <s v="CMR004006003"/>
    <s v="HIN-0007"/>
    <s v="GAMDOUGOUM"/>
    <m/>
    <x v="1"/>
    <s v="Avant 2020"/>
    <n v="1"/>
    <n v="9"/>
    <x v="0"/>
    <m/>
    <s v="Autre pays"/>
    <s v="NGA"/>
    <s v="Nigéria"/>
    <s v="NGA002"/>
    <s v="Adamawa"/>
    <m/>
    <m/>
    <m/>
    <m/>
  </r>
  <r>
    <s v="Extrême-Nord"/>
    <s v="CMR004"/>
    <x v="1"/>
    <s v="CMR004006"/>
    <x v="28"/>
    <s v="CMR004006003"/>
    <s v="HIN-0007"/>
    <s v="GAMDOUGOUM"/>
    <m/>
    <x v="1"/>
    <s v="En 2021"/>
    <n v="3"/>
    <n v="12"/>
    <x v="0"/>
    <m/>
    <s v="Autre pays"/>
    <s v="NGA"/>
    <s v="Nigéria"/>
    <s v="NGA002"/>
    <s v="Adamawa"/>
    <m/>
    <m/>
    <m/>
    <m/>
  </r>
  <r>
    <s v="Extrême-Nord"/>
    <s v="CMR004"/>
    <x v="1"/>
    <s v="CMR004006"/>
    <x v="28"/>
    <s v="CMR004006003"/>
    <s v="HIN-0007"/>
    <s v="GAMDOUGOUM"/>
    <m/>
    <x v="1"/>
    <s v="Septembre 2022 – Février 2023"/>
    <n v="0"/>
    <n v="1"/>
    <x v="2"/>
    <s v="Naissance "/>
    <s v="Autre pays"/>
    <s v="NGA"/>
    <s v="Nigéria"/>
    <s v="NGA002"/>
    <s v="Adamawa"/>
    <m/>
    <m/>
    <m/>
    <m/>
  </r>
  <r>
    <s v="Extrême-Nord"/>
    <s v="CMR004"/>
    <x v="1"/>
    <s v="CMR004006"/>
    <x v="28"/>
    <s v="CMR004006003"/>
    <s v="HIN-0005"/>
    <s v="MADINA"/>
    <m/>
    <x v="1"/>
    <s v="Avant 2020"/>
    <n v="2"/>
    <n v="12"/>
    <x v="0"/>
    <m/>
    <s v="Autre pays"/>
    <s v="NGA"/>
    <s v="Nigéria"/>
    <s v="NGA008"/>
    <s v="Borno"/>
    <m/>
    <m/>
    <m/>
    <m/>
  </r>
  <r>
    <s v="Extrême-Nord"/>
    <s v="CMR004"/>
    <x v="1"/>
    <s v="CMR004006"/>
    <x v="28"/>
    <s v="CMR004006003"/>
    <s v="HIN-0005"/>
    <s v="MADINA"/>
    <m/>
    <x v="1"/>
    <s v="Septembre 2022 – Février 2023"/>
    <n v="0"/>
    <n v="1"/>
    <x v="2"/>
    <s v="Naissance "/>
    <s v="Autre pays"/>
    <s v="NGA"/>
    <s v="Nigéria"/>
    <s v="NGA002"/>
    <s v="Adamawa"/>
    <m/>
    <m/>
    <m/>
    <m/>
  </r>
  <r>
    <s v="Extrême-Nord"/>
    <s v="CMR004"/>
    <x v="2"/>
    <s v="CMR004002"/>
    <x v="13"/>
    <s v="CMR004002001"/>
    <s v="WAZ-0015"/>
    <s v="DJINGUI"/>
    <m/>
    <x v="1"/>
    <s v="En 2021"/>
    <n v="47"/>
    <n v="246"/>
    <x v="0"/>
    <m/>
    <s v="Autre pays"/>
    <s v="NGA"/>
    <s v="Nigéria"/>
    <s v="NGA008"/>
    <s v="Borno"/>
    <m/>
    <m/>
    <m/>
    <m/>
  </r>
  <r>
    <s v="Extrême-Nord"/>
    <s v="CMR004"/>
    <x v="2"/>
    <s v="CMR004002"/>
    <x v="13"/>
    <s v="CMR004002001"/>
    <s v="WAZ-0015"/>
    <s v="DJINGUI"/>
    <m/>
    <x v="1"/>
    <s v="Septembre 2022 – Février 2023"/>
    <n v="0"/>
    <n v="4"/>
    <x v="0"/>
    <m/>
    <s v="Autre pays"/>
    <s v="NGA"/>
    <s v="Nigéria"/>
    <s v="NGA008"/>
    <s v="Borno"/>
    <m/>
    <m/>
    <m/>
    <m/>
  </r>
  <r>
    <s v="Extrême-Nord"/>
    <s v="CMR004"/>
    <x v="2"/>
    <s v="CMR004002"/>
    <x v="8"/>
    <s v="CMR004002009"/>
    <s v="MAK-0107"/>
    <s v="DJADJAYA"/>
    <m/>
    <x v="1"/>
    <s v="Avant 2020"/>
    <n v="4"/>
    <n v="33"/>
    <x v="0"/>
    <m/>
    <s v="Autre pays"/>
    <s v="NGA"/>
    <s v="Nigéria"/>
    <s v="NGA008"/>
    <s v="Borno"/>
    <m/>
    <m/>
    <m/>
    <m/>
  </r>
  <r>
    <s v="Extrême-Nord"/>
    <s v="CMR004"/>
    <x v="2"/>
    <s v="CMR004002"/>
    <x v="8"/>
    <s v="CMR004002009"/>
    <s v="MAK-0107"/>
    <s v="DJADJAYA"/>
    <m/>
    <x v="1"/>
    <s v="Septembre 2022 – Février 2023"/>
    <n v="1"/>
    <n v="4"/>
    <x v="2"/>
    <s v="Peur"/>
    <s v="Autre pays"/>
    <s v="NGA"/>
    <s v="Nigéria"/>
    <s v="NGA008"/>
    <s v="Borno"/>
    <m/>
    <m/>
    <m/>
    <m/>
  </r>
  <r>
    <s v="Extrême-Nord"/>
    <s v="CMR004"/>
    <x v="2"/>
    <s v="CMR004002"/>
    <x v="15"/>
    <s v="CMR004002004"/>
    <s v="LBI-0038"/>
    <s v="KRENACK"/>
    <m/>
    <x v="1"/>
    <s v="Avant 2020"/>
    <n v="30"/>
    <n v="100"/>
    <x v="0"/>
    <m/>
    <s v="Autre pays"/>
    <s v="NGA"/>
    <s v="Nigéria"/>
    <s v="NGA008"/>
    <s v="Borno"/>
    <m/>
    <m/>
    <m/>
    <m/>
  </r>
  <r>
    <s v="Extrême-Nord"/>
    <s v="CMR004"/>
    <x v="2"/>
    <s v="CMR004002"/>
    <x v="8"/>
    <s v="CMR004002009"/>
    <s v="MAK-0015"/>
    <s v="SITE DE BEDEO"/>
    <m/>
    <x v="1"/>
    <s v="Janvier - Aout 2022"/>
    <n v="65"/>
    <n v="470"/>
    <x v="0"/>
    <m/>
    <s v="Autre pays"/>
    <s v="NGA"/>
    <s v="Nigéria"/>
    <s v="NGA008"/>
    <s v="Borno"/>
    <m/>
    <m/>
    <m/>
    <m/>
  </r>
  <r>
    <s v="Extrême-Nord"/>
    <s v="CMR004"/>
    <x v="2"/>
    <s v="CMR004002"/>
    <x v="8"/>
    <s v="CMR004002009"/>
    <s v="MAK-0023"/>
    <s v="CHALAMTINI"/>
    <m/>
    <x v="1"/>
    <s v="Janvier - Aout 2022"/>
    <n v="5"/>
    <n v="27"/>
    <x v="0"/>
    <m/>
    <s v="Autre pays"/>
    <s v="NGA"/>
    <s v="Nigéria"/>
    <s v="NGA008"/>
    <s v="Borno"/>
    <m/>
    <m/>
    <m/>
    <m/>
  </r>
  <r>
    <s v="Extrême-Nord"/>
    <s v="CMR004"/>
    <x v="2"/>
    <s v="CMR004002"/>
    <x v="8"/>
    <s v="CMR004002009"/>
    <s v="MAK-0002"/>
    <s v="ABOUYAKOUBA"/>
    <m/>
    <x v="1"/>
    <s v="Janvier - Aout 2022"/>
    <n v="25"/>
    <n v="76"/>
    <x v="0"/>
    <m/>
    <s v="Autre pays"/>
    <s v="NGA"/>
    <s v="Nigéria"/>
    <s v="NGA008"/>
    <s v="Borno"/>
    <m/>
    <m/>
    <m/>
    <m/>
  </r>
  <r>
    <s v="Extrême-Nord"/>
    <s v="CMR004"/>
    <x v="2"/>
    <s v="CMR004002"/>
    <x v="8"/>
    <s v="CMR004002009"/>
    <s v="MAK-0007"/>
    <s v="AMCHITIRE"/>
    <m/>
    <x v="1"/>
    <s v="Janvier - Aout 2022"/>
    <n v="2"/>
    <n v="13"/>
    <x v="0"/>
    <m/>
    <s v="Autre pays"/>
    <s v="NGA"/>
    <s v="Nigéria"/>
    <s v="NGA008"/>
    <s v="Borno"/>
    <m/>
    <m/>
    <m/>
    <m/>
  </r>
  <r>
    <s v="Extrême-Nord"/>
    <s v="CMR004"/>
    <x v="2"/>
    <s v="CMR004002"/>
    <x v="8"/>
    <s v="CMR004002009"/>
    <s v="MAK-0016"/>
    <s v="BIAMO"/>
    <m/>
    <x v="1"/>
    <s v="Avant 2020"/>
    <n v="95"/>
    <n v="845"/>
    <x v="0"/>
    <m/>
    <s v="Autre pays"/>
    <s v="NGA"/>
    <s v="Nigéria"/>
    <s v="NGA008"/>
    <s v="Borno"/>
    <m/>
    <m/>
    <m/>
    <m/>
  </r>
  <r>
    <s v="Extrême-Nord"/>
    <s v="CMR004"/>
    <x v="2"/>
    <s v="CMR004002"/>
    <x v="8"/>
    <s v="CMR004002009"/>
    <s v="MAK-0122"/>
    <s v="ALAK 1"/>
    <m/>
    <x v="1"/>
    <s v="Avant 2020"/>
    <n v="10"/>
    <n v="40"/>
    <x v="0"/>
    <m/>
    <s v="Autre pays"/>
    <s v="NGA"/>
    <s v="Nigéria"/>
    <s v="NGA008"/>
    <s v="Borno"/>
    <m/>
    <m/>
    <m/>
    <m/>
  </r>
  <r>
    <s v="Extrême-Nord"/>
    <s v="CMR004"/>
    <x v="2"/>
    <s v="CMR004002"/>
    <x v="8"/>
    <s v="CMR004002009"/>
    <s v="MAK-0126"/>
    <s v="ARDEB 2"/>
    <m/>
    <x v="1"/>
    <s v="Avant 2020"/>
    <n v="3"/>
    <n v="9"/>
    <x v="0"/>
    <m/>
    <s v="Autre pays"/>
    <s v="NGA"/>
    <s v="Nigéria"/>
    <s v="NGA008"/>
    <s v="Borno"/>
    <m/>
    <m/>
    <m/>
    <m/>
  </r>
  <r>
    <s v="Extrême-Nord"/>
    <s v="CMR004"/>
    <x v="2"/>
    <s v="CMR004002"/>
    <x v="8"/>
    <s v="CMR004002009"/>
    <s v="MAK-0125"/>
    <s v="ARDEB 1"/>
    <m/>
    <x v="1"/>
    <s v="Avant 2020"/>
    <n v="3"/>
    <n v="11"/>
    <x v="0"/>
    <m/>
    <s v="Autre pays"/>
    <s v="NGA"/>
    <s v="Nigéria"/>
    <s v="NGA008"/>
    <s v="Borno"/>
    <m/>
    <m/>
    <m/>
    <m/>
  </r>
  <r>
    <s v="Extrême-Nord"/>
    <s v="CMR004"/>
    <x v="2"/>
    <s v="CMR004002"/>
    <x v="8"/>
    <s v="CMR004002009"/>
    <s v="MAK-0010"/>
    <s v="ANAMBARI"/>
    <m/>
    <x v="1"/>
    <s v="Avant 2020"/>
    <n v="10"/>
    <n v="40"/>
    <x v="0"/>
    <m/>
    <s v="Autre pays"/>
    <s v="NGA"/>
    <s v="Nigéria"/>
    <s v="NGA008"/>
    <s v="Borno"/>
    <m/>
    <m/>
    <m/>
    <m/>
  </r>
  <r>
    <s v="Extrême-Nord"/>
    <s v="CMR004"/>
    <x v="2"/>
    <s v="CMR004002"/>
    <x v="26"/>
    <s v="CMR004002006"/>
    <s v="XXXX"/>
    <s v="SITE DE KAWADJI 1"/>
    <s v="SITE DE KAWADJI 1"/>
    <x v="1"/>
    <s v="Septembre 2022 – Février 2023"/>
    <n v="21"/>
    <n v="200"/>
    <x v="3"/>
    <m/>
    <s v="Autre pays"/>
    <s v="TCD"/>
    <s v="Tchad"/>
    <s v="TCD018"/>
    <s v="N'Djamena"/>
    <m/>
    <m/>
    <m/>
    <m/>
  </r>
  <r>
    <s v="Extrême-Nord"/>
    <s v="CMR004"/>
    <x v="2"/>
    <s v="CMR004002"/>
    <x v="26"/>
    <s v="CMR004002006"/>
    <s v="KOU-0037"/>
    <s v="KAWADJI 2"/>
    <m/>
    <x v="1"/>
    <s v="Septembre 2022 – Février 2023"/>
    <n v="23"/>
    <n v="200"/>
    <x v="3"/>
    <m/>
    <s v="Autre pays"/>
    <s v="TCD"/>
    <s v="Tchad"/>
    <s v="TCD018"/>
    <s v="N'Djamena"/>
    <m/>
    <m/>
    <m/>
    <m/>
  </r>
  <r>
    <s v="Extrême-Nord"/>
    <s v="CMR004"/>
    <x v="2"/>
    <s v="CMR004002"/>
    <x v="8"/>
    <s v="CMR004002009"/>
    <s v="MAK-0139"/>
    <s v="GRELIE"/>
    <m/>
    <x v="1"/>
    <s v="Avant 2020"/>
    <n v="2"/>
    <n v="10"/>
    <x v="0"/>
    <m/>
    <s v="Autre pays"/>
    <s v="NGA"/>
    <s v="Nigéria"/>
    <s v="NGA008"/>
    <s v="Borno"/>
    <m/>
    <m/>
    <m/>
    <m/>
  </r>
  <r>
    <s v="Extrême-Nord"/>
    <s v="CMR004"/>
    <x v="2"/>
    <s v="CMR004002"/>
    <x v="9"/>
    <s v="CMR004002010"/>
    <s v="HIL-0017"/>
    <s v="MAFOULSO 1"/>
    <m/>
    <x v="1"/>
    <s v="En 2021"/>
    <n v="4"/>
    <n v="40"/>
    <x v="0"/>
    <m/>
    <s v="Autre pays"/>
    <s v="NGA"/>
    <s v="Nigéria"/>
    <s v="NGA008"/>
    <s v="Borno"/>
    <m/>
    <m/>
    <m/>
    <m/>
  </r>
  <r>
    <s v="Extrême-Nord"/>
    <s v="CMR004"/>
    <x v="2"/>
    <s v="CMR004002"/>
    <x v="8"/>
    <s v="CMR004002009"/>
    <s v="MAK-0130"/>
    <s v="DIAM 1"/>
    <m/>
    <x v="1"/>
    <s v="Avant 2020"/>
    <n v="16"/>
    <n v="69"/>
    <x v="0"/>
    <m/>
    <s v="Autre pays"/>
    <s v="NGA"/>
    <s v="Nigéria"/>
    <s v="NGA020"/>
    <s v="Kano"/>
    <m/>
    <m/>
    <m/>
    <m/>
  </r>
  <r>
    <s v="Extrême-Nord"/>
    <s v="CMR004"/>
    <x v="2"/>
    <s v="CMR004002"/>
    <x v="8"/>
    <s v="CMR004002009"/>
    <s v="MAK-0130"/>
    <s v="DIAM 1"/>
    <m/>
    <x v="1"/>
    <s v="En 2020"/>
    <n v="0"/>
    <n v="14"/>
    <x v="0"/>
    <m/>
    <s v="Autre pays"/>
    <s v="NGA"/>
    <s v="Nigéria"/>
    <s v="NGA020"/>
    <s v="Kano"/>
    <m/>
    <m/>
    <m/>
    <m/>
  </r>
  <r>
    <s v="Extrême-Nord"/>
    <s v="CMR004"/>
    <x v="2"/>
    <s v="CMR004002"/>
    <x v="8"/>
    <s v="CMR004002009"/>
    <s v="MAK-0130"/>
    <s v="DIAM 1"/>
    <m/>
    <x v="1"/>
    <s v="Janvier - Aout 2022"/>
    <n v="0"/>
    <n v="2"/>
    <x v="0"/>
    <m/>
    <s v="Autre pays"/>
    <s v="NGA"/>
    <s v="Nigéria"/>
    <s v="NGA020"/>
    <s v="Kano"/>
    <m/>
    <m/>
    <m/>
    <m/>
  </r>
  <r>
    <s v="Extrême-Nord"/>
    <s v="CMR004"/>
    <x v="2"/>
    <s v="CMR004002"/>
    <x v="8"/>
    <s v="CMR004002009"/>
    <s v="MAK-0130"/>
    <s v="DIAM 1"/>
    <m/>
    <x v="1"/>
    <s v="Septembre 2022 – Février 2023"/>
    <n v="0"/>
    <n v="8"/>
    <x v="0"/>
    <m/>
    <s v="Autre pays"/>
    <s v="NGA"/>
    <s v="Nigéria"/>
    <s v="NGA020"/>
    <s v="Kano"/>
    <m/>
    <m/>
    <m/>
    <m/>
  </r>
  <r>
    <s v="Extrême-Nord"/>
    <s v="CMR004"/>
    <x v="4"/>
    <s v="CMR004005"/>
    <x v="29"/>
    <s v="CMR004005003"/>
    <s v="TOK-0001"/>
    <s v="LALAWAI"/>
    <m/>
    <x v="1"/>
    <s v="Avant 2020"/>
    <n v="2"/>
    <n v="12"/>
    <x v="0"/>
    <m/>
    <s v="Autre pays"/>
    <s v="NGA"/>
    <s v="Nigéria"/>
    <s v="NGA008"/>
    <s v="Borno"/>
    <m/>
    <m/>
    <m/>
    <m/>
  </r>
  <r>
    <s v="Extrême-Nord"/>
    <s v="CMR004"/>
    <x v="4"/>
    <s v="CMR004005"/>
    <x v="29"/>
    <s v="CMR004005003"/>
    <s v="TOK-0001"/>
    <s v="LALAWAI"/>
    <m/>
    <x v="1"/>
    <s v="En 2020"/>
    <n v="0"/>
    <n v="5"/>
    <x v="0"/>
    <m/>
    <s v="Autre pays"/>
    <s v="NGA"/>
    <s v="Nigéria"/>
    <s v="NGA008"/>
    <s v="Borno"/>
    <m/>
    <m/>
    <m/>
    <m/>
  </r>
  <r>
    <s v="Extrême-Nord"/>
    <s v="CMR004"/>
    <x v="4"/>
    <s v="CMR004005"/>
    <x v="29"/>
    <s v="CMR004005003"/>
    <s v="TOK-0001"/>
    <s v="LALAWAI"/>
    <m/>
    <x v="1"/>
    <s v="En 2021"/>
    <n v="0"/>
    <n v="16"/>
    <x v="0"/>
    <m/>
    <s v="Autre pays"/>
    <s v="NGA"/>
    <s v="Nigéria"/>
    <s v="NGA008"/>
    <s v="Borno"/>
    <m/>
    <m/>
    <m/>
    <m/>
  </r>
  <r>
    <s v="Extrême-Nord"/>
    <s v="CMR004"/>
    <x v="4"/>
    <s v="CMR004005"/>
    <x v="29"/>
    <s v="CMR004005003"/>
    <s v="TOK-0001"/>
    <s v="LALAWAI"/>
    <m/>
    <x v="1"/>
    <s v="Janvier - Aout 2022"/>
    <n v="0"/>
    <n v="9"/>
    <x v="0"/>
    <m/>
    <s v="Autre pays"/>
    <s v="NGA"/>
    <s v="Nigéria"/>
    <s v="NGA008"/>
    <s v="Borno"/>
    <m/>
    <m/>
    <m/>
    <m/>
  </r>
  <r>
    <s v="Extrême-Nord"/>
    <s v="CMR004"/>
    <x v="4"/>
    <s v="CMR004005"/>
    <x v="29"/>
    <s v="CMR004005003"/>
    <s v="TOK-0001"/>
    <s v="LALAWAI"/>
    <m/>
    <x v="1"/>
    <s v="Septembre 2022 – Février 2023"/>
    <n v="0"/>
    <n v="3"/>
    <x v="0"/>
    <m/>
    <s v="Autre pays"/>
    <s v="NGA"/>
    <s v="Nigéria"/>
    <s v="NGA008"/>
    <s v="Borno"/>
    <m/>
    <m/>
    <m/>
    <m/>
  </r>
  <r>
    <s v="Extrême-Nord"/>
    <s v="CMR004"/>
    <x v="2"/>
    <s v="CMR004002"/>
    <x v="8"/>
    <s v="CMR004002009"/>
    <s v="MAK-0041"/>
    <s v="GOURA 2"/>
    <m/>
    <x v="1"/>
    <s v="En 2020"/>
    <n v="20"/>
    <n v="140"/>
    <x v="0"/>
    <m/>
    <s v="Autre pays"/>
    <s v="NGA"/>
    <s v="Nigéria"/>
    <s v="NGA008"/>
    <s v="Borno"/>
    <m/>
    <m/>
    <m/>
    <m/>
  </r>
  <r>
    <s v="Extrême-Nord"/>
    <s v="CMR004"/>
    <x v="2"/>
    <s v="CMR004002"/>
    <x v="8"/>
    <s v="CMR004002009"/>
    <s v="MAK-0190"/>
    <s v="GOURA 3"/>
    <m/>
    <x v="1"/>
    <s v="Avant 2020"/>
    <n v="2"/>
    <n v="11"/>
    <x v="0"/>
    <m/>
    <s v="Autre pays"/>
    <s v="NGA"/>
    <s v="Nigéria"/>
    <s v="NGA008"/>
    <s v="Borno"/>
    <m/>
    <m/>
    <m/>
    <m/>
  </r>
  <r>
    <s v="Extrême-Nord"/>
    <s v="CMR004"/>
    <x v="2"/>
    <s v="CMR004002"/>
    <x v="8"/>
    <s v="CMR004002009"/>
    <s v="MAK-0204"/>
    <s v="GOURA ABOUNOUMRE"/>
    <m/>
    <x v="1"/>
    <s v="Avant 2020"/>
    <n v="2"/>
    <n v="12"/>
    <x v="0"/>
    <m/>
    <s v="Autre pays"/>
    <s v="NGA"/>
    <s v="Nigéria"/>
    <s v="NGA008"/>
    <s v="Borno"/>
    <m/>
    <m/>
    <m/>
    <m/>
  </r>
  <r>
    <s v="Extrême-Nord"/>
    <s v="CMR004"/>
    <x v="1"/>
    <s v="CMR004006"/>
    <x v="39"/>
    <s v="CMR004006001"/>
    <s v="MOG-0007"/>
    <s v="OUDAVA"/>
    <m/>
    <x v="1"/>
    <s v="Avant 2020"/>
    <n v="12"/>
    <n v="82"/>
    <x v="0"/>
    <m/>
    <s v="Autre pays"/>
    <s v="NGA"/>
    <s v="Nigéria"/>
    <s v="NGA002"/>
    <s v="Adamawa"/>
    <m/>
    <m/>
    <m/>
    <m/>
  </r>
  <r>
    <s v="Extrême-Nord"/>
    <s v="CMR004"/>
    <x v="1"/>
    <s v="CMR004006"/>
    <x v="39"/>
    <s v="CMR004006001"/>
    <s v="MOG-0007"/>
    <s v="OUDAVA"/>
    <m/>
    <x v="1"/>
    <s v="En 2020"/>
    <n v="1"/>
    <n v="6"/>
    <x v="0"/>
    <m/>
    <s v="Autre pays"/>
    <s v="NGA"/>
    <s v="Nigéria"/>
    <s v="NGA002"/>
    <s v="Adamawa"/>
    <m/>
    <m/>
    <m/>
    <m/>
  </r>
  <r>
    <s v="Extrême-Nord"/>
    <s v="CMR004"/>
    <x v="1"/>
    <s v="CMR004006"/>
    <x v="39"/>
    <s v="CMR004006001"/>
    <s v="MOG-0007"/>
    <s v="OUDAVA"/>
    <m/>
    <x v="1"/>
    <s v="En 2021"/>
    <n v="0"/>
    <n v="4"/>
    <x v="0"/>
    <m/>
    <s v="Autre pays"/>
    <s v="NGA"/>
    <s v="Nigéria"/>
    <s v="NGA002"/>
    <s v="Adamawa"/>
    <m/>
    <m/>
    <m/>
    <m/>
  </r>
  <r>
    <s v="Extrême-Nord"/>
    <s v="CMR004"/>
    <x v="1"/>
    <s v="CMR004006"/>
    <x v="39"/>
    <s v="CMR004006001"/>
    <s v="MOG-0007"/>
    <s v="OUDAVA"/>
    <m/>
    <x v="1"/>
    <s v="Janvier - Aout 2022"/>
    <n v="0"/>
    <n v="6"/>
    <x v="0"/>
    <m/>
    <s v="Autre pays"/>
    <s v="NGA"/>
    <s v="Nigéria"/>
    <s v="NGA002"/>
    <s v="Adamawa"/>
    <m/>
    <m/>
    <m/>
    <m/>
  </r>
  <r>
    <s v="Extrême-Nord"/>
    <s v="CMR004"/>
    <x v="1"/>
    <s v="CMR004006"/>
    <x v="39"/>
    <s v="CMR004006001"/>
    <s v="MOG-0003"/>
    <s v="KILA"/>
    <m/>
    <x v="1"/>
    <s v="Avant 2020"/>
    <n v="5"/>
    <n v="23"/>
    <x v="0"/>
    <m/>
    <s v="Autre pays"/>
    <s v="NGA"/>
    <s v="Nigéria"/>
    <s v="NGA002"/>
    <s v="Adamawa"/>
    <m/>
    <m/>
    <m/>
    <m/>
  </r>
  <r>
    <s v="Extrême-Nord"/>
    <s v="CMR004"/>
    <x v="1"/>
    <s v="CMR004006"/>
    <x v="39"/>
    <s v="CMR004006001"/>
    <s v="MOG-0003"/>
    <s v="KILA"/>
    <m/>
    <x v="1"/>
    <s v="En 2021"/>
    <n v="0"/>
    <n v="2"/>
    <x v="0"/>
    <m/>
    <s v="Autre pays"/>
    <s v="NGA"/>
    <s v="Nigéria"/>
    <s v="NGA002"/>
    <s v="Adamawa"/>
    <m/>
    <m/>
    <m/>
    <m/>
  </r>
  <r>
    <s v="Extrême-Nord"/>
    <s v="CMR004"/>
    <x v="1"/>
    <s v="CMR004006"/>
    <x v="39"/>
    <s v="CMR004006001"/>
    <s v="MOG-0003"/>
    <s v="KILA"/>
    <m/>
    <x v="1"/>
    <s v="En 2020"/>
    <n v="0"/>
    <n v="2"/>
    <x v="0"/>
    <m/>
    <s v="Autre pays"/>
    <s v="NGA"/>
    <s v="Nigéria"/>
    <s v="NGA002"/>
    <s v="Adamawa"/>
    <m/>
    <m/>
    <m/>
    <m/>
  </r>
  <r>
    <s v="Extrême-Nord"/>
    <s v="CMR004"/>
    <x v="1"/>
    <s v="CMR004006"/>
    <x v="39"/>
    <s v="CMR004006001"/>
    <s v="MOG-0003"/>
    <s v="KILA"/>
    <m/>
    <x v="1"/>
    <s v="Janvier - Aout 2022"/>
    <n v="0"/>
    <n v="1"/>
    <x v="0"/>
    <m/>
    <s v="Autre pays"/>
    <s v="NGA"/>
    <s v="Nigéria"/>
    <s v="NGA002"/>
    <s v="Adamawa"/>
    <m/>
    <m/>
    <m/>
    <m/>
  </r>
  <r>
    <s v="Extrême-Nord"/>
    <s v="CMR004"/>
    <x v="2"/>
    <s v="CMR004002"/>
    <x v="15"/>
    <s v="CMR004002004"/>
    <s v="LBI-0074"/>
    <s v="SOUHARA"/>
    <m/>
    <x v="1"/>
    <s v="Septembre 2022 – Février 2023"/>
    <n v="11"/>
    <n v="48"/>
    <x v="3"/>
    <m/>
    <s v="Autre pays"/>
    <s v="TCD"/>
    <s v="Tchad"/>
    <s v="TCD018"/>
    <s v="N'Djamena"/>
    <m/>
    <m/>
    <m/>
    <m/>
  </r>
  <r>
    <s v="Extrême-Nord"/>
    <s v="CMR004"/>
    <x v="2"/>
    <s v="CMR004002"/>
    <x v="8"/>
    <s v="CMR004002009"/>
    <s v="MAK-0184"/>
    <s v="ABANKOURI"/>
    <m/>
    <x v="1"/>
    <s v="Avant 2020"/>
    <n v="64"/>
    <n v="208"/>
    <x v="0"/>
    <m/>
    <s v="Autre pays"/>
    <s v="NGA"/>
    <s v="Nigéria"/>
    <s v="NGA009"/>
    <s v="Cross River"/>
    <m/>
    <m/>
    <m/>
    <m/>
  </r>
  <r>
    <s v="Extrême-Nord"/>
    <s v="CMR004"/>
    <x v="2"/>
    <s v="CMR004002"/>
    <x v="8"/>
    <s v="CMR004002009"/>
    <s v="MAK-0184"/>
    <s v="ABANKOURI"/>
    <m/>
    <x v="1"/>
    <s v="Janvier - Aout 2022"/>
    <n v="10"/>
    <n v="32"/>
    <x v="0"/>
    <m/>
    <s v="Autre pays"/>
    <s v="NGA"/>
    <s v="Nigéria"/>
    <s v="NGA036"/>
    <s v="Yobe"/>
    <m/>
    <m/>
    <m/>
    <m/>
  </r>
  <r>
    <s v="Extrême-Nord"/>
    <s v="CMR004"/>
    <x v="2"/>
    <s v="CMR004002"/>
    <x v="8"/>
    <s v="CMR004002009"/>
    <s v="MAK-0086"/>
    <s v="NGOUMA"/>
    <m/>
    <x v="1"/>
    <s v="Avant 2020"/>
    <n v="18"/>
    <n v="96"/>
    <x v="0"/>
    <m/>
    <s v="Autre pays"/>
    <s v="NGA"/>
    <s v="Nigéria"/>
    <s v="NGA008"/>
    <s v="Borno"/>
    <m/>
    <m/>
    <m/>
    <m/>
  </r>
  <r>
    <s v="Extrême-Nord"/>
    <s v="CMR004"/>
    <x v="4"/>
    <s v="CMR004005"/>
    <x v="17"/>
    <s v="CMR004005002"/>
    <s v="MOR-0070"/>
    <s v="SERADOUMDA"/>
    <m/>
    <x v="1"/>
    <s v="Avant 2020"/>
    <n v="1"/>
    <n v="5"/>
    <x v="0"/>
    <m/>
    <s v="Autre pays"/>
    <s v="NGA"/>
    <s v="Nigéria"/>
    <s v="NGA002"/>
    <s v="Adamawa"/>
    <m/>
    <m/>
    <m/>
    <m/>
  </r>
  <r>
    <s v="Extrême-Nord"/>
    <s v="CMR004"/>
    <x v="4"/>
    <s v="CMR004005"/>
    <x v="17"/>
    <s v="CMR004005002"/>
    <s v="MOR-0070"/>
    <s v="SERADOUMDA"/>
    <m/>
    <x v="1"/>
    <s v="En 2021"/>
    <n v="0"/>
    <n v="1"/>
    <x v="0"/>
    <m/>
    <s v="Autre pays"/>
    <s v="NGA"/>
    <s v="Nigéria"/>
    <s v="NGA002"/>
    <s v="Adamawa"/>
    <m/>
    <m/>
    <m/>
    <m/>
  </r>
  <r>
    <s v="Extrême-Nord"/>
    <s v="CMR004"/>
    <x v="4"/>
    <s v="CMR004005"/>
    <x v="17"/>
    <s v="CMR004005002"/>
    <s v="MOR-0070"/>
    <s v="SERADOUMDA"/>
    <m/>
    <x v="1"/>
    <s v="Janvier - Aout 2022"/>
    <n v="2"/>
    <n v="12"/>
    <x v="0"/>
    <m/>
    <s v="Autre pays"/>
    <s v="NGA"/>
    <s v="Nigéria"/>
    <s v="NGA002"/>
    <s v="Adamawa"/>
    <m/>
    <m/>
    <m/>
    <m/>
  </r>
  <r>
    <s v="Extrême-Nord"/>
    <s v="CMR004"/>
    <x v="4"/>
    <s v="CMR004005"/>
    <x v="17"/>
    <s v="CMR004005002"/>
    <s v="MOR-0070"/>
    <s v="SERADOUMDA"/>
    <m/>
    <x v="1"/>
    <s v="Septembre 2022 – Février 2023"/>
    <n v="0"/>
    <n v="2"/>
    <x v="0"/>
    <m/>
    <s v="Autre pays"/>
    <s v="NGA"/>
    <s v="Nigéria"/>
    <s v="NGA002"/>
    <s v="Adamawa"/>
    <m/>
    <m/>
    <m/>
    <m/>
  </r>
  <r>
    <s v="Extrême-Nord"/>
    <s v="CMR004"/>
    <x v="4"/>
    <s v="CMR004005"/>
    <x v="17"/>
    <s v="CMR004005002"/>
    <s v="MOR-0078"/>
    <s v="TALLA LAWAN"/>
    <m/>
    <x v="1"/>
    <s v="En 2020"/>
    <n v="5"/>
    <n v="37"/>
    <x v="0"/>
    <m/>
    <s v="Autre pays"/>
    <s v="NGA"/>
    <s v="Nigéria"/>
    <s v="NGA002"/>
    <s v="Adamawa"/>
    <m/>
    <m/>
    <m/>
    <m/>
  </r>
  <r>
    <s v="Extrême-Nord"/>
    <s v="CMR004"/>
    <x v="4"/>
    <s v="CMR004005"/>
    <x v="17"/>
    <s v="CMR004005002"/>
    <s v="MOR-0078"/>
    <s v="TALLA LAWAN"/>
    <m/>
    <x v="1"/>
    <s v="En 2021"/>
    <n v="2"/>
    <n v="27"/>
    <x v="0"/>
    <m/>
    <s v="Autre pays"/>
    <s v="NGA"/>
    <s v="Nigéria"/>
    <s v="NGA002"/>
    <s v="Adamawa"/>
    <m/>
    <m/>
    <m/>
    <m/>
  </r>
  <r>
    <s v="Extrême-Nord"/>
    <s v="CMR004"/>
    <x v="4"/>
    <s v="CMR004005"/>
    <x v="17"/>
    <s v="CMR004005002"/>
    <s v="MOR-0078"/>
    <s v="TALLA LAWAN"/>
    <m/>
    <x v="1"/>
    <s v="Janvier - Aout 2022"/>
    <n v="0"/>
    <n v="13"/>
    <x v="0"/>
    <m/>
    <s v="Autre pays"/>
    <s v="NGA"/>
    <s v="Nigéria"/>
    <s v="NGA002"/>
    <s v="Adamawa"/>
    <m/>
    <m/>
    <m/>
    <m/>
  </r>
  <r>
    <s v="Extrême-Nord"/>
    <s v="CMR004"/>
    <x v="4"/>
    <s v="CMR004005"/>
    <x v="17"/>
    <s v="CMR004005002"/>
    <s v="MOR-0078"/>
    <s v="TALLA LAWAN"/>
    <m/>
    <x v="1"/>
    <s v="Septembre 2022 – Février 2023"/>
    <n v="0"/>
    <n v="8"/>
    <x v="0"/>
    <m/>
    <s v="Autre pays"/>
    <s v="NGA"/>
    <s v="Nigéria"/>
    <s v="NGA002"/>
    <s v="Adamawa"/>
    <m/>
    <m/>
    <m/>
    <m/>
  </r>
  <r>
    <s v="Extrême-Nord"/>
    <s v="CMR004"/>
    <x v="4"/>
    <s v="CMR004005"/>
    <x v="17"/>
    <s v="CMR004005002"/>
    <s v="MOR-0061"/>
    <s v="DJAMPALA"/>
    <m/>
    <x v="1"/>
    <s v="Avant 2020"/>
    <n v="15"/>
    <n v="30"/>
    <x v="0"/>
    <m/>
    <s v="Autre pays"/>
    <s v="NGA"/>
    <s v="Nigéria"/>
    <s v="NGA002"/>
    <s v="Adamawa"/>
    <m/>
    <m/>
    <m/>
    <m/>
  </r>
  <r>
    <s v="Extrême-Nord"/>
    <s v="CMR004"/>
    <x v="4"/>
    <s v="CMR004005"/>
    <x v="17"/>
    <s v="CMR004005002"/>
    <s v="MOR-0061"/>
    <s v="DJAMPALA"/>
    <m/>
    <x v="1"/>
    <s v="En 2021"/>
    <n v="0"/>
    <n v="2"/>
    <x v="0"/>
    <m/>
    <s v="Autre pays"/>
    <s v="NGA"/>
    <s v="Nigéria"/>
    <s v="NGA002"/>
    <s v="Adamawa"/>
    <m/>
    <m/>
    <m/>
    <m/>
  </r>
  <r>
    <s v="Extrême-Nord"/>
    <s v="CMR004"/>
    <x v="4"/>
    <s v="CMR004005"/>
    <x v="17"/>
    <s v="CMR004005002"/>
    <s v="MOR-0061"/>
    <s v="DJAMPALA"/>
    <m/>
    <x v="1"/>
    <s v="Janvier - Aout 2022"/>
    <n v="0"/>
    <n v="27"/>
    <x v="0"/>
    <m/>
    <s v="Autre pays"/>
    <s v="NGA"/>
    <s v="Nigéria"/>
    <s v="NGA002"/>
    <s v="Adamawa"/>
    <m/>
    <m/>
    <m/>
    <m/>
  </r>
  <r>
    <s v="Extrême-Nord"/>
    <s v="CMR004"/>
    <x v="4"/>
    <s v="CMR004005"/>
    <x v="17"/>
    <s v="CMR004005002"/>
    <s v="MOR-0061"/>
    <s v="DJAMPALA"/>
    <m/>
    <x v="1"/>
    <s v="Septembre 2022 – Février 2023"/>
    <n v="0"/>
    <n v="4"/>
    <x v="0"/>
    <m/>
    <s v="Autre pays"/>
    <s v="NGA"/>
    <s v="Nigéria"/>
    <s v="NGA002"/>
    <s v="Adamawa"/>
    <m/>
    <m/>
    <m/>
    <m/>
  </r>
  <r>
    <s v="Extrême-Nord"/>
    <s v="CMR004"/>
    <x v="1"/>
    <s v="CMR004006"/>
    <x v="39"/>
    <s v="CMR004006001"/>
    <s v="MOG-0001"/>
    <s v="GOURIA"/>
    <m/>
    <x v="1"/>
    <s v="Avant 2020"/>
    <n v="3"/>
    <n v="20"/>
    <x v="0"/>
    <m/>
    <s v="Autre pays"/>
    <s v="NGA"/>
    <s v="Nigéria"/>
    <s v="NGA002"/>
    <s v="Adamawa"/>
    <m/>
    <m/>
    <m/>
    <m/>
  </r>
  <r>
    <s v="Extrême-Nord"/>
    <s v="CMR004"/>
    <x v="1"/>
    <s v="CMR004006"/>
    <x v="39"/>
    <s v="CMR004006001"/>
    <s v="MOG-0001"/>
    <s v="GOURIA"/>
    <m/>
    <x v="1"/>
    <s v="En 2021"/>
    <n v="0"/>
    <n v="5"/>
    <x v="0"/>
    <m/>
    <s v="Autre pays"/>
    <s v="NGA"/>
    <s v="Nigéria"/>
    <s v="NGA002"/>
    <s v="Adamawa"/>
    <m/>
    <m/>
    <m/>
    <m/>
  </r>
  <r>
    <s v="Extrême-Nord"/>
    <s v="CMR004"/>
    <x v="1"/>
    <s v="CMR004006"/>
    <x v="39"/>
    <s v="CMR004006001"/>
    <s v="MOG-0005"/>
    <s v="MOGODE"/>
    <m/>
    <x v="1"/>
    <s v="Avant 2020"/>
    <n v="12"/>
    <n v="129"/>
    <x v="0"/>
    <m/>
    <s v="Autre pays"/>
    <s v="NGA"/>
    <s v="Nigéria"/>
    <s v="NGA002"/>
    <s v="Adamawa"/>
    <m/>
    <m/>
    <m/>
    <m/>
  </r>
  <r>
    <s v="Extrême-Nord"/>
    <s v="CMR004"/>
    <x v="1"/>
    <s v="CMR004006"/>
    <x v="39"/>
    <s v="CMR004006001"/>
    <s v="MOG-0005"/>
    <s v="MOGODE"/>
    <m/>
    <x v="1"/>
    <s v="En 2020"/>
    <n v="1"/>
    <n v="6"/>
    <x v="0"/>
    <m/>
    <s v="Autre pays"/>
    <s v="NGA"/>
    <s v="Nigéria"/>
    <s v="NGA002"/>
    <s v="Adamawa"/>
    <m/>
    <m/>
    <m/>
    <m/>
  </r>
  <r>
    <s v="Extrême-Nord"/>
    <s v="CMR004"/>
    <x v="1"/>
    <s v="CMR004006"/>
    <x v="39"/>
    <s v="CMR004006001"/>
    <s v="MOG-0005"/>
    <s v="MOGODE"/>
    <m/>
    <x v="1"/>
    <s v="En 2021"/>
    <n v="0"/>
    <n v="4"/>
    <x v="0"/>
    <m/>
    <s v="Autre pays"/>
    <s v="NGA"/>
    <s v="Nigéria"/>
    <s v="NGA002"/>
    <s v="Adamawa"/>
    <m/>
    <m/>
    <m/>
    <m/>
  </r>
  <r>
    <s v="Extrême-Nord"/>
    <s v="CMR004"/>
    <x v="1"/>
    <s v="CMR004006"/>
    <x v="39"/>
    <s v="CMR004006001"/>
    <s v="MOG-0005"/>
    <s v="MOGODE"/>
    <m/>
    <x v="1"/>
    <s v="Janvier - Aout 2022"/>
    <n v="0"/>
    <n v="5"/>
    <x v="0"/>
    <m/>
    <s v="Autre pays"/>
    <s v="NGA"/>
    <s v="Nigéria"/>
    <s v="NGA002"/>
    <s v="Adamawa"/>
    <m/>
    <m/>
    <m/>
    <m/>
  </r>
  <r>
    <s v="Extrême-Nord"/>
    <s v="CMR004"/>
    <x v="1"/>
    <s v="CMR004006"/>
    <x v="39"/>
    <s v="CMR004006001"/>
    <s v="MOG-0008"/>
    <s v="RHUMSIKI"/>
    <m/>
    <x v="1"/>
    <s v="Avant 2020"/>
    <n v="15"/>
    <n v="74"/>
    <x v="0"/>
    <m/>
    <s v="Autre pays"/>
    <s v="NGA"/>
    <s v="Nigéria"/>
    <s v="NGA002"/>
    <s v="Adamawa"/>
    <m/>
    <m/>
    <m/>
    <m/>
  </r>
  <r>
    <s v="Extrême-Nord"/>
    <s v="CMR004"/>
    <x v="1"/>
    <s v="CMR004006"/>
    <x v="39"/>
    <s v="CMR004006001"/>
    <s v="MOG-0008"/>
    <s v="RHUMSIKI"/>
    <m/>
    <x v="1"/>
    <s v="En 2020"/>
    <n v="0"/>
    <n v="1"/>
    <x v="0"/>
    <m/>
    <s v="Autre pays"/>
    <s v="NGA"/>
    <s v="Nigéria"/>
    <s v="NGA002"/>
    <s v="Adamawa"/>
    <m/>
    <m/>
    <m/>
    <m/>
  </r>
  <r>
    <s v="Extrême-Nord"/>
    <s v="CMR004"/>
    <x v="1"/>
    <s v="CMR004006"/>
    <x v="39"/>
    <s v="CMR004006001"/>
    <s v="MOG-0008"/>
    <s v="RHUMSIKI"/>
    <m/>
    <x v="1"/>
    <s v="En 2021"/>
    <n v="0"/>
    <n v="2"/>
    <x v="0"/>
    <m/>
    <s v="Autre pays"/>
    <s v="NGA"/>
    <s v="Nigéria"/>
    <s v="NGA002"/>
    <s v="Adamawa"/>
    <m/>
    <m/>
    <m/>
    <m/>
  </r>
  <r>
    <s v="Extrême-Nord"/>
    <s v="CMR004"/>
    <x v="1"/>
    <s v="CMR004006"/>
    <x v="39"/>
    <s v="CMR004006001"/>
    <s v="MOG-0008"/>
    <s v="RHUMSIKI"/>
    <m/>
    <x v="1"/>
    <s v="Janvier - Aout 2022"/>
    <n v="0"/>
    <n v="4"/>
    <x v="0"/>
    <m/>
    <s v="Autre pays"/>
    <s v="NGA"/>
    <s v="Nigéria"/>
    <s v="NGA002"/>
    <s v="Adamawa"/>
    <m/>
    <m/>
    <m/>
    <m/>
  </r>
  <r>
    <s v="Extrême-Nord"/>
    <s v="CMR004"/>
    <x v="1"/>
    <s v="CMR004006"/>
    <x v="39"/>
    <s v="CMR004006001"/>
    <s v="MOG-0008"/>
    <s v="RHUMSIKI"/>
    <m/>
    <x v="1"/>
    <s v="Septembre 2022 – Février 2023"/>
    <n v="1"/>
    <n v="5"/>
    <x v="0"/>
    <m/>
    <s v="Autre pays"/>
    <s v="NGA"/>
    <s v="Nigéria"/>
    <s v="NGA002"/>
    <s v="Adamawa"/>
    <m/>
    <m/>
    <m/>
    <m/>
  </r>
  <r>
    <s v="Extrême-Nord"/>
    <s v="CMR004"/>
    <x v="1"/>
    <s v="CMR004006"/>
    <x v="39"/>
    <s v="CMR004006001"/>
    <s v="MOG-0009"/>
    <s v="RHUMZU"/>
    <m/>
    <x v="1"/>
    <s v="Avant 2020"/>
    <n v="11"/>
    <n v="15"/>
    <x v="0"/>
    <m/>
    <s v="Autre pays"/>
    <s v="NGA"/>
    <s v="Nigéria"/>
    <s v="NGA002"/>
    <s v="Adamawa"/>
    <m/>
    <m/>
    <m/>
    <m/>
  </r>
  <r>
    <s v="Extrême-Nord"/>
    <s v="CMR004"/>
    <x v="1"/>
    <s v="CMR004006"/>
    <x v="39"/>
    <s v="CMR004006001"/>
    <s v="MOG-0009"/>
    <s v="RHUMZU"/>
    <m/>
    <x v="1"/>
    <s v="En 2021"/>
    <n v="0"/>
    <n v="1"/>
    <x v="0"/>
    <m/>
    <s v="Autre pays"/>
    <s v="NGA"/>
    <s v="Nigéria"/>
    <s v="NGA002"/>
    <s v="Adamawa"/>
    <m/>
    <m/>
    <m/>
    <m/>
  </r>
  <r>
    <s v="Extrême-Nord"/>
    <s v="CMR004"/>
    <x v="1"/>
    <s v="CMR004006"/>
    <x v="39"/>
    <s v="CMR004006001"/>
    <s v="MOG-0009"/>
    <s v="RHUMZU"/>
    <m/>
    <x v="1"/>
    <s v="Janvier - Aout 2022"/>
    <n v="0"/>
    <n v="3"/>
    <x v="0"/>
    <m/>
    <s v="Autre pays"/>
    <s v="NGA"/>
    <s v="Nigéria"/>
    <s v="NGA002"/>
    <s v="Adamawa"/>
    <m/>
    <m/>
    <m/>
    <m/>
  </r>
  <r>
    <s v="Extrême-Nord"/>
    <s v="CMR004"/>
    <x v="1"/>
    <s v="CMR004006"/>
    <x v="39"/>
    <s v="CMR004006001"/>
    <s v="MOG-0013"/>
    <s v="YELLE"/>
    <m/>
    <x v="1"/>
    <s v="Avant 2020"/>
    <n v="20"/>
    <n v="179"/>
    <x v="0"/>
    <m/>
    <s v="Autre pays"/>
    <s v="NGA"/>
    <s v="Nigéria"/>
    <s v="NGA002"/>
    <s v="Adamawa"/>
    <m/>
    <m/>
    <m/>
    <m/>
  </r>
  <r>
    <s v="Extrême-Nord"/>
    <s v="CMR004"/>
    <x v="1"/>
    <s v="CMR004006"/>
    <x v="39"/>
    <s v="CMR004006001"/>
    <s v="MOG-0013"/>
    <s v="YELLE"/>
    <m/>
    <x v="1"/>
    <s v="En 2021"/>
    <n v="1"/>
    <n v="7"/>
    <x v="0"/>
    <m/>
    <s v="Autre pays"/>
    <s v="NGA"/>
    <s v="Nigéria"/>
    <s v="NGA002"/>
    <s v="Adamawa"/>
    <m/>
    <m/>
    <m/>
    <m/>
  </r>
  <r>
    <s v="Extrême-Nord"/>
    <s v="CMR004"/>
    <x v="1"/>
    <s v="CMR004006"/>
    <x v="39"/>
    <s v="CMR004006001"/>
    <s v="MOG-0013"/>
    <s v="YELLE"/>
    <m/>
    <x v="1"/>
    <s v="Janvier - Aout 2022"/>
    <n v="0"/>
    <n v="3"/>
    <x v="0"/>
    <m/>
    <s v="Autre pays"/>
    <s v="NGA"/>
    <s v="Nigéria"/>
    <s v="NGA002"/>
    <s v="Adamawa"/>
    <m/>
    <m/>
    <m/>
    <m/>
  </r>
  <r>
    <s v="Extrême-Nord"/>
    <s v="CMR004"/>
    <x v="1"/>
    <s v="CMR004006"/>
    <x v="39"/>
    <s v="CMR004006001"/>
    <s v="MOG-0010"/>
    <s v="SIR"/>
    <m/>
    <x v="1"/>
    <s v="Avant 2020"/>
    <n v="21"/>
    <n v="121"/>
    <x v="0"/>
    <m/>
    <s v="Autre pays"/>
    <s v="NGA"/>
    <s v="Nigéria"/>
    <s v="NGA002"/>
    <s v="Adamawa"/>
    <m/>
    <m/>
    <m/>
    <m/>
  </r>
  <r>
    <s v="Extrême-Nord"/>
    <s v="CMR004"/>
    <x v="1"/>
    <s v="CMR004006"/>
    <x v="39"/>
    <s v="CMR004006001"/>
    <s v="MOG-0010"/>
    <s v="SIR"/>
    <m/>
    <x v="1"/>
    <s v="En 2020"/>
    <n v="0"/>
    <n v="4"/>
    <x v="0"/>
    <m/>
    <s v="Autre pays"/>
    <s v="NGA"/>
    <s v="Nigéria"/>
    <s v="NGA002"/>
    <s v="Adamawa"/>
    <m/>
    <m/>
    <m/>
    <m/>
  </r>
  <r>
    <s v="Extrême-Nord"/>
    <s v="CMR004"/>
    <x v="1"/>
    <s v="CMR004006"/>
    <x v="39"/>
    <s v="CMR004006001"/>
    <s v="MOG-0010"/>
    <s v="SIR"/>
    <m/>
    <x v="1"/>
    <s v="En 2021"/>
    <n v="0"/>
    <n v="5"/>
    <x v="0"/>
    <m/>
    <s v="Autre pays"/>
    <s v="NGA"/>
    <s v="Nigéria"/>
    <s v="NGA002"/>
    <s v="Adamawa"/>
    <m/>
    <m/>
    <m/>
    <m/>
  </r>
  <r>
    <s v="Extrême-Nord"/>
    <s v="CMR004"/>
    <x v="1"/>
    <s v="CMR004006"/>
    <x v="39"/>
    <s v="CMR004006001"/>
    <s v="MOG-0010"/>
    <s v="SIR"/>
    <m/>
    <x v="1"/>
    <s v="Janvier - Aout 2022"/>
    <n v="0"/>
    <n v="4"/>
    <x v="0"/>
    <m/>
    <s v="Autre pays"/>
    <s v="NGA"/>
    <s v="Nigéria"/>
    <s v="NGA002"/>
    <s v="Adamawa"/>
    <m/>
    <m/>
    <m/>
    <m/>
  </r>
  <r>
    <s v="Extrême-Nord"/>
    <s v="CMR004"/>
    <x v="1"/>
    <s v="CMR004006"/>
    <x v="39"/>
    <s v="CMR004006001"/>
    <s v="MOG-0011"/>
    <s v="TEKI"/>
    <m/>
    <x v="1"/>
    <s v="Avant 2020"/>
    <n v="3"/>
    <n v="16"/>
    <x v="0"/>
    <m/>
    <s v="Autre pays"/>
    <s v="NGA"/>
    <s v="Nigéria"/>
    <s v="NGA002"/>
    <s v="Adamawa"/>
    <m/>
    <m/>
    <m/>
    <m/>
  </r>
  <r>
    <s v="Extrême-Nord"/>
    <s v="CMR004"/>
    <x v="1"/>
    <s v="CMR004006"/>
    <x v="39"/>
    <s v="CMR004006001"/>
    <s v="MOG-0011"/>
    <s v="TEKI"/>
    <m/>
    <x v="1"/>
    <s v="En 2021"/>
    <n v="0"/>
    <n v="1"/>
    <x v="0"/>
    <m/>
    <s v="Autre pays"/>
    <s v="NGA"/>
    <s v="Nigéria"/>
    <s v="NGA002"/>
    <s v="Adamawa"/>
    <m/>
    <m/>
    <m/>
    <m/>
  </r>
  <r>
    <s v="Extrême-Nord"/>
    <s v="CMR004"/>
    <x v="1"/>
    <s v="CMR004006"/>
    <x v="39"/>
    <s v="CMR004006001"/>
    <s v="MOG-0011"/>
    <s v="TEKI"/>
    <m/>
    <x v="1"/>
    <s v="Janvier - Aout 2022"/>
    <n v="0"/>
    <n v="2"/>
    <x v="0"/>
    <m/>
    <s v="Autre pays"/>
    <s v="NGA"/>
    <s v="Nigéria"/>
    <s v="NGA002"/>
    <s v="Adamawa"/>
    <m/>
    <m/>
    <m/>
    <m/>
  </r>
  <r>
    <s v="Extrême-Nord"/>
    <s v="CMR004"/>
    <x v="2"/>
    <s v="CMR004002"/>
    <x v="12"/>
    <s v="CMR004002002"/>
    <s v="GOU-0055"/>
    <s v="AMFARA 5"/>
    <m/>
    <x v="1"/>
    <s v="Janvier - Aout 2022"/>
    <n v="1"/>
    <n v="2"/>
    <x v="0"/>
    <m/>
    <s v="Autre pays"/>
    <s v="NGA"/>
    <s v="Nigéria"/>
    <s v="CAR071"/>
    <s v="Bayelsa"/>
    <m/>
    <m/>
    <m/>
    <m/>
  </r>
  <r>
    <s v="Extrême-Nord"/>
    <s v="CMR004"/>
    <x v="2"/>
    <s v="CMR004002"/>
    <x v="12"/>
    <s v="CMR004002002"/>
    <s v="GOU-0031"/>
    <s v="TOE 2"/>
    <m/>
    <x v="1"/>
    <s v="Avant 2020"/>
    <n v="5"/>
    <n v="15"/>
    <x v="0"/>
    <m/>
    <s v="Autre pays"/>
    <s v="NGA"/>
    <s v="Nigéria"/>
    <s v="NGA001"/>
    <s v="Abia"/>
    <m/>
    <m/>
    <m/>
    <m/>
  </r>
  <r>
    <s v="Extrême-Nord"/>
    <s v="CMR004"/>
    <x v="2"/>
    <s v="CMR004002"/>
    <x v="8"/>
    <s v="CMR004002009"/>
    <s v="MAK-0124"/>
    <s v="AMSOUMOU"/>
    <m/>
    <x v="1"/>
    <s v="Janvier - Aout 2022"/>
    <n v="22"/>
    <n v="180"/>
    <x v="0"/>
    <m/>
    <s v="Autre pays"/>
    <s v="NGA"/>
    <s v="Nigéria"/>
    <s v="NGA008"/>
    <s v="Borno"/>
    <m/>
    <m/>
    <m/>
    <m/>
  </r>
  <r>
    <s v="Extrême-Nord"/>
    <s v="CMR004"/>
    <x v="2"/>
    <s v="CMR004002"/>
    <x v="8"/>
    <s v="CMR004002009"/>
    <s v="MAK-0106"/>
    <s v="CHOU-SALAMAT"/>
    <m/>
    <x v="1"/>
    <s v="Janvier - Aout 2022"/>
    <n v="3"/>
    <n v="8"/>
    <x v="0"/>
    <m/>
    <s v="Autre pays"/>
    <s v="NGA"/>
    <s v="Nigéria"/>
    <s v="NGA008"/>
    <s v="Borno"/>
    <m/>
    <m/>
    <m/>
    <m/>
  </r>
  <r>
    <s v="Extrême-Nord"/>
    <s v="CMR004"/>
    <x v="2"/>
    <s v="CMR004002"/>
    <x v="8"/>
    <s v="CMR004002009"/>
    <s v="MAK-0106"/>
    <s v="CHOU-SALAMAT"/>
    <m/>
    <x v="1"/>
    <s v="Septembre 2022 – Février 2023"/>
    <n v="2"/>
    <n v="3"/>
    <x v="3"/>
    <m/>
    <s v="Autre pays"/>
    <s v="NGA"/>
    <s v="Nigéria"/>
    <s v="NGA008"/>
    <s v="Borno"/>
    <m/>
    <m/>
    <m/>
    <m/>
  </r>
  <r>
    <s v="Extrême-Nord"/>
    <s v="CMR004"/>
    <x v="2"/>
    <s v="CMR004002"/>
    <x v="8"/>
    <s v="CMR004002009"/>
    <s v="MAK-0105"/>
    <s v="CHOU-KOTOKO"/>
    <m/>
    <x v="1"/>
    <s v="Janvier - Aout 2022"/>
    <n v="9"/>
    <n v="12"/>
    <x v="0"/>
    <m/>
    <s v="Autre pays"/>
    <s v="NGA"/>
    <s v="Nigéria"/>
    <s v="NGA008"/>
    <s v="Borno"/>
    <m/>
    <m/>
    <m/>
    <m/>
  </r>
  <r>
    <s v="Extrême-Nord"/>
    <s v="CMR004"/>
    <x v="2"/>
    <s v="CMR004002"/>
    <x v="8"/>
    <s v="CMR004002009"/>
    <s v="MAK-0115"/>
    <s v="NGORTCHONO 2"/>
    <m/>
    <x v="1"/>
    <s v="Janvier - Aout 2022"/>
    <n v="19"/>
    <n v="154"/>
    <x v="0"/>
    <m/>
    <s v="Autre pays"/>
    <s v="NGA"/>
    <s v="Nigéria"/>
    <s v="NGA008"/>
    <s v="Borno"/>
    <m/>
    <m/>
    <m/>
    <m/>
  </r>
  <r>
    <s v="Extrême-Nord"/>
    <s v="CMR004"/>
    <x v="2"/>
    <s v="CMR004002"/>
    <x v="8"/>
    <s v="CMR004002009"/>
    <s v="MAK-0153"/>
    <s v="BLO"/>
    <m/>
    <x v="1"/>
    <s v="Janvier - Aout 2022"/>
    <n v="47"/>
    <n v="422"/>
    <x v="0"/>
    <m/>
    <s v="Autre pays"/>
    <s v="NGA"/>
    <s v="Nigéria"/>
    <s v="NGA008"/>
    <s v="Borno"/>
    <m/>
    <m/>
    <m/>
    <m/>
  </r>
  <r>
    <s v="Extrême-Nord"/>
    <s v="CMR004"/>
    <x v="2"/>
    <s v="CMR004002"/>
    <x v="8"/>
    <s v="CMR004002009"/>
    <s v="MAK-0103"/>
    <s v="NGOURNOU"/>
    <m/>
    <x v="1"/>
    <s v="Janvier - Aout 2022"/>
    <n v="42"/>
    <n v="152"/>
    <x v="0"/>
    <m/>
    <s v="Autre pays"/>
    <s v="NGA"/>
    <s v="Nigéria"/>
    <s v="NGA008"/>
    <s v="Borno"/>
    <m/>
    <m/>
    <m/>
    <m/>
  </r>
  <r>
    <s v="Extrême-Nord"/>
    <s v="CMR004"/>
    <x v="2"/>
    <s v="CMR004002"/>
    <x v="8"/>
    <s v="CMR004002009"/>
    <s v="MAK-0101"/>
    <s v="MBEE"/>
    <m/>
    <x v="1"/>
    <s v="Janvier - Aout 2022"/>
    <n v="16"/>
    <n v="83"/>
    <x v="0"/>
    <m/>
    <s v="Autre pays"/>
    <s v="NGA"/>
    <s v="Nigéria"/>
    <s v="NGA008"/>
    <s v="Borno"/>
    <m/>
    <m/>
    <m/>
    <m/>
  </r>
  <r>
    <s v="Extrême-Nord"/>
    <s v="CMR004"/>
    <x v="2"/>
    <s v="CMR004002"/>
    <x v="8"/>
    <s v="CMR004002009"/>
    <s v="MAK-0207"/>
    <s v="SITE DE MAFOUFOU"/>
    <m/>
    <x v="1"/>
    <s v="Janvier - Aout 2022"/>
    <n v="37"/>
    <n v="116"/>
    <x v="0"/>
    <m/>
    <s v="Autre pays"/>
    <s v="NGA"/>
    <s v="Nigéria"/>
    <s v="NGA008"/>
    <s v="Borno"/>
    <m/>
    <m/>
    <m/>
    <m/>
  </r>
  <r>
    <s v="Extrême-Nord"/>
    <s v="CMR004"/>
    <x v="1"/>
    <s v="CMR004006"/>
    <x v="39"/>
    <s v="CMR004006001"/>
    <s v="MOG-0006"/>
    <s v="NORA"/>
    <m/>
    <x v="1"/>
    <s v="Avant 2020"/>
    <n v="6"/>
    <n v="29"/>
    <x v="0"/>
    <m/>
    <s v="Autre pays"/>
    <s v="NGA"/>
    <s v="Nigéria"/>
    <s v="NGA002"/>
    <s v="Adamawa"/>
    <m/>
    <m/>
    <m/>
    <m/>
  </r>
  <r>
    <s v="Extrême-Nord"/>
    <s v="CMR004"/>
    <x v="1"/>
    <s v="CMR004006"/>
    <x v="39"/>
    <s v="CMR004006001"/>
    <s v="MOG-0006"/>
    <s v="NORA"/>
    <m/>
    <x v="1"/>
    <s v="En 2021"/>
    <n v="0"/>
    <n v="2"/>
    <x v="0"/>
    <m/>
    <s v="Autre pays"/>
    <s v="NGA"/>
    <s v="Nigéria"/>
    <s v="NGA002"/>
    <s v="Adamawa"/>
    <m/>
    <m/>
    <m/>
    <m/>
  </r>
  <r>
    <s v="Extrême-Nord"/>
    <s v="CMR004"/>
    <x v="1"/>
    <s v="CMR004006"/>
    <x v="39"/>
    <s v="CMR004006001"/>
    <s v="MOG-0006"/>
    <s v="NORA"/>
    <m/>
    <x v="1"/>
    <s v="Janvier - Aout 2022"/>
    <n v="0"/>
    <n v="2"/>
    <x v="0"/>
    <m/>
    <s v="Autre pays"/>
    <s v="NGA"/>
    <s v="Nigéria"/>
    <s v="NGA002"/>
    <s v="Adamawa"/>
    <m/>
    <m/>
    <m/>
    <m/>
  </r>
  <r>
    <s v="Extrême-Nord"/>
    <s v="CMR004"/>
    <x v="1"/>
    <s v="CMR004006"/>
    <x v="39"/>
    <s v="CMR004006001"/>
    <s v="MOG-0014"/>
    <s v="KORTCHI"/>
    <m/>
    <x v="1"/>
    <s v="Avant 2020"/>
    <n v="2"/>
    <n v="11"/>
    <x v="0"/>
    <m/>
    <s v="Autre pays"/>
    <s v="NGA"/>
    <s v="Nigéria"/>
    <s v="NGA002"/>
    <s v="Adamawa"/>
    <m/>
    <m/>
    <m/>
    <m/>
  </r>
  <r>
    <s v="Extrême-Nord"/>
    <s v="CMR004"/>
    <x v="1"/>
    <s v="CMR004006"/>
    <x v="39"/>
    <s v="CMR004006001"/>
    <s v="MOG-0014"/>
    <s v="KORTCHI"/>
    <m/>
    <x v="1"/>
    <s v="Janvier - Aout 2022"/>
    <n v="1"/>
    <n v="3"/>
    <x v="0"/>
    <m/>
    <s v="Autre pays"/>
    <s v="NGA"/>
    <s v="Nigéria"/>
    <s v="NGA002"/>
    <s v="Adamawa"/>
    <m/>
    <m/>
    <m/>
    <m/>
  </r>
  <r>
    <s v="Extrême-Nord"/>
    <s v="CMR004"/>
    <x v="2"/>
    <s v="CMR004002"/>
    <x v="8"/>
    <s v="CMR004002009"/>
    <s v="MAK-0127"/>
    <s v="SITE DE BEDA"/>
    <m/>
    <x v="1"/>
    <s v="Avant 2020"/>
    <n v="26"/>
    <n v="344"/>
    <x v="0"/>
    <m/>
    <s v="Autre pays"/>
    <s v="NGA"/>
    <s v="Nigéria"/>
    <s v="NGA008"/>
    <s v="Borno"/>
    <m/>
    <m/>
    <m/>
    <m/>
  </r>
  <r>
    <s v="Extrême-Nord"/>
    <s v="CMR004"/>
    <x v="2"/>
    <s v="CMR004002"/>
    <x v="25"/>
    <s v="CMR004002008"/>
    <s v="FOT-0037"/>
    <s v="BIDI"/>
    <m/>
    <x v="1"/>
    <s v="Avant 2020"/>
    <n v="6"/>
    <n v="43"/>
    <x v="0"/>
    <m/>
    <s v="Autre pays"/>
    <s v="NGA"/>
    <s v="Nigéria"/>
    <s v="NGA008"/>
    <s v="Borno"/>
    <m/>
    <m/>
    <m/>
    <m/>
  </r>
  <r>
    <s v="Extrême-Nord"/>
    <s v="CMR004"/>
    <x v="2"/>
    <s v="CMR004002"/>
    <x v="25"/>
    <s v="CMR004002008"/>
    <s v="FOT-0037"/>
    <s v="BIDI"/>
    <m/>
    <x v="1"/>
    <s v="Janvier - Aout 2022"/>
    <n v="4"/>
    <n v="22"/>
    <x v="0"/>
    <m/>
    <s v="Autre pays"/>
    <s v="NGA"/>
    <s v="Nigéria"/>
    <s v="NGA008"/>
    <s v="Borno"/>
    <m/>
    <m/>
    <m/>
    <m/>
  </r>
  <r>
    <s v="Extrême-Nord"/>
    <s v="CMR004"/>
    <x v="2"/>
    <s v="CMR004002"/>
    <x v="25"/>
    <s v="CMR004002008"/>
    <s v="FOT-0037"/>
    <s v="BIDI"/>
    <m/>
    <x v="1"/>
    <s v="En 2021"/>
    <n v="7"/>
    <n v="28"/>
    <x v="0"/>
    <m/>
    <s v="Autre pays"/>
    <s v="NGA"/>
    <s v="Nigéria"/>
    <s v="NGA008"/>
    <s v="Borno"/>
    <m/>
    <m/>
    <m/>
    <m/>
  </r>
  <r>
    <s v="Extrême-Nord"/>
    <s v="CMR004"/>
    <x v="2"/>
    <s v="CMR004002"/>
    <x v="25"/>
    <s v="CMR004002008"/>
    <s v="FOT-0007"/>
    <s v="KALOUE"/>
    <m/>
    <x v="1"/>
    <s v="Avant 2020"/>
    <n v="2"/>
    <n v="18"/>
    <x v="0"/>
    <m/>
    <s v="Autre pays"/>
    <s v="NGA"/>
    <s v="Nigéria"/>
    <s v="NGA008"/>
    <s v="Borno"/>
    <m/>
    <m/>
    <m/>
    <m/>
  </r>
  <r>
    <s v="Extrême-Nord"/>
    <s v="CMR004"/>
    <x v="2"/>
    <s v="CMR004002"/>
    <x v="9"/>
    <s v="CMR004002010"/>
    <s v="HIL-0022"/>
    <s v="FADJA"/>
    <m/>
    <x v="1"/>
    <s v="Avant 2020"/>
    <n v="4"/>
    <n v="40"/>
    <x v="0"/>
    <m/>
    <s v="Autre pays"/>
    <s v="NGA"/>
    <s v="Nigéria"/>
    <s v="NGA008"/>
    <s v="Borno"/>
    <m/>
    <m/>
    <m/>
    <m/>
  </r>
  <r>
    <s v="Extrême-Nord"/>
    <s v="CMR004"/>
    <x v="2"/>
    <s v="CMR004002"/>
    <x v="9"/>
    <s v="CMR004002010"/>
    <s v="HIL-0023"/>
    <s v="GONONI"/>
    <m/>
    <x v="1"/>
    <s v="Avant 2020"/>
    <n v="4"/>
    <n v="31"/>
    <x v="0"/>
    <m/>
    <s v="Autre pays"/>
    <s v="NGA"/>
    <s v="Nigéria"/>
    <s v="NGA008"/>
    <s v="Borno"/>
    <m/>
    <m/>
    <m/>
    <m/>
  </r>
  <r>
    <s v="Extrême-Nord"/>
    <s v="CMR004"/>
    <x v="1"/>
    <s v="CMR004006"/>
    <x v="7"/>
    <s v="CMR004006005"/>
    <s v="MOZ-0013"/>
    <s v="MANDOUSSA"/>
    <m/>
    <x v="1"/>
    <s v="Avant 2020"/>
    <n v="17"/>
    <n v="85"/>
    <x v="0"/>
    <m/>
    <s v="Autre pays"/>
    <s v="NGA"/>
    <s v="Nigéria"/>
    <s v="NGA008"/>
    <s v="Borno"/>
    <m/>
    <m/>
    <m/>
    <m/>
  </r>
  <r>
    <s v="Extrême-Nord"/>
    <s v="CMR004"/>
    <x v="2"/>
    <s v="CMR004002"/>
    <x v="9"/>
    <s v="CMR004002010"/>
    <s v="HIL-0016"/>
    <s v="DOUGOUMSILIO 2"/>
    <m/>
    <x v="1"/>
    <s v="Avant 2020"/>
    <n v="7"/>
    <n v="49"/>
    <x v="0"/>
    <m/>
    <s v="Autre pays"/>
    <s v="NGA"/>
    <s v="Nigéria"/>
    <s v="NGA008"/>
    <s v="Borno"/>
    <m/>
    <m/>
    <m/>
    <m/>
  </r>
  <r>
    <s v="Extrême-Nord"/>
    <s v="CMR004"/>
    <x v="2"/>
    <s v="CMR004002"/>
    <x v="8"/>
    <s v="CMR004002009"/>
    <s v="MAK-0100"/>
    <s v="KESSAWA"/>
    <m/>
    <x v="1"/>
    <s v="Janvier - Aout 2022"/>
    <n v="39"/>
    <n v="261"/>
    <x v="0"/>
    <m/>
    <s v="Autre pays"/>
    <s v="NGA"/>
    <s v="Nigéria"/>
    <s v="NGA008"/>
    <s v="Borno"/>
    <m/>
    <m/>
    <m/>
    <m/>
  </r>
  <r>
    <s v="Extrême-Nord"/>
    <s v="CMR004"/>
    <x v="2"/>
    <s v="CMR004002"/>
    <x v="8"/>
    <s v="CMR004002009"/>
    <s v="MAK-0100"/>
    <s v="KESSAWA"/>
    <m/>
    <x v="1"/>
    <s v="Septembre 2022 – Février 2023"/>
    <n v="10"/>
    <n v="80"/>
    <x v="0"/>
    <m/>
    <s v="Autre pays"/>
    <s v="NGA"/>
    <s v="Nigéria"/>
    <s v="NGA009"/>
    <s v="Cross River"/>
    <m/>
    <m/>
    <m/>
    <m/>
  </r>
  <r>
    <s v="Extrême-Nord"/>
    <s v="CMR004"/>
    <x v="2"/>
    <s v="CMR004002"/>
    <x v="8"/>
    <s v="CMR004002009"/>
    <s v="MAK-0049"/>
    <s v="KESAWA"/>
    <m/>
    <x v="1"/>
    <s v="Janvier - Aout 2022"/>
    <n v="15"/>
    <n v="139"/>
    <x v="0"/>
    <m/>
    <s v="Autre pays"/>
    <s v="NGA"/>
    <s v="Nigéria"/>
    <s v="NGA008"/>
    <s v="Borno"/>
    <m/>
    <m/>
    <m/>
    <m/>
  </r>
  <r>
    <s v="Extrême-Nord"/>
    <s v="CMR004"/>
    <x v="2"/>
    <s v="CMR004002"/>
    <x v="8"/>
    <s v="CMR004002009"/>
    <s v="MAK-0110"/>
    <s v="HELISNA"/>
    <m/>
    <x v="1"/>
    <s v="Janvier - Aout 2022"/>
    <n v="5"/>
    <n v="47"/>
    <x v="0"/>
    <m/>
    <s v="Autre pays"/>
    <s v="NGA"/>
    <s v="Nigéria"/>
    <s v="NGA008"/>
    <s v="Borno"/>
    <m/>
    <m/>
    <m/>
    <m/>
  </r>
  <r>
    <s v="Extrême-Nord"/>
    <s v="CMR004"/>
    <x v="2"/>
    <s v="CMR004002"/>
    <x v="8"/>
    <s v="CMR004002009"/>
    <s v="MAK-0003"/>
    <s v="AFADE (village)"/>
    <m/>
    <x v="1"/>
    <s v="Janvier - Aout 2022"/>
    <n v="52"/>
    <n v="474"/>
    <x v="0"/>
    <m/>
    <s v="Autre pays"/>
    <s v="NGA"/>
    <s v="Nigéria"/>
    <s v="NGA008"/>
    <s v="Borno"/>
    <m/>
    <m/>
    <m/>
    <m/>
  </r>
  <r>
    <s v="Extrême-Nord"/>
    <s v="CMR004"/>
    <x v="2"/>
    <s v="CMR004002"/>
    <x v="8"/>
    <s v="CMR004002009"/>
    <s v="MAK-0004"/>
    <s v="SITE DE AFADE"/>
    <m/>
    <x v="1"/>
    <s v="Janvier - Aout 2022"/>
    <n v="397"/>
    <n v="3500"/>
    <x v="0"/>
    <m/>
    <s v="Autre pays"/>
    <s v="NGA"/>
    <s v="Nigéria"/>
    <s v="NGA008"/>
    <s v="Borno"/>
    <m/>
    <m/>
    <m/>
    <m/>
  </r>
  <r>
    <s v="Extrême-Nord"/>
    <s v="CMR004"/>
    <x v="2"/>
    <s v="CMR004002"/>
    <x v="13"/>
    <s v="CMR004002001"/>
    <s v="WAZ-0014"/>
    <s v="ZOLZALÉ"/>
    <m/>
    <x v="1"/>
    <s v="Avant 2020"/>
    <n v="38"/>
    <n v="216"/>
    <x v="0"/>
    <m/>
    <s v="Autre pays"/>
    <s v="NGA"/>
    <s v="Nigéria"/>
    <s v="NGA008"/>
    <s v="Borno"/>
    <m/>
    <m/>
    <m/>
    <m/>
  </r>
  <r>
    <s v="Extrême-Nord"/>
    <s v="CMR004"/>
    <x v="2"/>
    <s v="CMR004002"/>
    <x v="13"/>
    <s v="CMR004002001"/>
    <s v="WAZ-0014"/>
    <s v="ZOLZALÉ"/>
    <m/>
    <x v="1"/>
    <s v="En 2020"/>
    <n v="0"/>
    <n v="4"/>
    <x v="0"/>
    <m/>
    <s v="Autre pays"/>
    <s v="NGA"/>
    <s v="Nigéria"/>
    <s v="NGA008"/>
    <s v="Borno"/>
    <m/>
    <m/>
    <m/>
    <m/>
  </r>
  <r>
    <s v="Extrême-Nord"/>
    <s v="CMR004"/>
    <x v="2"/>
    <s v="CMR004002"/>
    <x v="13"/>
    <s v="CMR004002001"/>
    <s v="WAZ-0014"/>
    <s v="ZOLZALÉ"/>
    <m/>
    <x v="1"/>
    <s v="En 2021"/>
    <n v="0"/>
    <n v="11"/>
    <x v="0"/>
    <m/>
    <s v="Autre pays"/>
    <s v="NGA"/>
    <s v="Nigéria"/>
    <s v="NGA008"/>
    <s v="Borno"/>
    <m/>
    <m/>
    <m/>
    <m/>
  </r>
  <r>
    <s v="Extrême-Nord"/>
    <s v="CMR004"/>
    <x v="2"/>
    <s v="CMR004002"/>
    <x v="13"/>
    <s v="CMR004002001"/>
    <s v="WAZ-0014"/>
    <s v="ZOLZALÉ"/>
    <m/>
    <x v="1"/>
    <s v="Janvier - Aout 2022"/>
    <n v="0"/>
    <n v="4"/>
    <x v="0"/>
    <m/>
    <s v="Autre pays"/>
    <s v="NGA"/>
    <s v="Nigéria"/>
    <s v="NGA008"/>
    <s v="Borno"/>
    <m/>
    <m/>
    <m/>
    <m/>
  </r>
  <r>
    <s v="Extrême-Nord"/>
    <s v="CMR004"/>
    <x v="2"/>
    <s v="CMR004002"/>
    <x v="13"/>
    <s v="CMR004002001"/>
    <s v="WAZ-0004"/>
    <s v="MADA 1"/>
    <m/>
    <x v="1"/>
    <s v="Avant 2020"/>
    <n v="40"/>
    <n v="175"/>
    <x v="0"/>
    <m/>
    <s v="Autre pays"/>
    <s v="NGA"/>
    <s v="Nigéria"/>
    <s v="NGA008"/>
    <s v="Borno"/>
    <m/>
    <m/>
    <m/>
    <m/>
  </r>
  <r>
    <s v="Extrême-Nord"/>
    <s v="CMR004"/>
    <x v="2"/>
    <s v="CMR004002"/>
    <x v="13"/>
    <s v="CMR004002001"/>
    <s v="WAZ-0004"/>
    <s v="MADA 1"/>
    <m/>
    <x v="1"/>
    <s v="En 2020"/>
    <n v="0"/>
    <n v="15"/>
    <x v="0"/>
    <m/>
    <s v="Autre pays"/>
    <s v="NGA"/>
    <s v="Nigéria"/>
    <s v="NGA008"/>
    <s v="Borno"/>
    <m/>
    <m/>
    <m/>
    <m/>
  </r>
  <r>
    <s v="Extrême-Nord"/>
    <s v="CMR004"/>
    <x v="2"/>
    <s v="CMR004002"/>
    <x v="15"/>
    <s v="CMR004002004"/>
    <s v="LBI-0017"/>
    <s v="SKLIO"/>
    <m/>
    <x v="1"/>
    <s v="Avant 2020"/>
    <n v="40"/>
    <n v="119"/>
    <x v="0"/>
    <m/>
    <s v="Autre pays"/>
    <s v="NGA"/>
    <s v="Nigéria"/>
    <s v="NGA008"/>
    <s v="Borno"/>
    <m/>
    <m/>
    <m/>
    <m/>
  </r>
  <r>
    <s v="Extrême-Nord"/>
    <s v="CMR004"/>
    <x v="2"/>
    <s v="CMR004002"/>
    <x v="15"/>
    <s v="CMR004002004"/>
    <s v="LBI-0013"/>
    <s v="MOULADOCK 2"/>
    <m/>
    <x v="1"/>
    <s v="Avant 2020"/>
    <n v="44"/>
    <n v="244"/>
    <x v="0"/>
    <m/>
    <s v="Autre pays"/>
    <s v="NGA"/>
    <s v="Nigéria"/>
    <s v="NGA008"/>
    <s v="Borno"/>
    <m/>
    <m/>
    <m/>
    <m/>
  </r>
  <r>
    <s v="Extrême-Nord"/>
    <s v="CMR004"/>
    <x v="2"/>
    <s v="CMR004002"/>
    <x v="25"/>
    <s v="CMR004002008"/>
    <s v="FOT-0026"/>
    <s v="GOLMO KOTOKO"/>
    <m/>
    <x v="1"/>
    <s v="Avant 2020"/>
    <n v="53"/>
    <n v="268"/>
    <x v="0"/>
    <m/>
    <s v="Autre pays"/>
    <s v="NGA"/>
    <s v="Nigéria"/>
    <s v="NGA008"/>
    <s v="Borno"/>
    <m/>
    <m/>
    <m/>
    <m/>
  </r>
  <r>
    <s v="Extrême-Nord"/>
    <s v="CMR004"/>
    <x v="2"/>
    <s v="CMR004002"/>
    <x v="13"/>
    <s v="CMR004002001"/>
    <s v="WAZ-0022"/>
    <s v="SITE DE MADA 2"/>
    <m/>
    <x v="1"/>
    <s v="Avant 2020"/>
    <n v="11"/>
    <n v="47"/>
    <x v="0"/>
    <m/>
    <s v="Autre pays"/>
    <s v="NGA"/>
    <s v="Nigéria"/>
    <s v="NGA008"/>
    <s v="Borno"/>
    <m/>
    <m/>
    <m/>
    <m/>
  </r>
  <r>
    <s v="Extrême-Nord"/>
    <s v="CMR004"/>
    <x v="2"/>
    <s v="CMR004002"/>
    <x v="13"/>
    <s v="CMR004002001"/>
    <s v="WAZ-0022"/>
    <s v="SITE DE MADA 2"/>
    <m/>
    <x v="1"/>
    <s v="En 2020"/>
    <n v="0"/>
    <n v="2"/>
    <x v="0"/>
    <m/>
    <s v="Autre pays"/>
    <s v="NGA"/>
    <s v="Nigéria"/>
    <s v="NGA008"/>
    <s v="Borno"/>
    <m/>
    <m/>
    <m/>
    <m/>
  </r>
  <r>
    <s v="Extrême-Nord"/>
    <s v="CMR004"/>
    <x v="2"/>
    <s v="CMR004002"/>
    <x v="13"/>
    <s v="CMR004002001"/>
    <s v="WAZ-0022"/>
    <s v="SITE DE MADA 2"/>
    <m/>
    <x v="1"/>
    <s v="En 2021"/>
    <n v="2"/>
    <n v="9"/>
    <x v="0"/>
    <m/>
    <s v="Autre pays"/>
    <s v="NGA"/>
    <s v="Nigéria"/>
    <s v="NGA008"/>
    <s v="Borno"/>
    <m/>
    <m/>
    <m/>
    <m/>
  </r>
  <r>
    <s v="Extrême-Nord"/>
    <s v="CMR004"/>
    <x v="2"/>
    <s v="CMR004002"/>
    <x v="13"/>
    <s v="CMR004002001"/>
    <s v="WAZ-0022"/>
    <s v="SITE DE MADA 2"/>
    <m/>
    <x v="1"/>
    <s v="Janvier - Aout 2022"/>
    <n v="0"/>
    <n v="2"/>
    <x v="0"/>
    <m/>
    <s v="Autre pays"/>
    <s v="NGA"/>
    <s v="Nigéria"/>
    <s v="NGA008"/>
    <s v="Borno"/>
    <m/>
    <m/>
    <m/>
    <m/>
  </r>
  <r>
    <s v="Extrême-Nord"/>
    <s v="CMR004"/>
    <x v="2"/>
    <s v="CMR004002"/>
    <x v="10"/>
    <s v="CMR004002003"/>
    <s v="BLA-0017"/>
    <s v="SABOURA"/>
    <m/>
    <x v="1"/>
    <s v="Septembre 2022 – Février 2023"/>
    <n v="2"/>
    <n v="10"/>
    <x v="0"/>
    <m/>
    <s v="Autre pays"/>
    <s v="NGA"/>
    <s v="Nigéria"/>
    <s v="NGA008"/>
    <s v="Borno"/>
    <m/>
    <m/>
    <m/>
    <m/>
  </r>
  <r>
    <s v="Extrême-Nord"/>
    <s v="CMR004"/>
    <x v="2"/>
    <s v="CMR004002"/>
    <x v="8"/>
    <s v="CMR004002009"/>
    <s v="MAK-0191"/>
    <s v="SOUDRALHEL"/>
    <m/>
    <x v="1"/>
    <s v="Avant 2020"/>
    <n v="30"/>
    <n v="100"/>
    <x v="0"/>
    <m/>
    <s v="Autre pays"/>
    <s v="NGA"/>
    <s v="Nigéria"/>
    <s v="NGA008"/>
    <s v="Borno"/>
    <m/>
    <m/>
    <m/>
    <m/>
  </r>
  <r>
    <s v="Extrême-Nord"/>
    <s v="CMR004"/>
    <x v="4"/>
    <s v="CMR004005"/>
    <x v="17"/>
    <s v="CMR004005002"/>
    <s v="MOR-0038"/>
    <s v="KESSA GANA"/>
    <m/>
    <x v="1"/>
    <s v="Avant 2020"/>
    <n v="30"/>
    <n v="134"/>
    <x v="0"/>
    <m/>
    <s v="Autre pays"/>
    <s v="NGA"/>
    <s v="Nigéria"/>
    <s v="NGA008"/>
    <s v="Borno"/>
    <m/>
    <m/>
    <m/>
    <m/>
  </r>
  <r>
    <s v="Extrême-Nord"/>
    <s v="CMR004"/>
    <x v="4"/>
    <s v="CMR004005"/>
    <x v="17"/>
    <s v="CMR004005002"/>
    <s v="MOR-0038"/>
    <s v="KESSA GANA"/>
    <m/>
    <x v="1"/>
    <s v="En 2020"/>
    <n v="0"/>
    <n v="8"/>
    <x v="0"/>
    <m/>
    <s v="Autre pays"/>
    <s v="NGA"/>
    <s v="Nigéria"/>
    <s v="NGA008"/>
    <s v="Borno"/>
    <m/>
    <m/>
    <m/>
    <m/>
  </r>
  <r>
    <s v="Extrême-Nord"/>
    <s v="CMR004"/>
    <x v="4"/>
    <s v="CMR004005"/>
    <x v="17"/>
    <s v="CMR004005002"/>
    <s v="MOR-0038"/>
    <s v="KESSA GANA"/>
    <m/>
    <x v="1"/>
    <s v="En 2021"/>
    <n v="0"/>
    <n v="4"/>
    <x v="0"/>
    <m/>
    <s v="Autre pays"/>
    <s v="NGA"/>
    <s v="Nigéria"/>
    <s v="NGA008"/>
    <s v="Borno"/>
    <m/>
    <m/>
    <m/>
    <m/>
  </r>
  <r>
    <s v="Extrême-Nord"/>
    <s v="CMR004"/>
    <x v="4"/>
    <s v="CMR004005"/>
    <x v="17"/>
    <s v="CMR004005002"/>
    <s v="MOR-0038"/>
    <s v="KESSA GANA"/>
    <m/>
    <x v="1"/>
    <s v="Janvier - Aout 2022"/>
    <n v="0"/>
    <n v="4"/>
    <x v="0"/>
    <m/>
    <s v="Autre pays"/>
    <s v="NGA"/>
    <s v="Nigéria"/>
    <s v="NGA008"/>
    <s v="Borno"/>
    <m/>
    <m/>
    <m/>
    <m/>
  </r>
  <r>
    <s v="Extrême-Nord"/>
    <s v="CMR004"/>
    <x v="4"/>
    <s v="CMR004005"/>
    <x v="17"/>
    <s v="CMR004005002"/>
    <s v="MOR-0037"/>
    <s v="KALDJE"/>
    <m/>
    <x v="1"/>
    <s v="Avant 2020"/>
    <n v="26"/>
    <n v="192"/>
    <x v="0"/>
    <m/>
    <s v="Autre pays"/>
    <s v="NGA"/>
    <s v="Nigéria"/>
    <s v="NGA008"/>
    <s v="Borno"/>
    <m/>
    <m/>
    <m/>
    <m/>
  </r>
  <r>
    <s v="Extrême-Nord"/>
    <s v="CMR004"/>
    <x v="4"/>
    <s v="CMR004005"/>
    <x v="17"/>
    <s v="CMR004005002"/>
    <s v="MOR-0037"/>
    <s v="KALDJE"/>
    <m/>
    <x v="1"/>
    <s v="En 2020"/>
    <n v="5"/>
    <n v="21"/>
    <x v="0"/>
    <m/>
    <s v="Autre pays"/>
    <s v="NGA"/>
    <s v="Nigéria"/>
    <s v="NGA008"/>
    <s v="Borno"/>
    <m/>
    <m/>
    <m/>
    <m/>
  </r>
  <r>
    <s v="Extrême-Nord"/>
    <s v="CMR004"/>
    <x v="4"/>
    <s v="CMR004005"/>
    <x v="17"/>
    <s v="CMR004005002"/>
    <s v="MOR-0037"/>
    <s v="KALDJE"/>
    <m/>
    <x v="1"/>
    <s v="En 2021"/>
    <n v="0"/>
    <n v="2"/>
    <x v="0"/>
    <m/>
    <s v="Autre pays"/>
    <s v="NGA"/>
    <s v="Nigéria"/>
    <s v="NGA008"/>
    <s v="Borno"/>
    <m/>
    <m/>
    <m/>
    <m/>
  </r>
  <r>
    <s v="Extrême-Nord"/>
    <s v="CMR004"/>
    <x v="4"/>
    <s v="CMR004005"/>
    <x v="17"/>
    <s v="CMR004005002"/>
    <s v="MOR-0037"/>
    <s v="KALDJE"/>
    <m/>
    <x v="1"/>
    <s v="Janvier - Aout 2022"/>
    <n v="0"/>
    <n v="4"/>
    <x v="0"/>
    <m/>
    <s v="Autre pays"/>
    <s v="NGA"/>
    <s v="Nigéria"/>
    <s v="NGA008"/>
    <s v="Borno"/>
    <m/>
    <m/>
    <m/>
    <m/>
  </r>
  <r>
    <s v="Extrême-Nord"/>
    <s v="CMR004"/>
    <x v="4"/>
    <s v="CMR004005"/>
    <x v="17"/>
    <s v="CMR004005002"/>
    <s v="MOR-0037"/>
    <s v="KALDJE"/>
    <m/>
    <x v="1"/>
    <s v="Septembre 2022 – Février 2023"/>
    <n v="0"/>
    <n v="3"/>
    <x v="0"/>
    <m/>
    <s v="Autre pays"/>
    <s v="NGA"/>
    <s v="Nigéria"/>
    <s v="NGA008"/>
    <s v="Borno"/>
    <m/>
    <m/>
    <m/>
    <m/>
  </r>
  <r>
    <s v="Extrême-Nord"/>
    <s v="CMR004"/>
    <x v="4"/>
    <s v="CMR004005"/>
    <x v="17"/>
    <s v="CMR004005002"/>
    <s v="MOR-0039"/>
    <s v="SITE DE DANDAYA"/>
    <m/>
    <x v="1"/>
    <s v="Avant 2020"/>
    <n v="105"/>
    <n v="414"/>
    <x v="0"/>
    <m/>
    <s v="Autre pays"/>
    <s v="NGA"/>
    <s v="Nigéria"/>
    <s v="NGA008"/>
    <s v="Borno"/>
    <m/>
    <m/>
    <m/>
    <m/>
  </r>
  <r>
    <s v="Extrême-Nord"/>
    <s v="CMR004"/>
    <x v="4"/>
    <s v="CMR004005"/>
    <x v="17"/>
    <s v="CMR004005002"/>
    <s v="MOR-0039"/>
    <s v="SITE DE DANDAYA"/>
    <m/>
    <x v="1"/>
    <s v="En 2020"/>
    <n v="0"/>
    <n v="4"/>
    <x v="0"/>
    <m/>
    <s v="Autre pays"/>
    <s v="NGA"/>
    <s v="Nigéria"/>
    <s v="NGA008"/>
    <s v="Borno"/>
    <m/>
    <m/>
    <m/>
    <m/>
  </r>
  <r>
    <s v="Extrême-Nord"/>
    <s v="CMR004"/>
    <x v="4"/>
    <s v="CMR004005"/>
    <x v="17"/>
    <s v="CMR004005002"/>
    <s v="MOR-0039"/>
    <s v="SITE DE DANDAYA"/>
    <m/>
    <x v="1"/>
    <s v="En 2021"/>
    <n v="0"/>
    <n v="5"/>
    <x v="0"/>
    <m/>
    <s v="Autre pays"/>
    <s v="NGA"/>
    <s v="Nigéria"/>
    <s v="NGA008"/>
    <s v="Borno"/>
    <m/>
    <m/>
    <m/>
    <m/>
  </r>
  <r>
    <s v="Extrême-Nord"/>
    <s v="CMR004"/>
    <x v="4"/>
    <s v="CMR004005"/>
    <x v="17"/>
    <s v="CMR004005002"/>
    <s v="MOR-0039"/>
    <s v="SITE DE DANDAYA"/>
    <m/>
    <x v="1"/>
    <s v="Janvier - Aout 2022"/>
    <n v="0"/>
    <n v="5"/>
    <x v="0"/>
    <m/>
    <s v="Autre pays"/>
    <s v="NGA"/>
    <s v="Nigéria"/>
    <s v="NGA008"/>
    <s v="Borno"/>
    <m/>
    <m/>
    <m/>
    <m/>
  </r>
  <r>
    <s v="Extrême-Nord"/>
    <s v="CMR004"/>
    <x v="4"/>
    <s v="CMR004005"/>
    <x v="17"/>
    <s v="CMR004005002"/>
    <s v="MOR-0039"/>
    <s v="SITE DE DANDAYA"/>
    <m/>
    <x v="1"/>
    <s v="Septembre 2022 – Février 2023"/>
    <n v="2"/>
    <n v="15"/>
    <x v="0"/>
    <m/>
    <s v="Autre pays"/>
    <s v="NGA"/>
    <s v="Nigéria"/>
    <s v="NGA008"/>
    <s v="Borno"/>
    <m/>
    <m/>
    <m/>
    <m/>
  </r>
  <r>
    <s v="Extrême-Nord"/>
    <s v="CMR004"/>
    <x v="2"/>
    <s v="CMR004002"/>
    <x v="8"/>
    <s v="CMR004002009"/>
    <s v="MAK-0121"/>
    <s v="ABTABILO FADJAWA"/>
    <m/>
    <x v="1"/>
    <s v="Avant 2020"/>
    <n v="12"/>
    <n v="115"/>
    <x v="0"/>
    <m/>
    <s v="Autre pays"/>
    <s v="NGA"/>
    <s v="Nigéria"/>
    <s v="NGA008"/>
    <s v="Borno"/>
    <m/>
    <m/>
    <m/>
    <m/>
  </r>
  <r>
    <s v="Extrême-Nord"/>
    <s v="CMR004"/>
    <x v="2"/>
    <s v="CMR004002"/>
    <x v="8"/>
    <s v="CMR004002009"/>
    <s v="MAK-0098"/>
    <s v="DIGAM BAR"/>
    <m/>
    <x v="1"/>
    <s v="Avant 2020"/>
    <n v="12"/>
    <n v="120"/>
    <x v="0"/>
    <m/>
    <s v="Autre pays"/>
    <s v="NGA"/>
    <s v="Nigéria"/>
    <s v="NGA008"/>
    <s v="Borno"/>
    <m/>
    <m/>
    <m/>
    <m/>
  </r>
  <r>
    <s v="Extrême-Nord"/>
    <s v="CMR004"/>
    <x v="2"/>
    <s v="CMR004002"/>
    <x v="8"/>
    <s v="CMR004002009"/>
    <s v="MAK-0037"/>
    <s v="GLAO"/>
    <m/>
    <x v="1"/>
    <s v="Avant 2020"/>
    <n v="9"/>
    <n v="82"/>
    <x v="0"/>
    <m/>
    <s v="Autre pays"/>
    <s v="NGA"/>
    <s v="Nigéria"/>
    <s v="NGA008"/>
    <s v="Borno"/>
    <m/>
    <m/>
    <m/>
    <m/>
  </r>
  <r>
    <s v="Extrême-Nord"/>
    <s v="CMR004"/>
    <x v="2"/>
    <s v="CMR004002"/>
    <x v="8"/>
    <s v="CMR004002009"/>
    <s v="MAK-0094"/>
    <s v="WOULKIOKALE"/>
    <m/>
    <x v="1"/>
    <s v="Avant 2020"/>
    <n v="8"/>
    <n v="130"/>
    <x v="0"/>
    <m/>
    <s v="Autre pays"/>
    <s v="NGA"/>
    <s v="Nigéria"/>
    <s v="NGA008"/>
    <s v="Borno"/>
    <m/>
    <m/>
    <m/>
    <m/>
  </r>
  <r>
    <s v="Extrême-Nord"/>
    <s v="CMR004"/>
    <x v="2"/>
    <s v="CMR004002"/>
    <x v="26"/>
    <s v="CMR004002006"/>
    <s v="KOU-0014"/>
    <s v="KOULOUK"/>
    <m/>
    <x v="1"/>
    <s v="Septembre 2022 – Février 2023"/>
    <n v="7"/>
    <n v="30"/>
    <x v="3"/>
    <m/>
    <s v="Autre pays"/>
    <s v="TCD"/>
    <s v="Tchad"/>
    <s v="TCD018"/>
    <s v="N'Djamena"/>
    <m/>
    <m/>
    <m/>
    <m/>
  </r>
  <r>
    <s v="Extrême-Nord"/>
    <s v="CMR004"/>
    <x v="2"/>
    <s v="CMR004002"/>
    <x v="26"/>
    <s v="CMR004002006"/>
    <s v="KOU-0020"/>
    <s v="MADANA"/>
    <m/>
    <x v="1"/>
    <s v="Septembre 2022 – Février 2023"/>
    <n v="45"/>
    <n v="150"/>
    <x v="3"/>
    <m/>
    <s v="Autre pays"/>
    <s v="TCD"/>
    <s v="Tchad"/>
    <s v="TCD018"/>
    <s v="N'Djamena"/>
    <m/>
    <m/>
    <m/>
    <m/>
  </r>
  <r>
    <s v="Extrême-Nord"/>
    <s v="CMR004"/>
    <x v="2"/>
    <s v="CMR004002"/>
    <x v="9"/>
    <s v="CMR004002010"/>
    <s v="HIL-0021"/>
    <s v="FAMARE"/>
    <m/>
    <x v="1"/>
    <s v="En 2020"/>
    <n v="6"/>
    <n v="35"/>
    <x v="0"/>
    <m/>
    <s v="Autre pays"/>
    <s v="NGA"/>
    <s v="Nigéria"/>
    <s v="NGA008"/>
    <s v="Borno"/>
    <m/>
    <m/>
    <m/>
    <m/>
  </r>
  <r>
    <s v="Extrême-Nord"/>
    <s v="CMR004"/>
    <x v="2"/>
    <s v="CMR004002"/>
    <x v="9"/>
    <s v="CMR004002010"/>
    <s v="HIL-0021"/>
    <s v="FAMARE"/>
    <m/>
    <x v="1"/>
    <s v="Janvier - Aout 2022"/>
    <n v="1"/>
    <n v="6"/>
    <x v="0"/>
    <m/>
    <s v="Autre pays"/>
    <s v="NGA"/>
    <s v="Nigéria"/>
    <s v="NGA008"/>
    <s v="Borno"/>
    <m/>
    <m/>
    <m/>
    <m/>
  </r>
  <r>
    <s v="Extrême-Nord"/>
    <s v="CMR004"/>
    <x v="4"/>
    <s v="CMR004005"/>
    <x v="17"/>
    <s v="CMR004005002"/>
    <s v="MOR-0073"/>
    <s v="KOSSERE ZOUELVA"/>
    <m/>
    <x v="1"/>
    <s v="En 2021"/>
    <n v="3"/>
    <n v="16"/>
    <x v="0"/>
    <m/>
    <s v="Autre pays"/>
    <s v="NGA"/>
    <s v="Nigéria"/>
    <s v="NGA002"/>
    <s v="Adamawa"/>
    <m/>
    <m/>
    <m/>
    <m/>
  </r>
  <r>
    <s v="Extrême-Nord"/>
    <s v="CMR004"/>
    <x v="4"/>
    <s v="CMR004005"/>
    <x v="17"/>
    <s v="CMR004005002"/>
    <s v="MOR-0073"/>
    <s v="KOSSERE ZOUELVA"/>
    <m/>
    <x v="1"/>
    <s v="Janvier - Aout 2022"/>
    <n v="0"/>
    <n v="3"/>
    <x v="0"/>
    <m/>
    <s v="Autre pays"/>
    <s v="NGA"/>
    <s v="Nigéria"/>
    <s v="NGA002"/>
    <s v="Adamawa"/>
    <m/>
    <m/>
    <m/>
    <m/>
  </r>
  <r>
    <s v="Extrême-Nord"/>
    <s v="CMR004"/>
    <x v="1"/>
    <s v="CMR004006"/>
    <x v="7"/>
    <s v="CMR004006005"/>
    <s v="MOZ-0005"/>
    <s v="KORSAMBA"/>
    <m/>
    <x v="1"/>
    <s v="Septembre 2022 – Février 2023"/>
    <n v="16"/>
    <n v="73"/>
    <x v="0"/>
    <m/>
    <s v="Autre pays"/>
    <s v="NGA"/>
    <s v="Nigéria"/>
    <s v="NGA008"/>
    <s v="Borno"/>
    <m/>
    <m/>
    <m/>
    <m/>
  </r>
  <r>
    <s v="Extrême-Nord"/>
    <s v="CMR004"/>
    <x v="1"/>
    <s v="CMR004006"/>
    <x v="7"/>
    <s v="CMR004006005"/>
    <s v="MOZ-0008"/>
    <s v="DEKERE CENTRE"/>
    <m/>
    <x v="1"/>
    <s v="Avant 2020"/>
    <n v="20"/>
    <n v="102"/>
    <x v="0"/>
    <m/>
    <s v="Autre pays"/>
    <s v="NGA"/>
    <s v="Nigéria"/>
    <s v="NGA008"/>
    <s v="Borno"/>
    <m/>
    <m/>
    <m/>
    <m/>
  </r>
  <r>
    <s v="Extrême-Nord"/>
    <s v="CMR004"/>
    <x v="2"/>
    <s v="CMR004002"/>
    <x v="25"/>
    <s v="CMR004002008"/>
    <s v="FOT-0024"/>
    <s v="WORO KEYME"/>
    <m/>
    <x v="1"/>
    <s v="Avant 2020"/>
    <n v="12"/>
    <n v="91"/>
    <x v="0"/>
    <m/>
    <s v="Autre pays"/>
    <s v="NGA"/>
    <s v="Nigéria"/>
    <s v="NGA008"/>
    <s v="Borno"/>
    <m/>
    <m/>
    <m/>
    <m/>
  </r>
  <r>
    <s v="Extrême-Nord"/>
    <s v="CMR004"/>
    <x v="2"/>
    <s v="CMR004002"/>
    <x v="25"/>
    <s v="CMR004002008"/>
    <s v="FOT-0024"/>
    <s v="WORO KEYME"/>
    <m/>
    <x v="1"/>
    <s v="Janvier - Aout 2022"/>
    <n v="3"/>
    <n v="17"/>
    <x v="0"/>
    <m/>
    <s v="Autre pays"/>
    <s v="NGA"/>
    <s v="Nigéria"/>
    <s v="NGA008"/>
    <s v="Borno"/>
    <m/>
    <m/>
    <m/>
    <m/>
  </r>
  <r>
    <s v="Extrême-Nord"/>
    <s v="CMR004"/>
    <x v="2"/>
    <s v="CMR004002"/>
    <x v="13"/>
    <s v="CMR004002001"/>
    <s v="WAZ-0011"/>
    <s v="SITE DE WAZA"/>
    <m/>
    <x v="1"/>
    <s v="Avant 2020"/>
    <n v="76"/>
    <n v="304"/>
    <x v="0"/>
    <m/>
    <s v="Autre pays"/>
    <s v="NGA"/>
    <s v="Nigéria"/>
    <s v="NGA008"/>
    <s v="Borno"/>
    <m/>
    <m/>
    <m/>
    <m/>
  </r>
  <r>
    <s v="Extrême-Nord"/>
    <s v="CMR004"/>
    <x v="2"/>
    <s v="CMR004002"/>
    <x v="13"/>
    <s v="CMR004002001"/>
    <s v="WAZ-0011"/>
    <s v="SITE DE WAZA"/>
    <m/>
    <x v="1"/>
    <s v="Septembre 2022 – Février 2023"/>
    <n v="0"/>
    <n v="8"/>
    <x v="0"/>
    <m/>
    <s v="Autre pays"/>
    <s v="NGA"/>
    <s v="Nigéria"/>
    <s v="NGA008"/>
    <s v="Borno"/>
    <m/>
    <m/>
    <m/>
    <m/>
  </r>
  <r>
    <s v="Extrême-Nord"/>
    <s v="CMR004"/>
    <x v="2"/>
    <s v="CMR004002"/>
    <x v="13"/>
    <s v="CMR004002001"/>
    <s v="WAZ-0010"/>
    <s v="TAGAWA 4"/>
    <m/>
    <x v="1"/>
    <s v="Avant 2020"/>
    <n v="13"/>
    <n v="110"/>
    <x v="0"/>
    <m/>
    <s v="Autre pays"/>
    <s v="NGA"/>
    <s v="Nigéria"/>
    <s v="NGA008"/>
    <s v="Borno"/>
    <m/>
    <m/>
    <m/>
    <m/>
  </r>
  <r>
    <s v="Extrême-Nord"/>
    <s v="CMR004"/>
    <x v="2"/>
    <s v="CMR004002"/>
    <x v="13"/>
    <s v="CMR004002001"/>
    <s v="WAZ-0010"/>
    <s v="TAGAWA 4"/>
    <m/>
    <x v="1"/>
    <s v="Septembre 2022 – Février 2023"/>
    <n v="2"/>
    <n v="12"/>
    <x v="0"/>
    <m/>
    <s v="Autre pays"/>
    <s v="NGA"/>
    <s v="Nigéria"/>
    <s v="NGA008"/>
    <s v="Borno"/>
    <m/>
    <m/>
    <m/>
    <m/>
  </r>
  <r>
    <s v="Extrême-Nord"/>
    <s v="CMR004"/>
    <x v="2"/>
    <s v="CMR004002"/>
    <x v="13"/>
    <s v="CMR004002001"/>
    <s v="WAZ-0013"/>
    <s v="CHAOUDE"/>
    <m/>
    <x v="1"/>
    <s v="Avant 2020"/>
    <n v="32"/>
    <n v="143"/>
    <x v="0"/>
    <m/>
    <s v="Autre pays"/>
    <s v="NGA"/>
    <s v="Nigéria"/>
    <s v="NGA008"/>
    <s v="Borno"/>
    <m/>
    <m/>
    <m/>
    <m/>
  </r>
  <r>
    <s v="Extrême-Nord"/>
    <s v="CMR004"/>
    <x v="2"/>
    <s v="CMR004002"/>
    <x v="13"/>
    <s v="CMR004002001"/>
    <s v="WAZ-0013"/>
    <s v="CHAOUDE"/>
    <m/>
    <x v="1"/>
    <s v="Septembre 2022 – Février 2023"/>
    <n v="0"/>
    <n v="10"/>
    <x v="0"/>
    <m/>
    <s v="Autre pays"/>
    <s v="NGA"/>
    <s v="Nigéria"/>
    <s v="NGA008"/>
    <s v="Borno"/>
    <m/>
    <m/>
    <m/>
    <m/>
  </r>
  <r>
    <s v="Extrême-Nord"/>
    <s v="CMR004"/>
    <x v="2"/>
    <s v="CMR004002"/>
    <x v="9"/>
    <s v="CMR004002010"/>
    <s v="HIL-0005"/>
    <s v="BARGARAM"/>
    <m/>
    <x v="1"/>
    <s v="Avant 2020"/>
    <n v="30"/>
    <n v="249"/>
    <x v="0"/>
    <m/>
    <s v="Autre pays"/>
    <s v="NGA"/>
    <s v="Nigéria"/>
    <s v="NGA008"/>
    <s v="Borno"/>
    <m/>
    <m/>
    <m/>
    <m/>
  </r>
  <r>
    <s v="Extrême-Nord"/>
    <s v="CMR004"/>
    <x v="2"/>
    <s v="CMR004002"/>
    <x v="9"/>
    <s v="CMR004002010"/>
    <s v="HIL-0005"/>
    <s v="BARGARAM"/>
    <m/>
    <x v="1"/>
    <s v="Janvier - Aout 2022"/>
    <n v="35"/>
    <n v="295"/>
    <x v="0"/>
    <m/>
    <s v="Autre pays"/>
    <s v="NGA"/>
    <s v="Nigéria"/>
    <s v="NGA008"/>
    <s v="Borno"/>
    <m/>
    <m/>
    <m/>
    <m/>
  </r>
  <r>
    <s v="Extrême-Nord"/>
    <s v="CMR004"/>
    <x v="2"/>
    <s v="CMR004002"/>
    <x v="10"/>
    <s v="CMR004002003"/>
    <s v="BLA-0008"/>
    <s v="KOBRO"/>
    <m/>
    <x v="1"/>
    <s v="Septembre 2022 – Février 2023"/>
    <n v="2"/>
    <n v="8"/>
    <x v="0"/>
    <m/>
    <s v="Autre pays"/>
    <s v="NGA"/>
    <s v="Nigéria"/>
    <s v="NGA008"/>
    <s v="Borno"/>
    <m/>
    <m/>
    <m/>
    <m/>
  </r>
  <r>
    <s v="Extrême-Nord"/>
    <s v="CMR004"/>
    <x v="2"/>
    <s v="CMR004002"/>
    <x v="8"/>
    <s v="CMR004002009"/>
    <s v="MAK-0222"/>
    <s v="LABADO"/>
    <m/>
    <x v="1"/>
    <s v="Avant 2020"/>
    <n v="15"/>
    <n v="50"/>
    <x v="0"/>
    <m/>
    <s v="Autre pays"/>
    <s v="NGA"/>
    <s v="Nigéria"/>
    <s v="NGA008"/>
    <s v="Borno"/>
    <m/>
    <m/>
    <m/>
    <m/>
  </r>
  <r>
    <s v="Extrême-Nord"/>
    <s v="CMR004"/>
    <x v="2"/>
    <s v="CMR004002"/>
    <x v="13"/>
    <s v="CMR004002001"/>
    <s v="WAZ-0007"/>
    <s v="TAGAWA 1"/>
    <m/>
    <x v="1"/>
    <s v="En 2021"/>
    <n v="5"/>
    <n v="35"/>
    <x v="0"/>
    <m/>
    <s v="Autre pays"/>
    <s v="NGA"/>
    <s v="Nigéria"/>
    <s v="NGA008"/>
    <s v="Borno"/>
    <m/>
    <m/>
    <m/>
    <m/>
  </r>
  <r>
    <s v="Extrême-Nord"/>
    <s v="CMR004"/>
    <x v="2"/>
    <s v="CMR004002"/>
    <x v="25"/>
    <s v="CMR004002008"/>
    <s v="FOT-0034"/>
    <s v="GUEGUERI"/>
    <m/>
    <x v="1"/>
    <s v="Avant 2020"/>
    <n v="12"/>
    <n v="90"/>
    <x v="0"/>
    <m/>
    <s v="Autre pays"/>
    <s v="NGA"/>
    <s v="Nigéria"/>
    <s v="NGA008"/>
    <s v="Borno"/>
    <m/>
    <m/>
    <m/>
    <m/>
  </r>
  <r>
    <s v="Extrême-Nord"/>
    <s v="CMR004"/>
    <x v="4"/>
    <s v="CMR004005"/>
    <x v="17"/>
    <s v="CMR004005002"/>
    <s v="MOR-0043"/>
    <s v="SITE DE YEME"/>
    <m/>
    <x v="1"/>
    <s v="Avant 2020"/>
    <n v="304"/>
    <n v="2376"/>
    <x v="0"/>
    <m/>
    <s v="Autre pays"/>
    <s v="NGA"/>
    <s v="Nigéria"/>
    <s v="NGA008"/>
    <s v="Borno"/>
    <m/>
    <m/>
    <m/>
    <m/>
  </r>
  <r>
    <s v="Extrême-Nord"/>
    <s v="CMR004"/>
    <x v="4"/>
    <s v="CMR004005"/>
    <x v="17"/>
    <s v="CMR004005002"/>
    <s v="MOR-0043"/>
    <s v="SITE DE YEME"/>
    <m/>
    <x v="1"/>
    <s v="En 2020"/>
    <n v="0"/>
    <n v="11"/>
    <x v="0"/>
    <m/>
    <s v="Autre pays"/>
    <s v="NGA"/>
    <s v="Nigéria"/>
    <s v="NGA008"/>
    <s v="Borno"/>
    <m/>
    <m/>
    <m/>
    <m/>
  </r>
  <r>
    <s v="Extrême-Nord"/>
    <s v="CMR004"/>
    <x v="4"/>
    <s v="CMR004005"/>
    <x v="17"/>
    <s v="CMR004005002"/>
    <s v="MOR-0043"/>
    <s v="SITE DE YEME"/>
    <m/>
    <x v="1"/>
    <s v="En 2021"/>
    <n v="0"/>
    <n v="16"/>
    <x v="0"/>
    <m/>
    <s v="Autre pays"/>
    <s v="NGA"/>
    <s v="Nigéria"/>
    <s v="NGA008"/>
    <s v="Borno"/>
    <m/>
    <m/>
    <m/>
    <m/>
  </r>
  <r>
    <s v="Extrême-Nord"/>
    <s v="CMR004"/>
    <x v="4"/>
    <s v="CMR004005"/>
    <x v="17"/>
    <s v="CMR004005002"/>
    <s v="MOR-0043"/>
    <s v="SITE DE YEME"/>
    <m/>
    <x v="1"/>
    <s v="Janvier - Aout 2022"/>
    <n v="2"/>
    <n v="21"/>
    <x v="0"/>
    <m/>
    <s v="Autre pays"/>
    <s v="NGA"/>
    <s v="Nigéria"/>
    <s v="NGA008"/>
    <s v="Borno"/>
    <m/>
    <m/>
    <m/>
    <m/>
  </r>
  <r>
    <s v="Extrême-Nord"/>
    <s v="CMR004"/>
    <x v="4"/>
    <s v="CMR004005"/>
    <x v="17"/>
    <s v="CMR004005002"/>
    <s v="MOR-0043"/>
    <s v="SITE DE YEME"/>
    <m/>
    <x v="1"/>
    <s v="Septembre 2022 – Février 2023"/>
    <n v="0"/>
    <n v="8"/>
    <x v="0"/>
    <m/>
    <s v="Autre pays"/>
    <s v="NGA"/>
    <s v="Nigéria"/>
    <s v="NGA008"/>
    <s v="Borno"/>
    <m/>
    <m/>
    <m/>
    <m/>
  </r>
  <r>
    <s v="Extrême-Nord"/>
    <s v="CMR004"/>
    <x v="4"/>
    <s v="CMR004005"/>
    <x v="17"/>
    <s v="CMR004005002"/>
    <s v="MOR-0041"/>
    <s v="MADJINA"/>
    <m/>
    <x v="1"/>
    <s v="Avant 2020"/>
    <n v="24"/>
    <n v="79"/>
    <x v="0"/>
    <m/>
    <s v="Autre pays"/>
    <s v="NGA"/>
    <s v="Nigéria"/>
    <s v="NGA008"/>
    <s v="Borno"/>
    <m/>
    <m/>
    <m/>
    <m/>
  </r>
  <r>
    <s v="Extrême-Nord"/>
    <s v="CMR004"/>
    <x v="4"/>
    <s v="CMR004005"/>
    <x v="17"/>
    <s v="CMR004005002"/>
    <s v="MOR-0041"/>
    <s v="MADJINA"/>
    <m/>
    <x v="1"/>
    <s v="En 2020"/>
    <n v="0"/>
    <n v="12"/>
    <x v="0"/>
    <m/>
    <s v="Autre pays"/>
    <s v="NGA"/>
    <s v="Nigéria"/>
    <s v="NGA008"/>
    <s v="Borno"/>
    <m/>
    <m/>
    <m/>
    <m/>
  </r>
  <r>
    <s v="Extrême-Nord"/>
    <s v="CMR004"/>
    <x v="4"/>
    <s v="CMR004005"/>
    <x v="17"/>
    <s v="CMR004005002"/>
    <s v="MOR-0041"/>
    <s v="MADJINA"/>
    <m/>
    <x v="1"/>
    <s v="En 2021"/>
    <n v="8"/>
    <n v="43"/>
    <x v="0"/>
    <m/>
    <s v="Autre pays"/>
    <s v="NGA"/>
    <s v="Nigéria"/>
    <s v="NGA008"/>
    <s v="Borno"/>
    <m/>
    <m/>
    <m/>
    <m/>
  </r>
  <r>
    <s v="Extrême-Nord"/>
    <s v="CMR004"/>
    <x v="4"/>
    <s v="CMR004005"/>
    <x v="17"/>
    <s v="CMR004005002"/>
    <s v="MOR-0041"/>
    <s v="MADJINA"/>
    <m/>
    <x v="1"/>
    <s v="Janvier - Aout 2022"/>
    <n v="0"/>
    <n v="8"/>
    <x v="0"/>
    <m/>
    <s v="Autre pays"/>
    <s v="NGA"/>
    <s v="Nigéria"/>
    <s v="NGA008"/>
    <s v="Borno"/>
    <m/>
    <m/>
    <m/>
    <m/>
  </r>
  <r>
    <s v="Extrême-Nord"/>
    <s v="CMR004"/>
    <x v="4"/>
    <s v="CMR004005"/>
    <x v="17"/>
    <s v="CMR004005002"/>
    <s v="MOR-0041"/>
    <s v="MADJINA"/>
    <m/>
    <x v="1"/>
    <s v="Septembre 2022 – Février 2023"/>
    <n v="3"/>
    <n v="10"/>
    <x v="0"/>
    <m/>
    <s v="Autre pays"/>
    <s v="NGA"/>
    <s v="Nigéria"/>
    <s v="NGA008"/>
    <s v="Borno"/>
    <m/>
    <m/>
    <m/>
    <m/>
  </r>
  <r>
    <s v="Extrême-Nord"/>
    <s v="CMR004"/>
    <x v="4"/>
    <s v="CMR004005"/>
    <x v="17"/>
    <s v="CMR004005002"/>
    <s v="MOR-0042"/>
    <s v="DJALA"/>
    <m/>
    <x v="1"/>
    <s v="Avant 2020"/>
    <n v="87"/>
    <n v="247"/>
    <x v="0"/>
    <m/>
    <s v="Autre pays"/>
    <s v="NGA"/>
    <s v="Nigéria"/>
    <s v="NGA008"/>
    <s v="Borno"/>
    <m/>
    <m/>
    <m/>
    <m/>
  </r>
  <r>
    <s v="Extrême-Nord"/>
    <s v="CMR004"/>
    <x v="4"/>
    <s v="CMR004005"/>
    <x v="17"/>
    <s v="CMR004005002"/>
    <s v="MOR-0042"/>
    <s v="DJALA"/>
    <m/>
    <x v="1"/>
    <s v="En 2020"/>
    <n v="0"/>
    <n v="4"/>
    <x v="0"/>
    <m/>
    <s v="Autre pays"/>
    <s v="NGA"/>
    <s v="Nigéria"/>
    <s v="NGA008"/>
    <s v="Borno"/>
    <m/>
    <m/>
    <m/>
    <m/>
  </r>
  <r>
    <s v="Extrême-Nord"/>
    <s v="CMR004"/>
    <x v="4"/>
    <s v="CMR004005"/>
    <x v="17"/>
    <s v="CMR004005002"/>
    <s v="MOR-0042"/>
    <s v="DJALA"/>
    <m/>
    <x v="1"/>
    <s v="Septembre 2022 – Février 2023"/>
    <n v="0"/>
    <n v="3"/>
    <x v="0"/>
    <m/>
    <s v="Autre pays"/>
    <s v="NGA"/>
    <s v="Nigéria"/>
    <s v="NGA008"/>
    <s v="Borno"/>
    <m/>
    <m/>
    <m/>
    <m/>
  </r>
  <r>
    <s v="Extrême-Nord"/>
    <s v="CMR004"/>
    <x v="2"/>
    <s v="CMR004002"/>
    <x v="8"/>
    <s v="CMR004002009"/>
    <s v="MAK-0078"/>
    <s v="NDJAMENA 3"/>
    <m/>
    <x v="1"/>
    <s v="Janvier - Aout 2022"/>
    <n v="6"/>
    <n v="9"/>
    <x v="0"/>
    <m/>
    <s v="Autre pays"/>
    <s v="NGA"/>
    <s v="Nigéria"/>
    <s v="NGA008"/>
    <s v="Borno"/>
    <m/>
    <m/>
    <m/>
    <m/>
  </r>
  <r>
    <s v="Extrême-Nord"/>
    <s v="CMR004"/>
    <x v="2"/>
    <s v="CMR004002"/>
    <x v="8"/>
    <s v="CMR004002009"/>
    <s v="MAK-0200"/>
    <s v="SITE DE AMADABO 1"/>
    <m/>
    <x v="1"/>
    <s v="Janvier - Aout 2022"/>
    <n v="3"/>
    <n v="13"/>
    <x v="0"/>
    <m/>
    <s v="Autre pays"/>
    <s v="NGA"/>
    <s v="Nigéria"/>
    <s v="NGA008"/>
    <s v="Borno"/>
    <m/>
    <m/>
    <m/>
    <m/>
  </r>
  <r>
    <s v="Extrême-Nord"/>
    <s v="CMR004"/>
    <x v="2"/>
    <s v="CMR004002"/>
    <x v="8"/>
    <s v="CMR004002009"/>
    <s v="MAK-0214"/>
    <s v="SITE DE MICHKINDING"/>
    <m/>
    <x v="1"/>
    <s v="Septembre 2022 – Février 2023"/>
    <n v="1"/>
    <n v="2"/>
    <x v="0"/>
    <m/>
    <s v="Autre pays"/>
    <s v="NGA"/>
    <s v="Nigéria"/>
    <s v="NGA008"/>
    <s v="Borno"/>
    <m/>
    <m/>
    <m/>
    <m/>
  </r>
  <r>
    <s v="Extrême-Nord"/>
    <s v="CMR004"/>
    <x v="2"/>
    <s v="CMR004002"/>
    <x v="8"/>
    <s v="CMR004002009"/>
    <s v="MAK-0201"/>
    <s v="SITE DE AMADABO 2"/>
    <m/>
    <x v="1"/>
    <s v="Janvier - Aout 2022"/>
    <n v="23"/>
    <n v="137"/>
    <x v="0"/>
    <m/>
    <s v="Autre pays"/>
    <s v="NGA"/>
    <s v="Nigéria"/>
    <s v="NGA008"/>
    <s v="Borno"/>
    <m/>
    <m/>
    <m/>
    <m/>
  </r>
  <r>
    <s v="Extrême-Nord"/>
    <s v="CMR004"/>
    <x v="2"/>
    <s v="CMR004002"/>
    <x v="8"/>
    <s v="CMR004002009"/>
    <s v="MAK-0220"/>
    <s v="SITE DE TILDE"/>
    <m/>
    <x v="1"/>
    <s v="Avant 2020"/>
    <n v="21"/>
    <n v="95"/>
    <x v="0"/>
    <m/>
    <s v="Autre pays"/>
    <s v="NGA"/>
    <s v="Nigéria"/>
    <s v="NGA008"/>
    <s v="Borno"/>
    <m/>
    <m/>
    <m/>
    <m/>
  </r>
  <r>
    <s v="Extrême-Nord"/>
    <s v="CMR004"/>
    <x v="2"/>
    <s v="CMR004002"/>
    <x v="8"/>
    <s v="CMR004002009"/>
    <s v="MAK-0220"/>
    <s v="SITE DE TILDE"/>
    <m/>
    <x v="1"/>
    <s v="En 2020"/>
    <n v="44"/>
    <n v="292"/>
    <x v="0"/>
    <m/>
    <s v="Autre pays"/>
    <s v="NGA"/>
    <s v="Nigéria"/>
    <s v="NGA008"/>
    <s v="Borno"/>
    <m/>
    <m/>
    <m/>
    <m/>
  </r>
  <r>
    <s v="Extrême-Nord"/>
    <s v="CMR004"/>
    <x v="2"/>
    <s v="CMR004002"/>
    <x v="8"/>
    <s v="CMR004002009"/>
    <s v="MAK-0220"/>
    <s v="SITE DE TILDE"/>
    <m/>
    <x v="1"/>
    <s v="En 2021"/>
    <n v="0"/>
    <n v="15"/>
    <x v="0"/>
    <m/>
    <s v="Autre pays"/>
    <s v="NGA"/>
    <s v="Nigéria"/>
    <s v="NGA008"/>
    <s v="Borno"/>
    <m/>
    <m/>
    <m/>
    <m/>
  </r>
  <r>
    <s v="Extrême-Nord"/>
    <s v="CMR004"/>
    <x v="2"/>
    <s v="CMR004002"/>
    <x v="8"/>
    <s v="CMR004002009"/>
    <s v="MAK-0220"/>
    <s v="SITE DE TILDE"/>
    <m/>
    <x v="1"/>
    <s v="Janvier - Aout 2022"/>
    <n v="0"/>
    <n v="9"/>
    <x v="0"/>
    <m/>
    <s v="Autre pays"/>
    <s v="NGA"/>
    <s v="Nigéria"/>
    <s v="NGA008"/>
    <s v="Borno"/>
    <m/>
    <m/>
    <m/>
    <m/>
  </r>
  <r>
    <s v="Extrême-Nord"/>
    <s v="CMR004"/>
    <x v="2"/>
    <s v="CMR004002"/>
    <x v="8"/>
    <s v="CMR004002009"/>
    <s v="MAK-0220"/>
    <s v="SITE DE TILDE"/>
    <m/>
    <x v="1"/>
    <s v="Septembre 2022 – Février 2023"/>
    <n v="0"/>
    <n v="4"/>
    <x v="0"/>
    <m/>
    <s v="Autre pays"/>
    <s v="NGA"/>
    <s v="Nigéria"/>
    <s v="NGA008"/>
    <s v="Borno"/>
    <m/>
    <m/>
    <m/>
    <m/>
  </r>
  <r>
    <s v="Extrême-Nord"/>
    <s v="CMR004"/>
    <x v="4"/>
    <s v="CMR004005"/>
    <x v="17"/>
    <s v="CMR004005002"/>
    <s v="MOR-0032"/>
    <s v="TAYER"/>
    <m/>
    <x v="1"/>
    <s v="Janvier - Aout 2022"/>
    <n v="4"/>
    <n v="20"/>
    <x v="0"/>
    <m/>
    <s v="Autre pays"/>
    <s v="NGA"/>
    <s v="Nigéria"/>
    <s v="NGA031"/>
    <s v="Oyo"/>
    <m/>
    <m/>
    <m/>
    <m/>
  </r>
  <r>
    <s v="Extrême-Nord"/>
    <s v="CMR004"/>
    <x v="4"/>
    <s v="CMR004005"/>
    <x v="17"/>
    <s v="CMR004005002"/>
    <s v="MOR-0032"/>
    <s v="TAYER"/>
    <m/>
    <x v="1"/>
    <s v="Septembre 2022 – Février 2023"/>
    <n v="6"/>
    <n v="27"/>
    <x v="0"/>
    <m/>
    <s v="Autre pays"/>
    <s v="NGA"/>
    <s v="Nigéria"/>
    <s v="NGA031"/>
    <s v="Oyo"/>
    <m/>
    <m/>
    <m/>
    <m/>
  </r>
  <r>
    <s v="Extrême-Nord"/>
    <s v="CMR004"/>
    <x v="2"/>
    <s v="CMR004002"/>
    <x v="15"/>
    <s v="CMR004002004"/>
    <s v="LBI-0067"/>
    <s v="MAGO"/>
    <m/>
    <x v="1"/>
    <s v="Septembre 2022 – Février 2023"/>
    <n v="1"/>
    <n v="7"/>
    <x v="3"/>
    <m/>
    <s v="Autre pays"/>
    <s v="TCD"/>
    <s v="Tchad"/>
    <s v="TCD018"/>
    <s v="N'Djamena"/>
    <m/>
    <m/>
    <m/>
    <m/>
  </r>
  <r>
    <s v="Extrême-Nord"/>
    <s v="CMR004"/>
    <x v="2"/>
    <s v="CMR004002"/>
    <x v="8"/>
    <s v="CMR004002009"/>
    <s v="MAK-0050"/>
    <s v="KOKIO 1"/>
    <m/>
    <x v="1"/>
    <s v="Janvier - Aout 2022"/>
    <n v="17"/>
    <n v="87"/>
    <x v="0"/>
    <m/>
    <s v="Autre pays"/>
    <s v="NGA"/>
    <s v="Nigéria"/>
    <s v="NGA008"/>
    <s v="Borno"/>
    <m/>
    <m/>
    <m/>
    <m/>
  </r>
  <r>
    <s v="Extrême-Nord"/>
    <s v="CMR004"/>
    <x v="2"/>
    <s v="CMR004002"/>
    <x v="8"/>
    <s v="CMR004002009"/>
    <s v="MAK-0040"/>
    <s v="GOUBAGO"/>
    <m/>
    <x v="1"/>
    <s v="Janvier - Aout 2022"/>
    <n v="12"/>
    <n v="59"/>
    <x v="0"/>
    <m/>
    <s v="Autre pays"/>
    <s v="NGA"/>
    <s v="Nigéria"/>
    <s v="NGA008"/>
    <s v="Borno"/>
    <m/>
    <m/>
    <m/>
    <m/>
  </r>
  <r>
    <s v="Extrême-Nord"/>
    <s v="CMR004"/>
    <x v="2"/>
    <s v="CMR004002"/>
    <x v="26"/>
    <s v="CMR004002006"/>
    <s v="KOU-0036"/>
    <s v="KAWADJI 1"/>
    <m/>
    <x v="1"/>
    <s v="Septembre 2022 – Février 2023"/>
    <n v="87"/>
    <n v="420"/>
    <x v="3"/>
    <m/>
    <s v="Autre pays"/>
    <s v="TCD"/>
    <s v="Tchad"/>
    <s v="TCD018"/>
    <s v="N'Djamena"/>
    <m/>
    <m/>
    <m/>
    <m/>
  </r>
  <r>
    <s v="Extrême-Nord"/>
    <s v="CMR004"/>
    <x v="2"/>
    <s v="CMR004002"/>
    <x v="26"/>
    <s v="CMR004002006"/>
    <s v="KOU-0021"/>
    <s v="MADANA GABAG"/>
    <m/>
    <x v="1"/>
    <s v="Septembre 2022 – Février 2023"/>
    <n v="44"/>
    <n v="150"/>
    <x v="3"/>
    <m/>
    <s v="Autre pays"/>
    <s v="TCD"/>
    <s v="Tchad"/>
    <s v="TCD018"/>
    <s v="N'Djamena"/>
    <m/>
    <m/>
    <m/>
    <m/>
  </r>
  <r>
    <s v="Extrême-Nord"/>
    <s v="CMR004"/>
    <x v="4"/>
    <s v="CMR004005"/>
    <x v="17"/>
    <s v="CMR004005002"/>
    <s v="MOR-0003"/>
    <s v="DJOUNDE"/>
    <m/>
    <x v="1"/>
    <s v="Janvier - Aout 2022"/>
    <n v="6"/>
    <n v="62"/>
    <x v="0"/>
    <m/>
    <s v="Autre pays"/>
    <s v="NGA"/>
    <s v="Nigéria"/>
    <s v="NGA031"/>
    <s v="Oyo"/>
    <m/>
    <m/>
    <m/>
    <m/>
  </r>
  <r>
    <s v="Extrême-Nord"/>
    <s v="CMR004"/>
    <x v="5"/>
    <s v="CMR004004"/>
    <x v="18"/>
    <s v="CMR004004001"/>
    <s v="GUI-0003"/>
    <s v="LARAO"/>
    <m/>
    <x v="1"/>
    <s v="Avant 2020"/>
    <n v="2"/>
    <n v="30"/>
    <x v="2"/>
    <s v="Guerre en RCA"/>
    <s v="Autre pays"/>
    <s v="CAR"/>
    <s v="République Centrafricaine"/>
    <s v="CAR071"/>
    <s v="Bangui"/>
    <m/>
    <m/>
    <m/>
    <m/>
  </r>
  <r>
    <s v="Extrême-Nord"/>
    <s v="CMR004"/>
    <x v="4"/>
    <s v="CMR004005"/>
    <x v="17"/>
    <s v="CMR004005002"/>
    <s v="MOR-0029"/>
    <s v="KOSSA"/>
    <m/>
    <x v="1"/>
    <s v="Avant 2020"/>
    <n v="606"/>
    <n v="3082"/>
    <x v="0"/>
    <m/>
    <s v="Autre pays"/>
    <s v="NGA"/>
    <s v="Nigéria"/>
    <s v="NGA008"/>
    <s v="Borno"/>
    <m/>
    <m/>
    <m/>
    <m/>
  </r>
  <r>
    <s v="Extrême-Nord"/>
    <s v="CMR004"/>
    <x v="4"/>
    <s v="CMR004005"/>
    <x v="17"/>
    <s v="CMR004005002"/>
    <s v="MOR-0029"/>
    <s v="KOSSA"/>
    <m/>
    <x v="1"/>
    <s v="En 2021"/>
    <n v="0"/>
    <n v="4"/>
    <x v="0"/>
    <m/>
    <s v="Autre pays"/>
    <s v="NGA"/>
    <s v="Nigéria"/>
    <s v="NGA008"/>
    <s v="Borno"/>
    <m/>
    <m/>
    <m/>
    <m/>
  </r>
  <r>
    <s v="Extrême-Nord"/>
    <s v="CMR004"/>
    <x v="4"/>
    <s v="CMR004005"/>
    <x v="17"/>
    <s v="CMR004005002"/>
    <s v="MOR-0029"/>
    <s v="KOSSA"/>
    <m/>
    <x v="1"/>
    <s v="Septembre 2022 – Février 2023"/>
    <n v="2"/>
    <n v="10"/>
    <x v="0"/>
    <m/>
    <s v="Autre pays"/>
    <s v="NGA"/>
    <s v="Nigéria"/>
    <s v="NGA008"/>
    <s v="Borno"/>
    <m/>
    <m/>
    <m/>
    <m/>
  </r>
  <r>
    <s v="Extrême-Nord"/>
    <s v="CMR004"/>
    <x v="2"/>
    <s v="CMR004002"/>
    <x v="9"/>
    <s v="CMR004002010"/>
    <s v="HIL-0015"/>
    <s v="DOUGOUMSILIO 1"/>
    <m/>
    <x v="1"/>
    <s v="Janvier - Aout 2022"/>
    <n v="3"/>
    <n v="11"/>
    <x v="0"/>
    <m/>
    <s v="Autre pays"/>
    <s v="NGA"/>
    <s v="Nigéria"/>
    <s v="NGA008"/>
    <s v="Borno"/>
    <m/>
    <m/>
    <m/>
    <m/>
  </r>
  <r>
    <s v="Extrême-Nord"/>
    <s v="CMR004"/>
    <x v="2"/>
    <s v="CMR004002"/>
    <x v="9"/>
    <s v="CMR004002010"/>
    <s v="HIL-0007"/>
    <s v="GORETAL GOUTOUN"/>
    <m/>
    <x v="1"/>
    <s v="Avant 2020"/>
    <n v="7"/>
    <n v="53"/>
    <x v="0"/>
    <m/>
    <s v="Autre pays"/>
    <s v="NGA"/>
    <s v="Nigéria"/>
    <s v="NGA008"/>
    <s v="Borno"/>
    <m/>
    <m/>
    <m/>
    <m/>
  </r>
  <r>
    <s v="Extrême-Nord"/>
    <s v="CMR004"/>
    <x v="2"/>
    <s v="CMR004002"/>
    <x v="9"/>
    <s v="CMR004002010"/>
    <s v="HIL-0007"/>
    <s v="GORETAL GOUTOUN"/>
    <m/>
    <x v="1"/>
    <s v="En 2020"/>
    <n v="18"/>
    <n v="126"/>
    <x v="0"/>
    <m/>
    <s v="Autre pays"/>
    <s v="NGA"/>
    <s v="Nigéria"/>
    <s v="NGA008"/>
    <s v="Borno"/>
    <m/>
    <m/>
    <m/>
    <m/>
  </r>
  <r>
    <s v="Extrême-Nord"/>
    <s v="CMR004"/>
    <x v="2"/>
    <s v="CMR004002"/>
    <x v="9"/>
    <s v="CMR004002010"/>
    <s v="HIL-0007"/>
    <s v="GORETAL GOUTOUN"/>
    <m/>
    <x v="1"/>
    <s v="Janvier - Aout 2022"/>
    <n v="16"/>
    <n v="163"/>
    <x v="0"/>
    <m/>
    <s v="Autre pays"/>
    <s v="NGA"/>
    <s v="Nigéria"/>
    <s v="NGA008"/>
    <s v="Borno"/>
    <m/>
    <m/>
    <m/>
    <m/>
  </r>
  <r>
    <s v="Extrême-Nord"/>
    <s v="CMR004"/>
    <x v="2"/>
    <s v="CMR004002"/>
    <x v="8"/>
    <s v="CMR004002009"/>
    <s v="MAK-0209"/>
    <s v="NOIRA"/>
    <m/>
    <x v="1"/>
    <s v="Avant 2020"/>
    <n v="7"/>
    <n v="30"/>
    <x v="0"/>
    <m/>
    <s v="Autre pays"/>
    <s v="NGA"/>
    <s v="Nigéria"/>
    <s v="NGA008"/>
    <s v="Borno"/>
    <m/>
    <m/>
    <m/>
    <m/>
  </r>
  <r>
    <s v="Extrême-Nord"/>
    <s v="CMR004"/>
    <x v="2"/>
    <s v="CMR004002"/>
    <x v="25"/>
    <s v="CMR004002008"/>
    <s v="FOT-0001"/>
    <s v="AMTCHOUKOULI"/>
    <m/>
    <x v="1"/>
    <s v="Avant 2020"/>
    <n v="24"/>
    <n v="160"/>
    <x v="0"/>
    <m/>
    <s v="Autre pays"/>
    <s v="NGA"/>
    <s v="Nigéria"/>
    <s v="NGA008"/>
    <s v="Borno"/>
    <m/>
    <m/>
    <m/>
    <m/>
  </r>
  <r>
    <s v="Extrême-Nord"/>
    <s v="CMR004"/>
    <x v="2"/>
    <s v="CMR004002"/>
    <x v="15"/>
    <s v="CMR004002004"/>
    <s v="LBI-0034"/>
    <s v="NGOYKOKA"/>
    <m/>
    <x v="1"/>
    <s v="Avant 2020"/>
    <n v="20"/>
    <n v="130"/>
    <x v="0"/>
    <m/>
    <s v="Autre pays"/>
    <s v="NGA"/>
    <s v="Nigéria"/>
    <s v="NGA008"/>
    <s v="Borno"/>
    <m/>
    <m/>
    <m/>
    <m/>
  </r>
  <r>
    <s v="Extrême-Nord"/>
    <s v="CMR004"/>
    <x v="2"/>
    <s v="CMR004002"/>
    <x v="15"/>
    <s v="CMR004002004"/>
    <s v="LBI-0016"/>
    <s v="SAHABA 3"/>
    <m/>
    <x v="1"/>
    <s v="Avant 2020"/>
    <n v="104"/>
    <n v="525"/>
    <x v="0"/>
    <m/>
    <s v="Autre pays"/>
    <s v="NGA"/>
    <s v="Nigéria"/>
    <s v="NGA008"/>
    <s v="Borno"/>
    <m/>
    <m/>
    <m/>
    <m/>
  </r>
  <r>
    <s v="Extrême-Nord"/>
    <s v="CMR004"/>
    <x v="2"/>
    <s v="CMR004002"/>
    <x v="15"/>
    <s v="CMR004002004"/>
    <s v="LBI-0037"/>
    <s v="NDJAMENA"/>
    <m/>
    <x v="1"/>
    <s v="Avant 2020"/>
    <n v="22"/>
    <n v="113"/>
    <x v="0"/>
    <m/>
    <s v="Autre pays"/>
    <s v="NGA"/>
    <s v="Nigéria"/>
    <s v="NGA008"/>
    <s v="Borno"/>
    <m/>
    <m/>
    <m/>
    <m/>
  </r>
  <r>
    <s v="Extrême-Nord"/>
    <s v="CMR004"/>
    <x v="2"/>
    <s v="CMR004002"/>
    <x v="15"/>
    <s v="CMR004002004"/>
    <s v="LBI-0018"/>
    <s v="TRAYA"/>
    <m/>
    <x v="1"/>
    <s v="Avant 2020"/>
    <n v="5"/>
    <n v="40"/>
    <x v="0"/>
    <m/>
    <s v="Autre pays"/>
    <s v="NGA"/>
    <s v="Nigéria"/>
    <s v="NGA008"/>
    <s v="Borno"/>
    <m/>
    <m/>
    <m/>
    <m/>
  </r>
  <r>
    <s v="Extrême-Nord"/>
    <s v="CMR004"/>
    <x v="1"/>
    <s v="CMR004006"/>
    <x v="14"/>
    <s v="CMR004006007"/>
    <s v="BOU-0005"/>
    <s v="TCHEVI"/>
    <m/>
    <x v="1"/>
    <s v="Avant 2020"/>
    <n v="16"/>
    <n v="97"/>
    <x v="0"/>
    <m/>
    <s v="Autre pays"/>
    <s v="NGA"/>
    <s v="Nigéria"/>
    <s v="NGA002"/>
    <s v="Adamawa"/>
    <m/>
    <m/>
    <m/>
    <m/>
  </r>
  <r>
    <s v="Extrême-Nord"/>
    <s v="CMR004"/>
    <x v="1"/>
    <s v="CMR004006"/>
    <x v="14"/>
    <s v="CMR004006007"/>
    <s v="BOU-0005"/>
    <s v="TCHEVI"/>
    <m/>
    <x v="1"/>
    <s v="En 2020"/>
    <n v="0"/>
    <n v="8"/>
    <x v="0"/>
    <m/>
    <s v="Autre pays"/>
    <s v="NGA"/>
    <s v="Nigéria"/>
    <s v="NGA002"/>
    <s v="Adamawa"/>
    <m/>
    <m/>
    <m/>
    <m/>
  </r>
  <r>
    <s v="Extrême-Nord"/>
    <s v="CMR004"/>
    <x v="1"/>
    <s v="CMR004006"/>
    <x v="14"/>
    <s v="CMR004006007"/>
    <s v="BOU-0005"/>
    <s v="TCHEVI"/>
    <m/>
    <x v="1"/>
    <s v="En 2021"/>
    <n v="2"/>
    <n v="24"/>
    <x v="0"/>
    <m/>
    <s v="Autre pays"/>
    <s v="NGA"/>
    <s v="Nigéria"/>
    <s v="NGA002"/>
    <s v="Adamawa"/>
    <m/>
    <m/>
    <m/>
    <m/>
  </r>
  <r>
    <s v="Extrême-Nord"/>
    <s v="CMR004"/>
    <x v="1"/>
    <s v="CMR004006"/>
    <x v="14"/>
    <s v="CMR004006007"/>
    <s v="BOU-0005"/>
    <s v="TCHEVI"/>
    <m/>
    <x v="1"/>
    <s v="Janvier - Aout 2022"/>
    <n v="1"/>
    <n v="7"/>
    <x v="0"/>
    <m/>
    <s v="Autre pays"/>
    <s v="NGA"/>
    <s v="Nigéria"/>
    <s v="NGA002"/>
    <s v="Adamawa"/>
    <m/>
    <m/>
    <m/>
    <m/>
  </r>
  <r>
    <s v="Extrême-Nord"/>
    <s v="CMR004"/>
    <x v="2"/>
    <s v="CMR004002"/>
    <x v="12"/>
    <s v="CMR004002002"/>
    <s v="GOU-0036"/>
    <s v="AMFADENA"/>
    <m/>
    <x v="1"/>
    <s v="Avant 2020"/>
    <n v="9"/>
    <n v="40"/>
    <x v="0"/>
    <m/>
    <s v="Autre pays"/>
    <s v="NGA"/>
    <s v="Nigéria"/>
    <s v="NGA036"/>
    <s v="Yobe"/>
    <m/>
    <m/>
    <m/>
    <m/>
  </r>
  <r>
    <s v="Extrême-Nord"/>
    <s v="CMR004"/>
    <x v="2"/>
    <s v="CMR004002"/>
    <x v="12"/>
    <s v="CMR004002002"/>
    <s v="GOU-0038"/>
    <s v="AMBASSANA"/>
    <m/>
    <x v="1"/>
    <s v="Avant 2020"/>
    <n v="15"/>
    <n v="60"/>
    <x v="0"/>
    <m/>
    <s v="Autre pays"/>
    <s v="NGA"/>
    <s v="Nigéria"/>
    <s v="NGA036"/>
    <s v="Yobe"/>
    <m/>
    <m/>
    <m/>
    <m/>
  </r>
  <r>
    <s v="Extrême-Nord"/>
    <s v="CMR004"/>
    <x v="2"/>
    <s v="CMR004002"/>
    <x v="8"/>
    <s v="CMR004002009"/>
    <s v="MAK-0061"/>
    <s v="MALTAM"/>
    <m/>
    <x v="1"/>
    <s v="En 2021"/>
    <n v="5"/>
    <n v="58"/>
    <x v="1"/>
    <m/>
    <s v="Autre pays"/>
    <s v="TCD"/>
    <s v="Tchad"/>
    <s v="TCD018"/>
    <s v="N'Djamena"/>
    <m/>
    <m/>
    <m/>
    <m/>
  </r>
  <r>
    <s v="Extrême-Nord"/>
    <s v="CMR004"/>
    <x v="2"/>
    <s v="CMR004002"/>
    <x v="8"/>
    <s v="CMR004002009"/>
    <s v="MAK-0081"/>
    <s v="NDOLOHE ARABE"/>
    <m/>
    <x v="1"/>
    <s v="Janvier - Aout 2022"/>
    <n v="4"/>
    <n v="29"/>
    <x v="0"/>
    <m/>
    <s v="Autre pays"/>
    <s v="NGA"/>
    <s v="Nigéria"/>
    <s v="NGA008"/>
    <s v="Borno"/>
    <m/>
    <m/>
    <m/>
    <m/>
  </r>
  <r>
    <s v="Extrême-Nord"/>
    <s v="CMR004"/>
    <x v="2"/>
    <s v="CMR004002"/>
    <x v="8"/>
    <s v="CMR004002009"/>
    <s v="MAK-0036"/>
    <s v="GAMBAROU"/>
    <m/>
    <x v="1"/>
    <s v="Janvier - Aout 2022"/>
    <n v="5"/>
    <n v="21"/>
    <x v="0"/>
    <m/>
    <s v="Autre pays"/>
    <s v="NGA"/>
    <s v="Nigéria"/>
    <s v="NGA008"/>
    <s v="Borno"/>
    <m/>
    <m/>
    <m/>
    <m/>
  </r>
  <r>
    <s v="Extrême-Nord"/>
    <s v="CMR004"/>
    <x v="2"/>
    <s v="CMR004002"/>
    <x v="8"/>
    <s v="CMR004002009"/>
    <s v="MAK-0036"/>
    <s v="GAMBAROU"/>
    <m/>
    <x v="1"/>
    <s v="Septembre 2022 – Février 2023"/>
    <n v="5"/>
    <n v="15"/>
    <x v="0"/>
    <m/>
    <s v="Autre pays"/>
    <s v="NGA"/>
    <s v="Nigéria"/>
    <s v="NGA008"/>
    <s v="Borno"/>
    <m/>
    <m/>
    <m/>
    <m/>
  </r>
  <r>
    <s v="Extrême-Nord"/>
    <s v="CMR004"/>
    <x v="2"/>
    <s v="CMR004002"/>
    <x v="8"/>
    <s v="CMR004002009"/>
    <s v="MAK-0104"/>
    <s v="KOKIO 2"/>
    <m/>
    <x v="1"/>
    <s v="Janvier - Aout 2022"/>
    <n v="3"/>
    <n v="20"/>
    <x v="0"/>
    <m/>
    <s v="Autre pays"/>
    <s v="NGA"/>
    <s v="Nigéria"/>
    <s v="NGA008"/>
    <s v="Borno"/>
    <m/>
    <m/>
    <m/>
    <m/>
  </r>
  <r>
    <s v="Extrême-Nord"/>
    <s v="CMR004"/>
    <x v="2"/>
    <s v="CMR004002"/>
    <x v="8"/>
    <s v="CMR004002009"/>
    <s v="MAK-0104"/>
    <s v="KOKIO 2"/>
    <m/>
    <x v="1"/>
    <s v="Septembre 2022 – Février 2023"/>
    <n v="0"/>
    <n v="8"/>
    <x v="0"/>
    <m/>
    <s v="Autre pays"/>
    <s v="NGA"/>
    <s v="Nigéria"/>
    <s v="NGA008"/>
    <s v="Borno"/>
    <m/>
    <m/>
    <m/>
    <m/>
  </r>
  <r>
    <s v="Extrême-Nord"/>
    <s v="CMR004"/>
    <x v="2"/>
    <s v="CMR004002"/>
    <x v="8"/>
    <s v="CMR004002009"/>
    <s v="MAK-0059"/>
    <s v="MALADI"/>
    <m/>
    <x v="1"/>
    <s v="Septembre 2022 – Février 2023"/>
    <n v="2"/>
    <n v="5"/>
    <x v="0"/>
    <m/>
    <s v="Autre pays"/>
    <s v="NGA"/>
    <s v="Nigéria"/>
    <s v="NGA008"/>
    <s v="Borno"/>
    <m/>
    <m/>
    <m/>
    <m/>
  </r>
  <r>
    <s v="Extrême-Nord"/>
    <s v="CMR004"/>
    <x v="2"/>
    <s v="CMR004002"/>
    <x v="15"/>
    <s v="CMR004002004"/>
    <s v="XXXX"/>
    <s v="SITE DE DJARANGOUBOU MOUSGOUM"/>
    <s v="SITE DE DJARANGOUBOU MOUSGOUM"/>
    <x v="1"/>
    <s v="Septembre 2022 – Février 2023"/>
    <n v="34"/>
    <n v="238"/>
    <x v="3"/>
    <m/>
    <s v="Autre pays"/>
    <s v="TCD"/>
    <s v="Tchad"/>
    <s v="TCD018"/>
    <s v="N'Djamena"/>
    <m/>
    <m/>
    <m/>
    <m/>
  </r>
  <r>
    <s v="Extrême-Nord"/>
    <s v="CMR004"/>
    <x v="2"/>
    <s v="CMR004002"/>
    <x v="15"/>
    <s v="CMR004002004"/>
    <s v="LBI-0082"/>
    <s v="SAMAKALE"/>
    <m/>
    <x v="1"/>
    <s v="Septembre 2022 – Février 2023"/>
    <n v="10"/>
    <n v="40"/>
    <x v="3"/>
    <m/>
    <s v="Autre pays"/>
    <s v="TCD"/>
    <s v="Tchad"/>
    <s v="TCD018"/>
    <s v="N'Djamena"/>
    <m/>
    <m/>
    <m/>
    <m/>
  </r>
  <r>
    <s v="Extrême-Nord"/>
    <s v="CMR004"/>
    <x v="2"/>
    <s v="CMR004002"/>
    <x v="15"/>
    <s v="CMR004002004"/>
    <s v="LBI-0071"/>
    <s v="MBANAMAMTE"/>
    <m/>
    <x v="1"/>
    <s v="Septembre 2022 – Février 2023"/>
    <n v="5"/>
    <n v="35"/>
    <x v="3"/>
    <m/>
    <s v="Autre pays"/>
    <s v="TCD"/>
    <s v="Tchad"/>
    <s v="TCD018"/>
    <s v="N'Djamena"/>
    <m/>
    <m/>
    <m/>
    <m/>
  </r>
  <r>
    <s v="Extrême-Nord"/>
    <s v="CMR004"/>
    <x v="2"/>
    <s v="CMR004002"/>
    <x v="13"/>
    <s v="CMR004002001"/>
    <s v="WAZ-0008"/>
    <s v="TAGAWA 2"/>
    <m/>
    <x v="1"/>
    <s v="Avant 2020"/>
    <n v="30"/>
    <n v="259"/>
    <x v="0"/>
    <m/>
    <s v="Autre pays"/>
    <s v="NGA"/>
    <s v="Nigéria"/>
    <s v="NGA008"/>
    <s v="Borno"/>
    <m/>
    <m/>
    <m/>
    <m/>
  </r>
  <r>
    <s v="Extrême-Nord"/>
    <s v="CMR004"/>
    <x v="2"/>
    <s v="CMR004002"/>
    <x v="13"/>
    <s v="CMR004002001"/>
    <s v="WAZ-0008"/>
    <s v="TAGAWA 2"/>
    <m/>
    <x v="1"/>
    <s v="En 2020"/>
    <n v="0"/>
    <n v="19"/>
    <x v="0"/>
    <m/>
    <s v="Autre pays"/>
    <s v="NGA"/>
    <s v="Nigéria"/>
    <s v="NGA008"/>
    <s v="Borno"/>
    <m/>
    <m/>
    <m/>
    <m/>
  </r>
  <r>
    <s v="Extrême-Nord"/>
    <s v="CMR004"/>
    <x v="2"/>
    <s v="CMR004002"/>
    <x v="9"/>
    <s v="CMR004002010"/>
    <s v="HIL-0014"/>
    <s v="DOLE MILIMI"/>
    <m/>
    <x v="1"/>
    <s v="En 2021"/>
    <n v="5"/>
    <n v="18"/>
    <x v="0"/>
    <m/>
    <s v="Autre pays"/>
    <s v="NGA"/>
    <s v="Nigéria"/>
    <s v="NGA008"/>
    <s v="Borno"/>
    <m/>
    <m/>
    <m/>
    <m/>
  </r>
  <r>
    <s v="Extrême-Nord"/>
    <s v="CMR004"/>
    <x v="2"/>
    <s v="CMR004002"/>
    <x v="9"/>
    <s v="CMR004002010"/>
    <s v="HIL-0020"/>
    <s v="WADAK"/>
    <m/>
    <x v="1"/>
    <s v="En 2021"/>
    <n v="5"/>
    <n v="20"/>
    <x v="0"/>
    <m/>
    <s v="Autre pays"/>
    <s v="NGA"/>
    <s v="Nigéria"/>
    <s v="NGA008"/>
    <s v="Borno"/>
    <m/>
    <m/>
    <m/>
    <m/>
  </r>
  <r>
    <s v="Extrême-Nord"/>
    <s v="CMR004"/>
    <x v="2"/>
    <s v="CMR004002"/>
    <x v="12"/>
    <s v="CMR004002002"/>
    <s v="GOU-0015"/>
    <s v="MICH-MICH"/>
    <m/>
    <x v="1"/>
    <s v="Avant 2020"/>
    <n v="1"/>
    <n v="4"/>
    <x v="0"/>
    <m/>
    <s v="Autre pays"/>
    <s v="NGA"/>
    <s v="Nigéria"/>
    <s v="NGA010"/>
    <s v="Delta"/>
    <m/>
    <m/>
    <m/>
    <m/>
  </r>
  <r>
    <s v="Extrême-Nord"/>
    <s v="CMR004"/>
    <x v="2"/>
    <s v="CMR004002"/>
    <x v="12"/>
    <s v="CMR004002002"/>
    <s v="GOU-0025"/>
    <s v="MICHKA-MALIE"/>
    <m/>
    <x v="1"/>
    <s v="Avant 2020"/>
    <n v="4"/>
    <n v="23"/>
    <x v="0"/>
    <m/>
    <s v="Autre pays"/>
    <s v="NGA"/>
    <s v="Nigéria"/>
    <s v="NGA007"/>
    <s v="Benue"/>
    <m/>
    <m/>
    <m/>
    <m/>
  </r>
  <r>
    <s v="Extrême-Nord"/>
    <s v="CMR004"/>
    <x v="2"/>
    <s v="CMR004002"/>
    <x v="8"/>
    <s v="CMR004002009"/>
    <s v="MAK-0212"/>
    <s v="NDJAMENA KADAT"/>
    <m/>
    <x v="1"/>
    <s v="Janvier - Aout 2022"/>
    <n v="15"/>
    <n v="78"/>
    <x v="0"/>
    <m/>
    <s v="Autre pays"/>
    <s v="NGA"/>
    <s v="Nigéria"/>
    <s v="NGA008"/>
    <s v="Borno"/>
    <m/>
    <m/>
    <m/>
    <m/>
  </r>
  <r>
    <s v="Extrême-Nord"/>
    <s v="CMR004"/>
    <x v="2"/>
    <s v="CMR004002"/>
    <x v="8"/>
    <s v="CMR004002009"/>
    <s v="MAK-0211"/>
    <s v="BHARAM"/>
    <m/>
    <x v="1"/>
    <s v="Janvier - Aout 2022"/>
    <n v="9"/>
    <n v="41"/>
    <x v="0"/>
    <m/>
    <s v="Autre pays"/>
    <s v="NGA"/>
    <s v="Nigéria"/>
    <s v="NGA008"/>
    <s v="Borno"/>
    <m/>
    <m/>
    <m/>
    <m/>
  </r>
  <r>
    <s v="Extrême-Nord"/>
    <s v="CMR004"/>
    <x v="2"/>
    <s v="CMR004002"/>
    <x v="8"/>
    <s v="CMR004002009"/>
    <s v="XXXX"/>
    <s v="SITE DE BIAMO"/>
    <s v="SITE DE BIAMO"/>
    <x v="1"/>
    <s v="Septembre 2022 – Février 2023"/>
    <n v="50"/>
    <n v="150"/>
    <x v="3"/>
    <m/>
    <s v="Autre pays"/>
    <s v="NGA"/>
    <s v="Nigéria"/>
    <s v="NGA008"/>
    <s v="Borno"/>
    <m/>
    <m/>
    <m/>
    <m/>
  </r>
  <r>
    <s v="Extrême-Nord"/>
    <s v="CMR004"/>
    <x v="2"/>
    <s v="CMR004002"/>
    <x v="8"/>
    <s v="CMR004002009"/>
    <s v="MAK-0012"/>
    <s v="BADRA"/>
    <m/>
    <x v="1"/>
    <s v="Janvier - Aout 2022"/>
    <n v="8"/>
    <n v="9"/>
    <x v="0"/>
    <m/>
    <s v="Autre pays"/>
    <s v="NGA"/>
    <s v="Nigéria"/>
    <s v="NGA002"/>
    <s v="Adamawa"/>
    <m/>
    <m/>
    <m/>
    <m/>
  </r>
  <r>
    <s v="Extrême-Nord"/>
    <s v="CMR004"/>
    <x v="2"/>
    <s v="CMR004002"/>
    <x v="8"/>
    <s v="CMR004002009"/>
    <s v="MAK-0018"/>
    <s v="BLAHE"/>
    <m/>
    <x v="1"/>
    <s v="Janvier - Aout 2022"/>
    <n v="51"/>
    <n v="431"/>
    <x v="0"/>
    <m/>
    <s v="Autre pays"/>
    <s v="NGA"/>
    <s v="Nigéria"/>
    <s v="NGA008"/>
    <s v="Borno"/>
    <m/>
    <m/>
    <m/>
    <m/>
  </r>
  <r>
    <s v="Extrême-Nord"/>
    <s v="CMR004"/>
    <x v="2"/>
    <s v="CMR004002"/>
    <x v="8"/>
    <s v="CMR004002009"/>
    <s v="MAK-0079"/>
    <s v="NDODOHE KALIA"/>
    <m/>
    <x v="1"/>
    <s v="Janvier - Aout 2022"/>
    <n v="9"/>
    <n v="36"/>
    <x v="0"/>
    <m/>
    <s v="Autre pays"/>
    <s v="NGA"/>
    <s v="Nigéria"/>
    <s v="NGA008"/>
    <s v="Borno"/>
    <m/>
    <m/>
    <m/>
    <m/>
  </r>
  <r>
    <s v="Extrême-Nord"/>
    <s v="CMR004"/>
    <x v="2"/>
    <s v="CMR004002"/>
    <x v="8"/>
    <s v="CMR004002009"/>
    <s v="MAK-0080"/>
    <s v="NDODOHE YOUSSOUF"/>
    <m/>
    <x v="1"/>
    <s v="Janvier - Aout 2022"/>
    <n v="4"/>
    <n v="27"/>
    <x v="0"/>
    <m/>
    <s v="Autre pays"/>
    <s v="NGA"/>
    <s v="Nigéria"/>
    <s v="NGA002"/>
    <s v="Adamawa"/>
    <m/>
    <m/>
    <m/>
    <m/>
  </r>
  <r>
    <s v="Extrême-Nord"/>
    <s v="CMR004"/>
    <x v="2"/>
    <s v="CMR004002"/>
    <x v="8"/>
    <s v="CMR004002009"/>
    <s v="MAK-0219"/>
    <s v="FADJE"/>
    <m/>
    <x v="1"/>
    <s v="Janvier - Aout 2022"/>
    <n v="12"/>
    <n v="74"/>
    <x v="0"/>
    <m/>
    <s v="Autre pays"/>
    <s v="NGA"/>
    <s v="Nigéria"/>
    <s v="NGA008"/>
    <s v="Borno"/>
    <m/>
    <m/>
    <m/>
    <m/>
  </r>
  <r>
    <s v="Extrême-Nord"/>
    <s v="CMR004"/>
    <x v="2"/>
    <s v="CMR004002"/>
    <x v="8"/>
    <s v="CMR004002009"/>
    <s v="MAK-0042"/>
    <s v="GOURGOURA"/>
    <m/>
    <x v="1"/>
    <s v="Janvier - Aout 2022"/>
    <n v="12"/>
    <n v="59"/>
    <x v="0"/>
    <m/>
    <s v="Autre pays"/>
    <s v="NGA"/>
    <s v="Nigéria"/>
    <s v="NGA008"/>
    <s v="Borno"/>
    <m/>
    <m/>
    <m/>
    <m/>
  </r>
  <r>
    <s v="Extrême-Nord"/>
    <s v="CMR004"/>
    <x v="2"/>
    <s v="CMR004002"/>
    <x v="25"/>
    <s v="CMR004002008"/>
    <s v="FOT-0006"/>
    <s v="FOTOKOL VILLE"/>
    <m/>
    <x v="1"/>
    <s v="Avant 2020"/>
    <n v="680"/>
    <n v="3808"/>
    <x v="0"/>
    <m/>
    <s v="Autre pays"/>
    <s v="NGA"/>
    <s v="Nigéria"/>
    <s v="NGA008"/>
    <s v="Borno"/>
    <m/>
    <m/>
    <m/>
    <m/>
  </r>
  <r>
    <s v="Extrême-Nord"/>
    <s v="CMR004"/>
    <x v="2"/>
    <s v="CMR004002"/>
    <x v="13"/>
    <s v="CMR004002001"/>
    <s v="WAZ-0009"/>
    <s v="TAGAWA 3"/>
    <m/>
    <x v="1"/>
    <s v="Septembre 2022 – Février 2023"/>
    <n v="6"/>
    <n v="50"/>
    <x v="0"/>
    <m/>
    <s v="Autre pays"/>
    <s v="NGA"/>
    <s v="Nigéria"/>
    <s v="NGA008"/>
    <s v="Borno"/>
    <m/>
    <m/>
    <m/>
    <m/>
  </r>
  <r>
    <s v="Extrême-Nord"/>
    <s v="CMR004"/>
    <x v="1"/>
    <s v="CMR004006"/>
    <x v="1"/>
    <s v="CMR004006002"/>
    <s v="MOK-0009"/>
    <s v="MAGOUMAZ"/>
    <m/>
    <x v="1"/>
    <s v="Avant 2020"/>
    <n v="36"/>
    <n v="195"/>
    <x v="0"/>
    <m/>
    <s v="Autre pays"/>
    <s v="NGA"/>
    <s v="Nigéria"/>
    <s v="NGA002"/>
    <s v="Adamawa"/>
    <m/>
    <m/>
    <m/>
    <m/>
  </r>
  <r>
    <s v="Extrême-Nord"/>
    <s v="CMR004"/>
    <x v="2"/>
    <s v="CMR004002"/>
    <x v="8"/>
    <s v="CMR004002009"/>
    <s v="MAK-0136"/>
    <s v="FARFARA 1"/>
    <m/>
    <x v="1"/>
    <s v="Avant 2020"/>
    <n v="37"/>
    <n v="223"/>
    <x v="0"/>
    <m/>
    <s v="Autre pays"/>
    <s v="NGA"/>
    <s v="Nigéria"/>
    <s v="NGA025"/>
    <s v="Lagos"/>
    <m/>
    <m/>
    <m/>
    <m/>
  </r>
  <r>
    <s v="Extrême-Nord"/>
    <s v="CMR004"/>
    <x v="2"/>
    <s v="CMR004002"/>
    <x v="8"/>
    <s v="CMR004002009"/>
    <s v="MAK-0136"/>
    <s v="FARFARA 1"/>
    <m/>
    <x v="1"/>
    <s v="En 2020"/>
    <n v="4"/>
    <n v="16"/>
    <x v="0"/>
    <m/>
    <s v="Autre pays"/>
    <s v="NGA"/>
    <s v="Nigéria"/>
    <s v="NGA025"/>
    <s v="Lagos"/>
    <m/>
    <m/>
    <m/>
    <m/>
  </r>
  <r>
    <s v="Extrême-Nord"/>
    <s v="CMR004"/>
    <x v="2"/>
    <s v="CMR004002"/>
    <x v="8"/>
    <s v="CMR004002009"/>
    <s v="MAK-0136"/>
    <s v="FARFARA 1"/>
    <m/>
    <x v="1"/>
    <s v="Janvier - Aout 2022"/>
    <n v="0"/>
    <n v="10"/>
    <x v="0"/>
    <m/>
    <s v="Autre pays"/>
    <s v="NGA"/>
    <s v="Nigéria"/>
    <s v="NGA025"/>
    <s v="Lagos"/>
    <m/>
    <m/>
    <m/>
    <m/>
  </r>
  <r>
    <s v="Extrême-Nord"/>
    <s v="CMR004"/>
    <x v="2"/>
    <s v="CMR004002"/>
    <x v="8"/>
    <s v="CMR004002009"/>
    <s v="MAK-0136"/>
    <s v="FARFARA 1"/>
    <m/>
    <x v="1"/>
    <s v="Septembre 2022 – Février 2023"/>
    <n v="1"/>
    <n v="13"/>
    <x v="1"/>
    <m/>
    <s v="Autre pays"/>
    <s v="NGA"/>
    <s v="Nigéria"/>
    <s v="NGA028"/>
    <s v="Ogun"/>
    <m/>
    <m/>
    <m/>
    <m/>
  </r>
  <r>
    <s v="Extrême-Nord"/>
    <s v="CMR004"/>
    <x v="2"/>
    <s v="CMR004002"/>
    <x v="25"/>
    <s v="CMR004002008"/>
    <s v="FOT-0013"/>
    <s v="SAGME"/>
    <m/>
    <x v="1"/>
    <s v="Avant 2020"/>
    <n v="66"/>
    <n v="318"/>
    <x v="0"/>
    <m/>
    <s v="Autre pays"/>
    <s v="NGA"/>
    <s v="Nigéria"/>
    <s v="NGA008"/>
    <s v="Borno"/>
    <m/>
    <m/>
    <m/>
    <m/>
  </r>
  <r>
    <s v="Extrême-Nord"/>
    <s v="CMR004"/>
    <x v="1"/>
    <s v="CMR004006"/>
    <x v="1"/>
    <s v="CMR004006002"/>
    <s v="MOK-0021"/>
    <s v="TOUROU CENTRE"/>
    <m/>
    <x v="1"/>
    <s v="Avant 2020"/>
    <n v="260"/>
    <n v="1296"/>
    <x v="0"/>
    <m/>
    <s v="Autre pays"/>
    <s v="NGA"/>
    <s v="Nigéria"/>
    <s v="NGA002"/>
    <s v="Adamawa"/>
    <m/>
    <m/>
    <m/>
    <m/>
  </r>
  <r>
    <s v="Extrême-Nord"/>
    <s v="CMR004"/>
    <x v="1"/>
    <s v="CMR004006"/>
    <x v="1"/>
    <s v="CMR004006002"/>
    <s v="MOK-0059"/>
    <s v="MABASS"/>
    <m/>
    <x v="1"/>
    <s v="Septembre 2022 – Février 2023"/>
    <n v="7"/>
    <n v="51"/>
    <x v="0"/>
    <m/>
    <s v="Autre pays"/>
    <s v="NGA"/>
    <s v="Nigéria"/>
    <s v="CAR071"/>
    <s v="Bayelsa"/>
    <m/>
    <m/>
    <m/>
    <m/>
  </r>
  <r>
    <s v="Extrême-Nord"/>
    <s v="CMR004"/>
    <x v="1"/>
    <s v="CMR004006"/>
    <x v="32"/>
    <s v="CMR004006006"/>
    <s v="SOU-0006"/>
    <s v="SOULEDE ROUA"/>
    <m/>
    <x v="1"/>
    <s v="Septembre 2022 – Février 2023"/>
    <n v="1"/>
    <n v="3"/>
    <x v="1"/>
    <m/>
    <s v="Autre pays"/>
    <s v="TCD"/>
    <s v="Tchad"/>
    <s v="TCD007"/>
    <s v="Lac"/>
    <m/>
    <m/>
    <m/>
    <m/>
  </r>
  <r>
    <s v="Extrême-Nord"/>
    <s v="CMR004"/>
    <x v="2"/>
    <s v="CMR004002"/>
    <x v="26"/>
    <s v="CMR004002006"/>
    <s v="KOU-0034"/>
    <s v="SOKOTO"/>
    <m/>
    <x v="1"/>
    <s v="Septembre 2022 – Février 2023"/>
    <n v="3"/>
    <n v="20"/>
    <x v="3"/>
    <m/>
    <s v="Autre pays"/>
    <s v="TCD"/>
    <s v="Tchad"/>
    <s v="TCD018"/>
    <s v="N'Djamena"/>
    <m/>
    <m/>
    <m/>
    <m/>
  </r>
  <r>
    <s v="Extrême-Nord"/>
    <s v="CMR004"/>
    <x v="2"/>
    <s v="CMR004002"/>
    <x v="26"/>
    <s v="CMR004002006"/>
    <s v="KOU-0038"/>
    <s v="ARDEBE NGADJAM"/>
    <m/>
    <x v="1"/>
    <s v="Septembre 2022 – Février 2023"/>
    <n v="1"/>
    <n v="3"/>
    <x v="3"/>
    <m/>
    <s v="Autre pays"/>
    <s v="TCD"/>
    <s v="Tchad"/>
    <s v="TCD018"/>
    <s v="N'Djamena"/>
    <m/>
    <m/>
    <m/>
    <m/>
  </r>
  <r>
    <s v="Extrême-Nord"/>
    <s v="CMR004"/>
    <x v="2"/>
    <s v="CMR004002"/>
    <x v="15"/>
    <s v="CMR004002004"/>
    <s v="LBI-0024"/>
    <s v="GALESS"/>
    <m/>
    <x v="1"/>
    <s v="Avant 2020"/>
    <n v="2"/>
    <n v="12"/>
    <x v="0"/>
    <m/>
    <s v="Autre pays"/>
    <s v="NGA"/>
    <s v="Nigéria"/>
    <s v="NGA037"/>
    <s v="Zamfara"/>
    <m/>
    <m/>
    <m/>
    <m/>
  </r>
  <r>
    <s v="Extrême-Nord"/>
    <s v="CMR004"/>
    <x v="2"/>
    <s v="CMR004002"/>
    <x v="15"/>
    <s v="CMR004002004"/>
    <s v="LBI-0015"/>
    <s v="NGADA"/>
    <m/>
    <x v="1"/>
    <s v="Avant 2020"/>
    <n v="50"/>
    <n v="198"/>
    <x v="0"/>
    <m/>
    <s v="Autre pays"/>
    <s v="NGA"/>
    <s v="Nigéria"/>
    <s v="NGA036"/>
    <s v="Yobe"/>
    <m/>
    <m/>
    <m/>
    <m/>
  </r>
  <r>
    <s v="Extrême-Nord"/>
    <s v="CMR004"/>
    <x v="2"/>
    <s v="CMR004002"/>
    <x v="15"/>
    <s v="CMR004002004"/>
    <s v="XXXX"/>
    <s v="BOURBEDE"/>
    <s v="BOURBEDE"/>
    <x v="1"/>
    <s v="Septembre 2022 – Février 2023"/>
    <n v="7"/>
    <n v="60"/>
    <x v="3"/>
    <m/>
    <s v="Autre pays"/>
    <s v="NGA"/>
    <s v="Nigéria"/>
    <s v="NGA037"/>
    <s v="Zamfara"/>
    <m/>
    <m/>
    <m/>
    <m/>
  </r>
  <r>
    <s v="Extrême-Nord"/>
    <s v="CMR004"/>
    <x v="2"/>
    <s v="CMR004002"/>
    <x v="15"/>
    <s v="CMR004002004"/>
    <s v="XXXX"/>
    <s v="SITE DE DEIMA"/>
    <s v="SITE DE DEIMA"/>
    <x v="1"/>
    <s v="Avant 2020"/>
    <n v="15"/>
    <n v="79"/>
    <x v="0"/>
    <m/>
    <s v="Autre pays"/>
    <s v="NGA"/>
    <s v="Nigéria"/>
    <s v="NGA037"/>
    <s v="Zamfara"/>
    <m/>
    <m/>
    <m/>
    <m/>
  </r>
  <r>
    <s v="Extrême-Nord"/>
    <s v="CMR004"/>
    <x v="2"/>
    <s v="CMR004002"/>
    <x v="8"/>
    <s v="CMR004002009"/>
    <s v="MAK-0151"/>
    <s v="SERO 1"/>
    <m/>
    <x v="1"/>
    <s v="Avant 2020"/>
    <n v="10"/>
    <n v="109"/>
    <x v="0"/>
    <m/>
    <s v="Autre pays"/>
    <s v="NGA"/>
    <s v="Nigéria"/>
    <s v="NGA008"/>
    <s v="Borno"/>
    <m/>
    <m/>
    <m/>
    <m/>
  </r>
  <r>
    <s v="Extrême-Nord"/>
    <s v="CMR004"/>
    <x v="2"/>
    <s v="CMR004002"/>
    <x v="8"/>
    <s v="CMR004002009"/>
    <s v="MAK-0152"/>
    <s v="SOUNGOURA 1"/>
    <m/>
    <x v="1"/>
    <s v="En 2020"/>
    <n v="2"/>
    <n v="22"/>
    <x v="0"/>
    <m/>
    <s v="Autre pays"/>
    <s v="NGA"/>
    <s v="Nigéria"/>
    <s v="NGA008"/>
    <s v="Borno"/>
    <m/>
    <m/>
    <m/>
    <m/>
  </r>
  <r>
    <s v="Extrême-Nord"/>
    <s v="CMR004"/>
    <x v="1"/>
    <s v="CMR004006"/>
    <x v="1"/>
    <s v="CMR004006002"/>
    <s v="MOK-0027"/>
    <s v="LDAMANG"/>
    <m/>
    <x v="1"/>
    <s v="Avant 2020"/>
    <n v="86"/>
    <n v="564"/>
    <x v="0"/>
    <m/>
    <s v="Autre pays"/>
    <s v="NGA"/>
    <s v="Nigéria"/>
    <s v="NGA002"/>
    <s v="Adamawa"/>
    <m/>
    <m/>
    <m/>
    <m/>
  </r>
  <r>
    <s v="Extrême-Nord"/>
    <s v="CMR004"/>
    <x v="2"/>
    <s v="CMR004002"/>
    <x v="15"/>
    <s v="CMR004002004"/>
    <s v="LBI-0033"/>
    <s v="NDOM"/>
    <m/>
    <x v="1"/>
    <s v="Avant 2020"/>
    <n v="18"/>
    <n v="205"/>
    <x v="0"/>
    <m/>
    <s v="Autre pays"/>
    <s v="NGA"/>
    <s v="Nigéria"/>
    <s v="NGA036"/>
    <s v="Yobe"/>
    <m/>
    <m/>
    <m/>
    <m/>
  </r>
  <r>
    <s v="Extrême-Nord"/>
    <s v="CMR004"/>
    <x v="1"/>
    <s v="CMR004006"/>
    <x v="1"/>
    <s v="CMR004006002"/>
    <s v="MOK-0033"/>
    <s v="LDUBAM"/>
    <m/>
    <x v="1"/>
    <s v="Avant 2020"/>
    <n v="86"/>
    <n v="564"/>
    <x v="0"/>
    <m/>
    <s v="Autre pays"/>
    <s v="NGA"/>
    <s v="Nigéria"/>
    <s v="NGA002"/>
    <s v="Adamawa"/>
    <m/>
    <m/>
    <m/>
    <m/>
  </r>
  <r>
    <s v="Extrême-Nord"/>
    <s v="CMR004"/>
    <x v="1"/>
    <s v="CMR004006"/>
    <x v="1"/>
    <s v="CMR004006002"/>
    <s v="MOK-0034"/>
    <s v="WOUDAHAI"/>
    <m/>
    <x v="1"/>
    <s v="Avant 2020"/>
    <n v="1"/>
    <n v="8"/>
    <x v="0"/>
    <m/>
    <s v="Autre pays"/>
    <s v="NGA"/>
    <s v="Nigéria"/>
    <s v="NGA025"/>
    <s v="Lagos"/>
    <m/>
    <m/>
    <m/>
    <m/>
  </r>
  <r>
    <s v="Extrême-Nord"/>
    <s v="CMR004"/>
    <x v="1"/>
    <s v="CMR004006"/>
    <x v="1"/>
    <s v="CMR004006002"/>
    <s v="MOK-0045"/>
    <s v="BISKAVAI"/>
    <m/>
    <x v="1"/>
    <s v="Septembre 2022 – Février 2023"/>
    <n v="1"/>
    <n v="2"/>
    <x v="0"/>
    <m/>
    <s v="Autre pays"/>
    <s v="NGA"/>
    <s v="Nigéria"/>
    <s v="NGA001"/>
    <s v="Abia"/>
    <m/>
    <m/>
    <m/>
    <m/>
  </r>
  <r>
    <s v="Extrême-Nord"/>
    <s v="CMR004"/>
    <x v="1"/>
    <s v="CMR004006"/>
    <x v="1"/>
    <s v="CMR004006002"/>
    <s v="MOK-0019"/>
    <s v="TONGO"/>
    <m/>
    <x v="1"/>
    <s v="Avant 2020"/>
    <n v="23"/>
    <n v="107"/>
    <x v="0"/>
    <m/>
    <s v="Autre pays"/>
    <s v="NGA"/>
    <s v="Nigéria"/>
    <s v="NGA002"/>
    <s v="Adamawa"/>
    <m/>
    <m/>
    <m/>
    <m/>
  </r>
  <r>
    <s v="Extrême-Nord"/>
    <s v="CMR004"/>
    <x v="2"/>
    <s v="CMR004002"/>
    <x v="13"/>
    <s v="CMR004002001"/>
    <s v="WAZ-0001"/>
    <s v="GOZOLNANE"/>
    <m/>
    <x v="1"/>
    <s v="Avant 2020"/>
    <n v="22"/>
    <n v="77"/>
    <x v="0"/>
    <m/>
    <s v="Autre pays"/>
    <s v="NGA"/>
    <s v="Nigéria"/>
    <s v="NGA008"/>
    <s v="Borno"/>
    <m/>
    <m/>
    <m/>
    <m/>
  </r>
  <r>
    <s v="Extrême-Nord"/>
    <s v="CMR004"/>
    <x v="2"/>
    <s v="CMR004002"/>
    <x v="13"/>
    <s v="CMR004002001"/>
    <s v="WAZ-0001"/>
    <s v="GOZOLNANE"/>
    <m/>
    <x v="1"/>
    <s v="Septembre 2022 – Février 2023"/>
    <n v="0"/>
    <n v="5"/>
    <x v="0"/>
    <m/>
    <s v="Autre pays"/>
    <s v="NGA"/>
    <s v="Nigéria"/>
    <s v="NGA008"/>
    <s v="Borno"/>
    <m/>
    <m/>
    <m/>
    <m/>
  </r>
  <r>
    <s v="Extrême-Nord"/>
    <s v="CMR004"/>
    <x v="5"/>
    <s v="CMR004004"/>
    <x v="20"/>
    <s v="CMR004004006"/>
    <s v="KAE-0008"/>
    <s v="DOUMROU"/>
    <m/>
    <x v="1"/>
    <s v="Avant 2020"/>
    <n v="33"/>
    <n v="154"/>
    <x v="1"/>
    <m/>
    <s v="Autre pays"/>
    <s v="TCD"/>
    <s v="Tchad"/>
    <s v="TCD011"/>
    <s v="Mayo Kebbi Est"/>
    <m/>
    <m/>
    <m/>
    <m/>
  </r>
  <r>
    <s v="Extrême-Nord"/>
    <s v="CMR004"/>
    <x v="5"/>
    <s v="CMR004004"/>
    <x v="20"/>
    <s v="CMR004004006"/>
    <s v="KAE-0008"/>
    <s v="DOUMROU"/>
    <m/>
    <x v="1"/>
    <s v="Septembre 2022 – Février 2023"/>
    <n v="2"/>
    <n v="9"/>
    <x v="1"/>
    <m/>
    <s v="Autre pays"/>
    <s v="TCD"/>
    <s v="Tchad"/>
    <s v="TCD011"/>
    <s v="Mayo Kebbi Est"/>
    <m/>
    <m/>
    <m/>
    <m/>
  </r>
  <r>
    <s v="Extrême-Nord"/>
    <s v="CMR004"/>
    <x v="5"/>
    <s v="CMR004004"/>
    <x v="20"/>
    <s v="CMR004004006"/>
    <s v="KAE-0012"/>
    <s v="SOKOYE"/>
    <m/>
    <x v="1"/>
    <s v="Avant 2020"/>
    <n v="11"/>
    <n v="89"/>
    <x v="1"/>
    <m/>
    <s v="Autre pays"/>
    <s v="TCD"/>
    <s v="Tchad"/>
    <s v="TCD011"/>
    <s v="Mayo Kebbi Est"/>
    <m/>
    <m/>
    <m/>
    <m/>
  </r>
  <r>
    <s v="Extrême-Nord"/>
    <s v="CMR004"/>
    <x v="5"/>
    <s v="CMR004004"/>
    <x v="20"/>
    <s v="CMR004004006"/>
    <s v="KAE-0018"/>
    <s v="PADJANI"/>
    <m/>
    <x v="1"/>
    <s v="Septembre 2022 – Février 2023"/>
    <n v="1"/>
    <n v="6"/>
    <x v="1"/>
    <m/>
    <s v="Autre pays"/>
    <s v="TCD"/>
    <s v="Tchad"/>
    <s v="TCD011"/>
    <s v="Mayo Kebbi Est"/>
    <m/>
    <m/>
    <m/>
    <m/>
  </r>
  <r>
    <s v="Extrême-Nord"/>
    <s v="CMR004"/>
    <x v="2"/>
    <s v="CMR004002"/>
    <x v="15"/>
    <s v="CMR004002004"/>
    <s v="LBI-0009"/>
    <s v="SITE DE FADJE"/>
    <m/>
    <x v="1"/>
    <s v="Avant 2020"/>
    <n v="6"/>
    <n v="42"/>
    <x v="0"/>
    <m/>
    <s v="Autre pays"/>
    <s v="NGA"/>
    <s v="Nigéria"/>
    <s v="NGA008"/>
    <s v="Borno"/>
    <m/>
    <m/>
    <m/>
    <m/>
  </r>
  <r>
    <s v="Extrême-Nord"/>
    <s v="CMR004"/>
    <x v="2"/>
    <s v="CMR004002"/>
    <x v="15"/>
    <s v="CMR004002004"/>
    <s v="LBI-0019"/>
    <s v="AMALGOCH"/>
    <m/>
    <x v="1"/>
    <s v="Avant 2020"/>
    <n v="2"/>
    <n v="9"/>
    <x v="0"/>
    <m/>
    <s v="Autre pays"/>
    <s v="NGA"/>
    <s v="Nigéria"/>
    <s v="NGA008"/>
    <s v="Borno"/>
    <m/>
    <m/>
    <m/>
    <m/>
  </r>
  <r>
    <s v="Extrême-Nord"/>
    <s v="CMR004"/>
    <x v="5"/>
    <s v="CMR004004"/>
    <x v="20"/>
    <s v="CMR004004006"/>
    <s v="KAE-0013"/>
    <s v="GUETALÉ"/>
    <m/>
    <x v="1"/>
    <s v="Avant 2020"/>
    <n v="4"/>
    <n v="28"/>
    <x v="1"/>
    <m/>
    <s v="Autre pays"/>
    <s v="TCD"/>
    <s v="Tchad"/>
    <s v="TCD011"/>
    <s v="Mayo Kebbi Est"/>
    <m/>
    <m/>
    <m/>
    <m/>
  </r>
  <r>
    <s v="Extrême-Nord"/>
    <s v="CMR004"/>
    <x v="5"/>
    <s v="CMR004004"/>
    <x v="20"/>
    <s v="CMR004004006"/>
    <s v="KAE-0017"/>
    <s v="KEO-KEO"/>
    <m/>
    <x v="1"/>
    <s v="Avant 2020"/>
    <n v="1"/>
    <n v="12"/>
    <x v="1"/>
    <m/>
    <s v="Autre pays"/>
    <s v="TCD"/>
    <s v="Tchad"/>
    <s v="TCD011"/>
    <s v="Mayo Kebbi Est"/>
    <m/>
    <m/>
    <m/>
    <m/>
  </r>
  <r>
    <s v="Extrême-Nord"/>
    <s v="CMR004"/>
    <x v="3"/>
    <s v="CMR004003"/>
    <x v="34"/>
    <s v="CMR004003011"/>
    <s v="GOB-0006"/>
    <s v="KARAM 1"/>
    <m/>
    <x v="1"/>
    <s v="Septembre 2022 – Février 2023"/>
    <n v="40"/>
    <n v="150"/>
    <x v="3"/>
    <m/>
    <s v="Autre pays"/>
    <s v="TCD"/>
    <s v="Tchad"/>
    <s v="TCD011"/>
    <s v="Mayo Kebbi Est"/>
    <m/>
    <m/>
    <m/>
    <m/>
  </r>
  <r>
    <s v="Extrême-Nord"/>
    <s v="CMR004"/>
    <x v="3"/>
    <s v="CMR004003"/>
    <x v="34"/>
    <s v="CMR004003011"/>
    <s v="GOB-0004"/>
    <s v="GOBOGAIOUA"/>
    <m/>
    <x v="1"/>
    <s v="Avant 2020"/>
    <n v="23"/>
    <n v="115"/>
    <x v="0"/>
    <m/>
    <s v="Autre pays"/>
    <s v="TCD"/>
    <s v="Tchad"/>
    <s v="TCD007"/>
    <s v="Lac"/>
    <m/>
    <m/>
    <m/>
    <m/>
  </r>
  <r>
    <s v="Extrême-Nord"/>
    <s v="CMR004"/>
    <x v="3"/>
    <s v="CMR004003"/>
    <x v="34"/>
    <s v="CMR004003011"/>
    <s v="GOB-0003"/>
    <s v="DJELME"/>
    <m/>
    <x v="1"/>
    <s v="Avant 2020"/>
    <n v="3"/>
    <n v="13"/>
    <x v="0"/>
    <m/>
    <s v="Autre pays"/>
    <s v="TCD"/>
    <s v="Tchad"/>
    <s v="TCD007"/>
    <s v="Lac"/>
    <m/>
    <m/>
    <m/>
    <m/>
  </r>
  <r>
    <s v="Extrême-Nord"/>
    <s v="CMR004"/>
    <x v="2"/>
    <s v="CMR004002"/>
    <x v="26"/>
    <s v="CMR004002006"/>
    <s v="KOU-0003"/>
    <s v="ARDEBE VILLE"/>
    <m/>
    <x v="1"/>
    <s v="Septembre 2022 – Février 2023"/>
    <n v="2"/>
    <n v="10"/>
    <x v="3"/>
    <m/>
    <s v="Autre pays"/>
    <s v="TCD"/>
    <s v="Tchad"/>
    <s v="TCD018"/>
    <s v="N'Djamena"/>
    <m/>
    <m/>
    <m/>
    <m/>
  </r>
  <r>
    <s v="Extrême-Nord"/>
    <s v="CMR004"/>
    <x v="3"/>
    <s v="CMR004003"/>
    <x v="33"/>
    <s v="CMR004003001"/>
    <s v="KAI-0010"/>
    <s v="LOUGOY MASSOUANG"/>
    <m/>
    <x v="1"/>
    <s v="Avant 2020"/>
    <n v="5"/>
    <n v="12"/>
    <x v="0"/>
    <m/>
    <s v="Autre pays"/>
    <s v="NGA"/>
    <s v="Nigéria"/>
    <s v="NGA002"/>
    <s v="Adamawa"/>
    <m/>
    <m/>
    <m/>
    <m/>
  </r>
  <r>
    <s v="Extrême-Nord"/>
    <s v="CMR004"/>
    <x v="3"/>
    <s v="CMR004003"/>
    <x v="33"/>
    <s v="CMR004003001"/>
    <s v="KAI-0010"/>
    <s v="LOUGOY MASSOUANG"/>
    <m/>
    <x v="1"/>
    <s v="Janvier - Aout 2022"/>
    <n v="0"/>
    <n v="6"/>
    <x v="0"/>
    <m/>
    <s v="Autre pays"/>
    <s v="NGA"/>
    <s v="Nigéria"/>
    <s v="NGA002"/>
    <s v="Adamawa"/>
    <m/>
    <m/>
    <m/>
    <m/>
  </r>
  <r>
    <s v="Extrême-Nord"/>
    <s v="CMR004"/>
    <x v="2"/>
    <s v="CMR004002"/>
    <x v="26"/>
    <s v="CMR004002006"/>
    <s v="KOU-0017"/>
    <s v="LACKA"/>
    <m/>
    <x v="1"/>
    <s v="Septembre 2022 – Février 2023"/>
    <n v="6"/>
    <n v="50"/>
    <x v="3"/>
    <m/>
    <s v="Autre pays"/>
    <s v="TCD"/>
    <s v="Tchad"/>
    <s v="TCD018"/>
    <s v="N'Djamena"/>
    <m/>
    <m/>
    <m/>
    <m/>
  </r>
  <r>
    <s v="Extrême-Nord"/>
    <s v="CMR004"/>
    <x v="2"/>
    <s v="CMR004002"/>
    <x v="27"/>
    <s v="CMR004002007"/>
    <s v="DAR-0015"/>
    <s v="MAGALA-KABIR 2"/>
    <m/>
    <x v="1"/>
    <s v="En 2020"/>
    <n v="5"/>
    <n v="25"/>
    <x v="0"/>
    <m/>
    <s v="Autre pays"/>
    <s v="NGA"/>
    <s v="Nigéria"/>
    <s v="NGA008"/>
    <s v="Borno"/>
    <m/>
    <m/>
    <m/>
    <m/>
  </r>
  <r>
    <s v="Extrême-Nord"/>
    <s v="CMR004"/>
    <x v="2"/>
    <s v="CMR004002"/>
    <x v="27"/>
    <s v="CMR004002007"/>
    <s v="DAR-0024"/>
    <s v="KADOUNA"/>
    <m/>
    <x v="1"/>
    <s v="En 2020"/>
    <n v="20"/>
    <n v="90"/>
    <x v="0"/>
    <m/>
    <s v="Autre pays"/>
    <s v="NGA"/>
    <s v="Nigéria"/>
    <s v="NGA008"/>
    <s v="Borno"/>
    <m/>
    <m/>
    <m/>
    <m/>
  </r>
  <r>
    <s v="Extrême-Nord"/>
    <s v="CMR004"/>
    <x v="2"/>
    <s v="CMR004002"/>
    <x v="8"/>
    <s v="CMR004002009"/>
    <s v="MAK-0162"/>
    <s v="AMSOUFA"/>
    <m/>
    <x v="1"/>
    <s v="En 2020"/>
    <n v="1"/>
    <n v="6"/>
    <x v="0"/>
    <m/>
    <s v="Autre pays"/>
    <s v="NGA"/>
    <s v="Nigéria"/>
    <s v="NGA008"/>
    <s v="Borno"/>
    <m/>
    <m/>
    <m/>
    <m/>
  </r>
  <r>
    <s v="Extrême-Nord"/>
    <s v="CMR004"/>
    <x v="2"/>
    <s v="CMR004002"/>
    <x v="8"/>
    <s v="CMR004002009"/>
    <s v="MAK-0083"/>
    <s v="NGARDOUKOUM 2"/>
    <m/>
    <x v="1"/>
    <s v="En 2020"/>
    <n v="10"/>
    <n v="79"/>
    <x v="0"/>
    <m/>
    <s v="Autre pays"/>
    <s v="NGA"/>
    <s v="Nigéria"/>
    <s v="NGA008"/>
    <s v="Borno"/>
    <m/>
    <m/>
    <m/>
    <m/>
  </r>
  <r>
    <s v="Extrême-Nord"/>
    <s v="CMR004"/>
    <x v="0"/>
    <s v="CMR004001"/>
    <x v="0"/>
    <s v="CMR004001003"/>
    <s v="PET-0019"/>
    <s v="KOURWAMAYEL"/>
    <m/>
    <x v="2"/>
    <s v="Avant 2020"/>
    <n v="4"/>
    <n v="19"/>
    <x v="0"/>
    <m/>
    <s v="Autre département"/>
    <s v="CMR"/>
    <s v="Cameroun"/>
    <s v="CMR004"/>
    <s v="Extrême-Nord"/>
    <s v="CMR004005"/>
    <s v="Mayo-Sava"/>
    <m/>
    <m/>
  </r>
  <r>
    <s v="Extrême-Nord"/>
    <s v="CMR004"/>
    <x v="0"/>
    <s v="CMR004001"/>
    <x v="0"/>
    <s v="CMR004001003"/>
    <s v="PET-0019"/>
    <s v="KOURWAMAYEL"/>
    <m/>
    <x v="2"/>
    <s v="En 2021"/>
    <n v="0"/>
    <n v="1"/>
    <x v="0"/>
    <m/>
    <s v="Autre département"/>
    <s v="CMR"/>
    <s v="Cameroun"/>
    <s v="CMR004"/>
    <s v="Extrême-Nord"/>
    <s v="CMR004005"/>
    <s v="Mayo-Sava"/>
    <m/>
    <m/>
  </r>
  <r>
    <s v="Extrême-Nord"/>
    <s v="CMR004"/>
    <x v="0"/>
    <s v="CMR004001"/>
    <x v="0"/>
    <s v="CMR004001003"/>
    <s v="PET-0019"/>
    <s v="KOURWAMAYEL"/>
    <m/>
    <x v="2"/>
    <s v="Janvier - Aout 2022"/>
    <n v="0"/>
    <n v="2"/>
    <x v="0"/>
    <m/>
    <s v="Autre département"/>
    <s v="CMR"/>
    <s v="Cameroun"/>
    <s v="CMR004"/>
    <s v="Extrême-Nord"/>
    <s v="CMR004005"/>
    <s v="Mayo-Sava"/>
    <m/>
    <m/>
  </r>
  <r>
    <s v="Extrême-Nord"/>
    <s v="CMR004"/>
    <x v="0"/>
    <s v="CMR004001"/>
    <x v="0"/>
    <s v="CMR004001003"/>
    <s v="PET-0013"/>
    <s v="KLISSAWA"/>
    <m/>
    <x v="2"/>
    <s v="Avant 2020"/>
    <n v="2"/>
    <n v="7"/>
    <x v="0"/>
    <m/>
    <s v="Autre département"/>
    <s v="CMR"/>
    <s v="Cameroun"/>
    <s v="CMR004"/>
    <s v="Extrême-Nord"/>
    <s v="CMR004005"/>
    <s v="Mayo-Sava"/>
    <m/>
    <m/>
  </r>
  <r>
    <s v="Extrême-Nord"/>
    <s v="CMR004"/>
    <x v="0"/>
    <s v="CMR004001"/>
    <x v="40"/>
    <s v="CMR004001004"/>
    <s v="DAG-0001"/>
    <s v="DARGALA"/>
    <m/>
    <x v="2"/>
    <s v="Avant 2020"/>
    <n v="2"/>
    <n v="16"/>
    <x v="1"/>
    <m/>
    <s v="Autre pays"/>
    <s v="CAR"/>
    <s v="République Centrafricaine"/>
    <m/>
    <m/>
    <m/>
    <m/>
    <m/>
    <m/>
  </r>
  <r>
    <s v="Extrême-Nord"/>
    <s v="CMR004"/>
    <x v="0"/>
    <s v="CMR004001"/>
    <x v="40"/>
    <s v="CMR004001004"/>
    <s v="DAG-0002"/>
    <s v="DJOHIRE"/>
    <m/>
    <x v="2"/>
    <s v="Avant 2020"/>
    <n v="3"/>
    <n v="45"/>
    <x v="1"/>
    <m/>
    <s v="Autre pays"/>
    <s v="CAR"/>
    <s v="République Centrafricaine"/>
    <m/>
    <m/>
    <m/>
    <m/>
    <m/>
    <m/>
  </r>
  <r>
    <s v="Extrême-Nord"/>
    <s v="CMR004"/>
    <x v="0"/>
    <s v="CMR004001"/>
    <x v="40"/>
    <s v="CMR004001004"/>
    <s v="DAG-0005"/>
    <s v="WOULMOYE"/>
    <m/>
    <x v="2"/>
    <s v="Avant 2020"/>
    <n v="6"/>
    <n v="86"/>
    <x v="1"/>
    <m/>
    <s v="Autre pays"/>
    <s v="CAR"/>
    <s v="République Centrafricaine"/>
    <m/>
    <m/>
    <m/>
    <m/>
    <m/>
    <m/>
  </r>
  <r>
    <s v="Extrême-Nord"/>
    <s v="CMR004"/>
    <x v="0"/>
    <s v="CMR004001"/>
    <x v="40"/>
    <s v="CMR004001004"/>
    <s v="DAG-0003"/>
    <s v="KALAKI"/>
    <m/>
    <x v="2"/>
    <s v="Avant 2020"/>
    <n v="11"/>
    <n v="135"/>
    <x v="1"/>
    <m/>
    <s v="Autre pays"/>
    <s v="CAR"/>
    <s v="République Centrafricaine"/>
    <m/>
    <m/>
    <m/>
    <m/>
    <m/>
    <m/>
  </r>
  <r>
    <s v="Extrême-Nord"/>
    <s v="CMR004"/>
    <x v="0"/>
    <s v="CMR004001"/>
    <x v="40"/>
    <s v="CMR004001004"/>
    <s v="DAG-0004"/>
    <s v="OURO-ZANGUI"/>
    <m/>
    <x v="2"/>
    <s v="Avant 2020"/>
    <n v="1"/>
    <n v="5"/>
    <x v="1"/>
    <m/>
    <s v="Autre pays"/>
    <s v="CAR"/>
    <s v="République Centrafricaine"/>
    <m/>
    <m/>
    <m/>
    <m/>
    <m/>
    <m/>
  </r>
  <r>
    <s v="Extrême-Nord"/>
    <s v="CMR004"/>
    <x v="1"/>
    <s v="CMR004006"/>
    <x v="7"/>
    <s v="CMR004006005"/>
    <s v="MOZ-0010"/>
    <s v="MOZOGO QUARTIER HAOUSSA"/>
    <m/>
    <x v="2"/>
    <s v="Avant 2020"/>
    <n v="75"/>
    <n v="405"/>
    <x v="0"/>
    <m/>
    <s v="Même département, autre arrondissement"/>
    <s v="CMR"/>
    <s v="Cameroun"/>
    <s v="CMR004"/>
    <s v="Extrême-Nord"/>
    <s v="CMR004006"/>
    <s v="Mayo-Tsanaga"/>
    <m/>
    <s v="Koza"/>
  </r>
  <r>
    <s v="Extrême-Nord"/>
    <s v="CMR004"/>
    <x v="1"/>
    <s v="CMR004006"/>
    <x v="7"/>
    <s v="CMR004006005"/>
    <s v="MOZ-0010"/>
    <s v="MOZOGO QUARTIER HAOUSSA"/>
    <m/>
    <x v="2"/>
    <s v="En 2021"/>
    <n v="3"/>
    <n v="25"/>
    <x v="0"/>
    <m/>
    <s v="Même arrondissement"/>
    <s v="CMR"/>
    <s v="Cameroun"/>
    <s v="CMR004"/>
    <s v="Extrême-Nord"/>
    <s v="CMR004006"/>
    <s v="Mayo-Tsanaga"/>
    <s v="CMR004006005"/>
    <s v="Mayo-Moskota"/>
  </r>
  <r>
    <s v="Extrême-Nord"/>
    <s v="CMR004"/>
    <x v="1"/>
    <s v="CMR004006"/>
    <x v="7"/>
    <s v="CMR004006005"/>
    <s v="MOZ-0010"/>
    <s v="MOZOGO QUARTIER HAOUSSA"/>
    <m/>
    <x v="2"/>
    <s v="Janvier - Aout 2022"/>
    <n v="7"/>
    <n v="30"/>
    <x v="0"/>
    <m/>
    <s v="Même département, autre arrondissement"/>
    <s v="CMR"/>
    <s v="Cameroun"/>
    <s v="CMR004"/>
    <s v="Extrême-Nord"/>
    <s v="CMR004006"/>
    <s v="Mayo-Tsanaga"/>
    <m/>
    <s v="Koza"/>
  </r>
  <r>
    <s v="Extrême-Nord"/>
    <s v="CMR004"/>
    <x v="1"/>
    <s v="CMR004006"/>
    <x v="7"/>
    <s v="CMR004006005"/>
    <s v="MOZ-0010"/>
    <s v="MOZOGO QUARTIER HAOUSSA"/>
    <m/>
    <x v="2"/>
    <s v="Septembre 2022 – Février 2023"/>
    <n v="10"/>
    <n v="30"/>
    <x v="0"/>
    <m/>
    <s v="Même département, autre arrondissement"/>
    <s v="CMR"/>
    <s v="Cameroun"/>
    <s v="CMR004"/>
    <s v="Extrême-Nord"/>
    <s v="CMR004006"/>
    <s v="Mayo-Tsanaga"/>
    <m/>
    <s v="Koza"/>
  </r>
  <r>
    <s v="Extrême-Nord"/>
    <s v="CMR004"/>
    <x v="1"/>
    <s v="CMR004006"/>
    <x v="7"/>
    <s v="CMR004006005"/>
    <s v="MOZ-0014"/>
    <s v="OUZAL"/>
    <m/>
    <x v="2"/>
    <s v="Septembre 2022 – Février 2023"/>
    <n v="5"/>
    <n v="18"/>
    <x v="0"/>
    <m/>
    <s v="Même département, autre arrondissement"/>
    <s v="CMR"/>
    <s v="Cameroun"/>
    <s v="CMR004"/>
    <s v="Extrême-Nord"/>
    <s v="CMR004006"/>
    <s v="Mayo-Tsanaga"/>
    <m/>
    <s v="Koza"/>
  </r>
  <r>
    <s v="Extrême-Nord"/>
    <s v="CMR004"/>
    <x v="1"/>
    <s v="CMR004006"/>
    <x v="7"/>
    <s v="CMR004006005"/>
    <s v="MOZ-0009"/>
    <s v="MOZOGO GUIDBALA"/>
    <m/>
    <x v="2"/>
    <s v="Avant 2020"/>
    <n v="75"/>
    <n v="428"/>
    <x v="0"/>
    <m/>
    <s v="Même département, autre arrondissement"/>
    <s v="CMR"/>
    <s v="Cameroun"/>
    <s v="CMR004"/>
    <s v="Extrême-Nord"/>
    <s v="CMR004006"/>
    <s v="Mayo-Tsanaga"/>
    <s v="CMR004006002"/>
    <s v="Mokolo"/>
  </r>
  <r>
    <s v="Extrême-Nord"/>
    <s v="CMR004"/>
    <x v="1"/>
    <s v="CMR004006"/>
    <x v="7"/>
    <s v="CMR004006005"/>
    <s v="MOZ-0009"/>
    <s v="MOZOGO GUIDBALA"/>
    <m/>
    <x v="2"/>
    <s v="En 2021"/>
    <n v="9"/>
    <n v="38"/>
    <x v="0"/>
    <m/>
    <s v="Même département, autre arrondissement"/>
    <s v="CMR"/>
    <s v="Cameroun"/>
    <s v="CMR004"/>
    <s v="Extrême-Nord"/>
    <s v="CMR004006"/>
    <s v="Mayo-Tsanaga"/>
    <m/>
    <s v="Koza"/>
  </r>
  <r>
    <s v="Extrême-Nord"/>
    <s v="CMR004"/>
    <x v="1"/>
    <s v="CMR004006"/>
    <x v="7"/>
    <s v="CMR004006005"/>
    <s v="MOZ-0006"/>
    <s v="MEDEGOUER"/>
    <m/>
    <x v="2"/>
    <s v="Avant 2020"/>
    <n v="5"/>
    <n v="10"/>
    <x v="0"/>
    <m/>
    <s v="Autre région"/>
    <s v="CMR"/>
    <s v="Cameroun"/>
    <s v="CMR001"/>
    <s v="Adamaoua"/>
    <m/>
    <m/>
    <m/>
    <m/>
  </r>
  <r>
    <s v="Extrême-Nord"/>
    <s v="CMR004"/>
    <x v="0"/>
    <s v="CMR004001"/>
    <x v="0"/>
    <s v="CMR004001003"/>
    <s v="PET-0005"/>
    <s v="DJOUTA-BEMBAL"/>
    <m/>
    <x v="2"/>
    <s v="Avant 2020"/>
    <n v="3"/>
    <n v="10"/>
    <x v="0"/>
    <m/>
    <s v="Autre département"/>
    <s v="CMR"/>
    <s v="Cameroun"/>
    <s v="CMR004"/>
    <s v="Extrême-Nord"/>
    <s v="CMR004005"/>
    <s v="Mayo-Sava"/>
    <m/>
    <m/>
  </r>
  <r>
    <s v="Extrême-Nord"/>
    <s v="CMR004"/>
    <x v="2"/>
    <s v="CMR004002"/>
    <x v="8"/>
    <s v="CMR004002009"/>
    <s v="MAK-0071"/>
    <s v="NANAMI"/>
    <m/>
    <x v="2"/>
    <s v="Avant 2020"/>
    <n v="8"/>
    <n v="42"/>
    <x v="0"/>
    <m/>
    <s v="Même département, autre arrondissement"/>
    <s v="CMR"/>
    <s v="Cameroun"/>
    <s v="CMR004"/>
    <s v="Extrême-Nord"/>
    <s v="CMR004002"/>
    <s v="Logone-Et-Chari"/>
    <s v="CMR004002010"/>
    <s v="Hile-Alifa"/>
  </r>
  <r>
    <s v="Extrême-Nord"/>
    <s v="CMR004"/>
    <x v="0"/>
    <s v="CMR004001"/>
    <x v="40"/>
    <s v="CMR004001004"/>
    <s v="DAG-0007"/>
    <s v="WOURO MAOUNDE"/>
    <m/>
    <x v="2"/>
    <s v="Avant 2020"/>
    <n v="4"/>
    <n v="29"/>
    <x v="1"/>
    <m/>
    <s v="Autre pays"/>
    <s v="CAR"/>
    <s v="République Centrafricaine"/>
    <m/>
    <m/>
    <m/>
    <m/>
    <m/>
    <m/>
  </r>
  <r>
    <s v="Extrême-Nord"/>
    <s v="CMR004"/>
    <x v="0"/>
    <s v="CMR004001"/>
    <x v="40"/>
    <s v="CMR004001004"/>
    <s v="DAG-0006"/>
    <s v="WOURO BOUBA"/>
    <m/>
    <x v="2"/>
    <s v="Avant 2020"/>
    <n v="9"/>
    <n v="74"/>
    <x v="1"/>
    <m/>
    <s v="Autre pays"/>
    <s v="CAR"/>
    <s v="République Centrafricaine"/>
    <m/>
    <m/>
    <m/>
    <m/>
    <m/>
    <m/>
  </r>
  <r>
    <s v="Extrême-Nord"/>
    <s v="CMR004"/>
    <x v="2"/>
    <s v="CMR004002"/>
    <x v="15"/>
    <s v="CMR004002004"/>
    <s v="LBI-0107"/>
    <s v="MRÉ - MRÉ"/>
    <m/>
    <x v="2"/>
    <s v="Septembre 2022 – Février 2023"/>
    <n v="1"/>
    <n v="3"/>
    <x v="1"/>
    <m/>
    <s v="Autre pays"/>
    <s v="NGA"/>
    <s v="Nigéria"/>
    <m/>
    <m/>
    <m/>
    <m/>
    <m/>
    <m/>
  </r>
  <r>
    <s v="Extrême-Nord"/>
    <s v="CMR004"/>
    <x v="3"/>
    <s v="CMR004003"/>
    <x v="11"/>
    <s v="CMR004003002"/>
    <s v="MAG-0008"/>
    <s v="ALVAKAYE"/>
    <m/>
    <x v="2"/>
    <s v="En 2021"/>
    <n v="177"/>
    <n v="2527"/>
    <x v="3"/>
    <m/>
    <s v="Même arrondissement"/>
    <s v="CMR"/>
    <s v="Cameroun"/>
    <s v="CMR004"/>
    <s v="Extrême-Nord"/>
    <s v="CMR004003"/>
    <s v="Mayo-Danay"/>
    <s v="CMR004003002"/>
    <s v="Maga"/>
  </r>
  <r>
    <s v="Extrême-Nord"/>
    <s v="CMR004"/>
    <x v="3"/>
    <s v="CMR004003"/>
    <x v="11"/>
    <s v="CMR004003002"/>
    <s v="MAG-0008"/>
    <s v="ALVAKAYE"/>
    <m/>
    <x v="2"/>
    <s v="Janvier - Aout 2022"/>
    <n v="0"/>
    <n v="16"/>
    <x v="3"/>
    <m/>
    <s v="Même arrondissement"/>
    <s v="CMR"/>
    <s v="Cameroun"/>
    <s v="CMR004"/>
    <s v="Extrême-Nord"/>
    <s v="CMR004003"/>
    <s v="Mayo-Danay"/>
    <s v="CMR004003002"/>
    <s v="Maga"/>
  </r>
  <r>
    <s v="Extrême-Nord"/>
    <s v="CMR004"/>
    <x v="3"/>
    <s v="CMR004003"/>
    <x v="11"/>
    <s v="CMR004003002"/>
    <s v="MAG-0008"/>
    <s v="ALVAKAYE"/>
    <m/>
    <x v="2"/>
    <s v="Septembre 2022 – Février 2023"/>
    <n v="0"/>
    <n v="26"/>
    <x v="3"/>
    <m/>
    <s v="Même arrondissement"/>
    <s v="CMR"/>
    <s v="Cameroun"/>
    <s v="CMR004"/>
    <s v="Extrême-Nord"/>
    <s v="CMR004003"/>
    <s v="Mayo-Danay"/>
    <s v="CMR004003002"/>
    <s v="Maga"/>
  </r>
  <r>
    <s v="Extrême-Nord"/>
    <s v="CMR004"/>
    <x v="1"/>
    <s v="CMR004006"/>
    <x v="7"/>
    <s v="CMR004006005"/>
    <s v="MOZ-0007"/>
    <s v="MOSKOTA CENTRE"/>
    <m/>
    <x v="2"/>
    <s v="Avant 2020"/>
    <n v="140"/>
    <n v="706"/>
    <x v="0"/>
    <m/>
    <s v="Même arrondissement"/>
    <s v="CMR"/>
    <s v="Cameroun"/>
    <s v="CMR004"/>
    <s v="Extrême-Nord"/>
    <s v="CMR004006"/>
    <s v="Mayo-Tsanaga"/>
    <s v="CMR004006005"/>
    <s v="Mayo-Moskota"/>
  </r>
  <r>
    <s v="Extrême-Nord"/>
    <s v="CMR004"/>
    <x v="1"/>
    <s v="CMR004006"/>
    <x v="7"/>
    <s v="CMR004006005"/>
    <s v="MOZ-0007"/>
    <s v="MOSKOTA CENTRE"/>
    <m/>
    <x v="2"/>
    <s v="En 2021"/>
    <n v="13"/>
    <n v="95"/>
    <x v="0"/>
    <m/>
    <s v="Même arrondissement"/>
    <s v="CMR"/>
    <s v="Cameroun"/>
    <s v="CMR004"/>
    <s v="Extrême-Nord"/>
    <s v="CMR004006"/>
    <s v="Mayo-Tsanaga"/>
    <s v="CMR004006005"/>
    <s v="Mayo-Moskota"/>
  </r>
  <r>
    <s v="Extrême-Nord"/>
    <s v="CMR004"/>
    <x v="1"/>
    <s v="CMR004006"/>
    <x v="7"/>
    <s v="CMR004006005"/>
    <s v="MOZ-0007"/>
    <s v="MOSKOTA CENTRE"/>
    <m/>
    <x v="2"/>
    <s v="Janvier - Aout 2022"/>
    <n v="13"/>
    <n v="43"/>
    <x v="0"/>
    <m/>
    <s v="Même département, autre arrondissement"/>
    <s v="CMR"/>
    <s v="Cameroun"/>
    <s v="CMR004"/>
    <s v="Extrême-Nord"/>
    <s v="CMR004006"/>
    <s v="Mayo-Tsanaga"/>
    <s v="CMR004006002"/>
    <s v="Mokolo"/>
  </r>
  <r>
    <s v="Extrême-Nord"/>
    <s v="CMR004"/>
    <x v="1"/>
    <s v="CMR004006"/>
    <x v="7"/>
    <s v="CMR004006005"/>
    <s v="MOZ-0007"/>
    <s v="MOSKOTA CENTRE"/>
    <m/>
    <x v="2"/>
    <s v="Septembre 2022 – Février 2023"/>
    <n v="20"/>
    <n v="70"/>
    <x v="0"/>
    <m/>
    <s v="Même département, autre arrondissement"/>
    <s v="CMR"/>
    <s v="Cameroun"/>
    <s v="CMR004"/>
    <s v="Extrême-Nord"/>
    <s v="CMR004006"/>
    <s v="Mayo-Tsanaga"/>
    <m/>
    <s v="Koza"/>
  </r>
  <r>
    <s v="Extrême-Nord"/>
    <s v="CMR004"/>
    <x v="1"/>
    <s v="CMR004006"/>
    <x v="7"/>
    <s v="CMR004006005"/>
    <s v="MOZ-0031"/>
    <s v="SITE DE MOSKOTA - MOGODA"/>
    <m/>
    <x v="2"/>
    <s v="Septembre 2022 – Février 2023"/>
    <n v="1"/>
    <n v="6"/>
    <x v="0"/>
    <m/>
    <s v="Même département, autre arrondissement"/>
    <s v="CMR"/>
    <s v="Cameroun"/>
    <s v="CMR004"/>
    <s v="Extrême-Nord"/>
    <s v="CMR004006"/>
    <s v="Mayo-Tsanaga"/>
    <m/>
    <s v="Koza"/>
  </r>
  <r>
    <s v="Extrême-Nord"/>
    <s v="CMR004"/>
    <x v="2"/>
    <s v="CMR004002"/>
    <x v="13"/>
    <s v="CMR004002001"/>
    <s v="WAZ-0002"/>
    <s v="KABE 1"/>
    <m/>
    <x v="2"/>
    <s v="Avant 2020"/>
    <n v="62"/>
    <n v="360"/>
    <x v="0"/>
    <m/>
    <s v="Même arrondissement"/>
    <s v="CMR"/>
    <s v="Cameroun"/>
    <s v="CMR004"/>
    <s v="Extrême-Nord"/>
    <s v="CMR004002"/>
    <s v="Logone-Et-Chari"/>
    <s v="CMR004002001"/>
    <s v="Waza"/>
  </r>
  <r>
    <s v="Extrême-Nord"/>
    <s v="CMR004"/>
    <x v="2"/>
    <s v="CMR004002"/>
    <x v="10"/>
    <s v="CMR004002003"/>
    <s v="BLA-0010"/>
    <s v="KOUTOULA"/>
    <m/>
    <x v="2"/>
    <s v="Avant 2020"/>
    <n v="6"/>
    <n v="46"/>
    <x v="0"/>
    <m/>
    <s v="Même département, autre arrondissement"/>
    <s v="CMR"/>
    <s v="Cameroun"/>
    <s v="CMR004"/>
    <s v="Extrême-Nord"/>
    <s v="CMR004002"/>
    <s v="Logone-Et-Chari"/>
    <s v="CMR004002007"/>
    <s v="Darak"/>
  </r>
  <r>
    <s v="Extrême-Nord"/>
    <s v="CMR004"/>
    <x v="1"/>
    <s v="CMR004006"/>
    <x v="39"/>
    <s v="CMR004006001"/>
    <s v="MOG-0002"/>
    <s v="KARANTCHI"/>
    <m/>
    <x v="2"/>
    <s v="Avant 2020"/>
    <n v="12"/>
    <n v="73"/>
    <x v="0"/>
    <m/>
    <s v="Autre pays"/>
    <s v="NGA"/>
    <s v="Nigéria"/>
    <m/>
    <m/>
    <m/>
    <m/>
    <m/>
    <m/>
  </r>
  <r>
    <s v="Extrême-Nord"/>
    <s v="CMR004"/>
    <x v="1"/>
    <s v="CMR004006"/>
    <x v="39"/>
    <s v="CMR004006001"/>
    <s v="MOG-0002"/>
    <s v="KARANTCHI"/>
    <m/>
    <x v="2"/>
    <s v="En 2021"/>
    <n v="0"/>
    <n v="6"/>
    <x v="0"/>
    <m/>
    <s v="Autre pays"/>
    <s v="NGA"/>
    <s v="Nigéria"/>
    <m/>
    <m/>
    <m/>
    <m/>
    <m/>
    <m/>
  </r>
  <r>
    <s v="Extrême-Nord"/>
    <s v="CMR004"/>
    <x v="1"/>
    <s v="CMR004006"/>
    <x v="39"/>
    <s v="CMR004006001"/>
    <s v="MOG-0002"/>
    <s v="KARANTCHI"/>
    <m/>
    <x v="2"/>
    <s v="Janvier - Aout 2022"/>
    <n v="0"/>
    <n v="4"/>
    <x v="0"/>
    <m/>
    <s v="Autre pays"/>
    <s v="NGA"/>
    <s v="Nigéria"/>
    <m/>
    <m/>
    <m/>
    <m/>
    <m/>
    <m/>
  </r>
  <r>
    <s v="Extrême-Nord"/>
    <s v="CMR004"/>
    <x v="1"/>
    <s v="CMR004006"/>
    <x v="39"/>
    <s v="CMR004006001"/>
    <s v="MOG-0012"/>
    <s v="VITTE"/>
    <m/>
    <x v="2"/>
    <s v="Avant 2020"/>
    <n v="8"/>
    <n v="35"/>
    <x v="0"/>
    <m/>
    <s v="Autre pays"/>
    <s v="NGA"/>
    <s v="Nigéria"/>
    <m/>
    <m/>
    <m/>
    <m/>
    <m/>
    <m/>
  </r>
  <r>
    <s v="Extrême-Nord"/>
    <s v="CMR004"/>
    <x v="1"/>
    <s v="CMR004006"/>
    <x v="39"/>
    <s v="CMR004006001"/>
    <s v="MOG-0012"/>
    <s v="VITTE"/>
    <m/>
    <x v="2"/>
    <s v="En 2020"/>
    <n v="0"/>
    <n v="4"/>
    <x v="0"/>
    <m/>
    <s v="Autre pays"/>
    <s v="NGA"/>
    <s v="Nigéria"/>
    <m/>
    <m/>
    <m/>
    <m/>
    <m/>
    <m/>
  </r>
  <r>
    <s v="Extrême-Nord"/>
    <s v="CMR004"/>
    <x v="1"/>
    <s v="CMR004006"/>
    <x v="39"/>
    <s v="CMR004006001"/>
    <s v="MOG-0012"/>
    <s v="VITTE"/>
    <m/>
    <x v="2"/>
    <s v="En 2021"/>
    <n v="0"/>
    <n v="2"/>
    <x v="0"/>
    <m/>
    <s v="Autre pays"/>
    <s v="NGA"/>
    <s v="Nigéria"/>
    <m/>
    <m/>
    <m/>
    <m/>
    <m/>
    <m/>
  </r>
  <r>
    <s v="Extrême-Nord"/>
    <s v="CMR004"/>
    <x v="1"/>
    <s v="CMR004006"/>
    <x v="39"/>
    <s v="CMR004006001"/>
    <s v="MOG-0012"/>
    <s v="VITTE"/>
    <m/>
    <x v="2"/>
    <s v="Septembre 2022 – Février 2023"/>
    <n v="2"/>
    <n v="8"/>
    <x v="0"/>
    <m/>
    <s v="Autre pays"/>
    <s v="NGA"/>
    <s v="Nigéria"/>
    <m/>
    <m/>
    <m/>
    <m/>
    <m/>
    <m/>
  </r>
  <r>
    <s v="Extrême-Nord"/>
    <s v="CMR004"/>
    <x v="2"/>
    <s v="CMR004002"/>
    <x v="13"/>
    <s v="CMR004002001"/>
    <s v="WAZ-0006"/>
    <s v="SALEH"/>
    <m/>
    <x v="2"/>
    <s v="Septembre 2022 – Février 2023"/>
    <n v="101"/>
    <n v="517"/>
    <x v="0"/>
    <m/>
    <s v="Même arrondissement"/>
    <s v="CMR"/>
    <s v="Cameroun"/>
    <s v="CMR004"/>
    <s v="Extrême-Nord"/>
    <s v="CMR004002"/>
    <s v="Logone-Et-Chari"/>
    <s v="CMR004002001"/>
    <s v="Waza"/>
  </r>
  <r>
    <s v="Extrême-Nord"/>
    <s v="CMR004"/>
    <x v="2"/>
    <s v="CMR004002"/>
    <x v="13"/>
    <s v="CMR004002001"/>
    <s v="WAZ-0006"/>
    <s v="SALEH"/>
    <m/>
    <x v="2"/>
    <s v="Avant 2020"/>
    <n v="0"/>
    <n v="16"/>
    <x v="0"/>
    <m/>
    <s v="Même arrondissement"/>
    <s v="CMR"/>
    <s v="Cameroun"/>
    <s v="CMR004"/>
    <s v="Extrême-Nord"/>
    <s v="CMR004002"/>
    <s v="Logone-Et-Chari"/>
    <s v="CMR004002001"/>
    <s v="Waza"/>
  </r>
  <r>
    <s v="Extrême-Nord"/>
    <s v="CMR004"/>
    <x v="2"/>
    <s v="CMR004002"/>
    <x v="13"/>
    <s v="CMR004002001"/>
    <s v="WAZ-0012"/>
    <s v="ZIGAGUE"/>
    <m/>
    <x v="2"/>
    <s v="Avant 2020"/>
    <n v="53"/>
    <n v="372"/>
    <x v="0"/>
    <m/>
    <s v="Même arrondissement"/>
    <s v="CMR"/>
    <s v="Cameroun"/>
    <s v="CMR004"/>
    <s v="Extrême-Nord"/>
    <s v="CMR004002"/>
    <s v="Logone-Et-Chari"/>
    <s v="CMR004002001"/>
    <s v="Waza"/>
  </r>
  <r>
    <s v="Extrême-Nord"/>
    <s v="CMR004"/>
    <x v="2"/>
    <s v="CMR004002"/>
    <x v="13"/>
    <s v="CMR004002001"/>
    <s v="WAZ-0012"/>
    <s v="ZIGAGUE"/>
    <m/>
    <x v="2"/>
    <s v="Septembre 2022 – Février 2023"/>
    <n v="0"/>
    <n v="10"/>
    <x v="0"/>
    <m/>
    <s v="Même arrondissement"/>
    <s v="CMR"/>
    <s v="Cameroun"/>
    <s v="CMR004"/>
    <s v="Extrême-Nord"/>
    <s v="CMR004002"/>
    <s v="Logone-Et-Chari"/>
    <s v="CMR004002001"/>
    <s v="Waza"/>
  </r>
  <r>
    <s v="Extrême-Nord"/>
    <s v="CMR004"/>
    <x v="2"/>
    <s v="CMR004002"/>
    <x v="13"/>
    <s v="CMR004002001"/>
    <s v="WAZ-0021"/>
    <s v="GOULOUZIVINI"/>
    <m/>
    <x v="2"/>
    <s v="En 2021"/>
    <n v="3"/>
    <n v="23"/>
    <x v="0"/>
    <m/>
    <s v="Même arrondissement"/>
    <s v="CMR"/>
    <s v="Cameroun"/>
    <s v="CMR004"/>
    <s v="Extrême-Nord"/>
    <s v="CMR004002"/>
    <s v="Logone-Et-Chari"/>
    <s v="CMR004002001"/>
    <s v="Waza"/>
  </r>
  <r>
    <s v="Extrême-Nord"/>
    <s v="CMR004"/>
    <x v="2"/>
    <s v="CMR004002"/>
    <x v="13"/>
    <s v="CMR004002001"/>
    <s v="WAZ-0021"/>
    <s v="GOULOUZIVINI"/>
    <m/>
    <x v="2"/>
    <s v="Septembre 2022 – Février 2023"/>
    <n v="0"/>
    <n v="1"/>
    <x v="0"/>
    <m/>
    <s v="Même arrondissement"/>
    <s v="CMR"/>
    <s v="Cameroun"/>
    <s v="CMR004"/>
    <s v="Extrême-Nord"/>
    <s v="CMR004002"/>
    <s v="Logone-Et-Chari"/>
    <s v="CMR004002001"/>
    <s v="Waza"/>
  </r>
  <r>
    <s v="Extrême-Nord"/>
    <s v="CMR004"/>
    <x v="1"/>
    <s v="CMR004006"/>
    <x v="7"/>
    <s v="CMR004006005"/>
    <s v="MOZ-0021"/>
    <s v="ASSIGHASSIA"/>
    <m/>
    <x v="2"/>
    <s v="Avant 2020"/>
    <n v="1017"/>
    <n v="7909"/>
    <x v="0"/>
    <m/>
    <s v="Même arrondissement"/>
    <s v="CMR"/>
    <s v="Cameroun"/>
    <s v="CMR004"/>
    <s v="Extrême-Nord"/>
    <s v="CMR004006"/>
    <s v="Mayo-Tsanaga"/>
    <s v="CMR004006005"/>
    <s v="Mayo-Moskota"/>
  </r>
  <r>
    <s v="Extrême-Nord"/>
    <s v="CMR004"/>
    <x v="1"/>
    <s v="CMR004006"/>
    <x v="7"/>
    <s v="CMR004006005"/>
    <s v="MOZ-0021"/>
    <s v="ASSIGHASSIA"/>
    <m/>
    <x v="2"/>
    <s v="En 2021"/>
    <n v="2"/>
    <n v="17"/>
    <x v="0"/>
    <m/>
    <s v="Même arrondissement"/>
    <s v="CMR"/>
    <s v="Cameroun"/>
    <s v="CMR004"/>
    <s v="Extrême-Nord"/>
    <s v="CMR004006"/>
    <s v="Mayo-Tsanaga"/>
    <s v="CMR004006005"/>
    <s v="Mayo-Moskota"/>
  </r>
  <r>
    <s v="Extrême-Nord"/>
    <s v="CMR004"/>
    <x v="1"/>
    <s v="CMR004006"/>
    <x v="7"/>
    <s v="CMR004006005"/>
    <s v="MOZ-0021"/>
    <s v="ASSIGHASSIA"/>
    <m/>
    <x v="2"/>
    <s v="Janvier - Aout 2022"/>
    <n v="2"/>
    <n v="16"/>
    <x v="0"/>
    <m/>
    <s v="Même arrondissement"/>
    <s v="CMR"/>
    <s v="Cameroun"/>
    <s v="CMR004"/>
    <s v="Extrême-Nord"/>
    <s v="CMR004006"/>
    <s v="Mayo-Tsanaga"/>
    <s v="CMR004006005"/>
    <s v="Mayo-Moskota"/>
  </r>
  <r>
    <s v="Extrême-Nord"/>
    <s v="CMR004"/>
    <x v="2"/>
    <s v="CMR004002"/>
    <x v="15"/>
    <s v="CMR004002004"/>
    <s v="LBI-0079"/>
    <s v="OULI HERAS"/>
    <m/>
    <x v="2"/>
    <s v="Septembre 2022 – Février 2023"/>
    <n v="1"/>
    <n v="3"/>
    <x v="1"/>
    <m/>
    <s v="Autre pays"/>
    <s v="TCD"/>
    <s v="Tchad"/>
    <m/>
    <m/>
    <m/>
    <m/>
    <m/>
    <m/>
  </r>
  <r>
    <s v="Extrême-Nord"/>
    <s v="CMR004"/>
    <x v="2"/>
    <s v="CMR004002"/>
    <x v="15"/>
    <s v="CMR004002004"/>
    <s v="LBI-0079"/>
    <s v="OULI HERAS"/>
    <m/>
    <x v="2"/>
    <s v="Janvier - Aout 2022"/>
    <n v="42"/>
    <n v="333"/>
    <x v="1"/>
    <m/>
    <s v="Même département, autre arrondissement"/>
    <s v="CMR"/>
    <s v="Cameroun"/>
    <s v="CMR004"/>
    <s v="Extrême-Nord"/>
    <s v="CMR004002"/>
    <s v="Logone-Et-Chari"/>
    <s v="CMR004002006"/>
    <s v="Kousséri"/>
  </r>
  <r>
    <s v="Extrême-Nord"/>
    <s v="CMR004"/>
    <x v="2"/>
    <s v="CMR004002"/>
    <x v="10"/>
    <s v="CMR004002003"/>
    <s v="BLA-0018"/>
    <s v="DOUGOUMACHI"/>
    <m/>
    <x v="2"/>
    <s v="Janvier - Aout 2022"/>
    <n v="35"/>
    <n v="40"/>
    <x v="0"/>
    <m/>
    <s v="Même département, autre arrondissement"/>
    <s v="CMR"/>
    <s v="Cameroun"/>
    <s v="CMR004"/>
    <s v="Extrême-Nord"/>
    <s v="CMR004002"/>
    <s v="Logone-Et-Chari"/>
    <s v="CMR004002007"/>
    <s v="Darak"/>
  </r>
  <r>
    <s v="Extrême-Nord"/>
    <s v="CMR004"/>
    <x v="2"/>
    <s v="CMR004002"/>
    <x v="13"/>
    <s v="CMR004002001"/>
    <s v="WAZ-0019"/>
    <s v="MATKOUNA 2"/>
    <m/>
    <x v="2"/>
    <s v="Avant 2020"/>
    <n v="17"/>
    <n v="75"/>
    <x v="0"/>
    <m/>
    <s v="Même arrondissement"/>
    <s v="CMR"/>
    <s v="Cameroun"/>
    <s v="CMR004"/>
    <s v="Extrême-Nord"/>
    <s v="CMR004002"/>
    <s v="Logone-Et-Chari"/>
    <s v="CMR004002001"/>
    <s v="Waza"/>
  </r>
  <r>
    <s v="Extrême-Nord"/>
    <s v="CMR004"/>
    <x v="2"/>
    <s v="CMR004002"/>
    <x v="13"/>
    <s v="CMR004002001"/>
    <s v="WAZ-0019"/>
    <s v="MATKOUNA 2"/>
    <m/>
    <x v="2"/>
    <s v="En 2020"/>
    <n v="0"/>
    <n v="3"/>
    <x v="0"/>
    <m/>
    <s v="Même arrondissement"/>
    <s v="CMR"/>
    <s v="Cameroun"/>
    <s v="CMR004"/>
    <s v="Extrême-Nord"/>
    <s v="CMR004002"/>
    <s v="Logone-Et-Chari"/>
    <s v="CMR004002001"/>
    <s v="Waza"/>
  </r>
  <r>
    <s v="Extrême-Nord"/>
    <s v="CMR004"/>
    <x v="2"/>
    <s v="CMR004002"/>
    <x v="13"/>
    <s v="CMR004002001"/>
    <s v="WAZ-0019"/>
    <s v="MATKOUNA 2"/>
    <m/>
    <x v="2"/>
    <s v="En 2021"/>
    <n v="0"/>
    <n v="7"/>
    <x v="0"/>
    <m/>
    <s v="Même arrondissement"/>
    <s v="CMR"/>
    <s v="Cameroun"/>
    <s v="CMR004"/>
    <s v="Extrême-Nord"/>
    <s v="CMR004002"/>
    <s v="Logone-Et-Chari"/>
    <s v="CMR004002001"/>
    <s v="Waza"/>
  </r>
  <r>
    <s v="Extrême-Nord"/>
    <s v="CMR004"/>
    <x v="1"/>
    <s v="CMR004006"/>
    <x v="7"/>
    <s v="CMR004006005"/>
    <s v="MOZ-0037"/>
    <s v="MOUNDOUGOUA"/>
    <m/>
    <x v="2"/>
    <s v="Avant 2020"/>
    <n v="80"/>
    <n v="830"/>
    <x v="0"/>
    <m/>
    <s v="Même arrondissement"/>
    <s v="CMR"/>
    <s v="Cameroun"/>
    <s v="CMR004"/>
    <s v="Extrême-Nord"/>
    <s v="CMR004006"/>
    <s v="Mayo-Tsanaga"/>
    <s v="CMR004006005"/>
    <s v="Mayo-Moskota"/>
  </r>
  <r>
    <s v="Extrême-Nord"/>
    <s v="CMR004"/>
    <x v="1"/>
    <s v="CMR004006"/>
    <x v="7"/>
    <s v="CMR004006005"/>
    <s v="MOZ-0037"/>
    <s v="MOUNDOUGOUA"/>
    <m/>
    <x v="2"/>
    <s v="En 2021"/>
    <n v="1"/>
    <n v="5"/>
    <x v="0"/>
    <m/>
    <s v="Même arrondissement"/>
    <s v="CMR"/>
    <s v="Cameroun"/>
    <s v="CMR004"/>
    <s v="Extrême-Nord"/>
    <s v="CMR004006"/>
    <s v="Mayo-Tsanaga"/>
    <s v="CMR004006005"/>
    <s v="Mayo-Moskota"/>
  </r>
  <r>
    <s v="Extrême-Nord"/>
    <s v="CMR004"/>
    <x v="1"/>
    <s v="CMR004006"/>
    <x v="7"/>
    <s v="CMR004006005"/>
    <s v="MOZ-0037"/>
    <s v="MOUNDOUGOUA"/>
    <m/>
    <x v="2"/>
    <s v="Janvier - Aout 2022"/>
    <n v="20"/>
    <n v="70"/>
    <x v="0"/>
    <m/>
    <s v="Même arrondissement"/>
    <s v="CMR"/>
    <s v="Cameroun"/>
    <s v="CMR004"/>
    <s v="Extrême-Nord"/>
    <s v="CMR004006"/>
    <s v="Mayo-Tsanaga"/>
    <s v="CMR004006005"/>
    <s v="Mayo-Moskota"/>
  </r>
  <r>
    <s v="Extrême-Nord"/>
    <s v="CMR004"/>
    <x v="2"/>
    <s v="CMR004002"/>
    <x v="13"/>
    <s v="CMR004002001"/>
    <s v="WAZ-0003"/>
    <s v="KABE 2"/>
    <m/>
    <x v="2"/>
    <s v="En 2020"/>
    <n v="40"/>
    <n v="200"/>
    <x v="0"/>
    <m/>
    <s v="Même arrondissement"/>
    <s v="CMR"/>
    <s v="Cameroun"/>
    <s v="CMR004"/>
    <s v="Extrême-Nord"/>
    <s v="CMR004002"/>
    <s v="Logone-Et-Chari"/>
    <s v="CMR004002001"/>
    <s v="Waza"/>
  </r>
  <r>
    <s v="Extrême-Nord"/>
    <s v="CMR004"/>
    <x v="2"/>
    <s v="CMR004002"/>
    <x v="13"/>
    <s v="CMR004002001"/>
    <s v="WAZ-0003"/>
    <s v="KABE 2"/>
    <m/>
    <x v="2"/>
    <s v="Septembre 2022 – Février 2023"/>
    <n v="0"/>
    <n v="6"/>
    <x v="0"/>
    <m/>
    <s v="Même arrondissement"/>
    <s v="CMR"/>
    <s v="Cameroun"/>
    <s v="CMR004"/>
    <s v="Extrême-Nord"/>
    <s v="CMR004002"/>
    <s v="Logone-Et-Chari"/>
    <s v="CMR004002001"/>
    <s v="Waza"/>
  </r>
  <r>
    <s v="Extrême-Nord"/>
    <s v="CMR004"/>
    <x v="2"/>
    <s v="CMR004002"/>
    <x v="13"/>
    <s v="CMR004002001"/>
    <s v="WAZ-0024"/>
    <s v="ANGOUROU"/>
    <m/>
    <x v="2"/>
    <s v="Avant 2020"/>
    <n v="18"/>
    <n v="157"/>
    <x v="0"/>
    <m/>
    <s v="Même arrondissement"/>
    <s v="CMR"/>
    <s v="Cameroun"/>
    <s v="CMR004"/>
    <s v="Extrême-Nord"/>
    <s v="CMR004002"/>
    <s v="Logone-Et-Chari"/>
    <s v="CMR004002001"/>
    <s v="Waza"/>
  </r>
  <r>
    <s v="Extrême-Nord"/>
    <s v="CMR004"/>
    <x v="2"/>
    <s v="CMR004002"/>
    <x v="13"/>
    <s v="CMR004002001"/>
    <s v="WAZ-0024"/>
    <s v="ANGOUROU"/>
    <m/>
    <x v="2"/>
    <s v="En 2021"/>
    <n v="0"/>
    <n v="9"/>
    <x v="0"/>
    <m/>
    <s v="Même arrondissement"/>
    <s v="CMR"/>
    <s v="Cameroun"/>
    <s v="CMR004"/>
    <s v="Extrême-Nord"/>
    <s v="CMR004002"/>
    <s v="Logone-Et-Chari"/>
    <s v="CMR004002001"/>
    <s v="Waza"/>
  </r>
  <r>
    <s v="Extrême-Nord"/>
    <s v="CMR004"/>
    <x v="2"/>
    <s v="CMR004002"/>
    <x v="13"/>
    <s v="CMR004002001"/>
    <s v="WAZ-0005"/>
    <s v="MICHEDIRE"/>
    <m/>
    <x v="2"/>
    <s v="Avant 2020"/>
    <n v="44"/>
    <n v="266"/>
    <x v="0"/>
    <m/>
    <s v="Même arrondissement"/>
    <s v="CMR"/>
    <s v="Cameroun"/>
    <s v="CMR004"/>
    <s v="Extrême-Nord"/>
    <s v="CMR004002"/>
    <s v="Logone-Et-Chari"/>
    <s v="CMR004002001"/>
    <s v="Waza"/>
  </r>
  <r>
    <s v="Extrême-Nord"/>
    <s v="CMR004"/>
    <x v="2"/>
    <s v="CMR004002"/>
    <x v="13"/>
    <s v="CMR004002001"/>
    <s v="WAZ-0018"/>
    <s v="MATKOUNA 1"/>
    <m/>
    <x v="2"/>
    <s v="En 2020"/>
    <n v="2"/>
    <n v="12"/>
    <x v="0"/>
    <m/>
    <s v="Même arrondissement"/>
    <s v="CMR"/>
    <s v="Cameroun"/>
    <s v="CMR004"/>
    <s v="Extrême-Nord"/>
    <s v="CMR004002"/>
    <s v="Logone-Et-Chari"/>
    <s v="CMR004002001"/>
    <s v="Waza"/>
  </r>
  <r>
    <s v="Extrême-Nord"/>
    <s v="CMR004"/>
    <x v="2"/>
    <s v="CMR004002"/>
    <x v="15"/>
    <s v="CMR004002004"/>
    <s v="LBI-0041"/>
    <s v="TIKINI"/>
    <m/>
    <x v="2"/>
    <s v="Janvier - Aout 2022"/>
    <n v="44"/>
    <n v="89"/>
    <x v="1"/>
    <m/>
    <s v="Autre pays"/>
    <s v="TCD"/>
    <s v="Tchad"/>
    <m/>
    <m/>
    <m/>
    <m/>
    <m/>
    <m/>
  </r>
  <r>
    <s v="Extrême-Nord"/>
    <s v="CMR004"/>
    <x v="2"/>
    <s v="CMR004002"/>
    <x v="15"/>
    <s v="CMR004002004"/>
    <s v="LBI-0056"/>
    <s v="GAWI"/>
    <m/>
    <x v="2"/>
    <s v="Janvier - Aout 2022"/>
    <n v="15"/>
    <n v="65"/>
    <x v="1"/>
    <m/>
    <s v="Autre pays"/>
    <s v="TCD"/>
    <s v="Tchad"/>
    <m/>
    <m/>
    <m/>
    <m/>
    <m/>
    <m/>
  </r>
  <r>
    <s v="Extrême-Nord"/>
    <s v="CMR004"/>
    <x v="5"/>
    <s v="CMR004004"/>
    <x v="18"/>
    <s v="CMR004004001"/>
    <s v="GUI-0001"/>
    <s v="DJANINI"/>
    <m/>
    <x v="2"/>
    <s v="Avant 2020"/>
    <n v="2"/>
    <n v="6"/>
    <x v="0"/>
    <m/>
    <s v="Autre département"/>
    <s v="CMR"/>
    <s v="Cameroun"/>
    <s v="CMR004"/>
    <s v="Extrême-Nord"/>
    <s v="CMR004005"/>
    <s v="Mayo-Sava"/>
    <m/>
    <m/>
  </r>
  <r>
    <s v="Extrême-Nord"/>
    <s v="CMR004"/>
    <x v="5"/>
    <s v="CMR004004"/>
    <x v="18"/>
    <s v="CMR004004001"/>
    <s v="GUI-0005"/>
    <s v="SIRATARE"/>
    <m/>
    <x v="2"/>
    <s v="Avant 2020"/>
    <n v="3"/>
    <n v="15"/>
    <x v="1"/>
    <m/>
    <s v="Autre pays"/>
    <s v="CAR"/>
    <s v="République Centrafricaine"/>
    <m/>
    <m/>
    <m/>
    <m/>
    <m/>
    <m/>
  </r>
  <r>
    <s v="Extrême-Nord"/>
    <s v="CMR004"/>
    <x v="5"/>
    <s v="CMR004004"/>
    <x v="18"/>
    <s v="CMR004004001"/>
    <s v="GUI-0004"/>
    <s v="MENDAIRE"/>
    <m/>
    <x v="2"/>
    <s v="Avant 2020"/>
    <n v="1"/>
    <n v="6"/>
    <x v="1"/>
    <m/>
    <s v="Autre pays"/>
    <s v="CAR"/>
    <s v="République Centrafricaine"/>
    <m/>
    <m/>
    <m/>
    <m/>
    <m/>
    <m/>
  </r>
  <r>
    <s v="Extrême-Nord"/>
    <s v="CMR004"/>
    <x v="5"/>
    <s v="CMR004004"/>
    <x v="20"/>
    <s v="CMR004004006"/>
    <s v="KAE-0006"/>
    <s v="DJIDOMA"/>
    <m/>
    <x v="2"/>
    <s v="Avant 2020"/>
    <n v="3"/>
    <n v="21"/>
    <x v="0"/>
    <m/>
    <s v="Autre département"/>
    <s v="CMR"/>
    <s v="Cameroun"/>
    <s v="CMR004"/>
    <s v="Extrême-Nord"/>
    <s v="CMR004005"/>
    <s v="Mayo-Sava"/>
    <m/>
    <m/>
  </r>
  <r>
    <s v="Extrême-Nord"/>
    <s v="CMR004"/>
    <x v="4"/>
    <s v="CMR004005"/>
    <x v="19"/>
    <s v="CMR004005001"/>
    <s v="KOL-0034"/>
    <s v="SITE DE GREYA"/>
    <m/>
    <x v="2"/>
    <s v="Janvier - Aout 2022"/>
    <n v="209"/>
    <n v="937"/>
    <x v="0"/>
    <m/>
    <s v="Même arrondissement"/>
    <s v="CMR"/>
    <s v="Cameroun"/>
    <s v="CMR004"/>
    <s v="Extrême-Nord"/>
    <s v="CMR004005"/>
    <s v="Mayo-Sava"/>
    <s v="CMR004005001"/>
    <s v="Kolofata"/>
  </r>
  <r>
    <s v="Extrême-Nord"/>
    <s v="CMR004"/>
    <x v="2"/>
    <s v="CMR004002"/>
    <x v="15"/>
    <s v="CMR004002004"/>
    <s v="LBI-0039"/>
    <s v="LABADO"/>
    <m/>
    <x v="2"/>
    <s v="Septembre 2022 – Février 2023"/>
    <n v="5"/>
    <n v="20"/>
    <x v="3"/>
    <m/>
    <s v="Même arrondissement"/>
    <s v="CMR"/>
    <s v="Cameroun"/>
    <s v="CMR004"/>
    <s v="Extrême-Nord"/>
    <s v="CMR004002"/>
    <s v="Logone-Et-Chari"/>
    <s v="CMR004002004"/>
    <s v="Logone-Birni"/>
  </r>
  <r>
    <s v="Extrême-Nord"/>
    <s v="CMR004"/>
    <x v="5"/>
    <s v="CMR004004"/>
    <x v="21"/>
    <s v="CMR004004007"/>
    <s v="MIN-0001"/>
    <s v="MOGOM"/>
    <m/>
    <x v="2"/>
    <s v="Avant 2020"/>
    <n v="3"/>
    <n v="6"/>
    <x v="0"/>
    <m/>
    <s v="Autre département"/>
    <s v="CMR"/>
    <s v="Cameroun"/>
    <s v="CMR004"/>
    <s v="Extrême-Nord"/>
    <s v="CMR004005"/>
    <s v="Mayo-Sava"/>
    <m/>
    <m/>
  </r>
  <r>
    <s v="Extrême-Nord"/>
    <s v="CMR004"/>
    <x v="2"/>
    <s v="CMR004002"/>
    <x v="13"/>
    <s v="CMR004002001"/>
    <s v="WAZ-0020"/>
    <s v="TOUNGA"/>
    <m/>
    <x v="2"/>
    <s v="Avant 2020"/>
    <n v="15"/>
    <n v="63"/>
    <x v="0"/>
    <m/>
    <s v="Même arrondissement"/>
    <s v="CMR"/>
    <s v="Cameroun"/>
    <s v="CMR004"/>
    <s v="Extrême-Nord"/>
    <s v="CMR004002"/>
    <s v="Logone-Et-Chari"/>
    <s v="CMR004002001"/>
    <s v="Waza"/>
  </r>
  <r>
    <s v="Extrême-Nord"/>
    <s v="CMR004"/>
    <x v="2"/>
    <s v="CMR004002"/>
    <x v="13"/>
    <s v="CMR004002001"/>
    <s v="WAZ-0020"/>
    <s v="TOUNGA"/>
    <m/>
    <x v="2"/>
    <s v="Septembre 2022 – Février 2023"/>
    <n v="0"/>
    <n v="2"/>
    <x v="0"/>
    <m/>
    <s v="Même arrondissement"/>
    <s v="CMR"/>
    <s v="Cameroun"/>
    <s v="CMR004"/>
    <s v="Extrême-Nord"/>
    <s v="CMR004002"/>
    <s v="Logone-Et-Chari"/>
    <s v="CMR004002001"/>
    <s v="Waza"/>
  </r>
  <r>
    <s v="Extrême-Nord"/>
    <s v="CMR004"/>
    <x v="2"/>
    <s v="CMR004002"/>
    <x v="8"/>
    <s v="CMR004002009"/>
    <s v="MAK-0063"/>
    <s v="MANDA 1"/>
    <m/>
    <x v="2"/>
    <s v="Septembre 2022 – Février 2023"/>
    <n v="1"/>
    <n v="3"/>
    <x v="0"/>
    <m/>
    <s v="Même département, autre arrondissement"/>
    <s v="CMR"/>
    <s v="Cameroun"/>
    <s v="CMR004"/>
    <s v="Extrême-Nord"/>
    <s v="CMR004002"/>
    <s v="Logone-Et-Chari"/>
    <s v="CMR004002007"/>
    <s v="Darak"/>
  </r>
  <r>
    <s v="Extrême-Nord"/>
    <s v="CMR004"/>
    <x v="2"/>
    <s v="CMR004002"/>
    <x v="8"/>
    <s v="CMR004002009"/>
    <s v="MAK-0020"/>
    <s v="BODO"/>
    <m/>
    <x v="2"/>
    <s v="Avant 2020"/>
    <n v="10"/>
    <n v="51"/>
    <x v="0"/>
    <m/>
    <s v="Même département, autre arrondissement"/>
    <s v="CMR"/>
    <s v="Cameroun"/>
    <s v="CMR004"/>
    <s v="Extrême-Nord"/>
    <s v="CMR004002"/>
    <s v="Logone-Et-Chari"/>
    <s v="CMR004002006"/>
    <s v="Kousséri"/>
  </r>
  <r>
    <s v="Extrême-Nord"/>
    <s v="CMR004"/>
    <x v="5"/>
    <s v="CMR004004"/>
    <x v="20"/>
    <s v="CMR004004006"/>
    <s v="KAE-0001"/>
    <s v="BOURGOURI"/>
    <m/>
    <x v="2"/>
    <s v="En 2021"/>
    <n v="2"/>
    <n v="11"/>
    <x v="0"/>
    <m/>
    <s v="Autre département"/>
    <s v="CMR"/>
    <s v="Cameroun"/>
    <s v="CMR004"/>
    <s v="Extrême-Nord"/>
    <s v="CMR004005"/>
    <s v="Mayo-Sava"/>
    <m/>
    <m/>
  </r>
  <r>
    <s v="Extrême-Nord"/>
    <s v="CMR004"/>
    <x v="5"/>
    <s v="CMR004004"/>
    <x v="22"/>
    <s v="CMR004004005"/>
    <s v="MOT-0003"/>
    <s v="MOUTOUROUA ROOM"/>
    <m/>
    <x v="2"/>
    <s v="Avant 2020"/>
    <n v="2"/>
    <n v="9"/>
    <x v="0"/>
    <m/>
    <s v="Autre département"/>
    <s v="CMR"/>
    <s v="Cameroun"/>
    <s v="CMR004"/>
    <s v="Extrême-Nord"/>
    <s v="CMR004005"/>
    <s v="Mayo-Sava"/>
    <m/>
    <m/>
  </r>
  <r>
    <s v="Extrême-Nord"/>
    <s v="CMR004"/>
    <x v="2"/>
    <s v="CMR004002"/>
    <x v="23"/>
    <s v="CMR004002005"/>
    <s v="ZIN-0019"/>
    <s v="SIFNA"/>
    <m/>
    <x v="2"/>
    <s v="Septembre 2022 – Février 2023"/>
    <n v="46"/>
    <n v="329"/>
    <x v="3"/>
    <m/>
    <s v="Même arrondissement"/>
    <s v="CMR"/>
    <s v="Cameroun"/>
    <s v="CMR004"/>
    <s v="Extrême-Nord"/>
    <s v="CMR004002"/>
    <s v="Logone-Et-Chari"/>
    <s v="CMR004002005"/>
    <s v="Zina"/>
  </r>
  <r>
    <s v="Extrême-Nord"/>
    <s v="CMR004"/>
    <x v="1"/>
    <s v="CMR004006"/>
    <x v="7"/>
    <s v="CMR004006005"/>
    <s v="MOZ-0022"/>
    <s v="GOLDAVI"/>
    <m/>
    <x v="2"/>
    <s v="Avant 2020"/>
    <n v="62"/>
    <n v="321"/>
    <x v="0"/>
    <m/>
    <s v="Autre région"/>
    <s v="CMR"/>
    <s v="Cameroun"/>
    <s v="CMR006"/>
    <s v="Nord"/>
    <m/>
    <m/>
    <m/>
    <m/>
  </r>
  <r>
    <s v="Extrême-Nord"/>
    <s v="CMR004"/>
    <x v="1"/>
    <s v="CMR004006"/>
    <x v="7"/>
    <s v="CMR004006005"/>
    <s v="MOZ-0022"/>
    <s v="GOLDAVI"/>
    <m/>
    <x v="2"/>
    <s v="En 2021"/>
    <n v="2"/>
    <n v="8"/>
    <x v="0"/>
    <m/>
    <s v="Autre région"/>
    <s v="CMR"/>
    <s v="Cameroun"/>
    <s v="CMR006"/>
    <s v="Nord"/>
    <m/>
    <m/>
    <m/>
    <m/>
  </r>
  <r>
    <s v="Extrême-Nord"/>
    <s v="CMR004"/>
    <x v="1"/>
    <s v="CMR004006"/>
    <x v="14"/>
    <s v="CMR004006007"/>
    <s v="BOU-0007"/>
    <s v="DJEKI"/>
    <m/>
    <x v="2"/>
    <s v="Janvier - Aout 2022"/>
    <n v="2"/>
    <n v="8"/>
    <x v="0"/>
    <m/>
    <s v="Autre pays"/>
    <s v="NGA"/>
    <s v="Nigéria"/>
    <m/>
    <m/>
    <m/>
    <m/>
    <m/>
    <m/>
  </r>
  <r>
    <s v="Extrême-Nord"/>
    <s v="CMR004"/>
    <x v="2"/>
    <s v="CMR004002"/>
    <x v="15"/>
    <s v="CMR004002004"/>
    <s v="LBI-0068"/>
    <s v="MAHAM"/>
    <m/>
    <x v="2"/>
    <s v="Janvier - Aout 2022"/>
    <n v="85"/>
    <n v="664"/>
    <x v="1"/>
    <m/>
    <s v="Autre pays"/>
    <s v="TCD"/>
    <s v="Tchad"/>
    <m/>
    <m/>
    <m/>
    <m/>
    <m/>
    <m/>
  </r>
  <r>
    <s v="Extrême-Nord"/>
    <s v="CMR004"/>
    <x v="2"/>
    <s v="CMR004002"/>
    <x v="15"/>
    <s v="CMR004002004"/>
    <s v="LBI-0068"/>
    <s v="MAHAM"/>
    <m/>
    <x v="2"/>
    <s v="Septembre 2022 – Février 2023"/>
    <n v="15"/>
    <n v="213"/>
    <x v="1"/>
    <m/>
    <s v="Autre pays"/>
    <s v="TCD"/>
    <s v="Tchad"/>
    <m/>
    <m/>
    <m/>
    <m/>
    <m/>
    <m/>
  </r>
  <r>
    <s v="Extrême-Nord"/>
    <s v="CMR004"/>
    <x v="5"/>
    <s v="CMR004004"/>
    <x v="24"/>
    <s v="CMR004004002"/>
    <s v="MOL-0012"/>
    <s v="LOPÉRÉ"/>
    <m/>
    <x v="2"/>
    <s v="Janvier - Aout 2022"/>
    <n v="4"/>
    <n v="20"/>
    <x v="3"/>
    <m/>
    <s v="Même arrondissement"/>
    <s v="CMR"/>
    <s v="Cameroun"/>
    <s v="CMR004"/>
    <s v="Extrême-Nord"/>
    <s v="CMR004004"/>
    <s v="Mayo-Kani"/>
    <s v="CMR004004002"/>
    <s v="Moulvoudaye"/>
  </r>
  <r>
    <s v="Extrême-Nord"/>
    <s v="CMR004"/>
    <x v="4"/>
    <s v="CMR004005"/>
    <x v="17"/>
    <s v="CMR004005002"/>
    <s v="MOR-0035"/>
    <s v="DOUBLE"/>
    <m/>
    <x v="2"/>
    <s v="Avant 2020"/>
    <n v="109"/>
    <n v="927"/>
    <x v="0"/>
    <m/>
    <s v="Même arrondissement"/>
    <s v="CMR"/>
    <s v="Cameroun"/>
    <s v="CMR004"/>
    <s v="Extrême-Nord"/>
    <s v="CMR004005"/>
    <s v="Mayo-Sava"/>
    <s v="CMR004005002"/>
    <s v="Mora"/>
  </r>
  <r>
    <s v="Extrême-Nord"/>
    <s v="CMR004"/>
    <x v="4"/>
    <s v="CMR004005"/>
    <x v="17"/>
    <s v="CMR004005002"/>
    <s v="MOR-0035"/>
    <s v="DOUBLE"/>
    <m/>
    <x v="2"/>
    <s v="En 2021"/>
    <n v="0"/>
    <n v="4"/>
    <x v="0"/>
    <m/>
    <s v="Même arrondissement"/>
    <s v="CMR"/>
    <s v="Cameroun"/>
    <s v="CMR004"/>
    <s v="Extrême-Nord"/>
    <s v="CMR004005"/>
    <s v="Mayo-Sava"/>
    <s v="CMR004005002"/>
    <s v="Mora"/>
  </r>
  <r>
    <s v="Extrême-Nord"/>
    <s v="CMR004"/>
    <x v="4"/>
    <s v="CMR004005"/>
    <x v="17"/>
    <s v="CMR004005002"/>
    <s v="MOR-0035"/>
    <s v="DOUBLE"/>
    <m/>
    <x v="2"/>
    <s v="Janvier - Aout 2022"/>
    <n v="4"/>
    <n v="44"/>
    <x v="0"/>
    <m/>
    <s v="Même arrondissement"/>
    <s v="CMR"/>
    <s v="Cameroun"/>
    <s v="CMR004"/>
    <s v="Extrême-Nord"/>
    <s v="CMR004005"/>
    <s v="Mayo-Sava"/>
    <s v="CMR004005002"/>
    <s v="Mora"/>
  </r>
  <r>
    <s v="Extrême-Nord"/>
    <s v="CMR004"/>
    <x v="4"/>
    <s v="CMR004005"/>
    <x v="17"/>
    <s v="CMR004005002"/>
    <s v="MOR-0035"/>
    <s v="DOUBLE"/>
    <m/>
    <x v="2"/>
    <s v="Septembre 2022 – Février 2023"/>
    <n v="0"/>
    <n v="20"/>
    <x v="0"/>
    <m/>
    <s v="Même arrondissement"/>
    <s v="CMR"/>
    <s v="Cameroun"/>
    <s v="CMR004"/>
    <s v="Extrême-Nord"/>
    <s v="CMR004005"/>
    <s v="Mayo-Sava"/>
    <s v="CMR004005002"/>
    <s v="Mora"/>
  </r>
  <r>
    <s v="Extrême-Nord"/>
    <s v="CMR004"/>
    <x v="1"/>
    <s v="CMR004006"/>
    <x v="14"/>
    <s v="CMR004006007"/>
    <s v="BOU-0001"/>
    <s v="BOUKOULA"/>
    <m/>
    <x v="2"/>
    <s v="Avant 2020"/>
    <n v="17"/>
    <n v="99"/>
    <x v="0"/>
    <m/>
    <s v="Autre pays"/>
    <s v="NGA"/>
    <s v="Nigéria"/>
    <m/>
    <m/>
    <m/>
    <m/>
    <m/>
    <m/>
  </r>
  <r>
    <s v="Extrême-Nord"/>
    <s v="CMR004"/>
    <x v="1"/>
    <s v="CMR004006"/>
    <x v="14"/>
    <s v="CMR004006007"/>
    <s v="BOU-0001"/>
    <s v="BOUKOULA"/>
    <m/>
    <x v="2"/>
    <s v="En 2020"/>
    <n v="0"/>
    <n v="7"/>
    <x v="0"/>
    <m/>
    <s v="Autre pays"/>
    <s v="NGA"/>
    <s v="Nigéria"/>
    <m/>
    <m/>
    <m/>
    <m/>
    <m/>
    <m/>
  </r>
  <r>
    <s v="Extrême-Nord"/>
    <s v="CMR004"/>
    <x v="1"/>
    <s v="CMR004006"/>
    <x v="14"/>
    <s v="CMR004006007"/>
    <s v="BOU-0001"/>
    <s v="BOUKOULA"/>
    <m/>
    <x v="2"/>
    <s v="En 2021"/>
    <n v="0"/>
    <n v="5"/>
    <x v="0"/>
    <m/>
    <s v="Autre pays"/>
    <s v="NGA"/>
    <s v="Nigéria"/>
    <m/>
    <m/>
    <m/>
    <m/>
    <m/>
    <m/>
  </r>
  <r>
    <s v="Extrême-Nord"/>
    <s v="CMR004"/>
    <x v="4"/>
    <s v="CMR004005"/>
    <x v="17"/>
    <s v="CMR004005002"/>
    <s v="MOR-0030"/>
    <s v="LIMANI"/>
    <m/>
    <x v="2"/>
    <s v="Avant 2020"/>
    <n v="359"/>
    <n v="2165"/>
    <x v="0"/>
    <m/>
    <s v="Même arrondissement"/>
    <s v="CMR"/>
    <s v="Cameroun"/>
    <s v="CMR004"/>
    <s v="Extrême-Nord"/>
    <s v="CMR004005"/>
    <s v="Mayo-Sava"/>
    <s v="CMR004005002"/>
    <s v="Mora"/>
  </r>
  <r>
    <s v="Extrême-Nord"/>
    <s v="CMR004"/>
    <x v="4"/>
    <s v="CMR004005"/>
    <x v="17"/>
    <s v="CMR004005002"/>
    <s v="MOR-0030"/>
    <s v="LIMANI"/>
    <m/>
    <x v="2"/>
    <s v="En 2020"/>
    <n v="29"/>
    <n v="194"/>
    <x v="0"/>
    <m/>
    <s v="Même arrondissement"/>
    <s v="CMR"/>
    <s v="Cameroun"/>
    <s v="CMR004"/>
    <s v="Extrême-Nord"/>
    <s v="CMR004005"/>
    <s v="Mayo-Sava"/>
    <s v="CMR004005002"/>
    <s v="Mora"/>
  </r>
  <r>
    <s v="Extrême-Nord"/>
    <s v="CMR004"/>
    <x v="4"/>
    <s v="CMR004005"/>
    <x v="17"/>
    <s v="CMR004005002"/>
    <s v="MOR-0030"/>
    <s v="LIMANI"/>
    <m/>
    <x v="2"/>
    <s v="En 2021"/>
    <n v="32"/>
    <n v="252"/>
    <x v="0"/>
    <m/>
    <s v="Même arrondissement"/>
    <s v="CMR"/>
    <s v="Cameroun"/>
    <s v="CMR004"/>
    <s v="Extrême-Nord"/>
    <s v="CMR004005"/>
    <s v="Mayo-Sava"/>
    <s v="CMR004005002"/>
    <s v="Mora"/>
  </r>
  <r>
    <s v="Extrême-Nord"/>
    <s v="CMR004"/>
    <x v="4"/>
    <s v="CMR004005"/>
    <x v="17"/>
    <s v="CMR004005002"/>
    <s v="MOR-0030"/>
    <s v="LIMANI"/>
    <m/>
    <x v="2"/>
    <s v="Septembre 2022 – Février 2023"/>
    <n v="5"/>
    <n v="58"/>
    <x v="0"/>
    <m/>
    <s v="Même arrondissement"/>
    <s v="CMR"/>
    <s v="Cameroun"/>
    <s v="CMR004"/>
    <s v="Extrême-Nord"/>
    <s v="CMR004005"/>
    <s v="Mayo-Sava"/>
    <s v="CMR004005002"/>
    <s v="Mora"/>
  </r>
  <r>
    <s v="Extrême-Nord"/>
    <s v="CMR004"/>
    <x v="4"/>
    <s v="CMR004005"/>
    <x v="17"/>
    <s v="CMR004005002"/>
    <s v="MOR-0090"/>
    <s v="GUIBA"/>
    <m/>
    <x v="2"/>
    <s v="Janvier - Aout 2022"/>
    <n v="34"/>
    <n v="238"/>
    <x v="0"/>
    <m/>
    <s v="Même arrondissement"/>
    <s v="CMR"/>
    <s v="Cameroun"/>
    <s v="CMR004"/>
    <s v="Extrême-Nord"/>
    <s v="CMR004005"/>
    <s v="Mayo-Sava"/>
    <s v="CMR004005002"/>
    <s v="Mora"/>
  </r>
  <r>
    <s v="Extrême-Nord"/>
    <s v="CMR004"/>
    <x v="4"/>
    <s v="CMR004005"/>
    <x v="17"/>
    <s v="CMR004005002"/>
    <s v="MOR-0090"/>
    <s v="GUIBA"/>
    <m/>
    <x v="2"/>
    <s v="Septembre 2022 – Février 2023"/>
    <n v="1"/>
    <n v="3"/>
    <x v="0"/>
    <m/>
    <s v="Même arrondissement"/>
    <s v="CMR"/>
    <s v="Cameroun"/>
    <s v="CMR004"/>
    <s v="Extrême-Nord"/>
    <s v="CMR004005"/>
    <s v="Mayo-Sava"/>
    <s v="CMR004005002"/>
    <s v="Mora"/>
  </r>
  <r>
    <s v="Extrême-Nord"/>
    <s v="CMR004"/>
    <x v="4"/>
    <s v="CMR004005"/>
    <x v="17"/>
    <s v="CMR004005002"/>
    <s v="MOR-0056"/>
    <s v="PIVOU 1"/>
    <m/>
    <x v="2"/>
    <s v="En 2021"/>
    <n v="5"/>
    <n v="25"/>
    <x v="0"/>
    <m/>
    <s v="Même arrondissement"/>
    <s v="CMR"/>
    <s v="Cameroun"/>
    <s v="CMR004"/>
    <s v="Extrême-Nord"/>
    <s v="CMR004005"/>
    <s v="Mayo-Sava"/>
    <s v="CMR004005002"/>
    <s v="Mora"/>
  </r>
  <r>
    <s v="Extrême-Nord"/>
    <s v="CMR004"/>
    <x v="4"/>
    <s v="CMR004005"/>
    <x v="17"/>
    <s v="CMR004005002"/>
    <s v="MOR-0016"/>
    <s v="OUDJILA"/>
    <m/>
    <x v="2"/>
    <s v="Avant 2020"/>
    <n v="40"/>
    <n v="223"/>
    <x v="0"/>
    <m/>
    <s v="Même arrondissement"/>
    <s v="CMR"/>
    <s v="Cameroun"/>
    <s v="CMR004"/>
    <s v="Extrême-Nord"/>
    <s v="CMR004005"/>
    <s v="Mayo-Sava"/>
    <s v="CMR004005002"/>
    <s v="Mora"/>
  </r>
  <r>
    <s v="Extrême-Nord"/>
    <s v="CMR004"/>
    <x v="4"/>
    <s v="CMR004005"/>
    <x v="17"/>
    <s v="CMR004005002"/>
    <s v="MOR-0016"/>
    <s v="OUDJILA"/>
    <m/>
    <x v="2"/>
    <s v="En 2020"/>
    <n v="50"/>
    <n v="150"/>
    <x v="0"/>
    <m/>
    <s v="Même arrondissement"/>
    <s v="CMR"/>
    <s v="Cameroun"/>
    <s v="CMR004"/>
    <s v="Extrême-Nord"/>
    <s v="CMR004005"/>
    <s v="Mayo-Sava"/>
    <s v="CMR004005002"/>
    <s v="Mora"/>
  </r>
  <r>
    <s v="Extrême-Nord"/>
    <s v="CMR004"/>
    <x v="4"/>
    <s v="CMR004005"/>
    <x v="17"/>
    <s v="CMR004005002"/>
    <s v="MOR-0016"/>
    <s v="OUDJILA"/>
    <m/>
    <x v="2"/>
    <s v="Janvier - Aout 2022"/>
    <n v="0"/>
    <n v="4"/>
    <x v="0"/>
    <m/>
    <s v="Même arrondissement"/>
    <s v="CMR"/>
    <s v="Cameroun"/>
    <s v="CMR004"/>
    <s v="Extrême-Nord"/>
    <s v="CMR004005"/>
    <s v="Mayo-Sava"/>
    <s v="CMR004005002"/>
    <s v="Mora"/>
  </r>
  <r>
    <s v="Extrême-Nord"/>
    <s v="CMR004"/>
    <x v="1"/>
    <s v="CMR004006"/>
    <x v="14"/>
    <s v="CMR004006007"/>
    <s v="BOU-0002"/>
    <s v="GAMBOURA"/>
    <m/>
    <x v="2"/>
    <s v="En 2020"/>
    <n v="4"/>
    <n v="6"/>
    <x v="0"/>
    <m/>
    <s v="Autre pays"/>
    <s v="NGA"/>
    <s v="Nigéria"/>
    <m/>
    <m/>
    <m/>
    <m/>
    <m/>
    <m/>
  </r>
  <r>
    <s v="Extrême-Nord"/>
    <s v="CMR004"/>
    <x v="1"/>
    <s v="CMR004006"/>
    <x v="14"/>
    <s v="CMR004006007"/>
    <s v="BOU-0002"/>
    <s v="GAMBOURA"/>
    <m/>
    <x v="2"/>
    <s v="En 2021"/>
    <n v="1"/>
    <n v="9"/>
    <x v="0"/>
    <m/>
    <s v="Autre pays"/>
    <s v="NGA"/>
    <s v="Nigéria"/>
    <m/>
    <m/>
    <m/>
    <m/>
    <m/>
    <m/>
  </r>
  <r>
    <s v="Extrême-Nord"/>
    <s v="CMR004"/>
    <x v="1"/>
    <s v="CMR004006"/>
    <x v="14"/>
    <s v="CMR004006007"/>
    <s v="BOU-0002"/>
    <s v="GAMBOURA"/>
    <m/>
    <x v="2"/>
    <s v="Janvier - Aout 2022"/>
    <n v="1"/>
    <n v="5"/>
    <x v="0"/>
    <m/>
    <s v="Autre pays"/>
    <s v="NGA"/>
    <s v="Nigéria"/>
    <m/>
    <m/>
    <m/>
    <m/>
    <m/>
    <m/>
  </r>
  <r>
    <s v="Extrême-Nord"/>
    <s v="CMR004"/>
    <x v="2"/>
    <s v="CMR004002"/>
    <x v="8"/>
    <s v="CMR004002009"/>
    <s v="MAK-0068"/>
    <s v="MEITO"/>
    <m/>
    <x v="2"/>
    <s v="Janvier - Aout 2022"/>
    <n v="16"/>
    <n v="88"/>
    <x v="0"/>
    <m/>
    <s v="Même arrondissement"/>
    <s v="CMR"/>
    <s v="Cameroun"/>
    <s v="CMR004"/>
    <s v="Extrême-Nord"/>
    <s v="CMR004002"/>
    <s v="Logone-Et-Chari"/>
    <s v="CMR004002009"/>
    <s v="Makary"/>
  </r>
  <r>
    <s v="Extrême-Nord"/>
    <s v="CMR004"/>
    <x v="4"/>
    <s v="CMR004005"/>
    <x v="17"/>
    <s v="CMR004005002"/>
    <s v="MOR-0028"/>
    <s v="GOUDJOUMDELE"/>
    <m/>
    <x v="2"/>
    <s v="En 2020"/>
    <n v="20"/>
    <n v="86"/>
    <x v="0"/>
    <m/>
    <s v="Même arrondissement"/>
    <s v="CMR"/>
    <s v="Cameroun"/>
    <s v="CMR004"/>
    <s v="Extrême-Nord"/>
    <s v="CMR004005"/>
    <s v="Mayo-Sava"/>
    <s v="CMR004005002"/>
    <s v="Mora"/>
  </r>
  <r>
    <s v="Extrême-Nord"/>
    <s v="CMR004"/>
    <x v="4"/>
    <s v="CMR004005"/>
    <x v="17"/>
    <s v="CMR004005002"/>
    <s v="MOR-0028"/>
    <s v="GOUDJOUMDELE"/>
    <m/>
    <x v="2"/>
    <s v="En 2021"/>
    <n v="0"/>
    <n v="10"/>
    <x v="0"/>
    <m/>
    <s v="Même arrondissement"/>
    <s v="CMR"/>
    <s v="Cameroun"/>
    <s v="CMR004"/>
    <s v="Extrême-Nord"/>
    <s v="CMR004005"/>
    <s v="Mayo-Sava"/>
    <s v="CMR004005002"/>
    <s v="Mora"/>
  </r>
  <r>
    <s v="Extrême-Nord"/>
    <s v="CMR004"/>
    <x v="4"/>
    <s v="CMR004005"/>
    <x v="17"/>
    <s v="CMR004005002"/>
    <s v="MOR-0028"/>
    <s v="GOUDJOUMDELE"/>
    <m/>
    <x v="2"/>
    <s v="Janvier - Aout 2022"/>
    <n v="0"/>
    <n v="7"/>
    <x v="0"/>
    <m/>
    <s v="Même arrondissement"/>
    <s v="CMR"/>
    <s v="Cameroun"/>
    <s v="CMR004"/>
    <s v="Extrême-Nord"/>
    <s v="CMR004005"/>
    <s v="Mayo-Sava"/>
    <s v="CMR004005002"/>
    <s v="Mora"/>
  </r>
  <r>
    <s v="Extrême-Nord"/>
    <s v="CMR004"/>
    <x v="4"/>
    <s v="CMR004005"/>
    <x v="17"/>
    <s v="CMR004005002"/>
    <s v="MOR-0028"/>
    <s v="GOUDJOUMDELE"/>
    <m/>
    <x v="2"/>
    <s v="Septembre 2022 – Février 2023"/>
    <n v="15"/>
    <n v="50"/>
    <x v="0"/>
    <m/>
    <s v="Même arrondissement"/>
    <s v="CMR"/>
    <s v="Cameroun"/>
    <s v="CMR004"/>
    <s v="Extrême-Nord"/>
    <s v="CMR004005"/>
    <s v="Mayo-Sava"/>
    <s v="CMR004005002"/>
    <s v="Mora"/>
  </r>
  <r>
    <s v="Extrême-Nord"/>
    <s v="CMR004"/>
    <x v="2"/>
    <s v="CMR004002"/>
    <x v="10"/>
    <s v="CMR004002003"/>
    <s v="BLA-0009"/>
    <s v="KOFIA"/>
    <m/>
    <x v="2"/>
    <s v="Avant 2020"/>
    <n v="23"/>
    <n v="100"/>
    <x v="0"/>
    <m/>
    <s v="Même département, autre arrondissement"/>
    <s v="CMR"/>
    <s v="Cameroun"/>
    <s v="CMR004"/>
    <s v="Extrême-Nord"/>
    <s v="CMR004002"/>
    <s v="Logone-Et-Chari"/>
    <s v="CMR004002007"/>
    <s v="Darak"/>
  </r>
  <r>
    <s v="Extrême-Nord"/>
    <s v="CMR004"/>
    <x v="2"/>
    <s v="CMR004002"/>
    <x v="10"/>
    <s v="CMR004002003"/>
    <s v="BLA-0009"/>
    <s v="KOFIA"/>
    <m/>
    <x v="2"/>
    <s v="Septembre 2022 – Février 2023"/>
    <n v="2"/>
    <n v="10"/>
    <x v="0"/>
    <m/>
    <s v="Même département, autre arrondissement"/>
    <s v="CMR"/>
    <s v="Cameroun"/>
    <s v="CMR004"/>
    <s v="Extrême-Nord"/>
    <s v="CMR004002"/>
    <s v="Logone-Et-Chari"/>
    <s v="CMR004002007"/>
    <s v="Darak"/>
  </r>
  <r>
    <s v="Extrême-Nord"/>
    <s v="CMR004"/>
    <x v="1"/>
    <s v="CMR004006"/>
    <x v="7"/>
    <s v="CMR004006005"/>
    <s v="MOZ-0018"/>
    <s v="KRAWA-MAFA"/>
    <m/>
    <x v="2"/>
    <s v="Avant 2020"/>
    <n v="33"/>
    <n v="185"/>
    <x v="0"/>
    <m/>
    <s v="Même arrondissement"/>
    <s v="CMR"/>
    <s v="Cameroun"/>
    <s v="CMR004"/>
    <s v="Extrême-Nord"/>
    <s v="CMR004006"/>
    <s v="Mayo-Tsanaga"/>
    <s v="CMR004006005"/>
    <s v="Mayo-Moskota"/>
  </r>
  <r>
    <s v="Extrême-Nord"/>
    <s v="CMR004"/>
    <x v="1"/>
    <s v="CMR004006"/>
    <x v="7"/>
    <s v="CMR004006005"/>
    <s v="MOZ-0004"/>
    <s v="KELARI"/>
    <m/>
    <x v="2"/>
    <s v="Janvier - Aout 2022"/>
    <n v="27"/>
    <n v="123"/>
    <x v="0"/>
    <m/>
    <s v="Même arrondissement"/>
    <s v="CMR"/>
    <s v="Cameroun"/>
    <s v="CMR004"/>
    <s v="Extrême-Nord"/>
    <s v="CMR004006"/>
    <s v="Mayo-Tsanaga"/>
    <s v="CMR004006005"/>
    <s v="Mayo-Moskota"/>
  </r>
  <r>
    <s v="Extrême-Nord"/>
    <s v="CMR004"/>
    <x v="4"/>
    <s v="CMR004005"/>
    <x v="19"/>
    <s v="CMR004005001"/>
    <s v="KOL-0020"/>
    <s v="KOUYAPE"/>
    <m/>
    <x v="2"/>
    <s v="Avant 2020"/>
    <n v="26"/>
    <n v="206"/>
    <x v="0"/>
    <m/>
    <s v="Même arrondissement"/>
    <s v="CMR"/>
    <s v="Cameroun"/>
    <s v="CMR004"/>
    <s v="Extrême-Nord"/>
    <s v="CMR004005"/>
    <s v="Mayo-Sava"/>
    <s v="CMR004005001"/>
    <s v="Kolofata"/>
  </r>
  <r>
    <s v="Extrême-Nord"/>
    <s v="CMR004"/>
    <x v="4"/>
    <s v="CMR004005"/>
    <x v="19"/>
    <s v="CMR004005001"/>
    <s v="KOL-0020"/>
    <s v="KOUYAPE"/>
    <m/>
    <x v="2"/>
    <s v="En 2021"/>
    <n v="16"/>
    <n v="70"/>
    <x v="0"/>
    <m/>
    <s v="Même arrondissement"/>
    <s v="CMR"/>
    <s v="Cameroun"/>
    <s v="CMR004"/>
    <s v="Extrême-Nord"/>
    <s v="CMR004005"/>
    <s v="Mayo-Sava"/>
    <s v="CMR004005001"/>
    <s v="Kolofata"/>
  </r>
  <r>
    <s v="Extrême-Nord"/>
    <s v="CMR004"/>
    <x v="4"/>
    <s v="CMR004005"/>
    <x v="19"/>
    <s v="CMR004005001"/>
    <s v="KOL-0020"/>
    <s v="KOUYAPE"/>
    <m/>
    <x v="2"/>
    <s v="Janvier - Aout 2022"/>
    <n v="10"/>
    <n v="87"/>
    <x v="0"/>
    <m/>
    <s v="Même arrondissement"/>
    <s v="CMR"/>
    <s v="Cameroun"/>
    <s v="CMR004"/>
    <s v="Extrême-Nord"/>
    <s v="CMR004005"/>
    <s v="Mayo-Sava"/>
    <s v="CMR004005001"/>
    <s v="Kolofata"/>
  </r>
  <r>
    <s v="Extrême-Nord"/>
    <s v="CMR004"/>
    <x v="4"/>
    <s v="CMR004005"/>
    <x v="19"/>
    <s v="CMR004005001"/>
    <s v="KOL-0020"/>
    <s v="KOUYAPE"/>
    <m/>
    <x v="2"/>
    <s v="Septembre 2022 – Février 2023"/>
    <n v="0"/>
    <n v="12"/>
    <x v="0"/>
    <m/>
    <s v="Même arrondissement"/>
    <s v="CMR"/>
    <s v="Cameroun"/>
    <s v="CMR004"/>
    <s v="Extrême-Nord"/>
    <s v="CMR004005"/>
    <s v="Mayo-Sava"/>
    <s v="CMR004005001"/>
    <s v="Kolofata"/>
  </r>
  <r>
    <s v="Extrême-Nord"/>
    <s v="CMR004"/>
    <x v="2"/>
    <s v="CMR004002"/>
    <x v="15"/>
    <s v="CMR004002004"/>
    <s v="LBI-0094"/>
    <s v="BANSAZALA2"/>
    <m/>
    <x v="2"/>
    <s v="Septembre 2022 – Février 2023"/>
    <n v="2"/>
    <n v="4"/>
    <x v="1"/>
    <m/>
    <s v="Autre pays"/>
    <s v="TCD"/>
    <s v="Tchad"/>
    <m/>
    <m/>
    <m/>
    <m/>
    <m/>
    <m/>
  </r>
  <r>
    <s v="Extrême-Nord"/>
    <s v="CMR004"/>
    <x v="2"/>
    <s v="CMR004002"/>
    <x v="15"/>
    <s v="CMR004002004"/>
    <s v="LBI-0094"/>
    <s v="BANSAZALA2"/>
    <m/>
    <x v="2"/>
    <s v="Janvier - Aout 2022"/>
    <n v="22"/>
    <n v="100"/>
    <x v="1"/>
    <m/>
    <s v="Même département, autre arrondissement"/>
    <s v="CMR"/>
    <s v="Cameroun"/>
    <s v="CMR004"/>
    <s v="Extrême-Nord"/>
    <s v="CMR004002"/>
    <s v="Logone-Et-Chari"/>
    <s v="CMR004002006"/>
    <s v="Kousséri"/>
  </r>
  <r>
    <s v="Extrême-Nord"/>
    <s v="CMR004"/>
    <x v="2"/>
    <s v="CMR004002"/>
    <x v="15"/>
    <s v="CMR004002004"/>
    <s v="LBI-0093"/>
    <s v="BANZALA 1"/>
    <m/>
    <x v="2"/>
    <s v="Janvier - Aout 2022"/>
    <n v="16"/>
    <n v="57"/>
    <x v="1"/>
    <m/>
    <s v="Même département, autre arrondissement"/>
    <s v="CMR"/>
    <s v="Cameroun"/>
    <s v="CMR004"/>
    <s v="Extrême-Nord"/>
    <s v="CMR004002"/>
    <s v="Logone-Et-Chari"/>
    <s v="CMR004002006"/>
    <s v="Kousséri"/>
  </r>
  <r>
    <s v="Extrême-Nord"/>
    <s v="CMR004"/>
    <x v="2"/>
    <s v="CMR004002"/>
    <x v="15"/>
    <s v="CMR004002004"/>
    <s v="LBI-0093"/>
    <s v="BANZALA 1"/>
    <m/>
    <x v="2"/>
    <s v="Septembre 2022 – Février 2023"/>
    <n v="4"/>
    <n v="8"/>
    <x v="1"/>
    <m/>
    <s v="Autre pays"/>
    <s v="TCD"/>
    <s v="Tchad"/>
    <m/>
    <m/>
    <m/>
    <m/>
    <m/>
    <m/>
  </r>
  <r>
    <s v="Extrême-Nord"/>
    <s v="CMR004"/>
    <x v="2"/>
    <s v="CMR004002"/>
    <x v="15"/>
    <s v="CMR004002004"/>
    <s v="LBI-0092"/>
    <s v="GADOUDJI"/>
    <m/>
    <x v="2"/>
    <s v="Janvier - Aout 2022"/>
    <n v="25"/>
    <n v="101"/>
    <x v="1"/>
    <m/>
    <s v="Même département, autre arrondissement"/>
    <s v="CMR"/>
    <s v="Cameroun"/>
    <s v="CMR004"/>
    <s v="Extrême-Nord"/>
    <s v="CMR004002"/>
    <s v="Logone-Et-Chari"/>
    <s v="CMR004002006"/>
    <s v="Kousséri"/>
  </r>
  <r>
    <s v="Extrême-Nord"/>
    <s v="CMR004"/>
    <x v="2"/>
    <s v="CMR004002"/>
    <x v="15"/>
    <s v="CMR004002004"/>
    <s v="LBI-0092"/>
    <s v="GADOUDJI"/>
    <m/>
    <x v="2"/>
    <s v="Septembre 2022 – Février 2023"/>
    <n v="3"/>
    <n v="6"/>
    <x v="1"/>
    <m/>
    <s v="Autre pays"/>
    <s v="TCD"/>
    <s v="Tchad"/>
    <m/>
    <m/>
    <m/>
    <m/>
    <m/>
    <m/>
  </r>
  <r>
    <s v="Extrême-Nord"/>
    <s v="CMR004"/>
    <x v="1"/>
    <s v="CMR004006"/>
    <x v="16"/>
    <s v="CMR004006004"/>
    <s v="XXXX"/>
    <s v="DZAKOURMA"/>
    <s v="DZAKOURMA"/>
    <x v="2"/>
    <s v="Septembre 2022 – Février 2023"/>
    <n v="30"/>
    <n v="160"/>
    <x v="0"/>
    <m/>
    <s v="Même arrondissement"/>
    <s v="CMR"/>
    <s v="Cameroun"/>
    <s v="CMR004"/>
    <s v="Extrême-Nord"/>
    <s v="CMR004006"/>
    <s v="Mayo-Tsanaga"/>
    <s v="CMR004006004"/>
    <s v="Koza"/>
  </r>
  <r>
    <s v="Extrême-Nord"/>
    <s v="CMR004"/>
    <x v="1"/>
    <s v="CMR004006"/>
    <x v="16"/>
    <s v="CMR004006004"/>
    <s v="KOZ-0002"/>
    <s v="DJINGIYA PLAINE"/>
    <m/>
    <x v="2"/>
    <s v="Janvier - Aout 2022"/>
    <n v="6"/>
    <n v="18"/>
    <x v="0"/>
    <m/>
    <s v="Même arrondissement"/>
    <s v="CMR"/>
    <s v="Cameroun"/>
    <s v="CMR004"/>
    <s v="Extrême-Nord"/>
    <s v="CMR004006"/>
    <s v="Mayo-Tsanaga"/>
    <s v="CMR004006004"/>
    <s v="Koza"/>
  </r>
  <r>
    <s v="Extrême-Nord"/>
    <s v="CMR004"/>
    <x v="1"/>
    <s v="CMR004006"/>
    <x v="16"/>
    <s v="CMR004006004"/>
    <s v="KOZ-0002"/>
    <s v="DJINGIYA PLAINE"/>
    <m/>
    <x v="2"/>
    <s v="Septembre 2022 – Février 2023"/>
    <n v="21"/>
    <n v="140"/>
    <x v="0"/>
    <m/>
    <s v="Même arrondissement"/>
    <s v="CMR"/>
    <s v="Cameroun"/>
    <s v="CMR004"/>
    <s v="Extrême-Nord"/>
    <s v="CMR004006"/>
    <s v="Mayo-Tsanaga"/>
    <s v="CMR004006004"/>
    <s v="Koza"/>
  </r>
  <r>
    <s v="Extrême-Nord"/>
    <s v="CMR004"/>
    <x v="1"/>
    <s v="CMR004006"/>
    <x v="7"/>
    <s v="CMR004006005"/>
    <s v="MOZ-0011"/>
    <s v="MOZOGO TCHEKODE"/>
    <m/>
    <x v="2"/>
    <s v="Avant 2020"/>
    <n v="89"/>
    <n v="480"/>
    <x v="0"/>
    <m/>
    <s v="Même arrondissement"/>
    <s v="CMR"/>
    <s v="Cameroun"/>
    <s v="CMR004"/>
    <s v="Extrême-Nord"/>
    <s v="CMR004006"/>
    <s v="Mayo-Tsanaga"/>
    <s v="CMR004006005"/>
    <s v="Mayo-Moskota"/>
  </r>
  <r>
    <s v="Extrême-Nord"/>
    <s v="CMR004"/>
    <x v="1"/>
    <s v="CMR004006"/>
    <x v="7"/>
    <s v="CMR004006005"/>
    <s v="MOZ-0011"/>
    <s v="MOZOGO TCHEKODE"/>
    <m/>
    <x v="2"/>
    <s v="Septembre 2022 – Février 2023"/>
    <n v="17"/>
    <n v="60"/>
    <x v="0"/>
    <m/>
    <s v="Autre région"/>
    <s v="CMR"/>
    <s v="Cameroun"/>
    <s v="CMR006"/>
    <s v="Nord"/>
    <m/>
    <m/>
    <m/>
    <m/>
  </r>
  <r>
    <s v="Extrême-Nord"/>
    <s v="CMR004"/>
    <x v="1"/>
    <s v="CMR004006"/>
    <x v="14"/>
    <s v="CMR004006007"/>
    <s v="BOU-0006"/>
    <s v="DJIMI"/>
    <m/>
    <x v="2"/>
    <s v="Avant 2020"/>
    <n v="0"/>
    <n v="1"/>
    <x v="0"/>
    <m/>
    <s v="Autre pays"/>
    <s v="NGA"/>
    <s v="Nigéria"/>
    <m/>
    <m/>
    <m/>
    <m/>
    <m/>
    <m/>
  </r>
  <r>
    <s v="Extrême-Nord"/>
    <s v="CMR004"/>
    <x v="1"/>
    <s v="CMR004006"/>
    <x v="14"/>
    <s v="CMR004006007"/>
    <s v="BOU-0006"/>
    <s v="DJIMI"/>
    <m/>
    <x v="2"/>
    <s v="En 2020"/>
    <n v="6"/>
    <n v="15"/>
    <x v="0"/>
    <m/>
    <s v="Autre pays"/>
    <s v="NGA"/>
    <s v="Nigéria"/>
    <m/>
    <m/>
    <m/>
    <m/>
    <m/>
    <m/>
  </r>
  <r>
    <s v="Extrême-Nord"/>
    <s v="CMR004"/>
    <x v="1"/>
    <s v="CMR004006"/>
    <x v="14"/>
    <s v="CMR004006007"/>
    <s v="BOU-0006"/>
    <s v="DJIMI"/>
    <m/>
    <x v="2"/>
    <s v="En 2021"/>
    <n v="0"/>
    <n v="5"/>
    <x v="0"/>
    <m/>
    <s v="Autre pays"/>
    <s v="NGA"/>
    <s v="Nigéria"/>
    <m/>
    <m/>
    <m/>
    <m/>
    <m/>
    <m/>
  </r>
  <r>
    <s v="Extrême-Nord"/>
    <s v="CMR004"/>
    <x v="1"/>
    <s v="CMR004006"/>
    <x v="14"/>
    <s v="CMR004006007"/>
    <s v="BOU-0006"/>
    <s v="DJIMI"/>
    <m/>
    <x v="2"/>
    <s v="Janvier - Aout 2022"/>
    <n v="0"/>
    <n v="4"/>
    <x v="0"/>
    <m/>
    <s v="Autre pays"/>
    <s v="NGA"/>
    <s v="Nigéria"/>
    <m/>
    <m/>
    <m/>
    <m/>
    <m/>
    <m/>
  </r>
  <r>
    <s v="Extrême-Nord"/>
    <s v="CMR004"/>
    <x v="1"/>
    <s v="CMR004006"/>
    <x v="14"/>
    <s v="CMR004006007"/>
    <s v="BOU-0003"/>
    <s v="GUILI"/>
    <m/>
    <x v="2"/>
    <s v="Avant 2020"/>
    <n v="152"/>
    <n v="800"/>
    <x v="0"/>
    <m/>
    <s v="Autre pays"/>
    <s v="NGA"/>
    <s v="Nigéria"/>
    <m/>
    <m/>
    <m/>
    <m/>
    <m/>
    <m/>
  </r>
  <r>
    <s v="Extrême-Nord"/>
    <s v="CMR004"/>
    <x v="1"/>
    <s v="CMR004006"/>
    <x v="14"/>
    <s v="CMR004006007"/>
    <s v="BOU-0003"/>
    <s v="GUILI"/>
    <m/>
    <x v="2"/>
    <s v="En 2020"/>
    <n v="0"/>
    <n v="7"/>
    <x v="0"/>
    <m/>
    <s v="Autre pays"/>
    <s v="NGA"/>
    <s v="Nigéria"/>
    <m/>
    <m/>
    <m/>
    <m/>
    <m/>
    <m/>
  </r>
  <r>
    <s v="Extrême-Nord"/>
    <s v="CMR004"/>
    <x v="1"/>
    <s v="CMR004006"/>
    <x v="14"/>
    <s v="CMR004006007"/>
    <s v="BOU-0003"/>
    <s v="GUILI"/>
    <m/>
    <x v="2"/>
    <s v="En 2021"/>
    <n v="0"/>
    <n v="7"/>
    <x v="0"/>
    <m/>
    <s v="Autre pays"/>
    <s v="NGA"/>
    <s v="Nigéria"/>
    <m/>
    <m/>
    <m/>
    <m/>
    <m/>
    <m/>
  </r>
  <r>
    <s v="Extrême-Nord"/>
    <s v="CMR004"/>
    <x v="1"/>
    <s v="CMR004006"/>
    <x v="14"/>
    <s v="CMR004006007"/>
    <s v="BOU-0003"/>
    <s v="GUILI"/>
    <m/>
    <x v="2"/>
    <s v="Janvier - Aout 2022"/>
    <n v="1"/>
    <n v="18"/>
    <x v="0"/>
    <m/>
    <s v="Autre pays"/>
    <s v="NGA"/>
    <s v="Nigéria"/>
    <m/>
    <m/>
    <m/>
    <m/>
    <m/>
    <m/>
  </r>
  <r>
    <s v="Extrême-Nord"/>
    <s v="CMR004"/>
    <x v="2"/>
    <s v="CMR004002"/>
    <x v="26"/>
    <s v="CMR004002006"/>
    <s v="KOU-0033"/>
    <s v="SEHEBA"/>
    <m/>
    <x v="2"/>
    <s v="Septembre 2022 – Février 2023"/>
    <n v="6"/>
    <n v="54"/>
    <x v="3"/>
    <m/>
    <s v="Même arrondissement"/>
    <s v="CMR"/>
    <s v="Cameroun"/>
    <s v="CMR004"/>
    <s v="Extrême-Nord"/>
    <s v="CMR004002"/>
    <s v="Logone-Et-Chari"/>
    <s v="CMR004002006"/>
    <s v="Kousséri"/>
  </r>
  <r>
    <s v="Extrême-Nord"/>
    <s v="CMR004"/>
    <x v="2"/>
    <s v="CMR004002"/>
    <x v="13"/>
    <s v="CMR004002001"/>
    <s v="WAZ-0035"/>
    <s v="ARDEBE 1"/>
    <m/>
    <x v="2"/>
    <s v="En 2021"/>
    <n v="20"/>
    <n v="117"/>
    <x v="0"/>
    <m/>
    <s v="Même arrondissement"/>
    <s v="CMR"/>
    <s v="Cameroun"/>
    <s v="CMR004"/>
    <s v="Extrême-Nord"/>
    <s v="CMR004002"/>
    <s v="Logone-Et-Chari"/>
    <s v="CMR004002001"/>
    <s v="Waza"/>
  </r>
  <r>
    <s v="Extrême-Nord"/>
    <s v="CMR004"/>
    <x v="2"/>
    <s v="CMR004002"/>
    <x v="15"/>
    <s v="CMR004002004"/>
    <s v="LBI-0102"/>
    <s v="MOULOUMSA MASSA"/>
    <m/>
    <x v="2"/>
    <s v="Janvier - Aout 2022"/>
    <n v="46"/>
    <n v="180"/>
    <x v="1"/>
    <m/>
    <s v="Autre pays"/>
    <s v="TCD"/>
    <s v="Tchad"/>
    <m/>
    <m/>
    <m/>
    <m/>
    <m/>
    <m/>
  </r>
  <r>
    <s v="Extrême-Nord"/>
    <s v="CMR004"/>
    <x v="2"/>
    <s v="CMR004002"/>
    <x v="15"/>
    <s v="CMR004002004"/>
    <s v="LBI-0102"/>
    <s v="MOULOUMSA MASSA"/>
    <m/>
    <x v="2"/>
    <s v="Septembre 2022 – Février 2023"/>
    <n v="15"/>
    <n v="60"/>
    <x v="1"/>
    <m/>
    <s v="Autre pays"/>
    <s v="TCD"/>
    <s v="Tchad"/>
    <m/>
    <m/>
    <m/>
    <m/>
    <m/>
    <m/>
  </r>
  <r>
    <s v="Extrême-Nord"/>
    <s v="CMR004"/>
    <x v="2"/>
    <s v="CMR004002"/>
    <x v="15"/>
    <s v="CMR004002004"/>
    <s v="LBI-0073"/>
    <s v="NGOUAMA"/>
    <m/>
    <x v="2"/>
    <s v="Janvier - Aout 2022"/>
    <n v="11"/>
    <n v="93"/>
    <x v="1"/>
    <m/>
    <s v="Autre pays"/>
    <s v="TCD"/>
    <s v="Tchad"/>
    <m/>
    <m/>
    <m/>
    <m/>
    <m/>
    <m/>
  </r>
  <r>
    <s v="Extrême-Nord"/>
    <s v="CMR004"/>
    <x v="2"/>
    <s v="CMR004002"/>
    <x v="15"/>
    <s v="CMR004002004"/>
    <s v="LBI-0073"/>
    <s v="NGOUAMA"/>
    <m/>
    <x v="2"/>
    <s v="Septembre 2022 – Février 2023"/>
    <n v="18"/>
    <n v="30"/>
    <x v="1"/>
    <m/>
    <s v="Autre pays"/>
    <s v="TCD"/>
    <s v="Tchad"/>
    <m/>
    <m/>
    <m/>
    <m/>
    <m/>
    <m/>
  </r>
  <r>
    <s v="Extrême-Nord"/>
    <s v="CMR004"/>
    <x v="2"/>
    <s v="CMR004002"/>
    <x v="15"/>
    <s v="CMR004002004"/>
    <s v="LBI-0090"/>
    <s v="MARIAM"/>
    <m/>
    <x v="2"/>
    <s v="Janvier - Aout 2022"/>
    <n v="56"/>
    <n v="459"/>
    <x v="1"/>
    <m/>
    <s v="Autre pays"/>
    <s v="TCD"/>
    <s v="Tchad"/>
    <m/>
    <m/>
    <m/>
    <m/>
    <m/>
    <m/>
  </r>
  <r>
    <s v="Extrême-Nord"/>
    <s v="CMR004"/>
    <x v="2"/>
    <s v="CMR004002"/>
    <x v="15"/>
    <s v="CMR004002004"/>
    <s v="LBI-0090"/>
    <s v="MARIAM"/>
    <m/>
    <x v="2"/>
    <s v="Septembre 2022 – Février 2023"/>
    <n v="33"/>
    <n v="108"/>
    <x v="1"/>
    <m/>
    <s v="Autre pays"/>
    <s v="TCD"/>
    <s v="Tchad"/>
    <m/>
    <m/>
    <m/>
    <m/>
    <m/>
    <m/>
  </r>
  <r>
    <s v="Extrême-Nord"/>
    <s v="CMR004"/>
    <x v="2"/>
    <s v="CMR004002"/>
    <x v="15"/>
    <s v="CMR004002004"/>
    <s v="LBI-0066"/>
    <s v="LOGONE BIRNI (SAGOULA)"/>
    <m/>
    <x v="2"/>
    <s v="Janvier - Aout 2022"/>
    <n v="15"/>
    <n v="50"/>
    <x v="1"/>
    <m/>
    <s v="Autre pays"/>
    <s v="TCD"/>
    <s v="Tchad"/>
    <m/>
    <m/>
    <m/>
    <m/>
    <m/>
    <m/>
  </r>
  <r>
    <s v="Extrême-Nord"/>
    <s v="CMR004"/>
    <x v="2"/>
    <s v="CMR004002"/>
    <x v="15"/>
    <s v="CMR004002004"/>
    <s v="LBI-0066"/>
    <s v="LOGONE BIRNI (SAGOULA)"/>
    <m/>
    <x v="2"/>
    <s v="Septembre 2022 – Février 2023"/>
    <n v="20"/>
    <n v="120"/>
    <x v="1"/>
    <m/>
    <s v="Autre pays"/>
    <s v="TCD"/>
    <s v="Tchad"/>
    <m/>
    <m/>
    <m/>
    <m/>
    <m/>
    <m/>
  </r>
  <r>
    <s v="Extrême-Nord"/>
    <s v="CMR004"/>
    <x v="1"/>
    <s v="CMR004006"/>
    <x v="16"/>
    <s v="CMR004006004"/>
    <s v="KOZ-0021"/>
    <s v="MODOKO"/>
    <m/>
    <x v="2"/>
    <s v="En 2021"/>
    <n v="10"/>
    <n v="40"/>
    <x v="0"/>
    <m/>
    <s v="Même département, autre arrondissement"/>
    <s v="CMR"/>
    <s v="Cameroun"/>
    <s v="CMR004"/>
    <s v="Extrême-Nord"/>
    <s v="CMR004006"/>
    <s v="Mayo-Tsanaga"/>
    <s v="CMR004006005"/>
    <s v="Mayo-Moskota"/>
  </r>
  <r>
    <s v="Extrême-Nord"/>
    <s v="CMR004"/>
    <x v="1"/>
    <s v="CMR004006"/>
    <x v="16"/>
    <s v="CMR004006004"/>
    <s v="KOZ-0021"/>
    <s v="MODOKO"/>
    <m/>
    <x v="2"/>
    <s v="Septembre 2022 – Février 2023"/>
    <n v="6"/>
    <n v="47"/>
    <x v="0"/>
    <m/>
    <s v="Même département, autre arrondissement"/>
    <s v="CMR"/>
    <s v="Cameroun"/>
    <s v="CMR004"/>
    <s v="Extrême-Nord"/>
    <s v="CMR004006"/>
    <s v="Mayo-Tsanaga"/>
    <s v="CMR004006005"/>
    <s v="Mayo-Moskota"/>
  </r>
  <r>
    <s v="Extrême-Nord"/>
    <s v="CMR004"/>
    <x v="1"/>
    <s v="CMR004006"/>
    <x v="16"/>
    <s v="CMR004006004"/>
    <s v="KOZ-0004"/>
    <s v="DOUMBOGO"/>
    <m/>
    <x v="2"/>
    <s v="En 2021"/>
    <n v="0"/>
    <n v="10"/>
    <x v="0"/>
    <m/>
    <s v="Même département, autre arrondissement"/>
    <s v="CMR"/>
    <s v="Cameroun"/>
    <s v="CMR004"/>
    <s v="Extrême-Nord"/>
    <s v="CMR004006"/>
    <s v="Mayo-Tsanaga"/>
    <s v="CMR004006005"/>
    <s v="Mayo-Moskota"/>
  </r>
  <r>
    <s v="Extrême-Nord"/>
    <s v="CMR004"/>
    <x v="1"/>
    <s v="CMR004006"/>
    <x v="16"/>
    <s v="CMR004006004"/>
    <s v="KOZ-0004"/>
    <s v="DOUMBOGO"/>
    <m/>
    <x v="2"/>
    <s v="Janvier - Aout 2022"/>
    <n v="2"/>
    <n v="9"/>
    <x v="0"/>
    <m/>
    <s v="Même département, autre arrondissement"/>
    <s v="CMR"/>
    <s v="Cameroun"/>
    <s v="CMR004"/>
    <s v="Extrême-Nord"/>
    <s v="CMR004006"/>
    <s v="Mayo-Tsanaga"/>
    <s v="CMR004006005"/>
    <s v="Mayo-Moskota"/>
  </r>
  <r>
    <s v="Extrême-Nord"/>
    <s v="CMR004"/>
    <x v="5"/>
    <s v="CMR004004"/>
    <x v="21"/>
    <s v="CMR004004007"/>
    <s v="MIN-0002"/>
    <s v="YAKANG"/>
    <m/>
    <x v="2"/>
    <s v="Avant 2020"/>
    <n v="6"/>
    <n v="30"/>
    <x v="0"/>
    <m/>
    <s v="Autre département"/>
    <s v="CMR"/>
    <s v="Cameroun"/>
    <s v="CMR004"/>
    <s v="Extrême-Nord"/>
    <s v="CMR004005"/>
    <s v="Mayo-Sava"/>
    <m/>
    <m/>
  </r>
  <r>
    <s v="Extrême-Nord"/>
    <s v="CMR004"/>
    <x v="5"/>
    <s v="CMR004004"/>
    <x v="21"/>
    <s v="CMR004004007"/>
    <s v="MIN-0002"/>
    <s v="YAKANG"/>
    <m/>
    <x v="2"/>
    <s v="Septembre 2022 – Février 2023"/>
    <n v="2"/>
    <n v="15"/>
    <x v="0"/>
    <m/>
    <s v="Autre département"/>
    <s v="CMR"/>
    <s v="Cameroun"/>
    <s v="CMR004"/>
    <s v="Extrême-Nord"/>
    <s v="CMR004002"/>
    <s v="Logone-Et-Chari"/>
    <m/>
    <m/>
  </r>
  <r>
    <s v="Extrême-Nord"/>
    <s v="CMR004"/>
    <x v="2"/>
    <s v="CMR004002"/>
    <x v="15"/>
    <s v="CMR004002004"/>
    <s v="LBI-0089"/>
    <s v="HERWA BAGTABA"/>
    <m/>
    <x v="2"/>
    <s v="Septembre 2022 – Février 2023"/>
    <n v="5"/>
    <n v="30"/>
    <x v="3"/>
    <m/>
    <s v="Même arrondissement"/>
    <s v="CMR"/>
    <s v="Cameroun"/>
    <s v="CMR004"/>
    <s v="Extrême-Nord"/>
    <s v="CMR004002"/>
    <s v="Logone-Et-Chari"/>
    <s v="CMR004002004"/>
    <s v="Logone-Birni"/>
  </r>
  <r>
    <s v="Extrême-Nord"/>
    <s v="CMR004"/>
    <x v="2"/>
    <s v="CMR004002"/>
    <x v="15"/>
    <s v="CMR004002004"/>
    <s v="XXXX"/>
    <s v="NGOUDOUM"/>
    <s v="NGOUDOUM"/>
    <x v="2"/>
    <s v="Janvier - Aout 2022"/>
    <n v="5"/>
    <n v="30"/>
    <x v="1"/>
    <m/>
    <s v="Même arrondissement"/>
    <s v="CMR"/>
    <s v="Cameroun"/>
    <s v="CMR004"/>
    <s v="Extrême-Nord"/>
    <s v="CMR004002"/>
    <s v="Logone-Et-Chari"/>
    <s v="CMR004002004"/>
    <s v="Logone-Birni"/>
  </r>
  <r>
    <s v="Extrême-Nord"/>
    <s v="CMR004"/>
    <x v="2"/>
    <s v="CMR004002"/>
    <x v="15"/>
    <s v="CMR004002004"/>
    <s v="XXXX"/>
    <s v="DILGA ARABE"/>
    <s v="DILGA ARABE"/>
    <x v="2"/>
    <s v="Septembre 2022 – Février 2023"/>
    <n v="6"/>
    <n v="20"/>
    <x v="3"/>
    <m/>
    <s v="Même arrondissement"/>
    <s v="CMR"/>
    <s v="Cameroun"/>
    <s v="CMR004"/>
    <s v="Extrême-Nord"/>
    <s v="CMR004002"/>
    <s v="Logone-Et-Chari"/>
    <s v="CMR004002004"/>
    <s v="Logone-Birni"/>
  </r>
  <r>
    <s v="Extrême-Nord"/>
    <s v="CMR004"/>
    <x v="2"/>
    <s v="CMR004002"/>
    <x v="15"/>
    <s v="CMR004002004"/>
    <s v="LBI-0110"/>
    <s v="BOULAKORE 1,2,3"/>
    <m/>
    <x v="2"/>
    <s v="Septembre 2022 – Février 2023"/>
    <n v="100"/>
    <n v="1500"/>
    <x v="3"/>
    <m/>
    <s v="Autre pays"/>
    <s v="TCD"/>
    <s v="Tchad"/>
    <m/>
    <m/>
    <m/>
    <m/>
    <m/>
    <m/>
  </r>
  <r>
    <s v="Extrême-Nord"/>
    <s v="CMR004"/>
    <x v="2"/>
    <s v="CMR004002"/>
    <x v="15"/>
    <s v="CMR004002004"/>
    <s v="LBI-0099"/>
    <s v="DILGA HEMDAN"/>
    <m/>
    <x v="2"/>
    <s v="En 2021"/>
    <n v="16"/>
    <n v="200"/>
    <x v="1"/>
    <m/>
    <s v="Autre pays"/>
    <s v="TCD"/>
    <s v="Tchad"/>
    <m/>
    <m/>
    <m/>
    <m/>
    <m/>
    <m/>
  </r>
  <r>
    <s v="Extrême-Nord"/>
    <s v="CMR004"/>
    <x v="2"/>
    <s v="CMR004002"/>
    <x v="15"/>
    <s v="CMR004002004"/>
    <s v="LBI-0075"/>
    <s v="WOULI GOLMADE"/>
    <m/>
    <x v="2"/>
    <s v="Janvier - Aout 2022"/>
    <n v="125"/>
    <n v="400"/>
    <x v="1"/>
    <m/>
    <s v="Même arrondissement"/>
    <s v="CMR"/>
    <s v="Cameroun"/>
    <s v="CMR004"/>
    <s v="Extrême-Nord"/>
    <s v="CMR004002"/>
    <s v="Logone-Et-Chari"/>
    <s v="CMR004002004"/>
    <s v="Logone-Birni"/>
  </r>
  <r>
    <s v="Extrême-Nord"/>
    <s v="CMR004"/>
    <x v="2"/>
    <s v="CMR004002"/>
    <x v="15"/>
    <s v="CMR004002004"/>
    <s v="LBI-0072"/>
    <s v="MBOUTOUFKA"/>
    <m/>
    <x v="2"/>
    <s v="Septembre 2022 – Février 2023"/>
    <n v="4"/>
    <n v="10"/>
    <x v="1"/>
    <m/>
    <s v="Autre pays"/>
    <s v="TCD"/>
    <s v="Tchad"/>
    <m/>
    <m/>
    <m/>
    <m/>
    <m/>
    <m/>
  </r>
  <r>
    <s v="Extrême-Nord"/>
    <s v="CMR004"/>
    <x v="2"/>
    <s v="CMR004002"/>
    <x v="15"/>
    <s v="CMR004002004"/>
    <s v="LBI-0084"/>
    <s v="DAMZA"/>
    <m/>
    <x v="2"/>
    <s v="Janvier - Aout 2022"/>
    <n v="44"/>
    <n v="250"/>
    <x v="1"/>
    <m/>
    <s v="Même département, autre arrondissement"/>
    <s v="CMR"/>
    <s v="Cameroun"/>
    <s v="CMR004"/>
    <s v="Extrême-Nord"/>
    <s v="CMR004002"/>
    <s v="Logone-Et-Chari"/>
    <s v="CMR004002006"/>
    <s v="Kousséri"/>
  </r>
  <r>
    <s v="Extrême-Nord"/>
    <s v="CMR004"/>
    <x v="2"/>
    <s v="CMR004002"/>
    <x v="15"/>
    <s v="CMR004002004"/>
    <s v="LBI-0084"/>
    <s v="DAMZA"/>
    <m/>
    <x v="2"/>
    <s v="Septembre 2022 – Février 2023"/>
    <n v="8"/>
    <n v="14"/>
    <x v="1"/>
    <m/>
    <s v="Autre pays"/>
    <s v="TCD"/>
    <s v="Tchad"/>
    <m/>
    <m/>
    <m/>
    <m/>
    <m/>
    <m/>
  </r>
  <r>
    <s v="Extrême-Nord"/>
    <s v="CMR004"/>
    <x v="1"/>
    <s v="CMR004006"/>
    <x v="16"/>
    <s v="CMR004006004"/>
    <s v="KOZ-0040"/>
    <s v="BANQUETTE"/>
    <m/>
    <x v="2"/>
    <s v="En 2021"/>
    <n v="4"/>
    <n v="21"/>
    <x v="0"/>
    <m/>
    <s v="Même département, autre arrondissement"/>
    <s v="CMR"/>
    <s v="Cameroun"/>
    <s v="CMR004"/>
    <s v="Extrême-Nord"/>
    <s v="CMR004006"/>
    <s v="Mayo-Tsanaga"/>
    <s v="CMR004006005"/>
    <s v="Mayo-Moskota"/>
  </r>
  <r>
    <s v="Extrême-Nord"/>
    <s v="CMR004"/>
    <x v="1"/>
    <s v="CMR004006"/>
    <x v="16"/>
    <s v="CMR004006004"/>
    <s v="KOZ-0040"/>
    <s v="BANQUETTE"/>
    <m/>
    <x v="2"/>
    <s v="Janvier - Aout 2022"/>
    <n v="3"/>
    <n v="16"/>
    <x v="0"/>
    <m/>
    <s v="Même département, autre arrondissement"/>
    <s v="CMR"/>
    <s v="Cameroun"/>
    <s v="CMR004"/>
    <s v="Extrême-Nord"/>
    <s v="CMR004006"/>
    <s v="Mayo-Tsanaga"/>
    <s v="CMR004006005"/>
    <s v="Mayo-Moskota"/>
  </r>
  <r>
    <s v="Extrême-Nord"/>
    <s v="CMR004"/>
    <x v="1"/>
    <s v="CMR004006"/>
    <x v="16"/>
    <s v="CMR004006004"/>
    <s v="KOZ-0017"/>
    <s v="KILDA"/>
    <m/>
    <x v="2"/>
    <s v="Septembre 2022 – Février 2023"/>
    <n v="4"/>
    <n v="17"/>
    <x v="0"/>
    <m/>
    <s v="Même département, autre arrondissement"/>
    <s v="CMR"/>
    <s v="Cameroun"/>
    <s v="CMR004"/>
    <s v="Extrême-Nord"/>
    <s v="CMR004006"/>
    <s v="Mayo-Tsanaga"/>
    <s v="CMR004006005"/>
    <s v="Mayo-Moskota"/>
  </r>
  <r>
    <s v="Extrême-Nord"/>
    <s v="CMR004"/>
    <x v="1"/>
    <s v="CMR004006"/>
    <x v="16"/>
    <s v="CMR004006004"/>
    <s v="KOZ-0017"/>
    <s v="KILDA"/>
    <m/>
    <x v="2"/>
    <s v="Janvier - Aout 2022"/>
    <n v="6"/>
    <n v="30"/>
    <x v="0"/>
    <m/>
    <s v="Même département, autre arrondissement"/>
    <s v="CMR"/>
    <s v="Cameroun"/>
    <s v="CMR004"/>
    <s v="Extrême-Nord"/>
    <s v="CMR004006"/>
    <s v="Mayo-Tsanaga"/>
    <s v="CMR004006005"/>
    <s v="Mayo-Moskota"/>
  </r>
  <r>
    <s v="Extrême-Nord"/>
    <s v="CMR004"/>
    <x v="1"/>
    <s v="CMR004006"/>
    <x v="16"/>
    <s v="CMR004006004"/>
    <s v="KOZ-0017"/>
    <s v="KILDA"/>
    <m/>
    <x v="2"/>
    <s v="En 2021"/>
    <n v="2"/>
    <n v="13"/>
    <x v="0"/>
    <m/>
    <s v="Même département, autre arrondissement"/>
    <s v="CMR"/>
    <s v="Cameroun"/>
    <s v="CMR004"/>
    <s v="Extrême-Nord"/>
    <s v="CMR004006"/>
    <s v="Mayo-Tsanaga"/>
    <s v="CMR004006005"/>
    <s v="Mayo-Moskota"/>
  </r>
  <r>
    <s v="Extrême-Nord"/>
    <s v="CMR004"/>
    <x v="1"/>
    <s v="CMR004006"/>
    <x v="16"/>
    <s v="CMR004006004"/>
    <s v="KOZ-0034"/>
    <s v="LDAGAM"/>
    <m/>
    <x v="2"/>
    <s v="Septembre 2022 – Février 2023"/>
    <n v="3"/>
    <n v="41"/>
    <x v="0"/>
    <m/>
    <s v="Même département, autre arrondissement"/>
    <s v="CMR"/>
    <s v="Cameroun"/>
    <s v="CMR004"/>
    <s v="Extrême-Nord"/>
    <s v="CMR004006"/>
    <s v="Mayo-Tsanaga"/>
    <s v="CMR004006005"/>
    <s v="Mayo-Moskota"/>
  </r>
  <r>
    <s v="Extrême-Nord"/>
    <s v="CMR004"/>
    <x v="1"/>
    <s v="CMR004006"/>
    <x v="16"/>
    <s v="CMR004006004"/>
    <s v="KOZ-0034"/>
    <s v="LDAGAM"/>
    <m/>
    <x v="2"/>
    <s v="Janvier - Aout 2022"/>
    <n v="2"/>
    <n v="23"/>
    <x v="0"/>
    <m/>
    <s v="Même département, autre arrondissement"/>
    <s v="CMR"/>
    <s v="Cameroun"/>
    <s v="CMR004"/>
    <s v="Extrême-Nord"/>
    <s v="CMR004006"/>
    <s v="Mayo-Tsanaga"/>
    <s v="CMR004006005"/>
    <s v="Mayo-Moskota"/>
  </r>
  <r>
    <s v="Extrême-Nord"/>
    <s v="CMR004"/>
    <x v="1"/>
    <s v="CMR004006"/>
    <x v="16"/>
    <s v="CMR004006004"/>
    <s v="KOZ-0034"/>
    <s v="LDAGAM"/>
    <m/>
    <x v="2"/>
    <s v="En 2021"/>
    <n v="5"/>
    <n v="37"/>
    <x v="0"/>
    <m/>
    <s v="Même département, autre arrondissement"/>
    <s v="CMR"/>
    <s v="Cameroun"/>
    <s v="CMR004"/>
    <s v="Extrême-Nord"/>
    <s v="CMR004006"/>
    <s v="Mayo-Tsanaga"/>
    <s v="CMR004006005"/>
    <s v="Mayo-Moskota"/>
  </r>
  <r>
    <s v="Extrême-Nord"/>
    <s v="CMR004"/>
    <x v="1"/>
    <s v="CMR004006"/>
    <x v="16"/>
    <s v="CMR004006004"/>
    <s v="KOZ-0039"/>
    <s v="MAWA"/>
    <m/>
    <x v="2"/>
    <s v="Septembre 2022 – Février 2023"/>
    <n v="2"/>
    <n v="4"/>
    <x v="0"/>
    <m/>
    <s v="Même département, autre arrondissement"/>
    <s v="CMR"/>
    <s v="Cameroun"/>
    <s v="CMR004"/>
    <s v="Extrême-Nord"/>
    <s v="CMR004006"/>
    <s v="Mayo-Tsanaga"/>
    <s v="CMR004006005"/>
    <s v="Mayo-Moskota"/>
  </r>
  <r>
    <s v="Extrême-Nord"/>
    <s v="CMR004"/>
    <x v="1"/>
    <s v="CMR004006"/>
    <x v="16"/>
    <s v="CMR004006004"/>
    <s v="KOZ-0039"/>
    <s v="MAWA"/>
    <m/>
    <x v="2"/>
    <s v="En 2021"/>
    <n v="1"/>
    <n v="8"/>
    <x v="0"/>
    <m/>
    <s v="Même département, autre arrondissement"/>
    <s v="CMR"/>
    <s v="Cameroun"/>
    <s v="CMR004"/>
    <s v="Extrême-Nord"/>
    <s v="CMR004006"/>
    <s v="Mayo-Tsanaga"/>
    <s v="CMR004006005"/>
    <s v="Mayo-Moskota"/>
  </r>
  <r>
    <s v="Extrême-Nord"/>
    <s v="CMR004"/>
    <x v="1"/>
    <s v="CMR004006"/>
    <x v="16"/>
    <s v="CMR004006004"/>
    <s v="KOZ-0027"/>
    <s v="ZILER"/>
    <m/>
    <x v="2"/>
    <s v="En 2021"/>
    <n v="6"/>
    <n v="36"/>
    <x v="0"/>
    <m/>
    <s v="Même département, autre arrondissement"/>
    <s v="CMR"/>
    <s v="Cameroun"/>
    <s v="CMR004"/>
    <s v="Extrême-Nord"/>
    <s v="CMR004006"/>
    <s v="Mayo-Tsanaga"/>
    <s v="CMR004006005"/>
    <s v="Mayo-Moskota"/>
  </r>
  <r>
    <s v="Extrême-Nord"/>
    <s v="CMR004"/>
    <x v="1"/>
    <s v="CMR004006"/>
    <x v="16"/>
    <s v="CMR004006004"/>
    <s v="KOZ-0018"/>
    <s v="MALTAMAYA"/>
    <m/>
    <x v="2"/>
    <s v="En 2021"/>
    <n v="2"/>
    <n v="5"/>
    <x v="0"/>
    <m/>
    <s v="Même département, autre arrondissement"/>
    <s v="CMR"/>
    <s v="Cameroun"/>
    <s v="CMR004"/>
    <s v="Extrême-Nord"/>
    <s v="CMR004006"/>
    <s v="Mayo-Tsanaga"/>
    <s v="CMR004006005"/>
    <s v="Mayo-Moskota"/>
  </r>
  <r>
    <s v="Extrême-Nord"/>
    <s v="CMR004"/>
    <x v="1"/>
    <s v="CMR004006"/>
    <x v="16"/>
    <s v="CMR004006004"/>
    <s v="KOZ-0018"/>
    <s v="MALTAMAYA"/>
    <m/>
    <x v="2"/>
    <s v="Septembre 2022 – Février 2023"/>
    <n v="2"/>
    <n v="15"/>
    <x v="0"/>
    <m/>
    <s v="Même département, autre arrondissement"/>
    <s v="CMR"/>
    <s v="Cameroun"/>
    <s v="CMR004"/>
    <s v="Extrême-Nord"/>
    <s v="CMR004006"/>
    <s v="Mayo-Tsanaga"/>
    <s v="CMR004006005"/>
    <s v="Mayo-Moskota"/>
  </r>
  <r>
    <s v="Extrême-Nord"/>
    <s v="CMR004"/>
    <x v="1"/>
    <s v="CMR004006"/>
    <x v="16"/>
    <s v="CMR004006004"/>
    <s v="KOZ-0028"/>
    <s v="MATALAM"/>
    <m/>
    <x v="2"/>
    <s v="Janvier - Aout 2022"/>
    <n v="7"/>
    <n v="36"/>
    <x v="0"/>
    <m/>
    <s v="Même département, autre arrondissement"/>
    <s v="CMR"/>
    <s v="Cameroun"/>
    <s v="CMR004"/>
    <s v="Extrême-Nord"/>
    <s v="CMR004006"/>
    <s v="Mayo-Tsanaga"/>
    <s v="CMR004006005"/>
    <s v="Mayo-Moskota"/>
  </r>
  <r>
    <s v="Extrême-Nord"/>
    <s v="CMR004"/>
    <x v="1"/>
    <s v="CMR004006"/>
    <x v="16"/>
    <s v="CMR004006004"/>
    <s v="KOZ-0028"/>
    <s v="MATALAM"/>
    <m/>
    <x v="2"/>
    <s v="En 2021"/>
    <n v="5"/>
    <n v="19"/>
    <x v="0"/>
    <m/>
    <s v="Même département, autre arrondissement"/>
    <s v="CMR"/>
    <s v="Cameroun"/>
    <s v="CMR004"/>
    <s v="Extrême-Nord"/>
    <s v="CMR004006"/>
    <s v="Mayo-Tsanaga"/>
    <s v="CMR004006005"/>
    <s v="Mayo-Moskota"/>
  </r>
  <r>
    <s v="Extrême-Nord"/>
    <s v="CMR004"/>
    <x v="2"/>
    <s v="CMR004002"/>
    <x v="10"/>
    <s v="CMR004002003"/>
    <s v="BLA-0002"/>
    <s v="BLANGOUA"/>
    <m/>
    <x v="2"/>
    <s v="Avant 2020"/>
    <n v="140"/>
    <n v="500"/>
    <x v="0"/>
    <m/>
    <s v="Même département, autre arrondissement"/>
    <s v="CMR"/>
    <s v="Cameroun"/>
    <s v="CMR004"/>
    <s v="Extrême-Nord"/>
    <s v="CMR004002"/>
    <s v="Logone-Et-Chari"/>
    <s v="CMR004002002"/>
    <s v="Goulfey"/>
  </r>
  <r>
    <s v="Extrême-Nord"/>
    <s v="CMR004"/>
    <x v="4"/>
    <s v="CMR004005"/>
    <x v="17"/>
    <s v="CMR004005002"/>
    <s v="MOR-0027"/>
    <s v="DJAKANA"/>
    <m/>
    <x v="2"/>
    <s v="Avant 2020"/>
    <n v="420"/>
    <n v="2570"/>
    <x v="0"/>
    <m/>
    <s v="Même arrondissement"/>
    <s v="CMR"/>
    <s v="Cameroun"/>
    <s v="CMR004"/>
    <s v="Extrême-Nord"/>
    <s v="CMR004005"/>
    <s v="Mayo-Sava"/>
    <s v="CMR004005002"/>
    <s v="Mora"/>
  </r>
  <r>
    <s v="Extrême-Nord"/>
    <s v="CMR004"/>
    <x v="4"/>
    <s v="CMR004005"/>
    <x v="17"/>
    <s v="CMR004005002"/>
    <s v="MOR-0027"/>
    <s v="DJAKANA"/>
    <m/>
    <x v="2"/>
    <s v="En 2021"/>
    <n v="30"/>
    <n v="128"/>
    <x v="0"/>
    <m/>
    <s v="Même arrondissement"/>
    <s v="CMR"/>
    <s v="Cameroun"/>
    <s v="CMR004"/>
    <s v="Extrême-Nord"/>
    <s v="CMR004005"/>
    <s v="Mayo-Sava"/>
    <s v="CMR004005002"/>
    <s v="Mora"/>
  </r>
  <r>
    <s v="Extrême-Nord"/>
    <s v="CMR004"/>
    <x v="4"/>
    <s v="CMR004005"/>
    <x v="17"/>
    <s v="CMR004005002"/>
    <s v="MOR-0027"/>
    <s v="DJAKANA"/>
    <m/>
    <x v="2"/>
    <s v="Janvier - Aout 2022"/>
    <n v="17"/>
    <n v="120"/>
    <x v="0"/>
    <m/>
    <s v="Même arrondissement"/>
    <s v="CMR"/>
    <s v="Cameroun"/>
    <s v="CMR004"/>
    <s v="Extrême-Nord"/>
    <s v="CMR004005"/>
    <s v="Mayo-Sava"/>
    <s v="CMR004005002"/>
    <s v="Mora"/>
  </r>
  <r>
    <s v="Extrême-Nord"/>
    <s v="CMR004"/>
    <x v="4"/>
    <s v="CMR004005"/>
    <x v="17"/>
    <s v="CMR004005002"/>
    <s v="MOR-0027"/>
    <s v="DJAKANA"/>
    <m/>
    <x v="2"/>
    <s v="Septembre 2022 – Février 2023"/>
    <n v="6"/>
    <n v="45"/>
    <x v="0"/>
    <m/>
    <s v="Même arrondissement"/>
    <s v="CMR"/>
    <s v="Cameroun"/>
    <s v="CMR004"/>
    <s v="Extrême-Nord"/>
    <s v="CMR004005"/>
    <s v="Mayo-Sava"/>
    <s v="CMR004005002"/>
    <s v="Mora"/>
  </r>
  <r>
    <s v="Extrême-Nord"/>
    <s v="CMR004"/>
    <x v="4"/>
    <s v="CMR004005"/>
    <x v="17"/>
    <s v="CMR004005002"/>
    <s v="MOR-0091"/>
    <s v="ADAKELE"/>
    <m/>
    <x v="2"/>
    <s v="Janvier - Aout 2022"/>
    <n v="31"/>
    <n v="219"/>
    <x v="0"/>
    <m/>
    <s v="Même arrondissement"/>
    <s v="CMR"/>
    <s v="Cameroun"/>
    <s v="CMR004"/>
    <s v="Extrême-Nord"/>
    <s v="CMR004005"/>
    <s v="Mayo-Sava"/>
    <s v="CMR004005002"/>
    <s v="Mora"/>
  </r>
  <r>
    <s v="Extrême-Nord"/>
    <s v="CMR004"/>
    <x v="4"/>
    <s v="CMR004005"/>
    <x v="17"/>
    <s v="CMR004005002"/>
    <s v="MOR-0091"/>
    <s v="ADAKELE"/>
    <m/>
    <x v="2"/>
    <s v="Septembre 2022 – Février 2023"/>
    <n v="0"/>
    <n v="10"/>
    <x v="0"/>
    <m/>
    <s v="Même arrondissement"/>
    <s v="CMR"/>
    <s v="Cameroun"/>
    <s v="CMR004"/>
    <s v="Extrême-Nord"/>
    <s v="CMR004005"/>
    <s v="Mayo-Sava"/>
    <s v="CMR004005002"/>
    <s v="Mora"/>
  </r>
  <r>
    <s v="Extrême-Nord"/>
    <s v="CMR004"/>
    <x v="4"/>
    <s v="CMR004005"/>
    <x v="17"/>
    <s v="CMR004005002"/>
    <s v="MOR-0004"/>
    <s v="DOULO"/>
    <m/>
    <x v="2"/>
    <s v="Avant 2020"/>
    <n v="358"/>
    <n v="2189"/>
    <x v="0"/>
    <m/>
    <s v="Même arrondissement"/>
    <s v="CMR"/>
    <s v="Cameroun"/>
    <s v="CMR004"/>
    <s v="Extrême-Nord"/>
    <s v="CMR004005"/>
    <s v="Mayo-Sava"/>
    <s v="CMR004005002"/>
    <s v="Mora"/>
  </r>
  <r>
    <s v="Extrême-Nord"/>
    <s v="CMR004"/>
    <x v="4"/>
    <s v="CMR004005"/>
    <x v="17"/>
    <s v="CMR004005002"/>
    <s v="MOR-0004"/>
    <s v="DOULO"/>
    <m/>
    <x v="2"/>
    <s v="En 2020"/>
    <n v="20"/>
    <n v="74"/>
    <x v="0"/>
    <m/>
    <s v="Même arrondissement"/>
    <s v="CMR"/>
    <s v="Cameroun"/>
    <s v="CMR004"/>
    <s v="Extrême-Nord"/>
    <s v="CMR004005"/>
    <s v="Mayo-Sava"/>
    <s v="CMR004005002"/>
    <s v="Mora"/>
  </r>
  <r>
    <s v="Extrême-Nord"/>
    <s v="CMR004"/>
    <x v="4"/>
    <s v="CMR004005"/>
    <x v="17"/>
    <s v="CMR004005002"/>
    <s v="MOR-0004"/>
    <s v="DOULO"/>
    <m/>
    <x v="2"/>
    <s v="En 2021"/>
    <n v="13"/>
    <n v="65"/>
    <x v="0"/>
    <m/>
    <s v="Même arrondissement"/>
    <s v="CMR"/>
    <s v="Cameroun"/>
    <s v="CMR004"/>
    <s v="Extrême-Nord"/>
    <s v="CMR004005"/>
    <s v="Mayo-Sava"/>
    <s v="CMR004005002"/>
    <s v="Mora"/>
  </r>
  <r>
    <s v="Extrême-Nord"/>
    <s v="CMR004"/>
    <x v="4"/>
    <s v="CMR004005"/>
    <x v="17"/>
    <s v="CMR004005002"/>
    <s v="MOR-0004"/>
    <s v="DOULO"/>
    <m/>
    <x v="2"/>
    <s v="Janvier - Aout 2022"/>
    <n v="55"/>
    <n v="295"/>
    <x v="0"/>
    <m/>
    <s v="Même arrondissement"/>
    <s v="CMR"/>
    <s v="Cameroun"/>
    <s v="CMR004"/>
    <s v="Extrême-Nord"/>
    <s v="CMR004005"/>
    <s v="Mayo-Sava"/>
    <s v="CMR004005002"/>
    <s v="Mora"/>
  </r>
  <r>
    <s v="Extrême-Nord"/>
    <s v="CMR004"/>
    <x v="4"/>
    <s v="CMR004005"/>
    <x v="17"/>
    <s v="CMR004005002"/>
    <s v="MOR-0004"/>
    <s v="DOULO"/>
    <m/>
    <x v="2"/>
    <s v="Septembre 2022 – Février 2023"/>
    <n v="20"/>
    <n v="135"/>
    <x v="0"/>
    <m/>
    <s v="Même arrondissement"/>
    <s v="CMR"/>
    <s v="Cameroun"/>
    <s v="CMR004"/>
    <s v="Extrême-Nord"/>
    <s v="CMR004005"/>
    <s v="Mayo-Sava"/>
    <s v="CMR004005002"/>
    <s v="Mora"/>
  </r>
  <r>
    <s v="Extrême-Nord"/>
    <s v="CMR004"/>
    <x v="2"/>
    <s v="CMR004002"/>
    <x v="27"/>
    <s v="CMR004002007"/>
    <s v="DAR-0016"/>
    <s v="NAGA A"/>
    <m/>
    <x v="2"/>
    <s v="Septembre 2022 – Février 2023"/>
    <n v="50"/>
    <n v="315"/>
    <x v="0"/>
    <m/>
    <s v="Même arrondissement"/>
    <s v="CMR"/>
    <s v="Cameroun"/>
    <s v="CMR004"/>
    <s v="Extrême-Nord"/>
    <s v="CMR004002"/>
    <s v="Logone-Et-Chari"/>
    <s v="CMR004002007"/>
    <s v="Darak"/>
  </r>
  <r>
    <s v="Extrême-Nord"/>
    <s v="CMR004"/>
    <x v="2"/>
    <s v="CMR004002"/>
    <x v="27"/>
    <s v="CMR004002007"/>
    <s v="DAR-0011"/>
    <s v="KATIKIME 1"/>
    <m/>
    <x v="2"/>
    <s v="Septembre 2022 – Février 2023"/>
    <n v="25"/>
    <n v="70"/>
    <x v="0"/>
    <m/>
    <s v="Même arrondissement"/>
    <s v="CMR"/>
    <s v="Cameroun"/>
    <s v="CMR004"/>
    <s v="Extrême-Nord"/>
    <s v="CMR004002"/>
    <s v="Logone-Et-Chari"/>
    <s v="CMR004002007"/>
    <s v="Darak"/>
  </r>
  <r>
    <s v="Extrême-Nord"/>
    <s v="CMR004"/>
    <x v="1"/>
    <s v="CMR004006"/>
    <x v="1"/>
    <s v="CMR004006002"/>
    <s v="MOK-0005"/>
    <s v="GAWAR"/>
    <m/>
    <x v="2"/>
    <s v="Avant 2020"/>
    <n v="20"/>
    <n v="100"/>
    <x v="0"/>
    <m/>
    <s v="Autre pays"/>
    <s v="NGA"/>
    <s v="Nigéria"/>
    <m/>
    <m/>
    <m/>
    <m/>
    <m/>
    <m/>
  </r>
  <r>
    <s v="Extrême-Nord"/>
    <s v="CMR004"/>
    <x v="1"/>
    <s v="CMR004006"/>
    <x v="1"/>
    <s v="CMR004006002"/>
    <s v="MOK-0005"/>
    <s v="GAWAR"/>
    <m/>
    <x v="2"/>
    <s v="En 2020"/>
    <n v="4"/>
    <n v="22"/>
    <x v="0"/>
    <m/>
    <s v="Autre pays"/>
    <s v="NGA"/>
    <s v="Nigéria"/>
    <m/>
    <m/>
    <m/>
    <m/>
    <m/>
    <m/>
  </r>
  <r>
    <s v="Extrême-Nord"/>
    <s v="CMR004"/>
    <x v="1"/>
    <s v="CMR004006"/>
    <x v="1"/>
    <s v="CMR004006002"/>
    <s v="MOK-0005"/>
    <s v="GAWAR"/>
    <m/>
    <x v="2"/>
    <s v="En 2021"/>
    <n v="0"/>
    <n v="2"/>
    <x v="2"/>
    <s v="Naissances "/>
    <s v="Même arrondissement"/>
    <s v="CMR"/>
    <s v="Cameroun"/>
    <s v="CMR004"/>
    <s v="Extrême-Nord"/>
    <s v="CMR004006"/>
    <s v="Mayo-Tsanaga"/>
    <s v="CMR004006002"/>
    <s v="Mokolo"/>
  </r>
  <r>
    <s v="Extrême-Nord"/>
    <s v="CMR004"/>
    <x v="1"/>
    <s v="CMR004006"/>
    <x v="1"/>
    <s v="CMR004006002"/>
    <s v="MOK-0003"/>
    <s v="DJALINGO"/>
    <m/>
    <x v="2"/>
    <s v="Avant 2020"/>
    <n v="5"/>
    <n v="24"/>
    <x v="0"/>
    <m/>
    <s v="Autre pays"/>
    <s v="NGA"/>
    <s v="Nigéria"/>
    <m/>
    <m/>
    <m/>
    <m/>
    <m/>
    <m/>
  </r>
  <r>
    <s v="Extrême-Nord"/>
    <s v="CMR004"/>
    <x v="1"/>
    <s v="CMR004006"/>
    <x v="28"/>
    <s v="CMR004006003"/>
    <s v="HIN-0003"/>
    <s v="BERING"/>
    <m/>
    <x v="2"/>
    <s v="Avant 2020"/>
    <n v="3"/>
    <n v="24"/>
    <x v="0"/>
    <m/>
    <s v="Autre pays"/>
    <s v="NGA"/>
    <s v="Nigéria"/>
    <m/>
    <m/>
    <m/>
    <m/>
    <m/>
    <m/>
  </r>
  <r>
    <s v="Extrême-Nord"/>
    <s v="CMR004"/>
    <x v="1"/>
    <s v="CMR004006"/>
    <x v="28"/>
    <s v="CMR004006003"/>
    <s v="HIN-0004"/>
    <s v="HINA CENTRE"/>
    <m/>
    <x v="2"/>
    <s v="Avant 2020"/>
    <n v="3"/>
    <n v="22"/>
    <x v="0"/>
    <m/>
    <s v="Autre pays"/>
    <s v="NGA"/>
    <s v="Nigéria"/>
    <m/>
    <m/>
    <m/>
    <m/>
    <m/>
    <m/>
  </r>
  <r>
    <s v="Extrême-Nord"/>
    <s v="CMR004"/>
    <x v="1"/>
    <s v="CMR004006"/>
    <x v="28"/>
    <s v="CMR004006003"/>
    <s v="HIN-0004"/>
    <s v="HINA CENTRE"/>
    <m/>
    <x v="2"/>
    <s v="En 2021"/>
    <n v="1"/>
    <n v="11"/>
    <x v="0"/>
    <m/>
    <s v="Autre pays"/>
    <s v="NGA"/>
    <s v="Nigéria"/>
    <m/>
    <m/>
    <m/>
    <m/>
    <m/>
    <m/>
  </r>
  <r>
    <s v="Extrême-Nord"/>
    <s v="CMR004"/>
    <x v="1"/>
    <s v="CMR004006"/>
    <x v="28"/>
    <s v="CMR004006003"/>
    <s v="HIN-0008"/>
    <s v="HINA WIDE"/>
    <m/>
    <x v="2"/>
    <s v="Avant 2020"/>
    <n v="3"/>
    <n v="29"/>
    <x v="0"/>
    <m/>
    <s v="Autre pays"/>
    <s v="NGA"/>
    <s v="Nigéria"/>
    <m/>
    <m/>
    <m/>
    <m/>
    <m/>
    <m/>
  </r>
  <r>
    <s v="Extrême-Nord"/>
    <s v="CMR004"/>
    <x v="1"/>
    <s v="CMR004006"/>
    <x v="28"/>
    <s v="CMR004006003"/>
    <s v="HIN-0006"/>
    <s v="ZOUVOUL"/>
    <m/>
    <x v="2"/>
    <s v="Avant 2020"/>
    <n v="1"/>
    <n v="6"/>
    <x v="0"/>
    <m/>
    <s v="Autre pays"/>
    <s v="NGA"/>
    <s v="Nigéria"/>
    <m/>
    <m/>
    <m/>
    <m/>
    <m/>
    <m/>
  </r>
  <r>
    <s v="Extrême-Nord"/>
    <s v="CMR004"/>
    <x v="1"/>
    <s v="CMR004006"/>
    <x v="28"/>
    <s v="CMR004006003"/>
    <s v="HIN-0006"/>
    <s v="ZOUVOUL"/>
    <m/>
    <x v="2"/>
    <s v="Septembre 2022 – Février 2023"/>
    <n v="0"/>
    <n v="1"/>
    <x v="0"/>
    <m/>
    <s v="Autre pays"/>
    <s v="NGA"/>
    <s v="Nigéria"/>
    <m/>
    <m/>
    <m/>
    <m/>
    <m/>
    <m/>
  </r>
  <r>
    <s v="Extrême-Nord"/>
    <s v="CMR004"/>
    <x v="1"/>
    <s v="CMR004006"/>
    <x v="28"/>
    <s v="CMR004006003"/>
    <s v="HIN-0002"/>
    <s v="BASSARA"/>
    <m/>
    <x v="2"/>
    <s v="Avant 2020"/>
    <n v="2"/>
    <n v="29"/>
    <x v="0"/>
    <m/>
    <s v="Autre pays"/>
    <s v="NGA"/>
    <s v="Nigéria"/>
    <m/>
    <m/>
    <m/>
    <m/>
    <m/>
    <m/>
  </r>
  <r>
    <s v="Extrême-Nord"/>
    <s v="CMR004"/>
    <x v="1"/>
    <s v="CMR004006"/>
    <x v="28"/>
    <s v="CMR004006003"/>
    <s v="HIN-0002"/>
    <s v="BASSARA"/>
    <m/>
    <x v="2"/>
    <s v="Septembre 2022 – Février 2023"/>
    <n v="0"/>
    <n v="2"/>
    <x v="2"/>
    <s v="Naissance "/>
    <s v="Même arrondissement"/>
    <s v="CMR"/>
    <s v="Cameroun"/>
    <s v="CMR004"/>
    <s v="Extrême-Nord"/>
    <s v="CMR004006"/>
    <s v="Mayo-Tsanaga"/>
    <s v="CMR004006003"/>
    <s v="Hina"/>
  </r>
  <r>
    <s v="Extrême-Nord"/>
    <s v="CMR004"/>
    <x v="1"/>
    <s v="CMR004006"/>
    <x v="28"/>
    <s v="CMR004006003"/>
    <s v="HIN-0001"/>
    <s v="BAMGUEL BORORO"/>
    <m/>
    <x v="2"/>
    <s v="Avant 2020"/>
    <n v="2"/>
    <n v="12"/>
    <x v="0"/>
    <m/>
    <s v="Autre pays"/>
    <s v="NGA"/>
    <s v="Nigéria"/>
    <m/>
    <m/>
    <m/>
    <m/>
    <m/>
    <m/>
  </r>
  <r>
    <s v="Extrême-Nord"/>
    <s v="CMR004"/>
    <x v="1"/>
    <s v="CMR004006"/>
    <x v="28"/>
    <s v="CMR004006003"/>
    <s v="HIN-0007"/>
    <s v="GAMDOUGOUM"/>
    <m/>
    <x v="2"/>
    <s v="En 2021"/>
    <n v="1"/>
    <n v="7"/>
    <x v="0"/>
    <m/>
    <s v="Autre pays"/>
    <s v="NGA"/>
    <s v="Nigéria"/>
    <m/>
    <m/>
    <m/>
    <m/>
    <m/>
    <m/>
  </r>
  <r>
    <s v="Extrême-Nord"/>
    <s v="CMR004"/>
    <x v="1"/>
    <s v="CMR004006"/>
    <x v="28"/>
    <s v="CMR004006003"/>
    <s v="HIN-0007"/>
    <s v="GAMDOUGOUM"/>
    <m/>
    <x v="2"/>
    <s v="Avant 2020"/>
    <n v="1"/>
    <n v="5"/>
    <x v="0"/>
    <m/>
    <s v="Autre pays"/>
    <s v="NGA"/>
    <s v="Nigéria"/>
    <m/>
    <m/>
    <m/>
    <m/>
    <m/>
    <m/>
  </r>
  <r>
    <s v="Extrême-Nord"/>
    <s v="CMR004"/>
    <x v="1"/>
    <s v="CMR004006"/>
    <x v="28"/>
    <s v="CMR004006003"/>
    <s v="HIN-0007"/>
    <s v="GAMDOUGOUM"/>
    <m/>
    <x v="2"/>
    <s v="Septembre 2022 – Février 2023"/>
    <n v="0"/>
    <n v="2"/>
    <x v="2"/>
    <s v="Naissance "/>
    <s v="Autre pays"/>
    <s v="NGA"/>
    <s v="Nigéria"/>
    <m/>
    <m/>
    <m/>
    <m/>
    <m/>
    <m/>
  </r>
  <r>
    <s v="Extrême-Nord"/>
    <s v="CMR004"/>
    <x v="1"/>
    <s v="CMR004006"/>
    <x v="28"/>
    <s v="CMR004006003"/>
    <s v="HIN-0005"/>
    <s v="MADINA"/>
    <m/>
    <x v="2"/>
    <s v="Avant 2020"/>
    <n v="3"/>
    <n v="32"/>
    <x v="0"/>
    <m/>
    <s v="Autre pays"/>
    <s v="NGA"/>
    <s v="Nigéria"/>
    <m/>
    <m/>
    <m/>
    <m/>
    <m/>
    <m/>
  </r>
  <r>
    <s v="Extrême-Nord"/>
    <s v="CMR004"/>
    <x v="1"/>
    <s v="CMR004006"/>
    <x v="28"/>
    <s v="CMR004006003"/>
    <s v="HIN-0005"/>
    <s v="MADINA"/>
    <m/>
    <x v="2"/>
    <s v="Septembre 2022 – Février 2023"/>
    <n v="0"/>
    <n v="2"/>
    <x v="0"/>
    <m/>
    <s v="Autre pays"/>
    <s v="NGA"/>
    <s v="Nigéria"/>
    <m/>
    <m/>
    <m/>
    <m/>
    <m/>
    <m/>
  </r>
  <r>
    <s v="Extrême-Nord"/>
    <s v="CMR004"/>
    <x v="2"/>
    <s v="CMR004002"/>
    <x v="8"/>
    <s v="CMR004002009"/>
    <s v="MAK-0023"/>
    <s v="CHALAMTINI"/>
    <m/>
    <x v="2"/>
    <s v="Janvier - Aout 2022"/>
    <n v="35"/>
    <n v="220"/>
    <x v="0"/>
    <m/>
    <s v="Même arrondissement"/>
    <s v="CMR"/>
    <s v="Cameroun"/>
    <s v="CMR004"/>
    <s v="Extrême-Nord"/>
    <s v="CMR004002"/>
    <s v="Logone-Et-Chari"/>
    <s v="CMR004002009"/>
    <s v="Makary"/>
  </r>
  <r>
    <s v="Extrême-Nord"/>
    <s v="CMR004"/>
    <x v="2"/>
    <s v="CMR004002"/>
    <x v="10"/>
    <s v="CMR004002003"/>
    <s v="BLA-0011"/>
    <s v="NDARABAYA"/>
    <m/>
    <x v="2"/>
    <s v="Septembre 2022 – Février 2023"/>
    <n v="7"/>
    <n v="27"/>
    <x v="0"/>
    <m/>
    <s v="Même département, autre arrondissement"/>
    <s v="CMR"/>
    <s v="Cameroun"/>
    <s v="CMR004"/>
    <s v="Extrême-Nord"/>
    <s v="CMR004002"/>
    <s v="Logone-Et-Chari"/>
    <s v="CMR004002010"/>
    <s v="Hile-Alifa"/>
  </r>
  <r>
    <s v="Extrême-Nord"/>
    <s v="CMR004"/>
    <x v="2"/>
    <s v="CMR004002"/>
    <x v="8"/>
    <s v="CMR004002009"/>
    <s v="MAK-0002"/>
    <s v="ABOUYAKOUBA"/>
    <m/>
    <x v="2"/>
    <s v="Janvier - Aout 2022"/>
    <n v="4"/>
    <n v="28"/>
    <x v="0"/>
    <m/>
    <s v="Même département, autre arrondissement"/>
    <s v="CMR"/>
    <s v="Cameroun"/>
    <s v="CMR004"/>
    <s v="Extrême-Nord"/>
    <s v="CMR004002"/>
    <s v="Logone-Et-Chari"/>
    <s v="CMR004002008"/>
    <s v="Fotokol"/>
  </r>
  <r>
    <s v="Extrême-Nord"/>
    <s v="CMR004"/>
    <x v="1"/>
    <s v="CMR004006"/>
    <x v="16"/>
    <s v="CMR004006004"/>
    <s v="KOZ-0016"/>
    <s v="KECHKEME"/>
    <m/>
    <x v="2"/>
    <s v="En 2020"/>
    <n v="1"/>
    <n v="8"/>
    <x v="0"/>
    <m/>
    <s v="Même département, autre arrondissement"/>
    <s v="CMR"/>
    <s v="Cameroun"/>
    <s v="CMR004"/>
    <s v="Extrême-Nord"/>
    <s v="CMR004006"/>
    <s v="Mayo-Tsanaga"/>
    <s v="CMR004006005"/>
    <s v="Mayo-Moskota"/>
  </r>
  <r>
    <s v="Extrême-Nord"/>
    <s v="CMR004"/>
    <x v="1"/>
    <s v="CMR004006"/>
    <x v="16"/>
    <s v="CMR004006004"/>
    <s v="KOZ-0016"/>
    <s v="KECHKEME"/>
    <m/>
    <x v="2"/>
    <s v="En 2021"/>
    <n v="6"/>
    <n v="12"/>
    <x v="0"/>
    <m/>
    <s v="Même arrondissement"/>
    <s v="CMR"/>
    <s v="Cameroun"/>
    <s v="CMR004"/>
    <s v="Extrême-Nord"/>
    <s v="CMR004006"/>
    <s v="Mayo-Tsanaga"/>
    <s v="CMR004006004"/>
    <s v="Koza"/>
  </r>
  <r>
    <s v="Extrême-Nord"/>
    <s v="CMR004"/>
    <x v="1"/>
    <s v="CMR004006"/>
    <x v="16"/>
    <s v="CMR004006004"/>
    <s v="KOZ-0016"/>
    <s v="KECHKEME"/>
    <m/>
    <x v="2"/>
    <s v="Janvier - Aout 2022"/>
    <n v="2"/>
    <n v="4"/>
    <x v="0"/>
    <m/>
    <s v="Même arrondissement"/>
    <s v="CMR"/>
    <s v="Cameroun"/>
    <s v="CMR004"/>
    <s v="Extrême-Nord"/>
    <s v="CMR004006"/>
    <s v="Mayo-Tsanaga"/>
    <s v="CMR004006004"/>
    <s v="Koza"/>
  </r>
  <r>
    <s v="Extrême-Nord"/>
    <s v="CMR004"/>
    <x v="1"/>
    <s v="CMR004006"/>
    <x v="16"/>
    <s v="CMR004006004"/>
    <s v="KOZ-0014"/>
    <s v="HAMDALA"/>
    <m/>
    <x v="2"/>
    <s v="En 2020"/>
    <n v="16"/>
    <n v="96"/>
    <x v="0"/>
    <m/>
    <s v="Même département, autre arrondissement"/>
    <s v="CMR"/>
    <s v="Cameroun"/>
    <s v="CMR004"/>
    <s v="Extrême-Nord"/>
    <s v="CMR004006"/>
    <s v="Mayo-Tsanaga"/>
    <s v="CMR004006005"/>
    <s v="Mayo-Moskota"/>
  </r>
  <r>
    <s v="Extrême-Nord"/>
    <s v="CMR004"/>
    <x v="1"/>
    <s v="CMR004006"/>
    <x v="16"/>
    <s v="CMR004006004"/>
    <s v="KOZ-0014"/>
    <s v="HAMDALA"/>
    <m/>
    <x v="2"/>
    <s v="En 2021"/>
    <n v="12"/>
    <n v="72"/>
    <x v="0"/>
    <m/>
    <s v="Même arrondissement"/>
    <s v="CMR"/>
    <s v="Cameroun"/>
    <s v="CMR004"/>
    <s v="Extrême-Nord"/>
    <s v="CMR004006"/>
    <s v="Mayo-Tsanaga"/>
    <s v="CMR004006004"/>
    <s v="Koza"/>
  </r>
  <r>
    <s v="Extrême-Nord"/>
    <s v="CMR004"/>
    <x v="1"/>
    <s v="CMR004006"/>
    <x v="16"/>
    <s v="CMR004006004"/>
    <s v="KOZ-0014"/>
    <s v="HAMDALA"/>
    <m/>
    <x v="2"/>
    <s v="Janvier - Aout 2022"/>
    <n v="95"/>
    <n v="259"/>
    <x v="0"/>
    <m/>
    <s v="Même arrondissement"/>
    <s v="CMR"/>
    <s v="Cameroun"/>
    <s v="CMR004"/>
    <s v="Extrême-Nord"/>
    <s v="CMR004006"/>
    <s v="Mayo-Tsanaga"/>
    <s v="CMR004006004"/>
    <s v="Koza"/>
  </r>
  <r>
    <s v="Extrême-Nord"/>
    <s v="CMR004"/>
    <x v="1"/>
    <s v="CMR004006"/>
    <x v="16"/>
    <s v="CMR004006004"/>
    <s v="KOZ-0014"/>
    <s v="HAMDALA"/>
    <m/>
    <x v="2"/>
    <s v="Septembre 2022 – Février 2023"/>
    <n v="5"/>
    <n v="31"/>
    <x v="0"/>
    <m/>
    <s v="Même arrondissement"/>
    <s v="CMR"/>
    <s v="Cameroun"/>
    <s v="CMR004"/>
    <s v="Extrême-Nord"/>
    <s v="CMR004006"/>
    <s v="Mayo-Tsanaga"/>
    <s v="CMR004006004"/>
    <s v="Koza"/>
  </r>
  <r>
    <s v="Extrême-Nord"/>
    <s v="CMR004"/>
    <x v="1"/>
    <s v="CMR004006"/>
    <x v="16"/>
    <s v="CMR004006004"/>
    <s v="KOZ-0014"/>
    <s v="HAMDALA"/>
    <m/>
    <x v="2"/>
    <s v="Avant 2020"/>
    <n v="36"/>
    <n v="270"/>
    <x v="0"/>
    <m/>
    <s v="Même arrondissement"/>
    <s v="CMR"/>
    <s v="Cameroun"/>
    <s v="CMR004"/>
    <s v="Extrême-Nord"/>
    <s v="CMR004006"/>
    <s v="Mayo-Tsanaga"/>
    <s v="CMR004006004"/>
    <s v="Koza"/>
  </r>
  <r>
    <s v="Extrême-Nord"/>
    <s v="CMR004"/>
    <x v="1"/>
    <s v="CMR004006"/>
    <x v="16"/>
    <s v="CMR004006004"/>
    <s v="KOZ-0011"/>
    <s v="GOUSDA WAYAM"/>
    <m/>
    <x v="2"/>
    <s v="Avant 2020"/>
    <n v="26"/>
    <n v="128"/>
    <x v="0"/>
    <m/>
    <s v="Même département, autre arrondissement"/>
    <s v="CMR"/>
    <s v="Cameroun"/>
    <s v="CMR004"/>
    <s v="Extrême-Nord"/>
    <s v="CMR004006"/>
    <s v="Mayo-Tsanaga"/>
    <s v="CMR004006005"/>
    <s v="Mayo-Moskota"/>
  </r>
  <r>
    <s v="Extrême-Nord"/>
    <s v="CMR004"/>
    <x v="1"/>
    <s v="CMR004006"/>
    <x v="16"/>
    <s v="CMR004006004"/>
    <s v="KOZ-0011"/>
    <s v="GOUSDA WAYAM"/>
    <m/>
    <x v="2"/>
    <s v="Septembre 2022 – Février 2023"/>
    <n v="30"/>
    <n v="153"/>
    <x v="0"/>
    <m/>
    <s v="Même arrondissement"/>
    <s v="CMR"/>
    <s v="Cameroun"/>
    <s v="CMR004"/>
    <s v="Extrême-Nord"/>
    <s v="CMR004006"/>
    <s v="Mayo-Tsanaga"/>
    <s v="CMR004006004"/>
    <s v="Koza"/>
  </r>
  <r>
    <s v="Extrême-Nord"/>
    <s v="CMR004"/>
    <x v="1"/>
    <s v="CMR004006"/>
    <x v="16"/>
    <s v="CMR004006004"/>
    <s v="KOZ-0011"/>
    <s v="GOUSDA WAYAM"/>
    <m/>
    <x v="2"/>
    <s v="En 2021"/>
    <n v="28"/>
    <n v="176"/>
    <x v="0"/>
    <m/>
    <s v="Même arrondissement"/>
    <s v="CMR"/>
    <s v="Cameroun"/>
    <s v="CMR004"/>
    <s v="Extrême-Nord"/>
    <s v="CMR004006"/>
    <s v="Mayo-Tsanaga"/>
    <s v="CMR004006004"/>
    <s v="Koza"/>
  </r>
  <r>
    <s v="Extrême-Nord"/>
    <s v="CMR004"/>
    <x v="1"/>
    <s v="CMR004006"/>
    <x v="16"/>
    <s v="CMR004006004"/>
    <s v="KOZ-0003"/>
    <s v="DJINGLIYA MONTAGNE"/>
    <m/>
    <x v="2"/>
    <s v="Janvier - Aout 2022"/>
    <n v="11"/>
    <n v="87"/>
    <x v="0"/>
    <m/>
    <s v="Même arrondissement"/>
    <s v="CMR"/>
    <s v="Cameroun"/>
    <s v="CMR004"/>
    <s v="Extrême-Nord"/>
    <s v="CMR004006"/>
    <s v="Mayo-Tsanaga"/>
    <s v="CMR004006004"/>
    <s v="Koza"/>
  </r>
  <r>
    <s v="Extrême-Nord"/>
    <s v="CMR004"/>
    <x v="3"/>
    <s v="CMR004003"/>
    <x v="11"/>
    <s v="CMR004003002"/>
    <s v="MAG-0010"/>
    <s v="GAYA"/>
    <m/>
    <x v="2"/>
    <s v="En 2020"/>
    <n v="29"/>
    <n v="260"/>
    <x v="3"/>
    <m/>
    <s v="Même arrondissement"/>
    <s v="CMR"/>
    <s v="Cameroun"/>
    <s v="CMR004"/>
    <s v="Extrême-Nord"/>
    <s v="CMR004003"/>
    <s v="Mayo-Danay"/>
    <s v="CMR004003002"/>
    <s v="Maga"/>
  </r>
  <r>
    <s v="Extrême-Nord"/>
    <s v="CMR004"/>
    <x v="3"/>
    <s v="CMR004003"/>
    <x v="11"/>
    <s v="CMR004003002"/>
    <s v="MAG-0010"/>
    <s v="GAYA"/>
    <m/>
    <x v="2"/>
    <s v="En 2021"/>
    <n v="0"/>
    <n v="17"/>
    <x v="3"/>
    <m/>
    <s v="Même arrondissement"/>
    <s v="CMR"/>
    <s v="Cameroun"/>
    <s v="CMR004"/>
    <s v="Extrême-Nord"/>
    <s v="CMR004003"/>
    <s v="Mayo-Danay"/>
    <s v="CMR004003002"/>
    <s v="Maga"/>
  </r>
  <r>
    <s v="Extrême-Nord"/>
    <s v="CMR004"/>
    <x v="3"/>
    <s v="CMR004003"/>
    <x v="11"/>
    <s v="CMR004003002"/>
    <s v="MAG-0010"/>
    <s v="GAYA"/>
    <m/>
    <x v="2"/>
    <s v="Janvier - Aout 2022"/>
    <n v="0"/>
    <n v="11"/>
    <x v="3"/>
    <m/>
    <s v="Même arrondissement"/>
    <s v="CMR"/>
    <s v="Cameroun"/>
    <s v="CMR004"/>
    <s v="Extrême-Nord"/>
    <s v="CMR004003"/>
    <s v="Mayo-Danay"/>
    <s v="CMR004003002"/>
    <s v="Maga"/>
  </r>
  <r>
    <s v="Extrême-Nord"/>
    <s v="CMR004"/>
    <x v="3"/>
    <s v="CMR004003"/>
    <x v="11"/>
    <s v="CMR004003002"/>
    <s v="MAG-0010"/>
    <s v="GAYA"/>
    <m/>
    <x v="2"/>
    <s v="Septembre 2022 – Février 2023"/>
    <n v="0"/>
    <n v="7"/>
    <x v="3"/>
    <m/>
    <s v="Même arrondissement"/>
    <s v="CMR"/>
    <s v="Cameroun"/>
    <s v="CMR004"/>
    <s v="Extrême-Nord"/>
    <s v="CMR004003"/>
    <s v="Mayo-Danay"/>
    <s v="CMR004003002"/>
    <s v="Maga"/>
  </r>
  <r>
    <s v="Extrême-Nord"/>
    <s v="CMR004"/>
    <x v="2"/>
    <s v="CMR004002"/>
    <x v="8"/>
    <s v="CMR004002009"/>
    <s v="MAK-0016"/>
    <s v="BIAMO"/>
    <m/>
    <x v="2"/>
    <s v="En 2020"/>
    <n v="6"/>
    <n v="30"/>
    <x v="0"/>
    <m/>
    <s v="Même arrondissement"/>
    <s v="CMR"/>
    <s v="Cameroun"/>
    <s v="CMR004"/>
    <s v="Extrême-Nord"/>
    <s v="CMR004002"/>
    <s v="Logone-Et-Chari"/>
    <s v="CMR004002009"/>
    <s v="Makary"/>
  </r>
  <r>
    <s v="Extrême-Nord"/>
    <s v="CMR004"/>
    <x v="4"/>
    <s v="CMR004005"/>
    <x v="17"/>
    <s v="CMR004005002"/>
    <s v="MOR-0058"/>
    <s v="AISSA-HARDE"/>
    <m/>
    <x v="2"/>
    <s v="Avant 2020"/>
    <n v="94"/>
    <n v="570"/>
    <x v="0"/>
    <m/>
    <s v="Même arrondissement"/>
    <s v="CMR"/>
    <s v="Cameroun"/>
    <s v="CMR004"/>
    <s v="Extrême-Nord"/>
    <s v="CMR004005"/>
    <s v="Mayo-Sava"/>
    <s v="CMR004005002"/>
    <s v="Mora"/>
  </r>
  <r>
    <s v="Extrême-Nord"/>
    <s v="CMR004"/>
    <x v="4"/>
    <s v="CMR004005"/>
    <x v="17"/>
    <s v="CMR004005002"/>
    <s v="MOR-0058"/>
    <s v="AISSA-HARDE"/>
    <m/>
    <x v="2"/>
    <s v="En 2021"/>
    <n v="10"/>
    <n v="40"/>
    <x v="0"/>
    <m/>
    <s v="Même arrondissement"/>
    <s v="CMR"/>
    <s v="Cameroun"/>
    <s v="CMR004"/>
    <s v="Extrême-Nord"/>
    <s v="CMR004005"/>
    <s v="Mayo-Sava"/>
    <s v="CMR004005002"/>
    <s v="Mora"/>
  </r>
  <r>
    <s v="Extrême-Nord"/>
    <s v="CMR004"/>
    <x v="4"/>
    <s v="CMR004005"/>
    <x v="17"/>
    <s v="CMR004005002"/>
    <s v="MOR-0058"/>
    <s v="AISSA-HARDE"/>
    <m/>
    <x v="2"/>
    <s v="Janvier - Aout 2022"/>
    <n v="0"/>
    <n v="28"/>
    <x v="0"/>
    <m/>
    <s v="Même arrondissement"/>
    <s v="CMR"/>
    <s v="Cameroun"/>
    <s v="CMR004"/>
    <s v="Extrême-Nord"/>
    <s v="CMR004005"/>
    <s v="Mayo-Sava"/>
    <s v="CMR004005002"/>
    <s v="Mora"/>
  </r>
  <r>
    <s v="Extrême-Nord"/>
    <s v="CMR004"/>
    <x v="4"/>
    <s v="CMR004005"/>
    <x v="17"/>
    <s v="CMR004005002"/>
    <s v="MOR-0058"/>
    <s v="AISSA-HARDE"/>
    <m/>
    <x v="2"/>
    <s v="Septembre 2022 – Février 2023"/>
    <n v="0"/>
    <n v="21"/>
    <x v="0"/>
    <m/>
    <s v="Même arrondissement"/>
    <s v="CMR"/>
    <s v="Cameroun"/>
    <s v="CMR004"/>
    <s v="Extrême-Nord"/>
    <s v="CMR004005"/>
    <s v="Mayo-Sava"/>
    <s v="CMR004005002"/>
    <s v="Mora"/>
  </r>
  <r>
    <s v="Extrême-Nord"/>
    <s v="CMR004"/>
    <x v="4"/>
    <s v="CMR004005"/>
    <x v="17"/>
    <s v="CMR004005002"/>
    <s v="MOR-0058"/>
    <s v="AISSA-HARDE"/>
    <m/>
    <x v="2"/>
    <s v="En 2020"/>
    <n v="0"/>
    <n v="18"/>
    <x v="0"/>
    <m/>
    <s v="Même arrondissement"/>
    <s v="CMR"/>
    <s v="Cameroun"/>
    <s v="CMR004"/>
    <s v="Extrême-Nord"/>
    <s v="CMR004005"/>
    <s v="Mayo-Sava"/>
    <s v="CMR004005002"/>
    <s v="Mora"/>
  </r>
  <r>
    <s v="Extrême-Nord"/>
    <s v="CMR004"/>
    <x v="2"/>
    <s v="CMR004002"/>
    <x v="26"/>
    <s v="CMR004002006"/>
    <s v="KOU-0037"/>
    <s v="KAWADJI 2"/>
    <m/>
    <x v="2"/>
    <s v="Septembre 2022 – Février 2023"/>
    <n v="60"/>
    <n v="500"/>
    <x v="1"/>
    <m/>
    <s v="Autre pays"/>
    <s v="TCD"/>
    <s v="Tchad"/>
    <m/>
    <m/>
    <m/>
    <m/>
    <m/>
    <m/>
  </r>
  <r>
    <s v="Extrême-Nord"/>
    <s v="CMR004"/>
    <x v="1"/>
    <s v="CMR004006"/>
    <x v="16"/>
    <s v="CMR004006004"/>
    <s v="KOZ-0033"/>
    <s v="GABOUA MARCHE"/>
    <m/>
    <x v="2"/>
    <s v="Septembre 2022 – Février 2023"/>
    <n v="6"/>
    <n v="40"/>
    <x v="0"/>
    <m/>
    <s v="Même département, autre arrondissement"/>
    <s v="CMR"/>
    <s v="Cameroun"/>
    <s v="CMR004"/>
    <s v="Extrême-Nord"/>
    <s v="CMR004006"/>
    <s v="Mayo-Tsanaga"/>
    <s v="CMR004006005"/>
    <s v="Mayo-Moskota"/>
  </r>
  <r>
    <s v="Extrême-Nord"/>
    <s v="CMR004"/>
    <x v="1"/>
    <s v="CMR004006"/>
    <x v="39"/>
    <s v="CMR004006001"/>
    <s v="MOG-0007"/>
    <s v="OUDAVA"/>
    <m/>
    <x v="2"/>
    <s v="Avant 2020"/>
    <n v="16"/>
    <n v="70"/>
    <x v="0"/>
    <m/>
    <s v="Autre pays"/>
    <s v="NGA"/>
    <s v="Nigéria"/>
    <m/>
    <m/>
    <m/>
    <m/>
    <m/>
    <m/>
  </r>
  <r>
    <s v="Extrême-Nord"/>
    <s v="CMR004"/>
    <x v="1"/>
    <s v="CMR004006"/>
    <x v="39"/>
    <s v="CMR004006001"/>
    <s v="MOG-0007"/>
    <s v="OUDAVA"/>
    <m/>
    <x v="2"/>
    <s v="En 2020"/>
    <n v="10"/>
    <n v="30"/>
    <x v="0"/>
    <m/>
    <s v="Autre pays"/>
    <s v="NGA"/>
    <s v="Nigéria"/>
    <m/>
    <m/>
    <m/>
    <m/>
    <m/>
    <m/>
  </r>
  <r>
    <s v="Extrême-Nord"/>
    <s v="CMR004"/>
    <x v="1"/>
    <s v="CMR004006"/>
    <x v="39"/>
    <s v="CMR004006001"/>
    <s v="MOG-0007"/>
    <s v="OUDAVA"/>
    <m/>
    <x v="2"/>
    <s v="En 2021"/>
    <n v="0"/>
    <n v="3"/>
    <x v="0"/>
    <m/>
    <s v="Autre pays"/>
    <s v="NGA"/>
    <s v="Nigéria"/>
    <m/>
    <m/>
    <m/>
    <m/>
    <m/>
    <m/>
  </r>
  <r>
    <s v="Extrême-Nord"/>
    <s v="CMR004"/>
    <x v="1"/>
    <s v="CMR004006"/>
    <x v="39"/>
    <s v="CMR004006001"/>
    <s v="MOG-0007"/>
    <s v="OUDAVA"/>
    <m/>
    <x v="2"/>
    <s v="Janvier - Aout 2022"/>
    <n v="0"/>
    <n v="1"/>
    <x v="0"/>
    <m/>
    <s v="Autre pays"/>
    <s v="NGA"/>
    <s v="Nigéria"/>
    <m/>
    <m/>
    <m/>
    <m/>
    <m/>
    <m/>
  </r>
  <r>
    <s v="Extrême-Nord"/>
    <s v="CMR004"/>
    <x v="1"/>
    <s v="CMR004006"/>
    <x v="39"/>
    <s v="CMR004006001"/>
    <s v="MOG-0007"/>
    <s v="OUDAVA"/>
    <m/>
    <x v="2"/>
    <s v="Septembre 2022 – Février 2023"/>
    <n v="2"/>
    <n v="12"/>
    <x v="0"/>
    <m/>
    <s v="Autre pays"/>
    <s v="NGA"/>
    <s v="Nigéria"/>
    <m/>
    <m/>
    <m/>
    <m/>
    <m/>
    <m/>
  </r>
  <r>
    <s v="Extrême-Nord"/>
    <s v="CMR004"/>
    <x v="1"/>
    <s v="CMR004006"/>
    <x v="39"/>
    <s v="CMR004006001"/>
    <s v="MOG-0003"/>
    <s v="KILA"/>
    <m/>
    <x v="2"/>
    <s v="Avant 2020"/>
    <n v="6"/>
    <n v="34"/>
    <x v="0"/>
    <m/>
    <s v="Autre pays"/>
    <s v="NGA"/>
    <s v="Nigéria"/>
    <m/>
    <m/>
    <m/>
    <m/>
    <m/>
    <m/>
  </r>
  <r>
    <s v="Extrême-Nord"/>
    <s v="CMR004"/>
    <x v="1"/>
    <s v="CMR004006"/>
    <x v="39"/>
    <s v="CMR004006001"/>
    <s v="MOG-0003"/>
    <s v="KILA"/>
    <m/>
    <x v="2"/>
    <s v="En 2020"/>
    <n v="0"/>
    <n v="1"/>
    <x v="0"/>
    <m/>
    <s v="Autre pays"/>
    <s v="NGA"/>
    <s v="Nigéria"/>
    <m/>
    <m/>
    <m/>
    <m/>
    <m/>
    <m/>
  </r>
  <r>
    <s v="Extrême-Nord"/>
    <s v="CMR004"/>
    <x v="1"/>
    <s v="CMR004006"/>
    <x v="39"/>
    <s v="CMR004006001"/>
    <s v="MOG-0003"/>
    <s v="KILA"/>
    <m/>
    <x v="2"/>
    <s v="En 2021"/>
    <n v="3"/>
    <n v="8"/>
    <x v="0"/>
    <m/>
    <s v="Autre pays"/>
    <s v="NGA"/>
    <s v="Nigéria"/>
    <m/>
    <m/>
    <m/>
    <m/>
    <m/>
    <m/>
  </r>
  <r>
    <s v="Extrême-Nord"/>
    <s v="CMR004"/>
    <x v="1"/>
    <s v="CMR004006"/>
    <x v="39"/>
    <s v="CMR004006001"/>
    <s v="MOG-0003"/>
    <s v="KILA"/>
    <m/>
    <x v="2"/>
    <s v="Janvier - Aout 2022"/>
    <n v="3"/>
    <n v="13"/>
    <x v="0"/>
    <m/>
    <s v="Autre pays"/>
    <s v="NGA"/>
    <s v="Nigéria"/>
    <m/>
    <m/>
    <m/>
    <m/>
    <m/>
    <m/>
  </r>
  <r>
    <s v="Extrême-Nord"/>
    <s v="CMR004"/>
    <x v="2"/>
    <s v="CMR004002"/>
    <x v="15"/>
    <s v="CMR004002004"/>
    <s v="LBI-0074"/>
    <s v="SOUHARA"/>
    <m/>
    <x v="2"/>
    <s v="Janvier - Aout 2022"/>
    <n v="5"/>
    <n v="30"/>
    <x v="1"/>
    <m/>
    <s v="Autre pays"/>
    <s v="TCD"/>
    <s v="Tchad"/>
    <m/>
    <m/>
    <m/>
    <m/>
    <m/>
    <m/>
  </r>
  <r>
    <s v="Extrême-Nord"/>
    <s v="CMR004"/>
    <x v="2"/>
    <s v="CMR004002"/>
    <x v="15"/>
    <s v="CMR004002004"/>
    <s v="LBI-0104"/>
    <s v="OULI MAGNAKO"/>
    <m/>
    <x v="2"/>
    <s v="Janvier - Aout 2022"/>
    <n v="85"/>
    <n v="520"/>
    <x v="1"/>
    <m/>
    <s v="Autre pays"/>
    <s v="TCD"/>
    <s v="Tchad"/>
    <m/>
    <m/>
    <m/>
    <m/>
    <m/>
    <m/>
  </r>
  <r>
    <s v="Extrême-Nord"/>
    <s v="CMR004"/>
    <x v="2"/>
    <s v="CMR004002"/>
    <x v="15"/>
    <s v="CMR004002004"/>
    <s v="LBI-0104"/>
    <s v="OULI MAGNAKO"/>
    <m/>
    <x v="2"/>
    <s v="Septembre 2022 – Février 2023"/>
    <n v="14"/>
    <n v="100"/>
    <x v="1"/>
    <m/>
    <s v="Autre pays"/>
    <s v="TCD"/>
    <s v="Tchad"/>
    <m/>
    <m/>
    <m/>
    <m/>
    <m/>
    <m/>
  </r>
  <r>
    <s v="Extrême-Nord"/>
    <s v="CMR004"/>
    <x v="2"/>
    <s v="CMR004002"/>
    <x v="8"/>
    <s v="CMR004002009"/>
    <s v="MAK-0086"/>
    <s v="NGOUMA"/>
    <m/>
    <x v="2"/>
    <s v="Avant 2020"/>
    <n v="18"/>
    <n v="96"/>
    <x v="0"/>
    <m/>
    <s v="Même département, autre arrondissement"/>
    <s v="CMR"/>
    <s v="Cameroun"/>
    <s v="CMR004"/>
    <s v="Extrême-Nord"/>
    <s v="CMR004002"/>
    <s v="Logone-Et-Chari"/>
    <s v="CMR004002008"/>
    <s v="Fotokol"/>
  </r>
  <r>
    <s v="Extrême-Nord"/>
    <s v="CMR004"/>
    <x v="4"/>
    <s v="CMR004005"/>
    <x v="17"/>
    <s v="CMR004005002"/>
    <s v="MOR-0011"/>
    <s v="MAHOULA"/>
    <m/>
    <x v="2"/>
    <s v="En 2020"/>
    <n v="5"/>
    <n v="31"/>
    <x v="0"/>
    <m/>
    <s v="Même arrondissement"/>
    <s v="CMR"/>
    <s v="Cameroun"/>
    <s v="CMR004"/>
    <s v="Extrême-Nord"/>
    <s v="CMR004005"/>
    <s v="Mayo-Sava"/>
    <s v="CMR004005002"/>
    <s v="Mora"/>
  </r>
  <r>
    <s v="Extrême-Nord"/>
    <s v="CMR004"/>
    <x v="4"/>
    <s v="CMR004005"/>
    <x v="17"/>
    <s v="CMR004005002"/>
    <s v="MOR-0011"/>
    <s v="MAHOULA"/>
    <m/>
    <x v="2"/>
    <s v="En 2021"/>
    <n v="0"/>
    <n v="9"/>
    <x v="0"/>
    <m/>
    <s v="Même arrondissement"/>
    <s v="CMR"/>
    <s v="Cameroun"/>
    <s v="CMR004"/>
    <s v="Extrême-Nord"/>
    <s v="CMR004005"/>
    <s v="Mayo-Sava"/>
    <s v="CMR004005002"/>
    <s v="Mora"/>
  </r>
  <r>
    <s v="Extrême-Nord"/>
    <s v="CMR004"/>
    <x v="4"/>
    <s v="CMR004005"/>
    <x v="17"/>
    <s v="CMR004005002"/>
    <s v="MOR-0011"/>
    <s v="MAHOULA"/>
    <m/>
    <x v="2"/>
    <s v="Janvier - Aout 2022"/>
    <n v="3"/>
    <n v="24"/>
    <x v="0"/>
    <m/>
    <s v="Même arrondissement"/>
    <s v="CMR"/>
    <s v="Cameroun"/>
    <s v="CMR004"/>
    <s v="Extrême-Nord"/>
    <s v="CMR004005"/>
    <s v="Mayo-Sava"/>
    <s v="CMR004005002"/>
    <s v="Mora"/>
  </r>
  <r>
    <s v="Extrême-Nord"/>
    <s v="CMR004"/>
    <x v="4"/>
    <s v="CMR004005"/>
    <x v="17"/>
    <s v="CMR004005002"/>
    <s v="MOR-0011"/>
    <s v="MAHOULA"/>
    <m/>
    <x v="2"/>
    <s v="Septembre 2022 – Février 2023"/>
    <n v="0"/>
    <n v="9"/>
    <x v="0"/>
    <m/>
    <s v="Même arrondissement"/>
    <s v="CMR"/>
    <s v="Cameroun"/>
    <s v="CMR004"/>
    <s v="Extrême-Nord"/>
    <s v="CMR004005"/>
    <s v="Mayo-Sava"/>
    <s v="CMR004005002"/>
    <s v="Mora"/>
  </r>
  <r>
    <s v="Extrême-Nord"/>
    <s v="CMR004"/>
    <x v="1"/>
    <s v="CMR004006"/>
    <x v="39"/>
    <s v="CMR004006001"/>
    <s v="MOG-0001"/>
    <s v="GOURIA"/>
    <m/>
    <x v="2"/>
    <s v="Avant 2020"/>
    <n v="2"/>
    <n v="8"/>
    <x v="0"/>
    <m/>
    <s v="Autre pays"/>
    <s v="NGA"/>
    <s v="Nigéria"/>
    <m/>
    <m/>
    <m/>
    <m/>
    <m/>
    <m/>
  </r>
  <r>
    <s v="Extrême-Nord"/>
    <s v="CMR004"/>
    <x v="1"/>
    <s v="CMR004006"/>
    <x v="39"/>
    <s v="CMR004006001"/>
    <s v="MOG-0001"/>
    <s v="GOURIA"/>
    <m/>
    <x v="2"/>
    <s v="En 2021"/>
    <n v="1"/>
    <n v="4"/>
    <x v="0"/>
    <m/>
    <s v="Autre pays"/>
    <s v="NGA"/>
    <s v="Nigéria"/>
    <m/>
    <m/>
    <m/>
    <m/>
    <m/>
    <m/>
  </r>
  <r>
    <s v="Extrême-Nord"/>
    <s v="CMR004"/>
    <x v="1"/>
    <s v="CMR004006"/>
    <x v="39"/>
    <s v="CMR004006001"/>
    <s v="MOG-0001"/>
    <s v="GOURIA"/>
    <m/>
    <x v="2"/>
    <s v="Janvier - Aout 2022"/>
    <n v="0"/>
    <n v="3"/>
    <x v="0"/>
    <m/>
    <s v="Autre pays"/>
    <s v="NGA"/>
    <s v="Nigéria"/>
    <m/>
    <m/>
    <m/>
    <m/>
    <m/>
    <m/>
  </r>
  <r>
    <s v="Extrême-Nord"/>
    <s v="CMR004"/>
    <x v="1"/>
    <s v="CMR004006"/>
    <x v="39"/>
    <s v="CMR004006001"/>
    <s v="MOG-0005"/>
    <s v="MOGODE"/>
    <m/>
    <x v="2"/>
    <s v="Avant 2020"/>
    <n v="45"/>
    <n v="273"/>
    <x v="0"/>
    <m/>
    <s v="Autre pays"/>
    <s v="NGA"/>
    <s v="Nigéria"/>
    <m/>
    <m/>
    <m/>
    <m/>
    <m/>
    <m/>
  </r>
  <r>
    <s v="Extrême-Nord"/>
    <s v="CMR004"/>
    <x v="1"/>
    <s v="CMR004006"/>
    <x v="39"/>
    <s v="CMR004006001"/>
    <s v="MOG-0005"/>
    <s v="MOGODE"/>
    <m/>
    <x v="2"/>
    <s v="En 2021"/>
    <n v="0"/>
    <n v="4"/>
    <x v="0"/>
    <m/>
    <s v="Autre pays"/>
    <s v="NGA"/>
    <s v="Nigéria"/>
    <m/>
    <m/>
    <m/>
    <m/>
    <m/>
    <m/>
  </r>
  <r>
    <s v="Extrême-Nord"/>
    <s v="CMR004"/>
    <x v="1"/>
    <s v="CMR004006"/>
    <x v="39"/>
    <s v="CMR004006001"/>
    <s v="MOG-0005"/>
    <s v="MOGODE"/>
    <m/>
    <x v="2"/>
    <s v="Janvier - Aout 2022"/>
    <n v="0"/>
    <n v="9"/>
    <x v="0"/>
    <m/>
    <s v="Autre pays"/>
    <s v="NGA"/>
    <s v="Nigéria"/>
    <m/>
    <m/>
    <m/>
    <m/>
    <m/>
    <m/>
  </r>
  <r>
    <s v="Extrême-Nord"/>
    <s v="CMR004"/>
    <x v="1"/>
    <s v="CMR004006"/>
    <x v="39"/>
    <s v="CMR004006001"/>
    <s v="MOG-0005"/>
    <s v="MOGODE"/>
    <m/>
    <x v="2"/>
    <s v="Septembre 2022 – Février 2023"/>
    <n v="2"/>
    <n v="8"/>
    <x v="0"/>
    <m/>
    <s v="Autre pays"/>
    <s v="NGA"/>
    <s v="Nigéria"/>
    <m/>
    <m/>
    <m/>
    <m/>
    <m/>
    <m/>
  </r>
  <r>
    <s v="Extrême-Nord"/>
    <s v="CMR004"/>
    <x v="1"/>
    <s v="CMR004006"/>
    <x v="39"/>
    <s v="CMR004006001"/>
    <s v="MOG-0008"/>
    <s v="RHUMSIKI"/>
    <m/>
    <x v="2"/>
    <s v="Avant 2020"/>
    <n v="17"/>
    <n v="87"/>
    <x v="0"/>
    <m/>
    <s v="Autre pays"/>
    <s v="NGA"/>
    <s v="Nigéria"/>
    <m/>
    <m/>
    <m/>
    <m/>
    <m/>
    <m/>
  </r>
  <r>
    <s v="Extrême-Nord"/>
    <s v="CMR004"/>
    <x v="1"/>
    <s v="CMR004006"/>
    <x v="39"/>
    <s v="CMR004006001"/>
    <s v="MOG-0008"/>
    <s v="RHUMSIKI"/>
    <m/>
    <x v="2"/>
    <s v="En 2020"/>
    <n v="1"/>
    <n v="3"/>
    <x v="0"/>
    <m/>
    <s v="Autre pays"/>
    <s v="NGA"/>
    <s v="Nigéria"/>
    <m/>
    <m/>
    <m/>
    <m/>
    <m/>
    <m/>
  </r>
  <r>
    <s v="Extrême-Nord"/>
    <s v="CMR004"/>
    <x v="1"/>
    <s v="CMR004006"/>
    <x v="39"/>
    <s v="CMR004006001"/>
    <s v="MOG-0008"/>
    <s v="RHUMSIKI"/>
    <m/>
    <x v="2"/>
    <s v="Janvier - Aout 2022"/>
    <n v="0"/>
    <n v="8"/>
    <x v="0"/>
    <m/>
    <s v="Autre pays"/>
    <s v="NGA"/>
    <s v="Nigéria"/>
    <m/>
    <m/>
    <m/>
    <m/>
    <m/>
    <m/>
  </r>
  <r>
    <s v="Extrême-Nord"/>
    <s v="CMR004"/>
    <x v="1"/>
    <s v="CMR004006"/>
    <x v="39"/>
    <s v="CMR004006001"/>
    <s v="MOG-0009"/>
    <s v="RHUMZU"/>
    <m/>
    <x v="2"/>
    <s v="Avant 2020"/>
    <n v="50"/>
    <n v="152"/>
    <x v="0"/>
    <m/>
    <s v="Autre pays"/>
    <s v="NGA"/>
    <s v="Nigéria"/>
    <m/>
    <m/>
    <m/>
    <m/>
    <m/>
    <m/>
  </r>
  <r>
    <s v="Extrême-Nord"/>
    <s v="CMR004"/>
    <x v="1"/>
    <s v="CMR004006"/>
    <x v="39"/>
    <s v="CMR004006001"/>
    <s v="MOG-0009"/>
    <s v="RHUMZU"/>
    <m/>
    <x v="2"/>
    <s v="En 2021"/>
    <n v="0"/>
    <n v="2"/>
    <x v="0"/>
    <m/>
    <s v="Autre pays"/>
    <s v="NGA"/>
    <s v="Nigéria"/>
    <m/>
    <m/>
    <m/>
    <m/>
    <m/>
    <m/>
  </r>
  <r>
    <s v="Extrême-Nord"/>
    <s v="CMR004"/>
    <x v="1"/>
    <s v="CMR004006"/>
    <x v="39"/>
    <s v="CMR004006001"/>
    <s v="MOG-0013"/>
    <s v="YELLE"/>
    <m/>
    <x v="2"/>
    <s v="Avant 2020"/>
    <n v="5"/>
    <n v="31"/>
    <x v="0"/>
    <m/>
    <s v="Autre pays"/>
    <s v="NGA"/>
    <s v="Nigéria"/>
    <m/>
    <m/>
    <m/>
    <m/>
    <m/>
    <m/>
  </r>
  <r>
    <s v="Extrême-Nord"/>
    <s v="CMR004"/>
    <x v="1"/>
    <s v="CMR004006"/>
    <x v="39"/>
    <s v="CMR004006001"/>
    <s v="MOG-0013"/>
    <s v="YELLE"/>
    <m/>
    <x v="2"/>
    <s v="En 2021"/>
    <n v="0"/>
    <n v="7"/>
    <x v="0"/>
    <m/>
    <s v="Autre pays"/>
    <s v="NGA"/>
    <s v="Nigéria"/>
    <m/>
    <m/>
    <m/>
    <m/>
    <m/>
    <m/>
  </r>
  <r>
    <s v="Extrême-Nord"/>
    <s v="CMR004"/>
    <x v="1"/>
    <s v="CMR004006"/>
    <x v="39"/>
    <s v="CMR004006001"/>
    <s v="MOG-0013"/>
    <s v="YELLE"/>
    <m/>
    <x v="2"/>
    <s v="Janvier - Aout 2022"/>
    <n v="0"/>
    <n v="2"/>
    <x v="0"/>
    <m/>
    <s v="Autre pays"/>
    <s v="NGA"/>
    <s v="Nigéria"/>
    <m/>
    <m/>
    <m/>
    <m/>
    <m/>
    <m/>
  </r>
  <r>
    <s v="Extrême-Nord"/>
    <s v="CMR004"/>
    <x v="1"/>
    <s v="CMR004006"/>
    <x v="39"/>
    <s v="CMR004006001"/>
    <s v="MOG-0013"/>
    <s v="YELLE"/>
    <m/>
    <x v="2"/>
    <s v="Septembre 2022 – Février 2023"/>
    <n v="0"/>
    <n v="2"/>
    <x v="0"/>
    <m/>
    <s v="Autre pays"/>
    <s v="NGA"/>
    <s v="Nigéria"/>
    <m/>
    <m/>
    <m/>
    <m/>
    <m/>
    <m/>
  </r>
  <r>
    <s v="Extrême-Nord"/>
    <s v="CMR004"/>
    <x v="1"/>
    <s v="CMR004006"/>
    <x v="39"/>
    <s v="CMR004006001"/>
    <s v="MOG-0010"/>
    <s v="SIR"/>
    <m/>
    <x v="2"/>
    <s v="Avant 2020"/>
    <n v="47"/>
    <n v="133"/>
    <x v="0"/>
    <m/>
    <s v="Autre pays"/>
    <s v="NGA"/>
    <s v="Nigéria"/>
    <m/>
    <m/>
    <m/>
    <m/>
    <m/>
    <m/>
  </r>
  <r>
    <s v="Extrême-Nord"/>
    <s v="CMR004"/>
    <x v="1"/>
    <s v="CMR004006"/>
    <x v="39"/>
    <s v="CMR004006001"/>
    <s v="MOG-0010"/>
    <s v="SIR"/>
    <m/>
    <x v="2"/>
    <s v="En 2020"/>
    <n v="0"/>
    <n v="3"/>
    <x v="0"/>
    <m/>
    <s v="Autre pays"/>
    <s v="NGA"/>
    <s v="Nigéria"/>
    <m/>
    <m/>
    <m/>
    <m/>
    <m/>
    <m/>
  </r>
  <r>
    <s v="Extrême-Nord"/>
    <s v="CMR004"/>
    <x v="1"/>
    <s v="CMR004006"/>
    <x v="39"/>
    <s v="CMR004006001"/>
    <s v="MOG-0010"/>
    <s v="SIR"/>
    <m/>
    <x v="2"/>
    <s v="En 2021"/>
    <n v="0"/>
    <n v="5"/>
    <x v="0"/>
    <m/>
    <s v="Autre pays"/>
    <s v="NGA"/>
    <s v="Nigéria"/>
    <m/>
    <m/>
    <m/>
    <m/>
    <m/>
    <m/>
  </r>
  <r>
    <s v="Extrême-Nord"/>
    <s v="CMR004"/>
    <x v="1"/>
    <s v="CMR004006"/>
    <x v="39"/>
    <s v="CMR004006001"/>
    <s v="MOG-0010"/>
    <s v="SIR"/>
    <m/>
    <x v="2"/>
    <s v="Janvier - Aout 2022"/>
    <n v="0"/>
    <n v="8"/>
    <x v="0"/>
    <m/>
    <s v="Autre pays"/>
    <s v="NGA"/>
    <s v="Nigéria"/>
    <m/>
    <m/>
    <m/>
    <m/>
    <m/>
    <m/>
  </r>
  <r>
    <s v="Extrême-Nord"/>
    <s v="CMR004"/>
    <x v="1"/>
    <s v="CMR004006"/>
    <x v="16"/>
    <s v="CMR004006004"/>
    <s v="KOZ-0041"/>
    <s v="GUIDEMBEK"/>
    <m/>
    <x v="2"/>
    <s v="Janvier - Aout 2022"/>
    <n v="10"/>
    <n v="47"/>
    <x v="0"/>
    <m/>
    <s v="Même département, autre arrondissement"/>
    <s v="CMR"/>
    <s v="Cameroun"/>
    <s v="CMR004"/>
    <s v="Extrême-Nord"/>
    <s v="CMR004006"/>
    <s v="Mayo-Tsanaga"/>
    <s v="CMR004006005"/>
    <s v="Mayo-Moskota"/>
  </r>
  <r>
    <s v="Extrême-Nord"/>
    <s v="CMR004"/>
    <x v="1"/>
    <s v="CMR004006"/>
    <x v="16"/>
    <s v="CMR004006004"/>
    <s v="KOZ-0043"/>
    <s v="GUID CHIGUE"/>
    <m/>
    <x v="2"/>
    <s v="Septembre 2022 – Février 2023"/>
    <n v="2"/>
    <n v="16"/>
    <x v="2"/>
    <s v="Manque de moyens de subsistance "/>
    <s v="Autre région"/>
    <s v="CMR"/>
    <s v="Cameroun"/>
    <s v="CMR006"/>
    <s v="Nord"/>
    <m/>
    <m/>
    <m/>
    <m/>
  </r>
  <r>
    <s v="Extrême-Nord"/>
    <s v="CMR004"/>
    <x v="2"/>
    <s v="CMR004002"/>
    <x v="12"/>
    <s v="CMR004002002"/>
    <s v="GOU-0052"/>
    <s v="HILEGUIME"/>
    <m/>
    <x v="2"/>
    <s v="En 2021"/>
    <n v="15"/>
    <n v="70"/>
    <x v="1"/>
    <m/>
    <s v="Même département, autre arrondissement"/>
    <s v="CMR"/>
    <s v="Cameroun"/>
    <s v="CMR004"/>
    <s v="Extrême-Nord"/>
    <s v="CMR004002"/>
    <s v="Logone-Et-Chari"/>
    <s v="CMR004002008"/>
    <s v="Fotokol"/>
  </r>
  <r>
    <s v="Extrême-Nord"/>
    <s v="CMR004"/>
    <x v="2"/>
    <s v="CMR004002"/>
    <x v="8"/>
    <s v="CMR004002009"/>
    <s v="MAK-0105"/>
    <s v="CHOU-KOTOKO"/>
    <m/>
    <x v="2"/>
    <s v="Janvier - Aout 2022"/>
    <n v="7"/>
    <n v="20"/>
    <x v="0"/>
    <m/>
    <s v="Même arrondissement"/>
    <s v="CMR"/>
    <s v="Cameroun"/>
    <s v="CMR004"/>
    <s v="Extrême-Nord"/>
    <s v="CMR004002"/>
    <s v="Logone-Et-Chari"/>
    <s v="CMR004002009"/>
    <s v="Makary"/>
  </r>
  <r>
    <s v="Extrême-Nord"/>
    <s v="CMR004"/>
    <x v="2"/>
    <s v="CMR004002"/>
    <x v="8"/>
    <s v="CMR004002009"/>
    <s v="MAK-0103"/>
    <s v="NGOURNOU"/>
    <m/>
    <x v="2"/>
    <s v="Janvier - Aout 2022"/>
    <n v="12"/>
    <n v="60"/>
    <x v="0"/>
    <m/>
    <s v="Même arrondissement"/>
    <s v="CMR"/>
    <s v="Cameroun"/>
    <s v="CMR004"/>
    <s v="Extrême-Nord"/>
    <s v="CMR004002"/>
    <s v="Logone-Et-Chari"/>
    <s v="CMR004002009"/>
    <s v="Makary"/>
  </r>
  <r>
    <s v="Extrême-Nord"/>
    <s v="CMR004"/>
    <x v="2"/>
    <s v="CMR004002"/>
    <x v="8"/>
    <s v="CMR004002009"/>
    <s v="MAK-0101"/>
    <s v="MBEE"/>
    <m/>
    <x v="2"/>
    <s v="Janvier - Aout 2022"/>
    <n v="30"/>
    <n v="158"/>
    <x v="0"/>
    <m/>
    <s v="Même arrondissement"/>
    <s v="CMR"/>
    <s v="Cameroun"/>
    <s v="CMR004"/>
    <s v="Extrême-Nord"/>
    <s v="CMR004002"/>
    <s v="Logone-Et-Chari"/>
    <s v="CMR004002009"/>
    <s v="Makary"/>
  </r>
  <r>
    <s v="Extrême-Nord"/>
    <s v="CMR004"/>
    <x v="1"/>
    <s v="CMR004006"/>
    <x v="39"/>
    <s v="CMR004006001"/>
    <s v="MOG-0006"/>
    <s v="NORA"/>
    <m/>
    <x v="2"/>
    <s v="Avant 2020"/>
    <n v="15"/>
    <n v="38"/>
    <x v="0"/>
    <m/>
    <s v="Autre pays"/>
    <s v="NGA"/>
    <s v="Nigéria"/>
    <m/>
    <m/>
    <m/>
    <m/>
    <m/>
    <m/>
  </r>
  <r>
    <s v="Extrême-Nord"/>
    <s v="CMR004"/>
    <x v="1"/>
    <s v="CMR004006"/>
    <x v="39"/>
    <s v="CMR004006001"/>
    <s v="MOG-0006"/>
    <s v="NORA"/>
    <m/>
    <x v="2"/>
    <s v="En 2020"/>
    <n v="0"/>
    <n v="2"/>
    <x v="0"/>
    <m/>
    <s v="Autre pays"/>
    <s v="NGA"/>
    <s v="Nigéria"/>
    <m/>
    <m/>
    <m/>
    <m/>
    <m/>
    <m/>
  </r>
  <r>
    <s v="Extrême-Nord"/>
    <s v="CMR004"/>
    <x v="1"/>
    <s v="CMR004006"/>
    <x v="39"/>
    <s v="CMR004006001"/>
    <s v="MOG-0006"/>
    <s v="NORA"/>
    <m/>
    <x v="2"/>
    <s v="Janvier - Aout 2022"/>
    <n v="0"/>
    <n v="4"/>
    <x v="0"/>
    <m/>
    <s v="Autre pays"/>
    <s v="NGA"/>
    <s v="Nigéria"/>
    <m/>
    <m/>
    <m/>
    <m/>
    <m/>
    <m/>
  </r>
  <r>
    <s v="Extrême-Nord"/>
    <s v="CMR004"/>
    <x v="1"/>
    <s v="CMR004006"/>
    <x v="39"/>
    <s v="CMR004006001"/>
    <s v="MOG-0014"/>
    <s v="KORTCHI"/>
    <m/>
    <x v="2"/>
    <s v="Janvier - Aout 2022"/>
    <n v="3"/>
    <n v="21"/>
    <x v="0"/>
    <m/>
    <s v="Autre pays"/>
    <s v="NGA"/>
    <s v="Nigéria"/>
    <m/>
    <m/>
    <m/>
    <m/>
    <m/>
    <m/>
  </r>
  <r>
    <s v="Extrême-Nord"/>
    <s v="CMR004"/>
    <x v="1"/>
    <s v="CMR004006"/>
    <x v="39"/>
    <s v="CMR004006001"/>
    <s v="MOG-0014"/>
    <s v="KORTCHI"/>
    <m/>
    <x v="2"/>
    <s v="Avant 2020"/>
    <n v="5"/>
    <n v="13"/>
    <x v="0"/>
    <m/>
    <s v="Autre pays"/>
    <s v="NGA"/>
    <s v="Nigéria"/>
    <m/>
    <m/>
    <m/>
    <m/>
    <m/>
    <m/>
  </r>
  <r>
    <s v="Extrême-Nord"/>
    <s v="CMR004"/>
    <x v="1"/>
    <s v="CMR004006"/>
    <x v="39"/>
    <s v="CMR004006001"/>
    <s v="MOG-0014"/>
    <s v="KORTCHI"/>
    <m/>
    <x v="2"/>
    <s v="En 2021"/>
    <n v="1"/>
    <n v="5"/>
    <x v="0"/>
    <m/>
    <s v="Autre pays"/>
    <s v="NGA"/>
    <s v="Nigéria"/>
    <m/>
    <m/>
    <m/>
    <m/>
    <m/>
    <m/>
  </r>
  <r>
    <s v="Extrême-Nord"/>
    <s v="CMR004"/>
    <x v="1"/>
    <s v="CMR004006"/>
    <x v="39"/>
    <s v="CMR004006001"/>
    <s v="MOG-0014"/>
    <s v="KORTCHI"/>
    <m/>
    <x v="2"/>
    <s v="Septembre 2022 – Février 2023"/>
    <n v="2"/>
    <n v="10"/>
    <x v="0"/>
    <m/>
    <s v="Autre pays"/>
    <s v="NGA"/>
    <s v="Nigéria"/>
    <m/>
    <m/>
    <m/>
    <m/>
    <m/>
    <m/>
  </r>
  <r>
    <s v="Extrême-Nord"/>
    <s v="CMR004"/>
    <x v="1"/>
    <s v="CMR004006"/>
    <x v="16"/>
    <s v="CMR004006004"/>
    <s v="KOZ-0010"/>
    <s v="GOUSDA MAKANDAI"/>
    <m/>
    <x v="2"/>
    <s v="En 2021"/>
    <n v="6"/>
    <n v="10"/>
    <x v="0"/>
    <m/>
    <s v="Même département, autre arrondissement"/>
    <s v="CMR"/>
    <s v="Cameroun"/>
    <s v="CMR004"/>
    <s v="Extrême-Nord"/>
    <s v="CMR004006"/>
    <s v="Mayo-Tsanaga"/>
    <s v="CMR004006005"/>
    <s v="Mayo-Moskota"/>
  </r>
  <r>
    <s v="Extrême-Nord"/>
    <s v="CMR004"/>
    <x v="1"/>
    <s v="CMR004006"/>
    <x v="16"/>
    <s v="CMR004006004"/>
    <s v="KOZ-0010"/>
    <s v="GOUSDA MAKANDAI"/>
    <m/>
    <x v="2"/>
    <s v="Septembre 2022 – Février 2023"/>
    <n v="2"/>
    <n v="9"/>
    <x v="0"/>
    <m/>
    <s v="Même département, autre arrondissement"/>
    <s v="CMR"/>
    <s v="Cameroun"/>
    <s v="CMR004"/>
    <s v="Extrême-Nord"/>
    <s v="CMR004006"/>
    <s v="Mayo-Tsanaga"/>
    <s v="CMR004006005"/>
    <s v="Mayo-Moskota"/>
  </r>
  <r>
    <s v="Extrême-Nord"/>
    <s v="CMR004"/>
    <x v="1"/>
    <s v="CMR004006"/>
    <x v="16"/>
    <s v="CMR004006004"/>
    <s v="KOZ-0013"/>
    <s v="GUID BALA"/>
    <m/>
    <x v="2"/>
    <s v="En 2021"/>
    <n v="12"/>
    <n v="56"/>
    <x v="0"/>
    <m/>
    <s v="Même département, autre arrondissement"/>
    <s v="CMR"/>
    <s v="Cameroun"/>
    <s v="CMR004"/>
    <s v="Extrême-Nord"/>
    <s v="CMR004006"/>
    <s v="Mayo-Tsanaga"/>
    <s v="CMR004006005"/>
    <s v="Mayo-Moskota"/>
  </r>
  <r>
    <s v="Extrême-Nord"/>
    <s v="CMR004"/>
    <x v="1"/>
    <s v="CMR004006"/>
    <x v="16"/>
    <s v="CMR004006004"/>
    <s v="KOZ-0013"/>
    <s v="GUID BALA"/>
    <m/>
    <x v="2"/>
    <s v="Septembre 2022 – Février 2023"/>
    <n v="20"/>
    <n v="152"/>
    <x v="0"/>
    <m/>
    <s v="Même département, autre arrondissement"/>
    <s v="CMR"/>
    <s v="Cameroun"/>
    <s v="CMR004"/>
    <s v="Extrême-Nord"/>
    <s v="CMR004006"/>
    <s v="Mayo-Tsanaga"/>
    <s v="CMR004006005"/>
    <s v="Mayo-Moskota"/>
  </r>
  <r>
    <s v="Extrême-Nord"/>
    <s v="CMR004"/>
    <x v="1"/>
    <s v="CMR004006"/>
    <x v="16"/>
    <s v="CMR004006004"/>
    <s v="KOZ-0019"/>
    <s v="MAZI"/>
    <m/>
    <x v="2"/>
    <s v="En 2021"/>
    <n v="3"/>
    <n v="19"/>
    <x v="0"/>
    <m/>
    <s v="Même département, autre arrondissement"/>
    <s v="CMR"/>
    <s v="Cameroun"/>
    <s v="CMR004"/>
    <s v="Extrême-Nord"/>
    <s v="CMR004006"/>
    <s v="Mayo-Tsanaga"/>
    <s v="CMR004006005"/>
    <s v="Mayo-Moskota"/>
  </r>
  <r>
    <s v="Extrême-Nord"/>
    <s v="CMR004"/>
    <x v="1"/>
    <s v="CMR004006"/>
    <x v="16"/>
    <s v="CMR004006004"/>
    <s v="KOZ-0019"/>
    <s v="MAZI"/>
    <m/>
    <x v="2"/>
    <s v="Septembre 2022 – Février 2023"/>
    <n v="0"/>
    <n v="6"/>
    <x v="0"/>
    <m/>
    <s v="Même département, autre arrondissement"/>
    <s v="CMR"/>
    <s v="Cameroun"/>
    <s v="CMR004"/>
    <s v="Extrême-Nord"/>
    <s v="CMR004006"/>
    <s v="Mayo-Tsanaga"/>
    <s v="CMR004006005"/>
    <s v="Mayo-Moskota"/>
  </r>
  <r>
    <s v="Extrême-Nord"/>
    <s v="CMR004"/>
    <x v="1"/>
    <s v="CMR004006"/>
    <x v="7"/>
    <s v="CMR004006005"/>
    <s v="MOZ-0013"/>
    <s v="MANDOUSSA"/>
    <m/>
    <x v="2"/>
    <s v="Avant 2020"/>
    <n v="21"/>
    <n v="104"/>
    <x v="2"/>
    <s v="A la recherche d'une vie meilleure "/>
    <s v="Autre région"/>
    <s v="CMR"/>
    <s v="Cameroun"/>
    <s v="CMR001"/>
    <s v="Adamaoua"/>
    <m/>
    <m/>
    <m/>
    <m/>
  </r>
  <r>
    <s v="Extrême-Nord"/>
    <s v="CMR004"/>
    <x v="1"/>
    <s v="CMR004006"/>
    <x v="7"/>
    <s v="CMR004006005"/>
    <s v="MOZ-0034"/>
    <s v="GODZ-GODZON"/>
    <m/>
    <x v="2"/>
    <s v="Janvier - Aout 2022"/>
    <n v="13"/>
    <n v="105"/>
    <x v="2"/>
    <s v="A la recherche d'une vie meilleure "/>
    <s v="Autre région"/>
    <s v="CMR"/>
    <s v="Cameroun"/>
    <s v="CMR001"/>
    <s v="Adamaoua"/>
    <m/>
    <m/>
    <m/>
    <m/>
  </r>
  <r>
    <s v="Extrême-Nord"/>
    <s v="CMR004"/>
    <x v="1"/>
    <s v="CMR004006"/>
    <x v="7"/>
    <s v="CMR004006005"/>
    <s v="MOZ-0034"/>
    <s v="GODZ-GODZON"/>
    <m/>
    <x v="2"/>
    <s v="Septembre 2022 – Février 2023"/>
    <n v="7"/>
    <n v="30"/>
    <x v="2"/>
    <s v="A la recherche d'une vie meilleure "/>
    <s v="Autre région"/>
    <s v="CMR"/>
    <s v="Cameroun"/>
    <s v="CMR001"/>
    <s v="Adamaoua"/>
    <m/>
    <m/>
    <m/>
    <m/>
  </r>
  <r>
    <s v="Extrême-Nord"/>
    <s v="CMR004"/>
    <x v="1"/>
    <s v="CMR004006"/>
    <x v="7"/>
    <s v="CMR004006005"/>
    <s v="MOZ-0027"/>
    <s v="TALLA KATCHI"/>
    <m/>
    <x v="2"/>
    <s v="Janvier - Aout 2022"/>
    <n v="59"/>
    <n v="417"/>
    <x v="2"/>
    <s v="A la recherche d'une vie meilleure "/>
    <s v="Autre région"/>
    <s v="CMR"/>
    <s v="Cameroun"/>
    <s v="CMR001"/>
    <s v="Adamaoua"/>
    <m/>
    <m/>
    <m/>
    <m/>
  </r>
  <r>
    <s v="Extrême-Nord"/>
    <s v="CMR004"/>
    <x v="1"/>
    <s v="CMR004006"/>
    <x v="7"/>
    <s v="CMR004006005"/>
    <s v="MOZ-0001"/>
    <s v="GOKORO"/>
    <m/>
    <x v="2"/>
    <s v="Janvier - Aout 2022"/>
    <n v="66"/>
    <n v="367"/>
    <x v="2"/>
    <s v="A la recherche d'une vie meilleure "/>
    <s v="Autre région"/>
    <s v="CMR"/>
    <s v="Cameroun"/>
    <s v="CMR001"/>
    <s v="Adamaoua"/>
    <m/>
    <m/>
    <m/>
    <m/>
  </r>
  <r>
    <s v="Extrême-Nord"/>
    <s v="CMR004"/>
    <x v="2"/>
    <s v="CMR004002"/>
    <x v="8"/>
    <s v="CMR004002009"/>
    <s v="MAK-0110"/>
    <s v="HELISNA"/>
    <m/>
    <x v="2"/>
    <s v="Janvier - Aout 2022"/>
    <n v="21"/>
    <n v="257"/>
    <x v="0"/>
    <m/>
    <s v="Même arrondissement"/>
    <s v="CMR"/>
    <s v="Cameroun"/>
    <s v="CMR004"/>
    <s v="Extrême-Nord"/>
    <s v="CMR004002"/>
    <s v="Logone-Et-Chari"/>
    <s v="CMR004002009"/>
    <s v="Makary"/>
  </r>
  <r>
    <s v="Extrême-Nord"/>
    <s v="CMR004"/>
    <x v="2"/>
    <s v="CMR004002"/>
    <x v="8"/>
    <s v="CMR004002009"/>
    <s v="MAK-0003"/>
    <s v="AFADE (village)"/>
    <m/>
    <x v="2"/>
    <s v="Janvier - Aout 2022"/>
    <n v="887"/>
    <n v="7299"/>
    <x v="0"/>
    <m/>
    <s v="Même arrondissement"/>
    <s v="CMR"/>
    <s v="Cameroun"/>
    <s v="CMR004"/>
    <s v="Extrême-Nord"/>
    <s v="CMR004002"/>
    <s v="Logone-Et-Chari"/>
    <s v="CMR004002009"/>
    <s v="Makary"/>
  </r>
  <r>
    <s v="Extrême-Nord"/>
    <s v="CMR004"/>
    <x v="2"/>
    <s v="CMR004002"/>
    <x v="13"/>
    <s v="CMR004002001"/>
    <s v="WAZ-0004"/>
    <s v="MADA 1"/>
    <m/>
    <x v="2"/>
    <s v="Avant 2020"/>
    <n v="100"/>
    <n v="492"/>
    <x v="0"/>
    <m/>
    <s v="Même arrondissement"/>
    <s v="CMR"/>
    <s v="Cameroun"/>
    <s v="CMR004"/>
    <s v="Extrême-Nord"/>
    <s v="CMR004002"/>
    <s v="Logone-Et-Chari"/>
    <s v="CMR004002001"/>
    <s v="Waza"/>
  </r>
  <r>
    <s v="Extrême-Nord"/>
    <s v="CMR004"/>
    <x v="2"/>
    <s v="CMR004002"/>
    <x v="13"/>
    <s v="CMR004002001"/>
    <s v="WAZ-0004"/>
    <s v="MADA 1"/>
    <m/>
    <x v="2"/>
    <s v="En 2020"/>
    <n v="0"/>
    <n v="20"/>
    <x v="0"/>
    <m/>
    <s v="Même arrondissement"/>
    <s v="CMR"/>
    <s v="Cameroun"/>
    <s v="CMR004"/>
    <s v="Extrême-Nord"/>
    <s v="CMR004002"/>
    <s v="Logone-Et-Chari"/>
    <s v="CMR004002001"/>
    <s v="Waza"/>
  </r>
  <r>
    <s v="Extrême-Nord"/>
    <s v="CMR004"/>
    <x v="2"/>
    <s v="CMR004002"/>
    <x v="13"/>
    <s v="CMR004002001"/>
    <s v="WAZ-0004"/>
    <s v="MADA 1"/>
    <m/>
    <x v="2"/>
    <s v="En 2021"/>
    <n v="0"/>
    <n v="12"/>
    <x v="0"/>
    <m/>
    <s v="Même arrondissement"/>
    <s v="CMR"/>
    <s v="Cameroun"/>
    <s v="CMR004"/>
    <s v="Extrême-Nord"/>
    <s v="CMR004002"/>
    <s v="Logone-Et-Chari"/>
    <s v="CMR004002001"/>
    <s v="Waza"/>
  </r>
  <r>
    <s v="Extrême-Nord"/>
    <s v="CMR004"/>
    <x v="2"/>
    <s v="CMR004002"/>
    <x v="10"/>
    <s v="CMR004002003"/>
    <s v="BLA-0017"/>
    <s v="SABOURA"/>
    <m/>
    <x v="2"/>
    <s v="Septembre 2022 – Février 2023"/>
    <n v="1"/>
    <n v="9"/>
    <x v="0"/>
    <m/>
    <s v="Autre pays"/>
    <s v="TCD"/>
    <s v="Tchad"/>
    <m/>
    <m/>
    <m/>
    <m/>
    <m/>
    <m/>
  </r>
  <r>
    <s v="Extrême-Nord"/>
    <s v="CMR004"/>
    <x v="2"/>
    <s v="CMR004002"/>
    <x v="15"/>
    <s v="CMR004002004"/>
    <s v="LBI-0100"/>
    <s v="CHALAN"/>
    <m/>
    <x v="2"/>
    <s v="Janvier - Aout 2022"/>
    <n v="80"/>
    <n v="600"/>
    <x v="1"/>
    <m/>
    <s v="Même département, autre arrondissement"/>
    <s v="CMR"/>
    <s v="Cameroun"/>
    <s v="CMR004"/>
    <s v="Extrême-Nord"/>
    <s v="CMR004002"/>
    <s v="Logone-Et-Chari"/>
    <s v="CMR004002006"/>
    <s v="Kousséri"/>
  </r>
  <r>
    <s v="Extrême-Nord"/>
    <s v="CMR004"/>
    <x v="2"/>
    <s v="CMR004002"/>
    <x v="15"/>
    <s v="CMR004002004"/>
    <s v="LBI-0100"/>
    <s v="CHALAN"/>
    <m/>
    <x v="2"/>
    <s v="Septembre 2022 – Février 2023"/>
    <n v="4"/>
    <n v="13"/>
    <x v="1"/>
    <m/>
    <s v="Autre pays"/>
    <s v="TCD"/>
    <s v="Tchad"/>
    <m/>
    <m/>
    <m/>
    <m/>
    <m/>
    <m/>
  </r>
  <r>
    <s v="Extrême-Nord"/>
    <s v="CMR004"/>
    <x v="2"/>
    <s v="CMR004002"/>
    <x v="15"/>
    <s v="CMR004002004"/>
    <s v="LBI-0101"/>
    <s v="AMRE"/>
    <m/>
    <x v="2"/>
    <s v="Janvier - Aout 2022"/>
    <n v="8"/>
    <n v="58"/>
    <x v="1"/>
    <m/>
    <s v="Même département, autre arrondissement"/>
    <s v="CMR"/>
    <s v="Cameroun"/>
    <s v="CMR004"/>
    <s v="Extrême-Nord"/>
    <s v="CMR004002"/>
    <s v="Logone-Et-Chari"/>
    <s v="CMR004002006"/>
    <s v="Kousséri"/>
  </r>
  <r>
    <s v="Extrême-Nord"/>
    <s v="CMR004"/>
    <x v="2"/>
    <s v="CMR004002"/>
    <x v="15"/>
    <s v="CMR004002004"/>
    <s v="LBI-0101"/>
    <s v="AMRE"/>
    <m/>
    <x v="2"/>
    <s v="Septembre 2022 – Février 2023"/>
    <n v="5"/>
    <n v="14"/>
    <x v="1"/>
    <m/>
    <s v="Autre pays"/>
    <s v="TCD"/>
    <s v="Tchad"/>
    <m/>
    <m/>
    <m/>
    <m/>
    <m/>
    <m/>
  </r>
  <r>
    <s v="Extrême-Nord"/>
    <s v="CMR004"/>
    <x v="2"/>
    <s v="CMR004002"/>
    <x v="15"/>
    <s v="CMR004002004"/>
    <s v="LBI-0103"/>
    <s v="OULI DELIBE"/>
    <m/>
    <x v="2"/>
    <s v="Janvier - Aout 2022"/>
    <n v="48"/>
    <n v="300"/>
    <x v="1"/>
    <m/>
    <s v="Même département, autre arrondissement"/>
    <s v="CMR"/>
    <s v="Cameroun"/>
    <s v="CMR004"/>
    <s v="Extrême-Nord"/>
    <s v="CMR004002"/>
    <s v="Logone-Et-Chari"/>
    <s v="CMR004002006"/>
    <s v="Kousséri"/>
  </r>
  <r>
    <s v="Extrême-Nord"/>
    <s v="CMR004"/>
    <x v="2"/>
    <s v="CMR004002"/>
    <x v="15"/>
    <s v="CMR004002004"/>
    <s v="LBI-0103"/>
    <s v="OULI DELIBE"/>
    <m/>
    <x v="2"/>
    <s v="Septembre 2022 – Février 2023"/>
    <n v="3"/>
    <n v="10"/>
    <x v="1"/>
    <m/>
    <s v="Autre pays"/>
    <s v="TCD"/>
    <s v="Tchad"/>
    <m/>
    <m/>
    <m/>
    <m/>
    <m/>
    <m/>
  </r>
  <r>
    <s v="Extrême-Nord"/>
    <s v="CMR004"/>
    <x v="5"/>
    <s v="CMR004004"/>
    <x v="20"/>
    <s v="CMR004004006"/>
    <s v="KAE-0005"/>
    <s v="ZAKLANG"/>
    <m/>
    <x v="2"/>
    <s v="En 2020"/>
    <n v="1"/>
    <n v="8"/>
    <x v="1"/>
    <m/>
    <s v="Autre département"/>
    <s v="CMR"/>
    <s v="Cameroun"/>
    <s v="CMR004"/>
    <s v="Extrême-Nord"/>
    <s v="CMR004002"/>
    <s v="Logone-Et-Chari"/>
    <m/>
    <m/>
  </r>
  <r>
    <s v="Extrême-Nord"/>
    <s v="CMR004"/>
    <x v="5"/>
    <s v="CMR004004"/>
    <x v="20"/>
    <s v="CMR004004006"/>
    <s v="KAE-0005"/>
    <s v="ZAKLANG"/>
    <m/>
    <x v="2"/>
    <s v="Septembre 2022 – Février 2023"/>
    <n v="1"/>
    <n v="4"/>
    <x v="1"/>
    <m/>
    <s v="Autre département"/>
    <s v="CMR"/>
    <s v="Cameroun"/>
    <s v="CMR004"/>
    <s v="Extrême-Nord"/>
    <s v="CMR004002"/>
    <s v="Logone-Et-Chari"/>
    <m/>
    <m/>
  </r>
  <r>
    <s v="Extrême-Nord"/>
    <s v="CMR004"/>
    <x v="5"/>
    <s v="CMR004004"/>
    <x v="20"/>
    <s v="CMR004004006"/>
    <s v="KAE-0002"/>
    <s v="GAZARO"/>
    <m/>
    <x v="2"/>
    <s v="Avant 2020"/>
    <n v="2"/>
    <n v="27"/>
    <x v="1"/>
    <m/>
    <s v="Autre département"/>
    <s v="CMR"/>
    <s v="Cameroun"/>
    <s v="CMR004"/>
    <s v="Extrême-Nord"/>
    <s v="CMR004002"/>
    <s v="Logone-Et-Chari"/>
    <m/>
    <m/>
  </r>
  <r>
    <s v="Extrême-Nord"/>
    <s v="CMR004"/>
    <x v="4"/>
    <s v="CMR004005"/>
    <x v="17"/>
    <s v="CMR004005002"/>
    <s v="MOR-0038"/>
    <s v="KESSA GANA"/>
    <m/>
    <x v="2"/>
    <s v="Avant 2020"/>
    <n v="5"/>
    <n v="35"/>
    <x v="0"/>
    <m/>
    <s v="Même arrondissement"/>
    <s v="CMR"/>
    <s v="Cameroun"/>
    <s v="CMR004"/>
    <s v="Extrême-Nord"/>
    <s v="CMR004005"/>
    <s v="Mayo-Sava"/>
    <s v="CMR004005002"/>
    <s v="Mora"/>
  </r>
  <r>
    <s v="Extrême-Nord"/>
    <s v="CMR004"/>
    <x v="4"/>
    <s v="CMR004005"/>
    <x v="17"/>
    <s v="CMR004005002"/>
    <s v="MOR-0037"/>
    <s v="KALDJE"/>
    <m/>
    <x v="2"/>
    <s v="Avant 2020"/>
    <n v="2"/>
    <n v="8"/>
    <x v="0"/>
    <m/>
    <s v="Même arrondissement"/>
    <s v="CMR"/>
    <s v="Cameroun"/>
    <s v="CMR004"/>
    <s v="Extrême-Nord"/>
    <s v="CMR004005"/>
    <s v="Mayo-Sava"/>
    <s v="CMR004005002"/>
    <s v="Mora"/>
  </r>
  <r>
    <s v="Extrême-Nord"/>
    <s v="CMR004"/>
    <x v="1"/>
    <s v="CMR004006"/>
    <x v="16"/>
    <s v="CMR004006004"/>
    <s v="KOZ-0026"/>
    <s v="WOULAD"/>
    <m/>
    <x v="2"/>
    <s v="En 2021"/>
    <n v="2"/>
    <n v="3"/>
    <x v="0"/>
    <m/>
    <s v="Même arrondissement"/>
    <s v="CMR"/>
    <s v="Cameroun"/>
    <s v="CMR004"/>
    <s v="Extrême-Nord"/>
    <s v="CMR004006"/>
    <s v="Mayo-Tsanaga"/>
    <s v="CMR004006004"/>
    <s v="Koza"/>
  </r>
  <r>
    <s v="Extrême-Nord"/>
    <s v="CMR004"/>
    <x v="1"/>
    <s v="CMR004006"/>
    <x v="16"/>
    <s v="CMR004006004"/>
    <s v="KOZ-0026"/>
    <s v="WOULAD"/>
    <m/>
    <x v="2"/>
    <s v="Janvier - Aout 2022"/>
    <n v="2"/>
    <n v="5"/>
    <x v="0"/>
    <m/>
    <s v="Même arrondissement"/>
    <s v="CMR"/>
    <s v="Cameroun"/>
    <s v="CMR004"/>
    <s v="Extrême-Nord"/>
    <s v="CMR004006"/>
    <s v="Mayo-Tsanaga"/>
    <s v="CMR004006004"/>
    <s v="Koza"/>
  </r>
  <r>
    <s v="Extrême-Nord"/>
    <s v="CMR004"/>
    <x v="1"/>
    <s v="CMR004006"/>
    <x v="16"/>
    <s v="CMR004006004"/>
    <s v="KOZ-0026"/>
    <s v="WOULAD"/>
    <m/>
    <x v="2"/>
    <s v="Septembre 2022 – Février 2023"/>
    <n v="21"/>
    <n v="150"/>
    <x v="0"/>
    <m/>
    <s v="Même arrondissement"/>
    <s v="CMR"/>
    <s v="Cameroun"/>
    <s v="CMR004"/>
    <s v="Extrême-Nord"/>
    <s v="CMR004006"/>
    <s v="Mayo-Tsanaga"/>
    <s v="CMR004006004"/>
    <s v="Koza"/>
  </r>
  <r>
    <s v="Extrême-Nord"/>
    <s v="CMR004"/>
    <x v="4"/>
    <s v="CMR004005"/>
    <x v="17"/>
    <s v="CMR004005002"/>
    <s v="MOR-0017"/>
    <s v="POUCHE"/>
    <m/>
    <x v="2"/>
    <s v="Avant 2020"/>
    <n v="15"/>
    <n v="68"/>
    <x v="0"/>
    <m/>
    <s v="Même arrondissement"/>
    <s v="CMR"/>
    <s v="Cameroun"/>
    <s v="CMR004"/>
    <s v="Extrême-Nord"/>
    <s v="CMR004005"/>
    <s v="Mayo-Sava"/>
    <s v="CMR004005002"/>
    <s v="Mora"/>
  </r>
  <r>
    <s v="Extrême-Nord"/>
    <s v="CMR004"/>
    <x v="4"/>
    <s v="CMR004005"/>
    <x v="17"/>
    <s v="CMR004005002"/>
    <s v="MOR-0017"/>
    <s v="POUCHE"/>
    <m/>
    <x v="2"/>
    <s v="En 2021"/>
    <n v="0"/>
    <n v="10"/>
    <x v="0"/>
    <m/>
    <s v="Même arrondissement"/>
    <s v="CMR"/>
    <s v="Cameroun"/>
    <s v="CMR004"/>
    <s v="Extrême-Nord"/>
    <s v="CMR004005"/>
    <s v="Mayo-Sava"/>
    <s v="CMR004005002"/>
    <s v="Mora"/>
  </r>
  <r>
    <s v="Extrême-Nord"/>
    <s v="CMR004"/>
    <x v="2"/>
    <s v="CMR004002"/>
    <x v="26"/>
    <s v="CMR004002006"/>
    <s v="KOU-0020"/>
    <s v="MADANA"/>
    <m/>
    <x v="2"/>
    <s v="Septembre 2022 – Février 2023"/>
    <n v="15"/>
    <n v="34"/>
    <x v="3"/>
    <m/>
    <s v="Même arrondissement"/>
    <s v="CMR"/>
    <s v="Cameroun"/>
    <s v="CMR004"/>
    <s v="Extrême-Nord"/>
    <s v="CMR004002"/>
    <s v="Logone-Et-Chari"/>
    <s v="CMR004002006"/>
    <s v="Kousséri"/>
  </r>
  <r>
    <s v="Extrême-Nord"/>
    <s v="CMR004"/>
    <x v="4"/>
    <s v="CMR004005"/>
    <x v="17"/>
    <s v="CMR004005002"/>
    <s v="MOR-0073"/>
    <s v="KOSSERE ZOUELVA"/>
    <m/>
    <x v="2"/>
    <s v="Janvier - Aout 2022"/>
    <n v="1"/>
    <n v="6"/>
    <x v="0"/>
    <m/>
    <s v="Même arrondissement"/>
    <s v="CMR"/>
    <s v="Cameroun"/>
    <s v="CMR004"/>
    <s v="Extrême-Nord"/>
    <s v="CMR004005"/>
    <s v="Mayo-Sava"/>
    <s v="CMR004005002"/>
    <s v="Mora"/>
  </r>
  <r>
    <s v="Extrême-Nord"/>
    <s v="CMR004"/>
    <x v="4"/>
    <s v="CMR004005"/>
    <x v="17"/>
    <s v="CMR004005002"/>
    <s v="MOR-0073"/>
    <s v="KOSSERE ZOUELVA"/>
    <m/>
    <x v="2"/>
    <s v="En 2021"/>
    <n v="4"/>
    <n v="30"/>
    <x v="0"/>
    <m/>
    <s v="Même arrondissement"/>
    <s v="CMR"/>
    <s v="Cameroun"/>
    <s v="CMR004"/>
    <s v="Extrême-Nord"/>
    <s v="CMR004005"/>
    <s v="Mayo-Sava"/>
    <s v="CMR004005002"/>
    <s v="Mora"/>
  </r>
  <r>
    <s v="Extrême-Nord"/>
    <s v="CMR004"/>
    <x v="1"/>
    <s v="CMR004006"/>
    <x v="7"/>
    <s v="CMR004006005"/>
    <s v="MOZ-0005"/>
    <s v="KORSAMBA"/>
    <m/>
    <x v="2"/>
    <s v="En 2021"/>
    <n v="29"/>
    <n v="143"/>
    <x v="2"/>
    <s v="A la recherche d'une vie meilleure "/>
    <s v="Autre région"/>
    <s v="CMR"/>
    <s v="Cameroun"/>
    <s v="CMR001"/>
    <s v="Adamaoua"/>
    <m/>
    <m/>
    <m/>
    <m/>
  </r>
  <r>
    <s v="Extrême-Nord"/>
    <s v="CMR004"/>
    <x v="1"/>
    <s v="CMR004006"/>
    <x v="7"/>
    <s v="CMR004006005"/>
    <s v="MOZ-0008"/>
    <s v="DEKERE CENTRE"/>
    <m/>
    <x v="2"/>
    <s v="Septembre 2022 – Février 2023"/>
    <n v="4"/>
    <n v="4"/>
    <x v="2"/>
    <s v="A la recherche d'une vie meilleure "/>
    <s v="Même département, autre arrondissement"/>
    <s v="CMR"/>
    <s v="Cameroun"/>
    <s v="CMR004"/>
    <s v="Extrême-Nord"/>
    <s v="CMR004006"/>
    <s v="Mayo-Tsanaga"/>
    <s v="CMR004006002"/>
    <s v="Mokolo"/>
  </r>
  <r>
    <s v="Extrême-Nord"/>
    <s v="CMR004"/>
    <x v="1"/>
    <s v="CMR004006"/>
    <x v="1"/>
    <s v="CMR004006002"/>
    <s v="MOK-0058"/>
    <s v="WANAROU MOKOLO"/>
    <m/>
    <x v="2"/>
    <s v="Janvier - Aout 2022"/>
    <n v="7"/>
    <n v="46"/>
    <x v="0"/>
    <m/>
    <s v="Autre pays"/>
    <s v="NGA"/>
    <s v="Nigéria"/>
    <m/>
    <m/>
    <m/>
    <m/>
    <m/>
    <m/>
  </r>
  <r>
    <s v="Extrême-Nord"/>
    <s v="CMR004"/>
    <x v="1"/>
    <s v="CMR004006"/>
    <x v="1"/>
    <s v="CMR004006002"/>
    <s v="MOK-0058"/>
    <s v="WANAROU MOKOLO"/>
    <m/>
    <x v="2"/>
    <s v="Septembre 2022 – Février 2023"/>
    <n v="7"/>
    <n v="52"/>
    <x v="0"/>
    <m/>
    <s v="Autre pays"/>
    <s v="NGA"/>
    <s v="Nigéria"/>
    <m/>
    <m/>
    <m/>
    <m/>
    <m/>
    <m/>
  </r>
  <r>
    <s v="Extrême-Nord"/>
    <s v="CMR004"/>
    <x v="1"/>
    <s v="CMR004006"/>
    <x v="16"/>
    <s v="CMR004006004"/>
    <s v="KOZ-0042"/>
    <s v="MADAKAR"/>
    <m/>
    <x v="2"/>
    <s v="Septembre 2022 – Février 2023"/>
    <n v="7"/>
    <n v="31"/>
    <x v="0"/>
    <m/>
    <s v="Même département, autre arrondissement"/>
    <s v="CMR"/>
    <s v="Cameroun"/>
    <s v="CMR004"/>
    <s v="Extrême-Nord"/>
    <s v="CMR004006"/>
    <s v="Mayo-Tsanaga"/>
    <s v="CMR004006005"/>
    <s v="Mayo-Moskota"/>
  </r>
  <r>
    <s v="Extrême-Nord"/>
    <s v="CMR004"/>
    <x v="2"/>
    <s v="CMR004002"/>
    <x v="9"/>
    <s v="CMR004002010"/>
    <s v="HIL-0005"/>
    <s v="BARGARAM"/>
    <m/>
    <x v="2"/>
    <s v="Avant 2020"/>
    <n v="18"/>
    <n v="160"/>
    <x v="0"/>
    <m/>
    <s v="Même arrondissement"/>
    <s v="CMR"/>
    <s v="Cameroun"/>
    <s v="CMR004"/>
    <s v="Extrême-Nord"/>
    <s v="CMR004002"/>
    <s v="Logone-Et-Chari"/>
    <s v="CMR004002010"/>
    <s v="Hile-Alifa"/>
  </r>
  <r>
    <s v="Extrême-Nord"/>
    <s v="CMR004"/>
    <x v="2"/>
    <s v="CMR004002"/>
    <x v="9"/>
    <s v="CMR004002010"/>
    <s v="HIL-0005"/>
    <s v="BARGARAM"/>
    <m/>
    <x v="2"/>
    <s v="En 2020"/>
    <n v="11"/>
    <n v="71"/>
    <x v="0"/>
    <m/>
    <s v="Même arrondissement"/>
    <s v="CMR"/>
    <s v="Cameroun"/>
    <s v="CMR004"/>
    <s v="Extrême-Nord"/>
    <s v="CMR004002"/>
    <s v="Logone-Et-Chari"/>
    <s v="CMR004002010"/>
    <s v="Hile-Alifa"/>
  </r>
  <r>
    <s v="Extrême-Nord"/>
    <s v="CMR004"/>
    <x v="2"/>
    <s v="CMR004002"/>
    <x v="9"/>
    <s v="CMR004002010"/>
    <s v="HIL-0005"/>
    <s v="BARGARAM"/>
    <m/>
    <x v="2"/>
    <s v="En 2021"/>
    <n v="31"/>
    <n v="218"/>
    <x v="0"/>
    <m/>
    <s v="Même arrondissement"/>
    <s v="CMR"/>
    <s v="Cameroun"/>
    <s v="CMR004"/>
    <s v="Extrême-Nord"/>
    <s v="CMR004002"/>
    <s v="Logone-Et-Chari"/>
    <s v="CMR004002010"/>
    <s v="Hile-Alifa"/>
  </r>
  <r>
    <s v="Extrême-Nord"/>
    <s v="CMR004"/>
    <x v="2"/>
    <s v="CMR004002"/>
    <x v="10"/>
    <s v="CMR004002003"/>
    <s v="BLA-0008"/>
    <s v="KOBRO"/>
    <m/>
    <x v="2"/>
    <s v="Septembre 2022 – Février 2023"/>
    <n v="2"/>
    <n v="7"/>
    <x v="3"/>
    <m/>
    <s v="Même département, autre arrondissement"/>
    <s v="CMR"/>
    <s v="Cameroun"/>
    <s v="CMR004"/>
    <s v="Extrême-Nord"/>
    <s v="CMR004002"/>
    <s v="Logone-Et-Chari"/>
    <s v="CMR004002007"/>
    <s v="Darak"/>
  </r>
  <r>
    <s v="Extrême-Nord"/>
    <s v="CMR004"/>
    <x v="2"/>
    <s v="CMR004002"/>
    <x v="15"/>
    <s v="CMR004002004"/>
    <s v="LBI-0047"/>
    <s v="DABANGA ABANI"/>
    <m/>
    <x v="2"/>
    <s v="Septembre 2022 – Février 2023"/>
    <n v="56"/>
    <n v="370"/>
    <x v="1"/>
    <m/>
    <s v="Même arrondissement"/>
    <s v="CMR"/>
    <s v="Cameroun"/>
    <s v="CMR004"/>
    <s v="Extrême-Nord"/>
    <s v="CMR004002"/>
    <s v="Logone-Et-Chari"/>
    <s v="CMR004002004"/>
    <s v="Logone-Birni"/>
  </r>
  <r>
    <s v="Extrême-Nord"/>
    <s v="CMR004"/>
    <x v="2"/>
    <s v="CMR004002"/>
    <x v="15"/>
    <s v="CMR004002004"/>
    <s v="LBI-0121"/>
    <s v="MAROUFA"/>
    <m/>
    <x v="2"/>
    <s v="Septembre 2022 – Février 2023"/>
    <n v="19"/>
    <n v="100"/>
    <x v="1"/>
    <m/>
    <s v="Même arrondissement"/>
    <s v="CMR"/>
    <s v="Cameroun"/>
    <s v="CMR004"/>
    <s v="Extrême-Nord"/>
    <s v="CMR004002"/>
    <s v="Logone-Et-Chari"/>
    <s v="CMR004002004"/>
    <s v="Logone-Birni"/>
  </r>
  <r>
    <s v="Extrême-Nord"/>
    <s v="CMR004"/>
    <x v="1"/>
    <s v="CMR004006"/>
    <x v="16"/>
    <s v="CMR004006004"/>
    <s v="KOZ-0008"/>
    <s v="GAIVOUKIDA"/>
    <m/>
    <x v="2"/>
    <s v="Janvier - Aout 2022"/>
    <n v="22"/>
    <n v="86"/>
    <x v="0"/>
    <m/>
    <s v="Même département, autre arrondissement"/>
    <s v="CMR"/>
    <s v="Cameroun"/>
    <s v="CMR004"/>
    <s v="Extrême-Nord"/>
    <s v="CMR004006"/>
    <s v="Mayo-Tsanaga"/>
    <s v="CMR004006005"/>
    <s v="Mayo-Moskota"/>
  </r>
  <r>
    <s v="Extrême-Nord"/>
    <s v="CMR004"/>
    <x v="1"/>
    <s v="CMR004006"/>
    <x v="16"/>
    <s v="CMR004006004"/>
    <s v="KOZ-0015"/>
    <s v="HIRCHE"/>
    <m/>
    <x v="2"/>
    <s v="Janvier - Aout 2022"/>
    <n v="2"/>
    <n v="8"/>
    <x v="0"/>
    <m/>
    <s v="Même département, autre arrondissement"/>
    <s v="CMR"/>
    <s v="Cameroun"/>
    <s v="CMR004"/>
    <s v="Extrême-Nord"/>
    <s v="CMR004006"/>
    <s v="Mayo-Tsanaga"/>
    <s v="CMR004006005"/>
    <s v="Mayo-Moskota"/>
  </r>
  <r>
    <s v="Extrême-Nord"/>
    <s v="CMR004"/>
    <x v="1"/>
    <s v="CMR004006"/>
    <x v="16"/>
    <s v="CMR004006004"/>
    <s v="KOZ-0015"/>
    <s v="HIRCHE"/>
    <m/>
    <x v="2"/>
    <s v="Septembre 2022 – Février 2023"/>
    <n v="6"/>
    <n v="16"/>
    <x v="0"/>
    <m/>
    <s v="Même département, autre arrondissement"/>
    <s v="CMR"/>
    <s v="Cameroun"/>
    <s v="CMR004"/>
    <s v="Extrême-Nord"/>
    <s v="CMR004006"/>
    <s v="Mayo-Tsanaga"/>
    <s v="CMR004006005"/>
    <s v="Mayo-Moskota"/>
  </r>
  <r>
    <s v="Extrême-Nord"/>
    <s v="CMR004"/>
    <x v="2"/>
    <s v="CMR004002"/>
    <x v="13"/>
    <s v="CMR004002001"/>
    <s v="WAZ-0007"/>
    <s v="TAGAWA 1"/>
    <m/>
    <x v="2"/>
    <s v="En 2021"/>
    <n v="5"/>
    <n v="35"/>
    <x v="0"/>
    <m/>
    <s v="Même arrondissement"/>
    <s v="CMR"/>
    <s v="Cameroun"/>
    <s v="CMR004"/>
    <s v="Extrême-Nord"/>
    <s v="CMR004002"/>
    <s v="Logone-Et-Chari"/>
    <s v="CMR004002001"/>
    <s v="Waza"/>
  </r>
  <r>
    <s v="Extrême-Nord"/>
    <s v="CMR004"/>
    <x v="2"/>
    <s v="CMR004002"/>
    <x v="27"/>
    <s v="CMR004002007"/>
    <s v="DAR-0020"/>
    <s v="DORO LIMANE"/>
    <m/>
    <x v="2"/>
    <s v="Septembre 2022 – Février 2023"/>
    <n v="30"/>
    <n v="70"/>
    <x v="0"/>
    <m/>
    <s v="Même arrondissement"/>
    <s v="CMR"/>
    <s v="Cameroun"/>
    <s v="CMR004"/>
    <s v="Extrême-Nord"/>
    <s v="CMR004002"/>
    <s v="Logone-Et-Chari"/>
    <s v="CMR004002007"/>
    <s v="Darak"/>
  </r>
  <r>
    <s v="Extrême-Nord"/>
    <s v="CMR004"/>
    <x v="4"/>
    <s v="CMR004005"/>
    <x v="17"/>
    <s v="CMR004005002"/>
    <s v="MOR-0040"/>
    <s v="TAGAWA"/>
    <m/>
    <x v="2"/>
    <s v="En 2020"/>
    <n v="2"/>
    <n v="9"/>
    <x v="0"/>
    <m/>
    <s v="Même arrondissement"/>
    <s v="CMR"/>
    <s v="Cameroun"/>
    <s v="CMR004"/>
    <s v="Extrême-Nord"/>
    <s v="CMR004005"/>
    <s v="Mayo-Sava"/>
    <s v="CMR004005002"/>
    <s v="Mora"/>
  </r>
  <r>
    <s v="Extrême-Nord"/>
    <s v="CMR004"/>
    <x v="4"/>
    <s v="CMR004005"/>
    <x v="17"/>
    <s v="CMR004005002"/>
    <s v="MOR-0033"/>
    <s v="TCHAKARMARI"/>
    <m/>
    <x v="2"/>
    <s v="Avant 2020"/>
    <n v="136"/>
    <n v="546"/>
    <x v="0"/>
    <m/>
    <s v="Même arrondissement"/>
    <s v="CMR"/>
    <s v="Cameroun"/>
    <s v="CMR004"/>
    <s v="Extrême-Nord"/>
    <s v="CMR004005"/>
    <s v="Mayo-Sava"/>
    <s v="CMR004005002"/>
    <s v="Mora"/>
  </r>
  <r>
    <s v="Extrême-Nord"/>
    <s v="CMR004"/>
    <x v="4"/>
    <s v="CMR004005"/>
    <x v="17"/>
    <s v="CMR004005002"/>
    <s v="MOR-0033"/>
    <s v="TCHAKARMARI"/>
    <m/>
    <x v="2"/>
    <s v="En 2020"/>
    <n v="15"/>
    <n v="60"/>
    <x v="0"/>
    <m/>
    <s v="Même arrondissement"/>
    <s v="CMR"/>
    <s v="Cameroun"/>
    <s v="CMR004"/>
    <s v="Extrême-Nord"/>
    <s v="CMR004005"/>
    <s v="Mayo-Sava"/>
    <s v="CMR004005002"/>
    <s v="Mora"/>
  </r>
  <r>
    <s v="Extrême-Nord"/>
    <s v="CMR004"/>
    <x v="4"/>
    <s v="CMR004005"/>
    <x v="17"/>
    <s v="CMR004005002"/>
    <s v="MOR-0033"/>
    <s v="TCHAKARMARI"/>
    <m/>
    <x v="2"/>
    <s v="En 2021"/>
    <n v="3"/>
    <n v="40"/>
    <x v="0"/>
    <m/>
    <s v="Même arrondissement"/>
    <s v="CMR"/>
    <s v="Cameroun"/>
    <s v="CMR004"/>
    <s v="Extrême-Nord"/>
    <s v="CMR004005"/>
    <s v="Mayo-Sava"/>
    <s v="CMR004005002"/>
    <s v="Mora"/>
  </r>
  <r>
    <s v="Extrême-Nord"/>
    <s v="CMR004"/>
    <x v="4"/>
    <s v="CMR004005"/>
    <x v="17"/>
    <s v="CMR004005002"/>
    <s v="MOR-0033"/>
    <s v="TCHAKARMARI"/>
    <m/>
    <x v="2"/>
    <s v="Janvier - Aout 2022"/>
    <n v="3"/>
    <n v="24"/>
    <x v="0"/>
    <m/>
    <s v="Même arrondissement"/>
    <s v="CMR"/>
    <s v="Cameroun"/>
    <s v="CMR004"/>
    <s v="Extrême-Nord"/>
    <s v="CMR004005"/>
    <s v="Mayo-Sava"/>
    <s v="CMR004005002"/>
    <s v="Mora"/>
  </r>
  <r>
    <s v="Extrême-Nord"/>
    <s v="CMR004"/>
    <x v="2"/>
    <s v="CMR004002"/>
    <x v="10"/>
    <s v="CMR004002003"/>
    <s v="BLA-0026"/>
    <s v="SITE DE IYA MAGRA"/>
    <m/>
    <x v="2"/>
    <s v="En 2020"/>
    <n v="18"/>
    <n v="182"/>
    <x v="1"/>
    <m/>
    <s v="Autre pays"/>
    <s v="TCD"/>
    <s v="Tchad"/>
    <m/>
    <m/>
    <m/>
    <m/>
    <m/>
    <m/>
  </r>
  <r>
    <s v="Extrême-Nord"/>
    <s v="CMR004"/>
    <x v="1"/>
    <s v="CMR004006"/>
    <x v="16"/>
    <s v="CMR004006004"/>
    <s v="KOZ-0020"/>
    <s v="MBARDAM"/>
    <m/>
    <x v="2"/>
    <s v="Avant 2020"/>
    <n v="21"/>
    <n v="147"/>
    <x v="0"/>
    <m/>
    <s v="Même département, autre arrondissement"/>
    <s v="CMR"/>
    <s v="Cameroun"/>
    <s v="CMR004"/>
    <s v="Extrême-Nord"/>
    <s v="CMR004006"/>
    <s v="Mayo-Tsanaga"/>
    <s v="CMR004006005"/>
    <s v="Mayo-Moskota"/>
  </r>
  <r>
    <s v="Extrême-Nord"/>
    <s v="CMR004"/>
    <x v="1"/>
    <s v="CMR004006"/>
    <x v="16"/>
    <s v="CMR004006004"/>
    <s v="KOZ-0020"/>
    <s v="MBARDAM"/>
    <m/>
    <x v="2"/>
    <s v="En 2021"/>
    <n v="21"/>
    <n v="142"/>
    <x v="0"/>
    <m/>
    <s v="Même département, autre arrondissement"/>
    <s v="CMR"/>
    <s v="Cameroun"/>
    <s v="CMR004"/>
    <s v="Extrême-Nord"/>
    <s v="CMR004006"/>
    <s v="Mayo-Tsanaga"/>
    <s v="CMR004006005"/>
    <s v="Mayo-Moskota"/>
  </r>
  <r>
    <s v="Extrême-Nord"/>
    <s v="CMR004"/>
    <x v="1"/>
    <s v="CMR004006"/>
    <x v="16"/>
    <s v="CMR004006004"/>
    <s v="KOZ-0020"/>
    <s v="MBARDAM"/>
    <m/>
    <x v="2"/>
    <s v="Septembre 2022 – Février 2023"/>
    <n v="1"/>
    <n v="3"/>
    <x v="0"/>
    <m/>
    <s v="Même arrondissement"/>
    <s v="CMR"/>
    <s v="Cameroun"/>
    <s v="CMR004"/>
    <s v="Extrême-Nord"/>
    <s v="CMR004006"/>
    <s v="Mayo-Tsanaga"/>
    <s v="CMR004006004"/>
    <s v="Koza"/>
  </r>
  <r>
    <s v="Extrême-Nord"/>
    <s v="CMR004"/>
    <x v="4"/>
    <s v="CMR004005"/>
    <x v="17"/>
    <s v="CMR004005002"/>
    <s v="MOR-0041"/>
    <s v="MADJINA"/>
    <m/>
    <x v="2"/>
    <s v="Avant 2020"/>
    <n v="8"/>
    <n v="58"/>
    <x v="0"/>
    <m/>
    <s v="Même arrondissement"/>
    <s v="CMR"/>
    <s v="Cameroun"/>
    <s v="CMR004"/>
    <s v="Extrême-Nord"/>
    <s v="CMR004005"/>
    <s v="Mayo-Sava"/>
    <s v="CMR004005002"/>
    <s v="Mora"/>
  </r>
  <r>
    <s v="Extrême-Nord"/>
    <s v="CMR004"/>
    <x v="4"/>
    <s v="CMR004005"/>
    <x v="17"/>
    <s v="CMR004005002"/>
    <s v="MOR-0042"/>
    <s v="DJALA"/>
    <m/>
    <x v="2"/>
    <s v="Avant 2020"/>
    <n v="3"/>
    <n v="13"/>
    <x v="0"/>
    <m/>
    <s v="Même arrondissement"/>
    <s v="CMR"/>
    <s v="Cameroun"/>
    <s v="CMR004"/>
    <s v="Extrême-Nord"/>
    <s v="CMR004005"/>
    <s v="Mayo-Sava"/>
    <s v="CMR004005002"/>
    <s v="Mora"/>
  </r>
  <r>
    <s v="Extrême-Nord"/>
    <s v="CMR004"/>
    <x v="4"/>
    <s v="CMR004005"/>
    <x v="17"/>
    <s v="CMR004005002"/>
    <s v="MOR-0042"/>
    <s v="DJALA"/>
    <m/>
    <x v="2"/>
    <s v="En 2020"/>
    <n v="0"/>
    <n v="1"/>
    <x v="0"/>
    <m/>
    <s v="Même arrondissement"/>
    <s v="CMR"/>
    <s v="Cameroun"/>
    <s v="CMR004"/>
    <s v="Extrême-Nord"/>
    <s v="CMR004005"/>
    <s v="Mayo-Sava"/>
    <s v="CMR004005002"/>
    <s v="Mora"/>
  </r>
  <r>
    <s v="Extrême-Nord"/>
    <s v="CMR004"/>
    <x v="4"/>
    <s v="CMR004005"/>
    <x v="17"/>
    <s v="CMR004005002"/>
    <s v="MOR-0005"/>
    <s v="FIKE 1"/>
    <m/>
    <x v="2"/>
    <s v="Septembre 2022 – Février 2023"/>
    <n v="5"/>
    <n v="20"/>
    <x v="0"/>
    <m/>
    <s v="Même arrondissement"/>
    <s v="CMR"/>
    <s v="Cameroun"/>
    <s v="CMR004"/>
    <s v="Extrême-Nord"/>
    <s v="CMR004005"/>
    <s v="Mayo-Sava"/>
    <s v="CMR004005002"/>
    <s v="Mora"/>
  </r>
  <r>
    <s v="Extrême-Nord"/>
    <s v="CMR004"/>
    <x v="4"/>
    <s v="CMR004005"/>
    <x v="17"/>
    <s v="CMR004005002"/>
    <s v="MOR-0032"/>
    <s v="TAYER"/>
    <m/>
    <x v="2"/>
    <s v="Avant 2020"/>
    <n v="60"/>
    <n v="356"/>
    <x v="0"/>
    <m/>
    <s v="Même arrondissement"/>
    <s v="CMR"/>
    <s v="Cameroun"/>
    <s v="CMR004"/>
    <s v="Extrême-Nord"/>
    <s v="CMR004005"/>
    <s v="Mayo-Sava"/>
    <s v="CMR004005002"/>
    <s v="Mora"/>
  </r>
  <r>
    <s v="Extrême-Nord"/>
    <s v="CMR004"/>
    <x v="4"/>
    <s v="CMR004005"/>
    <x v="17"/>
    <s v="CMR004005002"/>
    <s v="MOR-0032"/>
    <s v="TAYER"/>
    <m/>
    <x v="2"/>
    <s v="En 2021"/>
    <n v="50"/>
    <n v="335"/>
    <x v="0"/>
    <m/>
    <s v="Même arrondissement"/>
    <s v="CMR"/>
    <s v="Cameroun"/>
    <s v="CMR004"/>
    <s v="Extrême-Nord"/>
    <s v="CMR004005"/>
    <s v="Mayo-Sava"/>
    <s v="CMR004005002"/>
    <s v="Mora"/>
  </r>
  <r>
    <s v="Extrême-Nord"/>
    <s v="CMR004"/>
    <x v="4"/>
    <s v="CMR004005"/>
    <x v="17"/>
    <s v="CMR004005002"/>
    <s v="MOR-0032"/>
    <s v="TAYER"/>
    <m/>
    <x v="2"/>
    <s v="Janvier - Aout 2022"/>
    <n v="10"/>
    <n v="80"/>
    <x v="0"/>
    <m/>
    <s v="Même arrondissement"/>
    <s v="CMR"/>
    <s v="Cameroun"/>
    <s v="CMR004"/>
    <s v="Extrême-Nord"/>
    <s v="CMR004005"/>
    <s v="Mayo-Sava"/>
    <s v="CMR004005002"/>
    <s v="Mora"/>
  </r>
  <r>
    <s v="Extrême-Nord"/>
    <s v="CMR004"/>
    <x v="4"/>
    <s v="CMR004005"/>
    <x v="17"/>
    <s v="CMR004005002"/>
    <s v="MOR-0032"/>
    <s v="TAYER"/>
    <m/>
    <x v="2"/>
    <s v="Septembre 2022 – Février 2023"/>
    <n v="20"/>
    <n v="80"/>
    <x v="0"/>
    <m/>
    <s v="Même arrondissement"/>
    <s v="CMR"/>
    <s v="Cameroun"/>
    <s v="CMR004"/>
    <s v="Extrême-Nord"/>
    <s v="CMR004005"/>
    <s v="Mayo-Sava"/>
    <s v="CMR004005002"/>
    <s v="Mora"/>
  </r>
  <r>
    <s v="Extrême-Nord"/>
    <s v="CMR004"/>
    <x v="2"/>
    <s v="CMR004002"/>
    <x v="15"/>
    <s v="CMR004002004"/>
    <s v="LBI-0114"/>
    <s v="DOLE"/>
    <m/>
    <x v="2"/>
    <s v="Janvier - Aout 2022"/>
    <n v="57"/>
    <n v="450"/>
    <x v="1"/>
    <m/>
    <s v="Autre pays"/>
    <s v="TCD"/>
    <s v="Tchad"/>
    <m/>
    <m/>
    <m/>
    <m/>
    <m/>
    <m/>
  </r>
  <r>
    <s v="Extrême-Nord"/>
    <s v="CMR004"/>
    <x v="2"/>
    <s v="CMR004002"/>
    <x v="15"/>
    <s v="CMR004002004"/>
    <s v="LBI-0114"/>
    <s v="DOLE"/>
    <m/>
    <x v="2"/>
    <s v="Septembre 2022 – Février 2023"/>
    <n v="7"/>
    <n v="50"/>
    <x v="1"/>
    <m/>
    <s v="Autre pays"/>
    <s v="TCD"/>
    <s v="Tchad"/>
    <m/>
    <m/>
    <m/>
    <m/>
    <m/>
    <m/>
  </r>
  <r>
    <s v="Extrême-Nord"/>
    <s v="CMR004"/>
    <x v="4"/>
    <s v="CMR004005"/>
    <x v="19"/>
    <s v="CMR004005001"/>
    <s v="KOL-0025"/>
    <s v="SANDAWADJIRI"/>
    <m/>
    <x v="2"/>
    <s v="Avant 2020"/>
    <n v="23"/>
    <n v="135"/>
    <x v="0"/>
    <m/>
    <s v="Même arrondissement"/>
    <s v="CMR"/>
    <s v="Cameroun"/>
    <s v="CMR004"/>
    <s v="Extrême-Nord"/>
    <s v="CMR004005"/>
    <s v="Mayo-Sava"/>
    <s v="CMR004005001"/>
    <s v="Kolofata"/>
  </r>
  <r>
    <s v="Extrême-Nord"/>
    <s v="CMR004"/>
    <x v="4"/>
    <s v="CMR004005"/>
    <x v="19"/>
    <s v="CMR004005001"/>
    <s v="KOL-0025"/>
    <s v="SANDAWADJIRI"/>
    <m/>
    <x v="2"/>
    <s v="Janvier - Aout 2022"/>
    <n v="60"/>
    <n v="416"/>
    <x v="0"/>
    <m/>
    <s v="Même arrondissement"/>
    <s v="CMR"/>
    <s v="Cameroun"/>
    <s v="CMR004"/>
    <s v="Extrême-Nord"/>
    <s v="CMR004005"/>
    <s v="Mayo-Sava"/>
    <s v="CMR004005001"/>
    <s v="Kolofata"/>
  </r>
  <r>
    <s v="Extrême-Nord"/>
    <s v="CMR004"/>
    <x v="4"/>
    <s v="CMR004005"/>
    <x v="19"/>
    <s v="CMR004005001"/>
    <s v="KOL-0025"/>
    <s v="SANDAWADJIRI"/>
    <m/>
    <x v="2"/>
    <s v="Septembre 2022 – Février 2023"/>
    <n v="0"/>
    <n v="5"/>
    <x v="0"/>
    <m/>
    <s v="Même arrondissement"/>
    <s v="CMR"/>
    <s v="Cameroun"/>
    <s v="CMR004"/>
    <s v="Extrême-Nord"/>
    <s v="CMR004005"/>
    <s v="Mayo-Sava"/>
    <s v="CMR004005001"/>
    <s v="Kolofata"/>
  </r>
  <r>
    <s v="Extrême-Nord"/>
    <s v="CMR004"/>
    <x v="2"/>
    <s v="CMR004002"/>
    <x v="26"/>
    <s v="CMR004002006"/>
    <s v="KOU-0016"/>
    <s v="KROUANG 2"/>
    <m/>
    <x v="2"/>
    <s v="Septembre 2022 – Février 2023"/>
    <n v="10"/>
    <n v="56"/>
    <x v="3"/>
    <m/>
    <s v="Autre pays"/>
    <s v="TCD"/>
    <s v="Tchad"/>
    <m/>
    <m/>
    <m/>
    <m/>
    <m/>
    <m/>
  </r>
  <r>
    <s v="Extrême-Nord"/>
    <s v="CMR004"/>
    <x v="2"/>
    <s v="CMR004002"/>
    <x v="26"/>
    <s v="CMR004002006"/>
    <s v="KOU-0036"/>
    <s v="KAWADJI 1"/>
    <m/>
    <x v="2"/>
    <s v="Septembre 2022 – Février 2023"/>
    <n v="60"/>
    <n v="400"/>
    <x v="3"/>
    <m/>
    <s v="Même arrondissement"/>
    <s v="CMR"/>
    <s v="Cameroun"/>
    <s v="CMR004"/>
    <s v="Extrême-Nord"/>
    <s v="CMR004002"/>
    <s v="Logone-Et-Chari"/>
    <s v="CMR004002006"/>
    <s v="Kousséri"/>
  </r>
  <r>
    <s v="Extrême-Nord"/>
    <s v="CMR004"/>
    <x v="2"/>
    <s v="CMR004002"/>
    <x v="26"/>
    <s v="CMR004002006"/>
    <s v="KOU-0021"/>
    <s v="MADANA GABAG"/>
    <m/>
    <x v="2"/>
    <s v="Septembre 2022 – Février 2023"/>
    <n v="60"/>
    <n v="300"/>
    <x v="3"/>
    <m/>
    <s v="Même arrondissement"/>
    <s v="CMR"/>
    <s v="Cameroun"/>
    <s v="CMR004"/>
    <s v="Extrême-Nord"/>
    <s v="CMR004002"/>
    <s v="Logone-Et-Chari"/>
    <s v="CMR004002006"/>
    <s v="Kousséri"/>
  </r>
  <r>
    <s v="Extrême-Nord"/>
    <s v="CMR004"/>
    <x v="4"/>
    <s v="CMR004005"/>
    <x v="17"/>
    <s v="CMR004005002"/>
    <s v="MOR-0034"/>
    <s v="WARAGA"/>
    <m/>
    <x v="2"/>
    <s v="Avant 2020"/>
    <n v="167"/>
    <n v="1082"/>
    <x v="0"/>
    <m/>
    <s v="Même arrondissement"/>
    <s v="CMR"/>
    <s v="Cameroun"/>
    <s v="CMR004"/>
    <s v="Extrême-Nord"/>
    <s v="CMR004005"/>
    <s v="Mayo-Sava"/>
    <s v="CMR004005002"/>
    <s v="Mora"/>
  </r>
  <r>
    <s v="Extrême-Nord"/>
    <s v="CMR004"/>
    <x v="4"/>
    <s v="CMR004005"/>
    <x v="17"/>
    <s v="CMR004005002"/>
    <s v="MOR-0034"/>
    <s v="WARAGA"/>
    <m/>
    <x v="2"/>
    <s v="En 2020"/>
    <n v="15"/>
    <n v="65"/>
    <x v="0"/>
    <m/>
    <s v="Même arrondissement"/>
    <s v="CMR"/>
    <s v="Cameroun"/>
    <s v="CMR004"/>
    <s v="Extrême-Nord"/>
    <s v="CMR004005"/>
    <s v="Mayo-Sava"/>
    <s v="CMR004005002"/>
    <s v="Mora"/>
  </r>
  <r>
    <s v="Extrême-Nord"/>
    <s v="CMR004"/>
    <x v="4"/>
    <s v="CMR004005"/>
    <x v="17"/>
    <s v="CMR004005002"/>
    <s v="MOR-0034"/>
    <s v="WARAGA"/>
    <m/>
    <x v="2"/>
    <s v="En 2021"/>
    <n v="1"/>
    <n v="15"/>
    <x v="0"/>
    <m/>
    <s v="Même arrondissement"/>
    <s v="CMR"/>
    <s v="Cameroun"/>
    <s v="CMR004"/>
    <s v="Extrême-Nord"/>
    <s v="CMR004005"/>
    <s v="Mayo-Sava"/>
    <s v="CMR004005002"/>
    <s v="Mora"/>
  </r>
  <r>
    <s v="Extrême-Nord"/>
    <s v="CMR004"/>
    <x v="4"/>
    <s v="CMR004005"/>
    <x v="17"/>
    <s v="CMR004005002"/>
    <s v="MOR-0034"/>
    <s v="WARAGA"/>
    <m/>
    <x v="2"/>
    <s v="Janvier - Aout 2022"/>
    <n v="12"/>
    <n v="53"/>
    <x v="0"/>
    <m/>
    <s v="Même arrondissement"/>
    <s v="CMR"/>
    <s v="Cameroun"/>
    <s v="CMR004"/>
    <s v="Extrême-Nord"/>
    <s v="CMR004005"/>
    <s v="Mayo-Sava"/>
    <s v="CMR004005002"/>
    <s v="Mora"/>
  </r>
  <r>
    <s v="Extrême-Nord"/>
    <s v="CMR004"/>
    <x v="4"/>
    <s v="CMR004005"/>
    <x v="17"/>
    <s v="CMR004005002"/>
    <s v="MOR-0034"/>
    <s v="WARAGA"/>
    <m/>
    <x v="2"/>
    <s v="Septembre 2022 – Février 2023"/>
    <n v="0"/>
    <n v="7"/>
    <x v="0"/>
    <m/>
    <s v="Même arrondissement"/>
    <s v="CMR"/>
    <s v="Cameroun"/>
    <s v="CMR004"/>
    <s v="Extrême-Nord"/>
    <s v="CMR004005"/>
    <s v="Mayo-Sava"/>
    <s v="CMR004005002"/>
    <s v="Mora"/>
  </r>
  <r>
    <s v="Extrême-Nord"/>
    <s v="CMR004"/>
    <x v="4"/>
    <s v="CMR004005"/>
    <x v="19"/>
    <s v="CMR004005001"/>
    <s v="KOL-0011"/>
    <s v="GANCE"/>
    <m/>
    <x v="2"/>
    <s v="Janvier - Aout 2022"/>
    <n v="8"/>
    <n v="64"/>
    <x v="0"/>
    <m/>
    <s v="Même arrondissement"/>
    <s v="CMR"/>
    <s v="Cameroun"/>
    <s v="CMR004"/>
    <s v="Extrême-Nord"/>
    <s v="CMR004005"/>
    <s v="Mayo-Sava"/>
    <s v="CMR004005001"/>
    <s v="Kolofata"/>
  </r>
  <r>
    <s v="Extrême-Nord"/>
    <s v="CMR004"/>
    <x v="4"/>
    <s v="CMR004005"/>
    <x v="19"/>
    <s v="CMR004005001"/>
    <s v="KOL-0011"/>
    <s v="GANCE"/>
    <m/>
    <x v="2"/>
    <s v="Septembre 2022 – Février 2023"/>
    <n v="0"/>
    <n v="35"/>
    <x v="0"/>
    <m/>
    <s v="Même arrondissement"/>
    <s v="CMR"/>
    <s v="Cameroun"/>
    <s v="CMR004"/>
    <s v="Extrême-Nord"/>
    <s v="CMR004005"/>
    <s v="Mayo-Sava"/>
    <s v="CMR004005001"/>
    <s v="Kolofata"/>
  </r>
  <r>
    <s v="Extrême-Nord"/>
    <s v="CMR004"/>
    <x v="2"/>
    <s v="CMR004002"/>
    <x v="12"/>
    <s v="CMR004002002"/>
    <s v="GOU-0049"/>
    <s v="ANDOURMAN"/>
    <m/>
    <x v="2"/>
    <s v="Septembre 2022 – Février 2023"/>
    <n v="20"/>
    <n v="128"/>
    <x v="3"/>
    <m/>
    <s v="Même arrondissement"/>
    <s v="CMR"/>
    <s v="Cameroun"/>
    <s v="CMR004"/>
    <s v="Extrême-Nord"/>
    <s v="CMR004002"/>
    <s v="Logone-Et-Chari"/>
    <s v="CMR004002002"/>
    <s v="Goulfey"/>
  </r>
  <r>
    <s v="Extrême-Nord"/>
    <s v="CMR004"/>
    <x v="2"/>
    <s v="CMR004002"/>
    <x v="12"/>
    <s v="CMR004002002"/>
    <s v="GOU-0044"/>
    <s v="FADJE"/>
    <m/>
    <x v="2"/>
    <s v="Janvier - Aout 2022"/>
    <n v="56"/>
    <n v="204"/>
    <x v="4"/>
    <s v="rupture de digue"/>
    <s v="Même département, autre arrondissement"/>
    <s v="CMR"/>
    <s v="Cameroun"/>
    <s v="CMR004"/>
    <s v="Extrême-Nord"/>
    <s v="CMR004002"/>
    <s v="Logone-Et-Chari"/>
    <s v="CMR004002009"/>
    <s v="Makary"/>
  </r>
  <r>
    <s v="Extrême-Nord"/>
    <s v="CMR004"/>
    <x v="2"/>
    <s v="CMR004002"/>
    <x v="8"/>
    <s v="CMR004002009"/>
    <s v="MAK-0198"/>
    <s v="BOUNGOUR 1"/>
    <m/>
    <x v="2"/>
    <s v="Avant 2020"/>
    <n v="116"/>
    <n v="751"/>
    <x v="0"/>
    <m/>
    <s v="Même arrondissement"/>
    <s v="CMR"/>
    <s v="Cameroun"/>
    <s v="CMR004"/>
    <s v="Extrême-Nord"/>
    <s v="CMR004002"/>
    <s v="Logone-Et-Chari"/>
    <s v="CMR004002009"/>
    <s v="Makary"/>
  </r>
  <r>
    <s v="Extrême-Nord"/>
    <s v="CMR004"/>
    <x v="2"/>
    <s v="CMR004002"/>
    <x v="8"/>
    <s v="CMR004002009"/>
    <s v="MAK-0198"/>
    <s v="BOUNGOUR 1"/>
    <m/>
    <x v="2"/>
    <s v="En 2021"/>
    <n v="0"/>
    <n v="16"/>
    <x v="0"/>
    <m/>
    <s v="Même arrondissement"/>
    <s v="CMR"/>
    <s v="Cameroun"/>
    <s v="CMR004"/>
    <s v="Extrême-Nord"/>
    <s v="CMR004002"/>
    <s v="Logone-Et-Chari"/>
    <s v="CMR004002009"/>
    <s v="Makary"/>
  </r>
  <r>
    <s v="Extrême-Nord"/>
    <s v="CMR004"/>
    <x v="2"/>
    <s v="CMR004002"/>
    <x v="8"/>
    <s v="CMR004002009"/>
    <s v="MAK-0198"/>
    <s v="BOUNGOUR 1"/>
    <m/>
    <x v="2"/>
    <s v="En 2020"/>
    <n v="1"/>
    <n v="7"/>
    <x v="0"/>
    <m/>
    <s v="Même arrondissement"/>
    <s v="CMR"/>
    <s v="Cameroun"/>
    <s v="CMR004"/>
    <s v="Extrême-Nord"/>
    <s v="CMR004002"/>
    <s v="Logone-Et-Chari"/>
    <s v="CMR004002009"/>
    <s v="Makary"/>
  </r>
  <r>
    <s v="Extrême-Nord"/>
    <s v="CMR004"/>
    <x v="4"/>
    <s v="CMR004005"/>
    <x v="17"/>
    <s v="CMR004005002"/>
    <s v="MOR-0029"/>
    <s v="KOSSA"/>
    <m/>
    <x v="2"/>
    <s v="Avant 2020"/>
    <n v="180"/>
    <n v="1304"/>
    <x v="0"/>
    <m/>
    <s v="Même arrondissement"/>
    <s v="CMR"/>
    <s v="Cameroun"/>
    <s v="CMR004"/>
    <s v="Extrême-Nord"/>
    <s v="CMR004005"/>
    <s v="Mayo-Sava"/>
    <s v="CMR004005002"/>
    <s v="Mora"/>
  </r>
  <r>
    <s v="Extrême-Nord"/>
    <s v="CMR004"/>
    <x v="2"/>
    <s v="CMR004002"/>
    <x v="9"/>
    <s v="CMR004002010"/>
    <s v="HIL-0007"/>
    <s v="GORETAL GOUTOUN"/>
    <m/>
    <x v="2"/>
    <s v="Avant 2020"/>
    <n v="131"/>
    <n v="999"/>
    <x v="0"/>
    <m/>
    <s v="Même arrondissement"/>
    <s v="CMR"/>
    <s v="Cameroun"/>
    <s v="CMR004"/>
    <s v="Extrême-Nord"/>
    <s v="CMR004002"/>
    <s v="Logone-Et-Chari"/>
    <s v="CMR004002010"/>
    <s v="Hile-Alifa"/>
  </r>
  <r>
    <s v="Extrême-Nord"/>
    <s v="CMR004"/>
    <x v="2"/>
    <s v="CMR004002"/>
    <x v="9"/>
    <s v="CMR004002010"/>
    <s v="HIL-0007"/>
    <s v="GORETAL GOUTOUN"/>
    <m/>
    <x v="2"/>
    <s v="En 2020"/>
    <n v="2"/>
    <n v="2"/>
    <x v="0"/>
    <m/>
    <s v="Même département, autre arrondissement"/>
    <s v="CMR"/>
    <s v="Cameroun"/>
    <s v="CMR004"/>
    <s v="Extrême-Nord"/>
    <s v="CMR004002"/>
    <s v="Logone-Et-Chari"/>
    <s v="CMR004002009"/>
    <s v="Makary"/>
  </r>
  <r>
    <s v="Extrême-Nord"/>
    <s v="CMR004"/>
    <x v="2"/>
    <s v="CMR004002"/>
    <x v="9"/>
    <s v="CMR004002010"/>
    <s v="HIL-0007"/>
    <s v="GORETAL GOUTOUN"/>
    <m/>
    <x v="2"/>
    <s v="Janvier - Aout 2022"/>
    <n v="11"/>
    <n v="158"/>
    <x v="0"/>
    <m/>
    <s v="Même arrondissement"/>
    <s v="CMR"/>
    <s v="Cameroun"/>
    <s v="CMR004"/>
    <s v="Extrême-Nord"/>
    <s v="CMR004002"/>
    <s v="Logone-Et-Chari"/>
    <s v="CMR004002010"/>
    <s v="Hile-Alifa"/>
  </r>
  <r>
    <s v="Extrême-Nord"/>
    <s v="CMR004"/>
    <x v="4"/>
    <s v="CMR004005"/>
    <x v="17"/>
    <s v="CMR004005002"/>
    <s v="MOR-0036"/>
    <s v="BOUDOUA"/>
    <m/>
    <x v="2"/>
    <s v="Avant 2020"/>
    <n v="113"/>
    <n v="751"/>
    <x v="0"/>
    <m/>
    <s v="Même arrondissement"/>
    <s v="CMR"/>
    <s v="Cameroun"/>
    <s v="CMR004"/>
    <s v="Extrême-Nord"/>
    <s v="CMR004005"/>
    <s v="Mayo-Sava"/>
    <s v="CMR004005002"/>
    <s v="Mora"/>
  </r>
  <r>
    <s v="Extrême-Nord"/>
    <s v="CMR004"/>
    <x v="4"/>
    <s v="CMR004005"/>
    <x v="17"/>
    <s v="CMR004005002"/>
    <s v="MOR-0036"/>
    <s v="BOUDOUA"/>
    <m/>
    <x v="2"/>
    <s v="En 2021"/>
    <n v="10"/>
    <n v="53"/>
    <x v="0"/>
    <m/>
    <s v="Même arrondissement"/>
    <s v="CMR"/>
    <s v="Cameroun"/>
    <s v="CMR004"/>
    <s v="Extrême-Nord"/>
    <s v="CMR004005"/>
    <s v="Mayo-Sava"/>
    <s v="CMR004005002"/>
    <s v="Mora"/>
  </r>
  <r>
    <s v="Extrême-Nord"/>
    <s v="CMR004"/>
    <x v="4"/>
    <s v="CMR004005"/>
    <x v="17"/>
    <s v="CMR004005002"/>
    <s v="MOR-0036"/>
    <s v="BOUDOUA"/>
    <m/>
    <x v="2"/>
    <s v="Janvier - Aout 2022"/>
    <n v="4"/>
    <n v="45"/>
    <x v="0"/>
    <m/>
    <s v="Même arrondissement"/>
    <s v="CMR"/>
    <s v="Cameroun"/>
    <s v="CMR004"/>
    <s v="Extrême-Nord"/>
    <s v="CMR004005"/>
    <s v="Mayo-Sava"/>
    <s v="CMR004005002"/>
    <s v="Mora"/>
  </r>
  <r>
    <s v="Extrême-Nord"/>
    <s v="CMR004"/>
    <x v="2"/>
    <s v="CMR004002"/>
    <x v="25"/>
    <s v="CMR004002008"/>
    <s v="FOT-0001"/>
    <s v="AMTCHOUKOULI"/>
    <m/>
    <x v="2"/>
    <s v="Avant 2020"/>
    <n v="73"/>
    <n v="565"/>
    <x v="0"/>
    <m/>
    <s v="Même arrondissement"/>
    <s v="CMR"/>
    <s v="Cameroun"/>
    <s v="CMR004"/>
    <s v="Extrême-Nord"/>
    <s v="CMR004002"/>
    <s v="Logone-Et-Chari"/>
    <s v="CMR004002008"/>
    <s v="Fotokol"/>
  </r>
  <r>
    <s v="Extrême-Nord"/>
    <s v="CMR004"/>
    <x v="2"/>
    <s v="CMR004002"/>
    <x v="15"/>
    <s v="CMR004002004"/>
    <s v="LBI-0023"/>
    <s v="DOUGOUMBRA"/>
    <m/>
    <x v="2"/>
    <s v="Janvier - Aout 2022"/>
    <n v="32"/>
    <n v="315"/>
    <x v="1"/>
    <m/>
    <s v="Même département, autre arrondissement"/>
    <s v="CMR"/>
    <s v="Cameroun"/>
    <s v="CMR004"/>
    <s v="Extrême-Nord"/>
    <s v="CMR004002"/>
    <s v="Logone-Et-Chari"/>
    <s v="CMR004002001"/>
    <s v="Waza"/>
  </r>
  <r>
    <s v="Extrême-Nord"/>
    <s v="CMR004"/>
    <x v="2"/>
    <s v="CMR004002"/>
    <x v="15"/>
    <s v="CMR004002004"/>
    <s v="LBI-0025"/>
    <s v="GUESH"/>
    <m/>
    <x v="2"/>
    <s v="Janvier - Aout 2022"/>
    <n v="11"/>
    <n v="88"/>
    <x v="1"/>
    <m/>
    <s v="Même département, autre arrondissement"/>
    <s v="CMR"/>
    <s v="Cameroun"/>
    <s v="CMR004"/>
    <s v="Extrême-Nord"/>
    <s v="CMR004002"/>
    <s v="Logone-Et-Chari"/>
    <s v="CMR004002001"/>
    <s v="Waza"/>
  </r>
  <r>
    <s v="Extrême-Nord"/>
    <s v="CMR004"/>
    <x v="2"/>
    <s v="CMR004002"/>
    <x v="15"/>
    <s v="CMR004002004"/>
    <s v="LBI-0032"/>
    <s v="MAHANA"/>
    <m/>
    <x v="2"/>
    <s v="Janvier - Aout 2022"/>
    <n v="65"/>
    <n v="400"/>
    <x v="1"/>
    <m/>
    <s v="Même département, autre arrondissement"/>
    <s v="CMR"/>
    <s v="Cameroun"/>
    <s v="CMR004"/>
    <s v="Extrême-Nord"/>
    <s v="CMR004002"/>
    <s v="Logone-Et-Chari"/>
    <s v="CMR004002001"/>
    <s v="Waza"/>
  </r>
  <r>
    <s v="Extrême-Nord"/>
    <s v="CMR004"/>
    <x v="2"/>
    <s v="CMR004002"/>
    <x v="15"/>
    <s v="CMR004002004"/>
    <s v="LBI-0117"/>
    <s v="GO"/>
    <m/>
    <x v="2"/>
    <s v="Janvier - Aout 2022"/>
    <n v="28"/>
    <n v="208"/>
    <x v="1"/>
    <m/>
    <s v="Même département, autre arrondissement"/>
    <s v="CMR"/>
    <s v="Cameroun"/>
    <s v="CMR004"/>
    <s v="Extrême-Nord"/>
    <s v="CMR004002"/>
    <s v="Logone-Et-Chari"/>
    <s v="CMR004002001"/>
    <s v="Waza"/>
  </r>
  <r>
    <s v="Extrême-Nord"/>
    <s v="CMR004"/>
    <x v="2"/>
    <s v="CMR004002"/>
    <x v="15"/>
    <s v="CMR004002004"/>
    <s v="LBI-0037"/>
    <s v="NDJAMENA"/>
    <m/>
    <x v="2"/>
    <s v="Janvier - Aout 2022"/>
    <n v="49"/>
    <n v="450"/>
    <x v="1"/>
    <m/>
    <s v="Même département, autre arrondissement"/>
    <s v="CMR"/>
    <s v="Cameroun"/>
    <s v="CMR004"/>
    <s v="Extrême-Nord"/>
    <s v="CMR004002"/>
    <s v="Logone-Et-Chari"/>
    <s v="CMR004002001"/>
    <s v="Waza"/>
  </r>
  <r>
    <s v="Extrême-Nord"/>
    <s v="CMR004"/>
    <x v="2"/>
    <s v="CMR004002"/>
    <x v="15"/>
    <s v="CMR004002004"/>
    <s v="LBI-0125"/>
    <s v="TINERI 1"/>
    <m/>
    <x v="2"/>
    <s v="Janvier - Aout 2022"/>
    <n v="10"/>
    <n v="63"/>
    <x v="1"/>
    <m/>
    <s v="Même département, autre arrondissement"/>
    <s v="CMR"/>
    <s v="Cameroun"/>
    <s v="CMR004"/>
    <s v="Extrême-Nord"/>
    <s v="CMR004002"/>
    <s v="Logone-Et-Chari"/>
    <s v="CMR004002001"/>
    <s v="Waza"/>
  </r>
  <r>
    <s v="Extrême-Nord"/>
    <s v="CMR004"/>
    <x v="2"/>
    <s v="CMR004002"/>
    <x v="15"/>
    <s v="CMR004002004"/>
    <s v="LBI-0126"/>
    <s v="TINERI 2"/>
    <m/>
    <x v="2"/>
    <s v="Janvier - Aout 2022"/>
    <n v="20"/>
    <n v="97"/>
    <x v="1"/>
    <m/>
    <s v="Même département, autre arrondissement"/>
    <s v="CMR"/>
    <s v="Cameroun"/>
    <s v="CMR004"/>
    <s v="Extrême-Nord"/>
    <s v="CMR004002"/>
    <s v="Logone-Et-Chari"/>
    <s v="CMR004002001"/>
    <s v="Waza"/>
  </r>
  <r>
    <s v="Extrême-Nord"/>
    <s v="CMR004"/>
    <x v="2"/>
    <s v="CMR004002"/>
    <x v="15"/>
    <s v="CMR004002004"/>
    <s v="XXXX"/>
    <s v="MAHANA 2"/>
    <s v="MAHANA 2"/>
    <x v="2"/>
    <s v="Janvier - Aout 2022"/>
    <n v="24"/>
    <n v="168"/>
    <x v="1"/>
    <m/>
    <s v="Même département, autre arrondissement"/>
    <s v="CMR"/>
    <s v="Cameroun"/>
    <s v="CMR004"/>
    <s v="Extrême-Nord"/>
    <s v="CMR004002"/>
    <s v="Logone-Et-Chari"/>
    <s v="CMR004002001"/>
    <s v="Waza"/>
  </r>
  <r>
    <s v="Extrême-Nord"/>
    <s v="CMR004"/>
    <x v="2"/>
    <s v="CMR004002"/>
    <x v="15"/>
    <s v="CMR004002004"/>
    <s v="XXXX"/>
    <s v="MARDIA"/>
    <s v="MARDIA"/>
    <x v="2"/>
    <s v="Janvier - Aout 2022"/>
    <n v="46"/>
    <n v="322"/>
    <x v="1"/>
    <m/>
    <s v="Même département, autre arrondissement"/>
    <s v="CMR"/>
    <s v="Cameroun"/>
    <s v="CMR004"/>
    <s v="Extrême-Nord"/>
    <s v="CMR004002"/>
    <s v="Logone-Et-Chari"/>
    <s v="CMR004002001"/>
    <s v="Waza"/>
  </r>
  <r>
    <s v="Extrême-Nord"/>
    <s v="CMR004"/>
    <x v="2"/>
    <s v="CMR004002"/>
    <x v="15"/>
    <s v="CMR004002004"/>
    <s v="XXXX"/>
    <s v="GRINGAYWA"/>
    <s v="GRINGAYWA"/>
    <x v="2"/>
    <s v="Janvier - Aout 2022"/>
    <n v="28"/>
    <n v="160"/>
    <x v="1"/>
    <m/>
    <s v="Même département, autre arrondissement"/>
    <s v="CMR"/>
    <s v="Cameroun"/>
    <s v="CMR004"/>
    <s v="Extrême-Nord"/>
    <s v="CMR004002"/>
    <s v="Logone-Et-Chari"/>
    <s v="CMR004002001"/>
    <s v="Waza"/>
  </r>
  <r>
    <s v="Extrême-Nord"/>
    <s v="CMR004"/>
    <x v="2"/>
    <s v="CMR004002"/>
    <x v="15"/>
    <s v="CMR004002004"/>
    <s v="XXXX"/>
    <s v="BLAGANA"/>
    <s v="BLAGANA"/>
    <x v="2"/>
    <s v="Avant 2020"/>
    <n v="30"/>
    <n v="200"/>
    <x v="1"/>
    <m/>
    <s v="Même département, autre arrondissement"/>
    <s v="CMR"/>
    <s v="Cameroun"/>
    <s v="CMR004"/>
    <s v="Extrême-Nord"/>
    <s v="CMR004002"/>
    <s v="Logone-Et-Chari"/>
    <s v="CMR004002001"/>
    <s v="Waza"/>
  </r>
  <r>
    <s v="Extrême-Nord"/>
    <s v="CMR004"/>
    <x v="2"/>
    <s v="CMR004002"/>
    <x v="15"/>
    <s v="CMR004002004"/>
    <s v="XXXX"/>
    <s v="HILE DJADID"/>
    <s v="HILE DJADID"/>
    <x v="2"/>
    <s v="Janvier - Aout 2022"/>
    <n v="18"/>
    <n v="36"/>
    <x v="1"/>
    <m/>
    <s v="Même département, autre arrondissement"/>
    <s v="CMR"/>
    <s v="Cameroun"/>
    <s v="CMR004"/>
    <s v="Extrême-Nord"/>
    <s v="CMR004002"/>
    <s v="Logone-Et-Chari"/>
    <s v="CMR004002001"/>
    <s v="Waza"/>
  </r>
  <r>
    <s v="Extrême-Nord"/>
    <s v="CMR004"/>
    <x v="2"/>
    <s v="CMR004002"/>
    <x v="15"/>
    <s v="CMR004002004"/>
    <s v="XXXX"/>
    <s v="SARA"/>
    <s v="SARA"/>
    <x v="2"/>
    <s v="Janvier - Aout 2022"/>
    <n v="19"/>
    <n v="150"/>
    <x v="1"/>
    <m/>
    <s v="Même département, autre arrondissement"/>
    <s v="CMR"/>
    <s v="Cameroun"/>
    <s v="CMR004"/>
    <s v="Extrême-Nord"/>
    <s v="CMR004002"/>
    <s v="Logone-Et-Chari"/>
    <s v="CMR004002001"/>
    <s v="Waza"/>
  </r>
  <r>
    <s v="Extrême-Nord"/>
    <s v="CMR004"/>
    <x v="2"/>
    <s v="CMR004002"/>
    <x v="15"/>
    <s v="CMR004002004"/>
    <s v="XXXX"/>
    <s v="MALOUMRI"/>
    <s v="MALOUMRI"/>
    <x v="2"/>
    <s v="Janvier - Aout 2022"/>
    <n v="11"/>
    <n v="77"/>
    <x v="1"/>
    <m/>
    <s v="Même département, autre arrondissement"/>
    <s v="CMR"/>
    <s v="Cameroun"/>
    <s v="CMR004"/>
    <s v="Extrême-Nord"/>
    <s v="CMR004002"/>
    <s v="Logone-Et-Chari"/>
    <s v="CMR004002001"/>
    <s v="Waza"/>
  </r>
  <r>
    <s v="Extrême-Nord"/>
    <s v="CMR004"/>
    <x v="2"/>
    <s v="CMR004002"/>
    <x v="15"/>
    <s v="CMR004002004"/>
    <s v="LBI-0076"/>
    <s v="BLABILINE"/>
    <m/>
    <x v="2"/>
    <s v="Janvier - Aout 2022"/>
    <n v="179"/>
    <n v="1130"/>
    <x v="1"/>
    <m/>
    <s v="Même arrondissement"/>
    <s v="CMR"/>
    <s v="Cameroun"/>
    <s v="CMR004"/>
    <s v="Extrême-Nord"/>
    <s v="CMR004002"/>
    <s v="Logone-Et-Chari"/>
    <s v="CMR004002004"/>
    <s v="Logone-Birni"/>
  </r>
  <r>
    <s v="Extrême-Nord"/>
    <s v="CMR004"/>
    <x v="2"/>
    <s v="CMR004002"/>
    <x v="15"/>
    <s v="CMR004002004"/>
    <s v="LBI-0088"/>
    <s v="FIRKLIWA"/>
    <m/>
    <x v="2"/>
    <s v="Janvier - Aout 2022"/>
    <n v="5"/>
    <n v="20"/>
    <x v="1"/>
    <m/>
    <s v="Même arrondissement"/>
    <s v="CMR"/>
    <s v="Cameroun"/>
    <s v="CMR004"/>
    <s v="Extrême-Nord"/>
    <s v="CMR004002"/>
    <s v="Logone-Et-Chari"/>
    <s v="CMR004002004"/>
    <s v="Logone-Birni"/>
  </r>
  <r>
    <s v="Extrême-Nord"/>
    <s v="CMR004"/>
    <x v="2"/>
    <s v="CMR004002"/>
    <x v="15"/>
    <s v="CMR004002004"/>
    <s v="LBI-0106"/>
    <s v="AMBALAKA"/>
    <m/>
    <x v="2"/>
    <s v="Janvier - Aout 2022"/>
    <n v="68"/>
    <n v="291"/>
    <x v="1"/>
    <m/>
    <s v="Même arrondissement"/>
    <s v="CMR"/>
    <s v="Cameroun"/>
    <s v="CMR004"/>
    <s v="Extrême-Nord"/>
    <s v="CMR004002"/>
    <s v="Logone-Et-Chari"/>
    <s v="CMR004002004"/>
    <s v="Logone-Birni"/>
  </r>
  <r>
    <s v="Extrême-Nord"/>
    <s v="CMR004"/>
    <x v="1"/>
    <s v="CMR004006"/>
    <x v="14"/>
    <s v="CMR004006007"/>
    <s v="BOU-0005"/>
    <s v="TCHEVI"/>
    <m/>
    <x v="2"/>
    <s v="Avant 2020"/>
    <n v="15"/>
    <n v="84"/>
    <x v="0"/>
    <m/>
    <s v="Autre pays"/>
    <s v="NGA"/>
    <s v="Nigéria"/>
    <m/>
    <m/>
    <m/>
    <m/>
    <m/>
    <m/>
  </r>
  <r>
    <s v="Extrême-Nord"/>
    <s v="CMR004"/>
    <x v="1"/>
    <s v="CMR004006"/>
    <x v="14"/>
    <s v="CMR004006007"/>
    <s v="BOU-0005"/>
    <s v="TCHEVI"/>
    <m/>
    <x v="2"/>
    <s v="En 2020"/>
    <n v="2"/>
    <n v="8"/>
    <x v="0"/>
    <m/>
    <s v="Autre pays"/>
    <s v="NGA"/>
    <s v="Nigéria"/>
    <m/>
    <m/>
    <m/>
    <m/>
    <m/>
    <m/>
  </r>
  <r>
    <s v="Extrême-Nord"/>
    <s v="CMR004"/>
    <x v="1"/>
    <s v="CMR004006"/>
    <x v="14"/>
    <s v="CMR004006007"/>
    <s v="BOU-0005"/>
    <s v="TCHEVI"/>
    <m/>
    <x v="2"/>
    <s v="En 2021"/>
    <n v="1"/>
    <n v="4"/>
    <x v="0"/>
    <m/>
    <s v="Autre pays"/>
    <s v="NGA"/>
    <s v="Nigéria"/>
    <m/>
    <m/>
    <m/>
    <m/>
    <m/>
    <m/>
  </r>
  <r>
    <s v="Extrême-Nord"/>
    <s v="CMR004"/>
    <x v="1"/>
    <s v="CMR004006"/>
    <x v="14"/>
    <s v="CMR004006007"/>
    <s v="BOU-0005"/>
    <s v="TCHEVI"/>
    <m/>
    <x v="2"/>
    <s v="Janvier - Aout 2022"/>
    <n v="2"/>
    <n v="5"/>
    <x v="0"/>
    <m/>
    <s v="Autre pays"/>
    <s v="NGA"/>
    <s v="Nigéria"/>
    <m/>
    <m/>
    <m/>
    <m/>
    <m/>
    <m/>
  </r>
  <r>
    <s v="Extrême-Nord"/>
    <s v="CMR004"/>
    <x v="4"/>
    <s v="CMR004005"/>
    <x v="19"/>
    <s v="CMR004005001"/>
    <s v="KOL-0003"/>
    <s v="KOLOFATA CENTRE"/>
    <m/>
    <x v="2"/>
    <s v="Avant 2020"/>
    <n v="228"/>
    <n v="1134"/>
    <x v="0"/>
    <m/>
    <s v="Même arrondissement"/>
    <s v="CMR"/>
    <s v="Cameroun"/>
    <s v="CMR004"/>
    <s v="Extrême-Nord"/>
    <s v="CMR004005"/>
    <s v="Mayo-Sava"/>
    <s v="CMR004005001"/>
    <s v="Kolofata"/>
  </r>
  <r>
    <s v="Extrême-Nord"/>
    <s v="CMR004"/>
    <x v="4"/>
    <s v="CMR004005"/>
    <x v="19"/>
    <s v="CMR004005001"/>
    <s v="KOL-0003"/>
    <s v="KOLOFATA CENTRE"/>
    <m/>
    <x v="2"/>
    <s v="Septembre 2022 – Février 2023"/>
    <n v="11"/>
    <n v="79"/>
    <x v="0"/>
    <m/>
    <s v="Même arrondissement"/>
    <s v="CMR"/>
    <s v="Cameroun"/>
    <s v="CMR004"/>
    <s v="Extrême-Nord"/>
    <s v="CMR004005"/>
    <s v="Mayo-Sava"/>
    <s v="CMR004005001"/>
    <s v="Kolofata"/>
  </r>
  <r>
    <s v="Extrême-Nord"/>
    <s v="CMR004"/>
    <x v="4"/>
    <s v="CMR004005"/>
    <x v="19"/>
    <s v="CMR004005001"/>
    <s v="KOL-0003"/>
    <s v="KOLOFATA CENTRE"/>
    <m/>
    <x v="2"/>
    <s v="Janvier - Aout 2022"/>
    <n v="0"/>
    <n v="10"/>
    <x v="0"/>
    <m/>
    <s v="Même arrondissement"/>
    <s v="CMR"/>
    <s v="Cameroun"/>
    <s v="CMR004"/>
    <s v="Extrême-Nord"/>
    <s v="CMR004005"/>
    <s v="Mayo-Sava"/>
    <s v="CMR004005001"/>
    <s v="Kolofata"/>
  </r>
  <r>
    <s v="Extrême-Nord"/>
    <s v="CMR004"/>
    <x v="2"/>
    <s v="CMR004002"/>
    <x v="15"/>
    <s v="CMR004002004"/>
    <s v="LBI-0109"/>
    <s v="ADA"/>
    <m/>
    <x v="2"/>
    <s v="Janvier - Aout 2022"/>
    <n v="23"/>
    <n v="100"/>
    <x v="1"/>
    <m/>
    <s v="Même département, autre arrondissement"/>
    <s v="CMR"/>
    <s v="Cameroun"/>
    <s v="CMR004"/>
    <s v="Extrême-Nord"/>
    <s v="CMR004002"/>
    <s v="Logone-Et-Chari"/>
    <s v="CMR004002001"/>
    <s v="Waza"/>
  </r>
  <r>
    <s v="Extrême-Nord"/>
    <s v="CMR004"/>
    <x v="2"/>
    <s v="CMR004002"/>
    <x v="15"/>
    <s v="CMR004002004"/>
    <s v="LBI-0118"/>
    <s v="KALGOULOU 1"/>
    <m/>
    <x v="2"/>
    <s v="Janvier - Aout 2022"/>
    <n v="47"/>
    <n v="211"/>
    <x v="1"/>
    <m/>
    <s v="Même département, autre arrondissement"/>
    <s v="CMR"/>
    <s v="Cameroun"/>
    <s v="CMR004"/>
    <s v="Extrême-Nord"/>
    <s v="CMR004002"/>
    <s v="Logone-Et-Chari"/>
    <s v="CMR004002001"/>
    <s v="Waza"/>
  </r>
  <r>
    <s v="Extrême-Nord"/>
    <s v="CMR004"/>
    <x v="2"/>
    <s v="CMR004002"/>
    <x v="15"/>
    <s v="CMR004002004"/>
    <s v="LBI-0119"/>
    <s v="KALGOULOU 2"/>
    <m/>
    <x v="2"/>
    <s v="Janvier - Aout 2022"/>
    <n v="46"/>
    <n v="206"/>
    <x v="1"/>
    <m/>
    <s v="Même département, autre arrondissement"/>
    <s v="CMR"/>
    <s v="Cameroun"/>
    <s v="CMR004"/>
    <s v="Extrême-Nord"/>
    <s v="CMR004002"/>
    <s v="Logone-Et-Chari"/>
    <s v="CMR004002001"/>
    <s v="Waza"/>
  </r>
  <r>
    <s v="Extrême-Nord"/>
    <s v="CMR004"/>
    <x v="3"/>
    <s v="CMR004003"/>
    <x v="11"/>
    <s v="CMR004003002"/>
    <s v="MAG-0018"/>
    <s v="VARAYE"/>
    <m/>
    <x v="2"/>
    <s v="En 2020"/>
    <n v="17"/>
    <n v="180"/>
    <x v="2"/>
    <s v="La zone de déplacement est une digue route "/>
    <s v="Même arrondissement"/>
    <s v="CMR"/>
    <s v="Cameroun"/>
    <s v="CMR004"/>
    <s v="Extrême-Nord"/>
    <s v="CMR004003"/>
    <s v="Mayo-Danay"/>
    <s v="CMR004003002"/>
    <s v="Maga"/>
  </r>
  <r>
    <s v="Extrême-Nord"/>
    <s v="CMR004"/>
    <x v="3"/>
    <s v="CMR004003"/>
    <x v="11"/>
    <s v="CMR004003002"/>
    <s v="MAG-0018"/>
    <s v="VARAYE"/>
    <m/>
    <x v="2"/>
    <s v="En 2021"/>
    <n v="0"/>
    <n v="10"/>
    <x v="3"/>
    <m/>
    <s v="Même arrondissement"/>
    <s v="CMR"/>
    <s v="Cameroun"/>
    <s v="CMR004"/>
    <s v="Extrême-Nord"/>
    <s v="CMR004003"/>
    <s v="Mayo-Danay"/>
    <s v="CMR004003002"/>
    <s v="Maga"/>
  </r>
  <r>
    <s v="Extrême-Nord"/>
    <s v="CMR004"/>
    <x v="3"/>
    <s v="CMR004003"/>
    <x v="11"/>
    <s v="CMR004003002"/>
    <s v="MAG-0018"/>
    <s v="VARAYE"/>
    <m/>
    <x v="2"/>
    <s v="Janvier - Aout 2022"/>
    <n v="0"/>
    <n v="9"/>
    <x v="3"/>
    <m/>
    <s v="Même arrondissement"/>
    <s v="CMR"/>
    <s v="Cameroun"/>
    <s v="CMR004"/>
    <s v="Extrême-Nord"/>
    <s v="CMR004003"/>
    <s v="Mayo-Danay"/>
    <s v="CMR004003002"/>
    <s v="Maga"/>
  </r>
  <r>
    <s v="Extrême-Nord"/>
    <s v="CMR004"/>
    <x v="3"/>
    <s v="CMR004003"/>
    <x v="11"/>
    <s v="CMR004003002"/>
    <s v="MAG-0018"/>
    <s v="VARAYE"/>
    <m/>
    <x v="2"/>
    <s v="Septembre 2022 – Février 2023"/>
    <n v="2"/>
    <n v="11"/>
    <x v="3"/>
    <m/>
    <s v="Même arrondissement"/>
    <s v="CMR"/>
    <s v="Cameroun"/>
    <s v="CMR004"/>
    <s v="Extrême-Nord"/>
    <s v="CMR004003"/>
    <s v="Mayo-Danay"/>
    <s v="CMR004003002"/>
    <s v="Maga"/>
  </r>
  <r>
    <s v="Extrême-Nord"/>
    <s v="CMR004"/>
    <x v="3"/>
    <s v="CMR004003"/>
    <x v="11"/>
    <s v="CMR004003002"/>
    <s v="MAG-0026"/>
    <s v="MOUSTAFARI"/>
    <m/>
    <x v="2"/>
    <s v="Janvier - Aout 2022"/>
    <n v="13"/>
    <n v="80"/>
    <x v="1"/>
    <m/>
    <s v="Autre département"/>
    <s v="CMR"/>
    <s v="Cameroun"/>
    <s v="CMR004"/>
    <s v="Extrême-Nord"/>
    <s v="CMR004001"/>
    <s v="Diamaré"/>
    <m/>
    <m/>
  </r>
  <r>
    <s v="Extrême-Nord"/>
    <s v="CMR004"/>
    <x v="3"/>
    <s v="CMR004003"/>
    <x v="11"/>
    <s v="CMR004003002"/>
    <s v="MAG-0026"/>
    <s v="MOUSTAFARI"/>
    <m/>
    <x v="2"/>
    <s v="Septembre 2022 – Février 2023"/>
    <n v="0"/>
    <n v="3"/>
    <x v="1"/>
    <m/>
    <s v="Autre département"/>
    <s v="CMR"/>
    <s v="Cameroun"/>
    <s v="CMR004"/>
    <s v="Extrême-Nord"/>
    <s v="CMR004001"/>
    <s v="Diamaré"/>
    <m/>
    <m/>
  </r>
  <r>
    <s v="Extrême-Nord"/>
    <s v="CMR004"/>
    <x v="3"/>
    <s v="CMR004003"/>
    <x v="11"/>
    <s v="CMR004003002"/>
    <s v="MAG-0020"/>
    <s v="DIGA ARABE"/>
    <m/>
    <x v="2"/>
    <s v="Janvier - Aout 2022"/>
    <n v="38"/>
    <n v="200"/>
    <x v="1"/>
    <m/>
    <s v="Même arrondissement"/>
    <s v="CMR"/>
    <s v="Cameroun"/>
    <s v="CMR004"/>
    <s v="Extrême-Nord"/>
    <s v="CMR004003"/>
    <s v="Mayo-Danay"/>
    <s v="CMR004003002"/>
    <s v="Maga"/>
  </r>
  <r>
    <s v="Extrême-Nord"/>
    <s v="CMR004"/>
    <x v="3"/>
    <s v="CMR004003"/>
    <x v="11"/>
    <s v="CMR004003002"/>
    <s v="MAG-0020"/>
    <s v="DIGA ARABE"/>
    <m/>
    <x v="2"/>
    <s v="Septembre 2022 – Février 2023"/>
    <n v="7"/>
    <n v="40"/>
    <x v="1"/>
    <m/>
    <s v="Même arrondissement"/>
    <s v="CMR"/>
    <s v="Cameroun"/>
    <s v="CMR004"/>
    <s v="Extrême-Nord"/>
    <s v="CMR004003"/>
    <s v="Mayo-Danay"/>
    <s v="CMR004003002"/>
    <s v="Maga"/>
  </r>
  <r>
    <s v="Extrême-Nord"/>
    <s v="CMR004"/>
    <x v="2"/>
    <s v="CMR004002"/>
    <x v="8"/>
    <s v="CMR004002009"/>
    <s v="MAK-0061"/>
    <s v="MALTAM"/>
    <m/>
    <x v="2"/>
    <s v="En 2020"/>
    <n v="15"/>
    <n v="85"/>
    <x v="0"/>
    <m/>
    <s v="Même arrondissement"/>
    <s v="CMR"/>
    <s v="Cameroun"/>
    <s v="CMR004"/>
    <s v="Extrême-Nord"/>
    <s v="CMR004002"/>
    <s v="Logone-Et-Chari"/>
    <s v="CMR004002009"/>
    <s v="Makary"/>
  </r>
  <r>
    <s v="Extrême-Nord"/>
    <s v="CMR004"/>
    <x v="2"/>
    <s v="CMR004002"/>
    <x v="8"/>
    <s v="CMR004002009"/>
    <s v="MAK-0061"/>
    <s v="MALTAM"/>
    <m/>
    <x v="2"/>
    <s v="Septembre 2022 – Février 2023"/>
    <n v="5"/>
    <n v="17"/>
    <x v="3"/>
    <m/>
    <s v="Même arrondissement"/>
    <s v="CMR"/>
    <s v="Cameroun"/>
    <s v="CMR004"/>
    <s v="Extrême-Nord"/>
    <s v="CMR004002"/>
    <s v="Logone-Et-Chari"/>
    <s v="CMR004002009"/>
    <s v="Makary"/>
  </r>
  <r>
    <s v="Extrême-Nord"/>
    <s v="CMR004"/>
    <x v="3"/>
    <s v="CMR004003"/>
    <x v="11"/>
    <s v="CMR004003002"/>
    <s v="MAG-0029"/>
    <s v="OURO-GAOU"/>
    <m/>
    <x v="2"/>
    <s v="Janvier - Aout 2022"/>
    <n v="5"/>
    <n v="40"/>
    <x v="1"/>
    <m/>
    <s v="Autre département"/>
    <s v="CMR"/>
    <s v="Cameroun"/>
    <s v="CMR004"/>
    <s v="Extrême-Nord"/>
    <s v="CMR004001"/>
    <s v="Diamaré"/>
    <m/>
    <m/>
  </r>
  <r>
    <s v="Extrême-Nord"/>
    <s v="CMR004"/>
    <x v="3"/>
    <s v="CMR004003"/>
    <x v="11"/>
    <s v="CMR004003002"/>
    <s v="MAG-0029"/>
    <s v="OURO-GAOU"/>
    <m/>
    <x v="2"/>
    <s v="Septembre 2022 – Février 2023"/>
    <n v="27"/>
    <n v="175"/>
    <x v="1"/>
    <m/>
    <s v="Autre département"/>
    <s v="CMR"/>
    <s v="Cameroun"/>
    <s v="CMR004"/>
    <s v="Extrême-Nord"/>
    <s v="CMR004001"/>
    <s v="Diamaré"/>
    <m/>
    <m/>
  </r>
  <r>
    <s v="Extrême-Nord"/>
    <s v="CMR004"/>
    <x v="2"/>
    <s v="CMR004002"/>
    <x v="9"/>
    <s v="CMR004002010"/>
    <s v="HIL-0012"/>
    <s v="TERBOU"/>
    <m/>
    <x v="2"/>
    <s v="Avant 2020"/>
    <n v="90"/>
    <n v="472"/>
    <x v="0"/>
    <m/>
    <s v="Même arrondissement"/>
    <s v="CMR"/>
    <s v="Cameroun"/>
    <s v="CMR004"/>
    <s v="Extrême-Nord"/>
    <s v="CMR004002"/>
    <s v="Logone-Et-Chari"/>
    <s v="CMR004002010"/>
    <s v="Hile-Alifa"/>
  </r>
  <r>
    <s v="Extrême-Nord"/>
    <s v="CMR004"/>
    <x v="1"/>
    <s v="CMR004006"/>
    <x v="7"/>
    <s v="CMR004006005"/>
    <s v="MOZ-0029"/>
    <s v="SITE DE MOSKOTA - TCHEBE-TCHEBE"/>
    <m/>
    <x v="2"/>
    <s v="Septembre 2022 – Février 2023"/>
    <n v="6"/>
    <n v="27"/>
    <x v="0"/>
    <m/>
    <s v="Même département, autre arrondissement"/>
    <s v="CMR"/>
    <s v="Cameroun"/>
    <s v="CMR004"/>
    <s v="Extrême-Nord"/>
    <s v="CMR004006"/>
    <s v="Mayo-Tsanaga"/>
    <s v="CMR004006004"/>
    <s v="Koza"/>
  </r>
  <r>
    <s v="Extrême-Nord"/>
    <s v="CMR004"/>
    <x v="1"/>
    <s v="CMR004006"/>
    <x v="7"/>
    <s v="CMR004006005"/>
    <s v="MOZ-0003"/>
    <s v="KARAZAWA"/>
    <m/>
    <x v="2"/>
    <s v="Avant 2020"/>
    <n v="13"/>
    <n v="68"/>
    <x v="0"/>
    <m/>
    <s v="Autre région"/>
    <s v="CMR"/>
    <s v="Cameroun"/>
    <s v="CMR006"/>
    <s v="Nord"/>
    <m/>
    <m/>
    <m/>
    <m/>
  </r>
  <r>
    <s v="Extrême-Nord"/>
    <s v="CMR004"/>
    <x v="1"/>
    <s v="CMR004006"/>
    <x v="7"/>
    <s v="CMR004006005"/>
    <s v="MOZ-0024"/>
    <s v="ZELEVED"/>
    <m/>
    <x v="2"/>
    <s v="Avant 2020"/>
    <n v="32"/>
    <n v="161"/>
    <x v="0"/>
    <m/>
    <s v="Même arrondissement"/>
    <s v="CMR"/>
    <s v="Cameroun"/>
    <s v="CMR004"/>
    <s v="Extrême-Nord"/>
    <s v="CMR004006"/>
    <s v="Mayo-Tsanaga"/>
    <s v="CMR004006005"/>
    <s v="Mayo-Moskota"/>
  </r>
  <r>
    <s v="Extrême-Nord"/>
    <s v="CMR004"/>
    <x v="1"/>
    <s v="CMR004006"/>
    <x v="7"/>
    <s v="CMR004006005"/>
    <s v="MOZ-0024"/>
    <s v="ZELEVED"/>
    <m/>
    <x v="2"/>
    <s v="En 2021"/>
    <n v="0"/>
    <n v="1"/>
    <x v="0"/>
    <m/>
    <s v="Même arrondissement"/>
    <s v="CMR"/>
    <s v="Cameroun"/>
    <s v="CMR004"/>
    <s v="Extrême-Nord"/>
    <s v="CMR004006"/>
    <s v="Mayo-Tsanaga"/>
    <s v="CMR004006005"/>
    <s v="Mayo-Moskota"/>
  </r>
  <r>
    <s v="Extrême-Nord"/>
    <s v="CMR004"/>
    <x v="2"/>
    <s v="CMR004002"/>
    <x v="26"/>
    <s v="CMR004002006"/>
    <s v="KOU-0025"/>
    <s v="MASSIL-AL-KANAM"/>
    <m/>
    <x v="2"/>
    <s v="Septembre 2022 – Février 2023"/>
    <n v="4"/>
    <n v="30"/>
    <x v="3"/>
    <m/>
    <s v="Même arrondissement"/>
    <s v="CMR"/>
    <s v="Cameroun"/>
    <s v="CMR004"/>
    <s v="Extrême-Nord"/>
    <s v="CMR004002"/>
    <s v="Logone-Et-Chari"/>
    <s v="CMR004002006"/>
    <s v="Kousséri"/>
  </r>
  <r>
    <s v="Extrême-Nord"/>
    <s v="CMR004"/>
    <x v="2"/>
    <s v="CMR004002"/>
    <x v="26"/>
    <s v="CMR004002006"/>
    <s v="KOU-0011"/>
    <s v="IBOU"/>
    <m/>
    <x v="2"/>
    <s v="Septembre 2022 – Février 2023"/>
    <n v="30"/>
    <n v="150"/>
    <x v="3"/>
    <m/>
    <s v="Même arrondissement"/>
    <s v="CMR"/>
    <s v="Cameroun"/>
    <s v="CMR004"/>
    <s v="Extrême-Nord"/>
    <s v="CMR004002"/>
    <s v="Logone-Et-Chari"/>
    <s v="CMR004002006"/>
    <s v="Kousséri"/>
  </r>
  <r>
    <s v="Extrême-Nord"/>
    <s v="CMR004"/>
    <x v="2"/>
    <s v="CMR004002"/>
    <x v="15"/>
    <s v="CMR004002004"/>
    <s v="LBI-0082"/>
    <s v="SAMAKALE"/>
    <m/>
    <x v="2"/>
    <s v="Janvier - Aout 2022"/>
    <n v="83"/>
    <n v="215"/>
    <x v="1"/>
    <m/>
    <s v="Autre pays"/>
    <s v="TCD"/>
    <s v="Tchad"/>
    <m/>
    <m/>
    <m/>
    <m/>
    <m/>
    <m/>
  </r>
  <r>
    <s v="Extrême-Nord"/>
    <s v="CMR004"/>
    <x v="2"/>
    <s v="CMR004002"/>
    <x v="15"/>
    <s v="CMR004002004"/>
    <s v="LBI-0082"/>
    <s v="SAMAKALE"/>
    <m/>
    <x v="2"/>
    <s v="Septembre 2022 – Février 2023"/>
    <n v="20"/>
    <n v="100"/>
    <x v="1"/>
    <m/>
    <s v="Autre pays"/>
    <s v="TCD"/>
    <s v="Tchad"/>
    <m/>
    <m/>
    <m/>
    <m/>
    <m/>
    <m/>
  </r>
  <r>
    <s v="Extrême-Nord"/>
    <s v="CMR004"/>
    <x v="2"/>
    <s v="CMR004002"/>
    <x v="15"/>
    <s v="CMR004002004"/>
    <s v="LBI-0071"/>
    <s v="MBANAMAMTE"/>
    <m/>
    <x v="2"/>
    <s v="Septembre 2022 – Février 2023"/>
    <n v="10"/>
    <n v="54"/>
    <x v="1"/>
    <m/>
    <s v="Autre pays"/>
    <s v="TCD"/>
    <s v="Tchad"/>
    <m/>
    <m/>
    <m/>
    <m/>
    <m/>
    <m/>
  </r>
  <r>
    <s v="Extrême-Nord"/>
    <s v="CMR004"/>
    <x v="2"/>
    <s v="CMR004002"/>
    <x v="13"/>
    <s v="CMR004002001"/>
    <s v="WAZ-0008"/>
    <s v="TAGAWA 2"/>
    <m/>
    <x v="2"/>
    <s v="Avant 2020"/>
    <n v="5"/>
    <n v="21"/>
    <x v="0"/>
    <m/>
    <s v="Même arrondissement"/>
    <s v="CMR"/>
    <s v="Cameroun"/>
    <s v="CMR004"/>
    <s v="Extrême-Nord"/>
    <s v="CMR004002"/>
    <s v="Logone-Et-Chari"/>
    <s v="CMR004002001"/>
    <s v="Waza"/>
  </r>
  <r>
    <s v="Extrême-Nord"/>
    <s v="CMR004"/>
    <x v="1"/>
    <s v="CMR004006"/>
    <x v="1"/>
    <s v="CMR004006002"/>
    <s v="MOK-0001"/>
    <s v="BOUNGUELRE"/>
    <m/>
    <x v="2"/>
    <s v="Avant 2020"/>
    <n v="156"/>
    <n v="1236"/>
    <x v="0"/>
    <m/>
    <s v="Même arrondissement"/>
    <s v="CMR"/>
    <s v="Cameroun"/>
    <s v="CMR004"/>
    <s v="Extrême-Nord"/>
    <s v="CMR004006"/>
    <s v="Mayo-Tsanaga"/>
    <s v="CMR004006002"/>
    <s v="Mokolo"/>
  </r>
  <r>
    <s v="Extrême-Nord"/>
    <s v="CMR004"/>
    <x v="2"/>
    <s v="CMR004002"/>
    <x v="12"/>
    <s v="CMR004002002"/>
    <s v="GOU-0021"/>
    <s v="SAO"/>
    <m/>
    <x v="2"/>
    <s v="Avant 2020"/>
    <n v="5"/>
    <n v="17"/>
    <x v="3"/>
    <m/>
    <s v="Même arrondissement"/>
    <s v="CMR"/>
    <s v="Cameroun"/>
    <s v="CMR004"/>
    <s v="Extrême-Nord"/>
    <s v="CMR004002"/>
    <s v="Logone-Et-Chari"/>
    <s v="CMR004002002"/>
    <s v="Goulfey"/>
  </r>
  <r>
    <s v="Extrême-Nord"/>
    <s v="CMR004"/>
    <x v="3"/>
    <s v="CMR004003"/>
    <x v="33"/>
    <s v="CMR004003001"/>
    <s v="XXXX"/>
    <s v="DOREISSOU"/>
    <s v="DOREISSOU"/>
    <x v="2"/>
    <s v="Septembre 2022 – Février 2023"/>
    <n v="937"/>
    <n v="8433"/>
    <x v="3"/>
    <m/>
    <s v="Même arrondissement"/>
    <s v="CMR"/>
    <s v="Cameroun"/>
    <s v="CMR004"/>
    <s v="Extrême-Nord"/>
    <s v="CMR004003"/>
    <s v="Mayo-Danay"/>
    <s v="CMR004003001"/>
    <s v="Kai-Kai"/>
  </r>
  <r>
    <s v="Extrême-Nord"/>
    <s v="CMR004"/>
    <x v="3"/>
    <s v="CMR004003"/>
    <x v="33"/>
    <s v="CMR004003001"/>
    <s v="KAI-0003"/>
    <s v="BEGUEPALAM"/>
    <m/>
    <x v="2"/>
    <s v="Septembre 2022 – Février 2023"/>
    <n v="417"/>
    <n v="2140"/>
    <x v="3"/>
    <m/>
    <s v="Même arrondissement"/>
    <s v="CMR"/>
    <s v="Cameroun"/>
    <s v="CMR004"/>
    <s v="Extrême-Nord"/>
    <s v="CMR004003"/>
    <s v="Mayo-Danay"/>
    <s v="CMR004003001"/>
    <s v="Kai-Kai"/>
  </r>
  <r>
    <s v="Extrême-Nord"/>
    <s v="CMR004"/>
    <x v="3"/>
    <s v="CMR004003"/>
    <x v="31"/>
    <s v="CMR004003006"/>
    <s v="GUM-0001"/>
    <s v="BANGALA"/>
    <m/>
    <x v="2"/>
    <s v="Septembre 2022 – Février 2023"/>
    <n v="93"/>
    <n v="920"/>
    <x v="3"/>
    <m/>
    <s v="Même arrondissement"/>
    <s v="CMR"/>
    <s v="Cameroun"/>
    <s v="CMR004"/>
    <s v="Extrême-Nord"/>
    <s v="CMR004003"/>
    <s v="Mayo-Danay"/>
    <s v="CMR004003006"/>
    <s v="Guémé"/>
  </r>
  <r>
    <s v="Extrême-Nord"/>
    <s v="CMR004"/>
    <x v="3"/>
    <s v="CMR004003"/>
    <x v="31"/>
    <s v="CMR004003006"/>
    <s v="GUM-0002"/>
    <s v="GUEME"/>
    <m/>
    <x v="2"/>
    <s v="Septembre 2022 – Février 2023"/>
    <n v="34"/>
    <n v="183"/>
    <x v="3"/>
    <m/>
    <s v="Même arrondissement"/>
    <s v="CMR"/>
    <s v="Cameroun"/>
    <s v="CMR004"/>
    <s v="Extrême-Nord"/>
    <s v="CMR004003"/>
    <s v="Mayo-Danay"/>
    <s v="CMR004003006"/>
    <s v="Guémé"/>
  </r>
  <r>
    <s v="Extrême-Nord"/>
    <s v="CMR004"/>
    <x v="4"/>
    <s v="CMR004005"/>
    <x v="19"/>
    <s v="CMR004005001"/>
    <s v="KOL-0001"/>
    <s v="AMCHIDE"/>
    <m/>
    <x v="2"/>
    <s v="Avant 2020"/>
    <n v="1589"/>
    <n v="11690"/>
    <x v="0"/>
    <m/>
    <s v="Même arrondissement"/>
    <s v="CMR"/>
    <s v="Cameroun"/>
    <s v="CMR004"/>
    <s v="Extrême-Nord"/>
    <s v="CMR004005"/>
    <s v="Mayo-Sava"/>
    <s v="CMR004005001"/>
    <s v="Kolofata"/>
  </r>
  <r>
    <s v="Extrême-Nord"/>
    <s v="CMR004"/>
    <x v="4"/>
    <s v="CMR004005"/>
    <x v="19"/>
    <s v="CMR004005001"/>
    <s v="KOL-0001"/>
    <s v="AMCHIDE"/>
    <m/>
    <x v="2"/>
    <s v="En 2020"/>
    <n v="0"/>
    <n v="18"/>
    <x v="0"/>
    <m/>
    <s v="Même arrondissement"/>
    <s v="CMR"/>
    <s v="Cameroun"/>
    <s v="CMR004"/>
    <s v="Extrême-Nord"/>
    <s v="CMR004005"/>
    <s v="Mayo-Sava"/>
    <s v="CMR004005001"/>
    <s v="Kolofata"/>
  </r>
  <r>
    <s v="Extrême-Nord"/>
    <s v="CMR004"/>
    <x v="4"/>
    <s v="CMR004005"/>
    <x v="19"/>
    <s v="CMR004005001"/>
    <s v="KOL-0001"/>
    <s v="AMCHIDE"/>
    <m/>
    <x v="2"/>
    <s v="En 2021"/>
    <n v="115"/>
    <n v="768"/>
    <x v="0"/>
    <m/>
    <s v="Même arrondissement"/>
    <s v="CMR"/>
    <s v="Cameroun"/>
    <s v="CMR004"/>
    <s v="Extrême-Nord"/>
    <s v="CMR004005"/>
    <s v="Mayo-Sava"/>
    <s v="CMR004005001"/>
    <s v="Kolofata"/>
  </r>
  <r>
    <s v="Extrême-Nord"/>
    <s v="CMR004"/>
    <x v="4"/>
    <s v="CMR004005"/>
    <x v="19"/>
    <s v="CMR004005001"/>
    <s v="KOL-0001"/>
    <s v="AMCHIDE"/>
    <m/>
    <x v="2"/>
    <s v="Janvier - Aout 2022"/>
    <n v="20"/>
    <n v="100"/>
    <x v="0"/>
    <m/>
    <s v="Même arrondissement"/>
    <s v="CMR"/>
    <s v="Cameroun"/>
    <s v="CMR004"/>
    <s v="Extrême-Nord"/>
    <s v="CMR004005"/>
    <s v="Mayo-Sava"/>
    <s v="CMR004005001"/>
    <s v="Kolofata"/>
  </r>
  <r>
    <s v="Extrême-Nord"/>
    <s v="CMR004"/>
    <x v="4"/>
    <s v="CMR004005"/>
    <x v="19"/>
    <s v="CMR004005001"/>
    <s v="KOL-0001"/>
    <s v="AMCHIDE"/>
    <m/>
    <x v="2"/>
    <s v="Septembre 2022 – Février 2023"/>
    <n v="0"/>
    <n v="30"/>
    <x v="0"/>
    <m/>
    <s v="Même arrondissement"/>
    <s v="CMR"/>
    <s v="Cameroun"/>
    <s v="CMR004"/>
    <s v="Extrême-Nord"/>
    <s v="CMR004005"/>
    <s v="Mayo-Sava"/>
    <s v="CMR004005001"/>
    <s v="Kolofata"/>
  </r>
  <r>
    <s v="Extrême-Nord"/>
    <s v="CMR004"/>
    <x v="2"/>
    <s v="CMR004002"/>
    <x v="25"/>
    <s v="CMR004002008"/>
    <s v="FOT-0006"/>
    <s v="FOTOKOL VILLE"/>
    <m/>
    <x v="2"/>
    <s v="Avant 2020"/>
    <n v="1302"/>
    <n v="9935"/>
    <x v="0"/>
    <m/>
    <s v="Même arrondissement"/>
    <s v="CMR"/>
    <s v="Cameroun"/>
    <s v="CMR004"/>
    <s v="Extrême-Nord"/>
    <s v="CMR004002"/>
    <s v="Logone-Et-Chari"/>
    <s v="CMR004002008"/>
    <s v="Fotokol"/>
  </r>
  <r>
    <s v="Extrême-Nord"/>
    <s v="CMR004"/>
    <x v="2"/>
    <s v="CMR004002"/>
    <x v="25"/>
    <s v="CMR004002008"/>
    <s v="FOT-0006"/>
    <s v="FOTOKOL VILLE"/>
    <m/>
    <x v="2"/>
    <s v="En 2020"/>
    <n v="39"/>
    <n v="235"/>
    <x v="0"/>
    <m/>
    <s v="Même arrondissement"/>
    <s v="CMR"/>
    <s v="Cameroun"/>
    <s v="CMR004"/>
    <s v="Extrême-Nord"/>
    <s v="CMR004002"/>
    <s v="Logone-Et-Chari"/>
    <s v="CMR004002008"/>
    <s v="Fotokol"/>
  </r>
  <r>
    <s v="Extrême-Nord"/>
    <s v="CMR004"/>
    <x v="2"/>
    <s v="CMR004002"/>
    <x v="25"/>
    <s v="CMR004002008"/>
    <s v="FOT-0006"/>
    <s v="FOTOKOL VILLE"/>
    <m/>
    <x v="2"/>
    <s v="En 2021"/>
    <n v="43"/>
    <n v="321"/>
    <x v="0"/>
    <m/>
    <s v="Même arrondissement"/>
    <s v="CMR"/>
    <s v="Cameroun"/>
    <s v="CMR004"/>
    <s v="Extrême-Nord"/>
    <s v="CMR004002"/>
    <s v="Logone-Et-Chari"/>
    <s v="CMR004002008"/>
    <s v="Fotokol"/>
  </r>
  <r>
    <s v="Extrême-Nord"/>
    <s v="CMR004"/>
    <x v="2"/>
    <s v="CMR004002"/>
    <x v="25"/>
    <s v="CMR004002008"/>
    <s v="FOT-0006"/>
    <s v="FOTOKOL VILLE"/>
    <m/>
    <x v="2"/>
    <s v="Janvier - Aout 2022"/>
    <n v="2"/>
    <n v="13"/>
    <x v="0"/>
    <m/>
    <s v="Même arrondissement"/>
    <s v="CMR"/>
    <s v="Cameroun"/>
    <s v="CMR004"/>
    <s v="Extrême-Nord"/>
    <s v="CMR004002"/>
    <s v="Logone-Et-Chari"/>
    <s v="CMR004002008"/>
    <s v="Fotokol"/>
  </r>
  <r>
    <s v="Extrême-Nord"/>
    <s v="CMR004"/>
    <x v="2"/>
    <s v="CMR004002"/>
    <x v="13"/>
    <s v="CMR004002001"/>
    <s v="WAZ-0009"/>
    <s v="TAGAWA 3"/>
    <m/>
    <x v="2"/>
    <s v="Septembre 2022 – Février 2023"/>
    <n v="15"/>
    <n v="102"/>
    <x v="0"/>
    <m/>
    <s v="Même arrondissement"/>
    <s v="CMR"/>
    <s v="Cameroun"/>
    <s v="CMR004"/>
    <s v="Extrême-Nord"/>
    <s v="CMR004002"/>
    <s v="Logone-Et-Chari"/>
    <s v="CMR004002001"/>
    <s v="Waza"/>
  </r>
  <r>
    <s v="Extrême-Nord"/>
    <s v="CMR004"/>
    <x v="3"/>
    <s v="CMR004003"/>
    <x v="11"/>
    <s v="CMR004003002"/>
    <s v="MAG-0009"/>
    <s v="ARGAZAMA"/>
    <m/>
    <x v="2"/>
    <s v="Septembre 2022 – Février 2023"/>
    <n v="12"/>
    <n v="100"/>
    <x v="3"/>
    <m/>
    <s v="Même arrondissement"/>
    <s v="CMR"/>
    <s v="Cameroun"/>
    <s v="CMR004"/>
    <s v="Extrême-Nord"/>
    <s v="CMR004003"/>
    <s v="Mayo-Danay"/>
    <s v="CMR004003002"/>
    <s v="Maga"/>
  </r>
  <r>
    <s v="Extrême-Nord"/>
    <s v="CMR004"/>
    <x v="3"/>
    <s v="CMR004003"/>
    <x v="11"/>
    <s v="CMR004003002"/>
    <s v="MAG-0021"/>
    <s v="MAGA CENTRE"/>
    <m/>
    <x v="2"/>
    <s v="Septembre 2022 – Février 2023"/>
    <n v="12"/>
    <n v="123"/>
    <x v="1"/>
    <m/>
    <s v="Autre département"/>
    <s v="CMR"/>
    <s v="Cameroun"/>
    <s v="CMR004"/>
    <s v="Extrême-Nord"/>
    <s v="CMR004001"/>
    <s v="Diamaré"/>
    <m/>
    <m/>
  </r>
  <r>
    <s v="Extrême-Nord"/>
    <s v="CMR004"/>
    <x v="3"/>
    <s v="CMR004003"/>
    <x v="11"/>
    <s v="CMR004003002"/>
    <s v="MAG-0023"/>
    <s v="MAOUDA"/>
    <m/>
    <x v="2"/>
    <s v="Septembre 2022 – Février 2023"/>
    <n v="3"/>
    <n v="18"/>
    <x v="1"/>
    <m/>
    <s v="Autre pays"/>
    <s v="TCD"/>
    <s v="Tchad"/>
    <m/>
    <m/>
    <m/>
    <m/>
    <m/>
    <m/>
  </r>
  <r>
    <s v="Extrême-Nord"/>
    <s v="CMR004"/>
    <x v="3"/>
    <s v="CMR004003"/>
    <x v="11"/>
    <s v="CMR004003002"/>
    <s v="MAG-0003"/>
    <s v="GUIRVIDIG"/>
    <m/>
    <x v="2"/>
    <s v="Septembre 2022 – Février 2023"/>
    <n v="23"/>
    <n v="162"/>
    <x v="1"/>
    <m/>
    <s v="Même arrondissement"/>
    <s v="CMR"/>
    <s v="Cameroun"/>
    <s v="CMR004"/>
    <s v="Extrême-Nord"/>
    <s v="CMR004003"/>
    <s v="Mayo-Danay"/>
    <s v="CMR004003002"/>
    <s v="Maga"/>
  </r>
  <r>
    <s v="Extrême-Nord"/>
    <s v="CMR004"/>
    <x v="3"/>
    <s v="CMR004003"/>
    <x v="11"/>
    <s v="CMR004003002"/>
    <s v="MAG-0003"/>
    <s v="GUIRVIDIG"/>
    <m/>
    <x v="2"/>
    <s v="Janvier - Aout 2022"/>
    <n v="15"/>
    <n v="90"/>
    <x v="1"/>
    <m/>
    <s v="Autre département"/>
    <s v="CMR"/>
    <s v="Cameroun"/>
    <s v="CMR004"/>
    <s v="Extrême-Nord"/>
    <s v="CMR004001"/>
    <s v="Diamaré"/>
    <m/>
    <m/>
  </r>
  <r>
    <s v="Extrême-Nord"/>
    <s v="CMR004"/>
    <x v="3"/>
    <s v="CMR004003"/>
    <x v="11"/>
    <s v="CMR004003002"/>
    <s v="MAG-0024"/>
    <s v="MBARKOUT"/>
    <m/>
    <x v="2"/>
    <s v="Janvier - Aout 2022"/>
    <n v="7"/>
    <n v="27"/>
    <x v="1"/>
    <m/>
    <s v="Autre département"/>
    <s v="CMR"/>
    <s v="Cameroun"/>
    <s v="CMR004"/>
    <s v="Extrême-Nord"/>
    <s v="CMR004001"/>
    <s v="Diamaré"/>
    <m/>
    <m/>
  </r>
  <r>
    <s v="Extrême-Nord"/>
    <s v="CMR004"/>
    <x v="3"/>
    <s v="CMR004003"/>
    <x v="11"/>
    <s v="CMR004003002"/>
    <s v="MAG-0024"/>
    <s v="MBARKOUT"/>
    <m/>
    <x v="2"/>
    <s v="Septembre 2022 – Février 2023"/>
    <n v="35"/>
    <n v="103"/>
    <x v="1"/>
    <m/>
    <s v="Autre département"/>
    <s v="CMR"/>
    <s v="Cameroun"/>
    <s v="CMR004"/>
    <s v="Extrême-Nord"/>
    <s v="CMR004001"/>
    <s v="Diamaré"/>
    <m/>
    <m/>
  </r>
  <r>
    <s v="Extrême-Nord"/>
    <s v="CMR004"/>
    <x v="3"/>
    <s v="CMR004003"/>
    <x v="11"/>
    <s v="CMR004003002"/>
    <s v="MAG-0031"/>
    <s v="SIYAOU"/>
    <m/>
    <x v="2"/>
    <s v="Janvier - Aout 2022"/>
    <n v="20"/>
    <n v="158"/>
    <x v="1"/>
    <m/>
    <s v="Autre département"/>
    <s v="CMR"/>
    <s v="Cameroun"/>
    <s v="CMR004"/>
    <s v="Extrême-Nord"/>
    <s v="CMR004001"/>
    <s v="Diamaré"/>
    <m/>
    <m/>
  </r>
  <r>
    <s v="Extrême-Nord"/>
    <s v="CMR004"/>
    <x v="3"/>
    <s v="CMR004003"/>
    <x v="11"/>
    <s v="CMR004003002"/>
    <s v="MAG-0031"/>
    <s v="SIYAOU"/>
    <m/>
    <x v="2"/>
    <s v="Septembre 2022 – Février 2023"/>
    <n v="42"/>
    <n v="326"/>
    <x v="1"/>
    <m/>
    <s v="Autre département"/>
    <s v="CMR"/>
    <s v="Cameroun"/>
    <s v="CMR004"/>
    <s v="Extrême-Nord"/>
    <s v="CMR004001"/>
    <s v="Diamaré"/>
    <m/>
    <m/>
  </r>
  <r>
    <s v="Extrême-Nord"/>
    <s v="CMR004"/>
    <x v="3"/>
    <s v="CMR004003"/>
    <x v="11"/>
    <s v="CMR004003002"/>
    <s v="MAG-0019"/>
    <s v="BLAMMOUTOKO"/>
    <m/>
    <x v="2"/>
    <s v="Janvier - Aout 2022"/>
    <n v="30"/>
    <n v="237"/>
    <x v="1"/>
    <m/>
    <s v="Autre département"/>
    <s v="CMR"/>
    <s v="Cameroun"/>
    <s v="CMR004"/>
    <s v="Extrême-Nord"/>
    <s v="CMR004001"/>
    <s v="Diamaré"/>
    <m/>
    <m/>
  </r>
  <r>
    <s v="Extrême-Nord"/>
    <s v="CMR004"/>
    <x v="3"/>
    <s v="CMR004003"/>
    <x v="11"/>
    <s v="CMR004003002"/>
    <s v="MAG-0019"/>
    <s v="BLAMMOUTOKO"/>
    <m/>
    <x v="2"/>
    <s v="Septembre 2022 – Février 2023"/>
    <n v="130"/>
    <n v="963"/>
    <x v="1"/>
    <m/>
    <s v="Autre département"/>
    <s v="CMR"/>
    <s v="Cameroun"/>
    <s v="CMR004"/>
    <s v="Extrême-Nord"/>
    <s v="CMR004001"/>
    <s v="Diamaré"/>
    <m/>
    <m/>
  </r>
  <r>
    <s v="Extrême-Nord"/>
    <s v="CMR004"/>
    <x v="3"/>
    <s v="CMR004003"/>
    <x v="11"/>
    <s v="CMR004003002"/>
    <s v="MAG-0032"/>
    <s v="TAPADAÏ"/>
    <m/>
    <x v="2"/>
    <s v="Janvier - Aout 2022"/>
    <n v="7"/>
    <n v="46"/>
    <x v="1"/>
    <m/>
    <s v="Autre département"/>
    <s v="CMR"/>
    <s v="Cameroun"/>
    <s v="CMR004"/>
    <s v="Extrême-Nord"/>
    <s v="CMR004001"/>
    <s v="Diamaré"/>
    <m/>
    <m/>
  </r>
  <r>
    <s v="Extrême-Nord"/>
    <s v="CMR004"/>
    <x v="3"/>
    <s v="CMR004003"/>
    <x v="11"/>
    <s v="CMR004003002"/>
    <s v="MAG-0032"/>
    <s v="TAPADAÏ"/>
    <m/>
    <x v="2"/>
    <s v="Septembre 2022 – Février 2023"/>
    <n v="0"/>
    <n v="1"/>
    <x v="1"/>
    <m/>
    <s v="Autre département"/>
    <s v="CMR"/>
    <s v="Cameroun"/>
    <s v="CMR004"/>
    <s v="Extrême-Nord"/>
    <s v="CMR004001"/>
    <s v="Diamaré"/>
    <m/>
    <m/>
  </r>
  <r>
    <s v="Extrême-Nord"/>
    <s v="CMR004"/>
    <x v="3"/>
    <s v="CMR004003"/>
    <x v="11"/>
    <s v="CMR004003002"/>
    <s v="MAG-0022"/>
    <s v="MAHAO ARABE"/>
    <m/>
    <x v="2"/>
    <s v="Janvier - Aout 2022"/>
    <n v="15"/>
    <n v="37"/>
    <x v="1"/>
    <m/>
    <s v="Autre département"/>
    <s v="CMR"/>
    <s v="Cameroun"/>
    <s v="CMR004"/>
    <s v="Extrême-Nord"/>
    <s v="CMR004001"/>
    <s v="Diamaré"/>
    <m/>
    <m/>
  </r>
  <r>
    <s v="Extrême-Nord"/>
    <s v="CMR004"/>
    <x v="3"/>
    <s v="CMR004003"/>
    <x v="11"/>
    <s v="CMR004003002"/>
    <s v="MAG-0022"/>
    <s v="MAHAO ARABE"/>
    <m/>
    <x v="2"/>
    <s v="Septembre 2022 – Février 2023"/>
    <n v="5"/>
    <n v="63"/>
    <x v="1"/>
    <m/>
    <s v="Autre département"/>
    <s v="CMR"/>
    <s v="Cameroun"/>
    <s v="CMR004"/>
    <s v="Extrême-Nord"/>
    <s v="CMR004001"/>
    <s v="Diamaré"/>
    <m/>
    <m/>
  </r>
  <r>
    <s v="Extrême-Nord"/>
    <s v="CMR004"/>
    <x v="3"/>
    <s v="CMR004003"/>
    <x v="11"/>
    <s v="CMR004003002"/>
    <s v="MAG-0027"/>
    <s v="OURA 1"/>
    <m/>
    <x v="2"/>
    <s v="Janvier - Aout 2022"/>
    <n v="10"/>
    <n v="50"/>
    <x v="1"/>
    <m/>
    <s v="Autre département"/>
    <s v="CMR"/>
    <s v="Cameroun"/>
    <s v="CMR004"/>
    <s v="Extrême-Nord"/>
    <s v="CMR004001"/>
    <s v="Diamaré"/>
    <m/>
    <m/>
  </r>
  <r>
    <s v="Extrême-Nord"/>
    <s v="CMR004"/>
    <x v="3"/>
    <s v="CMR004003"/>
    <x v="11"/>
    <s v="CMR004003002"/>
    <s v="MAG-0027"/>
    <s v="OURA 1"/>
    <m/>
    <x v="2"/>
    <s v="Septembre 2022 – Février 2023"/>
    <n v="11"/>
    <n v="77"/>
    <x v="1"/>
    <m/>
    <s v="Autre département"/>
    <s v="CMR"/>
    <s v="Cameroun"/>
    <s v="CMR004"/>
    <s v="Extrême-Nord"/>
    <s v="CMR004001"/>
    <s v="Diamaré"/>
    <m/>
    <m/>
  </r>
  <r>
    <s v="Extrême-Nord"/>
    <s v="CMR004"/>
    <x v="3"/>
    <s v="CMR004003"/>
    <x v="11"/>
    <s v="CMR004003002"/>
    <s v="MAG-0028"/>
    <s v="OURA 2"/>
    <m/>
    <x v="2"/>
    <s v="Janvier - Aout 2022"/>
    <n v="13"/>
    <n v="60"/>
    <x v="1"/>
    <m/>
    <s v="Autre département"/>
    <s v="CMR"/>
    <s v="Cameroun"/>
    <s v="CMR004"/>
    <s v="Extrême-Nord"/>
    <s v="CMR004001"/>
    <s v="Diamaré"/>
    <m/>
    <m/>
  </r>
  <r>
    <s v="Extrême-Nord"/>
    <s v="CMR004"/>
    <x v="3"/>
    <s v="CMR004003"/>
    <x v="11"/>
    <s v="CMR004003002"/>
    <s v="MAG-0028"/>
    <s v="OURA 2"/>
    <m/>
    <x v="2"/>
    <s v="Septembre 2022 – Février 2023"/>
    <n v="7"/>
    <n v="59"/>
    <x v="1"/>
    <m/>
    <s v="Autre département"/>
    <s v="CMR"/>
    <s v="Cameroun"/>
    <s v="CMR004"/>
    <s v="Extrême-Nord"/>
    <s v="CMR004001"/>
    <s v="Diamaré"/>
    <m/>
    <m/>
  </r>
  <r>
    <s v="Extrême-Nord"/>
    <s v="CMR004"/>
    <x v="3"/>
    <s v="CMR004003"/>
    <x v="11"/>
    <s v="CMR004003002"/>
    <s v="MAG-0030"/>
    <s v="SAPONGARI"/>
    <m/>
    <x v="2"/>
    <s v="Janvier - Aout 2022"/>
    <n v="23"/>
    <n v="100"/>
    <x v="1"/>
    <m/>
    <s v="Autre département"/>
    <s v="CMR"/>
    <s v="Cameroun"/>
    <s v="CMR004"/>
    <s v="Extrême-Nord"/>
    <s v="CMR004001"/>
    <s v="Diamaré"/>
    <m/>
    <m/>
  </r>
  <r>
    <s v="Extrême-Nord"/>
    <s v="CMR004"/>
    <x v="3"/>
    <s v="CMR004003"/>
    <x v="11"/>
    <s v="CMR004003002"/>
    <s v="MAG-0030"/>
    <s v="SAPONGARI"/>
    <m/>
    <x v="2"/>
    <s v="Septembre 2022 – Février 2023"/>
    <n v="18"/>
    <n v="183"/>
    <x v="1"/>
    <m/>
    <s v="Autre département"/>
    <s v="CMR"/>
    <s v="Cameroun"/>
    <s v="CMR004"/>
    <s v="Extrême-Nord"/>
    <s v="CMR004001"/>
    <s v="Diamaré"/>
    <m/>
    <m/>
  </r>
  <r>
    <s v="Extrême-Nord"/>
    <s v="CMR004"/>
    <x v="3"/>
    <s v="CMR004003"/>
    <x v="31"/>
    <s v="CMR004003006"/>
    <s v="GUM-0003"/>
    <s v="KARTOUA"/>
    <m/>
    <x v="2"/>
    <s v="Septembre 2022 – Février 2023"/>
    <n v="62"/>
    <n v="646"/>
    <x v="3"/>
    <m/>
    <s v="Même arrondissement"/>
    <s v="CMR"/>
    <s v="Cameroun"/>
    <s v="CMR004"/>
    <s v="Extrême-Nord"/>
    <s v="CMR004003"/>
    <s v="Mayo-Danay"/>
    <s v="CMR004003006"/>
    <s v="Guémé"/>
  </r>
  <r>
    <s v="Extrême-Nord"/>
    <s v="CMR004"/>
    <x v="3"/>
    <s v="CMR004003"/>
    <x v="31"/>
    <s v="CMR004003006"/>
    <s v="GUM-0004"/>
    <s v="VELE"/>
    <m/>
    <x v="2"/>
    <s v="Septembre 2022 – Février 2023"/>
    <n v="67"/>
    <n v="565"/>
    <x v="3"/>
    <m/>
    <s v="Même arrondissement"/>
    <s v="CMR"/>
    <s v="Cameroun"/>
    <s v="CMR004"/>
    <s v="Extrême-Nord"/>
    <s v="CMR004003"/>
    <s v="Mayo-Danay"/>
    <s v="CMR004003006"/>
    <s v="Guémé"/>
  </r>
  <r>
    <s v="Extrême-Nord"/>
    <s v="CMR004"/>
    <x v="3"/>
    <s v="CMR004003"/>
    <x v="31"/>
    <s v="CMR004003006"/>
    <s v="GUM-0005"/>
    <s v="VOUNALOUM"/>
    <m/>
    <x v="2"/>
    <s v="Septembre 2022 – Février 2023"/>
    <n v="75"/>
    <n v="900"/>
    <x v="3"/>
    <m/>
    <s v="Même arrondissement"/>
    <s v="CMR"/>
    <s v="Cameroun"/>
    <s v="CMR004"/>
    <s v="Extrême-Nord"/>
    <s v="CMR004003"/>
    <s v="Mayo-Danay"/>
    <s v="CMR004003006"/>
    <s v="Guémé"/>
  </r>
  <r>
    <s v="Extrême-Nord"/>
    <s v="CMR004"/>
    <x v="2"/>
    <s v="CMR004002"/>
    <x v="25"/>
    <s v="CMR004002008"/>
    <s v="FOT-0013"/>
    <s v="SAGME"/>
    <m/>
    <x v="2"/>
    <s v="Avant 2020"/>
    <n v="197"/>
    <n v="1427"/>
    <x v="0"/>
    <m/>
    <s v="Même arrondissement"/>
    <s v="CMR"/>
    <s v="Cameroun"/>
    <s v="CMR004"/>
    <s v="Extrême-Nord"/>
    <s v="CMR004002"/>
    <s v="Logone-Et-Chari"/>
    <s v="CMR004002008"/>
    <s v="Fotokol"/>
  </r>
  <r>
    <s v="Extrême-Nord"/>
    <s v="CMR004"/>
    <x v="3"/>
    <s v="CMR004003"/>
    <x v="31"/>
    <s v="CMR004003006"/>
    <s v="GUM-0006"/>
    <s v="DOUANG"/>
    <m/>
    <x v="2"/>
    <s v="Avant 2020"/>
    <n v="59"/>
    <n v="181"/>
    <x v="3"/>
    <m/>
    <s v="Même arrondissement"/>
    <s v="CMR"/>
    <s v="Cameroun"/>
    <s v="CMR004"/>
    <s v="Extrême-Nord"/>
    <s v="CMR004003"/>
    <s v="Mayo-Danay"/>
    <s v="CMR004003006"/>
    <s v="Guémé"/>
  </r>
  <r>
    <s v="Extrême-Nord"/>
    <s v="CMR004"/>
    <x v="3"/>
    <s v="CMR004003"/>
    <x v="31"/>
    <s v="CMR004003006"/>
    <s v="GUM-0006"/>
    <s v="DOUANG"/>
    <m/>
    <x v="2"/>
    <s v="Janvier - Aout 2022"/>
    <n v="0"/>
    <n v="4"/>
    <x v="3"/>
    <m/>
    <s v="Même arrondissement"/>
    <s v="CMR"/>
    <s v="Cameroun"/>
    <s v="CMR004"/>
    <s v="Extrême-Nord"/>
    <s v="CMR004003"/>
    <s v="Mayo-Danay"/>
    <s v="CMR004003006"/>
    <s v="Guémé"/>
  </r>
  <r>
    <s v="Extrême-Nord"/>
    <s v="CMR004"/>
    <x v="1"/>
    <s v="CMR004006"/>
    <x v="32"/>
    <s v="CMR004006006"/>
    <s v="SOU-0004"/>
    <s v="MADOKONAI 1"/>
    <m/>
    <x v="2"/>
    <s v="Septembre 2022 – Février 2023"/>
    <n v="1"/>
    <n v="3"/>
    <x v="0"/>
    <m/>
    <s v="Même département, autre arrondissement"/>
    <s v="CMR"/>
    <s v="Cameroun"/>
    <s v="CMR004"/>
    <s v="Extrême-Nord"/>
    <s v="CMR004006"/>
    <s v="Mayo-Tsanaga"/>
    <s v="CMR004006005"/>
    <s v="Mayo-Moskota"/>
  </r>
  <r>
    <s v="Extrême-Nord"/>
    <s v="CMR004"/>
    <x v="1"/>
    <s v="CMR004006"/>
    <x v="32"/>
    <s v="CMR004006006"/>
    <s v="SOU-0001"/>
    <s v="FOGOM"/>
    <m/>
    <x v="2"/>
    <s v="Janvier - Aout 2022"/>
    <n v="4"/>
    <n v="25"/>
    <x v="0"/>
    <m/>
    <s v="Même département, autre arrondissement"/>
    <s v="CMR"/>
    <s v="Cameroun"/>
    <s v="CMR004"/>
    <s v="Extrême-Nord"/>
    <s v="CMR004006"/>
    <s v="Mayo-Tsanaga"/>
    <s v="CMR004006005"/>
    <s v="Mayo-Moskota"/>
  </r>
  <r>
    <s v="Extrême-Nord"/>
    <s v="CMR004"/>
    <x v="1"/>
    <s v="CMR004006"/>
    <x v="32"/>
    <s v="CMR004006006"/>
    <s v="SOU-0001"/>
    <s v="FOGOM"/>
    <m/>
    <x v="2"/>
    <s v="Septembre 2022 – Février 2023"/>
    <n v="1"/>
    <n v="3"/>
    <x v="0"/>
    <m/>
    <s v="Même département, autre arrondissement"/>
    <s v="CMR"/>
    <s v="Cameroun"/>
    <s v="CMR004"/>
    <s v="Extrême-Nord"/>
    <s v="CMR004006"/>
    <s v="Mayo-Tsanaga"/>
    <s v="CMR004006005"/>
    <s v="Mayo-Moskota"/>
  </r>
  <r>
    <s v="Extrême-Nord"/>
    <s v="CMR004"/>
    <x v="1"/>
    <s v="CMR004006"/>
    <x v="32"/>
    <s v="CMR004006006"/>
    <s v="SOU-0003"/>
    <s v="GOLIBAI"/>
    <m/>
    <x v="2"/>
    <s v="Janvier - Aout 2022"/>
    <n v="14"/>
    <n v="42"/>
    <x v="0"/>
    <m/>
    <s v="Même département, autre arrondissement"/>
    <s v="CMR"/>
    <s v="Cameroun"/>
    <s v="CMR004"/>
    <s v="Extrême-Nord"/>
    <s v="CMR004006"/>
    <s v="Mayo-Tsanaga"/>
    <s v="CMR004006004"/>
    <s v="Koza"/>
  </r>
  <r>
    <s v="Extrême-Nord"/>
    <s v="CMR004"/>
    <x v="1"/>
    <s v="CMR004006"/>
    <x v="32"/>
    <s v="CMR004006006"/>
    <s v="SOU-0003"/>
    <s v="GOLIBAI"/>
    <m/>
    <x v="2"/>
    <s v="Septembre 2022 – Février 2023"/>
    <n v="1"/>
    <n v="4"/>
    <x v="0"/>
    <m/>
    <s v="Même département, autre arrondissement"/>
    <s v="CMR"/>
    <s v="Cameroun"/>
    <s v="CMR004"/>
    <s v="Extrême-Nord"/>
    <s v="CMR004006"/>
    <s v="Mayo-Tsanaga"/>
    <s v="CMR004006004"/>
    <s v="Koza"/>
  </r>
  <r>
    <s v="Extrême-Nord"/>
    <s v="CMR004"/>
    <x v="1"/>
    <s v="CMR004006"/>
    <x v="1"/>
    <s v="CMR004006002"/>
    <s v="MOK-0059"/>
    <s v="MABASS"/>
    <m/>
    <x v="2"/>
    <s v="Septembre 2022 – Février 2023"/>
    <n v="20"/>
    <n v="90"/>
    <x v="0"/>
    <m/>
    <s v="Même arrondissement"/>
    <s v="CMR"/>
    <s v="Cameroun"/>
    <s v="CMR004"/>
    <s v="Extrême-Nord"/>
    <s v="CMR004006"/>
    <s v="Mayo-Tsanaga"/>
    <s v="CMR004006002"/>
    <s v="Mokolo"/>
  </r>
  <r>
    <s v="Extrême-Nord"/>
    <s v="CMR004"/>
    <x v="1"/>
    <s v="CMR004006"/>
    <x v="32"/>
    <s v="CMR004006006"/>
    <s v="SOU-0008"/>
    <s v="DOUMGAR"/>
    <m/>
    <x v="2"/>
    <s v="Janvier - Aout 2022"/>
    <n v="14"/>
    <n v="66"/>
    <x v="0"/>
    <m/>
    <s v="Même département, autre arrondissement"/>
    <s v="CMR"/>
    <s v="Cameroun"/>
    <s v="CMR004"/>
    <s v="Extrême-Nord"/>
    <s v="CMR004006"/>
    <s v="Mayo-Tsanaga"/>
    <s v="CMR004006004"/>
    <s v="Koza"/>
  </r>
  <r>
    <s v="Extrême-Nord"/>
    <s v="CMR004"/>
    <x v="1"/>
    <s v="CMR004006"/>
    <x v="32"/>
    <s v="CMR004006006"/>
    <s v="SOU-0008"/>
    <s v="DOUMGAR"/>
    <m/>
    <x v="2"/>
    <s v="Septembre 2022 – Février 2023"/>
    <n v="3"/>
    <n v="23"/>
    <x v="0"/>
    <m/>
    <s v="Autre département"/>
    <s v="CMR"/>
    <s v="Cameroun"/>
    <s v="CMR004"/>
    <s v="Extrême-Nord"/>
    <s v="CMR004005"/>
    <s v="Mayo-Sava"/>
    <m/>
    <m/>
  </r>
  <r>
    <s v="Extrême-Nord"/>
    <s v="CMR004"/>
    <x v="1"/>
    <s v="CMR004006"/>
    <x v="32"/>
    <s v="CMR004006006"/>
    <s v="SOU-0007"/>
    <s v="OUDOUMDJARAY"/>
    <m/>
    <x v="2"/>
    <s v="Janvier - Aout 2022"/>
    <n v="4"/>
    <n v="29"/>
    <x v="0"/>
    <m/>
    <s v="Autre département"/>
    <s v="CMR"/>
    <s v="Cameroun"/>
    <s v="CMR004"/>
    <s v="Extrême-Nord"/>
    <s v="CMR004005"/>
    <s v="Mayo-Sava"/>
    <m/>
    <m/>
  </r>
  <r>
    <s v="Extrême-Nord"/>
    <s v="CMR004"/>
    <x v="1"/>
    <s v="CMR004006"/>
    <x v="32"/>
    <s v="CMR004006006"/>
    <s v="SOU-0007"/>
    <s v="OUDOUMDJARAY"/>
    <m/>
    <x v="2"/>
    <s v="Septembre 2022 – Février 2023"/>
    <n v="1"/>
    <n v="8"/>
    <x v="0"/>
    <m/>
    <s v="Autre département"/>
    <s v="CMR"/>
    <s v="Cameroun"/>
    <s v="CMR004"/>
    <s v="Extrême-Nord"/>
    <s v="CMR004005"/>
    <s v="Mayo-Sava"/>
    <m/>
    <m/>
  </r>
  <r>
    <s v="Extrême-Nord"/>
    <s v="CMR004"/>
    <x v="1"/>
    <s v="CMR004006"/>
    <x v="32"/>
    <s v="CMR004006006"/>
    <s v="SOU-0009"/>
    <s v="BAO TASAI"/>
    <m/>
    <x v="2"/>
    <s v="Septembre 2022 – Février 2023"/>
    <n v="2"/>
    <n v="13"/>
    <x v="0"/>
    <m/>
    <s v="Même département, autre arrondissement"/>
    <s v="CMR"/>
    <s v="Cameroun"/>
    <s v="CMR004"/>
    <s v="Extrême-Nord"/>
    <s v="CMR004006"/>
    <s v="Mayo-Tsanaga"/>
    <s v="CMR004006004"/>
    <s v="Koza"/>
  </r>
  <r>
    <s v="Extrême-Nord"/>
    <s v="CMR004"/>
    <x v="2"/>
    <s v="CMR004002"/>
    <x v="26"/>
    <s v="CMR004002006"/>
    <s v="KOU-0023"/>
    <s v="MALACK"/>
    <m/>
    <x v="2"/>
    <s v="Septembre 2022 – Février 2023"/>
    <n v="2"/>
    <n v="15"/>
    <x v="3"/>
    <m/>
    <s v="Même arrondissement"/>
    <s v="CMR"/>
    <s v="Cameroun"/>
    <s v="CMR004"/>
    <s v="Extrême-Nord"/>
    <s v="CMR004002"/>
    <s v="Logone-Et-Chari"/>
    <s v="CMR004002006"/>
    <s v="Kousséri"/>
  </r>
  <r>
    <s v="Extrême-Nord"/>
    <s v="CMR004"/>
    <x v="4"/>
    <s v="CMR004005"/>
    <x v="19"/>
    <s v="CMR004005001"/>
    <s v="KOL-0029"/>
    <s v="SATTOMI"/>
    <m/>
    <x v="2"/>
    <s v="En 2021"/>
    <n v="40"/>
    <n v="314"/>
    <x v="0"/>
    <m/>
    <s v="Même arrondissement"/>
    <s v="CMR"/>
    <s v="Cameroun"/>
    <s v="CMR004"/>
    <s v="Extrême-Nord"/>
    <s v="CMR004005"/>
    <s v="Mayo-Sava"/>
    <s v="CMR004005001"/>
    <s v="Kolofata"/>
  </r>
  <r>
    <s v="Extrême-Nord"/>
    <s v="CMR004"/>
    <x v="1"/>
    <s v="CMR004006"/>
    <x v="1"/>
    <s v="CMR004006002"/>
    <s v="MOK-0004"/>
    <s v="DJIMETA"/>
    <m/>
    <x v="2"/>
    <s v="Avant 2020"/>
    <n v="5"/>
    <n v="35"/>
    <x v="0"/>
    <m/>
    <s v="Même arrondissement"/>
    <s v="CMR"/>
    <s v="Cameroun"/>
    <s v="CMR004"/>
    <s v="Extrême-Nord"/>
    <s v="CMR004006"/>
    <s v="Mayo-Tsanaga"/>
    <s v="CMR004006002"/>
    <s v="Mokolo"/>
  </r>
  <r>
    <s v="Extrême-Nord"/>
    <s v="CMR004"/>
    <x v="1"/>
    <s v="CMR004006"/>
    <x v="1"/>
    <s v="CMR004006002"/>
    <s v="MOK-0004"/>
    <s v="DJIMETA"/>
    <m/>
    <x v="2"/>
    <s v="En 2021"/>
    <n v="1"/>
    <n v="1"/>
    <x v="0"/>
    <m/>
    <s v="Même arrondissement"/>
    <s v="CMR"/>
    <s v="Cameroun"/>
    <s v="CMR004"/>
    <s v="Extrême-Nord"/>
    <s v="CMR004006"/>
    <s v="Mayo-Tsanaga"/>
    <s v="CMR004006002"/>
    <s v="Mokolo"/>
  </r>
  <r>
    <s v="Extrême-Nord"/>
    <s v="CMR004"/>
    <x v="4"/>
    <s v="CMR004005"/>
    <x v="19"/>
    <s v="CMR004005001"/>
    <s v="KOL-0021"/>
    <s v="TOLKOMARI"/>
    <m/>
    <x v="2"/>
    <s v="En 2021"/>
    <n v="10"/>
    <n v="50"/>
    <x v="0"/>
    <m/>
    <s v="Même arrondissement"/>
    <s v="CMR"/>
    <s v="Cameroun"/>
    <s v="CMR004"/>
    <s v="Extrême-Nord"/>
    <s v="CMR004005"/>
    <s v="Mayo-Sava"/>
    <s v="CMR004005001"/>
    <s v="Kolofata"/>
  </r>
  <r>
    <s v="Extrême-Nord"/>
    <s v="CMR004"/>
    <x v="4"/>
    <s v="CMR004005"/>
    <x v="19"/>
    <s v="CMR004005001"/>
    <s v="KOL-0021"/>
    <s v="TOLKOMARI"/>
    <m/>
    <x v="2"/>
    <s v="En 2020"/>
    <n v="0"/>
    <n v="12"/>
    <x v="0"/>
    <m/>
    <s v="Même arrondissement"/>
    <s v="CMR"/>
    <s v="Cameroun"/>
    <s v="CMR004"/>
    <s v="Extrême-Nord"/>
    <s v="CMR004005"/>
    <s v="Mayo-Sava"/>
    <s v="CMR004005001"/>
    <s v="Kolofata"/>
  </r>
  <r>
    <s v="Extrême-Nord"/>
    <s v="CMR004"/>
    <x v="4"/>
    <s v="CMR004005"/>
    <x v="19"/>
    <s v="CMR004005001"/>
    <s v="KOL-0021"/>
    <s v="TOLKOMARI"/>
    <m/>
    <x v="2"/>
    <s v="Avant 2020"/>
    <n v="50"/>
    <n v="304"/>
    <x v="0"/>
    <m/>
    <s v="Même arrondissement"/>
    <s v="CMR"/>
    <s v="Cameroun"/>
    <s v="CMR004"/>
    <s v="Extrême-Nord"/>
    <s v="CMR004005"/>
    <s v="Mayo-Sava"/>
    <s v="CMR004005001"/>
    <s v="Kolofata"/>
  </r>
  <r>
    <s v="Extrême-Nord"/>
    <s v="CMR004"/>
    <x v="4"/>
    <s v="CMR004005"/>
    <x v="19"/>
    <s v="CMR004005001"/>
    <s v="KOL-0021"/>
    <s v="TOLKOMARI"/>
    <m/>
    <x v="2"/>
    <s v="Janvier - Aout 2022"/>
    <n v="15"/>
    <n v="80"/>
    <x v="0"/>
    <m/>
    <s v="Même arrondissement"/>
    <s v="CMR"/>
    <s v="Cameroun"/>
    <s v="CMR004"/>
    <s v="Extrême-Nord"/>
    <s v="CMR004005"/>
    <s v="Mayo-Sava"/>
    <s v="CMR004005001"/>
    <s v="Kolofata"/>
  </r>
  <r>
    <s v="Extrême-Nord"/>
    <s v="CMR004"/>
    <x v="4"/>
    <s v="CMR004005"/>
    <x v="19"/>
    <s v="CMR004005001"/>
    <s v="KOL-0021"/>
    <s v="TOLKOMARI"/>
    <m/>
    <x v="2"/>
    <s v="Septembre 2022 – Février 2023"/>
    <n v="0"/>
    <n v="6"/>
    <x v="0"/>
    <m/>
    <s v="Même arrondissement"/>
    <s v="CMR"/>
    <s v="Cameroun"/>
    <s v="CMR004"/>
    <s v="Extrême-Nord"/>
    <s v="CMR004005"/>
    <s v="Mayo-Sava"/>
    <s v="CMR004005001"/>
    <s v="Kolofata"/>
  </r>
  <r>
    <s v="Extrême-Nord"/>
    <s v="CMR004"/>
    <x v="3"/>
    <s v="CMR004003"/>
    <x v="31"/>
    <s v="CMR004003006"/>
    <s v="GUM-0008"/>
    <s v="GABARAYE-WIDI"/>
    <m/>
    <x v="2"/>
    <s v="En 2020"/>
    <n v="45"/>
    <n v="295"/>
    <x v="3"/>
    <m/>
    <s v="Même arrondissement"/>
    <s v="CMR"/>
    <s v="Cameroun"/>
    <s v="CMR004"/>
    <s v="Extrême-Nord"/>
    <s v="CMR004003"/>
    <s v="Mayo-Danay"/>
    <s v="CMR004003006"/>
    <s v="Guémé"/>
  </r>
  <r>
    <s v="Extrême-Nord"/>
    <s v="CMR004"/>
    <x v="3"/>
    <s v="CMR004003"/>
    <x v="31"/>
    <s v="CMR004003006"/>
    <s v="GUM-0009"/>
    <s v="MERAINGNE"/>
    <m/>
    <x v="2"/>
    <s v="Septembre 2022 – Février 2023"/>
    <n v="122"/>
    <n v="642"/>
    <x v="3"/>
    <m/>
    <s v="Même arrondissement"/>
    <s v="CMR"/>
    <s v="Cameroun"/>
    <s v="CMR004"/>
    <s v="Extrême-Nord"/>
    <s v="CMR004003"/>
    <s v="Mayo-Danay"/>
    <s v="CMR004003006"/>
    <s v="Guémé"/>
  </r>
  <r>
    <s v="Extrême-Nord"/>
    <s v="CMR004"/>
    <x v="3"/>
    <s v="CMR004003"/>
    <x v="31"/>
    <s v="CMR004003006"/>
    <s v="GUM-0010"/>
    <s v="YAHLOKKA"/>
    <m/>
    <x v="2"/>
    <s v="Septembre 2022 – Février 2023"/>
    <n v="122"/>
    <n v="841"/>
    <x v="3"/>
    <m/>
    <s v="Même arrondissement"/>
    <s v="CMR"/>
    <s v="Cameroun"/>
    <s v="CMR004"/>
    <s v="Extrême-Nord"/>
    <s v="CMR004003"/>
    <s v="Mayo-Danay"/>
    <s v="CMR004003006"/>
    <s v="Guémé"/>
  </r>
  <r>
    <s v="Extrême-Nord"/>
    <s v="CMR004"/>
    <x v="3"/>
    <s v="CMR004003"/>
    <x v="31"/>
    <s v="CMR004003006"/>
    <s v="GUM-0011"/>
    <s v="GARDÉ II"/>
    <m/>
    <x v="2"/>
    <s v="Janvier - Aout 2022"/>
    <n v="150"/>
    <n v="511"/>
    <x v="3"/>
    <m/>
    <s v="Même arrondissement"/>
    <s v="CMR"/>
    <s v="Cameroun"/>
    <s v="CMR004"/>
    <s v="Extrême-Nord"/>
    <s v="CMR004003"/>
    <s v="Mayo-Danay"/>
    <s v="CMR004003006"/>
    <s v="Guémé"/>
  </r>
  <r>
    <s v="Extrême-Nord"/>
    <s v="CMR004"/>
    <x v="3"/>
    <s v="CMR004003"/>
    <x v="31"/>
    <s v="CMR004003006"/>
    <s v="GUM-0011"/>
    <s v="GARDÉ II"/>
    <m/>
    <x v="2"/>
    <s v="Septembre 2022 – Février 2023"/>
    <n v="30"/>
    <n v="450"/>
    <x v="3"/>
    <m/>
    <s v="Même arrondissement"/>
    <s v="CMR"/>
    <s v="Cameroun"/>
    <s v="CMR004"/>
    <s v="Extrême-Nord"/>
    <s v="CMR004003"/>
    <s v="Mayo-Danay"/>
    <s v="CMR004003006"/>
    <s v="Guémé"/>
  </r>
  <r>
    <s v="Extrême-Nord"/>
    <s v="CMR004"/>
    <x v="2"/>
    <s v="CMR004002"/>
    <x v="15"/>
    <s v="CMR004002004"/>
    <s v="LBI-0015"/>
    <s v="NGADA"/>
    <m/>
    <x v="2"/>
    <s v="Janvier - Aout 2022"/>
    <n v="58"/>
    <n v="581"/>
    <x v="3"/>
    <m/>
    <s v="Même arrondissement"/>
    <s v="CMR"/>
    <s v="Cameroun"/>
    <s v="CMR004"/>
    <s v="Extrême-Nord"/>
    <s v="CMR004002"/>
    <s v="Logone-Et-Chari"/>
    <s v="CMR004002004"/>
    <s v="Logone-Birni"/>
  </r>
  <r>
    <s v="Extrême-Nord"/>
    <s v="CMR004"/>
    <x v="2"/>
    <s v="CMR004002"/>
    <x v="15"/>
    <s v="CMR004002004"/>
    <s v="LBI-0052"/>
    <s v="DARSALAM"/>
    <m/>
    <x v="2"/>
    <s v="Janvier - Aout 2022"/>
    <n v="250"/>
    <n v="2000"/>
    <x v="1"/>
    <m/>
    <s v="Même arrondissement"/>
    <s v="CMR"/>
    <s v="Cameroun"/>
    <s v="CMR004"/>
    <s v="Extrême-Nord"/>
    <s v="CMR004002"/>
    <s v="Logone-Et-Chari"/>
    <s v="CMR004002004"/>
    <s v="Logone-Birni"/>
  </r>
  <r>
    <s v="Extrême-Nord"/>
    <s v="CMR004"/>
    <x v="1"/>
    <s v="CMR004006"/>
    <x v="1"/>
    <s v="CMR004006002"/>
    <s v="MOK-0012"/>
    <s v="MBOUA ZIMAGAZAK"/>
    <m/>
    <x v="2"/>
    <s v="Avant 2020"/>
    <n v="98"/>
    <n v="136"/>
    <x v="0"/>
    <m/>
    <s v="Même arrondissement"/>
    <s v="CMR"/>
    <s v="Cameroun"/>
    <s v="CMR004"/>
    <s v="Extrême-Nord"/>
    <s v="CMR004006"/>
    <s v="Mayo-Tsanaga"/>
    <s v="CMR004006002"/>
    <s v="Mokolo"/>
  </r>
  <r>
    <s v="Extrême-Nord"/>
    <s v="CMR004"/>
    <x v="1"/>
    <s v="CMR004006"/>
    <x v="1"/>
    <s v="CMR004006002"/>
    <s v="MOK-0012"/>
    <s v="MBOUA ZIMAGAZAK"/>
    <m/>
    <x v="2"/>
    <s v="En 2021"/>
    <n v="4"/>
    <n v="18"/>
    <x v="0"/>
    <m/>
    <s v="Même arrondissement"/>
    <s v="CMR"/>
    <s v="Cameroun"/>
    <s v="CMR004"/>
    <s v="Extrême-Nord"/>
    <s v="CMR004006"/>
    <s v="Mayo-Tsanaga"/>
    <s v="CMR004006002"/>
    <s v="Mokolo"/>
  </r>
  <r>
    <s v="Extrême-Nord"/>
    <s v="CMR004"/>
    <x v="1"/>
    <s v="CMR004006"/>
    <x v="1"/>
    <s v="CMR004006002"/>
    <s v="MOK-0026"/>
    <s v="SARKI FADA"/>
    <m/>
    <x v="2"/>
    <s v="Avant 2020"/>
    <n v="1"/>
    <n v="14"/>
    <x v="0"/>
    <m/>
    <s v="Même arrondissement"/>
    <s v="CMR"/>
    <s v="Cameroun"/>
    <s v="CMR004"/>
    <s v="Extrême-Nord"/>
    <s v="CMR004006"/>
    <s v="Mayo-Tsanaga"/>
    <s v="CMR004006002"/>
    <s v="Mokolo"/>
  </r>
  <r>
    <s v="Extrême-Nord"/>
    <s v="CMR004"/>
    <x v="2"/>
    <s v="CMR004002"/>
    <x v="23"/>
    <s v="CMR004002005"/>
    <s v="ZIN-0009"/>
    <s v="PATMANGAI"/>
    <m/>
    <x v="2"/>
    <s v="Janvier - Aout 2022"/>
    <n v="5"/>
    <n v="52"/>
    <x v="3"/>
    <m/>
    <s v="Même arrondissement"/>
    <s v="CMR"/>
    <s v="Cameroun"/>
    <s v="CMR004"/>
    <s v="Extrême-Nord"/>
    <s v="CMR004002"/>
    <s v="Logone-Et-Chari"/>
    <s v="CMR004002005"/>
    <s v="Zina"/>
  </r>
  <r>
    <s v="Extrême-Nord"/>
    <s v="CMR004"/>
    <x v="2"/>
    <s v="CMR004002"/>
    <x v="23"/>
    <s v="CMR004002005"/>
    <s v="ZIN-0012"/>
    <s v="MANDJOUR II AFTI"/>
    <m/>
    <x v="2"/>
    <s v="Janvier - Aout 2022"/>
    <n v="20"/>
    <n v="100"/>
    <x v="3"/>
    <m/>
    <s v="Même arrondissement"/>
    <s v="CMR"/>
    <s v="Cameroun"/>
    <s v="CMR004"/>
    <s v="Extrême-Nord"/>
    <s v="CMR004002"/>
    <s v="Logone-Et-Chari"/>
    <s v="CMR004002005"/>
    <s v="Zina"/>
  </r>
  <r>
    <s v="Extrême-Nord"/>
    <s v="CMR004"/>
    <x v="2"/>
    <s v="CMR004002"/>
    <x v="23"/>
    <s v="CMR004002005"/>
    <s v="ZIN-0017"/>
    <s v="HALAVANG"/>
    <m/>
    <x v="2"/>
    <s v="Septembre 2022 – Février 2023"/>
    <n v="4"/>
    <n v="28"/>
    <x v="4"/>
    <s v="rupture de digue"/>
    <s v="Même arrondissement"/>
    <s v="CMR"/>
    <s v="Cameroun"/>
    <s v="CMR004"/>
    <s v="Extrême-Nord"/>
    <s v="CMR004002"/>
    <s v="Logone-Et-Chari"/>
    <s v="CMR004002005"/>
    <s v="Zina"/>
  </r>
  <r>
    <s v="Extrême-Nord"/>
    <s v="CMR004"/>
    <x v="1"/>
    <s v="CMR004006"/>
    <x v="1"/>
    <s v="CMR004006002"/>
    <s v="MOK-0027"/>
    <s v="LDAMANG"/>
    <m/>
    <x v="2"/>
    <s v="En 2020"/>
    <n v="70"/>
    <n v="356"/>
    <x v="0"/>
    <m/>
    <s v="Même arrondissement"/>
    <s v="CMR"/>
    <s v="Cameroun"/>
    <s v="CMR004"/>
    <s v="Extrême-Nord"/>
    <s v="CMR004006"/>
    <s v="Mayo-Tsanaga"/>
    <s v="CMR004006002"/>
    <s v="Mokolo"/>
  </r>
  <r>
    <s v="Extrême-Nord"/>
    <s v="CMR004"/>
    <x v="3"/>
    <s v="CMR004003"/>
    <x v="11"/>
    <s v="CMR004003002"/>
    <s v="MAG-0006"/>
    <s v="SITE DE TEKELE"/>
    <m/>
    <x v="2"/>
    <s v="Avant 2020"/>
    <n v="29"/>
    <n v="203"/>
    <x v="3"/>
    <m/>
    <s v="Autre département"/>
    <s v="CMR"/>
    <s v="Cameroun"/>
    <s v="CMR004"/>
    <s v="Extrême-Nord"/>
    <s v="CMR004002"/>
    <s v="Logone-Et-Chari"/>
    <m/>
    <m/>
  </r>
  <r>
    <s v="Extrême-Nord"/>
    <s v="CMR004"/>
    <x v="3"/>
    <s v="CMR004003"/>
    <x v="11"/>
    <s v="CMR004003002"/>
    <s v="MAG-0006"/>
    <s v="SITE DE TEKELE"/>
    <m/>
    <x v="2"/>
    <s v="En 2020"/>
    <n v="0"/>
    <n v="18"/>
    <x v="3"/>
    <m/>
    <s v="Autre département"/>
    <s v="CMR"/>
    <s v="Cameroun"/>
    <s v="CMR004"/>
    <s v="Extrême-Nord"/>
    <s v="CMR004002"/>
    <s v="Logone-Et-Chari"/>
    <m/>
    <m/>
  </r>
  <r>
    <s v="Extrême-Nord"/>
    <s v="CMR004"/>
    <x v="3"/>
    <s v="CMR004003"/>
    <x v="11"/>
    <s v="CMR004003002"/>
    <s v="MAG-0006"/>
    <s v="SITE DE TEKELE"/>
    <m/>
    <x v="2"/>
    <s v="En 2021"/>
    <n v="0"/>
    <n v="6"/>
    <x v="3"/>
    <m/>
    <s v="Autre département"/>
    <s v="CMR"/>
    <s v="Cameroun"/>
    <s v="CMR004"/>
    <s v="Extrême-Nord"/>
    <s v="CMR004002"/>
    <s v="Logone-Et-Chari"/>
    <m/>
    <m/>
  </r>
  <r>
    <s v="Extrême-Nord"/>
    <s v="CMR004"/>
    <x v="3"/>
    <s v="CMR004003"/>
    <x v="11"/>
    <s v="CMR004003002"/>
    <s v="MAG-0006"/>
    <s v="SITE DE TEKELE"/>
    <m/>
    <x v="2"/>
    <s v="Janvier - Aout 2022"/>
    <n v="0"/>
    <n v="4"/>
    <x v="3"/>
    <m/>
    <s v="Autre département"/>
    <s v="CMR"/>
    <s v="Cameroun"/>
    <s v="CMR004"/>
    <s v="Extrême-Nord"/>
    <s v="CMR004002"/>
    <s v="Logone-Et-Chari"/>
    <m/>
    <m/>
  </r>
  <r>
    <s v="Extrême-Nord"/>
    <s v="CMR004"/>
    <x v="3"/>
    <s v="CMR004003"/>
    <x v="11"/>
    <s v="CMR004003002"/>
    <s v="MAG-0006"/>
    <s v="SITE DE TEKELE"/>
    <m/>
    <x v="2"/>
    <s v="Septembre 2022 – Février 2023"/>
    <n v="0"/>
    <n v="2"/>
    <x v="3"/>
    <m/>
    <s v="Autre département"/>
    <s v="CMR"/>
    <s v="Cameroun"/>
    <s v="CMR004"/>
    <s v="Extrême-Nord"/>
    <s v="CMR004002"/>
    <s v="Logone-Et-Chari"/>
    <m/>
    <m/>
  </r>
  <r>
    <s v="Extrême-Nord"/>
    <s v="CMR004"/>
    <x v="3"/>
    <s v="CMR004003"/>
    <x v="11"/>
    <s v="CMR004003002"/>
    <s v="XXXX"/>
    <s v="GAZIAM"/>
    <s v="GAZIAM"/>
    <x v="2"/>
    <s v="Septembre 2022 – Février 2023"/>
    <n v="23"/>
    <n v="175"/>
    <x v="1"/>
    <m/>
    <s v="Autre département"/>
    <s v="CMR"/>
    <s v="Cameroun"/>
    <s v="CMR004"/>
    <s v="Extrême-Nord"/>
    <s v="CMR004001"/>
    <s v="Diamaré"/>
    <m/>
    <m/>
  </r>
  <r>
    <s v="Extrême-Nord"/>
    <s v="CMR004"/>
    <x v="1"/>
    <s v="CMR004006"/>
    <x v="1"/>
    <s v="CMR004006002"/>
    <s v="MOK-0033"/>
    <s v="LDUBAM"/>
    <m/>
    <x v="2"/>
    <s v="Avant 2020"/>
    <n v="70"/>
    <n v="356"/>
    <x v="0"/>
    <m/>
    <s v="Même arrondissement"/>
    <s v="CMR"/>
    <s v="Cameroun"/>
    <s v="CMR004"/>
    <s v="Extrême-Nord"/>
    <s v="CMR004006"/>
    <s v="Mayo-Tsanaga"/>
    <s v="CMR004006002"/>
    <s v="Mokolo"/>
  </r>
  <r>
    <s v="Extrême-Nord"/>
    <s v="CMR004"/>
    <x v="1"/>
    <s v="CMR004006"/>
    <x v="1"/>
    <s v="CMR004006002"/>
    <s v="MOK-0034"/>
    <s v="WOUDAHAI"/>
    <m/>
    <x v="2"/>
    <s v="Avant 2020"/>
    <n v="19"/>
    <n v="75"/>
    <x v="0"/>
    <m/>
    <s v="Même arrondissement"/>
    <s v="CMR"/>
    <s v="Cameroun"/>
    <s v="CMR004"/>
    <s v="Extrême-Nord"/>
    <s v="CMR004006"/>
    <s v="Mayo-Tsanaga"/>
    <s v="CMR004006002"/>
    <s v="Mokolo"/>
  </r>
  <r>
    <s v="Extrême-Nord"/>
    <s v="CMR004"/>
    <x v="2"/>
    <s v="CMR004002"/>
    <x v="25"/>
    <s v="CMR004002008"/>
    <s v="XXXX"/>
    <s v="BOROWADJI"/>
    <s v="BOROWADJI"/>
    <x v="2"/>
    <s v="Septembre 2022 – Février 2023"/>
    <n v="12"/>
    <n v="67"/>
    <x v="0"/>
    <m/>
    <s v="Même arrondissement"/>
    <s v="CMR"/>
    <s v="Cameroun"/>
    <s v="CMR004"/>
    <s v="Extrême-Nord"/>
    <s v="CMR004002"/>
    <s v="Logone-Et-Chari"/>
    <s v="CMR004002008"/>
    <s v="Fotokol"/>
  </r>
  <r>
    <s v="Extrême-Nord"/>
    <s v="CMR004"/>
    <x v="1"/>
    <s v="CMR004006"/>
    <x v="1"/>
    <s v="CMR004006002"/>
    <s v="MOK-0045"/>
    <s v="BISKAVAI"/>
    <m/>
    <x v="2"/>
    <s v="Septembre 2022 – Février 2023"/>
    <n v="2"/>
    <n v="18"/>
    <x v="0"/>
    <m/>
    <s v="Même département, autre arrondissement"/>
    <s v="CMR"/>
    <s v="Cameroun"/>
    <s v="CMR004"/>
    <s v="Extrême-Nord"/>
    <s v="CMR004006"/>
    <s v="Mayo-Tsanaga"/>
    <s v="CMR004006005"/>
    <s v="Mayo-Moskota"/>
  </r>
  <r>
    <s v="Extrême-Nord"/>
    <s v="CMR004"/>
    <x v="1"/>
    <s v="CMR004006"/>
    <x v="1"/>
    <s v="CMR004006002"/>
    <s v="MOK-0008"/>
    <s v="LAIDE"/>
    <m/>
    <x v="2"/>
    <s v="Avant 2020"/>
    <n v="8"/>
    <n v="50"/>
    <x v="0"/>
    <m/>
    <s v="Même arrondissement"/>
    <s v="CMR"/>
    <s v="Cameroun"/>
    <s v="CMR004"/>
    <s v="Extrême-Nord"/>
    <s v="CMR004006"/>
    <s v="Mayo-Tsanaga"/>
    <s v="CMR004006002"/>
    <s v="Mokolo"/>
  </r>
  <r>
    <s v="Extrême-Nord"/>
    <s v="CMR004"/>
    <x v="1"/>
    <s v="CMR004006"/>
    <x v="1"/>
    <s v="CMR004006002"/>
    <s v="MOK-0019"/>
    <s v="TONGO"/>
    <m/>
    <x v="2"/>
    <s v="Avant 2020"/>
    <n v="3"/>
    <n v="9"/>
    <x v="0"/>
    <m/>
    <s v="Même arrondissement"/>
    <s v="CMR"/>
    <s v="Cameroun"/>
    <s v="CMR004"/>
    <s v="Extrême-Nord"/>
    <s v="CMR004006"/>
    <s v="Mayo-Tsanaga"/>
    <s v="CMR004006002"/>
    <s v="Mokolo"/>
  </r>
  <r>
    <s v="Extrême-Nord"/>
    <s v="CMR004"/>
    <x v="2"/>
    <s v="CMR004002"/>
    <x v="13"/>
    <s v="CMR004002001"/>
    <s v="WAZ-0001"/>
    <s v="GOZOLNANE"/>
    <m/>
    <x v="2"/>
    <s v="Avant 2020"/>
    <n v="17"/>
    <n v="93"/>
    <x v="0"/>
    <m/>
    <s v="Même arrondissement"/>
    <s v="CMR"/>
    <s v="Cameroun"/>
    <s v="CMR004"/>
    <s v="Extrême-Nord"/>
    <s v="CMR004002"/>
    <s v="Logone-Et-Chari"/>
    <s v="CMR004002001"/>
    <s v="Waza"/>
  </r>
  <r>
    <s v="Extrême-Nord"/>
    <s v="CMR004"/>
    <x v="2"/>
    <s v="CMR004002"/>
    <x v="13"/>
    <s v="CMR004002001"/>
    <s v="WAZ-0001"/>
    <s v="GOZOLNANE"/>
    <m/>
    <x v="2"/>
    <s v="Septembre 2022 – Février 2023"/>
    <n v="0"/>
    <n v="5"/>
    <x v="0"/>
    <m/>
    <s v="Même arrondissement"/>
    <s v="CMR"/>
    <s v="Cameroun"/>
    <s v="CMR004"/>
    <s v="Extrême-Nord"/>
    <s v="CMR004002"/>
    <s v="Logone-Et-Chari"/>
    <s v="CMR004002001"/>
    <s v="Waza"/>
  </r>
  <r>
    <s v="Extrême-Nord"/>
    <s v="CMR004"/>
    <x v="5"/>
    <s v="CMR004004"/>
    <x v="20"/>
    <s v="CMR004004006"/>
    <s v="KAE-0008"/>
    <s v="DOUMROU"/>
    <m/>
    <x v="2"/>
    <s v="Avant 2020"/>
    <n v="2"/>
    <n v="9"/>
    <x v="0"/>
    <m/>
    <s v="Autre département"/>
    <s v="CMR"/>
    <s v="Cameroun"/>
    <s v="CMR004"/>
    <s v="Extrême-Nord"/>
    <s v="CMR004002"/>
    <s v="Logone-Et-Chari"/>
    <m/>
    <m/>
  </r>
  <r>
    <s v="Extrême-Nord"/>
    <s v="CMR004"/>
    <x v="2"/>
    <s v="CMR004002"/>
    <x v="15"/>
    <s v="CMR004002004"/>
    <s v="LBI-0019"/>
    <s v="AMALGOCH"/>
    <m/>
    <x v="2"/>
    <s v="Janvier - Aout 2022"/>
    <n v="100"/>
    <n v="491"/>
    <x v="1"/>
    <m/>
    <s v="Même arrondissement"/>
    <s v="CMR"/>
    <s v="Cameroun"/>
    <s v="CMR004"/>
    <s v="Extrême-Nord"/>
    <s v="CMR004002"/>
    <s v="Logone-Et-Chari"/>
    <s v="CMR004002004"/>
    <s v="Logone-Birni"/>
  </r>
  <r>
    <s v="Extrême-Nord"/>
    <s v="CMR004"/>
    <x v="2"/>
    <s v="CMR004002"/>
    <x v="15"/>
    <s v="CMR004002004"/>
    <s v="LBI-0064"/>
    <s v="KIDAM"/>
    <m/>
    <x v="2"/>
    <s v="Janvier - Aout 2022"/>
    <n v="496"/>
    <n v="3490"/>
    <x v="1"/>
    <m/>
    <s v="Autre pays"/>
    <s v="TCD"/>
    <s v="Tchad"/>
    <m/>
    <m/>
    <m/>
    <m/>
    <m/>
    <m/>
  </r>
  <r>
    <s v="Extrême-Nord"/>
    <s v="CMR004"/>
    <x v="2"/>
    <s v="CMR004002"/>
    <x v="15"/>
    <s v="CMR004002004"/>
    <s v="LBI-0064"/>
    <s v="KIDAM"/>
    <m/>
    <x v="2"/>
    <s v="Septembre 2022 – Février 2023"/>
    <n v="4"/>
    <n v="10"/>
    <x v="1"/>
    <m/>
    <s v="Autre pays"/>
    <s v="TCD"/>
    <s v="Tchad"/>
    <m/>
    <m/>
    <m/>
    <m/>
    <m/>
    <m/>
  </r>
  <r>
    <s v="Extrême-Nord"/>
    <s v="CMR004"/>
    <x v="2"/>
    <s v="CMR004002"/>
    <x v="15"/>
    <s v="CMR004002004"/>
    <s v="LBI-0055"/>
    <s v="GAMBAROU BORNO"/>
    <m/>
    <x v="2"/>
    <s v="Janvier - Aout 2022"/>
    <n v="64"/>
    <n v="500"/>
    <x v="1"/>
    <m/>
    <s v="Autre pays"/>
    <s v="TCD"/>
    <s v="Tchad"/>
    <m/>
    <m/>
    <m/>
    <m/>
    <m/>
    <m/>
  </r>
  <r>
    <s v="Extrême-Nord"/>
    <s v="CMR004"/>
    <x v="2"/>
    <s v="CMR004002"/>
    <x v="15"/>
    <s v="CMR004002004"/>
    <s v="LBI-0115"/>
    <s v="FADJÉ"/>
    <m/>
    <x v="2"/>
    <s v="Janvier - Aout 2022"/>
    <n v="46"/>
    <n v="300"/>
    <x v="1"/>
    <m/>
    <s v="Même département, autre arrondissement"/>
    <s v="CMR"/>
    <s v="Cameroun"/>
    <s v="CMR004"/>
    <s v="Extrême-Nord"/>
    <s v="CMR004002"/>
    <s v="Logone-Et-Chari"/>
    <s v="CMR004002009"/>
    <s v="Makary"/>
  </r>
  <r>
    <s v="Extrême-Nord"/>
    <s v="CMR004"/>
    <x v="2"/>
    <s v="CMR004002"/>
    <x v="15"/>
    <s v="CMR004002004"/>
    <s v="LBI-0124"/>
    <s v="NDJAMENA ISSA"/>
    <m/>
    <x v="2"/>
    <s v="Janvier - Aout 2022"/>
    <n v="44"/>
    <n v="352"/>
    <x v="1"/>
    <m/>
    <s v="Autre pays"/>
    <s v="TCD"/>
    <s v="Tchad"/>
    <m/>
    <m/>
    <m/>
    <m/>
    <m/>
    <m/>
  </r>
  <r>
    <s v="Extrême-Nord"/>
    <s v="CMR004"/>
    <x v="2"/>
    <s v="CMR004002"/>
    <x v="15"/>
    <s v="CMR004002004"/>
    <s v="LBI-0124"/>
    <s v="NDJAMENA ISSA"/>
    <m/>
    <x v="2"/>
    <s v="Septembre 2022 – Février 2023"/>
    <n v="2"/>
    <n v="8"/>
    <x v="1"/>
    <m/>
    <s v="Autre pays"/>
    <s v="TCD"/>
    <s v="Tchad"/>
    <m/>
    <m/>
    <m/>
    <m/>
    <m/>
    <m/>
  </r>
  <r>
    <s v="Extrême-Nord"/>
    <s v="CMR004"/>
    <x v="2"/>
    <s v="CMR004002"/>
    <x v="15"/>
    <s v="CMR004002004"/>
    <s v="LBI-0044"/>
    <s v="BOURGOUMA"/>
    <m/>
    <x v="2"/>
    <s v="Janvier - Aout 2022"/>
    <n v="201"/>
    <n v="1500"/>
    <x v="1"/>
    <m/>
    <s v="Autre pays"/>
    <s v="TCD"/>
    <s v="Tchad"/>
    <m/>
    <m/>
    <m/>
    <m/>
    <m/>
    <m/>
  </r>
  <r>
    <s v="Extrême-Nord"/>
    <s v="CMR004"/>
    <x v="2"/>
    <s v="CMR004002"/>
    <x v="15"/>
    <s v="CMR004002004"/>
    <s v="LBI-0044"/>
    <s v="BOURGOUMA"/>
    <m/>
    <x v="2"/>
    <s v="Septembre 2022 – Février 2023"/>
    <n v="3"/>
    <n v="10"/>
    <x v="1"/>
    <m/>
    <s v="Autre pays"/>
    <s v="TCD"/>
    <s v="Tchad"/>
    <m/>
    <m/>
    <m/>
    <m/>
    <m/>
    <m/>
  </r>
  <r>
    <s v="Extrême-Nord"/>
    <s v="CMR004"/>
    <x v="2"/>
    <s v="CMR004002"/>
    <x v="15"/>
    <s v="CMR004002004"/>
    <s v="LBI-0070"/>
    <s v="MARTE"/>
    <m/>
    <x v="2"/>
    <s v="Janvier - Aout 2022"/>
    <n v="56"/>
    <n v="247"/>
    <x v="1"/>
    <m/>
    <s v="Même arrondissement"/>
    <s v="CMR"/>
    <s v="Cameroun"/>
    <s v="CMR004"/>
    <s v="Extrême-Nord"/>
    <s v="CMR004002"/>
    <s v="Logone-Et-Chari"/>
    <s v="CMR004002004"/>
    <s v="Logone-Birni"/>
  </r>
  <r>
    <s v="Extrême-Nord"/>
    <s v="CMR004"/>
    <x v="2"/>
    <s v="CMR004002"/>
    <x v="15"/>
    <s v="CMR004002004"/>
    <s v="LBI-0057"/>
    <s v="GOUDOUGOUNI"/>
    <m/>
    <x v="2"/>
    <s v="Janvier - Aout 2022"/>
    <n v="37"/>
    <n v="189"/>
    <x v="1"/>
    <m/>
    <s v="Même arrondissement"/>
    <s v="CMR"/>
    <s v="Cameroun"/>
    <s v="CMR004"/>
    <s v="Extrême-Nord"/>
    <s v="CMR004002"/>
    <s v="Logone-Et-Chari"/>
    <s v="CMR004002004"/>
    <s v="Logone-Birni"/>
  </r>
  <r>
    <s v="Extrême-Nord"/>
    <s v="CMR004"/>
    <x v="1"/>
    <s v="CMR004006"/>
    <x v="7"/>
    <s v="CMR004006005"/>
    <s v="MOZ-0035"/>
    <s v="HOUDGOLOUM"/>
    <m/>
    <x v="2"/>
    <s v="Avant 2020"/>
    <n v="16"/>
    <n v="126"/>
    <x v="0"/>
    <m/>
    <s v="Même arrondissement"/>
    <s v="CMR"/>
    <s v="Cameroun"/>
    <s v="CMR004"/>
    <s v="Extrême-Nord"/>
    <s v="CMR004006"/>
    <s v="Mayo-Tsanaga"/>
    <s v="CMR004006005"/>
    <s v="Mayo-Moskota"/>
  </r>
  <r>
    <s v="Extrême-Nord"/>
    <s v="CMR004"/>
    <x v="2"/>
    <s v="CMR004002"/>
    <x v="15"/>
    <s v="CMR004002004"/>
    <s v="LBI-0085"/>
    <s v="RIDINA"/>
    <m/>
    <x v="2"/>
    <s v="Janvier - Aout 2022"/>
    <n v="122"/>
    <n v="800"/>
    <x v="1"/>
    <m/>
    <s v="Même arrondissement"/>
    <s v="CMR"/>
    <s v="Cameroun"/>
    <s v="CMR004"/>
    <s v="Extrême-Nord"/>
    <s v="CMR004002"/>
    <s v="Logone-Et-Chari"/>
    <s v="CMR004002004"/>
    <s v="Logone-Birni"/>
  </r>
  <r>
    <s v="Extrême-Nord"/>
    <s v="CMR004"/>
    <x v="2"/>
    <s v="CMR004002"/>
    <x v="15"/>
    <s v="CMR004002004"/>
    <s v="LBI-0122"/>
    <s v="MISHISKA"/>
    <m/>
    <x v="2"/>
    <s v="Janvier - Aout 2022"/>
    <n v="35"/>
    <n v="350"/>
    <x v="1"/>
    <m/>
    <s v="Même arrondissement"/>
    <s v="CMR"/>
    <s v="Cameroun"/>
    <s v="CMR004"/>
    <s v="Extrême-Nord"/>
    <s v="CMR004002"/>
    <s v="Logone-Et-Chari"/>
    <s v="CMR004002004"/>
    <s v="Logone-Birni"/>
  </r>
  <r>
    <s v="Extrême-Nord"/>
    <s v="CMR004"/>
    <x v="2"/>
    <s v="CMR004002"/>
    <x v="15"/>
    <s v="CMR004002004"/>
    <s v="LBI-0122"/>
    <s v="MISHISKA"/>
    <m/>
    <x v="2"/>
    <s v="Septembre 2022 – Février 2023"/>
    <n v="0"/>
    <n v="10"/>
    <x v="1"/>
    <m/>
    <s v="Même arrondissement"/>
    <s v="CMR"/>
    <s v="Cameroun"/>
    <s v="CMR004"/>
    <s v="Extrême-Nord"/>
    <s v="CMR004002"/>
    <s v="Logone-Et-Chari"/>
    <s v="CMR004002004"/>
    <s v="Logone-Birni"/>
  </r>
  <r>
    <s v="Extrême-Nord"/>
    <s v="CMR004"/>
    <x v="3"/>
    <s v="CMR004003"/>
    <x v="33"/>
    <s v="CMR004003001"/>
    <s v="KAI-0008"/>
    <s v="MBOUKTANG"/>
    <m/>
    <x v="2"/>
    <s v="Septembre 2022 – Février 2023"/>
    <n v="16"/>
    <n v="128"/>
    <x v="3"/>
    <m/>
    <s v="Même arrondissement"/>
    <s v="CMR"/>
    <s v="Cameroun"/>
    <s v="CMR004"/>
    <s v="Extrême-Nord"/>
    <s v="CMR004003"/>
    <s v="Mayo-Danay"/>
    <s v="CMR004003001"/>
    <s v="Kai-Kai"/>
  </r>
  <r>
    <s v="Extrême-Nord"/>
    <s v="CMR004"/>
    <x v="3"/>
    <s v="CMR004003"/>
    <x v="33"/>
    <s v="CMR004003001"/>
    <s v="KAI-0002"/>
    <s v="BARKAYA"/>
    <m/>
    <x v="2"/>
    <s v="Septembre 2022 – Février 2023"/>
    <n v="45"/>
    <n v="284"/>
    <x v="3"/>
    <m/>
    <s v="Même arrondissement"/>
    <s v="CMR"/>
    <s v="Cameroun"/>
    <s v="CMR004"/>
    <s v="Extrême-Nord"/>
    <s v="CMR004003"/>
    <s v="Mayo-Danay"/>
    <s v="CMR004003001"/>
    <s v="Kai-Kai"/>
  </r>
  <r>
    <s v="Extrême-Nord"/>
    <s v="CMR004"/>
    <x v="3"/>
    <s v="CMR004003"/>
    <x v="33"/>
    <s v="CMR004003001"/>
    <s v="KAI-0009"/>
    <s v="YANGA"/>
    <m/>
    <x v="2"/>
    <s v="Septembre 2022 – Février 2023"/>
    <n v="13"/>
    <n v="111"/>
    <x v="3"/>
    <m/>
    <s v="Même arrondissement"/>
    <s v="CMR"/>
    <s v="Cameroun"/>
    <s v="CMR004"/>
    <s v="Extrême-Nord"/>
    <s v="CMR004003"/>
    <s v="Mayo-Danay"/>
    <s v="CMR004003001"/>
    <s v="Kai-Kai"/>
  </r>
  <r>
    <s v="Extrême-Nord"/>
    <s v="CMR004"/>
    <x v="3"/>
    <s v="CMR004003"/>
    <x v="33"/>
    <s v="CMR004003001"/>
    <s v="KAI-0004"/>
    <s v="DOUGUI"/>
    <m/>
    <x v="2"/>
    <s v="Septembre 2022 – Février 2023"/>
    <n v="11"/>
    <n v="129"/>
    <x v="3"/>
    <m/>
    <s v="Même arrondissement"/>
    <s v="CMR"/>
    <s v="Cameroun"/>
    <s v="CMR004"/>
    <s v="Extrême-Nord"/>
    <s v="CMR004003"/>
    <s v="Mayo-Danay"/>
    <s v="CMR004003001"/>
    <s v="Kai-Kai"/>
  </r>
  <r>
    <s v="Extrême-Nord"/>
    <s v="CMR004"/>
    <x v="3"/>
    <s v="CMR004003"/>
    <x v="33"/>
    <s v="CMR004003001"/>
    <s v="KAI-0007"/>
    <s v="LOUGOYE KAMASSE"/>
    <m/>
    <x v="2"/>
    <s v="Septembre 2022 – Février 2023"/>
    <n v="45"/>
    <n v="306"/>
    <x v="3"/>
    <m/>
    <s v="Même arrondissement"/>
    <s v="CMR"/>
    <s v="Cameroun"/>
    <s v="CMR004"/>
    <s v="Extrême-Nord"/>
    <s v="CMR004003"/>
    <s v="Mayo-Danay"/>
    <s v="CMR004003001"/>
    <s v="Kai-Kai"/>
  </r>
  <r>
    <s v="Extrême-Nord"/>
    <s v="CMR004"/>
    <x v="3"/>
    <s v="CMR004003"/>
    <x v="33"/>
    <s v="CMR004003001"/>
    <s v="KAI-0018"/>
    <s v="DAMARO"/>
    <m/>
    <x v="2"/>
    <s v="Septembre 2022 – Février 2023"/>
    <n v="9"/>
    <n v="97"/>
    <x v="3"/>
    <m/>
    <s v="Même arrondissement"/>
    <s v="CMR"/>
    <s v="Cameroun"/>
    <s v="CMR004"/>
    <s v="Extrême-Nord"/>
    <s v="CMR004003"/>
    <s v="Mayo-Danay"/>
    <s v="CMR004003001"/>
    <s v="Kai-Kai"/>
  </r>
  <r>
    <s v="Extrême-Nord"/>
    <s v="CMR004"/>
    <x v="3"/>
    <s v="CMR004003"/>
    <x v="33"/>
    <s v="CMR004003001"/>
    <s v="KAI-0019"/>
    <s v="GABOUANG"/>
    <m/>
    <x v="2"/>
    <s v="Septembre 2022 – Février 2023"/>
    <n v="13"/>
    <n v="118"/>
    <x v="3"/>
    <m/>
    <s v="Même arrondissement"/>
    <s v="CMR"/>
    <s v="Cameroun"/>
    <s v="CMR004"/>
    <s v="Extrême-Nord"/>
    <s v="CMR004003"/>
    <s v="Mayo-Danay"/>
    <s v="CMR004003001"/>
    <s v="Kai-Kai"/>
  </r>
  <r>
    <s v="Extrême-Nord"/>
    <s v="CMR004"/>
    <x v="3"/>
    <s v="CMR004003"/>
    <x v="33"/>
    <s v="CMR004003001"/>
    <s v="KAI-0020"/>
    <s v="KOLONG"/>
    <m/>
    <x v="2"/>
    <s v="Septembre 2022 – Février 2023"/>
    <n v="45"/>
    <n v="278"/>
    <x v="3"/>
    <m/>
    <s v="Même arrondissement"/>
    <s v="CMR"/>
    <s v="Cameroun"/>
    <s v="CMR004"/>
    <s v="Extrême-Nord"/>
    <s v="CMR004003"/>
    <s v="Mayo-Danay"/>
    <s v="CMR004003001"/>
    <s v="Kai-Kai"/>
  </r>
  <r>
    <s v="Extrême-Nord"/>
    <s v="CMR004"/>
    <x v="3"/>
    <s v="CMR004003"/>
    <x v="33"/>
    <s v="CMR004003001"/>
    <s v="KAI-0021"/>
    <s v="KOURBOUK"/>
    <m/>
    <x v="2"/>
    <s v="Septembre 2022 – Février 2023"/>
    <n v="23"/>
    <n v="160"/>
    <x v="3"/>
    <m/>
    <s v="Même arrondissement"/>
    <s v="CMR"/>
    <s v="Cameroun"/>
    <s v="CMR004"/>
    <s v="Extrême-Nord"/>
    <s v="CMR004003"/>
    <s v="Mayo-Danay"/>
    <s v="CMR004003001"/>
    <s v="Kai-Kai"/>
  </r>
  <r>
    <s v="Extrême-Nord"/>
    <s v="CMR004"/>
    <x v="3"/>
    <s v="CMR004003"/>
    <x v="33"/>
    <s v="CMR004003001"/>
    <s v="KAI-0021"/>
    <s v="KOURBOUK"/>
    <m/>
    <x v="2"/>
    <s v="Janvier - Aout 2022"/>
    <n v="0"/>
    <n v="7"/>
    <x v="3"/>
    <m/>
    <s v="Même arrondissement"/>
    <s v="CMR"/>
    <s v="Cameroun"/>
    <s v="CMR004"/>
    <s v="Extrême-Nord"/>
    <s v="CMR004003"/>
    <s v="Mayo-Danay"/>
    <s v="CMR004003001"/>
    <s v="Kai-Kai"/>
  </r>
  <r>
    <s v="Extrême-Nord"/>
    <s v="CMR004"/>
    <x v="3"/>
    <s v="CMR004003"/>
    <x v="33"/>
    <s v="CMR004003001"/>
    <s v="KAI-0006"/>
    <s v="KELEO"/>
    <m/>
    <x v="2"/>
    <s v="Janvier - Aout 2022"/>
    <n v="27"/>
    <n v="197"/>
    <x v="3"/>
    <m/>
    <s v="Même arrondissement"/>
    <s v="CMR"/>
    <s v="Cameroun"/>
    <s v="CMR004"/>
    <s v="Extrême-Nord"/>
    <s v="CMR004003"/>
    <s v="Mayo-Danay"/>
    <s v="CMR004003001"/>
    <s v="Kai-Kai"/>
  </r>
  <r>
    <s v="Extrême-Nord"/>
    <s v="CMR004"/>
    <x v="3"/>
    <s v="CMR004003"/>
    <x v="33"/>
    <s v="CMR004003001"/>
    <s v="KAI-0006"/>
    <s v="KELEO"/>
    <m/>
    <x v="2"/>
    <s v="Septembre 2022 – Février 2023"/>
    <n v="6"/>
    <n v="60"/>
    <x v="3"/>
    <m/>
    <s v="Même arrondissement"/>
    <s v="CMR"/>
    <s v="Cameroun"/>
    <s v="CMR004"/>
    <s v="Extrême-Nord"/>
    <s v="CMR004003"/>
    <s v="Mayo-Danay"/>
    <s v="CMR004003001"/>
    <s v="Kai-Kai"/>
  </r>
  <r>
    <s v="Extrême-Nord"/>
    <s v="CMR004"/>
    <x v="3"/>
    <s v="CMR004003"/>
    <x v="34"/>
    <s v="CMR004003011"/>
    <s v="GOB-0002"/>
    <s v="DABANA"/>
    <m/>
    <x v="2"/>
    <s v="Septembre 2022 – Février 2023"/>
    <n v="550"/>
    <n v="3200"/>
    <x v="3"/>
    <m/>
    <s v="Même arrondissement"/>
    <s v="CMR"/>
    <s v="Cameroun"/>
    <s v="CMR004"/>
    <s v="Extrême-Nord"/>
    <s v="CMR004003"/>
    <s v="Mayo-Danay"/>
    <s v="CMR004003011"/>
    <s v="Gobo"/>
  </r>
  <r>
    <s v="Extrême-Nord"/>
    <s v="CMR004"/>
    <x v="3"/>
    <s v="CMR004003"/>
    <x v="34"/>
    <s v="CMR004003011"/>
    <s v="GOB-0001"/>
    <s v="BASTEBE"/>
    <m/>
    <x v="2"/>
    <s v="Septembre 2022 – Février 2023"/>
    <n v="75"/>
    <n v="310"/>
    <x v="3"/>
    <m/>
    <s v="Même arrondissement"/>
    <s v="CMR"/>
    <s v="Cameroun"/>
    <s v="CMR004"/>
    <s v="Extrême-Nord"/>
    <s v="CMR004003"/>
    <s v="Mayo-Danay"/>
    <s v="CMR004003011"/>
    <s v="Gobo"/>
  </r>
  <r>
    <s v="Extrême-Nord"/>
    <s v="CMR004"/>
    <x v="3"/>
    <s v="CMR004003"/>
    <x v="34"/>
    <s v="CMR004003011"/>
    <s v="GOB-0005"/>
    <s v="KARAM 2"/>
    <m/>
    <x v="2"/>
    <s v="Septembre 2022 – Février 2023"/>
    <n v="360"/>
    <n v="1900"/>
    <x v="3"/>
    <m/>
    <s v="Même arrondissement"/>
    <s v="CMR"/>
    <s v="Cameroun"/>
    <s v="CMR004"/>
    <s v="Extrême-Nord"/>
    <s v="CMR004003"/>
    <s v="Mayo-Danay"/>
    <s v="CMR004003011"/>
    <s v="Gobo"/>
  </r>
  <r>
    <s v="Extrême-Nord"/>
    <s v="CMR004"/>
    <x v="3"/>
    <s v="CMR004003"/>
    <x v="34"/>
    <s v="CMR004003011"/>
    <s v="GOB-0006"/>
    <s v="KARAM 1"/>
    <m/>
    <x v="2"/>
    <s v="Septembre 2022 – Février 2023"/>
    <n v="390"/>
    <n v="2800"/>
    <x v="3"/>
    <m/>
    <s v="Même arrondissement"/>
    <s v="CMR"/>
    <s v="Cameroun"/>
    <s v="CMR004"/>
    <s v="Extrême-Nord"/>
    <s v="CMR004003"/>
    <s v="Mayo-Danay"/>
    <s v="CMR004003011"/>
    <s v="Gobo"/>
  </r>
  <r>
    <s v="Extrême-Nord"/>
    <s v="CMR004"/>
    <x v="2"/>
    <s v="CMR004002"/>
    <x v="15"/>
    <s v="CMR004002004"/>
    <s v="LBI-0086"/>
    <s v="MICHKETE"/>
    <m/>
    <x v="2"/>
    <s v="Janvier - Aout 2022"/>
    <n v="126"/>
    <n v="402"/>
    <x v="1"/>
    <m/>
    <s v="Même arrondissement"/>
    <s v="CMR"/>
    <s v="Cameroun"/>
    <s v="CMR004"/>
    <s v="Extrême-Nord"/>
    <s v="CMR004002"/>
    <s v="Logone-Et-Chari"/>
    <s v="CMR004002004"/>
    <s v="Logone-Birni"/>
  </r>
  <r>
    <s v="Extrême-Nord"/>
    <s v="CMR004"/>
    <x v="2"/>
    <s v="CMR004002"/>
    <x v="15"/>
    <s v="CMR004002004"/>
    <s v="LBI-0021"/>
    <s v="ANGOCH"/>
    <m/>
    <x v="2"/>
    <s v="Janvier - Aout 2022"/>
    <n v="44"/>
    <n v="321"/>
    <x v="1"/>
    <m/>
    <s v="Même arrondissement"/>
    <s v="CMR"/>
    <s v="Cameroun"/>
    <s v="CMR004"/>
    <s v="Extrême-Nord"/>
    <s v="CMR004002"/>
    <s v="Logone-Et-Chari"/>
    <s v="CMR004002004"/>
    <s v="Logone-Birni"/>
  </r>
  <r>
    <s v="Extrême-Nord"/>
    <s v="CMR004"/>
    <x v="2"/>
    <s v="CMR004002"/>
    <x v="15"/>
    <s v="CMR004002004"/>
    <s v="LBI-0020"/>
    <s v="AMREF"/>
    <m/>
    <x v="2"/>
    <s v="Janvier - Aout 2022"/>
    <n v="45"/>
    <n v="150"/>
    <x v="1"/>
    <m/>
    <s v="Même arrondissement"/>
    <s v="CMR"/>
    <s v="Cameroun"/>
    <s v="CMR004"/>
    <s v="Extrême-Nord"/>
    <s v="CMR004002"/>
    <s v="Logone-Et-Chari"/>
    <s v="CMR004002004"/>
    <s v="Logone-Birni"/>
  </r>
  <r>
    <s v="Extrême-Nord"/>
    <s v="CMR004"/>
    <x v="2"/>
    <s v="CMR004002"/>
    <x v="15"/>
    <s v="CMR004002004"/>
    <s v="LBI-0028"/>
    <s v="HOUNDOUK"/>
    <m/>
    <x v="2"/>
    <s v="Janvier - Aout 2022"/>
    <n v="75"/>
    <n v="395"/>
    <x v="1"/>
    <m/>
    <s v="Même arrondissement"/>
    <s v="CMR"/>
    <s v="Cameroun"/>
    <s v="CMR004"/>
    <s v="Extrême-Nord"/>
    <s v="CMR004002"/>
    <s v="Logone-Et-Chari"/>
    <s v="CMR004002004"/>
    <s v="Logone-Birni"/>
  </r>
  <r>
    <s v="Extrême-Nord"/>
    <s v="CMR004"/>
    <x v="2"/>
    <s v="CMR004002"/>
    <x v="15"/>
    <s v="CMR004002004"/>
    <s v="LBI-0030"/>
    <s v="MACHOKA"/>
    <m/>
    <x v="2"/>
    <s v="Janvier - Aout 2022"/>
    <n v="60"/>
    <n v="352"/>
    <x v="1"/>
    <m/>
    <s v="Même arrondissement"/>
    <s v="CMR"/>
    <s v="Cameroun"/>
    <s v="CMR004"/>
    <s v="Extrême-Nord"/>
    <s v="CMR004002"/>
    <s v="Logone-Et-Chari"/>
    <s v="CMR004002004"/>
    <s v="Logone-Birni"/>
  </r>
  <r>
    <s v="Extrême-Nord"/>
    <s v="CMR004"/>
    <x v="3"/>
    <s v="CMR004003"/>
    <x v="34"/>
    <s v="CMR004003011"/>
    <s v="GOB-0008"/>
    <s v="MASSA KOUWEITA"/>
    <m/>
    <x v="2"/>
    <s v="Septembre 2022 – Février 2023"/>
    <n v="65"/>
    <n v="405"/>
    <x v="3"/>
    <m/>
    <s v="Même arrondissement"/>
    <s v="CMR"/>
    <s v="Cameroun"/>
    <s v="CMR004"/>
    <s v="Extrême-Nord"/>
    <s v="CMR004003"/>
    <s v="Mayo-Danay"/>
    <s v="CMR004003011"/>
    <s v="Gobo"/>
  </r>
  <r>
    <s v="Extrême-Nord"/>
    <s v="CMR004"/>
    <x v="3"/>
    <s v="CMR004003"/>
    <x v="34"/>
    <s v="CMR004003011"/>
    <s v="GOB-0007"/>
    <s v="MASSA IKA"/>
    <m/>
    <x v="2"/>
    <s v="Septembre 2022 – Février 2023"/>
    <n v="90"/>
    <n v="600"/>
    <x v="3"/>
    <m/>
    <s v="Même arrondissement"/>
    <s v="CMR"/>
    <s v="Cameroun"/>
    <s v="CMR004"/>
    <s v="Extrême-Nord"/>
    <s v="CMR004003"/>
    <s v="Mayo-Danay"/>
    <s v="CMR004003011"/>
    <s v="Gobo"/>
  </r>
  <r>
    <s v="Extrême-Nord"/>
    <s v="CMR004"/>
    <x v="3"/>
    <s v="CMR004003"/>
    <x v="34"/>
    <s v="CMR004003011"/>
    <s v="XXXX"/>
    <s v="MASSA VOUMSOUNA"/>
    <s v="MASSA VOUMSOUNA"/>
    <x v="2"/>
    <s v="Septembre 2022 – Février 2023"/>
    <n v="50"/>
    <n v="311"/>
    <x v="3"/>
    <m/>
    <s v="Même arrondissement"/>
    <s v="CMR"/>
    <s v="Cameroun"/>
    <s v="CMR004"/>
    <s v="Extrême-Nord"/>
    <s v="CMR004003"/>
    <s v="Mayo-Danay"/>
    <s v="CMR004003011"/>
    <s v="Gobo"/>
  </r>
  <r>
    <s v="Extrême-Nord"/>
    <s v="CMR004"/>
    <x v="3"/>
    <s v="CMR004003"/>
    <x v="34"/>
    <s v="CMR004003011"/>
    <s v="GOB-0009"/>
    <s v="NAYEGUISSIA"/>
    <m/>
    <x v="2"/>
    <s v="Septembre 2022 – Février 2023"/>
    <n v="121"/>
    <n v="1350"/>
    <x v="3"/>
    <m/>
    <s v="Même arrondissement"/>
    <s v="CMR"/>
    <s v="Cameroun"/>
    <s v="CMR004"/>
    <s v="Extrême-Nord"/>
    <s v="CMR004003"/>
    <s v="Mayo-Danay"/>
    <s v="CMR004003011"/>
    <s v="Gobo"/>
  </r>
  <r>
    <s v="Extrême-Nord"/>
    <s v="CMR004"/>
    <x v="3"/>
    <s v="CMR004003"/>
    <x v="33"/>
    <s v="CMR004003001"/>
    <s v="XXXX"/>
    <s v="MANGAL(LOUGOYE TAMAK )"/>
    <s v="MANGAL(LOUGOYE TAMAK )"/>
    <x v="2"/>
    <s v="Septembre 2022 – Février 2023"/>
    <n v="25"/>
    <n v="280"/>
    <x v="3"/>
    <m/>
    <s v="Même arrondissement"/>
    <s v="CMR"/>
    <s v="Cameroun"/>
    <s v="CMR004"/>
    <s v="Extrême-Nord"/>
    <s v="CMR004003"/>
    <s v="Mayo-Danay"/>
    <s v="CMR004003001"/>
    <s v="Kai-Kai"/>
  </r>
  <r>
    <s v="Extrême-Nord"/>
    <s v="CMR004"/>
    <x v="3"/>
    <s v="CMR004003"/>
    <x v="33"/>
    <s v="CMR004003001"/>
    <s v="XXXX"/>
    <s v="MANGAL(LOUGOYE TAMAK )"/>
    <s v="MANGAL(LOUGOYE TAMAK )"/>
    <x v="2"/>
    <s v="Janvier - Aout 2022"/>
    <n v="10"/>
    <n v="100"/>
    <x v="3"/>
    <m/>
    <s v="Même arrondissement"/>
    <s v="CMR"/>
    <s v="Cameroun"/>
    <s v="CMR004"/>
    <s v="Extrême-Nord"/>
    <s v="CMR004003"/>
    <s v="Mayo-Danay"/>
    <s v="CMR004003001"/>
    <s v="Kai-Kai"/>
  </r>
  <r>
    <s v="Extrême-Nord"/>
    <s v="CMR004"/>
    <x v="3"/>
    <s v="CMR004003"/>
    <x v="33"/>
    <s v="CMR004003001"/>
    <s v="XXXX"/>
    <s v="MANGAL(LOUGOYE TAMAK )"/>
    <s v="MANGAL(LOUGOYE TAMAK )"/>
    <x v="2"/>
    <s v="En 2021"/>
    <n v="5"/>
    <n v="35"/>
    <x v="3"/>
    <m/>
    <s v="Même arrondissement"/>
    <s v="CMR"/>
    <s v="Cameroun"/>
    <s v="CMR004"/>
    <s v="Extrême-Nord"/>
    <s v="CMR004003"/>
    <s v="Mayo-Danay"/>
    <s v="CMR004003001"/>
    <s v="Kai-Kai"/>
  </r>
  <r>
    <s v="Extrême-Nord"/>
    <s v="CMR004"/>
    <x v="3"/>
    <s v="CMR004003"/>
    <x v="33"/>
    <s v="CMR004003001"/>
    <s v="XXXX"/>
    <s v="DIGUE WILWANG (DIGUE GUIDOUANG )"/>
    <s v="DIGUE WILWANG (DIGUE GUIDOUANG )"/>
    <x v="2"/>
    <s v="Septembre 2022 – Février 2023"/>
    <n v="0"/>
    <n v="4"/>
    <x v="3"/>
    <m/>
    <s v="Même arrondissement"/>
    <s v="CMR"/>
    <s v="Cameroun"/>
    <s v="CMR004"/>
    <s v="Extrême-Nord"/>
    <s v="CMR004003"/>
    <s v="Mayo-Danay"/>
    <s v="CMR004003001"/>
    <s v="Kai-Kai"/>
  </r>
  <r>
    <s v="Extrême-Nord"/>
    <s v="CMR004"/>
    <x v="3"/>
    <s v="CMR004003"/>
    <x v="33"/>
    <s v="CMR004003001"/>
    <s v="XXXX"/>
    <s v="DIGUE WILWANG (DIGUE GUIDOUANG )"/>
    <s v="DIGUE WILWANG (DIGUE GUIDOUANG )"/>
    <x v="2"/>
    <s v="Janvier - Aout 2022"/>
    <n v="20"/>
    <n v="190"/>
    <x v="3"/>
    <m/>
    <s v="Même arrondissement"/>
    <s v="CMR"/>
    <s v="Cameroun"/>
    <s v="CMR004"/>
    <s v="Extrême-Nord"/>
    <s v="CMR004003"/>
    <s v="Mayo-Danay"/>
    <s v="CMR004003001"/>
    <s v="Kai-Kai"/>
  </r>
  <r>
    <s v="Extrême-Nord"/>
    <s v="CMR004"/>
    <x v="3"/>
    <s v="CMR004003"/>
    <x v="33"/>
    <s v="CMR004003001"/>
    <s v="KAI-0022"/>
    <s v="SOUKOMAYE"/>
    <m/>
    <x v="2"/>
    <s v="Septembre 2022 – Février 2023"/>
    <n v="34"/>
    <n v="184"/>
    <x v="3"/>
    <m/>
    <s v="Même arrondissement"/>
    <s v="CMR"/>
    <s v="Cameroun"/>
    <s v="CMR004"/>
    <s v="Extrême-Nord"/>
    <s v="CMR004003"/>
    <s v="Mayo-Danay"/>
    <s v="CMR004003001"/>
    <s v="Kai-Kai"/>
  </r>
  <r>
    <s v="Extrême-Nord"/>
    <s v="CMR004"/>
    <x v="3"/>
    <s v="CMR004003"/>
    <x v="33"/>
    <s v="CMR004003001"/>
    <s v="XXXX"/>
    <s v="DARAM (BEKA)"/>
    <s v="DARAM (BEKA)"/>
    <x v="2"/>
    <s v="Septembre 2022 – Février 2023"/>
    <n v="6"/>
    <n v="70"/>
    <x v="3"/>
    <m/>
    <s v="Même arrondissement"/>
    <s v="CMR"/>
    <s v="Cameroun"/>
    <s v="CMR004"/>
    <s v="Extrême-Nord"/>
    <s v="CMR004003"/>
    <s v="Mayo-Danay"/>
    <s v="CMR004003001"/>
    <s v="Kai-Kai"/>
  </r>
  <r>
    <s v="Extrême-Nord"/>
    <s v="CMR004"/>
    <x v="2"/>
    <s v="CMR004002"/>
    <x v="26"/>
    <s v="CMR004002006"/>
    <s v="KOU-0003"/>
    <s v="ARDEBE VILLE"/>
    <m/>
    <x v="2"/>
    <s v="Septembre 2022 – Février 2023"/>
    <n v="3"/>
    <n v="15"/>
    <x v="3"/>
    <m/>
    <s v="Autre pays"/>
    <s v="TCD"/>
    <s v="Tchad"/>
    <m/>
    <m/>
    <m/>
    <m/>
    <m/>
    <m/>
  </r>
  <r>
    <s v="Extrême-Nord"/>
    <s v="CMR004"/>
    <x v="3"/>
    <s v="CMR004003"/>
    <x v="33"/>
    <s v="CMR004003001"/>
    <s v="KAI-0001"/>
    <s v="BARIAGODJO"/>
    <m/>
    <x v="2"/>
    <s v="Septembre 2022 – Février 2023"/>
    <n v="42"/>
    <n v="340"/>
    <x v="3"/>
    <m/>
    <s v="Même arrondissement"/>
    <s v="CMR"/>
    <s v="Cameroun"/>
    <s v="CMR004"/>
    <s v="Extrême-Nord"/>
    <s v="CMR004003"/>
    <s v="Mayo-Danay"/>
    <s v="CMR004003001"/>
    <s v="Kai-Kai"/>
  </r>
  <r>
    <s v="Extrême-Nord"/>
    <s v="CMR004"/>
    <x v="3"/>
    <s v="CMR004003"/>
    <x v="33"/>
    <s v="CMR004003001"/>
    <s v="KAI-0005"/>
    <s v="KAIKAI"/>
    <m/>
    <x v="2"/>
    <s v="Avant 2020"/>
    <n v="535"/>
    <n v="4240"/>
    <x v="3"/>
    <m/>
    <s v="Même arrondissement"/>
    <s v="CMR"/>
    <s v="Cameroun"/>
    <s v="CMR004"/>
    <s v="Extrême-Nord"/>
    <s v="CMR004003"/>
    <s v="Mayo-Danay"/>
    <s v="CMR004003001"/>
    <s v="Kai-Kai"/>
  </r>
  <r>
    <s v="Extrême-Nord"/>
    <s v="CMR004"/>
    <x v="3"/>
    <s v="CMR004003"/>
    <x v="33"/>
    <s v="CMR004003001"/>
    <s v="KAI-0005"/>
    <s v="KAIKAI"/>
    <m/>
    <x v="2"/>
    <s v="Septembre 2022 – Février 2023"/>
    <n v="13"/>
    <n v="90"/>
    <x v="3"/>
    <m/>
    <s v="Même arrondissement"/>
    <s v="CMR"/>
    <s v="Cameroun"/>
    <s v="CMR004"/>
    <s v="Extrême-Nord"/>
    <s v="CMR004003"/>
    <s v="Mayo-Danay"/>
    <s v="CMR004003001"/>
    <s v="Kai-Kai"/>
  </r>
  <r>
    <s v="Extrême-Nord"/>
    <s v="CMR004"/>
    <x v="3"/>
    <s v="CMR004003"/>
    <x v="33"/>
    <s v="CMR004003001"/>
    <s v="KAI-0005"/>
    <s v="KAIKAI"/>
    <m/>
    <x v="2"/>
    <s v="Janvier - Aout 2022"/>
    <n v="0"/>
    <n v="8"/>
    <x v="3"/>
    <m/>
    <s v="Même arrondissement"/>
    <s v="CMR"/>
    <s v="Cameroun"/>
    <s v="CMR004"/>
    <s v="Extrême-Nord"/>
    <s v="CMR004003"/>
    <s v="Mayo-Danay"/>
    <s v="CMR004003001"/>
    <s v="Kai-Kai"/>
  </r>
  <r>
    <s v="Extrême-Nord"/>
    <s v="CMR004"/>
    <x v="2"/>
    <s v="CMR004002"/>
    <x v="15"/>
    <s v="CMR004002004"/>
    <s v="LBI-0116"/>
    <s v="GAMBAROU MOUSGOUM"/>
    <m/>
    <x v="2"/>
    <s v="Janvier - Aout 2022"/>
    <n v="58"/>
    <n v="316"/>
    <x v="1"/>
    <m/>
    <s v="Autre pays"/>
    <s v="TCD"/>
    <s v="Tchad"/>
    <m/>
    <m/>
    <m/>
    <m/>
    <m/>
    <m/>
  </r>
  <r>
    <s v="Extrême-Nord"/>
    <s v="CMR004"/>
    <x v="2"/>
    <s v="CMR004002"/>
    <x v="15"/>
    <s v="CMR004002004"/>
    <s v="LBI-0116"/>
    <s v="GAMBAROU MOUSGOUM"/>
    <m/>
    <x v="2"/>
    <s v="Septembre 2022 – Février 2023"/>
    <n v="13"/>
    <n v="90"/>
    <x v="1"/>
    <m/>
    <s v="Autre pays"/>
    <s v="TCD"/>
    <s v="Tchad"/>
    <m/>
    <m/>
    <m/>
    <m/>
    <m/>
    <m/>
  </r>
  <r>
    <s v="Extrême-Nord"/>
    <s v="CMR004"/>
    <x v="2"/>
    <s v="CMR004002"/>
    <x v="15"/>
    <s v="CMR004002004"/>
    <s v="LBI-0080"/>
    <s v="NDOUDOUM"/>
    <m/>
    <x v="2"/>
    <s v="Janvier - Aout 2022"/>
    <n v="5"/>
    <n v="15"/>
    <x v="1"/>
    <m/>
    <s v="Autre pays"/>
    <s v="TCD"/>
    <s v="Tchad"/>
    <m/>
    <m/>
    <m/>
    <m/>
    <m/>
    <m/>
  </r>
  <r>
    <s v="Extrême-Nord"/>
    <s v="CMR004"/>
    <x v="2"/>
    <s v="CMR004002"/>
    <x v="15"/>
    <s v="CMR004002004"/>
    <s v="LBI-0080"/>
    <s v="NDOUDOUM"/>
    <m/>
    <x v="2"/>
    <s v="Septembre 2022 – Février 2023"/>
    <n v="10"/>
    <n v="92"/>
    <x v="1"/>
    <m/>
    <s v="Autre pays"/>
    <s v="TCD"/>
    <s v="Tchad"/>
    <m/>
    <m/>
    <m/>
    <m/>
    <m/>
    <m/>
  </r>
  <r>
    <s v="Extrême-Nord"/>
    <s v="CMR004"/>
    <x v="3"/>
    <s v="CMR004003"/>
    <x v="35"/>
    <s v="CMR004003009"/>
    <s v="YAG-0004"/>
    <s v="DANAY 1"/>
    <m/>
    <x v="2"/>
    <s v="Septembre 2022 – Février 2023"/>
    <n v="172"/>
    <n v="860"/>
    <x v="3"/>
    <m/>
    <s v="Même arrondissement"/>
    <s v="CMR"/>
    <s v="Cameroun"/>
    <s v="CMR004"/>
    <s v="Extrême-Nord"/>
    <s v="CMR004003"/>
    <s v="Mayo-Danay"/>
    <s v="CMR004003009"/>
    <s v="Yagoua"/>
  </r>
  <r>
    <s v="Extrême-Nord"/>
    <s v="CMR004"/>
    <x v="3"/>
    <s v="CMR004003"/>
    <x v="35"/>
    <s v="CMR004003009"/>
    <s v="YAG-0005"/>
    <s v="BAGARA"/>
    <m/>
    <x v="2"/>
    <s v="Avant 2020"/>
    <n v="4"/>
    <n v="26"/>
    <x v="0"/>
    <m/>
    <s v="Autre département"/>
    <s v="CMR"/>
    <s v="Cameroun"/>
    <s v="CMR004"/>
    <s v="Extrême-Nord"/>
    <s v="CMR004006"/>
    <s v="Mayo-Tsanaga"/>
    <m/>
    <m/>
  </r>
  <r>
    <s v="Extrême-Nord"/>
    <s v="CMR004"/>
    <x v="3"/>
    <s v="CMR004003"/>
    <x v="35"/>
    <s v="CMR004003009"/>
    <s v="YAG-0005"/>
    <s v="BAGARA"/>
    <m/>
    <x v="2"/>
    <s v="En 2020"/>
    <n v="1"/>
    <n v="1"/>
    <x v="3"/>
    <m/>
    <s v="Même arrondissement"/>
    <s v="CMR"/>
    <s v="Cameroun"/>
    <s v="CMR004"/>
    <s v="Extrême-Nord"/>
    <s v="CMR004003"/>
    <s v="Mayo-Danay"/>
    <s v="CMR004003009"/>
    <s v="Yagoua"/>
  </r>
  <r>
    <s v="Extrême-Nord"/>
    <s v="CMR004"/>
    <x v="3"/>
    <s v="CMR004003"/>
    <x v="35"/>
    <s v="CMR004003009"/>
    <s v="YAG-0005"/>
    <s v="BAGARA"/>
    <m/>
    <x v="2"/>
    <s v="Septembre 2022 – Février 2023"/>
    <n v="0"/>
    <n v="2"/>
    <x v="3"/>
    <m/>
    <s v="Même arrondissement"/>
    <s v="CMR"/>
    <s v="Cameroun"/>
    <s v="CMR004"/>
    <s v="Extrême-Nord"/>
    <s v="CMR004003"/>
    <s v="Mayo-Danay"/>
    <s v="CMR004003009"/>
    <s v="Yagoua"/>
  </r>
  <r>
    <s v="Extrême-Nord"/>
    <s v="CMR004"/>
    <x v="3"/>
    <s v="CMR004003"/>
    <x v="35"/>
    <s v="CMR004003009"/>
    <s v="XXXX"/>
    <s v="NALAYE"/>
    <s v="NALAYE"/>
    <x v="2"/>
    <s v="Septembre 2022 – Février 2023"/>
    <n v="141"/>
    <n v="1742"/>
    <x v="3"/>
    <m/>
    <s v="Même arrondissement"/>
    <s v="CMR"/>
    <s v="Cameroun"/>
    <s v="CMR004"/>
    <s v="Extrême-Nord"/>
    <s v="CMR004003"/>
    <s v="Mayo-Danay"/>
    <s v="CMR004003009"/>
    <s v="Yagoua"/>
  </r>
  <r>
    <s v="Extrême-Nord"/>
    <s v="CMR004"/>
    <x v="3"/>
    <s v="CMR004003"/>
    <x v="37"/>
    <s v="CMR004003007"/>
    <s v="DAT-0001"/>
    <s v="BAMVERE"/>
    <m/>
    <x v="2"/>
    <s v="Septembre 2022 – Février 2023"/>
    <n v="12"/>
    <n v="68"/>
    <x v="3"/>
    <m/>
    <s v="Même arrondissement"/>
    <s v="CMR"/>
    <s v="Cameroun"/>
    <s v="CMR004"/>
    <s v="Extrême-Nord"/>
    <s v="CMR004003"/>
    <s v="Mayo-Danay"/>
    <s v="CMR004003007"/>
    <s v="Datchéka"/>
  </r>
  <r>
    <s v="Extrême-Nord"/>
    <s v="CMR004"/>
    <x v="3"/>
    <s v="CMR004003"/>
    <x v="36"/>
    <s v="CMR004003008"/>
    <s v="XXXX"/>
    <s v="KAMARKI"/>
    <s v="KAMARKI"/>
    <x v="2"/>
    <s v="Septembre 2022 – Février 2023"/>
    <n v="776"/>
    <n v="6208"/>
    <x v="3"/>
    <m/>
    <s v="Même arrondissement"/>
    <s v="CMR"/>
    <s v="Cameroun"/>
    <s v="CMR004"/>
    <s v="Extrême-Nord"/>
    <s v="CMR004003"/>
    <s v="Mayo-Danay"/>
    <s v="CMR004003008"/>
    <s v="Wina"/>
  </r>
  <r>
    <s v="Extrême-Nord"/>
    <s v="CMR004"/>
    <x v="3"/>
    <s v="CMR004003"/>
    <x v="36"/>
    <s v="CMR004003008"/>
    <s v="WIN-0001"/>
    <s v="BOSGOYE"/>
    <m/>
    <x v="2"/>
    <s v="Septembre 2022 – Février 2023"/>
    <n v="50"/>
    <n v="800"/>
    <x v="3"/>
    <m/>
    <s v="Même arrondissement"/>
    <s v="CMR"/>
    <s v="Cameroun"/>
    <s v="CMR004"/>
    <s v="Extrême-Nord"/>
    <s v="CMR004003"/>
    <s v="Mayo-Danay"/>
    <s v="CMR004003008"/>
    <s v="Wina"/>
  </r>
  <r>
    <s v="Extrême-Nord"/>
    <s v="CMR004"/>
    <x v="3"/>
    <s v="CMR004003"/>
    <x v="36"/>
    <s v="CMR004003008"/>
    <s v="XXXX"/>
    <s v="DJENRENG"/>
    <s v="DJENRENG"/>
    <x v="2"/>
    <s v="Septembre 2022 – Février 2023"/>
    <n v="1098"/>
    <n v="7686"/>
    <x v="3"/>
    <m/>
    <s v="Même arrondissement"/>
    <s v="CMR"/>
    <s v="Cameroun"/>
    <s v="CMR004"/>
    <s v="Extrême-Nord"/>
    <s v="CMR004003"/>
    <s v="Mayo-Danay"/>
    <s v="CMR004003008"/>
    <s v="Wina"/>
  </r>
  <r>
    <s v="Extrême-Nord"/>
    <s v="CMR004"/>
    <x v="3"/>
    <s v="CMR004003"/>
    <x v="36"/>
    <s v="CMR004003008"/>
    <s v="XXXX"/>
    <s v="VOUAIDOU"/>
    <s v="VOUAIDOU"/>
    <x v="2"/>
    <s v="Septembre 2022 – Février 2023"/>
    <n v="441"/>
    <n v="5292"/>
    <x v="3"/>
    <m/>
    <s v="Même arrondissement"/>
    <s v="CMR"/>
    <s v="Cameroun"/>
    <s v="CMR004"/>
    <s v="Extrême-Nord"/>
    <s v="CMR004003"/>
    <s v="Mayo-Danay"/>
    <s v="CMR004003008"/>
    <s v="Wina"/>
  </r>
  <r>
    <s v="Extrême-Nord"/>
    <s v="CMR004"/>
    <x v="3"/>
    <s v="CMR004003"/>
    <x v="36"/>
    <s v="CMR004003008"/>
    <s v="XXXX"/>
    <s v="SOUAYE"/>
    <s v="SOUAYE"/>
    <x v="2"/>
    <s v="Septembre 2022 – Février 2023"/>
    <n v="698"/>
    <n v="6980"/>
    <x v="3"/>
    <m/>
    <s v="Même arrondissement"/>
    <s v="CMR"/>
    <s v="Cameroun"/>
    <s v="CMR004"/>
    <s v="Extrême-Nord"/>
    <s v="CMR004003"/>
    <s v="Mayo-Danay"/>
    <s v="CMR004003008"/>
    <s v="Wina"/>
  </r>
  <r>
    <s v="Extrême-Nord"/>
    <s v="CMR004"/>
    <x v="3"/>
    <s v="CMR004003"/>
    <x v="36"/>
    <s v="CMR004003008"/>
    <s v="XXXX"/>
    <s v="ROUANE"/>
    <s v="ROUANE"/>
    <x v="2"/>
    <s v="Septembre 2022 – Février 2023"/>
    <n v="1227"/>
    <n v="9816"/>
    <x v="3"/>
    <m/>
    <s v="Même arrondissement"/>
    <s v="CMR"/>
    <s v="Cameroun"/>
    <s v="CMR004"/>
    <s v="Extrême-Nord"/>
    <s v="CMR004003"/>
    <s v="Mayo-Danay"/>
    <s v="CMR004003008"/>
    <s v="Wina"/>
  </r>
  <r>
    <s v="Extrême-Nord"/>
    <s v="CMR004"/>
    <x v="3"/>
    <s v="CMR004003"/>
    <x v="35"/>
    <s v="CMR004003009"/>
    <s v="YAG-0002"/>
    <s v="DOMO"/>
    <m/>
    <x v="2"/>
    <s v="Septembre 2022 – Février 2023"/>
    <n v="94"/>
    <n v="465"/>
    <x v="3"/>
    <m/>
    <s v="Même arrondissement"/>
    <s v="CMR"/>
    <s v="Cameroun"/>
    <s v="CMR004"/>
    <s v="Extrême-Nord"/>
    <s v="CMR004003"/>
    <s v="Mayo-Danay"/>
    <s v="CMR004003009"/>
    <s v="Yagoua"/>
  </r>
  <r>
    <s v="Extrême-Nord"/>
    <s v="CMR004"/>
    <x v="3"/>
    <s v="CMR004003"/>
    <x v="35"/>
    <s v="CMR004003009"/>
    <s v="YAG-0003"/>
    <s v="MOURI"/>
    <m/>
    <x v="2"/>
    <s v="Septembre 2022 – Février 2023"/>
    <n v="72"/>
    <n v="364"/>
    <x v="3"/>
    <m/>
    <s v="Même arrondissement"/>
    <s v="CMR"/>
    <s v="Cameroun"/>
    <s v="CMR004"/>
    <s v="Extrême-Nord"/>
    <s v="CMR004003"/>
    <s v="Mayo-Danay"/>
    <s v="CMR004003009"/>
    <s v="Yagoua"/>
  </r>
  <r>
    <s v="Extrême-Nord"/>
    <s v="CMR004"/>
    <x v="2"/>
    <s v="CMR004002"/>
    <x v="15"/>
    <s v="CMR004002004"/>
    <s v="LBI-0095"/>
    <s v="DAMROU 2"/>
    <m/>
    <x v="2"/>
    <s v="Janvier - Aout 2022"/>
    <n v="25"/>
    <n v="325"/>
    <x v="1"/>
    <m/>
    <s v="Même arrondissement"/>
    <s v="CMR"/>
    <s v="Cameroun"/>
    <s v="CMR004"/>
    <s v="Extrême-Nord"/>
    <s v="CMR004002"/>
    <s v="Logone-Et-Chari"/>
    <s v="CMR004002004"/>
    <s v="Logone-Birni"/>
  </r>
  <r>
    <s v="Extrême-Nord"/>
    <s v="CMR004"/>
    <x v="2"/>
    <s v="CMR004002"/>
    <x v="15"/>
    <s v="CMR004002004"/>
    <s v="LBI-0095"/>
    <s v="DAMROU 2"/>
    <m/>
    <x v="2"/>
    <s v="Septembre 2022 – Février 2023"/>
    <n v="8"/>
    <n v="66"/>
    <x v="1"/>
    <m/>
    <s v="Même arrondissement"/>
    <s v="CMR"/>
    <s v="Cameroun"/>
    <s v="CMR004"/>
    <s v="Extrême-Nord"/>
    <s v="CMR004002"/>
    <s v="Logone-Et-Chari"/>
    <s v="CMR004002004"/>
    <s v="Logone-Birni"/>
  </r>
  <r>
    <s v="Extrême-Nord"/>
    <s v="CMR004"/>
    <x v="2"/>
    <s v="CMR004002"/>
    <x v="15"/>
    <s v="CMR004002004"/>
    <s v="LBI-0108"/>
    <s v="DOGDORI ISSA BELLO"/>
    <m/>
    <x v="2"/>
    <s v="Janvier - Aout 2022"/>
    <n v="60"/>
    <n v="100"/>
    <x v="1"/>
    <m/>
    <s v="Même arrondissement"/>
    <s v="CMR"/>
    <s v="Cameroun"/>
    <s v="CMR004"/>
    <s v="Extrême-Nord"/>
    <s v="CMR004002"/>
    <s v="Logone-Et-Chari"/>
    <s v="CMR004002004"/>
    <s v="Logone-Birni"/>
  </r>
  <r>
    <s v="Extrême-Nord"/>
    <s v="CMR004"/>
    <x v="2"/>
    <s v="CMR004002"/>
    <x v="15"/>
    <s v="CMR004002004"/>
    <s v="LBI-0108"/>
    <s v="DOGDORI ISSA BELLO"/>
    <m/>
    <x v="2"/>
    <s v="Septembre 2022 – Février 2023"/>
    <n v="6"/>
    <n v="27"/>
    <x v="1"/>
    <m/>
    <s v="Même arrondissement"/>
    <s v="CMR"/>
    <s v="Cameroun"/>
    <s v="CMR004"/>
    <s v="Extrême-Nord"/>
    <s v="CMR004002"/>
    <s v="Logone-Et-Chari"/>
    <s v="CMR004002004"/>
    <s v="Logone-Birni"/>
  </r>
  <r>
    <s v="Extrême-Nord"/>
    <s v="CMR004"/>
    <x v="2"/>
    <s v="CMR004002"/>
    <x v="15"/>
    <s v="CMR004002004"/>
    <s v="LBI-0054"/>
    <s v="DOCDORI 1"/>
    <m/>
    <x v="2"/>
    <s v="Janvier - Aout 2022"/>
    <n v="146"/>
    <n v="800"/>
    <x v="1"/>
    <m/>
    <s v="Même arrondissement"/>
    <s v="CMR"/>
    <s v="Cameroun"/>
    <s v="CMR004"/>
    <s v="Extrême-Nord"/>
    <s v="CMR004002"/>
    <s v="Logone-Et-Chari"/>
    <s v="CMR004002004"/>
    <s v="Logone-Birni"/>
  </r>
  <r>
    <s v="Extrême-Nord"/>
    <s v="CMR004"/>
    <x v="2"/>
    <s v="CMR004002"/>
    <x v="15"/>
    <s v="CMR004002004"/>
    <s v="LBI-0096"/>
    <s v="DAMROU 1"/>
    <m/>
    <x v="2"/>
    <s v="Janvier - Aout 2022"/>
    <n v="27"/>
    <n v="210"/>
    <x v="1"/>
    <m/>
    <s v="Même arrondissement"/>
    <s v="CMR"/>
    <s v="Cameroun"/>
    <s v="CMR004"/>
    <s v="Extrême-Nord"/>
    <s v="CMR004002"/>
    <s v="Logone-Et-Chari"/>
    <s v="CMR004002004"/>
    <s v="Logone-Birni"/>
  </r>
  <r>
    <s v="Extrême-Nord"/>
    <s v="CMR004"/>
    <x v="3"/>
    <s v="CMR004003"/>
    <x v="34"/>
    <s v="CMR004003011"/>
    <s v="XXXX"/>
    <s v="MASSA KALAC"/>
    <s v="MASSA KALAC"/>
    <x v="2"/>
    <s v="Septembre 2022 – Février 2023"/>
    <n v="50"/>
    <n v="450"/>
    <x v="3"/>
    <m/>
    <s v="Même arrondissement"/>
    <s v="CMR"/>
    <s v="Cameroun"/>
    <s v="CMR004"/>
    <s v="Extrême-Nord"/>
    <s v="CMR004003"/>
    <s v="Mayo-Danay"/>
    <s v="CMR004003011"/>
    <s v="Gobo"/>
  </r>
  <r>
    <s v="Extrême-Nord"/>
    <s v="CMR004"/>
    <x v="3"/>
    <s v="CMR004003"/>
    <x v="38"/>
    <s v="CMR004003010"/>
    <s v="GUR-0002"/>
    <s v="DANGABISSI"/>
    <m/>
    <x v="2"/>
    <s v="Avant 2020"/>
    <n v="15"/>
    <n v="102"/>
    <x v="3"/>
    <m/>
    <s v="Même arrondissement"/>
    <s v="CMR"/>
    <s v="Cameroun"/>
    <s v="CMR004"/>
    <s v="Extrême-Nord"/>
    <s v="CMR004003"/>
    <s v="Mayo-Danay"/>
    <s v="CMR004003010"/>
    <s v="Guéré"/>
  </r>
  <r>
    <s v="Extrême-Nord"/>
    <s v="CMR004"/>
    <x v="3"/>
    <s v="CMR004003"/>
    <x v="38"/>
    <s v="CMR004003010"/>
    <s v="GUR-0005"/>
    <s v="DJOUGOUMTA"/>
    <m/>
    <x v="2"/>
    <s v="Septembre 2022 – Février 2023"/>
    <n v="76"/>
    <n v="480"/>
    <x v="3"/>
    <m/>
    <s v="Même arrondissement"/>
    <s v="CMR"/>
    <s v="Cameroun"/>
    <s v="CMR004"/>
    <s v="Extrême-Nord"/>
    <s v="CMR004003"/>
    <s v="Mayo-Danay"/>
    <s v="CMR004003010"/>
    <s v="Guéré"/>
  </r>
  <r>
    <s v="Extrême-Nord"/>
    <s v="CMR004"/>
    <x v="3"/>
    <s v="CMR004003"/>
    <x v="38"/>
    <s v="CMR004003010"/>
    <s v="GUR-0001"/>
    <s v="DAHAOU"/>
    <m/>
    <x v="2"/>
    <s v="Avant 2020"/>
    <n v="50"/>
    <n v="250"/>
    <x v="3"/>
    <m/>
    <s v="Même arrondissement"/>
    <s v="CMR"/>
    <s v="Cameroun"/>
    <s v="CMR004"/>
    <s v="Extrême-Nord"/>
    <s v="CMR004003"/>
    <s v="Mayo-Danay"/>
    <s v="CMR004003010"/>
    <s v="Guéré"/>
  </r>
  <r>
    <s v="Extrême-Nord"/>
    <s v="CMR004"/>
    <x v="3"/>
    <s v="CMR004003"/>
    <x v="38"/>
    <s v="CMR004003010"/>
    <s v="GUR-0001"/>
    <s v="DAHAOU"/>
    <m/>
    <x v="2"/>
    <s v="En 2020"/>
    <n v="0"/>
    <n v="10"/>
    <x v="3"/>
    <m/>
    <s v="Même arrondissement"/>
    <s v="CMR"/>
    <s v="Cameroun"/>
    <s v="CMR004"/>
    <s v="Extrême-Nord"/>
    <s v="CMR004003"/>
    <s v="Mayo-Danay"/>
    <s v="CMR004003010"/>
    <s v="Guéré"/>
  </r>
  <r>
    <s v="Extrême-Nord"/>
    <s v="CMR004"/>
    <x v="2"/>
    <s v="CMR004002"/>
    <x v="15"/>
    <s v="CMR004002004"/>
    <s v="LBI-0083"/>
    <s v="NDJAMENA SABLA"/>
    <m/>
    <x v="2"/>
    <s v="Janvier - Aout 2022"/>
    <n v="127"/>
    <n v="255"/>
    <x v="1"/>
    <m/>
    <s v="Même arrondissement"/>
    <s v="CMR"/>
    <s v="Cameroun"/>
    <s v="CMR004"/>
    <s v="Extrême-Nord"/>
    <s v="CMR004002"/>
    <s v="Logone-Et-Chari"/>
    <s v="CMR004002004"/>
    <s v="Logone-Birni"/>
  </r>
  <r>
    <s v="Extrême-Nord"/>
    <s v="CMR004"/>
    <x v="2"/>
    <s v="CMR004002"/>
    <x v="15"/>
    <s v="CMR004002004"/>
    <s v="LBI-0087"/>
    <s v="ZABAN"/>
    <m/>
    <x v="2"/>
    <s v="Janvier - Aout 2022"/>
    <n v="196"/>
    <n v="685"/>
    <x v="1"/>
    <m/>
    <s v="Même arrondissement"/>
    <s v="CMR"/>
    <s v="Cameroun"/>
    <s v="CMR004"/>
    <s v="Extrême-Nord"/>
    <s v="CMR004002"/>
    <s v="Logone-Et-Chari"/>
    <s v="CMR004002004"/>
    <s v="Logone-Birni"/>
  </r>
  <r>
    <s v="Extrême-Nord"/>
    <s v="CMR004"/>
    <x v="2"/>
    <s v="CMR004002"/>
    <x v="15"/>
    <s v="CMR004002004"/>
    <s v="LBI-0111"/>
    <s v="DILGA ELI"/>
    <m/>
    <x v="2"/>
    <s v="Janvier - Aout 2022"/>
    <n v="20"/>
    <n v="60"/>
    <x v="1"/>
    <m/>
    <s v="Même arrondissement"/>
    <s v="CMR"/>
    <s v="Cameroun"/>
    <s v="CMR004"/>
    <s v="Extrême-Nord"/>
    <s v="CMR004002"/>
    <s v="Logone-Et-Chari"/>
    <s v="CMR004002004"/>
    <s v="Logone-Birni"/>
  </r>
  <r>
    <s v="Extrême-Nord"/>
    <s v="CMR004"/>
    <x v="2"/>
    <s v="CMR004002"/>
    <x v="15"/>
    <s v="CMR004002004"/>
    <s v="LBI-0111"/>
    <s v="DILGA ELI"/>
    <m/>
    <x v="2"/>
    <s v="Septembre 2022 – Février 2023"/>
    <n v="1"/>
    <n v="6"/>
    <x v="3"/>
    <m/>
    <s v="Même département, autre arrondissement"/>
    <s v="CMR"/>
    <s v="Cameroun"/>
    <s v="CMR004"/>
    <s v="Extrême-Nord"/>
    <s v="CMR004002"/>
    <s v="Logone-Et-Chari"/>
    <s v="CMR004002001"/>
    <s v="Waza"/>
  </r>
  <r>
    <s v="Extrême-Nord"/>
    <s v="CMR004"/>
    <x v="2"/>
    <s v="CMR004002"/>
    <x v="15"/>
    <s v="CMR004002004"/>
    <s v="LBI-0053"/>
    <s v="DILGA"/>
    <m/>
    <x v="2"/>
    <s v="Janvier - Aout 2022"/>
    <n v="65"/>
    <n v="150"/>
    <x v="1"/>
    <m/>
    <s v="Même arrondissement"/>
    <s v="CMR"/>
    <s v="Cameroun"/>
    <s v="CMR004"/>
    <s v="Extrême-Nord"/>
    <s v="CMR004002"/>
    <s v="Logone-Et-Chari"/>
    <s v="CMR004002004"/>
    <s v="Logone-Birni"/>
  </r>
  <r>
    <s v="Extrême-Nord"/>
    <s v="CMR004"/>
    <x v="2"/>
    <s v="CMR004002"/>
    <x v="15"/>
    <s v="CMR004002004"/>
    <s v="LBI-0053"/>
    <s v="DILGA"/>
    <m/>
    <x v="2"/>
    <s v="Septembre 2022 – Février 2023"/>
    <n v="1"/>
    <n v="4"/>
    <x v="1"/>
    <m/>
    <s v="Autre pays"/>
    <s v="TCD"/>
    <s v="Tchad"/>
    <m/>
    <m/>
    <m/>
    <m/>
    <m/>
    <m/>
  </r>
  <r>
    <s v="Extrême-Nord"/>
    <s v="CMR004"/>
    <x v="2"/>
    <s v="CMR004002"/>
    <x v="15"/>
    <s v="CMR004002004"/>
    <s v="LBI-0113"/>
    <s v="DJIDABALI"/>
    <m/>
    <x v="2"/>
    <s v="Janvier - Aout 2022"/>
    <n v="18"/>
    <n v="40"/>
    <x v="1"/>
    <m/>
    <s v="Même arrondissement"/>
    <s v="CMR"/>
    <s v="Cameroun"/>
    <s v="CMR004"/>
    <s v="Extrême-Nord"/>
    <s v="CMR004002"/>
    <s v="Logone-Et-Chari"/>
    <s v="CMR004002004"/>
    <s v="Logone-Birni"/>
  </r>
  <r>
    <s v="Extrême-Nord"/>
    <s v="CMR004"/>
    <x v="2"/>
    <s v="CMR004002"/>
    <x v="15"/>
    <s v="CMR004002004"/>
    <s v="LBI-0043"/>
    <s v="ZIMADO KOTOKO"/>
    <m/>
    <x v="2"/>
    <s v="Janvier - Aout 2022"/>
    <n v="20"/>
    <n v="100"/>
    <x v="1"/>
    <m/>
    <s v="Autre pays"/>
    <s v="TCD"/>
    <s v="Tchad"/>
    <m/>
    <m/>
    <m/>
    <m/>
    <m/>
    <m/>
  </r>
  <r>
    <s v="Extrême-Nord"/>
    <s v="CMR004"/>
    <x v="2"/>
    <s v="CMR004002"/>
    <x v="15"/>
    <s v="CMR004002004"/>
    <s v="LBI-0042"/>
    <s v="ZIMADO 1-4"/>
    <m/>
    <x v="2"/>
    <s v="Septembre 2022 – Février 2023"/>
    <n v="150"/>
    <n v="629"/>
    <x v="1"/>
    <m/>
    <s v="Autre pays"/>
    <s v="TCD"/>
    <s v="Tchad"/>
    <m/>
    <m/>
    <m/>
    <m/>
    <m/>
    <m/>
  </r>
  <r>
    <s v="Extrême-Nord"/>
    <s v="CMR004"/>
    <x v="2"/>
    <s v="CMR004002"/>
    <x v="15"/>
    <s v="CMR004002004"/>
    <s v="LBI-0004"/>
    <s v="ZIMADO"/>
    <m/>
    <x v="2"/>
    <s v="Janvier - Aout 2022"/>
    <n v="51"/>
    <n v="249"/>
    <x v="1"/>
    <m/>
    <s v="Autre pays"/>
    <s v="TCD"/>
    <s v="Tchad"/>
    <m/>
    <m/>
    <m/>
    <m/>
    <m/>
    <m/>
  </r>
  <r>
    <s v="Extrême-Nord"/>
    <s v="CMR004"/>
    <x v="2"/>
    <s v="CMR004002"/>
    <x v="26"/>
    <s v="CMR004002006"/>
    <s v="KOU-0022"/>
    <s v="MAINANI"/>
    <m/>
    <x v="2"/>
    <s v="Septembre 2022 – Février 2023"/>
    <n v="100"/>
    <n v="445"/>
    <x v="3"/>
    <m/>
    <s v="Autre pays"/>
    <s v="TCD"/>
    <s v="Tchad"/>
    <m/>
    <m/>
    <m/>
    <m/>
    <m/>
    <m/>
  </r>
  <r>
    <s v="Extrême-Nord"/>
    <s v="CMR004"/>
    <x v="3"/>
    <s v="CMR004003"/>
    <x v="38"/>
    <s v="CMR004003010"/>
    <s v="GUR-0004"/>
    <s v="MOUKA"/>
    <m/>
    <x v="2"/>
    <s v="Avant 2020"/>
    <n v="18"/>
    <n v="248"/>
    <x v="3"/>
    <m/>
    <s v="Même arrondissement"/>
    <s v="CMR"/>
    <s v="Cameroun"/>
    <s v="CMR004"/>
    <s v="Extrême-Nord"/>
    <s v="CMR004003"/>
    <s v="Mayo-Danay"/>
    <s v="CMR004003010"/>
    <s v="Guéré"/>
  </r>
  <r>
    <s v="Extrême-Nord"/>
    <s v="CMR004"/>
    <x v="3"/>
    <s v="CMR004003"/>
    <x v="38"/>
    <s v="CMR004003010"/>
    <s v="GUR-0004"/>
    <s v="MOUKA"/>
    <m/>
    <x v="2"/>
    <s v="En 2020"/>
    <n v="0"/>
    <n v="2"/>
    <x v="3"/>
    <m/>
    <s v="Même arrondissement"/>
    <s v="CMR"/>
    <s v="Cameroun"/>
    <s v="CMR004"/>
    <s v="Extrême-Nord"/>
    <s v="CMR004003"/>
    <s v="Mayo-Danay"/>
    <s v="CMR004003010"/>
    <s v="Guéré"/>
  </r>
  <r>
    <s v="Extrême-Nord"/>
    <s v="CMR004"/>
    <x v="3"/>
    <s v="CMR004003"/>
    <x v="38"/>
    <s v="CMR004003010"/>
    <s v="GUR-0003"/>
    <s v="HOLLOM"/>
    <m/>
    <x v="2"/>
    <s v="Septembre 2022 – Février 2023"/>
    <n v="50"/>
    <n v="475"/>
    <x v="3"/>
    <m/>
    <s v="Même arrondissement"/>
    <s v="CMR"/>
    <s v="Cameroun"/>
    <s v="CMR004"/>
    <s v="Extrême-Nord"/>
    <s v="CMR004003"/>
    <s v="Mayo-Danay"/>
    <s v="CMR004003010"/>
    <s v="Guéré"/>
  </r>
  <r>
    <s v="Extrême-Nord"/>
    <s v="CMR004"/>
    <x v="2"/>
    <s v="CMR004002"/>
    <x v="8"/>
    <s v="CMR004002009"/>
    <s v="MAK-0070"/>
    <s v="MADEGOUA"/>
    <m/>
    <x v="2"/>
    <s v="Septembre 2022 – Février 2023"/>
    <n v="10"/>
    <n v="45"/>
    <x v="0"/>
    <m/>
    <s v="Même département, autre arrondissement"/>
    <s v="CMR"/>
    <s v="Cameroun"/>
    <s v="CMR004"/>
    <s v="Extrême-Nord"/>
    <s v="CMR004002"/>
    <s v="Logone-Et-Chari"/>
    <s v="CMR004002007"/>
    <s v="Darak"/>
  </r>
  <r>
    <s v="Extrême-Nord"/>
    <s v="CMR004"/>
    <x v="3"/>
    <s v="CMR004003"/>
    <x v="11"/>
    <s v="CMR004003002"/>
    <s v="MAG-0025"/>
    <s v="MELEME"/>
    <m/>
    <x v="2"/>
    <s v="Janvier - Aout 2022"/>
    <n v="25"/>
    <n v="200"/>
    <x v="1"/>
    <m/>
    <s v="Autre département"/>
    <s v="CMR"/>
    <s v="Cameroun"/>
    <s v="CMR004"/>
    <s v="Extrême-Nord"/>
    <s v="CMR004001"/>
    <s v="Diamaré"/>
    <m/>
    <m/>
  </r>
  <r>
    <s v="Extrême-Nord"/>
    <s v="CMR004"/>
    <x v="3"/>
    <s v="CMR004003"/>
    <x v="11"/>
    <s v="CMR004003002"/>
    <s v="MAG-0025"/>
    <s v="MELEME"/>
    <m/>
    <x v="2"/>
    <s v="Septembre 2022 – Février 2023"/>
    <n v="135"/>
    <n v="1300"/>
    <x v="1"/>
    <m/>
    <s v="Autre département"/>
    <s v="CMR"/>
    <s v="Cameroun"/>
    <s v="CMR004"/>
    <s v="Extrême-Nord"/>
    <s v="CMR004001"/>
    <s v="Diamaré"/>
    <m/>
    <m/>
  </r>
  <r>
    <s v="Extrême-Nord"/>
    <s v="CMR004"/>
    <x v="4"/>
    <s v="CMR004005"/>
    <x v="19"/>
    <s v="CMR004005001"/>
    <s v="KOL-0028"/>
    <s v="YEGOUA"/>
    <m/>
    <x v="2"/>
    <s v="En 2020"/>
    <n v="5"/>
    <n v="25"/>
    <x v="0"/>
    <m/>
    <s v="Même arrondissement"/>
    <s v="CMR"/>
    <s v="Cameroun"/>
    <s v="CMR004"/>
    <s v="Extrême-Nord"/>
    <s v="CMR004005"/>
    <s v="Mayo-Sava"/>
    <s v="CMR004005001"/>
    <s v="Kolofata"/>
  </r>
  <r>
    <s v="Extrême-Nord"/>
    <s v="CMR004"/>
    <x v="4"/>
    <s v="CMR004005"/>
    <x v="19"/>
    <s v="CMR004005001"/>
    <s v="KOL-0028"/>
    <s v="YEGOUA"/>
    <m/>
    <x v="2"/>
    <s v="Janvier - Aout 2022"/>
    <n v="10"/>
    <n v="50"/>
    <x v="0"/>
    <m/>
    <s v="Même arrondissement"/>
    <s v="CMR"/>
    <s v="Cameroun"/>
    <s v="CMR004"/>
    <s v="Extrême-Nord"/>
    <s v="CMR004005"/>
    <s v="Mayo-Sava"/>
    <s v="CMR004005001"/>
    <s v="Kolofata"/>
  </r>
  <r>
    <s v="Extrême-Nord"/>
    <s v="CMR004"/>
    <x v="4"/>
    <s v="CMR004005"/>
    <x v="19"/>
    <s v="CMR004005001"/>
    <s v="KOL-0028"/>
    <s v="YEGOUA"/>
    <m/>
    <x v="2"/>
    <s v="Septembre 2022 – Février 2023"/>
    <n v="0"/>
    <n v="16"/>
    <x v="0"/>
    <m/>
    <s v="Même arrondissement"/>
    <s v="CMR"/>
    <s v="Cameroun"/>
    <s v="CMR004"/>
    <s v="Extrême-Nord"/>
    <s v="CMR004005"/>
    <s v="Mayo-Sava"/>
    <s v="CMR004005001"/>
    <s v="Kolofata"/>
  </r>
  <r>
    <s v="Extrême-Nord"/>
    <s v="CMR004"/>
    <x v="4"/>
    <s v="CMR004005"/>
    <x v="19"/>
    <s v="CMR004005001"/>
    <s v="KOL-0028"/>
    <s v="YEGOUA"/>
    <m/>
    <x v="2"/>
    <s v="En 2021"/>
    <n v="0"/>
    <n v="3"/>
    <x v="0"/>
    <m/>
    <s v="Même arrondissement"/>
    <s v="CMR"/>
    <s v="Cameroun"/>
    <s v="CMR004"/>
    <s v="Extrême-Nord"/>
    <s v="CMR004005"/>
    <s v="Mayo-Sava"/>
    <s v="CMR004005001"/>
    <s v="Kolofata"/>
  </r>
  <r>
    <s v="Extrême-Nord"/>
    <s v="CMR004"/>
    <x v="2"/>
    <s v="CMR004002"/>
    <x v="12"/>
    <s v="CMR004002002"/>
    <s v="GOU-0037"/>
    <s v="AFIE 2"/>
    <m/>
    <x v="2"/>
    <s v="Septembre 2022 – Février 2023"/>
    <n v="30"/>
    <n v="251"/>
    <x v="3"/>
    <m/>
    <s v="Même arrondissement"/>
    <s v="CMR"/>
    <s v="Cameroun"/>
    <s v="CMR004"/>
    <s v="Extrême-Nord"/>
    <s v="CMR004002"/>
    <s v="Logone-Et-Chari"/>
    <s v="CMR004002002"/>
    <s v="Goulfey"/>
  </r>
  <r>
    <s v="Extrême-Nord"/>
    <s v="CMR004"/>
    <x v="1"/>
    <s v="CMR004006"/>
    <x v="7"/>
    <s v="CMR004006005"/>
    <s v="MOZ-0038"/>
    <s v="MAWA"/>
    <m/>
    <x v="2"/>
    <s v="Avant 2020"/>
    <n v="6"/>
    <n v="32"/>
    <x v="0"/>
    <m/>
    <s v="Même arrondissement"/>
    <s v="CMR"/>
    <s v="Cameroun"/>
    <s v="CMR004"/>
    <s v="Extrême-Nord"/>
    <s v="CMR004006"/>
    <s v="Mayo-Tsanaga"/>
    <s v="CMR004006005"/>
    <s v="Mayo-Moskota"/>
  </r>
  <r>
    <s v="Extrême-Nord"/>
    <s v="CMR004"/>
    <x v="2"/>
    <s v="CMR004002"/>
    <x v="26"/>
    <s v="CMR004002006"/>
    <s v="KOU-0004"/>
    <s v="ARKIS"/>
    <m/>
    <x v="2"/>
    <s v="Janvier - Aout 2022"/>
    <n v="107"/>
    <n v="1022"/>
    <x v="1"/>
    <m/>
    <s v="Même arrondissement"/>
    <s v="CMR"/>
    <s v="Cameroun"/>
    <s v="CMR004"/>
    <s v="Extrême-Nord"/>
    <s v="CMR004002"/>
    <s v="Logone-Et-Chari"/>
    <s v="CMR004002006"/>
    <s v="Kousséri"/>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36">
  <r>
    <s v="Extrême-Nord"/>
    <s v="CMR004"/>
    <x v="0"/>
    <s v="CMR004001"/>
    <x v="0"/>
    <s v="CMR004001003"/>
    <s v="PET-0017"/>
    <s v="KOURWAMA ABDOU"/>
    <m/>
    <x v="0"/>
    <x v="0"/>
    <n v="4"/>
    <n v="17"/>
    <s v="Conflits liés à GANE (BH)"/>
    <m/>
    <s v="Autre département"/>
    <s v="CMR"/>
    <s v="Cameroun"/>
    <s v="CMR004"/>
    <s v="Extrême-Nord"/>
    <s v="CMR004005"/>
    <s v="Mayo-Sava"/>
    <m/>
    <m/>
  </r>
  <r>
    <s v="Extrême-Nord"/>
    <s v="CMR004"/>
    <x v="0"/>
    <s v="CMR004001"/>
    <x v="0"/>
    <s v="CMR004001003"/>
    <s v="PET-0017"/>
    <s v="KOURWAMA ABDOU"/>
    <m/>
    <x v="0"/>
    <x v="1"/>
    <n v="0"/>
    <n v="3"/>
    <s v="Conflits liés à GANE (BH)"/>
    <m/>
    <s v="Autre département"/>
    <s v="CMR"/>
    <s v="Cameroun"/>
    <s v="CMR004"/>
    <s v="Extrême-Nord"/>
    <s v="CMR004005"/>
    <s v="Mayo-Sava"/>
    <m/>
    <m/>
  </r>
  <r>
    <s v="Extrême-Nord"/>
    <s v="CMR004"/>
    <x v="0"/>
    <s v="CMR004001"/>
    <x v="0"/>
    <s v="CMR004001003"/>
    <s v="PET-0017"/>
    <s v="KOURWAMA ABDOU"/>
    <m/>
    <x v="0"/>
    <x v="2"/>
    <n v="0"/>
    <n v="1"/>
    <s v="Conflits liés à GANE (BH)"/>
    <m/>
    <s v="Autre département"/>
    <s v="CMR"/>
    <s v="Cameroun"/>
    <s v="CMR004"/>
    <s v="Extrême-Nord"/>
    <s v="CMR004005"/>
    <s v="Mayo-Sava"/>
    <m/>
    <m/>
  </r>
  <r>
    <s v="Extrême-Nord"/>
    <s v="CMR004"/>
    <x v="0"/>
    <s v="CMR004001"/>
    <x v="0"/>
    <s v="CMR004001003"/>
    <s v="PET-0018"/>
    <s v="KOURWAMA NDJIDDA"/>
    <m/>
    <x v="0"/>
    <x v="1"/>
    <n v="1"/>
    <n v="8"/>
    <s v="Conflits liés à GANE (BH)"/>
    <m/>
    <s v="Autre département"/>
    <s v="CMR"/>
    <s v="Cameroun"/>
    <s v="CMR004"/>
    <s v="Extrême-Nord"/>
    <s v="CMR004005"/>
    <s v="Mayo-Sava"/>
    <m/>
    <m/>
  </r>
  <r>
    <s v="Extrême-Nord"/>
    <s v="CMR004"/>
    <x v="0"/>
    <s v="CMR004001"/>
    <x v="0"/>
    <s v="CMR004001003"/>
    <s v="PET-0023"/>
    <s v="NIWADJI"/>
    <m/>
    <x v="0"/>
    <x v="0"/>
    <n v="6"/>
    <n v="44"/>
    <s v="Conflits liés à GANE (BH)"/>
    <m/>
    <s v="Autre département"/>
    <s v="CMR"/>
    <s v="Cameroun"/>
    <s v="CMR004"/>
    <s v="Extrême-Nord"/>
    <s v="CMR004005"/>
    <s v="Mayo-Sava"/>
    <m/>
    <m/>
  </r>
  <r>
    <s v="Extrême-Nord"/>
    <s v="CMR004"/>
    <x v="0"/>
    <s v="CMR004001"/>
    <x v="0"/>
    <s v="CMR004001003"/>
    <s v="PET-0019"/>
    <s v="KOURWAMAYEL"/>
    <m/>
    <x v="0"/>
    <x v="0"/>
    <n v="4"/>
    <n v="23"/>
    <s v="Conflits liés à GANE (BH)"/>
    <m/>
    <s v="Autre département"/>
    <s v="CMR"/>
    <s v="Cameroun"/>
    <s v="CMR004"/>
    <s v="Extrême-Nord"/>
    <s v="CMR004005"/>
    <s v="Mayo-Sava"/>
    <m/>
    <m/>
  </r>
  <r>
    <s v="Extrême-Nord"/>
    <s v="CMR004"/>
    <x v="0"/>
    <s v="CMR004001"/>
    <x v="0"/>
    <s v="CMR004001003"/>
    <s v="PET-0019"/>
    <s v="KOURWAMAYEL"/>
    <m/>
    <x v="0"/>
    <x v="3"/>
    <n v="0"/>
    <n v="5"/>
    <s v="Conflits liés à GANE (BH)"/>
    <m/>
    <s v="Autre département"/>
    <s v="CMR"/>
    <s v="Cameroun"/>
    <s v="CMR004"/>
    <s v="Extrême-Nord"/>
    <s v="CMR004005"/>
    <s v="Mayo-Sava"/>
    <m/>
    <m/>
  </r>
  <r>
    <s v="Extrême-Nord"/>
    <s v="CMR004"/>
    <x v="0"/>
    <s v="CMR004001"/>
    <x v="0"/>
    <s v="CMR004001003"/>
    <s v="PET-0019"/>
    <s v="KOURWAMAYEL"/>
    <m/>
    <x v="0"/>
    <x v="2"/>
    <n v="0"/>
    <n v="8"/>
    <s v="Conflits liés à GANE (BH)"/>
    <m/>
    <s v="Autre département"/>
    <s v="CMR"/>
    <s v="Cameroun"/>
    <s v="CMR004"/>
    <s v="Extrême-Nord"/>
    <s v="CMR004005"/>
    <s v="Mayo-Sava"/>
    <m/>
    <m/>
  </r>
  <r>
    <s v="Extrême-Nord"/>
    <s v="CMR004"/>
    <x v="0"/>
    <s v="CMR004001"/>
    <x v="0"/>
    <s v="CMR004001003"/>
    <s v="PET-0024"/>
    <s v="PETTE CENTRE"/>
    <m/>
    <x v="0"/>
    <x v="0"/>
    <n v="19"/>
    <n v="123"/>
    <s v="Conflits liés à GANE (BH)"/>
    <m/>
    <s v="Autre département"/>
    <s v="CMR"/>
    <s v="Cameroun"/>
    <s v="CMR004"/>
    <s v="Extrême-Nord"/>
    <s v="CMR004005"/>
    <s v="Mayo-Sava"/>
    <m/>
    <m/>
  </r>
  <r>
    <s v="Extrême-Nord"/>
    <s v="CMR004"/>
    <x v="0"/>
    <s v="CMR004001"/>
    <x v="0"/>
    <s v="CMR004001003"/>
    <s v="PET-0024"/>
    <s v="PETTE CENTRE"/>
    <m/>
    <x v="0"/>
    <x v="1"/>
    <n v="0"/>
    <n v="2"/>
    <s v="Conflits liés à GANE (BH)"/>
    <m/>
    <s v="Autre département"/>
    <s v="CMR"/>
    <s v="Cameroun"/>
    <s v="CMR004"/>
    <s v="Extrême-Nord"/>
    <s v="CMR004005"/>
    <s v="Mayo-Sava"/>
    <m/>
    <m/>
  </r>
  <r>
    <s v="Extrême-Nord"/>
    <s v="CMR004"/>
    <x v="0"/>
    <s v="CMR004001"/>
    <x v="0"/>
    <s v="CMR004001003"/>
    <s v="PET-0024"/>
    <s v="PETTE CENTRE"/>
    <m/>
    <x v="0"/>
    <x v="2"/>
    <n v="0"/>
    <n v="2"/>
    <s v="Conflits liés à GANE (BH)"/>
    <m/>
    <s v="Autre département"/>
    <s v="CMR"/>
    <s v="Cameroun"/>
    <s v="CMR004"/>
    <s v="Extrême-Nord"/>
    <s v="CMR004005"/>
    <s v="Mayo-Sava"/>
    <m/>
    <m/>
  </r>
  <r>
    <s v="Extrême-Nord"/>
    <s v="CMR004"/>
    <x v="0"/>
    <s v="CMR004001"/>
    <x v="0"/>
    <s v="CMR004001003"/>
    <s v="PET-0003"/>
    <s v="DJAFGUE"/>
    <m/>
    <x v="0"/>
    <x v="0"/>
    <n v="15"/>
    <n v="157"/>
    <s v="Conflits liés à GANE (BH)"/>
    <m/>
    <s v="Autre département"/>
    <s v="CMR"/>
    <s v="Cameroun"/>
    <s v="CMR004"/>
    <s v="Extrême-Nord"/>
    <s v="CMR004005"/>
    <s v="Mayo-Sava"/>
    <m/>
    <m/>
  </r>
  <r>
    <s v="Extrême-Nord"/>
    <s v="CMR004"/>
    <x v="0"/>
    <s v="CMR004001"/>
    <x v="0"/>
    <s v="CMR004001003"/>
    <s v="PET-0003"/>
    <s v="DJAFGUE"/>
    <m/>
    <x v="0"/>
    <x v="4"/>
    <n v="0"/>
    <n v="1"/>
    <s v="Conflits liés à GANE (BH)"/>
    <m/>
    <s v="Autre département"/>
    <s v="CMR"/>
    <s v="Cameroun"/>
    <s v="CMR004"/>
    <s v="Extrême-Nord"/>
    <s v="CMR004005"/>
    <s v="Mayo-Sava"/>
    <m/>
    <m/>
  </r>
  <r>
    <s v="Extrême-Nord"/>
    <s v="CMR004"/>
    <x v="0"/>
    <s v="CMR004001"/>
    <x v="0"/>
    <s v="CMR004001003"/>
    <s v="PET-0004"/>
    <s v="DJAOUDE"/>
    <m/>
    <x v="0"/>
    <x v="0"/>
    <n v="0"/>
    <n v="2"/>
    <s v="Conflits liés à GANE (BH)"/>
    <m/>
    <s v="Autre département"/>
    <s v="CMR"/>
    <s v="Cameroun"/>
    <s v="CMR004"/>
    <s v="Extrême-Nord"/>
    <s v="CMR004005"/>
    <s v="Mayo-Sava"/>
    <m/>
    <m/>
  </r>
  <r>
    <s v="Extrême-Nord"/>
    <s v="CMR004"/>
    <x v="0"/>
    <s v="CMR004001"/>
    <x v="0"/>
    <s v="CMR004001003"/>
    <s v="PET-0004"/>
    <s v="DJAOUDE"/>
    <m/>
    <x v="0"/>
    <x v="4"/>
    <n v="134"/>
    <n v="715"/>
    <s v="Conflits liés à GANE (BH)"/>
    <m/>
    <s v="Autre département"/>
    <s v="CMR"/>
    <s v="Cameroun"/>
    <s v="CMR004"/>
    <s v="Extrême-Nord"/>
    <s v="CMR004005"/>
    <s v="Mayo-Sava"/>
    <m/>
    <m/>
  </r>
  <r>
    <s v="Extrême-Nord"/>
    <s v="CMR004"/>
    <x v="0"/>
    <s v="CMR004001"/>
    <x v="0"/>
    <s v="CMR004001003"/>
    <s v="PET-0004"/>
    <s v="DJAOUDE"/>
    <m/>
    <x v="0"/>
    <x v="3"/>
    <n v="0"/>
    <n v="2"/>
    <s v="Conflits liés à GANE (BH)"/>
    <m/>
    <s v="Autre département"/>
    <s v="CMR"/>
    <s v="Cameroun"/>
    <s v="CMR004"/>
    <s v="Extrême-Nord"/>
    <s v="CMR004005"/>
    <s v="Mayo-Sava"/>
    <m/>
    <m/>
  </r>
  <r>
    <s v="Extrême-Nord"/>
    <s v="CMR004"/>
    <x v="0"/>
    <s v="CMR004001"/>
    <x v="0"/>
    <s v="CMR004001003"/>
    <s v="PET-0004"/>
    <s v="DJAOUDE"/>
    <m/>
    <x v="0"/>
    <x v="1"/>
    <n v="1"/>
    <n v="6"/>
    <s v="Conflits liés à GANE (BH)"/>
    <m/>
    <s v="Autre département"/>
    <s v="CMR"/>
    <s v="Cameroun"/>
    <s v="CMR004"/>
    <s v="Extrême-Nord"/>
    <s v="CMR004005"/>
    <s v="Mayo-Sava"/>
    <m/>
    <m/>
  </r>
  <r>
    <s v="Extrême-Nord"/>
    <s v="CMR004"/>
    <x v="0"/>
    <s v="CMR004001"/>
    <x v="0"/>
    <s v="CMR004001003"/>
    <s v="PET-0010"/>
    <s v="HODEMA"/>
    <m/>
    <x v="0"/>
    <x v="0"/>
    <n v="5"/>
    <n v="31"/>
    <s v="Conflits liés à GANE (BH)"/>
    <m/>
    <s v="Autre département"/>
    <s v="CMR"/>
    <s v="Cameroun"/>
    <s v="CMR004"/>
    <s v="Extrême-Nord"/>
    <s v="CMR004005"/>
    <s v="Mayo-Sava"/>
    <m/>
    <m/>
  </r>
  <r>
    <s v="Extrême-Nord"/>
    <s v="CMR004"/>
    <x v="0"/>
    <s v="CMR004001"/>
    <x v="0"/>
    <s v="CMR004001003"/>
    <s v="PET-0010"/>
    <s v="HODEMA"/>
    <m/>
    <x v="0"/>
    <x v="1"/>
    <n v="0"/>
    <n v="4"/>
    <s v="Conflits liés à GANE (BH)"/>
    <m/>
    <s v="Autre département"/>
    <s v="CMR"/>
    <s v="Cameroun"/>
    <s v="CMR004"/>
    <s v="Extrême-Nord"/>
    <s v="CMR004005"/>
    <s v="Mayo-Sava"/>
    <m/>
    <m/>
  </r>
  <r>
    <s v="Extrême-Nord"/>
    <s v="CMR004"/>
    <x v="0"/>
    <s v="CMR004001"/>
    <x v="0"/>
    <s v="CMR004001003"/>
    <s v="PET-0010"/>
    <s v="HODEMA"/>
    <m/>
    <x v="0"/>
    <x v="4"/>
    <n v="0"/>
    <n v="1"/>
    <s v="Conflits liés à GANE (BH)"/>
    <m/>
    <s v="Autre département"/>
    <s v="CMR"/>
    <s v="Cameroun"/>
    <s v="CMR004"/>
    <s v="Extrême-Nord"/>
    <s v="CMR004005"/>
    <s v="Mayo-Sava"/>
    <m/>
    <m/>
  </r>
  <r>
    <s v="Extrême-Nord"/>
    <s v="CMR004"/>
    <x v="0"/>
    <s v="CMR004001"/>
    <x v="0"/>
    <s v="CMR004001003"/>
    <s v="PET-0012"/>
    <s v="KARAL TANNE"/>
    <m/>
    <x v="0"/>
    <x v="0"/>
    <n v="10"/>
    <n v="45"/>
    <s v="Conflits liés à GANE (BH)"/>
    <m/>
    <s v="Autre département"/>
    <s v="CMR"/>
    <s v="Cameroun"/>
    <s v="CMR004"/>
    <s v="Extrême-Nord"/>
    <s v="CMR004005"/>
    <s v="Mayo-Sava"/>
    <m/>
    <m/>
  </r>
  <r>
    <s v="Extrême-Nord"/>
    <s v="CMR004"/>
    <x v="0"/>
    <s v="CMR004001"/>
    <x v="0"/>
    <s v="CMR004001003"/>
    <s v="PET-0012"/>
    <s v="KARAL TANNE"/>
    <m/>
    <x v="0"/>
    <x v="4"/>
    <n v="0"/>
    <n v="5"/>
    <s v="Conflits liés à GANE (BH)"/>
    <m/>
    <s v="Autre département"/>
    <s v="CMR"/>
    <s v="Cameroun"/>
    <s v="CMR004"/>
    <s v="Extrême-Nord"/>
    <s v="CMR004005"/>
    <s v="Mayo-Sava"/>
    <m/>
    <m/>
  </r>
  <r>
    <s v="Extrême-Nord"/>
    <s v="CMR004"/>
    <x v="0"/>
    <s v="CMR004001"/>
    <x v="0"/>
    <s v="CMR004001003"/>
    <s v="PET-0025"/>
    <s v="SALAME ALIOUM"/>
    <m/>
    <x v="0"/>
    <x v="0"/>
    <n v="3"/>
    <n v="27"/>
    <s v="Conflits liés à GANE (BH)"/>
    <m/>
    <s v="Autre département"/>
    <s v="CMR"/>
    <s v="Cameroun"/>
    <s v="CMR004"/>
    <s v="Extrême-Nord"/>
    <s v="CMR004005"/>
    <s v="Mayo-Sava"/>
    <m/>
    <m/>
  </r>
  <r>
    <s v="Extrême-Nord"/>
    <s v="CMR004"/>
    <x v="0"/>
    <s v="CMR004001"/>
    <x v="0"/>
    <s v="CMR004001003"/>
    <s v="PET-0013"/>
    <s v="KLISSAWA"/>
    <m/>
    <x v="0"/>
    <x v="0"/>
    <n v="22"/>
    <n v="84"/>
    <s v="Conflits liés à GANE (BH)"/>
    <m/>
    <s v="Autre département"/>
    <s v="CMR"/>
    <s v="Cameroun"/>
    <s v="CMR004"/>
    <s v="Extrême-Nord"/>
    <s v="CMR004005"/>
    <s v="Mayo-Sava"/>
    <m/>
    <m/>
  </r>
  <r>
    <s v="Extrême-Nord"/>
    <s v="CMR004"/>
    <x v="0"/>
    <s v="CMR004001"/>
    <x v="0"/>
    <s v="CMR004001003"/>
    <s v="PET-0008"/>
    <s v="FADARE"/>
    <m/>
    <x v="0"/>
    <x v="0"/>
    <n v="3"/>
    <n v="31"/>
    <s v="Conflits liés à GANE (BH)"/>
    <m/>
    <s v="Autre département"/>
    <s v="CMR"/>
    <s v="Cameroun"/>
    <s v="CMR004"/>
    <s v="Extrême-Nord"/>
    <s v="CMR004005"/>
    <s v="Mayo-Sava"/>
    <m/>
    <m/>
  </r>
  <r>
    <s v="Extrême-Nord"/>
    <s v="CMR004"/>
    <x v="0"/>
    <s v="CMR004001"/>
    <x v="0"/>
    <s v="CMR004001003"/>
    <s v="PET-0014"/>
    <s v="SITE DE KONGHO 1"/>
    <m/>
    <x v="0"/>
    <x v="0"/>
    <n v="20"/>
    <n v="99"/>
    <s v="Conflits liés à GANE (BH)"/>
    <m/>
    <s v="Autre département"/>
    <s v="CMR"/>
    <s v="Cameroun"/>
    <s v="CMR004"/>
    <s v="Extrême-Nord"/>
    <s v="CMR004005"/>
    <s v="Mayo-Sava"/>
    <m/>
    <m/>
  </r>
  <r>
    <s v="Extrême-Nord"/>
    <s v="CMR004"/>
    <x v="0"/>
    <s v="CMR004001"/>
    <x v="0"/>
    <s v="CMR004001003"/>
    <s v="PET-0015"/>
    <s v="SITE DE KONGHO 2"/>
    <m/>
    <x v="0"/>
    <x v="0"/>
    <n v="13"/>
    <n v="77"/>
    <s v="Conflits liés à GANE (BH)"/>
    <m/>
    <s v="Autre département"/>
    <s v="CMR"/>
    <s v="Cameroun"/>
    <s v="CMR004"/>
    <s v="Extrême-Nord"/>
    <s v="CMR004005"/>
    <s v="Mayo-Sava"/>
    <m/>
    <m/>
  </r>
  <r>
    <s v="Extrême-Nord"/>
    <s v="CMR004"/>
    <x v="0"/>
    <s v="CMR004001"/>
    <x v="0"/>
    <s v="CMR004001003"/>
    <s v="PET-0032"/>
    <s v="KONGHO 2"/>
    <m/>
    <x v="0"/>
    <x v="3"/>
    <n v="6"/>
    <n v="20"/>
    <s v="Conflit intercommunautaire"/>
    <m/>
    <s v="Autre département"/>
    <s v="CMR"/>
    <s v="Cameroun"/>
    <s v="CMR004"/>
    <s v="Extrême-Nord"/>
    <s v="CMR004003"/>
    <s v="Mayo-Danay"/>
    <m/>
    <m/>
  </r>
  <r>
    <s v="Extrême-Nord"/>
    <s v="CMR004"/>
    <x v="0"/>
    <s v="CMR004001"/>
    <x v="0"/>
    <s v="CMR004001003"/>
    <s v="PET-0034"/>
    <s v="KONGHO 1"/>
    <m/>
    <x v="0"/>
    <x v="3"/>
    <n v="40"/>
    <n v="223"/>
    <s v="Conflit intercommunautaire"/>
    <m/>
    <s v="Autre département"/>
    <s v="CMR"/>
    <s v="Cameroun"/>
    <s v="CMR004"/>
    <s v="Extrême-Nord"/>
    <s v="CMR004003"/>
    <s v="Mayo-Danay"/>
    <m/>
    <m/>
  </r>
  <r>
    <s v="Extrême-Nord"/>
    <s v="CMR004"/>
    <x v="1"/>
    <s v="CMR004006"/>
    <x v="1"/>
    <s v="CMR004006002"/>
    <s v="MOK-0036"/>
    <s v="MANDAKA"/>
    <m/>
    <x v="0"/>
    <x v="3"/>
    <n v="3"/>
    <n v="12"/>
    <s v="Conflits liés à GANE (BH)"/>
    <m/>
    <s v="Même département, autre arrondissement"/>
    <s v="CMR"/>
    <s v="Cameroun"/>
    <s v="CMR004"/>
    <s v="Extrême-Nord"/>
    <s v="CMR004006"/>
    <s v="Mayo-Tsanaga"/>
    <m/>
    <s v="Koza"/>
  </r>
  <r>
    <s v="Extrême-Nord"/>
    <s v="CMR004"/>
    <x v="1"/>
    <s v="CMR004006"/>
    <x v="1"/>
    <s v="CMR004006002"/>
    <s v="MOK-0051"/>
    <s v="SITE DE ZAMALVA"/>
    <m/>
    <x v="0"/>
    <x v="2"/>
    <n v="7"/>
    <n v="34"/>
    <s v="Conflits liés à GANE (BH)"/>
    <m/>
    <s v="Même département, autre arrondissement"/>
    <s v="CMR"/>
    <s v="Cameroun"/>
    <s v="CMR004"/>
    <s v="Extrême-Nord"/>
    <s v="CMR004006"/>
    <s v="Mayo-Tsanaga"/>
    <m/>
    <s v="Koza"/>
  </r>
  <r>
    <s v="Extrême-Nord"/>
    <s v="CMR004"/>
    <x v="1"/>
    <s v="CMR004006"/>
    <x v="1"/>
    <s v="CMR004006002"/>
    <s v="MOK-0051"/>
    <s v="SITE DE ZAMALVA"/>
    <m/>
    <x v="0"/>
    <x v="0"/>
    <n v="133"/>
    <n v="3167"/>
    <s v="Conflits liés à GANE (BH)"/>
    <m/>
    <s v="Même département, autre arrondissement"/>
    <s v="CMR"/>
    <s v="Cameroun"/>
    <s v="CMR004"/>
    <s v="Extrême-Nord"/>
    <s v="CMR004006"/>
    <s v="Mayo-Tsanaga"/>
    <s v="CMR004006005"/>
    <s v="Mayo-Moskota"/>
  </r>
  <r>
    <s v="Extrême-Nord"/>
    <s v="CMR004"/>
    <x v="0"/>
    <s v="CMR004001"/>
    <x v="2"/>
    <s v="CMR004001005"/>
    <s v="BOG-0001"/>
    <s v="BOGO VILLE (SIRATARE)"/>
    <m/>
    <x v="0"/>
    <x v="4"/>
    <n v="8"/>
    <n v="58"/>
    <s v="Conflit intercommunautaire"/>
    <m/>
    <s v="Autre département"/>
    <s v="CMR"/>
    <s v="Cameroun"/>
    <s v="CMR004"/>
    <s v="Extrême-Nord"/>
    <s v="CMR004003"/>
    <s v="Mayo-Danay"/>
    <m/>
    <m/>
  </r>
  <r>
    <s v="Extrême-Nord"/>
    <s v="CMR004"/>
    <x v="0"/>
    <s v="CMR004001"/>
    <x v="3"/>
    <s v="CMR004001009"/>
    <s v="MA1-0004"/>
    <s v="ZOURMBAIWO 2"/>
    <m/>
    <x v="0"/>
    <x v="0"/>
    <n v="2"/>
    <n v="12"/>
    <s v="Conflits liés à GANE (BH)"/>
    <m/>
    <s v="Autre département"/>
    <s v="CMR"/>
    <s v="Cameroun"/>
    <s v="CMR004"/>
    <s v="Extrême-Nord"/>
    <s v="CMR004005"/>
    <s v="Mayo-Sava"/>
    <m/>
    <m/>
  </r>
  <r>
    <s v="Extrême-Nord"/>
    <s v="CMR004"/>
    <x v="0"/>
    <s v="CMR004001"/>
    <x v="4"/>
    <s v="CMR004001008"/>
    <s v="GAZ-0002"/>
    <s v="CARREFOUR CLIPS"/>
    <m/>
    <x v="0"/>
    <x v="0"/>
    <n v="3"/>
    <n v="10"/>
    <s v="Conflits liés à GANE (BH)"/>
    <m/>
    <s v="Autre département"/>
    <s v="CMR"/>
    <s v="Cameroun"/>
    <s v="CMR004"/>
    <s v="Extrême-Nord"/>
    <s v="CMR004005"/>
    <s v="Mayo-Sava"/>
    <m/>
    <m/>
  </r>
  <r>
    <s v="Extrême-Nord"/>
    <s v="CMR004"/>
    <x v="0"/>
    <s v="CMR004001"/>
    <x v="4"/>
    <s v="CMR004001008"/>
    <s v="GAZ-0003"/>
    <s v="ILDINGOYANG"/>
    <m/>
    <x v="0"/>
    <x v="0"/>
    <n v="4"/>
    <n v="11"/>
    <s v="Conflits liés à GANE (BH)"/>
    <m/>
    <s v="Autre département"/>
    <s v="CMR"/>
    <s v="Cameroun"/>
    <s v="CMR004"/>
    <s v="Extrême-Nord"/>
    <s v="CMR004006"/>
    <s v="Mayo-Tsanaga"/>
    <m/>
    <m/>
  </r>
  <r>
    <s v="Extrême-Nord"/>
    <s v="CMR004"/>
    <x v="0"/>
    <s v="CMR004001"/>
    <x v="5"/>
    <s v="CMR004001002"/>
    <s v="MA2-0005"/>
    <s v="WOURNDÉ 4"/>
    <m/>
    <x v="0"/>
    <x v="0"/>
    <n v="25"/>
    <n v="134"/>
    <s v="Conflits liés à GANE (BH)"/>
    <m/>
    <s v="Autre département"/>
    <s v="CMR"/>
    <s v="Cameroun"/>
    <s v="CMR004"/>
    <s v="Extrême-Nord"/>
    <s v="CMR004005"/>
    <s v="Mayo-Sava"/>
    <m/>
    <m/>
  </r>
  <r>
    <s v="Extrême-Nord"/>
    <s v="CMR004"/>
    <x v="0"/>
    <s v="CMR004001"/>
    <x v="5"/>
    <s v="CMR004001002"/>
    <s v="MA2-0003"/>
    <s v="CEKANDE"/>
    <m/>
    <x v="0"/>
    <x v="0"/>
    <n v="12"/>
    <n v="58"/>
    <s v="Conflits liés à GANE (BH)"/>
    <m/>
    <s v="Autre département"/>
    <s v="CMR"/>
    <s v="Cameroun"/>
    <s v="CMR004"/>
    <s v="Extrême-Nord"/>
    <s v="CMR004005"/>
    <s v="Mayo-Sava"/>
    <m/>
    <m/>
  </r>
  <r>
    <s v="Extrême-Nord"/>
    <s v="CMR004"/>
    <x v="0"/>
    <s v="CMR004001"/>
    <x v="4"/>
    <s v="CMR004001008"/>
    <s v="GAZ-0008"/>
    <s v="YOLA MALIKI"/>
    <m/>
    <x v="0"/>
    <x v="0"/>
    <n v="3"/>
    <n v="14"/>
    <s v="Conflits liés à GANE (BH)"/>
    <m/>
    <s v="Autre département"/>
    <s v="CMR"/>
    <s v="Cameroun"/>
    <s v="CMR004"/>
    <s v="Extrême-Nord"/>
    <s v="CMR004005"/>
    <s v="Mayo-Sava"/>
    <m/>
    <m/>
  </r>
  <r>
    <s v="Extrême-Nord"/>
    <s v="CMR004"/>
    <x v="0"/>
    <s v="CMR004001"/>
    <x v="5"/>
    <s v="CMR004001002"/>
    <s v="MA2-0006"/>
    <s v="DOUALARE FASAO"/>
    <m/>
    <x v="0"/>
    <x v="0"/>
    <n v="20"/>
    <n v="252"/>
    <s v="Conflits liés à GANE (BH)"/>
    <m/>
    <s v="Autre département"/>
    <s v="CMR"/>
    <s v="Cameroun"/>
    <s v="CMR004"/>
    <s v="Extrême-Nord"/>
    <s v="CMR004005"/>
    <s v="Mayo-Sava"/>
    <m/>
    <m/>
  </r>
  <r>
    <s v="Extrême-Nord"/>
    <s v="CMR004"/>
    <x v="0"/>
    <s v="CMR004001"/>
    <x v="4"/>
    <s v="CMR004001008"/>
    <s v="GAZ-0005"/>
    <s v="KATOUAL"/>
    <m/>
    <x v="0"/>
    <x v="0"/>
    <n v="23"/>
    <n v="141"/>
    <s v="Conflits liés à GANE (BH)"/>
    <m/>
    <s v="Autre département"/>
    <s v="CMR"/>
    <s v="Cameroun"/>
    <s v="CMR004"/>
    <s v="Extrême-Nord"/>
    <s v="CMR004005"/>
    <s v="Mayo-Sava"/>
    <m/>
    <m/>
  </r>
  <r>
    <s v="Extrême-Nord"/>
    <s v="CMR004"/>
    <x v="0"/>
    <s v="CMR004001"/>
    <x v="4"/>
    <s v="CMR004001008"/>
    <s v="GAZ-0005"/>
    <s v="KATOUAL"/>
    <m/>
    <x v="0"/>
    <x v="2"/>
    <n v="0"/>
    <n v="10"/>
    <s v="Conflits liés à GANE (BH)"/>
    <m/>
    <s v="Autre département"/>
    <s v="CMR"/>
    <s v="Cameroun"/>
    <s v="CMR004"/>
    <s v="Extrême-Nord"/>
    <s v="CMR004005"/>
    <s v="Mayo-Sava"/>
    <m/>
    <m/>
  </r>
  <r>
    <s v="Extrême-Nord"/>
    <s v="CMR004"/>
    <x v="0"/>
    <s v="CMR004001"/>
    <x v="4"/>
    <s v="CMR004001008"/>
    <s v="GAZ-0007"/>
    <s v="GALLA KATOUAL"/>
    <m/>
    <x v="0"/>
    <x v="0"/>
    <n v="8"/>
    <n v="62"/>
    <s v="Conflits liés à GANE (BH)"/>
    <m/>
    <s v="Autre département"/>
    <s v="CMR"/>
    <s v="Cameroun"/>
    <s v="CMR004"/>
    <s v="Extrême-Nord"/>
    <s v="CMR004005"/>
    <s v="Mayo-Sava"/>
    <m/>
    <m/>
  </r>
  <r>
    <s v="Extrême-Nord"/>
    <s v="CMR004"/>
    <x v="0"/>
    <s v="CMR004001"/>
    <x v="0"/>
    <s v="CMR004001003"/>
    <s v="PET-0001"/>
    <s v="ALAGARNO"/>
    <m/>
    <x v="0"/>
    <x v="0"/>
    <n v="2"/>
    <n v="14"/>
    <s v="Conflits liés à GANE (BH)"/>
    <m/>
    <s v="Autre département"/>
    <s v="CMR"/>
    <s v="Cameroun"/>
    <s v="CMR004"/>
    <s v="Extrême-Nord"/>
    <s v="CMR004005"/>
    <s v="Mayo-Sava"/>
    <m/>
    <m/>
  </r>
  <r>
    <s v="Extrême-Nord"/>
    <s v="CMR004"/>
    <x v="0"/>
    <s v="CMR004001"/>
    <x v="0"/>
    <s v="CMR004001003"/>
    <s v="PET-0001"/>
    <s v="ALAGARNO"/>
    <m/>
    <x v="0"/>
    <x v="1"/>
    <n v="0"/>
    <n v="1"/>
    <s v="Conflits liés à GANE (BH)"/>
    <m/>
    <s v="Autre département"/>
    <s v="CMR"/>
    <s v="Cameroun"/>
    <s v="CMR004"/>
    <s v="Extrême-Nord"/>
    <s v="CMR004005"/>
    <s v="Mayo-Sava"/>
    <m/>
    <m/>
  </r>
  <r>
    <s v="Extrême-Nord"/>
    <s v="CMR004"/>
    <x v="0"/>
    <s v="CMR004001"/>
    <x v="0"/>
    <s v="CMR004001003"/>
    <s v="PET-0001"/>
    <s v="ALAGARNO"/>
    <m/>
    <x v="0"/>
    <x v="4"/>
    <n v="0"/>
    <n v="3"/>
    <s v="Conflits liés à GANE (BH)"/>
    <m/>
    <s v="Autre département"/>
    <s v="CMR"/>
    <s v="Cameroun"/>
    <s v="CMR004"/>
    <s v="Extrême-Nord"/>
    <s v="CMR004005"/>
    <s v="Mayo-Sava"/>
    <m/>
    <m/>
  </r>
  <r>
    <s v="Extrême-Nord"/>
    <s v="CMR004"/>
    <x v="0"/>
    <s v="CMR004001"/>
    <x v="0"/>
    <s v="CMR004001003"/>
    <s v="PET-0020"/>
    <s v="LOUBA LOUBA"/>
    <m/>
    <x v="0"/>
    <x v="0"/>
    <n v="10"/>
    <n v="58"/>
    <s v="Conflits liés à GANE (BH)"/>
    <m/>
    <s v="Autre département"/>
    <s v="CMR"/>
    <s v="Cameroun"/>
    <s v="CMR004"/>
    <s v="Extrême-Nord"/>
    <s v="CMR004005"/>
    <s v="Mayo-Sava"/>
    <m/>
    <m/>
  </r>
  <r>
    <s v="Extrême-Nord"/>
    <s v="CMR004"/>
    <x v="0"/>
    <s v="CMR004001"/>
    <x v="0"/>
    <s v="CMR004001003"/>
    <s v="PET-0020"/>
    <s v="LOUBA LOUBA"/>
    <m/>
    <x v="0"/>
    <x v="3"/>
    <n v="10"/>
    <n v="170"/>
    <s v="Conflit intercommunautaire"/>
    <m/>
    <s v="Autre département"/>
    <s v="CMR"/>
    <s v="Cameroun"/>
    <s v="CMR004"/>
    <s v="Extrême-Nord"/>
    <s v="CMR004003"/>
    <s v="Mayo-Danay"/>
    <m/>
    <m/>
  </r>
  <r>
    <s v="Extrême-Nord"/>
    <s v="CMR004"/>
    <x v="0"/>
    <s v="CMR004001"/>
    <x v="0"/>
    <s v="CMR004001003"/>
    <s v="PET-0027"/>
    <s v="BANDALARE"/>
    <m/>
    <x v="0"/>
    <x v="0"/>
    <n v="5"/>
    <n v="28"/>
    <s v="Conflits liés à GANE (BH)"/>
    <m/>
    <s v="Autre département"/>
    <s v="CMR"/>
    <s v="Cameroun"/>
    <s v="CMR004"/>
    <s v="Extrême-Nord"/>
    <s v="CMR004005"/>
    <s v="Mayo-Sava"/>
    <m/>
    <m/>
  </r>
  <r>
    <s v="Extrême-Nord"/>
    <s v="CMR004"/>
    <x v="0"/>
    <s v="CMR004001"/>
    <x v="5"/>
    <s v="CMR004001002"/>
    <s v="MA2-0001"/>
    <s v="DOUALARE 1"/>
    <m/>
    <x v="0"/>
    <x v="0"/>
    <n v="44"/>
    <n v="374"/>
    <s v="Conflits liés à GANE (BH)"/>
    <m/>
    <s v="Autre département"/>
    <s v="CMR"/>
    <s v="Cameroun"/>
    <s v="CMR004"/>
    <s v="Extrême-Nord"/>
    <s v="CMR004005"/>
    <s v="Mayo-Sava"/>
    <m/>
    <m/>
  </r>
  <r>
    <s v="Extrême-Nord"/>
    <s v="CMR004"/>
    <x v="0"/>
    <s v="CMR004001"/>
    <x v="5"/>
    <s v="CMR004001002"/>
    <s v="MA2-0002"/>
    <s v="DOUALARE 2"/>
    <m/>
    <x v="0"/>
    <x v="4"/>
    <n v="119"/>
    <n v="831"/>
    <s v="Conflit intercommunautaire"/>
    <m/>
    <s v="Autre département"/>
    <s v="CMR"/>
    <s v="Cameroun"/>
    <s v="CMR004"/>
    <s v="Extrême-Nord"/>
    <s v="CMR004003"/>
    <s v="Mayo-Danay"/>
    <m/>
    <m/>
  </r>
  <r>
    <s v="Extrême-Nord"/>
    <s v="CMR004"/>
    <x v="0"/>
    <s v="CMR004001"/>
    <x v="6"/>
    <s v="CMR004001001"/>
    <s v="MA3-0005"/>
    <s v="KONGOLA DJIDDEO"/>
    <m/>
    <x v="0"/>
    <x v="0"/>
    <n v="6"/>
    <n v="52"/>
    <s v="Conflits liés à GANE (BH)"/>
    <m/>
    <s v="Autre département"/>
    <s v="CMR"/>
    <s v="Cameroun"/>
    <s v="CMR004"/>
    <s v="Extrême-Nord"/>
    <s v="CMR004005"/>
    <s v="Mayo-Sava"/>
    <m/>
    <m/>
  </r>
  <r>
    <s v="Extrême-Nord"/>
    <s v="CMR004"/>
    <x v="0"/>
    <s v="CMR004001"/>
    <x v="6"/>
    <s v="CMR004001001"/>
    <s v="MA3-0006"/>
    <s v="KONGOLA TCHASDEO"/>
    <m/>
    <x v="0"/>
    <x v="0"/>
    <n v="20"/>
    <n v="212"/>
    <s v="Conflits liés à GANE (BH)"/>
    <m/>
    <s v="Autre département"/>
    <s v="CMR"/>
    <s v="Cameroun"/>
    <s v="CMR004"/>
    <s v="Extrême-Nord"/>
    <s v="CMR004005"/>
    <s v="Mayo-Sava"/>
    <m/>
    <m/>
  </r>
  <r>
    <s v="Extrême-Nord"/>
    <s v="CMR004"/>
    <x v="0"/>
    <s v="CMR004001"/>
    <x v="6"/>
    <s v="CMR004001001"/>
    <s v="MA3-0006"/>
    <s v="KONGOLA TCHASDEO"/>
    <m/>
    <x v="0"/>
    <x v="2"/>
    <n v="0"/>
    <n v="4"/>
    <s v="Conflits liés à GANE (BH)"/>
    <m/>
    <s v="Autre département"/>
    <s v="CMR"/>
    <s v="Cameroun"/>
    <s v="CMR004"/>
    <s v="Extrême-Nord"/>
    <s v="CMR004005"/>
    <s v="Mayo-Sava"/>
    <m/>
    <m/>
  </r>
  <r>
    <s v="Extrême-Nord"/>
    <s v="CMR004"/>
    <x v="0"/>
    <s v="CMR004001"/>
    <x v="6"/>
    <s v="CMR004001001"/>
    <s v="MA3-0006"/>
    <s v="KONGOLA TCHASDEO"/>
    <m/>
    <x v="0"/>
    <x v="3"/>
    <n v="0"/>
    <n v="4"/>
    <s v="Conflits liés à GANE (BH)"/>
    <m/>
    <s v="Autre département"/>
    <s v="CMR"/>
    <s v="Cameroun"/>
    <s v="CMR004"/>
    <s v="Extrême-Nord"/>
    <s v="CMR004005"/>
    <s v="Mayo-Sava"/>
    <m/>
    <m/>
  </r>
  <r>
    <s v="Extrême-Nord"/>
    <s v="CMR004"/>
    <x v="1"/>
    <s v="CMR004006"/>
    <x v="7"/>
    <s v="CMR004006005"/>
    <s v="MOZ-0010"/>
    <s v="MOZOGO QUARTIER HAOUSSA"/>
    <m/>
    <x v="0"/>
    <x v="0"/>
    <n v="83"/>
    <n v="386"/>
    <s v="Conflits liés à GANE (BH)"/>
    <m/>
    <s v="Même arrondissement"/>
    <s v="CMR"/>
    <s v="Cameroun"/>
    <s v="CMR004"/>
    <s v="Extrême-Nord"/>
    <s v="CMR004006"/>
    <s v="Mayo-Tsanaga"/>
    <s v="CMR004006005"/>
    <s v="Mayo-Moskota"/>
  </r>
  <r>
    <s v="Extrême-Nord"/>
    <s v="CMR004"/>
    <x v="1"/>
    <s v="CMR004006"/>
    <x v="7"/>
    <s v="CMR004006005"/>
    <s v="MOZ-0010"/>
    <s v="MOZOGO QUARTIER HAOUSSA"/>
    <m/>
    <x v="0"/>
    <x v="1"/>
    <n v="0"/>
    <n v="4"/>
    <s v="Conflits liés à GANE (BH)"/>
    <m/>
    <s v="Même arrondissement"/>
    <s v="CMR"/>
    <s v="Cameroun"/>
    <s v="CMR004"/>
    <s v="Extrême-Nord"/>
    <s v="CMR004006"/>
    <s v="Mayo-Tsanaga"/>
    <s v="CMR004006005"/>
    <s v="Mayo-Moskota"/>
  </r>
  <r>
    <s v="Extrême-Nord"/>
    <s v="CMR004"/>
    <x v="1"/>
    <s v="CMR004006"/>
    <x v="7"/>
    <s v="CMR004006005"/>
    <s v="MOZ-0010"/>
    <s v="MOZOGO QUARTIER HAOUSSA"/>
    <m/>
    <x v="0"/>
    <x v="4"/>
    <n v="25"/>
    <n v="148"/>
    <s v="Conflits liés à GANE (BH)"/>
    <m/>
    <s v="Même arrondissement"/>
    <s v="CMR"/>
    <s v="Cameroun"/>
    <s v="CMR004"/>
    <s v="Extrême-Nord"/>
    <s v="CMR004006"/>
    <s v="Mayo-Tsanaga"/>
    <s v="CMR004006005"/>
    <s v="Mayo-Moskota"/>
  </r>
  <r>
    <s v="Extrême-Nord"/>
    <s v="CMR004"/>
    <x v="1"/>
    <s v="CMR004006"/>
    <x v="7"/>
    <s v="CMR004006005"/>
    <s v="MOZ-0010"/>
    <s v="MOZOGO QUARTIER HAOUSSA"/>
    <m/>
    <x v="0"/>
    <x v="3"/>
    <n v="16"/>
    <n v="160"/>
    <s v="Conflits liés à GANE (BH)"/>
    <m/>
    <s v="Même arrondissement"/>
    <s v="CMR"/>
    <s v="Cameroun"/>
    <s v="CMR004"/>
    <s v="Extrême-Nord"/>
    <s v="CMR004006"/>
    <s v="Mayo-Tsanaga"/>
    <s v="CMR004006005"/>
    <s v="Mayo-Moskota"/>
  </r>
  <r>
    <s v="Extrême-Nord"/>
    <s v="CMR004"/>
    <x v="1"/>
    <s v="CMR004006"/>
    <x v="7"/>
    <s v="CMR004006005"/>
    <s v="MOZ-0010"/>
    <s v="MOZOGO QUARTIER HAOUSSA"/>
    <m/>
    <x v="0"/>
    <x v="2"/>
    <n v="17"/>
    <n v="130"/>
    <s v="Conflits liés à GANE (BH)"/>
    <m/>
    <s v="Même arrondissement"/>
    <s v="CMR"/>
    <s v="Cameroun"/>
    <s v="CMR004"/>
    <s v="Extrême-Nord"/>
    <s v="CMR004006"/>
    <s v="Mayo-Tsanaga"/>
    <s v="CMR004006005"/>
    <s v="Mayo-Moskota"/>
  </r>
  <r>
    <s v="Extrême-Nord"/>
    <s v="CMR004"/>
    <x v="1"/>
    <s v="CMR004006"/>
    <x v="7"/>
    <s v="CMR004006005"/>
    <s v="MOZ-0014"/>
    <s v="OUZAL"/>
    <m/>
    <x v="0"/>
    <x v="0"/>
    <n v="46"/>
    <n v="239"/>
    <s v="Conflits liés à GANE (BH)"/>
    <m/>
    <s v="Même arrondissement"/>
    <s v="CMR"/>
    <s v="Cameroun"/>
    <s v="CMR004"/>
    <s v="Extrême-Nord"/>
    <s v="CMR004006"/>
    <s v="Mayo-Tsanaga"/>
    <s v="CMR004006005"/>
    <s v="Mayo-Moskota"/>
  </r>
  <r>
    <s v="Extrême-Nord"/>
    <s v="CMR004"/>
    <x v="1"/>
    <s v="CMR004006"/>
    <x v="7"/>
    <s v="CMR004006005"/>
    <s v="MOZ-0014"/>
    <s v="OUZAL"/>
    <m/>
    <x v="0"/>
    <x v="1"/>
    <n v="0"/>
    <n v="5"/>
    <s v="Conflits liés à GANE (BH)"/>
    <m/>
    <s v="Même arrondissement"/>
    <s v="CMR"/>
    <s v="Cameroun"/>
    <s v="CMR004"/>
    <s v="Extrême-Nord"/>
    <s v="CMR004006"/>
    <s v="Mayo-Tsanaga"/>
    <s v="CMR004006005"/>
    <s v="Mayo-Moskota"/>
  </r>
  <r>
    <s v="Extrême-Nord"/>
    <s v="CMR004"/>
    <x v="1"/>
    <s v="CMR004006"/>
    <x v="7"/>
    <s v="CMR004006005"/>
    <s v="MOZ-0014"/>
    <s v="OUZAL"/>
    <m/>
    <x v="0"/>
    <x v="4"/>
    <n v="0"/>
    <n v="8"/>
    <s v="Conflits liés à GANE (BH)"/>
    <m/>
    <s v="Même arrondissement"/>
    <s v="CMR"/>
    <s v="Cameroun"/>
    <s v="CMR004"/>
    <s v="Extrême-Nord"/>
    <s v="CMR004006"/>
    <s v="Mayo-Tsanaga"/>
    <s v="CMR004006005"/>
    <s v="Mayo-Moskota"/>
  </r>
  <r>
    <s v="Extrême-Nord"/>
    <s v="CMR004"/>
    <x v="1"/>
    <s v="CMR004006"/>
    <x v="7"/>
    <s v="CMR004006005"/>
    <s v="MOZ-0014"/>
    <s v="OUZAL"/>
    <m/>
    <x v="0"/>
    <x v="3"/>
    <n v="0"/>
    <n v="10"/>
    <s v="Conflits liés à GANE (BH)"/>
    <m/>
    <s v="Même arrondissement"/>
    <s v="CMR"/>
    <s v="Cameroun"/>
    <s v="CMR004"/>
    <s v="Extrême-Nord"/>
    <s v="CMR004006"/>
    <s v="Mayo-Tsanaga"/>
    <s v="CMR004006005"/>
    <s v="Mayo-Moskota"/>
  </r>
  <r>
    <s v="Extrême-Nord"/>
    <s v="CMR004"/>
    <x v="1"/>
    <s v="CMR004006"/>
    <x v="7"/>
    <s v="CMR004006005"/>
    <s v="MOZ-0014"/>
    <s v="OUZAL"/>
    <m/>
    <x v="0"/>
    <x v="2"/>
    <n v="45"/>
    <n v="227"/>
    <s v="Conflits liés à GANE (BH)"/>
    <m/>
    <s v="Même arrondissement"/>
    <s v="CMR"/>
    <s v="Cameroun"/>
    <s v="CMR004"/>
    <s v="Extrême-Nord"/>
    <s v="CMR004006"/>
    <s v="Mayo-Tsanaga"/>
    <s v="CMR004006005"/>
    <s v="Mayo-Moskota"/>
  </r>
  <r>
    <s v="Extrême-Nord"/>
    <s v="CMR004"/>
    <x v="1"/>
    <s v="CMR004006"/>
    <x v="7"/>
    <s v="CMR004006005"/>
    <s v="MOZ-0009"/>
    <s v="MOZOGO GUIDBALA"/>
    <m/>
    <x v="0"/>
    <x v="0"/>
    <n v="115"/>
    <n v="576"/>
    <s v="Conflits liés à GANE (BH)"/>
    <m/>
    <s v="Même arrondissement"/>
    <s v="CMR"/>
    <s v="Cameroun"/>
    <s v="CMR004"/>
    <s v="Extrême-Nord"/>
    <s v="CMR004006"/>
    <s v="Mayo-Tsanaga"/>
    <s v="CMR004006005"/>
    <s v="Mayo-Moskota"/>
  </r>
  <r>
    <s v="Extrême-Nord"/>
    <s v="CMR004"/>
    <x v="1"/>
    <s v="CMR004006"/>
    <x v="7"/>
    <s v="CMR004006005"/>
    <s v="MOZ-0009"/>
    <s v="MOZOGO GUIDBALA"/>
    <m/>
    <x v="0"/>
    <x v="1"/>
    <n v="19"/>
    <n v="108"/>
    <s v="Conflits liés à GANE (BH)"/>
    <m/>
    <s v="Même arrondissement"/>
    <s v="CMR"/>
    <s v="Cameroun"/>
    <s v="CMR004"/>
    <s v="Extrême-Nord"/>
    <s v="CMR004006"/>
    <s v="Mayo-Tsanaga"/>
    <s v="CMR004006005"/>
    <s v="Mayo-Moskota"/>
  </r>
  <r>
    <s v="Extrême-Nord"/>
    <s v="CMR004"/>
    <x v="1"/>
    <s v="CMR004006"/>
    <x v="7"/>
    <s v="CMR004006005"/>
    <s v="MOZ-0009"/>
    <s v="MOZOGO GUIDBALA"/>
    <m/>
    <x v="0"/>
    <x v="4"/>
    <n v="54"/>
    <n v="371"/>
    <s v="Conflits liés à GANE (BH)"/>
    <m/>
    <s v="Même arrondissement"/>
    <s v="CMR"/>
    <s v="Cameroun"/>
    <s v="CMR004"/>
    <s v="Extrême-Nord"/>
    <s v="CMR004006"/>
    <s v="Mayo-Tsanaga"/>
    <s v="CMR004006005"/>
    <s v="Mayo-Moskota"/>
  </r>
  <r>
    <s v="Extrême-Nord"/>
    <s v="CMR004"/>
    <x v="1"/>
    <s v="CMR004006"/>
    <x v="7"/>
    <s v="CMR004006005"/>
    <s v="MOZ-0009"/>
    <s v="MOZOGO GUIDBALA"/>
    <m/>
    <x v="0"/>
    <x v="2"/>
    <n v="15"/>
    <n v="95"/>
    <s v="Conflits liés à GANE (BH)"/>
    <m/>
    <s v="Même arrondissement"/>
    <s v="CMR"/>
    <s v="Cameroun"/>
    <s v="CMR004"/>
    <s v="Extrême-Nord"/>
    <s v="CMR004006"/>
    <s v="Mayo-Tsanaga"/>
    <s v="CMR004006005"/>
    <s v="Mayo-Moskota"/>
  </r>
  <r>
    <s v="Extrême-Nord"/>
    <s v="CMR004"/>
    <x v="1"/>
    <s v="CMR004006"/>
    <x v="7"/>
    <s v="CMR004006005"/>
    <s v="MOZ-0009"/>
    <s v="MOZOGO GUIDBALA"/>
    <m/>
    <x v="0"/>
    <x v="3"/>
    <n v="15"/>
    <n v="122"/>
    <s v="Conflits liés à GANE (BH)"/>
    <m/>
    <s v="Même arrondissement"/>
    <s v="CMR"/>
    <s v="Cameroun"/>
    <s v="CMR004"/>
    <s v="Extrême-Nord"/>
    <s v="CMR004006"/>
    <s v="Mayo-Tsanaga"/>
    <s v="CMR004006005"/>
    <s v="Mayo-Moskota"/>
  </r>
  <r>
    <s v="Extrême-Nord"/>
    <s v="CMR004"/>
    <x v="1"/>
    <s v="CMR004006"/>
    <x v="7"/>
    <s v="CMR004006005"/>
    <s v="MOZ-0006"/>
    <s v="MEDEGOUER"/>
    <m/>
    <x v="0"/>
    <x v="0"/>
    <n v="48"/>
    <n v="287"/>
    <s v="Conflits liés à GANE (BH)"/>
    <m/>
    <s v="Même arrondissement"/>
    <s v="CMR"/>
    <s v="Cameroun"/>
    <s v="CMR004"/>
    <s v="Extrême-Nord"/>
    <s v="CMR004006"/>
    <s v="Mayo-Tsanaga"/>
    <s v="CMR004006005"/>
    <s v="Mayo-Moskota"/>
  </r>
  <r>
    <s v="Extrême-Nord"/>
    <s v="CMR004"/>
    <x v="1"/>
    <s v="CMR004006"/>
    <x v="7"/>
    <s v="CMR004006005"/>
    <s v="MOZ-0006"/>
    <s v="MEDEGOUER"/>
    <m/>
    <x v="0"/>
    <x v="4"/>
    <n v="3"/>
    <n v="15"/>
    <s v="Conflits liés à GANE (BH)"/>
    <m/>
    <s v="Même arrondissement"/>
    <s v="CMR"/>
    <s v="Cameroun"/>
    <s v="CMR004"/>
    <s v="Extrême-Nord"/>
    <s v="CMR004006"/>
    <s v="Mayo-Tsanaga"/>
    <s v="CMR004006005"/>
    <s v="Mayo-Moskota"/>
  </r>
  <r>
    <s v="Extrême-Nord"/>
    <s v="CMR004"/>
    <x v="1"/>
    <s v="CMR004006"/>
    <x v="7"/>
    <s v="CMR004006005"/>
    <s v="MOZ-0006"/>
    <s v="MEDEGOUER"/>
    <m/>
    <x v="0"/>
    <x v="3"/>
    <n v="33"/>
    <n v="194"/>
    <s v="Conflits liés à GANE (BH)"/>
    <m/>
    <s v="Même arrondissement"/>
    <s v="CMR"/>
    <s v="Cameroun"/>
    <s v="CMR004"/>
    <s v="Extrême-Nord"/>
    <s v="CMR004006"/>
    <s v="Mayo-Tsanaga"/>
    <s v="CMR004006005"/>
    <s v="Mayo-Moskota"/>
  </r>
  <r>
    <s v="Extrême-Nord"/>
    <s v="CMR004"/>
    <x v="1"/>
    <s v="CMR004006"/>
    <x v="7"/>
    <s v="CMR004006005"/>
    <s v="MOZ-0006"/>
    <s v="MEDEGOUER"/>
    <m/>
    <x v="0"/>
    <x v="2"/>
    <n v="15"/>
    <n v="49"/>
    <s v="Conflits liés à GANE (BH)"/>
    <m/>
    <s v="Même arrondissement"/>
    <s v="CMR"/>
    <s v="Cameroun"/>
    <s v="CMR004"/>
    <s v="Extrême-Nord"/>
    <s v="CMR004006"/>
    <s v="Mayo-Tsanaga"/>
    <s v="CMR004006005"/>
    <s v="Mayo-Moskota"/>
  </r>
  <r>
    <s v="Extrême-Nord"/>
    <s v="CMR004"/>
    <x v="1"/>
    <s v="CMR004006"/>
    <x v="7"/>
    <s v="CMR004006005"/>
    <s v="MOZ-0030"/>
    <s v="SITE DE MOSKOTA - DZABA"/>
    <m/>
    <x v="0"/>
    <x v="0"/>
    <n v="72"/>
    <n v="539"/>
    <s v="Conflits liés à GANE (BH)"/>
    <m/>
    <s v="Même arrondissement"/>
    <s v="CMR"/>
    <s v="Cameroun"/>
    <s v="CMR004"/>
    <s v="Extrême-Nord"/>
    <s v="CMR004006"/>
    <s v="Mayo-Tsanaga"/>
    <s v="CMR004006005"/>
    <s v="Mayo-Moskota"/>
  </r>
  <r>
    <s v="Extrême-Nord"/>
    <s v="CMR004"/>
    <x v="1"/>
    <s v="CMR004006"/>
    <x v="7"/>
    <s v="CMR004006005"/>
    <s v="MOZ-0030"/>
    <s v="SITE DE MOSKOTA - DZABA"/>
    <m/>
    <x v="0"/>
    <x v="4"/>
    <n v="7"/>
    <n v="47"/>
    <s v="Conflits liés à GANE (BH)"/>
    <m/>
    <s v="Même arrondissement"/>
    <s v="CMR"/>
    <s v="Cameroun"/>
    <s v="CMR004"/>
    <s v="Extrême-Nord"/>
    <s v="CMR004006"/>
    <s v="Mayo-Tsanaga"/>
    <s v="CMR004006005"/>
    <s v="Mayo-Moskota"/>
  </r>
  <r>
    <s v="Extrême-Nord"/>
    <s v="CMR004"/>
    <x v="1"/>
    <s v="CMR004006"/>
    <x v="7"/>
    <s v="CMR004006005"/>
    <s v="MOZ-0030"/>
    <s v="SITE DE MOSKOTA - DZABA"/>
    <m/>
    <x v="0"/>
    <x v="3"/>
    <n v="28"/>
    <n v="205"/>
    <s v="Conflits liés à GANE (BH)"/>
    <m/>
    <s v="Même arrondissement"/>
    <s v="CMR"/>
    <s v="Cameroun"/>
    <s v="CMR004"/>
    <s v="Extrême-Nord"/>
    <s v="CMR004006"/>
    <s v="Mayo-Tsanaga"/>
    <s v="CMR004006005"/>
    <s v="Mayo-Moskota"/>
  </r>
  <r>
    <s v="Extrême-Nord"/>
    <s v="CMR004"/>
    <x v="1"/>
    <s v="CMR004006"/>
    <x v="7"/>
    <s v="CMR004006005"/>
    <s v="MOZ-0030"/>
    <s v="SITE DE MOSKOTA - DZABA"/>
    <m/>
    <x v="0"/>
    <x v="2"/>
    <n v="16"/>
    <n v="200"/>
    <s v="Conflits liés à GANE (BH)"/>
    <m/>
    <s v="Même arrondissement"/>
    <s v="CMR"/>
    <s v="Cameroun"/>
    <s v="CMR004"/>
    <s v="Extrême-Nord"/>
    <s v="CMR004006"/>
    <s v="Mayo-Tsanaga"/>
    <s v="CMR004006005"/>
    <s v="Mayo-Moskota"/>
  </r>
  <r>
    <s v="Extrême-Nord"/>
    <s v="CMR004"/>
    <x v="1"/>
    <s v="CMR004006"/>
    <x v="7"/>
    <s v="CMR004006005"/>
    <s v="XXXX"/>
    <s v="MANDOUSSA DZA"/>
    <s v="MANDOUSSA DZA"/>
    <x v="0"/>
    <x v="2"/>
    <n v="42"/>
    <n v="240"/>
    <s v="Conflits liés à GANE (BH)"/>
    <m/>
    <s v="Même arrondissement"/>
    <s v="CMR"/>
    <s v="Cameroun"/>
    <s v="CMR004"/>
    <s v="Extrême-Nord"/>
    <s v="CMR004006"/>
    <s v="Mayo-Tsanaga"/>
    <s v="CMR004006005"/>
    <s v="Mayo-Moskota"/>
  </r>
  <r>
    <s v="Extrême-Nord"/>
    <s v="CMR004"/>
    <x v="0"/>
    <s v="CMR004001"/>
    <x v="0"/>
    <s v="CMR004001003"/>
    <s v="PET-0011"/>
    <s v="KARAL GUIE"/>
    <m/>
    <x v="0"/>
    <x v="0"/>
    <n v="5"/>
    <n v="37"/>
    <s v="Conflits liés à GANE (BH)"/>
    <m/>
    <s v="Autre département"/>
    <s v="CMR"/>
    <s v="Cameroun"/>
    <s v="CMR004"/>
    <s v="Extrême-Nord"/>
    <s v="CMR004005"/>
    <s v="Mayo-Sava"/>
    <m/>
    <m/>
  </r>
  <r>
    <s v="Extrême-Nord"/>
    <s v="CMR004"/>
    <x v="0"/>
    <s v="CMR004001"/>
    <x v="0"/>
    <s v="CMR004001003"/>
    <s v="PET-0011"/>
    <s v="KARAL GUIE"/>
    <m/>
    <x v="0"/>
    <x v="4"/>
    <n v="0"/>
    <n v="3"/>
    <s v="Conflits liés à GANE (BH)"/>
    <m/>
    <s v="Autre département"/>
    <s v="CMR"/>
    <s v="Cameroun"/>
    <s v="CMR004"/>
    <s v="Extrême-Nord"/>
    <s v="CMR004005"/>
    <s v="Mayo-Sava"/>
    <m/>
    <m/>
  </r>
  <r>
    <s v="Extrême-Nord"/>
    <s v="CMR004"/>
    <x v="0"/>
    <s v="CMR004001"/>
    <x v="0"/>
    <s v="CMR004001003"/>
    <s v="PET-0011"/>
    <s v="KARAL GUIE"/>
    <m/>
    <x v="0"/>
    <x v="2"/>
    <n v="0"/>
    <n v="4"/>
    <s v="Conflits liés à GANE (BH)"/>
    <m/>
    <s v="Autre département"/>
    <s v="CMR"/>
    <s v="Cameroun"/>
    <s v="CMR004"/>
    <s v="Extrême-Nord"/>
    <s v="CMR004005"/>
    <s v="Mayo-Sava"/>
    <m/>
    <m/>
  </r>
  <r>
    <s v="Extrême-Nord"/>
    <s v="CMR004"/>
    <x v="0"/>
    <s v="CMR004001"/>
    <x v="0"/>
    <s v="CMR004001003"/>
    <s v="PET-0005"/>
    <s v="DJOUTA-BEMBAL"/>
    <m/>
    <x v="0"/>
    <x v="0"/>
    <n v="3"/>
    <n v="17"/>
    <s v="Conflits liés à GANE (BH)"/>
    <m/>
    <s v="Autre département"/>
    <s v="CMR"/>
    <s v="Cameroun"/>
    <s v="CMR004"/>
    <s v="Extrême-Nord"/>
    <s v="CMR004005"/>
    <s v="Mayo-Sava"/>
    <m/>
    <m/>
  </r>
  <r>
    <s v="Extrême-Nord"/>
    <s v="CMR004"/>
    <x v="2"/>
    <s v="CMR004002"/>
    <x v="8"/>
    <s v="CMR004002009"/>
    <s v="MAK-0025"/>
    <s v="DONGOLO"/>
    <m/>
    <x v="0"/>
    <x v="0"/>
    <n v="27"/>
    <n v="90"/>
    <s v="Conflits liés à GANE (BH)"/>
    <m/>
    <s v="Même département, autre arrondissement"/>
    <s v="CMR"/>
    <s v="Cameroun"/>
    <s v="CMR004"/>
    <s v="Extrême-Nord"/>
    <s v="CMR004002"/>
    <s v="Logone-Et-Chari"/>
    <s v="CMR004002008"/>
    <s v="Fotokol"/>
  </r>
  <r>
    <s v="Extrême-Nord"/>
    <s v="CMR004"/>
    <x v="2"/>
    <s v="CMR004002"/>
    <x v="8"/>
    <s v="CMR004002009"/>
    <s v="MAK-0022"/>
    <s v="CHAGAMA 2"/>
    <m/>
    <x v="0"/>
    <x v="0"/>
    <n v="9"/>
    <n v="37"/>
    <s v="Conflits liés à GANE (BH)"/>
    <m/>
    <s v="Même département, autre arrondissement"/>
    <s v="CMR"/>
    <s v="Cameroun"/>
    <s v="CMR004"/>
    <s v="Extrême-Nord"/>
    <s v="CMR004002"/>
    <s v="Logone-Et-Chari"/>
    <s v="CMR004002008"/>
    <s v="Fotokol"/>
  </r>
  <r>
    <s v="Extrême-Nord"/>
    <s v="CMR004"/>
    <x v="2"/>
    <s v="CMR004002"/>
    <x v="9"/>
    <s v="CMR004002010"/>
    <s v="HIL-0003"/>
    <s v="ABASSOUNI 2"/>
    <m/>
    <x v="0"/>
    <x v="0"/>
    <n v="25"/>
    <n v="149"/>
    <s v="Conflits liés à GANE (BH)"/>
    <m/>
    <s v="Même arrondissement"/>
    <s v="CMR"/>
    <s v="Cameroun"/>
    <s v="CMR004"/>
    <s v="Extrême-Nord"/>
    <s v="CMR004002"/>
    <s v="Logone-Et-Chari"/>
    <s v="CMR004002010"/>
    <s v="Hile-Alifa"/>
  </r>
  <r>
    <s v="Extrême-Nord"/>
    <s v="CMR004"/>
    <x v="2"/>
    <s v="CMR004002"/>
    <x v="9"/>
    <s v="CMR004002010"/>
    <s v="HIL-0003"/>
    <s v="ABASSOUNI 2"/>
    <m/>
    <x v="0"/>
    <x v="4"/>
    <n v="4"/>
    <n v="29"/>
    <s v="Conflits liés à GANE (BH)"/>
    <m/>
    <s v="Même arrondissement"/>
    <s v="CMR"/>
    <s v="Cameroun"/>
    <s v="CMR004"/>
    <s v="Extrême-Nord"/>
    <s v="CMR004002"/>
    <s v="Logone-Et-Chari"/>
    <s v="CMR004002010"/>
    <s v="Hile-Alifa"/>
  </r>
  <r>
    <s v="Extrême-Nord"/>
    <s v="CMR004"/>
    <x v="2"/>
    <s v="CMR004002"/>
    <x v="9"/>
    <s v="CMR004002010"/>
    <s v="HIL-0003"/>
    <s v="ABASSOUNI 2"/>
    <m/>
    <x v="0"/>
    <x v="3"/>
    <n v="6"/>
    <n v="45"/>
    <s v="Conflits liés à GANE (BH)"/>
    <m/>
    <s v="Même arrondissement"/>
    <s v="CMR"/>
    <s v="Cameroun"/>
    <s v="CMR004"/>
    <s v="Extrême-Nord"/>
    <s v="CMR004002"/>
    <s v="Logone-Et-Chari"/>
    <s v="CMR004002010"/>
    <s v="Hile-Alifa"/>
  </r>
  <r>
    <s v="Extrême-Nord"/>
    <s v="CMR004"/>
    <x v="2"/>
    <s v="CMR004002"/>
    <x v="9"/>
    <s v="CMR004002010"/>
    <s v="HIL-0003"/>
    <s v="ABASSOUNI 2"/>
    <m/>
    <x v="0"/>
    <x v="2"/>
    <n v="20"/>
    <n v="160"/>
    <s v="Conflits liés à GANE (BH)"/>
    <m/>
    <s v="Même arrondissement"/>
    <s v="CMR"/>
    <s v="Cameroun"/>
    <s v="CMR004"/>
    <s v="Extrême-Nord"/>
    <s v="CMR004002"/>
    <s v="Logone-Et-Chari"/>
    <s v="CMR004002010"/>
    <s v="Hile-Alifa"/>
  </r>
  <r>
    <s v="Extrême-Nord"/>
    <s v="CMR004"/>
    <x v="0"/>
    <s v="CMR004001"/>
    <x v="0"/>
    <s v="CMR004001003"/>
    <s v="PET-0028"/>
    <s v="TERRO"/>
    <m/>
    <x v="0"/>
    <x v="0"/>
    <n v="8"/>
    <n v="53"/>
    <s v="Conflits liés à GANE (BH)"/>
    <m/>
    <s v="Autre département"/>
    <s v="CMR"/>
    <s v="Cameroun"/>
    <s v="CMR004"/>
    <s v="Extrême-Nord"/>
    <s v="CMR004005"/>
    <s v="Mayo-Sava"/>
    <m/>
    <m/>
  </r>
  <r>
    <s v="Extrême-Nord"/>
    <s v="CMR004"/>
    <x v="2"/>
    <s v="CMR004002"/>
    <x v="8"/>
    <s v="CMR004002009"/>
    <s v="MAK-0071"/>
    <s v="NANAMI"/>
    <m/>
    <x v="0"/>
    <x v="0"/>
    <n v="6"/>
    <n v="34"/>
    <s v="Conflits liés à GANE (BH)"/>
    <m/>
    <s v="Même département, autre arrondissement"/>
    <s v="CMR"/>
    <s v="Cameroun"/>
    <s v="CMR004"/>
    <s v="Extrême-Nord"/>
    <s v="CMR004002"/>
    <s v="Logone-Et-Chari"/>
    <s v="CMR004002008"/>
    <s v="Fotokol"/>
  </r>
  <r>
    <s v="Extrême-Nord"/>
    <s v="CMR004"/>
    <x v="2"/>
    <s v="CMR004002"/>
    <x v="8"/>
    <s v="CMR004002009"/>
    <s v="MAK-0185"/>
    <s v="GUEILALA"/>
    <m/>
    <x v="0"/>
    <x v="0"/>
    <n v="8"/>
    <n v="72"/>
    <s v="Conflits liés à GANE (BH)"/>
    <m/>
    <s v="Même département, autre arrondissement"/>
    <s v="CMR"/>
    <s v="Cameroun"/>
    <s v="CMR004"/>
    <s v="Extrême-Nord"/>
    <s v="CMR004002"/>
    <s v="Logone-Et-Chari"/>
    <s v="CMR004002008"/>
    <s v="Fotokol"/>
  </r>
  <r>
    <s v="Extrême-Nord"/>
    <s v="CMR004"/>
    <x v="2"/>
    <s v="CMR004002"/>
    <x v="8"/>
    <s v="CMR004002009"/>
    <s v="MAK-0185"/>
    <s v="GUEILALA"/>
    <m/>
    <x v="0"/>
    <x v="1"/>
    <n v="5"/>
    <n v="14"/>
    <s v="Conflits liés à GANE (BH)"/>
    <m/>
    <s v="Même département, autre arrondissement"/>
    <s v="CMR"/>
    <s v="Cameroun"/>
    <s v="CMR004"/>
    <s v="Extrême-Nord"/>
    <s v="CMR004002"/>
    <s v="Logone-Et-Chari"/>
    <m/>
    <s v="Hile-Alifa"/>
  </r>
  <r>
    <s v="Extrême-Nord"/>
    <s v="CMR004"/>
    <x v="2"/>
    <s v="CMR004002"/>
    <x v="10"/>
    <s v="CMR004002003"/>
    <s v="BLA-0012"/>
    <s v="NDJARGOUDJA"/>
    <m/>
    <x v="0"/>
    <x v="2"/>
    <n v="3"/>
    <n v="21"/>
    <s v="Autre raison"/>
    <s v="2 type de raison de déplacement  conflits  b h et inondations saisonnière "/>
    <s v="Même arrondissement"/>
    <s v="CMR"/>
    <s v="Cameroun"/>
    <s v="CMR004"/>
    <s v="Extrême-Nord"/>
    <s v="CMR004002"/>
    <s v="Logone-Et-Chari"/>
    <s v="CMR004002003"/>
    <s v="Blangoua"/>
  </r>
  <r>
    <s v="Extrême-Nord"/>
    <s v="CMR004"/>
    <x v="2"/>
    <s v="CMR004002"/>
    <x v="10"/>
    <s v="CMR004002003"/>
    <s v="BLA-0012"/>
    <s v="NDJARGOUDJA"/>
    <m/>
    <x v="0"/>
    <x v="1"/>
    <n v="4"/>
    <n v="17"/>
    <s v="Conflits liés à GANE (BH)"/>
    <m/>
    <s v="Même département, autre arrondissement"/>
    <s v="CMR"/>
    <s v="Cameroun"/>
    <s v="CMR004"/>
    <s v="Extrême-Nord"/>
    <s v="CMR004002"/>
    <s v="Logone-Et-Chari"/>
    <s v="CMR004002007"/>
    <s v="Darak"/>
  </r>
  <r>
    <s v="Extrême-Nord"/>
    <s v="CMR004"/>
    <x v="2"/>
    <s v="CMR004002"/>
    <x v="10"/>
    <s v="CMR004002003"/>
    <s v="XXXX"/>
    <s v="SITE DE KEKAYA MADAICK "/>
    <s v="SITE DE KEKAYA MADAICK "/>
    <x v="0"/>
    <x v="2"/>
    <n v="669"/>
    <n v="2285"/>
    <s v="Autre raison"/>
    <s v="Il y a 2 type de raison  de déplacement  conflits b h et inondations   saisonnière "/>
    <s v="Même arrondissement"/>
    <s v="CMR"/>
    <s v="Cameroun"/>
    <s v="CMR004"/>
    <s v="Extrême-Nord"/>
    <s v="CMR004002"/>
    <s v="Logone-Et-Chari"/>
    <s v="CMR004002003"/>
    <s v="Blangoua"/>
  </r>
  <r>
    <s v="Extrême-Nord"/>
    <s v="CMR004"/>
    <x v="0"/>
    <s v="CMR004001"/>
    <x v="6"/>
    <s v="CMR004001001"/>
    <s v="MA3-0003"/>
    <s v="LOUGEO"/>
    <m/>
    <x v="0"/>
    <x v="0"/>
    <n v="183"/>
    <n v="1057"/>
    <s v="Conflits liés à GANE (BH)"/>
    <m/>
    <s v="Autre département"/>
    <s v="CMR"/>
    <s v="Cameroun"/>
    <s v="CMR004"/>
    <s v="Extrême-Nord"/>
    <s v="CMR004005"/>
    <s v="Mayo-Sava"/>
    <m/>
    <m/>
  </r>
  <r>
    <s v="Extrême-Nord"/>
    <s v="CMR004"/>
    <x v="0"/>
    <s v="CMR004001"/>
    <x v="6"/>
    <s v="CMR004001001"/>
    <s v="MA3-0003"/>
    <s v="LOUGEO"/>
    <m/>
    <x v="0"/>
    <x v="2"/>
    <n v="1"/>
    <n v="21"/>
    <s v="Autre raison"/>
    <s v="Pour des raisons économiques"/>
    <s v="Même département, autre arrondissement"/>
    <s v="CMR"/>
    <s v="Cameroun"/>
    <s v="CMR004"/>
    <s v="Extrême-Nord"/>
    <s v="CMR004001"/>
    <s v="Diamaré"/>
    <s v="CMR004001004"/>
    <s v="Dargala"/>
  </r>
  <r>
    <s v="Extrême-Nord"/>
    <s v="CMR004"/>
    <x v="3"/>
    <s v="CMR004003"/>
    <x v="11"/>
    <s v="CMR004003002"/>
    <s v="MAG-0005"/>
    <s v="SITE DE POUSS"/>
    <m/>
    <x v="0"/>
    <x v="0"/>
    <n v="188"/>
    <n v="1543"/>
    <s v="Inondations saisonnières ou fortes pluies"/>
    <m/>
    <s v="Même arrondissement"/>
    <s v="CMR"/>
    <s v="Cameroun"/>
    <s v="CMR004"/>
    <s v="Extrême-Nord"/>
    <s v="CMR004003"/>
    <s v="Mayo-Danay"/>
    <s v="CMR004003002"/>
    <s v="Maga"/>
  </r>
  <r>
    <s v="Extrême-Nord"/>
    <s v="CMR004"/>
    <x v="3"/>
    <s v="CMR004003"/>
    <x v="11"/>
    <s v="CMR004003002"/>
    <s v="MAG-0005"/>
    <s v="SITE DE POUSS"/>
    <m/>
    <x v="0"/>
    <x v="1"/>
    <n v="5"/>
    <n v="50"/>
    <s v="Inondations saisonnières ou fortes pluies"/>
    <m/>
    <s v="Même arrondissement"/>
    <s v="CMR"/>
    <s v="Cameroun"/>
    <s v="CMR004"/>
    <s v="Extrême-Nord"/>
    <s v="CMR004003"/>
    <s v="Mayo-Danay"/>
    <s v="CMR004003002"/>
    <s v="Maga"/>
  </r>
  <r>
    <s v="Extrême-Nord"/>
    <s v="CMR004"/>
    <x v="3"/>
    <s v="CMR004003"/>
    <x v="11"/>
    <s v="CMR004003002"/>
    <s v="MAG-0005"/>
    <s v="SITE DE POUSS"/>
    <m/>
    <x v="0"/>
    <x v="4"/>
    <n v="0"/>
    <n v="11"/>
    <s v="Inondations saisonnières ou fortes pluies"/>
    <m/>
    <s v="Même arrondissement"/>
    <s v="CMR"/>
    <s v="Cameroun"/>
    <s v="CMR004"/>
    <s v="Extrême-Nord"/>
    <s v="CMR004003"/>
    <s v="Mayo-Danay"/>
    <s v="CMR004003002"/>
    <s v="Maga"/>
  </r>
  <r>
    <s v="Extrême-Nord"/>
    <s v="CMR004"/>
    <x v="3"/>
    <s v="CMR004003"/>
    <x v="11"/>
    <s v="CMR004003002"/>
    <s v="MAG-0005"/>
    <s v="SITE DE POUSS"/>
    <m/>
    <x v="0"/>
    <x v="3"/>
    <n v="0"/>
    <n v="18"/>
    <s v="Inondations saisonnières ou fortes pluies"/>
    <m/>
    <s v="Même arrondissement"/>
    <s v="CMR"/>
    <s v="Cameroun"/>
    <s v="CMR004"/>
    <s v="Extrême-Nord"/>
    <s v="CMR004003"/>
    <s v="Mayo-Danay"/>
    <s v="CMR004003002"/>
    <s v="Maga"/>
  </r>
  <r>
    <s v="Extrême-Nord"/>
    <s v="CMR004"/>
    <x v="3"/>
    <s v="CMR004003"/>
    <x v="11"/>
    <s v="CMR004003002"/>
    <s v="MAG-0005"/>
    <s v="SITE DE POUSS"/>
    <m/>
    <x v="0"/>
    <x v="2"/>
    <n v="0"/>
    <n v="18"/>
    <s v="Inondations saisonnières ou fortes pluies"/>
    <m/>
    <s v="Même arrondissement"/>
    <s v="CMR"/>
    <s v="Cameroun"/>
    <s v="CMR004"/>
    <s v="Extrême-Nord"/>
    <s v="CMR004003"/>
    <s v="Mayo-Danay"/>
    <s v="CMR004003002"/>
    <s v="Maga"/>
  </r>
  <r>
    <s v="Extrême-Nord"/>
    <s v="CMR004"/>
    <x v="2"/>
    <s v="CMR004002"/>
    <x v="8"/>
    <s v="CMR004002009"/>
    <s v="MAK-0031"/>
    <s v="DOLE-NAGA"/>
    <m/>
    <x v="0"/>
    <x v="1"/>
    <n v="0"/>
    <n v="13"/>
    <s v="Conflits liés à GANE (BH)"/>
    <m/>
    <s v="Même arrondissement"/>
    <s v="CMR"/>
    <s v="Cameroun"/>
    <s v="CMR004"/>
    <s v="Extrême-Nord"/>
    <s v="CMR004002"/>
    <s v="Logone-Et-Chari"/>
    <s v="CMR004002009"/>
    <s v="Makary"/>
  </r>
  <r>
    <s v="Extrême-Nord"/>
    <s v="CMR004"/>
    <x v="2"/>
    <s v="CMR004002"/>
    <x v="8"/>
    <s v="CMR004002009"/>
    <s v="MAK-0031"/>
    <s v="DOLE-NAGA"/>
    <m/>
    <x v="0"/>
    <x v="3"/>
    <n v="43"/>
    <n v="100"/>
    <s v="Conflits liés à GANE (BH)"/>
    <m/>
    <s v="Même département, autre arrondissement"/>
    <s v="CMR"/>
    <s v="Cameroun"/>
    <s v="CMR004"/>
    <s v="Extrême-Nord"/>
    <s v="CMR004002"/>
    <s v="Logone-Et-Chari"/>
    <m/>
    <s v="Hile-Alifa"/>
  </r>
  <r>
    <s v="Extrême-Nord"/>
    <s v="CMR004"/>
    <x v="2"/>
    <s v="CMR004002"/>
    <x v="8"/>
    <s v="CMR004002009"/>
    <s v="MAK-0031"/>
    <s v="DOLE-NAGA"/>
    <m/>
    <x v="0"/>
    <x v="0"/>
    <n v="13"/>
    <n v="77"/>
    <s v="Conflits liés à GANE (BH)"/>
    <m/>
    <s v="Même arrondissement"/>
    <s v="CMR"/>
    <s v="Cameroun"/>
    <s v="CMR004"/>
    <s v="Extrême-Nord"/>
    <s v="CMR004002"/>
    <s v="Logone-Et-Chari"/>
    <s v="CMR004002009"/>
    <s v="Makary"/>
  </r>
  <r>
    <s v="Extrême-Nord"/>
    <s v="CMR004"/>
    <x v="2"/>
    <s v="CMR004002"/>
    <x v="8"/>
    <s v="CMR004002009"/>
    <s v="MAK-0031"/>
    <s v="DOLE-NAGA"/>
    <m/>
    <x v="0"/>
    <x v="4"/>
    <n v="0"/>
    <n v="10"/>
    <s v="Conflits liés à GANE (BH)"/>
    <m/>
    <s v="Même arrondissement"/>
    <s v="CMR"/>
    <s v="Cameroun"/>
    <s v="CMR004"/>
    <s v="Extrême-Nord"/>
    <s v="CMR004002"/>
    <s v="Logone-Et-Chari"/>
    <s v="CMR004002009"/>
    <s v="Makary"/>
  </r>
  <r>
    <s v="Extrême-Nord"/>
    <s v="CMR004"/>
    <x v="0"/>
    <s v="CMR004001"/>
    <x v="4"/>
    <s v="CMR004001008"/>
    <s v="GAZ-0004"/>
    <s v="GOUDOURWO"/>
    <m/>
    <x v="0"/>
    <x v="0"/>
    <n v="2"/>
    <n v="23"/>
    <s v="Conflits liés à GANE (BH)"/>
    <m/>
    <s v="Autre département"/>
    <s v="CMR"/>
    <s v="Cameroun"/>
    <s v="CMR004"/>
    <s v="Extrême-Nord"/>
    <s v="CMR004006"/>
    <s v="Mayo-Tsanaga"/>
    <m/>
    <m/>
  </r>
  <r>
    <s v="Extrême-Nord"/>
    <s v="CMR004"/>
    <x v="1"/>
    <s v="CMR004006"/>
    <x v="7"/>
    <s v="CMR004006005"/>
    <s v="MOZ-0007"/>
    <s v="MOSKOTA CENTRE"/>
    <m/>
    <x v="0"/>
    <x v="0"/>
    <n v="590"/>
    <n v="3126"/>
    <s v="Conflits liés à GANE (BH)"/>
    <m/>
    <s v="Même arrondissement"/>
    <s v="CMR"/>
    <s v="Cameroun"/>
    <s v="CMR004"/>
    <s v="Extrême-Nord"/>
    <s v="CMR004006"/>
    <s v="Mayo-Tsanaga"/>
    <s v="CMR004006005"/>
    <s v="Mayo-Moskota"/>
  </r>
  <r>
    <s v="Extrême-Nord"/>
    <s v="CMR004"/>
    <x v="1"/>
    <s v="CMR004006"/>
    <x v="7"/>
    <s v="CMR004006005"/>
    <s v="MOZ-0007"/>
    <s v="MOSKOTA CENTRE"/>
    <m/>
    <x v="0"/>
    <x v="1"/>
    <n v="38"/>
    <n v="265"/>
    <s v="Conflits liés à GANE (BH)"/>
    <m/>
    <s v="Même arrondissement"/>
    <s v="CMR"/>
    <s v="Cameroun"/>
    <s v="CMR004"/>
    <s v="Extrême-Nord"/>
    <s v="CMR004006"/>
    <s v="Mayo-Tsanaga"/>
    <s v="CMR004006005"/>
    <s v="Mayo-Moskota"/>
  </r>
  <r>
    <s v="Extrême-Nord"/>
    <s v="CMR004"/>
    <x v="1"/>
    <s v="CMR004006"/>
    <x v="7"/>
    <s v="CMR004006005"/>
    <s v="MOZ-0007"/>
    <s v="MOSKOTA CENTRE"/>
    <m/>
    <x v="0"/>
    <x v="4"/>
    <n v="12"/>
    <n v="77"/>
    <s v="Conflits liés à GANE (BH)"/>
    <m/>
    <s v="Même arrondissement"/>
    <s v="CMR"/>
    <s v="Cameroun"/>
    <s v="CMR004"/>
    <s v="Extrême-Nord"/>
    <s v="CMR004006"/>
    <s v="Mayo-Tsanaga"/>
    <s v="CMR004006005"/>
    <s v="Mayo-Moskota"/>
  </r>
  <r>
    <s v="Extrême-Nord"/>
    <s v="CMR004"/>
    <x v="1"/>
    <s v="CMR004006"/>
    <x v="7"/>
    <s v="CMR004006005"/>
    <s v="MOZ-0007"/>
    <s v="MOSKOTA CENTRE"/>
    <m/>
    <x v="0"/>
    <x v="3"/>
    <n v="260"/>
    <n v="1135"/>
    <s v="Conflits liés à GANE (BH)"/>
    <m/>
    <s v="Même arrondissement"/>
    <s v="CMR"/>
    <s v="Cameroun"/>
    <s v="CMR004"/>
    <s v="Extrême-Nord"/>
    <s v="CMR004006"/>
    <s v="Mayo-Tsanaga"/>
    <s v="CMR004006005"/>
    <s v="Mayo-Moskota"/>
  </r>
  <r>
    <s v="Extrême-Nord"/>
    <s v="CMR004"/>
    <x v="1"/>
    <s v="CMR004006"/>
    <x v="7"/>
    <s v="CMR004006005"/>
    <s v="MOZ-0007"/>
    <s v="MOSKOTA CENTRE"/>
    <m/>
    <x v="0"/>
    <x v="2"/>
    <n v="35"/>
    <n v="305"/>
    <s v="Conflits liés à GANE (BH)"/>
    <m/>
    <s v="Même arrondissement"/>
    <s v="CMR"/>
    <s v="Cameroun"/>
    <s v="CMR004"/>
    <s v="Extrême-Nord"/>
    <s v="CMR004006"/>
    <s v="Mayo-Tsanaga"/>
    <s v="CMR004006005"/>
    <s v="Mayo-Moskota"/>
  </r>
  <r>
    <s v="Extrême-Nord"/>
    <s v="CMR004"/>
    <x v="1"/>
    <s v="CMR004006"/>
    <x v="7"/>
    <s v="CMR004006005"/>
    <s v="MOZ-0031"/>
    <s v="SITE DE MOSKOTA - MOGODA"/>
    <m/>
    <x v="0"/>
    <x v="0"/>
    <n v="46"/>
    <n v="338"/>
    <s v="Conflits liés à GANE (BH)"/>
    <m/>
    <s v="Même arrondissement"/>
    <s v="CMR"/>
    <s v="Cameroun"/>
    <s v="CMR004"/>
    <s v="Extrême-Nord"/>
    <s v="CMR004006"/>
    <s v="Mayo-Tsanaga"/>
    <s v="CMR004006005"/>
    <s v="Mayo-Moskota"/>
  </r>
  <r>
    <s v="Extrême-Nord"/>
    <s v="CMR004"/>
    <x v="1"/>
    <s v="CMR004006"/>
    <x v="7"/>
    <s v="CMR004006005"/>
    <s v="MOZ-0031"/>
    <s v="SITE DE MOSKOTA - MOGODA"/>
    <m/>
    <x v="0"/>
    <x v="1"/>
    <n v="5"/>
    <n v="28"/>
    <s v="Conflits liés à GANE (BH)"/>
    <m/>
    <s v="Même arrondissement"/>
    <s v="CMR"/>
    <s v="Cameroun"/>
    <s v="CMR004"/>
    <s v="Extrême-Nord"/>
    <s v="CMR004006"/>
    <s v="Mayo-Tsanaga"/>
    <s v="CMR004006005"/>
    <s v="Mayo-Moskota"/>
  </r>
  <r>
    <s v="Extrême-Nord"/>
    <s v="CMR004"/>
    <x v="1"/>
    <s v="CMR004006"/>
    <x v="7"/>
    <s v="CMR004006005"/>
    <s v="MOZ-0031"/>
    <s v="SITE DE MOSKOTA - MOGODA"/>
    <m/>
    <x v="0"/>
    <x v="4"/>
    <n v="2"/>
    <n v="10"/>
    <s v="Conflits liés à GANE (BH)"/>
    <m/>
    <s v="Même arrondissement"/>
    <s v="CMR"/>
    <s v="Cameroun"/>
    <s v="CMR004"/>
    <s v="Extrême-Nord"/>
    <s v="CMR004006"/>
    <s v="Mayo-Tsanaga"/>
    <s v="CMR004006005"/>
    <s v="Mayo-Moskota"/>
  </r>
  <r>
    <s v="Extrême-Nord"/>
    <s v="CMR004"/>
    <x v="1"/>
    <s v="CMR004006"/>
    <x v="7"/>
    <s v="CMR004006005"/>
    <s v="MOZ-0031"/>
    <s v="SITE DE MOSKOTA - MOGODA"/>
    <m/>
    <x v="0"/>
    <x v="3"/>
    <n v="22"/>
    <n v="120"/>
    <s v="Conflits liés à GANE (BH)"/>
    <m/>
    <s v="Même arrondissement"/>
    <s v="CMR"/>
    <s v="Cameroun"/>
    <s v="CMR004"/>
    <s v="Extrême-Nord"/>
    <s v="CMR004006"/>
    <s v="Mayo-Tsanaga"/>
    <s v="CMR004006005"/>
    <s v="Mayo-Moskota"/>
  </r>
  <r>
    <s v="Extrême-Nord"/>
    <s v="CMR004"/>
    <x v="1"/>
    <s v="CMR004006"/>
    <x v="7"/>
    <s v="CMR004006005"/>
    <s v="MOZ-0031"/>
    <s v="SITE DE MOSKOTA - MOGODA"/>
    <m/>
    <x v="0"/>
    <x v="2"/>
    <n v="4"/>
    <n v="16"/>
    <s v="Conflits liés à GANE (BH)"/>
    <m/>
    <s v="Même arrondissement"/>
    <s v="CMR"/>
    <s v="Cameroun"/>
    <s v="CMR004"/>
    <s v="Extrême-Nord"/>
    <s v="CMR004006"/>
    <s v="Mayo-Tsanaga"/>
    <s v="CMR004006005"/>
    <s v="Mayo-Moskota"/>
  </r>
  <r>
    <s v="Extrême-Nord"/>
    <s v="CMR004"/>
    <x v="2"/>
    <s v="CMR004002"/>
    <x v="8"/>
    <s v="CMR004002009"/>
    <s v="MAK-0175"/>
    <s v="MOUGRAN"/>
    <m/>
    <x v="0"/>
    <x v="3"/>
    <n v="5"/>
    <n v="28"/>
    <s v="Conflit intercommunautaire"/>
    <m/>
    <s v="Même arrondissement"/>
    <s v="CMR"/>
    <s v="Cameroun"/>
    <s v="CMR004"/>
    <s v="Extrême-Nord"/>
    <s v="CMR004002"/>
    <s v="Logone-Et-Chari"/>
    <s v="CMR004002009"/>
    <s v="Makary"/>
  </r>
  <r>
    <s v="Extrême-Nord"/>
    <s v="CMR004"/>
    <x v="2"/>
    <s v="CMR004002"/>
    <x v="8"/>
    <s v="CMR004002009"/>
    <s v="MAK-0175"/>
    <s v="MOUGRAN"/>
    <m/>
    <x v="0"/>
    <x v="2"/>
    <n v="3"/>
    <n v="11"/>
    <s v="Conflit intercommunautaire"/>
    <m/>
    <s v="Même arrondissement"/>
    <s v="CMR"/>
    <s v="Cameroun"/>
    <s v="CMR004"/>
    <s v="Extrême-Nord"/>
    <s v="CMR004002"/>
    <s v="Logone-Et-Chari"/>
    <s v="CMR004002009"/>
    <s v="Makary"/>
  </r>
  <r>
    <s v="Extrême-Nord"/>
    <s v="CMR004"/>
    <x v="2"/>
    <s v="CMR004002"/>
    <x v="8"/>
    <s v="CMR004002009"/>
    <s v="MAK-0163"/>
    <s v="AMTCHIKO"/>
    <m/>
    <x v="0"/>
    <x v="3"/>
    <n v="3"/>
    <n v="25"/>
    <s v="Conflit intercommunautaire"/>
    <m/>
    <s v="Même arrondissement"/>
    <s v="CMR"/>
    <s v="Cameroun"/>
    <s v="CMR004"/>
    <s v="Extrême-Nord"/>
    <s v="CMR004002"/>
    <s v="Logone-Et-Chari"/>
    <s v="CMR004002009"/>
    <s v="Makary"/>
  </r>
  <r>
    <s v="Extrême-Nord"/>
    <s v="CMR004"/>
    <x v="2"/>
    <s v="CMR004002"/>
    <x v="8"/>
    <s v="CMR004002009"/>
    <s v="MAK-0163"/>
    <s v="AMTCHIKO"/>
    <m/>
    <x v="0"/>
    <x v="2"/>
    <n v="6"/>
    <n v="18"/>
    <s v="Conflit intercommunautaire"/>
    <m/>
    <s v="Même arrondissement"/>
    <s v="CMR"/>
    <s v="Cameroun"/>
    <s v="CMR004"/>
    <s v="Extrême-Nord"/>
    <s v="CMR004002"/>
    <s v="Logone-Et-Chari"/>
    <s v="CMR004002009"/>
    <s v="Makary"/>
  </r>
  <r>
    <s v="Extrême-Nord"/>
    <s v="CMR004"/>
    <x v="2"/>
    <s v="CMR004002"/>
    <x v="12"/>
    <s v="CMR004002002"/>
    <s v="GOU-0006"/>
    <s v="GOULFEY"/>
    <m/>
    <x v="0"/>
    <x v="0"/>
    <n v="61"/>
    <n v="369"/>
    <s v="Conflits liés à GANE (BH)"/>
    <m/>
    <s v="Même département, autre arrondissement"/>
    <s v="CMR"/>
    <s v="Cameroun"/>
    <s v="CMR004"/>
    <s v="Extrême-Nord"/>
    <s v="CMR004002"/>
    <s v="Logone-Et-Chari"/>
    <s v="CMR004002008"/>
    <s v="Fotokol"/>
  </r>
  <r>
    <s v="Extrême-Nord"/>
    <s v="CMR004"/>
    <x v="2"/>
    <s v="CMR004002"/>
    <x v="12"/>
    <s v="CMR004002002"/>
    <s v="XXXX"/>
    <s v="SITE DE SIGUET"/>
    <s v="SITE DE SIGUET"/>
    <x v="0"/>
    <x v="2"/>
    <n v="50"/>
    <n v="350"/>
    <s v="Inondations saisonnières ou fortes pluies"/>
    <m/>
    <s v="Même arrondissement"/>
    <s v="CMR"/>
    <s v="Cameroun"/>
    <s v="CMR004"/>
    <s v="Extrême-Nord"/>
    <s v="CMR004002"/>
    <s v="Logone-Et-Chari"/>
    <s v="CMR004002002"/>
    <s v="Goulfey"/>
  </r>
  <r>
    <s v="Extrême-Nord"/>
    <s v="CMR004"/>
    <x v="2"/>
    <s v="CMR004002"/>
    <x v="13"/>
    <s v="CMR004002001"/>
    <s v="WAZ-0002"/>
    <s v="KABE 1"/>
    <m/>
    <x v="0"/>
    <x v="4"/>
    <n v="20"/>
    <n v="55"/>
    <s v="Conflit intercommunautaire"/>
    <m/>
    <s v="Même département, autre arrondissement"/>
    <s v="CMR"/>
    <s v="Cameroun"/>
    <s v="CMR004"/>
    <s v="Extrême-Nord"/>
    <s v="CMR004002"/>
    <s v="Logone-Et-Chari"/>
    <s v="CMR004002004"/>
    <s v="Logone-Birni"/>
  </r>
  <r>
    <s v="Extrême-Nord"/>
    <s v="CMR004"/>
    <x v="2"/>
    <s v="CMR004002"/>
    <x v="9"/>
    <s v="CMR004002010"/>
    <s v="XXXX"/>
    <s v="SITE DE MARCHÉ-HILE-ALIFA I"/>
    <s v="SITE DE MARCHÉ-HILE-ALIFA I"/>
    <x v="0"/>
    <x v="2"/>
    <n v="400"/>
    <n v="2800"/>
    <s v="Conflits liés à GANE (BH)"/>
    <m/>
    <s v="Même arrondissement"/>
    <s v="CMR"/>
    <s v="Cameroun"/>
    <s v="CMR004"/>
    <s v="Extrême-Nord"/>
    <s v="CMR004002"/>
    <s v="Logone-Et-Chari"/>
    <s v="CMR004002010"/>
    <s v="Hile-Alifa"/>
  </r>
  <r>
    <s v="Extrême-Nord"/>
    <s v="CMR004"/>
    <x v="2"/>
    <s v="CMR004002"/>
    <x v="12"/>
    <s v="CMR004002002"/>
    <s v="GOU-0020"/>
    <s v="NIMIA"/>
    <m/>
    <x v="0"/>
    <x v="0"/>
    <n v="2"/>
    <n v="17"/>
    <s v="Conflits liés à GANE (BH)"/>
    <m/>
    <s v="Même département, autre arrondissement"/>
    <s v="CMR"/>
    <s v="Cameroun"/>
    <s v="CMR004"/>
    <s v="Extrême-Nord"/>
    <s v="CMR004002"/>
    <s v="Logone-Et-Chari"/>
    <s v="CMR004002008"/>
    <s v="Fotokol"/>
  </r>
  <r>
    <s v="Extrême-Nord"/>
    <s v="CMR004"/>
    <x v="2"/>
    <s v="CMR004002"/>
    <x v="12"/>
    <s v="CMR004002002"/>
    <s v="GOU-0017"/>
    <s v="MOUGALAM"/>
    <m/>
    <x v="0"/>
    <x v="0"/>
    <n v="21"/>
    <n v="112"/>
    <s v="Conflits liés à GANE (BH)"/>
    <m/>
    <s v="Même département, autre arrondissement"/>
    <s v="CMR"/>
    <s v="Cameroun"/>
    <s v="CMR004"/>
    <s v="Extrême-Nord"/>
    <s v="CMR004002"/>
    <s v="Logone-Et-Chari"/>
    <s v="CMR004002008"/>
    <s v="Fotokol"/>
  </r>
  <r>
    <s v="Extrême-Nord"/>
    <s v="CMR004"/>
    <x v="2"/>
    <s v="CMR004002"/>
    <x v="12"/>
    <s v="CMR004002002"/>
    <s v="XXXX"/>
    <s v="SITE DE AFIE 1"/>
    <s v="SITE DE AFIE 1"/>
    <x v="0"/>
    <x v="2"/>
    <n v="12"/>
    <n v="122"/>
    <s v="Inondations saisonnières ou fortes pluies"/>
    <m/>
    <s v="Même arrondissement"/>
    <s v="CMR"/>
    <s v="Cameroun"/>
    <s v="CMR004"/>
    <s v="Extrême-Nord"/>
    <s v="CMR004002"/>
    <s v="Logone-Et-Chari"/>
    <s v="CMR004002002"/>
    <s v="Goulfey"/>
  </r>
  <r>
    <s v="Extrême-Nord"/>
    <s v="CMR004"/>
    <x v="2"/>
    <s v="CMR004002"/>
    <x v="8"/>
    <s v="CMR004002009"/>
    <s v="MAK-0128"/>
    <s v="CHIMTILI"/>
    <m/>
    <x v="0"/>
    <x v="0"/>
    <n v="24"/>
    <n v="82"/>
    <s v="Conflits liés à GANE (BH)"/>
    <m/>
    <s v="Même département, autre arrondissement"/>
    <s v="CMR"/>
    <s v="Cameroun"/>
    <s v="CMR004"/>
    <s v="Extrême-Nord"/>
    <s v="CMR004002"/>
    <s v="Logone-Et-Chari"/>
    <s v="CMR004002008"/>
    <s v="Fotokol"/>
  </r>
  <r>
    <s v="Extrême-Nord"/>
    <s v="CMR004"/>
    <x v="2"/>
    <s v="CMR004002"/>
    <x v="8"/>
    <s v="CMR004002009"/>
    <s v="MAK-0128"/>
    <s v="CHIMTILI"/>
    <m/>
    <x v="0"/>
    <x v="2"/>
    <n v="5"/>
    <n v="20"/>
    <s v="Conflits liés à GANE (BH)"/>
    <m/>
    <s v="Même département, autre arrondissement"/>
    <s v="CMR"/>
    <s v="Cameroun"/>
    <s v="CMR004"/>
    <s v="Extrême-Nord"/>
    <s v="CMR004002"/>
    <s v="Logone-Et-Chari"/>
    <m/>
    <s v="Hile-Alifa"/>
  </r>
  <r>
    <s v="Extrême-Nord"/>
    <s v="CMR004"/>
    <x v="2"/>
    <s v="CMR004002"/>
    <x v="8"/>
    <s v="CMR004002009"/>
    <s v="MAK-0021"/>
    <s v="CHAGAMA 1"/>
    <m/>
    <x v="0"/>
    <x v="0"/>
    <n v="13"/>
    <n v="39"/>
    <s v="Conflits liés à GANE (BH)"/>
    <m/>
    <s v="Même département, autre arrondissement"/>
    <s v="CMR"/>
    <s v="Cameroun"/>
    <s v="CMR004"/>
    <s v="Extrême-Nord"/>
    <s v="CMR004002"/>
    <s v="Logone-Et-Chari"/>
    <s v="CMR004002008"/>
    <s v="Fotokol"/>
  </r>
  <r>
    <s v="Extrême-Nord"/>
    <s v="CMR004"/>
    <x v="2"/>
    <s v="CMR004002"/>
    <x v="10"/>
    <s v="CMR004002003"/>
    <s v="BLA-0019"/>
    <s v="BLABINE"/>
    <m/>
    <x v="0"/>
    <x v="0"/>
    <n v="5"/>
    <n v="20"/>
    <s v="Conflits liés à GANE (BH)"/>
    <m/>
    <s v="Même département, autre arrondissement"/>
    <s v="CMR"/>
    <s v="Cameroun"/>
    <s v="CMR004"/>
    <s v="Extrême-Nord"/>
    <s v="CMR004002"/>
    <s v="Logone-Et-Chari"/>
    <s v="CMR004002008"/>
    <s v="Fotokol"/>
  </r>
  <r>
    <s v="Extrême-Nord"/>
    <s v="CMR004"/>
    <x v="2"/>
    <s v="CMR004002"/>
    <x v="10"/>
    <s v="CMR004002003"/>
    <s v="BLA-0019"/>
    <s v="BLABINE"/>
    <m/>
    <x v="0"/>
    <x v="4"/>
    <n v="2"/>
    <n v="8"/>
    <s v="Conflits liés à GANE (BH)"/>
    <m/>
    <s v="Même département, autre arrondissement"/>
    <s v="CMR"/>
    <s v="Cameroun"/>
    <s v="CMR004"/>
    <s v="Extrême-Nord"/>
    <s v="CMR004002"/>
    <s v="Logone-Et-Chari"/>
    <s v="CMR004002007"/>
    <s v="Darak"/>
  </r>
  <r>
    <s v="Extrême-Nord"/>
    <s v="CMR004"/>
    <x v="2"/>
    <s v="CMR004002"/>
    <x v="10"/>
    <s v="CMR004002003"/>
    <s v="BLA-0010"/>
    <s v="KOUTOULA"/>
    <m/>
    <x v="0"/>
    <x v="0"/>
    <n v="34"/>
    <n v="350"/>
    <s v="Conflits liés à GANE (BH)"/>
    <m/>
    <s v="Même département, autre arrondissement"/>
    <s v="CMR"/>
    <s v="Cameroun"/>
    <s v="CMR004"/>
    <s v="Extrême-Nord"/>
    <s v="CMR004002"/>
    <s v="Logone-Et-Chari"/>
    <s v="CMR004002007"/>
    <s v="Darak"/>
  </r>
  <r>
    <s v="Extrême-Nord"/>
    <s v="CMR004"/>
    <x v="0"/>
    <s v="CMR004001"/>
    <x v="0"/>
    <s v="CMR004001003"/>
    <s v="PET-0021"/>
    <s v="MOURGOUT"/>
    <m/>
    <x v="0"/>
    <x v="0"/>
    <n v="9"/>
    <n v="80"/>
    <s v="Conflits liés à GANE (BH)"/>
    <m/>
    <s v="Autre département"/>
    <s v="CMR"/>
    <s v="Cameroun"/>
    <s v="CMR004"/>
    <s v="Extrême-Nord"/>
    <s v="CMR004005"/>
    <s v="Mayo-Sava"/>
    <m/>
    <m/>
  </r>
  <r>
    <s v="Extrême-Nord"/>
    <s v="CMR004"/>
    <x v="0"/>
    <s v="CMR004001"/>
    <x v="0"/>
    <s v="CMR004001003"/>
    <s v="PET-0021"/>
    <s v="MOURGOUT"/>
    <m/>
    <x v="0"/>
    <x v="4"/>
    <n v="0"/>
    <n v="10"/>
    <s v="Conflits liés à GANE (BH)"/>
    <m/>
    <s v="Autre département"/>
    <s v="CMR"/>
    <s v="Cameroun"/>
    <s v="CMR004"/>
    <s v="Extrême-Nord"/>
    <s v="CMR004005"/>
    <s v="Mayo-Sava"/>
    <m/>
    <m/>
  </r>
  <r>
    <s v="Extrême-Nord"/>
    <s v="CMR004"/>
    <x v="0"/>
    <s v="CMR004001"/>
    <x v="0"/>
    <s v="CMR004001003"/>
    <s v="PET-0021"/>
    <s v="MOURGOUT"/>
    <m/>
    <x v="0"/>
    <x v="3"/>
    <n v="0"/>
    <n v="5"/>
    <s v="Conflits liés à GANE (BH)"/>
    <m/>
    <s v="Autre département"/>
    <s v="CMR"/>
    <s v="Cameroun"/>
    <s v="CMR004"/>
    <s v="Extrême-Nord"/>
    <s v="CMR004005"/>
    <s v="Mayo-Sava"/>
    <m/>
    <m/>
  </r>
  <r>
    <s v="Extrême-Nord"/>
    <s v="CMR004"/>
    <x v="0"/>
    <s v="CMR004001"/>
    <x v="0"/>
    <s v="CMR004001003"/>
    <s v="PET-0021"/>
    <s v="MOURGOUT"/>
    <m/>
    <x v="0"/>
    <x v="2"/>
    <n v="0"/>
    <n v="3"/>
    <s v="Conflits liés à GANE (BH)"/>
    <m/>
    <s v="Autre département"/>
    <s v="CMR"/>
    <s v="Cameroun"/>
    <s v="CMR004"/>
    <s v="Extrême-Nord"/>
    <s v="CMR004005"/>
    <s v="Mayo-Sava"/>
    <m/>
    <m/>
  </r>
  <r>
    <s v="Extrême-Nord"/>
    <s v="CMR004"/>
    <x v="0"/>
    <s v="CMR004001"/>
    <x v="0"/>
    <s v="CMR004001003"/>
    <s v="PET-0006"/>
    <s v="DOUTAROU"/>
    <m/>
    <x v="0"/>
    <x v="0"/>
    <n v="9"/>
    <n v="55"/>
    <s v="Conflits liés à GANE (BH)"/>
    <m/>
    <s v="Autre département"/>
    <s v="CMR"/>
    <s v="Cameroun"/>
    <s v="CMR004"/>
    <s v="Extrême-Nord"/>
    <s v="CMR004005"/>
    <s v="Mayo-Sava"/>
    <m/>
    <m/>
  </r>
  <r>
    <s v="Extrême-Nord"/>
    <s v="CMR004"/>
    <x v="0"/>
    <s v="CMR004001"/>
    <x v="0"/>
    <s v="CMR004001003"/>
    <s v="PET-0006"/>
    <s v="DOUTAROU"/>
    <m/>
    <x v="0"/>
    <x v="1"/>
    <n v="1"/>
    <n v="2"/>
    <s v="Conflits liés à GANE (BH)"/>
    <m/>
    <s v="Autre département"/>
    <s v="CMR"/>
    <s v="Cameroun"/>
    <s v="CMR004"/>
    <s v="Extrême-Nord"/>
    <s v="CMR004005"/>
    <s v="Mayo-Sava"/>
    <m/>
    <m/>
  </r>
  <r>
    <s v="Extrême-Nord"/>
    <s v="CMR004"/>
    <x v="0"/>
    <s v="CMR004001"/>
    <x v="0"/>
    <s v="CMR004001003"/>
    <s v="PET-0006"/>
    <s v="DOUTAROU"/>
    <m/>
    <x v="0"/>
    <x v="4"/>
    <n v="0"/>
    <n v="4"/>
    <s v="Conflits liés à GANE (BH)"/>
    <m/>
    <s v="Autre département"/>
    <s v="CMR"/>
    <s v="Cameroun"/>
    <s v="CMR004"/>
    <s v="Extrême-Nord"/>
    <s v="CMR004005"/>
    <s v="Mayo-Sava"/>
    <m/>
    <m/>
  </r>
  <r>
    <s v="Extrême-Nord"/>
    <s v="CMR004"/>
    <x v="0"/>
    <s v="CMR004001"/>
    <x v="0"/>
    <s v="CMR004001003"/>
    <s v="PET-0006"/>
    <s v="DOUTAROU"/>
    <m/>
    <x v="0"/>
    <x v="3"/>
    <n v="1"/>
    <n v="3"/>
    <s v="Conflits liés à GANE (BH)"/>
    <m/>
    <s v="Autre département"/>
    <s v="CMR"/>
    <s v="Cameroun"/>
    <s v="CMR004"/>
    <s v="Extrême-Nord"/>
    <s v="CMR004005"/>
    <s v="Mayo-Sava"/>
    <m/>
    <m/>
  </r>
  <r>
    <s v="Extrême-Nord"/>
    <s v="CMR004"/>
    <x v="0"/>
    <s v="CMR004001"/>
    <x v="0"/>
    <s v="CMR004001003"/>
    <s v="PET-0006"/>
    <s v="DOUTAROU"/>
    <m/>
    <x v="0"/>
    <x v="2"/>
    <n v="0"/>
    <n v="2"/>
    <s v="Conflits liés à GANE (BH)"/>
    <m/>
    <s v="Autre département"/>
    <s v="CMR"/>
    <s v="Cameroun"/>
    <s v="CMR004"/>
    <s v="Extrême-Nord"/>
    <s v="CMR004005"/>
    <s v="Mayo-Sava"/>
    <m/>
    <m/>
  </r>
  <r>
    <s v="Extrême-Nord"/>
    <s v="CMR004"/>
    <x v="0"/>
    <s v="CMR004001"/>
    <x v="3"/>
    <s v="CMR004001009"/>
    <s v="MA1-0002"/>
    <s v="DOMAYO MBONTA"/>
    <m/>
    <x v="0"/>
    <x v="0"/>
    <n v="2"/>
    <n v="11"/>
    <s v="Conflits liés à GANE (BH)"/>
    <m/>
    <s v="Autre département"/>
    <s v="CMR"/>
    <s v="Cameroun"/>
    <s v="CMR004"/>
    <s v="Extrême-Nord"/>
    <s v="CMR004005"/>
    <s v="Mayo-Sava"/>
    <m/>
    <m/>
  </r>
  <r>
    <s v="Extrême-Nord"/>
    <s v="CMR004"/>
    <x v="2"/>
    <s v="CMR004002"/>
    <x v="13"/>
    <s v="CMR004002001"/>
    <s v="WAZ-0006"/>
    <s v="SALEH"/>
    <m/>
    <x v="0"/>
    <x v="3"/>
    <n v="7"/>
    <n v="25"/>
    <s v="Conflit intercommunautaire"/>
    <m/>
    <s v="Même département, autre arrondissement"/>
    <s v="CMR"/>
    <s v="Cameroun"/>
    <s v="CMR004"/>
    <s v="Extrême-Nord"/>
    <s v="CMR004002"/>
    <s v="Logone-Et-Chari"/>
    <s v="CMR004002004"/>
    <s v="Logone-Birni"/>
  </r>
  <r>
    <s v="Extrême-Nord"/>
    <s v="CMR004"/>
    <x v="2"/>
    <s v="CMR004002"/>
    <x v="13"/>
    <s v="CMR004002001"/>
    <s v="WAZ-0006"/>
    <s v="SALEH"/>
    <m/>
    <x v="0"/>
    <x v="2"/>
    <n v="0"/>
    <n v="2"/>
    <s v="Conflit intercommunautaire"/>
    <m/>
    <s v="Même département, autre arrondissement"/>
    <s v="CMR"/>
    <s v="Cameroun"/>
    <s v="CMR004"/>
    <s v="Extrême-Nord"/>
    <s v="CMR004002"/>
    <s v="Logone-Et-Chari"/>
    <s v="CMR004002004"/>
    <s v="Logone-Birni"/>
  </r>
  <r>
    <s v="Extrême-Nord"/>
    <s v="CMR004"/>
    <x v="2"/>
    <s v="CMR004002"/>
    <x v="13"/>
    <s v="CMR004002001"/>
    <s v="WAZ-0012"/>
    <s v="ZIGAGUE"/>
    <m/>
    <x v="0"/>
    <x v="0"/>
    <n v="82"/>
    <n v="490"/>
    <s v="Conflits liés à GANE (BH)"/>
    <m/>
    <s v="Même département, autre arrondissement"/>
    <s v="CMR"/>
    <s v="Cameroun"/>
    <s v="CMR004"/>
    <s v="Extrême-Nord"/>
    <s v="CMR004002"/>
    <s v="Logone-Et-Chari"/>
    <s v="CMR004002004"/>
    <s v="Logone-Birni"/>
  </r>
  <r>
    <s v="Extrême-Nord"/>
    <s v="CMR004"/>
    <x v="2"/>
    <s v="CMR004002"/>
    <x v="13"/>
    <s v="CMR004002001"/>
    <s v="WAZ-0012"/>
    <s v="ZIGAGUE"/>
    <m/>
    <x v="0"/>
    <x v="2"/>
    <n v="0"/>
    <n v="15"/>
    <s v="Conflits liés à GANE (BH)"/>
    <m/>
    <s v="Même département, autre arrondissement"/>
    <s v="CMR"/>
    <s v="Cameroun"/>
    <s v="CMR004"/>
    <s v="Extrême-Nord"/>
    <s v="CMR004002"/>
    <s v="Logone-Et-Chari"/>
    <s v="CMR004002004"/>
    <s v="Logone-Birni"/>
  </r>
  <r>
    <s v="Extrême-Nord"/>
    <s v="CMR004"/>
    <x v="2"/>
    <s v="CMR004002"/>
    <x v="13"/>
    <s v="CMR004002001"/>
    <s v="WAZ-0021"/>
    <s v="GOULOUZIVINI"/>
    <m/>
    <x v="0"/>
    <x v="3"/>
    <n v="40"/>
    <n v="190"/>
    <s v="Conflit intercommunautaire"/>
    <m/>
    <s v="Autre département"/>
    <s v="CMR"/>
    <s v="Cameroun"/>
    <s v="CMR004"/>
    <s v="Extrême-Nord"/>
    <s v="CMR004003"/>
    <s v="Mayo-Danay"/>
    <m/>
    <m/>
  </r>
  <r>
    <s v="Extrême-Nord"/>
    <s v="CMR004"/>
    <x v="2"/>
    <s v="CMR004002"/>
    <x v="13"/>
    <s v="CMR004002001"/>
    <s v="WAZ-0021"/>
    <s v="GOULOUZIVINI"/>
    <m/>
    <x v="0"/>
    <x v="2"/>
    <n v="0"/>
    <n v="10"/>
    <s v="Conflit intercommunautaire"/>
    <m/>
    <s v="Autre département"/>
    <s v="CMR"/>
    <s v="Cameroun"/>
    <s v="CMR004"/>
    <s v="Extrême-Nord"/>
    <s v="CMR004003"/>
    <s v="Mayo-Danay"/>
    <m/>
    <m/>
  </r>
  <r>
    <s v="Extrême-Nord"/>
    <s v="CMR004"/>
    <x v="1"/>
    <s v="CMR004006"/>
    <x v="7"/>
    <s v="CMR004006005"/>
    <s v="MOZ-0021"/>
    <s v="ASSIGHASSIA"/>
    <m/>
    <x v="0"/>
    <x v="3"/>
    <n v="5"/>
    <n v="30"/>
    <s v="Conflits liés à GANE (BH)"/>
    <m/>
    <s v="Même arrondissement"/>
    <s v="CMR"/>
    <s v="Cameroun"/>
    <s v="CMR004"/>
    <s v="Extrême-Nord"/>
    <s v="CMR004006"/>
    <s v="Mayo-Tsanaga"/>
    <s v="CMR004006005"/>
    <s v="Mayo-Moskota"/>
  </r>
  <r>
    <s v="Extrême-Nord"/>
    <s v="CMR004"/>
    <x v="1"/>
    <s v="CMR004006"/>
    <x v="7"/>
    <s v="CMR004006005"/>
    <s v="MOZ-0021"/>
    <s v="ASSIGHASSIA"/>
    <m/>
    <x v="0"/>
    <x v="2"/>
    <n v="0"/>
    <n v="5"/>
    <s v="Conflits liés à GANE (BH)"/>
    <m/>
    <s v="Même arrondissement"/>
    <s v="CMR"/>
    <s v="Cameroun"/>
    <s v="CMR004"/>
    <s v="Extrême-Nord"/>
    <s v="CMR004006"/>
    <s v="Mayo-Tsanaga"/>
    <s v="CMR004006005"/>
    <s v="Mayo-Moskota"/>
  </r>
  <r>
    <s v="Extrême-Nord"/>
    <s v="CMR004"/>
    <x v="0"/>
    <s v="CMR004001"/>
    <x v="4"/>
    <s v="CMR004001008"/>
    <s v="GAZ-0006"/>
    <s v="LOMORE"/>
    <m/>
    <x v="0"/>
    <x v="0"/>
    <n v="2"/>
    <n v="12"/>
    <s v="Conflits liés à GANE (BH)"/>
    <m/>
    <s v="Autre département"/>
    <s v="CMR"/>
    <s v="Cameroun"/>
    <s v="CMR004"/>
    <s v="Extrême-Nord"/>
    <s v="CMR004005"/>
    <s v="Mayo-Sava"/>
    <m/>
    <m/>
  </r>
  <r>
    <s v="Extrême-Nord"/>
    <s v="CMR004"/>
    <x v="2"/>
    <s v="CMR004002"/>
    <x v="8"/>
    <s v="CMR004002009"/>
    <s v="MAK-0052"/>
    <s v="LAFIA-ARABE"/>
    <m/>
    <x v="0"/>
    <x v="2"/>
    <n v="14"/>
    <n v="88"/>
    <s v="Conflits liés à GANE (BH)"/>
    <m/>
    <s v="Même département, autre arrondissement"/>
    <s v="CMR"/>
    <s v="Cameroun"/>
    <s v="CMR004"/>
    <s v="Extrême-Nord"/>
    <s v="CMR004002"/>
    <s v="Logone-Et-Chari"/>
    <s v="CMR004002007"/>
    <s v="Darak"/>
  </r>
  <r>
    <s v="Extrême-Nord"/>
    <s v="CMR004"/>
    <x v="2"/>
    <s v="CMR004002"/>
    <x v="8"/>
    <s v="CMR004002009"/>
    <s v="MAK-0052"/>
    <s v="LAFIA-ARABE"/>
    <m/>
    <x v="0"/>
    <x v="3"/>
    <n v="5"/>
    <n v="10"/>
    <s v="Inondations saisonnières ou fortes pluies"/>
    <m/>
    <s v="Même département, autre arrondissement"/>
    <s v="CMR"/>
    <s v="Cameroun"/>
    <s v="CMR004"/>
    <s v="Extrême-Nord"/>
    <s v="CMR004002"/>
    <s v="Logone-Et-Chari"/>
    <s v="CMR004002007"/>
    <s v="Darak"/>
  </r>
  <r>
    <s v="Extrême-Nord"/>
    <s v="CMR004"/>
    <x v="2"/>
    <s v="CMR004002"/>
    <x v="10"/>
    <s v="CMR004002003"/>
    <s v="BLA-0018"/>
    <s v="DOUGOUMACHI"/>
    <m/>
    <x v="0"/>
    <x v="4"/>
    <n v="20"/>
    <n v="35"/>
    <s v="Conflits liés à GANE (BH)"/>
    <m/>
    <s v="Même arrondissement"/>
    <s v="CMR"/>
    <s v="Cameroun"/>
    <s v="CMR004"/>
    <s v="Extrême-Nord"/>
    <s v="CMR004002"/>
    <s v="Logone-Et-Chari"/>
    <s v="CMR004002003"/>
    <s v="Blangoua"/>
  </r>
  <r>
    <s v="Extrême-Nord"/>
    <s v="CMR004"/>
    <x v="2"/>
    <s v="CMR004002"/>
    <x v="10"/>
    <s v="CMR004002003"/>
    <s v="XXXX"/>
    <s v="SITE DE MANGALME DOUGOUMACHI"/>
    <s v="SITE DE MANGALME DOUGOUMACHI"/>
    <x v="0"/>
    <x v="2"/>
    <n v="130"/>
    <n v="800"/>
    <s v="Conflits liés à GANE (BH)"/>
    <m/>
    <s v="Même arrondissement"/>
    <s v="CMR"/>
    <s v="Cameroun"/>
    <s v="CMR004"/>
    <s v="Extrême-Nord"/>
    <s v="CMR004002"/>
    <s v="Logone-Et-Chari"/>
    <s v="CMR004002003"/>
    <s v="Blangoua"/>
  </r>
  <r>
    <s v="Extrême-Nord"/>
    <s v="CMR004"/>
    <x v="2"/>
    <s v="CMR004002"/>
    <x v="10"/>
    <s v="CMR004002003"/>
    <s v="BLA-0024"/>
    <s v="MADAIK"/>
    <m/>
    <x v="0"/>
    <x v="0"/>
    <n v="15"/>
    <n v="120"/>
    <s v="Conflits liés à GANE (BH)"/>
    <m/>
    <s v="Même arrondissement"/>
    <s v="CMR"/>
    <s v="Cameroun"/>
    <s v="CMR004"/>
    <s v="Extrême-Nord"/>
    <s v="CMR004002"/>
    <s v="Logone-Et-Chari"/>
    <s v="CMR004002003"/>
    <s v="Blangoua"/>
  </r>
  <r>
    <s v="Extrême-Nord"/>
    <s v="CMR004"/>
    <x v="2"/>
    <s v="CMR004002"/>
    <x v="8"/>
    <s v="CMR004002009"/>
    <s v="MAK-0173"/>
    <s v="MINA"/>
    <m/>
    <x v="0"/>
    <x v="3"/>
    <n v="3"/>
    <n v="30"/>
    <s v="Inondations saisonnières ou fortes pluies"/>
    <m/>
    <s v="Même arrondissement"/>
    <s v="CMR"/>
    <s v="Cameroun"/>
    <s v="CMR004"/>
    <s v="Extrême-Nord"/>
    <s v="CMR004002"/>
    <s v="Logone-Et-Chari"/>
    <s v="CMR004002009"/>
    <s v="Makary"/>
  </r>
  <r>
    <s v="Extrême-Nord"/>
    <s v="CMR004"/>
    <x v="2"/>
    <s v="CMR004002"/>
    <x v="8"/>
    <s v="CMR004002009"/>
    <s v="MAK-0173"/>
    <s v="MINA"/>
    <m/>
    <x v="0"/>
    <x v="2"/>
    <n v="3"/>
    <n v="21"/>
    <s v="Inondations saisonnières ou fortes pluies"/>
    <m/>
    <s v="Même arrondissement"/>
    <s v="CMR"/>
    <s v="Cameroun"/>
    <s v="CMR004"/>
    <s v="Extrême-Nord"/>
    <s v="CMR004002"/>
    <s v="Logone-Et-Chari"/>
    <s v="CMR004002009"/>
    <s v="Makary"/>
  </r>
  <r>
    <s v="Extrême-Nord"/>
    <s v="CMR004"/>
    <x v="2"/>
    <s v="CMR004002"/>
    <x v="8"/>
    <s v="CMR004002009"/>
    <s v="MAK-0183"/>
    <s v="AMSAMKA"/>
    <m/>
    <x v="0"/>
    <x v="3"/>
    <n v="3"/>
    <n v="20"/>
    <s v="Inondations saisonnières ou fortes pluies"/>
    <m/>
    <s v="Même arrondissement"/>
    <s v="CMR"/>
    <s v="Cameroun"/>
    <s v="CMR004"/>
    <s v="Extrême-Nord"/>
    <s v="CMR004002"/>
    <s v="Logone-Et-Chari"/>
    <s v="CMR004002009"/>
    <s v="Makary"/>
  </r>
  <r>
    <s v="Extrême-Nord"/>
    <s v="CMR004"/>
    <x v="2"/>
    <s v="CMR004002"/>
    <x v="8"/>
    <s v="CMR004002009"/>
    <s v="MAK-0183"/>
    <s v="AMSAMKA"/>
    <m/>
    <x v="0"/>
    <x v="2"/>
    <n v="2"/>
    <n v="11"/>
    <s v="Inondations saisonnières ou fortes pluies"/>
    <m/>
    <s v="Même arrondissement"/>
    <s v="CMR"/>
    <s v="Cameroun"/>
    <s v="CMR004"/>
    <s v="Extrême-Nord"/>
    <s v="CMR004002"/>
    <s v="Logone-Et-Chari"/>
    <s v="CMR004002009"/>
    <s v="Makary"/>
  </r>
  <r>
    <s v="Extrême-Nord"/>
    <s v="CMR004"/>
    <x v="2"/>
    <s v="CMR004002"/>
    <x v="8"/>
    <s v="CMR004002009"/>
    <s v="MAK-0099"/>
    <s v="DOUGOUMMANGO"/>
    <m/>
    <x v="0"/>
    <x v="0"/>
    <n v="15"/>
    <n v="137"/>
    <s v="Conflits liés à GANE (BH)"/>
    <m/>
    <s v="Même département, autre arrondissement"/>
    <s v="CMR"/>
    <s v="Cameroun"/>
    <s v="CMR004"/>
    <s v="Extrême-Nord"/>
    <s v="CMR004002"/>
    <s v="Logone-Et-Chari"/>
    <s v="CMR004002008"/>
    <s v="Fotokol"/>
  </r>
  <r>
    <s v="Extrême-Nord"/>
    <s v="CMR004"/>
    <x v="2"/>
    <s v="CMR004002"/>
    <x v="8"/>
    <s v="CMR004002009"/>
    <s v="MAK-0099"/>
    <s v="DOUGOUMMANGO"/>
    <m/>
    <x v="0"/>
    <x v="2"/>
    <n v="9"/>
    <n v="30"/>
    <s v="Conflits liés à GANE (BH)"/>
    <m/>
    <s v="Même département, autre arrondissement"/>
    <s v="CMR"/>
    <s v="Cameroun"/>
    <s v="CMR004"/>
    <s v="Extrême-Nord"/>
    <s v="CMR004002"/>
    <s v="Logone-Et-Chari"/>
    <s v="CMR004002007"/>
    <s v="Darak"/>
  </r>
  <r>
    <s v="Extrême-Nord"/>
    <s v="CMR004"/>
    <x v="2"/>
    <s v="CMR004002"/>
    <x v="8"/>
    <s v="CMR004002009"/>
    <s v="MAK-0072"/>
    <s v="NDAGA"/>
    <m/>
    <x v="0"/>
    <x v="0"/>
    <n v="28"/>
    <n v="163"/>
    <s v="Conflits liés à GANE (BH)"/>
    <m/>
    <s v="Même département, autre arrondissement"/>
    <s v="CMR"/>
    <s v="Cameroun"/>
    <s v="CMR004"/>
    <s v="Extrême-Nord"/>
    <s v="CMR004002"/>
    <s v="Logone-Et-Chari"/>
    <s v="CMR004002008"/>
    <s v="Fotokol"/>
  </r>
  <r>
    <s v="Extrême-Nord"/>
    <s v="CMR004"/>
    <x v="2"/>
    <s v="CMR004002"/>
    <x v="8"/>
    <s v="CMR004002009"/>
    <s v="MAK-0072"/>
    <s v="NDAGA"/>
    <m/>
    <x v="0"/>
    <x v="2"/>
    <n v="5"/>
    <n v="15"/>
    <s v="Conflits liés à GANE (BH)"/>
    <m/>
    <s v="Même département, autre arrondissement"/>
    <s v="CMR"/>
    <s v="Cameroun"/>
    <s v="CMR004"/>
    <s v="Extrême-Nord"/>
    <s v="CMR004002"/>
    <s v="Logone-Et-Chari"/>
    <s v="CMR004002007"/>
    <s v="Darak"/>
  </r>
  <r>
    <s v="Extrême-Nord"/>
    <s v="CMR004"/>
    <x v="1"/>
    <s v="CMR004006"/>
    <x v="14"/>
    <s v="CMR004006007"/>
    <s v="BOU-0004"/>
    <s v="BOURHA 2"/>
    <m/>
    <x v="0"/>
    <x v="0"/>
    <n v="18"/>
    <n v="123"/>
    <s v="Conflits liés à GANE (BH)"/>
    <m/>
    <s v="Même département, autre arrondissement"/>
    <s v="CMR"/>
    <s v="Cameroun"/>
    <s v="CMR004"/>
    <s v="Extrême-Nord"/>
    <s v="CMR004006"/>
    <s v="Mayo-Tsanaga"/>
    <s v="CMR004006005"/>
    <s v="Mayo-Moskota"/>
  </r>
  <r>
    <s v="Extrême-Nord"/>
    <s v="CMR004"/>
    <x v="1"/>
    <s v="CMR004006"/>
    <x v="14"/>
    <s v="CMR004006007"/>
    <s v="BOU-0004"/>
    <s v="BOURHA 2"/>
    <m/>
    <x v="0"/>
    <x v="1"/>
    <n v="0"/>
    <n v="1"/>
    <s v="Conflits liés à GANE (BH)"/>
    <m/>
    <s v="Même arrondissement"/>
    <s v="CMR"/>
    <s v="Cameroun"/>
    <s v="CMR004"/>
    <s v="Extrême-Nord"/>
    <s v="CMR004006"/>
    <s v="Mayo-Tsanaga"/>
    <s v="CMR004006007"/>
    <s v="Bourha"/>
  </r>
  <r>
    <s v="Extrême-Nord"/>
    <s v="CMR004"/>
    <x v="1"/>
    <s v="CMR004006"/>
    <x v="14"/>
    <s v="CMR004006007"/>
    <s v="BOU-0004"/>
    <s v="BOURHA 2"/>
    <m/>
    <x v="0"/>
    <x v="3"/>
    <n v="5"/>
    <n v="16"/>
    <s v="Conflits liés à GANE (BH)"/>
    <m/>
    <s v="Même arrondissement"/>
    <s v="CMR"/>
    <s v="Cameroun"/>
    <s v="CMR004"/>
    <s v="Extrême-Nord"/>
    <s v="CMR004006"/>
    <s v="Mayo-Tsanaga"/>
    <s v="CMR004006007"/>
    <s v="Bourha"/>
  </r>
  <r>
    <s v="Extrême-Nord"/>
    <s v="CMR004"/>
    <x v="2"/>
    <s v="CMR004002"/>
    <x v="13"/>
    <s v="CMR004002001"/>
    <s v="WAZ-0026"/>
    <s v="SITE DE LAFIA"/>
    <m/>
    <x v="0"/>
    <x v="4"/>
    <n v="25"/>
    <n v="100"/>
    <s v="Conflit intercommunautaire"/>
    <m/>
    <s v="Même département, autre arrondissement"/>
    <s v="CMR"/>
    <s v="Cameroun"/>
    <s v="CMR004"/>
    <s v="Extrême-Nord"/>
    <s v="CMR004002"/>
    <s v="Logone-Et-Chari"/>
    <s v="CMR004002004"/>
    <s v="Logone-Birni"/>
  </r>
  <r>
    <s v="Extrême-Nord"/>
    <s v="CMR004"/>
    <x v="2"/>
    <s v="CMR004002"/>
    <x v="13"/>
    <s v="CMR004002001"/>
    <s v="WAZ-0026"/>
    <s v="SITE DE LAFIA"/>
    <m/>
    <x v="0"/>
    <x v="2"/>
    <n v="0"/>
    <n v="10"/>
    <s v="Conflit intercommunautaire"/>
    <m/>
    <s v="Même département, autre arrondissement"/>
    <s v="CMR"/>
    <s v="Cameroun"/>
    <s v="CMR004"/>
    <s v="Extrême-Nord"/>
    <s v="CMR004002"/>
    <s v="Logone-Et-Chari"/>
    <s v="CMR004002004"/>
    <s v="Logone-Birni"/>
  </r>
  <r>
    <s v="Extrême-Nord"/>
    <s v="CMR004"/>
    <x v="2"/>
    <s v="CMR004002"/>
    <x v="13"/>
    <s v="CMR004002001"/>
    <s v="WAZ-0040"/>
    <s v="SITE DE KABE 3"/>
    <m/>
    <x v="0"/>
    <x v="4"/>
    <n v="18"/>
    <n v="80"/>
    <s v="Conflit intercommunautaire"/>
    <m/>
    <s v="Même département, autre arrondissement"/>
    <s v="CMR"/>
    <s v="Cameroun"/>
    <s v="CMR004"/>
    <s v="Extrême-Nord"/>
    <s v="CMR004002"/>
    <s v="Logone-Et-Chari"/>
    <s v="CMR004002004"/>
    <s v="Logone-Birni"/>
  </r>
  <r>
    <s v="Extrême-Nord"/>
    <s v="CMR004"/>
    <x v="2"/>
    <s v="CMR004002"/>
    <x v="13"/>
    <s v="CMR004002001"/>
    <s v="WAZ-0040"/>
    <s v="SITE DE KABE 3"/>
    <m/>
    <x v="0"/>
    <x v="2"/>
    <n v="15"/>
    <n v="68"/>
    <s v="Inondations saisonnières ou fortes pluies"/>
    <m/>
    <s v="Même département, autre arrondissement"/>
    <s v="CMR"/>
    <s v="Cameroun"/>
    <s v="CMR004"/>
    <s v="Extrême-Nord"/>
    <s v="CMR004002"/>
    <s v="Logone-Et-Chari"/>
    <s v="CMR004002004"/>
    <s v="Logone-Birni"/>
  </r>
  <r>
    <s v="Extrême-Nord"/>
    <s v="CMR004"/>
    <x v="2"/>
    <s v="CMR004002"/>
    <x v="13"/>
    <s v="CMR004002001"/>
    <s v="WAZ-0019"/>
    <s v="MATKOUNA 2"/>
    <m/>
    <x v="0"/>
    <x v="2"/>
    <n v="4"/>
    <n v="22"/>
    <s v="Conflit intercommunautaire"/>
    <m/>
    <s v="Même arrondissement"/>
    <s v="CMR"/>
    <s v="Cameroun"/>
    <s v="CMR004"/>
    <s v="Extrême-Nord"/>
    <s v="CMR004002"/>
    <s v="Logone-Et-Chari"/>
    <s v="CMR004002001"/>
    <s v="Waza"/>
  </r>
  <r>
    <s v="Extrême-Nord"/>
    <s v="CMR004"/>
    <x v="1"/>
    <s v="CMR004006"/>
    <x v="7"/>
    <s v="CMR004006005"/>
    <s v="MOZ-0037"/>
    <s v="MOUNDOUGOUA"/>
    <m/>
    <x v="0"/>
    <x v="4"/>
    <n v="5"/>
    <n v="26"/>
    <s v="Conflits liés à GANE (BH)"/>
    <m/>
    <s v="Même arrondissement"/>
    <s v="CMR"/>
    <s v="Cameroun"/>
    <s v="CMR004"/>
    <s v="Extrême-Nord"/>
    <s v="CMR004006"/>
    <s v="Mayo-Tsanaga"/>
    <s v="CMR004006005"/>
    <s v="Mayo-Moskota"/>
  </r>
  <r>
    <s v="Extrême-Nord"/>
    <s v="CMR004"/>
    <x v="1"/>
    <s v="CMR004006"/>
    <x v="7"/>
    <s v="CMR004006005"/>
    <s v="MOZ-0037"/>
    <s v="MOUNDOUGOUA"/>
    <m/>
    <x v="0"/>
    <x v="2"/>
    <n v="4"/>
    <n v="15"/>
    <s v="Conflits liés à GANE (BH)"/>
    <m/>
    <s v="Même arrondissement"/>
    <s v="CMR"/>
    <s v="Cameroun"/>
    <s v="CMR004"/>
    <s v="Extrême-Nord"/>
    <s v="CMR004006"/>
    <s v="Mayo-Tsanaga"/>
    <s v="CMR004006005"/>
    <s v="Mayo-Moskota"/>
  </r>
  <r>
    <s v="Extrême-Nord"/>
    <s v="CMR004"/>
    <x v="2"/>
    <s v="CMR004002"/>
    <x v="8"/>
    <s v="CMR004002009"/>
    <s v="MAK-0232"/>
    <s v="SIEBA"/>
    <m/>
    <x v="0"/>
    <x v="3"/>
    <n v="9"/>
    <n v="25"/>
    <s v="Inondations saisonnières ou fortes pluies"/>
    <m/>
    <s v="Même arrondissement"/>
    <s v="CMR"/>
    <s v="Cameroun"/>
    <s v="CMR004"/>
    <s v="Extrême-Nord"/>
    <s v="CMR004002"/>
    <s v="Logone-Et-Chari"/>
    <s v="CMR004002009"/>
    <s v="Makary"/>
  </r>
  <r>
    <s v="Extrême-Nord"/>
    <s v="CMR004"/>
    <x v="2"/>
    <s v="CMR004002"/>
    <x v="8"/>
    <s v="CMR004002009"/>
    <s v="MAK-0232"/>
    <s v="SIEBA"/>
    <m/>
    <x v="0"/>
    <x v="0"/>
    <n v="50"/>
    <n v="50"/>
    <s v="Conflits liés à GANE (BH)"/>
    <m/>
    <s v="Même arrondissement"/>
    <s v="CMR"/>
    <s v="Cameroun"/>
    <s v="CMR004"/>
    <s v="Extrême-Nord"/>
    <s v="CMR004002"/>
    <s v="Logone-Et-Chari"/>
    <s v="CMR004002009"/>
    <s v="Makary"/>
  </r>
  <r>
    <s v="Extrême-Nord"/>
    <s v="CMR004"/>
    <x v="2"/>
    <s v="CMR004002"/>
    <x v="8"/>
    <s v="CMR004002009"/>
    <s v="MAK-0038"/>
    <s v="GLESSALAO"/>
    <m/>
    <x v="0"/>
    <x v="0"/>
    <n v="13"/>
    <n v="92"/>
    <s v="Conflits liés à GANE (BH)"/>
    <m/>
    <s v="Même arrondissement"/>
    <s v="CMR"/>
    <s v="Cameroun"/>
    <s v="CMR004"/>
    <s v="Extrême-Nord"/>
    <s v="CMR004002"/>
    <s v="Logone-Et-Chari"/>
    <s v="CMR004002009"/>
    <s v="Makary"/>
  </r>
  <r>
    <s v="Extrême-Nord"/>
    <s v="CMR004"/>
    <x v="2"/>
    <s v="CMR004002"/>
    <x v="8"/>
    <s v="CMR004002009"/>
    <s v="MAK-0038"/>
    <s v="GLESSALAO"/>
    <m/>
    <x v="0"/>
    <x v="2"/>
    <n v="6"/>
    <n v="15"/>
    <s v="Inondations saisonnières ou fortes pluies"/>
    <m/>
    <s v="Même arrondissement"/>
    <s v="CMR"/>
    <s v="Cameroun"/>
    <s v="CMR004"/>
    <s v="Extrême-Nord"/>
    <s v="CMR004002"/>
    <s v="Logone-Et-Chari"/>
    <s v="CMR004002009"/>
    <s v="Makary"/>
  </r>
  <r>
    <s v="Extrême-Nord"/>
    <s v="CMR004"/>
    <x v="2"/>
    <s v="CMR004002"/>
    <x v="8"/>
    <s v="CMR004002009"/>
    <s v="MAK-0058"/>
    <s v="MAKARY CENTRE"/>
    <m/>
    <x v="0"/>
    <x v="0"/>
    <n v="2126"/>
    <n v="9901"/>
    <s v="Conflits liés à GANE (BH)"/>
    <m/>
    <s v="Même département, autre arrondissement"/>
    <s v="CMR"/>
    <s v="Cameroun"/>
    <s v="CMR004"/>
    <s v="Extrême-Nord"/>
    <s v="CMR004002"/>
    <s v="Logone-Et-Chari"/>
    <s v="CMR004002008"/>
    <s v="Fotokol"/>
  </r>
  <r>
    <s v="Extrême-Nord"/>
    <s v="CMR004"/>
    <x v="2"/>
    <s v="CMR004002"/>
    <x v="8"/>
    <s v="CMR004002009"/>
    <s v="MAK-0058"/>
    <s v="MAKARY CENTRE"/>
    <m/>
    <x v="0"/>
    <x v="1"/>
    <n v="3661"/>
    <n v="6240"/>
    <s v="Conflits liés à GANE (BH)"/>
    <m/>
    <s v="Même département, autre arrondissement"/>
    <s v="CMR"/>
    <s v="Cameroun"/>
    <s v="CMR004"/>
    <s v="Extrême-Nord"/>
    <s v="CMR004002"/>
    <s v="Logone-Et-Chari"/>
    <s v="CMR004002008"/>
    <s v="Fotokol"/>
  </r>
  <r>
    <s v="Extrême-Nord"/>
    <s v="CMR004"/>
    <x v="2"/>
    <s v="CMR004002"/>
    <x v="8"/>
    <s v="CMR004002009"/>
    <s v="MAK-0058"/>
    <s v="MAKARY CENTRE"/>
    <m/>
    <x v="0"/>
    <x v="3"/>
    <n v="82"/>
    <n v="200"/>
    <s v="Conflits liés à GANE (BH)"/>
    <m/>
    <s v="Même département, autre arrondissement"/>
    <s v="CMR"/>
    <s v="Cameroun"/>
    <s v="CMR004"/>
    <s v="Extrême-Nord"/>
    <s v="CMR004002"/>
    <s v="Logone-Et-Chari"/>
    <s v="CMR004002007"/>
    <s v="Darak"/>
  </r>
  <r>
    <s v="Extrême-Nord"/>
    <s v="CMR004"/>
    <x v="2"/>
    <s v="CMR004002"/>
    <x v="8"/>
    <s v="CMR004002009"/>
    <s v="XXXX"/>
    <s v="SITE DE MAKARY - KATIKIME"/>
    <s v="SITE DE MAKARY - KATIKIME"/>
    <x v="0"/>
    <x v="2"/>
    <n v="263"/>
    <n v="401"/>
    <s v="Conflits liés à GANE (BH)"/>
    <m/>
    <s v="Même département, autre arrondissement"/>
    <s v="CMR"/>
    <s v="Cameroun"/>
    <s v="CMR004"/>
    <s v="Extrême-Nord"/>
    <s v="CMR004002"/>
    <s v="Logone-Et-Chari"/>
    <m/>
    <s v="Hile-Alifa"/>
  </r>
  <r>
    <s v="Extrême-Nord"/>
    <s v="CMR004"/>
    <x v="2"/>
    <s v="CMR004002"/>
    <x v="8"/>
    <s v="CMR004002009"/>
    <s v="MAK-0062"/>
    <s v="MANAWADJI"/>
    <m/>
    <x v="0"/>
    <x v="0"/>
    <n v="24"/>
    <n v="182"/>
    <s v="Conflits liés à GANE (BH)"/>
    <m/>
    <s v="Même arrondissement"/>
    <s v="CMR"/>
    <s v="Cameroun"/>
    <s v="CMR004"/>
    <s v="Extrême-Nord"/>
    <s v="CMR004002"/>
    <s v="Logone-Et-Chari"/>
    <s v="CMR004002009"/>
    <s v="Makary"/>
  </r>
  <r>
    <s v="Extrême-Nord"/>
    <s v="CMR004"/>
    <x v="2"/>
    <s v="CMR004002"/>
    <x v="8"/>
    <s v="CMR004002009"/>
    <s v="MAK-0062"/>
    <s v="MANAWADJI"/>
    <m/>
    <x v="0"/>
    <x v="4"/>
    <n v="0"/>
    <n v="165"/>
    <s v="Conflits liés à GANE (BH)"/>
    <m/>
    <s v="Même arrondissement"/>
    <s v="CMR"/>
    <s v="Cameroun"/>
    <s v="CMR004"/>
    <s v="Extrême-Nord"/>
    <s v="CMR004002"/>
    <s v="Logone-Et-Chari"/>
    <s v="CMR004002009"/>
    <s v="Makary"/>
  </r>
  <r>
    <s v="Extrême-Nord"/>
    <s v="CMR004"/>
    <x v="2"/>
    <s v="CMR004002"/>
    <x v="13"/>
    <s v="CMR004002001"/>
    <s v="WAZ-0003"/>
    <s v="KABE 2"/>
    <m/>
    <x v="0"/>
    <x v="2"/>
    <n v="1"/>
    <n v="10"/>
    <s v="Inondations saisonnières ou fortes pluies"/>
    <m/>
    <s v="Même département, autre arrondissement"/>
    <s v="CMR"/>
    <s v="Cameroun"/>
    <s v="CMR004"/>
    <s v="Extrême-Nord"/>
    <s v="CMR004002"/>
    <s v="Logone-Et-Chari"/>
    <s v="CMR004002009"/>
    <s v="Makary"/>
  </r>
  <r>
    <s v="Extrême-Nord"/>
    <s v="CMR004"/>
    <x v="2"/>
    <s v="CMR004002"/>
    <x v="13"/>
    <s v="CMR004002001"/>
    <s v="WAZ-0003"/>
    <s v="KABE 2"/>
    <m/>
    <x v="0"/>
    <x v="3"/>
    <n v="13"/>
    <n v="44"/>
    <s v="Conflits liés à GANE (BH)"/>
    <m/>
    <s v="Même arrondissement"/>
    <s v="CMR"/>
    <s v="Cameroun"/>
    <s v="CMR004"/>
    <s v="Extrême-Nord"/>
    <s v="CMR004002"/>
    <s v="Logone-Et-Chari"/>
    <s v="CMR004002001"/>
    <s v="Waza"/>
  </r>
  <r>
    <s v="Extrême-Nord"/>
    <s v="CMR004"/>
    <x v="2"/>
    <s v="CMR004002"/>
    <x v="13"/>
    <s v="CMR004002001"/>
    <s v="WAZ-0024"/>
    <s v="ANGOUROU"/>
    <m/>
    <x v="0"/>
    <x v="2"/>
    <n v="2"/>
    <n v="15"/>
    <s v="Inondations saisonnières ou fortes pluies"/>
    <m/>
    <s v="Même département, autre arrondissement"/>
    <s v="CMR"/>
    <s v="Cameroun"/>
    <s v="CMR004"/>
    <s v="Extrême-Nord"/>
    <s v="CMR004002"/>
    <s v="Logone-Et-Chari"/>
    <s v="CMR004002004"/>
    <s v="Logone-Birni"/>
  </r>
  <r>
    <s v="Extrême-Nord"/>
    <s v="CMR004"/>
    <x v="2"/>
    <s v="CMR004002"/>
    <x v="13"/>
    <s v="CMR004002001"/>
    <s v="WAZ-0024"/>
    <s v="ANGOUROU"/>
    <m/>
    <x v="0"/>
    <x v="4"/>
    <n v="15"/>
    <n v="60"/>
    <s v="Conflit intercommunautaire"/>
    <m/>
    <s v="Même département, autre arrondissement"/>
    <s v="CMR"/>
    <s v="Cameroun"/>
    <s v="CMR004"/>
    <s v="Extrême-Nord"/>
    <s v="CMR004002"/>
    <s v="Logone-Et-Chari"/>
    <s v="CMR004002004"/>
    <s v="Logone-Birni"/>
  </r>
  <r>
    <s v="Extrême-Nord"/>
    <s v="CMR004"/>
    <x v="2"/>
    <s v="CMR004002"/>
    <x v="13"/>
    <s v="CMR004002001"/>
    <s v="WAZ-0005"/>
    <s v="MICHEDIRE"/>
    <m/>
    <x v="0"/>
    <x v="4"/>
    <n v="7"/>
    <n v="57"/>
    <s v="Conflit intercommunautaire"/>
    <m/>
    <s v="Même département, autre arrondissement"/>
    <s v="CMR"/>
    <s v="Cameroun"/>
    <s v="CMR004"/>
    <s v="Extrême-Nord"/>
    <s v="CMR004002"/>
    <s v="Logone-Et-Chari"/>
    <s v="CMR004002004"/>
    <s v="Logone-Birni"/>
  </r>
  <r>
    <s v="Extrême-Nord"/>
    <s v="CMR004"/>
    <x v="2"/>
    <s v="CMR004002"/>
    <x v="13"/>
    <s v="CMR004002001"/>
    <s v="WAZ-0005"/>
    <s v="MICHEDIRE"/>
    <m/>
    <x v="0"/>
    <x v="2"/>
    <n v="1"/>
    <n v="7"/>
    <s v="Inondations saisonnières ou fortes pluies"/>
    <m/>
    <s v="Même département, autre arrondissement"/>
    <s v="CMR"/>
    <s v="Cameroun"/>
    <s v="CMR004"/>
    <s v="Extrême-Nord"/>
    <s v="CMR004002"/>
    <s v="Logone-Et-Chari"/>
    <s v="CMR004002004"/>
    <s v="Logone-Birni"/>
  </r>
  <r>
    <s v="Extrême-Nord"/>
    <s v="CMR004"/>
    <x v="2"/>
    <s v="CMR004002"/>
    <x v="13"/>
    <s v="CMR004002001"/>
    <s v="WAZ-0018"/>
    <s v="MATKOUNA 1"/>
    <m/>
    <x v="0"/>
    <x v="0"/>
    <n v="17"/>
    <n v="189"/>
    <s v="Conflits liés à GANE (BH)"/>
    <m/>
    <s v="Même arrondissement"/>
    <s v="CMR"/>
    <s v="Cameroun"/>
    <s v="CMR004"/>
    <s v="Extrême-Nord"/>
    <s v="CMR004002"/>
    <s v="Logone-Et-Chari"/>
    <s v="CMR004002001"/>
    <s v="Waza"/>
  </r>
  <r>
    <s v="Extrême-Nord"/>
    <s v="CMR004"/>
    <x v="2"/>
    <s v="CMR004002"/>
    <x v="13"/>
    <s v="CMR004002001"/>
    <s v="WAZ-0018"/>
    <s v="MATKOUNA 1"/>
    <m/>
    <x v="0"/>
    <x v="2"/>
    <n v="0"/>
    <n v="4"/>
    <s v="Conflits liés à GANE (BH)"/>
    <m/>
    <s v="Même arrondissement"/>
    <s v="CMR"/>
    <s v="Cameroun"/>
    <s v="CMR004"/>
    <s v="Extrême-Nord"/>
    <s v="CMR004002"/>
    <s v="Logone-Et-Chari"/>
    <s v="CMR004002001"/>
    <s v="Waza"/>
  </r>
  <r>
    <s v="Extrême-Nord"/>
    <s v="CMR004"/>
    <x v="2"/>
    <s v="CMR004002"/>
    <x v="10"/>
    <s v="CMR004002003"/>
    <s v="BLA-0025"/>
    <s v="SITE DE MASSAKI"/>
    <m/>
    <x v="0"/>
    <x v="0"/>
    <n v="25"/>
    <n v="199"/>
    <s v="Inondations saisonnières ou fortes pluies"/>
    <m/>
    <s v="Même arrondissement"/>
    <s v="CMR"/>
    <s v="Cameroun"/>
    <s v="CMR004"/>
    <s v="Extrême-Nord"/>
    <s v="CMR004002"/>
    <s v="Logone-Et-Chari"/>
    <s v="CMR004002003"/>
    <s v="Blangoua"/>
  </r>
  <r>
    <s v="Extrême-Nord"/>
    <s v="CMR004"/>
    <x v="2"/>
    <s v="CMR004002"/>
    <x v="10"/>
    <s v="CMR004002003"/>
    <s v="BLA-0025"/>
    <s v="SITE DE MASSAKI"/>
    <m/>
    <x v="0"/>
    <x v="2"/>
    <n v="3"/>
    <n v="21"/>
    <s v="Inondations saisonnières ou fortes pluies"/>
    <m/>
    <s v="Même arrondissement"/>
    <s v="CMR"/>
    <s v="Cameroun"/>
    <s v="CMR004"/>
    <s v="Extrême-Nord"/>
    <s v="CMR004002"/>
    <s v="Logone-Et-Chari"/>
    <s v="CMR004002003"/>
    <s v="Blangoua"/>
  </r>
  <r>
    <s v="Extrême-Nord"/>
    <s v="CMR004"/>
    <x v="2"/>
    <s v="CMR004002"/>
    <x v="10"/>
    <s v="CMR004002003"/>
    <s v="BLA-0016"/>
    <s v="TCHOLLORE"/>
    <m/>
    <x v="0"/>
    <x v="0"/>
    <n v="23"/>
    <n v="103"/>
    <s v="Conflits liés à GANE (BH)"/>
    <m/>
    <s v="Même département, autre arrondissement"/>
    <s v="CMR"/>
    <s v="Cameroun"/>
    <s v="CMR004"/>
    <s v="Extrême-Nord"/>
    <s v="CMR004002"/>
    <s v="Logone-Et-Chari"/>
    <s v="CMR004002008"/>
    <s v="Fotokol"/>
  </r>
  <r>
    <s v="Extrême-Nord"/>
    <s v="CMR004"/>
    <x v="2"/>
    <s v="CMR004002"/>
    <x v="10"/>
    <s v="CMR004002003"/>
    <s v="BLA-0016"/>
    <s v="TCHOLLORE"/>
    <m/>
    <x v="0"/>
    <x v="1"/>
    <n v="2"/>
    <n v="14"/>
    <s v="Conflits liés à GANE (BH)"/>
    <m/>
    <s v="Même département, autre arrondissement"/>
    <s v="CMR"/>
    <s v="Cameroun"/>
    <s v="CMR004"/>
    <s v="Extrême-Nord"/>
    <s v="CMR004002"/>
    <s v="Logone-Et-Chari"/>
    <s v="CMR004002008"/>
    <s v="Fotokol"/>
  </r>
  <r>
    <s v="Extrême-Nord"/>
    <s v="CMR004"/>
    <x v="2"/>
    <s v="CMR004002"/>
    <x v="15"/>
    <s v="CMR004002004"/>
    <s v="LBI-0041"/>
    <s v="TIKINI"/>
    <m/>
    <x v="0"/>
    <x v="3"/>
    <n v="11"/>
    <n v="42"/>
    <s v="Conflit intercommunautaire"/>
    <m/>
    <s v="Même arrondissement"/>
    <s v="CMR"/>
    <s v="Cameroun"/>
    <s v="CMR004"/>
    <s v="Extrême-Nord"/>
    <s v="CMR004002"/>
    <s v="Logone-Et-Chari"/>
    <s v="CMR004002004"/>
    <s v="Logone-Birni"/>
  </r>
  <r>
    <s v="Extrême-Nord"/>
    <s v="CMR004"/>
    <x v="2"/>
    <s v="CMR004002"/>
    <x v="15"/>
    <s v="CMR004002004"/>
    <s v="LBI-0056"/>
    <s v="GAWI"/>
    <m/>
    <x v="0"/>
    <x v="4"/>
    <n v="5"/>
    <n v="18"/>
    <s v="Conflits liés à GANE (BH)"/>
    <m/>
    <s v="Même arrondissement"/>
    <s v="CMR"/>
    <s v="Cameroun"/>
    <s v="CMR004"/>
    <s v="Extrême-Nord"/>
    <s v="CMR004002"/>
    <s v="Logone-Et-Chari"/>
    <s v="CMR004002004"/>
    <s v="Logone-Birni"/>
  </r>
  <r>
    <s v="Extrême-Nord"/>
    <s v="CMR004"/>
    <x v="2"/>
    <s v="CMR004002"/>
    <x v="15"/>
    <s v="CMR004002004"/>
    <s v="LBI-0056"/>
    <s v="GAWI"/>
    <m/>
    <x v="0"/>
    <x v="3"/>
    <n v="0"/>
    <n v="2"/>
    <s v="Conflits liés à GANE (BH)"/>
    <m/>
    <s v="Même arrondissement"/>
    <s v="CMR"/>
    <s v="Cameroun"/>
    <s v="CMR004"/>
    <s v="Extrême-Nord"/>
    <s v="CMR004002"/>
    <s v="Logone-Et-Chari"/>
    <s v="CMR004002004"/>
    <s v="Logone-Birni"/>
  </r>
  <r>
    <s v="Extrême-Nord"/>
    <s v="CMR004"/>
    <x v="2"/>
    <s v="CMR004002"/>
    <x v="15"/>
    <s v="CMR004002004"/>
    <s v="LBI-0056"/>
    <s v="GAWI"/>
    <m/>
    <x v="0"/>
    <x v="2"/>
    <n v="0"/>
    <n v="1"/>
    <s v="Conflits liés à GANE (BH)"/>
    <m/>
    <s v="Même arrondissement"/>
    <s v="CMR"/>
    <s v="Cameroun"/>
    <s v="CMR004"/>
    <s v="Extrême-Nord"/>
    <s v="CMR004002"/>
    <s v="Logone-Et-Chari"/>
    <s v="CMR004002004"/>
    <s v="Logone-Birni"/>
  </r>
  <r>
    <s v="Extrême-Nord"/>
    <s v="CMR004"/>
    <x v="1"/>
    <s v="CMR004006"/>
    <x v="16"/>
    <s v="CMR004006004"/>
    <s v="KOZ-0037"/>
    <s v="LAMORDE"/>
    <m/>
    <x v="0"/>
    <x v="0"/>
    <n v="133"/>
    <n v="1045"/>
    <s v="Conflits liés à GANE (BH)"/>
    <m/>
    <s v="Même département, autre arrondissement"/>
    <s v="CMR"/>
    <s v="Cameroun"/>
    <s v="CMR004"/>
    <s v="Extrême-Nord"/>
    <s v="CMR004006"/>
    <s v="Mayo-Tsanaga"/>
    <s v="CMR004006005"/>
    <s v="Mayo-Moskota"/>
  </r>
  <r>
    <s v="Extrême-Nord"/>
    <s v="CMR004"/>
    <x v="1"/>
    <s v="CMR004006"/>
    <x v="16"/>
    <s v="CMR004006004"/>
    <s v="KOZ-0037"/>
    <s v="LAMORDE"/>
    <m/>
    <x v="0"/>
    <x v="3"/>
    <n v="217"/>
    <n v="1133"/>
    <s v="Conflits liés à GANE (BH)"/>
    <m/>
    <s v="Même département, autre arrondissement"/>
    <s v="CMR"/>
    <s v="Cameroun"/>
    <s v="CMR004"/>
    <s v="Extrême-Nord"/>
    <s v="CMR004006"/>
    <s v="Mayo-Tsanaga"/>
    <s v="CMR004006005"/>
    <s v="Mayo-Moskota"/>
  </r>
  <r>
    <s v="Extrême-Nord"/>
    <s v="CMR004"/>
    <x v="1"/>
    <s v="CMR004006"/>
    <x v="16"/>
    <s v="CMR004006004"/>
    <s v="KOZ-0037"/>
    <s v="LAMORDE"/>
    <m/>
    <x v="0"/>
    <x v="2"/>
    <n v="23"/>
    <n v="172"/>
    <s v="Conflits liés à GANE (BH)"/>
    <m/>
    <s v="Même département, autre arrondissement"/>
    <s v="CMR"/>
    <s v="Cameroun"/>
    <s v="CMR004"/>
    <s v="Extrême-Nord"/>
    <s v="CMR004006"/>
    <s v="Mayo-Tsanaga"/>
    <s v="CMR004006005"/>
    <s v="Mayo-Moskota"/>
  </r>
  <r>
    <s v="Extrême-Nord"/>
    <s v="CMR004"/>
    <x v="4"/>
    <s v="CMR004005"/>
    <x v="17"/>
    <s v="CMR004005002"/>
    <s v="MOR-0008"/>
    <s v="IGAGOUA 2"/>
    <m/>
    <x v="0"/>
    <x v="2"/>
    <n v="3"/>
    <n v="17"/>
    <s v="Conflits liés à GANE (BH)"/>
    <m/>
    <s v="Même arrondissement"/>
    <s v="CMR"/>
    <s v="Cameroun"/>
    <s v="CMR004"/>
    <s v="Extrême-Nord"/>
    <s v="CMR004005"/>
    <s v="Mayo-Sava"/>
    <s v="CMR004005002"/>
    <s v="Mora"/>
  </r>
  <r>
    <s v="Extrême-Nord"/>
    <s v="CMR004"/>
    <x v="4"/>
    <s v="CMR004005"/>
    <x v="17"/>
    <s v="CMR004005002"/>
    <s v="MOR-0008"/>
    <s v="IGAGOUA 2"/>
    <m/>
    <x v="0"/>
    <x v="0"/>
    <n v="77"/>
    <n v="309"/>
    <s v="Conflits liés à GANE (BH)"/>
    <m/>
    <s v="Même arrondissement"/>
    <s v="CMR"/>
    <s v="Cameroun"/>
    <s v="CMR004"/>
    <s v="Extrême-Nord"/>
    <s v="CMR004005"/>
    <s v="Mayo-Sava"/>
    <s v="CMR004005002"/>
    <s v="Mora"/>
  </r>
  <r>
    <s v="Extrême-Nord"/>
    <s v="CMR004"/>
    <x v="4"/>
    <s v="CMR004005"/>
    <x v="17"/>
    <s v="CMR004005002"/>
    <s v="MOR-0008"/>
    <s v="IGAGOUA 2"/>
    <m/>
    <x v="0"/>
    <x v="1"/>
    <n v="12"/>
    <n v="36"/>
    <s v="Conflits liés à GANE (BH)"/>
    <m/>
    <s v="Même arrondissement"/>
    <s v="CMR"/>
    <s v="Cameroun"/>
    <s v="CMR004"/>
    <s v="Extrême-Nord"/>
    <s v="CMR004005"/>
    <s v="Mayo-Sava"/>
    <s v="CMR004005002"/>
    <s v="Mora"/>
  </r>
  <r>
    <s v="Extrême-Nord"/>
    <s v="CMR004"/>
    <x v="4"/>
    <s v="CMR004005"/>
    <x v="17"/>
    <s v="CMR004005002"/>
    <s v="MOR-0008"/>
    <s v="IGAGOUA 2"/>
    <m/>
    <x v="0"/>
    <x v="4"/>
    <n v="4"/>
    <n v="88"/>
    <s v="Conflits liés à GANE (BH)"/>
    <m/>
    <s v="Même arrondissement"/>
    <s v="CMR"/>
    <s v="Cameroun"/>
    <s v="CMR004"/>
    <s v="Extrême-Nord"/>
    <s v="CMR004005"/>
    <s v="Mayo-Sava"/>
    <s v="CMR004005002"/>
    <s v="Mora"/>
  </r>
  <r>
    <s v="Extrême-Nord"/>
    <s v="CMR004"/>
    <x v="4"/>
    <s v="CMR004005"/>
    <x v="17"/>
    <s v="CMR004005002"/>
    <s v="MOR-0008"/>
    <s v="IGAGOUA 2"/>
    <m/>
    <x v="0"/>
    <x v="3"/>
    <n v="6"/>
    <n v="76"/>
    <s v="Conflits liés à GANE (BH)"/>
    <m/>
    <s v="Même arrondissement"/>
    <s v="CMR"/>
    <s v="Cameroun"/>
    <s v="CMR004"/>
    <s v="Extrême-Nord"/>
    <s v="CMR004005"/>
    <s v="Mayo-Sava"/>
    <s v="CMR004005002"/>
    <s v="Mora"/>
  </r>
  <r>
    <s v="Extrême-Nord"/>
    <s v="CMR004"/>
    <x v="4"/>
    <s v="CMR004005"/>
    <x v="17"/>
    <s v="CMR004005002"/>
    <s v="MOR-0025"/>
    <s v="VOUAWA"/>
    <m/>
    <x v="0"/>
    <x v="0"/>
    <n v="47"/>
    <n v="294"/>
    <s v="Conflits liés à GANE (BH)"/>
    <m/>
    <s v="Même arrondissement"/>
    <s v="CMR"/>
    <s v="Cameroun"/>
    <s v="CMR004"/>
    <s v="Extrême-Nord"/>
    <s v="CMR004005"/>
    <s v="Mayo-Sava"/>
    <s v="CMR004005002"/>
    <s v="Mora"/>
  </r>
  <r>
    <s v="Extrême-Nord"/>
    <s v="CMR004"/>
    <x v="4"/>
    <s v="CMR004005"/>
    <x v="17"/>
    <s v="CMR004005002"/>
    <s v="MOR-0025"/>
    <s v="VOUAWA"/>
    <m/>
    <x v="0"/>
    <x v="1"/>
    <n v="7"/>
    <n v="56"/>
    <s v="Conflits liés à GANE (BH)"/>
    <m/>
    <s v="Même arrondissement"/>
    <s v="CMR"/>
    <s v="Cameroun"/>
    <s v="CMR004"/>
    <s v="Extrême-Nord"/>
    <s v="CMR004005"/>
    <s v="Mayo-Sava"/>
    <s v="CMR004005002"/>
    <s v="Mora"/>
  </r>
  <r>
    <s v="Extrême-Nord"/>
    <s v="CMR004"/>
    <x v="4"/>
    <s v="CMR004005"/>
    <x v="17"/>
    <s v="CMR004005002"/>
    <s v="MOR-0025"/>
    <s v="VOUAWA"/>
    <m/>
    <x v="0"/>
    <x v="4"/>
    <n v="8"/>
    <n v="52"/>
    <s v="Conflits liés à GANE (BH)"/>
    <m/>
    <s v="Même arrondissement"/>
    <s v="CMR"/>
    <s v="Cameroun"/>
    <s v="CMR004"/>
    <s v="Extrême-Nord"/>
    <s v="CMR004005"/>
    <s v="Mayo-Sava"/>
    <s v="CMR004005002"/>
    <s v="Mora"/>
  </r>
  <r>
    <s v="Extrême-Nord"/>
    <s v="CMR004"/>
    <x v="4"/>
    <s v="CMR004005"/>
    <x v="17"/>
    <s v="CMR004005002"/>
    <s v="MOR-0025"/>
    <s v="VOUAWA"/>
    <m/>
    <x v="0"/>
    <x v="3"/>
    <n v="0"/>
    <n v="20"/>
    <s v="Conflits liés à GANE (BH)"/>
    <m/>
    <s v="Même arrondissement"/>
    <s v="CMR"/>
    <s v="Cameroun"/>
    <s v="CMR004"/>
    <s v="Extrême-Nord"/>
    <s v="CMR004005"/>
    <s v="Mayo-Sava"/>
    <s v="CMR004005002"/>
    <s v="Mora"/>
  </r>
  <r>
    <s v="Extrême-Nord"/>
    <s v="CMR004"/>
    <x v="4"/>
    <s v="CMR004005"/>
    <x v="17"/>
    <s v="CMR004005002"/>
    <s v="MOR-0044"/>
    <s v="SITE DE MEME - ALDJE 1"/>
    <m/>
    <x v="0"/>
    <x v="3"/>
    <n v="5"/>
    <n v="19"/>
    <s v="Conflits liés à GANE (BH)"/>
    <m/>
    <s v="Même arrondissement"/>
    <s v="CMR"/>
    <s v="Cameroun"/>
    <s v="CMR004"/>
    <s v="Extrême-Nord"/>
    <s v="CMR004005"/>
    <s v="Mayo-Sava"/>
    <s v="CMR004005002"/>
    <s v="Mora"/>
  </r>
  <r>
    <s v="Extrême-Nord"/>
    <s v="CMR004"/>
    <x v="4"/>
    <s v="CMR004005"/>
    <x v="17"/>
    <s v="CMR004005002"/>
    <s v="MOR-0044"/>
    <s v="SITE DE MEME - ALDJE 1"/>
    <m/>
    <x v="0"/>
    <x v="0"/>
    <n v="105"/>
    <n v="342"/>
    <s v="Conflits liés à GANE (BH)"/>
    <m/>
    <s v="Même arrondissement"/>
    <s v="CMR"/>
    <s v="Cameroun"/>
    <s v="CMR004"/>
    <s v="Extrême-Nord"/>
    <s v="CMR004005"/>
    <s v="Mayo-Sava"/>
    <s v="CMR004005002"/>
    <s v="Mora"/>
  </r>
  <r>
    <s v="Extrême-Nord"/>
    <s v="CMR004"/>
    <x v="4"/>
    <s v="CMR004005"/>
    <x v="17"/>
    <s v="CMR004005002"/>
    <s v="MOR-0044"/>
    <s v="SITE DE MEME - ALDJE 1"/>
    <m/>
    <x v="0"/>
    <x v="1"/>
    <n v="3"/>
    <n v="37"/>
    <s v="Conflits liés à GANE (BH)"/>
    <m/>
    <s v="Même arrondissement"/>
    <s v="CMR"/>
    <s v="Cameroun"/>
    <s v="CMR004"/>
    <s v="Extrême-Nord"/>
    <s v="CMR004005"/>
    <s v="Mayo-Sava"/>
    <s v="CMR004005002"/>
    <s v="Mora"/>
  </r>
  <r>
    <s v="Extrême-Nord"/>
    <s v="CMR004"/>
    <x v="4"/>
    <s v="CMR004005"/>
    <x v="17"/>
    <s v="CMR004005002"/>
    <s v="MOR-0044"/>
    <s v="SITE DE MEME - ALDJE 1"/>
    <m/>
    <x v="0"/>
    <x v="4"/>
    <n v="9"/>
    <n v="84"/>
    <s v="Conflits liés à GANE (BH)"/>
    <m/>
    <s v="Même arrondissement"/>
    <s v="CMR"/>
    <s v="Cameroun"/>
    <s v="CMR004"/>
    <s v="Extrême-Nord"/>
    <s v="CMR004005"/>
    <s v="Mayo-Sava"/>
    <s v="CMR004005002"/>
    <s v="Mora"/>
  </r>
  <r>
    <s v="Extrême-Nord"/>
    <s v="CMR004"/>
    <x v="4"/>
    <s v="CMR004005"/>
    <x v="17"/>
    <s v="CMR004005002"/>
    <s v="MOR-0044"/>
    <s v="SITE DE MEME - ALDJE 1"/>
    <m/>
    <x v="0"/>
    <x v="2"/>
    <n v="3"/>
    <n v="29"/>
    <s v="Conflits liés à GANE (BH)"/>
    <m/>
    <s v="Même arrondissement"/>
    <s v="CMR"/>
    <s v="Cameroun"/>
    <s v="CMR004"/>
    <s v="Extrême-Nord"/>
    <s v="CMR004005"/>
    <s v="Mayo-Sava"/>
    <s v="CMR004005002"/>
    <s v="Mora"/>
  </r>
  <r>
    <s v="Extrême-Nord"/>
    <s v="CMR004"/>
    <x v="2"/>
    <s v="CMR004002"/>
    <x v="8"/>
    <s v="CMR004002009"/>
    <s v="MAK-0032"/>
    <s v="DOROROYA 1"/>
    <m/>
    <x v="0"/>
    <x v="2"/>
    <n v="17"/>
    <n v="50"/>
    <s v="Conflits liés à GANE (BH)"/>
    <m/>
    <s v="Même département, autre arrondissement"/>
    <s v="CMR"/>
    <s v="Cameroun"/>
    <s v="CMR004"/>
    <s v="Extrême-Nord"/>
    <s v="CMR004002"/>
    <s v="Logone-Et-Chari"/>
    <s v="CMR004002007"/>
    <s v="Darak"/>
  </r>
  <r>
    <s v="Extrême-Nord"/>
    <s v="CMR004"/>
    <x v="2"/>
    <s v="CMR004002"/>
    <x v="8"/>
    <s v="CMR004002009"/>
    <s v="MAK-0032"/>
    <s v="DOROROYA 1"/>
    <m/>
    <x v="0"/>
    <x v="3"/>
    <n v="10"/>
    <n v="73"/>
    <s v="Conflits liés à GANE (BH)"/>
    <m/>
    <s v="Même département, autre arrondissement"/>
    <s v="CMR"/>
    <s v="Cameroun"/>
    <s v="CMR004"/>
    <s v="Extrême-Nord"/>
    <s v="CMR004002"/>
    <s v="Logone-Et-Chari"/>
    <s v="CMR004002007"/>
    <s v="Darak"/>
  </r>
  <r>
    <s v="Extrême-Nord"/>
    <s v="CMR004"/>
    <x v="5"/>
    <s v="CMR004004"/>
    <x v="18"/>
    <s v="CMR004004001"/>
    <s v="GUI-0001"/>
    <s v="DJANINI"/>
    <m/>
    <x v="0"/>
    <x v="0"/>
    <n v="1"/>
    <n v="4"/>
    <s v="Conflits liés à GANE (BH)"/>
    <m/>
    <s v="Autre département"/>
    <s v="CMR"/>
    <s v="Cameroun"/>
    <s v="CMR004"/>
    <s v="Extrême-Nord"/>
    <s v="CMR004005"/>
    <s v="Mayo-Sava"/>
    <m/>
    <m/>
  </r>
  <r>
    <s v="Extrême-Nord"/>
    <s v="CMR004"/>
    <x v="2"/>
    <s v="CMR004002"/>
    <x v="12"/>
    <s v="CMR004002002"/>
    <s v="GOU-0002"/>
    <s v="ARDEBE"/>
    <m/>
    <x v="0"/>
    <x v="0"/>
    <n v="5"/>
    <n v="17"/>
    <s v="Conflits liés à GANE (BH)"/>
    <m/>
    <s v="Même département, autre arrondissement"/>
    <s v="CMR"/>
    <s v="Cameroun"/>
    <s v="CMR004"/>
    <s v="Extrême-Nord"/>
    <s v="CMR004002"/>
    <s v="Logone-Et-Chari"/>
    <s v="CMR004002008"/>
    <s v="Fotokol"/>
  </r>
  <r>
    <s v="Extrême-Nord"/>
    <s v="CMR004"/>
    <x v="2"/>
    <s v="CMR004002"/>
    <x v="12"/>
    <s v="CMR004002002"/>
    <s v="GOU-0002"/>
    <s v="ARDEBE"/>
    <m/>
    <x v="0"/>
    <x v="2"/>
    <n v="2"/>
    <n v="12"/>
    <s v="Inondations saisonnières ou fortes pluies"/>
    <m/>
    <s v="Même arrondissement"/>
    <s v="CMR"/>
    <s v="Cameroun"/>
    <s v="CMR004"/>
    <s v="Extrême-Nord"/>
    <s v="CMR004002"/>
    <s v="Logone-Et-Chari"/>
    <s v="CMR004002002"/>
    <s v="Goulfey"/>
  </r>
  <r>
    <s v="Extrême-Nord"/>
    <s v="CMR004"/>
    <x v="0"/>
    <s v="CMR004001"/>
    <x v="5"/>
    <s v="CMR004001002"/>
    <s v="MA2-0004"/>
    <s v="GADAMAHOL 4"/>
    <m/>
    <x v="0"/>
    <x v="0"/>
    <n v="12"/>
    <n v="203"/>
    <s v="Conflits liés à GANE (BH)"/>
    <m/>
    <s v="Autre département"/>
    <s v="CMR"/>
    <s v="Cameroun"/>
    <s v="CMR004"/>
    <s v="Extrême-Nord"/>
    <s v="CMR004005"/>
    <s v="Mayo-Sava"/>
    <m/>
    <m/>
  </r>
  <r>
    <s v="Extrême-Nord"/>
    <s v="CMR004"/>
    <x v="2"/>
    <s v="CMR004002"/>
    <x v="9"/>
    <s v="CMR004002010"/>
    <s v="HIL-0009"/>
    <s v="HILE ALIFA 2"/>
    <m/>
    <x v="0"/>
    <x v="0"/>
    <n v="31"/>
    <n v="200"/>
    <s v="Conflits liés à GANE (BH)"/>
    <m/>
    <s v="Même département, autre arrondissement"/>
    <s v="CMR"/>
    <s v="Cameroun"/>
    <s v="CMR004"/>
    <s v="Extrême-Nord"/>
    <s v="CMR004002"/>
    <s v="Logone-Et-Chari"/>
    <s v="CMR004002008"/>
    <s v="Fotokol"/>
  </r>
  <r>
    <s v="Extrême-Nord"/>
    <s v="CMR004"/>
    <x v="2"/>
    <s v="CMR004002"/>
    <x v="9"/>
    <s v="CMR004002010"/>
    <s v="HIL-0009"/>
    <s v="HILE ALIFA 2"/>
    <m/>
    <x v="0"/>
    <x v="4"/>
    <n v="25"/>
    <n v="175"/>
    <s v="Conflits liés à GANE (BH)"/>
    <m/>
    <s v="Même arrondissement"/>
    <s v="CMR"/>
    <s v="Cameroun"/>
    <s v="CMR004"/>
    <s v="Extrême-Nord"/>
    <s v="CMR004002"/>
    <s v="Logone-Et-Chari"/>
    <s v="CMR004002010"/>
    <s v="Hile-Alifa"/>
  </r>
  <r>
    <s v="Extrême-Nord"/>
    <s v="CMR004"/>
    <x v="2"/>
    <s v="CMR004002"/>
    <x v="9"/>
    <s v="CMR004002010"/>
    <s v="HIL-0009"/>
    <s v="HILE ALIFA 2"/>
    <m/>
    <x v="0"/>
    <x v="3"/>
    <n v="67"/>
    <n v="469"/>
    <s v="Conflits liés à GANE (BH)"/>
    <m/>
    <s v="Même arrondissement"/>
    <s v="CMR"/>
    <s v="Cameroun"/>
    <s v="CMR004"/>
    <s v="Extrême-Nord"/>
    <s v="CMR004002"/>
    <s v="Logone-Et-Chari"/>
    <s v="CMR004002010"/>
    <s v="Hile-Alifa"/>
  </r>
  <r>
    <s v="Extrême-Nord"/>
    <s v="CMR004"/>
    <x v="2"/>
    <s v="CMR004002"/>
    <x v="9"/>
    <s v="CMR004002010"/>
    <s v="HIL-0009"/>
    <s v="HILE ALIFA 2"/>
    <m/>
    <x v="0"/>
    <x v="2"/>
    <n v="700"/>
    <n v="4200"/>
    <s v="Conflits liés à GANE (BH)"/>
    <m/>
    <s v="Même arrondissement"/>
    <s v="CMR"/>
    <s v="Cameroun"/>
    <s v="CMR004"/>
    <s v="Extrême-Nord"/>
    <s v="CMR004002"/>
    <s v="Logone-Et-Chari"/>
    <s v="CMR004002010"/>
    <s v="Hile-Alifa"/>
  </r>
  <r>
    <s v="Extrême-Nord"/>
    <s v="CMR004"/>
    <x v="2"/>
    <s v="CMR004002"/>
    <x v="12"/>
    <s v="CMR004002002"/>
    <s v="XXXX"/>
    <s v="SITE DE ANGROWO (GOURLE)"/>
    <s v="SITE DE ANGROWO (GOURLE)"/>
    <x v="0"/>
    <x v="2"/>
    <n v="15"/>
    <n v="172"/>
    <s v="Catastrophe naturelle (sécheresse, glissement de terrain, rupture de digue)"/>
    <s v="rupture de digue"/>
    <s v="Même arrondissement"/>
    <s v="CMR"/>
    <s v="Cameroun"/>
    <s v="CMR004"/>
    <s v="Extrême-Nord"/>
    <s v="CMR004002"/>
    <s v="Logone-Et-Chari"/>
    <s v="CMR004002002"/>
    <s v="Goulfey"/>
  </r>
  <r>
    <s v="Extrême-Nord"/>
    <s v="CMR004"/>
    <x v="4"/>
    <s v="CMR004005"/>
    <x v="17"/>
    <s v="CMR004005002"/>
    <s v="MOR-0026"/>
    <s v="BONDERI"/>
    <m/>
    <x v="0"/>
    <x v="0"/>
    <n v="21"/>
    <n v="144"/>
    <s v="Conflits liés à GANE (BH)"/>
    <m/>
    <s v="Même arrondissement"/>
    <s v="CMR"/>
    <s v="Cameroun"/>
    <s v="CMR004"/>
    <s v="Extrême-Nord"/>
    <s v="CMR004005"/>
    <s v="Mayo-Sava"/>
    <s v="CMR004005002"/>
    <s v="Mora"/>
  </r>
  <r>
    <s v="Extrême-Nord"/>
    <s v="CMR004"/>
    <x v="4"/>
    <s v="CMR004005"/>
    <x v="17"/>
    <s v="CMR004005002"/>
    <s v="MOR-0026"/>
    <s v="BONDERI"/>
    <m/>
    <x v="0"/>
    <x v="1"/>
    <n v="1"/>
    <n v="8"/>
    <s v="Conflits liés à GANE (BH)"/>
    <m/>
    <s v="Même arrondissement"/>
    <s v="CMR"/>
    <s v="Cameroun"/>
    <s v="CMR004"/>
    <s v="Extrême-Nord"/>
    <s v="CMR004005"/>
    <s v="Mayo-Sava"/>
    <s v="CMR004005002"/>
    <s v="Mora"/>
  </r>
  <r>
    <s v="Extrême-Nord"/>
    <s v="CMR004"/>
    <x v="4"/>
    <s v="CMR004005"/>
    <x v="17"/>
    <s v="CMR004005002"/>
    <s v="MOR-0026"/>
    <s v="BONDERI"/>
    <m/>
    <x v="0"/>
    <x v="4"/>
    <n v="0"/>
    <n v="15"/>
    <s v="Conflits liés à GANE (BH)"/>
    <m/>
    <s v="Même arrondissement"/>
    <s v="CMR"/>
    <s v="Cameroun"/>
    <s v="CMR004"/>
    <s v="Extrême-Nord"/>
    <s v="CMR004005"/>
    <s v="Mayo-Sava"/>
    <s v="CMR004005002"/>
    <s v="Mora"/>
  </r>
  <r>
    <s v="Extrême-Nord"/>
    <s v="CMR004"/>
    <x v="4"/>
    <s v="CMR004005"/>
    <x v="17"/>
    <s v="CMR004005002"/>
    <s v="MOR-0026"/>
    <s v="BONDERI"/>
    <m/>
    <x v="0"/>
    <x v="3"/>
    <n v="15"/>
    <n v="113"/>
    <s v="Conflits liés à GANE (BH)"/>
    <m/>
    <s v="Même arrondissement"/>
    <s v="CMR"/>
    <s v="Cameroun"/>
    <s v="CMR004"/>
    <s v="Extrême-Nord"/>
    <s v="CMR004005"/>
    <s v="Mayo-Sava"/>
    <s v="CMR004005002"/>
    <s v="Mora"/>
  </r>
  <r>
    <s v="Extrême-Nord"/>
    <s v="CMR004"/>
    <x v="4"/>
    <s v="CMR004005"/>
    <x v="17"/>
    <s v="CMR004005002"/>
    <s v="MOR-0026"/>
    <s v="BONDERI"/>
    <m/>
    <x v="0"/>
    <x v="2"/>
    <n v="2"/>
    <n v="16"/>
    <s v="Conflits liés à GANE (BH)"/>
    <m/>
    <s v="Même arrondissement"/>
    <s v="CMR"/>
    <s v="Cameroun"/>
    <s v="CMR004"/>
    <s v="Extrême-Nord"/>
    <s v="CMR004005"/>
    <s v="Mayo-Sava"/>
    <s v="CMR004005002"/>
    <s v="Mora"/>
  </r>
  <r>
    <s v="Extrême-Nord"/>
    <s v="CMR004"/>
    <x v="4"/>
    <s v="CMR004005"/>
    <x v="17"/>
    <s v="CMR004005002"/>
    <s v="MOR-0079"/>
    <s v="TOUSKI"/>
    <m/>
    <x v="0"/>
    <x v="3"/>
    <n v="7"/>
    <n v="31"/>
    <s v="Conflits liés à GANE (BH)"/>
    <m/>
    <s v="Même arrondissement"/>
    <s v="CMR"/>
    <s v="Cameroun"/>
    <s v="CMR004"/>
    <s v="Extrême-Nord"/>
    <s v="CMR004005"/>
    <s v="Mayo-Sava"/>
    <s v="CMR004005002"/>
    <s v="Mora"/>
  </r>
  <r>
    <s v="Extrême-Nord"/>
    <s v="CMR004"/>
    <x v="4"/>
    <s v="CMR004005"/>
    <x v="17"/>
    <s v="CMR004005002"/>
    <s v="MOR-0079"/>
    <s v="TOUSKI"/>
    <m/>
    <x v="0"/>
    <x v="2"/>
    <n v="0"/>
    <n v="10"/>
    <s v="Conflits liés à GANE (BH)"/>
    <m/>
    <s v="Même arrondissement"/>
    <s v="CMR"/>
    <s v="Cameroun"/>
    <s v="CMR004"/>
    <s v="Extrême-Nord"/>
    <s v="CMR004005"/>
    <s v="Mayo-Sava"/>
    <s v="CMR004005002"/>
    <s v="Mora"/>
  </r>
  <r>
    <s v="Extrême-Nord"/>
    <s v="CMR004"/>
    <x v="4"/>
    <s v="CMR004005"/>
    <x v="17"/>
    <s v="CMR004005002"/>
    <s v="MOR-0074"/>
    <s v="OUMAKA"/>
    <m/>
    <x v="0"/>
    <x v="1"/>
    <n v="197"/>
    <n v="1211"/>
    <s v="Conflits liés à GANE (BH)"/>
    <m/>
    <s v="Même arrondissement"/>
    <s v="CMR"/>
    <s v="Cameroun"/>
    <s v="CMR004"/>
    <s v="Extrême-Nord"/>
    <s v="CMR004005"/>
    <s v="Mayo-Sava"/>
    <s v="CMR004005002"/>
    <s v="Mora"/>
  </r>
  <r>
    <s v="Extrême-Nord"/>
    <s v="CMR004"/>
    <x v="4"/>
    <s v="CMR004005"/>
    <x v="17"/>
    <s v="CMR004005002"/>
    <s v="MOR-0074"/>
    <s v="OUMAKA"/>
    <m/>
    <x v="0"/>
    <x v="4"/>
    <n v="0"/>
    <n v="47"/>
    <s v="Conflits liés à GANE (BH)"/>
    <m/>
    <s v="Même arrondissement"/>
    <s v="CMR"/>
    <s v="Cameroun"/>
    <s v="CMR004"/>
    <s v="Extrême-Nord"/>
    <s v="CMR004005"/>
    <s v="Mayo-Sava"/>
    <s v="CMR004005002"/>
    <s v="Mora"/>
  </r>
  <r>
    <s v="Extrême-Nord"/>
    <s v="CMR004"/>
    <x v="4"/>
    <s v="CMR004005"/>
    <x v="17"/>
    <s v="CMR004005002"/>
    <s v="MOR-0074"/>
    <s v="OUMAKA"/>
    <m/>
    <x v="0"/>
    <x v="3"/>
    <n v="0"/>
    <n v="33"/>
    <s v="Conflits liés à GANE (BH)"/>
    <m/>
    <s v="Même arrondissement"/>
    <s v="CMR"/>
    <s v="Cameroun"/>
    <s v="CMR004"/>
    <s v="Extrême-Nord"/>
    <s v="CMR004005"/>
    <s v="Mayo-Sava"/>
    <s v="CMR004005002"/>
    <s v="Mora"/>
  </r>
  <r>
    <s v="Extrême-Nord"/>
    <s v="CMR004"/>
    <x v="4"/>
    <s v="CMR004005"/>
    <x v="17"/>
    <s v="CMR004005002"/>
    <s v="MOR-0074"/>
    <s v="OUMAKA"/>
    <m/>
    <x v="0"/>
    <x v="2"/>
    <n v="0"/>
    <n v="15"/>
    <s v="Conflits liés à GANE (BH)"/>
    <m/>
    <s v="Même arrondissement"/>
    <s v="CMR"/>
    <s v="Cameroun"/>
    <s v="CMR004"/>
    <s v="Extrême-Nord"/>
    <s v="CMR004005"/>
    <s v="Mayo-Sava"/>
    <s v="CMR004005002"/>
    <s v="Mora"/>
  </r>
  <r>
    <s v="Extrême-Nord"/>
    <s v="CMR004"/>
    <x v="4"/>
    <s v="CMR004005"/>
    <x v="17"/>
    <s v="CMR004005002"/>
    <s v="MOR-0086"/>
    <s v="TAGAWA 2 (DALIL)"/>
    <m/>
    <x v="0"/>
    <x v="0"/>
    <n v="15"/>
    <n v="99"/>
    <s v="Conflits liés à GANE (BH)"/>
    <m/>
    <s v="Même arrondissement"/>
    <s v="CMR"/>
    <s v="Cameroun"/>
    <s v="CMR004"/>
    <s v="Extrême-Nord"/>
    <s v="CMR004005"/>
    <s v="Mayo-Sava"/>
    <s v="CMR004005002"/>
    <s v="Mora"/>
  </r>
  <r>
    <s v="Extrême-Nord"/>
    <s v="CMR004"/>
    <x v="4"/>
    <s v="CMR004005"/>
    <x v="17"/>
    <s v="CMR004005002"/>
    <s v="MOR-0086"/>
    <s v="TAGAWA 2 (DALIL)"/>
    <m/>
    <x v="0"/>
    <x v="3"/>
    <n v="0"/>
    <n v="15"/>
    <s v="Conflits liés à GANE (BH)"/>
    <m/>
    <s v="Même arrondissement"/>
    <s v="CMR"/>
    <s v="Cameroun"/>
    <s v="CMR004"/>
    <s v="Extrême-Nord"/>
    <s v="CMR004005"/>
    <s v="Mayo-Sava"/>
    <s v="CMR004005002"/>
    <s v="Mora"/>
  </r>
  <r>
    <s v="Extrême-Nord"/>
    <s v="CMR004"/>
    <x v="4"/>
    <s v="CMR004005"/>
    <x v="17"/>
    <s v="CMR004005002"/>
    <s v="MOR-0086"/>
    <s v="TAGAWA 2 (DALIL)"/>
    <m/>
    <x v="0"/>
    <x v="2"/>
    <n v="0"/>
    <n v="3"/>
    <s v="Conflits liés à GANE (BH)"/>
    <m/>
    <s v="Même arrondissement"/>
    <s v="CMR"/>
    <s v="Cameroun"/>
    <s v="CMR004"/>
    <s v="Extrême-Nord"/>
    <s v="CMR004005"/>
    <s v="Mayo-Sava"/>
    <s v="CMR004005002"/>
    <s v="Mora"/>
  </r>
  <r>
    <s v="Extrême-Nord"/>
    <s v="CMR004"/>
    <x v="2"/>
    <s v="CMR004002"/>
    <x v="9"/>
    <s v="CMR004002010"/>
    <s v="XXXX"/>
    <s v="SITE DE HILE-ALIFA II"/>
    <s v="SITE DE HILE-ALIFA II"/>
    <x v="0"/>
    <x v="2"/>
    <n v="146"/>
    <n v="1100"/>
    <s v="Conflits liés à GANE (BH)"/>
    <m/>
    <s v="Même arrondissement"/>
    <s v="CMR"/>
    <s v="Cameroun"/>
    <s v="CMR004"/>
    <s v="Extrême-Nord"/>
    <s v="CMR004002"/>
    <s v="Logone-Et-Chari"/>
    <s v="CMR004002010"/>
    <s v="Hile-Alifa"/>
  </r>
  <r>
    <s v="Extrême-Nord"/>
    <s v="CMR004"/>
    <x v="4"/>
    <s v="CMR004005"/>
    <x v="17"/>
    <s v="CMR004005002"/>
    <s v="MOR-0084"/>
    <s v="SITE DE MAGDEME GANAI"/>
    <m/>
    <x v="0"/>
    <x v="1"/>
    <n v="76"/>
    <n v="925"/>
    <s v="Conflits liés à GANE (BH)"/>
    <m/>
    <s v="Même arrondissement"/>
    <s v="CMR"/>
    <s v="Cameroun"/>
    <s v="CMR004"/>
    <s v="Extrême-Nord"/>
    <s v="CMR004005"/>
    <s v="Mayo-Sava"/>
    <s v="CMR004005002"/>
    <s v="Mora"/>
  </r>
  <r>
    <s v="Extrême-Nord"/>
    <s v="CMR004"/>
    <x v="4"/>
    <s v="CMR004005"/>
    <x v="17"/>
    <s v="CMR004005002"/>
    <s v="MOR-0084"/>
    <s v="SITE DE MAGDEME GANAI"/>
    <m/>
    <x v="0"/>
    <x v="4"/>
    <n v="64"/>
    <n v="483"/>
    <s v="Conflits liés à GANE (BH)"/>
    <m/>
    <s v="Même arrondissement"/>
    <s v="CMR"/>
    <s v="Cameroun"/>
    <s v="CMR004"/>
    <s v="Extrême-Nord"/>
    <s v="CMR004005"/>
    <s v="Mayo-Sava"/>
    <s v="CMR004005002"/>
    <s v="Mora"/>
  </r>
  <r>
    <s v="Extrême-Nord"/>
    <s v="CMR004"/>
    <x v="4"/>
    <s v="CMR004005"/>
    <x v="17"/>
    <s v="CMR004005002"/>
    <s v="MOR-0084"/>
    <s v="SITE DE MAGDEME GANAI"/>
    <m/>
    <x v="0"/>
    <x v="3"/>
    <n v="0"/>
    <n v="19"/>
    <s v="Conflits liés à GANE (BH)"/>
    <m/>
    <s v="Même arrondissement"/>
    <s v="CMR"/>
    <s v="Cameroun"/>
    <s v="CMR004"/>
    <s v="Extrême-Nord"/>
    <s v="CMR004005"/>
    <s v="Mayo-Sava"/>
    <s v="CMR004005002"/>
    <s v="Mora"/>
  </r>
  <r>
    <s v="Extrême-Nord"/>
    <s v="CMR004"/>
    <x v="4"/>
    <s v="CMR004005"/>
    <x v="17"/>
    <s v="CMR004005002"/>
    <s v="MOR-0084"/>
    <s v="SITE DE MAGDEME GANAI"/>
    <m/>
    <x v="0"/>
    <x v="2"/>
    <n v="0"/>
    <n v="20"/>
    <s v="Conflits liés à GANE (BH)"/>
    <m/>
    <s v="Même arrondissement"/>
    <s v="CMR"/>
    <s v="Cameroun"/>
    <s v="CMR004"/>
    <s v="Extrême-Nord"/>
    <s v="CMR004005"/>
    <s v="Mayo-Sava"/>
    <s v="CMR004005002"/>
    <s v="Mora"/>
  </r>
  <r>
    <s v="Extrême-Nord"/>
    <s v="CMR004"/>
    <x v="4"/>
    <s v="CMR004005"/>
    <x v="17"/>
    <s v="CMR004005002"/>
    <s v="MOR-0087"/>
    <s v="TAGAWA 3 (MAHAMAT)"/>
    <m/>
    <x v="0"/>
    <x v="0"/>
    <n v="4"/>
    <n v="12"/>
    <s v="Conflits liés à GANE (BH)"/>
    <m/>
    <s v="Même arrondissement"/>
    <s v="CMR"/>
    <s v="Cameroun"/>
    <s v="CMR004"/>
    <s v="Extrême-Nord"/>
    <s v="CMR004005"/>
    <s v="Mayo-Sava"/>
    <s v="CMR004005002"/>
    <s v="Mora"/>
  </r>
  <r>
    <s v="Extrême-Nord"/>
    <s v="CMR004"/>
    <x v="4"/>
    <s v="CMR004005"/>
    <x v="17"/>
    <s v="CMR004005002"/>
    <s v="MOR-0087"/>
    <s v="TAGAWA 3 (MAHAMAT)"/>
    <m/>
    <x v="0"/>
    <x v="4"/>
    <n v="0"/>
    <n v="4"/>
    <s v="Conflits liés à GANE (BH)"/>
    <m/>
    <s v="Même arrondissement"/>
    <s v="CMR"/>
    <s v="Cameroun"/>
    <s v="CMR004"/>
    <s v="Extrême-Nord"/>
    <s v="CMR004005"/>
    <s v="Mayo-Sava"/>
    <s v="CMR004005002"/>
    <s v="Mora"/>
  </r>
  <r>
    <s v="Extrême-Nord"/>
    <s v="CMR004"/>
    <x v="4"/>
    <s v="CMR004005"/>
    <x v="17"/>
    <s v="CMR004005002"/>
    <s v="MOR-0087"/>
    <s v="TAGAWA 3 (MAHAMAT)"/>
    <m/>
    <x v="0"/>
    <x v="2"/>
    <n v="0"/>
    <n v="10"/>
    <s v="Conflits liés à GANE (BH)"/>
    <m/>
    <s v="Même arrondissement"/>
    <s v="CMR"/>
    <s v="Cameroun"/>
    <s v="CMR004"/>
    <s v="Extrême-Nord"/>
    <s v="CMR004005"/>
    <s v="Mayo-Sava"/>
    <s v="CMR004005002"/>
    <s v="Mora"/>
  </r>
  <r>
    <s v="Extrême-Nord"/>
    <s v="CMR004"/>
    <x v="4"/>
    <s v="CMR004005"/>
    <x v="17"/>
    <s v="CMR004005002"/>
    <s v="MOR-0087"/>
    <s v="TAGAWA 3 (MAHAMAT)"/>
    <m/>
    <x v="0"/>
    <x v="3"/>
    <n v="5"/>
    <n v="25"/>
    <s v="Conflits liés à GANE (BH)"/>
    <m/>
    <s v="Même arrondissement"/>
    <s v="CMR"/>
    <s v="Cameroun"/>
    <s v="CMR004"/>
    <s v="Extrême-Nord"/>
    <s v="CMR004005"/>
    <s v="Mayo-Sava"/>
    <s v="CMR004005002"/>
    <s v="Mora"/>
  </r>
  <r>
    <s v="Extrême-Nord"/>
    <s v="CMR004"/>
    <x v="4"/>
    <s v="CMR004005"/>
    <x v="17"/>
    <s v="CMR004005002"/>
    <s v="MOR-0081"/>
    <s v="SITE DE ALAGARNO"/>
    <m/>
    <x v="0"/>
    <x v="1"/>
    <n v="60"/>
    <n v="417"/>
    <s v="Conflits liés à GANE (BH)"/>
    <m/>
    <s v="Même arrondissement"/>
    <s v="CMR"/>
    <s v="Cameroun"/>
    <s v="CMR004"/>
    <s v="Extrême-Nord"/>
    <s v="CMR004005"/>
    <s v="Mayo-Sava"/>
    <s v="CMR004005002"/>
    <s v="Mora"/>
  </r>
  <r>
    <s v="Extrême-Nord"/>
    <s v="CMR004"/>
    <x v="4"/>
    <s v="CMR004005"/>
    <x v="17"/>
    <s v="CMR004005002"/>
    <s v="MOR-0081"/>
    <s v="SITE DE ALAGARNO"/>
    <m/>
    <x v="0"/>
    <x v="4"/>
    <n v="4"/>
    <n v="30"/>
    <s v="Conflits liés à GANE (BH)"/>
    <m/>
    <s v="Même arrondissement"/>
    <s v="CMR"/>
    <s v="Cameroun"/>
    <s v="CMR004"/>
    <s v="Extrême-Nord"/>
    <s v="CMR004005"/>
    <s v="Mayo-Sava"/>
    <s v="CMR004005002"/>
    <s v="Mora"/>
  </r>
  <r>
    <s v="Extrême-Nord"/>
    <s v="CMR004"/>
    <x v="4"/>
    <s v="CMR004005"/>
    <x v="17"/>
    <s v="CMR004005002"/>
    <s v="MOR-0081"/>
    <s v="SITE DE ALAGARNO"/>
    <m/>
    <x v="0"/>
    <x v="3"/>
    <n v="10"/>
    <n v="53"/>
    <s v="Conflits liés à GANE (BH)"/>
    <m/>
    <s v="Même arrondissement"/>
    <s v="CMR"/>
    <s v="Cameroun"/>
    <s v="CMR004"/>
    <s v="Extrême-Nord"/>
    <s v="CMR004005"/>
    <s v="Mayo-Sava"/>
    <s v="CMR004005002"/>
    <s v="Mora"/>
  </r>
  <r>
    <s v="Extrême-Nord"/>
    <s v="CMR004"/>
    <x v="4"/>
    <s v="CMR004005"/>
    <x v="17"/>
    <s v="CMR004005002"/>
    <s v="MOR-0081"/>
    <s v="SITE DE ALAGARNO"/>
    <m/>
    <x v="0"/>
    <x v="2"/>
    <n v="0"/>
    <n v="4"/>
    <s v="Conflits liés à GANE (BH)"/>
    <m/>
    <s v="Même arrondissement"/>
    <s v="CMR"/>
    <s v="Cameroun"/>
    <s v="CMR004"/>
    <s v="Extrême-Nord"/>
    <s v="CMR004005"/>
    <s v="Mayo-Sava"/>
    <s v="CMR004005002"/>
    <s v="Mora"/>
  </r>
  <r>
    <s v="Extrême-Nord"/>
    <s v="CMR004"/>
    <x v="4"/>
    <s v="CMR004005"/>
    <x v="17"/>
    <s v="CMR004005002"/>
    <s v="MOR-0062"/>
    <s v="SITE DE DOUBLE - LINGUIDIWA"/>
    <m/>
    <x v="0"/>
    <x v="0"/>
    <n v="249"/>
    <n v="1688"/>
    <s v="Conflits liés à GANE (BH)"/>
    <m/>
    <s v="Même arrondissement"/>
    <s v="CMR"/>
    <s v="Cameroun"/>
    <s v="CMR004"/>
    <s v="Extrême-Nord"/>
    <s v="CMR004005"/>
    <s v="Mayo-Sava"/>
    <s v="CMR004005002"/>
    <s v="Mora"/>
  </r>
  <r>
    <s v="Extrême-Nord"/>
    <s v="CMR004"/>
    <x v="4"/>
    <s v="CMR004005"/>
    <x v="17"/>
    <s v="CMR004005002"/>
    <s v="MOR-0062"/>
    <s v="SITE DE DOUBLE - LINGUIDIWA"/>
    <m/>
    <x v="0"/>
    <x v="1"/>
    <n v="1"/>
    <n v="2"/>
    <s v="Conflits liés à GANE (BH)"/>
    <m/>
    <s v="Même arrondissement"/>
    <s v="CMR"/>
    <s v="Cameroun"/>
    <s v="CMR004"/>
    <s v="Extrême-Nord"/>
    <s v="CMR004005"/>
    <s v="Mayo-Sava"/>
    <s v="CMR004005002"/>
    <s v="Mora"/>
  </r>
  <r>
    <s v="Extrême-Nord"/>
    <s v="CMR004"/>
    <x v="4"/>
    <s v="CMR004005"/>
    <x v="17"/>
    <s v="CMR004005002"/>
    <s v="MOR-0062"/>
    <s v="SITE DE DOUBLE - LINGUIDIWA"/>
    <m/>
    <x v="0"/>
    <x v="4"/>
    <n v="6"/>
    <n v="44"/>
    <s v="Conflits liés à GANE (BH)"/>
    <m/>
    <s v="Même arrondissement"/>
    <s v="CMR"/>
    <s v="Cameroun"/>
    <s v="CMR004"/>
    <s v="Extrême-Nord"/>
    <s v="CMR004005"/>
    <s v="Mayo-Sava"/>
    <s v="CMR004005002"/>
    <s v="Mora"/>
  </r>
  <r>
    <s v="Extrême-Nord"/>
    <s v="CMR004"/>
    <x v="4"/>
    <s v="CMR004005"/>
    <x v="17"/>
    <s v="CMR004005002"/>
    <s v="MOR-0062"/>
    <s v="SITE DE DOUBLE - LINGUIDIWA"/>
    <m/>
    <x v="0"/>
    <x v="3"/>
    <n v="0"/>
    <n v="19"/>
    <s v="Conflits liés à GANE (BH)"/>
    <m/>
    <s v="Même arrondissement"/>
    <s v="CMR"/>
    <s v="Cameroun"/>
    <s v="CMR004"/>
    <s v="Extrême-Nord"/>
    <s v="CMR004005"/>
    <s v="Mayo-Sava"/>
    <s v="CMR004005002"/>
    <s v="Mora"/>
  </r>
  <r>
    <s v="Extrême-Nord"/>
    <s v="CMR004"/>
    <x v="4"/>
    <s v="CMR004005"/>
    <x v="17"/>
    <s v="CMR004005002"/>
    <s v="MOR-0062"/>
    <s v="SITE DE DOUBLE - LINGUIDIWA"/>
    <m/>
    <x v="0"/>
    <x v="2"/>
    <n v="0"/>
    <n v="8"/>
    <s v="Conflits liés à GANE (BH)"/>
    <m/>
    <s v="Même arrondissement"/>
    <s v="CMR"/>
    <s v="Cameroun"/>
    <s v="CMR004"/>
    <s v="Extrême-Nord"/>
    <s v="CMR004005"/>
    <s v="Mayo-Sava"/>
    <s v="CMR004005002"/>
    <s v="Mora"/>
  </r>
  <r>
    <s v="Extrême-Nord"/>
    <s v="CMR004"/>
    <x v="4"/>
    <s v="CMR004005"/>
    <x v="17"/>
    <s v="CMR004005002"/>
    <s v="MOR-0047"/>
    <s v="SITE DE MEME - BIA"/>
    <m/>
    <x v="0"/>
    <x v="0"/>
    <n v="64"/>
    <n v="169"/>
    <s v="Conflits liés à GANE (BH)"/>
    <m/>
    <s v="Même arrondissement"/>
    <s v="CMR"/>
    <s v="Cameroun"/>
    <s v="CMR004"/>
    <s v="Extrême-Nord"/>
    <s v="CMR004005"/>
    <s v="Mayo-Sava"/>
    <s v="CMR004005002"/>
    <s v="Mora"/>
  </r>
  <r>
    <s v="Extrême-Nord"/>
    <s v="CMR004"/>
    <x v="4"/>
    <s v="CMR004005"/>
    <x v="17"/>
    <s v="CMR004005002"/>
    <s v="MOR-0047"/>
    <s v="SITE DE MEME - BIA"/>
    <m/>
    <x v="0"/>
    <x v="1"/>
    <n v="16"/>
    <n v="58"/>
    <s v="Conflits liés à GANE (BH)"/>
    <m/>
    <s v="Même arrondissement"/>
    <s v="CMR"/>
    <s v="Cameroun"/>
    <s v="CMR004"/>
    <s v="Extrême-Nord"/>
    <s v="CMR004005"/>
    <s v="Mayo-Sava"/>
    <s v="CMR004005002"/>
    <s v="Mora"/>
  </r>
  <r>
    <s v="Extrême-Nord"/>
    <s v="CMR004"/>
    <x v="4"/>
    <s v="CMR004005"/>
    <x v="17"/>
    <s v="CMR004005002"/>
    <s v="MOR-0047"/>
    <s v="SITE DE MEME - BIA"/>
    <m/>
    <x v="0"/>
    <x v="4"/>
    <n v="7"/>
    <n v="69"/>
    <s v="Conflits liés à GANE (BH)"/>
    <m/>
    <s v="Même arrondissement"/>
    <s v="CMR"/>
    <s v="Cameroun"/>
    <s v="CMR004"/>
    <s v="Extrême-Nord"/>
    <s v="CMR004005"/>
    <s v="Mayo-Sava"/>
    <s v="CMR004005002"/>
    <s v="Mora"/>
  </r>
  <r>
    <s v="Extrême-Nord"/>
    <s v="CMR004"/>
    <x v="4"/>
    <s v="CMR004005"/>
    <x v="17"/>
    <s v="CMR004005002"/>
    <s v="MOR-0047"/>
    <s v="SITE DE MEME - BIA"/>
    <m/>
    <x v="0"/>
    <x v="3"/>
    <n v="6"/>
    <n v="28"/>
    <s v="Conflits liés à GANE (BH)"/>
    <m/>
    <s v="Même arrondissement"/>
    <s v="CMR"/>
    <s v="Cameroun"/>
    <s v="CMR004"/>
    <s v="Extrême-Nord"/>
    <s v="CMR004005"/>
    <s v="Mayo-Sava"/>
    <s v="CMR004005002"/>
    <s v="Mora"/>
  </r>
  <r>
    <s v="Extrême-Nord"/>
    <s v="CMR004"/>
    <x v="4"/>
    <s v="CMR004005"/>
    <x v="17"/>
    <s v="CMR004005002"/>
    <s v="MOR-0047"/>
    <s v="SITE DE MEME - BIA"/>
    <m/>
    <x v="0"/>
    <x v="2"/>
    <n v="1"/>
    <n v="11"/>
    <s v="Conflits liés à GANE (BH)"/>
    <m/>
    <s v="Même arrondissement"/>
    <s v="CMR"/>
    <s v="Cameroun"/>
    <s v="CMR004"/>
    <s v="Extrême-Nord"/>
    <s v="CMR004005"/>
    <s v="Mayo-Sava"/>
    <s v="CMR004005002"/>
    <s v="Mora"/>
  </r>
  <r>
    <s v="Extrême-Nord"/>
    <s v="CMR004"/>
    <x v="4"/>
    <s v="CMR004005"/>
    <x v="17"/>
    <s v="CMR004005002"/>
    <s v="MOR-0045"/>
    <s v="SITE DE MEME - IGAWA 2"/>
    <m/>
    <x v="0"/>
    <x v="0"/>
    <n v="127"/>
    <n v="488"/>
    <s v="Conflits liés à GANE (BH)"/>
    <m/>
    <s v="Même arrondissement"/>
    <s v="CMR"/>
    <s v="Cameroun"/>
    <s v="CMR004"/>
    <s v="Extrême-Nord"/>
    <s v="CMR004005"/>
    <s v="Mayo-Sava"/>
    <s v="CMR004005002"/>
    <s v="Mora"/>
  </r>
  <r>
    <s v="Extrême-Nord"/>
    <s v="CMR004"/>
    <x v="4"/>
    <s v="CMR004005"/>
    <x v="17"/>
    <s v="CMR004005002"/>
    <s v="MOR-0045"/>
    <s v="SITE DE MEME - IGAWA 2"/>
    <m/>
    <x v="0"/>
    <x v="1"/>
    <n v="0"/>
    <n v="16"/>
    <s v="Conflits liés à GANE (BH)"/>
    <m/>
    <s v="Même arrondissement"/>
    <s v="CMR"/>
    <s v="Cameroun"/>
    <s v="CMR004"/>
    <s v="Extrême-Nord"/>
    <s v="CMR004005"/>
    <s v="Mayo-Sava"/>
    <s v="CMR004005002"/>
    <s v="Mora"/>
  </r>
  <r>
    <s v="Extrême-Nord"/>
    <s v="CMR004"/>
    <x v="4"/>
    <s v="CMR004005"/>
    <x v="17"/>
    <s v="CMR004005002"/>
    <s v="MOR-0045"/>
    <s v="SITE DE MEME - IGAWA 2"/>
    <m/>
    <x v="0"/>
    <x v="4"/>
    <n v="5"/>
    <n v="69"/>
    <s v="Conflits liés à GANE (BH)"/>
    <m/>
    <s v="Même arrondissement"/>
    <s v="CMR"/>
    <s v="Cameroun"/>
    <s v="CMR004"/>
    <s v="Extrême-Nord"/>
    <s v="CMR004005"/>
    <s v="Mayo-Sava"/>
    <s v="CMR004005002"/>
    <s v="Mora"/>
  </r>
  <r>
    <s v="Extrême-Nord"/>
    <s v="CMR004"/>
    <x v="4"/>
    <s v="CMR004005"/>
    <x v="17"/>
    <s v="CMR004005002"/>
    <s v="MOR-0045"/>
    <s v="SITE DE MEME - IGAWA 2"/>
    <m/>
    <x v="0"/>
    <x v="3"/>
    <n v="1"/>
    <n v="19"/>
    <s v="Conflits liés à GANE (BH)"/>
    <m/>
    <s v="Même arrondissement"/>
    <s v="CMR"/>
    <s v="Cameroun"/>
    <s v="CMR004"/>
    <s v="Extrême-Nord"/>
    <s v="CMR004005"/>
    <s v="Mayo-Sava"/>
    <s v="CMR004005002"/>
    <s v="Mora"/>
  </r>
  <r>
    <s v="Extrême-Nord"/>
    <s v="CMR004"/>
    <x v="4"/>
    <s v="CMR004005"/>
    <x v="17"/>
    <s v="CMR004005002"/>
    <s v="MOR-0045"/>
    <s v="SITE DE MEME - IGAWA 2"/>
    <m/>
    <x v="0"/>
    <x v="2"/>
    <n v="0"/>
    <n v="12"/>
    <s v="Conflits liés à GANE (BH)"/>
    <m/>
    <s v="Même arrondissement"/>
    <s v="CMR"/>
    <s v="Cameroun"/>
    <s v="CMR004"/>
    <s v="Extrême-Nord"/>
    <s v="CMR004005"/>
    <s v="Mayo-Sava"/>
    <s v="CMR004005002"/>
    <s v="Mora"/>
  </r>
  <r>
    <s v="Extrême-Nord"/>
    <s v="CMR004"/>
    <x v="4"/>
    <s v="CMR004005"/>
    <x v="17"/>
    <s v="CMR004005002"/>
    <s v="MOR-0048"/>
    <s v="SITE DE MEME - ALDJE 2"/>
    <m/>
    <x v="0"/>
    <x v="0"/>
    <n v="31"/>
    <n v="192"/>
    <s v="Conflits liés à GANE (BH)"/>
    <m/>
    <s v="Même arrondissement"/>
    <s v="CMR"/>
    <s v="Cameroun"/>
    <s v="CMR004"/>
    <s v="Extrême-Nord"/>
    <s v="CMR004005"/>
    <s v="Mayo-Sava"/>
    <s v="CMR004005002"/>
    <s v="Mora"/>
  </r>
  <r>
    <s v="Extrême-Nord"/>
    <s v="CMR004"/>
    <x v="4"/>
    <s v="CMR004005"/>
    <x v="17"/>
    <s v="CMR004005002"/>
    <s v="MOR-0048"/>
    <s v="SITE DE MEME - ALDJE 2"/>
    <m/>
    <x v="0"/>
    <x v="1"/>
    <n v="3"/>
    <n v="16"/>
    <s v="Conflits liés à GANE (BH)"/>
    <m/>
    <s v="Même arrondissement"/>
    <s v="CMR"/>
    <s v="Cameroun"/>
    <s v="CMR004"/>
    <s v="Extrême-Nord"/>
    <s v="CMR004005"/>
    <s v="Mayo-Sava"/>
    <s v="CMR004005002"/>
    <s v="Mora"/>
  </r>
  <r>
    <s v="Extrême-Nord"/>
    <s v="CMR004"/>
    <x v="4"/>
    <s v="CMR004005"/>
    <x v="17"/>
    <s v="CMR004005002"/>
    <s v="MOR-0048"/>
    <s v="SITE DE MEME - ALDJE 2"/>
    <m/>
    <x v="0"/>
    <x v="4"/>
    <n v="4"/>
    <n v="38"/>
    <s v="Conflits liés à GANE (BH)"/>
    <m/>
    <s v="Même arrondissement"/>
    <s v="CMR"/>
    <s v="Cameroun"/>
    <s v="CMR004"/>
    <s v="Extrême-Nord"/>
    <s v="CMR004005"/>
    <s v="Mayo-Sava"/>
    <s v="CMR004005002"/>
    <s v="Mora"/>
  </r>
  <r>
    <s v="Extrême-Nord"/>
    <s v="CMR004"/>
    <x v="4"/>
    <s v="CMR004005"/>
    <x v="17"/>
    <s v="CMR004005002"/>
    <s v="MOR-0048"/>
    <s v="SITE DE MEME - ALDJE 2"/>
    <m/>
    <x v="0"/>
    <x v="3"/>
    <n v="2"/>
    <n v="14"/>
    <s v="Conflits liés à GANE (BH)"/>
    <m/>
    <s v="Même arrondissement"/>
    <s v="CMR"/>
    <s v="Cameroun"/>
    <s v="CMR004"/>
    <s v="Extrême-Nord"/>
    <s v="CMR004005"/>
    <s v="Mayo-Sava"/>
    <s v="CMR004005002"/>
    <s v="Mora"/>
  </r>
  <r>
    <s v="Extrême-Nord"/>
    <s v="CMR004"/>
    <x v="4"/>
    <s v="CMR004005"/>
    <x v="17"/>
    <s v="CMR004005002"/>
    <s v="MOR-0048"/>
    <s v="SITE DE MEME - ALDJE 2"/>
    <m/>
    <x v="0"/>
    <x v="2"/>
    <n v="1"/>
    <n v="13"/>
    <s v="Conflits liés à GANE (BH)"/>
    <m/>
    <s v="Même arrondissement"/>
    <s v="CMR"/>
    <s v="Cameroun"/>
    <s v="CMR004"/>
    <s v="Extrême-Nord"/>
    <s v="CMR004005"/>
    <s v="Mayo-Sava"/>
    <s v="CMR004005002"/>
    <s v="Mora"/>
  </r>
  <r>
    <s v="Extrême-Nord"/>
    <s v="CMR004"/>
    <x v="4"/>
    <s v="CMR004005"/>
    <x v="17"/>
    <s v="CMR004005002"/>
    <s v="MOR-0022"/>
    <s v="MASSARE 2"/>
    <m/>
    <x v="0"/>
    <x v="0"/>
    <n v="125"/>
    <n v="162"/>
    <s v="Conflits liés à GANE (BH)"/>
    <m/>
    <s v="Même arrondissement"/>
    <s v="CMR"/>
    <s v="Cameroun"/>
    <s v="CMR004"/>
    <s v="Extrême-Nord"/>
    <s v="CMR004005"/>
    <s v="Mayo-Sava"/>
    <s v="CMR004005002"/>
    <s v="Mora"/>
  </r>
  <r>
    <s v="Extrême-Nord"/>
    <s v="CMR004"/>
    <x v="4"/>
    <s v="CMR004005"/>
    <x v="17"/>
    <s v="CMR004005002"/>
    <s v="MOR-0022"/>
    <s v="MASSARE 2"/>
    <m/>
    <x v="0"/>
    <x v="1"/>
    <n v="64"/>
    <n v="441"/>
    <s v="Conflits liés à GANE (BH)"/>
    <m/>
    <s v="Même arrondissement"/>
    <s v="CMR"/>
    <s v="Cameroun"/>
    <s v="CMR004"/>
    <s v="Extrême-Nord"/>
    <s v="CMR004005"/>
    <s v="Mayo-Sava"/>
    <s v="CMR004005002"/>
    <s v="Mora"/>
  </r>
  <r>
    <s v="Extrême-Nord"/>
    <s v="CMR004"/>
    <x v="4"/>
    <s v="CMR004005"/>
    <x v="17"/>
    <s v="CMR004005002"/>
    <s v="MOR-0022"/>
    <s v="MASSARE 2"/>
    <m/>
    <x v="0"/>
    <x v="4"/>
    <n v="0"/>
    <n v="41"/>
    <s v="Conflits liés à GANE (BH)"/>
    <m/>
    <s v="Même arrondissement"/>
    <s v="CMR"/>
    <s v="Cameroun"/>
    <s v="CMR004"/>
    <s v="Extrême-Nord"/>
    <s v="CMR004005"/>
    <s v="Mayo-Sava"/>
    <s v="CMR004005002"/>
    <s v="Mora"/>
  </r>
  <r>
    <s v="Extrême-Nord"/>
    <s v="CMR004"/>
    <x v="4"/>
    <s v="CMR004005"/>
    <x v="17"/>
    <s v="CMR004005002"/>
    <s v="MOR-0022"/>
    <s v="MASSARE 2"/>
    <m/>
    <x v="0"/>
    <x v="3"/>
    <n v="3"/>
    <n v="39"/>
    <s v="Conflits liés à GANE (BH)"/>
    <m/>
    <s v="Même arrondissement"/>
    <s v="CMR"/>
    <s v="Cameroun"/>
    <s v="CMR004"/>
    <s v="Extrême-Nord"/>
    <s v="CMR004005"/>
    <s v="Mayo-Sava"/>
    <s v="CMR004005002"/>
    <s v="Mora"/>
  </r>
  <r>
    <s v="Extrême-Nord"/>
    <s v="CMR004"/>
    <x v="4"/>
    <s v="CMR004005"/>
    <x v="17"/>
    <s v="CMR004005002"/>
    <s v="MOR-0022"/>
    <s v="MASSARE 2"/>
    <m/>
    <x v="0"/>
    <x v="2"/>
    <n v="5"/>
    <n v="57"/>
    <s v="Conflits liés à GANE (BH)"/>
    <m/>
    <s v="Même arrondissement"/>
    <s v="CMR"/>
    <s v="Cameroun"/>
    <s v="CMR004"/>
    <s v="Extrême-Nord"/>
    <s v="CMR004005"/>
    <s v="Mayo-Sava"/>
    <s v="CMR004005002"/>
    <s v="Mora"/>
  </r>
  <r>
    <s v="Extrême-Nord"/>
    <s v="CMR004"/>
    <x v="4"/>
    <s v="CMR004005"/>
    <x v="19"/>
    <s v="CMR004005001"/>
    <s v="KOL-0034"/>
    <s v="SITE DE GREYA"/>
    <m/>
    <x v="0"/>
    <x v="4"/>
    <n v="30"/>
    <n v="261"/>
    <s v="Conflits liés à GANE (BH)"/>
    <m/>
    <s v="Même arrondissement"/>
    <s v="CMR"/>
    <s v="Cameroun"/>
    <s v="CMR004"/>
    <s v="Extrême-Nord"/>
    <s v="CMR004005"/>
    <s v="Mayo-Sava"/>
    <s v="CMR004005001"/>
    <s v="Kolofata"/>
  </r>
  <r>
    <s v="Extrême-Nord"/>
    <s v="CMR004"/>
    <x v="4"/>
    <s v="CMR004005"/>
    <x v="19"/>
    <s v="CMR004005001"/>
    <s v="KOL-0034"/>
    <s v="SITE DE GREYA"/>
    <m/>
    <x v="0"/>
    <x v="3"/>
    <n v="85"/>
    <n v="537"/>
    <s v="Conflits liés à GANE (BH)"/>
    <m/>
    <s v="Même arrondissement"/>
    <s v="CMR"/>
    <s v="Cameroun"/>
    <s v="CMR004"/>
    <s v="Extrême-Nord"/>
    <s v="CMR004005"/>
    <s v="Mayo-Sava"/>
    <s v="CMR004005001"/>
    <s v="Kolofata"/>
  </r>
  <r>
    <s v="Extrême-Nord"/>
    <s v="CMR004"/>
    <x v="4"/>
    <s v="CMR004005"/>
    <x v="19"/>
    <s v="CMR004005001"/>
    <s v="KOL-0034"/>
    <s v="SITE DE GREYA"/>
    <m/>
    <x v="0"/>
    <x v="2"/>
    <n v="58"/>
    <n v="500"/>
    <s v="Conflits liés à GANE (BH)"/>
    <m/>
    <s v="Même arrondissement"/>
    <s v="CMR"/>
    <s v="Cameroun"/>
    <s v="CMR004"/>
    <s v="Extrême-Nord"/>
    <s v="CMR004005"/>
    <s v="Mayo-Sava"/>
    <s v="CMR004005001"/>
    <s v="Kolofata"/>
  </r>
  <r>
    <s v="Extrême-Nord"/>
    <s v="CMR004"/>
    <x v="2"/>
    <s v="CMR004002"/>
    <x v="15"/>
    <s v="CMR004002004"/>
    <s v="LBI-0006"/>
    <s v="GACHALMEDIK"/>
    <m/>
    <x v="0"/>
    <x v="0"/>
    <n v="65"/>
    <n v="276"/>
    <s v="Conflits liés à GANE (BH)"/>
    <m/>
    <s v="Même arrondissement"/>
    <s v="CMR"/>
    <s v="Cameroun"/>
    <s v="CMR004"/>
    <s v="Extrême-Nord"/>
    <s v="CMR004002"/>
    <s v="Logone-Et-Chari"/>
    <s v="CMR004002004"/>
    <s v="Logone-Birni"/>
  </r>
  <r>
    <s v="Extrême-Nord"/>
    <s v="CMR004"/>
    <x v="2"/>
    <s v="CMR004002"/>
    <x v="15"/>
    <s v="CMR004002004"/>
    <s v="LBI-0040"/>
    <s v="SITE DE TILDE"/>
    <m/>
    <x v="0"/>
    <x v="0"/>
    <n v="145"/>
    <n v="1259"/>
    <s v="Conflits liés à GANE (BH)"/>
    <m/>
    <s v="Même arrondissement"/>
    <s v="CMR"/>
    <s v="Cameroun"/>
    <s v="CMR004"/>
    <s v="Extrême-Nord"/>
    <s v="CMR004002"/>
    <s v="Logone-Et-Chari"/>
    <s v="CMR004002004"/>
    <s v="Logone-Birni"/>
  </r>
  <r>
    <s v="Extrême-Nord"/>
    <s v="CMR004"/>
    <x v="2"/>
    <s v="CMR004002"/>
    <x v="15"/>
    <s v="CMR004002004"/>
    <s v="LBI-0040"/>
    <s v="SITE DE TILDE"/>
    <m/>
    <x v="0"/>
    <x v="1"/>
    <n v="8"/>
    <n v="73"/>
    <s v="Conflits liés à GANE (BH)"/>
    <m/>
    <s v="Même arrondissement"/>
    <s v="CMR"/>
    <s v="Cameroun"/>
    <s v="CMR004"/>
    <s v="Extrême-Nord"/>
    <s v="CMR004002"/>
    <s v="Logone-Et-Chari"/>
    <s v="CMR004002004"/>
    <s v="Logone-Birni"/>
  </r>
  <r>
    <s v="Extrême-Nord"/>
    <s v="CMR004"/>
    <x v="2"/>
    <s v="CMR004002"/>
    <x v="15"/>
    <s v="CMR004002004"/>
    <s v="LBI-0039"/>
    <s v="LABADO"/>
    <m/>
    <x v="0"/>
    <x v="0"/>
    <n v="35"/>
    <n v="355"/>
    <s v="Conflits liés à GANE (BH)"/>
    <m/>
    <s v="Même arrondissement"/>
    <s v="CMR"/>
    <s v="Cameroun"/>
    <s v="CMR004"/>
    <s v="Extrême-Nord"/>
    <s v="CMR004002"/>
    <s v="Logone-Et-Chari"/>
    <s v="CMR004002004"/>
    <s v="Logone-Birni"/>
  </r>
  <r>
    <s v="Extrême-Nord"/>
    <s v="CMR004"/>
    <x v="2"/>
    <s v="CMR004002"/>
    <x v="15"/>
    <s v="CMR004002004"/>
    <s v="LBI-0039"/>
    <s v="LABADO"/>
    <m/>
    <x v="0"/>
    <x v="1"/>
    <n v="0"/>
    <n v="15"/>
    <s v="Conflits liés à GANE (BH)"/>
    <m/>
    <s v="Même arrondissement"/>
    <s v="CMR"/>
    <s v="Cameroun"/>
    <s v="CMR004"/>
    <s v="Extrême-Nord"/>
    <s v="CMR004002"/>
    <s v="Logone-Et-Chari"/>
    <s v="CMR004002004"/>
    <s v="Logone-Birni"/>
  </r>
  <r>
    <s v="Extrême-Nord"/>
    <s v="CMR004"/>
    <x v="2"/>
    <s v="CMR004002"/>
    <x v="15"/>
    <s v="CMR004002004"/>
    <s v="LBI-0045"/>
    <s v="DABANGA 1"/>
    <m/>
    <x v="0"/>
    <x v="0"/>
    <n v="81"/>
    <n v="635"/>
    <s v="Conflits liés à GANE (BH)"/>
    <m/>
    <s v="Même arrondissement"/>
    <s v="CMR"/>
    <s v="Cameroun"/>
    <s v="CMR004"/>
    <s v="Extrême-Nord"/>
    <s v="CMR004002"/>
    <s v="Logone-Et-Chari"/>
    <s v="CMR004002004"/>
    <s v="Logone-Birni"/>
  </r>
  <r>
    <s v="Extrême-Nord"/>
    <s v="CMR004"/>
    <x v="5"/>
    <s v="CMR004004"/>
    <x v="20"/>
    <s v="CMR004004006"/>
    <s v="KAE-0014"/>
    <s v="WINDEO"/>
    <m/>
    <x v="0"/>
    <x v="0"/>
    <n v="18"/>
    <n v="87"/>
    <s v="Conflits liés à GANE (BH)"/>
    <m/>
    <s v="Autre département"/>
    <s v="CMR"/>
    <s v="Cameroun"/>
    <s v="CMR004"/>
    <s v="Extrême-Nord"/>
    <s v="CMR004005"/>
    <s v="Mayo-Sava"/>
    <m/>
    <m/>
  </r>
  <r>
    <s v="Extrême-Nord"/>
    <s v="CMR004"/>
    <x v="5"/>
    <s v="CMR004004"/>
    <x v="21"/>
    <s v="CMR004004007"/>
    <s v="MIN-0003"/>
    <s v="MINDIF CENTRE"/>
    <m/>
    <x v="0"/>
    <x v="0"/>
    <n v="11"/>
    <n v="48"/>
    <s v="Conflits liés à GANE (BH)"/>
    <m/>
    <s v="Autre département"/>
    <s v="CMR"/>
    <s v="Cameroun"/>
    <s v="CMR004"/>
    <s v="Extrême-Nord"/>
    <s v="CMR004005"/>
    <s v="Mayo-Sava"/>
    <m/>
    <m/>
  </r>
  <r>
    <s v="Extrême-Nord"/>
    <s v="CMR004"/>
    <x v="2"/>
    <s v="CMR004002"/>
    <x v="13"/>
    <s v="CMR004002001"/>
    <s v="WAZ-0020"/>
    <s v="TOUNGA"/>
    <m/>
    <x v="0"/>
    <x v="3"/>
    <n v="9"/>
    <n v="46"/>
    <s v="Conflit intercommunautaire"/>
    <m/>
    <s v="Même département, autre arrondissement"/>
    <s v="CMR"/>
    <s v="Cameroun"/>
    <s v="CMR004"/>
    <s v="Extrême-Nord"/>
    <s v="CMR004002"/>
    <s v="Logone-Et-Chari"/>
    <s v="CMR004002004"/>
    <s v="Logone-Birni"/>
  </r>
  <r>
    <s v="Extrême-Nord"/>
    <s v="CMR004"/>
    <x v="2"/>
    <s v="CMR004002"/>
    <x v="13"/>
    <s v="CMR004002001"/>
    <s v="WAZ-0020"/>
    <s v="TOUNGA"/>
    <m/>
    <x v="0"/>
    <x v="2"/>
    <n v="0"/>
    <n v="6"/>
    <s v="Conflit intercommunautaire"/>
    <m/>
    <s v="Même département, autre arrondissement"/>
    <s v="CMR"/>
    <s v="Cameroun"/>
    <s v="CMR004"/>
    <s v="Extrême-Nord"/>
    <s v="CMR004002"/>
    <s v="Logone-Et-Chari"/>
    <s v="CMR004002004"/>
    <s v="Logone-Birni"/>
  </r>
  <r>
    <s v="Extrême-Nord"/>
    <s v="CMR004"/>
    <x v="2"/>
    <s v="CMR004002"/>
    <x v="13"/>
    <s v="CMR004002001"/>
    <s v="XXXX"/>
    <s v="MALIA"/>
    <s v="MALIA"/>
    <x v="0"/>
    <x v="3"/>
    <n v="15"/>
    <n v="68"/>
    <s v="Conflits liés à GANE (BH)"/>
    <m/>
    <s v="Même arrondissement"/>
    <s v="CMR"/>
    <s v="Cameroun"/>
    <s v="CMR004"/>
    <s v="Extrême-Nord"/>
    <s v="CMR004002"/>
    <s v="Logone-Et-Chari"/>
    <s v="CMR004002001"/>
    <s v="Waza"/>
  </r>
  <r>
    <s v="Extrême-Nord"/>
    <s v="CMR004"/>
    <x v="2"/>
    <s v="CMR004002"/>
    <x v="13"/>
    <s v="CMR004002001"/>
    <s v="XXXX"/>
    <s v="MALIA"/>
    <s v="MALIA"/>
    <x v="0"/>
    <x v="2"/>
    <n v="7"/>
    <n v="36"/>
    <s v="Conflit intercommunautaire"/>
    <m/>
    <s v="Même département, autre arrondissement"/>
    <s v="CMR"/>
    <s v="Cameroun"/>
    <s v="CMR004"/>
    <s v="Extrême-Nord"/>
    <s v="CMR004002"/>
    <s v="Logone-Et-Chari"/>
    <s v="CMR004002004"/>
    <s v="Logone-Birni"/>
  </r>
  <r>
    <s v="Extrême-Nord"/>
    <s v="CMR004"/>
    <x v="2"/>
    <s v="CMR004002"/>
    <x v="13"/>
    <s v="CMR004002001"/>
    <s v="XXXX"/>
    <s v="MALIA"/>
    <s v="MALIA"/>
    <x v="0"/>
    <x v="0"/>
    <n v="0"/>
    <n v="5"/>
    <s v="Conflits liés à GANE (BH)"/>
    <m/>
    <s v="Même arrondissement"/>
    <s v="CMR"/>
    <s v="Cameroun"/>
    <s v="CMR004"/>
    <s v="Extrême-Nord"/>
    <s v="CMR004002"/>
    <s v="Logone-Et-Chari"/>
    <s v="CMR004002001"/>
    <s v="Waza"/>
  </r>
  <r>
    <s v="Extrême-Nord"/>
    <s v="CMR004"/>
    <x v="4"/>
    <s v="CMR004005"/>
    <x v="19"/>
    <s v="CMR004005001"/>
    <s v="KOL-0018"/>
    <s v="SITE DE KOLOFATA - BLAKODJI"/>
    <m/>
    <x v="0"/>
    <x v="4"/>
    <n v="279"/>
    <n v="2285"/>
    <s v="Conflits liés à GANE (BH)"/>
    <m/>
    <s v="Même arrondissement"/>
    <s v="CMR"/>
    <s v="Cameroun"/>
    <s v="CMR004"/>
    <s v="Extrême-Nord"/>
    <s v="CMR004005"/>
    <s v="Mayo-Sava"/>
    <s v="CMR004005001"/>
    <s v="Kolofata"/>
  </r>
  <r>
    <s v="Extrême-Nord"/>
    <s v="CMR004"/>
    <x v="4"/>
    <s v="CMR004005"/>
    <x v="19"/>
    <s v="CMR004005001"/>
    <s v="KOL-0018"/>
    <s v="SITE DE KOLOFATA - BLAKODJI"/>
    <m/>
    <x v="0"/>
    <x v="3"/>
    <n v="2"/>
    <n v="35"/>
    <s v="Conflits liés à GANE (BH)"/>
    <m/>
    <s v="Même arrondissement"/>
    <s v="CMR"/>
    <s v="Cameroun"/>
    <s v="CMR004"/>
    <s v="Extrême-Nord"/>
    <s v="CMR004005"/>
    <s v="Mayo-Sava"/>
    <s v="CMR004005001"/>
    <s v="Kolofata"/>
  </r>
  <r>
    <s v="Extrême-Nord"/>
    <s v="CMR004"/>
    <x v="4"/>
    <s v="CMR004005"/>
    <x v="19"/>
    <s v="CMR004005001"/>
    <s v="KOL-0018"/>
    <s v="SITE DE KOLOFATA - BLAKODJI"/>
    <m/>
    <x v="0"/>
    <x v="2"/>
    <n v="34"/>
    <n v="288"/>
    <s v="Conflits liés à GANE (BH)"/>
    <m/>
    <s v="Même arrondissement"/>
    <s v="CMR"/>
    <s v="Cameroun"/>
    <s v="CMR004"/>
    <s v="Extrême-Nord"/>
    <s v="CMR004005"/>
    <s v="Mayo-Sava"/>
    <s v="CMR004005001"/>
    <s v="Kolofata"/>
  </r>
  <r>
    <s v="Extrême-Nord"/>
    <s v="CMR004"/>
    <x v="2"/>
    <s v="CMR004002"/>
    <x v="8"/>
    <s v="CMR004002009"/>
    <s v="MAK-0046"/>
    <s v="KAOUSSE"/>
    <m/>
    <x v="0"/>
    <x v="0"/>
    <n v="10"/>
    <n v="66"/>
    <s v="Conflits liés à GANE (BH)"/>
    <m/>
    <s v="Même département, autre arrondissement"/>
    <s v="CMR"/>
    <s v="Cameroun"/>
    <s v="CMR004"/>
    <s v="Extrême-Nord"/>
    <s v="CMR004002"/>
    <s v="Logone-Et-Chari"/>
    <s v="CMR004002008"/>
    <s v="Fotokol"/>
  </r>
  <r>
    <s v="Extrême-Nord"/>
    <s v="CMR004"/>
    <x v="2"/>
    <s v="CMR004002"/>
    <x v="8"/>
    <s v="CMR004002009"/>
    <s v="MAK-0046"/>
    <s v="KAOUSSE"/>
    <m/>
    <x v="0"/>
    <x v="4"/>
    <n v="10"/>
    <n v="55"/>
    <s v="Conflits liés à GANE (BH)"/>
    <m/>
    <s v="Même département, autre arrondissement"/>
    <s v="CMR"/>
    <s v="Cameroun"/>
    <s v="CMR004"/>
    <s v="Extrême-Nord"/>
    <s v="CMR004002"/>
    <s v="Logone-Et-Chari"/>
    <s v="CMR004002008"/>
    <s v="Fotokol"/>
  </r>
  <r>
    <s v="Extrême-Nord"/>
    <s v="CMR004"/>
    <x v="2"/>
    <s v="CMR004002"/>
    <x v="8"/>
    <s v="CMR004002009"/>
    <s v="MAK-0095"/>
    <s v="ZAMAN"/>
    <m/>
    <x v="0"/>
    <x v="0"/>
    <n v="12"/>
    <n v="55"/>
    <s v="Conflits liés à GANE (BH)"/>
    <m/>
    <s v="Même arrondissement"/>
    <s v="CMR"/>
    <s v="Cameroun"/>
    <s v="CMR004"/>
    <s v="Extrême-Nord"/>
    <s v="CMR004002"/>
    <s v="Logone-Et-Chari"/>
    <s v="CMR004002009"/>
    <s v="Makary"/>
  </r>
  <r>
    <s v="Extrême-Nord"/>
    <s v="CMR004"/>
    <x v="2"/>
    <s v="CMR004002"/>
    <x v="8"/>
    <s v="CMR004002009"/>
    <s v="MAK-0095"/>
    <s v="ZAMAN"/>
    <m/>
    <x v="0"/>
    <x v="4"/>
    <n v="9"/>
    <n v="35"/>
    <s v="Conflits liés à GANE (BH)"/>
    <m/>
    <s v="Même département, autre arrondissement"/>
    <s v="CMR"/>
    <s v="Cameroun"/>
    <s v="CMR004"/>
    <s v="Extrême-Nord"/>
    <s v="CMR004002"/>
    <s v="Logone-Et-Chari"/>
    <s v="CMR004002008"/>
    <s v="Fotokol"/>
  </r>
  <r>
    <s v="Extrême-Nord"/>
    <s v="CMR004"/>
    <x v="2"/>
    <s v="CMR004002"/>
    <x v="10"/>
    <s v="CMR004002003"/>
    <s v="BLA-0023"/>
    <s v="KOUK 2"/>
    <m/>
    <x v="0"/>
    <x v="0"/>
    <n v="80"/>
    <n v="220"/>
    <s v="Inondations saisonnières ou fortes pluies"/>
    <m/>
    <s v="Même arrondissement"/>
    <s v="CMR"/>
    <s v="Cameroun"/>
    <s v="CMR004"/>
    <s v="Extrême-Nord"/>
    <s v="CMR004002"/>
    <s v="Logone-Et-Chari"/>
    <s v="CMR004002003"/>
    <s v="Blangoua"/>
  </r>
  <r>
    <s v="Extrême-Nord"/>
    <s v="CMR004"/>
    <x v="2"/>
    <s v="CMR004002"/>
    <x v="10"/>
    <s v="CMR004002003"/>
    <s v="BLA-0023"/>
    <s v="KOUK 2"/>
    <m/>
    <x v="0"/>
    <x v="2"/>
    <n v="9"/>
    <n v="67"/>
    <s v="Conflits liés à GANE (BH)"/>
    <m/>
    <s v="Même arrondissement"/>
    <s v="CMR"/>
    <s v="Cameroun"/>
    <s v="CMR004"/>
    <s v="Extrême-Nord"/>
    <s v="CMR004002"/>
    <s v="Logone-Et-Chari"/>
    <s v="CMR004002003"/>
    <s v="Blangoua"/>
  </r>
  <r>
    <s v="Extrême-Nord"/>
    <s v="CMR004"/>
    <x v="0"/>
    <s v="CMR004001"/>
    <x v="0"/>
    <s v="CMR004001003"/>
    <s v="PET-0022"/>
    <s v="NDJAMENA"/>
    <m/>
    <x v="0"/>
    <x v="1"/>
    <n v="3"/>
    <n v="21"/>
    <s v="Conflits liés à GANE (BH)"/>
    <m/>
    <s v="Autre département"/>
    <s v="CMR"/>
    <s v="Cameroun"/>
    <s v="CMR004"/>
    <s v="Extrême-Nord"/>
    <s v="CMR004005"/>
    <s v="Mayo-Sava"/>
    <m/>
    <m/>
  </r>
  <r>
    <s v="Extrême-Nord"/>
    <s v="CMR004"/>
    <x v="0"/>
    <s v="CMR004001"/>
    <x v="0"/>
    <s v="CMR004001003"/>
    <s v="PET-0022"/>
    <s v="NDJAMENA"/>
    <m/>
    <x v="0"/>
    <x v="4"/>
    <n v="0"/>
    <n v="2"/>
    <s v="Conflits liés à GANE (BH)"/>
    <m/>
    <s v="Autre département"/>
    <s v="CMR"/>
    <s v="Cameroun"/>
    <s v="CMR004"/>
    <s v="Extrême-Nord"/>
    <s v="CMR004005"/>
    <s v="Mayo-Sava"/>
    <m/>
    <m/>
  </r>
  <r>
    <s v="Extrême-Nord"/>
    <s v="CMR004"/>
    <x v="2"/>
    <s v="CMR004002"/>
    <x v="8"/>
    <s v="CMR004002009"/>
    <s v="MAK-0073"/>
    <s v="NDAGALGUI"/>
    <m/>
    <x v="0"/>
    <x v="0"/>
    <n v="13"/>
    <n v="65"/>
    <s v="Conflits liés à GANE (BH)"/>
    <m/>
    <s v="Même arrondissement"/>
    <s v="CMR"/>
    <s v="Cameroun"/>
    <s v="CMR004"/>
    <s v="Extrême-Nord"/>
    <s v="CMR004002"/>
    <s v="Logone-Et-Chari"/>
    <s v="CMR004002009"/>
    <s v="Makary"/>
  </r>
  <r>
    <s v="Extrême-Nord"/>
    <s v="CMR004"/>
    <x v="2"/>
    <s v="CMR004002"/>
    <x v="8"/>
    <s v="CMR004002009"/>
    <s v="MAK-0073"/>
    <s v="NDAGALGUI"/>
    <m/>
    <x v="0"/>
    <x v="1"/>
    <n v="0"/>
    <n v="21"/>
    <s v="Conflits liés à GANE (BH)"/>
    <m/>
    <s v="Même arrondissement"/>
    <s v="CMR"/>
    <s v="Cameroun"/>
    <s v="CMR004"/>
    <s v="Extrême-Nord"/>
    <s v="CMR004002"/>
    <s v="Logone-Et-Chari"/>
    <s v="CMR004002009"/>
    <s v="Makary"/>
  </r>
  <r>
    <s v="Extrême-Nord"/>
    <s v="CMR004"/>
    <x v="2"/>
    <s v="CMR004002"/>
    <x v="8"/>
    <s v="CMR004002009"/>
    <s v="MAK-0073"/>
    <s v="NDAGALGUI"/>
    <m/>
    <x v="0"/>
    <x v="4"/>
    <n v="0"/>
    <n v="120"/>
    <s v="Conflits liés à GANE (BH)"/>
    <m/>
    <s v="Même arrondissement"/>
    <s v="CMR"/>
    <s v="Cameroun"/>
    <s v="CMR004"/>
    <s v="Extrême-Nord"/>
    <s v="CMR004002"/>
    <s v="Logone-Et-Chari"/>
    <s v="CMR004002009"/>
    <s v="Makary"/>
  </r>
  <r>
    <s v="Extrême-Nord"/>
    <s v="CMR004"/>
    <x v="2"/>
    <s v="CMR004002"/>
    <x v="8"/>
    <s v="CMR004002009"/>
    <s v="MAK-0073"/>
    <s v="NDAGALGUI"/>
    <m/>
    <x v="0"/>
    <x v="2"/>
    <n v="19"/>
    <n v="74"/>
    <s v="Conflits liés à GANE (BH)"/>
    <m/>
    <s v="Même département, autre arrondissement"/>
    <s v="CMR"/>
    <s v="Cameroun"/>
    <s v="CMR004"/>
    <s v="Extrême-Nord"/>
    <s v="CMR004002"/>
    <s v="Logone-Et-Chari"/>
    <m/>
    <s v="Hile-Alifa"/>
  </r>
  <r>
    <s v="Extrême-Nord"/>
    <s v="CMR004"/>
    <x v="2"/>
    <s v="CMR004002"/>
    <x v="8"/>
    <s v="CMR004002009"/>
    <s v="MAK-0076"/>
    <s v="NDEGO 3"/>
    <m/>
    <x v="0"/>
    <x v="0"/>
    <n v="14"/>
    <n v="58"/>
    <s v="Conflits liés à GANE (BH)"/>
    <m/>
    <s v="Même département, autre arrondissement"/>
    <s v="CMR"/>
    <s v="Cameroun"/>
    <s v="CMR004"/>
    <s v="Extrême-Nord"/>
    <s v="CMR004002"/>
    <s v="Logone-Et-Chari"/>
    <m/>
    <s v="Hile-Alifa"/>
  </r>
  <r>
    <s v="Extrême-Nord"/>
    <s v="CMR004"/>
    <x v="2"/>
    <s v="CMR004002"/>
    <x v="8"/>
    <s v="CMR004002009"/>
    <s v="MAK-0076"/>
    <s v="NDEGO 3"/>
    <m/>
    <x v="0"/>
    <x v="1"/>
    <n v="0"/>
    <n v="13"/>
    <s v="Conflits liés à GANE (BH)"/>
    <m/>
    <s v="Même arrondissement"/>
    <s v="CMR"/>
    <s v="Cameroun"/>
    <s v="CMR004"/>
    <s v="Extrême-Nord"/>
    <s v="CMR004002"/>
    <s v="Logone-Et-Chari"/>
    <s v="CMR004002009"/>
    <s v="Makary"/>
  </r>
  <r>
    <s v="Extrême-Nord"/>
    <s v="CMR004"/>
    <x v="2"/>
    <s v="CMR004002"/>
    <x v="8"/>
    <s v="CMR004002009"/>
    <s v="MAK-0076"/>
    <s v="NDEGO 3"/>
    <m/>
    <x v="0"/>
    <x v="4"/>
    <n v="6"/>
    <n v="66"/>
    <s v="Conflits liés à GANE (BH)"/>
    <m/>
    <s v="Même arrondissement"/>
    <s v="CMR"/>
    <s v="Cameroun"/>
    <s v="CMR004"/>
    <s v="Extrême-Nord"/>
    <s v="CMR004002"/>
    <s v="Logone-Et-Chari"/>
    <s v="CMR004002009"/>
    <s v="Makary"/>
  </r>
  <r>
    <s v="Extrême-Nord"/>
    <s v="CMR004"/>
    <x v="2"/>
    <s v="CMR004002"/>
    <x v="8"/>
    <s v="CMR004002009"/>
    <s v="MAK-0076"/>
    <s v="NDEGO 3"/>
    <m/>
    <x v="0"/>
    <x v="3"/>
    <n v="3"/>
    <n v="17"/>
    <s v="Conflits liés à GANE (BH)"/>
    <m/>
    <s v="Même département, autre arrondissement"/>
    <s v="CMR"/>
    <s v="Cameroun"/>
    <s v="CMR004"/>
    <s v="Extrême-Nord"/>
    <s v="CMR004002"/>
    <s v="Logone-Et-Chari"/>
    <m/>
    <s v="Hile-Alifa"/>
  </r>
  <r>
    <s v="Extrême-Nord"/>
    <s v="CMR004"/>
    <x v="2"/>
    <s v="CMR004002"/>
    <x v="8"/>
    <s v="CMR004002009"/>
    <s v="MAK-0048"/>
    <s v="KASSIBE"/>
    <m/>
    <x v="0"/>
    <x v="0"/>
    <n v="23"/>
    <n v="232"/>
    <s v="Conflits liés à GANE (BH)"/>
    <m/>
    <s v="Même département, autre arrondissement"/>
    <s v="CMR"/>
    <s v="Cameroun"/>
    <s v="CMR004"/>
    <s v="Extrême-Nord"/>
    <s v="CMR004002"/>
    <s v="Logone-Et-Chari"/>
    <m/>
    <s v="Hile-Alifa"/>
  </r>
  <r>
    <s v="Extrême-Nord"/>
    <s v="CMR004"/>
    <x v="2"/>
    <s v="CMR004002"/>
    <x v="8"/>
    <s v="CMR004002009"/>
    <s v="MAK-0048"/>
    <s v="KASSIBE"/>
    <m/>
    <x v="0"/>
    <x v="2"/>
    <n v="4"/>
    <n v="13"/>
    <s v="Autre raison"/>
    <s v="Ils ont fuis par crainte"/>
    <s v="Même département, autre arrondissement"/>
    <s v="CMR"/>
    <s v="Cameroun"/>
    <s v="CMR004"/>
    <s v="Extrême-Nord"/>
    <s v="CMR004002"/>
    <s v="Logone-Et-Chari"/>
    <s v="CMR004002007"/>
    <s v="Darak"/>
  </r>
  <r>
    <s v="Extrême-Nord"/>
    <s v="CMR004"/>
    <x v="2"/>
    <s v="CMR004002"/>
    <x v="8"/>
    <s v="CMR004002009"/>
    <s v="MAK-0063"/>
    <s v="MANDA 1"/>
    <m/>
    <x v="0"/>
    <x v="0"/>
    <n v="14"/>
    <n v="114"/>
    <s v="Conflits liés à GANE (BH)"/>
    <m/>
    <s v="Même département, autre arrondissement"/>
    <s v="CMR"/>
    <s v="Cameroun"/>
    <s v="CMR004"/>
    <s v="Extrême-Nord"/>
    <s v="CMR004002"/>
    <s v="Logone-Et-Chari"/>
    <s v="CMR004002008"/>
    <s v="Fotokol"/>
  </r>
  <r>
    <s v="Extrême-Nord"/>
    <s v="CMR004"/>
    <x v="2"/>
    <s v="CMR004002"/>
    <x v="8"/>
    <s v="CMR004002009"/>
    <s v="MAK-0063"/>
    <s v="MANDA 1"/>
    <m/>
    <x v="0"/>
    <x v="2"/>
    <n v="2"/>
    <n v="6"/>
    <s v="Conflits liés à GANE (BH)"/>
    <m/>
    <s v="Même département, autre arrondissement"/>
    <s v="CMR"/>
    <s v="Cameroun"/>
    <s v="CMR004"/>
    <s v="Extrême-Nord"/>
    <s v="CMR004002"/>
    <s v="Logone-Et-Chari"/>
    <m/>
    <s v="Hile-Alifa"/>
  </r>
  <r>
    <s v="Extrême-Nord"/>
    <s v="CMR004"/>
    <x v="2"/>
    <s v="CMR004002"/>
    <x v="8"/>
    <s v="CMR004002009"/>
    <s v="MAK-0020"/>
    <s v="BODO"/>
    <m/>
    <x v="0"/>
    <x v="0"/>
    <n v="32"/>
    <n v="268"/>
    <s v="Conflits liés à GANE (BH)"/>
    <m/>
    <s v="Même département, autre arrondissement"/>
    <s v="CMR"/>
    <s v="Cameroun"/>
    <s v="CMR004"/>
    <s v="Extrême-Nord"/>
    <s v="CMR004002"/>
    <s v="Logone-Et-Chari"/>
    <s v="CMR004002008"/>
    <s v="Fotokol"/>
  </r>
  <r>
    <s v="Extrême-Nord"/>
    <s v="CMR004"/>
    <x v="2"/>
    <s v="CMR004002"/>
    <x v="8"/>
    <s v="CMR004002009"/>
    <s v="MAK-0020"/>
    <s v="BODO"/>
    <m/>
    <x v="0"/>
    <x v="1"/>
    <n v="7"/>
    <n v="26"/>
    <s v="Conflits liés à GANE (BH)"/>
    <m/>
    <s v="Même département, autre arrondissement"/>
    <s v="CMR"/>
    <s v="Cameroun"/>
    <s v="CMR004"/>
    <s v="Extrême-Nord"/>
    <s v="CMR004002"/>
    <s v="Logone-Et-Chari"/>
    <m/>
    <s v="Hile-Alifa"/>
  </r>
  <r>
    <s v="Extrême-Nord"/>
    <s v="CMR004"/>
    <x v="2"/>
    <s v="CMR004002"/>
    <x v="8"/>
    <s v="CMR004002009"/>
    <s v="MAK-0020"/>
    <s v="BODO"/>
    <m/>
    <x v="0"/>
    <x v="4"/>
    <n v="1"/>
    <n v="7"/>
    <s v="Conflit intercommunautaire"/>
    <m/>
    <s v="Même département, autre arrondissement"/>
    <s v="CMR"/>
    <s v="Cameroun"/>
    <s v="CMR004"/>
    <s v="Extrême-Nord"/>
    <s v="CMR004002"/>
    <s v="Logone-Et-Chari"/>
    <m/>
    <s v="Hile-Alifa"/>
  </r>
  <r>
    <s v="Extrême-Nord"/>
    <s v="CMR004"/>
    <x v="2"/>
    <s v="CMR004002"/>
    <x v="8"/>
    <s v="CMR004002009"/>
    <s v="MAK-0089"/>
    <s v="SOULFA"/>
    <m/>
    <x v="0"/>
    <x v="0"/>
    <n v="6"/>
    <n v="25"/>
    <s v="Conflits liés à GANE (BH)"/>
    <m/>
    <s v="Même département, autre arrondissement"/>
    <s v="CMR"/>
    <s v="Cameroun"/>
    <s v="CMR004"/>
    <s v="Extrême-Nord"/>
    <s v="CMR004002"/>
    <s v="Logone-Et-Chari"/>
    <s v="CMR004002008"/>
    <s v="Fotokol"/>
  </r>
  <r>
    <s v="Extrême-Nord"/>
    <s v="CMR004"/>
    <x v="2"/>
    <s v="CMR004002"/>
    <x v="8"/>
    <s v="CMR004002009"/>
    <s v="MAK-0089"/>
    <s v="SOULFA"/>
    <m/>
    <x v="0"/>
    <x v="3"/>
    <n v="2"/>
    <n v="10"/>
    <s v="Conflits liés à GANE (BH)"/>
    <m/>
    <s v="Même département, autre arrondissement"/>
    <s v="CMR"/>
    <s v="Cameroun"/>
    <s v="CMR004"/>
    <s v="Extrême-Nord"/>
    <s v="CMR004002"/>
    <s v="Logone-Et-Chari"/>
    <m/>
    <s v="Hile-Alifa"/>
  </r>
  <r>
    <s v="Extrême-Nord"/>
    <s v="CMR004"/>
    <x v="2"/>
    <s v="CMR004002"/>
    <x v="9"/>
    <s v="CMR004002010"/>
    <s v="HIL-0008"/>
    <s v="HILE ALIFA 1"/>
    <m/>
    <x v="0"/>
    <x v="0"/>
    <n v="84"/>
    <n v="672"/>
    <s v="Conflits liés à GANE (BH)"/>
    <m/>
    <s v="Même arrondissement"/>
    <s v="CMR"/>
    <s v="Cameroun"/>
    <s v="CMR004"/>
    <s v="Extrême-Nord"/>
    <s v="CMR004002"/>
    <s v="Logone-Et-Chari"/>
    <s v="CMR004002010"/>
    <s v="Hile-Alifa"/>
  </r>
  <r>
    <s v="Extrême-Nord"/>
    <s v="CMR004"/>
    <x v="2"/>
    <s v="CMR004002"/>
    <x v="9"/>
    <s v="CMR004002010"/>
    <s v="HIL-0008"/>
    <s v="HILE ALIFA 1"/>
    <m/>
    <x v="0"/>
    <x v="1"/>
    <n v="20"/>
    <n v="160"/>
    <s v="Conflits liés à GANE (BH)"/>
    <m/>
    <s v="Même arrondissement"/>
    <s v="CMR"/>
    <s v="Cameroun"/>
    <s v="CMR004"/>
    <s v="Extrême-Nord"/>
    <s v="CMR004002"/>
    <s v="Logone-Et-Chari"/>
    <s v="CMR004002010"/>
    <s v="Hile-Alifa"/>
  </r>
  <r>
    <s v="Extrême-Nord"/>
    <s v="CMR004"/>
    <x v="2"/>
    <s v="CMR004002"/>
    <x v="9"/>
    <s v="CMR004002010"/>
    <s v="HIL-0008"/>
    <s v="HILE ALIFA 1"/>
    <m/>
    <x v="0"/>
    <x v="4"/>
    <n v="20"/>
    <n v="160"/>
    <s v="Conflits liés à GANE (BH)"/>
    <m/>
    <s v="Même arrondissement"/>
    <s v="CMR"/>
    <s v="Cameroun"/>
    <s v="CMR004"/>
    <s v="Extrême-Nord"/>
    <s v="CMR004002"/>
    <s v="Logone-Et-Chari"/>
    <s v="CMR004002010"/>
    <s v="Hile-Alifa"/>
  </r>
  <r>
    <s v="Extrême-Nord"/>
    <s v="CMR004"/>
    <x v="2"/>
    <s v="CMR004002"/>
    <x v="9"/>
    <s v="CMR004002010"/>
    <s v="HIL-0008"/>
    <s v="HILE ALIFA 1"/>
    <m/>
    <x v="0"/>
    <x v="3"/>
    <n v="54"/>
    <n v="422"/>
    <s v="Conflits liés à GANE (BH)"/>
    <m/>
    <s v="Même arrondissement"/>
    <s v="CMR"/>
    <s v="Cameroun"/>
    <s v="CMR004"/>
    <s v="Extrême-Nord"/>
    <s v="CMR004002"/>
    <s v="Logone-Et-Chari"/>
    <s v="CMR004002010"/>
    <s v="Hile-Alifa"/>
  </r>
  <r>
    <s v="Extrême-Nord"/>
    <s v="CMR004"/>
    <x v="2"/>
    <s v="CMR004002"/>
    <x v="9"/>
    <s v="CMR004002010"/>
    <s v="HIL-0008"/>
    <s v="HILE ALIFA 1"/>
    <m/>
    <x v="0"/>
    <x v="2"/>
    <n v="270"/>
    <n v="1890"/>
    <s v="Conflits liés à GANE (BH)"/>
    <m/>
    <s v="Même arrondissement"/>
    <s v="CMR"/>
    <s v="Cameroun"/>
    <s v="CMR004"/>
    <s v="Extrême-Nord"/>
    <s v="CMR004002"/>
    <s v="Logone-Et-Chari"/>
    <s v="CMR004002010"/>
    <s v="Hile-Alifa"/>
  </r>
  <r>
    <s v="Extrême-Nord"/>
    <s v="CMR004"/>
    <x v="2"/>
    <s v="CMR004002"/>
    <x v="9"/>
    <s v="CMR004002010"/>
    <s v="XXXX"/>
    <s v="SITE DE ANCIEN MAIRIE"/>
    <s v="SITE DE ANCIEN MAIRIE"/>
    <x v="0"/>
    <x v="2"/>
    <n v="350"/>
    <n v="2450"/>
    <s v="Conflits liés à GANE (BH)"/>
    <m/>
    <s v="Même département, autre arrondissement"/>
    <s v="CMR"/>
    <s v="Cameroun"/>
    <s v="CMR004"/>
    <s v="Extrême-Nord"/>
    <s v="CMR004002"/>
    <s v="Logone-Et-Chari"/>
    <s v="CMR004002007"/>
    <s v="Darak"/>
  </r>
  <r>
    <s v="Extrême-Nord"/>
    <s v="CMR004"/>
    <x v="5"/>
    <s v="CMR004004"/>
    <x v="20"/>
    <s v="CMR004004006"/>
    <s v="KAE-0003"/>
    <s v="KAELE"/>
    <m/>
    <x v="0"/>
    <x v="2"/>
    <n v="2"/>
    <n v="9"/>
    <s v="Conflit intercommunautaire"/>
    <m/>
    <s v="Autre département"/>
    <s v="CMR"/>
    <s v="Cameroun"/>
    <s v="CMR004"/>
    <s v="Extrême-Nord"/>
    <s v="CMR004003"/>
    <s v="Mayo-Danay"/>
    <m/>
    <m/>
  </r>
  <r>
    <s v="Extrême-Nord"/>
    <s v="CMR004"/>
    <x v="5"/>
    <s v="CMR004004"/>
    <x v="20"/>
    <s v="CMR004004006"/>
    <s v="KAE-0001"/>
    <s v="BOURGOURI"/>
    <m/>
    <x v="0"/>
    <x v="0"/>
    <n v="4"/>
    <n v="30"/>
    <s v="Conflits liés à GANE (BH)"/>
    <m/>
    <s v="Autre département"/>
    <s v="CMR"/>
    <s v="Cameroun"/>
    <s v="CMR004"/>
    <s v="Extrême-Nord"/>
    <s v="CMR004005"/>
    <s v="Mayo-Sava"/>
    <m/>
    <m/>
  </r>
  <r>
    <s v="Extrême-Nord"/>
    <s v="CMR004"/>
    <x v="5"/>
    <s v="CMR004004"/>
    <x v="20"/>
    <s v="CMR004004006"/>
    <s v="KAE-0009"/>
    <s v="GOUDJOUING"/>
    <m/>
    <x v="0"/>
    <x v="1"/>
    <n v="3"/>
    <n v="8"/>
    <s v="Conflits liés à GANE (BH)"/>
    <m/>
    <s v="Autre département"/>
    <s v="CMR"/>
    <s v="Cameroun"/>
    <s v="CMR004"/>
    <s v="Extrême-Nord"/>
    <s v="CMR004005"/>
    <s v="Mayo-Sava"/>
    <m/>
    <m/>
  </r>
  <r>
    <s v="Extrême-Nord"/>
    <s v="CMR004"/>
    <x v="5"/>
    <s v="CMR004004"/>
    <x v="22"/>
    <s v="CMR004004005"/>
    <s v="MOT-0002"/>
    <s v="MOUDA"/>
    <m/>
    <x v="0"/>
    <x v="4"/>
    <n v="10"/>
    <n v="47"/>
    <s v="Conflit intercommunautaire"/>
    <m/>
    <s v="Autre département"/>
    <s v="CMR"/>
    <s v="Cameroun"/>
    <s v="CMR004"/>
    <s v="Extrême-Nord"/>
    <s v="CMR004002"/>
    <s v="Logone-Et-Chari"/>
    <m/>
    <m/>
  </r>
  <r>
    <s v="Extrême-Nord"/>
    <s v="CMR004"/>
    <x v="5"/>
    <s v="CMR004004"/>
    <x v="22"/>
    <s v="CMR004004005"/>
    <s v="MOT-0002"/>
    <s v="MOUDA"/>
    <m/>
    <x v="0"/>
    <x v="0"/>
    <n v="3"/>
    <n v="20"/>
    <s v="Conflits liés à GANE (BH)"/>
    <m/>
    <s v="Autre département"/>
    <s v="CMR"/>
    <s v="Cameroun"/>
    <s v="CMR004"/>
    <s v="Extrême-Nord"/>
    <s v="CMR004005"/>
    <s v="Mayo-Sava"/>
    <m/>
    <m/>
  </r>
  <r>
    <s v="Extrême-Nord"/>
    <s v="CMR004"/>
    <x v="5"/>
    <s v="CMR004004"/>
    <x v="22"/>
    <s v="CMR004004005"/>
    <s v="MOT-0004"/>
    <s v="MOUSOURTOUK"/>
    <m/>
    <x v="0"/>
    <x v="0"/>
    <n v="5"/>
    <n v="36"/>
    <s v="Conflits liés à GANE (BH)"/>
    <m/>
    <s v="Autre département"/>
    <s v="CMR"/>
    <s v="Cameroun"/>
    <s v="CMR004"/>
    <s v="Extrême-Nord"/>
    <s v="CMR004005"/>
    <s v="Mayo-Sava"/>
    <m/>
    <m/>
  </r>
  <r>
    <s v="Extrême-Nord"/>
    <s v="CMR004"/>
    <x v="5"/>
    <s v="CMR004004"/>
    <x v="22"/>
    <s v="CMR004004005"/>
    <s v="MOT-0004"/>
    <s v="MOUSOURTOUK"/>
    <m/>
    <x v="0"/>
    <x v="4"/>
    <n v="2"/>
    <n v="11"/>
    <s v="Conflit intercommunautaire"/>
    <m/>
    <s v="Autre département"/>
    <s v="CMR"/>
    <s v="Cameroun"/>
    <s v="CMR004"/>
    <s v="Extrême-Nord"/>
    <s v="CMR004002"/>
    <s v="Logone-Et-Chari"/>
    <m/>
    <m/>
  </r>
  <r>
    <s v="Extrême-Nord"/>
    <s v="CMR004"/>
    <x v="5"/>
    <s v="CMR004004"/>
    <x v="22"/>
    <s v="CMR004004005"/>
    <s v="MOT-0001"/>
    <s v="BADJAVA TWONGO"/>
    <m/>
    <x v="0"/>
    <x v="1"/>
    <n v="3"/>
    <n v="18"/>
    <s v="Conflits liés à GANE (BH)"/>
    <m/>
    <s v="Autre département"/>
    <s v="CMR"/>
    <s v="Cameroun"/>
    <s v="CMR004"/>
    <s v="Extrême-Nord"/>
    <s v="CMR004005"/>
    <s v="Mayo-Sava"/>
    <m/>
    <m/>
  </r>
  <r>
    <s v="Extrême-Nord"/>
    <s v="CMR004"/>
    <x v="5"/>
    <s v="CMR004004"/>
    <x v="22"/>
    <s v="CMR004004005"/>
    <s v="MOT-0003"/>
    <s v="MOUTOUROUA ROOM"/>
    <m/>
    <x v="0"/>
    <x v="0"/>
    <n v="4"/>
    <n v="25"/>
    <s v="Conflits liés à GANE (BH)"/>
    <m/>
    <s v="Autre département"/>
    <s v="CMR"/>
    <s v="Cameroun"/>
    <s v="CMR004"/>
    <s v="Extrême-Nord"/>
    <s v="CMR004005"/>
    <s v="Mayo-Sava"/>
    <m/>
    <m/>
  </r>
  <r>
    <s v="Extrême-Nord"/>
    <s v="CMR004"/>
    <x v="5"/>
    <s v="CMR004004"/>
    <x v="22"/>
    <s v="CMR004004005"/>
    <s v="MOT-0003"/>
    <s v="MOUTOUROUA ROOM"/>
    <m/>
    <x v="0"/>
    <x v="4"/>
    <n v="1"/>
    <n v="3"/>
    <s v="Conflit intercommunautaire"/>
    <m/>
    <s v="Autre département"/>
    <s v="CMR"/>
    <s v="Cameroun"/>
    <s v="CMR004"/>
    <s v="Extrême-Nord"/>
    <s v="CMR004002"/>
    <s v="Logone-Et-Chari"/>
    <m/>
    <m/>
  </r>
  <r>
    <s v="Extrême-Nord"/>
    <s v="CMR004"/>
    <x v="5"/>
    <s v="CMR004004"/>
    <x v="22"/>
    <s v="CMR004004005"/>
    <s v="MOT-0005"/>
    <s v="SITE DE ZIBOU"/>
    <m/>
    <x v="0"/>
    <x v="2"/>
    <n v="12"/>
    <n v="71"/>
    <s v="Autre raison"/>
    <s v="Enlèvement contre rançon, vole des bétails"/>
    <s v="Autre région"/>
    <s v="CMR"/>
    <s v="Cameroun"/>
    <s v="CMR001"/>
    <s v="Adamaoua"/>
    <m/>
    <m/>
    <m/>
    <m/>
  </r>
  <r>
    <s v="Extrême-Nord"/>
    <s v="CMR004"/>
    <x v="5"/>
    <s v="CMR004004"/>
    <x v="22"/>
    <s v="CMR004004005"/>
    <s v="MOT-0005"/>
    <s v="SITE DE ZIBOU"/>
    <m/>
    <x v="0"/>
    <x v="0"/>
    <n v="4"/>
    <n v="15"/>
    <s v="Conflits liés à GANE (BH)"/>
    <m/>
    <s v="Autre département"/>
    <s v="CMR"/>
    <s v="Cameroun"/>
    <s v="CMR004"/>
    <s v="Extrême-Nord"/>
    <s v="CMR004005"/>
    <s v="Mayo-Sava"/>
    <m/>
    <m/>
  </r>
  <r>
    <s v="Extrême-Nord"/>
    <s v="CMR004"/>
    <x v="1"/>
    <s v="CMR004006"/>
    <x v="1"/>
    <s v="CMR004006002"/>
    <s v="MOK-0007"/>
    <s v="KOSSEHONE"/>
    <m/>
    <x v="0"/>
    <x v="0"/>
    <n v="80"/>
    <n v="350"/>
    <s v="Conflits liés à GANE (BH)"/>
    <m/>
    <s v="Même arrondissement"/>
    <s v="CMR"/>
    <s v="Cameroun"/>
    <s v="CMR004"/>
    <s v="Extrême-Nord"/>
    <s v="CMR004006"/>
    <s v="Mayo-Tsanaga"/>
    <s v="CMR004006002"/>
    <s v="Mokolo"/>
  </r>
  <r>
    <s v="Extrême-Nord"/>
    <s v="CMR004"/>
    <x v="1"/>
    <s v="CMR004006"/>
    <x v="1"/>
    <s v="CMR004006002"/>
    <s v="MOK-0007"/>
    <s v="KOSSEHONE"/>
    <m/>
    <x v="0"/>
    <x v="3"/>
    <n v="20"/>
    <n v="150"/>
    <s v="Conflits liés à GANE (BH)"/>
    <m/>
    <s v="Même arrondissement"/>
    <s v="CMR"/>
    <s v="Cameroun"/>
    <s v="CMR004"/>
    <s v="Extrême-Nord"/>
    <s v="CMR004006"/>
    <s v="Mayo-Tsanaga"/>
    <s v="CMR004006002"/>
    <s v="Mokolo"/>
  </r>
  <r>
    <s v="Extrême-Nord"/>
    <s v="CMR004"/>
    <x v="1"/>
    <s v="CMR004006"/>
    <x v="1"/>
    <s v="CMR004006002"/>
    <s v="MOK-0007"/>
    <s v="KOSSEHONE"/>
    <m/>
    <x v="0"/>
    <x v="2"/>
    <n v="100"/>
    <n v="900"/>
    <s v="Conflits liés à GANE (BH)"/>
    <m/>
    <s v="Même arrondissement"/>
    <s v="CMR"/>
    <s v="Cameroun"/>
    <s v="CMR004"/>
    <s v="Extrême-Nord"/>
    <s v="CMR004006"/>
    <s v="Mayo-Tsanaga"/>
    <s v="CMR004006002"/>
    <s v="Mokolo"/>
  </r>
  <r>
    <s v="Extrême-Nord"/>
    <s v="CMR004"/>
    <x v="2"/>
    <s v="CMR004002"/>
    <x v="8"/>
    <s v="CMR004002009"/>
    <s v="MAK-0164"/>
    <s v="BIANG"/>
    <m/>
    <x v="0"/>
    <x v="0"/>
    <n v="4"/>
    <n v="36"/>
    <s v="Conflits liés à GANE (BH)"/>
    <m/>
    <s v="Même département, autre arrondissement"/>
    <s v="CMR"/>
    <s v="Cameroun"/>
    <s v="CMR004"/>
    <s v="Extrême-Nord"/>
    <s v="CMR004002"/>
    <s v="Logone-Et-Chari"/>
    <s v="CMR004002008"/>
    <s v="Fotokol"/>
  </r>
  <r>
    <s v="Extrême-Nord"/>
    <s v="CMR004"/>
    <x v="2"/>
    <s v="CMR004002"/>
    <x v="8"/>
    <s v="CMR004002009"/>
    <s v="MAK-0164"/>
    <s v="BIANG"/>
    <m/>
    <x v="0"/>
    <x v="4"/>
    <n v="8"/>
    <n v="53"/>
    <s v="Conflits liés à GANE (BH)"/>
    <m/>
    <s v="Même département, autre arrondissement"/>
    <s v="CMR"/>
    <s v="Cameroun"/>
    <s v="CMR004"/>
    <s v="Extrême-Nord"/>
    <s v="CMR004002"/>
    <s v="Logone-Et-Chari"/>
    <s v="CMR004002007"/>
    <s v="Darak"/>
  </r>
  <r>
    <s v="Extrême-Nord"/>
    <s v="CMR004"/>
    <x v="2"/>
    <s v="CMR004002"/>
    <x v="8"/>
    <s v="CMR004002009"/>
    <s v="MAK-0180"/>
    <s v="TCHABOUTE"/>
    <m/>
    <x v="0"/>
    <x v="4"/>
    <n v="7"/>
    <n v="47"/>
    <s v="Conflits liés à GANE (BH)"/>
    <m/>
    <s v="Même département, autre arrondissement"/>
    <s v="CMR"/>
    <s v="Cameroun"/>
    <s v="CMR004"/>
    <s v="Extrême-Nord"/>
    <s v="CMR004002"/>
    <s v="Logone-Et-Chari"/>
    <s v="CMR004002008"/>
    <s v="Fotokol"/>
  </r>
  <r>
    <s v="Extrême-Nord"/>
    <s v="CMR004"/>
    <x v="2"/>
    <s v="CMR004002"/>
    <x v="23"/>
    <s v="CMR004002005"/>
    <s v="ZIN-0006"/>
    <s v="MARGOUE"/>
    <m/>
    <x v="0"/>
    <x v="2"/>
    <n v="4"/>
    <n v="40"/>
    <s v="Inondations saisonnières ou fortes pluies"/>
    <m/>
    <s v="Même arrondissement"/>
    <s v="CMR"/>
    <s v="Cameroun"/>
    <s v="CMR004"/>
    <s v="Extrême-Nord"/>
    <s v="CMR004002"/>
    <s v="Logone-Et-Chari"/>
    <s v="CMR004002005"/>
    <s v="Zina"/>
  </r>
  <r>
    <s v="Extrême-Nord"/>
    <s v="CMR004"/>
    <x v="2"/>
    <s v="CMR004002"/>
    <x v="23"/>
    <s v="CMR004002005"/>
    <s v="ZIN-0011"/>
    <s v="SARA-SARA"/>
    <m/>
    <x v="0"/>
    <x v="2"/>
    <n v="20"/>
    <n v="140"/>
    <s v="Inondations saisonnières ou fortes pluies"/>
    <m/>
    <s v="Même arrondissement"/>
    <s v="CMR"/>
    <s v="Cameroun"/>
    <s v="CMR004"/>
    <s v="Extrême-Nord"/>
    <s v="CMR004002"/>
    <s v="Logone-Et-Chari"/>
    <s v="CMR004002005"/>
    <s v="Zina"/>
  </r>
  <r>
    <s v="Extrême-Nord"/>
    <s v="CMR004"/>
    <x v="0"/>
    <s v="CMR004001"/>
    <x v="6"/>
    <s v="CMR004001001"/>
    <s v="MA3-0004"/>
    <s v="SARRARE"/>
    <m/>
    <x v="0"/>
    <x v="0"/>
    <n v="9"/>
    <n v="110"/>
    <s v="Conflits liés à GANE (BH)"/>
    <m/>
    <s v="Autre département"/>
    <s v="CMR"/>
    <s v="Cameroun"/>
    <s v="CMR004"/>
    <s v="Extrême-Nord"/>
    <s v="CMR004005"/>
    <s v="Mayo-Sava"/>
    <m/>
    <m/>
  </r>
  <r>
    <s v="Extrême-Nord"/>
    <s v="CMR004"/>
    <x v="1"/>
    <s v="CMR004006"/>
    <x v="1"/>
    <s v="CMR004006002"/>
    <s v="MOK-0053"/>
    <s v="WINDE ZAMAI"/>
    <m/>
    <x v="0"/>
    <x v="0"/>
    <n v="1"/>
    <n v="8"/>
    <s v="Conflits liés à GANE (BH)"/>
    <m/>
    <s v="Même arrondissement"/>
    <s v="CMR"/>
    <s v="Cameroun"/>
    <s v="CMR004"/>
    <s v="Extrême-Nord"/>
    <s v="CMR004006"/>
    <s v="Mayo-Tsanaga"/>
    <s v="CMR004006002"/>
    <s v="Mokolo"/>
  </r>
  <r>
    <s v="Extrême-Nord"/>
    <s v="CMR004"/>
    <x v="1"/>
    <s v="CMR004006"/>
    <x v="1"/>
    <s v="CMR004006002"/>
    <s v="MOK-0053"/>
    <s v="WINDE ZAMAI"/>
    <m/>
    <x v="0"/>
    <x v="2"/>
    <n v="1"/>
    <n v="3"/>
    <s v="Conflits liés à GANE (BH)"/>
    <m/>
    <s v="Même arrondissement"/>
    <s v="CMR"/>
    <s v="Cameroun"/>
    <s v="CMR004"/>
    <s v="Extrême-Nord"/>
    <s v="CMR004006"/>
    <s v="Mayo-Tsanaga"/>
    <s v="CMR004006002"/>
    <s v="Mokolo"/>
  </r>
  <r>
    <s v="Extrême-Nord"/>
    <s v="CMR004"/>
    <x v="1"/>
    <s v="CMR004006"/>
    <x v="1"/>
    <s v="CMR004006002"/>
    <s v="MOK-0052"/>
    <s v="WAGANFO ZAMAI"/>
    <m/>
    <x v="0"/>
    <x v="0"/>
    <n v="13"/>
    <n v="70"/>
    <s v="Conflits liés à GANE (BH)"/>
    <m/>
    <s v="Même arrondissement"/>
    <s v="CMR"/>
    <s v="Cameroun"/>
    <s v="CMR004"/>
    <s v="Extrême-Nord"/>
    <s v="CMR004006"/>
    <s v="Mayo-Tsanaga"/>
    <s v="CMR004006002"/>
    <s v="Mokolo"/>
  </r>
  <r>
    <s v="Extrême-Nord"/>
    <s v="CMR004"/>
    <x v="2"/>
    <s v="CMR004002"/>
    <x v="8"/>
    <s v="CMR004002009"/>
    <s v="MAK-0181"/>
    <s v="TREBOULO 1"/>
    <m/>
    <x v="0"/>
    <x v="3"/>
    <n v="32"/>
    <n v="224"/>
    <s v="Conflits liés à GANE (BH)"/>
    <m/>
    <s v="Même arrondissement"/>
    <s v="CMR"/>
    <s v="Cameroun"/>
    <s v="CMR004"/>
    <s v="Extrême-Nord"/>
    <s v="CMR004002"/>
    <s v="Logone-Et-Chari"/>
    <s v="CMR004002009"/>
    <s v="Makary"/>
  </r>
  <r>
    <s v="Extrême-Nord"/>
    <s v="CMR004"/>
    <x v="2"/>
    <s v="CMR004002"/>
    <x v="8"/>
    <s v="CMR004002009"/>
    <s v="MAK-0181"/>
    <s v="TREBOULO 1"/>
    <m/>
    <x v="0"/>
    <x v="2"/>
    <n v="4"/>
    <n v="11"/>
    <s v="Inondations saisonnières ou fortes pluies"/>
    <m/>
    <s v="Même arrondissement"/>
    <s v="CMR"/>
    <s v="Cameroun"/>
    <s v="CMR004"/>
    <s v="Extrême-Nord"/>
    <s v="CMR004002"/>
    <s v="Logone-Et-Chari"/>
    <s v="CMR004002009"/>
    <s v="Makary"/>
  </r>
  <r>
    <s v="Extrême-Nord"/>
    <s v="CMR004"/>
    <x v="2"/>
    <s v="CMR004002"/>
    <x v="8"/>
    <s v="CMR004002009"/>
    <s v="MAK-0172"/>
    <s v="MERAHA"/>
    <m/>
    <x v="0"/>
    <x v="3"/>
    <n v="51"/>
    <n v="223"/>
    <s v="Conflit intercommunautaire"/>
    <m/>
    <s v="Même arrondissement"/>
    <s v="CMR"/>
    <s v="Cameroun"/>
    <s v="CMR004"/>
    <s v="Extrême-Nord"/>
    <s v="CMR004002"/>
    <s v="Logone-Et-Chari"/>
    <s v="CMR004002009"/>
    <s v="Makary"/>
  </r>
  <r>
    <s v="Extrême-Nord"/>
    <s v="CMR004"/>
    <x v="2"/>
    <s v="CMR004002"/>
    <x v="8"/>
    <s v="CMR004002009"/>
    <s v="MAK-0172"/>
    <s v="MERAHA"/>
    <m/>
    <x v="0"/>
    <x v="2"/>
    <n v="4"/>
    <n v="10"/>
    <s v="Conflit intercommunautaire"/>
    <m/>
    <s v="Même arrondissement"/>
    <s v="CMR"/>
    <s v="Cameroun"/>
    <s v="CMR004"/>
    <s v="Extrême-Nord"/>
    <s v="CMR004002"/>
    <s v="Logone-Et-Chari"/>
    <s v="CMR004002009"/>
    <s v="Makary"/>
  </r>
  <r>
    <s v="Extrême-Nord"/>
    <s v="CMR004"/>
    <x v="0"/>
    <s v="CMR004001"/>
    <x v="2"/>
    <s v="CMR004001005"/>
    <s v="BOG-0004"/>
    <s v="SITE DE KOURDAYA"/>
    <m/>
    <x v="0"/>
    <x v="3"/>
    <n v="57"/>
    <n v="358"/>
    <s v="Conflit intercommunautaire"/>
    <m/>
    <s v="Autre département"/>
    <s v="CMR"/>
    <s v="Cameroun"/>
    <s v="CMR004"/>
    <s v="Extrême-Nord"/>
    <s v="CMR004003"/>
    <s v="Mayo-Danay"/>
    <m/>
    <m/>
  </r>
  <r>
    <s v="Extrême-Nord"/>
    <s v="CMR004"/>
    <x v="2"/>
    <s v="CMR004002"/>
    <x v="8"/>
    <s v="CMR004002009"/>
    <s v="MAK-0135"/>
    <s v="DOUGOUM"/>
    <m/>
    <x v="0"/>
    <x v="0"/>
    <n v="3"/>
    <n v="18"/>
    <s v="Conflits liés à GANE (BH)"/>
    <m/>
    <s v="Même arrondissement"/>
    <s v="CMR"/>
    <s v="Cameroun"/>
    <s v="CMR004"/>
    <s v="Extrême-Nord"/>
    <s v="CMR004002"/>
    <s v="Logone-Et-Chari"/>
    <s v="CMR004002009"/>
    <s v="Makary"/>
  </r>
  <r>
    <s v="Extrême-Nord"/>
    <s v="CMR004"/>
    <x v="2"/>
    <s v="CMR004002"/>
    <x v="8"/>
    <s v="CMR004002009"/>
    <s v="MAK-0135"/>
    <s v="DOUGOUM"/>
    <m/>
    <x v="0"/>
    <x v="2"/>
    <n v="3"/>
    <n v="20"/>
    <s v="Inondations saisonnières ou fortes pluies"/>
    <m/>
    <s v="Même arrondissement"/>
    <s v="CMR"/>
    <s v="Cameroun"/>
    <s v="CMR004"/>
    <s v="Extrême-Nord"/>
    <s v="CMR004002"/>
    <s v="Logone-Et-Chari"/>
    <s v="CMR004002009"/>
    <s v="Makary"/>
  </r>
  <r>
    <s v="Extrême-Nord"/>
    <s v="CMR004"/>
    <x v="2"/>
    <s v="CMR004002"/>
    <x v="8"/>
    <s v="CMR004002009"/>
    <s v="MAK-0033"/>
    <s v="DOUBABEL GOSS"/>
    <m/>
    <x v="0"/>
    <x v="0"/>
    <n v="17"/>
    <n v="50"/>
    <s v="Conflits liés à GANE (BH)"/>
    <m/>
    <s v="Même arrondissement"/>
    <s v="CMR"/>
    <s v="Cameroun"/>
    <s v="CMR004"/>
    <s v="Extrême-Nord"/>
    <s v="CMR004002"/>
    <s v="Logone-Et-Chari"/>
    <s v="CMR004002009"/>
    <s v="Makary"/>
  </r>
  <r>
    <s v="Extrême-Nord"/>
    <s v="CMR004"/>
    <x v="2"/>
    <s v="CMR004002"/>
    <x v="8"/>
    <s v="CMR004002009"/>
    <s v="MAK-0033"/>
    <s v="DOUBABEL GOSS"/>
    <m/>
    <x v="0"/>
    <x v="2"/>
    <n v="12"/>
    <n v="35"/>
    <s v="Inondations saisonnières ou fortes pluies"/>
    <m/>
    <s v="Même arrondissement"/>
    <s v="CMR"/>
    <s v="Cameroun"/>
    <s v="CMR004"/>
    <s v="Extrême-Nord"/>
    <s v="CMR004002"/>
    <s v="Logone-Et-Chari"/>
    <s v="CMR004002009"/>
    <s v="Makary"/>
  </r>
  <r>
    <s v="Extrême-Nord"/>
    <s v="CMR004"/>
    <x v="2"/>
    <s v="CMR004002"/>
    <x v="10"/>
    <s v="CMR004002003"/>
    <s v="BLA-0022"/>
    <s v="DOR IMAR"/>
    <m/>
    <x v="0"/>
    <x v="0"/>
    <n v="7"/>
    <n v="35"/>
    <s v="Conflits liés à GANE (BH)"/>
    <m/>
    <s v="Même département, autre arrondissement"/>
    <s v="CMR"/>
    <s v="Cameroun"/>
    <s v="CMR004"/>
    <s v="Extrême-Nord"/>
    <s v="CMR004002"/>
    <s v="Logone-Et-Chari"/>
    <s v="CMR004002007"/>
    <s v="Darak"/>
  </r>
  <r>
    <s v="Extrême-Nord"/>
    <s v="CMR004"/>
    <x v="0"/>
    <s v="CMR004001"/>
    <x v="0"/>
    <s v="CMR004001003"/>
    <s v="PET-0035"/>
    <s v="SITE DE ADOUMER"/>
    <m/>
    <x v="0"/>
    <x v="3"/>
    <n v="30"/>
    <n v="235"/>
    <s v="Conflit intercommunautaire"/>
    <m/>
    <s v="Autre département"/>
    <s v="CMR"/>
    <s v="Cameroun"/>
    <s v="CMR004"/>
    <s v="Extrême-Nord"/>
    <s v="CMR004002"/>
    <s v="Logone-Et-Chari"/>
    <m/>
    <m/>
  </r>
  <r>
    <s v="Extrême-Nord"/>
    <s v="CMR004"/>
    <x v="0"/>
    <s v="CMR004001"/>
    <x v="0"/>
    <s v="CMR004001003"/>
    <s v="PET-0016"/>
    <s v="SITE DE KOURGNOUGNOU"/>
    <m/>
    <x v="0"/>
    <x v="0"/>
    <n v="30"/>
    <n v="254"/>
    <s v="Conflits liés à GANE (BH)"/>
    <m/>
    <s v="Autre département"/>
    <s v="CMR"/>
    <s v="Cameroun"/>
    <s v="CMR004"/>
    <s v="Extrême-Nord"/>
    <s v="CMR004005"/>
    <s v="Mayo-Sava"/>
    <m/>
    <m/>
  </r>
  <r>
    <s v="Extrême-Nord"/>
    <s v="CMR004"/>
    <x v="0"/>
    <s v="CMR004001"/>
    <x v="0"/>
    <s v="CMR004001003"/>
    <s v="PET-0036"/>
    <s v="TCHALGA"/>
    <m/>
    <x v="0"/>
    <x v="0"/>
    <n v="2"/>
    <n v="11"/>
    <s v="Conflits liés à GANE (BH)"/>
    <m/>
    <s v="Autre département"/>
    <s v="CMR"/>
    <s v="Cameroun"/>
    <s v="CMR004"/>
    <s v="Extrême-Nord"/>
    <s v="CMR004005"/>
    <s v="Mayo-Sava"/>
    <m/>
    <m/>
  </r>
  <r>
    <s v="Extrême-Nord"/>
    <s v="CMR004"/>
    <x v="0"/>
    <s v="CMR004001"/>
    <x v="0"/>
    <s v="CMR004001003"/>
    <s v="PET-0029"/>
    <s v="SITE DE ZAOUZAOU"/>
    <m/>
    <x v="0"/>
    <x v="0"/>
    <n v="3"/>
    <n v="30"/>
    <s v="Conflits liés à GANE (BH)"/>
    <m/>
    <s v="Autre département"/>
    <s v="CMR"/>
    <s v="Cameroun"/>
    <s v="CMR004"/>
    <s v="Extrême-Nord"/>
    <s v="CMR004005"/>
    <s v="Mayo-Sava"/>
    <m/>
    <m/>
  </r>
  <r>
    <s v="Extrême-Nord"/>
    <s v="CMR004"/>
    <x v="0"/>
    <s v="CMR004001"/>
    <x v="0"/>
    <s v="CMR004001003"/>
    <s v="PET-0033"/>
    <s v="GAO ALI"/>
    <m/>
    <x v="0"/>
    <x v="0"/>
    <n v="5"/>
    <n v="30"/>
    <s v="Conflits liés à GANE (BH)"/>
    <m/>
    <s v="Autre département"/>
    <s v="CMR"/>
    <s v="Cameroun"/>
    <s v="CMR004"/>
    <s v="Extrême-Nord"/>
    <s v="CMR004005"/>
    <s v="Mayo-Sava"/>
    <m/>
    <m/>
  </r>
  <r>
    <s v="Extrême-Nord"/>
    <s v="CMR004"/>
    <x v="1"/>
    <s v="CMR004006"/>
    <x v="7"/>
    <s v="CMR004006005"/>
    <s v="MOZ-0022"/>
    <s v="GOLDAVI"/>
    <m/>
    <x v="0"/>
    <x v="0"/>
    <n v="33"/>
    <n v="137"/>
    <s v="Conflits liés à GANE (BH)"/>
    <m/>
    <s v="Même arrondissement"/>
    <s v="CMR"/>
    <s v="Cameroun"/>
    <s v="CMR004"/>
    <s v="Extrême-Nord"/>
    <s v="CMR004006"/>
    <s v="Mayo-Tsanaga"/>
    <s v="CMR004006005"/>
    <s v="Mayo-Moskota"/>
  </r>
  <r>
    <s v="Extrême-Nord"/>
    <s v="CMR004"/>
    <x v="1"/>
    <s v="CMR004006"/>
    <x v="7"/>
    <s v="CMR004006005"/>
    <s v="MOZ-0022"/>
    <s v="GOLDAVI"/>
    <m/>
    <x v="0"/>
    <x v="1"/>
    <n v="6"/>
    <n v="12"/>
    <s v="Conflits liés à GANE (BH)"/>
    <m/>
    <s v="Même arrondissement"/>
    <s v="CMR"/>
    <s v="Cameroun"/>
    <s v="CMR004"/>
    <s v="Extrême-Nord"/>
    <s v="CMR004006"/>
    <s v="Mayo-Tsanaga"/>
    <s v="CMR004006005"/>
    <s v="Mayo-Moskota"/>
  </r>
  <r>
    <s v="Extrême-Nord"/>
    <s v="CMR004"/>
    <x v="1"/>
    <s v="CMR004006"/>
    <x v="7"/>
    <s v="CMR004006005"/>
    <s v="MOZ-0022"/>
    <s v="GOLDAVI"/>
    <m/>
    <x v="0"/>
    <x v="4"/>
    <n v="12"/>
    <n v="35"/>
    <s v="Conflits liés à GANE (BH)"/>
    <m/>
    <s v="Même arrondissement"/>
    <s v="CMR"/>
    <s v="Cameroun"/>
    <s v="CMR004"/>
    <s v="Extrême-Nord"/>
    <s v="CMR004006"/>
    <s v="Mayo-Tsanaga"/>
    <s v="CMR004006005"/>
    <s v="Mayo-Moskota"/>
  </r>
  <r>
    <s v="Extrême-Nord"/>
    <s v="CMR004"/>
    <x v="1"/>
    <s v="CMR004006"/>
    <x v="7"/>
    <s v="CMR004006005"/>
    <s v="MOZ-0022"/>
    <s v="GOLDAVI"/>
    <m/>
    <x v="0"/>
    <x v="3"/>
    <n v="3"/>
    <n v="22"/>
    <s v="Conflits liés à GANE (BH)"/>
    <m/>
    <s v="Même arrondissement"/>
    <s v="CMR"/>
    <s v="Cameroun"/>
    <s v="CMR004"/>
    <s v="Extrême-Nord"/>
    <s v="CMR004006"/>
    <s v="Mayo-Tsanaga"/>
    <s v="CMR004006005"/>
    <s v="Mayo-Moskota"/>
  </r>
  <r>
    <s v="Extrême-Nord"/>
    <s v="CMR004"/>
    <x v="1"/>
    <s v="CMR004006"/>
    <x v="7"/>
    <s v="CMR004006005"/>
    <s v="MOZ-0022"/>
    <s v="GOLDAVI"/>
    <m/>
    <x v="0"/>
    <x v="2"/>
    <n v="20"/>
    <n v="94"/>
    <s v="Conflits liés à GANE (BH)"/>
    <m/>
    <s v="Même arrondissement"/>
    <s v="CMR"/>
    <s v="Cameroun"/>
    <s v="CMR004"/>
    <s v="Extrême-Nord"/>
    <s v="CMR004006"/>
    <s v="Mayo-Tsanaga"/>
    <s v="CMR004006005"/>
    <s v="Mayo-Moskota"/>
  </r>
  <r>
    <s v="Extrême-Nord"/>
    <s v="CMR004"/>
    <x v="1"/>
    <s v="CMR004006"/>
    <x v="14"/>
    <s v="CMR004006007"/>
    <s v="BOU-0007"/>
    <s v="DJEKI"/>
    <m/>
    <x v="0"/>
    <x v="0"/>
    <n v="26"/>
    <n v="124"/>
    <s v="Conflits liés à GANE (BH)"/>
    <m/>
    <s v="Même département, autre arrondissement"/>
    <s v="CMR"/>
    <s v="Cameroun"/>
    <s v="CMR004"/>
    <s v="Extrême-Nord"/>
    <s v="CMR004006"/>
    <s v="Mayo-Tsanaga"/>
    <s v="CMR004006005"/>
    <s v="Mayo-Moskota"/>
  </r>
  <r>
    <s v="Extrême-Nord"/>
    <s v="CMR004"/>
    <x v="1"/>
    <s v="CMR004006"/>
    <x v="14"/>
    <s v="CMR004006007"/>
    <s v="BOU-0007"/>
    <s v="DJEKI"/>
    <m/>
    <x v="0"/>
    <x v="1"/>
    <n v="0"/>
    <n v="15"/>
    <s v="Conflits liés à GANE (BH)"/>
    <m/>
    <s v="Même département, autre arrondissement"/>
    <s v="CMR"/>
    <s v="Cameroun"/>
    <s v="CMR004"/>
    <s v="Extrême-Nord"/>
    <s v="CMR004006"/>
    <s v="Mayo-Tsanaga"/>
    <s v="CMR004006005"/>
    <s v="Mayo-Moskota"/>
  </r>
  <r>
    <s v="Extrême-Nord"/>
    <s v="CMR004"/>
    <x v="1"/>
    <s v="CMR004006"/>
    <x v="14"/>
    <s v="CMR004006007"/>
    <s v="BOU-0007"/>
    <s v="DJEKI"/>
    <m/>
    <x v="0"/>
    <x v="4"/>
    <n v="0"/>
    <n v="5"/>
    <s v="Conflits liés à GANE (BH)"/>
    <m/>
    <s v="Même arrondissement"/>
    <s v="CMR"/>
    <s v="Cameroun"/>
    <s v="CMR004"/>
    <s v="Extrême-Nord"/>
    <s v="CMR004006"/>
    <s v="Mayo-Tsanaga"/>
    <s v="CMR004006007"/>
    <s v="Bourha"/>
  </r>
  <r>
    <s v="Extrême-Nord"/>
    <s v="CMR004"/>
    <x v="1"/>
    <s v="CMR004006"/>
    <x v="14"/>
    <s v="CMR004006007"/>
    <s v="BOU-0007"/>
    <s v="DJEKI"/>
    <m/>
    <x v="0"/>
    <x v="3"/>
    <n v="0"/>
    <n v="14"/>
    <s v="Conflits liés à GANE (BH)"/>
    <m/>
    <s v="Même arrondissement"/>
    <s v="CMR"/>
    <s v="Cameroun"/>
    <s v="CMR004"/>
    <s v="Extrême-Nord"/>
    <s v="CMR004006"/>
    <s v="Mayo-Tsanaga"/>
    <s v="CMR004006007"/>
    <s v="Bourha"/>
  </r>
  <r>
    <s v="Extrême-Nord"/>
    <s v="CMR004"/>
    <x v="2"/>
    <s v="CMR004002"/>
    <x v="8"/>
    <s v="CMR004002009"/>
    <s v="MAK-0165"/>
    <s v="BOMBOYO"/>
    <m/>
    <x v="0"/>
    <x v="3"/>
    <n v="15"/>
    <n v="250"/>
    <s v="Conflits liés à GANE (BH)"/>
    <m/>
    <s v="Même département, autre arrondissement"/>
    <s v="CMR"/>
    <s v="Cameroun"/>
    <s v="CMR004"/>
    <s v="Extrême-Nord"/>
    <s v="CMR004002"/>
    <s v="Logone-Et-Chari"/>
    <s v="CMR004002008"/>
    <s v="Fotokol"/>
  </r>
  <r>
    <s v="Extrême-Nord"/>
    <s v="CMR004"/>
    <x v="2"/>
    <s v="CMR004002"/>
    <x v="8"/>
    <s v="CMR004002009"/>
    <s v="MAK-0165"/>
    <s v="BOMBOYO"/>
    <m/>
    <x v="0"/>
    <x v="2"/>
    <n v="8"/>
    <n v="62"/>
    <s v="Inondations saisonnières ou fortes pluies"/>
    <m/>
    <s v="Même département, autre arrondissement"/>
    <s v="CMR"/>
    <s v="Cameroun"/>
    <s v="CMR004"/>
    <s v="Extrême-Nord"/>
    <s v="CMR004002"/>
    <s v="Logone-Et-Chari"/>
    <s v="CMR004002007"/>
    <s v="Darak"/>
  </r>
  <r>
    <s v="Extrême-Nord"/>
    <s v="CMR004"/>
    <x v="5"/>
    <s v="CMR004004"/>
    <x v="24"/>
    <s v="CMR004004002"/>
    <s v="MOL-0012"/>
    <s v="LOPÉRÉ"/>
    <m/>
    <x v="0"/>
    <x v="1"/>
    <n v="1"/>
    <n v="11"/>
    <s v="Conflit intercommunautaire"/>
    <m/>
    <s v="Même arrondissement"/>
    <s v="CMR"/>
    <s v="Cameroun"/>
    <s v="CMR004"/>
    <s v="Extrême-Nord"/>
    <s v="CMR004004"/>
    <s v="Mayo-Kani"/>
    <s v="CMR004004002"/>
    <s v="Moulvoudaye"/>
  </r>
  <r>
    <s v="Extrême-Nord"/>
    <s v="CMR004"/>
    <x v="5"/>
    <s v="CMR004004"/>
    <x v="24"/>
    <s v="CMR004004002"/>
    <s v="MOL-0006"/>
    <s v="TOWDÉ 2"/>
    <m/>
    <x v="0"/>
    <x v="1"/>
    <n v="22"/>
    <n v="166"/>
    <s v="Inondations saisonnières ou fortes pluies"/>
    <m/>
    <s v="Même arrondissement"/>
    <s v="CMR"/>
    <s v="Cameroun"/>
    <s v="CMR004"/>
    <s v="Extrême-Nord"/>
    <s v="CMR004004"/>
    <s v="Mayo-Kani"/>
    <s v="CMR004004002"/>
    <s v="Moulvoudaye"/>
  </r>
  <r>
    <s v="Extrême-Nord"/>
    <s v="CMR004"/>
    <x v="5"/>
    <s v="CMR004004"/>
    <x v="24"/>
    <s v="CMR004004002"/>
    <s v="MOL-0006"/>
    <s v="TOWDÉ 2"/>
    <m/>
    <x v="0"/>
    <x v="3"/>
    <n v="1"/>
    <n v="7"/>
    <s v="Conflit intercommunautaire"/>
    <m/>
    <s v="Même arrondissement"/>
    <s v="CMR"/>
    <s v="Cameroun"/>
    <s v="CMR004"/>
    <s v="Extrême-Nord"/>
    <s v="CMR004004"/>
    <s v="Mayo-Kani"/>
    <s v="CMR004004002"/>
    <s v="Moulvoudaye"/>
  </r>
  <r>
    <s v="Extrême-Nord"/>
    <s v="CMR004"/>
    <x v="5"/>
    <s v="CMR004004"/>
    <x v="24"/>
    <s v="CMR004004002"/>
    <s v="MOL-0005"/>
    <s v="TOWDÉ 1"/>
    <m/>
    <x v="0"/>
    <x v="2"/>
    <n v="6"/>
    <n v="54"/>
    <s v="Conflit intercommunautaire"/>
    <m/>
    <s v="Même arrondissement"/>
    <s v="CMR"/>
    <s v="Cameroun"/>
    <s v="CMR004"/>
    <s v="Extrême-Nord"/>
    <s v="CMR004004"/>
    <s v="Mayo-Kani"/>
    <s v="CMR004004002"/>
    <s v="Moulvoudaye"/>
  </r>
  <r>
    <s v="Extrême-Nord"/>
    <s v="CMR004"/>
    <x v="5"/>
    <s v="CMR004004"/>
    <x v="24"/>
    <s v="CMR004004002"/>
    <s v="MOL-0005"/>
    <s v="TOWDÉ 1"/>
    <m/>
    <x v="0"/>
    <x v="1"/>
    <n v="11"/>
    <n v="186"/>
    <s v="Inondations saisonnières ou fortes pluies"/>
    <m/>
    <s v="Même arrondissement"/>
    <s v="CMR"/>
    <s v="Cameroun"/>
    <s v="CMR004"/>
    <s v="Extrême-Nord"/>
    <s v="CMR004004"/>
    <s v="Mayo-Kani"/>
    <s v="CMR004004002"/>
    <s v="Moulvoudaye"/>
  </r>
  <r>
    <s v="Extrême-Nord"/>
    <s v="CMR004"/>
    <x v="0"/>
    <s v="CMR004001"/>
    <x v="3"/>
    <s v="CMR004001009"/>
    <s v="MA1-0003"/>
    <s v="DOMAYO PATCHIGUINARI"/>
    <m/>
    <x v="0"/>
    <x v="0"/>
    <n v="31"/>
    <n v="166"/>
    <s v="Conflits liés à GANE (BH)"/>
    <m/>
    <s v="Autre département"/>
    <s v="CMR"/>
    <s v="Cameroun"/>
    <s v="CMR004"/>
    <s v="Extrême-Nord"/>
    <s v="CMR004005"/>
    <s v="Mayo-Sava"/>
    <m/>
    <m/>
  </r>
  <r>
    <s v="Extrême-Nord"/>
    <s v="CMR004"/>
    <x v="2"/>
    <s v="CMR004002"/>
    <x v="10"/>
    <s v="CMR004002003"/>
    <s v="BLA-0007"/>
    <s v="KINZAYAKOU"/>
    <m/>
    <x v="0"/>
    <x v="0"/>
    <n v="14"/>
    <n v="94"/>
    <s v="Conflits liés à GANE (BH)"/>
    <m/>
    <s v="Même département, autre arrondissement"/>
    <s v="CMR"/>
    <s v="Cameroun"/>
    <s v="CMR004"/>
    <s v="Extrême-Nord"/>
    <s v="CMR004002"/>
    <s v="Logone-Et-Chari"/>
    <s v="CMR004002007"/>
    <s v="Darak"/>
  </r>
  <r>
    <s v="Extrême-Nord"/>
    <s v="CMR004"/>
    <x v="2"/>
    <s v="CMR004002"/>
    <x v="10"/>
    <s v="CMR004002003"/>
    <s v="BLA-0007"/>
    <s v="KINZAYAKOU"/>
    <m/>
    <x v="0"/>
    <x v="1"/>
    <n v="2"/>
    <n v="14"/>
    <s v="Conflits liés à GANE (BH)"/>
    <m/>
    <s v="Même département, autre arrondissement"/>
    <s v="CMR"/>
    <s v="Cameroun"/>
    <s v="CMR004"/>
    <s v="Extrême-Nord"/>
    <s v="CMR004002"/>
    <s v="Logone-Et-Chari"/>
    <s v="CMR004002007"/>
    <s v="Darak"/>
  </r>
  <r>
    <s v="Extrême-Nord"/>
    <s v="CMR004"/>
    <x v="2"/>
    <s v="CMR004002"/>
    <x v="10"/>
    <s v="CMR004002003"/>
    <s v="BLA-0020"/>
    <s v="TAHA"/>
    <m/>
    <x v="0"/>
    <x v="0"/>
    <n v="20"/>
    <n v="140"/>
    <s v="Conflits liés à GANE (BH)"/>
    <m/>
    <s v="Même arrondissement"/>
    <s v="CMR"/>
    <s v="Cameroun"/>
    <s v="CMR004"/>
    <s v="Extrême-Nord"/>
    <s v="CMR004002"/>
    <s v="Logone-Et-Chari"/>
    <s v="CMR004002003"/>
    <s v="Blangoua"/>
  </r>
  <r>
    <s v="Extrême-Nord"/>
    <s v="CMR004"/>
    <x v="2"/>
    <s v="CMR004002"/>
    <x v="10"/>
    <s v="CMR004002003"/>
    <s v="BLA-0020"/>
    <s v="TAHA"/>
    <m/>
    <x v="0"/>
    <x v="1"/>
    <n v="6"/>
    <n v="42"/>
    <s v="Conflits liés à GANE (BH)"/>
    <m/>
    <s v="Même arrondissement"/>
    <s v="CMR"/>
    <s v="Cameroun"/>
    <s v="CMR004"/>
    <s v="Extrême-Nord"/>
    <s v="CMR004002"/>
    <s v="Logone-Et-Chari"/>
    <s v="CMR004002003"/>
    <s v="Blangoua"/>
  </r>
  <r>
    <s v="Extrême-Nord"/>
    <s v="CMR004"/>
    <x v="4"/>
    <s v="CMR004005"/>
    <x v="17"/>
    <s v="CMR004005002"/>
    <s v="MOR-0035"/>
    <s v="DOUBLE"/>
    <m/>
    <x v="0"/>
    <x v="0"/>
    <n v="119"/>
    <n v="585"/>
    <s v="Conflits liés à GANE (BH)"/>
    <m/>
    <s v="Même arrondissement"/>
    <s v="CMR"/>
    <s v="Cameroun"/>
    <s v="CMR004"/>
    <s v="Extrême-Nord"/>
    <s v="CMR004005"/>
    <s v="Mayo-Sava"/>
    <s v="CMR004005002"/>
    <s v="Mora"/>
  </r>
  <r>
    <s v="Extrême-Nord"/>
    <s v="CMR004"/>
    <x v="4"/>
    <s v="CMR004005"/>
    <x v="17"/>
    <s v="CMR004005002"/>
    <s v="MOR-0035"/>
    <s v="DOUBLE"/>
    <m/>
    <x v="0"/>
    <x v="1"/>
    <n v="124"/>
    <n v="635"/>
    <s v="Conflits liés à GANE (BH)"/>
    <m/>
    <s v="Même arrondissement"/>
    <s v="CMR"/>
    <s v="Cameroun"/>
    <s v="CMR004"/>
    <s v="Extrême-Nord"/>
    <s v="CMR004005"/>
    <s v="Mayo-Sava"/>
    <s v="CMR004005002"/>
    <s v="Mora"/>
  </r>
  <r>
    <s v="Extrême-Nord"/>
    <s v="CMR004"/>
    <x v="4"/>
    <s v="CMR004005"/>
    <x v="17"/>
    <s v="CMR004005002"/>
    <s v="MOR-0035"/>
    <s v="DOUBLE"/>
    <m/>
    <x v="0"/>
    <x v="4"/>
    <n v="43"/>
    <n v="368"/>
    <s v="Conflits liés à GANE (BH)"/>
    <m/>
    <s v="Même arrondissement"/>
    <s v="CMR"/>
    <s v="Cameroun"/>
    <s v="CMR004"/>
    <s v="Extrême-Nord"/>
    <s v="CMR004005"/>
    <s v="Mayo-Sava"/>
    <s v="CMR004005002"/>
    <s v="Mora"/>
  </r>
  <r>
    <s v="Extrême-Nord"/>
    <s v="CMR004"/>
    <x v="4"/>
    <s v="CMR004005"/>
    <x v="17"/>
    <s v="CMR004005002"/>
    <s v="MOR-0035"/>
    <s v="DOUBLE"/>
    <m/>
    <x v="0"/>
    <x v="3"/>
    <n v="0"/>
    <n v="85"/>
    <s v="Conflits liés à GANE (BH)"/>
    <m/>
    <s v="Même arrondissement"/>
    <s v="CMR"/>
    <s v="Cameroun"/>
    <s v="CMR004"/>
    <s v="Extrême-Nord"/>
    <s v="CMR004005"/>
    <s v="Mayo-Sava"/>
    <s v="CMR004005002"/>
    <s v="Mora"/>
  </r>
  <r>
    <s v="Extrême-Nord"/>
    <s v="CMR004"/>
    <x v="4"/>
    <s v="CMR004005"/>
    <x v="17"/>
    <s v="CMR004005002"/>
    <s v="MOR-0035"/>
    <s v="DOUBLE"/>
    <m/>
    <x v="0"/>
    <x v="2"/>
    <n v="16"/>
    <n v="126"/>
    <s v="Conflits liés à GANE (BH)"/>
    <m/>
    <s v="Même arrondissement"/>
    <s v="CMR"/>
    <s v="Cameroun"/>
    <s v="CMR004"/>
    <s v="Extrême-Nord"/>
    <s v="CMR004005"/>
    <s v="Mayo-Sava"/>
    <s v="CMR004005002"/>
    <s v="Mora"/>
  </r>
  <r>
    <s v="Extrême-Nord"/>
    <s v="CMR004"/>
    <x v="4"/>
    <s v="CMR004005"/>
    <x v="17"/>
    <s v="CMR004005002"/>
    <s v="MOR-0015"/>
    <s v="MORA MASSIF"/>
    <m/>
    <x v="0"/>
    <x v="0"/>
    <n v="57"/>
    <n v="82"/>
    <s v="Conflits liés à GANE (BH)"/>
    <m/>
    <s v="Même arrondissement"/>
    <s v="CMR"/>
    <s v="Cameroun"/>
    <s v="CMR004"/>
    <s v="Extrême-Nord"/>
    <s v="CMR004005"/>
    <s v="Mayo-Sava"/>
    <s v="CMR004005002"/>
    <s v="Mora"/>
  </r>
  <r>
    <s v="Extrême-Nord"/>
    <s v="CMR004"/>
    <x v="4"/>
    <s v="CMR004005"/>
    <x v="17"/>
    <s v="CMR004005002"/>
    <s v="MOR-0015"/>
    <s v="MORA MASSIF"/>
    <m/>
    <x v="0"/>
    <x v="1"/>
    <n v="51"/>
    <n v="354"/>
    <s v="Conflits liés à GANE (BH)"/>
    <m/>
    <s v="Même arrondissement"/>
    <s v="CMR"/>
    <s v="Cameroun"/>
    <s v="CMR004"/>
    <s v="Extrême-Nord"/>
    <s v="CMR004005"/>
    <s v="Mayo-Sava"/>
    <s v="CMR004005002"/>
    <s v="Mora"/>
  </r>
  <r>
    <s v="Extrême-Nord"/>
    <s v="CMR004"/>
    <x v="4"/>
    <s v="CMR004005"/>
    <x v="17"/>
    <s v="CMR004005002"/>
    <s v="MOR-0015"/>
    <s v="MORA MASSIF"/>
    <m/>
    <x v="0"/>
    <x v="4"/>
    <n v="1"/>
    <n v="22"/>
    <s v="Conflits liés à GANE (BH)"/>
    <m/>
    <s v="Même arrondissement"/>
    <s v="CMR"/>
    <s v="Cameroun"/>
    <s v="CMR004"/>
    <s v="Extrême-Nord"/>
    <s v="CMR004005"/>
    <s v="Mayo-Sava"/>
    <s v="CMR004005002"/>
    <s v="Mora"/>
  </r>
  <r>
    <s v="Extrême-Nord"/>
    <s v="CMR004"/>
    <x v="4"/>
    <s v="CMR004005"/>
    <x v="17"/>
    <s v="CMR004005002"/>
    <s v="MOR-0015"/>
    <s v="MORA MASSIF"/>
    <m/>
    <x v="0"/>
    <x v="3"/>
    <n v="16"/>
    <n v="160"/>
    <s v="Conflits liés à GANE (BH)"/>
    <m/>
    <s v="Même arrondissement"/>
    <s v="CMR"/>
    <s v="Cameroun"/>
    <s v="CMR004"/>
    <s v="Extrême-Nord"/>
    <s v="CMR004005"/>
    <s v="Mayo-Sava"/>
    <s v="CMR004005002"/>
    <s v="Mora"/>
  </r>
  <r>
    <s v="Extrême-Nord"/>
    <s v="CMR004"/>
    <x v="4"/>
    <s v="CMR004005"/>
    <x v="17"/>
    <s v="CMR004005002"/>
    <s v="MOR-0015"/>
    <s v="MORA MASSIF"/>
    <m/>
    <x v="0"/>
    <x v="2"/>
    <n v="0"/>
    <n v="30"/>
    <s v="Conflits liés à GANE (BH)"/>
    <m/>
    <s v="Même arrondissement"/>
    <s v="CMR"/>
    <s v="Cameroun"/>
    <s v="CMR004"/>
    <s v="Extrême-Nord"/>
    <s v="CMR004005"/>
    <s v="Mayo-Sava"/>
    <s v="CMR004005002"/>
    <s v="Mora"/>
  </r>
  <r>
    <s v="Extrême-Nord"/>
    <s v="CMR004"/>
    <x v="1"/>
    <s v="CMR004006"/>
    <x v="14"/>
    <s v="CMR004006007"/>
    <s v="BOU-0001"/>
    <s v="BOUKOULA"/>
    <m/>
    <x v="0"/>
    <x v="0"/>
    <n v="10"/>
    <n v="92"/>
    <s v="Conflits liés à GANE (BH)"/>
    <m/>
    <s v="Même arrondissement"/>
    <s v="CMR"/>
    <s v="Cameroun"/>
    <s v="CMR004"/>
    <s v="Extrême-Nord"/>
    <s v="CMR004006"/>
    <s v="Mayo-Tsanaga"/>
    <s v="CMR004006007"/>
    <s v="Bourha"/>
  </r>
  <r>
    <s v="Extrême-Nord"/>
    <s v="CMR004"/>
    <x v="1"/>
    <s v="CMR004006"/>
    <x v="14"/>
    <s v="CMR004006007"/>
    <s v="BOU-0001"/>
    <s v="BOUKOULA"/>
    <m/>
    <x v="0"/>
    <x v="1"/>
    <n v="0"/>
    <n v="2"/>
    <s v="Conflits liés à GANE (BH)"/>
    <m/>
    <s v="Même arrondissement"/>
    <s v="CMR"/>
    <s v="Cameroun"/>
    <s v="CMR004"/>
    <s v="Extrême-Nord"/>
    <s v="CMR004006"/>
    <s v="Mayo-Tsanaga"/>
    <s v="CMR004006007"/>
    <s v="Bourha"/>
  </r>
  <r>
    <s v="Extrême-Nord"/>
    <s v="CMR004"/>
    <x v="1"/>
    <s v="CMR004006"/>
    <x v="14"/>
    <s v="CMR004006007"/>
    <s v="BOU-0001"/>
    <s v="BOUKOULA"/>
    <m/>
    <x v="0"/>
    <x v="2"/>
    <n v="0"/>
    <n v="4"/>
    <s v="Conflits liés à GANE (BH)"/>
    <m/>
    <s v="Même arrondissement"/>
    <s v="CMR"/>
    <s v="Cameroun"/>
    <s v="CMR004"/>
    <s v="Extrême-Nord"/>
    <s v="CMR004006"/>
    <s v="Mayo-Tsanaga"/>
    <s v="CMR004006007"/>
    <s v="Bourha"/>
  </r>
  <r>
    <s v="Extrême-Nord"/>
    <s v="CMR004"/>
    <x v="1"/>
    <s v="CMR004006"/>
    <x v="14"/>
    <s v="CMR004006007"/>
    <s v="BOU-0001"/>
    <s v="BOUKOULA"/>
    <m/>
    <x v="0"/>
    <x v="4"/>
    <n v="0"/>
    <n v="3"/>
    <s v="Conflits liés à GANE (BH)"/>
    <m/>
    <s v="Même arrondissement"/>
    <s v="CMR"/>
    <s v="Cameroun"/>
    <s v="CMR004"/>
    <s v="Extrême-Nord"/>
    <s v="CMR004006"/>
    <s v="Mayo-Tsanaga"/>
    <s v="CMR004006007"/>
    <s v="Bourha"/>
  </r>
  <r>
    <s v="Extrême-Nord"/>
    <s v="CMR004"/>
    <x v="1"/>
    <s v="CMR004006"/>
    <x v="14"/>
    <s v="CMR004006007"/>
    <s v="BOU-0001"/>
    <s v="BOUKOULA"/>
    <m/>
    <x v="0"/>
    <x v="3"/>
    <n v="0"/>
    <n v="4"/>
    <s v="Conflits liés à GANE (BH)"/>
    <m/>
    <s v="Même arrondissement"/>
    <s v="CMR"/>
    <s v="Cameroun"/>
    <s v="CMR004"/>
    <s v="Extrême-Nord"/>
    <s v="CMR004006"/>
    <s v="Mayo-Tsanaga"/>
    <s v="CMR004006007"/>
    <s v="Bourha"/>
  </r>
  <r>
    <s v="Extrême-Nord"/>
    <s v="CMR004"/>
    <x v="4"/>
    <s v="CMR004005"/>
    <x v="17"/>
    <s v="CMR004005002"/>
    <s v="MOR-0030"/>
    <s v="LIMANI"/>
    <m/>
    <x v="0"/>
    <x v="0"/>
    <n v="62"/>
    <n v="333"/>
    <s v="Conflits liés à GANE (BH)"/>
    <m/>
    <s v="Même arrondissement"/>
    <s v="CMR"/>
    <s v="Cameroun"/>
    <s v="CMR004"/>
    <s v="Extrême-Nord"/>
    <s v="CMR004005"/>
    <s v="Mayo-Sava"/>
    <s v="CMR004005002"/>
    <s v="Mora"/>
  </r>
  <r>
    <s v="Extrême-Nord"/>
    <s v="CMR004"/>
    <x v="4"/>
    <s v="CMR004005"/>
    <x v="17"/>
    <s v="CMR004005002"/>
    <s v="MOR-0030"/>
    <s v="LIMANI"/>
    <m/>
    <x v="0"/>
    <x v="4"/>
    <n v="0"/>
    <n v="34"/>
    <s v="Conflits liés à GANE (BH)"/>
    <m/>
    <s v="Même arrondissement"/>
    <s v="CMR"/>
    <s v="Cameroun"/>
    <s v="CMR004"/>
    <s v="Extrême-Nord"/>
    <s v="CMR004005"/>
    <s v="Mayo-Sava"/>
    <s v="CMR004005002"/>
    <s v="Mora"/>
  </r>
  <r>
    <s v="Extrême-Nord"/>
    <s v="CMR004"/>
    <x v="4"/>
    <s v="CMR004005"/>
    <x v="17"/>
    <s v="CMR004005002"/>
    <s v="MOR-0030"/>
    <s v="LIMANI"/>
    <m/>
    <x v="0"/>
    <x v="3"/>
    <n v="0"/>
    <n v="10"/>
    <s v="Conflits liés à GANE (BH)"/>
    <m/>
    <s v="Même arrondissement"/>
    <s v="CMR"/>
    <s v="Cameroun"/>
    <s v="CMR004"/>
    <s v="Extrême-Nord"/>
    <s v="CMR004005"/>
    <s v="Mayo-Sava"/>
    <s v="CMR004005002"/>
    <s v="Mora"/>
  </r>
  <r>
    <s v="Extrême-Nord"/>
    <s v="CMR004"/>
    <x v="4"/>
    <s v="CMR004005"/>
    <x v="17"/>
    <s v="CMR004005002"/>
    <s v="MOR-0056"/>
    <s v="PIVOU 1"/>
    <m/>
    <x v="0"/>
    <x v="0"/>
    <n v="39"/>
    <n v="85"/>
    <s v="Conflits liés à GANE (BH)"/>
    <m/>
    <s v="Même arrondissement"/>
    <s v="CMR"/>
    <s v="Cameroun"/>
    <s v="CMR004"/>
    <s v="Extrême-Nord"/>
    <s v="CMR004005"/>
    <s v="Mayo-Sava"/>
    <s v="CMR004005002"/>
    <s v="Mora"/>
  </r>
  <r>
    <s v="Extrême-Nord"/>
    <s v="CMR004"/>
    <x v="4"/>
    <s v="CMR004005"/>
    <x v="17"/>
    <s v="CMR004005002"/>
    <s v="MOR-0056"/>
    <s v="PIVOU 1"/>
    <m/>
    <x v="0"/>
    <x v="1"/>
    <n v="0"/>
    <n v="6"/>
    <s v="Conflits liés à GANE (BH)"/>
    <m/>
    <s v="Même arrondissement"/>
    <s v="CMR"/>
    <s v="Cameroun"/>
    <s v="CMR004"/>
    <s v="Extrême-Nord"/>
    <s v="CMR004005"/>
    <s v="Mayo-Sava"/>
    <s v="CMR004005002"/>
    <s v="Mora"/>
  </r>
  <r>
    <s v="Extrême-Nord"/>
    <s v="CMR004"/>
    <x v="4"/>
    <s v="CMR004005"/>
    <x v="17"/>
    <s v="CMR004005002"/>
    <s v="MOR-0056"/>
    <s v="PIVOU 1"/>
    <m/>
    <x v="0"/>
    <x v="4"/>
    <n v="0"/>
    <n v="3"/>
    <s v="Conflits liés à GANE (BH)"/>
    <m/>
    <s v="Même arrondissement"/>
    <s v="CMR"/>
    <s v="Cameroun"/>
    <s v="CMR004"/>
    <s v="Extrême-Nord"/>
    <s v="CMR004005"/>
    <s v="Mayo-Sava"/>
    <s v="CMR004005002"/>
    <s v="Mora"/>
  </r>
  <r>
    <s v="Extrême-Nord"/>
    <s v="CMR004"/>
    <x v="4"/>
    <s v="CMR004005"/>
    <x v="17"/>
    <s v="CMR004005002"/>
    <s v="MOR-0056"/>
    <s v="PIVOU 1"/>
    <m/>
    <x v="0"/>
    <x v="2"/>
    <n v="0"/>
    <n v="3"/>
    <s v="Conflits liés à GANE (BH)"/>
    <m/>
    <s v="Même arrondissement"/>
    <s v="CMR"/>
    <s v="Cameroun"/>
    <s v="CMR004"/>
    <s v="Extrême-Nord"/>
    <s v="CMR004005"/>
    <s v="Mayo-Sava"/>
    <s v="CMR004005002"/>
    <s v="Mora"/>
  </r>
  <r>
    <s v="Extrême-Nord"/>
    <s v="CMR004"/>
    <x v="4"/>
    <s v="CMR004005"/>
    <x v="17"/>
    <s v="CMR004005002"/>
    <s v="MOR-0056"/>
    <s v="PIVOU 1"/>
    <m/>
    <x v="0"/>
    <x v="3"/>
    <n v="8"/>
    <n v="59"/>
    <s v="Conflits liés à GANE (BH)"/>
    <m/>
    <s v="Même arrondissement"/>
    <s v="CMR"/>
    <s v="Cameroun"/>
    <s v="CMR004"/>
    <s v="Extrême-Nord"/>
    <s v="CMR004005"/>
    <s v="Mayo-Sava"/>
    <s v="CMR004005002"/>
    <s v="Mora"/>
  </r>
  <r>
    <s v="Extrême-Nord"/>
    <s v="CMR004"/>
    <x v="2"/>
    <s v="CMR004002"/>
    <x v="25"/>
    <s v="CMR004002008"/>
    <s v="FOT-0020"/>
    <s v="CHOLOBA"/>
    <m/>
    <x v="0"/>
    <x v="0"/>
    <n v="10"/>
    <n v="70"/>
    <s v="Conflits liés à GANE (BH)"/>
    <m/>
    <s v="Même arrondissement"/>
    <s v="CMR"/>
    <s v="Cameroun"/>
    <s v="CMR004"/>
    <s v="Extrême-Nord"/>
    <s v="CMR004002"/>
    <s v="Logone-Et-Chari"/>
    <s v="CMR004002008"/>
    <s v="Fotokol"/>
  </r>
  <r>
    <s v="Extrême-Nord"/>
    <s v="CMR004"/>
    <x v="2"/>
    <s v="CMR004002"/>
    <x v="25"/>
    <s v="CMR004002008"/>
    <s v="FOT-0019"/>
    <s v="SITE DE WAROU"/>
    <m/>
    <x v="0"/>
    <x v="0"/>
    <n v="16"/>
    <n v="102"/>
    <s v="Conflits liés à GANE (BH)"/>
    <m/>
    <s v="Même arrondissement"/>
    <s v="CMR"/>
    <s v="Cameroun"/>
    <s v="CMR004"/>
    <s v="Extrême-Nord"/>
    <s v="CMR004002"/>
    <s v="Logone-Et-Chari"/>
    <s v="CMR004002008"/>
    <s v="Fotokol"/>
  </r>
  <r>
    <s v="Extrême-Nord"/>
    <s v="CMR004"/>
    <x v="4"/>
    <s v="CMR004005"/>
    <x v="17"/>
    <s v="CMR004005002"/>
    <s v="MOR-0019"/>
    <s v="SANDALE 2"/>
    <m/>
    <x v="0"/>
    <x v="0"/>
    <n v="187"/>
    <n v="639"/>
    <s v="Conflits liés à GANE (BH)"/>
    <m/>
    <s v="Même arrondissement"/>
    <s v="CMR"/>
    <s v="Cameroun"/>
    <s v="CMR004"/>
    <s v="Extrême-Nord"/>
    <s v="CMR004005"/>
    <s v="Mayo-Sava"/>
    <s v="CMR004005002"/>
    <s v="Mora"/>
  </r>
  <r>
    <s v="Extrême-Nord"/>
    <s v="CMR004"/>
    <x v="4"/>
    <s v="CMR004005"/>
    <x v="17"/>
    <s v="CMR004005002"/>
    <s v="MOR-0019"/>
    <s v="SANDALE 2"/>
    <m/>
    <x v="0"/>
    <x v="1"/>
    <n v="65"/>
    <n v="332"/>
    <s v="Conflits liés à GANE (BH)"/>
    <m/>
    <s v="Même arrondissement"/>
    <s v="CMR"/>
    <s v="Cameroun"/>
    <s v="CMR004"/>
    <s v="Extrême-Nord"/>
    <s v="CMR004005"/>
    <s v="Mayo-Sava"/>
    <s v="CMR004005002"/>
    <s v="Mora"/>
  </r>
  <r>
    <s v="Extrême-Nord"/>
    <s v="CMR004"/>
    <x v="4"/>
    <s v="CMR004005"/>
    <x v="17"/>
    <s v="CMR004005002"/>
    <s v="MOR-0019"/>
    <s v="SANDALE 2"/>
    <m/>
    <x v="0"/>
    <x v="4"/>
    <n v="9"/>
    <n v="50"/>
    <s v="Conflits liés à GANE (BH)"/>
    <m/>
    <s v="Même arrondissement"/>
    <s v="CMR"/>
    <s v="Cameroun"/>
    <s v="CMR004"/>
    <s v="Extrême-Nord"/>
    <s v="CMR004005"/>
    <s v="Mayo-Sava"/>
    <s v="CMR004005002"/>
    <s v="Mora"/>
  </r>
  <r>
    <s v="Extrême-Nord"/>
    <s v="CMR004"/>
    <x v="4"/>
    <s v="CMR004005"/>
    <x v="17"/>
    <s v="CMR004005002"/>
    <s v="MOR-0019"/>
    <s v="SANDALE 2"/>
    <m/>
    <x v="0"/>
    <x v="3"/>
    <n v="15"/>
    <n v="114"/>
    <s v="Conflits liés à GANE (BH)"/>
    <m/>
    <s v="Même arrondissement"/>
    <s v="CMR"/>
    <s v="Cameroun"/>
    <s v="CMR004"/>
    <s v="Extrême-Nord"/>
    <s v="CMR004005"/>
    <s v="Mayo-Sava"/>
    <s v="CMR004005002"/>
    <s v="Mora"/>
  </r>
  <r>
    <s v="Extrême-Nord"/>
    <s v="CMR004"/>
    <x v="4"/>
    <s v="CMR004005"/>
    <x v="17"/>
    <s v="CMR004005002"/>
    <s v="MOR-0019"/>
    <s v="SANDALE 2"/>
    <m/>
    <x v="0"/>
    <x v="2"/>
    <n v="5"/>
    <n v="33"/>
    <s v="Conflits liés à GANE (BH)"/>
    <m/>
    <s v="Même arrondissement"/>
    <s v="CMR"/>
    <s v="Cameroun"/>
    <s v="CMR004"/>
    <s v="Extrême-Nord"/>
    <s v="CMR004005"/>
    <s v="Mayo-Sava"/>
    <s v="CMR004005002"/>
    <s v="Mora"/>
  </r>
  <r>
    <s v="Extrême-Nord"/>
    <s v="CMR004"/>
    <x v="4"/>
    <s v="CMR004005"/>
    <x v="17"/>
    <s v="CMR004005002"/>
    <s v="MOR-0009"/>
    <s v="IGAGOUA 1"/>
    <m/>
    <x v="0"/>
    <x v="0"/>
    <n v="117"/>
    <n v="422"/>
    <s v="Conflits liés à GANE (BH)"/>
    <m/>
    <s v="Même arrondissement"/>
    <s v="CMR"/>
    <s v="Cameroun"/>
    <s v="CMR004"/>
    <s v="Extrême-Nord"/>
    <s v="CMR004005"/>
    <s v="Mayo-Sava"/>
    <s v="CMR004005002"/>
    <s v="Mora"/>
  </r>
  <r>
    <s v="Extrême-Nord"/>
    <s v="CMR004"/>
    <x v="4"/>
    <s v="CMR004005"/>
    <x v="17"/>
    <s v="CMR004005002"/>
    <s v="MOR-0009"/>
    <s v="IGAGOUA 1"/>
    <m/>
    <x v="0"/>
    <x v="1"/>
    <n v="72"/>
    <n v="390"/>
    <s v="Conflits liés à GANE (BH)"/>
    <m/>
    <s v="Même arrondissement"/>
    <s v="CMR"/>
    <s v="Cameroun"/>
    <s v="CMR004"/>
    <s v="Extrême-Nord"/>
    <s v="CMR004005"/>
    <s v="Mayo-Sava"/>
    <s v="CMR004005002"/>
    <s v="Mora"/>
  </r>
  <r>
    <s v="Extrême-Nord"/>
    <s v="CMR004"/>
    <x v="4"/>
    <s v="CMR004005"/>
    <x v="17"/>
    <s v="CMR004005002"/>
    <s v="MOR-0009"/>
    <s v="IGAGOUA 1"/>
    <m/>
    <x v="0"/>
    <x v="4"/>
    <n v="8"/>
    <n v="95"/>
    <s v="Conflits liés à GANE (BH)"/>
    <m/>
    <s v="Même arrondissement"/>
    <s v="CMR"/>
    <s v="Cameroun"/>
    <s v="CMR004"/>
    <s v="Extrême-Nord"/>
    <s v="CMR004005"/>
    <s v="Mayo-Sava"/>
    <s v="CMR004005002"/>
    <s v="Mora"/>
  </r>
  <r>
    <s v="Extrême-Nord"/>
    <s v="CMR004"/>
    <x v="4"/>
    <s v="CMR004005"/>
    <x v="17"/>
    <s v="CMR004005002"/>
    <s v="MOR-0009"/>
    <s v="IGAGOUA 1"/>
    <m/>
    <x v="0"/>
    <x v="3"/>
    <n v="8"/>
    <n v="73"/>
    <s v="Conflits liés à GANE (BH)"/>
    <m/>
    <s v="Même arrondissement"/>
    <s v="CMR"/>
    <s v="Cameroun"/>
    <s v="CMR004"/>
    <s v="Extrême-Nord"/>
    <s v="CMR004005"/>
    <s v="Mayo-Sava"/>
    <s v="CMR004005002"/>
    <s v="Mora"/>
  </r>
  <r>
    <s v="Extrême-Nord"/>
    <s v="CMR004"/>
    <x v="4"/>
    <s v="CMR004005"/>
    <x v="17"/>
    <s v="CMR004005002"/>
    <s v="MOR-0009"/>
    <s v="IGAGOUA 1"/>
    <m/>
    <x v="0"/>
    <x v="2"/>
    <n v="10"/>
    <n v="55"/>
    <s v="Conflits liés à GANE (BH)"/>
    <m/>
    <s v="Même arrondissement"/>
    <s v="CMR"/>
    <s v="Cameroun"/>
    <s v="CMR004"/>
    <s v="Extrême-Nord"/>
    <s v="CMR004005"/>
    <s v="Mayo-Sava"/>
    <s v="CMR004005002"/>
    <s v="Mora"/>
  </r>
  <r>
    <s v="Extrême-Nord"/>
    <s v="CMR004"/>
    <x v="4"/>
    <s v="CMR004005"/>
    <x v="17"/>
    <s v="CMR004005002"/>
    <s v="MOR-0012"/>
    <s v="MASSARE 1"/>
    <m/>
    <x v="0"/>
    <x v="0"/>
    <n v="122"/>
    <n v="281"/>
    <s v="Conflits liés à GANE (BH)"/>
    <m/>
    <s v="Même arrondissement"/>
    <s v="CMR"/>
    <s v="Cameroun"/>
    <s v="CMR004"/>
    <s v="Extrême-Nord"/>
    <s v="CMR004005"/>
    <s v="Mayo-Sava"/>
    <s v="CMR004005002"/>
    <s v="Mora"/>
  </r>
  <r>
    <s v="Extrême-Nord"/>
    <s v="CMR004"/>
    <x v="4"/>
    <s v="CMR004005"/>
    <x v="17"/>
    <s v="CMR004005002"/>
    <s v="MOR-0012"/>
    <s v="MASSARE 1"/>
    <m/>
    <x v="0"/>
    <x v="1"/>
    <n v="20"/>
    <n v="172"/>
    <s v="Conflits liés à GANE (BH)"/>
    <m/>
    <s v="Même arrondissement"/>
    <s v="CMR"/>
    <s v="Cameroun"/>
    <s v="CMR004"/>
    <s v="Extrême-Nord"/>
    <s v="CMR004005"/>
    <s v="Mayo-Sava"/>
    <s v="CMR004005002"/>
    <s v="Mora"/>
  </r>
  <r>
    <s v="Extrême-Nord"/>
    <s v="CMR004"/>
    <x v="4"/>
    <s v="CMR004005"/>
    <x v="17"/>
    <s v="CMR004005002"/>
    <s v="MOR-0012"/>
    <s v="MASSARE 1"/>
    <m/>
    <x v="0"/>
    <x v="4"/>
    <n v="17"/>
    <n v="140"/>
    <s v="Conflits liés à GANE (BH)"/>
    <m/>
    <s v="Même arrondissement"/>
    <s v="CMR"/>
    <s v="Cameroun"/>
    <s v="CMR004"/>
    <s v="Extrême-Nord"/>
    <s v="CMR004005"/>
    <s v="Mayo-Sava"/>
    <s v="CMR004005002"/>
    <s v="Mora"/>
  </r>
  <r>
    <s v="Extrême-Nord"/>
    <s v="CMR004"/>
    <x v="4"/>
    <s v="CMR004005"/>
    <x v="17"/>
    <s v="CMR004005002"/>
    <s v="MOR-0012"/>
    <s v="MASSARE 1"/>
    <m/>
    <x v="0"/>
    <x v="3"/>
    <n v="0"/>
    <n v="18"/>
    <s v="Conflits liés à GANE (BH)"/>
    <m/>
    <s v="Même arrondissement"/>
    <s v="CMR"/>
    <s v="Cameroun"/>
    <s v="CMR004"/>
    <s v="Extrême-Nord"/>
    <s v="CMR004005"/>
    <s v="Mayo-Sava"/>
    <s v="CMR004005002"/>
    <s v="Mora"/>
  </r>
  <r>
    <s v="Extrême-Nord"/>
    <s v="CMR004"/>
    <x v="4"/>
    <s v="CMR004005"/>
    <x v="17"/>
    <s v="CMR004005002"/>
    <s v="MOR-0012"/>
    <s v="MASSARE 1"/>
    <m/>
    <x v="0"/>
    <x v="2"/>
    <n v="0"/>
    <n v="15"/>
    <s v="Conflits liés à GANE (BH)"/>
    <m/>
    <s v="Même arrondissement"/>
    <s v="CMR"/>
    <s v="Cameroun"/>
    <s v="CMR004"/>
    <s v="Extrême-Nord"/>
    <s v="CMR004005"/>
    <s v="Mayo-Sava"/>
    <s v="CMR004005002"/>
    <s v="Mora"/>
  </r>
  <r>
    <s v="Extrême-Nord"/>
    <s v="CMR004"/>
    <x v="4"/>
    <s v="CMR004005"/>
    <x v="17"/>
    <s v="CMR004005002"/>
    <s v="MOR-0054"/>
    <s v="YALA YALTA"/>
    <m/>
    <x v="0"/>
    <x v="0"/>
    <n v="72"/>
    <n v="189"/>
    <s v="Conflits liés à GANE (BH)"/>
    <m/>
    <s v="Même arrondissement"/>
    <s v="CMR"/>
    <s v="Cameroun"/>
    <s v="CMR004"/>
    <s v="Extrême-Nord"/>
    <s v="CMR004005"/>
    <s v="Mayo-Sava"/>
    <s v="CMR004005002"/>
    <s v="Mora"/>
  </r>
  <r>
    <s v="Extrême-Nord"/>
    <s v="CMR004"/>
    <x v="4"/>
    <s v="CMR004005"/>
    <x v="17"/>
    <s v="CMR004005002"/>
    <s v="MOR-0054"/>
    <s v="YALA YALTA"/>
    <m/>
    <x v="0"/>
    <x v="1"/>
    <n v="8"/>
    <n v="44"/>
    <s v="Conflits liés à GANE (BH)"/>
    <m/>
    <s v="Même arrondissement"/>
    <s v="CMR"/>
    <s v="Cameroun"/>
    <s v="CMR004"/>
    <s v="Extrême-Nord"/>
    <s v="CMR004005"/>
    <s v="Mayo-Sava"/>
    <s v="CMR004005002"/>
    <s v="Mora"/>
  </r>
  <r>
    <s v="Extrême-Nord"/>
    <s v="CMR004"/>
    <x v="4"/>
    <s v="CMR004005"/>
    <x v="17"/>
    <s v="CMR004005002"/>
    <s v="MOR-0054"/>
    <s v="YALA YALTA"/>
    <m/>
    <x v="0"/>
    <x v="4"/>
    <n v="3"/>
    <n v="37"/>
    <s v="Conflits liés à GANE (BH)"/>
    <m/>
    <s v="Même arrondissement"/>
    <s v="CMR"/>
    <s v="Cameroun"/>
    <s v="CMR004"/>
    <s v="Extrême-Nord"/>
    <s v="CMR004005"/>
    <s v="Mayo-Sava"/>
    <s v="CMR004005002"/>
    <s v="Mora"/>
  </r>
  <r>
    <s v="Extrême-Nord"/>
    <s v="CMR004"/>
    <x v="4"/>
    <s v="CMR004005"/>
    <x v="17"/>
    <s v="CMR004005002"/>
    <s v="MOR-0054"/>
    <s v="YALA YALTA"/>
    <m/>
    <x v="0"/>
    <x v="3"/>
    <n v="21"/>
    <n v="145"/>
    <s v="Conflits liés à GANE (BH)"/>
    <m/>
    <s v="Même arrondissement"/>
    <s v="CMR"/>
    <s v="Cameroun"/>
    <s v="CMR004"/>
    <s v="Extrême-Nord"/>
    <s v="CMR004005"/>
    <s v="Mayo-Sava"/>
    <s v="CMR004005002"/>
    <s v="Mora"/>
  </r>
  <r>
    <s v="Extrême-Nord"/>
    <s v="CMR004"/>
    <x v="4"/>
    <s v="CMR004005"/>
    <x v="17"/>
    <s v="CMR004005002"/>
    <s v="MOR-0054"/>
    <s v="YALA YALTA"/>
    <m/>
    <x v="0"/>
    <x v="2"/>
    <n v="10"/>
    <n v="100"/>
    <s v="Conflits liés à GANE (BH)"/>
    <m/>
    <s v="Même arrondissement"/>
    <s v="CMR"/>
    <s v="Cameroun"/>
    <s v="CMR004"/>
    <s v="Extrême-Nord"/>
    <s v="CMR004005"/>
    <s v="Mayo-Sava"/>
    <s v="CMR004005002"/>
    <s v="Mora"/>
  </r>
  <r>
    <s v="Extrême-Nord"/>
    <s v="CMR004"/>
    <x v="4"/>
    <s v="CMR004005"/>
    <x v="17"/>
    <s v="CMR004005002"/>
    <s v="MOR-0066"/>
    <s v="MANGAVE YANOUSSE"/>
    <m/>
    <x v="0"/>
    <x v="1"/>
    <n v="45"/>
    <n v="200"/>
    <s v="Conflits liés à GANE (BH)"/>
    <m/>
    <s v="Même arrondissement"/>
    <s v="CMR"/>
    <s v="Cameroun"/>
    <s v="CMR004"/>
    <s v="Extrême-Nord"/>
    <s v="CMR004005"/>
    <s v="Mayo-Sava"/>
    <s v="CMR004005002"/>
    <s v="Mora"/>
  </r>
  <r>
    <s v="Extrême-Nord"/>
    <s v="CMR004"/>
    <x v="4"/>
    <s v="CMR004005"/>
    <x v="17"/>
    <s v="CMR004005002"/>
    <s v="MOR-0066"/>
    <s v="MANGAVE YANOUSSE"/>
    <m/>
    <x v="0"/>
    <x v="4"/>
    <n v="0"/>
    <n v="9"/>
    <s v="Conflits liés à GANE (BH)"/>
    <m/>
    <s v="Même arrondissement"/>
    <s v="CMR"/>
    <s v="Cameroun"/>
    <s v="CMR004"/>
    <s v="Extrême-Nord"/>
    <s v="CMR004005"/>
    <s v="Mayo-Sava"/>
    <s v="CMR004005002"/>
    <s v="Mora"/>
  </r>
  <r>
    <s v="Extrême-Nord"/>
    <s v="CMR004"/>
    <x v="4"/>
    <s v="CMR004005"/>
    <x v="17"/>
    <s v="CMR004005002"/>
    <s v="MOR-0066"/>
    <s v="MANGAVE YANOUSSE"/>
    <m/>
    <x v="0"/>
    <x v="3"/>
    <n v="0"/>
    <n v="7"/>
    <s v="Conflits liés à GANE (BH)"/>
    <m/>
    <s v="Même arrondissement"/>
    <s v="CMR"/>
    <s v="Cameroun"/>
    <s v="CMR004"/>
    <s v="Extrême-Nord"/>
    <s v="CMR004005"/>
    <s v="Mayo-Sava"/>
    <s v="CMR004005002"/>
    <s v="Mora"/>
  </r>
  <r>
    <s v="Extrême-Nord"/>
    <s v="CMR004"/>
    <x v="4"/>
    <s v="CMR004005"/>
    <x v="17"/>
    <s v="CMR004005002"/>
    <s v="MOR-0016"/>
    <s v="OUDJILA"/>
    <m/>
    <x v="0"/>
    <x v="0"/>
    <n v="41"/>
    <n v="297"/>
    <s v="Conflits liés à GANE (BH)"/>
    <m/>
    <s v="Même arrondissement"/>
    <s v="CMR"/>
    <s v="Cameroun"/>
    <s v="CMR004"/>
    <s v="Extrême-Nord"/>
    <s v="CMR004005"/>
    <s v="Mayo-Sava"/>
    <s v="CMR004005002"/>
    <s v="Mora"/>
  </r>
  <r>
    <s v="Extrême-Nord"/>
    <s v="CMR004"/>
    <x v="4"/>
    <s v="CMR004005"/>
    <x v="17"/>
    <s v="CMR004005002"/>
    <s v="MOR-0016"/>
    <s v="OUDJILA"/>
    <m/>
    <x v="0"/>
    <x v="1"/>
    <n v="50"/>
    <n v="142"/>
    <s v="Conflits liés à GANE (BH)"/>
    <m/>
    <s v="Même arrondissement"/>
    <s v="CMR"/>
    <s v="Cameroun"/>
    <s v="CMR004"/>
    <s v="Extrême-Nord"/>
    <s v="CMR004005"/>
    <s v="Mayo-Sava"/>
    <s v="CMR004005002"/>
    <s v="Mora"/>
  </r>
  <r>
    <s v="Extrême-Nord"/>
    <s v="CMR004"/>
    <x v="4"/>
    <s v="CMR004005"/>
    <x v="17"/>
    <s v="CMR004005002"/>
    <s v="MOR-0016"/>
    <s v="OUDJILA"/>
    <m/>
    <x v="0"/>
    <x v="4"/>
    <n v="40"/>
    <n v="181"/>
    <s v="Conflits liés à GANE (BH)"/>
    <m/>
    <s v="Même arrondissement"/>
    <s v="CMR"/>
    <s v="Cameroun"/>
    <s v="CMR004"/>
    <s v="Extrême-Nord"/>
    <s v="CMR004005"/>
    <s v="Mayo-Sava"/>
    <s v="CMR004005002"/>
    <s v="Mora"/>
  </r>
  <r>
    <s v="Extrême-Nord"/>
    <s v="CMR004"/>
    <x v="4"/>
    <s v="CMR004005"/>
    <x v="17"/>
    <s v="CMR004005002"/>
    <s v="MOR-0016"/>
    <s v="OUDJILA"/>
    <m/>
    <x v="0"/>
    <x v="3"/>
    <n v="0"/>
    <n v="38"/>
    <s v="Conflits liés à GANE (BH)"/>
    <m/>
    <s v="Même arrondissement"/>
    <s v="CMR"/>
    <s v="Cameroun"/>
    <s v="CMR004"/>
    <s v="Extrême-Nord"/>
    <s v="CMR004005"/>
    <s v="Mayo-Sava"/>
    <s v="CMR004005002"/>
    <s v="Mora"/>
  </r>
  <r>
    <s v="Extrême-Nord"/>
    <s v="CMR004"/>
    <x v="4"/>
    <s v="CMR004005"/>
    <x v="17"/>
    <s v="CMR004005002"/>
    <s v="MOR-0016"/>
    <s v="OUDJILA"/>
    <m/>
    <x v="0"/>
    <x v="2"/>
    <n v="4"/>
    <n v="24"/>
    <s v="Conflits liés à GANE (BH)"/>
    <m/>
    <s v="Même arrondissement"/>
    <s v="CMR"/>
    <s v="Cameroun"/>
    <s v="CMR004"/>
    <s v="Extrême-Nord"/>
    <s v="CMR004005"/>
    <s v="Mayo-Sava"/>
    <s v="CMR004005002"/>
    <s v="Mora"/>
  </r>
  <r>
    <s v="Extrême-Nord"/>
    <s v="CMR004"/>
    <x v="2"/>
    <s v="CMR004002"/>
    <x v="8"/>
    <s v="CMR004002009"/>
    <s v="MAK-0132"/>
    <s v="DILEBE"/>
    <m/>
    <x v="0"/>
    <x v="0"/>
    <n v="3"/>
    <n v="43"/>
    <s v="Conflits liés à GANE (BH)"/>
    <m/>
    <s v="Même département, autre arrondissement"/>
    <s v="CMR"/>
    <s v="Cameroun"/>
    <s v="CMR004"/>
    <s v="Extrême-Nord"/>
    <s v="CMR004002"/>
    <s v="Logone-Et-Chari"/>
    <s v="CMR004002008"/>
    <s v="Fotokol"/>
  </r>
  <r>
    <s v="Extrême-Nord"/>
    <s v="CMR004"/>
    <x v="2"/>
    <s v="CMR004002"/>
    <x v="8"/>
    <s v="CMR004002009"/>
    <s v="MAK-0132"/>
    <s v="DILEBE"/>
    <m/>
    <x v="0"/>
    <x v="4"/>
    <n v="0"/>
    <n v="6"/>
    <s v="Conflits liés à GANE (BH)"/>
    <m/>
    <s v="Même département, autre arrondissement"/>
    <s v="CMR"/>
    <s v="Cameroun"/>
    <s v="CMR004"/>
    <s v="Extrême-Nord"/>
    <s v="CMR004002"/>
    <s v="Logone-Et-Chari"/>
    <m/>
    <s v="Hile-Alifa"/>
  </r>
  <r>
    <s v="Extrême-Nord"/>
    <s v="CMR004"/>
    <x v="2"/>
    <s v="CMR004002"/>
    <x v="8"/>
    <s v="CMR004002009"/>
    <s v="MAK-0132"/>
    <s v="DILEBE"/>
    <m/>
    <x v="0"/>
    <x v="3"/>
    <n v="0"/>
    <n v="2"/>
    <s v="Conflits liés à GANE (BH)"/>
    <m/>
    <s v="Même département, autre arrondissement"/>
    <s v="CMR"/>
    <s v="Cameroun"/>
    <s v="CMR004"/>
    <s v="Extrême-Nord"/>
    <s v="CMR004002"/>
    <s v="Logone-Et-Chari"/>
    <s v="CMR004002008"/>
    <s v="Fotokol"/>
  </r>
  <r>
    <s v="Extrême-Nord"/>
    <s v="CMR004"/>
    <x v="2"/>
    <s v="CMR004002"/>
    <x v="8"/>
    <s v="CMR004002009"/>
    <s v="MAK-0143"/>
    <s v="NDARKA"/>
    <m/>
    <x v="0"/>
    <x v="0"/>
    <n v="8"/>
    <n v="42"/>
    <s v="Conflits liés à GANE (BH)"/>
    <m/>
    <s v="Même département, autre arrondissement"/>
    <s v="CMR"/>
    <s v="Cameroun"/>
    <s v="CMR004"/>
    <s v="Extrême-Nord"/>
    <s v="CMR004002"/>
    <s v="Logone-Et-Chari"/>
    <s v="CMR004002008"/>
    <s v="Fotokol"/>
  </r>
  <r>
    <s v="Extrême-Nord"/>
    <s v="CMR004"/>
    <x v="2"/>
    <s v="CMR004002"/>
    <x v="8"/>
    <s v="CMR004002009"/>
    <s v="MAK-0143"/>
    <s v="NDARKA"/>
    <m/>
    <x v="0"/>
    <x v="1"/>
    <n v="3"/>
    <n v="42"/>
    <s v="Conflits liés à GANE (BH)"/>
    <m/>
    <s v="Même département, autre arrondissement"/>
    <s v="CMR"/>
    <s v="Cameroun"/>
    <s v="CMR004"/>
    <s v="Extrême-Nord"/>
    <s v="CMR004002"/>
    <s v="Logone-Et-Chari"/>
    <s v="CMR004002008"/>
    <s v="Fotokol"/>
  </r>
  <r>
    <s v="Extrême-Nord"/>
    <s v="CMR004"/>
    <x v="2"/>
    <s v="CMR004002"/>
    <x v="8"/>
    <s v="CMR004002009"/>
    <s v="MAK-0143"/>
    <s v="NDARKA"/>
    <m/>
    <x v="0"/>
    <x v="4"/>
    <n v="2"/>
    <n v="11"/>
    <s v="Conflits liés à GANE (BH)"/>
    <m/>
    <s v="Même arrondissement"/>
    <s v="CMR"/>
    <s v="Cameroun"/>
    <s v="CMR004"/>
    <s v="Extrême-Nord"/>
    <s v="CMR004002"/>
    <s v="Logone-Et-Chari"/>
    <s v="CMR004002009"/>
    <s v="Makary"/>
  </r>
  <r>
    <s v="Extrême-Nord"/>
    <s v="CMR004"/>
    <x v="2"/>
    <s v="CMR004002"/>
    <x v="8"/>
    <s v="CMR004002009"/>
    <s v="MAK-0143"/>
    <s v="NDARKA"/>
    <m/>
    <x v="0"/>
    <x v="3"/>
    <n v="15"/>
    <n v="63"/>
    <s v="Conflit intercommunautaire"/>
    <m/>
    <s v="Même département, autre arrondissement"/>
    <s v="CMR"/>
    <s v="Cameroun"/>
    <s v="CMR004"/>
    <s v="Extrême-Nord"/>
    <s v="CMR004002"/>
    <s v="Logone-Et-Chari"/>
    <s v="CMR004002004"/>
    <s v="Logone-Birni"/>
  </r>
  <r>
    <s v="Extrême-Nord"/>
    <s v="CMR004"/>
    <x v="2"/>
    <s v="CMR004002"/>
    <x v="8"/>
    <s v="CMR004002009"/>
    <s v="MAK-0075"/>
    <s v="NDEGO 4"/>
    <m/>
    <x v="0"/>
    <x v="0"/>
    <n v="4"/>
    <n v="31"/>
    <s v="Conflits liés à GANE (BH)"/>
    <m/>
    <s v="Même département, autre arrondissement"/>
    <s v="CMR"/>
    <s v="Cameroun"/>
    <s v="CMR004"/>
    <s v="Extrême-Nord"/>
    <s v="CMR004002"/>
    <s v="Logone-Et-Chari"/>
    <m/>
    <s v="Hile-Alifa"/>
  </r>
  <r>
    <s v="Extrême-Nord"/>
    <s v="CMR004"/>
    <x v="2"/>
    <s v="CMR004002"/>
    <x v="8"/>
    <s v="CMR004002009"/>
    <s v="MAK-0075"/>
    <s v="NDEGO 4"/>
    <m/>
    <x v="0"/>
    <x v="3"/>
    <n v="7"/>
    <n v="24"/>
    <s v="Conflits liés à GANE (BH)"/>
    <m/>
    <s v="Même département, autre arrondissement"/>
    <s v="CMR"/>
    <s v="Cameroun"/>
    <s v="CMR004"/>
    <s v="Extrême-Nord"/>
    <s v="CMR004002"/>
    <s v="Logone-Et-Chari"/>
    <m/>
    <s v="Hile-Alifa"/>
  </r>
  <r>
    <s v="Extrême-Nord"/>
    <s v="CMR004"/>
    <x v="2"/>
    <s v="CMR004002"/>
    <x v="8"/>
    <s v="CMR004002009"/>
    <s v="MAK-0075"/>
    <s v="NDEGO 4"/>
    <m/>
    <x v="0"/>
    <x v="2"/>
    <n v="11"/>
    <n v="31"/>
    <s v="Conflits liés à GANE (BH)"/>
    <m/>
    <s v="Même département, autre arrondissement"/>
    <s v="CMR"/>
    <s v="Cameroun"/>
    <s v="CMR004"/>
    <s v="Extrême-Nord"/>
    <s v="CMR004002"/>
    <s v="Logone-Et-Chari"/>
    <s v="CMR004002007"/>
    <s v="Darak"/>
  </r>
  <r>
    <s v="Extrême-Nord"/>
    <s v="CMR004"/>
    <x v="2"/>
    <s v="CMR004002"/>
    <x v="8"/>
    <s v="CMR004002009"/>
    <s v="MAK-0074"/>
    <s v="NDEGO 1"/>
    <m/>
    <x v="0"/>
    <x v="4"/>
    <n v="4"/>
    <n v="15"/>
    <s v="Conflits liés à GANE (BH)"/>
    <m/>
    <s v="Même arrondissement"/>
    <s v="CMR"/>
    <s v="Cameroun"/>
    <s v="CMR004"/>
    <s v="Extrême-Nord"/>
    <s v="CMR004002"/>
    <s v="Logone-Et-Chari"/>
    <s v="CMR004002009"/>
    <s v="Makary"/>
  </r>
  <r>
    <s v="Extrême-Nord"/>
    <s v="CMR004"/>
    <x v="2"/>
    <s v="CMR004002"/>
    <x v="8"/>
    <s v="CMR004002009"/>
    <s v="MAK-0074"/>
    <s v="NDEGO 1"/>
    <m/>
    <x v="0"/>
    <x v="1"/>
    <n v="27"/>
    <n v="120"/>
    <s v="Conflits liés à GANE (BH)"/>
    <m/>
    <s v="Même département, autre arrondissement"/>
    <s v="CMR"/>
    <s v="Cameroun"/>
    <s v="CMR004"/>
    <s v="Extrême-Nord"/>
    <s v="CMR004002"/>
    <s v="Logone-Et-Chari"/>
    <s v="CMR004002008"/>
    <s v="Fotokol"/>
  </r>
  <r>
    <s v="Extrême-Nord"/>
    <s v="CMR004"/>
    <x v="2"/>
    <s v="CMR004002"/>
    <x v="8"/>
    <s v="CMR004002009"/>
    <s v="MAK-0109"/>
    <s v="GALE-GALE"/>
    <m/>
    <x v="0"/>
    <x v="3"/>
    <n v="7"/>
    <n v="107"/>
    <s v="Conflits liés à GANE (BH)"/>
    <m/>
    <s v="Même arrondissement"/>
    <s v="CMR"/>
    <s v="Cameroun"/>
    <s v="CMR004"/>
    <s v="Extrême-Nord"/>
    <s v="CMR004002"/>
    <s v="Logone-Et-Chari"/>
    <s v="CMR004002009"/>
    <s v="Makary"/>
  </r>
  <r>
    <s v="Extrême-Nord"/>
    <s v="CMR004"/>
    <x v="2"/>
    <s v="CMR004002"/>
    <x v="8"/>
    <s v="CMR004002009"/>
    <s v="MAK-0137"/>
    <s v="GOULOUMBO"/>
    <m/>
    <x v="0"/>
    <x v="3"/>
    <n v="11"/>
    <n v="112"/>
    <s v="Conflits liés à GANE (BH)"/>
    <m/>
    <s v="Même arrondissement"/>
    <s v="CMR"/>
    <s v="Cameroun"/>
    <s v="CMR004"/>
    <s v="Extrême-Nord"/>
    <s v="CMR004002"/>
    <s v="Logone-Et-Chari"/>
    <s v="CMR004002009"/>
    <s v="Makary"/>
  </r>
  <r>
    <s v="Extrême-Nord"/>
    <s v="CMR004"/>
    <x v="2"/>
    <s v="CMR004002"/>
    <x v="8"/>
    <s v="CMR004002009"/>
    <s v="MAK-0187"/>
    <s v="HEREDIBE MOUSSA"/>
    <m/>
    <x v="0"/>
    <x v="3"/>
    <n v="7"/>
    <n v="74"/>
    <s v="Conflits liés à GANE (BH)"/>
    <m/>
    <s v="Même arrondissement"/>
    <s v="CMR"/>
    <s v="Cameroun"/>
    <s v="CMR004"/>
    <s v="Extrême-Nord"/>
    <s v="CMR004002"/>
    <s v="Logone-Et-Chari"/>
    <s v="CMR004002009"/>
    <s v="Makary"/>
  </r>
  <r>
    <s v="Extrême-Nord"/>
    <s v="CMR004"/>
    <x v="2"/>
    <s v="CMR004002"/>
    <x v="8"/>
    <s v="CMR004002009"/>
    <s v="MAK-0142"/>
    <s v="MONGNOKO"/>
    <m/>
    <x v="0"/>
    <x v="3"/>
    <n v="35"/>
    <n v="330"/>
    <s v="Conflits liés à GANE (BH)"/>
    <m/>
    <s v="Même arrondissement"/>
    <s v="CMR"/>
    <s v="Cameroun"/>
    <s v="CMR004"/>
    <s v="Extrême-Nord"/>
    <s v="CMR004002"/>
    <s v="Logone-Et-Chari"/>
    <s v="CMR004002009"/>
    <s v="Makary"/>
  </r>
  <r>
    <s v="Extrême-Nord"/>
    <s v="CMR004"/>
    <x v="2"/>
    <s v="CMR004002"/>
    <x v="8"/>
    <s v="CMR004002009"/>
    <s v="MAK-0176"/>
    <s v="NAÏRA"/>
    <m/>
    <x v="0"/>
    <x v="3"/>
    <n v="20"/>
    <n v="112"/>
    <s v="Conflits liés à GANE (BH)"/>
    <m/>
    <s v="Même département, autre arrondissement"/>
    <s v="CMR"/>
    <s v="Cameroun"/>
    <s v="CMR004"/>
    <s v="Extrême-Nord"/>
    <s v="CMR004002"/>
    <s v="Logone-Et-Chari"/>
    <s v="CMR004002007"/>
    <s v="Darak"/>
  </r>
  <r>
    <s v="Extrême-Nord"/>
    <s v="CMR004"/>
    <x v="2"/>
    <s v="CMR004002"/>
    <x v="8"/>
    <s v="CMR004002009"/>
    <s v="MAK-0176"/>
    <s v="NAÏRA"/>
    <m/>
    <x v="0"/>
    <x v="2"/>
    <n v="9"/>
    <n v="53"/>
    <s v="Inondations saisonnières ou fortes pluies"/>
    <m/>
    <s v="Même département, autre arrondissement"/>
    <s v="CMR"/>
    <s v="Cameroun"/>
    <s v="CMR004"/>
    <s v="Extrême-Nord"/>
    <s v="CMR004002"/>
    <s v="Logone-Et-Chari"/>
    <s v="CMR004002007"/>
    <s v="Darak"/>
  </r>
  <r>
    <s v="Extrême-Nord"/>
    <s v="CMR004"/>
    <x v="2"/>
    <s v="CMR004002"/>
    <x v="8"/>
    <s v="CMR004002009"/>
    <s v="MAK-0168"/>
    <s v="FADJE ADOUM"/>
    <m/>
    <x v="0"/>
    <x v="3"/>
    <n v="13"/>
    <n v="90"/>
    <s v="Conflits liés à GANE (BH)"/>
    <m/>
    <s v="Même département, autre arrondissement"/>
    <s v="CMR"/>
    <s v="Cameroun"/>
    <s v="CMR004"/>
    <s v="Extrême-Nord"/>
    <s v="CMR004002"/>
    <s v="Logone-Et-Chari"/>
    <s v="CMR004002007"/>
    <s v="Darak"/>
  </r>
  <r>
    <s v="Extrême-Nord"/>
    <s v="CMR004"/>
    <x v="2"/>
    <s v="CMR004002"/>
    <x v="8"/>
    <s v="CMR004002009"/>
    <s v="MAK-0218"/>
    <s v="HABOBA"/>
    <m/>
    <x v="0"/>
    <x v="3"/>
    <n v="2"/>
    <n v="8"/>
    <s v="Conflits liés à GANE (BH)"/>
    <m/>
    <s v="Même département, autre arrondissement"/>
    <s v="CMR"/>
    <s v="Cameroun"/>
    <s v="CMR004"/>
    <s v="Extrême-Nord"/>
    <s v="CMR004002"/>
    <s v="Logone-Et-Chari"/>
    <s v="CMR004002007"/>
    <s v="Darak"/>
  </r>
  <r>
    <s v="Extrême-Nord"/>
    <s v="CMR004"/>
    <x v="2"/>
    <s v="CMR004002"/>
    <x v="15"/>
    <s v="CMR004002004"/>
    <s v="LBI-0036"/>
    <s v="DOKI"/>
    <m/>
    <x v="0"/>
    <x v="0"/>
    <n v="8"/>
    <n v="53"/>
    <s v="Conflits liés à GANE (BH)"/>
    <m/>
    <s v="Même arrondissement"/>
    <s v="CMR"/>
    <s v="Cameroun"/>
    <s v="CMR004"/>
    <s v="Extrême-Nord"/>
    <s v="CMR004002"/>
    <s v="Logone-Et-Chari"/>
    <s v="CMR004002004"/>
    <s v="Logone-Birni"/>
  </r>
  <r>
    <s v="Extrême-Nord"/>
    <s v="CMR004"/>
    <x v="2"/>
    <s v="CMR004002"/>
    <x v="15"/>
    <s v="CMR004002004"/>
    <s v="LBI-0048"/>
    <s v="DABANGA ARDEBE"/>
    <m/>
    <x v="0"/>
    <x v="4"/>
    <n v="3"/>
    <n v="18"/>
    <s v="Conflits liés à GANE (BH)"/>
    <m/>
    <s v="Même arrondissement"/>
    <s v="CMR"/>
    <s v="Cameroun"/>
    <s v="CMR004"/>
    <s v="Extrême-Nord"/>
    <s v="CMR004002"/>
    <s v="Logone-Et-Chari"/>
    <s v="CMR004002004"/>
    <s v="Logone-Birni"/>
  </r>
  <r>
    <s v="Extrême-Nord"/>
    <s v="CMR004"/>
    <x v="2"/>
    <s v="CMR004002"/>
    <x v="15"/>
    <s v="CMR004002004"/>
    <s v="LBI-0049"/>
    <s v="DABANGA MOULHIYE"/>
    <m/>
    <x v="0"/>
    <x v="0"/>
    <n v="10"/>
    <n v="58"/>
    <s v="Conflits liés à GANE (BH)"/>
    <m/>
    <s v="Même arrondissement"/>
    <s v="CMR"/>
    <s v="Cameroun"/>
    <s v="CMR004"/>
    <s v="Extrême-Nord"/>
    <s v="CMR004002"/>
    <s v="Logone-Et-Chari"/>
    <s v="CMR004002004"/>
    <s v="Logone-Birni"/>
  </r>
  <r>
    <s v="Extrême-Nord"/>
    <s v="CMR004"/>
    <x v="2"/>
    <s v="CMR004002"/>
    <x v="15"/>
    <s v="CMR004002004"/>
    <s v="LBI-0049"/>
    <s v="DABANGA MOULHIYE"/>
    <m/>
    <x v="0"/>
    <x v="4"/>
    <n v="20"/>
    <n v="125"/>
    <s v="Conflits liés à GANE (BH)"/>
    <m/>
    <s v="Même arrondissement"/>
    <s v="CMR"/>
    <s v="Cameroun"/>
    <s v="CMR004"/>
    <s v="Extrême-Nord"/>
    <s v="CMR004002"/>
    <s v="Logone-Et-Chari"/>
    <s v="CMR004002004"/>
    <s v="Logone-Birni"/>
  </r>
  <r>
    <s v="Extrême-Nord"/>
    <s v="CMR004"/>
    <x v="2"/>
    <s v="CMR004002"/>
    <x v="15"/>
    <s v="CMR004002004"/>
    <s v="LBI-0001"/>
    <s v="KABO"/>
    <m/>
    <x v="0"/>
    <x v="0"/>
    <n v="116"/>
    <n v="778"/>
    <s v="Conflits liés à GANE (BH)"/>
    <m/>
    <s v="Même arrondissement"/>
    <s v="CMR"/>
    <s v="Cameroun"/>
    <s v="CMR004"/>
    <s v="Extrême-Nord"/>
    <s v="CMR004002"/>
    <s v="Logone-Et-Chari"/>
    <s v="CMR004002004"/>
    <s v="Logone-Birni"/>
  </r>
  <r>
    <s v="Extrême-Nord"/>
    <s v="CMR004"/>
    <x v="1"/>
    <s v="CMR004006"/>
    <x v="14"/>
    <s v="CMR004006007"/>
    <s v="BOU-0002"/>
    <s v="GAMBOURA"/>
    <m/>
    <x v="0"/>
    <x v="2"/>
    <n v="2"/>
    <n v="7"/>
    <s v="Conflits liés à GANE (BH)"/>
    <m/>
    <s v="Même département, autre arrondissement"/>
    <s v="CMR"/>
    <s v="Cameroun"/>
    <s v="CMR004"/>
    <s v="Extrême-Nord"/>
    <s v="CMR004006"/>
    <s v="Mayo-Tsanaga"/>
    <s v="CMR004006002"/>
    <s v="Mokolo"/>
  </r>
  <r>
    <s v="Extrême-Nord"/>
    <s v="CMR004"/>
    <x v="2"/>
    <s v="CMR004002"/>
    <x v="15"/>
    <s v="CMR004002004"/>
    <s v="LBI-0046"/>
    <s v="DABANGA 2"/>
    <m/>
    <x v="0"/>
    <x v="4"/>
    <n v="10"/>
    <n v="85"/>
    <s v="Conflits liés à GANE (BH)"/>
    <m/>
    <s v="Même arrondissement"/>
    <s v="CMR"/>
    <s v="Cameroun"/>
    <s v="CMR004"/>
    <s v="Extrême-Nord"/>
    <s v="CMR004002"/>
    <s v="Logone-Et-Chari"/>
    <s v="CMR004002004"/>
    <s v="Logone-Birni"/>
  </r>
  <r>
    <s v="Extrême-Nord"/>
    <s v="CMR004"/>
    <x v="2"/>
    <s v="CMR004002"/>
    <x v="15"/>
    <s v="CMR004002004"/>
    <s v="LBI-0046"/>
    <s v="DABANGA 2"/>
    <m/>
    <x v="0"/>
    <x v="0"/>
    <n v="15"/>
    <n v="130"/>
    <s v="Conflits liés à GANE (BH)"/>
    <m/>
    <s v="Même arrondissement"/>
    <s v="CMR"/>
    <s v="Cameroun"/>
    <s v="CMR004"/>
    <s v="Extrême-Nord"/>
    <s v="CMR004002"/>
    <s v="Logone-Et-Chari"/>
    <s v="CMR004002004"/>
    <s v="Logone-Birni"/>
  </r>
  <r>
    <s v="Extrême-Nord"/>
    <s v="CMR004"/>
    <x v="2"/>
    <s v="CMR004002"/>
    <x v="15"/>
    <s v="CMR004002004"/>
    <s v="XXXX"/>
    <s v="SITE DE SALERI"/>
    <s v="SITE DE SALERI"/>
    <x v="0"/>
    <x v="0"/>
    <n v="82"/>
    <n v="567"/>
    <s v="Conflits liés à GANE (BH)"/>
    <m/>
    <s v="Même arrondissement"/>
    <s v="CMR"/>
    <s v="Cameroun"/>
    <s v="CMR004"/>
    <s v="Extrême-Nord"/>
    <s v="CMR004002"/>
    <s v="Logone-Et-Chari"/>
    <s v="CMR004002004"/>
    <s v="Logone-Birni"/>
  </r>
  <r>
    <s v="Extrême-Nord"/>
    <s v="CMR004"/>
    <x v="2"/>
    <s v="CMR004002"/>
    <x v="15"/>
    <s v="CMR004002004"/>
    <s v="XXXX"/>
    <s v="SITE DE TABOYE"/>
    <s v="SITE DE TABOYE"/>
    <x v="0"/>
    <x v="0"/>
    <n v="74"/>
    <n v="612"/>
    <s v="Conflits liés à GANE (BH)"/>
    <m/>
    <s v="Même arrondissement"/>
    <s v="CMR"/>
    <s v="Cameroun"/>
    <s v="CMR004"/>
    <s v="Extrême-Nord"/>
    <s v="CMR004002"/>
    <s v="Logone-Et-Chari"/>
    <s v="CMR004002004"/>
    <s v="Logone-Birni"/>
  </r>
  <r>
    <s v="Extrême-Nord"/>
    <s v="CMR004"/>
    <x v="2"/>
    <s v="CMR004002"/>
    <x v="15"/>
    <s v="CMR004002004"/>
    <s v="XXXX"/>
    <s v="SITE DE TABOYE"/>
    <s v="SITE DE TABOYE"/>
    <x v="0"/>
    <x v="1"/>
    <n v="0"/>
    <n v="10"/>
    <s v="Conflits liés à GANE (BH)"/>
    <m/>
    <s v="Même arrondissement"/>
    <s v="CMR"/>
    <s v="Cameroun"/>
    <s v="CMR004"/>
    <s v="Extrême-Nord"/>
    <s v="CMR004002"/>
    <s v="Logone-Et-Chari"/>
    <s v="CMR004002004"/>
    <s v="Logone-Birni"/>
  </r>
  <r>
    <s v="Extrême-Nord"/>
    <s v="CMR004"/>
    <x v="2"/>
    <s v="CMR004002"/>
    <x v="8"/>
    <s v="CMR004002009"/>
    <s v="MAK-0064"/>
    <s v="MARGUI"/>
    <m/>
    <x v="0"/>
    <x v="0"/>
    <n v="23"/>
    <n v="231"/>
    <s v="Conflits liés à GANE (BH)"/>
    <m/>
    <s v="Même département, autre arrondissement"/>
    <s v="CMR"/>
    <s v="Cameroun"/>
    <s v="CMR004"/>
    <s v="Extrême-Nord"/>
    <s v="CMR004002"/>
    <s v="Logone-Et-Chari"/>
    <s v="CMR004002008"/>
    <s v="Fotokol"/>
  </r>
  <r>
    <s v="Extrême-Nord"/>
    <s v="CMR004"/>
    <x v="2"/>
    <s v="CMR004002"/>
    <x v="8"/>
    <s v="CMR004002009"/>
    <s v="MAK-0182"/>
    <s v="TREBOULO 2"/>
    <m/>
    <x v="0"/>
    <x v="3"/>
    <n v="26"/>
    <n v="147"/>
    <s v="Conflit intercommunautaire"/>
    <m/>
    <s v="Même arrondissement"/>
    <s v="CMR"/>
    <s v="Cameroun"/>
    <s v="CMR004"/>
    <s v="Extrême-Nord"/>
    <s v="CMR004002"/>
    <s v="Logone-Et-Chari"/>
    <s v="CMR004002009"/>
    <s v="Makary"/>
  </r>
  <r>
    <s v="Extrême-Nord"/>
    <s v="CMR004"/>
    <x v="2"/>
    <s v="CMR004002"/>
    <x v="9"/>
    <s v="CMR004002010"/>
    <s v="HIL-0002"/>
    <s v="ABASSOUNI 1"/>
    <m/>
    <x v="0"/>
    <x v="0"/>
    <n v="70"/>
    <n v="488"/>
    <s v="Conflits liés à GANE (BH)"/>
    <m/>
    <s v="Même département, autre arrondissement"/>
    <s v="CMR"/>
    <s v="Cameroun"/>
    <s v="CMR004"/>
    <s v="Extrême-Nord"/>
    <s v="CMR004002"/>
    <s v="Logone-Et-Chari"/>
    <s v="CMR004002008"/>
    <s v="Fotokol"/>
  </r>
  <r>
    <s v="Extrême-Nord"/>
    <s v="CMR004"/>
    <x v="2"/>
    <s v="CMR004002"/>
    <x v="9"/>
    <s v="CMR004002010"/>
    <s v="HIL-0002"/>
    <s v="ABASSOUNI 1"/>
    <m/>
    <x v="0"/>
    <x v="4"/>
    <n v="0"/>
    <n v="7"/>
    <s v="Conflits liés à GANE (BH)"/>
    <m/>
    <s v="Même arrondissement"/>
    <s v="CMR"/>
    <s v="Cameroun"/>
    <s v="CMR004"/>
    <s v="Extrême-Nord"/>
    <s v="CMR004002"/>
    <s v="Logone-Et-Chari"/>
    <s v="CMR004002010"/>
    <s v="Hile-Alifa"/>
  </r>
  <r>
    <s v="Extrême-Nord"/>
    <s v="CMR004"/>
    <x v="2"/>
    <s v="CMR004002"/>
    <x v="9"/>
    <s v="CMR004002010"/>
    <s v="HIL-0002"/>
    <s v="ABASSOUNI 1"/>
    <m/>
    <x v="0"/>
    <x v="3"/>
    <n v="39"/>
    <n v="342"/>
    <s v="Conflits liés à GANE (BH)"/>
    <m/>
    <s v="Même arrondissement"/>
    <s v="CMR"/>
    <s v="Cameroun"/>
    <s v="CMR004"/>
    <s v="Extrême-Nord"/>
    <s v="CMR004002"/>
    <s v="Logone-Et-Chari"/>
    <s v="CMR004002010"/>
    <s v="Hile-Alifa"/>
  </r>
  <r>
    <s v="Extrême-Nord"/>
    <s v="CMR004"/>
    <x v="2"/>
    <s v="CMR004002"/>
    <x v="9"/>
    <s v="CMR004002010"/>
    <s v="HIL-0002"/>
    <s v="ABASSOUNI 1"/>
    <m/>
    <x v="0"/>
    <x v="2"/>
    <n v="31"/>
    <n v="217"/>
    <s v="Conflits liés à GANE (BH)"/>
    <m/>
    <s v="Même arrondissement"/>
    <s v="CMR"/>
    <s v="Cameroun"/>
    <s v="CMR004"/>
    <s v="Extrême-Nord"/>
    <s v="CMR004002"/>
    <s v="Logone-Et-Chari"/>
    <s v="CMR004002010"/>
    <s v="Hile-Alifa"/>
  </r>
  <r>
    <s v="Extrême-Nord"/>
    <s v="CMR004"/>
    <x v="2"/>
    <s v="CMR004002"/>
    <x v="8"/>
    <s v="CMR004002009"/>
    <s v="MAK-0024"/>
    <s v="DAMBA 1"/>
    <m/>
    <x v="0"/>
    <x v="3"/>
    <n v="6"/>
    <n v="50"/>
    <s v="Conflits liés à GANE (BH)"/>
    <m/>
    <s v="Même arrondissement"/>
    <s v="CMR"/>
    <s v="Cameroun"/>
    <s v="CMR004"/>
    <s v="Extrême-Nord"/>
    <s v="CMR004002"/>
    <s v="Logone-Et-Chari"/>
    <s v="CMR004002009"/>
    <s v="Makary"/>
  </r>
  <r>
    <s v="Extrême-Nord"/>
    <s v="CMR004"/>
    <x v="2"/>
    <s v="CMR004002"/>
    <x v="8"/>
    <s v="CMR004002009"/>
    <s v="MAK-0068"/>
    <s v="MEITO"/>
    <m/>
    <x v="0"/>
    <x v="3"/>
    <n v="12"/>
    <n v="74"/>
    <s v="Conflits liés à GANE (BH)"/>
    <m/>
    <s v="Même arrondissement"/>
    <s v="CMR"/>
    <s v="Cameroun"/>
    <s v="CMR004"/>
    <s v="Extrême-Nord"/>
    <s v="CMR004002"/>
    <s v="Logone-Et-Chari"/>
    <s v="CMR004002009"/>
    <s v="Makary"/>
  </r>
  <r>
    <s v="Extrême-Nord"/>
    <s v="CMR004"/>
    <x v="2"/>
    <s v="CMR004002"/>
    <x v="8"/>
    <s v="CMR004002009"/>
    <s v="MAK-0085"/>
    <s v="NGONFLA 2"/>
    <m/>
    <x v="0"/>
    <x v="3"/>
    <n v="1"/>
    <n v="9"/>
    <s v="Conflits liés à GANE (BH)"/>
    <m/>
    <s v="Même arrondissement"/>
    <s v="CMR"/>
    <s v="Cameroun"/>
    <s v="CMR004"/>
    <s v="Extrême-Nord"/>
    <s v="CMR004002"/>
    <s v="Logone-Et-Chari"/>
    <s v="CMR004002009"/>
    <s v="Makary"/>
  </r>
  <r>
    <s v="Extrême-Nord"/>
    <s v="CMR004"/>
    <x v="2"/>
    <s v="CMR004002"/>
    <x v="8"/>
    <s v="CMR004002009"/>
    <s v="MAK-0069"/>
    <s v="MISKA-AFADE"/>
    <m/>
    <x v="0"/>
    <x v="3"/>
    <n v="15"/>
    <n v="98"/>
    <s v="Conflits liés à GANE (BH)"/>
    <m/>
    <s v="Même arrondissement"/>
    <s v="CMR"/>
    <s v="Cameroun"/>
    <s v="CMR004"/>
    <s v="Extrême-Nord"/>
    <s v="CMR004002"/>
    <s v="Logone-Et-Chari"/>
    <s v="CMR004002009"/>
    <s v="Makary"/>
  </r>
  <r>
    <s v="Extrême-Nord"/>
    <s v="CMR004"/>
    <x v="2"/>
    <s v="CMR004002"/>
    <x v="8"/>
    <s v="CMR004002009"/>
    <s v="MAK-0186"/>
    <s v="SITE DE BLEM"/>
    <m/>
    <x v="0"/>
    <x v="3"/>
    <n v="3"/>
    <n v="16"/>
    <s v="Conflits liés à GANE (BH)"/>
    <m/>
    <s v="Même arrondissement"/>
    <s v="CMR"/>
    <s v="Cameroun"/>
    <s v="CMR004"/>
    <s v="Extrême-Nord"/>
    <s v="CMR004002"/>
    <s v="Logone-Et-Chari"/>
    <s v="CMR004002009"/>
    <s v="Makary"/>
  </r>
  <r>
    <s v="Extrême-Nord"/>
    <s v="CMR004"/>
    <x v="2"/>
    <s v="CMR004002"/>
    <x v="8"/>
    <s v="CMR004002009"/>
    <s v="MAK-0096"/>
    <s v="MESSIO"/>
    <m/>
    <x v="0"/>
    <x v="0"/>
    <n v="14"/>
    <n v="89"/>
    <s v="Conflits liés à GANE (BH)"/>
    <m/>
    <s v="Même département, autre arrondissement"/>
    <s v="CMR"/>
    <s v="Cameroun"/>
    <s v="CMR004"/>
    <s v="Extrême-Nord"/>
    <s v="CMR004002"/>
    <s v="Logone-Et-Chari"/>
    <s v="CMR004002008"/>
    <s v="Fotokol"/>
  </r>
  <r>
    <s v="Extrême-Nord"/>
    <s v="CMR004"/>
    <x v="2"/>
    <s v="CMR004002"/>
    <x v="8"/>
    <s v="CMR004002009"/>
    <s v="MAK-0096"/>
    <s v="MESSIO"/>
    <m/>
    <x v="0"/>
    <x v="1"/>
    <n v="0"/>
    <n v="5"/>
    <s v="Conflits liés à GANE (BH)"/>
    <m/>
    <s v="Même département, autre arrondissement"/>
    <s v="CMR"/>
    <s v="Cameroun"/>
    <s v="CMR004"/>
    <s v="Extrême-Nord"/>
    <s v="CMR004002"/>
    <s v="Logone-Et-Chari"/>
    <m/>
    <s v="Hile-Alifa"/>
  </r>
  <r>
    <s v="Extrême-Nord"/>
    <s v="CMR004"/>
    <x v="2"/>
    <s v="CMR004002"/>
    <x v="8"/>
    <s v="CMR004002009"/>
    <s v="MAK-0029"/>
    <s v="DJIMTILO"/>
    <m/>
    <x v="0"/>
    <x v="0"/>
    <n v="14"/>
    <n v="84"/>
    <s v="Conflits liés à GANE (BH)"/>
    <m/>
    <s v="Même département, autre arrondissement"/>
    <s v="CMR"/>
    <s v="Cameroun"/>
    <s v="CMR004"/>
    <s v="Extrême-Nord"/>
    <s v="CMR004002"/>
    <s v="Logone-Et-Chari"/>
    <s v="CMR004002008"/>
    <s v="Fotokol"/>
  </r>
  <r>
    <s v="Extrême-Nord"/>
    <s v="CMR004"/>
    <x v="2"/>
    <s v="CMR004002"/>
    <x v="8"/>
    <s v="CMR004002009"/>
    <s v="MAK-0029"/>
    <s v="DJIMTILO"/>
    <m/>
    <x v="0"/>
    <x v="2"/>
    <n v="1"/>
    <n v="3"/>
    <s v="Inondations saisonnières ou fortes pluies"/>
    <m/>
    <s v="Même arrondissement"/>
    <s v="CMR"/>
    <s v="Cameroun"/>
    <s v="CMR004"/>
    <s v="Extrême-Nord"/>
    <s v="CMR004002"/>
    <s v="Logone-Et-Chari"/>
    <s v="CMR004002009"/>
    <s v="Makary"/>
  </r>
  <r>
    <s v="Extrême-Nord"/>
    <s v="CMR004"/>
    <x v="2"/>
    <s v="CMR004002"/>
    <x v="8"/>
    <s v="CMR004002009"/>
    <s v="MAK-0019"/>
    <s v="BLOUMTAGUI"/>
    <m/>
    <x v="0"/>
    <x v="0"/>
    <n v="6"/>
    <n v="28"/>
    <s v="Conflits liés à GANE (BH)"/>
    <m/>
    <s v="Même département, autre arrondissement"/>
    <s v="CMR"/>
    <s v="Cameroun"/>
    <s v="CMR004"/>
    <s v="Extrême-Nord"/>
    <s v="CMR004002"/>
    <s v="Logone-Et-Chari"/>
    <s v="CMR004002008"/>
    <s v="Fotokol"/>
  </r>
  <r>
    <s v="Extrême-Nord"/>
    <s v="CMR004"/>
    <x v="2"/>
    <s v="CMR004002"/>
    <x v="8"/>
    <s v="CMR004002009"/>
    <s v="MAK-0019"/>
    <s v="BLOUMTAGUI"/>
    <m/>
    <x v="0"/>
    <x v="3"/>
    <n v="1"/>
    <n v="2"/>
    <s v="Conflits liés à GANE (BH)"/>
    <m/>
    <s v="Même département, autre arrondissement"/>
    <s v="CMR"/>
    <s v="Cameroun"/>
    <s v="CMR004"/>
    <s v="Extrême-Nord"/>
    <s v="CMR004002"/>
    <s v="Logone-Et-Chari"/>
    <s v="CMR004002007"/>
    <s v="Darak"/>
  </r>
  <r>
    <s v="Extrême-Nord"/>
    <s v="CMR004"/>
    <x v="2"/>
    <s v="CMR004002"/>
    <x v="10"/>
    <s v="CMR004002003"/>
    <s v="BLA-0006"/>
    <s v="GORE KOUBOU"/>
    <m/>
    <x v="0"/>
    <x v="0"/>
    <n v="1"/>
    <n v="4"/>
    <s v="Conflits liés à GANE (BH)"/>
    <m/>
    <s v="Même arrondissement"/>
    <s v="CMR"/>
    <s v="Cameroun"/>
    <s v="CMR004"/>
    <s v="Extrême-Nord"/>
    <s v="CMR004002"/>
    <s v="Logone-Et-Chari"/>
    <s v="CMR004002003"/>
    <s v="Blangoua"/>
  </r>
  <r>
    <s v="Extrême-Nord"/>
    <s v="CMR004"/>
    <x v="4"/>
    <s v="CMR004005"/>
    <x v="17"/>
    <s v="CMR004005002"/>
    <s v="MOR-0080"/>
    <s v="BIWANA"/>
    <m/>
    <x v="0"/>
    <x v="1"/>
    <n v="29"/>
    <n v="200"/>
    <s v="Conflits liés à GANE (BH)"/>
    <m/>
    <s v="Même arrondissement"/>
    <s v="CMR"/>
    <s v="Cameroun"/>
    <s v="CMR004"/>
    <s v="Extrême-Nord"/>
    <s v="CMR004005"/>
    <s v="Mayo-Sava"/>
    <s v="CMR004005002"/>
    <s v="Mora"/>
  </r>
  <r>
    <s v="Extrême-Nord"/>
    <s v="CMR004"/>
    <x v="4"/>
    <s v="CMR004005"/>
    <x v="17"/>
    <s v="CMR004005002"/>
    <s v="MOR-0080"/>
    <s v="BIWANA"/>
    <m/>
    <x v="0"/>
    <x v="4"/>
    <n v="63"/>
    <n v="484"/>
    <s v="Conflits liés à GANE (BH)"/>
    <m/>
    <s v="Même arrondissement"/>
    <s v="CMR"/>
    <s v="Cameroun"/>
    <s v="CMR004"/>
    <s v="Extrême-Nord"/>
    <s v="CMR004005"/>
    <s v="Mayo-Sava"/>
    <s v="CMR004005002"/>
    <s v="Mora"/>
  </r>
  <r>
    <s v="Extrême-Nord"/>
    <s v="CMR004"/>
    <x v="4"/>
    <s v="CMR004005"/>
    <x v="17"/>
    <s v="CMR004005002"/>
    <s v="MOR-0080"/>
    <s v="BIWANA"/>
    <m/>
    <x v="0"/>
    <x v="3"/>
    <n v="3"/>
    <n v="13"/>
    <s v="Conflits liés à GANE (BH)"/>
    <m/>
    <s v="Même arrondissement"/>
    <s v="CMR"/>
    <s v="Cameroun"/>
    <s v="CMR004"/>
    <s v="Extrême-Nord"/>
    <s v="CMR004005"/>
    <s v="Mayo-Sava"/>
    <s v="CMR004005002"/>
    <s v="Mora"/>
  </r>
  <r>
    <s v="Extrême-Nord"/>
    <s v="CMR004"/>
    <x v="4"/>
    <s v="CMR004005"/>
    <x v="17"/>
    <s v="CMR004005002"/>
    <s v="MOR-0080"/>
    <s v="BIWANA"/>
    <m/>
    <x v="0"/>
    <x v="2"/>
    <n v="5"/>
    <n v="28"/>
    <s v="Conflits liés à GANE (BH)"/>
    <m/>
    <s v="Même arrondissement"/>
    <s v="CMR"/>
    <s v="Cameroun"/>
    <s v="CMR004"/>
    <s v="Extrême-Nord"/>
    <s v="CMR004005"/>
    <s v="Mayo-Sava"/>
    <s v="CMR004005002"/>
    <s v="Mora"/>
  </r>
  <r>
    <s v="Extrême-Nord"/>
    <s v="CMR004"/>
    <x v="4"/>
    <s v="CMR004005"/>
    <x v="17"/>
    <s v="CMR004005002"/>
    <s v="MOR-0088"/>
    <s v="BABA SIMON KOURGUI"/>
    <m/>
    <x v="0"/>
    <x v="4"/>
    <n v="29"/>
    <n v="114"/>
    <s v="Conflits liés à GANE (BH)"/>
    <m/>
    <s v="Même département, autre arrondissement"/>
    <s v="CMR"/>
    <s v="Cameroun"/>
    <s v="CMR004"/>
    <s v="Extrême-Nord"/>
    <s v="CMR004005"/>
    <s v="Mayo-Sava"/>
    <s v="CMR004005001"/>
    <s v="Kolofata"/>
  </r>
  <r>
    <s v="Extrême-Nord"/>
    <s v="CMR004"/>
    <x v="4"/>
    <s v="CMR004005"/>
    <x v="17"/>
    <s v="CMR004005002"/>
    <s v="MOR-0088"/>
    <s v="BABA SIMON KOURGUI"/>
    <m/>
    <x v="0"/>
    <x v="2"/>
    <n v="1"/>
    <n v="4"/>
    <s v="Conflits liés à GANE (BH)"/>
    <m/>
    <s v="Même arrondissement"/>
    <s v="CMR"/>
    <s v="Cameroun"/>
    <s v="CMR004"/>
    <s v="Extrême-Nord"/>
    <s v="CMR004005"/>
    <s v="Mayo-Sava"/>
    <s v="CMR004005002"/>
    <s v="Mora"/>
  </r>
  <r>
    <s v="Extrême-Nord"/>
    <s v="CMR004"/>
    <x v="4"/>
    <s v="CMR004005"/>
    <x v="17"/>
    <s v="CMR004005002"/>
    <s v="MOR-0088"/>
    <s v="BABA SIMON KOURGUI"/>
    <m/>
    <x v="0"/>
    <x v="3"/>
    <n v="14"/>
    <n v="87"/>
    <s v="Conflits liés à GANE (BH)"/>
    <m/>
    <s v="Même arrondissement"/>
    <s v="CMR"/>
    <s v="Cameroun"/>
    <s v="CMR004"/>
    <s v="Extrême-Nord"/>
    <s v="CMR004005"/>
    <s v="Mayo-Sava"/>
    <s v="CMR004005002"/>
    <s v="Mora"/>
  </r>
  <r>
    <s v="Extrême-Nord"/>
    <s v="CMR004"/>
    <x v="4"/>
    <s v="CMR004005"/>
    <x v="17"/>
    <s v="CMR004005002"/>
    <s v="MOR-0075"/>
    <s v="SITE DE GALBI"/>
    <m/>
    <x v="0"/>
    <x v="4"/>
    <n v="6"/>
    <n v="39"/>
    <s v="Conflits liés à GANE (BH)"/>
    <m/>
    <s v="Même arrondissement"/>
    <s v="CMR"/>
    <s v="Cameroun"/>
    <s v="CMR004"/>
    <s v="Extrême-Nord"/>
    <s v="CMR004005"/>
    <s v="Mayo-Sava"/>
    <s v="CMR004005002"/>
    <s v="Mora"/>
  </r>
  <r>
    <s v="Extrême-Nord"/>
    <s v="CMR004"/>
    <x v="4"/>
    <s v="CMR004005"/>
    <x v="17"/>
    <s v="CMR004005002"/>
    <s v="MOR-0075"/>
    <s v="SITE DE GALBI"/>
    <m/>
    <x v="0"/>
    <x v="3"/>
    <n v="0"/>
    <n v="15"/>
    <s v="Conflits liés à GANE (BH)"/>
    <m/>
    <s v="Même arrondissement"/>
    <s v="CMR"/>
    <s v="Cameroun"/>
    <s v="CMR004"/>
    <s v="Extrême-Nord"/>
    <s v="CMR004005"/>
    <s v="Mayo-Sava"/>
    <s v="CMR004005002"/>
    <s v="Mora"/>
  </r>
  <r>
    <s v="Extrême-Nord"/>
    <s v="CMR004"/>
    <x v="4"/>
    <s v="CMR004005"/>
    <x v="17"/>
    <s v="CMR004005002"/>
    <s v="MOR-0075"/>
    <s v="SITE DE GALBI"/>
    <m/>
    <x v="0"/>
    <x v="2"/>
    <n v="0"/>
    <n v="10"/>
    <s v="Autre raison"/>
    <s v="Naissance "/>
    <s v="Même arrondissement"/>
    <s v="CMR"/>
    <s v="Cameroun"/>
    <s v="CMR004"/>
    <s v="Extrême-Nord"/>
    <s v="CMR004005"/>
    <s v="Mayo-Sava"/>
    <s v="CMR004005002"/>
    <s v="Mora"/>
  </r>
  <r>
    <s v="Extrême-Nord"/>
    <s v="CMR004"/>
    <x v="4"/>
    <s v="CMR004005"/>
    <x v="17"/>
    <s v="CMR004005002"/>
    <s v="MOR-0075"/>
    <s v="SITE DE GALBI"/>
    <m/>
    <x v="0"/>
    <x v="1"/>
    <n v="25"/>
    <n v="260"/>
    <s v="Conflits liés à GANE (BH)"/>
    <m/>
    <s v="Même arrondissement"/>
    <s v="CMR"/>
    <s v="Cameroun"/>
    <s v="CMR004"/>
    <s v="Extrême-Nord"/>
    <s v="CMR004005"/>
    <s v="Mayo-Sava"/>
    <s v="CMR004005002"/>
    <s v="Mora"/>
  </r>
  <r>
    <s v="Extrême-Nord"/>
    <s v="CMR004"/>
    <x v="4"/>
    <s v="CMR004005"/>
    <x v="17"/>
    <s v="CMR004005002"/>
    <s v="MOR-0018"/>
    <s v="SANDALE 1"/>
    <m/>
    <x v="0"/>
    <x v="0"/>
    <n v="118"/>
    <n v="680"/>
    <s v="Conflits liés à GANE (BH)"/>
    <m/>
    <s v="Même arrondissement"/>
    <s v="CMR"/>
    <s v="Cameroun"/>
    <s v="CMR004"/>
    <s v="Extrême-Nord"/>
    <s v="CMR004005"/>
    <s v="Mayo-Sava"/>
    <s v="CMR004005002"/>
    <s v="Mora"/>
  </r>
  <r>
    <s v="Extrême-Nord"/>
    <s v="CMR004"/>
    <x v="4"/>
    <s v="CMR004005"/>
    <x v="17"/>
    <s v="CMR004005002"/>
    <s v="MOR-0018"/>
    <s v="SANDALE 1"/>
    <m/>
    <x v="0"/>
    <x v="1"/>
    <n v="20"/>
    <n v="80"/>
    <s v="Conflits liés à GANE (BH)"/>
    <m/>
    <s v="Même arrondissement"/>
    <s v="CMR"/>
    <s v="Cameroun"/>
    <s v="CMR004"/>
    <s v="Extrême-Nord"/>
    <s v="CMR004005"/>
    <s v="Mayo-Sava"/>
    <s v="CMR004005002"/>
    <s v="Mora"/>
  </r>
  <r>
    <s v="Extrême-Nord"/>
    <s v="CMR004"/>
    <x v="4"/>
    <s v="CMR004005"/>
    <x v="17"/>
    <s v="CMR004005002"/>
    <s v="MOR-0018"/>
    <s v="SANDALE 1"/>
    <m/>
    <x v="0"/>
    <x v="4"/>
    <n v="8"/>
    <n v="66"/>
    <s v="Conflits liés à GANE (BH)"/>
    <m/>
    <s v="Même arrondissement"/>
    <s v="CMR"/>
    <s v="Cameroun"/>
    <s v="CMR004"/>
    <s v="Extrême-Nord"/>
    <s v="CMR004005"/>
    <s v="Mayo-Sava"/>
    <s v="CMR004005002"/>
    <s v="Mora"/>
  </r>
  <r>
    <s v="Extrême-Nord"/>
    <s v="CMR004"/>
    <x v="4"/>
    <s v="CMR004005"/>
    <x v="17"/>
    <s v="CMR004005002"/>
    <s v="MOR-0018"/>
    <s v="SANDALE 1"/>
    <m/>
    <x v="0"/>
    <x v="3"/>
    <n v="2"/>
    <n v="29"/>
    <s v="Conflits liés à GANE (BH)"/>
    <m/>
    <s v="Même arrondissement"/>
    <s v="CMR"/>
    <s v="Cameroun"/>
    <s v="CMR004"/>
    <s v="Extrême-Nord"/>
    <s v="CMR004005"/>
    <s v="Mayo-Sava"/>
    <s v="CMR004005002"/>
    <s v="Mora"/>
  </r>
  <r>
    <s v="Extrême-Nord"/>
    <s v="CMR004"/>
    <x v="4"/>
    <s v="CMR004005"/>
    <x v="17"/>
    <s v="CMR004005002"/>
    <s v="MOR-0018"/>
    <s v="SANDALE 1"/>
    <m/>
    <x v="0"/>
    <x v="2"/>
    <n v="5"/>
    <n v="25"/>
    <s v="Conflits liés à GANE (BH)"/>
    <m/>
    <s v="Même arrondissement"/>
    <s v="CMR"/>
    <s v="Cameroun"/>
    <s v="CMR004"/>
    <s v="Extrême-Nord"/>
    <s v="CMR004005"/>
    <s v="Mayo-Sava"/>
    <s v="CMR004005002"/>
    <s v="Mora"/>
  </r>
  <r>
    <s v="Extrême-Nord"/>
    <s v="CMR004"/>
    <x v="4"/>
    <s v="CMR004005"/>
    <x v="17"/>
    <s v="CMR004005002"/>
    <s v="MOR-0028"/>
    <s v="GOUDJOUMDELE"/>
    <m/>
    <x v="0"/>
    <x v="0"/>
    <n v="11"/>
    <n v="55"/>
    <s v="Conflits liés à GANE (BH)"/>
    <m/>
    <s v="Même arrondissement"/>
    <s v="CMR"/>
    <s v="Cameroun"/>
    <s v="CMR004"/>
    <s v="Extrême-Nord"/>
    <s v="CMR004005"/>
    <s v="Mayo-Sava"/>
    <s v="CMR004005002"/>
    <s v="Mora"/>
  </r>
  <r>
    <s v="Extrême-Nord"/>
    <s v="CMR004"/>
    <x v="4"/>
    <s v="CMR004005"/>
    <x v="17"/>
    <s v="CMR004005002"/>
    <s v="MOR-0028"/>
    <s v="GOUDJOUMDELE"/>
    <m/>
    <x v="0"/>
    <x v="1"/>
    <n v="25"/>
    <n v="93"/>
    <s v="Conflits liés à GANE (BH)"/>
    <m/>
    <s v="Même arrondissement"/>
    <s v="CMR"/>
    <s v="Cameroun"/>
    <s v="CMR004"/>
    <s v="Extrême-Nord"/>
    <s v="CMR004005"/>
    <s v="Mayo-Sava"/>
    <s v="CMR004005002"/>
    <s v="Mora"/>
  </r>
  <r>
    <s v="Extrême-Nord"/>
    <s v="CMR004"/>
    <x v="4"/>
    <s v="CMR004005"/>
    <x v="17"/>
    <s v="CMR004005002"/>
    <s v="MOR-0028"/>
    <s v="GOUDJOUMDELE"/>
    <m/>
    <x v="0"/>
    <x v="4"/>
    <n v="25"/>
    <n v="147"/>
    <s v="Conflits liés à GANE (BH)"/>
    <m/>
    <s v="Même arrondissement"/>
    <s v="CMR"/>
    <s v="Cameroun"/>
    <s v="CMR004"/>
    <s v="Extrême-Nord"/>
    <s v="CMR004005"/>
    <s v="Mayo-Sava"/>
    <s v="CMR004005002"/>
    <s v="Mora"/>
  </r>
  <r>
    <s v="Extrême-Nord"/>
    <s v="CMR004"/>
    <x v="4"/>
    <s v="CMR004005"/>
    <x v="17"/>
    <s v="CMR004005002"/>
    <s v="MOR-0028"/>
    <s v="GOUDJOUMDELE"/>
    <m/>
    <x v="0"/>
    <x v="3"/>
    <n v="3"/>
    <n v="39"/>
    <s v="Conflits liés à GANE (BH)"/>
    <m/>
    <s v="Même arrondissement"/>
    <s v="CMR"/>
    <s v="Cameroun"/>
    <s v="CMR004"/>
    <s v="Extrême-Nord"/>
    <s v="CMR004005"/>
    <s v="Mayo-Sava"/>
    <s v="CMR004005002"/>
    <s v="Mora"/>
  </r>
  <r>
    <s v="Extrême-Nord"/>
    <s v="CMR004"/>
    <x v="4"/>
    <s v="CMR004005"/>
    <x v="17"/>
    <s v="CMR004005002"/>
    <s v="MOR-0028"/>
    <s v="GOUDJOUMDELE"/>
    <m/>
    <x v="0"/>
    <x v="2"/>
    <n v="10"/>
    <n v="32"/>
    <s v="Conflits liés à GANE (BH)"/>
    <m/>
    <s v="Même arrondissement"/>
    <s v="CMR"/>
    <s v="Cameroun"/>
    <s v="CMR004"/>
    <s v="Extrême-Nord"/>
    <s v="CMR004005"/>
    <s v="Mayo-Sava"/>
    <s v="CMR004005002"/>
    <s v="Mora"/>
  </r>
  <r>
    <s v="Extrême-Nord"/>
    <s v="CMR004"/>
    <x v="4"/>
    <s v="CMR004005"/>
    <x v="17"/>
    <s v="CMR004005002"/>
    <s v="MOR-0065"/>
    <s v="MANGAVE ABBA FADI"/>
    <m/>
    <x v="0"/>
    <x v="0"/>
    <n v="31"/>
    <n v="107"/>
    <s v="Conflits liés à GANE (BH)"/>
    <m/>
    <s v="Même arrondissement"/>
    <s v="CMR"/>
    <s v="Cameroun"/>
    <s v="CMR004"/>
    <s v="Extrême-Nord"/>
    <s v="CMR004005"/>
    <s v="Mayo-Sava"/>
    <s v="CMR004005002"/>
    <s v="Mora"/>
  </r>
  <r>
    <s v="Extrême-Nord"/>
    <s v="CMR004"/>
    <x v="4"/>
    <s v="CMR004005"/>
    <x v="17"/>
    <s v="CMR004005002"/>
    <s v="MOR-0065"/>
    <s v="MANGAVE ABBA FADI"/>
    <m/>
    <x v="0"/>
    <x v="1"/>
    <n v="5"/>
    <n v="45"/>
    <s v="Conflits liés à GANE (BH)"/>
    <m/>
    <s v="Même arrondissement"/>
    <s v="CMR"/>
    <s v="Cameroun"/>
    <s v="CMR004"/>
    <s v="Extrême-Nord"/>
    <s v="CMR004005"/>
    <s v="Mayo-Sava"/>
    <s v="CMR004005002"/>
    <s v="Mora"/>
  </r>
  <r>
    <s v="Extrême-Nord"/>
    <s v="CMR004"/>
    <x v="4"/>
    <s v="CMR004005"/>
    <x v="17"/>
    <s v="CMR004005002"/>
    <s v="MOR-0065"/>
    <s v="MANGAVE ABBA FADI"/>
    <m/>
    <x v="0"/>
    <x v="4"/>
    <n v="0"/>
    <n v="5"/>
    <s v="Autre raison"/>
    <s v="Naissance "/>
    <s v="Même arrondissement"/>
    <s v="CMR"/>
    <s v="Cameroun"/>
    <s v="CMR004"/>
    <s v="Extrême-Nord"/>
    <s v="CMR004005"/>
    <s v="Mayo-Sava"/>
    <s v="CMR004005002"/>
    <s v="Mora"/>
  </r>
  <r>
    <s v="Extrême-Nord"/>
    <s v="CMR004"/>
    <x v="4"/>
    <s v="CMR004005"/>
    <x v="17"/>
    <s v="CMR004005002"/>
    <s v="MOR-0065"/>
    <s v="MANGAVE ABBA FADI"/>
    <m/>
    <x v="0"/>
    <x v="3"/>
    <n v="0"/>
    <n v="7"/>
    <s v="Autre raison"/>
    <s v="Naissance "/>
    <s v="Même arrondissement"/>
    <s v="CMR"/>
    <s v="Cameroun"/>
    <s v="CMR004"/>
    <s v="Extrême-Nord"/>
    <s v="CMR004005"/>
    <s v="Mayo-Sava"/>
    <s v="CMR004005002"/>
    <s v="Mora"/>
  </r>
  <r>
    <s v="Extrême-Nord"/>
    <s v="CMR004"/>
    <x v="2"/>
    <s v="CMR004002"/>
    <x v="8"/>
    <s v="CMR004002009"/>
    <s v="MAK-0215"/>
    <s v="ARDEBE"/>
    <m/>
    <x v="0"/>
    <x v="0"/>
    <n v="13"/>
    <n v="97"/>
    <s v="Conflits liés à GANE (BH)"/>
    <m/>
    <s v="Même département, autre arrondissement"/>
    <s v="CMR"/>
    <s v="Cameroun"/>
    <s v="CMR004"/>
    <s v="Extrême-Nord"/>
    <s v="CMR004002"/>
    <s v="Logone-Et-Chari"/>
    <s v="CMR004002008"/>
    <s v="Fotokol"/>
  </r>
  <r>
    <s v="Extrême-Nord"/>
    <s v="CMR004"/>
    <x v="2"/>
    <s v="CMR004002"/>
    <x v="8"/>
    <s v="CMR004002009"/>
    <s v="MAK-0215"/>
    <s v="ARDEBE"/>
    <m/>
    <x v="0"/>
    <x v="4"/>
    <n v="3"/>
    <n v="16"/>
    <s v="Conflits liés à GANE (BH)"/>
    <m/>
    <s v="Même département, autre arrondissement"/>
    <s v="CMR"/>
    <s v="Cameroun"/>
    <s v="CMR004"/>
    <s v="Extrême-Nord"/>
    <s v="CMR004002"/>
    <s v="Logone-Et-Chari"/>
    <s v="CMR004002007"/>
    <s v="Darak"/>
  </r>
  <r>
    <s v="Extrême-Nord"/>
    <s v="CMR004"/>
    <x v="2"/>
    <s v="CMR004002"/>
    <x v="8"/>
    <s v="CMR004002009"/>
    <s v="MAK-0084"/>
    <s v="NGLEME"/>
    <m/>
    <x v="0"/>
    <x v="0"/>
    <n v="20"/>
    <n v="178"/>
    <s v="Conflits liés à GANE (BH)"/>
    <m/>
    <s v="Même département, autre arrondissement"/>
    <s v="CMR"/>
    <s v="Cameroun"/>
    <s v="CMR004"/>
    <s v="Extrême-Nord"/>
    <s v="CMR004002"/>
    <s v="Logone-Et-Chari"/>
    <s v="CMR004002008"/>
    <s v="Fotokol"/>
  </r>
  <r>
    <s v="Extrême-Nord"/>
    <s v="CMR004"/>
    <x v="2"/>
    <s v="CMR004002"/>
    <x v="8"/>
    <s v="CMR004002009"/>
    <s v="MAK-0084"/>
    <s v="NGLEME"/>
    <m/>
    <x v="0"/>
    <x v="1"/>
    <n v="0"/>
    <n v="3"/>
    <s v="Conflits liés à GANE (BH)"/>
    <m/>
    <s v="Même département, autre arrondissement"/>
    <s v="CMR"/>
    <s v="Cameroun"/>
    <s v="CMR004"/>
    <s v="Extrême-Nord"/>
    <s v="CMR004002"/>
    <s v="Logone-Et-Chari"/>
    <s v="CMR004002008"/>
    <s v="Fotokol"/>
  </r>
  <r>
    <s v="Extrême-Nord"/>
    <s v="CMR004"/>
    <x v="2"/>
    <s v="CMR004002"/>
    <x v="8"/>
    <s v="CMR004002009"/>
    <s v="MAK-0084"/>
    <s v="NGLEME"/>
    <m/>
    <x v="0"/>
    <x v="4"/>
    <n v="0"/>
    <n v="5"/>
    <s v="Conflits liés à GANE (BH)"/>
    <m/>
    <s v="Même département, autre arrondissement"/>
    <s v="CMR"/>
    <s v="Cameroun"/>
    <s v="CMR004"/>
    <s v="Extrême-Nord"/>
    <s v="CMR004002"/>
    <s v="Logone-Et-Chari"/>
    <s v="CMR004002008"/>
    <s v="Fotokol"/>
  </r>
  <r>
    <s v="Extrême-Nord"/>
    <s v="CMR004"/>
    <x v="2"/>
    <s v="CMR004002"/>
    <x v="8"/>
    <s v="CMR004002009"/>
    <s v="MAK-0084"/>
    <s v="NGLEME"/>
    <m/>
    <x v="0"/>
    <x v="3"/>
    <n v="0"/>
    <n v="3"/>
    <s v="Conflits liés à GANE (BH)"/>
    <m/>
    <s v="Même département, autre arrondissement"/>
    <s v="CMR"/>
    <s v="Cameroun"/>
    <s v="CMR004"/>
    <s v="Extrême-Nord"/>
    <s v="CMR004002"/>
    <s v="Logone-Et-Chari"/>
    <s v="CMR004002008"/>
    <s v="Fotokol"/>
  </r>
  <r>
    <s v="Extrême-Nord"/>
    <s v="CMR004"/>
    <x v="0"/>
    <s v="CMR004001"/>
    <x v="6"/>
    <s v="CMR004001001"/>
    <s v="MA3-0001"/>
    <s v="DOUGOI"/>
    <m/>
    <x v="0"/>
    <x v="0"/>
    <n v="75"/>
    <n v="440"/>
    <s v="Conflits liés à GANE (BH)"/>
    <m/>
    <s v="Autre département"/>
    <s v="CMR"/>
    <s v="Cameroun"/>
    <s v="CMR004"/>
    <s v="Extrême-Nord"/>
    <s v="CMR004005"/>
    <s v="Mayo-Sava"/>
    <m/>
    <m/>
  </r>
  <r>
    <s v="Extrême-Nord"/>
    <s v="CMR004"/>
    <x v="2"/>
    <s v="CMR004002"/>
    <x v="10"/>
    <s v="CMR004002003"/>
    <s v="BLA-0009"/>
    <s v="KOFIA"/>
    <m/>
    <x v="0"/>
    <x v="0"/>
    <n v="300"/>
    <n v="1209"/>
    <s v="Conflits liés à GANE (BH)"/>
    <m/>
    <s v="Même département, autre arrondissement"/>
    <s v="CMR"/>
    <s v="Cameroun"/>
    <s v="CMR004"/>
    <s v="Extrême-Nord"/>
    <s v="CMR004002"/>
    <s v="Logone-Et-Chari"/>
    <s v="CMR004002007"/>
    <s v="Darak"/>
  </r>
  <r>
    <s v="Extrême-Nord"/>
    <s v="CMR004"/>
    <x v="2"/>
    <s v="CMR004002"/>
    <x v="10"/>
    <s v="CMR004002003"/>
    <s v="BLA-0021"/>
    <s v="KOKI"/>
    <m/>
    <x v="0"/>
    <x v="0"/>
    <n v="2"/>
    <n v="14"/>
    <s v="Conflits liés à GANE (BH)"/>
    <m/>
    <s v="Même arrondissement"/>
    <s v="CMR"/>
    <s v="Cameroun"/>
    <s v="CMR004"/>
    <s v="Extrême-Nord"/>
    <s v="CMR004002"/>
    <s v="Logone-Et-Chari"/>
    <s v="CMR004002003"/>
    <s v="Blangoua"/>
  </r>
  <r>
    <s v="Extrême-Nord"/>
    <s v="CMR004"/>
    <x v="2"/>
    <s v="CMR004002"/>
    <x v="10"/>
    <s v="CMR004002003"/>
    <s v="BLA-0021"/>
    <s v="KOKI"/>
    <m/>
    <x v="0"/>
    <x v="1"/>
    <n v="3"/>
    <n v="21"/>
    <s v="Conflits liés à GANE (BH)"/>
    <m/>
    <s v="Même arrondissement"/>
    <s v="CMR"/>
    <s v="Cameroun"/>
    <s v="CMR004"/>
    <s v="Extrême-Nord"/>
    <s v="CMR004002"/>
    <s v="Logone-Et-Chari"/>
    <s v="CMR004002003"/>
    <s v="Blangoua"/>
  </r>
  <r>
    <s v="Extrême-Nord"/>
    <s v="CMR004"/>
    <x v="2"/>
    <s v="CMR004002"/>
    <x v="10"/>
    <s v="CMR004002003"/>
    <s v="BLA-0021"/>
    <s v="KOKI"/>
    <m/>
    <x v="0"/>
    <x v="2"/>
    <n v="13"/>
    <n v="91"/>
    <s v="Conflits liés à GANE (BH)"/>
    <m/>
    <s v="Même arrondissement"/>
    <s v="CMR"/>
    <s v="Cameroun"/>
    <s v="CMR004"/>
    <s v="Extrême-Nord"/>
    <s v="CMR004002"/>
    <s v="Logone-Et-Chari"/>
    <s v="CMR004002003"/>
    <s v="Blangoua"/>
  </r>
  <r>
    <s v="Extrême-Nord"/>
    <s v="CMR004"/>
    <x v="1"/>
    <s v="CMR004006"/>
    <x v="7"/>
    <s v="CMR004006005"/>
    <s v="MOZ-0018"/>
    <s v="KRAWA-MAFA"/>
    <m/>
    <x v="0"/>
    <x v="0"/>
    <n v="92"/>
    <n v="373"/>
    <s v="Conflits liés à GANE (BH)"/>
    <m/>
    <s v="Même arrondissement"/>
    <s v="CMR"/>
    <s v="Cameroun"/>
    <s v="CMR004"/>
    <s v="Extrême-Nord"/>
    <s v="CMR004006"/>
    <s v="Mayo-Tsanaga"/>
    <s v="CMR004006005"/>
    <s v="Mayo-Moskota"/>
  </r>
  <r>
    <s v="Extrême-Nord"/>
    <s v="CMR004"/>
    <x v="1"/>
    <s v="CMR004006"/>
    <x v="7"/>
    <s v="CMR004006005"/>
    <s v="MOZ-0018"/>
    <s v="KRAWA-MAFA"/>
    <m/>
    <x v="0"/>
    <x v="1"/>
    <n v="6"/>
    <n v="30"/>
    <s v="Conflits liés à GANE (BH)"/>
    <m/>
    <s v="Même arrondissement"/>
    <s v="CMR"/>
    <s v="Cameroun"/>
    <s v="CMR004"/>
    <s v="Extrême-Nord"/>
    <s v="CMR004006"/>
    <s v="Mayo-Tsanaga"/>
    <s v="CMR004006005"/>
    <s v="Mayo-Moskota"/>
  </r>
  <r>
    <s v="Extrême-Nord"/>
    <s v="CMR004"/>
    <x v="1"/>
    <s v="CMR004006"/>
    <x v="7"/>
    <s v="CMR004006005"/>
    <s v="MOZ-0018"/>
    <s v="KRAWA-MAFA"/>
    <m/>
    <x v="0"/>
    <x v="4"/>
    <n v="21"/>
    <n v="121"/>
    <s v="Conflits liés à GANE (BH)"/>
    <m/>
    <s v="Même arrondissement"/>
    <s v="CMR"/>
    <s v="Cameroun"/>
    <s v="CMR004"/>
    <s v="Extrême-Nord"/>
    <s v="CMR004006"/>
    <s v="Mayo-Tsanaga"/>
    <s v="CMR004006005"/>
    <s v="Mayo-Moskota"/>
  </r>
  <r>
    <s v="Extrême-Nord"/>
    <s v="CMR004"/>
    <x v="1"/>
    <s v="CMR004006"/>
    <x v="7"/>
    <s v="CMR004006005"/>
    <s v="MOZ-0018"/>
    <s v="KRAWA-MAFA"/>
    <m/>
    <x v="0"/>
    <x v="3"/>
    <n v="2"/>
    <n v="3"/>
    <s v="Conflits liés à GANE (BH)"/>
    <m/>
    <s v="Même arrondissement"/>
    <s v="CMR"/>
    <s v="Cameroun"/>
    <s v="CMR004"/>
    <s v="Extrême-Nord"/>
    <s v="CMR004006"/>
    <s v="Mayo-Tsanaga"/>
    <s v="CMR004006005"/>
    <s v="Mayo-Moskota"/>
  </r>
  <r>
    <s v="Extrême-Nord"/>
    <s v="CMR004"/>
    <x v="1"/>
    <s v="CMR004006"/>
    <x v="7"/>
    <s v="CMR004006005"/>
    <s v="MOZ-0004"/>
    <s v="KELARI"/>
    <m/>
    <x v="0"/>
    <x v="0"/>
    <n v="30"/>
    <n v="150"/>
    <s v="Conflits liés à GANE (BH)"/>
    <m/>
    <s v="Même arrondissement"/>
    <s v="CMR"/>
    <s v="Cameroun"/>
    <s v="CMR004"/>
    <s v="Extrême-Nord"/>
    <s v="CMR004006"/>
    <s v="Mayo-Tsanaga"/>
    <s v="CMR004006005"/>
    <s v="Mayo-Moskota"/>
  </r>
  <r>
    <s v="Extrême-Nord"/>
    <s v="CMR004"/>
    <x v="1"/>
    <s v="CMR004006"/>
    <x v="7"/>
    <s v="CMR004006005"/>
    <s v="MOZ-0004"/>
    <s v="KELARI"/>
    <m/>
    <x v="0"/>
    <x v="4"/>
    <n v="7"/>
    <n v="65"/>
    <s v="Conflits liés à GANE (BH)"/>
    <m/>
    <s v="Même arrondissement"/>
    <s v="CMR"/>
    <s v="Cameroun"/>
    <s v="CMR004"/>
    <s v="Extrême-Nord"/>
    <s v="CMR004006"/>
    <s v="Mayo-Tsanaga"/>
    <s v="CMR004006005"/>
    <s v="Mayo-Moskota"/>
  </r>
  <r>
    <s v="Extrême-Nord"/>
    <s v="CMR004"/>
    <x v="1"/>
    <s v="CMR004006"/>
    <x v="7"/>
    <s v="CMR004006005"/>
    <s v="MOZ-0004"/>
    <s v="KELARI"/>
    <m/>
    <x v="0"/>
    <x v="3"/>
    <n v="11"/>
    <n v="37"/>
    <s v="Conflits liés à GANE (BH)"/>
    <m/>
    <s v="Même arrondissement"/>
    <s v="CMR"/>
    <s v="Cameroun"/>
    <s v="CMR004"/>
    <s v="Extrême-Nord"/>
    <s v="CMR004006"/>
    <s v="Mayo-Tsanaga"/>
    <s v="CMR004006005"/>
    <s v="Mayo-Moskota"/>
  </r>
  <r>
    <s v="Extrême-Nord"/>
    <s v="CMR004"/>
    <x v="1"/>
    <s v="CMR004006"/>
    <x v="7"/>
    <s v="CMR004006005"/>
    <s v="MOZ-0004"/>
    <s v="KELARI"/>
    <m/>
    <x v="0"/>
    <x v="2"/>
    <n v="12"/>
    <n v="34"/>
    <s v="Conflits liés à GANE (BH)"/>
    <m/>
    <s v="Même arrondissement"/>
    <s v="CMR"/>
    <s v="Cameroun"/>
    <s v="CMR004"/>
    <s v="Extrême-Nord"/>
    <s v="CMR004006"/>
    <s v="Mayo-Tsanaga"/>
    <s v="CMR004006005"/>
    <s v="Mayo-Moskota"/>
  </r>
  <r>
    <s v="Extrême-Nord"/>
    <s v="CMR004"/>
    <x v="0"/>
    <s v="CMR004001"/>
    <x v="2"/>
    <s v="CMR004001005"/>
    <s v="BOG-0002"/>
    <s v="SITE DE ARDJANIRE"/>
    <m/>
    <x v="0"/>
    <x v="4"/>
    <n v="312"/>
    <n v="1874"/>
    <s v="Conflit intercommunautaire"/>
    <m/>
    <s v="Autre département"/>
    <s v="CMR"/>
    <s v="Cameroun"/>
    <s v="CMR004"/>
    <s v="Extrême-Nord"/>
    <s v="CMR004003"/>
    <s v="Mayo-Danay"/>
    <m/>
    <m/>
  </r>
  <r>
    <s v="Extrême-Nord"/>
    <s v="CMR004"/>
    <x v="0"/>
    <s v="CMR004001"/>
    <x v="2"/>
    <s v="CMR004001005"/>
    <s v="BOG-0007"/>
    <s v="SITE DE OURO DJOUGOULE"/>
    <m/>
    <x v="0"/>
    <x v="4"/>
    <n v="122"/>
    <n v="650"/>
    <s v="Conflit intercommunautaire"/>
    <m/>
    <s v="Autre département"/>
    <s v="CMR"/>
    <s v="Cameroun"/>
    <s v="CMR004"/>
    <s v="Extrême-Nord"/>
    <s v="CMR004003"/>
    <s v="Mayo-Danay"/>
    <m/>
    <m/>
  </r>
  <r>
    <s v="Extrême-Nord"/>
    <s v="CMR004"/>
    <x v="0"/>
    <s v="CMR004001"/>
    <x v="3"/>
    <s v="CMR004001009"/>
    <s v="MA1-0007"/>
    <s v="SITE DE DOMAYO COMPLEXE  (CAMP)"/>
    <m/>
    <x v="0"/>
    <x v="4"/>
    <n v="102"/>
    <n v="708"/>
    <s v="Conflit intercommunautaire"/>
    <m/>
    <s v="Autre département"/>
    <s v="CMR"/>
    <s v="Cameroun"/>
    <s v="CMR004"/>
    <s v="Extrême-Nord"/>
    <s v="CMR004003"/>
    <s v="Mayo-Danay"/>
    <m/>
    <m/>
  </r>
  <r>
    <s v="Extrême-Nord"/>
    <s v="CMR004"/>
    <x v="0"/>
    <s v="CMR004001"/>
    <x v="0"/>
    <s v="CMR004001003"/>
    <s v="XXXX"/>
    <s v="SITE DE OURO DANDJI "/>
    <s v="SITE DE OURO DANDJI "/>
    <x v="0"/>
    <x v="3"/>
    <n v="5"/>
    <n v="48"/>
    <s v="Conflit intercommunautaire"/>
    <m/>
    <s v="Autre département"/>
    <s v="CMR"/>
    <s v="Cameroun"/>
    <s v="CMR004"/>
    <s v="Extrême-Nord"/>
    <s v="CMR004003"/>
    <s v="Mayo-Danay"/>
    <m/>
    <m/>
  </r>
  <r>
    <s v="Extrême-Nord"/>
    <s v="CMR004"/>
    <x v="0"/>
    <s v="CMR004001"/>
    <x v="0"/>
    <s v="CMR004001003"/>
    <s v="PET-0030"/>
    <s v="SITE DE OURO HABIROU"/>
    <m/>
    <x v="0"/>
    <x v="0"/>
    <n v="17"/>
    <n v="135"/>
    <s v="Inondations saisonnières ou fortes pluies"/>
    <m/>
    <s v="Même arrondissement"/>
    <s v="CMR"/>
    <s v="Cameroun"/>
    <s v="CMR004"/>
    <s v="Extrême-Nord"/>
    <s v="CMR004001"/>
    <s v="Diamaré"/>
    <s v="CMR004001003"/>
    <s v="Petté"/>
  </r>
  <r>
    <s v="Extrême-Nord"/>
    <s v="CMR004"/>
    <x v="0"/>
    <s v="CMR004001"/>
    <x v="0"/>
    <s v="CMR004001003"/>
    <s v="PET-0030"/>
    <s v="SITE DE OURO HABIROU"/>
    <m/>
    <x v="0"/>
    <x v="3"/>
    <n v="0"/>
    <n v="5"/>
    <s v="Inondations saisonnières ou fortes pluies"/>
    <m/>
    <s v="Même arrondissement"/>
    <s v="CMR"/>
    <s v="Cameroun"/>
    <s v="CMR004"/>
    <s v="Extrême-Nord"/>
    <s v="CMR004001"/>
    <s v="Diamaré"/>
    <s v="CMR004001003"/>
    <s v="Petté"/>
  </r>
  <r>
    <s v="Extrême-Nord"/>
    <s v="CMR004"/>
    <x v="4"/>
    <s v="CMR004005"/>
    <x v="19"/>
    <s v="CMR004005001"/>
    <s v="KOL-0020"/>
    <s v="KOUYAPE"/>
    <m/>
    <x v="0"/>
    <x v="0"/>
    <n v="125"/>
    <n v="771"/>
    <s v="Conflits liés à GANE (BH)"/>
    <m/>
    <s v="Même arrondissement"/>
    <s v="CMR"/>
    <s v="Cameroun"/>
    <s v="CMR004"/>
    <s v="Extrême-Nord"/>
    <s v="CMR004005"/>
    <s v="Mayo-Sava"/>
    <s v="CMR004005001"/>
    <s v="Kolofata"/>
  </r>
  <r>
    <s v="Extrême-Nord"/>
    <s v="CMR004"/>
    <x v="4"/>
    <s v="CMR004005"/>
    <x v="19"/>
    <s v="CMR004005001"/>
    <s v="KOL-0020"/>
    <s v="KOUYAPE"/>
    <m/>
    <x v="0"/>
    <x v="1"/>
    <n v="489"/>
    <n v="2384"/>
    <s v="Conflits liés à GANE (BH)"/>
    <m/>
    <s v="Même arrondissement"/>
    <s v="CMR"/>
    <s v="Cameroun"/>
    <s v="CMR004"/>
    <s v="Extrême-Nord"/>
    <s v="CMR004005"/>
    <s v="Mayo-Sava"/>
    <s v="CMR004005001"/>
    <s v="Kolofata"/>
  </r>
  <r>
    <s v="Extrême-Nord"/>
    <s v="CMR004"/>
    <x v="4"/>
    <s v="CMR004005"/>
    <x v="19"/>
    <s v="CMR004005001"/>
    <s v="KOL-0020"/>
    <s v="KOUYAPE"/>
    <m/>
    <x v="0"/>
    <x v="4"/>
    <n v="100"/>
    <n v="2520"/>
    <s v="Conflits liés à GANE (BH)"/>
    <m/>
    <s v="Même arrondissement"/>
    <s v="CMR"/>
    <s v="Cameroun"/>
    <s v="CMR004"/>
    <s v="Extrême-Nord"/>
    <s v="CMR004005"/>
    <s v="Mayo-Sava"/>
    <s v="CMR004005001"/>
    <s v="Kolofata"/>
  </r>
  <r>
    <s v="Extrême-Nord"/>
    <s v="CMR004"/>
    <x v="4"/>
    <s v="CMR004005"/>
    <x v="19"/>
    <s v="CMR004005001"/>
    <s v="KOL-0020"/>
    <s v="KOUYAPE"/>
    <m/>
    <x v="0"/>
    <x v="3"/>
    <n v="45"/>
    <n v="357"/>
    <s v="Conflits liés à GANE (BH)"/>
    <m/>
    <s v="Même arrondissement"/>
    <s v="CMR"/>
    <s v="Cameroun"/>
    <s v="CMR004"/>
    <s v="Extrême-Nord"/>
    <s v="CMR004005"/>
    <s v="Mayo-Sava"/>
    <s v="CMR004005001"/>
    <s v="Kolofata"/>
  </r>
  <r>
    <s v="Extrême-Nord"/>
    <s v="CMR004"/>
    <x v="4"/>
    <s v="CMR004005"/>
    <x v="19"/>
    <s v="CMR004005001"/>
    <s v="KOL-0020"/>
    <s v="KOUYAPE"/>
    <m/>
    <x v="0"/>
    <x v="2"/>
    <n v="73"/>
    <n v="556"/>
    <s v="Conflits liés à GANE (BH)"/>
    <m/>
    <s v="Même arrondissement"/>
    <s v="CMR"/>
    <s v="Cameroun"/>
    <s v="CMR004"/>
    <s v="Extrême-Nord"/>
    <s v="CMR004005"/>
    <s v="Mayo-Sava"/>
    <s v="CMR004005001"/>
    <s v="Kolofata"/>
  </r>
  <r>
    <s v="Extrême-Nord"/>
    <s v="CMR004"/>
    <x v="2"/>
    <s v="CMR004002"/>
    <x v="8"/>
    <s v="CMR004002009"/>
    <s v="MAK-0231"/>
    <s v="NGOUT 2"/>
    <m/>
    <x v="0"/>
    <x v="0"/>
    <n v="10"/>
    <n v="70"/>
    <s v="Conflits liés à GANE (BH)"/>
    <m/>
    <s v="Même arrondissement"/>
    <s v="CMR"/>
    <s v="Cameroun"/>
    <s v="CMR004"/>
    <s v="Extrême-Nord"/>
    <s v="CMR004002"/>
    <s v="Logone-Et-Chari"/>
    <s v="CMR004002009"/>
    <s v="Makary"/>
  </r>
  <r>
    <s v="Extrême-Nord"/>
    <s v="CMR004"/>
    <x v="2"/>
    <s v="CMR004002"/>
    <x v="8"/>
    <s v="CMR004002009"/>
    <s v="MAK-0231"/>
    <s v="NGOUT 2"/>
    <m/>
    <x v="0"/>
    <x v="2"/>
    <n v="8"/>
    <n v="71"/>
    <s v="Inondations saisonnières ou fortes pluies"/>
    <m/>
    <s v="Même arrondissement"/>
    <s v="CMR"/>
    <s v="Cameroun"/>
    <s v="CMR004"/>
    <s v="Extrême-Nord"/>
    <s v="CMR004002"/>
    <s v="Logone-Et-Chari"/>
    <s v="CMR004002009"/>
    <s v="Makary"/>
  </r>
  <r>
    <s v="Extrême-Nord"/>
    <s v="CMR004"/>
    <x v="2"/>
    <s v="CMR004002"/>
    <x v="8"/>
    <s v="CMR004002009"/>
    <s v="MAK-0230"/>
    <s v="NGOUT 1"/>
    <m/>
    <x v="0"/>
    <x v="0"/>
    <n v="60"/>
    <n v="90"/>
    <s v="Conflits liés à GANE (BH)"/>
    <m/>
    <s v="Même arrondissement"/>
    <s v="CMR"/>
    <s v="Cameroun"/>
    <s v="CMR004"/>
    <s v="Extrême-Nord"/>
    <s v="CMR004002"/>
    <s v="Logone-Et-Chari"/>
    <s v="CMR004002009"/>
    <s v="Makary"/>
  </r>
  <r>
    <s v="Extrême-Nord"/>
    <s v="CMR004"/>
    <x v="2"/>
    <s v="CMR004002"/>
    <x v="8"/>
    <s v="CMR004002009"/>
    <s v="MAK-0230"/>
    <s v="NGOUT 1"/>
    <m/>
    <x v="0"/>
    <x v="2"/>
    <n v="5"/>
    <n v="15"/>
    <s v="Inondations saisonnières ou fortes pluies"/>
    <m/>
    <s v="Même arrondissement"/>
    <s v="CMR"/>
    <s v="Cameroun"/>
    <s v="CMR004"/>
    <s v="Extrême-Nord"/>
    <s v="CMR004002"/>
    <s v="Logone-Et-Chari"/>
    <s v="CMR004002009"/>
    <s v="Makary"/>
  </r>
  <r>
    <s v="Extrême-Nord"/>
    <s v="CMR004"/>
    <x v="2"/>
    <s v="CMR004002"/>
    <x v="26"/>
    <s v="CMR004002006"/>
    <s v="KOU-0040"/>
    <s v="NDJAMENA"/>
    <m/>
    <x v="0"/>
    <x v="0"/>
    <n v="12"/>
    <n v="100"/>
    <s v="Conflits liés à GANE (BH)"/>
    <m/>
    <s v="Même département, autre arrondissement"/>
    <s v="CMR"/>
    <s v="Cameroun"/>
    <s v="CMR004"/>
    <s v="Extrême-Nord"/>
    <s v="CMR004002"/>
    <s v="Logone-Et-Chari"/>
    <s v="CMR004002008"/>
    <s v="Fotokol"/>
  </r>
  <r>
    <s v="Extrême-Nord"/>
    <s v="CMR004"/>
    <x v="2"/>
    <s v="CMR004002"/>
    <x v="26"/>
    <s v="CMR004002006"/>
    <s v="KOU-0040"/>
    <s v="NDJAMENA"/>
    <m/>
    <x v="0"/>
    <x v="1"/>
    <n v="6"/>
    <n v="54"/>
    <s v="Conflits liés à GANE (BH)"/>
    <m/>
    <s v="Même département, autre arrondissement"/>
    <s v="CMR"/>
    <s v="Cameroun"/>
    <s v="CMR004"/>
    <s v="Extrême-Nord"/>
    <s v="CMR004002"/>
    <s v="Logone-Et-Chari"/>
    <s v="CMR004002008"/>
    <s v="Fotokol"/>
  </r>
  <r>
    <s v="Extrême-Nord"/>
    <s v="CMR004"/>
    <x v="2"/>
    <s v="CMR004002"/>
    <x v="26"/>
    <s v="CMR004002006"/>
    <s v="KOU-0040"/>
    <s v="NDJAMENA"/>
    <m/>
    <x v="0"/>
    <x v="4"/>
    <n v="3"/>
    <n v="30"/>
    <s v="Conflits liés à GANE (BH)"/>
    <m/>
    <s v="Même département, autre arrondissement"/>
    <s v="CMR"/>
    <s v="Cameroun"/>
    <s v="CMR004"/>
    <s v="Extrême-Nord"/>
    <s v="CMR004002"/>
    <s v="Logone-Et-Chari"/>
    <s v="CMR004002008"/>
    <s v="Fotokol"/>
  </r>
  <r>
    <s v="Extrême-Nord"/>
    <s v="CMR004"/>
    <x v="2"/>
    <s v="CMR004002"/>
    <x v="26"/>
    <s v="CMR004002006"/>
    <s v="KOU-0040"/>
    <s v="NDJAMENA"/>
    <m/>
    <x v="0"/>
    <x v="3"/>
    <n v="2"/>
    <n v="20"/>
    <s v="Conflit intercommunautaire"/>
    <m/>
    <s v="Même département, autre arrondissement"/>
    <s v="CMR"/>
    <s v="Cameroun"/>
    <s v="CMR004"/>
    <s v="Extrême-Nord"/>
    <s v="CMR004002"/>
    <s v="Logone-Et-Chari"/>
    <s v="CMR004002004"/>
    <s v="Logone-Birni"/>
  </r>
  <r>
    <s v="Extrême-Nord"/>
    <s v="CMR004"/>
    <x v="2"/>
    <s v="CMR004002"/>
    <x v="26"/>
    <s v="CMR004002006"/>
    <s v="KOU-0042"/>
    <s v="LAKTA 1"/>
    <m/>
    <x v="0"/>
    <x v="1"/>
    <n v="5"/>
    <n v="47"/>
    <s v="Conflits liés à GANE (BH)"/>
    <m/>
    <s v="Même département, autre arrondissement"/>
    <s v="CMR"/>
    <s v="Cameroun"/>
    <s v="CMR004"/>
    <s v="Extrême-Nord"/>
    <s v="CMR004002"/>
    <s v="Logone-Et-Chari"/>
    <s v="CMR004002008"/>
    <s v="Fotokol"/>
  </r>
  <r>
    <s v="Extrême-Nord"/>
    <s v="CMR004"/>
    <x v="2"/>
    <s v="CMR004002"/>
    <x v="26"/>
    <s v="CMR004002006"/>
    <s v="KOU-0042"/>
    <s v="LAKTA 1"/>
    <m/>
    <x v="0"/>
    <x v="4"/>
    <n v="3"/>
    <n v="15"/>
    <s v="Conflits liés à GANE (BH)"/>
    <m/>
    <s v="Même département, autre arrondissement"/>
    <s v="CMR"/>
    <s v="Cameroun"/>
    <s v="CMR004"/>
    <s v="Extrême-Nord"/>
    <s v="CMR004002"/>
    <s v="Logone-Et-Chari"/>
    <s v="CMR004002004"/>
    <s v="Logone-Birni"/>
  </r>
  <r>
    <s v="Extrême-Nord"/>
    <s v="CMR004"/>
    <x v="2"/>
    <s v="CMR004002"/>
    <x v="26"/>
    <s v="CMR004002006"/>
    <s v="KOU-0042"/>
    <s v="LAKTA 1"/>
    <m/>
    <x v="0"/>
    <x v="3"/>
    <n v="8"/>
    <n v="48"/>
    <s v="Conflit intercommunautaire"/>
    <m/>
    <s v="Même département, autre arrondissement"/>
    <s v="CMR"/>
    <s v="Cameroun"/>
    <s v="CMR004"/>
    <s v="Extrême-Nord"/>
    <s v="CMR004002"/>
    <s v="Logone-Et-Chari"/>
    <s v="CMR004002004"/>
    <s v="Logone-Birni"/>
  </r>
  <r>
    <s v="Extrême-Nord"/>
    <s v="CMR004"/>
    <x v="2"/>
    <s v="CMR004002"/>
    <x v="26"/>
    <s v="CMR004002006"/>
    <s v="KOU-0042"/>
    <s v="LAKTA 1"/>
    <m/>
    <x v="0"/>
    <x v="2"/>
    <n v="2"/>
    <n v="10"/>
    <s v="Inondations saisonnières ou fortes pluies"/>
    <m/>
    <s v="Même département, autre arrondissement"/>
    <s v="CMR"/>
    <s v="Cameroun"/>
    <s v="CMR004"/>
    <s v="Extrême-Nord"/>
    <s v="CMR004002"/>
    <s v="Logone-Et-Chari"/>
    <s v="CMR004002004"/>
    <s v="Logone-Birni"/>
  </r>
  <r>
    <s v="Extrême-Nord"/>
    <s v="CMR004"/>
    <x v="2"/>
    <s v="CMR004002"/>
    <x v="26"/>
    <s v="CMR004002006"/>
    <s v="KOU-0042"/>
    <s v="LAKTA 1"/>
    <m/>
    <x v="0"/>
    <x v="0"/>
    <n v="14"/>
    <n v="47"/>
    <s v="Conflits liés à GANE (BH)"/>
    <m/>
    <s v="Même département, autre arrondissement"/>
    <s v="CMR"/>
    <s v="Cameroun"/>
    <s v="CMR004"/>
    <s v="Extrême-Nord"/>
    <s v="CMR004002"/>
    <s v="Logone-Et-Chari"/>
    <s v="CMR004002008"/>
    <s v="Fotokol"/>
  </r>
  <r>
    <s v="Extrême-Nord"/>
    <s v="CMR004"/>
    <x v="2"/>
    <s v="CMR004002"/>
    <x v="26"/>
    <s v="CMR004002006"/>
    <s v="KOU-0045"/>
    <s v="NIGUE"/>
    <m/>
    <x v="0"/>
    <x v="4"/>
    <n v="2"/>
    <n v="12"/>
    <s v="Conflits liés à GANE (BH)"/>
    <m/>
    <s v="Même département, autre arrondissement"/>
    <s v="CMR"/>
    <s v="Cameroun"/>
    <s v="CMR004"/>
    <s v="Extrême-Nord"/>
    <s v="CMR004002"/>
    <s v="Logone-Et-Chari"/>
    <s v="CMR004002004"/>
    <s v="Logone-Birni"/>
  </r>
  <r>
    <s v="Extrême-Nord"/>
    <s v="CMR004"/>
    <x v="2"/>
    <s v="CMR004002"/>
    <x v="26"/>
    <s v="CMR004002006"/>
    <s v="KOU-0045"/>
    <s v="NIGUE"/>
    <m/>
    <x v="0"/>
    <x v="3"/>
    <n v="1"/>
    <n v="4"/>
    <s v="Conflit intercommunautaire"/>
    <m/>
    <s v="Même département, autre arrondissement"/>
    <s v="CMR"/>
    <s v="Cameroun"/>
    <s v="CMR004"/>
    <s v="Extrême-Nord"/>
    <s v="CMR004002"/>
    <s v="Logone-Et-Chari"/>
    <s v="CMR004002004"/>
    <s v="Logone-Birni"/>
  </r>
  <r>
    <s v="Extrême-Nord"/>
    <s v="CMR004"/>
    <x v="2"/>
    <s v="CMR004002"/>
    <x v="26"/>
    <s v="CMR004002006"/>
    <s v="KOU-0045"/>
    <s v="NIGUE"/>
    <m/>
    <x v="0"/>
    <x v="2"/>
    <n v="1"/>
    <n v="4"/>
    <s v="Inondations saisonnières ou fortes pluies"/>
    <m/>
    <s v="Même département, autre arrondissement"/>
    <s v="CMR"/>
    <s v="Cameroun"/>
    <s v="CMR004"/>
    <s v="Extrême-Nord"/>
    <s v="CMR004002"/>
    <s v="Logone-Et-Chari"/>
    <s v="CMR004002004"/>
    <s v="Logone-Birni"/>
  </r>
  <r>
    <s v="Extrême-Nord"/>
    <s v="CMR004"/>
    <x v="2"/>
    <s v="CMR004002"/>
    <x v="26"/>
    <s v="CMR004002006"/>
    <s v="KOU-0041"/>
    <s v="TAMARAYA"/>
    <m/>
    <x v="0"/>
    <x v="0"/>
    <n v="4"/>
    <n v="38"/>
    <s v="Conflits liés à GANE (BH)"/>
    <m/>
    <s v="Même département, autre arrondissement"/>
    <s v="CMR"/>
    <s v="Cameroun"/>
    <s v="CMR004"/>
    <s v="Extrême-Nord"/>
    <s v="CMR004002"/>
    <s v="Logone-Et-Chari"/>
    <s v="CMR004002008"/>
    <s v="Fotokol"/>
  </r>
  <r>
    <s v="Extrême-Nord"/>
    <s v="CMR004"/>
    <x v="2"/>
    <s v="CMR004002"/>
    <x v="26"/>
    <s v="CMR004002006"/>
    <s v="KOU-0041"/>
    <s v="TAMARAYA"/>
    <m/>
    <x v="0"/>
    <x v="4"/>
    <n v="3"/>
    <n v="20"/>
    <s v="Conflit intercommunautaire"/>
    <m/>
    <s v="Même département, autre arrondissement"/>
    <s v="CMR"/>
    <s v="Cameroun"/>
    <s v="CMR004"/>
    <s v="Extrême-Nord"/>
    <s v="CMR004002"/>
    <s v="Logone-Et-Chari"/>
    <s v="CMR004002008"/>
    <s v="Fotokol"/>
  </r>
  <r>
    <s v="Extrême-Nord"/>
    <s v="CMR004"/>
    <x v="2"/>
    <s v="CMR004002"/>
    <x v="26"/>
    <s v="CMR004002006"/>
    <s v="KOU-0041"/>
    <s v="TAMARAYA"/>
    <m/>
    <x v="0"/>
    <x v="3"/>
    <n v="3"/>
    <n v="16"/>
    <s v="Conflit intercommunautaire"/>
    <m/>
    <s v="Même département, autre arrondissement"/>
    <s v="CMR"/>
    <s v="Cameroun"/>
    <s v="CMR004"/>
    <s v="Extrême-Nord"/>
    <s v="CMR004002"/>
    <s v="Logone-Et-Chari"/>
    <s v="CMR004002004"/>
    <s v="Logone-Birni"/>
  </r>
  <r>
    <s v="Extrême-Nord"/>
    <s v="CMR004"/>
    <x v="2"/>
    <s v="CMR004002"/>
    <x v="26"/>
    <s v="CMR004002006"/>
    <s v="KOU-0041"/>
    <s v="TAMARAYA"/>
    <m/>
    <x v="0"/>
    <x v="1"/>
    <n v="4"/>
    <n v="18"/>
    <s v="Inondations saisonnières ou fortes pluies"/>
    <m/>
    <s v="Même département, autre arrondissement"/>
    <s v="CMR"/>
    <s v="Cameroun"/>
    <s v="CMR004"/>
    <s v="Extrême-Nord"/>
    <s v="CMR004002"/>
    <s v="Logone-Et-Chari"/>
    <s v="CMR004002004"/>
    <s v="Logone-Birni"/>
  </r>
  <r>
    <s v="Extrême-Nord"/>
    <s v="CMR004"/>
    <x v="2"/>
    <s v="CMR004002"/>
    <x v="26"/>
    <s v="CMR004002006"/>
    <s v="KOU-0041"/>
    <s v="TAMARAYA"/>
    <m/>
    <x v="0"/>
    <x v="2"/>
    <n v="2"/>
    <n v="8"/>
    <s v="Inondations saisonnières ou fortes pluies"/>
    <m/>
    <s v="Même département, autre arrondissement"/>
    <s v="CMR"/>
    <s v="Cameroun"/>
    <s v="CMR004"/>
    <s v="Extrême-Nord"/>
    <s v="CMR004002"/>
    <s v="Logone-Et-Chari"/>
    <s v="CMR004002004"/>
    <s v="Logone-Birni"/>
  </r>
  <r>
    <s v="Extrême-Nord"/>
    <s v="CMR004"/>
    <x v="2"/>
    <s v="CMR004002"/>
    <x v="26"/>
    <s v="CMR004002006"/>
    <s v="KOU-0043"/>
    <s v="LAKTA 2"/>
    <m/>
    <x v="0"/>
    <x v="0"/>
    <n v="3"/>
    <n v="20"/>
    <s v="Conflits liés à GANE (BH)"/>
    <m/>
    <s v="Même département, autre arrondissement"/>
    <s v="CMR"/>
    <s v="Cameroun"/>
    <s v="CMR004"/>
    <s v="Extrême-Nord"/>
    <s v="CMR004002"/>
    <s v="Logone-Et-Chari"/>
    <s v="CMR004002008"/>
    <s v="Fotokol"/>
  </r>
  <r>
    <s v="Extrême-Nord"/>
    <s v="CMR004"/>
    <x v="2"/>
    <s v="CMR004002"/>
    <x v="26"/>
    <s v="CMR004002006"/>
    <s v="KOU-0043"/>
    <s v="LAKTA 2"/>
    <m/>
    <x v="0"/>
    <x v="3"/>
    <n v="1"/>
    <n v="8"/>
    <s v="Conflit intercommunautaire"/>
    <m/>
    <s v="Même département, autre arrondissement"/>
    <s v="CMR"/>
    <s v="Cameroun"/>
    <s v="CMR004"/>
    <s v="Extrême-Nord"/>
    <s v="CMR004002"/>
    <s v="Logone-Et-Chari"/>
    <s v="CMR004002004"/>
    <s v="Logone-Birni"/>
  </r>
  <r>
    <s v="Extrême-Nord"/>
    <s v="CMR004"/>
    <x v="2"/>
    <s v="CMR004002"/>
    <x v="26"/>
    <s v="CMR004002006"/>
    <s v="KOU-0043"/>
    <s v="LAKTA 2"/>
    <m/>
    <x v="0"/>
    <x v="2"/>
    <n v="1"/>
    <n v="4"/>
    <s v="Inondations saisonnières ou fortes pluies"/>
    <m/>
    <s v="Même département, autre arrondissement"/>
    <s v="CMR"/>
    <s v="Cameroun"/>
    <s v="CMR004"/>
    <s v="Extrême-Nord"/>
    <s v="CMR004002"/>
    <s v="Logone-Et-Chari"/>
    <s v="CMR004002004"/>
    <s v="Logone-Birni"/>
  </r>
  <r>
    <s v="Extrême-Nord"/>
    <s v="CMR004"/>
    <x v="1"/>
    <s v="CMR004006"/>
    <x v="16"/>
    <s v="CMR004006004"/>
    <s v="XXXX"/>
    <s v="DZAKOURMA"/>
    <s v="DZAKOURMA"/>
    <x v="0"/>
    <x v="2"/>
    <n v="60"/>
    <n v="300"/>
    <s v="Conflits liés à GANE (BH)"/>
    <m/>
    <s v="Même arrondissement"/>
    <s v="CMR"/>
    <s v="Cameroun"/>
    <s v="CMR004"/>
    <s v="Extrême-Nord"/>
    <s v="CMR004006"/>
    <s v="Mayo-Tsanaga"/>
    <s v="CMR004006004"/>
    <s v="Koza"/>
  </r>
  <r>
    <s v="Extrême-Nord"/>
    <s v="CMR004"/>
    <x v="1"/>
    <s v="CMR004006"/>
    <x v="16"/>
    <s v="CMR004006004"/>
    <s v="KOZ-0002"/>
    <s v="DJINGIYA PLAINE"/>
    <m/>
    <x v="0"/>
    <x v="0"/>
    <n v="75"/>
    <n v="389"/>
    <s v="Conflits liés à GANE (BH)"/>
    <m/>
    <s v="Même arrondissement"/>
    <s v="CMR"/>
    <s v="Cameroun"/>
    <s v="CMR004"/>
    <s v="Extrême-Nord"/>
    <s v="CMR004006"/>
    <s v="Mayo-Tsanaga"/>
    <s v="CMR004006004"/>
    <s v="Koza"/>
  </r>
  <r>
    <s v="Extrême-Nord"/>
    <s v="CMR004"/>
    <x v="1"/>
    <s v="CMR004006"/>
    <x v="16"/>
    <s v="CMR004006004"/>
    <s v="KOZ-0002"/>
    <s v="DJINGIYA PLAINE"/>
    <m/>
    <x v="0"/>
    <x v="4"/>
    <n v="95"/>
    <n v="612"/>
    <s v="Conflits liés à GANE (BH)"/>
    <m/>
    <s v="Même arrondissement"/>
    <s v="CMR"/>
    <s v="Cameroun"/>
    <s v="CMR004"/>
    <s v="Extrême-Nord"/>
    <s v="CMR004006"/>
    <s v="Mayo-Tsanaga"/>
    <s v="CMR004006004"/>
    <s v="Koza"/>
  </r>
  <r>
    <s v="Extrême-Nord"/>
    <s v="CMR004"/>
    <x v="1"/>
    <s v="CMR004006"/>
    <x v="16"/>
    <s v="CMR004006004"/>
    <s v="KOZ-0002"/>
    <s v="DJINGIYA PLAINE"/>
    <m/>
    <x v="0"/>
    <x v="3"/>
    <n v="113"/>
    <n v="663"/>
    <s v="Conflits liés à GANE (BH)"/>
    <m/>
    <s v="Même arrondissement"/>
    <s v="CMR"/>
    <s v="Cameroun"/>
    <s v="CMR004"/>
    <s v="Extrême-Nord"/>
    <s v="CMR004006"/>
    <s v="Mayo-Tsanaga"/>
    <s v="CMR004006004"/>
    <s v="Koza"/>
  </r>
  <r>
    <s v="Extrême-Nord"/>
    <s v="CMR004"/>
    <x v="1"/>
    <s v="CMR004006"/>
    <x v="16"/>
    <s v="CMR004006004"/>
    <s v="KOZ-0002"/>
    <s v="DJINGIYA PLAINE"/>
    <m/>
    <x v="0"/>
    <x v="2"/>
    <n v="61"/>
    <n v="240"/>
    <s v="Conflits liés à GANE (BH)"/>
    <m/>
    <s v="Même arrondissement"/>
    <s v="CMR"/>
    <s v="Cameroun"/>
    <s v="CMR004"/>
    <s v="Extrême-Nord"/>
    <s v="CMR004006"/>
    <s v="Mayo-Tsanaga"/>
    <s v="CMR004006004"/>
    <s v="Koza"/>
  </r>
  <r>
    <s v="Extrême-Nord"/>
    <s v="CMR004"/>
    <x v="4"/>
    <s v="CMR004005"/>
    <x v="19"/>
    <s v="CMR004005001"/>
    <s v="KOL-0019"/>
    <s v="SITE DE KOLOFATA - MARCHE"/>
    <m/>
    <x v="0"/>
    <x v="0"/>
    <n v="693"/>
    <n v="5513"/>
    <s v="Conflits liés à GANE (BH)"/>
    <m/>
    <s v="Même arrondissement"/>
    <s v="CMR"/>
    <s v="Cameroun"/>
    <s v="CMR004"/>
    <s v="Extrême-Nord"/>
    <s v="CMR004005"/>
    <s v="Mayo-Sava"/>
    <s v="CMR004005001"/>
    <s v="Kolofata"/>
  </r>
  <r>
    <s v="Extrême-Nord"/>
    <s v="CMR004"/>
    <x v="4"/>
    <s v="CMR004005"/>
    <x v="19"/>
    <s v="CMR004005001"/>
    <s v="KOL-0019"/>
    <s v="SITE DE KOLOFATA - MARCHE"/>
    <m/>
    <x v="0"/>
    <x v="1"/>
    <n v="0"/>
    <n v="75"/>
    <s v="Conflits liés à GANE (BH)"/>
    <m/>
    <s v="Même arrondissement"/>
    <s v="CMR"/>
    <s v="Cameroun"/>
    <s v="CMR004"/>
    <s v="Extrême-Nord"/>
    <s v="CMR004005"/>
    <s v="Mayo-Sava"/>
    <s v="CMR004005001"/>
    <s v="Kolofata"/>
  </r>
  <r>
    <s v="Extrême-Nord"/>
    <s v="CMR004"/>
    <x v="4"/>
    <s v="CMR004005"/>
    <x v="19"/>
    <s v="CMR004005001"/>
    <s v="KOL-0019"/>
    <s v="SITE DE KOLOFATA - MARCHE"/>
    <m/>
    <x v="0"/>
    <x v="4"/>
    <n v="0"/>
    <n v="19"/>
    <s v="Conflits liés à GANE (BH)"/>
    <m/>
    <s v="Même arrondissement"/>
    <s v="CMR"/>
    <s v="Cameroun"/>
    <s v="CMR004"/>
    <s v="Extrême-Nord"/>
    <s v="CMR004005"/>
    <s v="Mayo-Sava"/>
    <s v="CMR004005001"/>
    <s v="Kolofata"/>
  </r>
  <r>
    <s v="Extrême-Nord"/>
    <s v="CMR004"/>
    <x v="4"/>
    <s v="CMR004005"/>
    <x v="19"/>
    <s v="CMR004005001"/>
    <s v="KOL-0019"/>
    <s v="SITE DE KOLOFATA - MARCHE"/>
    <m/>
    <x v="0"/>
    <x v="3"/>
    <n v="0"/>
    <n v="92"/>
    <s v="Conflits liés à GANE (BH)"/>
    <m/>
    <s v="Même arrondissement"/>
    <s v="CMR"/>
    <s v="Cameroun"/>
    <s v="CMR004"/>
    <s v="Extrême-Nord"/>
    <s v="CMR004005"/>
    <s v="Mayo-Sava"/>
    <s v="CMR004005001"/>
    <s v="Kolofata"/>
  </r>
  <r>
    <s v="Extrême-Nord"/>
    <s v="CMR004"/>
    <x v="4"/>
    <s v="CMR004005"/>
    <x v="19"/>
    <s v="CMR004005001"/>
    <s v="KOL-0019"/>
    <s v="SITE DE KOLOFATA - MARCHE"/>
    <m/>
    <x v="0"/>
    <x v="2"/>
    <n v="0"/>
    <n v="10"/>
    <s v="Conflits liés à GANE (BH)"/>
    <m/>
    <s v="Même arrondissement"/>
    <s v="CMR"/>
    <s v="Cameroun"/>
    <s v="CMR004"/>
    <s v="Extrême-Nord"/>
    <s v="CMR004005"/>
    <s v="Mayo-Sava"/>
    <s v="CMR004005001"/>
    <s v="Kolofata"/>
  </r>
  <r>
    <s v="Extrême-Nord"/>
    <s v="CMR004"/>
    <x v="1"/>
    <s v="CMR004006"/>
    <x v="7"/>
    <s v="CMR004006005"/>
    <s v="MOZ-0011"/>
    <s v="MOZOGO TCHEKODE"/>
    <m/>
    <x v="0"/>
    <x v="0"/>
    <n v="42"/>
    <n v="216"/>
    <s v="Conflits liés à GANE (BH)"/>
    <m/>
    <s v="Même arrondissement"/>
    <s v="CMR"/>
    <s v="Cameroun"/>
    <s v="CMR004"/>
    <s v="Extrême-Nord"/>
    <s v="CMR004006"/>
    <s v="Mayo-Tsanaga"/>
    <s v="CMR004006005"/>
    <s v="Mayo-Moskota"/>
  </r>
  <r>
    <s v="Extrême-Nord"/>
    <s v="CMR004"/>
    <x v="1"/>
    <s v="CMR004006"/>
    <x v="7"/>
    <s v="CMR004006005"/>
    <s v="MOZ-0011"/>
    <s v="MOZOGO TCHEKODE"/>
    <m/>
    <x v="0"/>
    <x v="3"/>
    <n v="7"/>
    <n v="31"/>
    <s v="Conflits liés à GANE (BH)"/>
    <m/>
    <s v="Même arrondissement"/>
    <s v="CMR"/>
    <s v="Cameroun"/>
    <s v="CMR004"/>
    <s v="Extrême-Nord"/>
    <s v="CMR004006"/>
    <s v="Mayo-Tsanaga"/>
    <s v="CMR004006005"/>
    <s v="Mayo-Moskota"/>
  </r>
  <r>
    <s v="Extrême-Nord"/>
    <s v="CMR004"/>
    <x v="1"/>
    <s v="CMR004006"/>
    <x v="7"/>
    <s v="CMR004006005"/>
    <s v="MOZ-0011"/>
    <s v="MOZOGO TCHEKODE"/>
    <m/>
    <x v="0"/>
    <x v="2"/>
    <n v="4"/>
    <n v="28"/>
    <s v="Conflits liés à GANE (BH)"/>
    <m/>
    <s v="Même arrondissement"/>
    <s v="CMR"/>
    <s v="Cameroun"/>
    <s v="CMR004"/>
    <s v="Extrême-Nord"/>
    <s v="CMR004006"/>
    <s v="Mayo-Tsanaga"/>
    <s v="CMR004006005"/>
    <s v="Mayo-Moskota"/>
  </r>
  <r>
    <s v="Extrême-Nord"/>
    <s v="CMR004"/>
    <x v="1"/>
    <s v="CMR004006"/>
    <x v="7"/>
    <s v="CMR004006005"/>
    <s v="MOZ-0011"/>
    <s v="MOZOGO TCHEKODE"/>
    <m/>
    <x v="0"/>
    <x v="1"/>
    <n v="0"/>
    <n v="5"/>
    <s v="Conflits liés à GANE (BH)"/>
    <m/>
    <s v="Même arrondissement"/>
    <s v="CMR"/>
    <s v="Cameroun"/>
    <s v="CMR004"/>
    <s v="Extrême-Nord"/>
    <s v="CMR004006"/>
    <s v="Mayo-Tsanaga"/>
    <s v="CMR004006005"/>
    <s v="Mayo-Moskota"/>
  </r>
  <r>
    <s v="Extrême-Nord"/>
    <s v="CMR004"/>
    <x v="1"/>
    <s v="CMR004006"/>
    <x v="7"/>
    <s v="CMR004006005"/>
    <s v="MOZ-0011"/>
    <s v="MOZOGO TCHEKODE"/>
    <m/>
    <x v="0"/>
    <x v="4"/>
    <n v="0"/>
    <n v="2"/>
    <s v="Conflits liés à GANE (BH)"/>
    <m/>
    <s v="Même arrondissement"/>
    <s v="CMR"/>
    <s v="Cameroun"/>
    <s v="CMR004"/>
    <s v="Extrême-Nord"/>
    <s v="CMR004006"/>
    <s v="Mayo-Tsanaga"/>
    <s v="CMR004006005"/>
    <s v="Mayo-Moskota"/>
  </r>
  <r>
    <s v="Extrême-Nord"/>
    <s v="CMR004"/>
    <x v="2"/>
    <s v="CMR004002"/>
    <x v="26"/>
    <s v="CMR004002006"/>
    <s v="KOU-0033"/>
    <s v="SEHEBA"/>
    <m/>
    <x v="0"/>
    <x v="0"/>
    <n v="3"/>
    <n v="25"/>
    <s v="Conflits liés à GANE (BH)"/>
    <m/>
    <s v="Même département, autre arrondissement"/>
    <s v="CMR"/>
    <s v="Cameroun"/>
    <s v="CMR004"/>
    <s v="Extrême-Nord"/>
    <s v="CMR004002"/>
    <s v="Logone-Et-Chari"/>
    <s v="CMR004002008"/>
    <s v="Fotokol"/>
  </r>
  <r>
    <s v="Extrême-Nord"/>
    <s v="CMR004"/>
    <x v="2"/>
    <s v="CMR004002"/>
    <x v="26"/>
    <s v="CMR004002006"/>
    <s v="KOU-0033"/>
    <s v="SEHEBA"/>
    <m/>
    <x v="0"/>
    <x v="1"/>
    <n v="1"/>
    <n v="12"/>
    <s v="Conflits liés à GANE (BH)"/>
    <m/>
    <s v="Même département, autre arrondissement"/>
    <s v="CMR"/>
    <s v="Cameroun"/>
    <s v="CMR004"/>
    <s v="Extrême-Nord"/>
    <s v="CMR004002"/>
    <s v="Logone-Et-Chari"/>
    <s v="CMR004002008"/>
    <s v="Fotokol"/>
  </r>
  <r>
    <s v="Extrême-Nord"/>
    <s v="CMR004"/>
    <x v="2"/>
    <s v="CMR004002"/>
    <x v="26"/>
    <s v="CMR004002006"/>
    <s v="KOU-0033"/>
    <s v="SEHEBA"/>
    <m/>
    <x v="0"/>
    <x v="4"/>
    <n v="1"/>
    <n v="8"/>
    <s v="Conflits liés à GANE (BH)"/>
    <m/>
    <s v="Même département, autre arrondissement"/>
    <s v="CMR"/>
    <s v="Cameroun"/>
    <s v="CMR004"/>
    <s v="Extrême-Nord"/>
    <s v="CMR004002"/>
    <s v="Logone-Et-Chari"/>
    <s v="CMR004002008"/>
    <s v="Fotokol"/>
  </r>
  <r>
    <s v="Extrême-Nord"/>
    <s v="CMR004"/>
    <x v="2"/>
    <s v="CMR004002"/>
    <x v="26"/>
    <s v="CMR004002006"/>
    <s v="KOU-0033"/>
    <s v="SEHEBA"/>
    <m/>
    <x v="0"/>
    <x v="3"/>
    <n v="1"/>
    <n v="5"/>
    <s v="Conflit intercommunautaire"/>
    <m/>
    <s v="Même département, autre arrondissement"/>
    <s v="CMR"/>
    <s v="Cameroun"/>
    <s v="CMR004"/>
    <s v="Extrême-Nord"/>
    <s v="CMR004002"/>
    <s v="Logone-Et-Chari"/>
    <s v="CMR004002004"/>
    <s v="Logone-Birni"/>
  </r>
  <r>
    <s v="Extrême-Nord"/>
    <s v="CMR004"/>
    <x v="2"/>
    <s v="CMR004002"/>
    <x v="13"/>
    <s v="CMR004002001"/>
    <s v="WAZ-0035"/>
    <s v="ARDEBE 1"/>
    <m/>
    <x v="0"/>
    <x v="1"/>
    <n v="11"/>
    <n v="63"/>
    <s v="Conflits liés à GANE (BH)"/>
    <m/>
    <s v="Même arrondissement"/>
    <s v="CMR"/>
    <s v="Cameroun"/>
    <s v="CMR004"/>
    <s v="Extrême-Nord"/>
    <s v="CMR004002"/>
    <s v="Logone-Et-Chari"/>
    <s v="CMR004002001"/>
    <s v="Waza"/>
  </r>
  <r>
    <s v="Extrême-Nord"/>
    <s v="CMR004"/>
    <x v="2"/>
    <s v="CMR004002"/>
    <x v="13"/>
    <s v="CMR004002001"/>
    <s v="WAZ-0035"/>
    <s v="ARDEBE 1"/>
    <m/>
    <x v="0"/>
    <x v="4"/>
    <n v="5"/>
    <n v="34"/>
    <s v="Conflits liés à GANE (BH)"/>
    <m/>
    <s v="Même arrondissement"/>
    <s v="CMR"/>
    <s v="Cameroun"/>
    <s v="CMR004"/>
    <s v="Extrême-Nord"/>
    <s v="CMR004002"/>
    <s v="Logone-Et-Chari"/>
    <s v="CMR004002001"/>
    <s v="Waza"/>
  </r>
  <r>
    <s v="Extrême-Nord"/>
    <s v="CMR004"/>
    <x v="2"/>
    <s v="CMR004002"/>
    <x v="13"/>
    <s v="CMR004002001"/>
    <s v="WAZ-0035"/>
    <s v="ARDEBE 1"/>
    <m/>
    <x v="0"/>
    <x v="3"/>
    <n v="45"/>
    <n v="115"/>
    <s v="Conflit intercommunautaire"/>
    <m/>
    <s v="Même département, autre arrondissement"/>
    <s v="CMR"/>
    <s v="Cameroun"/>
    <s v="CMR004"/>
    <s v="Extrême-Nord"/>
    <s v="CMR004002"/>
    <s v="Logone-Et-Chari"/>
    <s v="CMR004002004"/>
    <s v="Logone-Birni"/>
  </r>
  <r>
    <s v="Extrême-Nord"/>
    <s v="CMR004"/>
    <x v="2"/>
    <s v="CMR004002"/>
    <x v="15"/>
    <s v="CMR004002004"/>
    <s v="LBI-0073"/>
    <s v="NGOUAMA"/>
    <m/>
    <x v="0"/>
    <x v="4"/>
    <n v="20"/>
    <n v="73"/>
    <s v="Conflits liés à GANE (BH)"/>
    <m/>
    <s v="Même arrondissement"/>
    <s v="CMR"/>
    <s v="Cameroun"/>
    <s v="CMR004"/>
    <s v="Extrême-Nord"/>
    <s v="CMR004002"/>
    <s v="Logone-Et-Chari"/>
    <s v="CMR004002004"/>
    <s v="Logone-Birni"/>
  </r>
  <r>
    <s v="Extrême-Nord"/>
    <s v="CMR004"/>
    <x v="2"/>
    <s v="CMR004002"/>
    <x v="15"/>
    <s v="CMR004002004"/>
    <s v="LBI-0073"/>
    <s v="NGOUAMA"/>
    <m/>
    <x v="0"/>
    <x v="2"/>
    <n v="0"/>
    <n v="2"/>
    <s v="Conflits liés à GANE (BH)"/>
    <m/>
    <s v="Même arrondissement"/>
    <s v="CMR"/>
    <s v="Cameroun"/>
    <s v="CMR004"/>
    <s v="Extrême-Nord"/>
    <s v="CMR004002"/>
    <s v="Logone-Et-Chari"/>
    <s v="CMR004002004"/>
    <s v="Logone-Birni"/>
  </r>
  <r>
    <s v="Extrême-Nord"/>
    <s v="CMR004"/>
    <x v="2"/>
    <s v="CMR004002"/>
    <x v="13"/>
    <s v="CMR004002001"/>
    <s v="WAZ-0023"/>
    <s v="MASSOUGOURMA SITE"/>
    <m/>
    <x v="0"/>
    <x v="0"/>
    <n v="30"/>
    <n v="163"/>
    <s v="Conflits liés à GANE (BH)"/>
    <m/>
    <s v="Même arrondissement"/>
    <s v="CMR"/>
    <s v="Cameroun"/>
    <s v="CMR004"/>
    <s v="Extrême-Nord"/>
    <s v="CMR004002"/>
    <s v="Logone-Et-Chari"/>
    <s v="CMR004002001"/>
    <s v="Waza"/>
  </r>
  <r>
    <s v="Extrême-Nord"/>
    <s v="CMR004"/>
    <x v="2"/>
    <s v="CMR004002"/>
    <x v="13"/>
    <s v="CMR004002001"/>
    <s v="WAZ-0023"/>
    <s v="MASSOUGOURMA SITE"/>
    <m/>
    <x v="0"/>
    <x v="3"/>
    <n v="17"/>
    <n v="100"/>
    <s v="Conflit intercommunautaire"/>
    <m/>
    <s v="Même département, autre arrondissement"/>
    <s v="CMR"/>
    <s v="Cameroun"/>
    <s v="CMR004"/>
    <s v="Extrême-Nord"/>
    <s v="CMR004002"/>
    <s v="Logone-Et-Chari"/>
    <s v="CMR004002004"/>
    <s v="Logone-Birni"/>
  </r>
  <r>
    <s v="Extrême-Nord"/>
    <s v="CMR004"/>
    <x v="2"/>
    <s v="CMR004002"/>
    <x v="13"/>
    <s v="CMR004002001"/>
    <s v="WAZ-0023"/>
    <s v="MASSOUGOURMA SITE"/>
    <m/>
    <x v="0"/>
    <x v="2"/>
    <n v="0"/>
    <n v="6"/>
    <s v="Conflits liés à GANE (BH)"/>
    <m/>
    <s v="Même arrondissement"/>
    <s v="CMR"/>
    <s v="Cameroun"/>
    <s v="CMR004"/>
    <s v="Extrême-Nord"/>
    <s v="CMR004002"/>
    <s v="Logone-Et-Chari"/>
    <s v="CMR004002001"/>
    <s v="Waza"/>
  </r>
  <r>
    <s v="Extrême-Nord"/>
    <s v="CMR004"/>
    <x v="2"/>
    <s v="CMR004002"/>
    <x v="15"/>
    <s v="CMR004002004"/>
    <s v="LBI-0066"/>
    <s v="LOGONE BIRNI (SAGOULA)"/>
    <m/>
    <x v="0"/>
    <x v="3"/>
    <n v="35"/>
    <n v="100"/>
    <s v="Conflit intercommunautaire"/>
    <m/>
    <s v="Même arrondissement"/>
    <s v="CMR"/>
    <s v="Cameroun"/>
    <s v="CMR004"/>
    <s v="Extrême-Nord"/>
    <s v="CMR004002"/>
    <s v="Logone-Et-Chari"/>
    <s v="CMR004002004"/>
    <s v="Logone-Birni"/>
  </r>
  <r>
    <s v="Extrême-Nord"/>
    <s v="CMR004"/>
    <x v="2"/>
    <s v="CMR004002"/>
    <x v="13"/>
    <s v="CMR004002001"/>
    <s v="WAZ-0025"/>
    <s v="TOUKOUMAYA"/>
    <m/>
    <x v="0"/>
    <x v="4"/>
    <n v="52"/>
    <n v="366"/>
    <s v="Conflits liés à GANE (BH)"/>
    <m/>
    <s v="Même arrondissement"/>
    <s v="CMR"/>
    <s v="Cameroun"/>
    <s v="CMR004"/>
    <s v="Extrême-Nord"/>
    <s v="CMR004002"/>
    <s v="Logone-Et-Chari"/>
    <s v="CMR004002001"/>
    <s v="Waza"/>
  </r>
  <r>
    <s v="Extrême-Nord"/>
    <s v="CMR004"/>
    <x v="2"/>
    <s v="CMR004002"/>
    <x v="13"/>
    <s v="CMR004002001"/>
    <s v="WAZ-0025"/>
    <s v="TOUKOUMAYA"/>
    <m/>
    <x v="0"/>
    <x v="3"/>
    <n v="17"/>
    <n v="146"/>
    <s v="Conflit intercommunautaire"/>
    <m/>
    <s v="Même département, autre arrondissement"/>
    <s v="CMR"/>
    <s v="Cameroun"/>
    <s v="CMR004"/>
    <s v="Extrême-Nord"/>
    <s v="CMR004002"/>
    <s v="Logone-Et-Chari"/>
    <s v="CMR004002004"/>
    <s v="Logone-Birni"/>
  </r>
  <r>
    <s v="Extrême-Nord"/>
    <s v="CMR004"/>
    <x v="1"/>
    <s v="CMR004006"/>
    <x v="16"/>
    <s v="CMR004006004"/>
    <s v="KOZ-0005"/>
    <s v="DOURWAT"/>
    <m/>
    <x v="0"/>
    <x v="1"/>
    <n v="27"/>
    <n v="40"/>
    <s v="Conflits liés à GANE (BH)"/>
    <m/>
    <s v="Même département, autre arrondissement"/>
    <s v="CMR"/>
    <s v="Cameroun"/>
    <s v="CMR004"/>
    <s v="Extrême-Nord"/>
    <s v="CMR004006"/>
    <s v="Mayo-Tsanaga"/>
    <s v="CMR004006005"/>
    <s v="Mayo-Moskota"/>
  </r>
  <r>
    <s v="Extrême-Nord"/>
    <s v="CMR004"/>
    <x v="1"/>
    <s v="CMR004006"/>
    <x v="16"/>
    <s v="CMR004006004"/>
    <s v="KOZ-0005"/>
    <s v="DOURWAT"/>
    <m/>
    <x v="0"/>
    <x v="4"/>
    <n v="10"/>
    <n v="30"/>
    <s v="Conflits liés à GANE (BH)"/>
    <m/>
    <s v="Même département, autre arrondissement"/>
    <s v="CMR"/>
    <s v="Cameroun"/>
    <s v="CMR004"/>
    <s v="Extrême-Nord"/>
    <s v="CMR004006"/>
    <s v="Mayo-Tsanaga"/>
    <s v="CMR004006005"/>
    <s v="Mayo-Moskota"/>
  </r>
  <r>
    <s v="Extrême-Nord"/>
    <s v="CMR004"/>
    <x v="1"/>
    <s v="CMR004006"/>
    <x v="16"/>
    <s v="CMR004006004"/>
    <s v="KOZ-0005"/>
    <s v="DOURWAT"/>
    <m/>
    <x v="0"/>
    <x v="3"/>
    <n v="85"/>
    <n v="365"/>
    <s v="Conflits liés à GANE (BH)"/>
    <m/>
    <s v="Même département, autre arrondissement"/>
    <s v="CMR"/>
    <s v="Cameroun"/>
    <s v="CMR004"/>
    <s v="Extrême-Nord"/>
    <s v="CMR004006"/>
    <s v="Mayo-Tsanaga"/>
    <s v="CMR004006005"/>
    <s v="Mayo-Moskota"/>
  </r>
  <r>
    <s v="Extrême-Nord"/>
    <s v="CMR004"/>
    <x v="1"/>
    <s v="CMR004006"/>
    <x v="16"/>
    <s v="CMR004006004"/>
    <s v="KOZ-0005"/>
    <s v="DOURWAT"/>
    <m/>
    <x v="0"/>
    <x v="2"/>
    <n v="5"/>
    <n v="20"/>
    <s v="Conflits liés à GANE (BH)"/>
    <m/>
    <s v="Même département, autre arrondissement"/>
    <s v="CMR"/>
    <s v="Cameroun"/>
    <s v="CMR004"/>
    <s v="Extrême-Nord"/>
    <s v="CMR004006"/>
    <s v="Mayo-Tsanaga"/>
    <s v="CMR004006005"/>
    <s v="Mayo-Moskota"/>
  </r>
  <r>
    <s v="Extrême-Nord"/>
    <s v="CMR004"/>
    <x v="1"/>
    <s v="CMR004006"/>
    <x v="16"/>
    <s v="CMR004006004"/>
    <s v="KOZ-0029"/>
    <s v="GOUSD MLAIL"/>
    <m/>
    <x v="0"/>
    <x v="1"/>
    <n v="5"/>
    <n v="26"/>
    <s v="Conflits liés à GANE (BH)"/>
    <m/>
    <s v="Même département, autre arrondissement"/>
    <s v="CMR"/>
    <s v="Cameroun"/>
    <s v="CMR004"/>
    <s v="Extrême-Nord"/>
    <s v="CMR004006"/>
    <s v="Mayo-Tsanaga"/>
    <s v="CMR004006005"/>
    <s v="Mayo-Moskota"/>
  </r>
  <r>
    <s v="Extrême-Nord"/>
    <s v="CMR004"/>
    <x v="1"/>
    <s v="CMR004006"/>
    <x v="16"/>
    <s v="CMR004006004"/>
    <s v="KOZ-0029"/>
    <s v="GOUSD MLAIL"/>
    <m/>
    <x v="0"/>
    <x v="4"/>
    <n v="0"/>
    <n v="3"/>
    <s v="Conflits liés à GANE (BH)"/>
    <m/>
    <s v="Même département, autre arrondissement"/>
    <s v="CMR"/>
    <s v="Cameroun"/>
    <s v="CMR004"/>
    <s v="Extrême-Nord"/>
    <s v="CMR004006"/>
    <s v="Mayo-Tsanaga"/>
    <s v="CMR004006005"/>
    <s v="Mayo-Moskota"/>
  </r>
  <r>
    <s v="Extrême-Nord"/>
    <s v="CMR004"/>
    <x v="1"/>
    <s v="CMR004006"/>
    <x v="16"/>
    <s v="CMR004006004"/>
    <s v="KOZ-0029"/>
    <s v="GOUSD MLAIL"/>
    <m/>
    <x v="0"/>
    <x v="3"/>
    <n v="35"/>
    <n v="144"/>
    <s v="Conflits liés à GANE (BH)"/>
    <m/>
    <s v="Même département, autre arrondissement"/>
    <s v="CMR"/>
    <s v="Cameroun"/>
    <s v="CMR004"/>
    <s v="Extrême-Nord"/>
    <s v="CMR004006"/>
    <s v="Mayo-Tsanaga"/>
    <s v="CMR004006005"/>
    <s v="Mayo-Moskota"/>
  </r>
  <r>
    <s v="Extrême-Nord"/>
    <s v="CMR004"/>
    <x v="1"/>
    <s v="CMR004006"/>
    <x v="16"/>
    <s v="CMR004006004"/>
    <s v="KOZ-0029"/>
    <s v="GOUSD MLAIL"/>
    <m/>
    <x v="0"/>
    <x v="2"/>
    <n v="22"/>
    <n v="165"/>
    <s v="Conflits liés à GANE (BH)"/>
    <m/>
    <s v="Même département, autre arrondissement"/>
    <s v="CMR"/>
    <s v="Cameroun"/>
    <s v="CMR004"/>
    <s v="Extrême-Nord"/>
    <s v="CMR004006"/>
    <s v="Mayo-Tsanaga"/>
    <s v="CMR004006005"/>
    <s v="Mayo-Moskota"/>
  </r>
  <r>
    <s v="Extrême-Nord"/>
    <s v="CMR004"/>
    <x v="1"/>
    <s v="CMR004006"/>
    <x v="16"/>
    <s v="CMR004006004"/>
    <s v="KOZ-0021"/>
    <s v="MODOKO"/>
    <m/>
    <x v="0"/>
    <x v="4"/>
    <n v="5"/>
    <n v="20"/>
    <s v="Conflits liés à GANE (BH)"/>
    <m/>
    <s v="Même département, autre arrondissement"/>
    <s v="CMR"/>
    <s v="Cameroun"/>
    <s v="CMR004"/>
    <s v="Extrême-Nord"/>
    <s v="CMR004006"/>
    <s v="Mayo-Tsanaga"/>
    <s v="CMR004006005"/>
    <s v="Mayo-Moskota"/>
  </r>
  <r>
    <s v="Extrême-Nord"/>
    <s v="CMR004"/>
    <x v="1"/>
    <s v="CMR004006"/>
    <x v="16"/>
    <s v="CMR004006004"/>
    <s v="KOZ-0021"/>
    <s v="MODOKO"/>
    <m/>
    <x v="0"/>
    <x v="3"/>
    <n v="153"/>
    <n v="814"/>
    <s v="Conflits liés à GANE (BH)"/>
    <m/>
    <s v="Même département, autre arrondissement"/>
    <s v="CMR"/>
    <s v="Cameroun"/>
    <s v="CMR004"/>
    <s v="Extrême-Nord"/>
    <s v="CMR004006"/>
    <s v="Mayo-Tsanaga"/>
    <s v="CMR004006005"/>
    <s v="Mayo-Moskota"/>
  </r>
  <r>
    <s v="Extrême-Nord"/>
    <s v="CMR004"/>
    <x v="1"/>
    <s v="CMR004006"/>
    <x v="16"/>
    <s v="CMR004006004"/>
    <s v="KOZ-0021"/>
    <s v="MODOKO"/>
    <m/>
    <x v="0"/>
    <x v="2"/>
    <n v="85"/>
    <n v="317"/>
    <s v="Conflits liés à GANE (BH)"/>
    <m/>
    <s v="Même département, autre arrondissement"/>
    <s v="CMR"/>
    <s v="Cameroun"/>
    <s v="CMR004"/>
    <s v="Extrême-Nord"/>
    <s v="CMR004006"/>
    <s v="Mayo-Tsanaga"/>
    <s v="CMR004006005"/>
    <s v="Mayo-Moskota"/>
  </r>
  <r>
    <s v="Extrême-Nord"/>
    <s v="CMR004"/>
    <x v="1"/>
    <s v="CMR004006"/>
    <x v="16"/>
    <s v="CMR004006004"/>
    <s v="KOZ-0031"/>
    <s v="KAZIER"/>
    <m/>
    <x v="0"/>
    <x v="1"/>
    <n v="2"/>
    <n v="9"/>
    <s v="Conflits liés à GANE (BH)"/>
    <m/>
    <s v="Même département, autre arrondissement"/>
    <s v="CMR"/>
    <s v="Cameroun"/>
    <s v="CMR004"/>
    <s v="Extrême-Nord"/>
    <s v="CMR004006"/>
    <s v="Mayo-Tsanaga"/>
    <s v="CMR004006005"/>
    <s v="Mayo-Moskota"/>
  </r>
  <r>
    <s v="Extrême-Nord"/>
    <s v="CMR004"/>
    <x v="1"/>
    <s v="CMR004006"/>
    <x v="16"/>
    <s v="CMR004006004"/>
    <s v="KOZ-0031"/>
    <s v="KAZIER"/>
    <m/>
    <x v="0"/>
    <x v="4"/>
    <n v="0"/>
    <n v="1"/>
    <s v="Conflits liés à GANE (BH)"/>
    <m/>
    <s v="Même département, autre arrondissement"/>
    <s v="CMR"/>
    <s v="Cameroun"/>
    <s v="CMR004"/>
    <s v="Extrême-Nord"/>
    <s v="CMR004006"/>
    <s v="Mayo-Tsanaga"/>
    <s v="CMR004006005"/>
    <s v="Mayo-Moskota"/>
  </r>
  <r>
    <s v="Extrême-Nord"/>
    <s v="CMR004"/>
    <x v="1"/>
    <s v="CMR004006"/>
    <x v="16"/>
    <s v="CMR004006004"/>
    <s v="KOZ-0031"/>
    <s v="KAZIER"/>
    <m/>
    <x v="0"/>
    <x v="3"/>
    <n v="22"/>
    <n v="129"/>
    <s v="Conflits liés à GANE (BH)"/>
    <m/>
    <s v="Même département, autre arrondissement"/>
    <s v="CMR"/>
    <s v="Cameroun"/>
    <s v="CMR004"/>
    <s v="Extrême-Nord"/>
    <s v="CMR004006"/>
    <s v="Mayo-Tsanaga"/>
    <s v="CMR004006005"/>
    <s v="Mayo-Moskota"/>
  </r>
  <r>
    <s v="Extrême-Nord"/>
    <s v="CMR004"/>
    <x v="1"/>
    <s v="CMR004006"/>
    <x v="16"/>
    <s v="CMR004006004"/>
    <s v="KOZ-0031"/>
    <s v="KAZIER"/>
    <m/>
    <x v="0"/>
    <x v="2"/>
    <n v="2"/>
    <n v="7"/>
    <s v="Conflits liés à GANE (BH)"/>
    <m/>
    <s v="Même département, autre arrondissement"/>
    <s v="CMR"/>
    <s v="Cameroun"/>
    <s v="CMR004"/>
    <s v="Extrême-Nord"/>
    <s v="CMR004006"/>
    <s v="Mayo-Tsanaga"/>
    <s v="CMR004006005"/>
    <s v="Mayo-Moskota"/>
  </r>
  <r>
    <s v="Extrême-Nord"/>
    <s v="CMR004"/>
    <x v="1"/>
    <s v="CMR004006"/>
    <x v="16"/>
    <s v="CMR004006004"/>
    <s v="KOZ-0004"/>
    <s v="DOUMBOGO"/>
    <m/>
    <x v="0"/>
    <x v="1"/>
    <n v="20"/>
    <n v="51"/>
    <s v="Conflits liés à GANE (BH)"/>
    <m/>
    <s v="Même département, autre arrondissement"/>
    <s v="CMR"/>
    <s v="Cameroun"/>
    <s v="CMR004"/>
    <s v="Extrême-Nord"/>
    <s v="CMR004006"/>
    <s v="Mayo-Tsanaga"/>
    <s v="CMR004006005"/>
    <s v="Mayo-Moskota"/>
  </r>
  <r>
    <s v="Extrême-Nord"/>
    <s v="CMR004"/>
    <x v="1"/>
    <s v="CMR004006"/>
    <x v="16"/>
    <s v="CMR004006004"/>
    <s v="KOZ-0004"/>
    <s v="DOUMBOGO"/>
    <m/>
    <x v="0"/>
    <x v="4"/>
    <n v="25"/>
    <n v="75"/>
    <s v="Conflits liés à GANE (BH)"/>
    <m/>
    <s v="Même département, autre arrondissement"/>
    <s v="CMR"/>
    <s v="Cameroun"/>
    <s v="CMR004"/>
    <s v="Extrême-Nord"/>
    <s v="CMR004006"/>
    <s v="Mayo-Tsanaga"/>
    <s v="CMR004006005"/>
    <s v="Mayo-Moskota"/>
  </r>
  <r>
    <s v="Extrême-Nord"/>
    <s v="CMR004"/>
    <x v="1"/>
    <s v="CMR004006"/>
    <x v="16"/>
    <s v="CMR004006004"/>
    <s v="KOZ-0004"/>
    <s v="DOUMBOGO"/>
    <m/>
    <x v="0"/>
    <x v="3"/>
    <n v="104"/>
    <n v="497"/>
    <s v="Conflits liés à GANE (BH)"/>
    <m/>
    <s v="Même département, autre arrondissement"/>
    <s v="CMR"/>
    <s v="Cameroun"/>
    <s v="CMR004"/>
    <s v="Extrême-Nord"/>
    <s v="CMR004006"/>
    <s v="Mayo-Tsanaga"/>
    <s v="CMR004006005"/>
    <s v="Mayo-Moskota"/>
  </r>
  <r>
    <s v="Extrême-Nord"/>
    <s v="CMR004"/>
    <x v="1"/>
    <s v="CMR004006"/>
    <x v="16"/>
    <s v="CMR004006004"/>
    <s v="KOZ-0004"/>
    <s v="DOUMBOGO"/>
    <m/>
    <x v="0"/>
    <x v="2"/>
    <n v="19"/>
    <n v="92"/>
    <s v="Conflits liés à GANE (BH)"/>
    <m/>
    <s v="Même département, autre arrondissement"/>
    <s v="CMR"/>
    <s v="Cameroun"/>
    <s v="CMR004"/>
    <s v="Extrême-Nord"/>
    <s v="CMR004006"/>
    <s v="Mayo-Tsanaga"/>
    <s v="CMR004006005"/>
    <s v="Mayo-Moskota"/>
  </r>
  <r>
    <s v="Extrême-Nord"/>
    <s v="CMR004"/>
    <x v="2"/>
    <s v="CMR004002"/>
    <x v="26"/>
    <s v="CMR004002006"/>
    <s v="KOU-0028"/>
    <s v="NGALLO"/>
    <m/>
    <x v="0"/>
    <x v="2"/>
    <n v="10"/>
    <n v="120"/>
    <s v="Inondations saisonnières ou fortes pluies"/>
    <m/>
    <s v="Même arrondissement"/>
    <s v="CMR"/>
    <s v="Cameroun"/>
    <s v="CMR004"/>
    <s v="Extrême-Nord"/>
    <s v="CMR004002"/>
    <s v="Logone-Et-Chari"/>
    <s v="CMR004002006"/>
    <s v="Kousséri"/>
  </r>
  <r>
    <s v="Extrême-Nord"/>
    <s v="CMR004"/>
    <x v="4"/>
    <s v="CMR004005"/>
    <x v="17"/>
    <s v="CMR004005002"/>
    <s v="MOR-0021"/>
    <s v="WALADE 3"/>
    <m/>
    <x v="0"/>
    <x v="0"/>
    <n v="161"/>
    <n v="630"/>
    <s v="Conflits liés à GANE (BH)"/>
    <m/>
    <s v="Même arrondissement"/>
    <s v="CMR"/>
    <s v="Cameroun"/>
    <s v="CMR004"/>
    <s v="Extrême-Nord"/>
    <s v="CMR004005"/>
    <s v="Mayo-Sava"/>
    <s v="CMR004005002"/>
    <s v="Mora"/>
  </r>
  <r>
    <s v="Extrême-Nord"/>
    <s v="CMR004"/>
    <x v="4"/>
    <s v="CMR004005"/>
    <x v="17"/>
    <s v="CMR004005002"/>
    <s v="MOR-0021"/>
    <s v="WALADE 3"/>
    <m/>
    <x v="0"/>
    <x v="1"/>
    <n v="135"/>
    <n v="940"/>
    <s v="Conflits liés à GANE (BH)"/>
    <m/>
    <s v="Même arrondissement"/>
    <s v="CMR"/>
    <s v="Cameroun"/>
    <s v="CMR004"/>
    <s v="Extrême-Nord"/>
    <s v="CMR004005"/>
    <s v="Mayo-Sava"/>
    <s v="CMR004005002"/>
    <s v="Mora"/>
  </r>
  <r>
    <s v="Extrême-Nord"/>
    <s v="CMR004"/>
    <x v="4"/>
    <s v="CMR004005"/>
    <x v="17"/>
    <s v="CMR004005002"/>
    <s v="MOR-0021"/>
    <s v="WALADE 3"/>
    <m/>
    <x v="0"/>
    <x v="4"/>
    <n v="75"/>
    <n v="567"/>
    <s v="Conflits liés à GANE (BH)"/>
    <m/>
    <s v="Même arrondissement"/>
    <s v="CMR"/>
    <s v="Cameroun"/>
    <s v="CMR004"/>
    <s v="Extrême-Nord"/>
    <s v="CMR004005"/>
    <s v="Mayo-Sava"/>
    <s v="CMR004005002"/>
    <s v="Mora"/>
  </r>
  <r>
    <s v="Extrême-Nord"/>
    <s v="CMR004"/>
    <x v="4"/>
    <s v="CMR004005"/>
    <x v="17"/>
    <s v="CMR004005002"/>
    <s v="MOR-0021"/>
    <s v="WALADE 3"/>
    <m/>
    <x v="0"/>
    <x v="3"/>
    <n v="3"/>
    <n v="34"/>
    <s v="Conflits liés à GANE (BH)"/>
    <m/>
    <s v="Même arrondissement"/>
    <s v="CMR"/>
    <s v="Cameroun"/>
    <s v="CMR004"/>
    <s v="Extrême-Nord"/>
    <s v="CMR004005"/>
    <s v="Mayo-Sava"/>
    <s v="CMR004005002"/>
    <s v="Mora"/>
  </r>
  <r>
    <s v="Extrême-Nord"/>
    <s v="CMR004"/>
    <x v="4"/>
    <s v="CMR004005"/>
    <x v="17"/>
    <s v="CMR004005002"/>
    <s v="MOR-0021"/>
    <s v="WALADE 3"/>
    <m/>
    <x v="0"/>
    <x v="2"/>
    <n v="0"/>
    <n v="28"/>
    <s v="Conflits liés à GANE (BH)"/>
    <m/>
    <s v="Même arrondissement"/>
    <s v="CMR"/>
    <s v="Cameroun"/>
    <s v="CMR004"/>
    <s v="Extrême-Nord"/>
    <s v="CMR004005"/>
    <s v="Mayo-Sava"/>
    <s v="CMR004005002"/>
    <s v="Mora"/>
  </r>
  <r>
    <s v="Extrême-Nord"/>
    <s v="CMR004"/>
    <x v="2"/>
    <s v="CMR004002"/>
    <x v="26"/>
    <s v="CMR004002006"/>
    <s v="KOU-0032"/>
    <s v="RIGGIL KOTOKO"/>
    <m/>
    <x v="0"/>
    <x v="0"/>
    <n v="15"/>
    <n v="32"/>
    <s v="Conflits liés à GANE (BH)"/>
    <m/>
    <s v="Même département, autre arrondissement"/>
    <s v="CMR"/>
    <s v="Cameroun"/>
    <s v="CMR004"/>
    <s v="Extrême-Nord"/>
    <s v="CMR004002"/>
    <s v="Logone-Et-Chari"/>
    <s v="CMR004002008"/>
    <s v="Fotokol"/>
  </r>
  <r>
    <s v="Extrême-Nord"/>
    <s v="CMR004"/>
    <x v="2"/>
    <s v="CMR004002"/>
    <x v="26"/>
    <s v="CMR004002006"/>
    <s v="KOU-0032"/>
    <s v="RIGGIL KOTOKO"/>
    <m/>
    <x v="0"/>
    <x v="1"/>
    <n v="2"/>
    <n v="16"/>
    <s v="Conflits liés à GANE (BH)"/>
    <m/>
    <s v="Même département, autre arrondissement"/>
    <s v="CMR"/>
    <s v="Cameroun"/>
    <s v="CMR004"/>
    <s v="Extrême-Nord"/>
    <s v="CMR004002"/>
    <s v="Logone-Et-Chari"/>
    <s v="CMR004002008"/>
    <s v="Fotokol"/>
  </r>
  <r>
    <s v="Extrême-Nord"/>
    <s v="CMR004"/>
    <x v="2"/>
    <s v="CMR004002"/>
    <x v="26"/>
    <s v="CMR004002006"/>
    <s v="KOU-0032"/>
    <s v="RIGGIL KOTOKO"/>
    <m/>
    <x v="0"/>
    <x v="4"/>
    <n v="1"/>
    <n v="8"/>
    <s v="Conflits liés à GANE (BH)"/>
    <m/>
    <s v="Même département, autre arrondissement"/>
    <s v="CMR"/>
    <s v="Cameroun"/>
    <s v="CMR004"/>
    <s v="Extrême-Nord"/>
    <s v="CMR004002"/>
    <s v="Logone-Et-Chari"/>
    <s v="CMR004002008"/>
    <s v="Fotokol"/>
  </r>
  <r>
    <s v="Extrême-Nord"/>
    <s v="CMR004"/>
    <x v="2"/>
    <s v="CMR004002"/>
    <x v="26"/>
    <s v="CMR004002006"/>
    <s v="KOU-0032"/>
    <s v="RIGGIL KOTOKO"/>
    <m/>
    <x v="0"/>
    <x v="3"/>
    <n v="2"/>
    <n v="14"/>
    <s v="Conflit intercommunautaire"/>
    <m/>
    <s v="Même département, autre arrondissement"/>
    <s v="CMR"/>
    <s v="Cameroun"/>
    <s v="CMR004"/>
    <s v="Extrême-Nord"/>
    <s v="CMR004002"/>
    <s v="Logone-Et-Chari"/>
    <s v="CMR004002004"/>
    <s v="Logone-Birni"/>
  </r>
  <r>
    <s v="Extrême-Nord"/>
    <s v="CMR004"/>
    <x v="2"/>
    <s v="CMR004002"/>
    <x v="26"/>
    <s v="CMR004002006"/>
    <s v="KOU-0032"/>
    <s v="RIGGIL KOTOKO"/>
    <m/>
    <x v="0"/>
    <x v="2"/>
    <n v="1"/>
    <n v="8"/>
    <s v="Inondations saisonnières ou fortes pluies"/>
    <m/>
    <s v="Même département, autre arrondissement"/>
    <s v="CMR"/>
    <s v="Cameroun"/>
    <s v="CMR004"/>
    <s v="Extrême-Nord"/>
    <s v="CMR004002"/>
    <s v="Logone-Et-Chari"/>
    <s v="CMR004002004"/>
    <s v="Logone-Birni"/>
  </r>
  <r>
    <s v="Extrême-Nord"/>
    <s v="CMR004"/>
    <x v="2"/>
    <s v="CMR004002"/>
    <x v="8"/>
    <s v="CMR004002009"/>
    <s v="MAK-0129"/>
    <s v="DAGLE"/>
    <m/>
    <x v="0"/>
    <x v="0"/>
    <n v="18"/>
    <n v="119"/>
    <s v="Conflits liés à GANE (BH)"/>
    <m/>
    <s v="Même département, autre arrondissement"/>
    <s v="CMR"/>
    <s v="Cameroun"/>
    <s v="CMR004"/>
    <s v="Extrême-Nord"/>
    <s v="CMR004002"/>
    <s v="Logone-Et-Chari"/>
    <s v="CMR004002008"/>
    <s v="Fotokol"/>
  </r>
  <r>
    <s v="Extrême-Nord"/>
    <s v="CMR004"/>
    <x v="2"/>
    <s v="CMR004002"/>
    <x v="8"/>
    <s v="CMR004002009"/>
    <s v="MAK-0129"/>
    <s v="DAGLE"/>
    <m/>
    <x v="0"/>
    <x v="1"/>
    <n v="0"/>
    <n v="17"/>
    <s v="Conflits liés à GANE (BH)"/>
    <m/>
    <s v="Même département, autre arrondissement"/>
    <s v="CMR"/>
    <s v="Cameroun"/>
    <s v="CMR004"/>
    <s v="Extrême-Nord"/>
    <s v="CMR004002"/>
    <s v="Logone-Et-Chari"/>
    <s v="CMR004002008"/>
    <s v="Fotokol"/>
  </r>
  <r>
    <s v="Extrême-Nord"/>
    <s v="CMR004"/>
    <x v="2"/>
    <s v="CMR004002"/>
    <x v="8"/>
    <s v="CMR004002009"/>
    <s v="MAK-0129"/>
    <s v="DAGLE"/>
    <m/>
    <x v="0"/>
    <x v="3"/>
    <n v="30"/>
    <n v="166"/>
    <s v="Conflit intercommunautaire"/>
    <m/>
    <s v="Même département, autre arrondissement"/>
    <s v="CMR"/>
    <s v="Cameroun"/>
    <s v="CMR004"/>
    <s v="Extrême-Nord"/>
    <s v="CMR004002"/>
    <s v="Logone-Et-Chari"/>
    <s v="CMR004002004"/>
    <s v="Logone-Birni"/>
  </r>
  <r>
    <s v="Extrême-Nord"/>
    <s v="CMR004"/>
    <x v="2"/>
    <s v="CMR004002"/>
    <x v="8"/>
    <s v="CMR004002009"/>
    <s v="MAK-0129"/>
    <s v="DAGLE"/>
    <m/>
    <x v="0"/>
    <x v="2"/>
    <n v="0"/>
    <n v="6"/>
    <s v="Conflit intercommunautaire"/>
    <m/>
    <s v="Même département, autre arrondissement"/>
    <s v="CMR"/>
    <s v="Cameroun"/>
    <s v="CMR004"/>
    <s v="Extrême-Nord"/>
    <s v="CMR004002"/>
    <s v="Logone-Et-Chari"/>
    <s v="CMR004002004"/>
    <s v="Logone-Birni"/>
  </r>
  <r>
    <s v="Extrême-Nord"/>
    <s v="CMR004"/>
    <x v="5"/>
    <s v="CMR004004"/>
    <x v="20"/>
    <s v="CMR004004006"/>
    <s v="KAE-0011"/>
    <s v="KASSÉLÉ"/>
    <m/>
    <x v="0"/>
    <x v="0"/>
    <n v="40"/>
    <n v="98"/>
    <s v="Conflits liés à GANE (BH)"/>
    <m/>
    <s v="Autre département"/>
    <s v="CMR"/>
    <s v="Cameroun"/>
    <s v="CMR004"/>
    <s v="Extrême-Nord"/>
    <s v="CMR004005"/>
    <s v="Mayo-Sava"/>
    <m/>
    <m/>
  </r>
  <r>
    <s v="Extrême-Nord"/>
    <s v="CMR004"/>
    <x v="0"/>
    <s v="CMR004001"/>
    <x v="0"/>
    <s v="CMR004001003"/>
    <s v="PET-0026"/>
    <s v="TOUTKA"/>
    <m/>
    <x v="0"/>
    <x v="0"/>
    <n v="3"/>
    <n v="21"/>
    <s v="Conflits liés à GANE (BH)"/>
    <m/>
    <s v="Autre département"/>
    <s v="CMR"/>
    <s v="Cameroun"/>
    <s v="CMR004"/>
    <s v="Extrême-Nord"/>
    <s v="CMR004005"/>
    <s v="Mayo-Sava"/>
    <m/>
    <m/>
  </r>
  <r>
    <s v="Extrême-Nord"/>
    <s v="CMR004"/>
    <x v="5"/>
    <s v="CMR004004"/>
    <x v="20"/>
    <s v="CMR004004006"/>
    <s v="KAE-0010"/>
    <s v="MADA"/>
    <m/>
    <x v="0"/>
    <x v="0"/>
    <n v="82"/>
    <n v="637"/>
    <s v="Conflit intercommunautaire"/>
    <m/>
    <s v="Autre région"/>
    <s v="CMR"/>
    <s v="Cameroun"/>
    <s v="CMR006"/>
    <s v="Nord"/>
    <m/>
    <m/>
    <m/>
    <m/>
  </r>
  <r>
    <s v="Extrême-Nord"/>
    <s v="CMR004"/>
    <x v="2"/>
    <s v="CMR004002"/>
    <x v="15"/>
    <s v="CMR004002004"/>
    <s v="LBI-0089"/>
    <s v="HERWA BAGTABA"/>
    <m/>
    <x v="0"/>
    <x v="2"/>
    <n v="25"/>
    <n v="250"/>
    <s v="Inondations saisonnières ou fortes pluies"/>
    <m/>
    <s v="Même arrondissement"/>
    <s v="CMR"/>
    <s v="Cameroun"/>
    <s v="CMR004"/>
    <s v="Extrême-Nord"/>
    <s v="CMR004002"/>
    <s v="Logone-Et-Chari"/>
    <s v="CMR004002004"/>
    <s v="Logone-Birni"/>
  </r>
  <r>
    <s v="Extrême-Nord"/>
    <s v="CMR004"/>
    <x v="2"/>
    <s v="CMR004002"/>
    <x v="15"/>
    <s v="CMR004002004"/>
    <s v="LBI-0091"/>
    <s v="DILGA MOUSGOUM"/>
    <m/>
    <x v="0"/>
    <x v="2"/>
    <n v="3"/>
    <n v="9"/>
    <s v="Inondations saisonnières ou fortes pluies"/>
    <m/>
    <s v="Autre département"/>
    <s v="CMR"/>
    <s v="Cameroun"/>
    <s v="CMR004"/>
    <s v="Extrême-Nord"/>
    <s v="CMR004003"/>
    <s v="Mayo-Danay"/>
    <m/>
    <m/>
  </r>
  <r>
    <s v="Extrême-Nord"/>
    <s v="CMR004"/>
    <x v="2"/>
    <s v="CMR004002"/>
    <x v="15"/>
    <s v="CMR004002004"/>
    <s v="XXXX"/>
    <s v="DILGA ARABE"/>
    <s v="DILGA ARABE"/>
    <x v="0"/>
    <x v="2"/>
    <n v="15"/>
    <n v="50"/>
    <s v="Inondations saisonnières ou fortes pluies"/>
    <m/>
    <s v="Même arrondissement"/>
    <s v="CMR"/>
    <s v="Cameroun"/>
    <s v="CMR004"/>
    <s v="Extrême-Nord"/>
    <s v="CMR004002"/>
    <s v="Logone-Et-Chari"/>
    <s v="CMR004002004"/>
    <s v="Logone-Birni"/>
  </r>
  <r>
    <s v="Extrême-Nord"/>
    <s v="CMR004"/>
    <x v="2"/>
    <s v="CMR004002"/>
    <x v="15"/>
    <s v="CMR004002004"/>
    <s v="LBI-0072"/>
    <s v="MBOUTOUFKA"/>
    <m/>
    <x v="0"/>
    <x v="0"/>
    <n v="10"/>
    <n v="55"/>
    <s v="Conflits liés à GANE (BH)"/>
    <m/>
    <s v="Même département, autre arrondissement"/>
    <s v="CMR"/>
    <s v="Cameroun"/>
    <s v="CMR004"/>
    <s v="Extrême-Nord"/>
    <s v="CMR004002"/>
    <s v="Logone-Et-Chari"/>
    <s v="CMR004002001"/>
    <s v="Waza"/>
  </r>
  <r>
    <s v="Extrême-Nord"/>
    <s v="CMR004"/>
    <x v="2"/>
    <s v="CMR004002"/>
    <x v="8"/>
    <s v="CMR004002009"/>
    <s v="MAK-0117"/>
    <s v="RINGUE"/>
    <m/>
    <x v="0"/>
    <x v="0"/>
    <n v="11"/>
    <n v="40"/>
    <s v="Conflits liés à GANE (BH)"/>
    <m/>
    <s v="Même département, autre arrondissement"/>
    <s v="CMR"/>
    <s v="Cameroun"/>
    <s v="CMR004"/>
    <s v="Extrême-Nord"/>
    <s v="CMR004002"/>
    <s v="Logone-Et-Chari"/>
    <s v="CMR004002008"/>
    <s v="Fotokol"/>
  </r>
  <r>
    <s v="Extrême-Nord"/>
    <s v="CMR004"/>
    <x v="2"/>
    <s v="CMR004002"/>
    <x v="8"/>
    <s v="CMR004002009"/>
    <s v="MAK-0117"/>
    <s v="RINGUE"/>
    <m/>
    <x v="0"/>
    <x v="4"/>
    <n v="0"/>
    <n v="17"/>
    <s v="Conflits liés à GANE (BH)"/>
    <m/>
    <s v="Même département, autre arrondissement"/>
    <s v="CMR"/>
    <s v="Cameroun"/>
    <s v="CMR004"/>
    <s v="Extrême-Nord"/>
    <s v="CMR004002"/>
    <s v="Logone-Et-Chari"/>
    <s v="CMR004002008"/>
    <s v="Fotokol"/>
  </r>
  <r>
    <s v="Extrême-Nord"/>
    <s v="CMR004"/>
    <x v="2"/>
    <s v="CMR004002"/>
    <x v="8"/>
    <s v="CMR004002009"/>
    <s v="MAK-0056"/>
    <s v="MAFANDE"/>
    <m/>
    <x v="0"/>
    <x v="0"/>
    <n v="20"/>
    <n v="56"/>
    <s v="Conflits liés à GANE (BH)"/>
    <m/>
    <s v="Même département, autre arrondissement"/>
    <s v="CMR"/>
    <s v="Cameroun"/>
    <s v="CMR004"/>
    <s v="Extrême-Nord"/>
    <s v="CMR004002"/>
    <s v="Logone-Et-Chari"/>
    <s v="CMR004002008"/>
    <s v="Fotokol"/>
  </r>
  <r>
    <s v="Extrême-Nord"/>
    <s v="CMR004"/>
    <x v="1"/>
    <s v="CMR004006"/>
    <x v="16"/>
    <s v="CMR004006004"/>
    <s v="KOZ-0040"/>
    <s v="BANQUETTE"/>
    <m/>
    <x v="0"/>
    <x v="0"/>
    <n v="23"/>
    <n v="84"/>
    <s v="Conflits liés à GANE (BH)"/>
    <m/>
    <s v="Même département, autre arrondissement"/>
    <s v="CMR"/>
    <s v="Cameroun"/>
    <s v="CMR004"/>
    <s v="Extrême-Nord"/>
    <s v="CMR004006"/>
    <s v="Mayo-Tsanaga"/>
    <s v="CMR004006005"/>
    <s v="Mayo-Moskota"/>
  </r>
  <r>
    <s v="Extrême-Nord"/>
    <s v="CMR004"/>
    <x v="1"/>
    <s v="CMR004006"/>
    <x v="16"/>
    <s v="CMR004006004"/>
    <s v="KOZ-0040"/>
    <s v="BANQUETTE"/>
    <m/>
    <x v="0"/>
    <x v="3"/>
    <n v="1"/>
    <n v="3"/>
    <s v="Conflits liés à GANE (BH)"/>
    <m/>
    <s v="Même département, autre arrondissement"/>
    <s v="CMR"/>
    <s v="Cameroun"/>
    <s v="CMR004"/>
    <s v="Extrême-Nord"/>
    <s v="CMR004006"/>
    <s v="Mayo-Tsanaga"/>
    <s v="CMR004006005"/>
    <s v="Mayo-Moskota"/>
  </r>
  <r>
    <s v="Extrême-Nord"/>
    <s v="CMR004"/>
    <x v="1"/>
    <s v="CMR004006"/>
    <x v="16"/>
    <s v="CMR004006004"/>
    <s v="KOZ-0040"/>
    <s v="BANQUETTE"/>
    <m/>
    <x v="0"/>
    <x v="2"/>
    <n v="3"/>
    <n v="14"/>
    <s v="Conflits liés à GANE (BH)"/>
    <m/>
    <s v="Même département, autre arrondissement"/>
    <s v="CMR"/>
    <s v="Cameroun"/>
    <s v="CMR004"/>
    <s v="Extrême-Nord"/>
    <s v="CMR004006"/>
    <s v="Mayo-Tsanaga"/>
    <s v="CMR004006005"/>
    <s v="Mayo-Moskota"/>
  </r>
  <r>
    <s v="Extrême-Nord"/>
    <s v="CMR004"/>
    <x v="1"/>
    <s v="CMR004006"/>
    <x v="16"/>
    <s v="CMR004006004"/>
    <s v="KOZ-0040"/>
    <s v="BANQUETTE"/>
    <m/>
    <x v="0"/>
    <x v="4"/>
    <n v="3"/>
    <n v="12"/>
    <s v="Conflits liés à GANE (BH)"/>
    <m/>
    <s v="Même département, autre arrondissement"/>
    <s v="CMR"/>
    <s v="Cameroun"/>
    <s v="CMR004"/>
    <s v="Extrême-Nord"/>
    <s v="CMR004006"/>
    <s v="Mayo-Tsanaga"/>
    <s v="CMR004006005"/>
    <s v="Mayo-Moskota"/>
  </r>
  <r>
    <s v="Extrême-Nord"/>
    <s v="CMR004"/>
    <x v="1"/>
    <s v="CMR004006"/>
    <x v="16"/>
    <s v="CMR004006004"/>
    <s v="KOZ-0017"/>
    <s v="KILDA"/>
    <m/>
    <x v="0"/>
    <x v="0"/>
    <n v="60"/>
    <n v="472"/>
    <s v="Conflits liés à GANE (BH)"/>
    <m/>
    <s v="Même département, autre arrondissement"/>
    <s v="CMR"/>
    <s v="Cameroun"/>
    <s v="CMR004"/>
    <s v="Extrême-Nord"/>
    <s v="CMR004006"/>
    <s v="Mayo-Tsanaga"/>
    <s v="CMR004006005"/>
    <s v="Mayo-Moskota"/>
  </r>
  <r>
    <s v="Extrême-Nord"/>
    <s v="CMR004"/>
    <x v="1"/>
    <s v="CMR004006"/>
    <x v="16"/>
    <s v="CMR004006004"/>
    <s v="KOZ-0017"/>
    <s v="KILDA"/>
    <m/>
    <x v="0"/>
    <x v="4"/>
    <n v="5"/>
    <n v="35"/>
    <s v="Conflits liés à GANE (BH)"/>
    <m/>
    <s v="Même département, autre arrondissement"/>
    <s v="CMR"/>
    <s v="Cameroun"/>
    <s v="CMR004"/>
    <s v="Extrême-Nord"/>
    <s v="CMR004006"/>
    <s v="Mayo-Tsanaga"/>
    <s v="CMR004006005"/>
    <s v="Mayo-Moskota"/>
  </r>
  <r>
    <s v="Extrême-Nord"/>
    <s v="CMR004"/>
    <x v="1"/>
    <s v="CMR004006"/>
    <x v="16"/>
    <s v="CMR004006004"/>
    <s v="KOZ-0017"/>
    <s v="KILDA"/>
    <m/>
    <x v="0"/>
    <x v="3"/>
    <n v="1"/>
    <n v="7"/>
    <s v="Conflits liés à GANE (BH)"/>
    <m/>
    <s v="Même département, autre arrondissement"/>
    <s v="CMR"/>
    <s v="Cameroun"/>
    <s v="CMR004"/>
    <s v="Extrême-Nord"/>
    <s v="CMR004006"/>
    <s v="Mayo-Tsanaga"/>
    <s v="CMR004006005"/>
    <s v="Mayo-Moskota"/>
  </r>
  <r>
    <s v="Extrême-Nord"/>
    <s v="CMR004"/>
    <x v="1"/>
    <s v="CMR004006"/>
    <x v="16"/>
    <s v="CMR004006004"/>
    <s v="KOZ-0017"/>
    <s v="KILDA"/>
    <m/>
    <x v="0"/>
    <x v="2"/>
    <n v="7"/>
    <n v="35"/>
    <s v="Conflits liés à GANE (BH)"/>
    <m/>
    <s v="Même département, autre arrondissement"/>
    <s v="CMR"/>
    <s v="Cameroun"/>
    <s v="CMR004"/>
    <s v="Extrême-Nord"/>
    <s v="CMR004006"/>
    <s v="Mayo-Tsanaga"/>
    <s v="CMR004006005"/>
    <s v="Mayo-Moskota"/>
  </r>
  <r>
    <s v="Extrême-Nord"/>
    <s v="CMR004"/>
    <x v="1"/>
    <s v="CMR004006"/>
    <x v="16"/>
    <s v="CMR004006004"/>
    <s v="KOZ-0017"/>
    <s v="KILDA"/>
    <m/>
    <x v="0"/>
    <x v="1"/>
    <n v="4"/>
    <n v="16"/>
    <s v="Conflits liés à GANE (BH)"/>
    <m/>
    <s v="Même département, autre arrondissement"/>
    <s v="CMR"/>
    <s v="Cameroun"/>
    <s v="CMR004"/>
    <s v="Extrême-Nord"/>
    <s v="CMR004006"/>
    <s v="Mayo-Tsanaga"/>
    <s v="CMR004006005"/>
    <s v="Mayo-Moskota"/>
  </r>
  <r>
    <s v="Extrême-Nord"/>
    <s v="CMR004"/>
    <x v="1"/>
    <s v="CMR004006"/>
    <x v="16"/>
    <s v="CMR004006004"/>
    <s v="KOZ-0034"/>
    <s v="LDAGAM"/>
    <m/>
    <x v="0"/>
    <x v="0"/>
    <n v="70"/>
    <n v="472"/>
    <s v="Conflits liés à GANE (BH)"/>
    <m/>
    <s v="Même département, autre arrondissement"/>
    <s v="CMR"/>
    <s v="Cameroun"/>
    <s v="CMR004"/>
    <s v="Extrême-Nord"/>
    <s v="CMR004006"/>
    <s v="Mayo-Tsanaga"/>
    <s v="CMR004006005"/>
    <s v="Mayo-Moskota"/>
  </r>
  <r>
    <s v="Extrême-Nord"/>
    <s v="CMR004"/>
    <x v="1"/>
    <s v="CMR004006"/>
    <x v="16"/>
    <s v="CMR004006004"/>
    <s v="KOZ-0034"/>
    <s v="LDAGAM"/>
    <m/>
    <x v="0"/>
    <x v="1"/>
    <n v="0"/>
    <n v="8"/>
    <s v="Conflits liés à GANE (BH)"/>
    <m/>
    <s v="Même département, autre arrondissement"/>
    <s v="CMR"/>
    <s v="Cameroun"/>
    <s v="CMR004"/>
    <s v="Extrême-Nord"/>
    <s v="CMR004006"/>
    <s v="Mayo-Tsanaga"/>
    <s v="CMR004006005"/>
    <s v="Mayo-Moskota"/>
  </r>
  <r>
    <s v="Extrême-Nord"/>
    <s v="CMR004"/>
    <x v="1"/>
    <s v="CMR004006"/>
    <x v="16"/>
    <s v="CMR004006004"/>
    <s v="KOZ-0034"/>
    <s v="LDAGAM"/>
    <m/>
    <x v="0"/>
    <x v="4"/>
    <n v="35"/>
    <n v="70"/>
    <s v="Conflits liés à GANE (BH)"/>
    <m/>
    <s v="Même département, autre arrondissement"/>
    <s v="CMR"/>
    <s v="Cameroun"/>
    <s v="CMR004"/>
    <s v="Extrême-Nord"/>
    <s v="CMR004006"/>
    <s v="Mayo-Tsanaga"/>
    <s v="CMR004006005"/>
    <s v="Mayo-Moskota"/>
  </r>
  <r>
    <s v="Extrême-Nord"/>
    <s v="CMR004"/>
    <x v="1"/>
    <s v="CMR004006"/>
    <x v="16"/>
    <s v="CMR004006004"/>
    <s v="KOZ-0034"/>
    <s v="LDAGAM"/>
    <m/>
    <x v="0"/>
    <x v="3"/>
    <n v="14"/>
    <n v="50"/>
    <s v="Conflits liés à GANE (BH)"/>
    <m/>
    <s v="Même département, autre arrondissement"/>
    <s v="CMR"/>
    <s v="Cameroun"/>
    <s v="CMR004"/>
    <s v="Extrême-Nord"/>
    <s v="CMR004006"/>
    <s v="Mayo-Tsanaga"/>
    <s v="CMR004006005"/>
    <s v="Mayo-Moskota"/>
  </r>
  <r>
    <s v="Extrême-Nord"/>
    <s v="CMR004"/>
    <x v="1"/>
    <s v="CMR004006"/>
    <x v="16"/>
    <s v="CMR004006004"/>
    <s v="KOZ-0034"/>
    <s v="LDAGAM"/>
    <m/>
    <x v="0"/>
    <x v="2"/>
    <n v="10"/>
    <n v="67"/>
    <s v="Conflits liés à GANE (BH)"/>
    <m/>
    <s v="Même département, autre arrondissement"/>
    <s v="CMR"/>
    <s v="Cameroun"/>
    <s v="CMR004"/>
    <s v="Extrême-Nord"/>
    <s v="CMR004006"/>
    <s v="Mayo-Tsanaga"/>
    <s v="CMR004006005"/>
    <s v="Mayo-Moskota"/>
  </r>
  <r>
    <s v="Extrême-Nord"/>
    <s v="CMR004"/>
    <x v="1"/>
    <s v="CMR004006"/>
    <x v="16"/>
    <s v="CMR004006004"/>
    <s v="KOZ-0039"/>
    <s v="MAWA"/>
    <m/>
    <x v="0"/>
    <x v="0"/>
    <n v="98"/>
    <n v="795"/>
    <s v="Conflits liés à GANE (BH)"/>
    <m/>
    <s v="Même département, autre arrondissement"/>
    <s v="CMR"/>
    <s v="Cameroun"/>
    <s v="CMR004"/>
    <s v="Extrême-Nord"/>
    <s v="CMR004006"/>
    <s v="Mayo-Tsanaga"/>
    <s v="CMR004006005"/>
    <s v="Mayo-Moskota"/>
  </r>
  <r>
    <s v="Extrême-Nord"/>
    <s v="CMR004"/>
    <x v="1"/>
    <s v="CMR004006"/>
    <x v="16"/>
    <s v="CMR004006004"/>
    <s v="KOZ-0039"/>
    <s v="MAWA"/>
    <m/>
    <x v="0"/>
    <x v="1"/>
    <n v="0"/>
    <n v="10"/>
    <s v="Conflits liés à GANE (BH)"/>
    <m/>
    <s v="Même département, autre arrondissement"/>
    <s v="CMR"/>
    <s v="Cameroun"/>
    <s v="CMR004"/>
    <s v="Extrême-Nord"/>
    <s v="CMR004006"/>
    <s v="Mayo-Tsanaga"/>
    <s v="CMR004006005"/>
    <s v="Mayo-Moskota"/>
  </r>
  <r>
    <s v="Extrême-Nord"/>
    <s v="CMR004"/>
    <x v="1"/>
    <s v="CMR004006"/>
    <x v="16"/>
    <s v="CMR004006004"/>
    <s v="KOZ-0039"/>
    <s v="MAWA"/>
    <m/>
    <x v="0"/>
    <x v="4"/>
    <n v="10"/>
    <n v="37"/>
    <s v="Conflits liés à GANE (BH)"/>
    <m/>
    <s v="Même département, autre arrondissement"/>
    <s v="CMR"/>
    <s v="Cameroun"/>
    <s v="CMR004"/>
    <s v="Extrême-Nord"/>
    <s v="CMR004006"/>
    <s v="Mayo-Tsanaga"/>
    <s v="CMR004006005"/>
    <s v="Mayo-Moskota"/>
  </r>
  <r>
    <s v="Extrême-Nord"/>
    <s v="CMR004"/>
    <x v="1"/>
    <s v="CMR004006"/>
    <x v="16"/>
    <s v="CMR004006004"/>
    <s v="KOZ-0039"/>
    <s v="MAWA"/>
    <m/>
    <x v="0"/>
    <x v="3"/>
    <n v="51"/>
    <n v="320"/>
    <s v="Conflits liés à GANE (BH)"/>
    <m/>
    <s v="Même département, autre arrondissement"/>
    <s v="CMR"/>
    <s v="Cameroun"/>
    <s v="CMR004"/>
    <s v="Extrême-Nord"/>
    <s v="CMR004006"/>
    <s v="Mayo-Tsanaga"/>
    <s v="CMR004006005"/>
    <s v="Mayo-Moskota"/>
  </r>
  <r>
    <s v="Extrême-Nord"/>
    <s v="CMR004"/>
    <x v="1"/>
    <s v="CMR004006"/>
    <x v="16"/>
    <s v="CMR004006004"/>
    <s v="KOZ-0039"/>
    <s v="MAWA"/>
    <m/>
    <x v="0"/>
    <x v="2"/>
    <n v="2"/>
    <n v="15"/>
    <s v="Conflits liés à GANE (BH)"/>
    <m/>
    <s v="Même département, autre arrondissement"/>
    <s v="CMR"/>
    <s v="Cameroun"/>
    <s v="CMR004"/>
    <s v="Extrême-Nord"/>
    <s v="CMR004006"/>
    <s v="Mayo-Tsanaga"/>
    <s v="CMR004006005"/>
    <s v="Mayo-Moskota"/>
  </r>
  <r>
    <s v="Extrême-Nord"/>
    <s v="CMR004"/>
    <x v="1"/>
    <s v="CMR004006"/>
    <x v="16"/>
    <s v="CMR004006004"/>
    <s v="KOZ-0009"/>
    <s v="GALDALA"/>
    <m/>
    <x v="0"/>
    <x v="0"/>
    <n v="142"/>
    <n v="925"/>
    <s v="Conflits liés à GANE (BH)"/>
    <m/>
    <s v="Même département, autre arrondissement"/>
    <s v="CMR"/>
    <s v="Cameroun"/>
    <s v="CMR004"/>
    <s v="Extrême-Nord"/>
    <s v="CMR004006"/>
    <s v="Mayo-Tsanaga"/>
    <s v="CMR004006005"/>
    <s v="Mayo-Moskota"/>
  </r>
  <r>
    <s v="Extrême-Nord"/>
    <s v="CMR004"/>
    <x v="1"/>
    <s v="CMR004006"/>
    <x v="16"/>
    <s v="CMR004006004"/>
    <s v="KOZ-0009"/>
    <s v="GALDALA"/>
    <m/>
    <x v="0"/>
    <x v="1"/>
    <n v="20"/>
    <n v="60"/>
    <s v="Conflits liés à GANE (BH)"/>
    <m/>
    <s v="Même département, autre arrondissement"/>
    <s v="CMR"/>
    <s v="Cameroun"/>
    <s v="CMR004"/>
    <s v="Extrême-Nord"/>
    <s v="CMR004006"/>
    <s v="Mayo-Tsanaga"/>
    <s v="CMR004006005"/>
    <s v="Mayo-Moskota"/>
  </r>
  <r>
    <s v="Extrême-Nord"/>
    <s v="CMR004"/>
    <x v="1"/>
    <s v="CMR004006"/>
    <x v="16"/>
    <s v="CMR004006004"/>
    <s v="KOZ-0009"/>
    <s v="GALDALA"/>
    <m/>
    <x v="0"/>
    <x v="4"/>
    <n v="27"/>
    <n v="60"/>
    <s v="Conflits liés à GANE (BH)"/>
    <m/>
    <s v="Même département, autre arrondissement"/>
    <s v="CMR"/>
    <s v="Cameroun"/>
    <s v="CMR004"/>
    <s v="Extrême-Nord"/>
    <s v="CMR004006"/>
    <s v="Mayo-Tsanaga"/>
    <s v="CMR004006005"/>
    <s v="Mayo-Moskota"/>
  </r>
  <r>
    <s v="Extrême-Nord"/>
    <s v="CMR004"/>
    <x v="1"/>
    <s v="CMR004006"/>
    <x v="16"/>
    <s v="CMR004006004"/>
    <s v="KOZ-0009"/>
    <s v="GALDALA"/>
    <m/>
    <x v="0"/>
    <x v="3"/>
    <n v="7"/>
    <n v="35"/>
    <s v="Conflits liés à GANE (BH)"/>
    <m/>
    <s v="Même département, autre arrondissement"/>
    <s v="CMR"/>
    <s v="Cameroun"/>
    <s v="CMR004"/>
    <s v="Extrême-Nord"/>
    <s v="CMR004006"/>
    <s v="Mayo-Tsanaga"/>
    <s v="CMR004006005"/>
    <s v="Mayo-Moskota"/>
  </r>
  <r>
    <s v="Extrême-Nord"/>
    <s v="CMR004"/>
    <x v="1"/>
    <s v="CMR004006"/>
    <x v="16"/>
    <s v="CMR004006004"/>
    <s v="KOZ-0009"/>
    <s v="GALDALA"/>
    <m/>
    <x v="0"/>
    <x v="2"/>
    <n v="6"/>
    <n v="89"/>
    <s v="Conflits liés à GANE (BH)"/>
    <m/>
    <s v="Même département, autre arrondissement"/>
    <s v="CMR"/>
    <s v="Cameroun"/>
    <s v="CMR004"/>
    <s v="Extrême-Nord"/>
    <s v="CMR004006"/>
    <s v="Mayo-Tsanaga"/>
    <s v="CMR004006005"/>
    <s v="Mayo-Moskota"/>
  </r>
  <r>
    <s v="Extrême-Nord"/>
    <s v="CMR004"/>
    <x v="1"/>
    <s v="CMR004006"/>
    <x v="16"/>
    <s v="CMR004006004"/>
    <s v="KOZ-0027"/>
    <s v="ZILER"/>
    <m/>
    <x v="0"/>
    <x v="0"/>
    <n v="61"/>
    <n v="492"/>
    <s v="Conflits liés à GANE (BH)"/>
    <m/>
    <s v="Même département, autre arrondissement"/>
    <s v="CMR"/>
    <s v="Cameroun"/>
    <s v="CMR004"/>
    <s v="Extrême-Nord"/>
    <s v="CMR004006"/>
    <s v="Mayo-Tsanaga"/>
    <s v="CMR004006005"/>
    <s v="Mayo-Moskota"/>
  </r>
  <r>
    <s v="Extrême-Nord"/>
    <s v="CMR004"/>
    <x v="1"/>
    <s v="CMR004006"/>
    <x v="16"/>
    <s v="CMR004006004"/>
    <s v="KOZ-0027"/>
    <s v="ZILER"/>
    <m/>
    <x v="0"/>
    <x v="1"/>
    <n v="8"/>
    <n v="36"/>
    <s v="Conflits liés à GANE (BH)"/>
    <m/>
    <s v="Même département, autre arrondissement"/>
    <s v="CMR"/>
    <s v="Cameroun"/>
    <s v="CMR004"/>
    <s v="Extrême-Nord"/>
    <s v="CMR004006"/>
    <s v="Mayo-Tsanaga"/>
    <s v="CMR004006005"/>
    <s v="Mayo-Moskota"/>
  </r>
  <r>
    <s v="Extrême-Nord"/>
    <s v="CMR004"/>
    <x v="1"/>
    <s v="CMR004006"/>
    <x v="16"/>
    <s v="CMR004006004"/>
    <s v="KOZ-0027"/>
    <s v="ZILER"/>
    <m/>
    <x v="0"/>
    <x v="3"/>
    <n v="30"/>
    <n v="57"/>
    <s v="Conflits liés à GANE (BH)"/>
    <m/>
    <s v="Même département, autre arrondissement"/>
    <s v="CMR"/>
    <s v="Cameroun"/>
    <s v="CMR004"/>
    <s v="Extrême-Nord"/>
    <s v="CMR004006"/>
    <s v="Mayo-Tsanaga"/>
    <s v="CMR004006005"/>
    <s v="Mayo-Moskota"/>
  </r>
  <r>
    <s v="Extrême-Nord"/>
    <s v="CMR004"/>
    <x v="1"/>
    <s v="CMR004006"/>
    <x v="16"/>
    <s v="CMR004006004"/>
    <s v="KOZ-0027"/>
    <s v="ZILER"/>
    <m/>
    <x v="0"/>
    <x v="2"/>
    <n v="15"/>
    <n v="75"/>
    <s v="Conflits liés à GANE (BH)"/>
    <m/>
    <s v="Même département, autre arrondissement"/>
    <s v="CMR"/>
    <s v="Cameroun"/>
    <s v="CMR004"/>
    <s v="Extrême-Nord"/>
    <s v="CMR004006"/>
    <s v="Mayo-Tsanaga"/>
    <s v="CMR004006005"/>
    <s v="Mayo-Moskota"/>
  </r>
  <r>
    <s v="Extrême-Nord"/>
    <s v="CMR004"/>
    <x v="1"/>
    <s v="CMR004006"/>
    <x v="16"/>
    <s v="CMR004006004"/>
    <s v="KOZ-0027"/>
    <s v="ZILER"/>
    <m/>
    <x v="0"/>
    <x v="4"/>
    <n v="5"/>
    <n v="26"/>
    <s v="Conflits liés à GANE (BH)"/>
    <m/>
    <s v="Même département, autre arrondissement"/>
    <s v="CMR"/>
    <s v="Cameroun"/>
    <s v="CMR004"/>
    <s v="Extrême-Nord"/>
    <s v="CMR004006"/>
    <s v="Mayo-Tsanaga"/>
    <s v="CMR004006005"/>
    <s v="Mayo-Moskota"/>
  </r>
  <r>
    <s v="Extrême-Nord"/>
    <s v="CMR004"/>
    <x v="1"/>
    <s v="CMR004006"/>
    <x v="16"/>
    <s v="CMR004006004"/>
    <s v="KOZ-0018"/>
    <s v="MALTAMAYA"/>
    <m/>
    <x v="0"/>
    <x v="0"/>
    <n v="66"/>
    <n v="408"/>
    <s v="Conflits liés à GANE (BH)"/>
    <m/>
    <s v="Même département, autre arrondissement"/>
    <s v="CMR"/>
    <s v="Cameroun"/>
    <s v="CMR004"/>
    <s v="Extrême-Nord"/>
    <s v="CMR004006"/>
    <s v="Mayo-Tsanaga"/>
    <s v="CMR004006005"/>
    <s v="Mayo-Moskota"/>
  </r>
  <r>
    <s v="Extrême-Nord"/>
    <s v="CMR004"/>
    <x v="1"/>
    <s v="CMR004006"/>
    <x v="16"/>
    <s v="CMR004006004"/>
    <s v="KOZ-0018"/>
    <s v="MALTAMAYA"/>
    <m/>
    <x v="0"/>
    <x v="1"/>
    <n v="9"/>
    <n v="50"/>
    <s v="Conflits liés à GANE (BH)"/>
    <m/>
    <s v="Même département, autre arrondissement"/>
    <s v="CMR"/>
    <s v="Cameroun"/>
    <s v="CMR004"/>
    <s v="Extrême-Nord"/>
    <s v="CMR004006"/>
    <s v="Mayo-Tsanaga"/>
    <s v="CMR004006005"/>
    <s v="Mayo-Moskota"/>
  </r>
  <r>
    <s v="Extrême-Nord"/>
    <s v="CMR004"/>
    <x v="1"/>
    <s v="CMR004006"/>
    <x v="16"/>
    <s v="CMR004006004"/>
    <s v="KOZ-0018"/>
    <s v="MALTAMAYA"/>
    <m/>
    <x v="0"/>
    <x v="4"/>
    <n v="10"/>
    <n v="29"/>
    <s v="Conflits liés à GANE (BH)"/>
    <m/>
    <s v="Même département, autre arrondissement"/>
    <s v="CMR"/>
    <s v="Cameroun"/>
    <s v="CMR004"/>
    <s v="Extrême-Nord"/>
    <s v="CMR004006"/>
    <s v="Mayo-Tsanaga"/>
    <s v="CMR004006005"/>
    <s v="Mayo-Moskota"/>
  </r>
  <r>
    <s v="Extrême-Nord"/>
    <s v="CMR004"/>
    <x v="1"/>
    <s v="CMR004006"/>
    <x v="16"/>
    <s v="CMR004006004"/>
    <s v="KOZ-0018"/>
    <s v="MALTAMAYA"/>
    <m/>
    <x v="0"/>
    <x v="3"/>
    <n v="40"/>
    <n v="110"/>
    <s v="Conflits liés à GANE (BH)"/>
    <m/>
    <s v="Même département, autre arrondissement"/>
    <s v="CMR"/>
    <s v="Cameroun"/>
    <s v="CMR004"/>
    <s v="Extrême-Nord"/>
    <s v="CMR004006"/>
    <s v="Mayo-Tsanaga"/>
    <s v="CMR004006005"/>
    <s v="Mayo-Moskota"/>
  </r>
  <r>
    <s v="Extrême-Nord"/>
    <s v="CMR004"/>
    <x v="1"/>
    <s v="CMR004006"/>
    <x v="16"/>
    <s v="CMR004006004"/>
    <s v="KOZ-0018"/>
    <s v="MALTAMAYA"/>
    <m/>
    <x v="0"/>
    <x v="2"/>
    <n v="8"/>
    <n v="43"/>
    <s v="Conflits liés à GANE (BH)"/>
    <m/>
    <s v="Même département, autre arrondissement"/>
    <s v="CMR"/>
    <s v="Cameroun"/>
    <s v="CMR004"/>
    <s v="Extrême-Nord"/>
    <s v="CMR004006"/>
    <s v="Mayo-Tsanaga"/>
    <s v="CMR004006005"/>
    <s v="Mayo-Moskota"/>
  </r>
  <r>
    <s v="Extrême-Nord"/>
    <s v="CMR004"/>
    <x v="1"/>
    <s v="CMR004006"/>
    <x v="16"/>
    <s v="CMR004006004"/>
    <s v="KOZ-0028"/>
    <s v="MATALAM"/>
    <m/>
    <x v="0"/>
    <x v="0"/>
    <n v="32"/>
    <n v="184"/>
    <s v="Conflits liés à GANE (BH)"/>
    <m/>
    <s v="Même département, autre arrondissement"/>
    <s v="CMR"/>
    <s v="Cameroun"/>
    <s v="CMR004"/>
    <s v="Extrême-Nord"/>
    <s v="CMR004006"/>
    <s v="Mayo-Tsanaga"/>
    <s v="CMR004006005"/>
    <s v="Mayo-Moskota"/>
  </r>
  <r>
    <s v="Extrême-Nord"/>
    <s v="CMR004"/>
    <x v="1"/>
    <s v="CMR004006"/>
    <x v="16"/>
    <s v="CMR004006004"/>
    <s v="KOZ-0028"/>
    <s v="MATALAM"/>
    <m/>
    <x v="0"/>
    <x v="1"/>
    <n v="6"/>
    <n v="30"/>
    <s v="Conflits liés à GANE (BH)"/>
    <m/>
    <s v="Même département, autre arrondissement"/>
    <s v="CMR"/>
    <s v="Cameroun"/>
    <s v="CMR004"/>
    <s v="Extrême-Nord"/>
    <s v="CMR004006"/>
    <s v="Mayo-Tsanaga"/>
    <s v="CMR004006005"/>
    <s v="Mayo-Moskota"/>
  </r>
  <r>
    <s v="Extrême-Nord"/>
    <s v="CMR004"/>
    <x v="1"/>
    <s v="CMR004006"/>
    <x v="16"/>
    <s v="CMR004006004"/>
    <s v="KOZ-0028"/>
    <s v="MATALAM"/>
    <m/>
    <x v="0"/>
    <x v="4"/>
    <n v="8"/>
    <n v="20"/>
    <s v="Conflits liés à GANE (BH)"/>
    <m/>
    <s v="Même département, autre arrondissement"/>
    <s v="CMR"/>
    <s v="Cameroun"/>
    <s v="CMR004"/>
    <s v="Extrême-Nord"/>
    <s v="CMR004006"/>
    <s v="Mayo-Tsanaga"/>
    <s v="CMR004006005"/>
    <s v="Mayo-Moskota"/>
  </r>
  <r>
    <s v="Extrême-Nord"/>
    <s v="CMR004"/>
    <x v="1"/>
    <s v="CMR004006"/>
    <x v="16"/>
    <s v="CMR004006004"/>
    <s v="KOZ-0028"/>
    <s v="MATALAM"/>
    <m/>
    <x v="0"/>
    <x v="3"/>
    <n v="0"/>
    <n v="4"/>
    <s v="Conflits liés à GANE (BH)"/>
    <m/>
    <s v="Même département, autre arrondissement"/>
    <s v="CMR"/>
    <s v="Cameroun"/>
    <s v="CMR004"/>
    <s v="Extrême-Nord"/>
    <s v="CMR004006"/>
    <s v="Mayo-Tsanaga"/>
    <s v="CMR004006005"/>
    <s v="Mayo-Moskota"/>
  </r>
  <r>
    <s v="Extrême-Nord"/>
    <s v="CMR004"/>
    <x v="1"/>
    <s v="CMR004006"/>
    <x v="16"/>
    <s v="CMR004006004"/>
    <s v="KOZ-0028"/>
    <s v="MATALAM"/>
    <m/>
    <x v="0"/>
    <x v="2"/>
    <n v="4"/>
    <n v="28"/>
    <s v="Conflits liés à GANE (BH)"/>
    <m/>
    <s v="Même département, autre arrondissement"/>
    <s v="CMR"/>
    <s v="Cameroun"/>
    <s v="CMR004"/>
    <s v="Extrême-Nord"/>
    <s v="CMR004006"/>
    <s v="Mayo-Tsanaga"/>
    <s v="CMR004006005"/>
    <s v="Mayo-Moskota"/>
  </r>
  <r>
    <s v="Extrême-Nord"/>
    <s v="CMR004"/>
    <x v="4"/>
    <s v="CMR004005"/>
    <x v="17"/>
    <s v="CMR004005002"/>
    <s v="MOR-0023"/>
    <s v="DJARME"/>
    <m/>
    <x v="0"/>
    <x v="0"/>
    <n v="73"/>
    <n v="534"/>
    <s v="Conflits liés à GANE (BH)"/>
    <m/>
    <s v="Même arrondissement"/>
    <s v="CMR"/>
    <s v="Cameroun"/>
    <s v="CMR004"/>
    <s v="Extrême-Nord"/>
    <s v="CMR004005"/>
    <s v="Mayo-Sava"/>
    <s v="CMR004005002"/>
    <s v="Mora"/>
  </r>
  <r>
    <s v="Extrême-Nord"/>
    <s v="CMR004"/>
    <x v="4"/>
    <s v="CMR004005"/>
    <x v="17"/>
    <s v="CMR004005002"/>
    <s v="MOR-0023"/>
    <s v="DJARME"/>
    <m/>
    <x v="0"/>
    <x v="1"/>
    <n v="6"/>
    <n v="38"/>
    <s v="Conflits liés à GANE (BH)"/>
    <m/>
    <s v="Même arrondissement"/>
    <s v="CMR"/>
    <s v="Cameroun"/>
    <s v="CMR004"/>
    <s v="Extrême-Nord"/>
    <s v="CMR004005"/>
    <s v="Mayo-Sava"/>
    <s v="CMR004005002"/>
    <s v="Mora"/>
  </r>
  <r>
    <s v="Extrême-Nord"/>
    <s v="CMR004"/>
    <x v="4"/>
    <s v="CMR004005"/>
    <x v="17"/>
    <s v="CMR004005002"/>
    <s v="MOR-0023"/>
    <s v="DJARME"/>
    <m/>
    <x v="0"/>
    <x v="3"/>
    <n v="15"/>
    <n v="171"/>
    <s v="Conflits liés à GANE (BH)"/>
    <m/>
    <s v="Même arrondissement"/>
    <s v="CMR"/>
    <s v="Cameroun"/>
    <s v="CMR004"/>
    <s v="Extrême-Nord"/>
    <s v="CMR004005"/>
    <s v="Mayo-Sava"/>
    <s v="CMR004005002"/>
    <s v="Mora"/>
  </r>
  <r>
    <s v="Extrême-Nord"/>
    <s v="CMR004"/>
    <x v="4"/>
    <s v="CMR004005"/>
    <x v="17"/>
    <s v="CMR004005002"/>
    <s v="MOR-0023"/>
    <s v="DJARME"/>
    <m/>
    <x v="0"/>
    <x v="2"/>
    <n v="4"/>
    <n v="51"/>
    <s v="Conflits liés à GANE (BH)"/>
    <m/>
    <s v="Même arrondissement"/>
    <s v="CMR"/>
    <s v="Cameroun"/>
    <s v="CMR004"/>
    <s v="Extrême-Nord"/>
    <s v="CMR004005"/>
    <s v="Mayo-Sava"/>
    <s v="CMR004005002"/>
    <s v="Mora"/>
  </r>
  <r>
    <s v="Extrême-Nord"/>
    <s v="CMR004"/>
    <x v="4"/>
    <s v="CMR004005"/>
    <x v="17"/>
    <s v="CMR004005002"/>
    <s v="MOR-0053"/>
    <s v="MANGAVE GOEGOE"/>
    <m/>
    <x v="0"/>
    <x v="0"/>
    <n v="41"/>
    <n v="353"/>
    <s v="Conflits liés à GANE (BH)"/>
    <m/>
    <s v="Même arrondissement"/>
    <s v="CMR"/>
    <s v="Cameroun"/>
    <s v="CMR004"/>
    <s v="Extrême-Nord"/>
    <s v="CMR004005"/>
    <s v="Mayo-Sava"/>
    <s v="CMR004005002"/>
    <s v="Mora"/>
  </r>
  <r>
    <s v="Extrême-Nord"/>
    <s v="CMR004"/>
    <x v="4"/>
    <s v="CMR004005"/>
    <x v="17"/>
    <s v="CMR004005002"/>
    <s v="MOR-0053"/>
    <s v="MANGAVE GOEGOE"/>
    <m/>
    <x v="0"/>
    <x v="4"/>
    <n v="0"/>
    <n v="4"/>
    <s v="Conflits liés à GANE (BH)"/>
    <m/>
    <s v="Même arrondissement"/>
    <s v="CMR"/>
    <s v="Cameroun"/>
    <s v="CMR004"/>
    <s v="Extrême-Nord"/>
    <s v="CMR004005"/>
    <s v="Mayo-Sava"/>
    <s v="CMR004005002"/>
    <s v="Mora"/>
  </r>
  <r>
    <s v="Extrême-Nord"/>
    <s v="CMR004"/>
    <x v="4"/>
    <s v="CMR004005"/>
    <x v="17"/>
    <s v="CMR004005002"/>
    <s v="MOR-0053"/>
    <s v="MANGAVE GOEGOE"/>
    <m/>
    <x v="0"/>
    <x v="3"/>
    <n v="0"/>
    <n v="1"/>
    <s v="Conflits liés à GANE (BH)"/>
    <m/>
    <s v="Même arrondissement"/>
    <s v="CMR"/>
    <s v="Cameroun"/>
    <s v="CMR004"/>
    <s v="Extrême-Nord"/>
    <s v="CMR004005"/>
    <s v="Mayo-Sava"/>
    <s v="CMR004005002"/>
    <s v="Mora"/>
  </r>
  <r>
    <s v="Extrême-Nord"/>
    <s v="CMR004"/>
    <x v="4"/>
    <s v="CMR004005"/>
    <x v="17"/>
    <s v="CMR004005002"/>
    <s v="MOR-0053"/>
    <s v="MANGAVE GOEGOE"/>
    <m/>
    <x v="0"/>
    <x v="2"/>
    <n v="0"/>
    <n v="5"/>
    <s v="Conflits liés à GANE (BH)"/>
    <m/>
    <s v="Même arrondissement"/>
    <s v="CMR"/>
    <s v="Cameroun"/>
    <s v="CMR004"/>
    <s v="Extrême-Nord"/>
    <s v="CMR004005"/>
    <s v="Mayo-Sava"/>
    <s v="CMR004005002"/>
    <s v="Mora"/>
  </r>
  <r>
    <s v="Extrême-Nord"/>
    <s v="CMR004"/>
    <x v="4"/>
    <s v="CMR004005"/>
    <x v="17"/>
    <s v="CMR004005002"/>
    <s v="MOR-0069"/>
    <s v="MOKOCHE"/>
    <m/>
    <x v="0"/>
    <x v="1"/>
    <n v="0"/>
    <n v="1"/>
    <s v="Conflits liés à GANE (BH)"/>
    <m/>
    <s v="Même arrondissement"/>
    <s v="CMR"/>
    <s v="Cameroun"/>
    <s v="CMR004"/>
    <s v="Extrême-Nord"/>
    <s v="CMR004005"/>
    <s v="Mayo-Sava"/>
    <s v="CMR004005002"/>
    <s v="Mora"/>
  </r>
  <r>
    <s v="Extrême-Nord"/>
    <s v="CMR004"/>
    <x v="4"/>
    <s v="CMR004005"/>
    <x v="17"/>
    <s v="CMR004005002"/>
    <s v="MOR-0069"/>
    <s v="MOKOCHE"/>
    <m/>
    <x v="0"/>
    <x v="4"/>
    <n v="49"/>
    <n v="290"/>
    <s v="Conflits liés à GANE (BH)"/>
    <m/>
    <s v="Même arrondissement"/>
    <s v="CMR"/>
    <s v="Cameroun"/>
    <s v="CMR004"/>
    <s v="Extrême-Nord"/>
    <s v="CMR004005"/>
    <s v="Mayo-Sava"/>
    <s v="CMR004005002"/>
    <s v="Mora"/>
  </r>
  <r>
    <s v="Extrême-Nord"/>
    <s v="CMR004"/>
    <x v="4"/>
    <s v="CMR004005"/>
    <x v="17"/>
    <s v="CMR004005002"/>
    <s v="MOR-0069"/>
    <s v="MOKOCHE"/>
    <m/>
    <x v="0"/>
    <x v="3"/>
    <n v="0"/>
    <n v="22"/>
    <s v="Conflits liés à GANE (BH)"/>
    <m/>
    <s v="Même arrondissement"/>
    <s v="CMR"/>
    <s v="Cameroun"/>
    <s v="CMR004"/>
    <s v="Extrême-Nord"/>
    <s v="CMR004005"/>
    <s v="Mayo-Sava"/>
    <s v="CMR004005002"/>
    <s v="Mora"/>
  </r>
  <r>
    <s v="Extrême-Nord"/>
    <s v="CMR004"/>
    <x v="4"/>
    <s v="CMR004005"/>
    <x v="17"/>
    <s v="CMR004005002"/>
    <s v="MOR-0069"/>
    <s v="MOKOCHE"/>
    <m/>
    <x v="0"/>
    <x v="2"/>
    <n v="0"/>
    <n v="2"/>
    <s v="Conflits liés à GANE (BH)"/>
    <m/>
    <s v="Même arrondissement"/>
    <s v="CMR"/>
    <s v="Cameroun"/>
    <s v="CMR004"/>
    <s v="Extrême-Nord"/>
    <s v="CMR004005"/>
    <s v="Mayo-Sava"/>
    <s v="CMR004005002"/>
    <s v="Mora"/>
  </r>
  <r>
    <s v="Extrême-Nord"/>
    <s v="CMR004"/>
    <x v="2"/>
    <s v="CMR004002"/>
    <x v="25"/>
    <s v="CMR004002008"/>
    <s v="FOT-0035"/>
    <s v="MAKAMBARA"/>
    <m/>
    <x v="0"/>
    <x v="0"/>
    <n v="13"/>
    <n v="112"/>
    <s v="Conflits liés à GANE (BH)"/>
    <m/>
    <s v="Même arrondissement"/>
    <s v="CMR"/>
    <s v="Cameroun"/>
    <s v="CMR004"/>
    <s v="Extrême-Nord"/>
    <s v="CMR004002"/>
    <s v="Logone-Et-Chari"/>
    <s v="CMR004002008"/>
    <s v="Fotokol"/>
  </r>
  <r>
    <s v="Extrême-Nord"/>
    <s v="CMR004"/>
    <x v="2"/>
    <s v="CMR004002"/>
    <x v="10"/>
    <s v="CMR004002003"/>
    <s v="BLA-0001"/>
    <s v="ANDOURMAN"/>
    <m/>
    <x v="0"/>
    <x v="0"/>
    <n v="14"/>
    <n v="38"/>
    <s v="Conflits liés à GANE (BH)"/>
    <m/>
    <s v="Même arrondissement"/>
    <s v="CMR"/>
    <s v="Cameroun"/>
    <s v="CMR004"/>
    <s v="Extrême-Nord"/>
    <s v="CMR004002"/>
    <s v="Logone-Et-Chari"/>
    <s v="CMR004002003"/>
    <s v="Blangoua"/>
  </r>
  <r>
    <s v="Extrême-Nord"/>
    <s v="CMR004"/>
    <x v="2"/>
    <s v="CMR004002"/>
    <x v="10"/>
    <s v="CMR004002003"/>
    <s v="BLA-0002"/>
    <s v="BLANGOUA"/>
    <m/>
    <x v="0"/>
    <x v="0"/>
    <n v="900"/>
    <n v="5010"/>
    <s v="Conflits liés à GANE (BH)"/>
    <m/>
    <s v="Même département, autre arrondissement"/>
    <s v="CMR"/>
    <s v="Cameroun"/>
    <s v="CMR004"/>
    <s v="Extrême-Nord"/>
    <s v="CMR004002"/>
    <s v="Logone-Et-Chari"/>
    <s v="CMR004002008"/>
    <s v="Fotokol"/>
  </r>
  <r>
    <s v="Extrême-Nord"/>
    <s v="CMR004"/>
    <x v="2"/>
    <s v="CMR004002"/>
    <x v="26"/>
    <s v="CMR004002006"/>
    <s v="KOU-0018"/>
    <s v="MADAGASCAR 1"/>
    <m/>
    <x v="0"/>
    <x v="2"/>
    <n v="105"/>
    <n v="301"/>
    <s v="Inondations saisonnières ou fortes pluies"/>
    <m/>
    <s v="Même arrondissement"/>
    <s v="CMR"/>
    <s v="Cameroun"/>
    <s v="CMR004"/>
    <s v="Extrême-Nord"/>
    <s v="CMR004002"/>
    <s v="Logone-Et-Chari"/>
    <s v="CMR004002006"/>
    <s v="Kousséri"/>
  </r>
  <r>
    <s v="Extrême-Nord"/>
    <s v="CMR004"/>
    <x v="2"/>
    <s v="CMR004002"/>
    <x v="26"/>
    <s v="CMR004002006"/>
    <s v="KOU-0005"/>
    <s v="BABOU"/>
    <m/>
    <x v="0"/>
    <x v="0"/>
    <n v="60"/>
    <n v="200"/>
    <s v="Conflits liés à GANE (BH)"/>
    <m/>
    <s v="Même arrondissement"/>
    <s v="CMR"/>
    <s v="Cameroun"/>
    <s v="CMR004"/>
    <s v="Extrême-Nord"/>
    <s v="CMR004002"/>
    <s v="Logone-Et-Chari"/>
    <s v="CMR004002006"/>
    <s v="Kousséri"/>
  </r>
  <r>
    <s v="Extrême-Nord"/>
    <s v="CMR004"/>
    <x v="2"/>
    <s v="CMR004002"/>
    <x v="26"/>
    <s v="CMR004002006"/>
    <s v="KOU-0005"/>
    <s v="BABOU"/>
    <m/>
    <x v="0"/>
    <x v="2"/>
    <n v="40"/>
    <n v="155"/>
    <s v="Inondations saisonnières ou fortes pluies"/>
    <m/>
    <s v="Même arrondissement"/>
    <s v="CMR"/>
    <s v="Cameroun"/>
    <s v="CMR004"/>
    <s v="Extrême-Nord"/>
    <s v="CMR004002"/>
    <s v="Logone-Et-Chari"/>
    <s v="CMR004002006"/>
    <s v="Kousséri"/>
  </r>
  <r>
    <s v="Extrême-Nord"/>
    <s v="CMR004"/>
    <x v="2"/>
    <s v="CMR004002"/>
    <x v="8"/>
    <s v="CMR004002009"/>
    <s v="MAK-0144"/>
    <s v="NGAIWA"/>
    <m/>
    <x v="0"/>
    <x v="4"/>
    <n v="15"/>
    <n v="48"/>
    <s v="Conflits liés à GANE (BH)"/>
    <m/>
    <s v="Même département, autre arrondissement"/>
    <s v="CMR"/>
    <s v="Cameroun"/>
    <s v="CMR004"/>
    <s v="Extrême-Nord"/>
    <s v="CMR004002"/>
    <s v="Logone-Et-Chari"/>
    <s v="CMR004002008"/>
    <s v="Fotokol"/>
  </r>
  <r>
    <s v="Extrême-Nord"/>
    <s v="CMR004"/>
    <x v="2"/>
    <s v="CMR004002"/>
    <x v="8"/>
    <s v="CMR004002009"/>
    <s v="MAK-0144"/>
    <s v="NGAIWA"/>
    <m/>
    <x v="0"/>
    <x v="3"/>
    <n v="15"/>
    <n v="59"/>
    <s v="Conflits liés à GANE (BH)"/>
    <m/>
    <s v="Même arrondissement"/>
    <s v="CMR"/>
    <s v="Cameroun"/>
    <s v="CMR004"/>
    <s v="Extrême-Nord"/>
    <s v="CMR004002"/>
    <s v="Logone-Et-Chari"/>
    <s v="CMR004002009"/>
    <s v="Makary"/>
  </r>
  <r>
    <s v="Extrême-Nord"/>
    <s v="CMR004"/>
    <x v="2"/>
    <s v="CMR004002"/>
    <x v="26"/>
    <s v="CMR004002006"/>
    <s v="XXXX"/>
    <s v="SITE DE KROUANG 2"/>
    <s v="SITE DE KROUANG 2"/>
    <x v="0"/>
    <x v="0"/>
    <n v="200"/>
    <n v="377"/>
    <s v="Conflits liés à GANE (BH)"/>
    <m/>
    <s v="Même département, autre arrondissement"/>
    <s v="CMR"/>
    <s v="Cameroun"/>
    <s v="CMR004"/>
    <s v="Extrême-Nord"/>
    <s v="CMR004002"/>
    <s v="Logone-Et-Chari"/>
    <s v="CMR004002008"/>
    <s v="Fotokol"/>
  </r>
  <r>
    <s v="Extrême-Nord"/>
    <s v="CMR004"/>
    <x v="2"/>
    <s v="CMR004002"/>
    <x v="26"/>
    <s v="CMR004002006"/>
    <s v="XXXX"/>
    <s v="SITE DE KROUANG 2"/>
    <s v="SITE DE KROUANG 2"/>
    <x v="0"/>
    <x v="2"/>
    <n v="100"/>
    <n v="200"/>
    <s v="Inondations saisonnières ou fortes pluies"/>
    <m/>
    <s v="Même département, autre arrondissement"/>
    <s v="CMR"/>
    <s v="Cameroun"/>
    <s v="CMR004"/>
    <s v="Extrême-Nord"/>
    <s v="CMR004002"/>
    <s v="Logone-Et-Chari"/>
    <s v="CMR004002004"/>
    <s v="Logone-Birni"/>
  </r>
  <r>
    <s v="Extrême-Nord"/>
    <s v="CMR004"/>
    <x v="4"/>
    <s v="CMR004005"/>
    <x v="17"/>
    <s v="CMR004005002"/>
    <s v="MOR-0027"/>
    <s v="DJAKANA"/>
    <m/>
    <x v="0"/>
    <x v="0"/>
    <n v="136"/>
    <n v="656"/>
    <s v="Conflits liés à GANE (BH)"/>
    <m/>
    <s v="Même arrondissement"/>
    <s v="CMR"/>
    <s v="Cameroun"/>
    <s v="CMR004"/>
    <s v="Extrême-Nord"/>
    <s v="CMR004005"/>
    <s v="Mayo-Sava"/>
    <s v="CMR004005002"/>
    <s v="Mora"/>
  </r>
  <r>
    <s v="Extrême-Nord"/>
    <s v="CMR004"/>
    <x v="4"/>
    <s v="CMR004005"/>
    <x v="17"/>
    <s v="CMR004005002"/>
    <s v="MOR-0027"/>
    <s v="DJAKANA"/>
    <m/>
    <x v="0"/>
    <x v="4"/>
    <n v="0"/>
    <n v="20"/>
    <s v="Conflits liés à GANE (BH)"/>
    <m/>
    <s v="Même arrondissement"/>
    <s v="CMR"/>
    <s v="Cameroun"/>
    <s v="CMR004"/>
    <s v="Extrême-Nord"/>
    <s v="CMR004005"/>
    <s v="Mayo-Sava"/>
    <s v="CMR004005002"/>
    <s v="Mora"/>
  </r>
  <r>
    <s v="Extrême-Nord"/>
    <s v="CMR004"/>
    <x v="4"/>
    <s v="CMR004005"/>
    <x v="17"/>
    <s v="CMR004005002"/>
    <s v="MOR-0027"/>
    <s v="DJAKANA"/>
    <m/>
    <x v="0"/>
    <x v="3"/>
    <n v="0"/>
    <n v="4"/>
    <s v="Conflits liés à GANE (BH)"/>
    <m/>
    <s v="Même arrondissement"/>
    <s v="CMR"/>
    <s v="Cameroun"/>
    <s v="CMR004"/>
    <s v="Extrême-Nord"/>
    <s v="CMR004005"/>
    <s v="Mayo-Sava"/>
    <s v="CMR004005002"/>
    <s v="Mora"/>
  </r>
  <r>
    <s v="Extrême-Nord"/>
    <s v="CMR004"/>
    <x v="4"/>
    <s v="CMR004005"/>
    <x v="17"/>
    <s v="CMR004005002"/>
    <s v="MOR-0004"/>
    <s v="DOULO"/>
    <m/>
    <x v="0"/>
    <x v="0"/>
    <n v="430"/>
    <n v="1917"/>
    <s v="Conflits liés à GANE (BH)"/>
    <m/>
    <s v="Même arrondissement"/>
    <s v="CMR"/>
    <s v="Cameroun"/>
    <s v="CMR004"/>
    <s v="Extrême-Nord"/>
    <s v="CMR004005"/>
    <s v="Mayo-Sava"/>
    <s v="CMR004005002"/>
    <s v="Mora"/>
  </r>
  <r>
    <s v="Extrême-Nord"/>
    <s v="CMR004"/>
    <x v="4"/>
    <s v="CMR004005"/>
    <x v="17"/>
    <s v="CMR004005002"/>
    <s v="MOR-0004"/>
    <s v="DOULO"/>
    <m/>
    <x v="0"/>
    <x v="1"/>
    <n v="100"/>
    <n v="400"/>
    <s v="Conflits liés à GANE (BH)"/>
    <m/>
    <s v="Même arrondissement"/>
    <s v="CMR"/>
    <s v="Cameroun"/>
    <s v="CMR004"/>
    <s v="Extrême-Nord"/>
    <s v="CMR004005"/>
    <s v="Mayo-Sava"/>
    <s v="CMR004005002"/>
    <s v="Mora"/>
  </r>
  <r>
    <s v="Extrême-Nord"/>
    <s v="CMR004"/>
    <x v="4"/>
    <s v="CMR004005"/>
    <x v="17"/>
    <s v="CMR004005002"/>
    <s v="MOR-0004"/>
    <s v="DOULO"/>
    <m/>
    <x v="0"/>
    <x v="4"/>
    <n v="9"/>
    <n v="73"/>
    <s v="Conflits liés à GANE (BH)"/>
    <m/>
    <s v="Même arrondissement"/>
    <s v="CMR"/>
    <s v="Cameroun"/>
    <s v="CMR004"/>
    <s v="Extrême-Nord"/>
    <s v="CMR004005"/>
    <s v="Mayo-Sava"/>
    <s v="CMR004005002"/>
    <s v="Mora"/>
  </r>
  <r>
    <s v="Extrême-Nord"/>
    <s v="CMR004"/>
    <x v="4"/>
    <s v="CMR004005"/>
    <x v="17"/>
    <s v="CMR004005002"/>
    <s v="MOR-0004"/>
    <s v="DOULO"/>
    <m/>
    <x v="0"/>
    <x v="3"/>
    <n v="0"/>
    <n v="45"/>
    <s v="Conflits liés à GANE (BH)"/>
    <m/>
    <s v="Même arrondissement"/>
    <s v="CMR"/>
    <s v="Cameroun"/>
    <s v="CMR004"/>
    <s v="Extrême-Nord"/>
    <s v="CMR004005"/>
    <s v="Mayo-Sava"/>
    <s v="CMR004005002"/>
    <s v="Mora"/>
  </r>
  <r>
    <s v="Extrême-Nord"/>
    <s v="CMR004"/>
    <x v="4"/>
    <s v="CMR004005"/>
    <x v="17"/>
    <s v="CMR004005002"/>
    <s v="MOR-0004"/>
    <s v="DOULO"/>
    <m/>
    <x v="0"/>
    <x v="2"/>
    <n v="0"/>
    <n v="30"/>
    <s v="Conflits liés à GANE (BH)"/>
    <m/>
    <s v="Même arrondissement"/>
    <s v="CMR"/>
    <s v="Cameroun"/>
    <s v="CMR004"/>
    <s v="Extrême-Nord"/>
    <s v="CMR004005"/>
    <s v="Mayo-Sava"/>
    <s v="CMR004005002"/>
    <s v="Mora"/>
  </r>
  <r>
    <s v="Extrême-Nord"/>
    <s v="CMR004"/>
    <x v="2"/>
    <s v="CMR004002"/>
    <x v="9"/>
    <s v="CMR004002010"/>
    <s v="HIL-0004"/>
    <s v="ABASSOUNI 3"/>
    <m/>
    <x v="0"/>
    <x v="0"/>
    <n v="16"/>
    <n v="119"/>
    <s v="Conflits liés à GANE (BH)"/>
    <m/>
    <s v="Même arrondissement"/>
    <s v="CMR"/>
    <s v="Cameroun"/>
    <s v="CMR004"/>
    <s v="Extrême-Nord"/>
    <s v="CMR004002"/>
    <s v="Logone-Et-Chari"/>
    <s v="CMR004002010"/>
    <s v="Hile-Alifa"/>
  </r>
  <r>
    <s v="Extrême-Nord"/>
    <s v="CMR004"/>
    <x v="2"/>
    <s v="CMR004002"/>
    <x v="9"/>
    <s v="CMR004002010"/>
    <s v="HIL-0004"/>
    <s v="ABASSOUNI 3"/>
    <m/>
    <x v="0"/>
    <x v="3"/>
    <n v="5"/>
    <n v="40"/>
    <s v="Conflits liés à GANE (BH)"/>
    <m/>
    <s v="Même arrondissement"/>
    <s v="CMR"/>
    <s v="Cameroun"/>
    <s v="CMR004"/>
    <s v="Extrême-Nord"/>
    <s v="CMR004002"/>
    <s v="Logone-Et-Chari"/>
    <s v="CMR004002010"/>
    <s v="Hile-Alifa"/>
  </r>
  <r>
    <s v="Extrême-Nord"/>
    <s v="CMR004"/>
    <x v="2"/>
    <s v="CMR004002"/>
    <x v="9"/>
    <s v="CMR004002010"/>
    <s v="HIL-0004"/>
    <s v="ABASSOUNI 3"/>
    <m/>
    <x v="0"/>
    <x v="2"/>
    <n v="10"/>
    <n v="100"/>
    <s v="Conflits liés à GANE (BH)"/>
    <m/>
    <s v="Même arrondissement"/>
    <s v="CMR"/>
    <s v="Cameroun"/>
    <s v="CMR004"/>
    <s v="Extrême-Nord"/>
    <s v="CMR004002"/>
    <s v="Logone-Et-Chari"/>
    <s v="CMR004002010"/>
    <s v="Hile-Alifa"/>
  </r>
  <r>
    <s v="Extrême-Nord"/>
    <s v="CMR004"/>
    <x v="2"/>
    <s v="CMR004002"/>
    <x v="8"/>
    <s v="CMR004002009"/>
    <s v="MAK-0221"/>
    <s v="KRENACK"/>
    <m/>
    <x v="0"/>
    <x v="0"/>
    <n v="27"/>
    <n v="208"/>
    <s v="Conflits liés à GANE (BH)"/>
    <m/>
    <s v="Même département, autre arrondissement"/>
    <s v="CMR"/>
    <s v="Cameroun"/>
    <s v="CMR004"/>
    <s v="Extrême-Nord"/>
    <s v="CMR004002"/>
    <s v="Logone-Et-Chari"/>
    <s v="CMR004002008"/>
    <s v="Fotokol"/>
  </r>
  <r>
    <s v="Extrême-Nord"/>
    <s v="CMR004"/>
    <x v="2"/>
    <s v="CMR004002"/>
    <x v="8"/>
    <s v="CMR004002009"/>
    <s v="MAK-0067"/>
    <s v="MEDINA 3"/>
    <m/>
    <x v="0"/>
    <x v="0"/>
    <n v="4"/>
    <n v="20"/>
    <s v="Conflits liés à GANE (BH)"/>
    <m/>
    <s v="Même département, autre arrondissement"/>
    <s v="CMR"/>
    <s v="Cameroun"/>
    <s v="CMR004"/>
    <s v="Extrême-Nord"/>
    <s v="CMR004002"/>
    <s v="Logone-Et-Chari"/>
    <s v="CMR004002008"/>
    <s v="Fotokol"/>
  </r>
  <r>
    <s v="Extrême-Nord"/>
    <s v="CMR004"/>
    <x v="2"/>
    <s v="CMR004002"/>
    <x v="8"/>
    <s v="CMR004002009"/>
    <s v="MAK-0054"/>
    <s v="MADINA 1"/>
    <m/>
    <x v="0"/>
    <x v="0"/>
    <n v="4"/>
    <n v="15"/>
    <s v="Conflits liés à GANE (BH)"/>
    <m/>
    <s v="Même département, autre arrondissement"/>
    <s v="CMR"/>
    <s v="Cameroun"/>
    <s v="CMR004"/>
    <s v="Extrême-Nord"/>
    <s v="CMR004002"/>
    <s v="Logone-Et-Chari"/>
    <s v="CMR004002008"/>
    <s v="Fotokol"/>
  </r>
  <r>
    <s v="Extrême-Nord"/>
    <s v="CMR004"/>
    <x v="2"/>
    <s v="CMR004002"/>
    <x v="8"/>
    <s v="CMR004002009"/>
    <s v="MAK-0017"/>
    <s v="BLABLIN VILLAGE"/>
    <m/>
    <x v="0"/>
    <x v="0"/>
    <n v="7"/>
    <n v="20"/>
    <s v="Conflits liés à GANE (BH)"/>
    <m/>
    <s v="Même département, autre arrondissement"/>
    <s v="CMR"/>
    <s v="Cameroun"/>
    <s v="CMR004"/>
    <s v="Extrême-Nord"/>
    <s v="CMR004002"/>
    <s v="Logone-Et-Chari"/>
    <s v="CMR004002008"/>
    <s v="Fotokol"/>
  </r>
  <r>
    <s v="Extrême-Nord"/>
    <s v="CMR004"/>
    <x v="2"/>
    <s v="CMR004002"/>
    <x v="27"/>
    <s v="CMR004002007"/>
    <s v="DAR-0010"/>
    <s v="KARENA"/>
    <m/>
    <x v="0"/>
    <x v="4"/>
    <n v="33"/>
    <n v="134"/>
    <s v="Conflits liés à GANE (BH)"/>
    <m/>
    <s v="Même arrondissement"/>
    <s v="CMR"/>
    <s v="Cameroun"/>
    <s v="CMR004"/>
    <s v="Extrême-Nord"/>
    <s v="CMR004002"/>
    <s v="Logone-Et-Chari"/>
    <s v="CMR004002007"/>
    <s v="Darak"/>
  </r>
  <r>
    <s v="Extrême-Nord"/>
    <s v="CMR004"/>
    <x v="2"/>
    <s v="CMR004002"/>
    <x v="27"/>
    <s v="CMR004002007"/>
    <s v="DAR-0010"/>
    <s v="KARENA"/>
    <m/>
    <x v="0"/>
    <x v="2"/>
    <n v="710"/>
    <n v="3365"/>
    <s v="Conflits liés à GANE (BH)"/>
    <m/>
    <s v="Même arrondissement"/>
    <s v="CMR"/>
    <s v="Cameroun"/>
    <s v="CMR004"/>
    <s v="Extrême-Nord"/>
    <s v="CMR004002"/>
    <s v="Logone-Et-Chari"/>
    <s v="CMR004002007"/>
    <s v="Darak"/>
  </r>
  <r>
    <s v="Extrême-Nord"/>
    <s v="CMR004"/>
    <x v="2"/>
    <s v="CMR004002"/>
    <x v="27"/>
    <s v="CMR004002007"/>
    <s v="DAR-0008"/>
    <s v="SITE DE KARAMA 1"/>
    <m/>
    <x v="0"/>
    <x v="2"/>
    <n v="50"/>
    <n v="270"/>
    <s v="Conflits liés à GANE (BH)"/>
    <m/>
    <s v="Même arrondissement"/>
    <s v="CMR"/>
    <s v="Cameroun"/>
    <s v="CMR004"/>
    <s v="Extrême-Nord"/>
    <s v="CMR004002"/>
    <s v="Logone-Et-Chari"/>
    <s v="CMR004002007"/>
    <s v="Darak"/>
  </r>
  <r>
    <s v="Extrême-Nord"/>
    <s v="CMR004"/>
    <x v="2"/>
    <s v="CMR004002"/>
    <x v="27"/>
    <s v="CMR004002007"/>
    <s v="DAR-0009"/>
    <s v="KARAMA 2"/>
    <m/>
    <x v="0"/>
    <x v="2"/>
    <n v="70"/>
    <n v="350"/>
    <s v="Conflits liés à GANE (BH)"/>
    <m/>
    <s v="Même arrondissement"/>
    <s v="CMR"/>
    <s v="Cameroun"/>
    <s v="CMR004"/>
    <s v="Extrême-Nord"/>
    <s v="CMR004002"/>
    <s v="Logone-Et-Chari"/>
    <s v="CMR004002007"/>
    <s v="Darak"/>
  </r>
  <r>
    <s v="Extrême-Nord"/>
    <s v="CMR004"/>
    <x v="2"/>
    <s v="CMR004002"/>
    <x v="27"/>
    <s v="CMR004002007"/>
    <s v="DAR-0003"/>
    <s v="DARAK"/>
    <m/>
    <x v="0"/>
    <x v="0"/>
    <n v="80"/>
    <n v="572"/>
    <s v="Conflits liés à GANE (BH)"/>
    <m/>
    <s v="Même département, autre arrondissement"/>
    <s v="CMR"/>
    <s v="Cameroun"/>
    <s v="CMR004"/>
    <s v="Extrême-Nord"/>
    <s v="CMR004002"/>
    <s v="Logone-Et-Chari"/>
    <m/>
    <s v="Hile-Alifa"/>
  </r>
  <r>
    <s v="Extrême-Nord"/>
    <s v="CMR004"/>
    <x v="1"/>
    <s v="CMR004006"/>
    <x v="1"/>
    <s v="CMR004006002"/>
    <s v="MOK-0005"/>
    <s v="GAWAR"/>
    <m/>
    <x v="0"/>
    <x v="0"/>
    <n v="46"/>
    <n v="176"/>
    <s v="Conflits liés à GANE (BH)"/>
    <m/>
    <s v="Même arrondissement"/>
    <s v="CMR"/>
    <s v="Cameroun"/>
    <s v="CMR004"/>
    <s v="Extrême-Nord"/>
    <s v="CMR004006"/>
    <s v="Mayo-Tsanaga"/>
    <s v="CMR004006002"/>
    <s v="Mokolo"/>
  </r>
  <r>
    <s v="Extrême-Nord"/>
    <s v="CMR004"/>
    <x v="1"/>
    <s v="CMR004006"/>
    <x v="1"/>
    <s v="CMR004006002"/>
    <s v="MOK-0005"/>
    <s v="GAWAR"/>
    <m/>
    <x v="0"/>
    <x v="1"/>
    <n v="15"/>
    <n v="112"/>
    <s v="Conflits liés à GANE (BH)"/>
    <m/>
    <s v="Même arrondissement"/>
    <s v="CMR"/>
    <s v="Cameroun"/>
    <s v="CMR004"/>
    <s v="Extrême-Nord"/>
    <s v="CMR004006"/>
    <s v="Mayo-Tsanaga"/>
    <s v="CMR004006002"/>
    <s v="Mokolo"/>
  </r>
  <r>
    <s v="Extrême-Nord"/>
    <s v="CMR004"/>
    <x v="1"/>
    <s v="CMR004006"/>
    <x v="1"/>
    <s v="CMR004006002"/>
    <s v="MOK-0005"/>
    <s v="GAWAR"/>
    <m/>
    <x v="0"/>
    <x v="4"/>
    <n v="3"/>
    <n v="21"/>
    <s v="Conflits liés à GANE (BH)"/>
    <m/>
    <s v="Même arrondissement"/>
    <s v="CMR"/>
    <s v="Cameroun"/>
    <s v="CMR004"/>
    <s v="Extrême-Nord"/>
    <s v="CMR004006"/>
    <s v="Mayo-Tsanaga"/>
    <s v="CMR004006002"/>
    <s v="Mokolo"/>
  </r>
  <r>
    <s v="Extrême-Nord"/>
    <s v="CMR004"/>
    <x v="1"/>
    <s v="CMR004006"/>
    <x v="1"/>
    <s v="CMR004006002"/>
    <s v="MOK-0005"/>
    <s v="GAWAR"/>
    <m/>
    <x v="0"/>
    <x v="3"/>
    <n v="1"/>
    <n v="3"/>
    <s v="Conflits liés à GANE (BH)"/>
    <m/>
    <s v="Même arrondissement"/>
    <s v="CMR"/>
    <s v="Cameroun"/>
    <s v="CMR004"/>
    <s v="Extrême-Nord"/>
    <s v="CMR004006"/>
    <s v="Mayo-Tsanaga"/>
    <s v="CMR004006002"/>
    <s v="Mokolo"/>
  </r>
  <r>
    <s v="Extrême-Nord"/>
    <s v="CMR004"/>
    <x v="1"/>
    <s v="CMR004006"/>
    <x v="1"/>
    <s v="CMR004006002"/>
    <s v="MOK-0005"/>
    <s v="GAWAR"/>
    <m/>
    <x v="0"/>
    <x v="2"/>
    <n v="2"/>
    <n v="6"/>
    <s v="Conflits liés à GANE (BH)"/>
    <m/>
    <s v="Même arrondissement"/>
    <s v="CMR"/>
    <s v="Cameroun"/>
    <s v="CMR004"/>
    <s v="Extrême-Nord"/>
    <s v="CMR004006"/>
    <s v="Mayo-Tsanaga"/>
    <s v="CMR004006002"/>
    <s v="Mokolo"/>
  </r>
  <r>
    <s v="Extrême-Nord"/>
    <s v="CMR004"/>
    <x v="1"/>
    <s v="CMR004006"/>
    <x v="1"/>
    <s v="CMR004006002"/>
    <s v="MOK-0003"/>
    <s v="DJALINGO"/>
    <m/>
    <x v="0"/>
    <x v="3"/>
    <n v="2"/>
    <n v="14"/>
    <s v="Conflits liés à GANE (BH)"/>
    <m/>
    <s v="Même arrondissement"/>
    <s v="CMR"/>
    <s v="Cameroun"/>
    <s v="CMR004"/>
    <s v="Extrême-Nord"/>
    <s v="CMR004006"/>
    <s v="Mayo-Tsanaga"/>
    <s v="CMR004006002"/>
    <s v="Mokolo"/>
  </r>
  <r>
    <s v="Extrême-Nord"/>
    <s v="CMR004"/>
    <x v="1"/>
    <s v="CMR004006"/>
    <x v="1"/>
    <s v="CMR004006002"/>
    <s v="MOK-0003"/>
    <s v="DJALINGO"/>
    <m/>
    <x v="0"/>
    <x v="2"/>
    <n v="1"/>
    <n v="3"/>
    <s v="Conflits liés à GANE (BH)"/>
    <m/>
    <s v="Même arrondissement"/>
    <s v="CMR"/>
    <s v="Cameroun"/>
    <s v="CMR004"/>
    <s v="Extrême-Nord"/>
    <s v="CMR004006"/>
    <s v="Mayo-Tsanaga"/>
    <s v="CMR004006002"/>
    <s v="Mokolo"/>
  </r>
  <r>
    <s v="Extrême-Nord"/>
    <s v="CMR004"/>
    <x v="1"/>
    <s v="CMR004006"/>
    <x v="28"/>
    <s v="CMR004006003"/>
    <s v="HIN-0003"/>
    <s v="BERING"/>
    <m/>
    <x v="0"/>
    <x v="0"/>
    <n v="2"/>
    <n v="16"/>
    <s v="Conflits liés à GANE (BH)"/>
    <m/>
    <s v="Même département, autre arrondissement"/>
    <s v="CMR"/>
    <s v="Cameroun"/>
    <s v="CMR004"/>
    <s v="Extrême-Nord"/>
    <s v="CMR004006"/>
    <s v="Mayo-Tsanaga"/>
    <s v="CMR004006005"/>
    <s v="Mayo-Moskota"/>
  </r>
  <r>
    <s v="Extrême-Nord"/>
    <s v="CMR004"/>
    <x v="1"/>
    <s v="CMR004006"/>
    <x v="28"/>
    <s v="CMR004006003"/>
    <s v="HIN-0003"/>
    <s v="BERING"/>
    <m/>
    <x v="0"/>
    <x v="4"/>
    <n v="5"/>
    <n v="33"/>
    <s v="Conflits liés à GANE (BH)"/>
    <m/>
    <s v="Même département, autre arrondissement"/>
    <s v="CMR"/>
    <s v="Cameroun"/>
    <s v="CMR004"/>
    <s v="Extrême-Nord"/>
    <s v="CMR004006"/>
    <s v="Mayo-Tsanaga"/>
    <s v="CMR004006005"/>
    <s v="Mayo-Moskota"/>
  </r>
  <r>
    <s v="Extrême-Nord"/>
    <s v="CMR004"/>
    <x v="1"/>
    <s v="CMR004006"/>
    <x v="28"/>
    <s v="CMR004006003"/>
    <s v="HIN-0003"/>
    <s v="BERING"/>
    <m/>
    <x v="0"/>
    <x v="2"/>
    <n v="6"/>
    <n v="28"/>
    <s v="Conflits liés à GANE (BH)"/>
    <m/>
    <s v="Même arrondissement"/>
    <s v="CMR"/>
    <s v="Cameroun"/>
    <s v="CMR004"/>
    <s v="Extrême-Nord"/>
    <s v="CMR004006"/>
    <s v="Mayo-Tsanaga"/>
    <s v="CMR004006003"/>
    <s v="Hina"/>
  </r>
  <r>
    <s v="Extrême-Nord"/>
    <s v="CMR004"/>
    <x v="1"/>
    <s v="CMR004006"/>
    <x v="28"/>
    <s v="CMR004006003"/>
    <s v="HIN-0003"/>
    <s v="BERING"/>
    <m/>
    <x v="0"/>
    <x v="3"/>
    <n v="15"/>
    <n v="45"/>
    <s v="Conflits liés à GANE (BH)"/>
    <m/>
    <s v="Même arrondissement"/>
    <s v="CMR"/>
    <s v="Cameroun"/>
    <s v="CMR004"/>
    <s v="Extrême-Nord"/>
    <s v="CMR004006"/>
    <s v="Mayo-Tsanaga"/>
    <s v="CMR004006003"/>
    <s v="Hina"/>
  </r>
  <r>
    <s v="Extrême-Nord"/>
    <s v="CMR004"/>
    <x v="1"/>
    <s v="CMR004006"/>
    <x v="28"/>
    <s v="CMR004006003"/>
    <s v="HIN-0004"/>
    <s v="HINA CENTRE"/>
    <m/>
    <x v="0"/>
    <x v="0"/>
    <n v="25"/>
    <n v="144"/>
    <s v="Conflits liés à GANE (BH)"/>
    <m/>
    <s v="Même département, autre arrondissement"/>
    <s v="CMR"/>
    <s v="Cameroun"/>
    <s v="CMR004"/>
    <s v="Extrême-Nord"/>
    <s v="CMR004006"/>
    <s v="Mayo-Tsanaga"/>
    <s v="CMR004006005"/>
    <s v="Mayo-Moskota"/>
  </r>
  <r>
    <s v="Extrême-Nord"/>
    <s v="CMR004"/>
    <x v="1"/>
    <s v="CMR004006"/>
    <x v="28"/>
    <s v="CMR004006003"/>
    <s v="HIN-0004"/>
    <s v="HINA CENTRE"/>
    <m/>
    <x v="0"/>
    <x v="1"/>
    <n v="5"/>
    <n v="31"/>
    <s v="Conflits liés à GANE (BH)"/>
    <m/>
    <s v="Même département, autre arrondissement"/>
    <s v="CMR"/>
    <s v="Cameroun"/>
    <s v="CMR004"/>
    <s v="Extrême-Nord"/>
    <s v="CMR004006"/>
    <s v="Mayo-Tsanaga"/>
    <s v="CMR004006005"/>
    <s v="Mayo-Moskota"/>
  </r>
  <r>
    <s v="Extrême-Nord"/>
    <s v="CMR004"/>
    <x v="1"/>
    <s v="CMR004006"/>
    <x v="28"/>
    <s v="CMR004006003"/>
    <s v="HIN-0004"/>
    <s v="HINA CENTRE"/>
    <m/>
    <x v="0"/>
    <x v="4"/>
    <n v="4"/>
    <n v="35"/>
    <s v="Conflits liés à GANE (BH)"/>
    <m/>
    <s v="Même département, autre arrondissement"/>
    <s v="CMR"/>
    <s v="Cameroun"/>
    <s v="CMR004"/>
    <s v="Extrême-Nord"/>
    <s v="CMR004006"/>
    <s v="Mayo-Tsanaga"/>
    <s v="CMR004006006"/>
    <s v="Soulédé-Roua"/>
  </r>
  <r>
    <s v="Extrême-Nord"/>
    <s v="CMR004"/>
    <x v="1"/>
    <s v="CMR004006"/>
    <x v="28"/>
    <s v="CMR004006003"/>
    <s v="HIN-0004"/>
    <s v="HINA CENTRE"/>
    <m/>
    <x v="0"/>
    <x v="3"/>
    <n v="7"/>
    <n v="45"/>
    <s v="Conflits liés à GANE (BH)"/>
    <m/>
    <s v="Même département, autre arrondissement"/>
    <s v="CMR"/>
    <s v="Cameroun"/>
    <s v="CMR004"/>
    <s v="Extrême-Nord"/>
    <s v="CMR004006"/>
    <s v="Mayo-Tsanaga"/>
    <s v="CMR004006002"/>
    <s v="Mokolo"/>
  </r>
  <r>
    <s v="Extrême-Nord"/>
    <s v="CMR004"/>
    <x v="1"/>
    <s v="CMR004006"/>
    <x v="28"/>
    <s v="CMR004006003"/>
    <s v="HIN-0004"/>
    <s v="HINA CENTRE"/>
    <m/>
    <x v="0"/>
    <x v="2"/>
    <n v="2"/>
    <n v="9"/>
    <s v="Conflits liés à GANE (BH)"/>
    <m/>
    <s v="Même département, autre arrondissement"/>
    <s v="CMR"/>
    <s v="Cameroun"/>
    <s v="CMR004"/>
    <s v="Extrême-Nord"/>
    <s v="CMR004006"/>
    <s v="Mayo-Tsanaga"/>
    <s v="CMR004006002"/>
    <s v="Mokolo"/>
  </r>
  <r>
    <s v="Extrême-Nord"/>
    <s v="CMR004"/>
    <x v="1"/>
    <s v="CMR004006"/>
    <x v="28"/>
    <s v="CMR004006003"/>
    <s v="HIN-0008"/>
    <s v="HINA WIDE"/>
    <m/>
    <x v="0"/>
    <x v="2"/>
    <n v="7"/>
    <n v="23"/>
    <s v="Conflits liés à GANE (BH)"/>
    <m/>
    <s v="Même département, autre arrondissement"/>
    <s v="CMR"/>
    <s v="Cameroun"/>
    <s v="CMR004"/>
    <s v="Extrême-Nord"/>
    <s v="CMR004006"/>
    <s v="Mayo-Tsanaga"/>
    <s v="CMR004006005"/>
    <s v="Mayo-Moskota"/>
  </r>
  <r>
    <s v="Extrême-Nord"/>
    <s v="CMR004"/>
    <x v="1"/>
    <s v="CMR004006"/>
    <x v="28"/>
    <s v="CMR004006003"/>
    <s v="HIN-0008"/>
    <s v="HINA WIDE"/>
    <m/>
    <x v="0"/>
    <x v="0"/>
    <n v="9"/>
    <n v="23"/>
    <s v="Conflits liés à GANE (BH)"/>
    <m/>
    <s v="Même département, autre arrondissement"/>
    <s v="CMR"/>
    <s v="Cameroun"/>
    <s v="CMR004"/>
    <s v="Extrême-Nord"/>
    <s v="CMR004006"/>
    <s v="Mayo-Tsanaga"/>
    <s v="CMR004006002"/>
    <s v="Mokolo"/>
  </r>
  <r>
    <s v="Extrême-Nord"/>
    <s v="CMR004"/>
    <x v="1"/>
    <s v="CMR004006"/>
    <x v="28"/>
    <s v="CMR004006003"/>
    <s v="HIN-0006"/>
    <s v="ZOUVOUL"/>
    <m/>
    <x v="0"/>
    <x v="2"/>
    <n v="1"/>
    <n v="6"/>
    <s v="Conflits liés à GANE (BH)"/>
    <m/>
    <s v="Même département, autre arrondissement"/>
    <s v="CMR"/>
    <s v="Cameroun"/>
    <s v="CMR004"/>
    <s v="Extrême-Nord"/>
    <s v="CMR004006"/>
    <s v="Mayo-Tsanaga"/>
    <s v="CMR004006002"/>
    <s v="Mokolo"/>
  </r>
  <r>
    <s v="Extrême-Nord"/>
    <s v="CMR004"/>
    <x v="1"/>
    <s v="CMR004006"/>
    <x v="28"/>
    <s v="CMR004006003"/>
    <s v="HIN-0002"/>
    <s v="BASSARA"/>
    <m/>
    <x v="0"/>
    <x v="0"/>
    <n v="18"/>
    <n v="126"/>
    <s v="Conflits liés à GANE (BH)"/>
    <m/>
    <s v="Même département, autre arrondissement"/>
    <s v="CMR"/>
    <s v="Cameroun"/>
    <s v="CMR004"/>
    <s v="Extrême-Nord"/>
    <s v="CMR004006"/>
    <s v="Mayo-Tsanaga"/>
    <s v="CMR004006005"/>
    <s v="Mayo-Moskota"/>
  </r>
  <r>
    <s v="Extrême-Nord"/>
    <s v="CMR004"/>
    <x v="1"/>
    <s v="CMR004006"/>
    <x v="28"/>
    <s v="CMR004006003"/>
    <s v="HIN-0002"/>
    <s v="BASSARA"/>
    <m/>
    <x v="0"/>
    <x v="2"/>
    <n v="0"/>
    <n v="2"/>
    <s v="Conflits liés à GANE (BH)"/>
    <m/>
    <s v="Même département, autre arrondissement"/>
    <s v="CMR"/>
    <s v="Cameroun"/>
    <s v="CMR004"/>
    <s v="Extrême-Nord"/>
    <s v="CMR004006"/>
    <s v="Mayo-Tsanaga"/>
    <s v="CMR004006005"/>
    <s v="Mayo-Moskota"/>
  </r>
  <r>
    <s v="Extrême-Nord"/>
    <s v="CMR004"/>
    <x v="1"/>
    <s v="CMR004006"/>
    <x v="28"/>
    <s v="CMR004006003"/>
    <s v="HIN-0002"/>
    <s v="BASSARA"/>
    <m/>
    <x v="0"/>
    <x v="3"/>
    <n v="2"/>
    <n v="13"/>
    <s v="Conflits liés à GANE (BH)"/>
    <m/>
    <s v="Même département, autre arrondissement"/>
    <s v="CMR"/>
    <s v="Cameroun"/>
    <s v="CMR004"/>
    <s v="Extrême-Nord"/>
    <s v="CMR004006"/>
    <s v="Mayo-Tsanaga"/>
    <s v="CMR004006002"/>
    <s v="Mokolo"/>
  </r>
  <r>
    <s v="Extrême-Nord"/>
    <s v="CMR004"/>
    <x v="1"/>
    <s v="CMR004006"/>
    <x v="28"/>
    <s v="CMR004006003"/>
    <s v="HIN-0001"/>
    <s v="BAMGUEL BORORO"/>
    <m/>
    <x v="0"/>
    <x v="0"/>
    <n v="7"/>
    <n v="30"/>
    <s v="Conflits liés à GANE (BH)"/>
    <m/>
    <s v="Même département, autre arrondissement"/>
    <s v="CMR"/>
    <s v="Cameroun"/>
    <s v="CMR004"/>
    <s v="Extrême-Nord"/>
    <s v="CMR004006"/>
    <s v="Mayo-Tsanaga"/>
    <s v="CMR004006005"/>
    <s v="Mayo-Moskota"/>
  </r>
  <r>
    <s v="Extrême-Nord"/>
    <s v="CMR004"/>
    <x v="1"/>
    <s v="CMR004006"/>
    <x v="28"/>
    <s v="CMR004006003"/>
    <s v="HIN-0001"/>
    <s v="BAMGUEL BORORO"/>
    <m/>
    <x v="0"/>
    <x v="1"/>
    <n v="3"/>
    <n v="15"/>
    <s v="Conflits liés à GANE (BH)"/>
    <m/>
    <s v="Même département, autre arrondissement"/>
    <s v="CMR"/>
    <s v="Cameroun"/>
    <s v="CMR004"/>
    <s v="Extrême-Nord"/>
    <s v="CMR004006"/>
    <s v="Mayo-Tsanaga"/>
    <s v="CMR004006005"/>
    <s v="Mayo-Moskota"/>
  </r>
  <r>
    <s v="Extrême-Nord"/>
    <s v="CMR004"/>
    <x v="1"/>
    <s v="CMR004006"/>
    <x v="28"/>
    <s v="CMR004006003"/>
    <s v="HIN-0001"/>
    <s v="BAMGUEL BORORO"/>
    <m/>
    <x v="0"/>
    <x v="4"/>
    <n v="1"/>
    <n v="4"/>
    <s v="Conflits liés à GANE (BH)"/>
    <m/>
    <s v="Même département, autre arrondissement"/>
    <s v="CMR"/>
    <s v="Cameroun"/>
    <s v="CMR004"/>
    <s v="Extrême-Nord"/>
    <s v="CMR004006"/>
    <s v="Mayo-Tsanaga"/>
    <s v="CMR004006005"/>
    <s v="Mayo-Moskota"/>
  </r>
  <r>
    <s v="Extrême-Nord"/>
    <s v="CMR004"/>
    <x v="1"/>
    <s v="CMR004006"/>
    <x v="28"/>
    <s v="CMR004006003"/>
    <s v="HIN-0001"/>
    <s v="BAMGUEL BORORO"/>
    <m/>
    <x v="0"/>
    <x v="2"/>
    <n v="4"/>
    <n v="19"/>
    <s v="Conflits liés à GANE (BH)"/>
    <m/>
    <s v="Même département, autre arrondissement"/>
    <s v="CMR"/>
    <s v="Cameroun"/>
    <s v="CMR004"/>
    <s v="Extrême-Nord"/>
    <s v="CMR004006"/>
    <s v="Mayo-Tsanaga"/>
    <s v="CMR004006002"/>
    <s v="Mokolo"/>
  </r>
  <r>
    <s v="Extrême-Nord"/>
    <s v="CMR004"/>
    <x v="1"/>
    <s v="CMR004006"/>
    <x v="28"/>
    <s v="CMR004006003"/>
    <s v="HIN-0007"/>
    <s v="GAMDOUGOUM"/>
    <m/>
    <x v="0"/>
    <x v="3"/>
    <n v="1"/>
    <n v="18"/>
    <s v="Conflits liés à GANE (BH)"/>
    <m/>
    <s v="Même département, autre arrondissement"/>
    <s v="CMR"/>
    <s v="Cameroun"/>
    <s v="CMR004"/>
    <s v="Extrême-Nord"/>
    <s v="CMR004006"/>
    <s v="Mayo-Tsanaga"/>
    <s v="CMR004006005"/>
    <s v="Mayo-Moskota"/>
  </r>
  <r>
    <s v="Extrême-Nord"/>
    <s v="CMR004"/>
    <x v="1"/>
    <s v="CMR004006"/>
    <x v="28"/>
    <s v="CMR004006003"/>
    <s v="HIN-0007"/>
    <s v="GAMDOUGOUM"/>
    <m/>
    <x v="0"/>
    <x v="2"/>
    <n v="1"/>
    <n v="7"/>
    <s v="Conflits liés à GANE (BH)"/>
    <m/>
    <s v="Même département, autre arrondissement"/>
    <s v="CMR"/>
    <s v="Cameroun"/>
    <s v="CMR004"/>
    <s v="Extrême-Nord"/>
    <s v="CMR004006"/>
    <s v="Mayo-Tsanaga"/>
    <s v="CMR004006002"/>
    <s v="Mokolo"/>
  </r>
  <r>
    <s v="Extrême-Nord"/>
    <s v="CMR004"/>
    <x v="1"/>
    <s v="CMR004006"/>
    <x v="28"/>
    <s v="CMR004006003"/>
    <s v="HIN-0005"/>
    <s v="MADINA"/>
    <m/>
    <x v="0"/>
    <x v="0"/>
    <n v="8"/>
    <n v="60"/>
    <s v="Conflits liés à GANE (BH)"/>
    <m/>
    <s v="Même département, autre arrondissement"/>
    <s v="CMR"/>
    <s v="Cameroun"/>
    <s v="CMR004"/>
    <s v="Extrême-Nord"/>
    <s v="CMR004006"/>
    <s v="Mayo-Tsanaga"/>
    <s v="CMR004006005"/>
    <s v="Mayo-Moskota"/>
  </r>
  <r>
    <s v="Extrême-Nord"/>
    <s v="CMR004"/>
    <x v="1"/>
    <s v="CMR004006"/>
    <x v="28"/>
    <s v="CMR004006003"/>
    <s v="HIN-0005"/>
    <s v="MADINA"/>
    <m/>
    <x v="0"/>
    <x v="3"/>
    <n v="0"/>
    <n v="5"/>
    <s v="Conflits liés à GANE (BH)"/>
    <m/>
    <s v="Même département, autre arrondissement"/>
    <s v="CMR"/>
    <s v="Cameroun"/>
    <s v="CMR004"/>
    <s v="Extrême-Nord"/>
    <s v="CMR004006"/>
    <s v="Mayo-Tsanaga"/>
    <s v="CMR004006005"/>
    <s v="Mayo-Moskota"/>
  </r>
  <r>
    <s v="Extrême-Nord"/>
    <s v="CMR004"/>
    <x v="1"/>
    <s v="CMR004006"/>
    <x v="28"/>
    <s v="CMR004006003"/>
    <s v="HIN-0005"/>
    <s v="MADINA"/>
    <m/>
    <x v="0"/>
    <x v="2"/>
    <n v="4"/>
    <n v="18"/>
    <s v="Conflits liés à GANE (BH)"/>
    <m/>
    <s v="Même département, autre arrondissement"/>
    <s v="CMR"/>
    <s v="Cameroun"/>
    <s v="CMR004"/>
    <s v="Extrême-Nord"/>
    <s v="CMR004006"/>
    <s v="Mayo-Tsanaga"/>
    <s v="CMR004006002"/>
    <s v="Mokolo"/>
  </r>
  <r>
    <s v="Extrême-Nord"/>
    <s v="CMR004"/>
    <x v="2"/>
    <s v="CMR004002"/>
    <x v="13"/>
    <s v="CMR004002001"/>
    <s v="WAZ-0039"/>
    <s v="SITE DE MADA 1"/>
    <m/>
    <x v="0"/>
    <x v="4"/>
    <n v="20"/>
    <n v="103"/>
    <s v="Conflit intercommunautaire"/>
    <m/>
    <s v="Même département, autre arrondissement"/>
    <s v="CMR"/>
    <s v="Cameroun"/>
    <s v="CMR004"/>
    <s v="Extrême-Nord"/>
    <s v="CMR004002"/>
    <s v="Logone-Et-Chari"/>
    <s v="CMR004002004"/>
    <s v="Logone-Birni"/>
  </r>
  <r>
    <s v="Extrême-Nord"/>
    <s v="CMR004"/>
    <x v="2"/>
    <s v="CMR004002"/>
    <x v="13"/>
    <s v="CMR004002001"/>
    <s v="WAZ-0015"/>
    <s v="DJINGUI"/>
    <m/>
    <x v="0"/>
    <x v="4"/>
    <n v="40"/>
    <n v="338"/>
    <s v="Conflits liés à GANE (BH)"/>
    <m/>
    <s v="Même arrondissement"/>
    <s v="CMR"/>
    <s v="Cameroun"/>
    <s v="CMR004"/>
    <s v="Extrême-Nord"/>
    <s v="CMR004002"/>
    <s v="Logone-Et-Chari"/>
    <s v="CMR004002001"/>
    <s v="Waza"/>
  </r>
  <r>
    <s v="Extrême-Nord"/>
    <s v="CMR004"/>
    <x v="2"/>
    <s v="CMR004002"/>
    <x v="13"/>
    <s v="CMR004002001"/>
    <s v="WAZ-0015"/>
    <s v="DJINGUI"/>
    <m/>
    <x v="0"/>
    <x v="2"/>
    <n v="0"/>
    <n v="2"/>
    <s v="Conflits liés à GANE (BH)"/>
    <m/>
    <s v="Même arrondissement"/>
    <s v="CMR"/>
    <s v="Cameroun"/>
    <s v="CMR004"/>
    <s v="Extrême-Nord"/>
    <s v="CMR004002"/>
    <s v="Logone-Et-Chari"/>
    <s v="CMR004002001"/>
    <s v="Waza"/>
  </r>
  <r>
    <s v="Extrême-Nord"/>
    <s v="CMR004"/>
    <x v="2"/>
    <s v="CMR004002"/>
    <x v="8"/>
    <s v="CMR004002009"/>
    <s v="MAK-0160"/>
    <s v="ALMITERAP"/>
    <m/>
    <x v="0"/>
    <x v="3"/>
    <n v="5"/>
    <n v="15"/>
    <s v="Conflit intercommunautaire"/>
    <m/>
    <s v="Même département, autre arrondissement"/>
    <s v="CMR"/>
    <s v="Cameroun"/>
    <s v="CMR004"/>
    <s v="Extrême-Nord"/>
    <s v="CMR004002"/>
    <s v="Logone-Et-Chari"/>
    <s v="CMR004002007"/>
    <s v="Darak"/>
  </r>
  <r>
    <s v="Extrême-Nord"/>
    <s v="CMR004"/>
    <x v="2"/>
    <s v="CMR004002"/>
    <x v="8"/>
    <s v="CMR004002009"/>
    <s v="MAK-0160"/>
    <s v="ALMITERAP"/>
    <m/>
    <x v="0"/>
    <x v="2"/>
    <n v="3"/>
    <n v="17"/>
    <s v="Inondations saisonnières ou fortes pluies"/>
    <m/>
    <s v="Même département, autre arrondissement"/>
    <s v="CMR"/>
    <s v="Cameroun"/>
    <s v="CMR004"/>
    <s v="Extrême-Nord"/>
    <s v="CMR004002"/>
    <s v="Logone-Et-Chari"/>
    <s v="CMR004002003"/>
    <s v="Blangoua"/>
  </r>
  <r>
    <s v="Extrême-Nord"/>
    <s v="CMR004"/>
    <x v="2"/>
    <s v="CMR004002"/>
    <x v="8"/>
    <s v="CMR004002009"/>
    <s v="MAK-0157"/>
    <s v="ABOKI"/>
    <m/>
    <x v="0"/>
    <x v="3"/>
    <n v="7"/>
    <n v="40"/>
    <s v="Conflit intercommunautaire"/>
    <m/>
    <s v="Même arrondissement"/>
    <s v="CMR"/>
    <s v="Cameroun"/>
    <s v="CMR004"/>
    <s v="Extrême-Nord"/>
    <s v="CMR004002"/>
    <s v="Logone-Et-Chari"/>
    <s v="CMR004002009"/>
    <s v="Makary"/>
  </r>
  <r>
    <s v="Extrême-Nord"/>
    <s v="CMR004"/>
    <x v="2"/>
    <s v="CMR004002"/>
    <x v="8"/>
    <s v="CMR004002009"/>
    <s v="MAK-0157"/>
    <s v="ABOKI"/>
    <m/>
    <x v="0"/>
    <x v="2"/>
    <n v="4"/>
    <n v="27"/>
    <s v="Inondations saisonnières ou fortes pluies"/>
    <m/>
    <s v="Même arrondissement"/>
    <s v="CMR"/>
    <s v="Cameroun"/>
    <s v="CMR004"/>
    <s v="Extrême-Nord"/>
    <s v="CMR004002"/>
    <s v="Logone-Et-Chari"/>
    <s v="CMR004002009"/>
    <s v="Makary"/>
  </r>
  <r>
    <s v="Extrême-Nord"/>
    <s v="CMR004"/>
    <x v="2"/>
    <s v="CMR004002"/>
    <x v="8"/>
    <s v="CMR004002009"/>
    <s v="MAK-0047"/>
    <s v="KARTCHE"/>
    <m/>
    <x v="0"/>
    <x v="0"/>
    <n v="3"/>
    <n v="25"/>
    <s v="Conflits liés à GANE (BH)"/>
    <m/>
    <s v="Même département, autre arrondissement"/>
    <s v="CMR"/>
    <s v="Cameroun"/>
    <s v="CMR004"/>
    <s v="Extrême-Nord"/>
    <s v="CMR004002"/>
    <s v="Logone-Et-Chari"/>
    <s v="CMR004002008"/>
    <s v="Fotokol"/>
  </r>
  <r>
    <s v="Extrême-Nord"/>
    <s v="CMR004"/>
    <x v="2"/>
    <s v="CMR004002"/>
    <x v="8"/>
    <s v="CMR004002009"/>
    <s v="MAK-0047"/>
    <s v="KARTCHE"/>
    <m/>
    <x v="0"/>
    <x v="2"/>
    <n v="2"/>
    <n v="7"/>
    <s v="Conflits liés à GANE (BH)"/>
    <m/>
    <s v="Même département, autre arrondissement"/>
    <s v="CMR"/>
    <s v="Cameroun"/>
    <s v="CMR004"/>
    <s v="Extrême-Nord"/>
    <s v="CMR004002"/>
    <s v="Logone-Et-Chari"/>
    <s v="CMR004002007"/>
    <s v="Darak"/>
  </r>
  <r>
    <s v="Extrême-Nord"/>
    <s v="CMR004"/>
    <x v="2"/>
    <s v="CMR004002"/>
    <x v="8"/>
    <s v="CMR004002009"/>
    <s v="MAK-0107"/>
    <s v="DJADJAYA"/>
    <m/>
    <x v="0"/>
    <x v="0"/>
    <n v="55"/>
    <n v="265"/>
    <s v="Conflits liés à GANE (BH)"/>
    <m/>
    <s v="Même département, autre arrondissement"/>
    <s v="CMR"/>
    <s v="Cameroun"/>
    <s v="CMR004"/>
    <s v="Extrême-Nord"/>
    <s v="CMR004002"/>
    <s v="Logone-Et-Chari"/>
    <s v="CMR004002008"/>
    <s v="Fotokol"/>
  </r>
  <r>
    <s v="Extrême-Nord"/>
    <s v="CMR004"/>
    <x v="2"/>
    <s v="CMR004002"/>
    <x v="26"/>
    <s v="CMR004002006"/>
    <s v="KOU-0027"/>
    <s v="NAGA"/>
    <m/>
    <x v="0"/>
    <x v="0"/>
    <n v="4"/>
    <n v="24"/>
    <s v="Conflits liés à GANE (BH)"/>
    <m/>
    <s v="Même département, autre arrondissement"/>
    <s v="CMR"/>
    <s v="Cameroun"/>
    <s v="CMR004"/>
    <s v="Extrême-Nord"/>
    <s v="CMR004002"/>
    <s v="Logone-Et-Chari"/>
    <s v="CMR004002008"/>
    <s v="Fotokol"/>
  </r>
  <r>
    <s v="Extrême-Nord"/>
    <s v="CMR004"/>
    <x v="2"/>
    <s v="CMR004002"/>
    <x v="26"/>
    <s v="CMR004002006"/>
    <s v="KOU-0027"/>
    <s v="NAGA"/>
    <m/>
    <x v="0"/>
    <x v="1"/>
    <n v="1"/>
    <n v="6"/>
    <s v="Conflits liés à GANE (BH)"/>
    <m/>
    <s v="Même département, autre arrondissement"/>
    <s v="CMR"/>
    <s v="Cameroun"/>
    <s v="CMR004"/>
    <s v="Extrême-Nord"/>
    <s v="CMR004002"/>
    <s v="Logone-Et-Chari"/>
    <s v="CMR004002008"/>
    <s v="Fotokol"/>
  </r>
  <r>
    <s v="Extrême-Nord"/>
    <s v="CMR004"/>
    <x v="2"/>
    <s v="CMR004002"/>
    <x v="26"/>
    <s v="CMR004002006"/>
    <s v="KOU-0027"/>
    <s v="NAGA"/>
    <m/>
    <x v="0"/>
    <x v="4"/>
    <n v="1"/>
    <n v="6"/>
    <s v="Conflits liés à GANE (BH)"/>
    <m/>
    <s v="Même département, autre arrondissement"/>
    <s v="CMR"/>
    <s v="Cameroun"/>
    <s v="CMR004"/>
    <s v="Extrême-Nord"/>
    <s v="CMR004002"/>
    <s v="Logone-Et-Chari"/>
    <s v="CMR004002008"/>
    <s v="Fotokol"/>
  </r>
  <r>
    <s v="Extrême-Nord"/>
    <s v="CMR004"/>
    <x v="2"/>
    <s v="CMR004002"/>
    <x v="26"/>
    <s v="CMR004002006"/>
    <s v="KOU-0027"/>
    <s v="NAGA"/>
    <m/>
    <x v="0"/>
    <x v="3"/>
    <n v="1"/>
    <n v="4"/>
    <s v="Conflit intercommunautaire"/>
    <m/>
    <s v="Même département, autre arrondissement"/>
    <s v="CMR"/>
    <s v="Cameroun"/>
    <s v="CMR004"/>
    <s v="Extrême-Nord"/>
    <s v="CMR004002"/>
    <s v="Logone-Et-Chari"/>
    <s v="CMR004002004"/>
    <s v="Logone-Birni"/>
  </r>
  <r>
    <s v="Extrême-Nord"/>
    <s v="CMR004"/>
    <x v="2"/>
    <s v="CMR004002"/>
    <x v="26"/>
    <s v="CMR004002006"/>
    <s v="KOU-0027"/>
    <s v="NAGA"/>
    <m/>
    <x v="0"/>
    <x v="2"/>
    <n v="1"/>
    <n v="5"/>
    <s v="Inondations saisonnières ou fortes pluies"/>
    <m/>
    <s v="Même département, autre arrondissement"/>
    <s v="CMR"/>
    <s v="Cameroun"/>
    <s v="CMR004"/>
    <s v="Extrême-Nord"/>
    <s v="CMR004002"/>
    <s v="Logone-Et-Chari"/>
    <s v="CMR004002004"/>
    <s v="Logone-Birni"/>
  </r>
  <r>
    <s v="Extrême-Nord"/>
    <s v="CMR004"/>
    <x v="2"/>
    <s v="CMR004002"/>
    <x v="15"/>
    <s v="CMR004002004"/>
    <s v="LBI-0038"/>
    <s v="KRENACK"/>
    <m/>
    <x v="0"/>
    <x v="0"/>
    <n v="22"/>
    <n v="90"/>
    <s v="Conflits liés à GANE (BH)"/>
    <m/>
    <s v="Même arrondissement"/>
    <s v="CMR"/>
    <s v="Cameroun"/>
    <s v="CMR004"/>
    <s v="Extrême-Nord"/>
    <s v="CMR004002"/>
    <s v="Logone-Et-Chari"/>
    <s v="CMR004002004"/>
    <s v="Logone-Birni"/>
  </r>
  <r>
    <s v="Extrême-Nord"/>
    <s v="CMR004"/>
    <x v="2"/>
    <s v="CMR004002"/>
    <x v="26"/>
    <s v="CMR004002006"/>
    <s v="KOU-0024"/>
    <s v="ADJEINE 1"/>
    <m/>
    <x v="0"/>
    <x v="0"/>
    <n v="43"/>
    <n v="90"/>
    <s v="Conflit intercommunautaire"/>
    <m/>
    <s v="Même département, autre arrondissement"/>
    <s v="CMR"/>
    <s v="Cameroun"/>
    <s v="CMR004"/>
    <s v="Extrême-Nord"/>
    <s v="CMR004002"/>
    <s v="Logone-Et-Chari"/>
    <s v="CMR004002008"/>
    <s v="Fotokol"/>
  </r>
  <r>
    <s v="Extrême-Nord"/>
    <s v="CMR004"/>
    <x v="2"/>
    <s v="CMR004002"/>
    <x v="26"/>
    <s v="CMR004002006"/>
    <s v="KOU-0024"/>
    <s v="ADJEINE 1"/>
    <m/>
    <x v="0"/>
    <x v="1"/>
    <n v="13"/>
    <n v="50"/>
    <s v="Conflits liés à GANE (BH)"/>
    <m/>
    <s v="Même département, autre arrondissement"/>
    <s v="CMR"/>
    <s v="Cameroun"/>
    <s v="CMR004"/>
    <s v="Extrême-Nord"/>
    <s v="CMR004002"/>
    <s v="Logone-Et-Chari"/>
    <s v="CMR004002008"/>
    <s v="Fotokol"/>
  </r>
  <r>
    <s v="Extrême-Nord"/>
    <s v="CMR004"/>
    <x v="2"/>
    <s v="CMR004002"/>
    <x v="26"/>
    <s v="CMR004002006"/>
    <s v="KOU-0024"/>
    <s v="ADJEINE 1"/>
    <m/>
    <x v="0"/>
    <x v="4"/>
    <n v="4"/>
    <n v="30"/>
    <s v="Conflits liés à GANE (BH)"/>
    <m/>
    <s v="Même département, autre arrondissement"/>
    <s v="CMR"/>
    <s v="Cameroun"/>
    <s v="CMR004"/>
    <s v="Extrême-Nord"/>
    <s v="CMR004002"/>
    <s v="Logone-Et-Chari"/>
    <s v="CMR004002008"/>
    <s v="Fotokol"/>
  </r>
  <r>
    <s v="Extrême-Nord"/>
    <s v="CMR004"/>
    <x v="2"/>
    <s v="CMR004002"/>
    <x v="26"/>
    <s v="CMR004002006"/>
    <s v="KOU-0024"/>
    <s v="ADJEINE 1"/>
    <m/>
    <x v="0"/>
    <x v="3"/>
    <n v="15"/>
    <n v="90"/>
    <s v="Conflit intercommunautaire"/>
    <m/>
    <s v="Même département, autre arrondissement"/>
    <s v="CMR"/>
    <s v="Cameroun"/>
    <s v="CMR004"/>
    <s v="Extrême-Nord"/>
    <s v="CMR004002"/>
    <s v="Logone-Et-Chari"/>
    <s v="CMR004002004"/>
    <s v="Logone-Birni"/>
  </r>
  <r>
    <s v="Extrême-Nord"/>
    <s v="CMR004"/>
    <x v="2"/>
    <s v="CMR004002"/>
    <x v="26"/>
    <s v="CMR004002006"/>
    <s v="KOU-0024"/>
    <s v="ADJEINE 1"/>
    <m/>
    <x v="0"/>
    <x v="2"/>
    <n v="2"/>
    <n v="20"/>
    <s v="Inondations saisonnières ou fortes pluies"/>
    <m/>
    <s v="Même département, autre arrondissement"/>
    <s v="CMR"/>
    <s v="Cameroun"/>
    <s v="CMR004"/>
    <s v="Extrême-Nord"/>
    <s v="CMR004002"/>
    <s v="Logone-Et-Chari"/>
    <s v="CMR004002004"/>
    <s v="Logone-Birni"/>
  </r>
  <r>
    <s v="Extrême-Nord"/>
    <s v="CMR004"/>
    <x v="2"/>
    <s v="CMR004002"/>
    <x v="8"/>
    <s v="CMR004002009"/>
    <s v="MAK-0158"/>
    <s v="ABOUDANGALA"/>
    <m/>
    <x v="0"/>
    <x v="0"/>
    <n v="12"/>
    <n v="82"/>
    <s v="Conflits liés à GANE (BH)"/>
    <m/>
    <s v="Même département, autre arrondissement"/>
    <s v="CMR"/>
    <s v="Cameroun"/>
    <s v="CMR004"/>
    <s v="Extrême-Nord"/>
    <s v="CMR004002"/>
    <s v="Logone-Et-Chari"/>
    <s v="CMR004002008"/>
    <s v="Fotokol"/>
  </r>
  <r>
    <s v="Extrême-Nord"/>
    <s v="CMR004"/>
    <x v="2"/>
    <s v="CMR004002"/>
    <x v="8"/>
    <s v="CMR004002009"/>
    <s v="MAK-0158"/>
    <s v="ABOUDANGALA"/>
    <m/>
    <x v="0"/>
    <x v="4"/>
    <n v="4"/>
    <n v="27"/>
    <s v="Conflits liés à GANE (BH)"/>
    <m/>
    <s v="Même département, autre arrondissement"/>
    <s v="CMR"/>
    <s v="Cameroun"/>
    <s v="CMR004"/>
    <s v="Extrême-Nord"/>
    <s v="CMR004002"/>
    <s v="Logone-Et-Chari"/>
    <s v="CMR004002007"/>
    <s v="Darak"/>
  </r>
  <r>
    <s v="Extrême-Nord"/>
    <s v="CMR004"/>
    <x v="2"/>
    <s v="CMR004002"/>
    <x v="8"/>
    <s v="CMR004002009"/>
    <s v="MAK-0179"/>
    <s v="SOURDJIE"/>
    <m/>
    <x v="0"/>
    <x v="0"/>
    <n v="35"/>
    <n v="139"/>
    <s v="Conflits liés à GANE (BH)"/>
    <m/>
    <s v="Même arrondissement"/>
    <s v="CMR"/>
    <s v="Cameroun"/>
    <s v="CMR004"/>
    <s v="Extrême-Nord"/>
    <s v="CMR004002"/>
    <s v="Logone-Et-Chari"/>
    <s v="CMR004002009"/>
    <s v="Makary"/>
  </r>
  <r>
    <s v="Extrême-Nord"/>
    <s v="CMR004"/>
    <x v="2"/>
    <s v="CMR004002"/>
    <x v="8"/>
    <s v="CMR004002009"/>
    <s v="MAK-0179"/>
    <s v="SOURDJIE"/>
    <m/>
    <x v="0"/>
    <x v="4"/>
    <n v="2"/>
    <n v="7"/>
    <s v="Conflits liés à GANE (BH)"/>
    <m/>
    <s v="Même département, autre arrondissement"/>
    <s v="CMR"/>
    <s v="Cameroun"/>
    <s v="CMR004"/>
    <s v="Extrême-Nord"/>
    <s v="CMR004002"/>
    <s v="Logone-Et-Chari"/>
    <s v="CMR004002008"/>
    <s v="Fotokol"/>
  </r>
  <r>
    <s v="Extrême-Nord"/>
    <s v="CMR004"/>
    <x v="2"/>
    <s v="CMR004002"/>
    <x v="8"/>
    <s v="CMR004002009"/>
    <s v="MAK-0015"/>
    <s v="SITE DE BEDEO"/>
    <m/>
    <x v="0"/>
    <x v="3"/>
    <n v="153"/>
    <n v="837"/>
    <s v="Conflits liés à GANE (BH)"/>
    <m/>
    <s v="Même arrondissement"/>
    <s v="CMR"/>
    <s v="Cameroun"/>
    <s v="CMR004"/>
    <s v="Extrême-Nord"/>
    <s v="CMR004002"/>
    <s v="Logone-Et-Chari"/>
    <s v="CMR004002009"/>
    <s v="Makary"/>
  </r>
  <r>
    <s v="Extrême-Nord"/>
    <s v="CMR004"/>
    <x v="2"/>
    <s v="CMR004002"/>
    <x v="8"/>
    <s v="CMR004002009"/>
    <s v="MAK-0023"/>
    <s v="CHALAMTINI"/>
    <m/>
    <x v="0"/>
    <x v="3"/>
    <n v="49"/>
    <n v="367"/>
    <s v="Inondations saisonnières ou fortes pluies"/>
    <m/>
    <s v="Même arrondissement"/>
    <s v="CMR"/>
    <s v="Cameroun"/>
    <s v="CMR004"/>
    <s v="Extrême-Nord"/>
    <s v="CMR004002"/>
    <s v="Logone-Et-Chari"/>
    <s v="CMR004002009"/>
    <s v="Makary"/>
  </r>
  <r>
    <s v="Extrême-Nord"/>
    <s v="CMR004"/>
    <x v="2"/>
    <s v="CMR004002"/>
    <x v="8"/>
    <s v="CMR004002009"/>
    <s v="MAK-0023"/>
    <s v="CHALAMTINI"/>
    <m/>
    <x v="0"/>
    <x v="2"/>
    <n v="1"/>
    <n v="2"/>
    <s v="Inondations saisonnières ou fortes pluies"/>
    <m/>
    <s v="Même arrondissement"/>
    <s v="CMR"/>
    <s v="Cameroun"/>
    <s v="CMR004"/>
    <s v="Extrême-Nord"/>
    <s v="CMR004002"/>
    <s v="Logone-Et-Chari"/>
    <s v="CMR004002009"/>
    <s v="Makary"/>
  </r>
  <r>
    <s v="Extrême-Nord"/>
    <s v="CMR004"/>
    <x v="2"/>
    <s v="CMR004002"/>
    <x v="10"/>
    <s v="CMR004002003"/>
    <s v="BLA-0003"/>
    <s v="SITE DE BLANGOUA BACHE"/>
    <m/>
    <x v="0"/>
    <x v="0"/>
    <n v="118"/>
    <n v="1500"/>
    <s v="Inondations saisonnières ou fortes pluies"/>
    <m/>
    <s v="Même arrondissement"/>
    <s v="CMR"/>
    <s v="Cameroun"/>
    <s v="CMR004"/>
    <s v="Extrême-Nord"/>
    <s v="CMR004002"/>
    <s v="Logone-Et-Chari"/>
    <s v="CMR004002003"/>
    <s v="Blangoua"/>
  </r>
  <r>
    <s v="Extrême-Nord"/>
    <s v="CMR004"/>
    <x v="2"/>
    <s v="CMR004002"/>
    <x v="10"/>
    <s v="CMR004002003"/>
    <s v="BLA-0003"/>
    <s v="SITE DE BLANGOUA BACHE"/>
    <m/>
    <x v="0"/>
    <x v="2"/>
    <n v="5"/>
    <n v="53"/>
    <s v="Conflits liés à GANE (BH)"/>
    <m/>
    <s v="Même département, autre arrondissement"/>
    <s v="CMR"/>
    <s v="Cameroun"/>
    <s v="CMR004"/>
    <s v="Extrême-Nord"/>
    <s v="CMR004002"/>
    <s v="Logone-Et-Chari"/>
    <s v="CMR004002007"/>
    <s v="Darak"/>
  </r>
  <r>
    <s v="Extrême-Nord"/>
    <s v="CMR004"/>
    <x v="2"/>
    <s v="CMR004002"/>
    <x v="10"/>
    <s v="CMR004002003"/>
    <s v="BLA-0011"/>
    <s v="NDARABAYA"/>
    <m/>
    <x v="0"/>
    <x v="0"/>
    <n v="11"/>
    <n v="26"/>
    <s v="Conflits liés à GANE (BH)"/>
    <m/>
    <s v="Même arrondissement"/>
    <s v="CMR"/>
    <s v="Cameroun"/>
    <s v="CMR004"/>
    <s v="Extrême-Nord"/>
    <s v="CMR004002"/>
    <s v="Logone-Et-Chari"/>
    <s v="CMR004002003"/>
    <s v="Blangoua"/>
  </r>
  <r>
    <s v="Extrême-Nord"/>
    <s v="CMR004"/>
    <x v="2"/>
    <s v="CMR004002"/>
    <x v="10"/>
    <s v="CMR004002003"/>
    <s v="BLA-0011"/>
    <s v="NDARABAYA"/>
    <m/>
    <x v="0"/>
    <x v="2"/>
    <n v="5"/>
    <n v="25"/>
    <s v="Conflits liés à GANE (BH)"/>
    <m/>
    <s v="Même département, autre arrondissement"/>
    <s v="CMR"/>
    <s v="Cameroun"/>
    <s v="CMR004"/>
    <s v="Extrême-Nord"/>
    <s v="CMR004002"/>
    <s v="Logone-Et-Chari"/>
    <s v="CMR004002009"/>
    <s v="Makary"/>
  </r>
  <r>
    <s v="Extrême-Nord"/>
    <s v="CMR004"/>
    <x v="2"/>
    <s v="CMR004002"/>
    <x v="8"/>
    <s v="CMR004002009"/>
    <s v="MAK-0002"/>
    <s v="ABOUYAKOUBA"/>
    <m/>
    <x v="0"/>
    <x v="3"/>
    <n v="6"/>
    <n v="35"/>
    <s v="Conflits liés à GANE (BH)"/>
    <m/>
    <s v="Même département, autre arrondissement"/>
    <s v="CMR"/>
    <s v="Cameroun"/>
    <s v="CMR004"/>
    <s v="Extrême-Nord"/>
    <s v="CMR004002"/>
    <s v="Logone-Et-Chari"/>
    <s v="CMR004002007"/>
    <s v="Darak"/>
  </r>
  <r>
    <s v="Extrême-Nord"/>
    <s v="CMR004"/>
    <x v="2"/>
    <s v="CMR004002"/>
    <x v="8"/>
    <s v="CMR004002009"/>
    <s v="MAK-0002"/>
    <s v="ABOUYAKOUBA"/>
    <m/>
    <x v="0"/>
    <x v="2"/>
    <n v="10"/>
    <n v="57"/>
    <s v="Conflits liés à GANE (BH)"/>
    <m/>
    <s v="Même département, autre arrondissement"/>
    <s v="CMR"/>
    <s v="Cameroun"/>
    <s v="CMR004"/>
    <s v="Extrême-Nord"/>
    <s v="CMR004002"/>
    <s v="Logone-Et-Chari"/>
    <s v="CMR004002003"/>
    <s v="Blangoua"/>
  </r>
  <r>
    <s v="Extrême-Nord"/>
    <s v="CMR004"/>
    <x v="2"/>
    <s v="CMR004002"/>
    <x v="8"/>
    <s v="CMR004002009"/>
    <s v="MAK-0007"/>
    <s v="AMCHITIRE"/>
    <m/>
    <x v="0"/>
    <x v="3"/>
    <n v="3"/>
    <n v="15"/>
    <s v="Conflits liés à GANE (BH)"/>
    <m/>
    <s v="Même département, autre arrondissement"/>
    <s v="CMR"/>
    <s v="Cameroun"/>
    <s v="CMR004"/>
    <s v="Extrême-Nord"/>
    <s v="CMR004002"/>
    <s v="Logone-Et-Chari"/>
    <s v="CMR004002007"/>
    <s v="Darak"/>
  </r>
  <r>
    <s v="Extrême-Nord"/>
    <s v="CMR004"/>
    <x v="2"/>
    <s v="CMR004002"/>
    <x v="8"/>
    <s v="CMR004002009"/>
    <s v="MAK-0007"/>
    <s v="AMCHITIRE"/>
    <m/>
    <x v="0"/>
    <x v="2"/>
    <n v="8"/>
    <n v="38"/>
    <s v="Conflits liés à GANE (BH)"/>
    <m/>
    <s v="Même département, autre arrondissement"/>
    <s v="CMR"/>
    <s v="Cameroun"/>
    <s v="CMR004"/>
    <s v="Extrême-Nord"/>
    <s v="CMR004002"/>
    <s v="Logone-Et-Chari"/>
    <s v="CMR004002008"/>
    <s v="Fotokol"/>
  </r>
  <r>
    <s v="Extrême-Nord"/>
    <s v="CMR004"/>
    <x v="1"/>
    <s v="CMR004006"/>
    <x v="16"/>
    <s v="CMR004006004"/>
    <s v="KOZ-0016"/>
    <s v="KECHKEME"/>
    <m/>
    <x v="0"/>
    <x v="1"/>
    <n v="44"/>
    <n v="274"/>
    <s v="Conflits liés à GANE (BH)"/>
    <m/>
    <s v="Même arrondissement"/>
    <s v="CMR"/>
    <s v="Cameroun"/>
    <s v="CMR004"/>
    <s v="Extrême-Nord"/>
    <s v="CMR004006"/>
    <s v="Mayo-Tsanaga"/>
    <s v="CMR004006004"/>
    <s v="Koza"/>
  </r>
  <r>
    <s v="Extrême-Nord"/>
    <s v="CMR004"/>
    <x v="1"/>
    <s v="CMR004006"/>
    <x v="16"/>
    <s v="CMR004006004"/>
    <s v="KOZ-0016"/>
    <s v="KECHKEME"/>
    <m/>
    <x v="0"/>
    <x v="4"/>
    <n v="52"/>
    <n v="301"/>
    <s v="Conflits liés à GANE (BH)"/>
    <m/>
    <s v="Même arrondissement"/>
    <s v="CMR"/>
    <s v="Cameroun"/>
    <s v="CMR004"/>
    <s v="Extrême-Nord"/>
    <s v="CMR004006"/>
    <s v="Mayo-Tsanaga"/>
    <s v="CMR004006004"/>
    <s v="Koza"/>
  </r>
  <r>
    <s v="Extrême-Nord"/>
    <s v="CMR004"/>
    <x v="1"/>
    <s v="CMR004006"/>
    <x v="16"/>
    <s v="CMR004006004"/>
    <s v="KOZ-0016"/>
    <s v="KECHKEME"/>
    <m/>
    <x v="0"/>
    <x v="3"/>
    <n v="52"/>
    <n v="296"/>
    <s v="Conflits liés à GANE (BH)"/>
    <m/>
    <s v="Même arrondissement"/>
    <s v="CMR"/>
    <s v="Cameroun"/>
    <s v="CMR004"/>
    <s v="Extrême-Nord"/>
    <s v="CMR004006"/>
    <s v="Mayo-Tsanaga"/>
    <s v="CMR004006004"/>
    <s v="Koza"/>
  </r>
  <r>
    <s v="Extrême-Nord"/>
    <s v="CMR004"/>
    <x v="1"/>
    <s v="CMR004006"/>
    <x v="16"/>
    <s v="CMR004006004"/>
    <s v="KOZ-0016"/>
    <s v="KECHKEME"/>
    <m/>
    <x v="0"/>
    <x v="2"/>
    <n v="13"/>
    <n v="57"/>
    <s v="Conflits liés à GANE (BH)"/>
    <m/>
    <s v="Même arrondissement"/>
    <s v="CMR"/>
    <s v="Cameroun"/>
    <s v="CMR004"/>
    <s v="Extrême-Nord"/>
    <s v="CMR004006"/>
    <s v="Mayo-Tsanaga"/>
    <s v="CMR004006004"/>
    <s v="Koza"/>
  </r>
  <r>
    <s v="Extrême-Nord"/>
    <s v="CMR004"/>
    <x v="1"/>
    <s v="CMR004006"/>
    <x v="16"/>
    <s v="CMR004006004"/>
    <s v="KOZ-0014"/>
    <s v="HAMDALA"/>
    <m/>
    <x v="0"/>
    <x v="1"/>
    <n v="79"/>
    <n v="555"/>
    <s v="Conflits liés à GANE (BH)"/>
    <m/>
    <s v="Même arrondissement"/>
    <s v="CMR"/>
    <s v="Cameroun"/>
    <s v="CMR004"/>
    <s v="Extrême-Nord"/>
    <s v="CMR004006"/>
    <s v="Mayo-Tsanaga"/>
    <s v="CMR004006004"/>
    <s v="Koza"/>
  </r>
  <r>
    <s v="Extrême-Nord"/>
    <s v="CMR004"/>
    <x v="1"/>
    <s v="CMR004006"/>
    <x v="16"/>
    <s v="CMR004006004"/>
    <s v="KOZ-0014"/>
    <s v="HAMDALA"/>
    <m/>
    <x v="0"/>
    <x v="4"/>
    <n v="83"/>
    <n v="572"/>
    <s v="Conflits liés à GANE (BH)"/>
    <m/>
    <s v="Même arrondissement"/>
    <s v="CMR"/>
    <s v="Cameroun"/>
    <s v="CMR004"/>
    <s v="Extrême-Nord"/>
    <s v="CMR004006"/>
    <s v="Mayo-Tsanaga"/>
    <s v="CMR004006004"/>
    <s v="Koza"/>
  </r>
  <r>
    <s v="Extrême-Nord"/>
    <s v="CMR004"/>
    <x v="1"/>
    <s v="CMR004006"/>
    <x v="16"/>
    <s v="CMR004006004"/>
    <s v="KOZ-0014"/>
    <s v="HAMDALA"/>
    <m/>
    <x v="0"/>
    <x v="3"/>
    <n v="95"/>
    <n v="609"/>
    <s v="Conflits liés à GANE (BH)"/>
    <m/>
    <s v="Même arrondissement"/>
    <s v="CMR"/>
    <s v="Cameroun"/>
    <s v="CMR004"/>
    <s v="Extrême-Nord"/>
    <s v="CMR004006"/>
    <s v="Mayo-Tsanaga"/>
    <s v="CMR004006004"/>
    <s v="Koza"/>
  </r>
  <r>
    <s v="Extrême-Nord"/>
    <s v="CMR004"/>
    <x v="1"/>
    <s v="CMR004006"/>
    <x v="16"/>
    <s v="CMR004006004"/>
    <s v="KOZ-0014"/>
    <s v="HAMDALA"/>
    <m/>
    <x v="0"/>
    <x v="2"/>
    <n v="20"/>
    <n v="127"/>
    <s v="Conflits liés à GANE (BH)"/>
    <m/>
    <s v="Même arrondissement"/>
    <s v="CMR"/>
    <s v="Cameroun"/>
    <s v="CMR004"/>
    <s v="Extrême-Nord"/>
    <s v="CMR004006"/>
    <s v="Mayo-Tsanaga"/>
    <s v="CMR004006004"/>
    <s v="Koza"/>
  </r>
  <r>
    <s v="Extrême-Nord"/>
    <s v="CMR004"/>
    <x v="1"/>
    <s v="CMR004006"/>
    <x v="16"/>
    <s v="CMR004006004"/>
    <s v="KOZ-0011"/>
    <s v="GOUSDA WAYAM"/>
    <m/>
    <x v="0"/>
    <x v="2"/>
    <n v="280"/>
    <n v="1718"/>
    <s v="Conflits liés à GANE (BH)"/>
    <m/>
    <s v="Même département, autre arrondissement"/>
    <s v="CMR"/>
    <s v="Cameroun"/>
    <s v="CMR004"/>
    <s v="Extrême-Nord"/>
    <s v="CMR004006"/>
    <s v="Mayo-Tsanaga"/>
    <s v="CMR004006005"/>
    <s v="Mayo-Moskota"/>
  </r>
  <r>
    <s v="Extrême-Nord"/>
    <s v="CMR004"/>
    <x v="1"/>
    <s v="CMR004006"/>
    <x v="16"/>
    <s v="CMR004006004"/>
    <s v="KOZ-0011"/>
    <s v="GOUSDA WAYAM"/>
    <m/>
    <x v="0"/>
    <x v="3"/>
    <n v="297"/>
    <n v="1780"/>
    <s v="Conflits liés à GANE (BH)"/>
    <m/>
    <s v="Même arrondissement"/>
    <s v="CMR"/>
    <s v="Cameroun"/>
    <s v="CMR004"/>
    <s v="Extrême-Nord"/>
    <s v="CMR004006"/>
    <s v="Mayo-Tsanaga"/>
    <s v="CMR004006004"/>
    <s v="Koza"/>
  </r>
  <r>
    <s v="Extrême-Nord"/>
    <s v="CMR004"/>
    <x v="1"/>
    <s v="CMR004006"/>
    <x v="16"/>
    <s v="CMR004006004"/>
    <s v="KOZ-0011"/>
    <s v="GOUSDA WAYAM"/>
    <m/>
    <x v="0"/>
    <x v="4"/>
    <n v="355"/>
    <n v="2118"/>
    <s v="Conflits liés à GANE (BH)"/>
    <m/>
    <s v="Même arrondissement"/>
    <s v="CMR"/>
    <s v="Cameroun"/>
    <s v="CMR004"/>
    <s v="Extrême-Nord"/>
    <s v="CMR004006"/>
    <s v="Mayo-Tsanaga"/>
    <s v="CMR004006004"/>
    <s v="Koza"/>
  </r>
  <r>
    <s v="Extrême-Nord"/>
    <s v="CMR004"/>
    <x v="1"/>
    <s v="CMR004006"/>
    <x v="16"/>
    <s v="CMR004006004"/>
    <s v="KOZ-0011"/>
    <s v="GOUSDA WAYAM"/>
    <m/>
    <x v="0"/>
    <x v="1"/>
    <n v="13"/>
    <n v="72"/>
    <s v="Conflits liés à GANE (BH)"/>
    <m/>
    <s v="Même arrondissement"/>
    <s v="CMR"/>
    <s v="Cameroun"/>
    <s v="CMR004"/>
    <s v="Extrême-Nord"/>
    <s v="CMR004006"/>
    <s v="Mayo-Tsanaga"/>
    <s v="CMR004006004"/>
    <s v="Koza"/>
  </r>
  <r>
    <s v="Extrême-Nord"/>
    <s v="CMR004"/>
    <x v="1"/>
    <s v="CMR004006"/>
    <x v="16"/>
    <s v="CMR004006004"/>
    <s v="KOZ-0003"/>
    <s v="DJINGLIYA MONTAGNE"/>
    <m/>
    <x v="0"/>
    <x v="3"/>
    <n v="43"/>
    <n v="310"/>
    <s v="Conflits liés à GANE (BH)"/>
    <m/>
    <s v="Même arrondissement"/>
    <s v="CMR"/>
    <s v="Cameroun"/>
    <s v="CMR004"/>
    <s v="Extrême-Nord"/>
    <s v="CMR004006"/>
    <s v="Mayo-Tsanaga"/>
    <s v="CMR004006004"/>
    <s v="Koza"/>
  </r>
  <r>
    <s v="Extrême-Nord"/>
    <s v="CMR004"/>
    <x v="1"/>
    <s v="CMR004006"/>
    <x v="16"/>
    <s v="CMR004006004"/>
    <s v="KOZ-0003"/>
    <s v="DJINGLIYA MONTAGNE"/>
    <m/>
    <x v="0"/>
    <x v="2"/>
    <n v="6"/>
    <n v="40"/>
    <s v="Conflits liés à GANE (BH)"/>
    <m/>
    <s v="Même département, autre arrondissement"/>
    <s v="CMR"/>
    <s v="Cameroun"/>
    <s v="CMR004"/>
    <s v="Extrême-Nord"/>
    <s v="CMR004006"/>
    <s v="Mayo-Tsanaga"/>
    <s v="CMR004006005"/>
    <s v="Mayo-Moskota"/>
  </r>
  <r>
    <s v="Extrême-Nord"/>
    <s v="CMR004"/>
    <x v="2"/>
    <s v="CMR004002"/>
    <x v="8"/>
    <s v="CMR004002009"/>
    <s v="MAK-0016"/>
    <s v="BIAMO"/>
    <m/>
    <x v="0"/>
    <x v="0"/>
    <n v="86"/>
    <n v="300"/>
    <s v="Conflits liés à GANE (BH)"/>
    <m/>
    <s v="Même arrondissement"/>
    <s v="CMR"/>
    <s v="Cameroun"/>
    <s v="CMR004"/>
    <s v="Extrême-Nord"/>
    <s v="CMR004002"/>
    <s v="Logone-Et-Chari"/>
    <s v="CMR004002009"/>
    <s v="Makary"/>
  </r>
  <r>
    <s v="Extrême-Nord"/>
    <s v="CMR004"/>
    <x v="2"/>
    <s v="CMR004002"/>
    <x v="8"/>
    <s v="CMR004002009"/>
    <s v="MAK-0122"/>
    <s v="ALAK 1"/>
    <m/>
    <x v="0"/>
    <x v="0"/>
    <n v="7"/>
    <n v="30"/>
    <s v="Conflits liés à GANE (BH)"/>
    <m/>
    <s v="Même arrondissement"/>
    <s v="CMR"/>
    <s v="Cameroun"/>
    <s v="CMR004"/>
    <s v="Extrême-Nord"/>
    <s v="CMR004002"/>
    <s v="Logone-Et-Chari"/>
    <s v="CMR004002009"/>
    <s v="Makary"/>
  </r>
  <r>
    <s v="Extrême-Nord"/>
    <s v="CMR004"/>
    <x v="2"/>
    <s v="CMR004002"/>
    <x v="8"/>
    <s v="CMR004002009"/>
    <s v="MAK-0123"/>
    <s v="ALAK 2"/>
    <m/>
    <x v="0"/>
    <x v="0"/>
    <n v="4"/>
    <n v="30"/>
    <s v="Conflits liés à GANE (BH)"/>
    <m/>
    <s v="Même arrondissement"/>
    <s v="CMR"/>
    <s v="Cameroun"/>
    <s v="CMR004"/>
    <s v="Extrême-Nord"/>
    <s v="CMR004002"/>
    <s v="Logone-Et-Chari"/>
    <s v="CMR004002009"/>
    <s v="Makary"/>
  </r>
  <r>
    <s v="Extrême-Nord"/>
    <s v="CMR004"/>
    <x v="2"/>
    <s v="CMR004002"/>
    <x v="8"/>
    <s v="CMR004002009"/>
    <s v="MAK-0028"/>
    <s v="DJIDANSAMA"/>
    <m/>
    <x v="0"/>
    <x v="0"/>
    <n v="9"/>
    <n v="71"/>
    <s v="Conflits liés à GANE (BH)"/>
    <m/>
    <s v="Même arrondissement"/>
    <s v="CMR"/>
    <s v="Cameroun"/>
    <s v="CMR004"/>
    <s v="Extrême-Nord"/>
    <s v="CMR004002"/>
    <s v="Logone-Et-Chari"/>
    <s v="CMR004002009"/>
    <s v="Makary"/>
  </r>
  <r>
    <s v="Extrême-Nord"/>
    <s v="CMR004"/>
    <x v="2"/>
    <s v="CMR004002"/>
    <x v="8"/>
    <s v="CMR004002009"/>
    <s v="MAK-0126"/>
    <s v="ARDEB 2"/>
    <m/>
    <x v="0"/>
    <x v="0"/>
    <n v="8"/>
    <n v="29"/>
    <s v="Conflits liés à GANE (BH)"/>
    <m/>
    <s v="Même arrondissement"/>
    <s v="CMR"/>
    <s v="Cameroun"/>
    <s v="CMR004"/>
    <s v="Extrême-Nord"/>
    <s v="CMR004002"/>
    <s v="Logone-Et-Chari"/>
    <s v="CMR004002009"/>
    <s v="Makary"/>
  </r>
  <r>
    <s v="Extrême-Nord"/>
    <s v="CMR004"/>
    <x v="2"/>
    <s v="CMR004002"/>
    <x v="8"/>
    <s v="CMR004002009"/>
    <s v="MAK-0125"/>
    <s v="ARDEB 1"/>
    <m/>
    <x v="0"/>
    <x v="0"/>
    <n v="5"/>
    <n v="15"/>
    <s v="Conflits liés à GANE (BH)"/>
    <m/>
    <s v="Même arrondissement"/>
    <s v="CMR"/>
    <s v="Cameroun"/>
    <s v="CMR004"/>
    <s v="Extrême-Nord"/>
    <s v="CMR004002"/>
    <s v="Logone-Et-Chari"/>
    <s v="CMR004002009"/>
    <s v="Makary"/>
  </r>
  <r>
    <s v="Extrême-Nord"/>
    <s v="CMR004"/>
    <x v="2"/>
    <s v="CMR004002"/>
    <x v="8"/>
    <s v="CMR004002009"/>
    <s v="MAK-0027"/>
    <s v="DJAMOUS"/>
    <m/>
    <x v="0"/>
    <x v="0"/>
    <n v="2"/>
    <n v="8"/>
    <s v="Conflits liés à GANE (BH)"/>
    <m/>
    <s v="Même arrondissement"/>
    <s v="CMR"/>
    <s v="Cameroun"/>
    <s v="CMR004"/>
    <s v="Extrême-Nord"/>
    <s v="CMR004002"/>
    <s v="Logone-Et-Chari"/>
    <s v="CMR004002009"/>
    <s v="Makary"/>
  </r>
  <r>
    <s v="Extrême-Nord"/>
    <s v="CMR004"/>
    <x v="2"/>
    <s v="CMR004002"/>
    <x v="8"/>
    <s v="CMR004002009"/>
    <s v="MAK-0010"/>
    <s v="ANAMBARI"/>
    <m/>
    <x v="0"/>
    <x v="0"/>
    <n v="4"/>
    <n v="20"/>
    <s v="Conflits liés à GANE (BH)"/>
    <m/>
    <s v="Même arrondissement"/>
    <s v="CMR"/>
    <s v="Cameroun"/>
    <s v="CMR004"/>
    <s v="Extrême-Nord"/>
    <s v="CMR004002"/>
    <s v="Logone-Et-Chari"/>
    <s v="CMR004002009"/>
    <s v="Makary"/>
  </r>
  <r>
    <s v="Extrême-Nord"/>
    <s v="CMR004"/>
    <x v="2"/>
    <s v="CMR004002"/>
    <x v="8"/>
    <s v="CMR004002009"/>
    <s v="MAK-0010"/>
    <s v="ANAMBARI"/>
    <m/>
    <x v="0"/>
    <x v="2"/>
    <n v="1"/>
    <n v="2"/>
    <s v="Autre raison"/>
    <s v="Conflit communautaire entre arabes choas et Mousgoum."/>
    <s v="Même département, autre arrondissement"/>
    <s v="CMR"/>
    <s v="Cameroun"/>
    <s v="CMR004"/>
    <s v="Extrême-Nord"/>
    <s v="CMR004002"/>
    <s v="Logone-Et-Chari"/>
    <s v="CMR004002004"/>
    <s v="Logone-Birni"/>
  </r>
  <r>
    <s v="Extrême-Nord"/>
    <s v="CMR004"/>
    <x v="1"/>
    <s v="CMR004006"/>
    <x v="1"/>
    <s v="CMR004006002"/>
    <s v="MOK-0006"/>
    <s v="GOLE KADJOLE"/>
    <m/>
    <x v="0"/>
    <x v="0"/>
    <n v="16"/>
    <n v="86"/>
    <s v="Conflits liés à GANE (BH)"/>
    <m/>
    <s v="Même arrondissement"/>
    <s v="CMR"/>
    <s v="Cameroun"/>
    <s v="CMR004"/>
    <s v="Extrême-Nord"/>
    <s v="CMR004006"/>
    <s v="Mayo-Tsanaga"/>
    <s v="CMR004006002"/>
    <s v="Mokolo"/>
  </r>
  <r>
    <s v="Extrême-Nord"/>
    <s v="CMR004"/>
    <x v="1"/>
    <s v="CMR004006"/>
    <x v="1"/>
    <s v="CMR004006002"/>
    <s v="MOK-0006"/>
    <s v="GOLE KADJOLE"/>
    <m/>
    <x v="0"/>
    <x v="3"/>
    <n v="9"/>
    <n v="34"/>
    <s v="Conflits liés à GANE (BH)"/>
    <m/>
    <s v="Même arrondissement"/>
    <s v="CMR"/>
    <s v="Cameroun"/>
    <s v="CMR004"/>
    <s v="Extrême-Nord"/>
    <s v="CMR004006"/>
    <s v="Mayo-Tsanaga"/>
    <s v="CMR004006002"/>
    <s v="Mokolo"/>
  </r>
  <r>
    <s v="Extrême-Nord"/>
    <s v="CMR004"/>
    <x v="1"/>
    <s v="CMR004006"/>
    <x v="1"/>
    <s v="CMR004006002"/>
    <s v="MOK-0006"/>
    <s v="GOLE KADJOLE"/>
    <m/>
    <x v="0"/>
    <x v="2"/>
    <n v="5"/>
    <n v="16"/>
    <s v="Conflits liés à GANE (BH)"/>
    <m/>
    <s v="Même arrondissement"/>
    <s v="CMR"/>
    <s v="Cameroun"/>
    <s v="CMR004"/>
    <s v="Extrême-Nord"/>
    <s v="CMR004006"/>
    <s v="Mayo-Tsanaga"/>
    <s v="CMR004006002"/>
    <s v="Mokolo"/>
  </r>
  <r>
    <s v="Extrême-Nord"/>
    <s v="CMR004"/>
    <x v="4"/>
    <s v="CMR004005"/>
    <x v="17"/>
    <s v="CMR004005002"/>
    <s v="MOR-0058"/>
    <s v="AISSA-HARDE"/>
    <m/>
    <x v="0"/>
    <x v="0"/>
    <n v="54"/>
    <n v="366"/>
    <s v="Conflits liés à GANE (BH)"/>
    <m/>
    <s v="Même arrondissement"/>
    <s v="CMR"/>
    <s v="Cameroun"/>
    <s v="CMR004"/>
    <s v="Extrême-Nord"/>
    <s v="CMR004005"/>
    <s v="Mayo-Sava"/>
    <s v="CMR004005002"/>
    <s v="Mora"/>
  </r>
  <r>
    <s v="Extrême-Nord"/>
    <s v="CMR004"/>
    <x v="4"/>
    <s v="CMR004005"/>
    <x v="17"/>
    <s v="CMR004005002"/>
    <s v="MOR-0058"/>
    <s v="AISSA-HARDE"/>
    <m/>
    <x v="0"/>
    <x v="1"/>
    <n v="21"/>
    <n v="106"/>
    <s v="Conflits liés à GANE (BH)"/>
    <m/>
    <s v="Même arrondissement"/>
    <s v="CMR"/>
    <s v="Cameroun"/>
    <s v="CMR004"/>
    <s v="Extrême-Nord"/>
    <s v="CMR004005"/>
    <s v="Mayo-Sava"/>
    <s v="CMR004005002"/>
    <s v="Mora"/>
  </r>
  <r>
    <s v="Extrême-Nord"/>
    <s v="CMR004"/>
    <x v="4"/>
    <s v="CMR004005"/>
    <x v="17"/>
    <s v="CMR004005002"/>
    <s v="MOR-0058"/>
    <s v="AISSA-HARDE"/>
    <m/>
    <x v="0"/>
    <x v="4"/>
    <n v="0"/>
    <n v="42"/>
    <s v="Conflits liés à GANE (BH)"/>
    <m/>
    <s v="Même arrondissement"/>
    <s v="CMR"/>
    <s v="Cameroun"/>
    <s v="CMR004"/>
    <s v="Extrême-Nord"/>
    <s v="CMR004005"/>
    <s v="Mayo-Sava"/>
    <s v="CMR004005002"/>
    <s v="Mora"/>
  </r>
  <r>
    <s v="Extrême-Nord"/>
    <s v="CMR004"/>
    <x v="4"/>
    <s v="CMR004005"/>
    <x v="17"/>
    <s v="CMR004005002"/>
    <s v="MOR-0058"/>
    <s v="AISSA-HARDE"/>
    <m/>
    <x v="0"/>
    <x v="3"/>
    <n v="2"/>
    <n v="47"/>
    <s v="Conflits liés à GANE (BH)"/>
    <m/>
    <s v="Même arrondissement"/>
    <s v="CMR"/>
    <s v="Cameroun"/>
    <s v="CMR004"/>
    <s v="Extrême-Nord"/>
    <s v="CMR004005"/>
    <s v="Mayo-Sava"/>
    <s v="CMR004005002"/>
    <s v="Mora"/>
  </r>
  <r>
    <s v="Extrême-Nord"/>
    <s v="CMR004"/>
    <x v="4"/>
    <s v="CMR004005"/>
    <x v="17"/>
    <s v="CMR004005002"/>
    <s v="MOR-0058"/>
    <s v="AISSA-HARDE"/>
    <m/>
    <x v="0"/>
    <x v="2"/>
    <n v="0"/>
    <n v="28"/>
    <s v="Conflits liés à GANE (BH)"/>
    <m/>
    <s v="Même arrondissement"/>
    <s v="CMR"/>
    <s v="Cameroun"/>
    <s v="CMR004"/>
    <s v="Extrême-Nord"/>
    <s v="CMR004005"/>
    <s v="Mayo-Sava"/>
    <s v="CMR004005002"/>
    <s v="Mora"/>
  </r>
  <r>
    <s v="Extrême-Nord"/>
    <s v="CMR004"/>
    <x v="4"/>
    <s v="CMR004005"/>
    <x v="17"/>
    <s v="CMR004005002"/>
    <s v="MOR-0006"/>
    <s v="FIKE 2"/>
    <m/>
    <x v="0"/>
    <x v="0"/>
    <n v="128"/>
    <n v="472"/>
    <s v="Conflits liés à GANE (BH)"/>
    <m/>
    <s v="Même arrondissement"/>
    <s v="CMR"/>
    <s v="Cameroun"/>
    <s v="CMR004"/>
    <s v="Extrême-Nord"/>
    <s v="CMR004005"/>
    <s v="Mayo-Sava"/>
    <s v="CMR004005002"/>
    <s v="Mora"/>
  </r>
  <r>
    <s v="Extrême-Nord"/>
    <s v="CMR004"/>
    <x v="4"/>
    <s v="CMR004005"/>
    <x v="17"/>
    <s v="CMR004005002"/>
    <s v="MOR-0006"/>
    <s v="FIKE 2"/>
    <m/>
    <x v="0"/>
    <x v="1"/>
    <n v="3"/>
    <n v="52"/>
    <s v="Conflits liés à GANE (BH)"/>
    <m/>
    <s v="Même arrondissement"/>
    <s v="CMR"/>
    <s v="Cameroun"/>
    <s v="CMR004"/>
    <s v="Extrême-Nord"/>
    <s v="CMR004005"/>
    <s v="Mayo-Sava"/>
    <s v="CMR004005002"/>
    <s v="Mora"/>
  </r>
  <r>
    <s v="Extrême-Nord"/>
    <s v="CMR004"/>
    <x v="4"/>
    <s v="CMR004005"/>
    <x v="17"/>
    <s v="CMR004005002"/>
    <s v="MOR-0006"/>
    <s v="FIKE 2"/>
    <m/>
    <x v="0"/>
    <x v="4"/>
    <n v="12"/>
    <n v="68"/>
    <s v="Conflits liés à GANE (BH)"/>
    <m/>
    <s v="Même arrondissement"/>
    <s v="CMR"/>
    <s v="Cameroun"/>
    <s v="CMR004"/>
    <s v="Extrême-Nord"/>
    <s v="CMR004005"/>
    <s v="Mayo-Sava"/>
    <s v="CMR004005002"/>
    <s v="Mora"/>
  </r>
  <r>
    <s v="Extrême-Nord"/>
    <s v="CMR004"/>
    <x v="4"/>
    <s v="CMR004005"/>
    <x v="17"/>
    <s v="CMR004005002"/>
    <s v="MOR-0006"/>
    <s v="FIKE 2"/>
    <m/>
    <x v="0"/>
    <x v="3"/>
    <n v="13"/>
    <n v="103"/>
    <s v="Conflits liés à GANE (BH)"/>
    <m/>
    <s v="Même arrondissement"/>
    <s v="CMR"/>
    <s v="Cameroun"/>
    <s v="CMR004"/>
    <s v="Extrême-Nord"/>
    <s v="CMR004005"/>
    <s v="Mayo-Sava"/>
    <s v="CMR004005002"/>
    <s v="Mora"/>
  </r>
  <r>
    <s v="Extrême-Nord"/>
    <s v="CMR004"/>
    <x v="4"/>
    <s v="CMR004005"/>
    <x v="17"/>
    <s v="CMR004005002"/>
    <s v="MOR-0006"/>
    <s v="FIKE 2"/>
    <m/>
    <x v="0"/>
    <x v="2"/>
    <n v="4"/>
    <n v="37"/>
    <s v="Conflits liés à GANE (BH)"/>
    <m/>
    <s v="Même arrondissement"/>
    <s v="CMR"/>
    <s v="Cameroun"/>
    <s v="CMR004"/>
    <s v="Extrême-Nord"/>
    <s v="CMR004005"/>
    <s v="Mayo-Sava"/>
    <s v="CMR004005002"/>
    <s v="Mora"/>
  </r>
  <r>
    <s v="Extrême-Nord"/>
    <s v="CMR004"/>
    <x v="2"/>
    <s v="CMR004002"/>
    <x v="10"/>
    <s v="CMR004002003"/>
    <s v="BLA-0004"/>
    <s v="BLARAM"/>
    <m/>
    <x v="0"/>
    <x v="0"/>
    <n v="6"/>
    <n v="46"/>
    <s v="Conflits liés à GANE (BH)"/>
    <m/>
    <s v="Même département, autre arrondissement"/>
    <s v="CMR"/>
    <s v="Cameroun"/>
    <s v="CMR004"/>
    <s v="Extrême-Nord"/>
    <s v="CMR004002"/>
    <s v="Logone-Et-Chari"/>
    <s v="CMR004002008"/>
    <s v="Fotokol"/>
  </r>
  <r>
    <s v="Extrême-Nord"/>
    <s v="CMR004"/>
    <x v="1"/>
    <s v="CMR004006"/>
    <x v="1"/>
    <s v="CMR004006002"/>
    <s v="MOK-0023"/>
    <s v="WOULA"/>
    <m/>
    <x v="0"/>
    <x v="0"/>
    <n v="263"/>
    <n v="1337"/>
    <s v="Conflits liés à GANE (BH)"/>
    <m/>
    <s v="Même arrondissement"/>
    <s v="CMR"/>
    <s v="Cameroun"/>
    <s v="CMR004"/>
    <s v="Extrême-Nord"/>
    <s v="CMR004006"/>
    <s v="Mayo-Tsanaga"/>
    <s v="CMR004006002"/>
    <s v="Mokolo"/>
  </r>
  <r>
    <s v="Extrême-Nord"/>
    <s v="CMR004"/>
    <x v="1"/>
    <s v="CMR004006"/>
    <x v="1"/>
    <s v="CMR004006002"/>
    <s v="MOK-0023"/>
    <s v="WOULA"/>
    <m/>
    <x v="0"/>
    <x v="2"/>
    <n v="3"/>
    <n v="13"/>
    <s v="Conflits liés à GANE (BH)"/>
    <m/>
    <s v="Même arrondissement"/>
    <s v="CMR"/>
    <s v="Cameroun"/>
    <s v="CMR004"/>
    <s v="Extrême-Nord"/>
    <s v="CMR004006"/>
    <s v="Mayo-Tsanaga"/>
    <s v="CMR004006002"/>
    <s v="Mokolo"/>
  </r>
  <r>
    <s v="Extrême-Nord"/>
    <s v="CMR004"/>
    <x v="2"/>
    <s v="CMR004002"/>
    <x v="26"/>
    <s v="CMR004002006"/>
    <s v="KOU-0026"/>
    <s v="MAWAK"/>
    <m/>
    <x v="0"/>
    <x v="0"/>
    <n v="39"/>
    <n v="192"/>
    <s v="Conflits liés à GANE (BH)"/>
    <m/>
    <s v="Même département, autre arrondissement"/>
    <s v="CMR"/>
    <s v="Cameroun"/>
    <s v="CMR004"/>
    <s v="Extrême-Nord"/>
    <s v="CMR004002"/>
    <s v="Logone-Et-Chari"/>
    <s v="CMR004002008"/>
    <s v="Fotokol"/>
  </r>
  <r>
    <s v="Extrême-Nord"/>
    <s v="CMR004"/>
    <x v="2"/>
    <s v="CMR004002"/>
    <x v="26"/>
    <s v="CMR004002006"/>
    <s v="KOU-0026"/>
    <s v="MAWAK"/>
    <m/>
    <x v="0"/>
    <x v="1"/>
    <n v="18"/>
    <n v="100"/>
    <s v="Conflits liés à GANE (BH)"/>
    <m/>
    <s v="Même département, autre arrondissement"/>
    <s v="CMR"/>
    <s v="Cameroun"/>
    <s v="CMR004"/>
    <s v="Extrême-Nord"/>
    <s v="CMR004002"/>
    <s v="Logone-Et-Chari"/>
    <s v="CMR004002008"/>
    <s v="Fotokol"/>
  </r>
  <r>
    <s v="Extrême-Nord"/>
    <s v="CMR004"/>
    <x v="2"/>
    <s v="CMR004002"/>
    <x v="26"/>
    <s v="CMR004002006"/>
    <s v="KOU-0026"/>
    <s v="MAWAK"/>
    <m/>
    <x v="0"/>
    <x v="3"/>
    <n v="7"/>
    <n v="80"/>
    <s v="Conflit intercommunautaire"/>
    <m/>
    <s v="Même département, autre arrondissement"/>
    <s v="CMR"/>
    <s v="Cameroun"/>
    <s v="CMR004"/>
    <s v="Extrême-Nord"/>
    <s v="CMR004002"/>
    <s v="Logone-Et-Chari"/>
    <s v="CMR004002004"/>
    <s v="Logone-Birni"/>
  </r>
  <r>
    <s v="Extrême-Nord"/>
    <s v="CMR004"/>
    <x v="2"/>
    <s v="CMR004002"/>
    <x v="26"/>
    <s v="CMR004002006"/>
    <s v="KOU-0026"/>
    <s v="MAWAK"/>
    <m/>
    <x v="0"/>
    <x v="2"/>
    <n v="3"/>
    <n v="50"/>
    <s v="Inondations saisonnières ou fortes pluies"/>
    <m/>
    <s v="Même département, autre arrondissement"/>
    <s v="CMR"/>
    <s v="Cameroun"/>
    <s v="CMR004"/>
    <s v="Extrême-Nord"/>
    <s v="CMR004002"/>
    <s v="Logone-Et-Chari"/>
    <s v="CMR004002004"/>
    <s v="Logone-Birni"/>
  </r>
  <r>
    <s v="Extrême-Nord"/>
    <s v="CMR004"/>
    <x v="2"/>
    <s v="CMR004002"/>
    <x v="26"/>
    <s v="CMR004002006"/>
    <s v="XXXX"/>
    <s v="SITE DE KAWADJI 1"/>
    <s v="SITE DE KAWADJI 1"/>
    <x v="0"/>
    <x v="2"/>
    <n v="100"/>
    <n v="1150"/>
    <s v="Inondations saisonnières ou fortes pluies"/>
    <m/>
    <s v="Même arrondissement"/>
    <s v="CMR"/>
    <s v="Cameroun"/>
    <s v="CMR004"/>
    <s v="Extrême-Nord"/>
    <s v="CMR004002"/>
    <s v="Logone-Et-Chari"/>
    <s v="CMR004002006"/>
    <s v="Kousséri"/>
  </r>
  <r>
    <s v="Extrême-Nord"/>
    <s v="CMR004"/>
    <x v="2"/>
    <s v="CMR004002"/>
    <x v="26"/>
    <s v="CMR004002006"/>
    <s v="KOU-0037"/>
    <s v="KAWADJI 2"/>
    <m/>
    <x v="0"/>
    <x v="2"/>
    <n v="11"/>
    <n v="80"/>
    <s v="Inondations saisonnières ou fortes pluies"/>
    <m/>
    <s v="Même arrondissement"/>
    <s v="CMR"/>
    <s v="Cameroun"/>
    <s v="CMR004"/>
    <s v="Extrême-Nord"/>
    <s v="CMR004002"/>
    <s v="Logone-Et-Chari"/>
    <s v="CMR004002006"/>
    <s v="Kousséri"/>
  </r>
  <r>
    <s v="Extrême-Nord"/>
    <s v="CMR004"/>
    <x v="1"/>
    <s v="CMR004006"/>
    <x v="1"/>
    <s v="CMR004006002"/>
    <s v="MOK-0011"/>
    <s v="MAXI MABASS"/>
    <m/>
    <x v="0"/>
    <x v="1"/>
    <n v="160"/>
    <n v="726"/>
    <s v="Conflits liés à GANE (BH)"/>
    <m/>
    <s v="Même arrondissement"/>
    <s v="CMR"/>
    <s v="Cameroun"/>
    <s v="CMR004"/>
    <s v="Extrême-Nord"/>
    <s v="CMR004006"/>
    <s v="Mayo-Tsanaga"/>
    <s v="CMR004006002"/>
    <s v="Mokolo"/>
  </r>
  <r>
    <s v="Extrême-Nord"/>
    <s v="CMR004"/>
    <x v="1"/>
    <s v="CMR004006"/>
    <x v="1"/>
    <s v="CMR004006002"/>
    <s v="MOK-0011"/>
    <s v="MAXI MABASS"/>
    <m/>
    <x v="0"/>
    <x v="2"/>
    <n v="35"/>
    <n v="80"/>
    <s v="Conflits liés à GANE (BH)"/>
    <m/>
    <s v="Même arrondissement"/>
    <s v="CMR"/>
    <s v="Cameroun"/>
    <s v="CMR004"/>
    <s v="Extrême-Nord"/>
    <s v="CMR004006"/>
    <s v="Mayo-Tsanaga"/>
    <s v="CMR004006002"/>
    <s v="Mokolo"/>
  </r>
  <r>
    <s v="Extrême-Nord"/>
    <s v="CMR004"/>
    <x v="1"/>
    <s v="CMR004006"/>
    <x v="7"/>
    <s v="CMR004006005"/>
    <s v="MOZ-0026"/>
    <s v="WOUDAL"/>
    <m/>
    <x v="0"/>
    <x v="0"/>
    <n v="21"/>
    <n v="108"/>
    <s v="Conflits liés à GANE (BH)"/>
    <m/>
    <s v="Même arrondissement"/>
    <s v="CMR"/>
    <s v="Cameroun"/>
    <s v="CMR004"/>
    <s v="Extrême-Nord"/>
    <s v="CMR004006"/>
    <s v="Mayo-Tsanaga"/>
    <s v="CMR004006005"/>
    <s v="Mayo-Moskota"/>
  </r>
  <r>
    <s v="Extrême-Nord"/>
    <s v="CMR004"/>
    <x v="1"/>
    <s v="CMR004006"/>
    <x v="7"/>
    <s v="CMR004006005"/>
    <s v="MOZ-0026"/>
    <s v="WOUDAL"/>
    <m/>
    <x v="0"/>
    <x v="1"/>
    <n v="15"/>
    <n v="22"/>
    <s v="Conflits liés à GANE (BH)"/>
    <m/>
    <s v="Même arrondissement"/>
    <s v="CMR"/>
    <s v="Cameroun"/>
    <s v="CMR004"/>
    <s v="Extrême-Nord"/>
    <s v="CMR004006"/>
    <s v="Mayo-Tsanaga"/>
    <s v="CMR004006005"/>
    <s v="Mayo-Moskota"/>
  </r>
  <r>
    <s v="Extrême-Nord"/>
    <s v="CMR004"/>
    <x v="1"/>
    <s v="CMR004006"/>
    <x v="7"/>
    <s v="CMR004006005"/>
    <s v="MOZ-0026"/>
    <s v="WOUDAL"/>
    <m/>
    <x v="0"/>
    <x v="3"/>
    <n v="18"/>
    <n v="54"/>
    <s v="Conflits liés à GANE (BH)"/>
    <m/>
    <s v="Même arrondissement"/>
    <s v="CMR"/>
    <s v="Cameroun"/>
    <s v="CMR004"/>
    <s v="Extrême-Nord"/>
    <s v="CMR004006"/>
    <s v="Mayo-Tsanaga"/>
    <s v="CMR004006005"/>
    <s v="Mayo-Moskota"/>
  </r>
  <r>
    <s v="Extrême-Nord"/>
    <s v="CMR004"/>
    <x v="1"/>
    <s v="CMR004006"/>
    <x v="7"/>
    <s v="CMR004006005"/>
    <s v="MOZ-0026"/>
    <s v="WOUDAL"/>
    <m/>
    <x v="0"/>
    <x v="2"/>
    <n v="20"/>
    <n v="210"/>
    <s v="Conflits liés à GANE (BH)"/>
    <m/>
    <s v="Même arrondissement"/>
    <s v="CMR"/>
    <s v="Cameroun"/>
    <s v="CMR004"/>
    <s v="Extrême-Nord"/>
    <s v="CMR004006"/>
    <s v="Mayo-Tsanaga"/>
    <s v="CMR004006005"/>
    <s v="Mayo-Moskota"/>
  </r>
  <r>
    <s v="Extrême-Nord"/>
    <s v="CMR004"/>
    <x v="2"/>
    <s v="CMR004002"/>
    <x v="8"/>
    <s v="CMR004002009"/>
    <s v="MAK-0087"/>
    <s v="NGREE 1"/>
    <m/>
    <x v="0"/>
    <x v="0"/>
    <n v="35"/>
    <n v="300"/>
    <s v="Conflits liés à GANE (BH)"/>
    <m/>
    <s v="Même arrondissement"/>
    <s v="CMR"/>
    <s v="Cameroun"/>
    <s v="CMR004"/>
    <s v="Extrême-Nord"/>
    <s v="CMR004002"/>
    <s v="Logone-Et-Chari"/>
    <s v="CMR004002009"/>
    <s v="Makary"/>
  </r>
  <r>
    <s v="Extrême-Nord"/>
    <s v="CMR004"/>
    <x v="2"/>
    <s v="CMR004002"/>
    <x v="8"/>
    <s v="CMR004002009"/>
    <s v="MAK-0087"/>
    <s v="NGREE 1"/>
    <m/>
    <x v="0"/>
    <x v="2"/>
    <n v="0"/>
    <n v="8"/>
    <s v="Autre raison"/>
    <s v="Naissance"/>
    <s v="Même arrondissement"/>
    <s v="CMR"/>
    <s v="Cameroun"/>
    <s v="CMR004"/>
    <s v="Extrême-Nord"/>
    <s v="CMR004002"/>
    <s v="Logone-Et-Chari"/>
    <s v="CMR004002009"/>
    <s v="Makary"/>
  </r>
  <r>
    <s v="Extrême-Nord"/>
    <s v="CMR004"/>
    <x v="2"/>
    <s v="CMR004002"/>
    <x v="8"/>
    <s v="CMR004002009"/>
    <s v="MAK-0088"/>
    <s v="NGREE 2"/>
    <m/>
    <x v="0"/>
    <x v="0"/>
    <n v="46"/>
    <n v="250"/>
    <s v="Conflits liés à GANE (BH)"/>
    <m/>
    <s v="Même arrondissement"/>
    <s v="CMR"/>
    <s v="Cameroun"/>
    <s v="CMR004"/>
    <s v="Extrême-Nord"/>
    <s v="CMR004002"/>
    <s v="Logone-Et-Chari"/>
    <s v="CMR004002009"/>
    <s v="Makary"/>
  </r>
  <r>
    <s v="Extrême-Nord"/>
    <s v="CMR004"/>
    <x v="2"/>
    <s v="CMR004002"/>
    <x v="8"/>
    <s v="CMR004002009"/>
    <s v="MAK-0088"/>
    <s v="NGREE 2"/>
    <m/>
    <x v="0"/>
    <x v="2"/>
    <n v="5"/>
    <n v="30"/>
    <s v="Inondations saisonnières ou fortes pluies"/>
    <m/>
    <s v="Même arrondissement"/>
    <s v="CMR"/>
    <s v="Cameroun"/>
    <s v="CMR004"/>
    <s v="Extrême-Nord"/>
    <s v="CMR004002"/>
    <s v="Logone-Et-Chari"/>
    <s v="CMR004002009"/>
    <s v="Makary"/>
  </r>
  <r>
    <s v="Extrême-Nord"/>
    <s v="CMR004"/>
    <x v="1"/>
    <s v="CMR004006"/>
    <x v="7"/>
    <s v="CMR004006005"/>
    <s v="XXXX"/>
    <s v="SITE DE YAMGAZAYA"/>
    <s v="SITE DE YAMGAZAYA"/>
    <x v="0"/>
    <x v="2"/>
    <n v="30"/>
    <n v="150"/>
    <s v="Conflits liés à GANE (BH)"/>
    <m/>
    <s v="Même arrondissement"/>
    <s v="CMR"/>
    <s v="Cameroun"/>
    <s v="CMR004"/>
    <s v="Extrême-Nord"/>
    <s v="CMR004006"/>
    <s v="Mayo-Tsanaga"/>
    <s v="CMR004006005"/>
    <s v="Mayo-Moskota"/>
  </r>
  <r>
    <s v="Extrême-Nord"/>
    <s v="CMR004"/>
    <x v="2"/>
    <s v="CMR004002"/>
    <x v="8"/>
    <s v="CMR004002009"/>
    <s v="MAK-0139"/>
    <s v="GRELIE"/>
    <m/>
    <x v="0"/>
    <x v="0"/>
    <n v="13"/>
    <n v="127"/>
    <s v="Conflits liés à GANE (BH)"/>
    <m/>
    <s v="Même arrondissement"/>
    <s v="CMR"/>
    <s v="Cameroun"/>
    <s v="CMR004"/>
    <s v="Extrême-Nord"/>
    <s v="CMR004002"/>
    <s v="Logone-Et-Chari"/>
    <s v="CMR004002009"/>
    <s v="Makary"/>
  </r>
  <r>
    <s v="Extrême-Nord"/>
    <s v="CMR004"/>
    <x v="2"/>
    <s v="CMR004002"/>
    <x v="8"/>
    <s v="CMR004002009"/>
    <s v="MAK-0205"/>
    <s v="GOURA LEIFA"/>
    <m/>
    <x v="0"/>
    <x v="0"/>
    <n v="2"/>
    <n v="19"/>
    <s v="Conflits liés à GANE (BH)"/>
    <m/>
    <s v="Même arrondissement"/>
    <s v="CMR"/>
    <s v="Cameroun"/>
    <s v="CMR004"/>
    <s v="Extrême-Nord"/>
    <s v="CMR004002"/>
    <s v="Logone-Et-Chari"/>
    <s v="CMR004002009"/>
    <s v="Makary"/>
  </r>
  <r>
    <s v="Extrême-Nord"/>
    <s v="CMR004"/>
    <x v="2"/>
    <s v="CMR004002"/>
    <x v="9"/>
    <s v="CMR004002010"/>
    <s v="XXXX"/>
    <s v="SITE DE BARARA"/>
    <s v="SITE DE BARARA"/>
    <x v="0"/>
    <x v="2"/>
    <n v="100"/>
    <n v="700"/>
    <s v="Conflits liés à GANE (BH)"/>
    <m/>
    <s v="Même arrondissement"/>
    <s v="CMR"/>
    <s v="Cameroun"/>
    <s v="CMR004"/>
    <s v="Extrême-Nord"/>
    <s v="CMR004002"/>
    <s v="Logone-Et-Chari"/>
    <s v="CMR004002010"/>
    <s v="Hile-Alifa"/>
  </r>
  <r>
    <s v="Extrême-Nord"/>
    <s v="CMR004"/>
    <x v="2"/>
    <s v="CMR004002"/>
    <x v="9"/>
    <s v="CMR004002010"/>
    <s v="HIL-0017"/>
    <s v="MAFOULSO 1"/>
    <m/>
    <x v="0"/>
    <x v="2"/>
    <n v="9"/>
    <n v="98"/>
    <s v="Conflits liés à GANE (BH)"/>
    <m/>
    <s v="Même arrondissement"/>
    <s v="CMR"/>
    <s v="Cameroun"/>
    <s v="CMR004"/>
    <s v="Extrême-Nord"/>
    <s v="CMR004002"/>
    <s v="Logone-Et-Chari"/>
    <s v="CMR004002010"/>
    <s v="Hile-Alifa"/>
  </r>
  <r>
    <s v="Extrême-Nord"/>
    <s v="CMR004"/>
    <x v="2"/>
    <s v="CMR004002"/>
    <x v="9"/>
    <s v="CMR004002010"/>
    <s v="HIL-0017"/>
    <s v="MAFOULSO 1"/>
    <m/>
    <x v="0"/>
    <x v="0"/>
    <n v="10"/>
    <n v="70"/>
    <s v="Conflits liés à GANE (BH)"/>
    <m/>
    <s v="Même arrondissement"/>
    <s v="CMR"/>
    <s v="Cameroun"/>
    <s v="CMR004"/>
    <s v="Extrême-Nord"/>
    <s v="CMR004002"/>
    <s v="Logone-Et-Chari"/>
    <s v="CMR004002010"/>
    <s v="Hile-Alifa"/>
  </r>
  <r>
    <s v="Extrême-Nord"/>
    <s v="CMR004"/>
    <x v="2"/>
    <s v="CMR004002"/>
    <x v="9"/>
    <s v="CMR004002010"/>
    <s v="HIL-0017"/>
    <s v="MAFOULSO 1"/>
    <m/>
    <x v="0"/>
    <x v="4"/>
    <n v="61"/>
    <n v="366"/>
    <s v="Conflits liés à GANE (BH)"/>
    <m/>
    <s v="Même arrondissement"/>
    <s v="CMR"/>
    <s v="Cameroun"/>
    <s v="CMR004"/>
    <s v="Extrême-Nord"/>
    <s v="CMR004002"/>
    <s v="Logone-Et-Chari"/>
    <s v="CMR004002010"/>
    <s v="Hile-Alifa"/>
  </r>
  <r>
    <s v="Extrême-Nord"/>
    <s v="CMR004"/>
    <x v="2"/>
    <s v="CMR004002"/>
    <x v="9"/>
    <s v="CMR004002010"/>
    <s v="HIL-0001"/>
    <s v="MADINA"/>
    <m/>
    <x v="0"/>
    <x v="0"/>
    <n v="9"/>
    <n v="79"/>
    <s v="Conflits liés à GANE (BH)"/>
    <m/>
    <s v="Même arrondissement"/>
    <s v="CMR"/>
    <s v="Cameroun"/>
    <s v="CMR004"/>
    <s v="Extrême-Nord"/>
    <s v="CMR004002"/>
    <s v="Logone-Et-Chari"/>
    <s v="CMR004002010"/>
    <s v="Hile-Alifa"/>
  </r>
  <r>
    <s v="Extrême-Nord"/>
    <s v="CMR004"/>
    <x v="2"/>
    <s v="CMR004002"/>
    <x v="9"/>
    <s v="CMR004002010"/>
    <s v="HIL-0001"/>
    <s v="MADINA"/>
    <m/>
    <x v="0"/>
    <x v="4"/>
    <n v="5"/>
    <n v="16"/>
    <s v="Conflits liés à GANE (BH)"/>
    <m/>
    <s v="Même arrondissement"/>
    <s v="CMR"/>
    <s v="Cameroun"/>
    <s v="CMR004"/>
    <s v="Extrême-Nord"/>
    <s v="CMR004002"/>
    <s v="Logone-Et-Chari"/>
    <s v="CMR004002010"/>
    <s v="Hile-Alifa"/>
  </r>
  <r>
    <s v="Extrême-Nord"/>
    <s v="CMR004"/>
    <x v="2"/>
    <s v="CMR004002"/>
    <x v="9"/>
    <s v="CMR004002010"/>
    <s v="HIL-0001"/>
    <s v="MADINA"/>
    <m/>
    <x v="0"/>
    <x v="2"/>
    <n v="115"/>
    <n v="805"/>
    <s v="Conflits liés à GANE (BH)"/>
    <m/>
    <s v="Même arrondissement"/>
    <s v="CMR"/>
    <s v="Cameroun"/>
    <s v="CMR004"/>
    <s v="Extrême-Nord"/>
    <s v="CMR004002"/>
    <s v="Logone-Et-Chari"/>
    <s v="CMR004002010"/>
    <s v="Hile-Alifa"/>
  </r>
  <r>
    <s v="Extrême-Nord"/>
    <s v="CMR004"/>
    <x v="2"/>
    <s v="CMR004002"/>
    <x v="12"/>
    <s v="CMR004002002"/>
    <s v="GOU-0001"/>
    <s v="AMDANE"/>
    <m/>
    <x v="0"/>
    <x v="3"/>
    <n v="50"/>
    <n v="50"/>
    <s v="Conflits liés à GANE (BH)"/>
    <m/>
    <s v="Même arrondissement"/>
    <s v="CMR"/>
    <s v="Cameroun"/>
    <s v="CMR004"/>
    <s v="Extrême-Nord"/>
    <s v="CMR004002"/>
    <s v="Logone-Et-Chari"/>
    <s v="CMR004002002"/>
    <s v="Goulfey"/>
  </r>
  <r>
    <s v="Extrême-Nord"/>
    <s v="CMR004"/>
    <x v="2"/>
    <s v="CMR004002"/>
    <x v="12"/>
    <s v="CMR004002002"/>
    <s v="GOU-0010"/>
    <s v="MAHADJIRI"/>
    <m/>
    <x v="0"/>
    <x v="4"/>
    <n v="60"/>
    <n v="60"/>
    <s v="Conflits liés à GANE (BH)"/>
    <m/>
    <s v="Même arrondissement"/>
    <s v="CMR"/>
    <s v="Cameroun"/>
    <s v="CMR004"/>
    <s v="Extrême-Nord"/>
    <s v="CMR004002"/>
    <s v="Logone-Et-Chari"/>
    <s v="CMR004002002"/>
    <s v="Goulfey"/>
  </r>
  <r>
    <s v="Extrême-Nord"/>
    <s v="CMR004"/>
    <x v="2"/>
    <s v="CMR004002"/>
    <x v="12"/>
    <s v="CMR004002002"/>
    <s v="GOU-0045"/>
    <s v="HABOBA"/>
    <m/>
    <x v="0"/>
    <x v="3"/>
    <n v="55"/>
    <n v="55"/>
    <s v="Conflits liés à GANE (BH)"/>
    <m/>
    <s v="Même arrondissement"/>
    <s v="CMR"/>
    <s v="Cameroun"/>
    <s v="CMR004"/>
    <s v="Extrême-Nord"/>
    <s v="CMR004002"/>
    <s v="Logone-Et-Chari"/>
    <s v="CMR004002002"/>
    <s v="Goulfey"/>
  </r>
  <r>
    <s v="Extrême-Nord"/>
    <s v="CMR004"/>
    <x v="2"/>
    <s v="CMR004002"/>
    <x v="12"/>
    <s v="CMR004002002"/>
    <s v="GOU-0022"/>
    <s v="TILAM 1"/>
    <m/>
    <x v="0"/>
    <x v="3"/>
    <n v="40"/>
    <n v="40"/>
    <s v="Conflits liés à GANE (BH)"/>
    <m/>
    <s v="Même arrondissement"/>
    <s v="CMR"/>
    <s v="Cameroun"/>
    <s v="CMR004"/>
    <s v="Extrême-Nord"/>
    <s v="CMR004002"/>
    <s v="Logone-Et-Chari"/>
    <s v="CMR004002002"/>
    <s v="Goulfey"/>
  </r>
  <r>
    <s v="Extrême-Nord"/>
    <s v="CMR004"/>
    <x v="2"/>
    <s v="CMR004002"/>
    <x v="12"/>
    <s v="CMR004002002"/>
    <s v="GOU-0047"/>
    <s v="ANKOUMBOULA"/>
    <m/>
    <x v="0"/>
    <x v="3"/>
    <n v="10"/>
    <n v="10"/>
    <s v="Conflits liés à GANE (BH)"/>
    <m/>
    <s v="Même arrondissement"/>
    <s v="CMR"/>
    <s v="Cameroun"/>
    <s v="CMR004"/>
    <s v="Extrême-Nord"/>
    <s v="CMR004002"/>
    <s v="Logone-Et-Chari"/>
    <s v="CMR004002002"/>
    <s v="Goulfey"/>
  </r>
  <r>
    <s v="Extrême-Nord"/>
    <s v="CMR004"/>
    <x v="2"/>
    <s v="CMR004002"/>
    <x v="12"/>
    <s v="CMR004002002"/>
    <s v="GOU-0014"/>
    <s v="MAYA"/>
    <m/>
    <x v="0"/>
    <x v="3"/>
    <n v="30"/>
    <n v="30"/>
    <s v="Conflits liés à GANE (BH)"/>
    <m/>
    <s v="Même arrondissement"/>
    <s v="CMR"/>
    <s v="Cameroun"/>
    <s v="CMR004"/>
    <s v="Extrême-Nord"/>
    <s v="CMR004002"/>
    <s v="Logone-Et-Chari"/>
    <s v="CMR004002002"/>
    <s v="Goulfey"/>
  </r>
  <r>
    <s v="Extrême-Nord"/>
    <s v="CMR004"/>
    <x v="2"/>
    <s v="CMR004002"/>
    <x v="8"/>
    <s v="CMR004002009"/>
    <s v="MAK-0133"/>
    <s v="DJAKDJAKKAYA 2"/>
    <m/>
    <x v="0"/>
    <x v="0"/>
    <n v="6"/>
    <n v="63"/>
    <s v="Conflits liés à GANE (BH)"/>
    <m/>
    <s v="Même arrondissement"/>
    <s v="CMR"/>
    <s v="Cameroun"/>
    <s v="CMR004"/>
    <s v="Extrême-Nord"/>
    <s v="CMR004002"/>
    <s v="Logone-Et-Chari"/>
    <s v="CMR004002009"/>
    <s v="Makary"/>
  </r>
  <r>
    <s v="Extrême-Nord"/>
    <s v="CMR004"/>
    <x v="2"/>
    <s v="CMR004002"/>
    <x v="8"/>
    <s v="CMR004002009"/>
    <s v="MAK-0133"/>
    <s v="DJAKDJAKKAYA 2"/>
    <m/>
    <x v="0"/>
    <x v="2"/>
    <n v="4"/>
    <n v="12"/>
    <s v="Inondations saisonnières ou fortes pluies"/>
    <m/>
    <s v="Même arrondissement"/>
    <s v="CMR"/>
    <s v="Cameroun"/>
    <s v="CMR004"/>
    <s v="Extrême-Nord"/>
    <s v="CMR004002"/>
    <s v="Logone-Et-Chari"/>
    <s v="CMR004002009"/>
    <s v="Makary"/>
  </r>
  <r>
    <s v="Extrême-Nord"/>
    <s v="CMR004"/>
    <x v="2"/>
    <s v="CMR004002"/>
    <x v="8"/>
    <s v="CMR004002009"/>
    <s v="MAK-0154"/>
    <s v="GLAO AFADE"/>
    <m/>
    <x v="0"/>
    <x v="0"/>
    <n v="10"/>
    <n v="62"/>
    <s v="Conflits liés à GANE (BH)"/>
    <m/>
    <s v="Même arrondissement"/>
    <s v="CMR"/>
    <s v="Cameroun"/>
    <s v="CMR004"/>
    <s v="Extrême-Nord"/>
    <s v="CMR004002"/>
    <s v="Logone-Et-Chari"/>
    <s v="CMR004002009"/>
    <s v="Makary"/>
  </r>
  <r>
    <s v="Extrême-Nord"/>
    <s v="CMR004"/>
    <x v="2"/>
    <s v="CMR004002"/>
    <x v="8"/>
    <s v="CMR004002009"/>
    <s v="MAK-0155"/>
    <s v="GLAO BARDAI"/>
    <m/>
    <x v="0"/>
    <x v="0"/>
    <n v="4"/>
    <n v="79"/>
    <s v="Conflits liés à GANE (BH)"/>
    <m/>
    <s v="Même arrondissement"/>
    <s v="CMR"/>
    <s v="Cameroun"/>
    <s v="CMR004"/>
    <s v="Extrême-Nord"/>
    <s v="CMR004002"/>
    <s v="Logone-Et-Chari"/>
    <s v="CMR004002009"/>
    <s v="Makary"/>
  </r>
  <r>
    <s v="Extrême-Nord"/>
    <s v="CMR004"/>
    <x v="2"/>
    <s v="CMR004002"/>
    <x v="8"/>
    <s v="CMR004002009"/>
    <s v="MAK-0130"/>
    <s v="DIAM 1"/>
    <m/>
    <x v="0"/>
    <x v="0"/>
    <n v="27"/>
    <n v="153"/>
    <s v="Conflits liés à GANE (BH)"/>
    <m/>
    <s v="Même département, autre arrondissement"/>
    <s v="CMR"/>
    <s v="Cameroun"/>
    <s v="CMR004"/>
    <s v="Extrême-Nord"/>
    <s v="CMR004002"/>
    <s v="Logone-Et-Chari"/>
    <s v="CMR004002008"/>
    <s v="Fotokol"/>
  </r>
  <r>
    <s v="Extrême-Nord"/>
    <s v="CMR004"/>
    <x v="2"/>
    <s v="CMR004002"/>
    <x v="8"/>
    <s v="CMR004002009"/>
    <s v="MAK-0130"/>
    <s v="DIAM 1"/>
    <m/>
    <x v="0"/>
    <x v="1"/>
    <n v="0"/>
    <n v="14"/>
    <s v="Conflits liés à GANE (BH)"/>
    <m/>
    <s v="Même département, autre arrondissement"/>
    <s v="CMR"/>
    <s v="Cameroun"/>
    <s v="CMR004"/>
    <s v="Extrême-Nord"/>
    <s v="CMR004002"/>
    <s v="Logone-Et-Chari"/>
    <s v="CMR004002008"/>
    <s v="Fotokol"/>
  </r>
  <r>
    <s v="Extrême-Nord"/>
    <s v="CMR004"/>
    <x v="2"/>
    <s v="CMR004002"/>
    <x v="8"/>
    <s v="CMR004002009"/>
    <s v="MAK-0130"/>
    <s v="DIAM 1"/>
    <m/>
    <x v="0"/>
    <x v="2"/>
    <n v="0"/>
    <n v="6"/>
    <s v="Conflit intercommunautaire"/>
    <m/>
    <s v="Même département, autre arrondissement"/>
    <s v="CMR"/>
    <s v="Cameroun"/>
    <s v="CMR004"/>
    <s v="Extrême-Nord"/>
    <s v="CMR004002"/>
    <s v="Logone-Et-Chari"/>
    <s v="CMR004002004"/>
    <s v="Logone-Birni"/>
  </r>
  <r>
    <s v="Extrême-Nord"/>
    <s v="CMR004"/>
    <x v="2"/>
    <s v="CMR004002"/>
    <x v="8"/>
    <s v="CMR004002009"/>
    <s v="MAK-0130"/>
    <s v="DIAM 1"/>
    <m/>
    <x v="0"/>
    <x v="3"/>
    <n v="0"/>
    <n v="7"/>
    <s v="Conflits liés à GANE (BH)"/>
    <m/>
    <s v="Même département, autre arrondissement"/>
    <s v="CMR"/>
    <s v="Cameroun"/>
    <s v="CMR004"/>
    <s v="Extrême-Nord"/>
    <s v="CMR004002"/>
    <s v="Logone-Et-Chari"/>
    <s v="CMR004002008"/>
    <s v="Fotokol"/>
  </r>
  <r>
    <s v="Extrême-Nord"/>
    <s v="CMR004"/>
    <x v="4"/>
    <s v="CMR004005"/>
    <x v="29"/>
    <s v="CMR004005003"/>
    <s v="TOK-0001"/>
    <s v="LALAWAI"/>
    <m/>
    <x v="0"/>
    <x v="0"/>
    <n v="10"/>
    <n v="74"/>
    <s v="Conflits liés à GANE (BH)"/>
    <m/>
    <s v="Même arrondissement"/>
    <s v="CMR"/>
    <s v="Cameroun"/>
    <s v="CMR004"/>
    <s v="Extrême-Nord"/>
    <s v="CMR004005"/>
    <s v="Mayo-Sava"/>
    <s v="CMR004005003"/>
    <s v="Tokombéré"/>
  </r>
  <r>
    <s v="Extrême-Nord"/>
    <s v="CMR004"/>
    <x v="4"/>
    <s v="CMR004005"/>
    <x v="29"/>
    <s v="CMR004005003"/>
    <s v="TOK-0001"/>
    <s v="LALAWAI"/>
    <m/>
    <x v="0"/>
    <x v="1"/>
    <n v="0"/>
    <n v="21"/>
    <s v="Conflits liés à GANE (BH)"/>
    <m/>
    <s v="Même arrondissement"/>
    <s v="CMR"/>
    <s v="Cameroun"/>
    <s v="CMR004"/>
    <s v="Extrême-Nord"/>
    <s v="CMR004005"/>
    <s v="Mayo-Sava"/>
    <s v="CMR004005003"/>
    <s v="Tokombéré"/>
  </r>
  <r>
    <s v="Extrême-Nord"/>
    <s v="CMR004"/>
    <x v="4"/>
    <s v="CMR004005"/>
    <x v="29"/>
    <s v="CMR004005003"/>
    <s v="TOK-0001"/>
    <s v="LALAWAI"/>
    <m/>
    <x v="0"/>
    <x v="4"/>
    <n v="0"/>
    <n v="26"/>
    <s v="Conflits liés à GANE (BH)"/>
    <m/>
    <s v="Même arrondissement"/>
    <s v="CMR"/>
    <s v="Cameroun"/>
    <s v="CMR004"/>
    <s v="Extrême-Nord"/>
    <s v="CMR004005"/>
    <s v="Mayo-Sava"/>
    <s v="CMR004005003"/>
    <s v="Tokombéré"/>
  </r>
  <r>
    <s v="Extrême-Nord"/>
    <s v="CMR004"/>
    <x v="4"/>
    <s v="CMR004005"/>
    <x v="29"/>
    <s v="CMR004005003"/>
    <s v="TOK-0001"/>
    <s v="LALAWAI"/>
    <m/>
    <x v="0"/>
    <x v="3"/>
    <n v="0"/>
    <n v="15"/>
    <s v="Conflits liés à GANE (BH)"/>
    <m/>
    <s v="Même arrondissement"/>
    <s v="CMR"/>
    <s v="Cameroun"/>
    <s v="CMR004"/>
    <s v="Extrême-Nord"/>
    <s v="CMR004005"/>
    <s v="Mayo-Sava"/>
    <s v="CMR004005003"/>
    <s v="Tokombéré"/>
  </r>
  <r>
    <s v="Extrême-Nord"/>
    <s v="CMR004"/>
    <x v="4"/>
    <s v="CMR004005"/>
    <x v="29"/>
    <s v="CMR004005003"/>
    <s v="TOK-0001"/>
    <s v="LALAWAI"/>
    <m/>
    <x v="0"/>
    <x v="2"/>
    <n v="0"/>
    <n v="8"/>
    <s v="Conflits liés à GANE (BH)"/>
    <m/>
    <s v="Même arrondissement"/>
    <s v="CMR"/>
    <s v="Cameroun"/>
    <s v="CMR004"/>
    <s v="Extrême-Nord"/>
    <s v="CMR004005"/>
    <s v="Mayo-Sava"/>
    <s v="CMR004005003"/>
    <s v="Tokombéré"/>
  </r>
  <r>
    <s v="Extrême-Nord"/>
    <s v="CMR004"/>
    <x v="2"/>
    <s v="CMR004002"/>
    <x v="8"/>
    <s v="CMR004002009"/>
    <s v="MAK-0190"/>
    <s v="GOURA 3"/>
    <m/>
    <x v="0"/>
    <x v="0"/>
    <n v="21"/>
    <n v="119"/>
    <s v="Conflits liés à GANE (BH)"/>
    <m/>
    <s v="Même arrondissement"/>
    <s v="CMR"/>
    <s v="Cameroun"/>
    <s v="CMR004"/>
    <s v="Extrême-Nord"/>
    <s v="CMR004002"/>
    <s v="Logone-Et-Chari"/>
    <s v="CMR004002009"/>
    <s v="Makary"/>
  </r>
  <r>
    <s v="Extrême-Nord"/>
    <s v="CMR004"/>
    <x v="2"/>
    <s v="CMR004002"/>
    <x v="8"/>
    <s v="CMR004002009"/>
    <s v="MAK-0204"/>
    <s v="GOURA ABOUNOUMRE"/>
    <m/>
    <x v="0"/>
    <x v="0"/>
    <n v="2"/>
    <n v="10"/>
    <s v="Conflits liés à GANE (BH)"/>
    <m/>
    <s v="Même arrondissement"/>
    <s v="CMR"/>
    <s v="Cameroun"/>
    <s v="CMR004"/>
    <s v="Extrême-Nord"/>
    <s v="CMR004002"/>
    <s v="Logone-Et-Chari"/>
    <s v="CMR004002009"/>
    <s v="Makary"/>
  </r>
  <r>
    <s v="Extrême-Nord"/>
    <s v="CMR004"/>
    <x v="1"/>
    <s v="CMR004006"/>
    <x v="16"/>
    <s v="CMR004006004"/>
    <s v="KOZ-0023"/>
    <s v="PAMBAO"/>
    <m/>
    <x v="0"/>
    <x v="0"/>
    <n v="181"/>
    <n v="1275"/>
    <s v="Conflits liés à GANE (BH)"/>
    <m/>
    <s v="Même arrondissement"/>
    <s v="CMR"/>
    <s v="Cameroun"/>
    <s v="CMR004"/>
    <s v="Extrême-Nord"/>
    <s v="CMR004006"/>
    <s v="Mayo-Tsanaga"/>
    <s v="CMR004006004"/>
    <s v="Koza"/>
  </r>
  <r>
    <s v="Extrême-Nord"/>
    <s v="CMR004"/>
    <x v="1"/>
    <s v="CMR004006"/>
    <x v="16"/>
    <s v="CMR004006004"/>
    <s v="KOZ-0023"/>
    <s v="PAMBAO"/>
    <m/>
    <x v="0"/>
    <x v="1"/>
    <n v="7"/>
    <n v="50"/>
    <s v="Conflits liés à GANE (BH)"/>
    <m/>
    <s v="Même arrondissement"/>
    <s v="CMR"/>
    <s v="Cameroun"/>
    <s v="CMR004"/>
    <s v="Extrême-Nord"/>
    <s v="CMR004006"/>
    <s v="Mayo-Tsanaga"/>
    <s v="CMR004006004"/>
    <s v="Koza"/>
  </r>
  <r>
    <s v="Extrême-Nord"/>
    <s v="CMR004"/>
    <x v="1"/>
    <s v="CMR004006"/>
    <x v="16"/>
    <s v="CMR004006004"/>
    <s v="KOZ-0023"/>
    <s v="PAMBAO"/>
    <m/>
    <x v="0"/>
    <x v="4"/>
    <n v="7"/>
    <n v="34"/>
    <s v="Conflits liés à GANE (BH)"/>
    <m/>
    <s v="Même arrondissement"/>
    <s v="CMR"/>
    <s v="Cameroun"/>
    <s v="CMR004"/>
    <s v="Extrême-Nord"/>
    <s v="CMR004006"/>
    <s v="Mayo-Tsanaga"/>
    <s v="CMR004006004"/>
    <s v="Koza"/>
  </r>
  <r>
    <s v="Extrême-Nord"/>
    <s v="CMR004"/>
    <x v="1"/>
    <s v="CMR004006"/>
    <x v="16"/>
    <s v="CMR004006004"/>
    <s v="KOZ-0023"/>
    <s v="PAMBAO"/>
    <m/>
    <x v="0"/>
    <x v="3"/>
    <n v="3"/>
    <n v="11"/>
    <s v="Conflits liés à GANE (BH)"/>
    <m/>
    <s v="Même arrondissement"/>
    <s v="CMR"/>
    <s v="Cameroun"/>
    <s v="CMR004"/>
    <s v="Extrême-Nord"/>
    <s v="CMR004006"/>
    <s v="Mayo-Tsanaga"/>
    <s v="CMR004006004"/>
    <s v="Koza"/>
  </r>
  <r>
    <s v="Extrême-Nord"/>
    <s v="CMR004"/>
    <x v="1"/>
    <s v="CMR004006"/>
    <x v="16"/>
    <s v="CMR004006004"/>
    <s v="KOZ-0023"/>
    <s v="PAMBAO"/>
    <m/>
    <x v="0"/>
    <x v="2"/>
    <n v="4"/>
    <n v="15"/>
    <s v="Conflits liés à GANE (BH)"/>
    <m/>
    <s v="Même arrondissement"/>
    <s v="CMR"/>
    <s v="Cameroun"/>
    <s v="CMR004"/>
    <s v="Extrême-Nord"/>
    <s v="CMR004006"/>
    <s v="Mayo-Tsanaga"/>
    <s v="CMR004006004"/>
    <s v="Koza"/>
  </r>
  <r>
    <s v="Extrême-Nord"/>
    <s v="CMR004"/>
    <x v="1"/>
    <s v="CMR004006"/>
    <x v="16"/>
    <s v="CMR004006004"/>
    <s v="KOZ-0025"/>
    <s v="WALADE"/>
    <m/>
    <x v="0"/>
    <x v="0"/>
    <n v="100"/>
    <n v="640"/>
    <s v="Conflits liés à GANE (BH)"/>
    <m/>
    <s v="Même arrondissement"/>
    <s v="CMR"/>
    <s v="Cameroun"/>
    <s v="CMR004"/>
    <s v="Extrême-Nord"/>
    <s v="CMR004006"/>
    <s v="Mayo-Tsanaga"/>
    <s v="CMR004006004"/>
    <s v="Koza"/>
  </r>
  <r>
    <s v="Extrême-Nord"/>
    <s v="CMR004"/>
    <x v="1"/>
    <s v="CMR004006"/>
    <x v="16"/>
    <s v="CMR004006004"/>
    <s v="KOZ-0025"/>
    <s v="WALADE"/>
    <m/>
    <x v="0"/>
    <x v="1"/>
    <n v="7"/>
    <n v="111"/>
    <s v="Conflits liés à GANE (BH)"/>
    <m/>
    <s v="Même arrondissement"/>
    <s v="CMR"/>
    <s v="Cameroun"/>
    <s v="CMR004"/>
    <s v="Extrême-Nord"/>
    <s v="CMR004006"/>
    <s v="Mayo-Tsanaga"/>
    <s v="CMR004006004"/>
    <s v="Koza"/>
  </r>
  <r>
    <s v="Extrême-Nord"/>
    <s v="CMR004"/>
    <x v="1"/>
    <s v="CMR004006"/>
    <x v="16"/>
    <s v="CMR004006004"/>
    <s v="KOZ-0025"/>
    <s v="WALADE"/>
    <m/>
    <x v="0"/>
    <x v="4"/>
    <n v="2"/>
    <n v="27"/>
    <s v="Conflits liés à GANE (BH)"/>
    <m/>
    <s v="Même arrondissement"/>
    <s v="CMR"/>
    <s v="Cameroun"/>
    <s v="CMR004"/>
    <s v="Extrême-Nord"/>
    <s v="CMR004006"/>
    <s v="Mayo-Tsanaga"/>
    <s v="CMR004006004"/>
    <s v="Koza"/>
  </r>
  <r>
    <s v="Extrême-Nord"/>
    <s v="CMR004"/>
    <x v="1"/>
    <s v="CMR004006"/>
    <x v="16"/>
    <s v="CMR004006004"/>
    <s v="KOZ-0025"/>
    <s v="WALADE"/>
    <m/>
    <x v="0"/>
    <x v="3"/>
    <n v="3"/>
    <n v="13"/>
    <s v="Conflits liés à GANE (BH)"/>
    <m/>
    <s v="Même arrondissement"/>
    <s v="CMR"/>
    <s v="Cameroun"/>
    <s v="CMR004"/>
    <s v="Extrême-Nord"/>
    <s v="CMR004006"/>
    <s v="Mayo-Tsanaga"/>
    <s v="CMR004006004"/>
    <s v="Koza"/>
  </r>
  <r>
    <s v="Extrême-Nord"/>
    <s v="CMR004"/>
    <x v="1"/>
    <s v="CMR004006"/>
    <x v="16"/>
    <s v="CMR004006004"/>
    <s v="KOZ-0025"/>
    <s v="WALADE"/>
    <m/>
    <x v="0"/>
    <x v="2"/>
    <n v="3"/>
    <n v="11"/>
    <s v="Conflits liés à GANE (BH)"/>
    <m/>
    <s v="Même arrondissement"/>
    <s v="CMR"/>
    <s v="Cameroun"/>
    <s v="CMR004"/>
    <s v="Extrême-Nord"/>
    <s v="CMR004006"/>
    <s v="Mayo-Tsanaga"/>
    <s v="CMR004006004"/>
    <s v="Koza"/>
  </r>
  <r>
    <s v="Extrême-Nord"/>
    <s v="CMR004"/>
    <x v="1"/>
    <s v="CMR004006"/>
    <x v="16"/>
    <s v="CMR004006004"/>
    <s v="KOZ-0033"/>
    <s v="GABOUA MARCHE"/>
    <m/>
    <x v="0"/>
    <x v="0"/>
    <n v="44"/>
    <n v="204"/>
    <s v="Conflits liés à GANE (BH)"/>
    <m/>
    <s v="Même département, autre arrondissement"/>
    <s v="CMR"/>
    <s v="Cameroun"/>
    <s v="CMR004"/>
    <s v="Extrême-Nord"/>
    <s v="CMR004006"/>
    <s v="Mayo-Tsanaga"/>
    <s v="CMR004006005"/>
    <s v="Mayo-Moskota"/>
  </r>
  <r>
    <s v="Extrême-Nord"/>
    <s v="CMR004"/>
    <x v="1"/>
    <s v="CMR004006"/>
    <x v="16"/>
    <s v="CMR004006004"/>
    <s v="KOZ-0033"/>
    <s v="GABOUA MARCHE"/>
    <m/>
    <x v="0"/>
    <x v="4"/>
    <n v="7"/>
    <n v="28"/>
    <s v="Conflits liés à GANE (BH)"/>
    <m/>
    <s v="Même département, autre arrondissement"/>
    <s v="CMR"/>
    <s v="Cameroun"/>
    <s v="CMR004"/>
    <s v="Extrême-Nord"/>
    <s v="CMR004006"/>
    <s v="Mayo-Tsanaga"/>
    <s v="CMR004006005"/>
    <s v="Mayo-Moskota"/>
  </r>
  <r>
    <s v="Extrême-Nord"/>
    <s v="CMR004"/>
    <x v="1"/>
    <s v="CMR004006"/>
    <x v="16"/>
    <s v="CMR004006004"/>
    <s v="KOZ-0033"/>
    <s v="GABOUA MARCHE"/>
    <m/>
    <x v="0"/>
    <x v="1"/>
    <n v="35"/>
    <n v="150"/>
    <s v="Conflits liés à GANE (BH)"/>
    <m/>
    <s v="Même département, autre arrondissement"/>
    <s v="CMR"/>
    <s v="Cameroun"/>
    <s v="CMR004"/>
    <s v="Extrême-Nord"/>
    <s v="CMR004006"/>
    <s v="Mayo-Tsanaga"/>
    <s v="CMR004006005"/>
    <s v="Mayo-Moskota"/>
  </r>
  <r>
    <s v="Extrême-Nord"/>
    <s v="CMR004"/>
    <x v="1"/>
    <s v="CMR004006"/>
    <x v="16"/>
    <s v="CMR004006004"/>
    <s v="KOZ-0033"/>
    <s v="GABOUA MARCHE"/>
    <m/>
    <x v="0"/>
    <x v="3"/>
    <n v="2"/>
    <n v="11"/>
    <s v="Conflits liés à GANE (BH)"/>
    <m/>
    <s v="Même département, autre arrondissement"/>
    <s v="CMR"/>
    <s v="Cameroun"/>
    <s v="CMR004"/>
    <s v="Extrême-Nord"/>
    <s v="CMR004006"/>
    <s v="Mayo-Tsanaga"/>
    <s v="CMR004006005"/>
    <s v="Mayo-Moskota"/>
  </r>
  <r>
    <s v="Extrême-Nord"/>
    <s v="CMR004"/>
    <x v="1"/>
    <s v="CMR004006"/>
    <x v="16"/>
    <s v="CMR004006004"/>
    <s v="KOZ-0033"/>
    <s v="GABOUA MARCHE"/>
    <m/>
    <x v="0"/>
    <x v="2"/>
    <n v="7"/>
    <n v="50"/>
    <s v="Conflits liés à GANE (BH)"/>
    <m/>
    <s v="Même département, autre arrondissement"/>
    <s v="CMR"/>
    <s v="Cameroun"/>
    <s v="CMR004"/>
    <s v="Extrême-Nord"/>
    <s v="CMR004006"/>
    <s v="Mayo-Tsanaga"/>
    <s v="CMR004006005"/>
    <s v="Mayo-Moskota"/>
  </r>
  <r>
    <s v="Extrême-Nord"/>
    <s v="CMR004"/>
    <x v="1"/>
    <s v="CMR004006"/>
    <x v="16"/>
    <s v="CMR004006004"/>
    <s v="KOZ-0006"/>
    <s v="GABAS"/>
    <m/>
    <x v="0"/>
    <x v="0"/>
    <n v="22"/>
    <n v="160"/>
    <s v="Conflits liés à GANE (BH)"/>
    <m/>
    <s v="Même arrondissement"/>
    <s v="CMR"/>
    <s v="Cameroun"/>
    <s v="CMR004"/>
    <s v="Extrême-Nord"/>
    <s v="CMR004006"/>
    <s v="Mayo-Tsanaga"/>
    <s v="CMR004006004"/>
    <s v="Koza"/>
  </r>
  <r>
    <s v="Extrême-Nord"/>
    <s v="CMR004"/>
    <x v="1"/>
    <s v="CMR004006"/>
    <x v="16"/>
    <s v="CMR004006004"/>
    <s v="KOZ-0006"/>
    <s v="GABAS"/>
    <m/>
    <x v="0"/>
    <x v="1"/>
    <n v="13"/>
    <n v="100"/>
    <s v="Conflits liés à GANE (BH)"/>
    <m/>
    <s v="Même arrondissement"/>
    <s v="CMR"/>
    <s v="Cameroun"/>
    <s v="CMR004"/>
    <s v="Extrême-Nord"/>
    <s v="CMR004006"/>
    <s v="Mayo-Tsanaga"/>
    <s v="CMR004006004"/>
    <s v="Koza"/>
  </r>
  <r>
    <s v="Extrême-Nord"/>
    <s v="CMR004"/>
    <x v="1"/>
    <s v="CMR004006"/>
    <x v="16"/>
    <s v="CMR004006004"/>
    <s v="KOZ-0006"/>
    <s v="GABAS"/>
    <m/>
    <x v="0"/>
    <x v="4"/>
    <n v="13"/>
    <n v="110"/>
    <s v="Conflits liés à GANE (BH)"/>
    <m/>
    <s v="Même arrondissement"/>
    <s v="CMR"/>
    <s v="Cameroun"/>
    <s v="CMR004"/>
    <s v="Extrême-Nord"/>
    <s v="CMR004006"/>
    <s v="Mayo-Tsanaga"/>
    <s v="CMR004006004"/>
    <s v="Koza"/>
  </r>
  <r>
    <s v="Extrême-Nord"/>
    <s v="CMR004"/>
    <x v="1"/>
    <s v="CMR004006"/>
    <x v="16"/>
    <s v="CMR004006004"/>
    <s v="KOZ-0006"/>
    <s v="GABAS"/>
    <m/>
    <x v="0"/>
    <x v="3"/>
    <n v="16"/>
    <n v="113"/>
    <s v="Conflits liés à GANE (BH)"/>
    <m/>
    <s v="Même arrondissement"/>
    <s v="CMR"/>
    <s v="Cameroun"/>
    <s v="CMR004"/>
    <s v="Extrême-Nord"/>
    <s v="CMR004006"/>
    <s v="Mayo-Tsanaga"/>
    <s v="CMR004006004"/>
    <s v="Koza"/>
  </r>
  <r>
    <s v="Extrême-Nord"/>
    <s v="CMR004"/>
    <x v="1"/>
    <s v="CMR004006"/>
    <x v="16"/>
    <s v="CMR004006004"/>
    <s v="KOZ-0006"/>
    <s v="GABAS"/>
    <m/>
    <x v="0"/>
    <x v="2"/>
    <n v="28"/>
    <n v="162"/>
    <s v="Conflits liés à GANE (BH)"/>
    <m/>
    <s v="Même arrondissement"/>
    <s v="CMR"/>
    <s v="Cameroun"/>
    <s v="CMR004"/>
    <s v="Extrême-Nord"/>
    <s v="CMR004006"/>
    <s v="Mayo-Tsanaga"/>
    <s v="CMR004006004"/>
    <s v="Koza"/>
  </r>
  <r>
    <s v="Extrême-Nord"/>
    <s v="CMR004"/>
    <x v="1"/>
    <s v="CMR004006"/>
    <x v="16"/>
    <s v="CMR004006004"/>
    <s v="KOZ-0022"/>
    <s v="MORGO"/>
    <m/>
    <x v="0"/>
    <x v="0"/>
    <n v="230"/>
    <n v="1484"/>
    <s v="Conflits liés à GANE (BH)"/>
    <m/>
    <s v="Même département, autre arrondissement"/>
    <s v="CMR"/>
    <s v="Cameroun"/>
    <s v="CMR004"/>
    <s v="Extrême-Nord"/>
    <s v="CMR004006"/>
    <s v="Mayo-Tsanaga"/>
    <s v="CMR004006005"/>
    <s v="Mayo-Moskota"/>
  </r>
  <r>
    <s v="Extrême-Nord"/>
    <s v="CMR004"/>
    <x v="1"/>
    <s v="CMR004006"/>
    <x v="16"/>
    <s v="CMR004006004"/>
    <s v="KOZ-0022"/>
    <s v="MORGO"/>
    <m/>
    <x v="0"/>
    <x v="1"/>
    <n v="15"/>
    <n v="128"/>
    <s v="Conflits liés à GANE (BH)"/>
    <m/>
    <s v="Même département, autre arrondissement"/>
    <s v="CMR"/>
    <s v="Cameroun"/>
    <s v="CMR004"/>
    <s v="Extrême-Nord"/>
    <s v="CMR004006"/>
    <s v="Mayo-Tsanaga"/>
    <s v="CMR004006005"/>
    <s v="Mayo-Moskota"/>
  </r>
  <r>
    <s v="Extrême-Nord"/>
    <s v="CMR004"/>
    <x v="1"/>
    <s v="CMR004006"/>
    <x v="16"/>
    <s v="CMR004006004"/>
    <s v="KOZ-0022"/>
    <s v="MORGO"/>
    <m/>
    <x v="0"/>
    <x v="4"/>
    <n v="13"/>
    <n v="49"/>
    <s v="Conflits liés à GANE (BH)"/>
    <m/>
    <s v="Même département, autre arrondissement"/>
    <s v="CMR"/>
    <s v="Cameroun"/>
    <s v="CMR004"/>
    <s v="Extrême-Nord"/>
    <s v="CMR004006"/>
    <s v="Mayo-Tsanaga"/>
    <s v="CMR004006005"/>
    <s v="Mayo-Moskota"/>
  </r>
  <r>
    <s v="Extrême-Nord"/>
    <s v="CMR004"/>
    <x v="1"/>
    <s v="CMR004006"/>
    <x v="16"/>
    <s v="CMR004006004"/>
    <s v="KOZ-0022"/>
    <s v="MORGO"/>
    <m/>
    <x v="0"/>
    <x v="3"/>
    <n v="27"/>
    <n v="90"/>
    <s v="Conflits liés à GANE (BH)"/>
    <m/>
    <s v="Même département, autre arrondissement"/>
    <s v="CMR"/>
    <s v="Cameroun"/>
    <s v="CMR004"/>
    <s v="Extrême-Nord"/>
    <s v="CMR004006"/>
    <s v="Mayo-Tsanaga"/>
    <s v="CMR004006005"/>
    <s v="Mayo-Moskota"/>
  </r>
  <r>
    <s v="Extrême-Nord"/>
    <s v="CMR004"/>
    <x v="1"/>
    <s v="CMR004006"/>
    <x v="16"/>
    <s v="CMR004006004"/>
    <s v="KOZ-0022"/>
    <s v="MORGO"/>
    <m/>
    <x v="0"/>
    <x v="2"/>
    <n v="4"/>
    <n v="15"/>
    <s v="Conflits liés à GANE (BH)"/>
    <m/>
    <s v="Même département, autre arrondissement"/>
    <s v="CMR"/>
    <s v="Cameroun"/>
    <s v="CMR004"/>
    <s v="Extrême-Nord"/>
    <s v="CMR004006"/>
    <s v="Mayo-Tsanaga"/>
    <s v="CMR004006005"/>
    <s v="Mayo-Moskota"/>
  </r>
  <r>
    <s v="Extrême-Nord"/>
    <s v="CMR004"/>
    <x v="1"/>
    <s v="CMR004006"/>
    <x v="16"/>
    <s v="CMR004006004"/>
    <s v="KOZ-0024"/>
    <s v="TENDEO"/>
    <m/>
    <x v="0"/>
    <x v="0"/>
    <n v="97"/>
    <n v="440"/>
    <s v="Conflits liés à GANE (BH)"/>
    <m/>
    <s v="Même département, autre arrondissement"/>
    <s v="CMR"/>
    <s v="Cameroun"/>
    <s v="CMR004"/>
    <s v="Extrême-Nord"/>
    <s v="CMR004006"/>
    <s v="Mayo-Tsanaga"/>
    <s v="CMR004006005"/>
    <s v="Mayo-Moskota"/>
  </r>
  <r>
    <s v="Extrême-Nord"/>
    <s v="CMR004"/>
    <x v="1"/>
    <s v="CMR004006"/>
    <x v="16"/>
    <s v="CMR004006004"/>
    <s v="KOZ-0024"/>
    <s v="TENDEO"/>
    <m/>
    <x v="0"/>
    <x v="1"/>
    <n v="10"/>
    <n v="50"/>
    <s v="Conflits liés à GANE (BH)"/>
    <m/>
    <s v="Même département, autre arrondissement"/>
    <s v="CMR"/>
    <s v="Cameroun"/>
    <s v="CMR004"/>
    <s v="Extrême-Nord"/>
    <s v="CMR004006"/>
    <s v="Mayo-Tsanaga"/>
    <s v="CMR004006005"/>
    <s v="Mayo-Moskota"/>
  </r>
  <r>
    <s v="Extrême-Nord"/>
    <s v="CMR004"/>
    <x v="1"/>
    <s v="CMR004006"/>
    <x v="16"/>
    <s v="CMR004006004"/>
    <s v="KOZ-0024"/>
    <s v="TENDEO"/>
    <m/>
    <x v="0"/>
    <x v="4"/>
    <n v="10"/>
    <n v="43"/>
    <s v="Conflits liés à GANE (BH)"/>
    <m/>
    <s v="Même département, autre arrondissement"/>
    <s v="CMR"/>
    <s v="Cameroun"/>
    <s v="CMR004"/>
    <s v="Extrême-Nord"/>
    <s v="CMR004006"/>
    <s v="Mayo-Tsanaga"/>
    <s v="CMR004006005"/>
    <s v="Mayo-Moskota"/>
  </r>
  <r>
    <s v="Extrême-Nord"/>
    <s v="CMR004"/>
    <x v="1"/>
    <s v="CMR004006"/>
    <x v="16"/>
    <s v="CMR004006004"/>
    <s v="KOZ-0024"/>
    <s v="TENDEO"/>
    <m/>
    <x v="0"/>
    <x v="3"/>
    <n v="15"/>
    <n v="50"/>
    <s v="Conflits liés à GANE (BH)"/>
    <m/>
    <s v="Même département, autre arrondissement"/>
    <s v="CMR"/>
    <s v="Cameroun"/>
    <s v="CMR004"/>
    <s v="Extrême-Nord"/>
    <s v="CMR004006"/>
    <s v="Mayo-Tsanaga"/>
    <s v="CMR004006005"/>
    <s v="Mayo-Moskota"/>
  </r>
  <r>
    <s v="Extrême-Nord"/>
    <s v="CMR004"/>
    <x v="1"/>
    <s v="CMR004006"/>
    <x v="16"/>
    <s v="CMR004006004"/>
    <s v="KOZ-0007"/>
    <s v="GABOUA"/>
    <m/>
    <x v="0"/>
    <x v="0"/>
    <n v="121"/>
    <n v="888"/>
    <s v="Conflits liés à GANE (BH)"/>
    <m/>
    <s v="Même département, autre arrondissement"/>
    <s v="CMR"/>
    <s v="Cameroun"/>
    <s v="CMR004"/>
    <s v="Extrême-Nord"/>
    <s v="CMR004006"/>
    <s v="Mayo-Tsanaga"/>
    <s v="CMR004006005"/>
    <s v="Mayo-Moskota"/>
  </r>
  <r>
    <s v="Extrême-Nord"/>
    <s v="CMR004"/>
    <x v="1"/>
    <s v="CMR004006"/>
    <x v="16"/>
    <s v="CMR004006004"/>
    <s v="KOZ-0007"/>
    <s v="GABOUA"/>
    <m/>
    <x v="0"/>
    <x v="1"/>
    <n v="27"/>
    <n v="50"/>
    <s v="Conflits liés à GANE (BH)"/>
    <m/>
    <s v="Même département, autre arrondissement"/>
    <s v="CMR"/>
    <s v="Cameroun"/>
    <s v="CMR004"/>
    <s v="Extrême-Nord"/>
    <s v="CMR004006"/>
    <s v="Mayo-Tsanaga"/>
    <s v="CMR004006005"/>
    <s v="Mayo-Moskota"/>
  </r>
  <r>
    <s v="Extrême-Nord"/>
    <s v="CMR004"/>
    <x v="1"/>
    <s v="CMR004006"/>
    <x v="16"/>
    <s v="CMR004006004"/>
    <s v="KOZ-0007"/>
    <s v="GABOUA"/>
    <m/>
    <x v="0"/>
    <x v="4"/>
    <n v="100"/>
    <n v="540"/>
    <s v="Conflits liés à GANE (BH)"/>
    <m/>
    <s v="Même département, autre arrondissement"/>
    <s v="CMR"/>
    <s v="Cameroun"/>
    <s v="CMR004"/>
    <s v="Extrême-Nord"/>
    <s v="CMR004006"/>
    <s v="Mayo-Tsanaga"/>
    <s v="CMR004006005"/>
    <s v="Mayo-Moskota"/>
  </r>
  <r>
    <s v="Extrême-Nord"/>
    <s v="CMR004"/>
    <x v="1"/>
    <s v="CMR004006"/>
    <x v="16"/>
    <s v="CMR004006004"/>
    <s v="KOZ-0007"/>
    <s v="GABOUA"/>
    <m/>
    <x v="0"/>
    <x v="3"/>
    <n v="21"/>
    <n v="55"/>
    <s v="Conflits liés à GANE (BH)"/>
    <m/>
    <s v="Même département, autre arrondissement"/>
    <s v="CMR"/>
    <s v="Cameroun"/>
    <s v="CMR004"/>
    <s v="Extrême-Nord"/>
    <s v="CMR004006"/>
    <s v="Mayo-Tsanaga"/>
    <s v="CMR004006005"/>
    <s v="Mayo-Moskota"/>
  </r>
  <r>
    <s v="Extrême-Nord"/>
    <s v="CMR004"/>
    <x v="1"/>
    <s v="CMR004006"/>
    <x v="16"/>
    <s v="CMR004006004"/>
    <s v="KOZ-0007"/>
    <s v="GABOUA"/>
    <m/>
    <x v="0"/>
    <x v="2"/>
    <n v="3"/>
    <n v="14"/>
    <s v="Conflits liés à GANE (BH)"/>
    <m/>
    <s v="Même département, autre arrondissement"/>
    <s v="CMR"/>
    <s v="Cameroun"/>
    <s v="CMR004"/>
    <s v="Extrême-Nord"/>
    <s v="CMR004006"/>
    <s v="Mayo-Tsanaga"/>
    <s v="CMR004006005"/>
    <s v="Mayo-Moskota"/>
  </r>
  <r>
    <s v="Extrême-Nord"/>
    <s v="CMR004"/>
    <x v="0"/>
    <s v="CMR004001"/>
    <x v="6"/>
    <s v="CMR004001001"/>
    <s v="MA3-0002"/>
    <s v="DOURSOUNGO"/>
    <m/>
    <x v="0"/>
    <x v="0"/>
    <n v="109"/>
    <n v="570"/>
    <s v="Conflits liés à GANE (BH)"/>
    <m/>
    <s v="Autre département"/>
    <s v="CMR"/>
    <s v="Cameroun"/>
    <s v="CMR004"/>
    <s v="Extrême-Nord"/>
    <s v="CMR004005"/>
    <s v="Mayo-Sava"/>
    <m/>
    <m/>
  </r>
  <r>
    <s v="Extrême-Nord"/>
    <s v="CMR004"/>
    <x v="0"/>
    <s v="CMR004001"/>
    <x v="6"/>
    <s v="CMR004001001"/>
    <s v="MA3-0002"/>
    <s v="DOURSOUNGO"/>
    <m/>
    <x v="0"/>
    <x v="2"/>
    <n v="2"/>
    <n v="10"/>
    <s v="Autre raison"/>
    <s v="Bien qu'étant deplaces,jls ont rejoint les autres membres de la famille qui se trouvait à doursoungo "/>
    <s v="Même département, autre arrondissement"/>
    <s v="CMR"/>
    <s v="Cameroun"/>
    <s v="CMR004"/>
    <s v="Extrême-Nord"/>
    <s v="CMR004001"/>
    <s v="Diamaré"/>
    <s v="CMR004001002"/>
    <s v="Maroua II"/>
  </r>
  <r>
    <s v="Extrême-Nord"/>
    <s v="CMR004"/>
    <x v="0"/>
    <s v="CMR004001"/>
    <x v="30"/>
    <s v="CMR004001007"/>
    <s v="MER-0003"/>
    <s v="DOGBA GARRE"/>
    <m/>
    <x v="0"/>
    <x v="0"/>
    <n v="8"/>
    <n v="79"/>
    <s v="Conflits liés à GANE (BH)"/>
    <m/>
    <s v="Autre département"/>
    <s v="CMR"/>
    <s v="Cameroun"/>
    <s v="CMR004"/>
    <s v="Extrême-Nord"/>
    <s v="CMR004005"/>
    <s v="Mayo-Sava"/>
    <m/>
    <m/>
  </r>
  <r>
    <s v="Extrême-Nord"/>
    <s v="CMR004"/>
    <x v="0"/>
    <s v="CMR004001"/>
    <x v="30"/>
    <s v="CMR004001007"/>
    <s v="MER-0002"/>
    <s v="DOGBA ALHADJI"/>
    <m/>
    <x v="0"/>
    <x v="0"/>
    <n v="3"/>
    <n v="23"/>
    <s v="Conflits liés à GANE (BH)"/>
    <m/>
    <s v="Autre département"/>
    <s v="CMR"/>
    <s v="Cameroun"/>
    <s v="CMR004"/>
    <s v="Extrême-Nord"/>
    <s v="CMR004005"/>
    <s v="Mayo-Sava"/>
    <m/>
    <m/>
  </r>
  <r>
    <s v="Extrême-Nord"/>
    <s v="CMR004"/>
    <x v="0"/>
    <s v="CMR004001"/>
    <x v="5"/>
    <s v="CMR004001002"/>
    <s v="MA2-0007"/>
    <s v="MISSINGLEO"/>
    <m/>
    <x v="0"/>
    <x v="0"/>
    <n v="21"/>
    <n v="136"/>
    <s v="Conflits liés à GANE (BH)"/>
    <m/>
    <s v="Autre département"/>
    <s v="CMR"/>
    <s v="Cameroun"/>
    <s v="CMR004"/>
    <s v="Extrême-Nord"/>
    <s v="CMR004005"/>
    <s v="Mayo-Sava"/>
    <m/>
    <m/>
  </r>
  <r>
    <s v="Extrême-Nord"/>
    <s v="CMR004"/>
    <x v="4"/>
    <s v="CMR004005"/>
    <x v="29"/>
    <s v="CMR004005003"/>
    <s v="TOK-0009"/>
    <s v="TOKOMBERE"/>
    <m/>
    <x v="0"/>
    <x v="0"/>
    <n v="38"/>
    <n v="226"/>
    <s v="Conflits liés à GANE (BH)"/>
    <m/>
    <s v="Même arrondissement"/>
    <s v="CMR"/>
    <s v="Cameroun"/>
    <s v="CMR004"/>
    <s v="Extrême-Nord"/>
    <s v="CMR004005"/>
    <s v="Mayo-Sava"/>
    <s v="CMR004005003"/>
    <s v="Tokombéré"/>
  </r>
  <r>
    <s v="Extrême-Nord"/>
    <s v="CMR004"/>
    <x v="4"/>
    <s v="CMR004005"/>
    <x v="29"/>
    <s v="CMR004005003"/>
    <s v="TOK-0009"/>
    <s v="TOKOMBERE"/>
    <m/>
    <x v="0"/>
    <x v="1"/>
    <n v="0"/>
    <n v="17"/>
    <s v="Conflits liés à GANE (BH)"/>
    <m/>
    <s v="Même arrondissement"/>
    <s v="CMR"/>
    <s v="Cameroun"/>
    <s v="CMR004"/>
    <s v="Extrême-Nord"/>
    <s v="CMR004005"/>
    <s v="Mayo-Sava"/>
    <s v="CMR004005003"/>
    <s v="Tokombéré"/>
  </r>
  <r>
    <s v="Extrême-Nord"/>
    <s v="CMR004"/>
    <x v="4"/>
    <s v="CMR004005"/>
    <x v="29"/>
    <s v="CMR004005003"/>
    <s v="TOK-0009"/>
    <s v="TOKOMBERE"/>
    <m/>
    <x v="0"/>
    <x v="4"/>
    <n v="0"/>
    <n v="49"/>
    <s v="Conflits liés à GANE (BH)"/>
    <m/>
    <s v="Même arrondissement"/>
    <s v="CMR"/>
    <s v="Cameroun"/>
    <s v="CMR004"/>
    <s v="Extrême-Nord"/>
    <s v="CMR004005"/>
    <s v="Mayo-Sava"/>
    <s v="CMR004005003"/>
    <s v="Tokombéré"/>
  </r>
  <r>
    <s v="Extrême-Nord"/>
    <s v="CMR004"/>
    <x v="4"/>
    <s v="CMR004005"/>
    <x v="29"/>
    <s v="CMR004005003"/>
    <s v="TOK-0009"/>
    <s v="TOKOMBERE"/>
    <m/>
    <x v="0"/>
    <x v="3"/>
    <n v="0"/>
    <n v="16"/>
    <s v="Conflits liés à GANE (BH)"/>
    <m/>
    <s v="Même arrondissement"/>
    <s v="CMR"/>
    <s v="Cameroun"/>
    <s v="CMR004"/>
    <s v="Extrême-Nord"/>
    <s v="CMR004005"/>
    <s v="Mayo-Sava"/>
    <s v="CMR004005003"/>
    <s v="Tokombéré"/>
  </r>
  <r>
    <s v="Extrême-Nord"/>
    <s v="CMR004"/>
    <x v="4"/>
    <s v="CMR004005"/>
    <x v="29"/>
    <s v="CMR004005003"/>
    <s v="TOK-0009"/>
    <s v="TOKOMBERE"/>
    <m/>
    <x v="0"/>
    <x v="2"/>
    <n v="0"/>
    <n v="11"/>
    <s v="Conflits liés à GANE (BH)"/>
    <m/>
    <s v="Même arrondissement"/>
    <s v="CMR"/>
    <s v="Cameroun"/>
    <s v="CMR004"/>
    <s v="Extrême-Nord"/>
    <s v="CMR004005"/>
    <s v="Mayo-Sava"/>
    <s v="CMR004005003"/>
    <s v="Tokombéré"/>
  </r>
  <r>
    <s v="Extrême-Nord"/>
    <s v="CMR004"/>
    <x v="4"/>
    <s v="CMR004005"/>
    <x v="29"/>
    <s v="CMR004005003"/>
    <s v="TOK-0007"/>
    <s v="SERAWA"/>
    <m/>
    <x v="0"/>
    <x v="0"/>
    <n v="36"/>
    <n v="72"/>
    <s v="Conflits liés à GANE (BH)"/>
    <m/>
    <s v="Même arrondissement"/>
    <s v="CMR"/>
    <s v="Cameroun"/>
    <s v="CMR004"/>
    <s v="Extrême-Nord"/>
    <s v="CMR004005"/>
    <s v="Mayo-Sava"/>
    <s v="CMR004005003"/>
    <s v="Tokombéré"/>
  </r>
  <r>
    <s v="Extrême-Nord"/>
    <s v="CMR004"/>
    <x v="4"/>
    <s v="CMR004005"/>
    <x v="29"/>
    <s v="CMR004005003"/>
    <s v="TOK-0007"/>
    <s v="SERAWA"/>
    <m/>
    <x v="0"/>
    <x v="1"/>
    <n v="0"/>
    <n v="4"/>
    <s v="Conflits liés à GANE (BH)"/>
    <m/>
    <s v="Même arrondissement"/>
    <s v="CMR"/>
    <s v="Cameroun"/>
    <s v="CMR004"/>
    <s v="Extrême-Nord"/>
    <s v="CMR004005"/>
    <s v="Mayo-Sava"/>
    <s v="CMR004005003"/>
    <s v="Tokombéré"/>
  </r>
  <r>
    <s v="Extrême-Nord"/>
    <s v="CMR004"/>
    <x v="4"/>
    <s v="CMR004005"/>
    <x v="29"/>
    <s v="CMR004005003"/>
    <s v="TOK-0007"/>
    <s v="SERAWA"/>
    <m/>
    <x v="0"/>
    <x v="4"/>
    <n v="0"/>
    <n v="75"/>
    <s v="Conflits liés à GANE (BH)"/>
    <m/>
    <s v="Même arrondissement"/>
    <s v="CMR"/>
    <s v="Cameroun"/>
    <s v="CMR004"/>
    <s v="Extrême-Nord"/>
    <s v="CMR004005"/>
    <s v="Mayo-Sava"/>
    <s v="CMR004005003"/>
    <s v="Tokombéré"/>
  </r>
  <r>
    <s v="Extrême-Nord"/>
    <s v="CMR004"/>
    <x v="4"/>
    <s v="CMR004005"/>
    <x v="29"/>
    <s v="CMR004005003"/>
    <s v="TOK-0007"/>
    <s v="SERAWA"/>
    <m/>
    <x v="0"/>
    <x v="3"/>
    <n v="0"/>
    <n v="20"/>
    <s v="Conflits liés à GANE (BH)"/>
    <m/>
    <s v="Même arrondissement"/>
    <s v="CMR"/>
    <s v="Cameroun"/>
    <s v="CMR004"/>
    <s v="Extrême-Nord"/>
    <s v="CMR004005"/>
    <s v="Mayo-Sava"/>
    <s v="CMR004005003"/>
    <s v="Tokombéré"/>
  </r>
  <r>
    <s v="Extrême-Nord"/>
    <s v="CMR004"/>
    <x v="4"/>
    <s v="CMR004005"/>
    <x v="29"/>
    <s v="CMR004005003"/>
    <s v="TOK-0007"/>
    <s v="SERAWA"/>
    <m/>
    <x v="0"/>
    <x v="2"/>
    <n v="0"/>
    <n v="11"/>
    <s v="Conflits liés à GANE (BH)"/>
    <m/>
    <s v="Même arrondissement"/>
    <s v="CMR"/>
    <s v="Cameroun"/>
    <s v="CMR004"/>
    <s v="Extrême-Nord"/>
    <s v="CMR004005"/>
    <s v="Mayo-Sava"/>
    <s v="CMR004005003"/>
    <s v="Tokombéré"/>
  </r>
  <r>
    <s v="Extrême-Nord"/>
    <s v="CMR004"/>
    <x v="4"/>
    <s v="CMR004005"/>
    <x v="17"/>
    <s v="CMR004005002"/>
    <s v="MOR-0013"/>
    <s v="MBARMA"/>
    <m/>
    <x v="0"/>
    <x v="0"/>
    <n v="80"/>
    <n v="342"/>
    <s v="Conflits liés à GANE (BH)"/>
    <m/>
    <s v="Même arrondissement"/>
    <s v="CMR"/>
    <s v="Cameroun"/>
    <s v="CMR004"/>
    <s v="Extrême-Nord"/>
    <s v="CMR004005"/>
    <s v="Mayo-Sava"/>
    <s v="CMR004005002"/>
    <s v="Mora"/>
  </r>
  <r>
    <s v="Extrême-Nord"/>
    <s v="CMR004"/>
    <x v="4"/>
    <s v="CMR004005"/>
    <x v="17"/>
    <s v="CMR004005002"/>
    <s v="MOR-0013"/>
    <s v="MBARMA"/>
    <m/>
    <x v="0"/>
    <x v="1"/>
    <n v="0"/>
    <n v="6"/>
    <s v="Conflits liés à GANE (BH)"/>
    <m/>
    <s v="Même arrondissement"/>
    <s v="CMR"/>
    <s v="Cameroun"/>
    <s v="CMR004"/>
    <s v="Extrême-Nord"/>
    <s v="CMR004005"/>
    <s v="Mayo-Sava"/>
    <s v="CMR004005002"/>
    <s v="Mora"/>
  </r>
  <r>
    <s v="Extrême-Nord"/>
    <s v="CMR004"/>
    <x v="4"/>
    <s v="CMR004005"/>
    <x v="17"/>
    <s v="CMR004005002"/>
    <s v="MOR-0013"/>
    <s v="MBARMA"/>
    <m/>
    <x v="0"/>
    <x v="4"/>
    <n v="6"/>
    <n v="24"/>
    <s v="Conflits liés à GANE (BH)"/>
    <m/>
    <s v="Même arrondissement"/>
    <s v="CMR"/>
    <s v="Cameroun"/>
    <s v="CMR004"/>
    <s v="Extrême-Nord"/>
    <s v="CMR004005"/>
    <s v="Mayo-Sava"/>
    <s v="CMR004005002"/>
    <s v="Mora"/>
  </r>
  <r>
    <s v="Extrême-Nord"/>
    <s v="CMR004"/>
    <x v="4"/>
    <s v="CMR004005"/>
    <x v="17"/>
    <s v="CMR004005002"/>
    <s v="MOR-0013"/>
    <s v="MBARMA"/>
    <m/>
    <x v="0"/>
    <x v="3"/>
    <n v="0"/>
    <n v="30"/>
    <s v="Conflits liés à GANE (BH)"/>
    <m/>
    <s v="Même arrondissement"/>
    <s v="CMR"/>
    <s v="Cameroun"/>
    <s v="CMR004"/>
    <s v="Extrême-Nord"/>
    <s v="CMR004005"/>
    <s v="Mayo-Sava"/>
    <s v="CMR004005002"/>
    <s v="Mora"/>
  </r>
  <r>
    <s v="Extrême-Nord"/>
    <s v="CMR004"/>
    <x v="4"/>
    <s v="CMR004005"/>
    <x v="17"/>
    <s v="CMR004005002"/>
    <s v="MOR-0013"/>
    <s v="MBARMA"/>
    <m/>
    <x v="0"/>
    <x v="2"/>
    <n v="0"/>
    <n v="1"/>
    <s v="Conflits liés à GANE (BH)"/>
    <m/>
    <s v="Même arrondissement"/>
    <s v="CMR"/>
    <s v="Cameroun"/>
    <s v="CMR004"/>
    <s v="Extrême-Nord"/>
    <s v="CMR004005"/>
    <s v="Mayo-Sava"/>
    <s v="CMR004005002"/>
    <s v="Mora"/>
  </r>
  <r>
    <s v="Extrême-Nord"/>
    <s v="CMR004"/>
    <x v="4"/>
    <s v="CMR004005"/>
    <x v="29"/>
    <s v="CMR004005003"/>
    <s v="TOK-0018"/>
    <s v="SITE DE GODJI-GODJI"/>
    <m/>
    <x v="0"/>
    <x v="1"/>
    <n v="129"/>
    <n v="1009"/>
    <s v="Conflits liés à GANE (BH)"/>
    <m/>
    <s v="Même arrondissement"/>
    <s v="CMR"/>
    <s v="Cameroun"/>
    <s v="CMR004"/>
    <s v="Extrême-Nord"/>
    <s v="CMR004005"/>
    <s v="Mayo-Sava"/>
    <s v="CMR004005003"/>
    <s v="Tokombéré"/>
  </r>
  <r>
    <s v="Extrême-Nord"/>
    <s v="CMR004"/>
    <x v="4"/>
    <s v="CMR004005"/>
    <x v="29"/>
    <s v="CMR004005003"/>
    <s v="TOK-0018"/>
    <s v="SITE DE GODJI-GODJI"/>
    <m/>
    <x v="0"/>
    <x v="4"/>
    <n v="3"/>
    <n v="41"/>
    <s v="Conflits liés à GANE (BH)"/>
    <m/>
    <s v="Même arrondissement"/>
    <s v="CMR"/>
    <s v="Cameroun"/>
    <s v="CMR004"/>
    <s v="Extrême-Nord"/>
    <s v="CMR004005"/>
    <s v="Mayo-Sava"/>
    <s v="CMR004005003"/>
    <s v="Tokombéré"/>
  </r>
  <r>
    <s v="Extrême-Nord"/>
    <s v="CMR004"/>
    <x v="4"/>
    <s v="CMR004005"/>
    <x v="29"/>
    <s v="CMR004005003"/>
    <s v="TOK-0018"/>
    <s v="SITE DE GODJI-GODJI"/>
    <m/>
    <x v="0"/>
    <x v="3"/>
    <n v="13"/>
    <n v="140"/>
    <s v="Conflits liés à GANE (BH)"/>
    <m/>
    <s v="Même arrondissement"/>
    <s v="CMR"/>
    <s v="Cameroun"/>
    <s v="CMR004"/>
    <s v="Extrême-Nord"/>
    <s v="CMR004005"/>
    <s v="Mayo-Sava"/>
    <s v="CMR004005003"/>
    <s v="Tokombéré"/>
  </r>
  <r>
    <s v="Extrême-Nord"/>
    <s v="CMR004"/>
    <x v="4"/>
    <s v="CMR004005"/>
    <x v="29"/>
    <s v="CMR004005003"/>
    <s v="TOK-0018"/>
    <s v="SITE DE GODJI-GODJI"/>
    <m/>
    <x v="0"/>
    <x v="2"/>
    <n v="12"/>
    <n v="86"/>
    <s v="Conflits liés à GANE (BH)"/>
    <m/>
    <s v="Même arrondissement"/>
    <s v="CMR"/>
    <s v="Cameroun"/>
    <s v="CMR004"/>
    <s v="Extrême-Nord"/>
    <s v="CMR004005"/>
    <s v="Mayo-Sava"/>
    <s v="CMR004005003"/>
    <s v="Tokombéré"/>
  </r>
  <r>
    <s v="Extrême-Nord"/>
    <s v="CMR004"/>
    <x v="4"/>
    <s v="CMR004005"/>
    <x v="29"/>
    <s v="CMR004005003"/>
    <s v="TOK-0017"/>
    <s v="KOTARBA"/>
    <m/>
    <x v="0"/>
    <x v="1"/>
    <n v="27"/>
    <n v="189"/>
    <s v="Conflits liés à GANE (BH)"/>
    <m/>
    <s v="Même arrondissement"/>
    <s v="CMR"/>
    <s v="Cameroun"/>
    <s v="CMR004"/>
    <s v="Extrême-Nord"/>
    <s v="CMR004005"/>
    <s v="Mayo-Sava"/>
    <s v="CMR004005003"/>
    <s v="Tokombéré"/>
  </r>
  <r>
    <s v="Extrême-Nord"/>
    <s v="CMR004"/>
    <x v="4"/>
    <s v="CMR004005"/>
    <x v="29"/>
    <s v="CMR004005003"/>
    <s v="TOK-0017"/>
    <s v="KOTARBA"/>
    <m/>
    <x v="0"/>
    <x v="4"/>
    <n v="0"/>
    <n v="29"/>
    <s v="Conflits liés à GANE (BH)"/>
    <m/>
    <s v="Même arrondissement"/>
    <s v="CMR"/>
    <s v="Cameroun"/>
    <s v="CMR004"/>
    <s v="Extrême-Nord"/>
    <s v="CMR004005"/>
    <s v="Mayo-Sava"/>
    <s v="CMR004005003"/>
    <s v="Tokombéré"/>
  </r>
  <r>
    <s v="Extrême-Nord"/>
    <s v="CMR004"/>
    <x v="4"/>
    <s v="CMR004005"/>
    <x v="29"/>
    <s v="CMR004005003"/>
    <s v="TOK-0017"/>
    <s v="KOTARBA"/>
    <m/>
    <x v="0"/>
    <x v="3"/>
    <n v="0"/>
    <n v="24"/>
    <s v="Conflits liés à GANE (BH)"/>
    <m/>
    <s v="Même arrondissement"/>
    <s v="CMR"/>
    <s v="Cameroun"/>
    <s v="CMR004"/>
    <s v="Extrême-Nord"/>
    <s v="CMR004005"/>
    <s v="Mayo-Sava"/>
    <s v="CMR004005003"/>
    <s v="Tokombéré"/>
  </r>
  <r>
    <s v="Extrême-Nord"/>
    <s v="CMR004"/>
    <x v="4"/>
    <s v="CMR004005"/>
    <x v="29"/>
    <s v="CMR004005003"/>
    <s v="TOK-0017"/>
    <s v="KOTARBA"/>
    <m/>
    <x v="0"/>
    <x v="2"/>
    <n v="0"/>
    <n v="8"/>
    <s v="Conflits liés à GANE (BH)"/>
    <m/>
    <s v="Même arrondissement"/>
    <s v="CMR"/>
    <s v="Cameroun"/>
    <s v="CMR004"/>
    <s v="Extrême-Nord"/>
    <s v="CMR004005"/>
    <s v="Mayo-Sava"/>
    <s v="CMR004005003"/>
    <s v="Tokombéré"/>
  </r>
  <r>
    <s v="Extrême-Nord"/>
    <s v="CMR004"/>
    <x v="4"/>
    <s v="CMR004005"/>
    <x v="29"/>
    <s v="CMR004005003"/>
    <s v="TOK-0008"/>
    <s v="TAZANG"/>
    <m/>
    <x v="0"/>
    <x v="0"/>
    <n v="6"/>
    <n v="54"/>
    <s v="Conflits liés à GANE (BH)"/>
    <m/>
    <s v="Même arrondissement"/>
    <s v="CMR"/>
    <s v="Cameroun"/>
    <s v="CMR004"/>
    <s v="Extrême-Nord"/>
    <s v="CMR004005"/>
    <s v="Mayo-Sava"/>
    <s v="CMR004005003"/>
    <s v="Tokombéré"/>
  </r>
  <r>
    <s v="Extrême-Nord"/>
    <s v="CMR004"/>
    <x v="4"/>
    <s v="CMR004005"/>
    <x v="29"/>
    <s v="CMR004005003"/>
    <s v="TOK-0008"/>
    <s v="TAZANG"/>
    <m/>
    <x v="0"/>
    <x v="1"/>
    <n v="4"/>
    <n v="20"/>
    <s v="Conflits liés à GANE (BH)"/>
    <m/>
    <s v="Même arrondissement"/>
    <s v="CMR"/>
    <s v="Cameroun"/>
    <s v="CMR004"/>
    <s v="Extrême-Nord"/>
    <s v="CMR004005"/>
    <s v="Mayo-Sava"/>
    <s v="CMR004005003"/>
    <s v="Tokombéré"/>
  </r>
  <r>
    <s v="Extrême-Nord"/>
    <s v="CMR004"/>
    <x v="4"/>
    <s v="CMR004005"/>
    <x v="29"/>
    <s v="CMR004005003"/>
    <s v="TOK-0008"/>
    <s v="TAZANG"/>
    <m/>
    <x v="0"/>
    <x v="4"/>
    <n v="0"/>
    <n v="30"/>
    <s v="Conflits liés à GANE (BH)"/>
    <m/>
    <s v="Même arrondissement"/>
    <s v="CMR"/>
    <s v="Cameroun"/>
    <s v="CMR004"/>
    <s v="Extrême-Nord"/>
    <s v="CMR004005"/>
    <s v="Mayo-Sava"/>
    <s v="CMR004005003"/>
    <s v="Tokombéré"/>
  </r>
  <r>
    <s v="Extrême-Nord"/>
    <s v="CMR004"/>
    <x v="4"/>
    <s v="CMR004005"/>
    <x v="29"/>
    <s v="CMR004005003"/>
    <s v="TOK-0008"/>
    <s v="TAZANG"/>
    <m/>
    <x v="0"/>
    <x v="3"/>
    <n v="0"/>
    <n v="14"/>
    <s v="Conflits liés à GANE (BH)"/>
    <m/>
    <s v="Même arrondissement"/>
    <s v="CMR"/>
    <s v="Cameroun"/>
    <s v="CMR004"/>
    <s v="Extrême-Nord"/>
    <s v="CMR004005"/>
    <s v="Mayo-Sava"/>
    <s v="CMR004005003"/>
    <s v="Tokombéré"/>
  </r>
  <r>
    <s v="Extrême-Nord"/>
    <s v="CMR004"/>
    <x v="4"/>
    <s v="CMR004005"/>
    <x v="29"/>
    <s v="CMR004005003"/>
    <s v="TOK-0008"/>
    <s v="TAZANG"/>
    <m/>
    <x v="0"/>
    <x v="2"/>
    <n v="0"/>
    <n v="6"/>
    <s v="Conflits liés à GANE (BH)"/>
    <m/>
    <s v="Même arrondissement"/>
    <s v="CMR"/>
    <s v="Cameroun"/>
    <s v="CMR004"/>
    <s v="Extrême-Nord"/>
    <s v="CMR004005"/>
    <s v="Mayo-Sava"/>
    <s v="CMR004005003"/>
    <s v="Tokombéré"/>
  </r>
  <r>
    <s v="Extrême-Nord"/>
    <s v="CMR004"/>
    <x v="4"/>
    <s v="CMR004005"/>
    <x v="29"/>
    <s v="CMR004005003"/>
    <s v="TOK-0004"/>
    <s v="MAKELINGAI"/>
    <m/>
    <x v="0"/>
    <x v="0"/>
    <n v="10"/>
    <n v="96"/>
    <s v="Conflits liés à GANE (BH)"/>
    <m/>
    <s v="Même arrondissement"/>
    <s v="CMR"/>
    <s v="Cameroun"/>
    <s v="CMR004"/>
    <s v="Extrême-Nord"/>
    <s v="CMR004005"/>
    <s v="Mayo-Sava"/>
    <s v="CMR004005003"/>
    <s v="Tokombéré"/>
  </r>
  <r>
    <s v="Extrême-Nord"/>
    <s v="CMR004"/>
    <x v="4"/>
    <s v="CMR004005"/>
    <x v="29"/>
    <s v="CMR004005003"/>
    <s v="TOK-0004"/>
    <s v="MAKELINGAI"/>
    <m/>
    <x v="0"/>
    <x v="1"/>
    <n v="0"/>
    <n v="25"/>
    <s v="Conflits liés à GANE (BH)"/>
    <m/>
    <s v="Même arrondissement"/>
    <s v="CMR"/>
    <s v="Cameroun"/>
    <s v="CMR004"/>
    <s v="Extrême-Nord"/>
    <s v="CMR004005"/>
    <s v="Mayo-Sava"/>
    <s v="CMR004005003"/>
    <s v="Tokombéré"/>
  </r>
  <r>
    <s v="Extrême-Nord"/>
    <s v="CMR004"/>
    <x v="4"/>
    <s v="CMR004005"/>
    <x v="29"/>
    <s v="CMR004005003"/>
    <s v="TOK-0004"/>
    <s v="MAKELINGAI"/>
    <m/>
    <x v="0"/>
    <x v="4"/>
    <n v="0"/>
    <n v="28"/>
    <s v="Conflits liés à GANE (BH)"/>
    <m/>
    <s v="Même arrondissement"/>
    <s v="CMR"/>
    <s v="Cameroun"/>
    <s v="CMR004"/>
    <s v="Extrême-Nord"/>
    <s v="CMR004005"/>
    <s v="Mayo-Sava"/>
    <s v="CMR004005003"/>
    <s v="Tokombéré"/>
  </r>
  <r>
    <s v="Extrême-Nord"/>
    <s v="CMR004"/>
    <x v="4"/>
    <s v="CMR004005"/>
    <x v="29"/>
    <s v="CMR004005003"/>
    <s v="TOK-0004"/>
    <s v="MAKELINGAI"/>
    <m/>
    <x v="0"/>
    <x v="3"/>
    <n v="0"/>
    <n v="41"/>
    <s v="Conflits liés à GANE (BH)"/>
    <m/>
    <s v="Même arrondissement"/>
    <s v="CMR"/>
    <s v="Cameroun"/>
    <s v="CMR004"/>
    <s v="Extrême-Nord"/>
    <s v="CMR004005"/>
    <s v="Mayo-Sava"/>
    <s v="CMR004005003"/>
    <s v="Tokombéré"/>
  </r>
  <r>
    <s v="Extrême-Nord"/>
    <s v="CMR004"/>
    <x v="4"/>
    <s v="CMR004005"/>
    <x v="29"/>
    <s v="CMR004005003"/>
    <s v="TOK-0004"/>
    <s v="MAKELINGAI"/>
    <m/>
    <x v="0"/>
    <x v="2"/>
    <n v="0"/>
    <n v="13"/>
    <s v="Conflits liés à GANE (BH)"/>
    <m/>
    <s v="Même arrondissement"/>
    <s v="CMR"/>
    <s v="Cameroun"/>
    <s v="CMR004"/>
    <s v="Extrême-Nord"/>
    <s v="CMR004005"/>
    <s v="Mayo-Sava"/>
    <s v="CMR004005003"/>
    <s v="Tokombéré"/>
  </r>
  <r>
    <s v="Extrême-Nord"/>
    <s v="CMR004"/>
    <x v="2"/>
    <s v="CMR004002"/>
    <x v="15"/>
    <s v="CMR004002004"/>
    <s v="LBI-0074"/>
    <s v="SOUHARA"/>
    <m/>
    <x v="0"/>
    <x v="3"/>
    <n v="10"/>
    <n v="50"/>
    <s v="Conflit intercommunautaire"/>
    <m/>
    <s v="Même arrondissement"/>
    <s v="CMR"/>
    <s v="Cameroun"/>
    <s v="CMR004"/>
    <s v="Extrême-Nord"/>
    <s v="CMR004002"/>
    <s v="Logone-Et-Chari"/>
    <s v="CMR004002004"/>
    <s v="Logone-Birni"/>
  </r>
  <r>
    <s v="Extrême-Nord"/>
    <s v="CMR004"/>
    <x v="4"/>
    <s v="CMR004005"/>
    <x v="29"/>
    <s v="CMR004005003"/>
    <s v="TOK-0010"/>
    <s v="TINDERME"/>
    <m/>
    <x v="0"/>
    <x v="0"/>
    <n v="24"/>
    <n v="183"/>
    <s v="Conflits liés à GANE (BH)"/>
    <m/>
    <s v="Même arrondissement"/>
    <s v="CMR"/>
    <s v="Cameroun"/>
    <s v="CMR004"/>
    <s v="Extrême-Nord"/>
    <s v="CMR004005"/>
    <s v="Mayo-Sava"/>
    <s v="CMR004005003"/>
    <s v="Tokombéré"/>
  </r>
  <r>
    <s v="Extrême-Nord"/>
    <s v="CMR004"/>
    <x v="4"/>
    <s v="CMR004005"/>
    <x v="29"/>
    <s v="CMR004005003"/>
    <s v="TOK-0010"/>
    <s v="TINDERME"/>
    <m/>
    <x v="0"/>
    <x v="1"/>
    <n v="4"/>
    <n v="36"/>
    <s v="Conflits liés à GANE (BH)"/>
    <m/>
    <s v="Même arrondissement"/>
    <s v="CMR"/>
    <s v="Cameroun"/>
    <s v="CMR004"/>
    <s v="Extrême-Nord"/>
    <s v="CMR004005"/>
    <s v="Mayo-Sava"/>
    <s v="CMR004005003"/>
    <s v="Tokombéré"/>
  </r>
  <r>
    <s v="Extrême-Nord"/>
    <s v="CMR004"/>
    <x v="4"/>
    <s v="CMR004005"/>
    <x v="29"/>
    <s v="CMR004005003"/>
    <s v="TOK-0010"/>
    <s v="TINDERME"/>
    <m/>
    <x v="0"/>
    <x v="4"/>
    <n v="0"/>
    <n v="30"/>
    <s v="Conflits liés à GANE (BH)"/>
    <m/>
    <s v="Même arrondissement"/>
    <s v="CMR"/>
    <s v="Cameroun"/>
    <s v="CMR004"/>
    <s v="Extrême-Nord"/>
    <s v="CMR004005"/>
    <s v="Mayo-Sava"/>
    <s v="CMR004005003"/>
    <s v="Tokombéré"/>
  </r>
  <r>
    <s v="Extrême-Nord"/>
    <s v="CMR004"/>
    <x v="4"/>
    <s v="CMR004005"/>
    <x v="29"/>
    <s v="CMR004005003"/>
    <s v="TOK-0010"/>
    <s v="TINDERME"/>
    <m/>
    <x v="0"/>
    <x v="3"/>
    <n v="2"/>
    <n v="41"/>
    <s v="Conflits liés à GANE (BH)"/>
    <m/>
    <s v="Même arrondissement"/>
    <s v="CMR"/>
    <s v="Cameroun"/>
    <s v="CMR004"/>
    <s v="Extrême-Nord"/>
    <s v="CMR004005"/>
    <s v="Mayo-Sava"/>
    <s v="CMR004005003"/>
    <s v="Tokombéré"/>
  </r>
  <r>
    <s v="Extrême-Nord"/>
    <s v="CMR004"/>
    <x v="4"/>
    <s v="CMR004005"/>
    <x v="29"/>
    <s v="CMR004005003"/>
    <s v="TOK-0010"/>
    <s v="TINDERME"/>
    <m/>
    <x v="0"/>
    <x v="2"/>
    <n v="0"/>
    <n v="9"/>
    <s v="Conflits liés à GANE (BH)"/>
    <m/>
    <s v="Même arrondissement"/>
    <s v="CMR"/>
    <s v="Cameroun"/>
    <s v="CMR004"/>
    <s v="Extrême-Nord"/>
    <s v="CMR004005"/>
    <s v="Mayo-Sava"/>
    <s v="CMR004005003"/>
    <s v="Tokombéré"/>
  </r>
  <r>
    <s v="Extrême-Nord"/>
    <s v="CMR004"/>
    <x v="2"/>
    <s v="CMR004002"/>
    <x v="8"/>
    <s v="CMR004002009"/>
    <s v="MAK-0184"/>
    <s v="ABANKOURI"/>
    <m/>
    <x v="0"/>
    <x v="0"/>
    <n v="315"/>
    <n v="3120"/>
    <s v="Conflits liés à GANE (BH)"/>
    <m/>
    <s v="Même arrondissement"/>
    <s v="CMR"/>
    <s v="Cameroun"/>
    <s v="CMR004"/>
    <s v="Extrême-Nord"/>
    <s v="CMR004002"/>
    <s v="Logone-Et-Chari"/>
    <s v="CMR004002009"/>
    <s v="Makary"/>
  </r>
  <r>
    <s v="Extrême-Nord"/>
    <s v="CMR004"/>
    <x v="2"/>
    <s v="CMR004002"/>
    <x v="8"/>
    <s v="CMR004002009"/>
    <s v="MAK-0184"/>
    <s v="ABANKOURI"/>
    <m/>
    <x v="0"/>
    <x v="3"/>
    <n v="11"/>
    <n v="23"/>
    <s v="Conflits liés à GANE (BH)"/>
    <m/>
    <s v="Même département, autre arrondissement"/>
    <s v="CMR"/>
    <s v="Cameroun"/>
    <s v="CMR004"/>
    <s v="Extrême-Nord"/>
    <s v="CMR004002"/>
    <s v="Logone-Et-Chari"/>
    <m/>
    <s v="Hile-Alifa"/>
  </r>
  <r>
    <s v="Extrême-Nord"/>
    <s v="CMR004"/>
    <x v="2"/>
    <s v="CMR004002"/>
    <x v="8"/>
    <s v="CMR004002009"/>
    <s v="MAK-0086"/>
    <s v="NGOUMA"/>
    <m/>
    <x v="0"/>
    <x v="0"/>
    <n v="176"/>
    <n v="843"/>
    <s v="Conflits liés à GANE (BH)"/>
    <m/>
    <s v="Même arrondissement"/>
    <s v="CMR"/>
    <s v="Cameroun"/>
    <s v="CMR004"/>
    <s v="Extrême-Nord"/>
    <s v="CMR004002"/>
    <s v="Logone-Et-Chari"/>
    <s v="CMR004002009"/>
    <s v="Makary"/>
  </r>
  <r>
    <s v="Extrême-Nord"/>
    <s v="CMR004"/>
    <x v="2"/>
    <s v="CMR004002"/>
    <x v="8"/>
    <s v="CMR004002009"/>
    <s v="MAK-0086"/>
    <s v="NGOUMA"/>
    <m/>
    <x v="0"/>
    <x v="3"/>
    <n v="225"/>
    <n v="330"/>
    <s v="Conflits liés à GANE (BH)"/>
    <m/>
    <s v="Même département, autre arrondissement"/>
    <s v="CMR"/>
    <s v="Cameroun"/>
    <s v="CMR004"/>
    <s v="Extrême-Nord"/>
    <s v="CMR004002"/>
    <s v="Logone-Et-Chari"/>
    <m/>
    <s v="Hile-Alifa"/>
  </r>
  <r>
    <s v="Extrême-Nord"/>
    <s v="CMR004"/>
    <x v="4"/>
    <s v="CMR004005"/>
    <x v="17"/>
    <s v="CMR004005002"/>
    <s v="MOR-0011"/>
    <s v="MAHOULA"/>
    <m/>
    <x v="0"/>
    <x v="0"/>
    <n v="41"/>
    <n v="236"/>
    <s v="Conflits liés à GANE (BH)"/>
    <m/>
    <s v="Même arrondissement"/>
    <s v="CMR"/>
    <s v="Cameroun"/>
    <s v="CMR004"/>
    <s v="Extrême-Nord"/>
    <s v="CMR004005"/>
    <s v="Mayo-Sava"/>
    <s v="CMR004005002"/>
    <s v="Mora"/>
  </r>
  <r>
    <s v="Extrême-Nord"/>
    <s v="CMR004"/>
    <x v="4"/>
    <s v="CMR004005"/>
    <x v="17"/>
    <s v="CMR004005002"/>
    <s v="MOR-0011"/>
    <s v="MAHOULA"/>
    <m/>
    <x v="0"/>
    <x v="1"/>
    <n v="38"/>
    <n v="178"/>
    <s v="Conflits liés à GANE (BH)"/>
    <m/>
    <s v="Même arrondissement"/>
    <s v="CMR"/>
    <s v="Cameroun"/>
    <s v="CMR004"/>
    <s v="Extrême-Nord"/>
    <s v="CMR004005"/>
    <s v="Mayo-Sava"/>
    <s v="CMR004005002"/>
    <s v="Mora"/>
  </r>
  <r>
    <s v="Extrême-Nord"/>
    <s v="CMR004"/>
    <x v="4"/>
    <s v="CMR004005"/>
    <x v="17"/>
    <s v="CMR004005002"/>
    <s v="MOR-0011"/>
    <s v="MAHOULA"/>
    <m/>
    <x v="0"/>
    <x v="4"/>
    <n v="2"/>
    <n v="19"/>
    <s v="Conflits liés à GANE (BH)"/>
    <m/>
    <s v="Même arrondissement"/>
    <s v="CMR"/>
    <s v="Cameroun"/>
    <s v="CMR004"/>
    <s v="Extrême-Nord"/>
    <s v="CMR004005"/>
    <s v="Mayo-Sava"/>
    <s v="CMR004005002"/>
    <s v="Mora"/>
  </r>
  <r>
    <s v="Extrême-Nord"/>
    <s v="CMR004"/>
    <x v="4"/>
    <s v="CMR004005"/>
    <x v="17"/>
    <s v="CMR004005002"/>
    <s v="MOR-0011"/>
    <s v="MAHOULA"/>
    <m/>
    <x v="0"/>
    <x v="3"/>
    <n v="2"/>
    <n v="33"/>
    <s v="Conflits liés à GANE (BH)"/>
    <m/>
    <s v="Même arrondissement"/>
    <s v="CMR"/>
    <s v="Cameroun"/>
    <s v="CMR004"/>
    <s v="Extrême-Nord"/>
    <s v="CMR004005"/>
    <s v="Mayo-Sava"/>
    <s v="CMR004005002"/>
    <s v="Mora"/>
  </r>
  <r>
    <s v="Extrême-Nord"/>
    <s v="CMR004"/>
    <x v="4"/>
    <s v="CMR004005"/>
    <x v="17"/>
    <s v="CMR004005002"/>
    <s v="MOR-0011"/>
    <s v="MAHOULA"/>
    <m/>
    <x v="0"/>
    <x v="2"/>
    <n v="0"/>
    <n v="10"/>
    <s v="Conflits liés à GANE (BH)"/>
    <m/>
    <s v="Même arrondissement"/>
    <s v="CMR"/>
    <s v="Cameroun"/>
    <s v="CMR004"/>
    <s v="Extrême-Nord"/>
    <s v="CMR004005"/>
    <s v="Mayo-Sava"/>
    <s v="CMR004005002"/>
    <s v="Mora"/>
  </r>
  <r>
    <s v="Extrême-Nord"/>
    <s v="CMR004"/>
    <x v="4"/>
    <s v="CMR004005"/>
    <x v="17"/>
    <s v="CMR004005002"/>
    <s v="MOR-0070"/>
    <s v="SERADOUMDA"/>
    <m/>
    <x v="0"/>
    <x v="0"/>
    <n v="57"/>
    <n v="380"/>
    <s v="Conflits liés à GANE (BH)"/>
    <m/>
    <s v="Même arrondissement"/>
    <s v="CMR"/>
    <s v="Cameroun"/>
    <s v="CMR004"/>
    <s v="Extrême-Nord"/>
    <s v="CMR004005"/>
    <s v="Mayo-Sava"/>
    <s v="CMR004005002"/>
    <s v="Mora"/>
  </r>
  <r>
    <s v="Extrême-Nord"/>
    <s v="CMR004"/>
    <x v="4"/>
    <s v="CMR004005"/>
    <x v="17"/>
    <s v="CMR004005002"/>
    <s v="MOR-0070"/>
    <s v="SERADOUMDA"/>
    <m/>
    <x v="0"/>
    <x v="1"/>
    <n v="0"/>
    <n v="4"/>
    <s v="Conflits liés à GANE (BH)"/>
    <m/>
    <s v="Même arrondissement"/>
    <s v="CMR"/>
    <s v="Cameroun"/>
    <s v="CMR004"/>
    <s v="Extrême-Nord"/>
    <s v="CMR004005"/>
    <s v="Mayo-Sava"/>
    <s v="CMR004005002"/>
    <s v="Mora"/>
  </r>
  <r>
    <s v="Extrême-Nord"/>
    <s v="CMR004"/>
    <x v="4"/>
    <s v="CMR004005"/>
    <x v="17"/>
    <s v="CMR004005002"/>
    <s v="MOR-0070"/>
    <s v="SERADOUMDA"/>
    <m/>
    <x v="0"/>
    <x v="4"/>
    <n v="0"/>
    <n v="13"/>
    <s v="Conflits liés à GANE (BH)"/>
    <m/>
    <s v="Même arrondissement"/>
    <s v="CMR"/>
    <s v="Cameroun"/>
    <s v="CMR004"/>
    <s v="Extrême-Nord"/>
    <s v="CMR004005"/>
    <s v="Mayo-Sava"/>
    <s v="CMR004005002"/>
    <s v="Mora"/>
  </r>
  <r>
    <s v="Extrême-Nord"/>
    <s v="CMR004"/>
    <x v="4"/>
    <s v="CMR004005"/>
    <x v="17"/>
    <s v="CMR004005002"/>
    <s v="MOR-0070"/>
    <s v="SERADOUMDA"/>
    <m/>
    <x v="0"/>
    <x v="3"/>
    <n v="4"/>
    <n v="44"/>
    <s v="Conflits liés à GANE (BH)"/>
    <m/>
    <s v="Même arrondissement"/>
    <s v="CMR"/>
    <s v="Cameroun"/>
    <s v="CMR004"/>
    <s v="Extrême-Nord"/>
    <s v="CMR004005"/>
    <s v="Mayo-Sava"/>
    <s v="CMR004005002"/>
    <s v="Mora"/>
  </r>
  <r>
    <s v="Extrême-Nord"/>
    <s v="CMR004"/>
    <x v="4"/>
    <s v="CMR004005"/>
    <x v="17"/>
    <s v="CMR004005002"/>
    <s v="MOR-0070"/>
    <s v="SERADOUMDA"/>
    <m/>
    <x v="0"/>
    <x v="2"/>
    <n v="0"/>
    <n v="12"/>
    <s v="Conflits liés à GANE (BH)"/>
    <m/>
    <s v="Même arrondissement"/>
    <s v="CMR"/>
    <s v="Cameroun"/>
    <s v="CMR004"/>
    <s v="Extrême-Nord"/>
    <s v="CMR004005"/>
    <s v="Mayo-Sava"/>
    <s v="CMR004005002"/>
    <s v="Mora"/>
  </r>
  <r>
    <s v="Extrême-Nord"/>
    <s v="CMR004"/>
    <x v="4"/>
    <s v="CMR004005"/>
    <x v="17"/>
    <s v="CMR004005002"/>
    <s v="MOR-0078"/>
    <s v="TALLA LAWAN"/>
    <m/>
    <x v="0"/>
    <x v="1"/>
    <n v="20"/>
    <n v="94"/>
    <s v="Conflits liés à GANE (BH)"/>
    <m/>
    <s v="Même arrondissement"/>
    <s v="CMR"/>
    <s v="Cameroun"/>
    <s v="CMR004"/>
    <s v="Extrême-Nord"/>
    <s v="CMR004005"/>
    <s v="Mayo-Sava"/>
    <s v="CMR004005002"/>
    <s v="Mora"/>
  </r>
  <r>
    <s v="Extrême-Nord"/>
    <s v="CMR004"/>
    <x v="4"/>
    <s v="CMR004005"/>
    <x v="17"/>
    <s v="CMR004005002"/>
    <s v="MOR-0078"/>
    <s v="TALLA LAWAN"/>
    <m/>
    <x v="0"/>
    <x v="4"/>
    <n v="3"/>
    <n v="42"/>
    <s v="Conflits liés à GANE (BH)"/>
    <m/>
    <s v="Même arrondissement"/>
    <s v="CMR"/>
    <s v="Cameroun"/>
    <s v="CMR004"/>
    <s v="Extrême-Nord"/>
    <s v="CMR004005"/>
    <s v="Mayo-Sava"/>
    <s v="CMR004005002"/>
    <s v="Mora"/>
  </r>
  <r>
    <s v="Extrême-Nord"/>
    <s v="CMR004"/>
    <x v="4"/>
    <s v="CMR004005"/>
    <x v="17"/>
    <s v="CMR004005002"/>
    <s v="MOR-0078"/>
    <s v="TALLA LAWAN"/>
    <m/>
    <x v="0"/>
    <x v="3"/>
    <n v="0"/>
    <n v="15"/>
    <s v="Conflits liés à GANE (BH)"/>
    <m/>
    <s v="Même arrondissement"/>
    <s v="CMR"/>
    <s v="Cameroun"/>
    <s v="CMR004"/>
    <s v="Extrême-Nord"/>
    <s v="CMR004005"/>
    <s v="Mayo-Sava"/>
    <s v="CMR004005002"/>
    <s v="Mora"/>
  </r>
  <r>
    <s v="Extrême-Nord"/>
    <s v="CMR004"/>
    <x v="4"/>
    <s v="CMR004005"/>
    <x v="17"/>
    <s v="CMR004005002"/>
    <s v="MOR-0078"/>
    <s v="TALLA LAWAN"/>
    <m/>
    <x v="0"/>
    <x v="2"/>
    <n v="0"/>
    <n v="9"/>
    <s v="Conflits liés à GANE (BH)"/>
    <m/>
    <s v="Même arrondissement"/>
    <s v="CMR"/>
    <s v="Cameroun"/>
    <s v="CMR004"/>
    <s v="Extrême-Nord"/>
    <s v="CMR004005"/>
    <s v="Mayo-Sava"/>
    <s v="CMR004005002"/>
    <s v="Mora"/>
  </r>
  <r>
    <s v="Extrême-Nord"/>
    <s v="CMR004"/>
    <x v="4"/>
    <s v="CMR004005"/>
    <x v="17"/>
    <s v="CMR004005002"/>
    <s v="MOR-0061"/>
    <s v="DJAMPALA"/>
    <m/>
    <x v="0"/>
    <x v="0"/>
    <n v="59"/>
    <n v="222"/>
    <s v="Conflits liés à GANE (BH)"/>
    <m/>
    <s v="Même arrondissement"/>
    <s v="CMR"/>
    <s v="Cameroun"/>
    <s v="CMR004"/>
    <s v="Extrême-Nord"/>
    <s v="CMR004005"/>
    <s v="Mayo-Sava"/>
    <s v="CMR004005002"/>
    <s v="Mora"/>
  </r>
  <r>
    <s v="Extrême-Nord"/>
    <s v="CMR004"/>
    <x v="4"/>
    <s v="CMR004005"/>
    <x v="17"/>
    <s v="CMR004005002"/>
    <s v="MOR-0061"/>
    <s v="DJAMPALA"/>
    <m/>
    <x v="0"/>
    <x v="1"/>
    <n v="0"/>
    <n v="9"/>
    <s v="Conflits liés à GANE (BH)"/>
    <m/>
    <s v="Même arrondissement"/>
    <s v="CMR"/>
    <s v="Cameroun"/>
    <s v="CMR004"/>
    <s v="Extrême-Nord"/>
    <s v="CMR004005"/>
    <s v="Mayo-Sava"/>
    <s v="CMR004005002"/>
    <s v="Mora"/>
  </r>
  <r>
    <s v="Extrême-Nord"/>
    <s v="CMR004"/>
    <x v="4"/>
    <s v="CMR004005"/>
    <x v="17"/>
    <s v="CMR004005002"/>
    <s v="MOR-0061"/>
    <s v="DJAMPALA"/>
    <m/>
    <x v="0"/>
    <x v="4"/>
    <n v="0"/>
    <n v="8"/>
    <s v="Conflits liés à GANE (BH)"/>
    <m/>
    <s v="Même arrondissement"/>
    <s v="CMR"/>
    <s v="Cameroun"/>
    <s v="CMR004"/>
    <s v="Extrême-Nord"/>
    <s v="CMR004005"/>
    <s v="Mayo-Sava"/>
    <s v="CMR004005002"/>
    <s v="Mora"/>
  </r>
  <r>
    <s v="Extrême-Nord"/>
    <s v="CMR004"/>
    <x v="4"/>
    <s v="CMR004005"/>
    <x v="17"/>
    <s v="CMR004005002"/>
    <s v="MOR-0061"/>
    <s v="DJAMPALA"/>
    <m/>
    <x v="0"/>
    <x v="3"/>
    <n v="0"/>
    <n v="32"/>
    <s v="Conflits liés à GANE (BH)"/>
    <m/>
    <s v="Même arrondissement"/>
    <s v="CMR"/>
    <s v="Cameroun"/>
    <s v="CMR004"/>
    <s v="Extrême-Nord"/>
    <s v="CMR004005"/>
    <s v="Mayo-Sava"/>
    <s v="CMR004005002"/>
    <s v="Mora"/>
  </r>
  <r>
    <s v="Extrême-Nord"/>
    <s v="CMR004"/>
    <x v="4"/>
    <s v="CMR004005"/>
    <x v="17"/>
    <s v="CMR004005002"/>
    <s v="MOR-0061"/>
    <s v="DJAMPALA"/>
    <m/>
    <x v="0"/>
    <x v="2"/>
    <n v="0"/>
    <n v="22"/>
    <s v="Conflits liés à GANE (BH)"/>
    <m/>
    <s v="Même arrondissement"/>
    <s v="CMR"/>
    <s v="Cameroun"/>
    <s v="CMR004"/>
    <s v="Extrême-Nord"/>
    <s v="CMR004005"/>
    <s v="Mayo-Sava"/>
    <s v="CMR004005002"/>
    <s v="Mora"/>
  </r>
  <r>
    <s v="Extrême-Nord"/>
    <s v="CMR004"/>
    <x v="2"/>
    <s v="CMR004002"/>
    <x v="25"/>
    <s v="CMR004002008"/>
    <s v="FOT-0025"/>
    <s v="GOLMO ARABE"/>
    <m/>
    <x v="0"/>
    <x v="0"/>
    <n v="10"/>
    <n v="99"/>
    <s v="Conflits liés à GANE (BH)"/>
    <m/>
    <s v="Même arrondissement"/>
    <s v="CMR"/>
    <s v="Cameroun"/>
    <s v="CMR004"/>
    <s v="Extrême-Nord"/>
    <s v="CMR004002"/>
    <s v="Logone-Et-Chari"/>
    <s v="CMR004002008"/>
    <s v="Fotokol"/>
  </r>
  <r>
    <s v="Extrême-Nord"/>
    <s v="CMR004"/>
    <x v="4"/>
    <s v="CMR004005"/>
    <x v="29"/>
    <s v="CMR004005003"/>
    <s v="TOK-0002"/>
    <s v="MADA KOLKACH"/>
    <m/>
    <x v="0"/>
    <x v="0"/>
    <n v="138"/>
    <n v="270"/>
    <s v="Conflits liés à GANE (BH)"/>
    <m/>
    <s v="Même arrondissement"/>
    <s v="CMR"/>
    <s v="Cameroun"/>
    <s v="CMR004"/>
    <s v="Extrême-Nord"/>
    <s v="CMR004005"/>
    <s v="Mayo-Sava"/>
    <s v="CMR004005003"/>
    <s v="Tokombéré"/>
  </r>
  <r>
    <s v="Extrême-Nord"/>
    <s v="CMR004"/>
    <x v="4"/>
    <s v="CMR004005"/>
    <x v="29"/>
    <s v="CMR004005003"/>
    <s v="TOK-0002"/>
    <s v="MADA KOLKACH"/>
    <m/>
    <x v="0"/>
    <x v="1"/>
    <n v="0"/>
    <n v="45"/>
    <s v="Conflits liés à GANE (BH)"/>
    <m/>
    <s v="Même arrondissement"/>
    <s v="CMR"/>
    <s v="Cameroun"/>
    <s v="CMR004"/>
    <s v="Extrême-Nord"/>
    <s v="CMR004005"/>
    <s v="Mayo-Sava"/>
    <s v="CMR004005003"/>
    <s v="Tokombéré"/>
  </r>
  <r>
    <s v="Extrême-Nord"/>
    <s v="CMR004"/>
    <x v="4"/>
    <s v="CMR004005"/>
    <x v="29"/>
    <s v="CMR004005003"/>
    <s v="TOK-0002"/>
    <s v="MADA KOLKACH"/>
    <m/>
    <x v="0"/>
    <x v="4"/>
    <n v="0"/>
    <n v="30"/>
    <s v="Conflits liés à GANE (BH)"/>
    <m/>
    <s v="Même arrondissement"/>
    <s v="CMR"/>
    <s v="Cameroun"/>
    <s v="CMR004"/>
    <s v="Extrême-Nord"/>
    <s v="CMR004005"/>
    <s v="Mayo-Sava"/>
    <s v="CMR004005003"/>
    <s v="Tokombéré"/>
  </r>
  <r>
    <s v="Extrême-Nord"/>
    <s v="CMR004"/>
    <x v="4"/>
    <s v="CMR004005"/>
    <x v="29"/>
    <s v="CMR004005003"/>
    <s v="TOK-0002"/>
    <s v="MADA KOLKACH"/>
    <m/>
    <x v="0"/>
    <x v="3"/>
    <n v="0"/>
    <n v="18"/>
    <s v="Conflits liés à GANE (BH)"/>
    <m/>
    <s v="Même arrondissement"/>
    <s v="CMR"/>
    <s v="Cameroun"/>
    <s v="CMR004"/>
    <s v="Extrême-Nord"/>
    <s v="CMR004005"/>
    <s v="Mayo-Sava"/>
    <s v="CMR004005003"/>
    <s v="Tokombéré"/>
  </r>
  <r>
    <s v="Extrême-Nord"/>
    <s v="CMR004"/>
    <x v="4"/>
    <s v="CMR004005"/>
    <x v="29"/>
    <s v="CMR004005003"/>
    <s v="TOK-0002"/>
    <s v="MADA KOLKACH"/>
    <m/>
    <x v="0"/>
    <x v="2"/>
    <n v="0"/>
    <n v="11"/>
    <s v="Conflits liés à GANE (BH)"/>
    <m/>
    <s v="Même arrondissement"/>
    <s v="CMR"/>
    <s v="Cameroun"/>
    <s v="CMR004"/>
    <s v="Extrême-Nord"/>
    <s v="CMR004005"/>
    <s v="Mayo-Sava"/>
    <s v="CMR004005003"/>
    <s v="Tokombéré"/>
  </r>
  <r>
    <s v="Extrême-Nord"/>
    <s v="CMR004"/>
    <x v="2"/>
    <s v="CMR004002"/>
    <x v="26"/>
    <s v="CMR004002006"/>
    <s v="KOU-0001"/>
    <s v="ALAYA"/>
    <m/>
    <x v="0"/>
    <x v="0"/>
    <n v="21"/>
    <n v="110"/>
    <s v="Conflits liés à GANE (BH)"/>
    <m/>
    <s v="Même département, autre arrondissement"/>
    <s v="CMR"/>
    <s v="Cameroun"/>
    <s v="CMR004"/>
    <s v="Extrême-Nord"/>
    <s v="CMR004002"/>
    <s v="Logone-Et-Chari"/>
    <s v="CMR004002008"/>
    <s v="Fotokol"/>
  </r>
  <r>
    <s v="Extrême-Nord"/>
    <s v="CMR004"/>
    <x v="2"/>
    <s v="CMR004002"/>
    <x v="26"/>
    <s v="CMR004002006"/>
    <s v="KOU-0001"/>
    <s v="ALAYA"/>
    <m/>
    <x v="0"/>
    <x v="1"/>
    <n v="11"/>
    <n v="50"/>
    <s v="Conflits liés à GANE (BH)"/>
    <m/>
    <s v="Même département, autre arrondissement"/>
    <s v="CMR"/>
    <s v="Cameroun"/>
    <s v="CMR004"/>
    <s v="Extrême-Nord"/>
    <s v="CMR004002"/>
    <s v="Logone-Et-Chari"/>
    <s v="CMR004002008"/>
    <s v="Fotokol"/>
  </r>
  <r>
    <s v="Extrême-Nord"/>
    <s v="CMR004"/>
    <x v="2"/>
    <s v="CMR004002"/>
    <x v="26"/>
    <s v="CMR004002006"/>
    <s v="KOU-0001"/>
    <s v="ALAYA"/>
    <m/>
    <x v="0"/>
    <x v="4"/>
    <n v="9"/>
    <n v="50"/>
    <s v="Conflits liés à GANE (BH)"/>
    <m/>
    <s v="Même département, autre arrondissement"/>
    <s v="CMR"/>
    <s v="Cameroun"/>
    <s v="CMR004"/>
    <s v="Extrême-Nord"/>
    <s v="CMR004002"/>
    <s v="Logone-Et-Chari"/>
    <s v="CMR004002008"/>
    <s v="Fotokol"/>
  </r>
  <r>
    <s v="Extrême-Nord"/>
    <s v="CMR004"/>
    <x v="2"/>
    <s v="CMR004002"/>
    <x v="26"/>
    <s v="CMR004002006"/>
    <s v="KOU-0001"/>
    <s v="ALAYA"/>
    <m/>
    <x v="0"/>
    <x v="3"/>
    <n v="9"/>
    <n v="44"/>
    <s v="Conflit intercommunautaire"/>
    <m/>
    <s v="Même département, autre arrondissement"/>
    <s v="CMR"/>
    <s v="Cameroun"/>
    <s v="CMR004"/>
    <s v="Extrême-Nord"/>
    <s v="CMR004002"/>
    <s v="Logone-Et-Chari"/>
    <s v="CMR004002004"/>
    <s v="Logone-Birni"/>
  </r>
  <r>
    <s v="Extrême-Nord"/>
    <s v="CMR004"/>
    <x v="2"/>
    <s v="CMR004002"/>
    <x v="26"/>
    <s v="CMR004002006"/>
    <s v="KOU-0001"/>
    <s v="ALAYA"/>
    <m/>
    <x v="0"/>
    <x v="2"/>
    <n v="2"/>
    <n v="18"/>
    <s v="Inondations saisonnières ou fortes pluies"/>
    <m/>
    <s v="Même département, autre arrondissement"/>
    <s v="CMR"/>
    <s v="Cameroun"/>
    <s v="CMR004"/>
    <s v="Extrême-Nord"/>
    <s v="CMR004002"/>
    <s v="Logone-Et-Chari"/>
    <s v="CMR004002004"/>
    <s v="Logone-Birni"/>
  </r>
  <r>
    <s v="Extrême-Nord"/>
    <s v="CMR004"/>
    <x v="4"/>
    <s v="CMR004005"/>
    <x v="29"/>
    <s v="CMR004005003"/>
    <s v="TOK-0006"/>
    <s v="OULDEME"/>
    <m/>
    <x v="0"/>
    <x v="0"/>
    <n v="9"/>
    <n v="55"/>
    <s v="Conflits liés à GANE (BH)"/>
    <m/>
    <s v="Même arrondissement"/>
    <s v="CMR"/>
    <s v="Cameroun"/>
    <s v="CMR004"/>
    <s v="Extrême-Nord"/>
    <s v="CMR004005"/>
    <s v="Mayo-Sava"/>
    <s v="CMR004005003"/>
    <s v="Tokombéré"/>
  </r>
  <r>
    <s v="Extrême-Nord"/>
    <s v="CMR004"/>
    <x v="4"/>
    <s v="CMR004005"/>
    <x v="29"/>
    <s v="CMR004005003"/>
    <s v="TOK-0006"/>
    <s v="OULDEME"/>
    <m/>
    <x v="0"/>
    <x v="1"/>
    <n v="0"/>
    <n v="11"/>
    <s v="Conflits liés à GANE (BH)"/>
    <m/>
    <s v="Même arrondissement"/>
    <s v="CMR"/>
    <s v="Cameroun"/>
    <s v="CMR004"/>
    <s v="Extrême-Nord"/>
    <s v="CMR004005"/>
    <s v="Mayo-Sava"/>
    <s v="CMR004005003"/>
    <s v="Tokombéré"/>
  </r>
  <r>
    <s v="Extrême-Nord"/>
    <s v="CMR004"/>
    <x v="4"/>
    <s v="CMR004005"/>
    <x v="29"/>
    <s v="CMR004005003"/>
    <s v="TOK-0006"/>
    <s v="OULDEME"/>
    <m/>
    <x v="0"/>
    <x v="4"/>
    <n v="0"/>
    <n v="42"/>
    <s v="Conflits liés à GANE (BH)"/>
    <m/>
    <s v="Même arrondissement"/>
    <s v="CMR"/>
    <s v="Cameroun"/>
    <s v="CMR004"/>
    <s v="Extrême-Nord"/>
    <s v="CMR004005"/>
    <s v="Mayo-Sava"/>
    <s v="CMR004005003"/>
    <s v="Tokombéré"/>
  </r>
  <r>
    <s v="Extrême-Nord"/>
    <s v="CMR004"/>
    <x v="4"/>
    <s v="CMR004005"/>
    <x v="29"/>
    <s v="CMR004005003"/>
    <s v="TOK-0006"/>
    <s v="OULDEME"/>
    <m/>
    <x v="0"/>
    <x v="3"/>
    <n v="0"/>
    <n v="15"/>
    <s v="Conflits liés à GANE (BH)"/>
    <m/>
    <s v="Même arrondissement"/>
    <s v="CMR"/>
    <s v="Cameroun"/>
    <s v="CMR004"/>
    <s v="Extrême-Nord"/>
    <s v="CMR004005"/>
    <s v="Mayo-Sava"/>
    <s v="CMR004005003"/>
    <s v="Tokombéré"/>
  </r>
  <r>
    <s v="Extrême-Nord"/>
    <s v="CMR004"/>
    <x v="4"/>
    <s v="CMR004005"/>
    <x v="29"/>
    <s v="CMR004005003"/>
    <s v="TOK-0006"/>
    <s v="OULDEME"/>
    <m/>
    <x v="0"/>
    <x v="2"/>
    <n v="3"/>
    <n v="10"/>
    <s v="Conflits liés à GANE (BH)"/>
    <m/>
    <s v="Même arrondissement"/>
    <s v="CMR"/>
    <s v="Cameroun"/>
    <s v="CMR004"/>
    <s v="Extrême-Nord"/>
    <s v="CMR004005"/>
    <s v="Mayo-Sava"/>
    <s v="CMR004005003"/>
    <s v="Tokombéré"/>
  </r>
  <r>
    <s v="Extrême-Nord"/>
    <s v="CMR004"/>
    <x v="2"/>
    <s v="CMR004002"/>
    <x v="8"/>
    <s v="CMR004002009"/>
    <s v="MAK-0093"/>
    <s v="WOSSO"/>
    <m/>
    <x v="0"/>
    <x v="0"/>
    <n v="6"/>
    <n v="21"/>
    <s v="Conflits liés à GANE (BH)"/>
    <m/>
    <s v="Même département, autre arrondissement"/>
    <s v="CMR"/>
    <s v="Cameroun"/>
    <s v="CMR004"/>
    <s v="Extrême-Nord"/>
    <s v="CMR004002"/>
    <s v="Logone-Et-Chari"/>
    <s v="CMR004002008"/>
    <s v="Fotokol"/>
  </r>
  <r>
    <s v="Extrême-Nord"/>
    <s v="CMR004"/>
    <x v="2"/>
    <s v="CMR004002"/>
    <x v="8"/>
    <s v="CMR004002009"/>
    <s v="MAK-0055"/>
    <s v="MADINA 2"/>
    <m/>
    <x v="0"/>
    <x v="0"/>
    <n v="10"/>
    <n v="56"/>
    <s v="Conflits liés à GANE (BH)"/>
    <m/>
    <s v="Même département, autre arrondissement"/>
    <s v="CMR"/>
    <s v="Cameroun"/>
    <s v="CMR004"/>
    <s v="Extrême-Nord"/>
    <s v="CMR004002"/>
    <s v="Logone-Et-Chari"/>
    <s v="CMR004002008"/>
    <s v="Fotokol"/>
  </r>
  <r>
    <s v="Extrême-Nord"/>
    <s v="CMR004"/>
    <x v="2"/>
    <s v="CMR004002"/>
    <x v="8"/>
    <s v="CMR004002009"/>
    <s v="MAK-0034"/>
    <s v="FARCH 1"/>
    <m/>
    <x v="0"/>
    <x v="0"/>
    <n v="12"/>
    <n v="157"/>
    <s v="Conflits liés à GANE (BH)"/>
    <m/>
    <s v="Même département, autre arrondissement"/>
    <s v="CMR"/>
    <s v="Cameroun"/>
    <s v="CMR004"/>
    <s v="Extrême-Nord"/>
    <s v="CMR004002"/>
    <s v="Logone-Et-Chari"/>
    <s v="CMR004002008"/>
    <s v="Fotokol"/>
  </r>
  <r>
    <s v="Extrême-Nord"/>
    <s v="CMR004"/>
    <x v="4"/>
    <s v="CMR004005"/>
    <x v="29"/>
    <s v="CMR004005003"/>
    <s v="TOK-0011"/>
    <s v="PALBARA"/>
    <m/>
    <x v="0"/>
    <x v="0"/>
    <n v="18"/>
    <n v="89"/>
    <s v="Conflits liés à GANE (BH)"/>
    <m/>
    <s v="Même arrondissement"/>
    <s v="CMR"/>
    <s v="Cameroun"/>
    <s v="CMR004"/>
    <s v="Extrême-Nord"/>
    <s v="CMR004005"/>
    <s v="Mayo-Sava"/>
    <s v="CMR004005003"/>
    <s v="Tokombéré"/>
  </r>
  <r>
    <s v="Extrême-Nord"/>
    <s v="CMR004"/>
    <x v="4"/>
    <s v="CMR004005"/>
    <x v="29"/>
    <s v="CMR004005003"/>
    <s v="TOK-0011"/>
    <s v="PALBARA"/>
    <m/>
    <x v="0"/>
    <x v="1"/>
    <n v="0"/>
    <n v="13"/>
    <s v="Conflits liés à GANE (BH)"/>
    <m/>
    <s v="Même arrondissement"/>
    <s v="CMR"/>
    <s v="Cameroun"/>
    <s v="CMR004"/>
    <s v="Extrême-Nord"/>
    <s v="CMR004005"/>
    <s v="Mayo-Sava"/>
    <s v="CMR004005003"/>
    <s v="Tokombéré"/>
  </r>
  <r>
    <s v="Extrême-Nord"/>
    <s v="CMR004"/>
    <x v="4"/>
    <s v="CMR004005"/>
    <x v="29"/>
    <s v="CMR004005003"/>
    <s v="TOK-0011"/>
    <s v="PALBARA"/>
    <m/>
    <x v="0"/>
    <x v="4"/>
    <n v="0"/>
    <n v="35"/>
    <s v="Conflits liés à GANE (BH)"/>
    <m/>
    <s v="Même arrondissement"/>
    <s v="CMR"/>
    <s v="Cameroun"/>
    <s v="CMR004"/>
    <s v="Extrême-Nord"/>
    <s v="CMR004005"/>
    <s v="Mayo-Sava"/>
    <s v="CMR004005003"/>
    <s v="Tokombéré"/>
  </r>
  <r>
    <s v="Extrême-Nord"/>
    <s v="CMR004"/>
    <x v="4"/>
    <s v="CMR004005"/>
    <x v="29"/>
    <s v="CMR004005003"/>
    <s v="TOK-0011"/>
    <s v="PALBARA"/>
    <m/>
    <x v="0"/>
    <x v="3"/>
    <n v="0"/>
    <n v="11"/>
    <s v="Conflits liés à GANE (BH)"/>
    <m/>
    <s v="Même arrondissement"/>
    <s v="CMR"/>
    <s v="Cameroun"/>
    <s v="CMR004"/>
    <s v="Extrême-Nord"/>
    <s v="CMR004005"/>
    <s v="Mayo-Sava"/>
    <s v="CMR004005003"/>
    <s v="Tokombéré"/>
  </r>
  <r>
    <s v="Extrême-Nord"/>
    <s v="CMR004"/>
    <x v="4"/>
    <s v="CMR004005"/>
    <x v="29"/>
    <s v="CMR004005003"/>
    <s v="TOK-0011"/>
    <s v="PALBARA"/>
    <m/>
    <x v="0"/>
    <x v="2"/>
    <n v="0"/>
    <n v="10"/>
    <s v="Conflits liés à GANE (BH)"/>
    <m/>
    <s v="Même arrondissement"/>
    <s v="CMR"/>
    <s v="Cameroun"/>
    <s v="CMR004"/>
    <s v="Extrême-Nord"/>
    <s v="CMR004005"/>
    <s v="Mayo-Sava"/>
    <s v="CMR004005003"/>
    <s v="Tokombéré"/>
  </r>
  <r>
    <s v="Extrême-Nord"/>
    <s v="CMR004"/>
    <x v="5"/>
    <s v="CMR004004"/>
    <x v="20"/>
    <s v="CMR004004006"/>
    <s v="KAE-0007"/>
    <s v="LARA"/>
    <m/>
    <x v="0"/>
    <x v="0"/>
    <n v="4"/>
    <n v="26"/>
    <s v="Inondations saisonnières ou fortes pluies"/>
    <m/>
    <s v="Autre département"/>
    <s v="CMR"/>
    <s v="Cameroun"/>
    <s v="CMR004"/>
    <s v="Extrême-Nord"/>
    <s v="CMR004003"/>
    <s v="Mayo-Danay"/>
    <m/>
    <m/>
  </r>
  <r>
    <s v="Extrême-Nord"/>
    <s v="CMR004"/>
    <x v="1"/>
    <s v="CMR004006"/>
    <x v="16"/>
    <s v="CMR004006004"/>
    <s v="KOZ-0041"/>
    <s v="GUIDEMBEK"/>
    <m/>
    <x v="0"/>
    <x v="2"/>
    <n v="10"/>
    <n v="87"/>
    <s v="Conflits liés à GANE (BH)"/>
    <m/>
    <s v="Même département, autre arrondissement"/>
    <s v="CMR"/>
    <s v="Cameroun"/>
    <s v="CMR004"/>
    <s v="Extrême-Nord"/>
    <s v="CMR004006"/>
    <s v="Mayo-Tsanaga"/>
    <s v="CMR004006005"/>
    <s v="Mayo-Moskota"/>
  </r>
  <r>
    <s v="Extrême-Nord"/>
    <s v="CMR004"/>
    <x v="1"/>
    <s v="CMR004006"/>
    <x v="16"/>
    <s v="CMR004006004"/>
    <s v="KOZ-0041"/>
    <s v="GUIDEMBEK"/>
    <m/>
    <x v="0"/>
    <x v="3"/>
    <n v="5"/>
    <n v="20"/>
    <s v="Conflits liés à GANE (BH)"/>
    <m/>
    <s v="Même département, autre arrondissement"/>
    <s v="CMR"/>
    <s v="Cameroun"/>
    <s v="CMR004"/>
    <s v="Extrême-Nord"/>
    <s v="CMR004006"/>
    <s v="Mayo-Tsanaga"/>
    <s v="CMR004006005"/>
    <s v="Mayo-Moskota"/>
  </r>
  <r>
    <s v="Extrême-Nord"/>
    <s v="CMR004"/>
    <x v="1"/>
    <s v="CMR004006"/>
    <x v="16"/>
    <s v="CMR004006004"/>
    <s v="KOZ-0041"/>
    <s v="GUIDEMBEK"/>
    <m/>
    <x v="0"/>
    <x v="4"/>
    <n v="6"/>
    <n v="42"/>
    <s v="Conflits liés à GANE (BH)"/>
    <m/>
    <s v="Même département, autre arrondissement"/>
    <s v="CMR"/>
    <s v="Cameroun"/>
    <s v="CMR004"/>
    <s v="Extrême-Nord"/>
    <s v="CMR004006"/>
    <s v="Mayo-Tsanaga"/>
    <s v="CMR004006005"/>
    <s v="Mayo-Moskota"/>
  </r>
  <r>
    <s v="Extrême-Nord"/>
    <s v="CMR004"/>
    <x v="1"/>
    <s v="CMR004006"/>
    <x v="16"/>
    <s v="CMR004006004"/>
    <s v="KOZ-0043"/>
    <s v="GUID CHIGUE"/>
    <m/>
    <x v="0"/>
    <x v="2"/>
    <n v="16"/>
    <n v="96"/>
    <s v="Conflits liés à GANE (BH)"/>
    <m/>
    <s v="Même département, autre arrondissement"/>
    <s v="CMR"/>
    <s v="Cameroun"/>
    <s v="CMR004"/>
    <s v="Extrême-Nord"/>
    <s v="CMR004006"/>
    <s v="Mayo-Tsanaga"/>
    <s v="CMR004006005"/>
    <s v="Mayo-Moskota"/>
  </r>
  <r>
    <s v="Extrême-Nord"/>
    <s v="CMR004"/>
    <x v="1"/>
    <s v="CMR004006"/>
    <x v="16"/>
    <s v="CMR004006004"/>
    <s v="KOZ-0043"/>
    <s v="GUID CHIGUE"/>
    <m/>
    <x v="0"/>
    <x v="3"/>
    <n v="9"/>
    <n v="67"/>
    <s v="Conflits liés à GANE (BH)"/>
    <m/>
    <s v="Même département, autre arrondissement"/>
    <s v="CMR"/>
    <s v="Cameroun"/>
    <s v="CMR004"/>
    <s v="Extrême-Nord"/>
    <s v="CMR004006"/>
    <s v="Mayo-Tsanaga"/>
    <s v="CMR004006005"/>
    <s v="Mayo-Moskota"/>
  </r>
  <r>
    <s v="Extrême-Nord"/>
    <s v="CMR004"/>
    <x v="1"/>
    <s v="CMR004006"/>
    <x v="16"/>
    <s v="CMR004006004"/>
    <s v="XXXX"/>
    <s v="VEGUE "/>
    <s v="VEGUE "/>
    <x v="0"/>
    <x v="2"/>
    <n v="34"/>
    <n v="79"/>
    <s v="Conflits liés à GANE (BH)"/>
    <m/>
    <s v="Même département, autre arrondissement"/>
    <s v="CMR"/>
    <s v="Cameroun"/>
    <s v="CMR004"/>
    <s v="Extrême-Nord"/>
    <s v="CMR004006"/>
    <s v="Mayo-Tsanaga"/>
    <s v="CMR004006005"/>
    <s v="Mayo-Moskota"/>
  </r>
  <r>
    <s v="Extrême-Nord"/>
    <s v="CMR004"/>
    <x v="4"/>
    <s v="CMR004005"/>
    <x v="17"/>
    <s v="CMR004005002"/>
    <s v="MOR-0068"/>
    <s v="MEHE SANDA"/>
    <m/>
    <x v="0"/>
    <x v="0"/>
    <n v="50"/>
    <n v="161"/>
    <s v="Conflits liés à GANE (BH)"/>
    <m/>
    <s v="Même arrondissement"/>
    <s v="CMR"/>
    <s v="Cameroun"/>
    <s v="CMR004"/>
    <s v="Extrême-Nord"/>
    <s v="CMR004005"/>
    <s v="Mayo-Sava"/>
    <s v="CMR004005002"/>
    <s v="Mora"/>
  </r>
  <r>
    <s v="Extrême-Nord"/>
    <s v="CMR004"/>
    <x v="4"/>
    <s v="CMR004005"/>
    <x v="17"/>
    <s v="CMR004005002"/>
    <s v="MOR-0068"/>
    <s v="MEHE SANDA"/>
    <m/>
    <x v="0"/>
    <x v="1"/>
    <n v="1"/>
    <n v="4"/>
    <s v="Conflits liés à GANE (BH)"/>
    <m/>
    <s v="Même arrondissement"/>
    <s v="CMR"/>
    <s v="Cameroun"/>
    <s v="CMR004"/>
    <s v="Extrême-Nord"/>
    <s v="CMR004005"/>
    <s v="Mayo-Sava"/>
    <s v="CMR004005002"/>
    <s v="Mora"/>
  </r>
  <r>
    <s v="Extrême-Nord"/>
    <s v="CMR004"/>
    <x v="4"/>
    <s v="CMR004005"/>
    <x v="17"/>
    <s v="CMR004005002"/>
    <s v="MOR-0068"/>
    <s v="MEHE SANDA"/>
    <m/>
    <x v="0"/>
    <x v="4"/>
    <n v="55"/>
    <n v="264"/>
    <s v="Conflits liés à GANE (BH)"/>
    <m/>
    <s v="Même arrondissement"/>
    <s v="CMR"/>
    <s v="Cameroun"/>
    <s v="CMR004"/>
    <s v="Extrême-Nord"/>
    <s v="CMR004005"/>
    <s v="Mayo-Sava"/>
    <s v="CMR004005002"/>
    <s v="Mora"/>
  </r>
  <r>
    <s v="Extrême-Nord"/>
    <s v="CMR004"/>
    <x v="4"/>
    <s v="CMR004005"/>
    <x v="17"/>
    <s v="CMR004005002"/>
    <s v="MOR-0068"/>
    <s v="MEHE SANDA"/>
    <m/>
    <x v="0"/>
    <x v="3"/>
    <n v="0"/>
    <n v="40"/>
    <s v="Conflits liés à GANE (BH)"/>
    <m/>
    <s v="Même arrondissement"/>
    <s v="CMR"/>
    <s v="Cameroun"/>
    <s v="CMR004"/>
    <s v="Extrême-Nord"/>
    <s v="CMR004005"/>
    <s v="Mayo-Sava"/>
    <s v="CMR004005002"/>
    <s v="Mora"/>
  </r>
  <r>
    <s v="Extrême-Nord"/>
    <s v="CMR004"/>
    <x v="4"/>
    <s v="CMR004005"/>
    <x v="17"/>
    <s v="CMR004005002"/>
    <s v="MOR-0068"/>
    <s v="MEHE SANDA"/>
    <m/>
    <x v="0"/>
    <x v="2"/>
    <n v="3"/>
    <n v="25"/>
    <s v="Conflits liés à GANE (BH)"/>
    <m/>
    <s v="Même arrondissement"/>
    <s v="CMR"/>
    <s v="Cameroun"/>
    <s v="CMR004"/>
    <s v="Extrême-Nord"/>
    <s v="CMR004005"/>
    <s v="Mayo-Sava"/>
    <s v="CMR004005002"/>
    <s v="Mora"/>
  </r>
  <r>
    <s v="Extrême-Nord"/>
    <s v="CMR004"/>
    <x v="4"/>
    <s v="CMR004005"/>
    <x v="17"/>
    <s v="CMR004005002"/>
    <s v="MOR-0067"/>
    <s v="MANDALARI"/>
    <m/>
    <x v="0"/>
    <x v="0"/>
    <n v="41"/>
    <n v="201"/>
    <s v="Conflits liés à GANE (BH)"/>
    <m/>
    <s v="Même arrondissement"/>
    <s v="CMR"/>
    <s v="Cameroun"/>
    <s v="CMR004"/>
    <s v="Extrême-Nord"/>
    <s v="CMR004005"/>
    <s v="Mayo-Sava"/>
    <s v="CMR004005002"/>
    <s v="Mora"/>
  </r>
  <r>
    <s v="Extrême-Nord"/>
    <s v="CMR004"/>
    <x v="4"/>
    <s v="CMR004005"/>
    <x v="17"/>
    <s v="CMR004005002"/>
    <s v="MOR-0067"/>
    <s v="MANDALARI"/>
    <m/>
    <x v="0"/>
    <x v="1"/>
    <n v="2"/>
    <n v="11"/>
    <s v="Conflits liés à GANE (BH)"/>
    <m/>
    <s v="Même arrondissement"/>
    <s v="CMR"/>
    <s v="Cameroun"/>
    <s v="CMR004"/>
    <s v="Extrême-Nord"/>
    <s v="CMR004005"/>
    <s v="Mayo-Sava"/>
    <s v="CMR004005002"/>
    <s v="Mora"/>
  </r>
  <r>
    <s v="Extrême-Nord"/>
    <s v="CMR004"/>
    <x v="4"/>
    <s v="CMR004005"/>
    <x v="17"/>
    <s v="CMR004005002"/>
    <s v="MOR-0067"/>
    <s v="MANDALARI"/>
    <m/>
    <x v="0"/>
    <x v="4"/>
    <n v="3"/>
    <n v="34"/>
    <s v="Conflits liés à GANE (BH)"/>
    <m/>
    <s v="Même arrondissement"/>
    <s v="CMR"/>
    <s v="Cameroun"/>
    <s v="CMR004"/>
    <s v="Extrême-Nord"/>
    <s v="CMR004005"/>
    <s v="Mayo-Sava"/>
    <s v="CMR004005002"/>
    <s v="Mora"/>
  </r>
  <r>
    <s v="Extrême-Nord"/>
    <s v="CMR004"/>
    <x v="4"/>
    <s v="CMR004005"/>
    <x v="17"/>
    <s v="CMR004005002"/>
    <s v="MOR-0067"/>
    <s v="MANDALARI"/>
    <m/>
    <x v="0"/>
    <x v="3"/>
    <n v="10"/>
    <n v="105"/>
    <s v="Conflits liés à GANE (BH)"/>
    <m/>
    <s v="Même arrondissement"/>
    <s v="CMR"/>
    <s v="Cameroun"/>
    <s v="CMR004"/>
    <s v="Extrême-Nord"/>
    <s v="CMR004005"/>
    <s v="Mayo-Sava"/>
    <s v="CMR004005002"/>
    <s v="Mora"/>
  </r>
  <r>
    <s v="Extrême-Nord"/>
    <s v="CMR004"/>
    <x v="4"/>
    <s v="CMR004005"/>
    <x v="17"/>
    <s v="CMR004005002"/>
    <s v="MOR-0067"/>
    <s v="MANDALARI"/>
    <m/>
    <x v="0"/>
    <x v="2"/>
    <n v="0"/>
    <n v="3"/>
    <s v="Conflits liés à GANE (BH)"/>
    <m/>
    <s v="Même arrondissement"/>
    <s v="CMR"/>
    <s v="Cameroun"/>
    <s v="CMR004"/>
    <s v="Extrême-Nord"/>
    <s v="CMR004005"/>
    <s v="Mayo-Sava"/>
    <s v="CMR004005002"/>
    <s v="Mora"/>
  </r>
  <r>
    <s v="Extrême-Nord"/>
    <s v="CMR004"/>
    <x v="2"/>
    <s v="CMR004002"/>
    <x v="12"/>
    <s v="CMR004002002"/>
    <s v="GOU-0052"/>
    <s v="HILEGUIME"/>
    <m/>
    <x v="0"/>
    <x v="1"/>
    <n v="10"/>
    <n v="40"/>
    <s v="Conflit intercommunautaire"/>
    <m/>
    <s v="Même département, autre arrondissement"/>
    <s v="CMR"/>
    <s v="Cameroun"/>
    <s v="CMR004"/>
    <s v="Extrême-Nord"/>
    <s v="CMR004002"/>
    <s v="Logone-Et-Chari"/>
    <s v="CMR004002004"/>
    <s v="Logone-Birni"/>
  </r>
  <r>
    <s v="Extrême-Nord"/>
    <s v="CMR004"/>
    <x v="2"/>
    <s v="CMR004002"/>
    <x v="10"/>
    <s v="CMR004002003"/>
    <s v="BLA-0027"/>
    <s v="BLARAM SIGNAKA"/>
    <m/>
    <x v="0"/>
    <x v="0"/>
    <n v="4"/>
    <n v="28"/>
    <s v="Conflits liés à GANE (BH)"/>
    <m/>
    <s v="Même département, autre arrondissement"/>
    <s v="CMR"/>
    <s v="Cameroun"/>
    <s v="CMR004"/>
    <s v="Extrême-Nord"/>
    <s v="CMR004002"/>
    <s v="Logone-Et-Chari"/>
    <s v="CMR004002007"/>
    <s v="Darak"/>
  </r>
  <r>
    <s v="Extrême-Nord"/>
    <s v="CMR004"/>
    <x v="2"/>
    <s v="CMR004002"/>
    <x v="26"/>
    <s v="CMR004002006"/>
    <s v="KOU-0009"/>
    <s v="HARAZAYA"/>
    <m/>
    <x v="0"/>
    <x v="0"/>
    <n v="60"/>
    <n v="250"/>
    <s v="Conflits liés à GANE (BH)"/>
    <m/>
    <s v="Même département, autre arrondissement"/>
    <s v="CMR"/>
    <s v="Cameroun"/>
    <s v="CMR004"/>
    <s v="Extrême-Nord"/>
    <s v="CMR004002"/>
    <s v="Logone-Et-Chari"/>
    <s v="CMR004002008"/>
    <s v="Fotokol"/>
  </r>
  <r>
    <s v="Extrême-Nord"/>
    <s v="CMR004"/>
    <x v="2"/>
    <s v="CMR004002"/>
    <x v="26"/>
    <s v="CMR004002006"/>
    <s v="KOU-0009"/>
    <s v="HARAZAYA"/>
    <m/>
    <x v="0"/>
    <x v="1"/>
    <n v="30"/>
    <n v="140"/>
    <s v="Conflits liés à GANE (BH)"/>
    <m/>
    <s v="Même département, autre arrondissement"/>
    <s v="CMR"/>
    <s v="Cameroun"/>
    <s v="CMR004"/>
    <s v="Extrême-Nord"/>
    <s v="CMR004002"/>
    <s v="Logone-Et-Chari"/>
    <s v="CMR004002008"/>
    <s v="Fotokol"/>
  </r>
  <r>
    <s v="Extrême-Nord"/>
    <s v="CMR004"/>
    <x v="2"/>
    <s v="CMR004002"/>
    <x v="26"/>
    <s v="CMR004002006"/>
    <s v="KOU-0009"/>
    <s v="HARAZAYA"/>
    <m/>
    <x v="0"/>
    <x v="4"/>
    <n v="12"/>
    <n v="70"/>
    <s v="Conflits liés à GANE (BH)"/>
    <m/>
    <s v="Même département, autre arrondissement"/>
    <s v="CMR"/>
    <s v="Cameroun"/>
    <s v="CMR004"/>
    <s v="Extrême-Nord"/>
    <s v="CMR004002"/>
    <s v="Logone-Et-Chari"/>
    <s v="CMR004002008"/>
    <s v="Fotokol"/>
  </r>
  <r>
    <s v="Extrême-Nord"/>
    <s v="CMR004"/>
    <x v="2"/>
    <s v="CMR004002"/>
    <x v="26"/>
    <s v="CMR004002006"/>
    <s v="KOU-0009"/>
    <s v="HARAZAYA"/>
    <m/>
    <x v="0"/>
    <x v="3"/>
    <n v="17"/>
    <n v="152"/>
    <s v="Conflit intercommunautaire"/>
    <m/>
    <s v="Même département, autre arrondissement"/>
    <s v="CMR"/>
    <s v="Cameroun"/>
    <s v="CMR004"/>
    <s v="Extrême-Nord"/>
    <s v="CMR004002"/>
    <s v="Logone-Et-Chari"/>
    <s v="CMR004002004"/>
    <s v="Logone-Birni"/>
  </r>
  <r>
    <s v="Extrême-Nord"/>
    <s v="CMR004"/>
    <x v="2"/>
    <s v="CMR004002"/>
    <x v="26"/>
    <s v="CMR004002006"/>
    <s v="KOU-0009"/>
    <s v="HARAZAYA"/>
    <m/>
    <x v="0"/>
    <x v="2"/>
    <n v="3"/>
    <n v="26"/>
    <s v="Inondations saisonnières ou fortes pluies"/>
    <m/>
    <s v="Même département, autre arrondissement"/>
    <s v="CMR"/>
    <s v="Cameroun"/>
    <s v="CMR004"/>
    <s v="Extrême-Nord"/>
    <s v="CMR004002"/>
    <s v="Logone-Et-Chari"/>
    <s v="CMR004002004"/>
    <s v="Logone-Birni"/>
  </r>
  <r>
    <s v="Extrême-Nord"/>
    <s v="CMR004"/>
    <x v="2"/>
    <s v="CMR004002"/>
    <x v="8"/>
    <s v="CMR004002009"/>
    <s v="MAK-0106"/>
    <s v="CHOU-SALAMAT"/>
    <m/>
    <x v="0"/>
    <x v="3"/>
    <n v="10"/>
    <n v="29"/>
    <s v="Conflits liés à GANE (BH)"/>
    <m/>
    <s v="Même arrondissement"/>
    <s v="CMR"/>
    <s v="Cameroun"/>
    <s v="CMR004"/>
    <s v="Extrême-Nord"/>
    <s v="CMR004002"/>
    <s v="Logone-Et-Chari"/>
    <s v="CMR004002009"/>
    <s v="Makary"/>
  </r>
  <r>
    <s v="Extrême-Nord"/>
    <s v="CMR004"/>
    <x v="2"/>
    <s v="CMR004002"/>
    <x v="8"/>
    <s v="CMR004002009"/>
    <s v="MAK-0105"/>
    <s v="CHOU-KOTOKO"/>
    <m/>
    <x v="0"/>
    <x v="3"/>
    <n v="11"/>
    <n v="50"/>
    <s v="Conflits liés à GANE (BH)"/>
    <m/>
    <s v="Même arrondissement"/>
    <s v="CMR"/>
    <s v="Cameroun"/>
    <s v="CMR004"/>
    <s v="Extrême-Nord"/>
    <s v="CMR004002"/>
    <s v="Logone-Et-Chari"/>
    <s v="CMR004002009"/>
    <s v="Makary"/>
  </r>
  <r>
    <s v="Extrême-Nord"/>
    <s v="CMR004"/>
    <x v="2"/>
    <s v="CMR004002"/>
    <x v="8"/>
    <s v="CMR004002009"/>
    <s v="MAK-0115"/>
    <s v="NGORTCHONO 2"/>
    <m/>
    <x v="0"/>
    <x v="3"/>
    <n v="14"/>
    <n v="110"/>
    <s v="Conflits liés à GANE (BH)"/>
    <m/>
    <s v="Même arrondissement"/>
    <s v="CMR"/>
    <s v="Cameroun"/>
    <s v="CMR004"/>
    <s v="Extrême-Nord"/>
    <s v="CMR004002"/>
    <s v="Logone-Et-Chari"/>
    <s v="CMR004002009"/>
    <s v="Makary"/>
  </r>
  <r>
    <s v="Extrême-Nord"/>
    <s v="CMR004"/>
    <x v="2"/>
    <s v="CMR004002"/>
    <x v="8"/>
    <s v="CMR004002009"/>
    <s v="MAK-0082"/>
    <s v="NGARDOUGOUM"/>
    <m/>
    <x v="0"/>
    <x v="3"/>
    <n v="37"/>
    <n v="339"/>
    <s v="Conflits liés à GANE (BH)"/>
    <m/>
    <s v="Même arrondissement"/>
    <s v="CMR"/>
    <s v="Cameroun"/>
    <s v="CMR004"/>
    <s v="Extrême-Nord"/>
    <s v="CMR004002"/>
    <s v="Logone-Et-Chari"/>
    <s v="CMR004002009"/>
    <s v="Makary"/>
  </r>
  <r>
    <s v="Extrême-Nord"/>
    <s v="CMR004"/>
    <x v="2"/>
    <s v="CMR004002"/>
    <x v="8"/>
    <s v="CMR004002009"/>
    <s v="MAK-0103"/>
    <s v="NGOURNOU"/>
    <m/>
    <x v="0"/>
    <x v="3"/>
    <n v="130"/>
    <n v="246"/>
    <s v="Conflits liés à GANE (BH)"/>
    <m/>
    <s v="Même arrondissement"/>
    <s v="CMR"/>
    <s v="Cameroun"/>
    <s v="CMR004"/>
    <s v="Extrême-Nord"/>
    <s v="CMR004002"/>
    <s v="Logone-Et-Chari"/>
    <s v="CMR004002009"/>
    <s v="Makary"/>
  </r>
  <r>
    <s v="Extrême-Nord"/>
    <s v="CMR004"/>
    <x v="2"/>
    <s v="CMR004002"/>
    <x v="8"/>
    <s v="CMR004002009"/>
    <s v="MAK-0101"/>
    <s v="MBEE"/>
    <m/>
    <x v="0"/>
    <x v="3"/>
    <n v="24"/>
    <n v="182"/>
    <s v="Conflits liés à GANE (BH)"/>
    <m/>
    <s v="Même arrondissement"/>
    <s v="CMR"/>
    <s v="Cameroun"/>
    <s v="CMR004"/>
    <s v="Extrême-Nord"/>
    <s v="CMR004002"/>
    <s v="Logone-Et-Chari"/>
    <s v="CMR004002009"/>
    <s v="Makary"/>
  </r>
  <r>
    <s v="Extrême-Nord"/>
    <s v="CMR004"/>
    <x v="2"/>
    <s v="CMR004002"/>
    <x v="8"/>
    <s v="CMR004002009"/>
    <s v="MAK-0207"/>
    <s v="SITE DE MAFOUFOU"/>
    <m/>
    <x v="0"/>
    <x v="3"/>
    <n v="87"/>
    <n v="1048"/>
    <s v="Conflits liés à GANE (BH)"/>
    <m/>
    <s v="Même arrondissement"/>
    <s v="CMR"/>
    <s v="Cameroun"/>
    <s v="CMR004"/>
    <s v="Extrême-Nord"/>
    <s v="CMR004002"/>
    <s v="Logone-Et-Chari"/>
    <s v="CMR004002009"/>
    <s v="Makary"/>
  </r>
  <r>
    <s v="Extrême-Nord"/>
    <s v="CMR004"/>
    <x v="2"/>
    <s v="CMR004002"/>
    <x v="8"/>
    <s v="CMR004002009"/>
    <s v="MAK-0127"/>
    <s v="SITE DE BEDA"/>
    <m/>
    <x v="0"/>
    <x v="0"/>
    <n v="49"/>
    <n v="485"/>
    <s v="Conflits liés à GANE (BH)"/>
    <m/>
    <s v="Même arrondissement"/>
    <s v="CMR"/>
    <s v="Cameroun"/>
    <s v="CMR004"/>
    <s v="Extrême-Nord"/>
    <s v="CMR004002"/>
    <s v="Logone-Et-Chari"/>
    <s v="CMR004002009"/>
    <s v="Makary"/>
  </r>
  <r>
    <s v="Extrême-Nord"/>
    <s v="CMR004"/>
    <x v="2"/>
    <s v="CMR004002"/>
    <x v="25"/>
    <s v="CMR004002008"/>
    <s v="FOT-0037"/>
    <s v="BIDI"/>
    <m/>
    <x v="0"/>
    <x v="0"/>
    <n v="1"/>
    <n v="8"/>
    <s v="Conflits liés à GANE (BH)"/>
    <m/>
    <s v="Même arrondissement"/>
    <s v="CMR"/>
    <s v="Cameroun"/>
    <s v="CMR004"/>
    <s v="Extrême-Nord"/>
    <s v="CMR004002"/>
    <s v="Logone-Et-Chari"/>
    <s v="CMR004002008"/>
    <s v="Fotokol"/>
  </r>
  <r>
    <s v="Extrême-Nord"/>
    <s v="CMR004"/>
    <x v="2"/>
    <s v="CMR004002"/>
    <x v="25"/>
    <s v="CMR004002008"/>
    <s v="FOT-0002"/>
    <s v="BLANGAFE"/>
    <m/>
    <x v="0"/>
    <x v="4"/>
    <n v="75"/>
    <n v="428"/>
    <s v="Conflits liés à GANE (BH)"/>
    <m/>
    <s v="Même arrondissement"/>
    <s v="CMR"/>
    <s v="Cameroun"/>
    <s v="CMR004"/>
    <s v="Extrême-Nord"/>
    <s v="CMR004002"/>
    <s v="Logone-Et-Chari"/>
    <s v="CMR004002008"/>
    <s v="Fotokol"/>
  </r>
  <r>
    <s v="Extrême-Nord"/>
    <s v="CMR004"/>
    <x v="2"/>
    <s v="CMR004002"/>
    <x v="25"/>
    <s v="CMR004002008"/>
    <s v="FOT-0022"/>
    <s v="BELGUEDE"/>
    <m/>
    <x v="0"/>
    <x v="0"/>
    <n v="63"/>
    <n v="403"/>
    <s v="Conflits liés à GANE (BH)"/>
    <m/>
    <s v="Même arrondissement"/>
    <s v="CMR"/>
    <s v="Cameroun"/>
    <s v="CMR004"/>
    <s v="Extrême-Nord"/>
    <s v="CMR004002"/>
    <s v="Logone-Et-Chari"/>
    <s v="CMR004002008"/>
    <s v="Fotokol"/>
  </r>
  <r>
    <s v="Extrême-Nord"/>
    <s v="CMR004"/>
    <x v="2"/>
    <s v="CMR004002"/>
    <x v="25"/>
    <s v="CMR004002008"/>
    <s v="FOT-0022"/>
    <s v="BELGUEDE"/>
    <m/>
    <x v="0"/>
    <x v="4"/>
    <n v="4"/>
    <n v="16"/>
    <s v="Conflits liés à GANE (BH)"/>
    <m/>
    <s v="Même arrondissement"/>
    <s v="CMR"/>
    <s v="Cameroun"/>
    <s v="CMR004"/>
    <s v="Extrême-Nord"/>
    <s v="CMR004002"/>
    <s v="Logone-Et-Chari"/>
    <s v="CMR004002008"/>
    <s v="Fotokol"/>
  </r>
  <r>
    <s v="Extrême-Nord"/>
    <s v="CMR004"/>
    <x v="2"/>
    <s v="CMR004002"/>
    <x v="25"/>
    <s v="CMR004002008"/>
    <s v="FOT-0007"/>
    <s v="KALOUE"/>
    <m/>
    <x v="0"/>
    <x v="0"/>
    <n v="10"/>
    <n v="59"/>
    <s v="Conflits liés à GANE (BH)"/>
    <m/>
    <s v="Même arrondissement"/>
    <s v="CMR"/>
    <s v="Cameroun"/>
    <s v="CMR004"/>
    <s v="Extrême-Nord"/>
    <s v="CMR004002"/>
    <s v="Logone-Et-Chari"/>
    <s v="CMR004002008"/>
    <s v="Fotokol"/>
  </r>
  <r>
    <s v="Extrême-Nord"/>
    <s v="CMR004"/>
    <x v="2"/>
    <s v="CMR004002"/>
    <x v="8"/>
    <s v="CMR004002009"/>
    <s v="MAK-0141"/>
    <s v="KOUMBOULA"/>
    <m/>
    <x v="0"/>
    <x v="0"/>
    <n v="21"/>
    <n v="77"/>
    <s v="Conflits liés à GANE (BH)"/>
    <m/>
    <s v="Même arrondissement"/>
    <s v="CMR"/>
    <s v="Cameroun"/>
    <s v="CMR004"/>
    <s v="Extrême-Nord"/>
    <s v="CMR004002"/>
    <s v="Logone-Et-Chari"/>
    <s v="CMR004002009"/>
    <s v="Makary"/>
  </r>
  <r>
    <s v="Extrême-Nord"/>
    <s v="CMR004"/>
    <x v="2"/>
    <s v="CMR004002"/>
    <x v="8"/>
    <s v="CMR004002009"/>
    <s v="MAK-0145"/>
    <s v="NGORTCHONO 1"/>
    <m/>
    <x v="0"/>
    <x v="0"/>
    <n v="3"/>
    <n v="47"/>
    <s v="Conflits liés à GANE (BH)"/>
    <m/>
    <s v="Même arrondissement"/>
    <s v="CMR"/>
    <s v="Cameroun"/>
    <s v="CMR004"/>
    <s v="Extrême-Nord"/>
    <s v="CMR004002"/>
    <s v="Logone-Et-Chari"/>
    <s v="CMR004002009"/>
    <s v="Makary"/>
  </r>
  <r>
    <s v="Extrême-Nord"/>
    <s v="CMR004"/>
    <x v="4"/>
    <s v="CMR004005"/>
    <x v="19"/>
    <s v="CMR004005001"/>
    <s v="KOL-0010"/>
    <s v="KERAWA"/>
    <m/>
    <x v="0"/>
    <x v="0"/>
    <n v="559"/>
    <n v="4482"/>
    <s v="Conflits liés à GANE (BH)"/>
    <m/>
    <s v="Même arrondissement"/>
    <s v="CMR"/>
    <s v="Cameroun"/>
    <s v="CMR004"/>
    <s v="Extrême-Nord"/>
    <s v="CMR004005"/>
    <s v="Mayo-Sava"/>
    <s v="CMR004005001"/>
    <s v="Kolofata"/>
  </r>
  <r>
    <s v="Extrême-Nord"/>
    <s v="CMR004"/>
    <x v="4"/>
    <s v="CMR004005"/>
    <x v="19"/>
    <s v="CMR004005001"/>
    <s v="KOL-0010"/>
    <s v="KERAWA"/>
    <m/>
    <x v="0"/>
    <x v="1"/>
    <n v="6"/>
    <n v="43"/>
    <s v="Conflits liés à GANE (BH)"/>
    <m/>
    <s v="Même arrondissement"/>
    <s v="CMR"/>
    <s v="Cameroun"/>
    <s v="CMR004"/>
    <s v="Extrême-Nord"/>
    <s v="CMR004005"/>
    <s v="Mayo-Sava"/>
    <s v="CMR004005001"/>
    <s v="Kolofata"/>
  </r>
  <r>
    <s v="Extrême-Nord"/>
    <s v="CMR004"/>
    <x v="4"/>
    <s v="CMR004005"/>
    <x v="19"/>
    <s v="CMR004005001"/>
    <s v="KOL-0010"/>
    <s v="KERAWA"/>
    <m/>
    <x v="0"/>
    <x v="4"/>
    <n v="193"/>
    <n v="916"/>
    <s v="Conflits liés à GANE (BH)"/>
    <m/>
    <s v="Même arrondissement"/>
    <s v="CMR"/>
    <s v="Cameroun"/>
    <s v="CMR004"/>
    <s v="Extrême-Nord"/>
    <s v="CMR004005"/>
    <s v="Mayo-Sava"/>
    <s v="CMR004005001"/>
    <s v="Kolofata"/>
  </r>
  <r>
    <s v="Extrême-Nord"/>
    <s v="CMR004"/>
    <x v="4"/>
    <s v="CMR004005"/>
    <x v="19"/>
    <s v="CMR004005001"/>
    <s v="KOL-0010"/>
    <s v="KERAWA"/>
    <m/>
    <x v="0"/>
    <x v="3"/>
    <n v="45"/>
    <n v="525"/>
    <s v="Conflits liés à GANE (BH)"/>
    <m/>
    <s v="Même arrondissement"/>
    <s v="CMR"/>
    <s v="Cameroun"/>
    <s v="CMR004"/>
    <s v="Extrême-Nord"/>
    <s v="CMR004005"/>
    <s v="Mayo-Sava"/>
    <s v="CMR004005001"/>
    <s v="Kolofata"/>
  </r>
  <r>
    <s v="Extrême-Nord"/>
    <s v="CMR004"/>
    <x v="4"/>
    <s v="CMR004005"/>
    <x v="19"/>
    <s v="CMR004005001"/>
    <s v="KOL-0010"/>
    <s v="KERAWA"/>
    <m/>
    <x v="0"/>
    <x v="2"/>
    <n v="0"/>
    <n v="80"/>
    <s v="Conflits liés à GANE (BH)"/>
    <m/>
    <s v="Même arrondissement"/>
    <s v="CMR"/>
    <s v="Cameroun"/>
    <s v="CMR004"/>
    <s v="Extrême-Nord"/>
    <s v="CMR004005"/>
    <s v="Mayo-Sava"/>
    <s v="CMR004005001"/>
    <s v="Kolofata"/>
  </r>
  <r>
    <s v="Extrême-Nord"/>
    <s v="CMR004"/>
    <x v="1"/>
    <s v="CMR004006"/>
    <x v="16"/>
    <s v="CMR004006004"/>
    <s v="KOZ-0010"/>
    <s v="GOUSDA MAKANDAI"/>
    <m/>
    <x v="0"/>
    <x v="0"/>
    <n v="1"/>
    <n v="6"/>
    <s v="Conflits liés à GANE (BH)"/>
    <m/>
    <s v="Même département, autre arrondissement"/>
    <s v="CMR"/>
    <s v="Cameroun"/>
    <s v="CMR004"/>
    <s v="Extrême-Nord"/>
    <s v="CMR004006"/>
    <s v="Mayo-Tsanaga"/>
    <s v="CMR004006005"/>
    <s v="Mayo-Moskota"/>
  </r>
  <r>
    <s v="Extrême-Nord"/>
    <s v="CMR004"/>
    <x v="1"/>
    <s v="CMR004006"/>
    <x v="16"/>
    <s v="CMR004006004"/>
    <s v="KOZ-0010"/>
    <s v="GOUSDA MAKANDAI"/>
    <m/>
    <x v="0"/>
    <x v="3"/>
    <n v="36"/>
    <n v="250"/>
    <s v="Conflits liés à GANE (BH)"/>
    <m/>
    <s v="Même département, autre arrondissement"/>
    <s v="CMR"/>
    <s v="Cameroun"/>
    <s v="CMR004"/>
    <s v="Extrême-Nord"/>
    <s v="CMR004006"/>
    <s v="Mayo-Tsanaga"/>
    <s v="CMR004006005"/>
    <s v="Mayo-Moskota"/>
  </r>
  <r>
    <s v="Extrême-Nord"/>
    <s v="CMR004"/>
    <x v="1"/>
    <s v="CMR004006"/>
    <x v="16"/>
    <s v="CMR004006004"/>
    <s v="KOZ-0010"/>
    <s v="GOUSDA MAKANDAI"/>
    <m/>
    <x v="0"/>
    <x v="2"/>
    <n v="3"/>
    <n v="12"/>
    <s v="Conflits liés à GANE (BH)"/>
    <m/>
    <s v="Même département, autre arrondissement"/>
    <s v="CMR"/>
    <s v="Cameroun"/>
    <s v="CMR004"/>
    <s v="Extrême-Nord"/>
    <s v="CMR004006"/>
    <s v="Mayo-Tsanaga"/>
    <s v="CMR004006005"/>
    <s v="Mayo-Moskota"/>
  </r>
  <r>
    <s v="Extrême-Nord"/>
    <s v="CMR004"/>
    <x v="1"/>
    <s v="CMR004006"/>
    <x v="16"/>
    <s v="CMR004006004"/>
    <s v="KOZ-0013"/>
    <s v="GUID BALA"/>
    <m/>
    <x v="0"/>
    <x v="3"/>
    <n v="164"/>
    <n v="701"/>
    <s v="Conflits liés à GANE (BH)"/>
    <m/>
    <s v="Même département, autre arrondissement"/>
    <s v="CMR"/>
    <s v="Cameroun"/>
    <s v="CMR004"/>
    <s v="Extrême-Nord"/>
    <s v="CMR004006"/>
    <s v="Mayo-Tsanaga"/>
    <s v="CMR004006005"/>
    <s v="Mayo-Moskota"/>
  </r>
  <r>
    <s v="Extrême-Nord"/>
    <s v="CMR004"/>
    <x v="1"/>
    <s v="CMR004006"/>
    <x v="16"/>
    <s v="CMR004006004"/>
    <s v="KOZ-0013"/>
    <s v="GUID BALA"/>
    <m/>
    <x v="0"/>
    <x v="2"/>
    <n v="176"/>
    <n v="1464"/>
    <s v="Conflits liés à GANE (BH)"/>
    <m/>
    <s v="Même arrondissement"/>
    <s v="CMR"/>
    <s v="Cameroun"/>
    <s v="CMR004"/>
    <s v="Extrême-Nord"/>
    <s v="CMR004006"/>
    <s v="Mayo-Tsanaga"/>
    <s v="CMR004006004"/>
    <s v="Koza"/>
  </r>
  <r>
    <s v="Extrême-Nord"/>
    <s v="CMR004"/>
    <x v="1"/>
    <s v="CMR004006"/>
    <x v="16"/>
    <s v="CMR004006004"/>
    <s v="KOZ-0019"/>
    <s v="MAZI"/>
    <m/>
    <x v="0"/>
    <x v="4"/>
    <n v="25"/>
    <n v="200"/>
    <s v="Conflits liés à GANE (BH)"/>
    <m/>
    <s v="Même département, autre arrondissement"/>
    <s v="CMR"/>
    <s v="Cameroun"/>
    <s v="CMR004"/>
    <s v="Extrême-Nord"/>
    <s v="CMR004006"/>
    <s v="Mayo-Tsanaga"/>
    <s v="CMR004006005"/>
    <s v="Mayo-Moskota"/>
  </r>
  <r>
    <s v="Extrême-Nord"/>
    <s v="CMR004"/>
    <x v="1"/>
    <s v="CMR004006"/>
    <x v="16"/>
    <s v="CMR004006004"/>
    <s v="KOZ-0019"/>
    <s v="MAZI"/>
    <m/>
    <x v="0"/>
    <x v="3"/>
    <n v="86"/>
    <n v="609"/>
    <s v="Conflits liés à GANE (BH)"/>
    <m/>
    <s v="Même département, autre arrondissement"/>
    <s v="CMR"/>
    <s v="Cameroun"/>
    <s v="CMR004"/>
    <s v="Extrême-Nord"/>
    <s v="CMR004006"/>
    <s v="Mayo-Tsanaga"/>
    <s v="CMR004006005"/>
    <s v="Mayo-Moskota"/>
  </r>
  <r>
    <s v="Extrême-Nord"/>
    <s v="CMR004"/>
    <x v="1"/>
    <s v="CMR004006"/>
    <x v="16"/>
    <s v="CMR004006004"/>
    <s v="KOZ-0019"/>
    <s v="MAZI"/>
    <m/>
    <x v="0"/>
    <x v="2"/>
    <n v="51"/>
    <n v="260"/>
    <s v="Conflits liés à GANE (BH)"/>
    <m/>
    <s v="Même département, autre arrondissement"/>
    <s v="CMR"/>
    <s v="Cameroun"/>
    <s v="CMR004"/>
    <s v="Extrême-Nord"/>
    <s v="CMR004006"/>
    <s v="Mayo-Tsanaga"/>
    <s v="CMR004006005"/>
    <s v="Mayo-Moskota"/>
  </r>
  <r>
    <s v="Extrême-Nord"/>
    <s v="CMR004"/>
    <x v="1"/>
    <s v="CMR004006"/>
    <x v="16"/>
    <s v="CMR004006004"/>
    <s v="KOZ-0038"/>
    <s v="MAVOUMAY"/>
    <m/>
    <x v="0"/>
    <x v="4"/>
    <n v="0"/>
    <n v="15"/>
    <s v="Conflits liés à GANE (BH)"/>
    <m/>
    <s v="Même département, autre arrondissement"/>
    <s v="CMR"/>
    <s v="Cameroun"/>
    <s v="CMR004"/>
    <s v="Extrême-Nord"/>
    <s v="CMR004006"/>
    <s v="Mayo-Tsanaga"/>
    <s v="CMR004006005"/>
    <s v="Mayo-Moskota"/>
  </r>
  <r>
    <s v="Extrême-Nord"/>
    <s v="CMR004"/>
    <x v="1"/>
    <s v="CMR004006"/>
    <x v="16"/>
    <s v="CMR004006004"/>
    <s v="KOZ-0038"/>
    <s v="MAVOUMAY"/>
    <m/>
    <x v="0"/>
    <x v="3"/>
    <n v="92"/>
    <n v="445"/>
    <s v="Conflits liés à GANE (BH)"/>
    <m/>
    <s v="Même département, autre arrondissement"/>
    <s v="CMR"/>
    <s v="Cameroun"/>
    <s v="CMR004"/>
    <s v="Extrême-Nord"/>
    <s v="CMR004006"/>
    <s v="Mayo-Tsanaga"/>
    <s v="CMR004006005"/>
    <s v="Mayo-Moskota"/>
  </r>
  <r>
    <s v="Extrême-Nord"/>
    <s v="CMR004"/>
    <x v="1"/>
    <s v="CMR004006"/>
    <x v="16"/>
    <s v="CMR004006004"/>
    <s v="KOZ-0038"/>
    <s v="MAVOUMAY"/>
    <m/>
    <x v="0"/>
    <x v="2"/>
    <n v="23"/>
    <n v="176"/>
    <s v="Conflits liés à GANE (BH)"/>
    <m/>
    <s v="Même département, autre arrondissement"/>
    <s v="CMR"/>
    <s v="Cameroun"/>
    <s v="CMR004"/>
    <s v="Extrême-Nord"/>
    <s v="CMR004006"/>
    <s v="Mayo-Tsanaga"/>
    <s v="CMR004006005"/>
    <s v="Mayo-Moskota"/>
  </r>
  <r>
    <s v="Extrême-Nord"/>
    <s v="CMR004"/>
    <x v="2"/>
    <s v="CMR004002"/>
    <x v="9"/>
    <s v="CMR004002010"/>
    <s v="HIL-0022"/>
    <s v="FADJA"/>
    <m/>
    <x v="0"/>
    <x v="0"/>
    <n v="5"/>
    <n v="35"/>
    <s v="Conflits liés à GANE (BH)"/>
    <m/>
    <s v="Même arrondissement"/>
    <s v="CMR"/>
    <s v="Cameroun"/>
    <s v="CMR004"/>
    <s v="Extrême-Nord"/>
    <s v="CMR004002"/>
    <s v="Logone-Et-Chari"/>
    <s v="CMR004002010"/>
    <s v="Hile-Alifa"/>
  </r>
  <r>
    <s v="Extrême-Nord"/>
    <s v="CMR004"/>
    <x v="2"/>
    <s v="CMR004002"/>
    <x v="9"/>
    <s v="CMR004002010"/>
    <s v="HIL-0022"/>
    <s v="FADJA"/>
    <m/>
    <x v="0"/>
    <x v="2"/>
    <n v="6"/>
    <n v="42"/>
    <s v="Conflits liés à GANE (BH)"/>
    <m/>
    <s v="Même département, autre arrondissement"/>
    <s v="CMR"/>
    <s v="Cameroun"/>
    <s v="CMR004"/>
    <s v="Extrême-Nord"/>
    <s v="CMR004002"/>
    <s v="Logone-Et-Chari"/>
    <s v="CMR004002007"/>
    <s v="Darak"/>
  </r>
  <r>
    <s v="Extrême-Nord"/>
    <s v="CMR004"/>
    <x v="2"/>
    <s v="CMR004002"/>
    <x v="9"/>
    <s v="CMR004002010"/>
    <s v="HIL-0023"/>
    <s v="GONONI"/>
    <m/>
    <x v="0"/>
    <x v="0"/>
    <n v="5"/>
    <n v="45"/>
    <s v="Conflits liés à GANE (BH)"/>
    <m/>
    <s v="Même arrondissement"/>
    <s v="CMR"/>
    <s v="Cameroun"/>
    <s v="CMR004"/>
    <s v="Extrême-Nord"/>
    <s v="CMR004002"/>
    <s v="Logone-Et-Chari"/>
    <s v="CMR004002010"/>
    <s v="Hile-Alifa"/>
  </r>
  <r>
    <s v="Extrême-Nord"/>
    <s v="CMR004"/>
    <x v="2"/>
    <s v="CMR004002"/>
    <x v="9"/>
    <s v="CMR004002010"/>
    <s v="HIL-0023"/>
    <s v="GONONI"/>
    <m/>
    <x v="0"/>
    <x v="4"/>
    <n v="2"/>
    <n v="26"/>
    <s v="Conflits liés à GANE (BH)"/>
    <m/>
    <s v="Même arrondissement"/>
    <s v="CMR"/>
    <s v="Cameroun"/>
    <s v="CMR004"/>
    <s v="Extrême-Nord"/>
    <s v="CMR004002"/>
    <s v="Logone-Et-Chari"/>
    <s v="CMR004002010"/>
    <s v="Hile-Alifa"/>
  </r>
  <r>
    <s v="Extrême-Nord"/>
    <s v="CMR004"/>
    <x v="2"/>
    <s v="CMR004002"/>
    <x v="9"/>
    <s v="CMR004002010"/>
    <s v="HIL-0023"/>
    <s v="GONONI"/>
    <m/>
    <x v="0"/>
    <x v="2"/>
    <n v="35"/>
    <n v="201"/>
    <s v="Conflits liés à GANE (BH)"/>
    <m/>
    <s v="Même département, autre arrondissement"/>
    <s v="CMR"/>
    <s v="Cameroun"/>
    <s v="CMR004"/>
    <s v="Extrême-Nord"/>
    <s v="CMR004002"/>
    <s v="Logone-Et-Chari"/>
    <s v="CMR004002007"/>
    <s v="Darak"/>
  </r>
  <r>
    <s v="Extrême-Nord"/>
    <s v="CMR004"/>
    <x v="1"/>
    <s v="CMR004006"/>
    <x v="7"/>
    <s v="CMR004006005"/>
    <s v="MOZ-0013"/>
    <s v="MANDOUSSA"/>
    <m/>
    <x v="0"/>
    <x v="2"/>
    <n v="8"/>
    <n v="137"/>
    <s v="Conflits liés à GANE (BH)"/>
    <m/>
    <s v="Même arrondissement"/>
    <s v="CMR"/>
    <s v="Cameroun"/>
    <s v="CMR004"/>
    <s v="Extrême-Nord"/>
    <s v="CMR004006"/>
    <s v="Mayo-Tsanaga"/>
    <s v="CMR004006005"/>
    <s v="Mayo-Moskota"/>
  </r>
  <r>
    <s v="Extrême-Nord"/>
    <s v="CMR004"/>
    <x v="1"/>
    <s v="CMR004006"/>
    <x v="7"/>
    <s v="CMR004006005"/>
    <s v="MOZ-0013"/>
    <s v="MANDOUSSA"/>
    <m/>
    <x v="0"/>
    <x v="3"/>
    <n v="5"/>
    <n v="39"/>
    <s v="Conflits liés à GANE (BH)"/>
    <m/>
    <s v="Même arrondissement"/>
    <s v="CMR"/>
    <s v="Cameroun"/>
    <s v="CMR004"/>
    <s v="Extrême-Nord"/>
    <s v="CMR004006"/>
    <s v="Mayo-Tsanaga"/>
    <s v="CMR004006005"/>
    <s v="Mayo-Moskota"/>
  </r>
  <r>
    <s v="Extrême-Nord"/>
    <s v="CMR004"/>
    <x v="1"/>
    <s v="CMR004006"/>
    <x v="7"/>
    <s v="CMR004006005"/>
    <s v="MOZ-0034"/>
    <s v="GODZ-GODZON"/>
    <m/>
    <x v="0"/>
    <x v="2"/>
    <n v="11"/>
    <n v="80"/>
    <s v="Conflits liés à GANE (BH)"/>
    <m/>
    <s v="Même arrondissement"/>
    <s v="CMR"/>
    <s v="Cameroun"/>
    <s v="CMR004"/>
    <s v="Extrême-Nord"/>
    <s v="CMR004006"/>
    <s v="Mayo-Tsanaga"/>
    <s v="CMR004006005"/>
    <s v="Mayo-Moskota"/>
  </r>
  <r>
    <s v="Extrême-Nord"/>
    <s v="CMR004"/>
    <x v="1"/>
    <s v="CMR004006"/>
    <x v="7"/>
    <s v="CMR004006005"/>
    <s v="MOZ-0034"/>
    <s v="GODZ-GODZON"/>
    <m/>
    <x v="0"/>
    <x v="3"/>
    <n v="51"/>
    <n v="281"/>
    <s v="Conflits liés à GANE (BH)"/>
    <m/>
    <s v="Même arrondissement"/>
    <s v="CMR"/>
    <s v="Cameroun"/>
    <s v="CMR004"/>
    <s v="Extrême-Nord"/>
    <s v="CMR004006"/>
    <s v="Mayo-Tsanaga"/>
    <s v="CMR004006005"/>
    <s v="Mayo-Moskota"/>
  </r>
  <r>
    <s v="Extrême-Nord"/>
    <s v="CMR004"/>
    <x v="1"/>
    <s v="CMR004006"/>
    <x v="7"/>
    <s v="CMR004006005"/>
    <s v="MOZ-0027"/>
    <s v="TALLA KATCHI"/>
    <m/>
    <x v="0"/>
    <x v="3"/>
    <n v="6"/>
    <n v="27"/>
    <s v="Conflits liés à GANE (BH)"/>
    <m/>
    <s v="Même arrondissement"/>
    <s v="CMR"/>
    <s v="Cameroun"/>
    <s v="CMR004"/>
    <s v="Extrême-Nord"/>
    <s v="CMR004006"/>
    <s v="Mayo-Tsanaga"/>
    <s v="CMR004006005"/>
    <s v="Mayo-Moskota"/>
  </r>
  <r>
    <s v="Extrême-Nord"/>
    <s v="CMR004"/>
    <x v="1"/>
    <s v="CMR004006"/>
    <x v="7"/>
    <s v="CMR004006005"/>
    <s v="MOZ-0001"/>
    <s v="GOKORO"/>
    <m/>
    <x v="0"/>
    <x v="3"/>
    <n v="116"/>
    <n v="559"/>
    <s v="Conflits liés à GANE (BH)"/>
    <m/>
    <s v="Même arrondissement"/>
    <s v="CMR"/>
    <s v="Cameroun"/>
    <s v="CMR004"/>
    <s v="Extrême-Nord"/>
    <s v="CMR004006"/>
    <s v="Mayo-Tsanaga"/>
    <s v="CMR004006005"/>
    <s v="Mayo-Moskota"/>
  </r>
  <r>
    <s v="Extrême-Nord"/>
    <s v="CMR004"/>
    <x v="1"/>
    <s v="CMR004006"/>
    <x v="7"/>
    <s v="CMR004006005"/>
    <s v="MOZ-0012"/>
    <s v="NGUETCHEWE CENTRE"/>
    <m/>
    <x v="0"/>
    <x v="3"/>
    <n v="94"/>
    <n v="577"/>
    <s v="Conflits liés à GANE (BH)"/>
    <m/>
    <s v="Même arrondissement"/>
    <s v="CMR"/>
    <s v="Cameroun"/>
    <s v="CMR004"/>
    <s v="Extrême-Nord"/>
    <s v="CMR004006"/>
    <s v="Mayo-Tsanaga"/>
    <s v="CMR004006005"/>
    <s v="Mayo-Moskota"/>
  </r>
  <r>
    <s v="Extrême-Nord"/>
    <s v="CMR004"/>
    <x v="1"/>
    <s v="CMR004006"/>
    <x v="7"/>
    <s v="CMR004006005"/>
    <s v="MOZ-0012"/>
    <s v="NGUETCHEWE CENTRE"/>
    <m/>
    <x v="0"/>
    <x v="2"/>
    <n v="14"/>
    <n v="91"/>
    <s v="Conflits liés à GANE (BH)"/>
    <m/>
    <s v="Même arrondissement"/>
    <s v="CMR"/>
    <s v="Cameroun"/>
    <s v="CMR004"/>
    <s v="Extrême-Nord"/>
    <s v="CMR004006"/>
    <s v="Mayo-Tsanaga"/>
    <s v="CMR004006005"/>
    <s v="Mayo-Moskota"/>
  </r>
  <r>
    <s v="Extrême-Nord"/>
    <s v="CMR004"/>
    <x v="1"/>
    <s v="CMR004006"/>
    <x v="7"/>
    <s v="CMR004006005"/>
    <s v="MOZ-0033"/>
    <s v="SITE DE NGUETCHEWE"/>
    <m/>
    <x v="0"/>
    <x v="3"/>
    <n v="65"/>
    <n v="680"/>
    <s v="Conflits liés à GANE (BH)"/>
    <m/>
    <s v="Même arrondissement"/>
    <s v="CMR"/>
    <s v="Cameroun"/>
    <s v="CMR004"/>
    <s v="Extrême-Nord"/>
    <s v="CMR004006"/>
    <s v="Mayo-Tsanaga"/>
    <s v="CMR004006005"/>
    <s v="Mayo-Moskota"/>
  </r>
  <r>
    <s v="Extrême-Nord"/>
    <s v="CMR004"/>
    <x v="1"/>
    <s v="CMR004006"/>
    <x v="7"/>
    <s v="CMR004006005"/>
    <s v="MOZ-0033"/>
    <s v="SITE DE NGUETCHEWE"/>
    <m/>
    <x v="0"/>
    <x v="2"/>
    <n v="7"/>
    <n v="21"/>
    <s v="Conflits liés à GANE (BH)"/>
    <m/>
    <s v="Même arrondissement"/>
    <s v="CMR"/>
    <s v="Cameroun"/>
    <s v="CMR004"/>
    <s v="Extrême-Nord"/>
    <s v="CMR004006"/>
    <s v="Mayo-Tsanaga"/>
    <s v="CMR004006005"/>
    <s v="Mayo-Moskota"/>
  </r>
  <r>
    <s v="Extrême-Nord"/>
    <s v="CMR004"/>
    <x v="2"/>
    <s v="CMR004002"/>
    <x v="9"/>
    <s v="CMR004002010"/>
    <s v="HIL-0016"/>
    <s v="DOUGOUMSILIO 2"/>
    <m/>
    <x v="0"/>
    <x v="0"/>
    <n v="24"/>
    <n v="164"/>
    <s v="Conflits liés à GANE (BH)"/>
    <m/>
    <s v="Même arrondissement"/>
    <s v="CMR"/>
    <s v="Cameroun"/>
    <s v="CMR004"/>
    <s v="Extrême-Nord"/>
    <s v="CMR004002"/>
    <s v="Logone-Et-Chari"/>
    <s v="CMR004002010"/>
    <s v="Hile-Alifa"/>
  </r>
  <r>
    <s v="Extrême-Nord"/>
    <s v="CMR004"/>
    <x v="2"/>
    <s v="CMR004002"/>
    <x v="9"/>
    <s v="CMR004002010"/>
    <s v="HIL-0016"/>
    <s v="DOUGOUMSILIO 2"/>
    <m/>
    <x v="0"/>
    <x v="2"/>
    <n v="5"/>
    <n v="30"/>
    <s v="Conflits liés à GANE (BH)"/>
    <m/>
    <s v="Même arrondissement"/>
    <s v="CMR"/>
    <s v="Cameroun"/>
    <s v="CMR004"/>
    <s v="Extrême-Nord"/>
    <s v="CMR004002"/>
    <s v="Logone-Et-Chari"/>
    <s v="CMR004002010"/>
    <s v="Hile-Alifa"/>
  </r>
  <r>
    <s v="Extrême-Nord"/>
    <s v="CMR004"/>
    <x v="2"/>
    <s v="CMR004002"/>
    <x v="8"/>
    <s v="CMR004002009"/>
    <s v="MAK-0100"/>
    <s v="KESSAWA"/>
    <m/>
    <x v="0"/>
    <x v="3"/>
    <n v="165"/>
    <n v="1229"/>
    <s v="Conflits liés à GANE (BH)"/>
    <m/>
    <s v="Même arrondissement"/>
    <s v="CMR"/>
    <s v="Cameroun"/>
    <s v="CMR004"/>
    <s v="Extrême-Nord"/>
    <s v="CMR004002"/>
    <s v="Logone-Et-Chari"/>
    <s v="CMR004002009"/>
    <s v="Makary"/>
  </r>
  <r>
    <s v="Extrême-Nord"/>
    <s v="CMR004"/>
    <x v="2"/>
    <s v="CMR004002"/>
    <x v="8"/>
    <s v="CMR004002009"/>
    <s v="MAK-0049"/>
    <s v="KESAWA"/>
    <m/>
    <x v="0"/>
    <x v="3"/>
    <n v="21"/>
    <n v="175"/>
    <s v="Conflits liés à GANE (BH)"/>
    <m/>
    <s v="Même arrondissement"/>
    <s v="CMR"/>
    <s v="Cameroun"/>
    <s v="CMR004"/>
    <s v="Extrême-Nord"/>
    <s v="CMR004002"/>
    <s v="Logone-Et-Chari"/>
    <s v="CMR004002009"/>
    <s v="Makary"/>
  </r>
  <r>
    <s v="Extrême-Nord"/>
    <s v="CMR004"/>
    <x v="2"/>
    <s v="CMR004002"/>
    <x v="8"/>
    <s v="CMR004002009"/>
    <s v="MAK-0110"/>
    <s v="HELISNA"/>
    <m/>
    <x v="0"/>
    <x v="3"/>
    <n v="12"/>
    <n v="87"/>
    <s v="Conflits liés à GANE (BH)"/>
    <m/>
    <s v="Même arrondissement"/>
    <s v="CMR"/>
    <s v="Cameroun"/>
    <s v="CMR004"/>
    <s v="Extrême-Nord"/>
    <s v="CMR004002"/>
    <s v="Logone-Et-Chari"/>
    <s v="CMR004002009"/>
    <s v="Makary"/>
  </r>
  <r>
    <s v="Extrême-Nord"/>
    <s v="CMR004"/>
    <x v="2"/>
    <s v="CMR004002"/>
    <x v="8"/>
    <s v="CMR004002009"/>
    <s v="MAK-0003"/>
    <s v="AFADE (village)"/>
    <m/>
    <x v="0"/>
    <x v="3"/>
    <n v="931"/>
    <n v="8346"/>
    <s v="Conflits liés à GANE (BH)"/>
    <m/>
    <s v="Même arrondissement"/>
    <s v="CMR"/>
    <s v="Cameroun"/>
    <s v="CMR004"/>
    <s v="Extrême-Nord"/>
    <s v="CMR004002"/>
    <s v="Logone-Et-Chari"/>
    <s v="CMR004002009"/>
    <s v="Makary"/>
  </r>
  <r>
    <s v="Extrême-Nord"/>
    <s v="CMR004"/>
    <x v="2"/>
    <s v="CMR004002"/>
    <x v="8"/>
    <s v="CMR004002009"/>
    <s v="MAK-0003"/>
    <s v="AFADE (village)"/>
    <m/>
    <x v="0"/>
    <x v="2"/>
    <n v="5"/>
    <n v="15"/>
    <s v="Inondations saisonnières ou fortes pluies"/>
    <m/>
    <s v="Même arrondissement"/>
    <s v="CMR"/>
    <s v="Cameroun"/>
    <s v="CMR004"/>
    <s v="Extrême-Nord"/>
    <s v="CMR004002"/>
    <s v="Logone-Et-Chari"/>
    <s v="CMR004002009"/>
    <s v="Makary"/>
  </r>
  <r>
    <s v="Extrême-Nord"/>
    <s v="CMR004"/>
    <x v="2"/>
    <s v="CMR004002"/>
    <x v="8"/>
    <s v="CMR004002009"/>
    <s v="MAK-0004"/>
    <s v="SITE DE AFADE"/>
    <m/>
    <x v="0"/>
    <x v="3"/>
    <n v="440"/>
    <n v="3776"/>
    <s v="Conflits liés à GANE (BH)"/>
    <m/>
    <s v="Même arrondissement"/>
    <s v="CMR"/>
    <s v="Cameroun"/>
    <s v="CMR004"/>
    <s v="Extrême-Nord"/>
    <s v="CMR004002"/>
    <s v="Logone-Et-Chari"/>
    <s v="CMR004002009"/>
    <s v="Makary"/>
  </r>
  <r>
    <s v="Extrême-Nord"/>
    <s v="CMR004"/>
    <x v="2"/>
    <s v="CMR004002"/>
    <x v="8"/>
    <s v="CMR004002009"/>
    <s v="MAK-0004"/>
    <s v="SITE DE AFADE"/>
    <m/>
    <x v="0"/>
    <x v="2"/>
    <n v="3"/>
    <n v="15"/>
    <s v="Inondations saisonnières ou fortes pluies"/>
    <m/>
    <s v="Même arrondissement"/>
    <s v="CMR"/>
    <s v="Cameroun"/>
    <s v="CMR004"/>
    <s v="Extrême-Nord"/>
    <s v="CMR004002"/>
    <s v="Logone-Et-Chari"/>
    <s v="CMR004002009"/>
    <s v="Makary"/>
  </r>
  <r>
    <s v="Extrême-Nord"/>
    <s v="CMR004"/>
    <x v="2"/>
    <s v="CMR004002"/>
    <x v="13"/>
    <s v="CMR004002001"/>
    <s v="WAZ-0014"/>
    <s v="ZOLZALÉ"/>
    <m/>
    <x v="0"/>
    <x v="4"/>
    <n v="5"/>
    <n v="41"/>
    <s v="Conflit intercommunautaire"/>
    <m/>
    <s v="Même département, autre arrondissement"/>
    <s v="CMR"/>
    <s v="Cameroun"/>
    <s v="CMR004"/>
    <s v="Extrême-Nord"/>
    <s v="CMR004002"/>
    <s v="Logone-Et-Chari"/>
    <s v="CMR004002004"/>
    <s v="Logone-Birni"/>
  </r>
  <r>
    <s v="Extrême-Nord"/>
    <s v="CMR004"/>
    <x v="2"/>
    <s v="CMR004002"/>
    <x v="13"/>
    <s v="CMR004002001"/>
    <s v="WAZ-0037"/>
    <s v="ARDEBE 2"/>
    <m/>
    <x v="0"/>
    <x v="4"/>
    <n v="11"/>
    <n v="66"/>
    <s v="Conflit intercommunautaire"/>
    <m/>
    <s v="Même département, autre arrondissement"/>
    <s v="CMR"/>
    <s v="Cameroun"/>
    <s v="CMR004"/>
    <s v="Extrême-Nord"/>
    <s v="CMR004002"/>
    <s v="Logone-Et-Chari"/>
    <s v="CMR004002004"/>
    <s v="Logone-Birni"/>
  </r>
  <r>
    <s v="Extrême-Nord"/>
    <s v="CMR004"/>
    <x v="2"/>
    <s v="CMR004002"/>
    <x v="13"/>
    <s v="CMR004002001"/>
    <s v="WAZ-0004"/>
    <s v="MADA 1"/>
    <m/>
    <x v="0"/>
    <x v="4"/>
    <n v="20"/>
    <n v="99"/>
    <s v="Conflit intercommunautaire"/>
    <m/>
    <s v="Même département, autre arrondissement"/>
    <s v="CMR"/>
    <s v="Cameroun"/>
    <s v="CMR004"/>
    <s v="Extrême-Nord"/>
    <s v="CMR004002"/>
    <s v="Logone-Et-Chari"/>
    <s v="CMR004002004"/>
    <s v="Logone-Birni"/>
  </r>
  <r>
    <s v="Extrême-Nord"/>
    <s v="CMR004"/>
    <x v="2"/>
    <s v="CMR004002"/>
    <x v="15"/>
    <s v="CMR004002004"/>
    <s v="LBI-0011"/>
    <s v="MELARI"/>
    <m/>
    <x v="0"/>
    <x v="0"/>
    <n v="18"/>
    <n v="138"/>
    <s v="Conflits liés à GANE (BH)"/>
    <m/>
    <s v="Même arrondissement"/>
    <s v="CMR"/>
    <s v="Cameroun"/>
    <s v="CMR004"/>
    <s v="Extrême-Nord"/>
    <s v="CMR004002"/>
    <s v="Logone-Et-Chari"/>
    <s v="CMR004002004"/>
    <s v="Logone-Birni"/>
  </r>
  <r>
    <s v="Extrême-Nord"/>
    <s v="CMR004"/>
    <x v="2"/>
    <s v="CMR004002"/>
    <x v="15"/>
    <s v="CMR004002004"/>
    <s v="LBI-0017"/>
    <s v="SKLIO"/>
    <m/>
    <x v="0"/>
    <x v="0"/>
    <n v="84"/>
    <n v="465"/>
    <s v="Conflits liés à GANE (BH)"/>
    <m/>
    <s v="Même arrondissement"/>
    <s v="CMR"/>
    <s v="Cameroun"/>
    <s v="CMR004"/>
    <s v="Extrême-Nord"/>
    <s v="CMR004002"/>
    <s v="Logone-Et-Chari"/>
    <s v="CMR004002004"/>
    <s v="Logone-Birni"/>
  </r>
  <r>
    <s v="Extrême-Nord"/>
    <s v="CMR004"/>
    <x v="2"/>
    <s v="CMR004002"/>
    <x v="15"/>
    <s v="CMR004002004"/>
    <s v="LBI-0017"/>
    <s v="SKLIO"/>
    <m/>
    <x v="0"/>
    <x v="3"/>
    <n v="14"/>
    <n v="87"/>
    <s v="Conflits liés à GANE (BH)"/>
    <m/>
    <s v="Même arrondissement"/>
    <s v="CMR"/>
    <s v="Cameroun"/>
    <s v="CMR004"/>
    <s v="Extrême-Nord"/>
    <s v="CMR004002"/>
    <s v="Logone-Et-Chari"/>
    <s v="CMR004002004"/>
    <s v="Logone-Birni"/>
  </r>
  <r>
    <s v="Extrême-Nord"/>
    <s v="CMR004"/>
    <x v="2"/>
    <s v="CMR004002"/>
    <x v="15"/>
    <s v="CMR004002004"/>
    <s v="LBI-0013"/>
    <s v="MOULADOCK 2"/>
    <m/>
    <x v="0"/>
    <x v="0"/>
    <n v="4"/>
    <n v="40"/>
    <s v="Conflits liés à GANE (BH)"/>
    <m/>
    <s v="Même arrondissement"/>
    <s v="CMR"/>
    <s v="Cameroun"/>
    <s v="CMR004"/>
    <s v="Extrême-Nord"/>
    <s v="CMR004002"/>
    <s v="Logone-Et-Chari"/>
    <s v="CMR004002004"/>
    <s v="Logone-Birni"/>
  </r>
  <r>
    <s v="Extrême-Nord"/>
    <s v="CMR004"/>
    <x v="2"/>
    <s v="CMR004002"/>
    <x v="15"/>
    <s v="CMR004002004"/>
    <s v="LBI-0013"/>
    <s v="MOULADOCK 2"/>
    <m/>
    <x v="0"/>
    <x v="3"/>
    <n v="10"/>
    <n v="45"/>
    <s v="Conflits liés à GANE (BH)"/>
    <m/>
    <s v="Même arrondissement"/>
    <s v="CMR"/>
    <s v="Cameroun"/>
    <s v="CMR004"/>
    <s v="Extrême-Nord"/>
    <s v="CMR004002"/>
    <s v="Logone-Et-Chari"/>
    <s v="CMR004002004"/>
    <s v="Logone-Birni"/>
  </r>
  <r>
    <s v="Extrême-Nord"/>
    <s v="CMR004"/>
    <x v="2"/>
    <s v="CMR004002"/>
    <x v="25"/>
    <s v="CMR004002008"/>
    <s v="FOT-0026"/>
    <s v="GOLMO KOTOKO"/>
    <m/>
    <x v="0"/>
    <x v="0"/>
    <n v="15"/>
    <n v="42"/>
    <s v="Conflits liés à GANE (BH)"/>
    <m/>
    <s v="Même arrondissement"/>
    <s v="CMR"/>
    <s v="Cameroun"/>
    <s v="CMR004"/>
    <s v="Extrême-Nord"/>
    <s v="CMR004002"/>
    <s v="Logone-Et-Chari"/>
    <s v="CMR004002008"/>
    <s v="Fotokol"/>
  </r>
  <r>
    <s v="Extrême-Nord"/>
    <s v="CMR004"/>
    <x v="2"/>
    <s v="CMR004002"/>
    <x v="13"/>
    <s v="CMR004002001"/>
    <s v="WAZ-0022"/>
    <s v="SITE DE MADA 2"/>
    <m/>
    <x v="0"/>
    <x v="0"/>
    <n v="55"/>
    <n v="459"/>
    <s v="Conflits liés à GANE (BH)"/>
    <m/>
    <s v="Même arrondissement"/>
    <s v="CMR"/>
    <s v="Cameroun"/>
    <s v="CMR004"/>
    <s v="Extrême-Nord"/>
    <s v="CMR004002"/>
    <s v="Logone-Et-Chari"/>
    <s v="CMR004002001"/>
    <s v="Waza"/>
  </r>
  <r>
    <s v="Extrême-Nord"/>
    <s v="CMR004"/>
    <x v="2"/>
    <s v="CMR004002"/>
    <x v="13"/>
    <s v="CMR004002001"/>
    <s v="WAZ-0022"/>
    <s v="SITE DE MADA 2"/>
    <m/>
    <x v="0"/>
    <x v="1"/>
    <n v="0"/>
    <n v="2"/>
    <s v="Conflits liés à GANE (BH)"/>
    <m/>
    <s v="Même arrondissement"/>
    <s v="CMR"/>
    <s v="Cameroun"/>
    <s v="CMR004"/>
    <s v="Extrême-Nord"/>
    <s v="CMR004002"/>
    <s v="Logone-Et-Chari"/>
    <s v="CMR004002001"/>
    <s v="Waza"/>
  </r>
  <r>
    <s v="Extrême-Nord"/>
    <s v="CMR004"/>
    <x v="2"/>
    <s v="CMR004002"/>
    <x v="10"/>
    <s v="CMR004002003"/>
    <s v="BLA-0017"/>
    <s v="SABOURA"/>
    <m/>
    <x v="0"/>
    <x v="0"/>
    <n v="20"/>
    <n v="49"/>
    <s v="Conflits liés à GANE (BH)"/>
    <m/>
    <s v="Même département, autre arrondissement"/>
    <s v="CMR"/>
    <s v="Cameroun"/>
    <s v="CMR004"/>
    <s v="Extrême-Nord"/>
    <s v="CMR004002"/>
    <s v="Logone-Et-Chari"/>
    <s v="CMR004002008"/>
    <s v="Fotokol"/>
  </r>
  <r>
    <s v="Extrême-Nord"/>
    <s v="CMR004"/>
    <x v="2"/>
    <s v="CMR004002"/>
    <x v="8"/>
    <s v="CMR004002009"/>
    <s v="MAK-0197"/>
    <s v="SITE DE BLABLIN"/>
    <m/>
    <x v="0"/>
    <x v="0"/>
    <n v="60"/>
    <n v="100"/>
    <s v="Conflits liés à GANE (BH)"/>
    <m/>
    <s v="Même arrondissement"/>
    <s v="CMR"/>
    <s v="Cameroun"/>
    <s v="CMR004"/>
    <s v="Extrême-Nord"/>
    <s v="CMR004002"/>
    <s v="Logone-Et-Chari"/>
    <s v="CMR004002009"/>
    <s v="Makary"/>
  </r>
  <r>
    <s v="Extrême-Nord"/>
    <s v="CMR004"/>
    <x v="2"/>
    <s v="CMR004002"/>
    <x v="8"/>
    <s v="CMR004002009"/>
    <s v="MAK-0189"/>
    <s v="SITE DE MADINA 2"/>
    <m/>
    <x v="0"/>
    <x v="0"/>
    <n v="10"/>
    <n v="20"/>
    <s v="Conflits liés à GANE (BH)"/>
    <m/>
    <s v="Même arrondissement"/>
    <s v="CMR"/>
    <s v="Cameroun"/>
    <s v="CMR004"/>
    <s v="Extrême-Nord"/>
    <s v="CMR004002"/>
    <s v="Logone-Et-Chari"/>
    <s v="CMR004002009"/>
    <s v="Makary"/>
  </r>
  <r>
    <s v="Extrême-Nord"/>
    <s v="CMR004"/>
    <x v="2"/>
    <s v="CMR004002"/>
    <x v="8"/>
    <s v="CMR004002009"/>
    <s v="MAK-0159"/>
    <s v="ABOUSOULTAN"/>
    <m/>
    <x v="0"/>
    <x v="3"/>
    <n v="4"/>
    <n v="22"/>
    <s v="Conflits liés à GANE (BH)"/>
    <m/>
    <s v="Même département, autre arrondissement"/>
    <s v="CMR"/>
    <s v="Cameroun"/>
    <s v="CMR004"/>
    <s v="Extrême-Nord"/>
    <s v="CMR004002"/>
    <s v="Logone-Et-Chari"/>
    <s v="CMR004002007"/>
    <s v="Darak"/>
  </r>
  <r>
    <s v="Extrême-Nord"/>
    <s v="CMR004"/>
    <x v="2"/>
    <s v="CMR004002"/>
    <x v="8"/>
    <s v="CMR004002009"/>
    <s v="MAK-0191"/>
    <s v="SOUDRALHEL"/>
    <m/>
    <x v="0"/>
    <x v="0"/>
    <n v="42"/>
    <n v="342"/>
    <s v="Conflits liés à GANE (BH)"/>
    <m/>
    <s v="Même département, autre arrondissement"/>
    <s v="CMR"/>
    <s v="Cameroun"/>
    <s v="CMR004"/>
    <s v="Extrême-Nord"/>
    <s v="CMR004002"/>
    <s v="Logone-Et-Chari"/>
    <s v="CMR004002008"/>
    <s v="Fotokol"/>
  </r>
  <r>
    <s v="Extrême-Nord"/>
    <s v="CMR004"/>
    <x v="2"/>
    <s v="CMR004002"/>
    <x v="8"/>
    <s v="CMR004002009"/>
    <s v="MAK-0191"/>
    <s v="SOUDRALHEL"/>
    <m/>
    <x v="0"/>
    <x v="4"/>
    <n v="0"/>
    <n v="9"/>
    <s v="Conflits liés à GANE (BH)"/>
    <m/>
    <s v="Même arrondissement"/>
    <s v="CMR"/>
    <s v="Cameroun"/>
    <s v="CMR004"/>
    <s v="Extrême-Nord"/>
    <s v="CMR004002"/>
    <s v="Logone-Et-Chari"/>
    <s v="CMR004002009"/>
    <s v="Makary"/>
  </r>
  <r>
    <s v="Extrême-Nord"/>
    <s v="CMR004"/>
    <x v="2"/>
    <s v="CMR004002"/>
    <x v="8"/>
    <s v="CMR004002009"/>
    <s v="MAK-0191"/>
    <s v="SOUDRALHEL"/>
    <m/>
    <x v="0"/>
    <x v="3"/>
    <n v="7"/>
    <n v="23"/>
    <s v="Conflits liés à GANE (BH)"/>
    <m/>
    <s v="Même département, autre arrondissement"/>
    <s v="CMR"/>
    <s v="Cameroun"/>
    <s v="CMR004"/>
    <s v="Extrême-Nord"/>
    <s v="CMR004002"/>
    <s v="Logone-Et-Chari"/>
    <s v="CMR004002008"/>
    <s v="Fotokol"/>
  </r>
  <r>
    <s v="Extrême-Nord"/>
    <s v="CMR004"/>
    <x v="2"/>
    <s v="CMR004002"/>
    <x v="27"/>
    <s v="CMR004002007"/>
    <s v="DAR-0007"/>
    <s v="SITE DE HIL-WANZAN"/>
    <m/>
    <x v="0"/>
    <x v="2"/>
    <n v="150"/>
    <n v="600"/>
    <s v="Conflits liés à GANE (BH)"/>
    <m/>
    <s v="Même arrondissement"/>
    <s v="CMR"/>
    <s v="Cameroun"/>
    <s v="CMR004"/>
    <s v="Extrême-Nord"/>
    <s v="CMR004002"/>
    <s v="Logone-Et-Chari"/>
    <s v="CMR004002007"/>
    <s v="Darak"/>
  </r>
  <r>
    <s v="Extrême-Nord"/>
    <s v="CMR004"/>
    <x v="5"/>
    <s v="CMR004004"/>
    <x v="20"/>
    <s v="CMR004004006"/>
    <s v="XXXX"/>
    <s v="BIPAING"/>
    <s v="BIPAING"/>
    <x v="0"/>
    <x v="2"/>
    <n v="4"/>
    <n v="26"/>
    <s v="Conflits liés à GANE (BH)"/>
    <m/>
    <s v="Autre département"/>
    <s v="CMR"/>
    <s v="Cameroun"/>
    <s v="CMR004"/>
    <s v="Extrême-Nord"/>
    <s v="CMR004006"/>
    <s v="Mayo-Tsanaga"/>
    <m/>
    <m/>
  </r>
  <r>
    <s v="Extrême-Nord"/>
    <s v="CMR004"/>
    <x v="5"/>
    <s v="CMR004004"/>
    <x v="20"/>
    <s v="CMR004004006"/>
    <s v="XXXX"/>
    <s v="GABAN (HOURO BARKA)"/>
    <s v="GABAN (HOURO BARKA)"/>
    <x v="0"/>
    <x v="2"/>
    <n v="15"/>
    <n v="100"/>
    <s v="Conflit intercommunautaire"/>
    <m/>
    <s v="Autre département"/>
    <s v="CMR"/>
    <s v="Cameroun"/>
    <s v="CMR004"/>
    <s v="Extrême-Nord"/>
    <s v="CMR004003"/>
    <s v="Mayo-Danay"/>
    <m/>
    <m/>
  </r>
  <r>
    <s v="Extrême-Nord"/>
    <s v="CMR004"/>
    <x v="2"/>
    <s v="CMR004002"/>
    <x v="8"/>
    <s v="CMR004002009"/>
    <s v="MAK-0178"/>
    <s v="NGOUSSIRE"/>
    <m/>
    <x v="0"/>
    <x v="0"/>
    <n v="4"/>
    <n v="24"/>
    <s v="Conflits liés à GANE (BH)"/>
    <m/>
    <s v="Même arrondissement"/>
    <s v="CMR"/>
    <s v="Cameroun"/>
    <s v="CMR004"/>
    <s v="Extrême-Nord"/>
    <s v="CMR004002"/>
    <s v="Logone-Et-Chari"/>
    <s v="CMR004002009"/>
    <s v="Makary"/>
  </r>
  <r>
    <s v="Extrême-Nord"/>
    <s v="CMR004"/>
    <x v="2"/>
    <s v="CMR004002"/>
    <x v="8"/>
    <s v="CMR004002009"/>
    <s v="MAK-0178"/>
    <s v="NGOUSSIRE"/>
    <m/>
    <x v="0"/>
    <x v="2"/>
    <n v="2"/>
    <n v="6"/>
    <s v="Conflits liés à GANE (BH)"/>
    <m/>
    <s v="Même arrondissement"/>
    <s v="CMR"/>
    <s v="Cameroun"/>
    <s v="CMR004"/>
    <s v="Extrême-Nord"/>
    <s v="CMR004002"/>
    <s v="Logone-Et-Chari"/>
    <s v="CMR004002009"/>
    <s v="Makary"/>
  </r>
  <r>
    <s v="Extrême-Nord"/>
    <s v="CMR004"/>
    <x v="2"/>
    <s v="CMR004002"/>
    <x v="8"/>
    <s v="CMR004002009"/>
    <s v="MAK-0001"/>
    <s v="ABBARI"/>
    <m/>
    <x v="0"/>
    <x v="0"/>
    <n v="20"/>
    <n v="100"/>
    <s v="Conflits liés à GANE (BH)"/>
    <m/>
    <s v="Même département, autre arrondissement"/>
    <s v="CMR"/>
    <s v="Cameroun"/>
    <s v="CMR004"/>
    <s v="Extrême-Nord"/>
    <s v="CMR004002"/>
    <s v="Logone-Et-Chari"/>
    <s v="CMR004002008"/>
    <s v="Fotokol"/>
  </r>
  <r>
    <s v="Extrême-Nord"/>
    <s v="CMR004"/>
    <x v="2"/>
    <s v="CMR004002"/>
    <x v="8"/>
    <s v="CMR004002009"/>
    <s v="MAK-0150"/>
    <s v="HOURAHOURI"/>
    <m/>
    <x v="0"/>
    <x v="0"/>
    <n v="15"/>
    <n v="75"/>
    <s v="Conflits liés à GANE (BH)"/>
    <m/>
    <s v="Même arrondissement"/>
    <s v="CMR"/>
    <s v="Cameroun"/>
    <s v="CMR004"/>
    <s v="Extrême-Nord"/>
    <s v="CMR004002"/>
    <s v="Logone-Et-Chari"/>
    <s v="CMR004002009"/>
    <s v="Makary"/>
  </r>
  <r>
    <s v="Extrême-Nord"/>
    <s v="CMR004"/>
    <x v="2"/>
    <s v="CMR004002"/>
    <x v="8"/>
    <s v="CMR004002009"/>
    <s v="MAK-0150"/>
    <s v="HOURAHOURI"/>
    <m/>
    <x v="0"/>
    <x v="2"/>
    <n v="0"/>
    <n v="5"/>
    <s v="Autre raison"/>
    <s v="Naissance"/>
    <s v="Même arrondissement"/>
    <s v="CMR"/>
    <s v="Cameroun"/>
    <s v="CMR004"/>
    <s v="Extrême-Nord"/>
    <s v="CMR004002"/>
    <s v="Logone-Et-Chari"/>
    <s v="CMR004002009"/>
    <s v="Makary"/>
  </r>
  <r>
    <s v="Extrême-Nord"/>
    <s v="CMR004"/>
    <x v="2"/>
    <s v="CMR004002"/>
    <x v="8"/>
    <s v="CMR004002009"/>
    <s v="MAK-0177"/>
    <s v="NGAME"/>
    <m/>
    <x v="0"/>
    <x v="0"/>
    <n v="43"/>
    <n v="231"/>
    <s v="Conflits liés à GANE (BH)"/>
    <m/>
    <s v="Même arrondissement"/>
    <s v="CMR"/>
    <s v="Cameroun"/>
    <s v="CMR004"/>
    <s v="Extrême-Nord"/>
    <s v="CMR004002"/>
    <s v="Logone-Et-Chari"/>
    <s v="CMR004002009"/>
    <s v="Makary"/>
  </r>
  <r>
    <s v="Extrême-Nord"/>
    <s v="CMR004"/>
    <x v="2"/>
    <s v="CMR004002"/>
    <x v="8"/>
    <s v="CMR004002009"/>
    <s v="MAK-0166"/>
    <s v="CHAIBOU"/>
    <m/>
    <x v="0"/>
    <x v="0"/>
    <n v="18"/>
    <n v="98"/>
    <s v="Conflits liés à GANE (BH)"/>
    <m/>
    <s v="Même arrondissement"/>
    <s v="CMR"/>
    <s v="Cameroun"/>
    <s v="CMR004"/>
    <s v="Extrême-Nord"/>
    <s v="CMR004002"/>
    <s v="Logone-Et-Chari"/>
    <s v="CMR004002009"/>
    <s v="Makary"/>
  </r>
  <r>
    <s v="Extrême-Nord"/>
    <s v="CMR004"/>
    <x v="2"/>
    <s v="CMR004002"/>
    <x v="8"/>
    <s v="CMR004002009"/>
    <s v="MAK-0131"/>
    <s v="DIAM 2"/>
    <m/>
    <x v="0"/>
    <x v="0"/>
    <n v="22"/>
    <n v="123"/>
    <s v="Conflits liés à GANE (BH)"/>
    <m/>
    <s v="Même département, autre arrondissement"/>
    <s v="CMR"/>
    <s v="Cameroun"/>
    <s v="CMR004"/>
    <s v="Extrême-Nord"/>
    <s v="CMR004002"/>
    <s v="Logone-Et-Chari"/>
    <s v="CMR004002001"/>
    <s v="Waza"/>
  </r>
  <r>
    <s v="Extrême-Nord"/>
    <s v="CMR004"/>
    <x v="2"/>
    <s v="CMR004002"/>
    <x v="8"/>
    <s v="CMR004002009"/>
    <s v="MAK-0131"/>
    <s v="DIAM 2"/>
    <m/>
    <x v="0"/>
    <x v="1"/>
    <n v="0"/>
    <n v="25"/>
    <s v="Conflits liés à GANE (BH)"/>
    <m/>
    <s v="Même département, autre arrondissement"/>
    <s v="CMR"/>
    <s v="Cameroun"/>
    <s v="CMR004"/>
    <s v="Extrême-Nord"/>
    <s v="CMR004002"/>
    <s v="Logone-Et-Chari"/>
    <s v="CMR004002001"/>
    <s v="Waza"/>
  </r>
  <r>
    <s v="Extrême-Nord"/>
    <s v="CMR004"/>
    <x v="2"/>
    <s v="CMR004002"/>
    <x v="8"/>
    <s v="CMR004002009"/>
    <s v="MAK-0131"/>
    <s v="DIAM 2"/>
    <m/>
    <x v="0"/>
    <x v="3"/>
    <n v="1"/>
    <n v="23"/>
    <s v="Conflit intercommunautaire"/>
    <m/>
    <s v="Même département, autre arrondissement"/>
    <s v="CMR"/>
    <s v="Cameroun"/>
    <s v="CMR004"/>
    <s v="Extrême-Nord"/>
    <s v="CMR004002"/>
    <s v="Logone-Et-Chari"/>
    <s v="CMR004002004"/>
    <s v="Logone-Birni"/>
  </r>
  <r>
    <s v="Extrême-Nord"/>
    <s v="CMR004"/>
    <x v="2"/>
    <s v="CMR004002"/>
    <x v="8"/>
    <s v="CMR004002009"/>
    <s v="MAK-0131"/>
    <s v="DIAM 2"/>
    <m/>
    <x v="0"/>
    <x v="2"/>
    <n v="0"/>
    <n v="2"/>
    <s v="Conflits liés à GANE (BH)"/>
    <m/>
    <s v="Même département, autre arrondissement"/>
    <s v="CMR"/>
    <s v="Cameroun"/>
    <s v="CMR004"/>
    <s v="Extrême-Nord"/>
    <s v="CMR004002"/>
    <s v="Logone-Et-Chari"/>
    <s v="CMR004002001"/>
    <s v="Waza"/>
  </r>
  <r>
    <s v="Extrême-Nord"/>
    <s v="CMR004"/>
    <x v="2"/>
    <s v="CMR004002"/>
    <x v="10"/>
    <s v="CMR004002003"/>
    <s v="BLA-0005"/>
    <s v="CHAOUE"/>
    <m/>
    <x v="0"/>
    <x v="0"/>
    <n v="22"/>
    <n v="39"/>
    <s v="Conflits liés à GANE (BH)"/>
    <m/>
    <s v="Même département, autre arrondissement"/>
    <s v="CMR"/>
    <s v="Cameroun"/>
    <s v="CMR004"/>
    <s v="Extrême-Nord"/>
    <s v="CMR004002"/>
    <s v="Logone-Et-Chari"/>
    <s v="CMR004002008"/>
    <s v="Fotokol"/>
  </r>
  <r>
    <s v="Extrême-Nord"/>
    <s v="CMR004"/>
    <x v="4"/>
    <s v="CMR004005"/>
    <x v="17"/>
    <s v="CMR004005002"/>
    <s v="MOR-0038"/>
    <s v="KESSA GANA"/>
    <m/>
    <x v="0"/>
    <x v="0"/>
    <n v="3"/>
    <n v="25"/>
    <s v="Conflits liés à GANE (BH)"/>
    <m/>
    <s v="Autre département"/>
    <s v="CMR"/>
    <s v="Cameroun"/>
    <s v="CMR004"/>
    <s v="Extrême-Nord"/>
    <s v="CMR004002"/>
    <s v="Logone-Et-Chari"/>
    <m/>
    <m/>
  </r>
  <r>
    <s v="Extrême-Nord"/>
    <s v="CMR004"/>
    <x v="4"/>
    <s v="CMR004005"/>
    <x v="17"/>
    <s v="CMR004005002"/>
    <s v="MOR-0038"/>
    <s v="KESSA GANA"/>
    <m/>
    <x v="0"/>
    <x v="1"/>
    <n v="0"/>
    <n v="3"/>
    <s v="Conflits liés à GANE (BH)"/>
    <m/>
    <s v="Même arrondissement"/>
    <s v="CMR"/>
    <s v="Cameroun"/>
    <s v="CMR004"/>
    <s v="Extrême-Nord"/>
    <s v="CMR004005"/>
    <s v="Mayo-Sava"/>
    <s v="CMR004005002"/>
    <s v="Mora"/>
  </r>
  <r>
    <s v="Extrême-Nord"/>
    <s v="CMR004"/>
    <x v="4"/>
    <s v="CMR004005"/>
    <x v="17"/>
    <s v="CMR004005002"/>
    <s v="MOR-0038"/>
    <s v="KESSA GANA"/>
    <m/>
    <x v="0"/>
    <x v="4"/>
    <n v="0"/>
    <n v="2"/>
    <s v="Conflits liés à GANE (BH)"/>
    <m/>
    <s v="Même arrondissement"/>
    <s v="CMR"/>
    <s v="Cameroun"/>
    <s v="CMR004"/>
    <s v="Extrême-Nord"/>
    <s v="CMR004005"/>
    <s v="Mayo-Sava"/>
    <s v="CMR004005002"/>
    <s v="Mora"/>
  </r>
  <r>
    <s v="Extrême-Nord"/>
    <s v="CMR004"/>
    <x v="4"/>
    <s v="CMR004005"/>
    <x v="17"/>
    <s v="CMR004005002"/>
    <s v="MOR-0038"/>
    <s v="KESSA GANA"/>
    <m/>
    <x v="0"/>
    <x v="3"/>
    <n v="0"/>
    <n v="1"/>
    <s v="Conflits liés à GANE (BH)"/>
    <m/>
    <s v="Même arrondissement"/>
    <s v="CMR"/>
    <s v="Cameroun"/>
    <s v="CMR004"/>
    <s v="Extrême-Nord"/>
    <s v="CMR004005"/>
    <s v="Mayo-Sava"/>
    <s v="CMR004005002"/>
    <s v="Mora"/>
  </r>
  <r>
    <s v="Extrême-Nord"/>
    <s v="CMR004"/>
    <x v="4"/>
    <s v="CMR004005"/>
    <x v="17"/>
    <s v="CMR004005002"/>
    <s v="MOR-0037"/>
    <s v="KALDJE"/>
    <m/>
    <x v="0"/>
    <x v="0"/>
    <n v="11"/>
    <n v="62"/>
    <s v="Conflits liés à GANE (BH)"/>
    <m/>
    <s v="Même arrondissement"/>
    <s v="CMR"/>
    <s v="Cameroun"/>
    <s v="CMR004"/>
    <s v="Extrême-Nord"/>
    <s v="CMR004005"/>
    <s v="Mayo-Sava"/>
    <s v="CMR004005002"/>
    <s v="Mora"/>
  </r>
  <r>
    <s v="Extrême-Nord"/>
    <s v="CMR004"/>
    <x v="4"/>
    <s v="CMR004005"/>
    <x v="17"/>
    <s v="CMR004005002"/>
    <s v="MOR-0037"/>
    <s v="KALDJE"/>
    <m/>
    <x v="0"/>
    <x v="1"/>
    <n v="4"/>
    <n v="19"/>
    <s v="Conflits liés à GANE (BH)"/>
    <m/>
    <s v="Même arrondissement"/>
    <s v="CMR"/>
    <s v="Cameroun"/>
    <s v="CMR004"/>
    <s v="Extrême-Nord"/>
    <s v="CMR004005"/>
    <s v="Mayo-Sava"/>
    <s v="CMR004005002"/>
    <s v="Mora"/>
  </r>
  <r>
    <s v="Extrême-Nord"/>
    <s v="CMR004"/>
    <x v="4"/>
    <s v="CMR004005"/>
    <x v="17"/>
    <s v="CMR004005002"/>
    <s v="MOR-0037"/>
    <s v="KALDJE"/>
    <m/>
    <x v="0"/>
    <x v="4"/>
    <n v="0"/>
    <n v="3"/>
    <s v="Conflits liés à GANE (BH)"/>
    <m/>
    <s v="Même arrondissement"/>
    <s v="CMR"/>
    <s v="Cameroun"/>
    <s v="CMR004"/>
    <s v="Extrême-Nord"/>
    <s v="CMR004005"/>
    <s v="Mayo-Sava"/>
    <s v="CMR004005002"/>
    <s v="Mora"/>
  </r>
  <r>
    <s v="Extrême-Nord"/>
    <s v="CMR004"/>
    <x v="4"/>
    <s v="CMR004005"/>
    <x v="17"/>
    <s v="CMR004005002"/>
    <s v="MOR-0037"/>
    <s v="KALDJE"/>
    <m/>
    <x v="0"/>
    <x v="3"/>
    <n v="0"/>
    <n v="4"/>
    <s v="Conflits liés à GANE (BH)"/>
    <m/>
    <s v="Même arrondissement"/>
    <s v="CMR"/>
    <s v="Cameroun"/>
    <s v="CMR004"/>
    <s v="Extrême-Nord"/>
    <s v="CMR004005"/>
    <s v="Mayo-Sava"/>
    <s v="CMR004005002"/>
    <s v="Mora"/>
  </r>
  <r>
    <s v="Extrême-Nord"/>
    <s v="CMR004"/>
    <x v="4"/>
    <s v="CMR004005"/>
    <x v="17"/>
    <s v="CMR004005002"/>
    <s v="MOR-0037"/>
    <s v="KALDJE"/>
    <m/>
    <x v="0"/>
    <x v="2"/>
    <n v="0"/>
    <n v="5"/>
    <s v="Conflits liés à GANE (BH)"/>
    <m/>
    <s v="Même arrondissement"/>
    <s v="CMR"/>
    <s v="Cameroun"/>
    <s v="CMR004"/>
    <s v="Extrême-Nord"/>
    <s v="CMR004005"/>
    <s v="Mayo-Sava"/>
    <s v="CMR004005002"/>
    <s v="Mora"/>
  </r>
  <r>
    <s v="Extrême-Nord"/>
    <s v="CMR004"/>
    <x v="4"/>
    <s v="CMR004005"/>
    <x v="17"/>
    <s v="CMR004005002"/>
    <s v="MOR-0031"/>
    <s v="MAGDEME"/>
    <m/>
    <x v="0"/>
    <x v="0"/>
    <n v="105"/>
    <n v="499"/>
    <s v="Conflits liés à GANE (BH)"/>
    <m/>
    <s v="Même arrondissement"/>
    <s v="CMR"/>
    <s v="Cameroun"/>
    <s v="CMR004"/>
    <s v="Extrême-Nord"/>
    <s v="CMR004005"/>
    <s v="Mayo-Sava"/>
    <s v="CMR004005002"/>
    <s v="Mora"/>
  </r>
  <r>
    <s v="Extrême-Nord"/>
    <s v="CMR004"/>
    <x v="4"/>
    <s v="CMR004005"/>
    <x v="17"/>
    <s v="CMR004005002"/>
    <s v="MOR-0031"/>
    <s v="MAGDEME"/>
    <m/>
    <x v="0"/>
    <x v="1"/>
    <n v="16"/>
    <n v="31"/>
    <s v="Conflits liés à GANE (BH)"/>
    <m/>
    <s v="Même arrondissement"/>
    <s v="CMR"/>
    <s v="Cameroun"/>
    <s v="CMR004"/>
    <s v="Extrême-Nord"/>
    <s v="CMR004005"/>
    <s v="Mayo-Sava"/>
    <s v="CMR004005002"/>
    <s v="Mora"/>
  </r>
  <r>
    <s v="Extrême-Nord"/>
    <s v="CMR004"/>
    <x v="4"/>
    <s v="CMR004005"/>
    <x v="17"/>
    <s v="CMR004005002"/>
    <s v="MOR-0031"/>
    <s v="MAGDEME"/>
    <m/>
    <x v="0"/>
    <x v="4"/>
    <n v="30"/>
    <n v="170"/>
    <s v="Conflits liés à GANE (BH)"/>
    <m/>
    <s v="Même arrondissement"/>
    <s v="CMR"/>
    <s v="Cameroun"/>
    <s v="CMR004"/>
    <s v="Extrême-Nord"/>
    <s v="CMR004005"/>
    <s v="Mayo-Sava"/>
    <s v="CMR004005002"/>
    <s v="Mora"/>
  </r>
  <r>
    <s v="Extrême-Nord"/>
    <s v="CMR004"/>
    <x v="4"/>
    <s v="CMR004005"/>
    <x v="17"/>
    <s v="CMR004005002"/>
    <s v="MOR-0031"/>
    <s v="MAGDEME"/>
    <m/>
    <x v="0"/>
    <x v="3"/>
    <n v="0"/>
    <n v="40"/>
    <s v="Conflits liés à GANE (BH)"/>
    <m/>
    <s v="Même arrondissement"/>
    <s v="CMR"/>
    <s v="Cameroun"/>
    <s v="CMR004"/>
    <s v="Extrême-Nord"/>
    <s v="CMR004005"/>
    <s v="Mayo-Sava"/>
    <s v="CMR004005002"/>
    <s v="Mora"/>
  </r>
  <r>
    <s v="Extrême-Nord"/>
    <s v="CMR004"/>
    <x v="4"/>
    <s v="CMR004005"/>
    <x v="17"/>
    <s v="CMR004005002"/>
    <s v="MOR-0031"/>
    <s v="MAGDEME"/>
    <m/>
    <x v="0"/>
    <x v="2"/>
    <n v="0"/>
    <n v="5"/>
    <s v="Conflits liés à GANE (BH)"/>
    <m/>
    <s v="Même arrondissement"/>
    <s v="CMR"/>
    <s v="Cameroun"/>
    <s v="CMR004"/>
    <s v="Extrême-Nord"/>
    <s v="CMR004005"/>
    <s v="Mayo-Sava"/>
    <s v="CMR004005002"/>
    <s v="Mora"/>
  </r>
  <r>
    <s v="Extrême-Nord"/>
    <s v="CMR004"/>
    <x v="1"/>
    <s v="CMR004006"/>
    <x v="1"/>
    <s v="CMR004006002"/>
    <s v="MOK-0035"/>
    <s v="MAYO SANGUE"/>
    <m/>
    <x v="0"/>
    <x v="0"/>
    <n v="63"/>
    <n v="460"/>
    <s v="Conflits liés à GANE (BH)"/>
    <m/>
    <s v="Même arrondissement"/>
    <s v="CMR"/>
    <s v="Cameroun"/>
    <s v="CMR004"/>
    <s v="Extrême-Nord"/>
    <s v="CMR004006"/>
    <s v="Mayo-Tsanaga"/>
    <s v="CMR004006002"/>
    <s v="Mokolo"/>
  </r>
  <r>
    <s v="Extrême-Nord"/>
    <s v="CMR004"/>
    <x v="1"/>
    <s v="CMR004006"/>
    <x v="1"/>
    <s v="CMR004006002"/>
    <s v="MOK-0035"/>
    <s v="MAYO SANGUE"/>
    <m/>
    <x v="0"/>
    <x v="3"/>
    <n v="3"/>
    <n v="9"/>
    <s v="Conflits liés à GANE (BH)"/>
    <m/>
    <s v="Même arrondissement"/>
    <s v="CMR"/>
    <s v="Cameroun"/>
    <s v="CMR004"/>
    <s v="Extrême-Nord"/>
    <s v="CMR004006"/>
    <s v="Mayo-Tsanaga"/>
    <s v="CMR004006002"/>
    <s v="Mokolo"/>
  </r>
  <r>
    <s v="Extrême-Nord"/>
    <s v="CMR004"/>
    <x v="1"/>
    <s v="CMR004006"/>
    <x v="16"/>
    <s v="CMR004006004"/>
    <s v="KOZ-0030"/>
    <s v="HOUVA"/>
    <m/>
    <x v="0"/>
    <x v="1"/>
    <n v="21"/>
    <n v="126"/>
    <s v="Conflits liés à GANE (BH)"/>
    <m/>
    <s v="Même département, autre arrondissement"/>
    <s v="CMR"/>
    <s v="Cameroun"/>
    <s v="CMR004"/>
    <s v="Extrême-Nord"/>
    <s v="CMR004006"/>
    <s v="Mayo-Tsanaga"/>
    <s v="CMR004006005"/>
    <s v="Mayo-Moskota"/>
  </r>
  <r>
    <s v="Extrême-Nord"/>
    <s v="CMR004"/>
    <x v="1"/>
    <s v="CMR004006"/>
    <x v="16"/>
    <s v="CMR004006004"/>
    <s v="KOZ-0030"/>
    <s v="HOUVA"/>
    <m/>
    <x v="0"/>
    <x v="4"/>
    <n v="37"/>
    <n v="216"/>
    <s v="Conflits liés à GANE (BH)"/>
    <m/>
    <s v="Même arrondissement"/>
    <s v="CMR"/>
    <s v="Cameroun"/>
    <s v="CMR004"/>
    <s v="Extrême-Nord"/>
    <s v="CMR004006"/>
    <s v="Mayo-Tsanaga"/>
    <s v="CMR004006004"/>
    <s v="Koza"/>
  </r>
  <r>
    <s v="Extrême-Nord"/>
    <s v="CMR004"/>
    <x v="1"/>
    <s v="CMR004006"/>
    <x v="16"/>
    <s v="CMR004006004"/>
    <s v="KOZ-0030"/>
    <s v="HOUVA"/>
    <m/>
    <x v="0"/>
    <x v="3"/>
    <n v="9"/>
    <n v="42"/>
    <s v="Conflits liés à GANE (BH)"/>
    <m/>
    <s v="Même arrondissement"/>
    <s v="CMR"/>
    <s v="Cameroun"/>
    <s v="CMR004"/>
    <s v="Extrême-Nord"/>
    <s v="CMR004006"/>
    <s v="Mayo-Tsanaga"/>
    <s v="CMR004006004"/>
    <s v="Koza"/>
  </r>
  <r>
    <s v="Extrême-Nord"/>
    <s v="CMR004"/>
    <x v="1"/>
    <s v="CMR004006"/>
    <x v="16"/>
    <s v="CMR004006004"/>
    <s v="KOZ-0030"/>
    <s v="HOUVA"/>
    <m/>
    <x v="0"/>
    <x v="2"/>
    <n v="13"/>
    <n v="71"/>
    <s v="Conflits liés à GANE (BH)"/>
    <m/>
    <s v="Même arrondissement"/>
    <s v="CMR"/>
    <s v="Cameroun"/>
    <s v="CMR004"/>
    <s v="Extrême-Nord"/>
    <s v="CMR004006"/>
    <s v="Mayo-Tsanaga"/>
    <s v="CMR004006004"/>
    <s v="Koza"/>
  </r>
  <r>
    <s v="Extrême-Nord"/>
    <s v="CMR004"/>
    <x v="1"/>
    <s v="CMR004006"/>
    <x v="16"/>
    <s v="CMR004006004"/>
    <s v="KOZ-0026"/>
    <s v="WOULAD"/>
    <m/>
    <x v="0"/>
    <x v="1"/>
    <n v="69"/>
    <n v="412"/>
    <s v="Conflits liés à GANE (BH)"/>
    <m/>
    <s v="Même arrondissement"/>
    <s v="CMR"/>
    <s v="Cameroun"/>
    <s v="CMR004"/>
    <s v="Extrême-Nord"/>
    <s v="CMR004006"/>
    <s v="Mayo-Tsanaga"/>
    <s v="CMR004006004"/>
    <s v="Koza"/>
  </r>
  <r>
    <s v="Extrême-Nord"/>
    <s v="CMR004"/>
    <x v="1"/>
    <s v="CMR004006"/>
    <x v="16"/>
    <s v="CMR004006004"/>
    <s v="KOZ-0026"/>
    <s v="WOULAD"/>
    <m/>
    <x v="0"/>
    <x v="4"/>
    <n v="73"/>
    <n v="422"/>
    <s v="Conflits liés à GANE (BH)"/>
    <m/>
    <s v="Même arrondissement"/>
    <s v="CMR"/>
    <s v="Cameroun"/>
    <s v="CMR004"/>
    <s v="Extrême-Nord"/>
    <s v="CMR004006"/>
    <s v="Mayo-Tsanaga"/>
    <s v="CMR004006004"/>
    <s v="Koza"/>
  </r>
  <r>
    <s v="Extrême-Nord"/>
    <s v="CMR004"/>
    <x v="1"/>
    <s v="CMR004006"/>
    <x v="16"/>
    <s v="CMR004006004"/>
    <s v="KOZ-0026"/>
    <s v="WOULAD"/>
    <m/>
    <x v="0"/>
    <x v="3"/>
    <n v="123"/>
    <n v="562"/>
    <s v="Conflits liés à GANE (BH)"/>
    <m/>
    <s v="Même département, autre arrondissement"/>
    <s v="CMR"/>
    <s v="Cameroun"/>
    <s v="CMR004"/>
    <s v="Extrême-Nord"/>
    <s v="CMR004006"/>
    <s v="Mayo-Tsanaga"/>
    <s v="CMR004006005"/>
    <s v="Mayo-Moskota"/>
  </r>
  <r>
    <s v="Extrême-Nord"/>
    <s v="CMR004"/>
    <x v="1"/>
    <s v="CMR004006"/>
    <x v="16"/>
    <s v="CMR004006004"/>
    <s v="KOZ-0026"/>
    <s v="WOULAD"/>
    <m/>
    <x v="0"/>
    <x v="2"/>
    <n v="45"/>
    <n v="225"/>
    <s v="Conflits liés à GANE (BH)"/>
    <m/>
    <s v="Même arrondissement"/>
    <s v="CMR"/>
    <s v="Cameroun"/>
    <s v="CMR004"/>
    <s v="Extrême-Nord"/>
    <s v="CMR004006"/>
    <s v="Mayo-Tsanaga"/>
    <s v="CMR004006004"/>
    <s v="Koza"/>
  </r>
  <r>
    <s v="Extrême-Nord"/>
    <s v="CMR004"/>
    <x v="1"/>
    <s v="CMR004006"/>
    <x v="1"/>
    <s v="CMR004006002"/>
    <s v="MOK-0025"/>
    <s v="ZILENG"/>
    <m/>
    <x v="0"/>
    <x v="0"/>
    <n v="7"/>
    <n v="30"/>
    <s v="Conflits liés à GANE (BH)"/>
    <m/>
    <s v="Même arrondissement"/>
    <s v="CMR"/>
    <s v="Cameroun"/>
    <s v="CMR004"/>
    <s v="Extrême-Nord"/>
    <s v="CMR004006"/>
    <s v="Mayo-Tsanaga"/>
    <s v="CMR004006002"/>
    <s v="Mokolo"/>
  </r>
  <r>
    <s v="Extrême-Nord"/>
    <s v="CMR004"/>
    <x v="1"/>
    <s v="CMR004006"/>
    <x v="1"/>
    <s v="CMR004006002"/>
    <s v="MOK-0025"/>
    <s v="ZILENG"/>
    <m/>
    <x v="0"/>
    <x v="2"/>
    <n v="25"/>
    <n v="243"/>
    <s v="Conflits liés à GANE (BH)"/>
    <m/>
    <s v="Même arrondissement"/>
    <s v="CMR"/>
    <s v="Cameroun"/>
    <s v="CMR004"/>
    <s v="Extrême-Nord"/>
    <s v="CMR004006"/>
    <s v="Mayo-Tsanaga"/>
    <s v="CMR004006002"/>
    <s v="Mokolo"/>
  </r>
  <r>
    <s v="Extrême-Nord"/>
    <s v="CMR004"/>
    <x v="2"/>
    <s v="CMR004002"/>
    <x v="12"/>
    <s v="CMR004002002"/>
    <s v="GOU-0046"/>
    <s v="MAYA KOTOKO"/>
    <m/>
    <x v="0"/>
    <x v="3"/>
    <n v="70"/>
    <n v="70"/>
    <s v="Conflits liés à GANE (BH)"/>
    <m/>
    <s v="Même arrondissement"/>
    <s v="CMR"/>
    <s v="Cameroun"/>
    <s v="CMR004"/>
    <s v="Extrême-Nord"/>
    <s v="CMR004002"/>
    <s v="Logone-Et-Chari"/>
    <s v="CMR004002002"/>
    <s v="Goulfey"/>
  </r>
  <r>
    <s v="Extrême-Nord"/>
    <s v="CMR004"/>
    <x v="2"/>
    <s v="CMR004002"/>
    <x v="12"/>
    <s v="CMR004002002"/>
    <s v="GOU-0007"/>
    <s v="GOULFEY-GANA"/>
    <m/>
    <x v="0"/>
    <x v="3"/>
    <n v="68"/>
    <n v="270"/>
    <s v="Conflits liés à GANE (BH)"/>
    <m/>
    <s v="Même arrondissement"/>
    <s v="CMR"/>
    <s v="Cameroun"/>
    <s v="CMR004"/>
    <s v="Extrême-Nord"/>
    <s v="CMR004002"/>
    <s v="Logone-Et-Chari"/>
    <s v="CMR004002002"/>
    <s v="Goulfey"/>
  </r>
  <r>
    <s v="Extrême-Nord"/>
    <s v="CMR004"/>
    <x v="2"/>
    <s v="CMR004002"/>
    <x v="12"/>
    <s v="CMR004002002"/>
    <s v="GOU-0041"/>
    <s v="SITE HILE-NIMR"/>
    <m/>
    <x v="0"/>
    <x v="3"/>
    <n v="1"/>
    <n v="3"/>
    <s v="Conflits liés à GANE (BH)"/>
    <m/>
    <s v="Même arrondissement"/>
    <s v="CMR"/>
    <s v="Cameroun"/>
    <s v="CMR004"/>
    <s v="Extrême-Nord"/>
    <s v="CMR004002"/>
    <s v="Logone-Et-Chari"/>
    <s v="CMR004002002"/>
    <s v="Goulfey"/>
  </r>
  <r>
    <s v="Extrême-Nord"/>
    <s v="CMR004"/>
    <x v="4"/>
    <s v="CMR004005"/>
    <x v="17"/>
    <s v="CMR004005002"/>
    <s v="MOR-0046"/>
    <s v="SITE DE MEME - IGAWA 1"/>
    <m/>
    <x v="0"/>
    <x v="0"/>
    <n v="1012"/>
    <n v="4690"/>
    <s v="Conflits liés à GANE (BH)"/>
    <m/>
    <s v="Même arrondissement"/>
    <s v="CMR"/>
    <s v="Cameroun"/>
    <s v="CMR004"/>
    <s v="Extrême-Nord"/>
    <s v="CMR004005"/>
    <s v="Mayo-Sava"/>
    <s v="CMR004005002"/>
    <s v="Mora"/>
  </r>
  <r>
    <s v="Extrême-Nord"/>
    <s v="CMR004"/>
    <x v="4"/>
    <s v="CMR004005"/>
    <x v="17"/>
    <s v="CMR004005002"/>
    <s v="MOR-0046"/>
    <s v="SITE DE MEME - IGAWA 1"/>
    <m/>
    <x v="0"/>
    <x v="1"/>
    <n v="70"/>
    <n v="255"/>
    <s v="Conflits liés à GANE (BH)"/>
    <m/>
    <s v="Même arrondissement"/>
    <s v="CMR"/>
    <s v="Cameroun"/>
    <s v="CMR004"/>
    <s v="Extrême-Nord"/>
    <s v="CMR004005"/>
    <s v="Mayo-Sava"/>
    <s v="CMR004005002"/>
    <s v="Mora"/>
  </r>
  <r>
    <s v="Extrême-Nord"/>
    <s v="CMR004"/>
    <x v="4"/>
    <s v="CMR004005"/>
    <x v="17"/>
    <s v="CMR004005002"/>
    <s v="MOR-0046"/>
    <s v="SITE DE MEME - IGAWA 1"/>
    <m/>
    <x v="0"/>
    <x v="4"/>
    <n v="3"/>
    <n v="218"/>
    <s v="Conflits liés à GANE (BH)"/>
    <m/>
    <s v="Même arrondissement"/>
    <s v="CMR"/>
    <s v="Cameroun"/>
    <s v="CMR004"/>
    <s v="Extrême-Nord"/>
    <s v="CMR004005"/>
    <s v="Mayo-Sava"/>
    <s v="CMR004005002"/>
    <s v="Mora"/>
  </r>
  <r>
    <s v="Extrême-Nord"/>
    <s v="CMR004"/>
    <x v="4"/>
    <s v="CMR004005"/>
    <x v="17"/>
    <s v="CMR004005002"/>
    <s v="MOR-0046"/>
    <s v="SITE DE MEME - IGAWA 1"/>
    <m/>
    <x v="0"/>
    <x v="3"/>
    <n v="3"/>
    <n v="252"/>
    <s v="Conflits liés à GANE (BH)"/>
    <m/>
    <s v="Même arrondissement"/>
    <s v="CMR"/>
    <s v="Cameroun"/>
    <s v="CMR004"/>
    <s v="Extrême-Nord"/>
    <s v="CMR004005"/>
    <s v="Mayo-Sava"/>
    <s v="CMR004005002"/>
    <s v="Mora"/>
  </r>
  <r>
    <s v="Extrême-Nord"/>
    <s v="CMR004"/>
    <x v="4"/>
    <s v="CMR004005"/>
    <x v="17"/>
    <s v="CMR004005002"/>
    <s v="MOR-0046"/>
    <s v="SITE DE MEME - IGAWA 1"/>
    <m/>
    <x v="0"/>
    <x v="2"/>
    <n v="0"/>
    <n v="90"/>
    <s v="Conflits liés à GANE (BH)"/>
    <m/>
    <s v="Même arrondissement"/>
    <s v="CMR"/>
    <s v="Cameroun"/>
    <s v="CMR004"/>
    <s v="Extrême-Nord"/>
    <s v="CMR004005"/>
    <s v="Mayo-Sava"/>
    <s v="CMR004005002"/>
    <s v="Mora"/>
  </r>
  <r>
    <s v="Extrême-Nord"/>
    <s v="CMR004"/>
    <x v="4"/>
    <s v="CMR004005"/>
    <x v="17"/>
    <s v="CMR004005002"/>
    <s v="MOR-0049"/>
    <s v="SITE DE MEME - TALLA BRAHIM"/>
    <m/>
    <x v="0"/>
    <x v="0"/>
    <n v="8"/>
    <n v="33"/>
    <s v="Conflits liés à GANE (BH)"/>
    <m/>
    <s v="Même arrondissement"/>
    <s v="CMR"/>
    <s v="Cameroun"/>
    <s v="CMR004"/>
    <s v="Extrême-Nord"/>
    <s v="CMR004005"/>
    <s v="Mayo-Sava"/>
    <s v="CMR004005002"/>
    <s v="Mora"/>
  </r>
  <r>
    <s v="Extrême-Nord"/>
    <s v="CMR004"/>
    <x v="4"/>
    <s v="CMR004005"/>
    <x v="17"/>
    <s v="CMR004005002"/>
    <s v="MOR-0049"/>
    <s v="SITE DE MEME - TALLA BRAHIM"/>
    <m/>
    <x v="0"/>
    <x v="4"/>
    <n v="3"/>
    <n v="27"/>
    <s v="Conflits liés à GANE (BH)"/>
    <m/>
    <s v="Même arrondissement"/>
    <s v="CMR"/>
    <s v="Cameroun"/>
    <s v="CMR004"/>
    <s v="Extrême-Nord"/>
    <s v="CMR004005"/>
    <s v="Mayo-Sava"/>
    <s v="CMR004005002"/>
    <s v="Mora"/>
  </r>
  <r>
    <s v="Extrême-Nord"/>
    <s v="CMR004"/>
    <x v="4"/>
    <s v="CMR004005"/>
    <x v="17"/>
    <s v="CMR004005002"/>
    <s v="MOR-0049"/>
    <s v="SITE DE MEME - TALLA BRAHIM"/>
    <m/>
    <x v="0"/>
    <x v="3"/>
    <n v="4"/>
    <n v="44"/>
    <s v="Conflits liés à GANE (BH)"/>
    <m/>
    <s v="Même arrondissement"/>
    <s v="CMR"/>
    <s v="Cameroun"/>
    <s v="CMR004"/>
    <s v="Extrême-Nord"/>
    <s v="CMR004005"/>
    <s v="Mayo-Sava"/>
    <s v="CMR004005002"/>
    <s v="Mora"/>
  </r>
  <r>
    <s v="Extrême-Nord"/>
    <s v="CMR004"/>
    <x v="4"/>
    <s v="CMR004005"/>
    <x v="17"/>
    <s v="CMR004005002"/>
    <s v="MOR-0049"/>
    <s v="SITE DE MEME - TALLA BRAHIM"/>
    <m/>
    <x v="0"/>
    <x v="2"/>
    <n v="2"/>
    <n v="17"/>
    <s v="Conflits liés à GANE (BH)"/>
    <m/>
    <s v="Même arrondissement"/>
    <s v="CMR"/>
    <s v="Cameroun"/>
    <s v="CMR004"/>
    <s v="Extrême-Nord"/>
    <s v="CMR004005"/>
    <s v="Mayo-Sava"/>
    <s v="CMR004005002"/>
    <s v="Mora"/>
  </r>
  <r>
    <s v="Extrême-Nord"/>
    <s v="CMR004"/>
    <x v="4"/>
    <s v="CMR004005"/>
    <x v="17"/>
    <s v="CMR004005002"/>
    <s v="MOR-0017"/>
    <s v="POUCHE"/>
    <m/>
    <x v="0"/>
    <x v="0"/>
    <n v="61"/>
    <n v="497"/>
    <s v="Conflits liés à GANE (BH)"/>
    <m/>
    <s v="Même arrondissement"/>
    <s v="CMR"/>
    <s v="Cameroun"/>
    <s v="CMR004"/>
    <s v="Extrême-Nord"/>
    <s v="CMR004005"/>
    <s v="Mayo-Sava"/>
    <s v="CMR004005002"/>
    <s v="Mora"/>
  </r>
  <r>
    <s v="Extrême-Nord"/>
    <s v="CMR004"/>
    <x v="4"/>
    <s v="CMR004005"/>
    <x v="17"/>
    <s v="CMR004005002"/>
    <s v="MOR-0017"/>
    <s v="POUCHE"/>
    <m/>
    <x v="0"/>
    <x v="1"/>
    <n v="20"/>
    <n v="145"/>
    <s v="Conflits liés à GANE (BH)"/>
    <m/>
    <s v="Même arrondissement"/>
    <s v="CMR"/>
    <s v="Cameroun"/>
    <s v="CMR004"/>
    <s v="Extrême-Nord"/>
    <s v="CMR004005"/>
    <s v="Mayo-Sava"/>
    <s v="CMR004005002"/>
    <s v="Mora"/>
  </r>
  <r>
    <s v="Extrême-Nord"/>
    <s v="CMR004"/>
    <x v="4"/>
    <s v="CMR004005"/>
    <x v="17"/>
    <s v="CMR004005002"/>
    <s v="MOR-0017"/>
    <s v="POUCHE"/>
    <m/>
    <x v="0"/>
    <x v="4"/>
    <n v="25"/>
    <n v="168"/>
    <s v="Conflits liés à GANE (BH)"/>
    <m/>
    <s v="Même arrondissement"/>
    <s v="CMR"/>
    <s v="Cameroun"/>
    <s v="CMR004"/>
    <s v="Extrême-Nord"/>
    <s v="CMR004005"/>
    <s v="Mayo-Sava"/>
    <s v="CMR004005002"/>
    <s v="Mora"/>
  </r>
  <r>
    <s v="Extrême-Nord"/>
    <s v="CMR004"/>
    <x v="4"/>
    <s v="CMR004005"/>
    <x v="17"/>
    <s v="CMR004005002"/>
    <s v="MOR-0017"/>
    <s v="POUCHE"/>
    <m/>
    <x v="0"/>
    <x v="3"/>
    <n v="3"/>
    <n v="40"/>
    <s v="Conflits liés à GANE (BH)"/>
    <m/>
    <s v="Même arrondissement"/>
    <s v="CMR"/>
    <s v="Cameroun"/>
    <s v="CMR004"/>
    <s v="Extrême-Nord"/>
    <s v="CMR004005"/>
    <s v="Mayo-Sava"/>
    <s v="CMR004005002"/>
    <s v="Mora"/>
  </r>
  <r>
    <s v="Extrême-Nord"/>
    <s v="CMR004"/>
    <x v="4"/>
    <s v="CMR004005"/>
    <x v="17"/>
    <s v="CMR004005002"/>
    <s v="MOR-0017"/>
    <s v="POUCHE"/>
    <m/>
    <x v="0"/>
    <x v="2"/>
    <n v="0"/>
    <n v="6"/>
    <s v="Conflits liés à GANE (BH)"/>
    <m/>
    <s v="Même arrondissement"/>
    <s v="CMR"/>
    <s v="Cameroun"/>
    <s v="CMR004"/>
    <s v="Extrême-Nord"/>
    <s v="CMR004005"/>
    <s v="Mayo-Sava"/>
    <s v="CMR004005002"/>
    <s v="Mora"/>
  </r>
  <r>
    <s v="Extrême-Nord"/>
    <s v="CMR004"/>
    <x v="2"/>
    <s v="CMR004002"/>
    <x v="8"/>
    <s v="CMR004002009"/>
    <s v="MAK-0030"/>
    <s v="DOLE-AFADE"/>
    <m/>
    <x v="0"/>
    <x v="0"/>
    <n v="9"/>
    <n v="79"/>
    <s v="Conflits liés à GANE (BH)"/>
    <m/>
    <s v="Même arrondissement"/>
    <s v="CMR"/>
    <s v="Cameroun"/>
    <s v="CMR004"/>
    <s v="Extrême-Nord"/>
    <s v="CMR004002"/>
    <s v="Logone-Et-Chari"/>
    <s v="CMR004002009"/>
    <s v="Makary"/>
  </r>
  <r>
    <s v="Extrême-Nord"/>
    <s v="CMR004"/>
    <x v="2"/>
    <s v="CMR004002"/>
    <x v="8"/>
    <s v="CMR004002009"/>
    <s v="MAK-0121"/>
    <s v="ABTABILO FADJAWA"/>
    <m/>
    <x v="0"/>
    <x v="2"/>
    <n v="2"/>
    <n v="19"/>
    <s v="Conflits liés à GANE (BH)"/>
    <m/>
    <s v="Même département, autre arrondissement"/>
    <s v="CMR"/>
    <s v="Cameroun"/>
    <s v="CMR004"/>
    <s v="Extrême-Nord"/>
    <s v="CMR004002"/>
    <s v="Logone-Et-Chari"/>
    <s v="CMR004002003"/>
    <s v="Blangoua"/>
  </r>
  <r>
    <s v="Extrême-Nord"/>
    <s v="CMR004"/>
    <x v="2"/>
    <s v="CMR004002"/>
    <x v="8"/>
    <s v="CMR004002009"/>
    <s v="MAK-0146"/>
    <s v="NBOUNG"/>
    <m/>
    <x v="0"/>
    <x v="0"/>
    <n v="14"/>
    <n v="128"/>
    <s v="Conflits liés à GANE (BH)"/>
    <m/>
    <s v="Autre département"/>
    <s v="CMR"/>
    <s v="Cameroun"/>
    <s v="CMR004"/>
    <s v="Extrême-Nord"/>
    <s v="CMR004005"/>
    <s v="Mayo-Sava"/>
    <m/>
    <m/>
  </r>
  <r>
    <s v="Extrême-Nord"/>
    <s v="CMR004"/>
    <x v="2"/>
    <s v="CMR004002"/>
    <x v="8"/>
    <s v="CMR004002009"/>
    <s v="MAK-0077"/>
    <s v="NDIGUINI"/>
    <m/>
    <x v="0"/>
    <x v="0"/>
    <n v="35"/>
    <n v="219"/>
    <s v="Conflits liés à GANE (BH)"/>
    <m/>
    <s v="Même département, autre arrondissement"/>
    <s v="CMR"/>
    <s v="Cameroun"/>
    <s v="CMR004"/>
    <s v="Extrême-Nord"/>
    <s v="CMR004002"/>
    <s v="Logone-Et-Chari"/>
    <s v="CMR004002007"/>
    <s v="Darak"/>
  </r>
  <r>
    <s v="Extrême-Nord"/>
    <s v="CMR004"/>
    <x v="2"/>
    <s v="CMR004002"/>
    <x v="8"/>
    <s v="CMR004002009"/>
    <s v="MAK-0077"/>
    <s v="NDIGUINI"/>
    <m/>
    <x v="0"/>
    <x v="2"/>
    <n v="4"/>
    <n v="31"/>
    <s v="Conflits liés à GANE (BH)"/>
    <m/>
    <s v="Même département, autre arrondissement"/>
    <s v="CMR"/>
    <s v="Cameroun"/>
    <s v="CMR004"/>
    <s v="Extrême-Nord"/>
    <s v="CMR004002"/>
    <s v="Logone-Et-Chari"/>
    <s v="CMR004002003"/>
    <s v="Blangoua"/>
  </r>
  <r>
    <s v="Extrême-Nord"/>
    <s v="CMR004"/>
    <x v="2"/>
    <s v="CMR004002"/>
    <x v="8"/>
    <s v="CMR004002009"/>
    <s v="MAK-0098"/>
    <s v="DIGAM BAR"/>
    <m/>
    <x v="0"/>
    <x v="0"/>
    <n v="8"/>
    <n v="65"/>
    <s v="Conflits liés à GANE (BH)"/>
    <m/>
    <s v="Même arrondissement"/>
    <s v="CMR"/>
    <s v="Cameroun"/>
    <s v="CMR004"/>
    <s v="Extrême-Nord"/>
    <s v="CMR004002"/>
    <s v="Logone-Et-Chari"/>
    <s v="CMR004002009"/>
    <s v="Makary"/>
  </r>
  <r>
    <s v="Extrême-Nord"/>
    <s v="CMR004"/>
    <x v="2"/>
    <s v="CMR004002"/>
    <x v="8"/>
    <s v="CMR004002009"/>
    <s v="MAK-0037"/>
    <s v="GLAO"/>
    <m/>
    <x v="0"/>
    <x v="4"/>
    <n v="2"/>
    <n v="15"/>
    <s v="Conflits liés à GANE (BH)"/>
    <m/>
    <s v="Même département, autre arrondissement"/>
    <s v="CMR"/>
    <s v="Cameroun"/>
    <s v="CMR004"/>
    <s v="Extrême-Nord"/>
    <s v="CMR004002"/>
    <s v="Logone-Et-Chari"/>
    <s v="CMR004002007"/>
    <s v="Darak"/>
  </r>
  <r>
    <s v="Extrême-Nord"/>
    <s v="CMR004"/>
    <x v="2"/>
    <s v="CMR004002"/>
    <x v="8"/>
    <s v="CMR004002009"/>
    <s v="MAK-0094"/>
    <s v="WOULKIOKALE"/>
    <m/>
    <x v="0"/>
    <x v="0"/>
    <n v="15"/>
    <n v="100"/>
    <s v="Conflits liés à GANE (BH)"/>
    <m/>
    <s v="Même arrondissement"/>
    <s v="CMR"/>
    <s v="Cameroun"/>
    <s v="CMR004"/>
    <s v="Extrême-Nord"/>
    <s v="CMR004002"/>
    <s v="Logone-Et-Chari"/>
    <s v="CMR004002009"/>
    <s v="Makary"/>
  </r>
  <r>
    <s v="Extrême-Nord"/>
    <s v="CMR004"/>
    <x v="2"/>
    <s v="CMR004002"/>
    <x v="8"/>
    <s v="CMR004002009"/>
    <s v="MAK-0148"/>
    <s v="WERA"/>
    <m/>
    <x v="0"/>
    <x v="0"/>
    <n v="8"/>
    <n v="40"/>
    <s v="Conflits liés à GANE (BH)"/>
    <m/>
    <s v="Même département, autre arrondissement"/>
    <s v="CMR"/>
    <s v="Cameroun"/>
    <s v="CMR004"/>
    <s v="Extrême-Nord"/>
    <s v="CMR004002"/>
    <s v="Logone-Et-Chari"/>
    <s v="CMR004002008"/>
    <s v="Fotokol"/>
  </r>
  <r>
    <s v="Extrême-Nord"/>
    <s v="CMR004"/>
    <x v="2"/>
    <s v="CMR004002"/>
    <x v="8"/>
    <s v="CMR004002009"/>
    <s v="MAK-0008"/>
    <s v="AMSABANG"/>
    <m/>
    <x v="0"/>
    <x v="0"/>
    <n v="66"/>
    <n v="552"/>
    <s v="Conflits liés à GANE (BH)"/>
    <m/>
    <s v="Même arrondissement"/>
    <s v="CMR"/>
    <s v="Cameroun"/>
    <s v="CMR004"/>
    <s v="Extrême-Nord"/>
    <s v="CMR004002"/>
    <s v="Logone-Et-Chari"/>
    <s v="CMR004002009"/>
    <s v="Makary"/>
  </r>
  <r>
    <s v="Extrême-Nord"/>
    <s v="CMR004"/>
    <x v="2"/>
    <s v="CMR004002"/>
    <x v="8"/>
    <s v="CMR004002009"/>
    <s v="MAK-0009"/>
    <s v="AMSABANG 2"/>
    <m/>
    <x v="0"/>
    <x v="0"/>
    <n v="10"/>
    <n v="69"/>
    <s v="Conflits liés à GANE (BH)"/>
    <m/>
    <s v="Même arrondissement"/>
    <s v="CMR"/>
    <s v="Cameroun"/>
    <s v="CMR004"/>
    <s v="Extrême-Nord"/>
    <s v="CMR004002"/>
    <s v="Logone-Et-Chari"/>
    <s v="CMR004002009"/>
    <s v="Makary"/>
  </r>
  <r>
    <s v="Extrême-Nord"/>
    <s v="CMR004"/>
    <x v="2"/>
    <s v="CMR004002"/>
    <x v="9"/>
    <s v="CMR004002010"/>
    <s v="HIL-0018"/>
    <s v="MAFOULSO 2"/>
    <m/>
    <x v="0"/>
    <x v="0"/>
    <n v="7"/>
    <n v="57"/>
    <s v="Conflits liés à GANE (BH)"/>
    <m/>
    <s v="Même arrondissement"/>
    <s v="CMR"/>
    <s v="Cameroun"/>
    <s v="CMR004"/>
    <s v="Extrême-Nord"/>
    <s v="CMR004002"/>
    <s v="Logone-Et-Chari"/>
    <s v="CMR004002010"/>
    <s v="Hile-Alifa"/>
  </r>
  <r>
    <s v="Extrême-Nord"/>
    <s v="CMR004"/>
    <x v="2"/>
    <s v="CMR004002"/>
    <x v="9"/>
    <s v="CMR004002010"/>
    <s v="HIL-0018"/>
    <s v="MAFOULSO 2"/>
    <m/>
    <x v="0"/>
    <x v="3"/>
    <n v="2"/>
    <n v="14"/>
    <s v="Conflits liés à GANE (BH)"/>
    <m/>
    <s v="Même arrondissement"/>
    <s v="CMR"/>
    <s v="Cameroun"/>
    <s v="CMR004"/>
    <s v="Extrême-Nord"/>
    <s v="CMR004002"/>
    <s v="Logone-Et-Chari"/>
    <s v="CMR004002010"/>
    <s v="Hile-Alifa"/>
  </r>
  <r>
    <s v="Extrême-Nord"/>
    <s v="CMR004"/>
    <x v="2"/>
    <s v="CMR004002"/>
    <x v="9"/>
    <s v="CMR004002010"/>
    <s v="HIL-0018"/>
    <s v="MAFOULSO 2"/>
    <m/>
    <x v="0"/>
    <x v="2"/>
    <n v="20"/>
    <n v="140"/>
    <s v="Conflits liés à GANE (BH)"/>
    <m/>
    <s v="Même département, autre arrondissement"/>
    <s v="CMR"/>
    <s v="Cameroun"/>
    <s v="CMR004"/>
    <s v="Extrême-Nord"/>
    <s v="CMR004002"/>
    <s v="Logone-Et-Chari"/>
    <s v="CMR004002007"/>
    <s v="Darak"/>
  </r>
  <r>
    <s v="Extrême-Nord"/>
    <s v="CMR004"/>
    <x v="2"/>
    <s v="CMR004002"/>
    <x v="9"/>
    <s v="CMR004002010"/>
    <s v="HIL-0021"/>
    <s v="FAMARE"/>
    <m/>
    <x v="0"/>
    <x v="3"/>
    <n v="1"/>
    <n v="8"/>
    <s v="Conflits liés à GANE (BH)"/>
    <m/>
    <s v="Même arrondissement"/>
    <s v="CMR"/>
    <s v="Cameroun"/>
    <s v="CMR004"/>
    <s v="Extrême-Nord"/>
    <s v="CMR004002"/>
    <s v="Logone-Et-Chari"/>
    <s v="CMR004002010"/>
    <s v="Hile-Alifa"/>
  </r>
  <r>
    <s v="Extrême-Nord"/>
    <s v="CMR004"/>
    <x v="2"/>
    <s v="CMR004002"/>
    <x v="9"/>
    <s v="CMR004002010"/>
    <s v="HIL-0021"/>
    <s v="FAMARE"/>
    <m/>
    <x v="0"/>
    <x v="2"/>
    <n v="50"/>
    <n v="300"/>
    <s v="Conflits liés à GANE (BH)"/>
    <m/>
    <s v="Même département, autre arrondissement"/>
    <s v="CMR"/>
    <s v="Cameroun"/>
    <s v="CMR004"/>
    <s v="Extrême-Nord"/>
    <s v="CMR004002"/>
    <s v="Logone-Et-Chari"/>
    <s v="CMR004002007"/>
    <s v="Darak"/>
  </r>
  <r>
    <s v="Extrême-Nord"/>
    <s v="CMR004"/>
    <x v="2"/>
    <s v="CMR004002"/>
    <x v="25"/>
    <s v="CMR004002008"/>
    <s v="FOT-0028"/>
    <s v="MAGADI 1"/>
    <m/>
    <x v="0"/>
    <x v="0"/>
    <n v="39"/>
    <n v="321"/>
    <s v="Conflits liés à GANE (BH)"/>
    <m/>
    <s v="Même arrondissement"/>
    <s v="CMR"/>
    <s v="Cameroun"/>
    <s v="CMR004"/>
    <s v="Extrême-Nord"/>
    <s v="CMR004002"/>
    <s v="Logone-Et-Chari"/>
    <s v="CMR004002008"/>
    <s v="Fotokol"/>
  </r>
  <r>
    <s v="Extrême-Nord"/>
    <s v="CMR004"/>
    <x v="2"/>
    <s v="CMR004002"/>
    <x v="8"/>
    <s v="CMR004002009"/>
    <s v="MAK-0216"/>
    <s v="SITE DE DAGUÉ"/>
    <m/>
    <x v="0"/>
    <x v="2"/>
    <n v="16"/>
    <n v="64"/>
    <s v="Inondations saisonnières ou fortes pluies"/>
    <m/>
    <s v="Même arrondissement"/>
    <s v="CMR"/>
    <s v="Cameroun"/>
    <s v="CMR004"/>
    <s v="Extrême-Nord"/>
    <s v="CMR004002"/>
    <s v="Logone-Et-Chari"/>
    <s v="CMR004002009"/>
    <s v="Makary"/>
  </r>
  <r>
    <s v="Extrême-Nord"/>
    <s v="CMR004"/>
    <x v="4"/>
    <s v="CMR004005"/>
    <x v="17"/>
    <s v="CMR004005002"/>
    <s v="MOR-0014"/>
    <s v="MEME CENTRE"/>
    <m/>
    <x v="0"/>
    <x v="0"/>
    <n v="790"/>
    <n v="10214"/>
    <s v="Conflits liés à GANE (BH)"/>
    <m/>
    <s v="Même arrondissement"/>
    <s v="CMR"/>
    <s v="Cameroun"/>
    <s v="CMR004"/>
    <s v="Extrême-Nord"/>
    <s v="CMR004005"/>
    <s v="Mayo-Sava"/>
    <s v="CMR004005002"/>
    <s v="Mora"/>
  </r>
  <r>
    <s v="Extrême-Nord"/>
    <s v="CMR004"/>
    <x v="4"/>
    <s v="CMR004005"/>
    <x v="17"/>
    <s v="CMR004005002"/>
    <s v="MOR-0014"/>
    <s v="MEME CENTRE"/>
    <m/>
    <x v="0"/>
    <x v="1"/>
    <n v="90"/>
    <n v="503"/>
    <s v="Conflits liés à GANE (BH)"/>
    <m/>
    <s v="Même arrondissement"/>
    <s v="CMR"/>
    <s v="Cameroun"/>
    <s v="CMR004"/>
    <s v="Extrême-Nord"/>
    <s v="CMR004005"/>
    <s v="Mayo-Sava"/>
    <s v="CMR004005002"/>
    <s v="Mora"/>
  </r>
  <r>
    <s v="Extrême-Nord"/>
    <s v="CMR004"/>
    <x v="4"/>
    <s v="CMR004005"/>
    <x v="17"/>
    <s v="CMR004005002"/>
    <s v="MOR-0014"/>
    <s v="MEME CENTRE"/>
    <m/>
    <x v="0"/>
    <x v="4"/>
    <n v="0"/>
    <n v="243"/>
    <s v="Conflits liés à GANE (BH)"/>
    <m/>
    <s v="Même arrondissement"/>
    <s v="CMR"/>
    <s v="Cameroun"/>
    <s v="CMR004"/>
    <s v="Extrême-Nord"/>
    <s v="CMR004005"/>
    <s v="Mayo-Sava"/>
    <s v="CMR004005002"/>
    <s v="Mora"/>
  </r>
  <r>
    <s v="Extrême-Nord"/>
    <s v="CMR004"/>
    <x v="4"/>
    <s v="CMR004005"/>
    <x v="17"/>
    <s v="CMR004005002"/>
    <s v="MOR-0014"/>
    <s v="MEME CENTRE"/>
    <m/>
    <x v="0"/>
    <x v="3"/>
    <n v="40"/>
    <n v="340"/>
    <s v="Conflits liés à GANE (BH)"/>
    <m/>
    <s v="Même arrondissement"/>
    <s v="CMR"/>
    <s v="Cameroun"/>
    <s v="CMR004"/>
    <s v="Extrême-Nord"/>
    <s v="CMR004005"/>
    <s v="Mayo-Sava"/>
    <s v="CMR004005002"/>
    <s v="Mora"/>
  </r>
  <r>
    <s v="Extrême-Nord"/>
    <s v="CMR004"/>
    <x v="4"/>
    <s v="CMR004005"/>
    <x v="17"/>
    <s v="CMR004005002"/>
    <s v="MOR-0014"/>
    <s v="MEME CENTRE"/>
    <m/>
    <x v="0"/>
    <x v="2"/>
    <n v="0"/>
    <n v="94"/>
    <s v="Conflits liés à GANE (BH)"/>
    <m/>
    <s v="Même arrondissement"/>
    <s v="CMR"/>
    <s v="Cameroun"/>
    <s v="CMR004"/>
    <s v="Extrême-Nord"/>
    <s v="CMR004005"/>
    <s v="Mayo-Sava"/>
    <s v="CMR004005002"/>
    <s v="Mora"/>
  </r>
  <r>
    <s v="Extrême-Nord"/>
    <s v="CMR004"/>
    <x v="4"/>
    <s v="CMR004005"/>
    <x v="29"/>
    <s v="CMR004005003"/>
    <s v="TOK-0003"/>
    <s v="MADOUVAYA"/>
    <m/>
    <x v="0"/>
    <x v="0"/>
    <n v="31"/>
    <n v="431"/>
    <s v="Conflits liés à GANE (BH)"/>
    <m/>
    <s v="Même arrondissement"/>
    <s v="CMR"/>
    <s v="Cameroun"/>
    <s v="CMR004"/>
    <s v="Extrême-Nord"/>
    <s v="CMR004005"/>
    <s v="Mayo-Sava"/>
    <s v="CMR004005003"/>
    <s v="Tokombéré"/>
  </r>
  <r>
    <s v="Extrême-Nord"/>
    <s v="CMR004"/>
    <x v="4"/>
    <s v="CMR004005"/>
    <x v="29"/>
    <s v="CMR004005003"/>
    <s v="TOK-0003"/>
    <s v="MADOUVAYA"/>
    <m/>
    <x v="0"/>
    <x v="1"/>
    <n v="3"/>
    <n v="24"/>
    <s v="Conflits liés à GANE (BH)"/>
    <m/>
    <s v="Même arrondissement"/>
    <s v="CMR"/>
    <s v="Cameroun"/>
    <s v="CMR004"/>
    <s v="Extrême-Nord"/>
    <s v="CMR004005"/>
    <s v="Mayo-Sava"/>
    <s v="CMR004005003"/>
    <s v="Tokombéré"/>
  </r>
  <r>
    <s v="Extrême-Nord"/>
    <s v="CMR004"/>
    <x v="4"/>
    <s v="CMR004005"/>
    <x v="29"/>
    <s v="CMR004005003"/>
    <s v="TOK-0003"/>
    <s v="MADOUVAYA"/>
    <m/>
    <x v="0"/>
    <x v="4"/>
    <n v="0"/>
    <n v="80"/>
    <s v="Conflits liés à GANE (BH)"/>
    <m/>
    <s v="Même arrondissement"/>
    <s v="CMR"/>
    <s v="Cameroun"/>
    <s v="CMR004"/>
    <s v="Extrême-Nord"/>
    <s v="CMR004005"/>
    <s v="Mayo-Sava"/>
    <s v="CMR004005003"/>
    <s v="Tokombéré"/>
  </r>
  <r>
    <s v="Extrême-Nord"/>
    <s v="CMR004"/>
    <x v="4"/>
    <s v="CMR004005"/>
    <x v="29"/>
    <s v="CMR004005003"/>
    <s v="TOK-0003"/>
    <s v="MADOUVAYA"/>
    <m/>
    <x v="0"/>
    <x v="3"/>
    <n v="7"/>
    <n v="51"/>
    <s v="Conflits liés à GANE (BH)"/>
    <m/>
    <s v="Même arrondissement"/>
    <s v="CMR"/>
    <s v="Cameroun"/>
    <s v="CMR004"/>
    <s v="Extrême-Nord"/>
    <s v="CMR004005"/>
    <s v="Mayo-Sava"/>
    <s v="CMR004005003"/>
    <s v="Tokombéré"/>
  </r>
  <r>
    <s v="Extrême-Nord"/>
    <s v="CMR004"/>
    <x v="4"/>
    <s v="CMR004005"/>
    <x v="29"/>
    <s v="CMR004005003"/>
    <s v="TOK-0003"/>
    <s v="MADOUVAYA"/>
    <m/>
    <x v="0"/>
    <x v="2"/>
    <n v="0"/>
    <n v="3"/>
    <s v="Conflits liés à GANE (BH)"/>
    <m/>
    <s v="Même arrondissement"/>
    <s v="CMR"/>
    <s v="Cameroun"/>
    <s v="CMR004"/>
    <s v="Extrême-Nord"/>
    <s v="CMR004005"/>
    <s v="Mayo-Sava"/>
    <s v="CMR004005003"/>
    <s v="Tokombéré"/>
  </r>
  <r>
    <s v="Extrême-Nord"/>
    <s v="CMR004"/>
    <x v="4"/>
    <s v="CMR004005"/>
    <x v="29"/>
    <s v="CMR004005003"/>
    <s v="TOK-0019"/>
    <s v="SITE DE MADOUVAYA"/>
    <m/>
    <x v="0"/>
    <x v="4"/>
    <n v="30"/>
    <n v="232"/>
    <s v="Conflits liés à GANE (BH)"/>
    <m/>
    <s v="Même arrondissement"/>
    <s v="CMR"/>
    <s v="Cameroun"/>
    <s v="CMR004"/>
    <s v="Extrême-Nord"/>
    <s v="CMR004005"/>
    <s v="Mayo-Sava"/>
    <s v="CMR004005003"/>
    <s v="Tokombéré"/>
  </r>
  <r>
    <s v="Extrême-Nord"/>
    <s v="CMR004"/>
    <x v="4"/>
    <s v="CMR004005"/>
    <x v="29"/>
    <s v="CMR004005003"/>
    <s v="TOK-0019"/>
    <s v="SITE DE MADOUVAYA"/>
    <m/>
    <x v="0"/>
    <x v="3"/>
    <n v="0"/>
    <n v="7"/>
    <s v="Conflits liés à GANE (BH)"/>
    <m/>
    <s v="Même arrondissement"/>
    <s v="CMR"/>
    <s v="Cameroun"/>
    <s v="CMR004"/>
    <s v="Extrême-Nord"/>
    <s v="CMR004005"/>
    <s v="Mayo-Sava"/>
    <s v="CMR004005003"/>
    <s v="Tokombéré"/>
  </r>
  <r>
    <s v="Extrême-Nord"/>
    <s v="CMR004"/>
    <x v="4"/>
    <s v="CMR004005"/>
    <x v="29"/>
    <s v="CMR004005003"/>
    <s v="TOK-0019"/>
    <s v="SITE DE MADOUVAYA"/>
    <m/>
    <x v="0"/>
    <x v="2"/>
    <n v="0"/>
    <n v="4"/>
    <s v="Conflits liés à GANE (BH)"/>
    <m/>
    <s v="Même arrondissement"/>
    <s v="CMR"/>
    <s v="Cameroun"/>
    <s v="CMR004"/>
    <s v="Extrême-Nord"/>
    <s v="CMR004005"/>
    <s v="Mayo-Sava"/>
    <s v="CMR004005003"/>
    <s v="Tokombéré"/>
  </r>
  <r>
    <s v="Extrême-Nord"/>
    <s v="CMR004"/>
    <x v="4"/>
    <s v="CMR004005"/>
    <x v="29"/>
    <s v="CMR004005003"/>
    <s v="TOK-0016"/>
    <s v="MAYO-PLATA"/>
    <m/>
    <x v="0"/>
    <x v="0"/>
    <n v="34"/>
    <n v="238"/>
    <s v="Conflits liés à GANE (BH)"/>
    <m/>
    <s v="Même arrondissement"/>
    <s v="CMR"/>
    <s v="Cameroun"/>
    <s v="CMR004"/>
    <s v="Extrême-Nord"/>
    <s v="CMR004005"/>
    <s v="Mayo-Sava"/>
    <s v="CMR004005003"/>
    <s v="Tokombéré"/>
  </r>
  <r>
    <s v="Extrême-Nord"/>
    <s v="CMR004"/>
    <x v="4"/>
    <s v="CMR004005"/>
    <x v="29"/>
    <s v="CMR004005003"/>
    <s v="TOK-0016"/>
    <s v="MAYO-PLATA"/>
    <m/>
    <x v="0"/>
    <x v="1"/>
    <n v="3"/>
    <n v="23"/>
    <s v="Conflits liés à GANE (BH)"/>
    <m/>
    <s v="Même arrondissement"/>
    <s v="CMR"/>
    <s v="Cameroun"/>
    <s v="CMR004"/>
    <s v="Extrême-Nord"/>
    <s v="CMR004005"/>
    <s v="Mayo-Sava"/>
    <s v="CMR004005003"/>
    <s v="Tokombéré"/>
  </r>
  <r>
    <s v="Extrême-Nord"/>
    <s v="CMR004"/>
    <x v="4"/>
    <s v="CMR004005"/>
    <x v="29"/>
    <s v="CMR004005003"/>
    <s v="TOK-0016"/>
    <s v="MAYO-PLATA"/>
    <m/>
    <x v="0"/>
    <x v="4"/>
    <n v="0"/>
    <n v="34"/>
    <s v="Conflits liés à GANE (BH)"/>
    <m/>
    <s v="Même arrondissement"/>
    <s v="CMR"/>
    <s v="Cameroun"/>
    <s v="CMR004"/>
    <s v="Extrême-Nord"/>
    <s v="CMR004005"/>
    <s v="Mayo-Sava"/>
    <s v="CMR004005003"/>
    <s v="Tokombéré"/>
  </r>
  <r>
    <s v="Extrême-Nord"/>
    <s v="CMR004"/>
    <x v="4"/>
    <s v="CMR004005"/>
    <x v="29"/>
    <s v="CMR004005003"/>
    <s v="TOK-0016"/>
    <s v="MAYO-PLATA"/>
    <m/>
    <x v="0"/>
    <x v="3"/>
    <n v="0"/>
    <n v="11"/>
    <s v="Conflits liés à GANE (BH)"/>
    <m/>
    <s v="Même arrondissement"/>
    <s v="CMR"/>
    <s v="Cameroun"/>
    <s v="CMR004"/>
    <s v="Extrême-Nord"/>
    <s v="CMR004005"/>
    <s v="Mayo-Sava"/>
    <s v="CMR004005003"/>
    <s v="Tokombéré"/>
  </r>
  <r>
    <s v="Extrême-Nord"/>
    <s v="CMR004"/>
    <x v="4"/>
    <s v="CMR004005"/>
    <x v="29"/>
    <s v="CMR004005003"/>
    <s v="TOK-0016"/>
    <s v="MAYO-PLATA"/>
    <m/>
    <x v="0"/>
    <x v="2"/>
    <n v="0"/>
    <n v="12"/>
    <s v="Conflits liés à GANE (BH)"/>
    <m/>
    <s v="Même arrondissement"/>
    <s v="CMR"/>
    <s v="Cameroun"/>
    <s v="CMR004"/>
    <s v="Extrême-Nord"/>
    <s v="CMR004005"/>
    <s v="Mayo-Sava"/>
    <s v="CMR004005003"/>
    <s v="Tokombéré"/>
  </r>
  <r>
    <s v="Extrême-Nord"/>
    <s v="CMR004"/>
    <x v="4"/>
    <s v="CMR004005"/>
    <x v="17"/>
    <s v="CMR004005002"/>
    <s v="MOR-0076"/>
    <s v="SITE DE KOURGUI ECOLE"/>
    <m/>
    <x v="0"/>
    <x v="1"/>
    <n v="107"/>
    <n v="513"/>
    <s v="Conflits liés à GANE (BH)"/>
    <m/>
    <s v="Même arrondissement"/>
    <s v="CMR"/>
    <s v="Cameroun"/>
    <s v="CMR004"/>
    <s v="Extrême-Nord"/>
    <s v="CMR004005"/>
    <s v="Mayo-Sava"/>
    <s v="CMR004005002"/>
    <s v="Mora"/>
  </r>
  <r>
    <s v="Extrême-Nord"/>
    <s v="CMR004"/>
    <x v="4"/>
    <s v="CMR004005"/>
    <x v="17"/>
    <s v="CMR004005002"/>
    <s v="MOR-0076"/>
    <s v="SITE DE KOURGUI ECOLE"/>
    <m/>
    <x v="0"/>
    <x v="4"/>
    <n v="0"/>
    <n v="5"/>
    <s v="Conflits liés à GANE (BH)"/>
    <m/>
    <s v="Même arrondissement"/>
    <s v="CMR"/>
    <s v="Cameroun"/>
    <s v="CMR004"/>
    <s v="Extrême-Nord"/>
    <s v="CMR004005"/>
    <s v="Mayo-Sava"/>
    <s v="CMR004005002"/>
    <s v="Mora"/>
  </r>
  <r>
    <s v="Extrême-Nord"/>
    <s v="CMR004"/>
    <x v="4"/>
    <s v="CMR004005"/>
    <x v="17"/>
    <s v="CMR004005002"/>
    <s v="MOR-0076"/>
    <s v="SITE DE KOURGUI ECOLE"/>
    <m/>
    <x v="0"/>
    <x v="3"/>
    <n v="2"/>
    <n v="21"/>
    <s v="Conflits liés à GANE (BH)"/>
    <m/>
    <s v="Même arrondissement"/>
    <s v="CMR"/>
    <s v="Cameroun"/>
    <s v="CMR004"/>
    <s v="Extrême-Nord"/>
    <s v="CMR004005"/>
    <s v="Mayo-Sava"/>
    <s v="CMR004005002"/>
    <s v="Mora"/>
  </r>
  <r>
    <s v="Extrême-Nord"/>
    <s v="CMR004"/>
    <x v="4"/>
    <s v="CMR004005"/>
    <x v="17"/>
    <s v="CMR004005002"/>
    <s v="MOR-0076"/>
    <s v="SITE DE KOURGUI ECOLE"/>
    <m/>
    <x v="0"/>
    <x v="2"/>
    <n v="6"/>
    <n v="40"/>
    <s v="Conflits liés à GANE (BH)"/>
    <m/>
    <s v="Même arrondissement"/>
    <s v="CMR"/>
    <s v="Cameroun"/>
    <s v="CMR004"/>
    <s v="Extrême-Nord"/>
    <s v="CMR004005"/>
    <s v="Mayo-Sava"/>
    <s v="CMR004005002"/>
    <s v="Mora"/>
  </r>
  <r>
    <s v="Extrême-Nord"/>
    <s v="CMR004"/>
    <x v="4"/>
    <s v="CMR004005"/>
    <x v="17"/>
    <s v="CMR004005002"/>
    <s v="MOR-0077"/>
    <s v="SITE DE KOURGUI - MAYO"/>
    <m/>
    <x v="0"/>
    <x v="1"/>
    <n v="85"/>
    <n v="445"/>
    <s v="Conflits liés à GANE (BH)"/>
    <m/>
    <s v="Même arrondissement"/>
    <s v="CMR"/>
    <s v="Cameroun"/>
    <s v="CMR004"/>
    <s v="Extrême-Nord"/>
    <s v="CMR004005"/>
    <s v="Mayo-Sava"/>
    <s v="CMR004005002"/>
    <s v="Mora"/>
  </r>
  <r>
    <s v="Extrême-Nord"/>
    <s v="CMR004"/>
    <x v="4"/>
    <s v="CMR004005"/>
    <x v="17"/>
    <s v="CMR004005002"/>
    <s v="MOR-0077"/>
    <s v="SITE DE KOURGUI - MAYO"/>
    <m/>
    <x v="0"/>
    <x v="4"/>
    <n v="0"/>
    <n v="10"/>
    <s v="Conflits liés à GANE (BH)"/>
    <m/>
    <s v="Même arrondissement"/>
    <s v="CMR"/>
    <s v="Cameroun"/>
    <s v="CMR004"/>
    <s v="Extrême-Nord"/>
    <s v="CMR004005"/>
    <s v="Mayo-Sava"/>
    <s v="CMR004005002"/>
    <s v="Mora"/>
  </r>
  <r>
    <s v="Extrême-Nord"/>
    <s v="CMR004"/>
    <x v="4"/>
    <s v="CMR004005"/>
    <x v="17"/>
    <s v="CMR004005002"/>
    <s v="MOR-0077"/>
    <s v="SITE DE KOURGUI - MAYO"/>
    <m/>
    <x v="0"/>
    <x v="3"/>
    <n v="0"/>
    <n v="7"/>
    <s v="Conflits liés à GANE (BH)"/>
    <m/>
    <s v="Même arrondissement"/>
    <s v="CMR"/>
    <s v="Cameroun"/>
    <s v="CMR004"/>
    <s v="Extrême-Nord"/>
    <s v="CMR004005"/>
    <s v="Mayo-Sava"/>
    <s v="CMR004005002"/>
    <s v="Mora"/>
  </r>
  <r>
    <s v="Extrême-Nord"/>
    <s v="CMR004"/>
    <x v="4"/>
    <s v="CMR004005"/>
    <x v="17"/>
    <s v="CMR004005002"/>
    <s v="MOR-0077"/>
    <s v="SITE DE KOURGUI - MAYO"/>
    <m/>
    <x v="0"/>
    <x v="2"/>
    <n v="5"/>
    <n v="25"/>
    <s v="Conflits liés à GANE (BH)"/>
    <m/>
    <s v="Même arrondissement"/>
    <s v="CMR"/>
    <s v="Cameroun"/>
    <s v="CMR004"/>
    <s v="Extrême-Nord"/>
    <s v="CMR004005"/>
    <s v="Mayo-Sava"/>
    <s v="CMR004005002"/>
    <s v="Mora"/>
  </r>
  <r>
    <s v="Extrême-Nord"/>
    <s v="CMR004"/>
    <x v="4"/>
    <s v="CMR004005"/>
    <x v="17"/>
    <s v="CMR004005002"/>
    <s v="MOR-0073"/>
    <s v="KOSSERE ZOUELVA"/>
    <m/>
    <x v="0"/>
    <x v="1"/>
    <n v="14"/>
    <n v="111"/>
    <s v="Conflits liés à GANE (BH)"/>
    <m/>
    <s v="Même arrondissement"/>
    <s v="CMR"/>
    <s v="Cameroun"/>
    <s v="CMR004"/>
    <s v="Extrême-Nord"/>
    <s v="CMR004005"/>
    <s v="Mayo-Sava"/>
    <s v="CMR004005002"/>
    <s v="Mora"/>
  </r>
  <r>
    <s v="Extrême-Nord"/>
    <s v="CMR004"/>
    <x v="4"/>
    <s v="CMR004005"/>
    <x v="17"/>
    <s v="CMR004005002"/>
    <s v="MOR-0073"/>
    <s v="KOSSERE ZOUELVA"/>
    <m/>
    <x v="0"/>
    <x v="4"/>
    <n v="5"/>
    <n v="26"/>
    <s v="Conflits liés à GANE (BH)"/>
    <m/>
    <s v="Même arrondissement"/>
    <s v="CMR"/>
    <s v="Cameroun"/>
    <s v="CMR004"/>
    <s v="Extrême-Nord"/>
    <s v="CMR004005"/>
    <s v="Mayo-Sava"/>
    <s v="CMR004005002"/>
    <s v="Mora"/>
  </r>
  <r>
    <s v="Extrême-Nord"/>
    <s v="CMR004"/>
    <x v="4"/>
    <s v="CMR004005"/>
    <x v="17"/>
    <s v="CMR004005002"/>
    <s v="MOR-0073"/>
    <s v="KOSSERE ZOUELVA"/>
    <m/>
    <x v="0"/>
    <x v="3"/>
    <n v="17"/>
    <n v="88"/>
    <s v="Conflits liés à GANE (BH)"/>
    <m/>
    <s v="Même arrondissement"/>
    <s v="CMR"/>
    <s v="Cameroun"/>
    <s v="CMR004"/>
    <s v="Extrême-Nord"/>
    <s v="CMR004005"/>
    <s v="Mayo-Sava"/>
    <s v="CMR004005002"/>
    <s v="Mora"/>
  </r>
  <r>
    <s v="Extrême-Nord"/>
    <s v="CMR004"/>
    <x v="4"/>
    <s v="CMR004005"/>
    <x v="17"/>
    <s v="CMR004005002"/>
    <s v="MOR-0073"/>
    <s v="KOSSERE ZOUELVA"/>
    <m/>
    <x v="0"/>
    <x v="2"/>
    <n v="8"/>
    <n v="27"/>
    <s v="Conflits liés à GANE (BH)"/>
    <m/>
    <s v="Même arrondissement"/>
    <s v="CMR"/>
    <s v="Cameroun"/>
    <s v="CMR004"/>
    <s v="Extrême-Nord"/>
    <s v="CMR004005"/>
    <s v="Mayo-Sava"/>
    <s v="CMR004005002"/>
    <s v="Mora"/>
  </r>
  <r>
    <s v="Extrême-Nord"/>
    <s v="CMR004"/>
    <x v="1"/>
    <s v="CMR004006"/>
    <x v="7"/>
    <s v="CMR004006005"/>
    <s v="MOZ-0005"/>
    <s v="KORSAMBA"/>
    <m/>
    <x v="0"/>
    <x v="0"/>
    <n v="89"/>
    <n v="409"/>
    <s v="Conflits liés à GANE (BH)"/>
    <m/>
    <s v="Même arrondissement"/>
    <s v="CMR"/>
    <s v="Cameroun"/>
    <s v="CMR004"/>
    <s v="Extrême-Nord"/>
    <s v="CMR004006"/>
    <s v="Mayo-Tsanaga"/>
    <s v="CMR004006005"/>
    <s v="Mayo-Moskota"/>
  </r>
  <r>
    <s v="Extrême-Nord"/>
    <s v="CMR004"/>
    <x v="1"/>
    <s v="CMR004006"/>
    <x v="7"/>
    <s v="CMR004006005"/>
    <s v="MOZ-0005"/>
    <s v="KORSAMBA"/>
    <m/>
    <x v="0"/>
    <x v="2"/>
    <n v="12"/>
    <n v="73"/>
    <s v="Conflits liés à GANE (BH)"/>
    <m/>
    <s v="Même arrondissement"/>
    <s v="CMR"/>
    <s v="Cameroun"/>
    <s v="CMR004"/>
    <s v="Extrême-Nord"/>
    <s v="CMR004006"/>
    <s v="Mayo-Tsanaga"/>
    <s v="CMR004006005"/>
    <s v="Mayo-Moskota"/>
  </r>
  <r>
    <s v="Extrême-Nord"/>
    <s v="CMR004"/>
    <x v="1"/>
    <s v="CMR004006"/>
    <x v="7"/>
    <s v="CMR004006005"/>
    <s v="MOZ-0008"/>
    <s v="DEKERE CENTRE"/>
    <m/>
    <x v="0"/>
    <x v="3"/>
    <n v="99"/>
    <n v="468"/>
    <s v="Conflits liés à GANE (BH)"/>
    <m/>
    <s v="Même arrondissement"/>
    <s v="CMR"/>
    <s v="Cameroun"/>
    <s v="CMR004"/>
    <s v="Extrême-Nord"/>
    <s v="CMR004006"/>
    <s v="Mayo-Tsanaga"/>
    <s v="CMR004006005"/>
    <s v="Mayo-Moskota"/>
  </r>
  <r>
    <s v="Extrême-Nord"/>
    <s v="CMR004"/>
    <x v="1"/>
    <s v="CMR004006"/>
    <x v="7"/>
    <s v="CMR004006005"/>
    <s v="MOZ-0008"/>
    <s v="DEKERE CENTRE"/>
    <m/>
    <x v="0"/>
    <x v="2"/>
    <n v="9"/>
    <n v="32"/>
    <s v="Conflits liés à GANE (BH)"/>
    <m/>
    <s v="Même arrondissement"/>
    <s v="CMR"/>
    <s v="Cameroun"/>
    <s v="CMR004"/>
    <s v="Extrême-Nord"/>
    <s v="CMR004006"/>
    <s v="Mayo-Tsanaga"/>
    <s v="CMR004006005"/>
    <s v="Mayo-Moskota"/>
  </r>
  <r>
    <s v="Extrême-Nord"/>
    <s v="CMR004"/>
    <x v="1"/>
    <s v="CMR004006"/>
    <x v="7"/>
    <s v="CMR004006005"/>
    <s v="MOZ-0036"/>
    <s v="DJIBRILLI"/>
    <m/>
    <x v="0"/>
    <x v="0"/>
    <n v="90"/>
    <n v="544"/>
    <s v="Conflits liés à GANE (BH)"/>
    <m/>
    <s v="Même arrondissement"/>
    <s v="CMR"/>
    <s v="Cameroun"/>
    <s v="CMR004"/>
    <s v="Extrême-Nord"/>
    <s v="CMR004006"/>
    <s v="Mayo-Tsanaga"/>
    <s v="CMR004006005"/>
    <s v="Mayo-Moskota"/>
  </r>
  <r>
    <s v="Extrême-Nord"/>
    <s v="CMR004"/>
    <x v="2"/>
    <s v="CMR004002"/>
    <x v="8"/>
    <s v="CMR004002009"/>
    <s v="MAK-0011"/>
    <s v="ATTRI-SALAMAT"/>
    <m/>
    <x v="0"/>
    <x v="0"/>
    <n v="6"/>
    <n v="27"/>
    <s v="Conflits liés à GANE (BH)"/>
    <m/>
    <s v="Même département, autre arrondissement"/>
    <s v="CMR"/>
    <s v="Cameroun"/>
    <s v="CMR004"/>
    <s v="Extrême-Nord"/>
    <s v="CMR004002"/>
    <s v="Logone-Et-Chari"/>
    <s v="CMR004002008"/>
    <s v="Fotokol"/>
  </r>
  <r>
    <s v="Extrême-Nord"/>
    <s v="CMR004"/>
    <x v="2"/>
    <s v="CMR004002"/>
    <x v="8"/>
    <s v="CMR004002009"/>
    <s v="MAK-0011"/>
    <s v="ATTRI-SALAMAT"/>
    <m/>
    <x v="0"/>
    <x v="4"/>
    <n v="10"/>
    <n v="80"/>
    <s v="Conflits liés à GANE (BH)"/>
    <m/>
    <s v="Même département, autre arrondissement"/>
    <s v="CMR"/>
    <s v="Cameroun"/>
    <s v="CMR004"/>
    <s v="Extrême-Nord"/>
    <s v="CMR004002"/>
    <s v="Logone-Et-Chari"/>
    <s v="CMR004002008"/>
    <s v="Fotokol"/>
  </r>
  <r>
    <s v="Extrême-Nord"/>
    <s v="CMR004"/>
    <x v="2"/>
    <s v="CMR004002"/>
    <x v="8"/>
    <s v="CMR004002009"/>
    <s v="MAK-0011"/>
    <s v="ATTRI-SALAMAT"/>
    <m/>
    <x v="0"/>
    <x v="3"/>
    <n v="0"/>
    <n v="2"/>
    <s v="Conflits liés à GANE (BH)"/>
    <m/>
    <s v="Même département, autre arrondissement"/>
    <s v="CMR"/>
    <s v="Cameroun"/>
    <s v="CMR004"/>
    <s v="Extrême-Nord"/>
    <s v="CMR004002"/>
    <s v="Logone-Et-Chari"/>
    <s v="CMR004002008"/>
    <s v="Fotokol"/>
  </r>
  <r>
    <s v="Extrême-Nord"/>
    <s v="CMR004"/>
    <x v="2"/>
    <s v="CMR004002"/>
    <x v="25"/>
    <s v="CMR004002008"/>
    <s v="FOT-0024"/>
    <s v="WORO KEYME"/>
    <m/>
    <x v="0"/>
    <x v="0"/>
    <n v="7"/>
    <n v="55"/>
    <s v="Conflits liés à GANE (BH)"/>
    <m/>
    <s v="Même arrondissement"/>
    <s v="CMR"/>
    <s v="Cameroun"/>
    <s v="CMR004"/>
    <s v="Extrême-Nord"/>
    <s v="CMR004002"/>
    <s v="Logone-Et-Chari"/>
    <s v="CMR004002008"/>
    <s v="Fotokol"/>
  </r>
  <r>
    <s v="Extrême-Nord"/>
    <s v="CMR004"/>
    <x v="2"/>
    <s v="CMR004002"/>
    <x v="8"/>
    <s v="CMR004002009"/>
    <s v="MAK-0169"/>
    <s v="GAWAWA"/>
    <m/>
    <x v="0"/>
    <x v="3"/>
    <n v="5"/>
    <n v="47"/>
    <s v="Conflit intercommunautaire"/>
    <m/>
    <s v="Même arrondissement"/>
    <s v="CMR"/>
    <s v="Cameroun"/>
    <s v="CMR004"/>
    <s v="Extrême-Nord"/>
    <s v="CMR004002"/>
    <s v="Logone-Et-Chari"/>
    <s v="CMR004002009"/>
    <s v="Makary"/>
  </r>
  <r>
    <s v="Extrême-Nord"/>
    <s v="CMR004"/>
    <x v="2"/>
    <s v="CMR004002"/>
    <x v="8"/>
    <s v="CMR004002009"/>
    <s v="MAK-0169"/>
    <s v="GAWAWA"/>
    <m/>
    <x v="0"/>
    <x v="2"/>
    <n v="3"/>
    <n v="27"/>
    <s v="Inondations saisonnières ou fortes pluies"/>
    <m/>
    <s v="Même arrondissement"/>
    <s v="CMR"/>
    <s v="Cameroun"/>
    <s v="CMR004"/>
    <s v="Extrême-Nord"/>
    <s v="CMR004002"/>
    <s v="Logone-Et-Chari"/>
    <s v="CMR004002009"/>
    <s v="Makary"/>
  </r>
  <r>
    <s v="Extrême-Nord"/>
    <s v="CMR004"/>
    <x v="2"/>
    <s v="CMR004002"/>
    <x v="8"/>
    <s v="CMR004002009"/>
    <s v="MAK-0051"/>
    <s v="KRENAK"/>
    <m/>
    <x v="0"/>
    <x v="2"/>
    <n v="21"/>
    <n v="137"/>
    <s v="Conflit intercommunautaire"/>
    <m/>
    <s v="Même arrondissement"/>
    <s v="CMR"/>
    <s v="Cameroun"/>
    <s v="CMR004"/>
    <s v="Extrême-Nord"/>
    <s v="CMR004002"/>
    <s v="Logone-Et-Chari"/>
    <s v="CMR004002009"/>
    <s v="Makary"/>
  </r>
  <r>
    <s v="Extrême-Nord"/>
    <s v="CMR004"/>
    <x v="2"/>
    <s v="CMR004002"/>
    <x v="8"/>
    <s v="CMR004002009"/>
    <s v="MAK-0051"/>
    <s v="KRENAK"/>
    <m/>
    <x v="0"/>
    <x v="3"/>
    <n v="6"/>
    <n v="27"/>
    <s v="Conflit intercommunautaire"/>
    <m/>
    <s v="Même arrondissement"/>
    <s v="CMR"/>
    <s v="Cameroun"/>
    <s v="CMR004"/>
    <s v="Extrême-Nord"/>
    <s v="CMR004002"/>
    <s v="Logone-Et-Chari"/>
    <s v="CMR004002009"/>
    <s v="Makary"/>
  </r>
  <r>
    <s v="Extrême-Nord"/>
    <s v="CMR004"/>
    <x v="1"/>
    <s v="CMR004006"/>
    <x v="1"/>
    <s v="CMR004006002"/>
    <s v="MOK-0058"/>
    <s v="WANAROU MOKOLO"/>
    <m/>
    <x v="0"/>
    <x v="4"/>
    <n v="2"/>
    <n v="8"/>
    <s v="Conflits liés à GANE (BH)"/>
    <m/>
    <s v="Même arrondissement"/>
    <s v="CMR"/>
    <s v="Cameroun"/>
    <s v="CMR004"/>
    <s v="Extrême-Nord"/>
    <s v="CMR004006"/>
    <s v="Mayo-Tsanaga"/>
    <s v="CMR004006002"/>
    <s v="Mokolo"/>
  </r>
  <r>
    <s v="Extrême-Nord"/>
    <s v="CMR004"/>
    <x v="1"/>
    <s v="CMR004006"/>
    <x v="1"/>
    <s v="CMR004006002"/>
    <s v="MOK-0058"/>
    <s v="WANAROU MOKOLO"/>
    <m/>
    <x v="0"/>
    <x v="3"/>
    <n v="5"/>
    <n v="20"/>
    <s v="Conflits liés à GANE (BH)"/>
    <m/>
    <s v="Même arrondissement"/>
    <s v="CMR"/>
    <s v="Cameroun"/>
    <s v="CMR004"/>
    <s v="Extrême-Nord"/>
    <s v="CMR004006"/>
    <s v="Mayo-Tsanaga"/>
    <s v="CMR004006002"/>
    <s v="Mokolo"/>
  </r>
  <r>
    <s v="Extrême-Nord"/>
    <s v="CMR004"/>
    <x v="1"/>
    <s v="CMR004006"/>
    <x v="1"/>
    <s v="CMR004006002"/>
    <s v="MOK-0058"/>
    <s v="WANAROU MOKOLO"/>
    <m/>
    <x v="0"/>
    <x v="2"/>
    <n v="2"/>
    <n v="13"/>
    <s v="Conflits liés à GANE (BH)"/>
    <m/>
    <s v="Même arrondissement"/>
    <s v="CMR"/>
    <s v="Cameroun"/>
    <s v="CMR004"/>
    <s v="Extrême-Nord"/>
    <s v="CMR004006"/>
    <s v="Mayo-Tsanaga"/>
    <s v="CMR004006002"/>
    <s v="Mokolo"/>
  </r>
  <r>
    <s v="Extrême-Nord"/>
    <s v="CMR004"/>
    <x v="1"/>
    <s v="CMR004006"/>
    <x v="16"/>
    <s v="CMR004006004"/>
    <s v="KOZ-0042"/>
    <s v="MADAKAR"/>
    <m/>
    <x v="0"/>
    <x v="4"/>
    <n v="50"/>
    <n v="700"/>
    <s v="Conflits liés à GANE (BH)"/>
    <m/>
    <s v="Même département, autre arrondissement"/>
    <s v="CMR"/>
    <s v="Cameroun"/>
    <s v="CMR004"/>
    <s v="Extrême-Nord"/>
    <s v="CMR004006"/>
    <s v="Mayo-Tsanaga"/>
    <s v="CMR004006005"/>
    <s v="Mayo-Moskota"/>
  </r>
  <r>
    <s v="Extrême-Nord"/>
    <s v="CMR004"/>
    <x v="1"/>
    <s v="CMR004006"/>
    <x v="16"/>
    <s v="CMR004006004"/>
    <s v="KOZ-0042"/>
    <s v="MADAKAR"/>
    <m/>
    <x v="0"/>
    <x v="3"/>
    <n v="7"/>
    <n v="36"/>
    <s v="Conflits liés à GANE (BH)"/>
    <m/>
    <s v="Même département, autre arrondissement"/>
    <s v="CMR"/>
    <s v="Cameroun"/>
    <s v="CMR004"/>
    <s v="Extrême-Nord"/>
    <s v="CMR004006"/>
    <s v="Mayo-Tsanaga"/>
    <s v="CMR004006005"/>
    <s v="Mayo-Moskota"/>
  </r>
  <r>
    <s v="Extrême-Nord"/>
    <s v="CMR004"/>
    <x v="1"/>
    <s v="CMR004006"/>
    <x v="16"/>
    <s v="CMR004006004"/>
    <s v="KOZ-0042"/>
    <s v="MADAKAR"/>
    <m/>
    <x v="0"/>
    <x v="2"/>
    <n v="0"/>
    <n v="3"/>
    <s v="Conflits liés à GANE (BH)"/>
    <m/>
    <s v="Même département, autre arrondissement"/>
    <s v="CMR"/>
    <s v="Cameroun"/>
    <s v="CMR004"/>
    <s v="Extrême-Nord"/>
    <s v="CMR004006"/>
    <s v="Mayo-Tsanaga"/>
    <s v="CMR004006005"/>
    <s v="Mayo-Moskota"/>
  </r>
  <r>
    <s v="Extrême-Nord"/>
    <s v="CMR004"/>
    <x v="2"/>
    <s v="CMR004002"/>
    <x v="13"/>
    <s v="CMR004002001"/>
    <s v="WAZ-0011"/>
    <s v="SITE DE WAZA"/>
    <m/>
    <x v="0"/>
    <x v="2"/>
    <n v="0"/>
    <n v="0"/>
    <s v="Conflits liés à GANE (BH)"/>
    <m/>
    <s v="Même arrondissement"/>
    <s v="CMR"/>
    <s v="Cameroun"/>
    <s v="CMR004"/>
    <s v="Extrême-Nord"/>
    <s v="CMR004002"/>
    <s v="Logone-Et-Chari"/>
    <s v="CMR004002001"/>
    <s v="Waza"/>
  </r>
  <r>
    <s v="Extrême-Nord"/>
    <s v="CMR004"/>
    <x v="2"/>
    <s v="CMR004002"/>
    <x v="13"/>
    <s v="CMR004002001"/>
    <s v="WAZ-0011"/>
    <s v="SITE DE WAZA"/>
    <m/>
    <x v="0"/>
    <x v="0"/>
    <n v="457"/>
    <n v="2767"/>
    <s v="Conflit intercommunautaire"/>
    <m/>
    <s v="Même département, autre arrondissement"/>
    <s v="CMR"/>
    <s v="Cameroun"/>
    <s v="CMR004"/>
    <s v="Extrême-Nord"/>
    <s v="CMR004002"/>
    <s v="Logone-Et-Chari"/>
    <s v="CMR004002004"/>
    <s v="Logone-Birni"/>
  </r>
  <r>
    <s v="Extrême-Nord"/>
    <s v="CMR004"/>
    <x v="2"/>
    <s v="CMR004002"/>
    <x v="13"/>
    <s v="CMR004002001"/>
    <s v="WAZ-0011"/>
    <s v="SITE DE WAZA"/>
    <m/>
    <x v="0"/>
    <x v="3"/>
    <n v="18"/>
    <n v="36"/>
    <s v="Conflits liés à GANE (BH)"/>
    <m/>
    <s v="Même arrondissement"/>
    <s v="CMR"/>
    <s v="Cameroun"/>
    <s v="CMR004"/>
    <s v="Extrême-Nord"/>
    <s v="CMR004002"/>
    <s v="Logone-Et-Chari"/>
    <s v="CMR004002001"/>
    <s v="Waza"/>
  </r>
  <r>
    <s v="Extrême-Nord"/>
    <s v="CMR004"/>
    <x v="2"/>
    <s v="CMR004002"/>
    <x v="13"/>
    <s v="CMR004002001"/>
    <s v="WAZ-0010"/>
    <s v="TAGAWA 4"/>
    <m/>
    <x v="0"/>
    <x v="0"/>
    <n v="32"/>
    <n v="200"/>
    <s v="Conflits liés à GANE (BH)"/>
    <m/>
    <s v="Autre département"/>
    <s v="CMR"/>
    <s v="Cameroun"/>
    <s v="CMR004"/>
    <s v="Extrême-Nord"/>
    <s v="CMR004005"/>
    <s v="Mayo-Sava"/>
    <m/>
    <m/>
  </r>
  <r>
    <s v="Extrême-Nord"/>
    <s v="CMR004"/>
    <x v="2"/>
    <s v="CMR004002"/>
    <x v="13"/>
    <s v="CMR004002001"/>
    <s v="WAZ-0013"/>
    <s v="CHAOUDE"/>
    <m/>
    <x v="0"/>
    <x v="3"/>
    <n v="39"/>
    <n v="351"/>
    <s v="Conflit intercommunautaire"/>
    <m/>
    <s v="Même département, autre arrondissement"/>
    <s v="CMR"/>
    <s v="Cameroun"/>
    <s v="CMR004"/>
    <s v="Extrême-Nord"/>
    <s v="CMR004002"/>
    <s v="Logone-Et-Chari"/>
    <s v="CMR004002004"/>
    <s v="Logone-Birni"/>
  </r>
  <r>
    <s v="Extrême-Nord"/>
    <s v="CMR004"/>
    <x v="2"/>
    <s v="CMR004002"/>
    <x v="9"/>
    <s v="CMR004002010"/>
    <s v="HIL-0005"/>
    <s v="BARGARAM"/>
    <m/>
    <x v="0"/>
    <x v="0"/>
    <n v="27"/>
    <n v="230"/>
    <s v="Conflits liés à GANE (BH)"/>
    <m/>
    <s v="Même arrondissement"/>
    <s v="CMR"/>
    <s v="Cameroun"/>
    <s v="CMR004"/>
    <s v="Extrême-Nord"/>
    <s v="CMR004002"/>
    <s v="Logone-Et-Chari"/>
    <s v="CMR004002010"/>
    <s v="Hile-Alifa"/>
  </r>
  <r>
    <s v="Extrême-Nord"/>
    <s v="CMR004"/>
    <x v="2"/>
    <s v="CMR004002"/>
    <x v="9"/>
    <s v="CMR004002010"/>
    <s v="HIL-0005"/>
    <s v="BARGARAM"/>
    <m/>
    <x v="0"/>
    <x v="3"/>
    <n v="5"/>
    <n v="40"/>
    <s v="Conflits liés à GANE (BH)"/>
    <m/>
    <s v="Même arrondissement"/>
    <s v="CMR"/>
    <s v="Cameroun"/>
    <s v="CMR004"/>
    <s v="Extrême-Nord"/>
    <s v="CMR004002"/>
    <s v="Logone-Et-Chari"/>
    <s v="CMR004002010"/>
    <s v="Hile-Alifa"/>
  </r>
  <r>
    <s v="Extrême-Nord"/>
    <s v="CMR004"/>
    <x v="2"/>
    <s v="CMR004002"/>
    <x v="9"/>
    <s v="CMR004002010"/>
    <s v="HIL-0005"/>
    <s v="BARGARAM"/>
    <m/>
    <x v="0"/>
    <x v="2"/>
    <n v="25"/>
    <n v="150"/>
    <s v="Conflits liés à GANE (BH)"/>
    <m/>
    <s v="Même département, autre arrondissement"/>
    <s v="CMR"/>
    <s v="Cameroun"/>
    <s v="CMR004"/>
    <s v="Extrême-Nord"/>
    <s v="CMR004002"/>
    <s v="Logone-Et-Chari"/>
    <s v="CMR004002007"/>
    <s v="Darak"/>
  </r>
  <r>
    <s v="Extrême-Nord"/>
    <s v="CMR004"/>
    <x v="0"/>
    <s v="CMR004001"/>
    <x v="3"/>
    <s v="CMR004001009"/>
    <s v="MA1-0005"/>
    <s v="DIGUIRWO 1"/>
    <m/>
    <x v="0"/>
    <x v="0"/>
    <n v="8"/>
    <n v="44"/>
    <s v="Conflits liés à GANE (BH)"/>
    <m/>
    <s v="Autre département"/>
    <s v="CMR"/>
    <s v="Cameroun"/>
    <s v="CMR004"/>
    <s v="Extrême-Nord"/>
    <s v="CMR004005"/>
    <s v="Mayo-Sava"/>
    <m/>
    <m/>
  </r>
  <r>
    <s v="Extrême-Nord"/>
    <s v="CMR004"/>
    <x v="2"/>
    <s v="CMR004002"/>
    <x v="8"/>
    <s v="CMR004002009"/>
    <s v="MAK-0006"/>
    <s v="AMCHILGA"/>
    <m/>
    <x v="0"/>
    <x v="0"/>
    <n v="36"/>
    <n v="155"/>
    <s v="Conflit intercommunautaire"/>
    <m/>
    <s v="Même département, autre arrondissement"/>
    <s v="CMR"/>
    <s v="Cameroun"/>
    <s v="CMR004"/>
    <s v="Extrême-Nord"/>
    <s v="CMR004002"/>
    <s v="Logone-Et-Chari"/>
    <s v="CMR004002004"/>
    <s v="Logone-Birni"/>
  </r>
  <r>
    <s v="Extrême-Nord"/>
    <s v="CMR004"/>
    <x v="2"/>
    <s v="CMR004002"/>
    <x v="8"/>
    <s v="CMR004002009"/>
    <s v="MAK-0006"/>
    <s v="AMCHILGA"/>
    <m/>
    <x v="0"/>
    <x v="2"/>
    <n v="7"/>
    <n v="30"/>
    <s v="Conflits liés à GANE (BH)"/>
    <m/>
    <s v="Même département, autre arrondissement"/>
    <s v="CMR"/>
    <s v="Cameroun"/>
    <s v="CMR004"/>
    <s v="Extrême-Nord"/>
    <s v="CMR004002"/>
    <s v="Logone-Et-Chari"/>
    <s v="CMR004002007"/>
    <s v="Darak"/>
  </r>
  <r>
    <s v="Extrême-Nord"/>
    <s v="CMR004"/>
    <x v="2"/>
    <s v="CMR004002"/>
    <x v="8"/>
    <s v="CMR004002009"/>
    <s v="MAK-0006"/>
    <s v="AMCHILGA"/>
    <m/>
    <x v="0"/>
    <x v="3"/>
    <n v="7"/>
    <n v="25"/>
    <s v="Conflit intercommunautaire"/>
    <m/>
    <s v="Même département, autre arrondissement"/>
    <s v="CMR"/>
    <s v="Cameroun"/>
    <s v="CMR004"/>
    <s v="Extrême-Nord"/>
    <s v="CMR004002"/>
    <s v="Logone-Et-Chari"/>
    <s v="CMR004002004"/>
    <s v="Logone-Birni"/>
  </r>
  <r>
    <s v="Extrême-Nord"/>
    <s v="CMR004"/>
    <x v="2"/>
    <s v="CMR004002"/>
    <x v="8"/>
    <s v="CMR004002009"/>
    <s v="MAK-0161"/>
    <s v="AMSAOURA"/>
    <m/>
    <x v="0"/>
    <x v="0"/>
    <n v="5"/>
    <n v="27"/>
    <s v="Inondations saisonnières ou fortes pluies"/>
    <m/>
    <s v="Même arrondissement"/>
    <s v="CMR"/>
    <s v="Cameroun"/>
    <s v="CMR004"/>
    <s v="Extrême-Nord"/>
    <s v="CMR004002"/>
    <s v="Logone-Et-Chari"/>
    <s v="CMR004002009"/>
    <s v="Makary"/>
  </r>
  <r>
    <s v="Extrême-Nord"/>
    <s v="CMR004"/>
    <x v="2"/>
    <s v="CMR004002"/>
    <x v="8"/>
    <s v="CMR004002009"/>
    <s v="MAK-0161"/>
    <s v="AMSAOURA"/>
    <m/>
    <x v="0"/>
    <x v="2"/>
    <n v="1"/>
    <n v="4"/>
    <s v="Inondations saisonnières ou fortes pluies"/>
    <m/>
    <s v="Même département, autre arrondissement"/>
    <s v="CMR"/>
    <s v="Cameroun"/>
    <s v="CMR004"/>
    <s v="Extrême-Nord"/>
    <s v="CMR004002"/>
    <s v="Logone-Et-Chari"/>
    <s v="CMR004002007"/>
    <s v="Darak"/>
  </r>
  <r>
    <s v="Extrême-Nord"/>
    <s v="CMR004"/>
    <x v="2"/>
    <s v="CMR004002"/>
    <x v="10"/>
    <s v="CMR004002003"/>
    <s v="BLA-0008"/>
    <s v="KOBRO"/>
    <m/>
    <x v="0"/>
    <x v="0"/>
    <n v="7"/>
    <n v="48"/>
    <s v="Conflits liés à GANE (BH)"/>
    <m/>
    <s v="Même département, autre arrondissement"/>
    <s v="CMR"/>
    <s v="Cameroun"/>
    <s v="CMR004"/>
    <s v="Extrême-Nord"/>
    <s v="CMR004002"/>
    <s v="Logone-Et-Chari"/>
    <s v="CMR004002008"/>
    <s v="Fotokol"/>
  </r>
  <r>
    <s v="Extrême-Nord"/>
    <s v="CMR004"/>
    <x v="2"/>
    <s v="CMR004002"/>
    <x v="10"/>
    <s v="CMR004002003"/>
    <s v="BLA-0013"/>
    <s v="SERO ABOU"/>
    <m/>
    <x v="0"/>
    <x v="0"/>
    <n v="8"/>
    <n v="65"/>
    <s v="Conflits liés à GANE (BH)"/>
    <m/>
    <s v="Même département, autre arrondissement"/>
    <s v="CMR"/>
    <s v="Cameroun"/>
    <s v="CMR004"/>
    <s v="Extrême-Nord"/>
    <s v="CMR004002"/>
    <s v="Logone-Et-Chari"/>
    <s v="CMR004002008"/>
    <s v="Fotokol"/>
  </r>
  <r>
    <s v="Extrême-Nord"/>
    <s v="CMR004"/>
    <x v="2"/>
    <s v="CMR004002"/>
    <x v="8"/>
    <s v="CMR004002009"/>
    <s v="MAK-0208"/>
    <s v="MIDJOKHINE"/>
    <m/>
    <x v="0"/>
    <x v="0"/>
    <n v="1"/>
    <n v="4"/>
    <s v="Conflits liés à GANE (BH)"/>
    <m/>
    <s v="Même arrondissement"/>
    <s v="CMR"/>
    <s v="Cameroun"/>
    <s v="CMR004"/>
    <s v="Extrême-Nord"/>
    <s v="CMR004002"/>
    <s v="Logone-Et-Chari"/>
    <s v="CMR004002009"/>
    <s v="Makary"/>
  </r>
  <r>
    <s v="Extrême-Nord"/>
    <s v="CMR004"/>
    <x v="2"/>
    <s v="CMR004002"/>
    <x v="8"/>
    <s v="CMR004002009"/>
    <s v="MAK-0206"/>
    <s v="LABADO SITE"/>
    <m/>
    <x v="0"/>
    <x v="0"/>
    <n v="110"/>
    <n v="1000"/>
    <s v="Conflits liés à GANE (BH)"/>
    <m/>
    <s v="Même arrondissement"/>
    <s v="CMR"/>
    <s v="Cameroun"/>
    <s v="CMR004"/>
    <s v="Extrême-Nord"/>
    <s v="CMR004002"/>
    <s v="Logone-Et-Chari"/>
    <s v="CMR004002009"/>
    <s v="Makary"/>
  </r>
  <r>
    <s v="Extrême-Nord"/>
    <s v="CMR004"/>
    <x v="2"/>
    <s v="CMR004002"/>
    <x v="8"/>
    <s v="CMR004002009"/>
    <s v="MAK-0222"/>
    <s v="LABADO"/>
    <m/>
    <x v="0"/>
    <x v="0"/>
    <n v="5"/>
    <n v="20"/>
    <s v="Conflits liés à GANE (BH)"/>
    <m/>
    <s v="Même arrondissement"/>
    <s v="CMR"/>
    <s v="Cameroun"/>
    <s v="CMR004"/>
    <s v="Extrême-Nord"/>
    <s v="CMR004002"/>
    <s v="Logone-Et-Chari"/>
    <s v="CMR004002009"/>
    <s v="Makary"/>
  </r>
  <r>
    <s v="Extrême-Nord"/>
    <s v="CMR004"/>
    <x v="2"/>
    <s v="CMR004002"/>
    <x v="10"/>
    <s v="CMR004002003"/>
    <s v="BLA-0014"/>
    <s v="WAYA-WAYA"/>
    <m/>
    <x v="0"/>
    <x v="0"/>
    <n v="3"/>
    <n v="22"/>
    <s v="Conflits liés à GANE (BH)"/>
    <m/>
    <s v="Même département, autre arrondissement"/>
    <s v="CMR"/>
    <s v="Cameroun"/>
    <s v="CMR004"/>
    <s v="Extrême-Nord"/>
    <s v="CMR004002"/>
    <s v="Logone-Et-Chari"/>
    <s v="CMR004002008"/>
    <s v="Fotokol"/>
  </r>
  <r>
    <s v="Extrême-Nord"/>
    <s v="CMR004"/>
    <x v="2"/>
    <s v="CMR004002"/>
    <x v="10"/>
    <s v="CMR004002003"/>
    <s v="BLA-0014"/>
    <s v="WAYA-WAYA"/>
    <m/>
    <x v="0"/>
    <x v="3"/>
    <n v="1"/>
    <n v="5"/>
    <s v="Inondations saisonnières ou fortes pluies"/>
    <m/>
    <s v="Même département, autre arrondissement"/>
    <s v="CMR"/>
    <s v="Cameroun"/>
    <s v="CMR004"/>
    <s v="Extrême-Nord"/>
    <s v="CMR004002"/>
    <s v="Logone-Et-Chari"/>
    <s v="CMR004002007"/>
    <s v="Darak"/>
  </r>
  <r>
    <s v="Extrême-Nord"/>
    <s v="CMR004"/>
    <x v="2"/>
    <s v="CMR004002"/>
    <x v="10"/>
    <s v="CMR004002003"/>
    <s v="BLA-0014"/>
    <s v="WAYA-WAYA"/>
    <m/>
    <x v="0"/>
    <x v="2"/>
    <n v="2"/>
    <n v="14"/>
    <s v="Inondations saisonnières ou fortes pluies"/>
    <m/>
    <s v="Même arrondissement"/>
    <s v="CMR"/>
    <s v="Cameroun"/>
    <s v="CMR004"/>
    <s v="Extrême-Nord"/>
    <s v="CMR004002"/>
    <s v="Logone-Et-Chari"/>
    <s v="CMR004002003"/>
    <s v="Blangoua"/>
  </r>
  <r>
    <s v="Extrême-Nord"/>
    <s v="CMR004"/>
    <x v="1"/>
    <s v="CMR004006"/>
    <x v="16"/>
    <s v="CMR004006004"/>
    <s v="KOZ-0032"/>
    <s v="YAMEDE"/>
    <m/>
    <x v="0"/>
    <x v="4"/>
    <n v="14"/>
    <n v="68"/>
    <s v="Conflits liés à GANE (BH)"/>
    <m/>
    <s v="Même département, autre arrondissement"/>
    <s v="CMR"/>
    <s v="Cameroun"/>
    <s v="CMR004"/>
    <s v="Extrême-Nord"/>
    <s v="CMR004006"/>
    <s v="Mayo-Tsanaga"/>
    <s v="CMR004006005"/>
    <s v="Mayo-Moskota"/>
  </r>
  <r>
    <s v="Extrême-Nord"/>
    <s v="CMR004"/>
    <x v="1"/>
    <s v="CMR004006"/>
    <x v="16"/>
    <s v="CMR004006004"/>
    <s v="KOZ-0032"/>
    <s v="YAMEDE"/>
    <m/>
    <x v="0"/>
    <x v="3"/>
    <n v="0"/>
    <n v="6"/>
    <s v="Conflits liés à GANE (BH)"/>
    <m/>
    <s v="Même département, autre arrondissement"/>
    <s v="CMR"/>
    <s v="Cameroun"/>
    <s v="CMR004"/>
    <s v="Extrême-Nord"/>
    <s v="CMR004006"/>
    <s v="Mayo-Tsanaga"/>
    <s v="CMR004006005"/>
    <s v="Mayo-Moskota"/>
  </r>
  <r>
    <s v="Extrême-Nord"/>
    <s v="CMR004"/>
    <x v="1"/>
    <s v="CMR004006"/>
    <x v="16"/>
    <s v="CMR004006004"/>
    <s v="KOZ-0032"/>
    <s v="YAMEDE"/>
    <m/>
    <x v="0"/>
    <x v="2"/>
    <n v="5"/>
    <n v="30"/>
    <s v="Conflits liés à GANE (BH)"/>
    <m/>
    <s v="Même département, autre arrondissement"/>
    <s v="CMR"/>
    <s v="Cameroun"/>
    <s v="CMR004"/>
    <s v="Extrême-Nord"/>
    <s v="CMR004006"/>
    <s v="Mayo-Tsanaga"/>
    <s v="CMR004006005"/>
    <s v="Mayo-Moskota"/>
  </r>
  <r>
    <s v="Extrême-Nord"/>
    <s v="CMR004"/>
    <x v="1"/>
    <s v="CMR004006"/>
    <x v="16"/>
    <s v="CMR004006004"/>
    <s v="KOZ-0001"/>
    <s v="DJENGUE"/>
    <m/>
    <x v="0"/>
    <x v="0"/>
    <n v="47"/>
    <n v="244"/>
    <s v="Conflits liés à GANE (BH)"/>
    <m/>
    <s v="Même département, autre arrondissement"/>
    <s v="CMR"/>
    <s v="Cameroun"/>
    <s v="CMR004"/>
    <s v="Extrême-Nord"/>
    <s v="CMR004006"/>
    <s v="Mayo-Tsanaga"/>
    <s v="CMR004006005"/>
    <s v="Mayo-Moskota"/>
  </r>
  <r>
    <s v="Extrême-Nord"/>
    <s v="CMR004"/>
    <x v="1"/>
    <s v="CMR004006"/>
    <x v="16"/>
    <s v="CMR004006004"/>
    <s v="KOZ-0001"/>
    <s v="DJENGUE"/>
    <m/>
    <x v="0"/>
    <x v="1"/>
    <n v="2"/>
    <n v="18"/>
    <s v="Conflits liés à GANE (BH)"/>
    <m/>
    <s v="Même département, autre arrondissement"/>
    <s v="CMR"/>
    <s v="Cameroun"/>
    <s v="CMR004"/>
    <s v="Extrême-Nord"/>
    <s v="CMR004006"/>
    <s v="Mayo-Tsanaga"/>
    <s v="CMR004006005"/>
    <s v="Mayo-Moskota"/>
  </r>
  <r>
    <s v="Extrême-Nord"/>
    <s v="CMR004"/>
    <x v="1"/>
    <s v="CMR004006"/>
    <x v="16"/>
    <s v="CMR004006004"/>
    <s v="KOZ-0001"/>
    <s v="DJENGUE"/>
    <m/>
    <x v="0"/>
    <x v="3"/>
    <n v="5"/>
    <n v="30"/>
    <s v="Conflits liés à GANE (BH)"/>
    <m/>
    <s v="Même département, autre arrondissement"/>
    <s v="CMR"/>
    <s v="Cameroun"/>
    <s v="CMR004"/>
    <s v="Extrême-Nord"/>
    <s v="CMR004006"/>
    <s v="Mayo-Tsanaga"/>
    <s v="CMR004006005"/>
    <s v="Mayo-Moskota"/>
  </r>
  <r>
    <s v="Extrême-Nord"/>
    <s v="CMR004"/>
    <x v="1"/>
    <s v="CMR004006"/>
    <x v="16"/>
    <s v="CMR004006004"/>
    <s v="KOZ-0001"/>
    <s v="DJENGUE"/>
    <m/>
    <x v="0"/>
    <x v="2"/>
    <n v="2"/>
    <n v="7"/>
    <s v="Conflits liés à GANE (BH)"/>
    <m/>
    <s v="Même département, autre arrondissement"/>
    <s v="CMR"/>
    <s v="Cameroun"/>
    <s v="CMR004"/>
    <s v="Extrême-Nord"/>
    <s v="CMR004006"/>
    <s v="Mayo-Tsanaga"/>
    <s v="CMR004006005"/>
    <s v="Mayo-Moskota"/>
  </r>
  <r>
    <s v="Extrême-Nord"/>
    <s v="CMR004"/>
    <x v="1"/>
    <s v="CMR004006"/>
    <x v="16"/>
    <s v="CMR004006004"/>
    <s v="XXXX"/>
    <s v="DAKOTCHER"/>
    <s v="DAKOTCHER"/>
    <x v="0"/>
    <x v="2"/>
    <n v="40"/>
    <n v="150"/>
    <s v="Conflits liés à GANE (BH)"/>
    <m/>
    <s v="Même arrondissement"/>
    <s v="CMR"/>
    <s v="Cameroun"/>
    <s v="CMR004"/>
    <s v="Extrême-Nord"/>
    <s v="CMR004006"/>
    <s v="Mayo-Tsanaga"/>
    <s v="CMR004006004"/>
    <s v="Koza"/>
  </r>
  <r>
    <s v="Extrême-Nord"/>
    <s v="CMR004"/>
    <x v="1"/>
    <s v="CMR004006"/>
    <x v="16"/>
    <s v="CMR004006004"/>
    <s v="KOZ-0044"/>
    <s v="NDOUVGUI KILDA"/>
    <m/>
    <x v="0"/>
    <x v="3"/>
    <n v="25"/>
    <n v="136"/>
    <s v="Conflits liés à GANE (BH)"/>
    <m/>
    <s v="Même arrondissement"/>
    <s v="CMR"/>
    <s v="Cameroun"/>
    <s v="CMR004"/>
    <s v="Extrême-Nord"/>
    <s v="CMR004006"/>
    <s v="Mayo-Tsanaga"/>
    <s v="CMR004006004"/>
    <s v="Koza"/>
  </r>
  <r>
    <s v="Extrême-Nord"/>
    <s v="CMR004"/>
    <x v="1"/>
    <s v="CMR004006"/>
    <x v="16"/>
    <s v="CMR004006004"/>
    <s v="KOZ-0044"/>
    <s v="NDOUVGUI KILDA"/>
    <m/>
    <x v="0"/>
    <x v="2"/>
    <n v="0"/>
    <n v="3"/>
    <s v="Conflits liés à GANE (BH)"/>
    <m/>
    <s v="Même arrondissement"/>
    <s v="CMR"/>
    <s v="Cameroun"/>
    <s v="CMR004"/>
    <s v="Extrême-Nord"/>
    <s v="CMR004006"/>
    <s v="Mayo-Tsanaga"/>
    <s v="CMR004006004"/>
    <s v="Koza"/>
  </r>
  <r>
    <s v="Extrême-Nord"/>
    <s v="CMR004"/>
    <x v="2"/>
    <s v="CMR004002"/>
    <x v="15"/>
    <s v="CMR004002004"/>
    <s v="LBI-0012"/>
    <s v="MOULADOCK 1"/>
    <m/>
    <x v="0"/>
    <x v="0"/>
    <n v="7"/>
    <n v="72"/>
    <s v="Conflits liés à GANE (BH)"/>
    <m/>
    <s v="Même arrondissement"/>
    <s v="CMR"/>
    <s v="Cameroun"/>
    <s v="CMR004"/>
    <s v="Extrême-Nord"/>
    <s v="CMR004002"/>
    <s v="Logone-Et-Chari"/>
    <s v="CMR004002004"/>
    <s v="Logone-Birni"/>
  </r>
  <r>
    <s v="Extrême-Nord"/>
    <s v="CMR004"/>
    <x v="1"/>
    <s v="CMR004006"/>
    <x v="16"/>
    <s v="CMR004006004"/>
    <s v="KOZ-0008"/>
    <s v="GAIVOUKIDA"/>
    <m/>
    <x v="0"/>
    <x v="0"/>
    <n v="42"/>
    <n v="252"/>
    <s v="Conflits liés à GANE (BH)"/>
    <m/>
    <s v="Même département, autre arrondissement"/>
    <s v="CMR"/>
    <s v="Cameroun"/>
    <s v="CMR004"/>
    <s v="Extrême-Nord"/>
    <s v="CMR004006"/>
    <s v="Mayo-Tsanaga"/>
    <s v="CMR004006005"/>
    <s v="Mayo-Moskota"/>
  </r>
  <r>
    <s v="Extrême-Nord"/>
    <s v="CMR004"/>
    <x v="1"/>
    <s v="CMR004006"/>
    <x v="16"/>
    <s v="CMR004006004"/>
    <s v="KOZ-0008"/>
    <s v="GAIVOUKIDA"/>
    <m/>
    <x v="0"/>
    <x v="1"/>
    <n v="8"/>
    <n v="43"/>
    <s v="Conflits liés à GANE (BH)"/>
    <m/>
    <s v="Même département, autre arrondissement"/>
    <s v="CMR"/>
    <s v="Cameroun"/>
    <s v="CMR004"/>
    <s v="Extrême-Nord"/>
    <s v="CMR004006"/>
    <s v="Mayo-Tsanaga"/>
    <s v="CMR004006005"/>
    <s v="Mayo-Moskota"/>
  </r>
  <r>
    <s v="Extrême-Nord"/>
    <s v="CMR004"/>
    <x v="1"/>
    <s v="CMR004006"/>
    <x v="16"/>
    <s v="CMR004006004"/>
    <s v="KOZ-0008"/>
    <s v="GAIVOUKIDA"/>
    <m/>
    <x v="0"/>
    <x v="4"/>
    <n v="10"/>
    <n v="30"/>
    <s v="Conflits liés à GANE (BH)"/>
    <m/>
    <s v="Même département, autre arrondissement"/>
    <s v="CMR"/>
    <s v="Cameroun"/>
    <s v="CMR004"/>
    <s v="Extrême-Nord"/>
    <s v="CMR004006"/>
    <s v="Mayo-Tsanaga"/>
    <s v="CMR004006005"/>
    <s v="Mayo-Moskota"/>
  </r>
  <r>
    <s v="Extrême-Nord"/>
    <s v="CMR004"/>
    <x v="1"/>
    <s v="CMR004006"/>
    <x v="16"/>
    <s v="CMR004006004"/>
    <s v="KOZ-0008"/>
    <s v="GAIVOUKIDA"/>
    <m/>
    <x v="0"/>
    <x v="3"/>
    <n v="19"/>
    <n v="70"/>
    <s v="Conflits liés à GANE (BH)"/>
    <m/>
    <s v="Même département, autre arrondissement"/>
    <s v="CMR"/>
    <s v="Cameroun"/>
    <s v="CMR004"/>
    <s v="Extrême-Nord"/>
    <s v="CMR004006"/>
    <s v="Mayo-Tsanaga"/>
    <s v="CMR004006005"/>
    <s v="Mayo-Moskota"/>
  </r>
  <r>
    <s v="Extrême-Nord"/>
    <s v="CMR004"/>
    <x v="1"/>
    <s v="CMR004006"/>
    <x v="16"/>
    <s v="CMR004006004"/>
    <s v="KOZ-0008"/>
    <s v="GAIVOUKIDA"/>
    <m/>
    <x v="0"/>
    <x v="2"/>
    <n v="4"/>
    <n v="32"/>
    <s v="Conflits liés à GANE (BH)"/>
    <m/>
    <s v="Même département, autre arrondissement"/>
    <s v="CMR"/>
    <s v="Cameroun"/>
    <s v="CMR004"/>
    <s v="Extrême-Nord"/>
    <s v="CMR004006"/>
    <s v="Mayo-Tsanaga"/>
    <s v="CMR004006005"/>
    <s v="Mayo-Moskota"/>
  </r>
  <r>
    <s v="Extrême-Nord"/>
    <s v="CMR004"/>
    <x v="1"/>
    <s v="CMR004006"/>
    <x v="16"/>
    <s v="CMR004006004"/>
    <s v="KOZ-0015"/>
    <s v="HIRCHE"/>
    <m/>
    <x v="0"/>
    <x v="0"/>
    <n v="120"/>
    <n v="1013"/>
    <s v="Conflits liés à GANE (BH)"/>
    <m/>
    <s v="Même département, autre arrondissement"/>
    <s v="CMR"/>
    <s v="Cameroun"/>
    <s v="CMR004"/>
    <s v="Extrême-Nord"/>
    <s v="CMR004006"/>
    <s v="Mayo-Tsanaga"/>
    <s v="CMR004006005"/>
    <s v="Mayo-Moskota"/>
  </r>
  <r>
    <s v="Extrême-Nord"/>
    <s v="CMR004"/>
    <x v="1"/>
    <s v="CMR004006"/>
    <x v="16"/>
    <s v="CMR004006004"/>
    <s v="KOZ-0015"/>
    <s v="HIRCHE"/>
    <m/>
    <x v="0"/>
    <x v="1"/>
    <n v="28"/>
    <n v="113"/>
    <s v="Conflits liés à GANE (BH)"/>
    <m/>
    <s v="Même département, autre arrondissement"/>
    <s v="CMR"/>
    <s v="Cameroun"/>
    <s v="CMR004"/>
    <s v="Extrême-Nord"/>
    <s v="CMR004006"/>
    <s v="Mayo-Tsanaga"/>
    <s v="CMR004006005"/>
    <s v="Mayo-Moskota"/>
  </r>
  <r>
    <s v="Extrême-Nord"/>
    <s v="CMR004"/>
    <x v="1"/>
    <s v="CMR004006"/>
    <x v="16"/>
    <s v="CMR004006004"/>
    <s v="KOZ-0015"/>
    <s v="HIRCHE"/>
    <m/>
    <x v="0"/>
    <x v="4"/>
    <n v="0"/>
    <n v="6"/>
    <s v="Conflits liés à GANE (BH)"/>
    <m/>
    <s v="Même département, autre arrondissement"/>
    <s v="CMR"/>
    <s v="Cameroun"/>
    <s v="CMR004"/>
    <s v="Extrême-Nord"/>
    <s v="CMR004006"/>
    <s v="Mayo-Tsanaga"/>
    <s v="CMR004006005"/>
    <s v="Mayo-Moskota"/>
  </r>
  <r>
    <s v="Extrême-Nord"/>
    <s v="CMR004"/>
    <x v="1"/>
    <s v="CMR004006"/>
    <x v="16"/>
    <s v="CMR004006004"/>
    <s v="KOZ-0015"/>
    <s v="HIRCHE"/>
    <m/>
    <x v="0"/>
    <x v="3"/>
    <n v="5"/>
    <n v="25"/>
    <s v="Conflits liés à GANE (BH)"/>
    <m/>
    <s v="Même département, autre arrondissement"/>
    <s v="CMR"/>
    <s v="Cameroun"/>
    <s v="CMR004"/>
    <s v="Extrême-Nord"/>
    <s v="CMR004006"/>
    <s v="Mayo-Tsanaga"/>
    <s v="CMR004006005"/>
    <s v="Mayo-Moskota"/>
  </r>
  <r>
    <s v="Extrême-Nord"/>
    <s v="CMR004"/>
    <x v="1"/>
    <s v="CMR004006"/>
    <x v="16"/>
    <s v="CMR004006004"/>
    <s v="KOZ-0015"/>
    <s v="HIRCHE"/>
    <m/>
    <x v="0"/>
    <x v="2"/>
    <n v="17"/>
    <n v="57"/>
    <s v="Conflits liés à GANE (BH)"/>
    <m/>
    <s v="Même département, autre arrondissement"/>
    <s v="CMR"/>
    <s v="Cameroun"/>
    <s v="CMR004"/>
    <s v="Extrême-Nord"/>
    <s v="CMR004006"/>
    <s v="Mayo-Tsanaga"/>
    <s v="CMR004006005"/>
    <s v="Mayo-Moskota"/>
  </r>
  <r>
    <s v="Extrême-Nord"/>
    <s v="CMR004"/>
    <x v="2"/>
    <s v="CMR004002"/>
    <x v="13"/>
    <s v="CMR004002001"/>
    <s v="WAZ-0007"/>
    <s v="TAGAWA 1"/>
    <m/>
    <x v="0"/>
    <x v="1"/>
    <n v="35"/>
    <n v="216"/>
    <s v="Conflits liés à GANE (BH)"/>
    <m/>
    <s v="Même arrondissement"/>
    <s v="CMR"/>
    <s v="Cameroun"/>
    <s v="CMR004"/>
    <s v="Extrême-Nord"/>
    <s v="CMR004002"/>
    <s v="Logone-Et-Chari"/>
    <s v="CMR004002001"/>
    <s v="Waza"/>
  </r>
  <r>
    <s v="Extrême-Nord"/>
    <s v="CMR004"/>
    <x v="2"/>
    <s v="CMR004002"/>
    <x v="13"/>
    <s v="CMR004002001"/>
    <s v="WAZ-0007"/>
    <s v="TAGAWA 1"/>
    <m/>
    <x v="0"/>
    <x v="2"/>
    <n v="0"/>
    <n v="5"/>
    <s v="Conflits liés à GANE (BH)"/>
    <m/>
    <s v="Même arrondissement"/>
    <s v="CMR"/>
    <s v="Cameroun"/>
    <s v="CMR004"/>
    <s v="Extrême-Nord"/>
    <s v="CMR004002"/>
    <s v="Logone-Et-Chari"/>
    <s v="CMR004002001"/>
    <s v="Waza"/>
  </r>
  <r>
    <s v="Extrême-Nord"/>
    <s v="CMR004"/>
    <x v="2"/>
    <s v="CMR004002"/>
    <x v="8"/>
    <s v="CMR004002009"/>
    <s v="MAK-0199"/>
    <s v="CHAHAK"/>
    <m/>
    <x v="0"/>
    <x v="0"/>
    <n v="70"/>
    <n v="374"/>
    <s v="Conflits liés à GANE (BH)"/>
    <m/>
    <s v="Même département, autre arrondissement"/>
    <s v="CMR"/>
    <s v="Cameroun"/>
    <s v="CMR004"/>
    <s v="Extrême-Nord"/>
    <s v="CMR004002"/>
    <s v="Logone-Et-Chari"/>
    <s v="CMR004002007"/>
    <s v="Darak"/>
  </r>
  <r>
    <s v="Extrême-Nord"/>
    <s v="CMR004"/>
    <x v="2"/>
    <s v="CMR004002"/>
    <x v="8"/>
    <s v="CMR004002009"/>
    <s v="MAK-0199"/>
    <s v="CHAHAK"/>
    <m/>
    <x v="0"/>
    <x v="3"/>
    <n v="19"/>
    <n v="30"/>
    <s v="Conflits liés à GANE (BH)"/>
    <m/>
    <s v="Même département, autre arrondissement"/>
    <s v="CMR"/>
    <s v="Cameroun"/>
    <s v="CMR004"/>
    <s v="Extrême-Nord"/>
    <s v="CMR004002"/>
    <s v="Logone-Et-Chari"/>
    <s v="CMR004002007"/>
    <s v="Darak"/>
  </r>
  <r>
    <s v="Extrême-Nord"/>
    <s v="CMR004"/>
    <x v="2"/>
    <s v="CMR004002"/>
    <x v="25"/>
    <s v="CMR004002008"/>
    <s v="FOT-0038"/>
    <s v="MADINA"/>
    <m/>
    <x v="0"/>
    <x v="0"/>
    <n v="42"/>
    <n v="255"/>
    <s v="Conflits liés à GANE (BH)"/>
    <m/>
    <s v="Même arrondissement"/>
    <s v="CMR"/>
    <s v="Cameroun"/>
    <s v="CMR004"/>
    <s v="Extrême-Nord"/>
    <s v="CMR004002"/>
    <s v="Logone-Et-Chari"/>
    <s v="CMR004002008"/>
    <s v="Fotokol"/>
  </r>
  <r>
    <s v="Extrême-Nord"/>
    <s v="CMR004"/>
    <x v="2"/>
    <s v="CMR004002"/>
    <x v="25"/>
    <s v="CMR004002008"/>
    <s v="FOT-0031"/>
    <s v="GADAFAI"/>
    <m/>
    <x v="0"/>
    <x v="0"/>
    <n v="115"/>
    <n v="545"/>
    <s v="Conflits liés à GANE (BH)"/>
    <m/>
    <s v="Même arrondissement"/>
    <s v="CMR"/>
    <s v="Cameroun"/>
    <s v="CMR004"/>
    <s v="Extrême-Nord"/>
    <s v="CMR004002"/>
    <s v="Logone-Et-Chari"/>
    <s v="CMR004002008"/>
    <s v="Fotokol"/>
  </r>
  <r>
    <s v="Extrême-Nord"/>
    <s v="CMR004"/>
    <x v="2"/>
    <s v="CMR004002"/>
    <x v="26"/>
    <s v="CMR004002006"/>
    <s v="KOU-0002"/>
    <s v="AMCHEDIRE"/>
    <m/>
    <x v="0"/>
    <x v="0"/>
    <n v="273"/>
    <n v="890"/>
    <s v="Conflits liés à GANE (BH)"/>
    <m/>
    <s v="Même département, autre arrondissement"/>
    <s v="CMR"/>
    <s v="Cameroun"/>
    <s v="CMR004"/>
    <s v="Extrême-Nord"/>
    <s v="CMR004002"/>
    <s v="Logone-Et-Chari"/>
    <s v="CMR004002008"/>
    <s v="Fotokol"/>
  </r>
  <r>
    <s v="Extrême-Nord"/>
    <s v="CMR004"/>
    <x v="2"/>
    <s v="CMR004002"/>
    <x v="26"/>
    <s v="CMR004002006"/>
    <s v="KOU-0002"/>
    <s v="AMCHEDIRE"/>
    <m/>
    <x v="0"/>
    <x v="3"/>
    <n v="360"/>
    <n v="530"/>
    <s v="Conflit intercommunautaire"/>
    <m/>
    <s v="Même département, autre arrondissement"/>
    <s v="CMR"/>
    <s v="Cameroun"/>
    <s v="CMR004"/>
    <s v="Extrême-Nord"/>
    <s v="CMR004002"/>
    <s v="Logone-Et-Chari"/>
    <s v="CMR004002004"/>
    <s v="Logone-Birni"/>
  </r>
  <r>
    <s v="Extrême-Nord"/>
    <s v="CMR004"/>
    <x v="2"/>
    <s v="CMR004002"/>
    <x v="26"/>
    <s v="CMR004002006"/>
    <s v="KOU-0002"/>
    <s v="AMCHEDIRE"/>
    <m/>
    <x v="0"/>
    <x v="2"/>
    <n v="50"/>
    <n v="1000"/>
    <s v="Inondations saisonnières ou fortes pluies"/>
    <m/>
    <s v="Même département, autre arrondissement"/>
    <s v="CMR"/>
    <s v="Cameroun"/>
    <s v="CMR004"/>
    <s v="Extrême-Nord"/>
    <s v="CMR004002"/>
    <s v="Logone-Et-Chari"/>
    <s v="CMR004002004"/>
    <s v="Logone-Birni"/>
  </r>
  <r>
    <s v="Extrême-Nord"/>
    <s v="CMR004"/>
    <x v="2"/>
    <s v="CMR004002"/>
    <x v="25"/>
    <s v="CMR004002008"/>
    <s v="FOT-0029"/>
    <s v="MAGADI 2"/>
    <m/>
    <x v="0"/>
    <x v="0"/>
    <n v="18"/>
    <n v="150"/>
    <s v="Conflits liés à GANE (BH)"/>
    <m/>
    <s v="Même arrondissement"/>
    <s v="CMR"/>
    <s v="Cameroun"/>
    <s v="CMR004"/>
    <s v="Extrême-Nord"/>
    <s v="CMR004002"/>
    <s v="Logone-Et-Chari"/>
    <s v="CMR004002008"/>
    <s v="Fotokol"/>
  </r>
  <r>
    <s v="Extrême-Nord"/>
    <s v="CMR004"/>
    <x v="2"/>
    <s v="CMR004002"/>
    <x v="25"/>
    <s v="CMR004002008"/>
    <s v="FOT-0039"/>
    <s v="BIDEINE"/>
    <m/>
    <x v="0"/>
    <x v="0"/>
    <n v="38"/>
    <n v="124"/>
    <s v="Conflits liés à GANE (BH)"/>
    <m/>
    <s v="Même arrondissement"/>
    <s v="CMR"/>
    <s v="Cameroun"/>
    <s v="CMR004"/>
    <s v="Extrême-Nord"/>
    <s v="CMR004002"/>
    <s v="Logone-Et-Chari"/>
    <s v="CMR004002008"/>
    <s v="Fotokol"/>
  </r>
  <r>
    <s v="Extrême-Nord"/>
    <s v="CMR004"/>
    <x v="2"/>
    <s v="CMR004002"/>
    <x v="25"/>
    <s v="CMR004002008"/>
    <s v="FOT-0034"/>
    <s v="GUEGUERI"/>
    <m/>
    <x v="0"/>
    <x v="0"/>
    <n v="38"/>
    <n v="124"/>
    <s v="Conflits liés à GANE (BH)"/>
    <m/>
    <s v="Même arrondissement"/>
    <s v="CMR"/>
    <s v="Cameroun"/>
    <s v="CMR004"/>
    <s v="Extrême-Nord"/>
    <s v="CMR004002"/>
    <s v="Logone-Et-Chari"/>
    <s v="CMR004002008"/>
    <s v="Fotokol"/>
  </r>
  <r>
    <s v="Extrême-Nord"/>
    <s v="CMR004"/>
    <x v="2"/>
    <s v="CMR004002"/>
    <x v="12"/>
    <s v="CMR004002002"/>
    <s v="GOU-0009"/>
    <s v="MAFANG"/>
    <m/>
    <x v="0"/>
    <x v="3"/>
    <n v="20"/>
    <n v="119"/>
    <s v="Conflits liés à GANE (BH)"/>
    <m/>
    <s v="Même département, autre arrondissement"/>
    <s v="CMR"/>
    <s v="Cameroun"/>
    <s v="CMR004"/>
    <s v="Extrême-Nord"/>
    <s v="CMR004002"/>
    <s v="Logone-Et-Chari"/>
    <s v="CMR004002008"/>
    <s v="Fotokol"/>
  </r>
  <r>
    <s v="Extrême-Nord"/>
    <s v="CMR004"/>
    <x v="2"/>
    <s v="CMR004002"/>
    <x v="12"/>
    <s v="CMR004002002"/>
    <s v="GOU-0019"/>
    <s v="NGRAN"/>
    <m/>
    <x v="0"/>
    <x v="3"/>
    <n v="60"/>
    <n v="750"/>
    <s v="Catastrophe naturelle (sécheresse, glissement de terrain, rupture de digue)"/>
    <s v="rupture de digue"/>
    <s v="Même arrondissement"/>
    <s v="CMR"/>
    <s v="Cameroun"/>
    <s v="CMR004"/>
    <s v="Extrême-Nord"/>
    <s v="CMR004002"/>
    <s v="Logone-Et-Chari"/>
    <s v="CMR004002002"/>
    <s v="Goulfey"/>
  </r>
  <r>
    <s v="Extrême-Nord"/>
    <s v="CMR004"/>
    <x v="2"/>
    <s v="CMR004002"/>
    <x v="12"/>
    <s v="CMR004002002"/>
    <s v="GOU-0011"/>
    <s v="MALTAM GOULFEY"/>
    <m/>
    <x v="0"/>
    <x v="3"/>
    <n v="2"/>
    <n v="4"/>
    <s v="Inondations saisonnières ou fortes pluies"/>
    <m/>
    <s v="Même arrondissement"/>
    <s v="CMR"/>
    <s v="Cameroun"/>
    <s v="CMR004"/>
    <s v="Extrême-Nord"/>
    <s v="CMR004002"/>
    <s v="Logone-Et-Chari"/>
    <s v="CMR004002002"/>
    <s v="Goulfey"/>
  </r>
  <r>
    <s v="Extrême-Nord"/>
    <s v="CMR004"/>
    <x v="2"/>
    <s v="CMR004002"/>
    <x v="8"/>
    <s v="CMR004002009"/>
    <s v="MAK-0053"/>
    <s v="MADA"/>
    <m/>
    <x v="0"/>
    <x v="0"/>
    <n v="211"/>
    <n v="847"/>
    <s v="Conflits liés à GANE (BH)"/>
    <m/>
    <s v="Même département, autre arrondissement"/>
    <s v="CMR"/>
    <s v="Cameroun"/>
    <s v="CMR004"/>
    <s v="Extrême-Nord"/>
    <s v="CMR004002"/>
    <s v="Logone-Et-Chari"/>
    <s v="CMR004002008"/>
    <s v="Fotokol"/>
  </r>
  <r>
    <s v="Extrême-Nord"/>
    <s v="CMR004"/>
    <x v="2"/>
    <s v="CMR004002"/>
    <x v="8"/>
    <s v="CMR004002009"/>
    <s v="MAK-0039"/>
    <s v="GOLALA"/>
    <m/>
    <x v="0"/>
    <x v="0"/>
    <n v="34"/>
    <n v="206"/>
    <s v="Conflits liés à GANE (BH)"/>
    <m/>
    <s v="Même département, autre arrondissement"/>
    <s v="CMR"/>
    <s v="Cameroun"/>
    <s v="CMR004"/>
    <s v="Extrême-Nord"/>
    <s v="CMR004002"/>
    <s v="Logone-Et-Chari"/>
    <s v="CMR004002008"/>
    <s v="Fotokol"/>
  </r>
  <r>
    <s v="Extrême-Nord"/>
    <s v="CMR004"/>
    <x v="2"/>
    <s v="CMR004002"/>
    <x v="8"/>
    <s v="CMR004002009"/>
    <s v="MAK-0039"/>
    <s v="GOLALA"/>
    <m/>
    <x v="0"/>
    <x v="1"/>
    <n v="0"/>
    <n v="4"/>
    <s v="Conflits liés à GANE (BH)"/>
    <m/>
    <s v="Même département, autre arrondissement"/>
    <s v="CMR"/>
    <s v="Cameroun"/>
    <s v="CMR004"/>
    <s v="Extrême-Nord"/>
    <s v="CMR004002"/>
    <s v="Logone-Et-Chari"/>
    <s v="CMR004002008"/>
    <s v="Fotokol"/>
  </r>
  <r>
    <s v="Extrême-Nord"/>
    <s v="CMR004"/>
    <x v="2"/>
    <s v="CMR004002"/>
    <x v="8"/>
    <s v="CMR004002009"/>
    <s v="MAK-0039"/>
    <s v="GOLALA"/>
    <m/>
    <x v="0"/>
    <x v="4"/>
    <n v="5"/>
    <n v="34"/>
    <s v="Conflits liés à GANE (BH)"/>
    <m/>
    <s v="Même département, autre arrondissement"/>
    <s v="CMR"/>
    <s v="Cameroun"/>
    <s v="CMR004"/>
    <s v="Extrême-Nord"/>
    <s v="CMR004002"/>
    <s v="Logone-Et-Chari"/>
    <s v="CMR004002008"/>
    <s v="Fotokol"/>
  </r>
  <r>
    <s v="Extrême-Nord"/>
    <s v="CMR004"/>
    <x v="2"/>
    <s v="CMR004002"/>
    <x v="8"/>
    <s v="CMR004002009"/>
    <s v="MAK-0039"/>
    <s v="GOLALA"/>
    <m/>
    <x v="0"/>
    <x v="3"/>
    <n v="0"/>
    <n v="3"/>
    <s v="Conflits liés à GANE (BH)"/>
    <m/>
    <s v="Même département, autre arrondissement"/>
    <s v="CMR"/>
    <s v="Cameroun"/>
    <s v="CMR004"/>
    <s v="Extrême-Nord"/>
    <s v="CMR004002"/>
    <s v="Logone-Et-Chari"/>
    <s v="CMR004002008"/>
    <s v="Fotokol"/>
  </r>
  <r>
    <s v="Extrême-Nord"/>
    <s v="CMR004"/>
    <x v="4"/>
    <s v="CMR004005"/>
    <x v="17"/>
    <s v="CMR004005002"/>
    <s v="MOR-0040"/>
    <s v="TAGAWA"/>
    <m/>
    <x v="0"/>
    <x v="0"/>
    <n v="14"/>
    <n v="41"/>
    <s v="Conflits liés à GANE (BH)"/>
    <m/>
    <s v="Même arrondissement"/>
    <s v="CMR"/>
    <s v="Cameroun"/>
    <s v="CMR004"/>
    <s v="Extrême-Nord"/>
    <s v="CMR004005"/>
    <s v="Mayo-Sava"/>
    <s v="CMR004005002"/>
    <s v="Mora"/>
  </r>
  <r>
    <s v="Extrême-Nord"/>
    <s v="CMR004"/>
    <x v="4"/>
    <s v="CMR004005"/>
    <x v="17"/>
    <s v="CMR004005002"/>
    <s v="MOR-0040"/>
    <s v="TAGAWA"/>
    <m/>
    <x v="0"/>
    <x v="1"/>
    <n v="0"/>
    <n v="5"/>
    <s v="Conflits liés à GANE (BH)"/>
    <m/>
    <s v="Même arrondissement"/>
    <s v="CMR"/>
    <s v="Cameroun"/>
    <s v="CMR004"/>
    <s v="Extrême-Nord"/>
    <s v="CMR004005"/>
    <s v="Mayo-Sava"/>
    <s v="CMR004005002"/>
    <s v="Mora"/>
  </r>
  <r>
    <s v="Extrême-Nord"/>
    <s v="CMR004"/>
    <x v="4"/>
    <s v="CMR004005"/>
    <x v="17"/>
    <s v="CMR004005002"/>
    <s v="MOR-0040"/>
    <s v="TAGAWA"/>
    <m/>
    <x v="0"/>
    <x v="4"/>
    <n v="0"/>
    <n v="7"/>
    <s v="Conflits liés à GANE (BH)"/>
    <m/>
    <s v="Même arrondissement"/>
    <s v="CMR"/>
    <s v="Cameroun"/>
    <s v="CMR004"/>
    <s v="Extrême-Nord"/>
    <s v="CMR004005"/>
    <s v="Mayo-Sava"/>
    <s v="CMR004005002"/>
    <s v="Mora"/>
  </r>
  <r>
    <s v="Extrême-Nord"/>
    <s v="CMR004"/>
    <x v="4"/>
    <s v="CMR004005"/>
    <x v="17"/>
    <s v="CMR004005002"/>
    <s v="MOR-0040"/>
    <s v="TAGAWA"/>
    <m/>
    <x v="0"/>
    <x v="3"/>
    <n v="27"/>
    <n v="147"/>
    <s v="Conflits liés à GANE (BH)"/>
    <m/>
    <s v="Même arrondissement"/>
    <s v="CMR"/>
    <s v="Cameroun"/>
    <s v="CMR004"/>
    <s v="Extrême-Nord"/>
    <s v="CMR004005"/>
    <s v="Mayo-Sava"/>
    <s v="CMR004005002"/>
    <s v="Mora"/>
  </r>
  <r>
    <s v="Extrême-Nord"/>
    <s v="CMR004"/>
    <x v="4"/>
    <s v="CMR004005"/>
    <x v="17"/>
    <s v="CMR004005002"/>
    <s v="MOR-0040"/>
    <s v="TAGAWA"/>
    <m/>
    <x v="0"/>
    <x v="2"/>
    <n v="0"/>
    <n v="12"/>
    <s v="Conflits liés à GANE (BH)"/>
    <m/>
    <s v="Même arrondissement"/>
    <s v="CMR"/>
    <s v="Cameroun"/>
    <s v="CMR004"/>
    <s v="Extrême-Nord"/>
    <s v="CMR004005"/>
    <s v="Mayo-Sava"/>
    <s v="CMR004005002"/>
    <s v="Mora"/>
  </r>
  <r>
    <s v="Extrême-Nord"/>
    <s v="CMR004"/>
    <x v="4"/>
    <s v="CMR004005"/>
    <x v="17"/>
    <s v="CMR004005002"/>
    <s v="MOR-0085"/>
    <s v="TAGAWA 1 (OURO-HOURSO)"/>
    <m/>
    <x v="0"/>
    <x v="0"/>
    <n v="4"/>
    <n v="14"/>
    <s v="Conflits liés à GANE (BH)"/>
    <m/>
    <s v="Même arrondissement"/>
    <s v="CMR"/>
    <s v="Cameroun"/>
    <s v="CMR004"/>
    <s v="Extrême-Nord"/>
    <s v="CMR004005"/>
    <s v="Mayo-Sava"/>
    <s v="CMR004005002"/>
    <s v="Mora"/>
  </r>
  <r>
    <s v="Extrême-Nord"/>
    <s v="CMR004"/>
    <x v="4"/>
    <s v="CMR004005"/>
    <x v="17"/>
    <s v="CMR004005002"/>
    <s v="MOR-0085"/>
    <s v="TAGAWA 1 (OURO-HOURSO)"/>
    <m/>
    <x v="0"/>
    <x v="4"/>
    <n v="0"/>
    <n v="3"/>
    <s v="Conflits liés à GANE (BH)"/>
    <m/>
    <s v="Même arrondissement"/>
    <s v="CMR"/>
    <s v="Cameroun"/>
    <s v="CMR004"/>
    <s v="Extrême-Nord"/>
    <s v="CMR004005"/>
    <s v="Mayo-Sava"/>
    <s v="CMR004005002"/>
    <s v="Mora"/>
  </r>
  <r>
    <s v="Extrême-Nord"/>
    <s v="CMR004"/>
    <x v="4"/>
    <s v="CMR004005"/>
    <x v="17"/>
    <s v="CMR004005002"/>
    <s v="MOR-0085"/>
    <s v="TAGAWA 1 (OURO-HOURSO)"/>
    <m/>
    <x v="0"/>
    <x v="3"/>
    <n v="16"/>
    <n v="88"/>
    <s v="Conflits liés à GANE (BH)"/>
    <m/>
    <s v="Même arrondissement"/>
    <s v="CMR"/>
    <s v="Cameroun"/>
    <s v="CMR004"/>
    <s v="Extrême-Nord"/>
    <s v="CMR004005"/>
    <s v="Mayo-Sava"/>
    <s v="CMR004005002"/>
    <s v="Mora"/>
  </r>
  <r>
    <s v="Extrême-Nord"/>
    <s v="CMR004"/>
    <x v="4"/>
    <s v="CMR004005"/>
    <x v="17"/>
    <s v="CMR004005002"/>
    <s v="MOR-0085"/>
    <s v="TAGAWA 1 (OURO-HOURSO)"/>
    <m/>
    <x v="0"/>
    <x v="2"/>
    <n v="0"/>
    <n v="5"/>
    <s v="Conflits liés à GANE (BH)"/>
    <m/>
    <s v="Même arrondissement"/>
    <s v="CMR"/>
    <s v="Cameroun"/>
    <s v="CMR004"/>
    <s v="Extrême-Nord"/>
    <s v="CMR004005"/>
    <s v="Mayo-Sava"/>
    <s v="CMR004005002"/>
    <s v="Mora"/>
  </r>
  <r>
    <s v="Extrême-Nord"/>
    <s v="CMR004"/>
    <x v="4"/>
    <s v="CMR004005"/>
    <x v="17"/>
    <s v="CMR004005002"/>
    <s v="MOR-0033"/>
    <s v="TCHAKARMARI"/>
    <m/>
    <x v="0"/>
    <x v="0"/>
    <n v="293"/>
    <n v="974"/>
    <s v="Conflits liés à GANE (BH)"/>
    <m/>
    <s v="Même arrondissement"/>
    <s v="CMR"/>
    <s v="Cameroun"/>
    <s v="CMR004"/>
    <s v="Extrême-Nord"/>
    <s v="CMR004005"/>
    <s v="Mayo-Sava"/>
    <s v="CMR004005002"/>
    <s v="Mora"/>
  </r>
  <r>
    <s v="Extrême-Nord"/>
    <s v="CMR004"/>
    <x v="4"/>
    <s v="CMR004005"/>
    <x v="17"/>
    <s v="CMR004005002"/>
    <s v="MOR-0033"/>
    <s v="TCHAKARMARI"/>
    <m/>
    <x v="0"/>
    <x v="1"/>
    <n v="125"/>
    <n v="507"/>
    <s v="Conflits liés à GANE (BH)"/>
    <m/>
    <s v="Même arrondissement"/>
    <s v="CMR"/>
    <s v="Cameroun"/>
    <s v="CMR004"/>
    <s v="Extrême-Nord"/>
    <s v="CMR004005"/>
    <s v="Mayo-Sava"/>
    <s v="CMR004005002"/>
    <s v="Mora"/>
  </r>
  <r>
    <s v="Extrême-Nord"/>
    <s v="CMR004"/>
    <x v="4"/>
    <s v="CMR004005"/>
    <x v="17"/>
    <s v="CMR004005002"/>
    <s v="MOR-0033"/>
    <s v="TCHAKARMARI"/>
    <m/>
    <x v="0"/>
    <x v="4"/>
    <n v="20"/>
    <n v="128"/>
    <s v="Conflits liés à GANE (BH)"/>
    <m/>
    <s v="Même arrondissement"/>
    <s v="CMR"/>
    <s v="Cameroun"/>
    <s v="CMR004"/>
    <s v="Extrême-Nord"/>
    <s v="CMR004005"/>
    <s v="Mayo-Sava"/>
    <s v="CMR004005002"/>
    <s v="Mora"/>
  </r>
  <r>
    <s v="Extrême-Nord"/>
    <s v="CMR004"/>
    <x v="4"/>
    <s v="CMR004005"/>
    <x v="17"/>
    <s v="CMR004005002"/>
    <s v="MOR-0033"/>
    <s v="TCHAKARMARI"/>
    <m/>
    <x v="0"/>
    <x v="3"/>
    <n v="32"/>
    <n v="109"/>
    <s v="Conflits liés à GANE (BH)"/>
    <m/>
    <s v="Même arrondissement"/>
    <s v="CMR"/>
    <s v="Cameroun"/>
    <s v="CMR004"/>
    <s v="Extrême-Nord"/>
    <s v="CMR004005"/>
    <s v="Mayo-Sava"/>
    <s v="CMR004005002"/>
    <s v="Mora"/>
  </r>
  <r>
    <s v="Extrême-Nord"/>
    <s v="CMR004"/>
    <x v="4"/>
    <s v="CMR004005"/>
    <x v="17"/>
    <s v="CMR004005002"/>
    <s v="MOR-0033"/>
    <s v="TCHAKARMARI"/>
    <m/>
    <x v="0"/>
    <x v="2"/>
    <n v="0"/>
    <n v="15"/>
    <s v="Conflits liés à GANE (BH)"/>
    <m/>
    <s v="Même arrondissement"/>
    <s v="CMR"/>
    <s v="Cameroun"/>
    <s v="CMR004"/>
    <s v="Extrême-Nord"/>
    <s v="CMR004005"/>
    <s v="Mayo-Sava"/>
    <s v="CMR004005002"/>
    <s v="Mora"/>
  </r>
  <r>
    <s v="Extrême-Nord"/>
    <s v="CMR004"/>
    <x v="1"/>
    <s v="CMR004006"/>
    <x v="16"/>
    <s v="CMR004006004"/>
    <s v="KOZ-0012"/>
    <s v="GUETALE"/>
    <m/>
    <x v="0"/>
    <x v="0"/>
    <n v="63"/>
    <n v="368"/>
    <s v="Conflits liés à GANE (BH)"/>
    <m/>
    <s v="Même arrondissement"/>
    <s v="CMR"/>
    <s v="Cameroun"/>
    <s v="CMR004"/>
    <s v="Extrême-Nord"/>
    <s v="CMR004006"/>
    <s v="Mayo-Tsanaga"/>
    <s v="CMR004006004"/>
    <s v="Koza"/>
  </r>
  <r>
    <s v="Extrême-Nord"/>
    <s v="CMR004"/>
    <x v="1"/>
    <s v="CMR004006"/>
    <x v="16"/>
    <s v="CMR004006004"/>
    <s v="KOZ-0012"/>
    <s v="GUETALE"/>
    <m/>
    <x v="0"/>
    <x v="4"/>
    <n v="56"/>
    <n v="314"/>
    <s v="Conflits liés à GANE (BH)"/>
    <m/>
    <s v="Même département, autre arrondissement"/>
    <s v="CMR"/>
    <s v="Cameroun"/>
    <s v="CMR004"/>
    <s v="Extrême-Nord"/>
    <s v="CMR004006"/>
    <s v="Mayo-Tsanaga"/>
    <s v="CMR004006005"/>
    <s v="Mayo-Moskota"/>
  </r>
  <r>
    <s v="Extrême-Nord"/>
    <s v="CMR004"/>
    <x v="1"/>
    <s v="CMR004006"/>
    <x v="16"/>
    <s v="CMR004006004"/>
    <s v="KOZ-0012"/>
    <s v="GUETALE"/>
    <m/>
    <x v="0"/>
    <x v="3"/>
    <n v="69"/>
    <n v="396"/>
    <s v="Conflits liés à GANE (BH)"/>
    <m/>
    <s v="Même arrondissement"/>
    <s v="CMR"/>
    <s v="Cameroun"/>
    <s v="CMR004"/>
    <s v="Extrême-Nord"/>
    <s v="CMR004006"/>
    <s v="Mayo-Tsanaga"/>
    <s v="CMR004006004"/>
    <s v="Koza"/>
  </r>
  <r>
    <s v="Extrême-Nord"/>
    <s v="CMR004"/>
    <x v="1"/>
    <s v="CMR004006"/>
    <x v="16"/>
    <s v="CMR004006004"/>
    <s v="KOZ-0012"/>
    <s v="GUETALE"/>
    <m/>
    <x v="0"/>
    <x v="2"/>
    <n v="8"/>
    <n v="63"/>
    <s v="Conflits liés à GANE (BH)"/>
    <m/>
    <s v="Même arrondissement"/>
    <s v="CMR"/>
    <s v="Cameroun"/>
    <s v="CMR004"/>
    <s v="Extrême-Nord"/>
    <s v="CMR004006"/>
    <s v="Mayo-Tsanaga"/>
    <s v="CMR004006004"/>
    <s v="Koza"/>
  </r>
  <r>
    <s v="Extrême-Nord"/>
    <s v="CMR004"/>
    <x v="1"/>
    <s v="CMR004006"/>
    <x v="16"/>
    <s v="CMR004006004"/>
    <s v="KOZ-0020"/>
    <s v="MBARDAM"/>
    <m/>
    <x v="0"/>
    <x v="1"/>
    <n v="21"/>
    <n v="129"/>
    <s v="Conflits liés à GANE (BH)"/>
    <m/>
    <s v="Même département, autre arrondissement"/>
    <s v="CMR"/>
    <s v="Cameroun"/>
    <s v="CMR004"/>
    <s v="Extrême-Nord"/>
    <s v="CMR004006"/>
    <s v="Mayo-Tsanaga"/>
    <s v="CMR004006005"/>
    <s v="Mayo-Moskota"/>
  </r>
  <r>
    <s v="Extrême-Nord"/>
    <s v="CMR004"/>
    <x v="1"/>
    <s v="CMR004006"/>
    <x v="16"/>
    <s v="CMR004006004"/>
    <s v="KOZ-0020"/>
    <s v="MBARDAM"/>
    <m/>
    <x v="0"/>
    <x v="4"/>
    <n v="24"/>
    <n v="136"/>
    <s v="Conflits liés à GANE (BH)"/>
    <m/>
    <s v="Même arrondissement"/>
    <s v="CMR"/>
    <s v="Cameroun"/>
    <s v="CMR004"/>
    <s v="Extrême-Nord"/>
    <s v="CMR004006"/>
    <s v="Mayo-Tsanaga"/>
    <s v="CMR004006004"/>
    <s v="Koza"/>
  </r>
  <r>
    <s v="Extrême-Nord"/>
    <s v="CMR004"/>
    <x v="1"/>
    <s v="CMR004006"/>
    <x v="16"/>
    <s v="CMR004006004"/>
    <s v="KOZ-0020"/>
    <s v="MBARDAM"/>
    <m/>
    <x v="0"/>
    <x v="3"/>
    <n v="32"/>
    <n v="171"/>
    <s v="Conflits liés à GANE (BH)"/>
    <m/>
    <s v="Même arrondissement"/>
    <s v="CMR"/>
    <s v="Cameroun"/>
    <s v="CMR004"/>
    <s v="Extrême-Nord"/>
    <s v="CMR004006"/>
    <s v="Mayo-Tsanaga"/>
    <s v="CMR004006004"/>
    <s v="Koza"/>
  </r>
  <r>
    <s v="Extrême-Nord"/>
    <s v="CMR004"/>
    <x v="1"/>
    <s v="CMR004006"/>
    <x v="16"/>
    <s v="CMR004006004"/>
    <s v="KOZ-0020"/>
    <s v="MBARDAM"/>
    <m/>
    <x v="0"/>
    <x v="2"/>
    <n v="0"/>
    <n v="1"/>
    <s v="Conflits liés à GANE (BH)"/>
    <m/>
    <s v="Même arrondissement"/>
    <s v="CMR"/>
    <s v="Cameroun"/>
    <s v="CMR004"/>
    <s v="Extrême-Nord"/>
    <s v="CMR004006"/>
    <s v="Mayo-Tsanaga"/>
    <s v="CMR004006004"/>
    <s v="Koza"/>
  </r>
  <r>
    <s v="Extrême-Nord"/>
    <s v="CMR004"/>
    <x v="1"/>
    <s v="CMR004006"/>
    <x v="1"/>
    <s v="CMR004006002"/>
    <s v="MOK-0029"/>
    <s v="BOULA"/>
    <m/>
    <x v="0"/>
    <x v="1"/>
    <n v="4"/>
    <n v="28"/>
    <s v="Conflits liés à GANE (BH)"/>
    <m/>
    <s v="Autre département"/>
    <s v="CMR"/>
    <s v="Cameroun"/>
    <s v="CMR004"/>
    <s v="Extrême-Nord"/>
    <s v="CMR004005"/>
    <s v="Mayo-Sava"/>
    <m/>
    <m/>
  </r>
  <r>
    <s v="Extrême-Nord"/>
    <s v="CMR004"/>
    <x v="1"/>
    <s v="CMR004006"/>
    <x v="1"/>
    <s v="CMR004006002"/>
    <s v="MOK-0029"/>
    <s v="BOULA"/>
    <m/>
    <x v="0"/>
    <x v="4"/>
    <n v="8"/>
    <n v="48"/>
    <s v="Conflits liés à GANE (BH)"/>
    <m/>
    <s v="Autre département"/>
    <s v="CMR"/>
    <s v="Cameroun"/>
    <s v="CMR004"/>
    <s v="Extrême-Nord"/>
    <s v="CMR004005"/>
    <s v="Mayo-Sava"/>
    <m/>
    <m/>
  </r>
  <r>
    <s v="Extrême-Nord"/>
    <s v="CMR004"/>
    <x v="1"/>
    <s v="CMR004006"/>
    <x v="1"/>
    <s v="CMR004006002"/>
    <s v="MOK-0029"/>
    <s v="BOULA"/>
    <m/>
    <x v="0"/>
    <x v="3"/>
    <n v="11"/>
    <n v="69"/>
    <s v="Conflits liés à GANE (BH)"/>
    <m/>
    <s v="Même département, autre arrondissement"/>
    <s v="CMR"/>
    <s v="Cameroun"/>
    <s v="CMR004"/>
    <s v="Extrême-Nord"/>
    <s v="CMR004006"/>
    <s v="Mayo-Tsanaga"/>
    <m/>
    <s v="Koza"/>
  </r>
  <r>
    <s v="Extrême-Nord"/>
    <s v="CMR004"/>
    <x v="4"/>
    <s v="CMR004005"/>
    <x v="17"/>
    <s v="CMR004005002"/>
    <s v="MOR-0043"/>
    <s v="SITE DE YEME"/>
    <m/>
    <x v="0"/>
    <x v="0"/>
    <n v="2"/>
    <n v="16"/>
    <s v="Conflits liés à GANE (BH)"/>
    <m/>
    <s v="Même arrondissement"/>
    <s v="CMR"/>
    <s v="Cameroun"/>
    <s v="CMR004"/>
    <s v="Extrême-Nord"/>
    <s v="CMR004005"/>
    <s v="Mayo-Sava"/>
    <s v="CMR004005002"/>
    <s v="Mora"/>
  </r>
  <r>
    <s v="Extrême-Nord"/>
    <s v="CMR004"/>
    <x v="4"/>
    <s v="CMR004005"/>
    <x v="17"/>
    <s v="CMR004005002"/>
    <s v="MOR-0041"/>
    <s v="MADJINA"/>
    <m/>
    <x v="0"/>
    <x v="0"/>
    <n v="56"/>
    <n v="225"/>
    <s v="Conflits liés à GANE (BH)"/>
    <m/>
    <s v="Même arrondissement"/>
    <s v="CMR"/>
    <s v="Cameroun"/>
    <s v="CMR004"/>
    <s v="Extrême-Nord"/>
    <s v="CMR004005"/>
    <s v="Mayo-Sava"/>
    <s v="CMR004005002"/>
    <s v="Mora"/>
  </r>
  <r>
    <s v="Extrême-Nord"/>
    <s v="CMR004"/>
    <x v="4"/>
    <s v="CMR004005"/>
    <x v="17"/>
    <s v="CMR004005002"/>
    <s v="MOR-0041"/>
    <s v="MADJINA"/>
    <m/>
    <x v="0"/>
    <x v="1"/>
    <n v="0"/>
    <n v="13"/>
    <s v="Conflits liés à GANE (BH)"/>
    <m/>
    <s v="Même arrondissement"/>
    <s v="CMR"/>
    <s v="Cameroun"/>
    <s v="CMR004"/>
    <s v="Extrême-Nord"/>
    <s v="CMR004005"/>
    <s v="Mayo-Sava"/>
    <s v="CMR004005002"/>
    <s v="Mora"/>
  </r>
  <r>
    <s v="Extrême-Nord"/>
    <s v="CMR004"/>
    <x v="4"/>
    <s v="CMR004005"/>
    <x v="17"/>
    <s v="CMR004005002"/>
    <s v="MOR-0041"/>
    <s v="MADJINA"/>
    <m/>
    <x v="0"/>
    <x v="4"/>
    <n v="0"/>
    <n v="6"/>
    <s v="Conflits liés à GANE (BH)"/>
    <m/>
    <s v="Même arrondissement"/>
    <s v="CMR"/>
    <s v="Cameroun"/>
    <s v="CMR004"/>
    <s v="Extrême-Nord"/>
    <s v="CMR004005"/>
    <s v="Mayo-Sava"/>
    <s v="CMR004005002"/>
    <s v="Mora"/>
  </r>
  <r>
    <s v="Extrême-Nord"/>
    <s v="CMR004"/>
    <x v="4"/>
    <s v="CMR004005"/>
    <x v="17"/>
    <s v="CMR004005002"/>
    <s v="MOR-0042"/>
    <s v="DJALA"/>
    <m/>
    <x v="0"/>
    <x v="0"/>
    <n v="11"/>
    <n v="67"/>
    <s v="Conflits liés à GANE (BH)"/>
    <m/>
    <s v="Même arrondissement"/>
    <s v="CMR"/>
    <s v="Cameroun"/>
    <s v="CMR004"/>
    <s v="Extrême-Nord"/>
    <s v="CMR004005"/>
    <s v="Mayo-Sava"/>
    <s v="CMR004005002"/>
    <s v="Mora"/>
  </r>
  <r>
    <s v="Extrême-Nord"/>
    <s v="CMR004"/>
    <x v="4"/>
    <s v="CMR004005"/>
    <x v="17"/>
    <s v="CMR004005002"/>
    <s v="MOR-0042"/>
    <s v="DJALA"/>
    <m/>
    <x v="0"/>
    <x v="1"/>
    <n v="0"/>
    <n v="3"/>
    <s v="Conflits liés à GANE (BH)"/>
    <m/>
    <s v="Même arrondissement"/>
    <s v="CMR"/>
    <s v="Cameroun"/>
    <s v="CMR004"/>
    <s v="Extrême-Nord"/>
    <s v="CMR004005"/>
    <s v="Mayo-Sava"/>
    <s v="CMR004005002"/>
    <s v="Mora"/>
  </r>
  <r>
    <s v="Extrême-Nord"/>
    <s v="CMR004"/>
    <x v="4"/>
    <s v="CMR004005"/>
    <x v="17"/>
    <s v="CMR004005002"/>
    <s v="MOR-0064"/>
    <s v="SITE DE KOSSA - BLAMADERI"/>
    <m/>
    <x v="0"/>
    <x v="0"/>
    <n v="82"/>
    <n v="553"/>
    <s v="Conflits liés à GANE (BH)"/>
    <m/>
    <s v="Même arrondissement"/>
    <s v="CMR"/>
    <s v="Cameroun"/>
    <s v="CMR004"/>
    <s v="Extrême-Nord"/>
    <s v="CMR004005"/>
    <s v="Mayo-Sava"/>
    <s v="CMR004005002"/>
    <s v="Mora"/>
  </r>
  <r>
    <s v="Extrême-Nord"/>
    <s v="CMR004"/>
    <x v="4"/>
    <s v="CMR004005"/>
    <x v="17"/>
    <s v="CMR004005002"/>
    <s v="MOR-0064"/>
    <s v="SITE DE KOSSA - BLAMADERI"/>
    <m/>
    <x v="0"/>
    <x v="1"/>
    <n v="0"/>
    <n v="8"/>
    <s v="Conflits liés à GANE (BH)"/>
    <m/>
    <s v="Même arrondissement"/>
    <s v="CMR"/>
    <s v="Cameroun"/>
    <s v="CMR004"/>
    <s v="Extrême-Nord"/>
    <s v="CMR004005"/>
    <s v="Mayo-Sava"/>
    <s v="CMR004005002"/>
    <s v="Mora"/>
  </r>
  <r>
    <s v="Extrême-Nord"/>
    <s v="CMR004"/>
    <x v="4"/>
    <s v="CMR004005"/>
    <x v="17"/>
    <s v="CMR004005002"/>
    <s v="MOR-0064"/>
    <s v="SITE DE KOSSA - BLAMADERI"/>
    <m/>
    <x v="0"/>
    <x v="4"/>
    <n v="0"/>
    <n v="8"/>
    <s v="Conflits liés à GANE (BH)"/>
    <m/>
    <s v="Même arrondissement"/>
    <s v="CMR"/>
    <s v="Cameroun"/>
    <s v="CMR004"/>
    <s v="Extrême-Nord"/>
    <s v="CMR004005"/>
    <s v="Mayo-Sava"/>
    <s v="CMR004005002"/>
    <s v="Mora"/>
  </r>
  <r>
    <s v="Extrême-Nord"/>
    <s v="CMR004"/>
    <x v="4"/>
    <s v="CMR004005"/>
    <x v="17"/>
    <s v="CMR004005002"/>
    <s v="MOR-0064"/>
    <s v="SITE DE KOSSA - BLAMADERI"/>
    <m/>
    <x v="0"/>
    <x v="3"/>
    <n v="0"/>
    <n v="11"/>
    <s v="Conflits liés à GANE (BH)"/>
    <m/>
    <s v="Même arrondissement"/>
    <s v="CMR"/>
    <s v="Cameroun"/>
    <s v="CMR004"/>
    <s v="Extrême-Nord"/>
    <s v="CMR004005"/>
    <s v="Mayo-Sava"/>
    <s v="CMR004005002"/>
    <s v="Mora"/>
  </r>
  <r>
    <s v="Extrême-Nord"/>
    <s v="CMR004"/>
    <x v="4"/>
    <s v="CMR004005"/>
    <x v="17"/>
    <s v="CMR004005002"/>
    <s v="MOR-0064"/>
    <s v="SITE DE KOSSA - BLAMADERI"/>
    <m/>
    <x v="0"/>
    <x v="2"/>
    <n v="0"/>
    <n v="8"/>
    <s v="Conflits liés à GANE (BH)"/>
    <m/>
    <s v="Même arrondissement"/>
    <s v="CMR"/>
    <s v="Cameroun"/>
    <s v="CMR004"/>
    <s v="Extrême-Nord"/>
    <s v="CMR004005"/>
    <s v="Mayo-Sava"/>
    <s v="CMR004005002"/>
    <s v="Mora"/>
  </r>
  <r>
    <s v="Extrême-Nord"/>
    <s v="CMR004"/>
    <x v="4"/>
    <s v="CMR004005"/>
    <x v="17"/>
    <s v="CMR004005002"/>
    <s v="MOR-0083"/>
    <s v="SITE DE GANAY"/>
    <m/>
    <x v="0"/>
    <x v="4"/>
    <n v="120"/>
    <n v="841"/>
    <s v="Conflits liés à GANE (BH)"/>
    <m/>
    <s v="Même arrondissement"/>
    <s v="CMR"/>
    <s v="Cameroun"/>
    <s v="CMR004"/>
    <s v="Extrême-Nord"/>
    <s v="CMR004005"/>
    <s v="Mayo-Sava"/>
    <s v="CMR004005002"/>
    <s v="Mora"/>
  </r>
  <r>
    <s v="Extrême-Nord"/>
    <s v="CMR004"/>
    <x v="4"/>
    <s v="CMR004005"/>
    <x v="17"/>
    <s v="CMR004005002"/>
    <s v="MOR-0083"/>
    <s v="SITE DE GANAY"/>
    <m/>
    <x v="0"/>
    <x v="3"/>
    <n v="0"/>
    <n v="15"/>
    <s v="Conflits liés à GANE (BH)"/>
    <m/>
    <s v="Même arrondissement"/>
    <s v="CMR"/>
    <s v="Cameroun"/>
    <s v="CMR004"/>
    <s v="Extrême-Nord"/>
    <s v="CMR004005"/>
    <s v="Mayo-Sava"/>
    <s v="CMR004005002"/>
    <s v="Mora"/>
  </r>
  <r>
    <s v="Extrême-Nord"/>
    <s v="CMR004"/>
    <x v="4"/>
    <s v="CMR004005"/>
    <x v="17"/>
    <s v="CMR004005002"/>
    <s v="MOR-0083"/>
    <s v="SITE DE GANAY"/>
    <m/>
    <x v="0"/>
    <x v="2"/>
    <n v="0"/>
    <n v="7"/>
    <s v="Conflits liés à GANE (BH)"/>
    <m/>
    <s v="Même arrondissement"/>
    <s v="CMR"/>
    <s v="Cameroun"/>
    <s v="CMR004"/>
    <s v="Extrême-Nord"/>
    <s v="CMR004005"/>
    <s v="Mayo-Sava"/>
    <s v="CMR004005002"/>
    <s v="Mora"/>
  </r>
  <r>
    <s v="Extrême-Nord"/>
    <s v="CMR004"/>
    <x v="4"/>
    <s v="CMR004005"/>
    <x v="17"/>
    <s v="CMR004005002"/>
    <s v="MOR-0050"/>
    <s v="KANGALERI"/>
    <m/>
    <x v="0"/>
    <x v="0"/>
    <n v="20"/>
    <n v="85"/>
    <s v="Conflits liés à GANE (BH)"/>
    <m/>
    <s v="Même arrondissement"/>
    <s v="CMR"/>
    <s v="Cameroun"/>
    <s v="CMR004"/>
    <s v="Extrême-Nord"/>
    <s v="CMR004005"/>
    <s v="Mayo-Sava"/>
    <s v="CMR004005002"/>
    <s v="Mora"/>
  </r>
  <r>
    <s v="Extrême-Nord"/>
    <s v="CMR004"/>
    <x v="4"/>
    <s v="CMR004005"/>
    <x v="17"/>
    <s v="CMR004005002"/>
    <s v="MOR-0050"/>
    <s v="KANGALERI"/>
    <m/>
    <x v="0"/>
    <x v="1"/>
    <n v="20"/>
    <n v="117"/>
    <s v="Conflits liés à GANE (BH)"/>
    <m/>
    <s v="Même arrondissement"/>
    <s v="CMR"/>
    <s v="Cameroun"/>
    <s v="CMR004"/>
    <s v="Extrême-Nord"/>
    <s v="CMR004005"/>
    <s v="Mayo-Sava"/>
    <s v="CMR004005002"/>
    <s v="Mora"/>
  </r>
  <r>
    <s v="Extrême-Nord"/>
    <s v="CMR004"/>
    <x v="4"/>
    <s v="CMR004005"/>
    <x v="17"/>
    <s v="CMR004005002"/>
    <s v="MOR-0050"/>
    <s v="KANGALERI"/>
    <m/>
    <x v="0"/>
    <x v="4"/>
    <n v="0"/>
    <n v="32"/>
    <s v="Conflits liés à GANE (BH)"/>
    <m/>
    <s v="Même arrondissement"/>
    <s v="CMR"/>
    <s v="Cameroun"/>
    <s v="CMR004"/>
    <s v="Extrême-Nord"/>
    <s v="CMR004005"/>
    <s v="Mayo-Sava"/>
    <s v="CMR004005002"/>
    <s v="Mora"/>
  </r>
  <r>
    <s v="Extrême-Nord"/>
    <s v="CMR004"/>
    <x v="4"/>
    <s v="CMR004005"/>
    <x v="17"/>
    <s v="CMR004005002"/>
    <s v="MOR-0050"/>
    <s v="KANGALERI"/>
    <m/>
    <x v="0"/>
    <x v="3"/>
    <n v="3"/>
    <n v="40"/>
    <s v="Conflits liés à GANE (BH)"/>
    <m/>
    <s v="Même arrondissement"/>
    <s v="CMR"/>
    <s v="Cameroun"/>
    <s v="CMR004"/>
    <s v="Extrême-Nord"/>
    <s v="CMR004005"/>
    <s v="Mayo-Sava"/>
    <s v="CMR004005002"/>
    <s v="Mora"/>
  </r>
  <r>
    <s v="Extrême-Nord"/>
    <s v="CMR004"/>
    <x v="4"/>
    <s v="CMR004005"/>
    <x v="17"/>
    <s v="CMR004005002"/>
    <s v="MOR-0050"/>
    <s v="KANGALERI"/>
    <m/>
    <x v="0"/>
    <x v="2"/>
    <n v="0"/>
    <n v="13"/>
    <s v="Conflits liés à GANE (BH)"/>
    <m/>
    <s v="Même arrondissement"/>
    <s v="CMR"/>
    <s v="Cameroun"/>
    <s v="CMR004"/>
    <s v="Extrême-Nord"/>
    <s v="CMR004005"/>
    <s v="Mayo-Sava"/>
    <s v="CMR004005002"/>
    <s v="Mora"/>
  </r>
  <r>
    <s v="Extrême-Nord"/>
    <s v="CMR004"/>
    <x v="2"/>
    <s v="CMR004002"/>
    <x v="25"/>
    <s v="CMR004002008"/>
    <s v="FOT-0012"/>
    <s v="MARGAMA"/>
    <m/>
    <x v="0"/>
    <x v="0"/>
    <n v="29"/>
    <n v="159"/>
    <s v="Conflits liés à GANE (BH)"/>
    <m/>
    <s v="Même arrondissement"/>
    <s v="CMR"/>
    <s v="Cameroun"/>
    <s v="CMR004"/>
    <s v="Extrême-Nord"/>
    <s v="CMR004002"/>
    <s v="Logone-Et-Chari"/>
    <s v="CMR004002008"/>
    <s v="Fotokol"/>
  </r>
  <r>
    <s v="Extrême-Nord"/>
    <s v="CMR004"/>
    <x v="2"/>
    <s v="CMR004002"/>
    <x v="25"/>
    <s v="CMR004002008"/>
    <s v="FOT-0027"/>
    <s v="HAÏGAYO"/>
    <m/>
    <x v="0"/>
    <x v="0"/>
    <n v="35"/>
    <n v="251"/>
    <s v="Conflits liés à GANE (BH)"/>
    <m/>
    <s v="Même arrondissement"/>
    <s v="CMR"/>
    <s v="Cameroun"/>
    <s v="CMR004"/>
    <s v="Extrême-Nord"/>
    <s v="CMR004002"/>
    <s v="Logone-Et-Chari"/>
    <s v="CMR004002008"/>
    <s v="Fotokol"/>
  </r>
  <r>
    <s v="Extrême-Nord"/>
    <s v="CMR004"/>
    <x v="2"/>
    <s v="CMR004002"/>
    <x v="8"/>
    <s v="CMR004002009"/>
    <s v="MAK-0228"/>
    <s v="MALTAM CENTRE"/>
    <m/>
    <x v="0"/>
    <x v="0"/>
    <n v="50"/>
    <n v="390"/>
    <s v="Conflit intercommunautaire"/>
    <m/>
    <s v="Même arrondissement"/>
    <s v="CMR"/>
    <s v="Cameroun"/>
    <s v="CMR004"/>
    <s v="Extrême-Nord"/>
    <s v="CMR004002"/>
    <s v="Logone-Et-Chari"/>
    <s v="CMR004002009"/>
    <s v="Makary"/>
  </r>
  <r>
    <s v="Extrême-Nord"/>
    <s v="CMR004"/>
    <x v="2"/>
    <s v="CMR004002"/>
    <x v="8"/>
    <s v="CMR004002009"/>
    <s v="MAK-0228"/>
    <s v="MALTAM CENTRE"/>
    <m/>
    <x v="0"/>
    <x v="2"/>
    <n v="10"/>
    <n v="72"/>
    <s v="Inondations saisonnières ou fortes pluies"/>
    <m/>
    <s v="Même arrondissement"/>
    <s v="CMR"/>
    <s v="Cameroun"/>
    <s v="CMR004"/>
    <s v="Extrême-Nord"/>
    <s v="CMR004002"/>
    <s v="Logone-Et-Chari"/>
    <s v="CMR004002009"/>
    <s v="Makary"/>
  </r>
  <r>
    <s v="Extrême-Nord"/>
    <s v="CMR004"/>
    <x v="2"/>
    <s v="CMR004002"/>
    <x v="8"/>
    <s v="CMR004002009"/>
    <s v="MAK-0227"/>
    <s v="MALTAM (QUARTIER TOUPOURI)"/>
    <m/>
    <x v="0"/>
    <x v="0"/>
    <n v="10"/>
    <n v="167"/>
    <s v="Conflits liés à GANE (BH)"/>
    <m/>
    <s v="Même arrondissement"/>
    <s v="CMR"/>
    <s v="Cameroun"/>
    <s v="CMR004"/>
    <s v="Extrême-Nord"/>
    <s v="CMR004002"/>
    <s v="Logone-Et-Chari"/>
    <s v="CMR004002009"/>
    <s v="Makary"/>
  </r>
  <r>
    <s v="Extrême-Nord"/>
    <s v="CMR004"/>
    <x v="2"/>
    <s v="CMR004002"/>
    <x v="8"/>
    <s v="CMR004002009"/>
    <s v="MAK-0227"/>
    <s v="MALTAM (QUARTIER TOUPOURI)"/>
    <m/>
    <x v="0"/>
    <x v="2"/>
    <n v="10"/>
    <n v="35"/>
    <s v="Inondations saisonnières ou fortes pluies"/>
    <m/>
    <s v="Même département, autre arrondissement"/>
    <s v="CMR"/>
    <s v="Cameroun"/>
    <s v="CMR004"/>
    <s v="Extrême-Nord"/>
    <s v="CMR004002"/>
    <s v="Logone-Et-Chari"/>
    <s v="CMR004002002"/>
    <s v="Goulfey"/>
  </r>
  <r>
    <s v="Extrême-Nord"/>
    <s v="CMR004"/>
    <x v="1"/>
    <s v="CMR004006"/>
    <x v="1"/>
    <s v="CMR004006002"/>
    <s v="MOK-0022"/>
    <s v="WANDAI"/>
    <m/>
    <x v="0"/>
    <x v="0"/>
    <n v="38"/>
    <n v="208"/>
    <s v="Conflits liés à GANE (BH)"/>
    <m/>
    <s v="Même arrondissement"/>
    <s v="CMR"/>
    <s v="Cameroun"/>
    <s v="CMR004"/>
    <s v="Extrême-Nord"/>
    <s v="CMR004006"/>
    <s v="Mayo-Tsanaga"/>
    <s v="CMR004006002"/>
    <s v="Mokolo"/>
  </r>
  <r>
    <s v="Extrême-Nord"/>
    <s v="CMR004"/>
    <x v="1"/>
    <s v="CMR004006"/>
    <x v="1"/>
    <s v="CMR004006002"/>
    <s v="MOK-0022"/>
    <s v="WANDAI"/>
    <m/>
    <x v="0"/>
    <x v="2"/>
    <n v="2"/>
    <n v="11"/>
    <s v="Conflits liés à GANE (BH)"/>
    <m/>
    <s v="Même arrondissement"/>
    <s v="CMR"/>
    <s v="Cameroun"/>
    <s v="CMR004"/>
    <s v="Extrême-Nord"/>
    <s v="CMR004006"/>
    <s v="Mayo-Tsanaga"/>
    <s v="CMR004006002"/>
    <s v="Mokolo"/>
  </r>
  <r>
    <s v="Extrême-Nord"/>
    <s v="CMR004"/>
    <x v="2"/>
    <s v="CMR004002"/>
    <x v="8"/>
    <s v="CMR004002009"/>
    <s v="MAK-0078"/>
    <s v="NDJAMENA 3"/>
    <m/>
    <x v="0"/>
    <x v="3"/>
    <n v="18"/>
    <n v="109"/>
    <s v="Conflits liés à GANE (BH)"/>
    <m/>
    <s v="Même arrondissement"/>
    <s v="CMR"/>
    <s v="Cameroun"/>
    <s v="CMR004"/>
    <s v="Extrême-Nord"/>
    <s v="CMR004002"/>
    <s v="Logone-Et-Chari"/>
    <s v="CMR004002009"/>
    <s v="Makary"/>
  </r>
  <r>
    <s v="Extrême-Nord"/>
    <s v="CMR004"/>
    <x v="2"/>
    <s v="CMR004002"/>
    <x v="8"/>
    <s v="CMR004002009"/>
    <s v="MAK-0200"/>
    <s v="SITE DE AMADABO 1"/>
    <m/>
    <x v="0"/>
    <x v="3"/>
    <n v="15"/>
    <n v="43"/>
    <s v="Conflits liés à GANE (BH)"/>
    <m/>
    <s v="Même arrondissement"/>
    <s v="CMR"/>
    <s v="Cameroun"/>
    <s v="CMR004"/>
    <s v="Extrême-Nord"/>
    <s v="CMR004002"/>
    <s v="Logone-Et-Chari"/>
    <s v="CMR004002009"/>
    <s v="Makary"/>
  </r>
  <r>
    <s v="Extrême-Nord"/>
    <s v="CMR004"/>
    <x v="2"/>
    <s v="CMR004002"/>
    <x v="8"/>
    <s v="CMR004002009"/>
    <s v="MAK-0214"/>
    <s v="SITE DE MICHKINDING"/>
    <m/>
    <x v="0"/>
    <x v="3"/>
    <n v="32"/>
    <n v="132"/>
    <s v="Conflits liés à GANE (BH)"/>
    <m/>
    <s v="Même arrondissement"/>
    <s v="CMR"/>
    <s v="Cameroun"/>
    <s v="CMR004"/>
    <s v="Extrême-Nord"/>
    <s v="CMR004002"/>
    <s v="Logone-Et-Chari"/>
    <s v="CMR004002009"/>
    <s v="Makary"/>
  </r>
  <r>
    <s v="Extrême-Nord"/>
    <s v="CMR004"/>
    <x v="2"/>
    <s v="CMR004002"/>
    <x v="8"/>
    <s v="CMR004002009"/>
    <s v="MAK-0201"/>
    <s v="SITE DE AMADABO 2"/>
    <m/>
    <x v="0"/>
    <x v="3"/>
    <n v="45"/>
    <n v="427"/>
    <s v="Conflits liés à GANE (BH)"/>
    <m/>
    <s v="Même arrondissement"/>
    <s v="CMR"/>
    <s v="Cameroun"/>
    <s v="CMR004"/>
    <s v="Extrême-Nord"/>
    <s v="CMR004002"/>
    <s v="Logone-Et-Chari"/>
    <s v="CMR004002009"/>
    <s v="Makary"/>
  </r>
  <r>
    <s v="Extrême-Nord"/>
    <s v="CMR004"/>
    <x v="2"/>
    <s v="CMR004002"/>
    <x v="8"/>
    <s v="CMR004002009"/>
    <s v="MAK-0220"/>
    <s v="SITE DE TILDE"/>
    <m/>
    <x v="0"/>
    <x v="0"/>
    <n v="64"/>
    <n v="449"/>
    <s v="Conflits liés à GANE (BH)"/>
    <m/>
    <s v="Même arrondissement"/>
    <s v="CMR"/>
    <s v="Cameroun"/>
    <s v="CMR004"/>
    <s v="Extrême-Nord"/>
    <s v="CMR004002"/>
    <s v="Logone-Et-Chari"/>
    <s v="CMR004002009"/>
    <s v="Makary"/>
  </r>
  <r>
    <s v="Extrême-Nord"/>
    <s v="CMR004"/>
    <x v="2"/>
    <s v="CMR004002"/>
    <x v="8"/>
    <s v="CMR004002009"/>
    <s v="MAK-0220"/>
    <s v="SITE DE TILDE"/>
    <m/>
    <x v="0"/>
    <x v="1"/>
    <n v="8"/>
    <n v="73"/>
    <s v="Conflits liés à GANE (BH)"/>
    <m/>
    <s v="Même arrondissement"/>
    <s v="CMR"/>
    <s v="Cameroun"/>
    <s v="CMR004"/>
    <s v="Extrême-Nord"/>
    <s v="CMR004002"/>
    <s v="Logone-Et-Chari"/>
    <s v="CMR004002009"/>
    <s v="Makary"/>
  </r>
  <r>
    <s v="Extrême-Nord"/>
    <s v="CMR004"/>
    <x v="2"/>
    <s v="CMR004002"/>
    <x v="8"/>
    <s v="CMR004002009"/>
    <s v="MAK-0220"/>
    <s v="SITE DE TILDE"/>
    <m/>
    <x v="0"/>
    <x v="4"/>
    <n v="0"/>
    <n v="8"/>
    <s v="Conflits liés à GANE (BH)"/>
    <m/>
    <s v="Même arrondissement"/>
    <s v="CMR"/>
    <s v="Cameroun"/>
    <s v="CMR004"/>
    <s v="Extrême-Nord"/>
    <s v="CMR004002"/>
    <s v="Logone-Et-Chari"/>
    <s v="CMR004002009"/>
    <s v="Makary"/>
  </r>
  <r>
    <s v="Extrême-Nord"/>
    <s v="CMR004"/>
    <x v="2"/>
    <s v="CMR004002"/>
    <x v="8"/>
    <s v="CMR004002009"/>
    <s v="MAK-0220"/>
    <s v="SITE DE TILDE"/>
    <m/>
    <x v="0"/>
    <x v="3"/>
    <n v="8"/>
    <n v="60"/>
    <s v="Conflit intercommunautaire"/>
    <m/>
    <s v="Même département, autre arrondissement"/>
    <s v="CMR"/>
    <s v="Cameroun"/>
    <s v="CMR004"/>
    <s v="Extrême-Nord"/>
    <s v="CMR004002"/>
    <s v="Logone-Et-Chari"/>
    <s v="CMR004002004"/>
    <s v="Logone-Birni"/>
  </r>
  <r>
    <s v="Extrême-Nord"/>
    <s v="CMR004"/>
    <x v="2"/>
    <s v="CMR004002"/>
    <x v="8"/>
    <s v="CMR004002009"/>
    <s v="MAK-0220"/>
    <s v="SITE DE TILDE"/>
    <m/>
    <x v="0"/>
    <x v="2"/>
    <n v="0"/>
    <n v="7"/>
    <s v="Conflits liés à GANE (BH)"/>
    <m/>
    <s v="Même arrondissement"/>
    <s v="CMR"/>
    <s v="Cameroun"/>
    <s v="CMR004"/>
    <s v="Extrême-Nord"/>
    <s v="CMR004002"/>
    <s v="Logone-Et-Chari"/>
    <s v="CMR004002009"/>
    <s v="Makary"/>
  </r>
  <r>
    <s v="Extrême-Nord"/>
    <s v="CMR004"/>
    <x v="2"/>
    <s v="CMR004002"/>
    <x v="8"/>
    <s v="CMR004002009"/>
    <s v="MAK-0091"/>
    <s v="TILDE-PONT"/>
    <m/>
    <x v="0"/>
    <x v="0"/>
    <n v="57"/>
    <n v="516"/>
    <s v="Conflits liés à GANE (BH)"/>
    <m/>
    <s v="Même arrondissement"/>
    <s v="CMR"/>
    <s v="Cameroun"/>
    <s v="CMR004"/>
    <s v="Extrême-Nord"/>
    <s v="CMR004002"/>
    <s v="Logone-Et-Chari"/>
    <s v="CMR004002009"/>
    <s v="Makary"/>
  </r>
  <r>
    <s v="Extrême-Nord"/>
    <s v="CMR004"/>
    <x v="2"/>
    <s v="CMR004002"/>
    <x v="8"/>
    <s v="CMR004002009"/>
    <s v="MAK-0091"/>
    <s v="TILDE-PONT"/>
    <m/>
    <x v="0"/>
    <x v="1"/>
    <n v="0"/>
    <n v="17"/>
    <s v="Conflits liés à GANE (BH)"/>
    <m/>
    <s v="Même arrondissement"/>
    <s v="CMR"/>
    <s v="Cameroun"/>
    <s v="CMR004"/>
    <s v="Extrême-Nord"/>
    <s v="CMR004002"/>
    <s v="Logone-Et-Chari"/>
    <s v="CMR004002009"/>
    <s v="Makary"/>
  </r>
  <r>
    <s v="Extrême-Nord"/>
    <s v="CMR004"/>
    <x v="2"/>
    <s v="CMR004002"/>
    <x v="8"/>
    <s v="CMR004002009"/>
    <s v="MAK-0091"/>
    <s v="TILDE-PONT"/>
    <m/>
    <x v="0"/>
    <x v="3"/>
    <n v="0"/>
    <n v="12"/>
    <s v="Conflits liés à GANE (BH)"/>
    <m/>
    <s v="Même arrondissement"/>
    <s v="CMR"/>
    <s v="Cameroun"/>
    <s v="CMR004"/>
    <s v="Extrême-Nord"/>
    <s v="CMR004002"/>
    <s v="Logone-Et-Chari"/>
    <s v="CMR004002009"/>
    <s v="Makary"/>
  </r>
  <r>
    <s v="Extrême-Nord"/>
    <s v="CMR004"/>
    <x v="2"/>
    <s v="CMR004002"/>
    <x v="8"/>
    <s v="CMR004002009"/>
    <s v="MAK-0091"/>
    <s v="TILDE-PONT"/>
    <m/>
    <x v="0"/>
    <x v="2"/>
    <n v="0"/>
    <n v="10"/>
    <s v="Conflits liés à GANE (BH)"/>
    <m/>
    <s v="Même arrondissement"/>
    <s v="CMR"/>
    <s v="Cameroun"/>
    <s v="CMR004"/>
    <s v="Extrême-Nord"/>
    <s v="CMR004002"/>
    <s v="Logone-Et-Chari"/>
    <s v="CMR004002009"/>
    <s v="Makary"/>
  </r>
  <r>
    <s v="Extrême-Nord"/>
    <s v="CMR004"/>
    <x v="2"/>
    <s v="CMR004002"/>
    <x v="12"/>
    <s v="CMR004002002"/>
    <s v="GOU-0043"/>
    <s v="MOURA"/>
    <m/>
    <x v="0"/>
    <x v="3"/>
    <n v="8"/>
    <n v="16"/>
    <s v="Conflits liés à GANE (BH)"/>
    <m/>
    <s v="Même arrondissement"/>
    <s v="CMR"/>
    <s v="Cameroun"/>
    <s v="CMR004"/>
    <s v="Extrême-Nord"/>
    <s v="CMR004002"/>
    <s v="Logone-Et-Chari"/>
    <s v="CMR004002002"/>
    <s v="Goulfey"/>
  </r>
  <r>
    <s v="Extrême-Nord"/>
    <s v="CMR004"/>
    <x v="2"/>
    <s v="CMR004002"/>
    <x v="12"/>
    <s v="CMR004002002"/>
    <s v="GOU-0040"/>
    <s v="NAGABAYA"/>
    <m/>
    <x v="0"/>
    <x v="3"/>
    <n v="20"/>
    <n v="49"/>
    <s v="Conflits liés à GANE (BH)"/>
    <m/>
    <s v="Même arrondissement"/>
    <s v="CMR"/>
    <s v="Cameroun"/>
    <s v="CMR004"/>
    <s v="Extrême-Nord"/>
    <s v="CMR004002"/>
    <s v="Logone-Et-Chari"/>
    <s v="CMR004002002"/>
    <s v="Goulfey"/>
  </r>
  <r>
    <s v="Extrême-Nord"/>
    <s v="CMR004"/>
    <x v="2"/>
    <s v="CMR004002"/>
    <x v="12"/>
    <s v="CMR004002002"/>
    <s v="GOU-0030"/>
    <s v="GOUMRI"/>
    <m/>
    <x v="0"/>
    <x v="3"/>
    <n v="3"/>
    <n v="12"/>
    <s v="Conflits liés à GANE (BH)"/>
    <m/>
    <s v="Même arrondissement"/>
    <s v="CMR"/>
    <s v="Cameroun"/>
    <s v="CMR004"/>
    <s v="Extrême-Nord"/>
    <s v="CMR004002"/>
    <s v="Logone-Et-Chari"/>
    <s v="CMR004002002"/>
    <s v="Goulfey"/>
  </r>
  <r>
    <s v="Extrême-Nord"/>
    <s v="CMR004"/>
    <x v="4"/>
    <s v="CMR004005"/>
    <x v="17"/>
    <s v="CMR004005002"/>
    <s v="MOR-0005"/>
    <s v="FIKE 1"/>
    <m/>
    <x v="0"/>
    <x v="0"/>
    <n v="106"/>
    <n v="466"/>
    <s v="Conflits liés à GANE (BH)"/>
    <m/>
    <s v="Même arrondissement"/>
    <s v="CMR"/>
    <s v="Cameroun"/>
    <s v="CMR004"/>
    <s v="Extrême-Nord"/>
    <s v="CMR004005"/>
    <s v="Mayo-Sava"/>
    <s v="CMR004005002"/>
    <s v="Mora"/>
  </r>
  <r>
    <s v="Extrême-Nord"/>
    <s v="CMR004"/>
    <x v="4"/>
    <s v="CMR004005"/>
    <x v="17"/>
    <s v="CMR004005002"/>
    <s v="MOR-0005"/>
    <s v="FIKE 1"/>
    <m/>
    <x v="0"/>
    <x v="1"/>
    <n v="93"/>
    <n v="536"/>
    <s v="Conflits liés à GANE (BH)"/>
    <m/>
    <s v="Même arrondissement"/>
    <s v="CMR"/>
    <s v="Cameroun"/>
    <s v="CMR004"/>
    <s v="Extrême-Nord"/>
    <s v="CMR004005"/>
    <s v="Mayo-Sava"/>
    <s v="CMR004005002"/>
    <s v="Mora"/>
  </r>
  <r>
    <s v="Extrême-Nord"/>
    <s v="CMR004"/>
    <x v="4"/>
    <s v="CMR004005"/>
    <x v="17"/>
    <s v="CMR004005002"/>
    <s v="MOR-0005"/>
    <s v="FIKE 1"/>
    <m/>
    <x v="0"/>
    <x v="4"/>
    <n v="20"/>
    <n v="106"/>
    <s v="Conflits liés à GANE (BH)"/>
    <m/>
    <s v="Même arrondissement"/>
    <s v="CMR"/>
    <s v="Cameroun"/>
    <s v="CMR004"/>
    <s v="Extrême-Nord"/>
    <s v="CMR004005"/>
    <s v="Mayo-Sava"/>
    <s v="CMR004005002"/>
    <s v="Mora"/>
  </r>
  <r>
    <s v="Extrême-Nord"/>
    <s v="CMR004"/>
    <x v="4"/>
    <s v="CMR004005"/>
    <x v="17"/>
    <s v="CMR004005002"/>
    <s v="MOR-0005"/>
    <s v="FIKE 1"/>
    <m/>
    <x v="0"/>
    <x v="3"/>
    <n v="18"/>
    <n v="110"/>
    <s v="Conflits liés à GANE (BH)"/>
    <m/>
    <s v="Même arrondissement"/>
    <s v="CMR"/>
    <s v="Cameroun"/>
    <s v="CMR004"/>
    <s v="Extrême-Nord"/>
    <s v="CMR004005"/>
    <s v="Mayo-Sava"/>
    <s v="CMR004005002"/>
    <s v="Mora"/>
  </r>
  <r>
    <s v="Extrême-Nord"/>
    <s v="CMR004"/>
    <x v="4"/>
    <s v="CMR004005"/>
    <x v="17"/>
    <s v="CMR004005002"/>
    <s v="MOR-0005"/>
    <s v="FIKE 1"/>
    <m/>
    <x v="0"/>
    <x v="2"/>
    <n v="10"/>
    <n v="39"/>
    <s v="Conflits liés à GANE (BH)"/>
    <m/>
    <s v="Même arrondissement"/>
    <s v="CMR"/>
    <s v="Cameroun"/>
    <s v="CMR004"/>
    <s v="Extrême-Nord"/>
    <s v="CMR004005"/>
    <s v="Mayo-Sava"/>
    <s v="CMR004005002"/>
    <s v="Mora"/>
  </r>
  <r>
    <s v="Extrême-Nord"/>
    <s v="CMR004"/>
    <x v="4"/>
    <s v="CMR004005"/>
    <x v="17"/>
    <s v="CMR004005002"/>
    <s v="MOR-0032"/>
    <s v="TAYER"/>
    <m/>
    <x v="0"/>
    <x v="0"/>
    <n v="90"/>
    <n v="358"/>
    <s v="Conflits liés à GANE (BH)"/>
    <m/>
    <s v="Même arrondissement"/>
    <s v="CMR"/>
    <s v="Cameroun"/>
    <s v="CMR004"/>
    <s v="Extrême-Nord"/>
    <s v="CMR004005"/>
    <s v="Mayo-Sava"/>
    <s v="CMR004005002"/>
    <s v="Mora"/>
  </r>
  <r>
    <s v="Extrême-Nord"/>
    <s v="CMR004"/>
    <x v="4"/>
    <s v="CMR004005"/>
    <x v="17"/>
    <s v="CMR004005002"/>
    <s v="MOR-0032"/>
    <s v="TAYER"/>
    <m/>
    <x v="0"/>
    <x v="4"/>
    <n v="15"/>
    <n v="82"/>
    <s v="Conflits liés à GANE (BH)"/>
    <m/>
    <s v="Même arrondissement"/>
    <s v="CMR"/>
    <s v="Cameroun"/>
    <s v="CMR004"/>
    <s v="Extrême-Nord"/>
    <s v="CMR004005"/>
    <s v="Mayo-Sava"/>
    <s v="CMR004005002"/>
    <s v="Mora"/>
  </r>
  <r>
    <s v="Extrême-Nord"/>
    <s v="CMR004"/>
    <x v="4"/>
    <s v="CMR004005"/>
    <x v="17"/>
    <s v="CMR004005002"/>
    <s v="MOR-0032"/>
    <s v="TAYER"/>
    <m/>
    <x v="0"/>
    <x v="3"/>
    <n v="3"/>
    <n v="59"/>
    <s v="Conflits liés à GANE (BH)"/>
    <m/>
    <s v="Même arrondissement"/>
    <s v="CMR"/>
    <s v="Cameroun"/>
    <s v="CMR004"/>
    <s v="Extrême-Nord"/>
    <s v="CMR004005"/>
    <s v="Mayo-Sava"/>
    <s v="CMR004005002"/>
    <s v="Mora"/>
  </r>
  <r>
    <s v="Extrême-Nord"/>
    <s v="CMR004"/>
    <x v="4"/>
    <s v="CMR004005"/>
    <x v="17"/>
    <s v="CMR004005002"/>
    <s v="MOR-0032"/>
    <s v="TAYER"/>
    <m/>
    <x v="0"/>
    <x v="2"/>
    <n v="30"/>
    <n v="90"/>
    <s v="Conflits liés à GANE (BH)"/>
    <m/>
    <s v="Même arrondissement"/>
    <s v="CMR"/>
    <s v="Cameroun"/>
    <s v="CMR004"/>
    <s v="Extrême-Nord"/>
    <s v="CMR004005"/>
    <s v="Mayo-Sava"/>
    <s v="CMR004005002"/>
    <s v="Mora"/>
  </r>
  <r>
    <s v="Extrême-Nord"/>
    <s v="CMR004"/>
    <x v="4"/>
    <s v="CMR004005"/>
    <x v="17"/>
    <s v="CMR004005002"/>
    <s v="MOR-0032"/>
    <s v="TAYER"/>
    <m/>
    <x v="0"/>
    <x v="1"/>
    <n v="50"/>
    <n v="306"/>
    <s v="Conflits liés à GANE (BH)"/>
    <m/>
    <s v="Même arrondissement"/>
    <s v="CMR"/>
    <s v="Cameroun"/>
    <s v="CMR004"/>
    <s v="Extrême-Nord"/>
    <s v="CMR004005"/>
    <s v="Mayo-Sava"/>
    <s v="CMR004005002"/>
    <s v="Mora"/>
  </r>
  <r>
    <s v="Extrême-Nord"/>
    <s v="CMR004"/>
    <x v="2"/>
    <s v="CMR004002"/>
    <x v="15"/>
    <s v="CMR004002004"/>
    <s v="LBI-0067"/>
    <s v="MAGO"/>
    <m/>
    <x v="0"/>
    <x v="3"/>
    <n v="25"/>
    <n v="53"/>
    <s v="Conflit intercommunautaire"/>
    <m/>
    <s v="Même arrondissement"/>
    <s v="CMR"/>
    <s v="Cameroun"/>
    <s v="CMR004"/>
    <s v="Extrême-Nord"/>
    <s v="CMR004002"/>
    <s v="Logone-Et-Chari"/>
    <s v="CMR004002004"/>
    <s v="Logone-Birni"/>
  </r>
  <r>
    <s v="Extrême-Nord"/>
    <s v="CMR004"/>
    <x v="1"/>
    <s v="CMR004006"/>
    <x v="1"/>
    <s v="CMR004006002"/>
    <s v="MOK-0010"/>
    <s v="MENDEZE"/>
    <m/>
    <x v="0"/>
    <x v="2"/>
    <n v="5"/>
    <n v="15"/>
    <s v="Conflits liés à GANE (BH)"/>
    <m/>
    <s v="Autre département"/>
    <s v="CMR"/>
    <s v="Cameroun"/>
    <s v="CMR004"/>
    <s v="Extrême-Nord"/>
    <s v="CMR004005"/>
    <s v="Mayo-Sava"/>
    <m/>
    <m/>
  </r>
  <r>
    <s v="Extrême-Nord"/>
    <s v="CMR004"/>
    <x v="1"/>
    <s v="CMR004006"/>
    <x v="1"/>
    <s v="CMR004006002"/>
    <s v="MOK-0010"/>
    <s v="MENDEZE"/>
    <m/>
    <x v="0"/>
    <x v="1"/>
    <n v="7"/>
    <n v="82"/>
    <s v="Conflits liés à GANE (BH)"/>
    <m/>
    <s v="Autre département"/>
    <s v="CMR"/>
    <s v="Cameroun"/>
    <s v="CMR004"/>
    <s v="Extrême-Nord"/>
    <s v="CMR004005"/>
    <s v="Mayo-Sava"/>
    <m/>
    <m/>
  </r>
  <r>
    <s v="Extrême-Nord"/>
    <s v="CMR004"/>
    <x v="1"/>
    <s v="CMR004006"/>
    <x v="1"/>
    <s v="CMR004006002"/>
    <s v="MOK-0010"/>
    <s v="MENDEZE"/>
    <m/>
    <x v="0"/>
    <x v="4"/>
    <n v="7"/>
    <n v="14"/>
    <s v="Conflits liés à GANE (BH)"/>
    <m/>
    <s v="Autre département"/>
    <s v="CMR"/>
    <s v="Cameroun"/>
    <s v="CMR004"/>
    <s v="Extrême-Nord"/>
    <s v="CMR004005"/>
    <s v="Mayo-Sava"/>
    <m/>
    <m/>
  </r>
  <r>
    <s v="Extrême-Nord"/>
    <s v="CMR004"/>
    <x v="1"/>
    <s v="CMR004006"/>
    <x v="1"/>
    <s v="CMR004006002"/>
    <s v="MOK-0010"/>
    <s v="MENDEZE"/>
    <m/>
    <x v="0"/>
    <x v="3"/>
    <n v="1"/>
    <n v="8"/>
    <s v="Conflits liés à GANE (BH)"/>
    <m/>
    <s v="Autre département"/>
    <s v="CMR"/>
    <s v="Cameroun"/>
    <s v="CMR004"/>
    <s v="Extrême-Nord"/>
    <s v="CMR004005"/>
    <s v="Mayo-Sava"/>
    <m/>
    <m/>
  </r>
  <r>
    <s v="Extrême-Nord"/>
    <s v="CMR004"/>
    <x v="1"/>
    <s v="CMR004006"/>
    <x v="1"/>
    <s v="CMR004006002"/>
    <s v="MOK-0016"/>
    <s v="OURO KESSOUM"/>
    <m/>
    <x v="0"/>
    <x v="1"/>
    <n v="52"/>
    <n v="297"/>
    <s v="Conflits liés à GANE (BH)"/>
    <m/>
    <s v="Même département, autre arrondissement"/>
    <s v="CMR"/>
    <s v="Cameroun"/>
    <s v="CMR004"/>
    <s v="Extrême-Nord"/>
    <s v="CMR004006"/>
    <s v="Mayo-Tsanaga"/>
    <s v="CMR004006005"/>
    <s v="Mayo-Moskota"/>
  </r>
  <r>
    <s v="Extrême-Nord"/>
    <s v="CMR004"/>
    <x v="1"/>
    <s v="CMR004006"/>
    <x v="1"/>
    <s v="CMR004006002"/>
    <s v="MOK-0016"/>
    <s v="OURO KESSOUM"/>
    <m/>
    <x v="0"/>
    <x v="4"/>
    <n v="0"/>
    <n v="3"/>
    <s v="Conflits liés à GANE (BH)"/>
    <m/>
    <s v="Même département, autre arrondissement"/>
    <s v="CMR"/>
    <s v="Cameroun"/>
    <s v="CMR004"/>
    <s v="Extrême-Nord"/>
    <s v="CMR004006"/>
    <s v="Mayo-Tsanaga"/>
    <s v="CMR004006005"/>
    <s v="Mayo-Moskota"/>
  </r>
  <r>
    <s v="Extrême-Nord"/>
    <s v="CMR004"/>
    <x v="1"/>
    <s v="CMR004006"/>
    <x v="1"/>
    <s v="CMR004006002"/>
    <s v="MOK-0016"/>
    <s v="OURO KESSOUM"/>
    <m/>
    <x v="0"/>
    <x v="2"/>
    <n v="100"/>
    <n v="300"/>
    <s v="Conflits liés à GANE (BH)"/>
    <m/>
    <s v="Même département, autre arrondissement"/>
    <s v="CMR"/>
    <s v="Cameroun"/>
    <s v="CMR004"/>
    <s v="Extrême-Nord"/>
    <s v="CMR004006"/>
    <s v="Mayo-Tsanaga"/>
    <s v="CMR004006005"/>
    <s v="Mayo-Moskota"/>
  </r>
  <r>
    <s v="Extrême-Nord"/>
    <s v="CMR004"/>
    <x v="1"/>
    <s v="CMR004006"/>
    <x v="1"/>
    <s v="CMR004006002"/>
    <s v="MOK-0046"/>
    <s v="LDAMTSAI"/>
    <m/>
    <x v="0"/>
    <x v="0"/>
    <n v="5"/>
    <n v="37"/>
    <s v="Conflits liés à GANE (BH)"/>
    <m/>
    <s v="Même arrondissement"/>
    <s v="CMR"/>
    <s v="Cameroun"/>
    <s v="CMR004"/>
    <s v="Extrême-Nord"/>
    <s v="CMR004006"/>
    <s v="Mayo-Tsanaga"/>
    <s v="CMR004006002"/>
    <s v="Mokolo"/>
  </r>
  <r>
    <s v="Extrême-Nord"/>
    <s v="CMR004"/>
    <x v="1"/>
    <s v="CMR004006"/>
    <x v="1"/>
    <s v="CMR004006002"/>
    <s v="MOK-0046"/>
    <s v="LDAMTSAI"/>
    <m/>
    <x v="0"/>
    <x v="1"/>
    <n v="11"/>
    <n v="82"/>
    <s v="Conflits liés à GANE (BH)"/>
    <m/>
    <s v="Même arrondissement"/>
    <s v="CMR"/>
    <s v="Cameroun"/>
    <s v="CMR004"/>
    <s v="Extrême-Nord"/>
    <s v="CMR004006"/>
    <s v="Mayo-Tsanaga"/>
    <s v="CMR004006002"/>
    <s v="Mokolo"/>
  </r>
  <r>
    <s v="Extrême-Nord"/>
    <s v="CMR004"/>
    <x v="1"/>
    <s v="CMR004006"/>
    <x v="1"/>
    <s v="CMR004006002"/>
    <s v="MOK-0046"/>
    <s v="LDAMTSAI"/>
    <m/>
    <x v="0"/>
    <x v="4"/>
    <n v="0"/>
    <n v="3"/>
    <s v="Conflits liés à GANE (BH)"/>
    <m/>
    <s v="Même arrondissement"/>
    <s v="CMR"/>
    <s v="Cameroun"/>
    <s v="CMR004"/>
    <s v="Extrême-Nord"/>
    <s v="CMR004006"/>
    <s v="Mayo-Tsanaga"/>
    <s v="CMR004006002"/>
    <s v="Mokolo"/>
  </r>
  <r>
    <s v="Extrême-Nord"/>
    <s v="CMR004"/>
    <x v="1"/>
    <s v="CMR004006"/>
    <x v="1"/>
    <s v="CMR004006002"/>
    <s v="MOK-0046"/>
    <s v="LDAMTSAI"/>
    <m/>
    <x v="0"/>
    <x v="3"/>
    <n v="18"/>
    <n v="144"/>
    <s v="Conflits liés à GANE (BH)"/>
    <m/>
    <s v="Même arrondissement"/>
    <s v="CMR"/>
    <s v="Cameroun"/>
    <s v="CMR004"/>
    <s v="Extrême-Nord"/>
    <s v="CMR004006"/>
    <s v="Mayo-Tsanaga"/>
    <s v="CMR004006002"/>
    <s v="Mokolo"/>
  </r>
  <r>
    <s v="Extrême-Nord"/>
    <s v="CMR004"/>
    <x v="1"/>
    <s v="CMR004006"/>
    <x v="1"/>
    <s v="CMR004006002"/>
    <s v="MOK-0046"/>
    <s v="LDAMTSAI"/>
    <m/>
    <x v="0"/>
    <x v="2"/>
    <n v="6"/>
    <n v="27"/>
    <s v="Conflits liés à GANE (BH)"/>
    <m/>
    <s v="Même arrondissement"/>
    <s v="CMR"/>
    <s v="Cameroun"/>
    <s v="CMR004"/>
    <s v="Extrême-Nord"/>
    <s v="CMR004006"/>
    <s v="Mayo-Tsanaga"/>
    <s v="CMR004006002"/>
    <s v="Mokolo"/>
  </r>
  <r>
    <s v="Extrême-Nord"/>
    <s v="CMR004"/>
    <x v="1"/>
    <s v="CMR004006"/>
    <x v="1"/>
    <s v="CMR004006002"/>
    <s v="MOK-0024"/>
    <s v="SITE DE ZAMAI 1"/>
    <m/>
    <x v="0"/>
    <x v="2"/>
    <n v="0"/>
    <n v="3"/>
    <s v="Conflits liés à GANE (BH)"/>
    <m/>
    <s v="Même arrondissement"/>
    <s v="CMR"/>
    <s v="Cameroun"/>
    <s v="CMR004"/>
    <s v="Extrême-Nord"/>
    <s v="CMR004006"/>
    <s v="Mayo-Tsanaga"/>
    <s v="CMR004006002"/>
    <s v="Mokolo"/>
  </r>
  <r>
    <s v="Extrême-Nord"/>
    <s v="CMR004"/>
    <x v="1"/>
    <s v="CMR004006"/>
    <x v="1"/>
    <s v="CMR004006002"/>
    <s v="MOK-0024"/>
    <s v="SITE DE ZAMAI 1"/>
    <m/>
    <x v="0"/>
    <x v="3"/>
    <n v="0"/>
    <n v="2"/>
    <s v="Conflits liés à GANE (BH)"/>
    <m/>
    <s v="Même arrondissement"/>
    <s v="CMR"/>
    <s v="Cameroun"/>
    <s v="CMR004"/>
    <s v="Extrême-Nord"/>
    <s v="CMR004006"/>
    <s v="Mayo-Tsanaga"/>
    <s v="CMR004006002"/>
    <s v="Mokolo"/>
  </r>
  <r>
    <s v="Extrême-Nord"/>
    <s v="CMR004"/>
    <x v="1"/>
    <s v="CMR004006"/>
    <x v="1"/>
    <s v="CMR004006002"/>
    <s v="MOK-0024"/>
    <s v="SITE DE ZAMAI 1"/>
    <m/>
    <x v="0"/>
    <x v="4"/>
    <n v="5"/>
    <n v="20"/>
    <s v="Conflits liés à GANE (BH)"/>
    <m/>
    <s v="Même arrondissement"/>
    <s v="CMR"/>
    <s v="Cameroun"/>
    <s v="CMR004"/>
    <s v="Extrême-Nord"/>
    <s v="CMR004006"/>
    <s v="Mayo-Tsanaga"/>
    <s v="CMR004006002"/>
    <s v="Mokolo"/>
  </r>
  <r>
    <s v="Extrême-Nord"/>
    <s v="CMR004"/>
    <x v="1"/>
    <s v="CMR004006"/>
    <x v="1"/>
    <s v="CMR004006002"/>
    <s v="MOK-0024"/>
    <s v="SITE DE ZAMAI 1"/>
    <m/>
    <x v="0"/>
    <x v="1"/>
    <n v="25"/>
    <n v="177"/>
    <s v="Conflits liés à GANE (BH)"/>
    <m/>
    <s v="Même arrondissement"/>
    <s v="CMR"/>
    <s v="Cameroun"/>
    <s v="CMR004"/>
    <s v="Extrême-Nord"/>
    <s v="CMR004006"/>
    <s v="Mayo-Tsanaga"/>
    <s v="CMR004006002"/>
    <s v="Mokolo"/>
  </r>
  <r>
    <s v="Extrême-Nord"/>
    <s v="CMR004"/>
    <x v="1"/>
    <s v="CMR004006"/>
    <x v="1"/>
    <s v="CMR004006002"/>
    <s v="MOK-0041"/>
    <s v="ZAMAI CENTRE"/>
    <m/>
    <x v="0"/>
    <x v="2"/>
    <n v="0"/>
    <n v="3"/>
    <s v="Conflits liés à GANE (BH)"/>
    <m/>
    <s v="Même arrondissement"/>
    <s v="CMR"/>
    <s v="Cameroun"/>
    <s v="CMR004"/>
    <s v="Extrême-Nord"/>
    <s v="CMR004006"/>
    <s v="Mayo-Tsanaga"/>
    <s v="CMR004006002"/>
    <s v="Mokolo"/>
  </r>
  <r>
    <s v="Extrême-Nord"/>
    <s v="CMR004"/>
    <x v="1"/>
    <s v="CMR004006"/>
    <x v="1"/>
    <s v="CMR004006002"/>
    <s v="MOK-0041"/>
    <s v="ZAMAI CENTRE"/>
    <m/>
    <x v="0"/>
    <x v="3"/>
    <n v="10"/>
    <n v="50"/>
    <s v="Conflits liés à GANE (BH)"/>
    <m/>
    <s v="Même arrondissement"/>
    <s v="CMR"/>
    <s v="Cameroun"/>
    <s v="CMR004"/>
    <s v="Extrême-Nord"/>
    <s v="CMR004006"/>
    <s v="Mayo-Tsanaga"/>
    <s v="CMR004006002"/>
    <s v="Mokolo"/>
  </r>
  <r>
    <s v="Extrême-Nord"/>
    <s v="CMR004"/>
    <x v="1"/>
    <s v="CMR004006"/>
    <x v="1"/>
    <s v="CMR004006002"/>
    <s v="MOK-0038"/>
    <s v="SITE DE ZAMAI 2"/>
    <m/>
    <x v="0"/>
    <x v="2"/>
    <n v="0"/>
    <n v="2"/>
    <s v="Conflits liés à GANE (BH)"/>
    <m/>
    <s v="Même arrondissement"/>
    <s v="CMR"/>
    <s v="Cameroun"/>
    <s v="CMR004"/>
    <s v="Extrême-Nord"/>
    <s v="CMR004006"/>
    <s v="Mayo-Tsanaga"/>
    <s v="CMR004006002"/>
    <s v="Mokolo"/>
  </r>
  <r>
    <s v="Extrême-Nord"/>
    <s v="CMR004"/>
    <x v="1"/>
    <s v="CMR004006"/>
    <x v="1"/>
    <s v="CMR004006002"/>
    <s v="MOK-0038"/>
    <s v="SITE DE ZAMAI 2"/>
    <m/>
    <x v="0"/>
    <x v="3"/>
    <n v="13"/>
    <n v="77"/>
    <s v="Conflits liés à GANE (BH)"/>
    <m/>
    <s v="Même arrondissement"/>
    <s v="CMR"/>
    <s v="Cameroun"/>
    <s v="CMR004"/>
    <s v="Extrême-Nord"/>
    <s v="CMR004006"/>
    <s v="Mayo-Tsanaga"/>
    <s v="CMR004006002"/>
    <s v="Mokolo"/>
  </r>
  <r>
    <s v="Extrême-Nord"/>
    <s v="CMR004"/>
    <x v="1"/>
    <s v="CMR004006"/>
    <x v="1"/>
    <s v="CMR004006002"/>
    <s v="MOK-0038"/>
    <s v="SITE DE ZAMAI 2"/>
    <m/>
    <x v="0"/>
    <x v="4"/>
    <n v="25"/>
    <n v="85"/>
    <s v="Conflits liés à GANE (BH)"/>
    <m/>
    <s v="Même arrondissement"/>
    <s v="CMR"/>
    <s v="Cameroun"/>
    <s v="CMR004"/>
    <s v="Extrême-Nord"/>
    <s v="CMR004006"/>
    <s v="Mayo-Tsanaga"/>
    <s v="CMR004006002"/>
    <s v="Mokolo"/>
  </r>
  <r>
    <s v="Extrême-Nord"/>
    <s v="CMR004"/>
    <x v="1"/>
    <s v="CMR004006"/>
    <x v="1"/>
    <s v="CMR004006002"/>
    <s v="MOK-0038"/>
    <s v="SITE DE ZAMAI 2"/>
    <m/>
    <x v="0"/>
    <x v="1"/>
    <n v="65"/>
    <n v="325"/>
    <s v="Conflits liés à GANE (BH)"/>
    <m/>
    <s v="Même arrondissement"/>
    <s v="CMR"/>
    <s v="Cameroun"/>
    <s v="CMR004"/>
    <s v="Extrême-Nord"/>
    <s v="CMR004006"/>
    <s v="Mayo-Tsanaga"/>
    <s v="CMR004006002"/>
    <s v="Mokolo"/>
  </r>
  <r>
    <s v="Extrême-Nord"/>
    <s v="CMR004"/>
    <x v="1"/>
    <s v="CMR004006"/>
    <x v="1"/>
    <s v="CMR004006002"/>
    <s v="MOK-0047"/>
    <s v="SITE DE MIKILEK"/>
    <m/>
    <x v="0"/>
    <x v="2"/>
    <n v="54"/>
    <n v="227"/>
    <s v="Conflits liés à GANE (BH)"/>
    <m/>
    <s v="Même arrondissement"/>
    <s v="CMR"/>
    <s v="Cameroun"/>
    <s v="CMR004"/>
    <s v="Extrême-Nord"/>
    <s v="CMR004006"/>
    <s v="Mayo-Tsanaga"/>
    <s v="CMR004006002"/>
    <s v="Mokolo"/>
  </r>
  <r>
    <s v="Extrême-Nord"/>
    <s v="CMR004"/>
    <x v="1"/>
    <s v="CMR004006"/>
    <x v="1"/>
    <s v="CMR004006002"/>
    <s v="MOK-0047"/>
    <s v="SITE DE MIKILEK"/>
    <m/>
    <x v="0"/>
    <x v="3"/>
    <n v="9"/>
    <n v="35"/>
    <s v="Conflits liés à GANE (BH)"/>
    <m/>
    <s v="Même arrondissement"/>
    <s v="CMR"/>
    <s v="Cameroun"/>
    <s v="CMR004"/>
    <s v="Extrême-Nord"/>
    <s v="CMR004006"/>
    <s v="Mayo-Tsanaga"/>
    <s v="CMR004006002"/>
    <s v="Mokolo"/>
  </r>
  <r>
    <s v="Extrême-Nord"/>
    <s v="CMR004"/>
    <x v="1"/>
    <s v="CMR004006"/>
    <x v="1"/>
    <s v="CMR004006002"/>
    <s v="MOK-0047"/>
    <s v="SITE DE MIKILEK"/>
    <m/>
    <x v="0"/>
    <x v="4"/>
    <n v="3"/>
    <n v="13"/>
    <s v="Conflits liés à GANE (BH)"/>
    <m/>
    <s v="Même arrondissement"/>
    <s v="CMR"/>
    <s v="Cameroun"/>
    <s v="CMR004"/>
    <s v="Extrême-Nord"/>
    <s v="CMR004006"/>
    <s v="Mayo-Tsanaga"/>
    <s v="CMR004006002"/>
    <s v="Mokolo"/>
  </r>
  <r>
    <s v="Extrême-Nord"/>
    <s v="CMR004"/>
    <x v="1"/>
    <s v="CMR004006"/>
    <x v="1"/>
    <s v="CMR004006002"/>
    <s v="MOK-0047"/>
    <s v="SITE DE MIKILEK"/>
    <m/>
    <x v="0"/>
    <x v="1"/>
    <n v="50"/>
    <n v="225"/>
    <s v="Conflits liés à GANE (BH)"/>
    <m/>
    <s v="Même arrondissement"/>
    <s v="CMR"/>
    <s v="Cameroun"/>
    <s v="CMR004"/>
    <s v="Extrême-Nord"/>
    <s v="CMR004006"/>
    <s v="Mayo-Tsanaga"/>
    <s v="CMR004006002"/>
    <s v="Mokolo"/>
  </r>
  <r>
    <s v="Extrême-Nord"/>
    <s v="CMR004"/>
    <x v="1"/>
    <s v="CMR004006"/>
    <x v="1"/>
    <s v="CMR004006002"/>
    <s v="MOK-0050"/>
    <s v="SITE DE SIRAK-GORAI"/>
    <m/>
    <x v="0"/>
    <x v="2"/>
    <n v="52"/>
    <n v="248"/>
    <s v="Conflits liés à GANE (BH)"/>
    <m/>
    <s v="Même arrondissement"/>
    <s v="CMR"/>
    <s v="Cameroun"/>
    <s v="CMR004"/>
    <s v="Extrême-Nord"/>
    <s v="CMR004006"/>
    <s v="Mayo-Tsanaga"/>
    <s v="CMR004006002"/>
    <s v="Mokolo"/>
  </r>
  <r>
    <s v="Extrême-Nord"/>
    <s v="CMR004"/>
    <x v="1"/>
    <s v="CMR004006"/>
    <x v="1"/>
    <s v="CMR004006002"/>
    <s v="MOK-0050"/>
    <s v="SITE DE SIRAK-GORAI"/>
    <m/>
    <x v="0"/>
    <x v="3"/>
    <n v="10"/>
    <n v="37"/>
    <s v="Conflits liés à GANE (BH)"/>
    <m/>
    <s v="Même arrondissement"/>
    <s v="CMR"/>
    <s v="Cameroun"/>
    <s v="CMR004"/>
    <s v="Extrême-Nord"/>
    <s v="CMR004006"/>
    <s v="Mayo-Tsanaga"/>
    <s v="CMR004006002"/>
    <s v="Mokolo"/>
  </r>
  <r>
    <s v="Extrême-Nord"/>
    <s v="CMR004"/>
    <x v="1"/>
    <s v="CMR004006"/>
    <x v="1"/>
    <s v="CMR004006002"/>
    <s v="MOK-0050"/>
    <s v="SITE DE SIRAK-GORAI"/>
    <m/>
    <x v="0"/>
    <x v="4"/>
    <n v="12"/>
    <n v="80"/>
    <s v="Conflits liés à GANE (BH)"/>
    <m/>
    <s v="Même arrondissement"/>
    <s v="CMR"/>
    <s v="Cameroun"/>
    <s v="CMR004"/>
    <s v="Extrême-Nord"/>
    <s v="CMR004006"/>
    <s v="Mayo-Tsanaga"/>
    <s v="CMR004006002"/>
    <s v="Mokolo"/>
  </r>
  <r>
    <s v="Extrême-Nord"/>
    <s v="CMR004"/>
    <x v="1"/>
    <s v="CMR004006"/>
    <x v="1"/>
    <s v="CMR004006002"/>
    <s v="MOK-0050"/>
    <s v="SITE DE SIRAK-GORAI"/>
    <m/>
    <x v="0"/>
    <x v="1"/>
    <n v="68"/>
    <n v="483"/>
    <s v="Conflits liés à GANE (BH)"/>
    <m/>
    <s v="Même arrondissement"/>
    <s v="CMR"/>
    <s v="Cameroun"/>
    <s v="CMR004"/>
    <s v="Extrême-Nord"/>
    <s v="CMR004006"/>
    <s v="Mayo-Tsanaga"/>
    <s v="CMR004006002"/>
    <s v="Mokolo"/>
  </r>
  <r>
    <s v="Extrême-Nord"/>
    <s v="CMR004"/>
    <x v="1"/>
    <s v="CMR004006"/>
    <x v="1"/>
    <s v="CMR004006002"/>
    <s v="MOK-0040"/>
    <s v="SITE DE OURO TADA"/>
    <m/>
    <x v="0"/>
    <x v="2"/>
    <n v="100"/>
    <n v="416"/>
    <s v="Conflits liés à GANE (BH)"/>
    <m/>
    <s v="Même arrondissement"/>
    <s v="CMR"/>
    <s v="Cameroun"/>
    <s v="CMR004"/>
    <s v="Extrême-Nord"/>
    <s v="CMR004006"/>
    <s v="Mayo-Tsanaga"/>
    <s v="CMR004006002"/>
    <s v="Mokolo"/>
  </r>
  <r>
    <s v="Extrême-Nord"/>
    <s v="CMR004"/>
    <x v="1"/>
    <s v="CMR004006"/>
    <x v="1"/>
    <s v="CMR004006002"/>
    <s v="MOK-0040"/>
    <s v="SITE DE OURO TADA"/>
    <m/>
    <x v="0"/>
    <x v="3"/>
    <n v="68"/>
    <n v="424"/>
    <s v="Conflits liés à GANE (BH)"/>
    <m/>
    <s v="Même arrondissement"/>
    <s v="CMR"/>
    <s v="Cameroun"/>
    <s v="CMR004"/>
    <s v="Extrême-Nord"/>
    <s v="CMR004006"/>
    <s v="Mayo-Tsanaga"/>
    <s v="CMR004006002"/>
    <s v="Mokolo"/>
  </r>
  <r>
    <s v="Extrême-Nord"/>
    <s v="CMR004"/>
    <x v="1"/>
    <s v="CMR004006"/>
    <x v="1"/>
    <s v="CMR004006002"/>
    <s v="MOK-0040"/>
    <s v="SITE DE OURO TADA"/>
    <m/>
    <x v="0"/>
    <x v="1"/>
    <n v="45"/>
    <n v="964"/>
    <s v="Conflits liés à GANE (BH)"/>
    <m/>
    <s v="Même arrondissement"/>
    <s v="CMR"/>
    <s v="Cameroun"/>
    <s v="CMR004"/>
    <s v="Extrême-Nord"/>
    <s v="CMR004006"/>
    <s v="Mayo-Tsanaga"/>
    <s v="CMR004006002"/>
    <s v="Mokolo"/>
  </r>
  <r>
    <s v="Extrême-Nord"/>
    <s v="CMR004"/>
    <x v="1"/>
    <s v="CMR004006"/>
    <x v="1"/>
    <s v="CMR004006002"/>
    <s v="MOK-0040"/>
    <s v="SITE DE OURO TADA"/>
    <m/>
    <x v="0"/>
    <x v="4"/>
    <n v="218"/>
    <n v="1029"/>
    <s v="Conflits liés à GANE (BH)"/>
    <m/>
    <s v="Même arrondissement"/>
    <s v="CMR"/>
    <s v="Cameroun"/>
    <s v="CMR004"/>
    <s v="Extrême-Nord"/>
    <s v="CMR004006"/>
    <s v="Mayo-Tsanaga"/>
    <s v="CMR004006002"/>
    <s v="Mokolo"/>
  </r>
  <r>
    <s v="Extrême-Nord"/>
    <s v="CMR004"/>
    <x v="1"/>
    <s v="CMR004006"/>
    <x v="1"/>
    <s v="CMR004006002"/>
    <s v="MOK-0040"/>
    <s v="SITE DE OURO TADA"/>
    <m/>
    <x v="0"/>
    <x v="0"/>
    <n v="80"/>
    <n v="630"/>
    <s v="Conflits liés à GANE (BH)"/>
    <m/>
    <s v="Même arrondissement"/>
    <s v="CMR"/>
    <s v="Cameroun"/>
    <s v="CMR004"/>
    <s v="Extrême-Nord"/>
    <s v="CMR004006"/>
    <s v="Mayo-Tsanaga"/>
    <s v="CMR004006002"/>
    <s v="Mokolo"/>
  </r>
  <r>
    <s v="Extrême-Nord"/>
    <s v="CMR004"/>
    <x v="1"/>
    <s v="CMR004006"/>
    <x v="1"/>
    <s v="CMR004006002"/>
    <s v="MOK-0056"/>
    <s v="MAVOUMAY"/>
    <m/>
    <x v="0"/>
    <x v="2"/>
    <n v="15"/>
    <n v="100"/>
    <s v="Conflits liés à GANE (BH)"/>
    <m/>
    <s v="Même arrondissement"/>
    <s v="CMR"/>
    <s v="Cameroun"/>
    <s v="CMR004"/>
    <s v="Extrême-Nord"/>
    <s v="CMR004006"/>
    <s v="Mayo-Tsanaga"/>
    <s v="CMR004006002"/>
    <s v="Mokolo"/>
  </r>
  <r>
    <s v="Extrême-Nord"/>
    <s v="CMR004"/>
    <x v="1"/>
    <s v="CMR004006"/>
    <x v="1"/>
    <s v="CMR004006002"/>
    <s v="MOK-0056"/>
    <s v="MAVOUMAY"/>
    <m/>
    <x v="0"/>
    <x v="3"/>
    <n v="28"/>
    <n v="250"/>
    <s v="Conflits liés à GANE (BH)"/>
    <m/>
    <s v="Même arrondissement"/>
    <s v="CMR"/>
    <s v="Cameroun"/>
    <s v="CMR004"/>
    <s v="Extrême-Nord"/>
    <s v="CMR004006"/>
    <s v="Mayo-Tsanaga"/>
    <s v="CMR004006002"/>
    <s v="Mokolo"/>
  </r>
  <r>
    <s v="Extrême-Nord"/>
    <s v="CMR004"/>
    <x v="1"/>
    <s v="CMR004006"/>
    <x v="1"/>
    <s v="CMR004006002"/>
    <s v="MOK-0056"/>
    <s v="MAVOUMAY"/>
    <m/>
    <x v="0"/>
    <x v="4"/>
    <n v="18"/>
    <n v="57"/>
    <s v="Conflits liés à GANE (BH)"/>
    <m/>
    <s v="Même arrondissement"/>
    <s v="CMR"/>
    <s v="Cameroun"/>
    <s v="CMR004"/>
    <s v="Extrême-Nord"/>
    <s v="CMR004006"/>
    <s v="Mayo-Tsanaga"/>
    <s v="CMR004006002"/>
    <s v="Mokolo"/>
  </r>
  <r>
    <s v="Extrême-Nord"/>
    <s v="CMR004"/>
    <x v="1"/>
    <s v="CMR004006"/>
    <x v="1"/>
    <s v="CMR004006002"/>
    <s v="MOK-0056"/>
    <s v="MAVOUMAY"/>
    <m/>
    <x v="0"/>
    <x v="1"/>
    <n v="9"/>
    <n v="55"/>
    <s v="Conflits liés à GANE (BH)"/>
    <m/>
    <s v="Même arrondissement"/>
    <s v="CMR"/>
    <s v="Cameroun"/>
    <s v="CMR004"/>
    <s v="Extrême-Nord"/>
    <s v="CMR004006"/>
    <s v="Mayo-Tsanaga"/>
    <s v="CMR004006002"/>
    <s v="Mokolo"/>
  </r>
  <r>
    <s v="Extrême-Nord"/>
    <s v="CMR004"/>
    <x v="2"/>
    <s v="CMR004002"/>
    <x v="26"/>
    <s v="CMR004002006"/>
    <s v="KOU-0039"/>
    <s v="MASSAKI"/>
    <m/>
    <x v="0"/>
    <x v="0"/>
    <n v="13"/>
    <n v="138"/>
    <s v="Conflits liés à GANE (BH)"/>
    <m/>
    <s v="Même département, autre arrondissement"/>
    <s v="CMR"/>
    <s v="Cameroun"/>
    <s v="CMR004"/>
    <s v="Extrême-Nord"/>
    <s v="CMR004002"/>
    <s v="Logone-Et-Chari"/>
    <s v="CMR004002008"/>
    <s v="Fotokol"/>
  </r>
  <r>
    <s v="Extrême-Nord"/>
    <s v="CMR004"/>
    <x v="2"/>
    <s v="CMR004002"/>
    <x v="26"/>
    <s v="CMR004002006"/>
    <s v="KOU-0039"/>
    <s v="MASSAKI"/>
    <m/>
    <x v="0"/>
    <x v="1"/>
    <n v="7"/>
    <n v="62"/>
    <s v="Conflits liés à GANE (BH)"/>
    <m/>
    <s v="Même département, autre arrondissement"/>
    <s v="CMR"/>
    <s v="Cameroun"/>
    <s v="CMR004"/>
    <s v="Extrême-Nord"/>
    <s v="CMR004002"/>
    <s v="Logone-Et-Chari"/>
    <s v="CMR004002008"/>
    <s v="Fotokol"/>
  </r>
  <r>
    <s v="Extrême-Nord"/>
    <s v="CMR004"/>
    <x v="2"/>
    <s v="CMR004002"/>
    <x v="26"/>
    <s v="CMR004002006"/>
    <s v="KOU-0039"/>
    <s v="MASSAKI"/>
    <m/>
    <x v="0"/>
    <x v="4"/>
    <n v="3"/>
    <n v="20"/>
    <s v="Conflits liés à GANE (BH)"/>
    <m/>
    <s v="Même département, autre arrondissement"/>
    <s v="CMR"/>
    <s v="Cameroun"/>
    <s v="CMR004"/>
    <s v="Extrême-Nord"/>
    <s v="CMR004002"/>
    <s v="Logone-Et-Chari"/>
    <s v="CMR004002008"/>
    <s v="Fotokol"/>
  </r>
  <r>
    <s v="Extrême-Nord"/>
    <s v="CMR004"/>
    <x v="2"/>
    <s v="CMR004002"/>
    <x v="26"/>
    <s v="CMR004002006"/>
    <s v="KOU-0039"/>
    <s v="MASSAKI"/>
    <m/>
    <x v="0"/>
    <x v="3"/>
    <n v="6"/>
    <n v="52"/>
    <s v="Conflit intercommunautaire"/>
    <m/>
    <s v="Même département, autre arrondissement"/>
    <s v="CMR"/>
    <s v="Cameroun"/>
    <s v="CMR004"/>
    <s v="Extrême-Nord"/>
    <s v="CMR004002"/>
    <s v="Logone-Et-Chari"/>
    <s v="CMR004002004"/>
    <s v="Logone-Birni"/>
  </r>
  <r>
    <s v="Extrême-Nord"/>
    <s v="CMR004"/>
    <x v="2"/>
    <s v="CMR004002"/>
    <x v="26"/>
    <s v="CMR004002006"/>
    <s v="KOU-0039"/>
    <s v="MASSAKI"/>
    <m/>
    <x v="0"/>
    <x v="2"/>
    <n v="3"/>
    <n v="18"/>
    <s v="Inondations saisonnières ou fortes pluies"/>
    <m/>
    <s v="Même département, autre arrondissement"/>
    <s v="CMR"/>
    <s v="Cameroun"/>
    <s v="CMR004"/>
    <s v="Extrême-Nord"/>
    <s v="CMR004002"/>
    <s v="Logone-Et-Chari"/>
    <s v="CMR004002004"/>
    <s v="Logone-Birni"/>
  </r>
  <r>
    <s v="Extrême-Nord"/>
    <s v="CMR004"/>
    <x v="2"/>
    <s v="CMR004002"/>
    <x v="26"/>
    <s v="CMR004002006"/>
    <s v="KOU-0010"/>
    <s v="HILE HAOUSSA"/>
    <m/>
    <x v="0"/>
    <x v="0"/>
    <n v="38"/>
    <n v="172"/>
    <s v="Conflits liés à GANE (BH)"/>
    <m/>
    <s v="Même département, autre arrondissement"/>
    <s v="CMR"/>
    <s v="Cameroun"/>
    <s v="CMR004"/>
    <s v="Extrême-Nord"/>
    <s v="CMR004002"/>
    <s v="Logone-Et-Chari"/>
    <s v="CMR004002008"/>
    <s v="Fotokol"/>
  </r>
  <r>
    <s v="Extrême-Nord"/>
    <s v="CMR004"/>
    <x v="2"/>
    <s v="CMR004002"/>
    <x v="26"/>
    <s v="CMR004002006"/>
    <s v="KOU-0010"/>
    <s v="HILE HAOUSSA"/>
    <m/>
    <x v="0"/>
    <x v="1"/>
    <n v="10"/>
    <n v="62"/>
    <s v="Conflits liés à GANE (BH)"/>
    <m/>
    <s v="Même département, autre arrondissement"/>
    <s v="CMR"/>
    <s v="Cameroun"/>
    <s v="CMR004"/>
    <s v="Extrême-Nord"/>
    <s v="CMR004002"/>
    <s v="Logone-Et-Chari"/>
    <s v="CMR004002008"/>
    <s v="Fotokol"/>
  </r>
  <r>
    <s v="Extrême-Nord"/>
    <s v="CMR004"/>
    <x v="2"/>
    <s v="CMR004002"/>
    <x v="26"/>
    <s v="CMR004002006"/>
    <s v="KOU-0010"/>
    <s v="HILE HAOUSSA"/>
    <m/>
    <x v="0"/>
    <x v="4"/>
    <n v="6"/>
    <n v="47"/>
    <s v="Conflits liés à GANE (BH)"/>
    <m/>
    <s v="Même département, autre arrondissement"/>
    <s v="CMR"/>
    <s v="Cameroun"/>
    <s v="CMR004"/>
    <s v="Extrême-Nord"/>
    <s v="CMR004002"/>
    <s v="Logone-Et-Chari"/>
    <s v="CMR004002008"/>
    <s v="Fotokol"/>
  </r>
  <r>
    <s v="Extrême-Nord"/>
    <s v="CMR004"/>
    <x v="2"/>
    <s v="CMR004002"/>
    <x v="26"/>
    <s v="CMR004002006"/>
    <s v="KOU-0010"/>
    <s v="HILE HAOUSSA"/>
    <m/>
    <x v="0"/>
    <x v="3"/>
    <n v="12"/>
    <n v="60"/>
    <s v="Conflit intercommunautaire"/>
    <m/>
    <s v="Même département, autre arrondissement"/>
    <s v="CMR"/>
    <s v="Cameroun"/>
    <s v="CMR004"/>
    <s v="Extrême-Nord"/>
    <s v="CMR004002"/>
    <s v="Logone-Et-Chari"/>
    <s v="CMR004002004"/>
    <s v="Logone-Birni"/>
  </r>
  <r>
    <s v="Extrême-Nord"/>
    <s v="CMR004"/>
    <x v="2"/>
    <s v="CMR004002"/>
    <x v="26"/>
    <s v="CMR004002006"/>
    <s v="KOU-0010"/>
    <s v="HILE HAOUSSA"/>
    <m/>
    <x v="0"/>
    <x v="2"/>
    <n v="2"/>
    <n v="18"/>
    <s v="Inondations saisonnières ou fortes pluies"/>
    <m/>
    <s v="Même département, autre arrondissement"/>
    <s v="CMR"/>
    <s v="Cameroun"/>
    <s v="CMR004"/>
    <s v="Extrême-Nord"/>
    <s v="CMR004002"/>
    <s v="Logone-Et-Chari"/>
    <s v="CMR004002004"/>
    <s v="Logone-Birni"/>
  </r>
  <r>
    <s v="Extrême-Nord"/>
    <s v="CMR004"/>
    <x v="4"/>
    <s v="CMR004005"/>
    <x v="19"/>
    <s v="CMR004005001"/>
    <s v="KOL-0031"/>
    <s v="SITE DE DOUGDJE"/>
    <m/>
    <x v="0"/>
    <x v="1"/>
    <n v="279"/>
    <n v="2266"/>
    <s v="Conflits liés à GANE (BH)"/>
    <m/>
    <s v="Même arrondissement"/>
    <s v="CMR"/>
    <s v="Cameroun"/>
    <s v="CMR004"/>
    <s v="Extrême-Nord"/>
    <s v="CMR004005"/>
    <s v="Mayo-Sava"/>
    <s v="CMR004005001"/>
    <s v="Kolofata"/>
  </r>
  <r>
    <s v="Extrême-Nord"/>
    <s v="CMR004"/>
    <x v="4"/>
    <s v="CMR004005"/>
    <x v="19"/>
    <s v="CMR004005001"/>
    <s v="KOL-0031"/>
    <s v="SITE DE DOUGDJE"/>
    <m/>
    <x v="0"/>
    <x v="4"/>
    <n v="0"/>
    <n v="12"/>
    <s v="Conflits liés à GANE (BH)"/>
    <m/>
    <s v="Même arrondissement"/>
    <s v="CMR"/>
    <s v="Cameroun"/>
    <s v="CMR004"/>
    <s v="Extrême-Nord"/>
    <s v="CMR004005"/>
    <s v="Mayo-Sava"/>
    <s v="CMR004005001"/>
    <s v="Kolofata"/>
  </r>
  <r>
    <s v="Extrême-Nord"/>
    <s v="CMR004"/>
    <x v="4"/>
    <s v="CMR004005"/>
    <x v="19"/>
    <s v="CMR004005001"/>
    <s v="KOL-0031"/>
    <s v="SITE DE DOUGDJE"/>
    <m/>
    <x v="0"/>
    <x v="3"/>
    <n v="40"/>
    <n v="136"/>
    <s v="Conflits liés à GANE (BH)"/>
    <m/>
    <s v="Même arrondissement"/>
    <s v="CMR"/>
    <s v="Cameroun"/>
    <s v="CMR004"/>
    <s v="Extrême-Nord"/>
    <s v="CMR004005"/>
    <s v="Mayo-Sava"/>
    <s v="CMR004005001"/>
    <s v="Kolofata"/>
  </r>
  <r>
    <s v="Extrême-Nord"/>
    <s v="CMR004"/>
    <x v="4"/>
    <s v="CMR004005"/>
    <x v="19"/>
    <s v="CMR004005001"/>
    <s v="KOL-0031"/>
    <s v="SITE DE DOUGDJE"/>
    <m/>
    <x v="0"/>
    <x v="2"/>
    <n v="35"/>
    <n v="263"/>
    <s v="Conflits liés à GANE (BH)"/>
    <m/>
    <s v="Même arrondissement"/>
    <s v="CMR"/>
    <s v="Cameroun"/>
    <s v="CMR004"/>
    <s v="Extrême-Nord"/>
    <s v="CMR004005"/>
    <s v="Mayo-Sava"/>
    <s v="CMR004005001"/>
    <s v="Kolofata"/>
  </r>
  <r>
    <s v="Extrême-Nord"/>
    <s v="CMR004"/>
    <x v="4"/>
    <s v="CMR004005"/>
    <x v="19"/>
    <s v="CMR004005001"/>
    <s v="KOL-0025"/>
    <s v="SANDAWADJIRI"/>
    <m/>
    <x v="0"/>
    <x v="0"/>
    <n v="63"/>
    <n v="276"/>
    <s v="Conflits liés à GANE (BH)"/>
    <m/>
    <s v="Même arrondissement"/>
    <s v="CMR"/>
    <s v="Cameroun"/>
    <s v="CMR004"/>
    <s v="Extrême-Nord"/>
    <s v="CMR004005"/>
    <s v="Mayo-Sava"/>
    <s v="CMR004005001"/>
    <s v="Kolofata"/>
  </r>
  <r>
    <s v="Extrême-Nord"/>
    <s v="CMR004"/>
    <x v="4"/>
    <s v="CMR004005"/>
    <x v="19"/>
    <s v="CMR004005001"/>
    <s v="KOL-0025"/>
    <s v="SANDAWADJIRI"/>
    <m/>
    <x v="0"/>
    <x v="1"/>
    <n v="0"/>
    <n v="4"/>
    <s v="Conflits liés à GANE (BH)"/>
    <m/>
    <s v="Même arrondissement"/>
    <s v="CMR"/>
    <s v="Cameroun"/>
    <s v="CMR004"/>
    <s v="Extrême-Nord"/>
    <s v="CMR004005"/>
    <s v="Mayo-Sava"/>
    <s v="CMR004005001"/>
    <s v="Kolofata"/>
  </r>
  <r>
    <s v="Extrême-Nord"/>
    <s v="CMR004"/>
    <x v="4"/>
    <s v="CMR004005"/>
    <x v="19"/>
    <s v="CMR004005001"/>
    <s v="KOL-0025"/>
    <s v="SANDAWADJIRI"/>
    <m/>
    <x v="0"/>
    <x v="4"/>
    <n v="40"/>
    <n v="131"/>
    <s v="Conflits liés à GANE (BH)"/>
    <m/>
    <s v="Même arrondissement"/>
    <s v="CMR"/>
    <s v="Cameroun"/>
    <s v="CMR004"/>
    <s v="Extrême-Nord"/>
    <s v="CMR004005"/>
    <s v="Mayo-Sava"/>
    <s v="CMR004005001"/>
    <s v="Kolofata"/>
  </r>
  <r>
    <s v="Extrême-Nord"/>
    <s v="CMR004"/>
    <x v="4"/>
    <s v="CMR004005"/>
    <x v="19"/>
    <s v="CMR004005001"/>
    <s v="KOL-0025"/>
    <s v="SANDAWADJIRI"/>
    <m/>
    <x v="0"/>
    <x v="3"/>
    <n v="0"/>
    <n v="50"/>
    <s v="Conflits liés à GANE (BH)"/>
    <m/>
    <s v="Même arrondissement"/>
    <s v="CMR"/>
    <s v="Cameroun"/>
    <s v="CMR004"/>
    <s v="Extrême-Nord"/>
    <s v="CMR004005"/>
    <s v="Mayo-Sava"/>
    <s v="CMR004005001"/>
    <s v="Kolofata"/>
  </r>
  <r>
    <s v="Extrême-Nord"/>
    <s v="CMR004"/>
    <x v="4"/>
    <s v="CMR004005"/>
    <x v="19"/>
    <s v="CMR004005001"/>
    <s v="KOL-0025"/>
    <s v="SANDAWADJIRI"/>
    <m/>
    <x v="0"/>
    <x v="2"/>
    <n v="0"/>
    <n v="10"/>
    <s v="Conflits liés à GANE (BH)"/>
    <m/>
    <s v="Même arrondissement"/>
    <s v="CMR"/>
    <s v="Cameroun"/>
    <s v="CMR004"/>
    <s v="Extrême-Nord"/>
    <s v="CMR004005"/>
    <s v="Mayo-Sava"/>
    <s v="CMR004005001"/>
    <s v="Kolofata"/>
  </r>
  <r>
    <s v="Extrême-Nord"/>
    <s v="CMR004"/>
    <x v="2"/>
    <s v="CMR004002"/>
    <x v="8"/>
    <s v="CMR004002009"/>
    <s v="MAK-0050"/>
    <s v="KOKIO 1"/>
    <m/>
    <x v="0"/>
    <x v="3"/>
    <n v="27"/>
    <n v="145"/>
    <s v="Conflits liés à GANE (BH)"/>
    <m/>
    <s v="Même département, autre arrondissement"/>
    <s v="CMR"/>
    <s v="Cameroun"/>
    <s v="CMR004"/>
    <s v="Extrême-Nord"/>
    <s v="CMR004002"/>
    <s v="Logone-Et-Chari"/>
    <s v="CMR004002008"/>
    <s v="Fotokol"/>
  </r>
  <r>
    <s v="Extrême-Nord"/>
    <s v="CMR004"/>
    <x v="2"/>
    <s v="CMR004002"/>
    <x v="8"/>
    <s v="CMR004002009"/>
    <s v="MAK-0040"/>
    <s v="GOUBAGO"/>
    <m/>
    <x v="0"/>
    <x v="3"/>
    <n v="10"/>
    <n v="82"/>
    <s v="Conflits liés à GANE (BH)"/>
    <m/>
    <s v="Même département, autre arrondissement"/>
    <s v="CMR"/>
    <s v="Cameroun"/>
    <s v="CMR004"/>
    <s v="Extrême-Nord"/>
    <s v="CMR004002"/>
    <s v="Logone-Et-Chari"/>
    <s v="CMR004002008"/>
    <s v="Fotokol"/>
  </r>
  <r>
    <s v="Extrême-Nord"/>
    <s v="CMR004"/>
    <x v="2"/>
    <s v="CMR004002"/>
    <x v="26"/>
    <s v="CMR004002006"/>
    <s v="KOU-0044"/>
    <s v="LAKTA 3"/>
    <m/>
    <x v="0"/>
    <x v="0"/>
    <n v="3"/>
    <n v="22"/>
    <s v="Conflits liés à GANE (BH)"/>
    <m/>
    <s v="Même département, autre arrondissement"/>
    <s v="CMR"/>
    <s v="Cameroun"/>
    <s v="CMR004"/>
    <s v="Extrême-Nord"/>
    <s v="CMR004002"/>
    <s v="Logone-Et-Chari"/>
    <s v="CMR004002008"/>
    <s v="Fotokol"/>
  </r>
  <r>
    <s v="Extrême-Nord"/>
    <s v="CMR004"/>
    <x v="2"/>
    <s v="CMR004002"/>
    <x v="26"/>
    <s v="CMR004002006"/>
    <s v="KOU-0044"/>
    <s v="LAKTA 3"/>
    <m/>
    <x v="0"/>
    <x v="1"/>
    <n v="2"/>
    <n v="16"/>
    <s v="Conflits liés à GANE (BH)"/>
    <m/>
    <s v="Même département, autre arrondissement"/>
    <s v="CMR"/>
    <s v="Cameroun"/>
    <s v="CMR004"/>
    <s v="Extrême-Nord"/>
    <s v="CMR004002"/>
    <s v="Logone-Et-Chari"/>
    <s v="CMR004002008"/>
    <s v="Fotokol"/>
  </r>
  <r>
    <s v="Extrême-Nord"/>
    <s v="CMR004"/>
    <x v="2"/>
    <s v="CMR004002"/>
    <x v="26"/>
    <s v="CMR004002006"/>
    <s v="KOU-0044"/>
    <s v="LAKTA 3"/>
    <m/>
    <x v="0"/>
    <x v="3"/>
    <n v="1"/>
    <n v="2"/>
    <s v="Conflit intercommunautaire"/>
    <m/>
    <s v="Même département, autre arrondissement"/>
    <s v="CMR"/>
    <s v="Cameroun"/>
    <s v="CMR004"/>
    <s v="Extrême-Nord"/>
    <s v="CMR004002"/>
    <s v="Logone-Et-Chari"/>
    <s v="CMR004002004"/>
    <s v="Logone-Birni"/>
  </r>
  <r>
    <s v="Extrême-Nord"/>
    <s v="CMR004"/>
    <x v="2"/>
    <s v="CMR004002"/>
    <x v="26"/>
    <s v="CMR004002006"/>
    <s v="KOU-0044"/>
    <s v="LAKTA 3"/>
    <m/>
    <x v="0"/>
    <x v="2"/>
    <n v="1"/>
    <n v="8"/>
    <s v="Inondations saisonnières ou fortes pluies"/>
    <m/>
    <s v="Même département, autre arrondissement"/>
    <s v="CMR"/>
    <s v="Cameroun"/>
    <s v="CMR004"/>
    <s v="Extrême-Nord"/>
    <s v="CMR004002"/>
    <s v="Logone-Et-Chari"/>
    <s v="CMR004002004"/>
    <s v="Logone-Birni"/>
  </r>
  <r>
    <s v="Extrême-Nord"/>
    <s v="CMR004"/>
    <x v="2"/>
    <s v="CMR004002"/>
    <x v="26"/>
    <s v="CMR004002006"/>
    <s v="KOU-0036"/>
    <s v="KAWADJI 1"/>
    <m/>
    <x v="0"/>
    <x v="2"/>
    <n v="4"/>
    <n v="25"/>
    <s v="Inondations saisonnières ou fortes pluies"/>
    <m/>
    <s v="Même arrondissement"/>
    <s v="CMR"/>
    <s v="Cameroun"/>
    <s v="CMR004"/>
    <s v="Extrême-Nord"/>
    <s v="CMR004002"/>
    <s v="Logone-Et-Chari"/>
    <s v="CMR004002006"/>
    <s v="Kousséri"/>
  </r>
  <r>
    <s v="Extrême-Nord"/>
    <s v="CMR004"/>
    <x v="2"/>
    <s v="CMR004002"/>
    <x v="26"/>
    <s v="CMR004002006"/>
    <s v="KOU-0031"/>
    <s v="PAR-PAR"/>
    <m/>
    <x v="0"/>
    <x v="2"/>
    <n v="3"/>
    <n v="15"/>
    <s v="Inondations saisonnières ou fortes pluies"/>
    <m/>
    <s v="Même arrondissement"/>
    <s v="CMR"/>
    <s v="Cameroun"/>
    <s v="CMR004"/>
    <s v="Extrême-Nord"/>
    <s v="CMR004002"/>
    <s v="Logone-Et-Chari"/>
    <s v="CMR004002006"/>
    <s v="Kousséri"/>
  </r>
  <r>
    <s v="Extrême-Nord"/>
    <s v="CMR004"/>
    <x v="4"/>
    <s v="CMR004005"/>
    <x v="17"/>
    <s v="CMR004005002"/>
    <s v="MOR-0034"/>
    <s v="WARAGA"/>
    <m/>
    <x v="0"/>
    <x v="4"/>
    <n v="10"/>
    <n v="61"/>
    <s v="Conflits liés à GANE (BH)"/>
    <m/>
    <s v="Même arrondissement"/>
    <s v="CMR"/>
    <s v="Cameroun"/>
    <s v="CMR004"/>
    <s v="Extrême-Nord"/>
    <s v="CMR004005"/>
    <s v="Mayo-Sava"/>
    <s v="CMR004005002"/>
    <s v="Mora"/>
  </r>
  <r>
    <s v="Extrême-Nord"/>
    <s v="CMR004"/>
    <x v="4"/>
    <s v="CMR004005"/>
    <x v="17"/>
    <s v="CMR004005002"/>
    <s v="MOR-0034"/>
    <s v="WARAGA"/>
    <m/>
    <x v="0"/>
    <x v="3"/>
    <n v="0"/>
    <n v="15"/>
    <s v="Conflits liés à GANE (BH)"/>
    <m/>
    <s v="Même arrondissement"/>
    <s v="CMR"/>
    <s v="Cameroun"/>
    <s v="CMR004"/>
    <s v="Extrême-Nord"/>
    <s v="CMR004005"/>
    <s v="Mayo-Sava"/>
    <s v="CMR004005002"/>
    <s v="Mora"/>
  </r>
  <r>
    <s v="Extrême-Nord"/>
    <s v="CMR004"/>
    <x v="4"/>
    <s v="CMR004005"/>
    <x v="17"/>
    <s v="CMR004005002"/>
    <s v="MOR-0034"/>
    <s v="WARAGA"/>
    <m/>
    <x v="0"/>
    <x v="2"/>
    <n v="0"/>
    <n v="2"/>
    <s v="Conflits liés à GANE (BH)"/>
    <m/>
    <s v="Même arrondissement"/>
    <s v="CMR"/>
    <s v="Cameroun"/>
    <s v="CMR004"/>
    <s v="Extrême-Nord"/>
    <s v="CMR004005"/>
    <s v="Mayo-Sava"/>
    <s v="CMR004005002"/>
    <s v="Mora"/>
  </r>
  <r>
    <s v="Extrême-Nord"/>
    <s v="CMR004"/>
    <x v="4"/>
    <s v="CMR004005"/>
    <x v="19"/>
    <s v="CMR004005001"/>
    <s v="KOL-0030"/>
    <s v="SITE DE BAKARISSE"/>
    <m/>
    <x v="0"/>
    <x v="3"/>
    <n v="8"/>
    <n v="86"/>
    <s v="Conflits liés à GANE (BH)"/>
    <m/>
    <s v="Même arrondissement"/>
    <s v="CMR"/>
    <s v="Cameroun"/>
    <s v="CMR004"/>
    <s v="Extrême-Nord"/>
    <s v="CMR004005"/>
    <s v="Mayo-Sava"/>
    <s v="CMR004005001"/>
    <s v="Kolofata"/>
  </r>
  <r>
    <s v="Extrême-Nord"/>
    <s v="CMR004"/>
    <x v="4"/>
    <s v="CMR004005"/>
    <x v="19"/>
    <s v="CMR004005001"/>
    <s v="KOL-0030"/>
    <s v="SITE DE BAKARISSE"/>
    <m/>
    <x v="0"/>
    <x v="2"/>
    <n v="0"/>
    <n v="2"/>
    <s v="Conflits liés à GANE (BH)"/>
    <m/>
    <s v="Même arrondissement"/>
    <s v="CMR"/>
    <s v="Cameroun"/>
    <s v="CMR004"/>
    <s v="Extrême-Nord"/>
    <s v="CMR004005"/>
    <s v="Mayo-Sava"/>
    <s v="CMR004005001"/>
    <s v="Kolofata"/>
  </r>
  <r>
    <s v="Extrême-Nord"/>
    <s v="CMR004"/>
    <x v="4"/>
    <s v="CMR004005"/>
    <x v="19"/>
    <s v="CMR004005001"/>
    <s v="KOL-0030"/>
    <s v="SITE DE BAKARISSE"/>
    <m/>
    <x v="0"/>
    <x v="4"/>
    <n v="55"/>
    <n v="297"/>
    <s v="Conflits liés à GANE (BH)"/>
    <m/>
    <s v="Même arrondissement"/>
    <s v="CMR"/>
    <s v="Cameroun"/>
    <s v="CMR004"/>
    <s v="Extrême-Nord"/>
    <s v="CMR004005"/>
    <s v="Mayo-Sava"/>
    <s v="CMR004005001"/>
    <s v="Kolofata"/>
  </r>
  <r>
    <s v="Extrême-Nord"/>
    <s v="CMR004"/>
    <x v="4"/>
    <s v="CMR004005"/>
    <x v="19"/>
    <s v="CMR004005001"/>
    <s v="KOL-0011"/>
    <s v="GANCE"/>
    <m/>
    <x v="0"/>
    <x v="4"/>
    <n v="0"/>
    <n v="50"/>
    <s v="Conflits liés à GANE (BH)"/>
    <m/>
    <s v="Même arrondissement"/>
    <s v="CMR"/>
    <s v="Cameroun"/>
    <s v="CMR004"/>
    <s v="Extrême-Nord"/>
    <s v="CMR004005"/>
    <s v="Mayo-Sava"/>
    <s v="CMR004005001"/>
    <s v="Kolofata"/>
  </r>
  <r>
    <s v="Extrême-Nord"/>
    <s v="CMR004"/>
    <x v="4"/>
    <s v="CMR004005"/>
    <x v="19"/>
    <s v="CMR004005001"/>
    <s v="KOL-0011"/>
    <s v="GANCE"/>
    <m/>
    <x v="0"/>
    <x v="3"/>
    <n v="288"/>
    <n v="2086"/>
    <s v="Conflits liés à GANE (BH)"/>
    <m/>
    <s v="Même arrondissement"/>
    <s v="CMR"/>
    <s v="Cameroun"/>
    <s v="CMR004"/>
    <s v="Extrême-Nord"/>
    <s v="CMR004005"/>
    <s v="Mayo-Sava"/>
    <s v="CMR004005001"/>
    <s v="Kolofata"/>
  </r>
  <r>
    <s v="Extrême-Nord"/>
    <s v="CMR004"/>
    <x v="4"/>
    <s v="CMR004005"/>
    <x v="19"/>
    <s v="CMR004005001"/>
    <s v="KOL-0011"/>
    <s v="GANCE"/>
    <m/>
    <x v="0"/>
    <x v="0"/>
    <n v="109"/>
    <n v="720"/>
    <s v="Conflits liés à GANE (BH)"/>
    <m/>
    <s v="Même arrondissement"/>
    <s v="CMR"/>
    <s v="Cameroun"/>
    <s v="CMR004"/>
    <s v="Extrême-Nord"/>
    <s v="CMR004005"/>
    <s v="Mayo-Sava"/>
    <s v="CMR004005001"/>
    <s v="Kolofata"/>
  </r>
  <r>
    <s v="Extrême-Nord"/>
    <s v="CMR004"/>
    <x v="4"/>
    <s v="CMR004005"/>
    <x v="19"/>
    <s v="CMR004005001"/>
    <s v="KOL-0011"/>
    <s v="GANCE"/>
    <m/>
    <x v="0"/>
    <x v="1"/>
    <n v="1555"/>
    <n v="9610"/>
    <s v="Conflits liés à GANE (BH)"/>
    <m/>
    <s v="Même arrondissement"/>
    <s v="CMR"/>
    <s v="Cameroun"/>
    <s v="CMR004"/>
    <s v="Extrême-Nord"/>
    <s v="CMR004005"/>
    <s v="Mayo-Sava"/>
    <s v="CMR004005001"/>
    <s v="Kolofata"/>
  </r>
  <r>
    <s v="Extrême-Nord"/>
    <s v="CMR004"/>
    <x v="2"/>
    <s v="CMR004002"/>
    <x v="12"/>
    <s v="CMR004002002"/>
    <s v="GOU-0049"/>
    <s v="ANDOURMAN"/>
    <m/>
    <x v="0"/>
    <x v="3"/>
    <n v="52"/>
    <n v="300"/>
    <s v="Inondations saisonnières ou fortes pluies"/>
    <m/>
    <s v="Même arrondissement"/>
    <s v="CMR"/>
    <s v="Cameroun"/>
    <s v="CMR004"/>
    <s v="Extrême-Nord"/>
    <s v="CMR004002"/>
    <s v="Logone-Et-Chari"/>
    <s v="CMR004002002"/>
    <s v="Goulfey"/>
  </r>
  <r>
    <s v="Extrême-Nord"/>
    <s v="CMR004"/>
    <x v="2"/>
    <s v="CMR004002"/>
    <x v="12"/>
    <s v="CMR004002002"/>
    <s v="GOU-0044"/>
    <s v="FADJE"/>
    <m/>
    <x v="0"/>
    <x v="0"/>
    <n v="67"/>
    <n v="232"/>
    <s v="Conflits liés à GANE (BH)"/>
    <m/>
    <s v="Même département, autre arrondissement"/>
    <s v="CMR"/>
    <s v="Cameroun"/>
    <s v="CMR004"/>
    <s v="Extrême-Nord"/>
    <s v="CMR004002"/>
    <s v="Logone-Et-Chari"/>
    <s v="CMR004002009"/>
    <s v="Makary"/>
  </r>
  <r>
    <s v="Extrême-Nord"/>
    <s v="CMR004"/>
    <x v="4"/>
    <s v="CMR004005"/>
    <x v="17"/>
    <s v="CMR004005002"/>
    <s v="MOR-0089"/>
    <s v="OURO DOLÉ"/>
    <m/>
    <x v="0"/>
    <x v="4"/>
    <n v="42"/>
    <n v="203"/>
    <s v="Conflits liés à GANE (BH)"/>
    <m/>
    <s v="Même département, autre arrondissement"/>
    <s v="CMR"/>
    <s v="Cameroun"/>
    <s v="CMR004"/>
    <s v="Extrême-Nord"/>
    <s v="CMR004005"/>
    <s v="Mayo-Sava"/>
    <s v="CMR004005001"/>
    <s v="Kolofata"/>
  </r>
  <r>
    <s v="Extrême-Nord"/>
    <s v="CMR004"/>
    <x v="4"/>
    <s v="CMR004005"/>
    <x v="17"/>
    <s v="CMR004005002"/>
    <s v="MOR-0089"/>
    <s v="OURO DOLÉ"/>
    <m/>
    <x v="0"/>
    <x v="3"/>
    <n v="0"/>
    <n v="21"/>
    <s v="Autre raison"/>
    <s v="Naissances "/>
    <s v="Même arrondissement"/>
    <s v="CMR"/>
    <s v="Cameroun"/>
    <s v="CMR004"/>
    <s v="Extrême-Nord"/>
    <s v="CMR004005"/>
    <s v="Mayo-Sava"/>
    <s v="CMR004005002"/>
    <s v="Mora"/>
  </r>
  <r>
    <s v="Extrême-Nord"/>
    <s v="CMR004"/>
    <x v="4"/>
    <s v="CMR004005"/>
    <x v="17"/>
    <s v="CMR004005002"/>
    <s v="MOR-0089"/>
    <s v="OURO DOLÉ"/>
    <m/>
    <x v="0"/>
    <x v="2"/>
    <n v="0"/>
    <n v="3"/>
    <s v="Autre raison"/>
    <s v="Naissances "/>
    <s v="Même arrondissement"/>
    <s v="CMR"/>
    <s v="Cameroun"/>
    <s v="CMR004"/>
    <s v="Extrême-Nord"/>
    <s v="CMR004005"/>
    <s v="Mayo-Sava"/>
    <s v="CMR004005002"/>
    <s v="Mora"/>
  </r>
  <r>
    <s v="Extrême-Nord"/>
    <s v="CMR004"/>
    <x v="4"/>
    <s v="CMR004005"/>
    <x v="17"/>
    <s v="CMR004005002"/>
    <s v="MOR-0003"/>
    <s v="DJOUNDE"/>
    <m/>
    <x v="0"/>
    <x v="0"/>
    <n v="391"/>
    <n v="859"/>
    <s v="Conflits liés à GANE (BH)"/>
    <m/>
    <s v="Même arrondissement"/>
    <s v="CMR"/>
    <s v="Cameroun"/>
    <s v="CMR004"/>
    <s v="Extrême-Nord"/>
    <s v="CMR004005"/>
    <s v="Mayo-Sava"/>
    <s v="CMR004005002"/>
    <s v="Mora"/>
  </r>
  <r>
    <s v="Extrême-Nord"/>
    <s v="CMR004"/>
    <x v="4"/>
    <s v="CMR004005"/>
    <x v="17"/>
    <s v="CMR004005002"/>
    <s v="MOR-0003"/>
    <s v="DJOUNDE"/>
    <m/>
    <x v="0"/>
    <x v="1"/>
    <n v="2"/>
    <n v="25"/>
    <s v="Conflits liés à GANE (BH)"/>
    <m/>
    <s v="Même arrondissement"/>
    <s v="CMR"/>
    <s v="Cameroun"/>
    <s v="CMR004"/>
    <s v="Extrême-Nord"/>
    <s v="CMR004005"/>
    <s v="Mayo-Sava"/>
    <s v="CMR004005002"/>
    <s v="Mora"/>
  </r>
  <r>
    <s v="Extrême-Nord"/>
    <s v="CMR004"/>
    <x v="4"/>
    <s v="CMR004005"/>
    <x v="17"/>
    <s v="CMR004005002"/>
    <s v="MOR-0003"/>
    <s v="DJOUNDE"/>
    <m/>
    <x v="0"/>
    <x v="4"/>
    <n v="23"/>
    <n v="149"/>
    <s v="Conflits liés à GANE (BH)"/>
    <m/>
    <s v="Même arrondissement"/>
    <s v="CMR"/>
    <s v="Cameroun"/>
    <s v="CMR004"/>
    <s v="Extrême-Nord"/>
    <s v="CMR004005"/>
    <s v="Mayo-Sava"/>
    <s v="CMR004005002"/>
    <s v="Mora"/>
  </r>
  <r>
    <s v="Extrême-Nord"/>
    <s v="CMR004"/>
    <x v="4"/>
    <s v="CMR004005"/>
    <x v="17"/>
    <s v="CMR004005002"/>
    <s v="MOR-0003"/>
    <s v="DJOUNDE"/>
    <m/>
    <x v="0"/>
    <x v="3"/>
    <n v="13"/>
    <n v="68"/>
    <s v="Conflits liés à GANE (BH)"/>
    <m/>
    <s v="Même arrondissement"/>
    <s v="CMR"/>
    <s v="Cameroun"/>
    <s v="CMR004"/>
    <s v="Extrême-Nord"/>
    <s v="CMR004005"/>
    <s v="Mayo-Sava"/>
    <s v="CMR004005002"/>
    <s v="Mora"/>
  </r>
  <r>
    <s v="Extrême-Nord"/>
    <s v="CMR004"/>
    <x v="4"/>
    <s v="CMR004005"/>
    <x v="17"/>
    <s v="CMR004005002"/>
    <s v="MOR-0003"/>
    <s v="DJOUNDE"/>
    <m/>
    <x v="0"/>
    <x v="2"/>
    <n v="15"/>
    <n v="80"/>
    <s v="Conflits liés à GANE (BH)"/>
    <m/>
    <s v="Même arrondissement"/>
    <s v="CMR"/>
    <s v="Cameroun"/>
    <s v="CMR004"/>
    <s v="Extrême-Nord"/>
    <s v="CMR004005"/>
    <s v="Mayo-Sava"/>
    <s v="CMR004005002"/>
    <s v="Mora"/>
  </r>
  <r>
    <s v="Extrême-Nord"/>
    <s v="CMR004"/>
    <x v="4"/>
    <s v="CMR004005"/>
    <x v="17"/>
    <s v="CMR004005002"/>
    <s v="MOR-0001"/>
    <s v="AMTCHALIE"/>
    <m/>
    <x v="0"/>
    <x v="0"/>
    <n v="167"/>
    <n v="669"/>
    <s v="Conflits liés à GANE (BH)"/>
    <m/>
    <s v="Même arrondissement"/>
    <s v="CMR"/>
    <s v="Cameroun"/>
    <s v="CMR004"/>
    <s v="Extrême-Nord"/>
    <s v="CMR004005"/>
    <s v="Mayo-Sava"/>
    <s v="CMR004005002"/>
    <s v="Mora"/>
  </r>
  <r>
    <s v="Extrême-Nord"/>
    <s v="CMR004"/>
    <x v="4"/>
    <s v="CMR004005"/>
    <x v="17"/>
    <s v="CMR004005002"/>
    <s v="MOR-0001"/>
    <s v="AMTCHALIE"/>
    <m/>
    <x v="0"/>
    <x v="1"/>
    <n v="75"/>
    <n v="380"/>
    <s v="Conflits liés à GANE (BH)"/>
    <m/>
    <s v="Même arrondissement"/>
    <s v="CMR"/>
    <s v="Cameroun"/>
    <s v="CMR004"/>
    <s v="Extrême-Nord"/>
    <s v="CMR004005"/>
    <s v="Mayo-Sava"/>
    <s v="CMR004005002"/>
    <s v="Mora"/>
  </r>
  <r>
    <s v="Extrême-Nord"/>
    <s v="CMR004"/>
    <x v="4"/>
    <s v="CMR004005"/>
    <x v="17"/>
    <s v="CMR004005002"/>
    <s v="MOR-0001"/>
    <s v="AMTCHALIE"/>
    <m/>
    <x v="0"/>
    <x v="4"/>
    <n v="3"/>
    <n v="62"/>
    <s v="Conflits liés à GANE (BH)"/>
    <m/>
    <s v="Même arrondissement"/>
    <s v="CMR"/>
    <s v="Cameroun"/>
    <s v="CMR004"/>
    <s v="Extrême-Nord"/>
    <s v="CMR004005"/>
    <s v="Mayo-Sava"/>
    <s v="CMR004005002"/>
    <s v="Mora"/>
  </r>
  <r>
    <s v="Extrême-Nord"/>
    <s v="CMR004"/>
    <x v="4"/>
    <s v="CMR004005"/>
    <x v="17"/>
    <s v="CMR004005002"/>
    <s v="MOR-0001"/>
    <s v="AMTCHALIE"/>
    <m/>
    <x v="0"/>
    <x v="3"/>
    <n v="0"/>
    <n v="13"/>
    <s v="Conflits liés à GANE (BH)"/>
    <m/>
    <s v="Même arrondissement"/>
    <s v="CMR"/>
    <s v="Cameroun"/>
    <s v="CMR004"/>
    <s v="Extrême-Nord"/>
    <s v="CMR004005"/>
    <s v="Mayo-Sava"/>
    <s v="CMR004005002"/>
    <s v="Mora"/>
  </r>
  <r>
    <s v="Extrême-Nord"/>
    <s v="CMR004"/>
    <x v="4"/>
    <s v="CMR004005"/>
    <x v="17"/>
    <s v="CMR004005002"/>
    <s v="MOR-0001"/>
    <s v="AMTCHALIE"/>
    <m/>
    <x v="0"/>
    <x v="2"/>
    <n v="40"/>
    <n v="320"/>
    <s v="Conflits liés à GANE (BH)"/>
    <m/>
    <s v="Même arrondissement"/>
    <s v="CMR"/>
    <s v="Cameroun"/>
    <s v="CMR004"/>
    <s v="Extrême-Nord"/>
    <s v="CMR004005"/>
    <s v="Mayo-Sava"/>
    <s v="CMR004005002"/>
    <s v="Mora"/>
  </r>
  <r>
    <s v="Extrême-Nord"/>
    <s v="CMR004"/>
    <x v="2"/>
    <s v="CMR004002"/>
    <x v="8"/>
    <s v="CMR004002009"/>
    <s v="MAK-0014"/>
    <s v="BAOURI"/>
    <m/>
    <x v="0"/>
    <x v="0"/>
    <n v="12"/>
    <n v="56"/>
    <s v="Conflits liés à GANE (BH)"/>
    <m/>
    <s v="Même département, autre arrondissement"/>
    <s v="CMR"/>
    <s v="Cameroun"/>
    <s v="CMR004"/>
    <s v="Extrême-Nord"/>
    <s v="CMR004002"/>
    <s v="Logone-Et-Chari"/>
    <s v="CMR004002008"/>
    <s v="Fotokol"/>
  </r>
  <r>
    <s v="Extrême-Nord"/>
    <s v="CMR004"/>
    <x v="2"/>
    <s v="CMR004002"/>
    <x v="8"/>
    <s v="CMR004002009"/>
    <s v="MAK-0014"/>
    <s v="BAOURI"/>
    <m/>
    <x v="0"/>
    <x v="1"/>
    <n v="0"/>
    <n v="3"/>
    <s v="Conflits liés à GANE (BH)"/>
    <m/>
    <s v="Même département, autre arrondissement"/>
    <s v="CMR"/>
    <s v="Cameroun"/>
    <s v="CMR004"/>
    <s v="Extrême-Nord"/>
    <s v="CMR004002"/>
    <s v="Logone-Et-Chari"/>
    <s v="CMR004002008"/>
    <s v="Fotokol"/>
  </r>
  <r>
    <s v="Extrême-Nord"/>
    <s v="CMR004"/>
    <x v="2"/>
    <s v="CMR004002"/>
    <x v="8"/>
    <s v="CMR004002009"/>
    <s v="MAK-0014"/>
    <s v="BAOURI"/>
    <m/>
    <x v="0"/>
    <x v="4"/>
    <n v="0"/>
    <n v="5"/>
    <s v="Conflits liés à GANE (BH)"/>
    <m/>
    <s v="Même département, autre arrondissement"/>
    <s v="CMR"/>
    <s v="Cameroun"/>
    <s v="CMR004"/>
    <s v="Extrême-Nord"/>
    <s v="CMR004002"/>
    <s v="Logone-Et-Chari"/>
    <s v="CMR004002008"/>
    <s v="Fotokol"/>
  </r>
  <r>
    <s v="Extrême-Nord"/>
    <s v="CMR004"/>
    <x v="2"/>
    <s v="CMR004002"/>
    <x v="8"/>
    <s v="CMR004002009"/>
    <s v="MAK-0014"/>
    <s v="BAOURI"/>
    <m/>
    <x v="0"/>
    <x v="3"/>
    <n v="8"/>
    <n v="59"/>
    <s v="Conflits liés à GANE (BH)"/>
    <m/>
    <s v="Même département, autre arrondissement"/>
    <s v="CMR"/>
    <s v="Cameroun"/>
    <s v="CMR004"/>
    <s v="Extrême-Nord"/>
    <s v="CMR004002"/>
    <s v="Logone-Et-Chari"/>
    <s v="CMR004002007"/>
    <s v="Darak"/>
  </r>
  <r>
    <s v="Extrême-Nord"/>
    <s v="CMR004"/>
    <x v="2"/>
    <s v="CMR004002"/>
    <x v="8"/>
    <s v="CMR004002009"/>
    <s v="MAK-0045"/>
    <s v="HISSAINIE"/>
    <m/>
    <x v="0"/>
    <x v="0"/>
    <n v="11"/>
    <n v="60"/>
    <s v="Conflits liés à GANE (BH)"/>
    <m/>
    <s v="Même département, autre arrondissement"/>
    <s v="CMR"/>
    <s v="Cameroun"/>
    <s v="CMR004"/>
    <s v="Extrême-Nord"/>
    <s v="CMR004002"/>
    <s v="Logone-Et-Chari"/>
    <s v="CMR004002008"/>
    <s v="Fotokol"/>
  </r>
  <r>
    <s v="Extrême-Nord"/>
    <s v="CMR004"/>
    <x v="2"/>
    <s v="CMR004002"/>
    <x v="8"/>
    <s v="CMR004002009"/>
    <s v="MAK-0174"/>
    <s v="MIREMIE"/>
    <m/>
    <x v="0"/>
    <x v="0"/>
    <n v="16"/>
    <n v="83"/>
    <s v="Inondations saisonnières ou fortes pluies"/>
    <m/>
    <s v="Même arrondissement"/>
    <s v="CMR"/>
    <s v="Cameroun"/>
    <s v="CMR004"/>
    <s v="Extrême-Nord"/>
    <s v="CMR004002"/>
    <s v="Logone-Et-Chari"/>
    <s v="CMR004002009"/>
    <s v="Makary"/>
  </r>
  <r>
    <s v="Extrême-Nord"/>
    <s v="CMR004"/>
    <x v="2"/>
    <s v="CMR004002"/>
    <x v="8"/>
    <s v="CMR004002009"/>
    <s v="MAK-0174"/>
    <s v="MIREMIE"/>
    <m/>
    <x v="0"/>
    <x v="2"/>
    <n v="2"/>
    <n v="6"/>
    <s v="Inondations saisonnières ou fortes pluies"/>
    <m/>
    <s v="Même arrondissement"/>
    <s v="CMR"/>
    <s v="Cameroun"/>
    <s v="CMR004"/>
    <s v="Extrême-Nord"/>
    <s v="CMR004002"/>
    <s v="Logone-Et-Chari"/>
    <s v="CMR004002009"/>
    <s v="Makary"/>
  </r>
  <r>
    <s v="Extrême-Nord"/>
    <s v="CMR004"/>
    <x v="5"/>
    <s v="CMR004004"/>
    <x v="24"/>
    <s v="CMR004004002"/>
    <s v="MOL-0004"/>
    <s v="SITE DE KORRE KAYA"/>
    <m/>
    <x v="0"/>
    <x v="1"/>
    <n v="94"/>
    <n v="2328"/>
    <s v="Conflits liés à GANE (BH)"/>
    <m/>
    <s v="Autre département"/>
    <s v="CMR"/>
    <s v="Cameroun"/>
    <s v="CMR004"/>
    <s v="Extrême-Nord"/>
    <s v="CMR004005"/>
    <s v="Mayo-Sava"/>
    <m/>
    <m/>
  </r>
  <r>
    <s v="Extrême-Nord"/>
    <s v="CMR004"/>
    <x v="5"/>
    <s v="CMR004004"/>
    <x v="24"/>
    <s v="CMR004004002"/>
    <s v="XXXX"/>
    <s v="MAIDAKOURE"/>
    <s v="MAIDAKOURE"/>
    <x v="0"/>
    <x v="3"/>
    <n v="28"/>
    <n v="206"/>
    <s v="Conflit intercommunautaire"/>
    <m/>
    <s v="Autre département"/>
    <s v="CMR"/>
    <s v="Cameroun"/>
    <s v="CMR004"/>
    <s v="Extrême-Nord"/>
    <s v="CMR004003"/>
    <s v="Mayo-Danay"/>
    <m/>
    <m/>
  </r>
  <r>
    <s v="Extrême-Nord"/>
    <s v="CMR004"/>
    <x v="2"/>
    <s v="CMR004002"/>
    <x v="8"/>
    <s v="CMR004002009"/>
    <s v="MAK-0149"/>
    <s v="WERENGOULMO"/>
    <m/>
    <x v="0"/>
    <x v="0"/>
    <n v="29"/>
    <n v="287"/>
    <s v="Conflits liés à GANE (BH)"/>
    <m/>
    <s v="Même arrondissement"/>
    <s v="CMR"/>
    <s v="Cameroun"/>
    <s v="CMR004"/>
    <s v="Extrême-Nord"/>
    <s v="CMR004002"/>
    <s v="Logone-Et-Chari"/>
    <s v="CMR004002009"/>
    <s v="Makary"/>
  </r>
  <r>
    <s v="Extrême-Nord"/>
    <s v="CMR004"/>
    <x v="2"/>
    <s v="CMR004002"/>
    <x v="8"/>
    <s v="CMR004002009"/>
    <s v="MAK-0120"/>
    <s v="HEREZAYA SITE"/>
    <m/>
    <x v="0"/>
    <x v="0"/>
    <n v="30"/>
    <n v="82"/>
    <s v="Conflits liés à GANE (BH)"/>
    <m/>
    <s v="Même arrondissement"/>
    <s v="CMR"/>
    <s v="Cameroun"/>
    <s v="CMR004"/>
    <s v="Extrême-Nord"/>
    <s v="CMR004002"/>
    <s v="Logone-Et-Chari"/>
    <s v="CMR004002009"/>
    <s v="Makary"/>
  </r>
  <r>
    <s v="Extrême-Nord"/>
    <s v="CMR004"/>
    <x v="4"/>
    <s v="CMR004005"/>
    <x v="17"/>
    <s v="CMR004005002"/>
    <s v="MOR-0029"/>
    <s v="KOSSA"/>
    <m/>
    <x v="0"/>
    <x v="0"/>
    <n v="612"/>
    <n v="2925"/>
    <s v="Conflits liés à GANE (BH)"/>
    <m/>
    <s v="Même arrondissement"/>
    <s v="CMR"/>
    <s v="Cameroun"/>
    <s v="CMR004"/>
    <s v="Extrême-Nord"/>
    <s v="CMR004005"/>
    <s v="Mayo-Sava"/>
    <s v="CMR004005002"/>
    <s v="Mora"/>
  </r>
  <r>
    <s v="Extrême-Nord"/>
    <s v="CMR004"/>
    <x v="4"/>
    <s v="CMR004005"/>
    <x v="17"/>
    <s v="CMR004005002"/>
    <s v="MOR-0029"/>
    <s v="KOSSA"/>
    <m/>
    <x v="0"/>
    <x v="4"/>
    <n v="0"/>
    <n v="4"/>
    <s v="Conflits liés à GANE (BH)"/>
    <m/>
    <s v="Même arrondissement"/>
    <s v="CMR"/>
    <s v="Cameroun"/>
    <s v="CMR004"/>
    <s v="Extrême-Nord"/>
    <s v="CMR004005"/>
    <s v="Mayo-Sava"/>
    <s v="CMR004005002"/>
    <s v="Mora"/>
  </r>
  <r>
    <s v="Extrême-Nord"/>
    <s v="CMR004"/>
    <x v="4"/>
    <s v="CMR004005"/>
    <x v="17"/>
    <s v="CMR004005002"/>
    <s v="MOR-0029"/>
    <s v="KOSSA"/>
    <m/>
    <x v="0"/>
    <x v="3"/>
    <n v="0"/>
    <n v="8"/>
    <s v="Conflits liés à GANE (BH)"/>
    <m/>
    <s v="Même arrondissement"/>
    <s v="CMR"/>
    <s v="Cameroun"/>
    <s v="CMR004"/>
    <s v="Extrême-Nord"/>
    <s v="CMR004005"/>
    <s v="Mayo-Sava"/>
    <s v="CMR004005002"/>
    <s v="Mora"/>
  </r>
  <r>
    <s v="Extrême-Nord"/>
    <s v="CMR004"/>
    <x v="2"/>
    <s v="CMR004002"/>
    <x v="8"/>
    <s v="CMR004002009"/>
    <s v="MAK-0044"/>
    <s v="HEREDIBE"/>
    <m/>
    <x v="0"/>
    <x v="0"/>
    <n v="19"/>
    <n v="171"/>
    <s v="Conflits liés à GANE (BH)"/>
    <m/>
    <s v="Même département, autre arrondissement"/>
    <s v="CMR"/>
    <s v="Cameroun"/>
    <s v="CMR004"/>
    <s v="Extrême-Nord"/>
    <s v="CMR004002"/>
    <s v="Logone-Et-Chari"/>
    <s v="CMR004002010"/>
    <s v="Hile-Alifa"/>
  </r>
  <r>
    <s v="Extrême-Nord"/>
    <s v="CMR004"/>
    <x v="2"/>
    <s v="CMR004002"/>
    <x v="8"/>
    <s v="CMR004002009"/>
    <s v="MAK-0217"/>
    <s v="BIDEINE"/>
    <m/>
    <x v="0"/>
    <x v="0"/>
    <n v="38"/>
    <n v="135"/>
    <s v="Conflits liés à GANE (BH)"/>
    <m/>
    <s v="Même département, autre arrondissement"/>
    <s v="CMR"/>
    <s v="Cameroun"/>
    <s v="CMR004"/>
    <s v="Extrême-Nord"/>
    <s v="CMR004002"/>
    <s v="Logone-Et-Chari"/>
    <s v="CMR004002010"/>
    <s v="Hile-Alifa"/>
  </r>
  <r>
    <s v="Extrême-Nord"/>
    <s v="CMR004"/>
    <x v="2"/>
    <s v="CMR004002"/>
    <x v="9"/>
    <s v="CMR004002010"/>
    <s v="HIL-0015"/>
    <s v="DOUGOUMSILIO 1"/>
    <m/>
    <x v="0"/>
    <x v="0"/>
    <n v="20"/>
    <n v="161"/>
    <s v="Conflits liés à GANE (BH)"/>
    <m/>
    <s v="Même arrondissement"/>
    <s v="CMR"/>
    <s v="Cameroun"/>
    <s v="CMR004"/>
    <s v="Extrême-Nord"/>
    <s v="CMR004002"/>
    <s v="Logone-Et-Chari"/>
    <s v="CMR004002010"/>
    <s v="Hile-Alifa"/>
  </r>
  <r>
    <s v="Extrême-Nord"/>
    <s v="CMR004"/>
    <x v="2"/>
    <s v="CMR004002"/>
    <x v="9"/>
    <s v="CMR004002010"/>
    <s v="HIL-0015"/>
    <s v="DOUGOUMSILIO 1"/>
    <m/>
    <x v="0"/>
    <x v="3"/>
    <n v="1"/>
    <n v="3"/>
    <s v="Conflits liés à GANE (BH)"/>
    <m/>
    <s v="Même arrondissement"/>
    <s v="CMR"/>
    <s v="Cameroun"/>
    <s v="CMR004"/>
    <s v="Extrême-Nord"/>
    <s v="CMR004002"/>
    <s v="Logone-Et-Chari"/>
    <s v="CMR004002010"/>
    <s v="Hile-Alifa"/>
  </r>
  <r>
    <s v="Extrême-Nord"/>
    <s v="CMR004"/>
    <x v="2"/>
    <s v="CMR004002"/>
    <x v="9"/>
    <s v="CMR004002010"/>
    <s v="HIL-0015"/>
    <s v="DOUGOUMSILIO 1"/>
    <m/>
    <x v="0"/>
    <x v="2"/>
    <n v="10"/>
    <n v="70"/>
    <s v="Conflits liés à GANE (BH)"/>
    <m/>
    <s v="Même arrondissement"/>
    <s v="CMR"/>
    <s v="Cameroun"/>
    <s v="CMR004"/>
    <s v="Extrême-Nord"/>
    <s v="CMR004002"/>
    <s v="Logone-Et-Chari"/>
    <s v="CMR004002010"/>
    <s v="Hile-Alifa"/>
  </r>
  <r>
    <s v="Extrême-Nord"/>
    <s v="CMR004"/>
    <x v="2"/>
    <s v="CMR004002"/>
    <x v="9"/>
    <s v="CMR004002010"/>
    <s v="HIL-0007"/>
    <s v="GORETAL GOUTOUN"/>
    <m/>
    <x v="0"/>
    <x v="0"/>
    <n v="21"/>
    <n v="157"/>
    <s v="Conflits liés à GANE (BH)"/>
    <m/>
    <s v="Même arrondissement"/>
    <s v="CMR"/>
    <s v="Cameroun"/>
    <s v="CMR004"/>
    <s v="Extrême-Nord"/>
    <s v="CMR004002"/>
    <s v="Logone-Et-Chari"/>
    <s v="CMR004002010"/>
    <s v="Hile-Alifa"/>
  </r>
  <r>
    <s v="Extrême-Nord"/>
    <s v="CMR004"/>
    <x v="4"/>
    <s v="CMR004005"/>
    <x v="17"/>
    <s v="CMR004005002"/>
    <s v="MOR-0072"/>
    <s v="WARBA"/>
    <m/>
    <x v="0"/>
    <x v="0"/>
    <n v="37"/>
    <n v="355"/>
    <s v="Conflits liés à GANE (BH)"/>
    <m/>
    <s v="Même arrondissement"/>
    <s v="CMR"/>
    <s v="Cameroun"/>
    <s v="CMR004"/>
    <s v="Extrême-Nord"/>
    <s v="CMR004005"/>
    <s v="Mayo-Sava"/>
    <s v="CMR004005002"/>
    <s v="Mora"/>
  </r>
  <r>
    <s v="Extrême-Nord"/>
    <s v="CMR004"/>
    <x v="4"/>
    <s v="CMR004005"/>
    <x v="17"/>
    <s v="CMR004005002"/>
    <s v="MOR-0072"/>
    <s v="WARBA"/>
    <m/>
    <x v="0"/>
    <x v="1"/>
    <n v="0"/>
    <n v="23"/>
    <s v="Conflits liés à GANE (BH)"/>
    <m/>
    <s v="Même arrondissement"/>
    <s v="CMR"/>
    <s v="Cameroun"/>
    <s v="CMR004"/>
    <s v="Extrême-Nord"/>
    <s v="CMR004005"/>
    <s v="Mayo-Sava"/>
    <s v="CMR004005002"/>
    <s v="Mora"/>
  </r>
  <r>
    <s v="Extrême-Nord"/>
    <s v="CMR004"/>
    <x v="4"/>
    <s v="CMR004005"/>
    <x v="17"/>
    <s v="CMR004005002"/>
    <s v="MOR-0072"/>
    <s v="WARBA"/>
    <m/>
    <x v="0"/>
    <x v="4"/>
    <n v="0"/>
    <n v="46"/>
    <s v="Conflits liés à GANE (BH)"/>
    <m/>
    <s v="Même arrondissement"/>
    <s v="CMR"/>
    <s v="Cameroun"/>
    <s v="CMR004"/>
    <s v="Extrême-Nord"/>
    <s v="CMR004005"/>
    <s v="Mayo-Sava"/>
    <s v="CMR004005002"/>
    <s v="Mora"/>
  </r>
  <r>
    <s v="Extrême-Nord"/>
    <s v="CMR004"/>
    <x v="4"/>
    <s v="CMR004005"/>
    <x v="17"/>
    <s v="CMR004005002"/>
    <s v="MOR-0072"/>
    <s v="WARBA"/>
    <m/>
    <x v="0"/>
    <x v="3"/>
    <n v="0"/>
    <n v="25"/>
    <s v="Conflits liés à GANE (BH)"/>
    <m/>
    <s v="Même arrondissement"/>
    <s v="CMR"/>
    <s v="Cameroun"/>
    <s v="CMR004"/>
    <s v="Extrême-Nord"/>
    <s v="CMR004005"/>
    <s v="Mayo-Sava"/>
    <s v="CMR004005002"/>
    <s v="Mora"/>
  </r>
  <r>
    <s v="Extrême-Nord"/>
    <s v="CMR004"/>
    <x v="4"/>
    <s v="CMR004005"/>
    <x v="17"/>
    <s v="CMR004005002"/>
    <s v="MOR-0072"/>
    <s v="WARBA"/>
    <m/>
    <x v="0"/>
    <x v="2"/>
    <n v="5"/>
    <n v="37"/>
    <s v="Conflits liés à GANE (BH)"/>
    <m/>
    <s v="Même arrondissement"/>
    <s v="CMR"/>
    <s v="Cameroun"/>
    <s v="CMR004"/>
    <s v="Extrême-Nord"/>
    <s v="CMR004005"/>
    <s v="Mayo-Sava"/>
    <s v="CMR004005002"/>
    <s v="Mora"/>
  </r>
  <r>
    <s v="Extrême-Nord"/>
    <s v="CMR004"/>
    <x v="4"/>
    <s v="CMR004005"/>
    <x v="17"/>
    <s v="CMR004005002"/>
    <s v="MOR-0010"/>
    <s v="KOURGUI"/>
    <m/>
    <x v="0"/>
    <x v="0"/>
    <n v="377"/>
    <n v="1755"/>
    <s v="Conflits liés à GANE (BH)"/>
    <m/>
    <s v="Même arrondissement"/>
    <s v="CMR"/>
    <s v="Cameroun"/>
    <s v="CMR004"/>
    <s v="Extrême-Nord"/>
    <s v="CMR004005"/>
    <s v="Mayo-Sava"/>
    <s v="CMR004005002"/>
    <s v="Mora"/>
  </r>
  <r>
    <s v="Extrême-Nord"/>
    <s v="CMR004"/>
    <x v="4"/>
    <s v="CMR004005"/>
    <x v="17"/>
    <s v="CMR004005002"/>
    <s v="MOR-0010"/>
    <s v="KOURGUI"/>
    <m/>
    <x v="0"/>
    <x v="1"/>
    <n v="108"/>
    <n v="635"/>
    <s v="Conflits liés à GANE (BH)"/>
    <m/>
    <s v="Même arrondissement"/>
    <s v="CMR"/>
    <s v="Cameroun"/>
    <s v="CMR004"/>
    <s v="Extrême-Nord"/>
    <s v="CMR004005"/>
    <s v="Mayo-Sava"/>
    <s v="CMR004005002"/>
    <s v="Mora"/>
  </r>
  <r>
    <s v="Extrême-Nord"/>
    <s v="CMR004"/>
    <x v="4"/>
    <s v="CMR004005"/>
    <x v="17"/>
    <s v="CMR004005002"/>
    <s v="MOR-0010"/>
    <s v="KOURGUI"/>
    <m/>
    <x v="0"/>
    <x v="4"/>
    <n v="118"/>
    <n v="733"/>
    <s v="Conflits liés à GANE (BH)"/>
    <m/>
    <s v="Même arrondissement"/>
    <s v="CMR"/>
    <s v="Cameroun"/>
    <s v="CMR004"/>
    <s v="Extrême-Nord"/>
    <s v="CMR004005"/>
    <s v="Mayo-Sava"/>
    <s v="CMR004005002"/>
    <s v="Mora"/>
  </r>
  <r>
    <s v="Extrême-Nord"/>
    <s v="CMR004"/>
    <x v="4"/>
    <s v="CMR004005"/>
    <x v="17"/>
    <s v="CMR004005002"/>
    <s v="MOR-0010"/>
    <s v="KOURGUI"/>
    <m/>
    <x v="0"/>
    <x v="3"/>
    <n v="35"/>
    <n v="333"/>
    <s v="Conflits liés à GANE (BH)"/>
    <m/>
    <s v="Même arrondissement"/>
    <s v="CMR"/>
    <s v="Cameroun"/>
    <s v="CMR004"/>
    <s v="Extrême-Nord"/>
    <s v="CMR004005"/>
    <s v="Mayo-Sava"/>
    <s v="CMR004005002"/>
    <s v="Mora"/>
  </r>
  <r>
    <s v="Extrême-Nord"/>
    <s v="CMR004"/>
    <x v="4"/>
    <s v="CMR004005"/>
    <x v="17"/>
    <s v="CMR004005002"/>
    <s v="MOR-0010"/>
    <s v="KOURGUI"/>
    <m/>
    <x v="0"/>
    <x v="2"/>
    <n v="1"/>
    <n v="25"/>
    <s v="Conflits liés à GANE (BH)"/>
    <m/>
    <s v="Même arrondissement"/>
    <s v="CMR"/>
    <s v="Cameroun"/>
    <s v="CMR004"/>
    <s v="Extrême-Nord"/>
    <s v="CMR004005"/>
    <s v="Mayo-Sava"/>
    <s v="CMR004005002"/>
    <s v="Mora"/>
  </r>
  <r>
    <s v="Extrême-Nord"/>
    <s v="CMR004"/>
    <x v="4"/>
    <s v="CMR004005"/>
    <x v="17"/>
    <s v="CMR004005002"/>
    <s v="MOR-0020"/>
    <s v="WALADE 2"/>
    <m/>
    <x v="0"/>
    <x v="0"/>
    <n v="62"/>
    <n v="472"/>
    <s v="Conflits liés à GANE (BH)"/>
    <m/>
    <s v="Même arrondissement"/>
    <s v="CMR"/>
    <s v="Cameroun"/>
    <s v="CMR004"/>
    <s v="Extrême-Nord"/>
    <s v="CMR004005"/>
    <s v="Mayo-Sava"/>
    <s v="CMR004005002"/>
    <s v="Mora"/>
  </r>
  <r>
    <s v="Extrême-Nord"/>
    <s v="CMR004"/>
    <x v="4"/>
    <s v="CMR004005"/>
    <x v="17"/>
    <s v="CMR004005002"/>
    <s v="MOR-0020"/>
    <s v="WALADE 2"/>
    <m/>
    <x v="0"/>
    <x v="1"/>
    <n v="30"/>
    <n v="116"/>
    <s v="Conflits liés à GANE (BH)"/>
    <m/>
    <s v="Même arrondissement"/>
    <s v="CMR"/>
    <s v="Cameroun"/>
    <s v="CMR004"/>
    <s v="Extrême-Nord"/>
    <s v="CMR004005"/>
    <s v="Mayo-Sava"/>
    <s v="CMR004005002"/>
    <s v="Mora"/>
  </r>
  <r>
    <s v="Extrême-Nord"/>
    <s v="CMR004"/>
    <x v="4"/>
    <s v="CMR004005"/>
    <x v="17"/>
    <s v="CMR004005002"/>
    <s v="MOR-0020"/>
    <s v="WALADE 2"/>
    <m/>
    <x v="0"/>
    <x v="4"/>
    <n v="5"/>
    <n v="20"/>
    <s v="Conflits liés à GANE (BH)"/>
    <m/>
    <s v="Même arrondissement"/>
    <s v="CMR"/>
    <s v="Cameroun"/>
    <s v="CMR004"/>
    <s v="Extrême-Nord"/>
    <s v="CMR004005"/>
    <s v="Mayo-Sava"/>
    <s v="CMR004005002"/>
    <s v="Mora"/>
  </r>
  <r>
    <s v="Extrême-Nord"/>
    <s v="CMR004"/>
    <x v="4"/>
    <s v="CMR004005"/>
    <x v="17"/>
    <s v="CMR004005002"/>
    <s v="MOR-0020"/>
    <s v="WALADE 2"/>
    <m/>
    <x v="0"/>
    <x v="3"/>
    <n v="20"/>
    <n v="147"/>
    <s v="Conflits liés à GANE (BH)"/>
    <m/>
    <s v="Même arrondissement"/>
    <s v="CMR"/>
    <s v="Cameroun"/>
    <s v="CMR004"/>
    <s v="Extrême-Nord"/>
    <s v="CMR004005"/>
    <s v="Mayo-Sava"/>
    <s v="CMR004005002"/>
    <s v="Mora"/>
  </r>
  <r>
    <s v="Extrême-Nord"/>
    <s v="CMR004"/>
    <x v="4"/>
    <s v="CMR004005"/>
    <x v="17"/>
    <s v="CMR004005002"/>
    <s v="MOR-0020"/>
    <s v="WALADE 2"/>
    <m/>
    <x v="0"/>
    <x v="2"/>
    <n v="5"/>
    <n v="21"/>
    <s v="Conflits liés à GANE (BH)"/>
    <m/>
    <s v="Même arrondissement"/>
    <s v="CMR"/>
    <s v="Cameroun"/>
    <s v="CMR004"/>
    <s v="Extrême-Nord"/>
    <s v="CMR004005"/>
    <s v="Mayo-Sava"/>
    <s v="CMR004005002"/>
    <s v="Mora"/>
  </r>
  <r>
    <s v="Extrême-Nord"/>
    <s v="CMR004"/>
    <x v="4"/>
    <s v="CMR004005"/>
    <x v="17"/>
    <s v="CMR004005002"/>
    <s v="MOR-0036"/>
    <s v="BOUDOUA"/>
    <m/>
    <x v="0"/>
    <x v="1"/>
    <n v="3"/>
    <n v="7"/>
    <s v="Conflits liés à GANE (BH)"/>
    <m/>
    <s v="Même arrondissement"/>
    <s v="CMR"/>
    <s v="Cameroun"/>
    <s v="CMR004"/>
    <s v="Extrême-Nord"/>
    <s v="CMR004005"/>
    <s v="Mayo-Sava"/>
    <s v="CMR004005002"/>
    <s v="Mora"/>
  </r>
  <r>
    <s v="Extrême-Nord"/>
    <s v="CMR004"/>
    <x v="4"/>
    <s v="CMR004005"/>
    <x v="17"/>
    <s v="CMR004005002"/>
    <s v="MOR-0036"/>
    <s v="BOUDOUA"/>
    <m/>
    <x v="0"/>
    <x v="2"/>
    <n v="0"/>
    <n v="14"/>
    <s v="Conflits liés à GANE (BH)"/>
    <m/>
    <s v="Même arrondissement"/>
    <s v="CMR"/>
    <s v="Cameroun"/>
    <s v="CMR004"/>
    <s v="Extrême-Nord"/>
    <s v="CMR004005"/>
    <s v="Mayo-Sava"/>
    <s v="CMR004005002"/>
    <s v="Mora"/>
  </r>
  <r>
    <s v="Extrême-Nord"/>
    <s v="CMR004"/>
    <x v="4"/>
    <s v="CMR004005"/>
    <x v="17"/>
    <s v="CMR004005002"/>
    <s v="MOR-0063"/>
    <s v="JILVE"/>
    <m/>
    <x v="0"/>
    <x v="0"/>
    <n v="7"/>
    <n v="44"/>
    <s v="Conflits liés à GANE (BH)"/>
    <m/>
    <s v="Même arrondissement"/>
    <s v="CMR"/>
    <s v="Cameroun"/>
    <s v="CMR004"/>
    <s v="Extrême-Nord"/>
    <s v="CMR004005"/>
    <s v="Mayo-Sava"/>
    <s v="CMR004005002"/>
    <s v="Mora"/>
  </r>
  <r>
    <s v="Extrême-Nord"/>
    <s v="CMR004"/>
    <x v="4"/>
    <s v="CMR004005"/>
    <x v="17"/>
    <s v="CMR004005002"/>
    <s v="MOR-0063"/>
    <s v="JILVE"/>
    <m/>
    <x v="0"/>
    <x v="1"/>
    <n v="1"/>
    <n v="3"/>
    <s v="Conflits liés à GANE (BH)"/>
    <m/>
    <s v="Même arrondissement"/>
    <s v="CMR"/>
    <s v="Cameroun"/>
    <s v="CMR004"/>
    <s v="Extrême-Nord"/>
    <s v="CMR004005"/>
    <s v="Mayo-Sava"/>
    <s v="CMR004005002"/>
    <s v="Mora"/>
  </r>
  <r>
    <s v="Extrême-Nord"/>
    <s v="CMR004"/>
    <x v="4"/>
    <s v="CMR004005"/>
    <x v="17"/>
    <s v="CMR004005002"/>
    <s v="MOR-0063"/>
    <s v="JILVE"/>
    <m/>
    <x v="0"/>
    <x v="4"/>
    <n v="0"/>
    <n v="37"/>
    <s v="Conflits liés à GANE (BH)"/>
    <m/>
    <s v="Même arrondissement"/>
    <s v="CMR"/>
    <s v="Cameroun"/>
    <s v="CMR004"/>
    <s v="Extrême-Nord"/>
    <s v="CMR004005"/>
    <s v="Mayo-Sava"/>
    <s v="CMR004005002"/>
    <s v="Mora"/>
  </r>
  <r>
    <s v="Extrême-Nord"/>
    <s v="CMR004"/>
    <x v="4"/>
    <s v="CMR004005"/>
    <x v="17"/>
    <s v="CMR004005002"/>
    <s v="MOR-0063"/>
    <s v="JILVE"/>
    <m/>
    <x v="0"/>
    <x v="3"/>
    <n v="0"/>
    <n v="10"/>
    <s v="Conflits liés à GANE (BH)"/>
    <m/>
    <s v="Même arrondissement"/>
    <s v="CMR"/>
    <s v="Cameroun"/>
    <s v="CMR004"/>
    <s v="Extrême-Nord"/>
    <s v="CMR004005"/>
    <s v="Mayo-Sava"/>
    <s v="CMR004005002"/>
    <s v="Mora"/>
  </r>
  <r>
    <s v="Extrême-Nord"/>
    <s v="CMR004"/>
    <x v="4"/>
    <s v="CMR004005"/>
    <x v="17"/>
    <s v="CMR004005002"/>
    <s v="MOR-0063"/>
    <s v="JILVE"/>
    <m/>
    <x v="0"/>
    <x v="2"/>
    <n v="0"/>
    <n v="15"/>
    <s v="Conflits liés à GANE (BH)"/>
    <m/>
    <s v="Même arrondissement"/>
    <s v="CMR"/>
    <s v="Cameroun"/>
    <s v="CMR004"/>
    <s v="Extrême-Nord"/>
    <s v="CMR004005"/>
    <s v="Mayo-Sava"/>
    <s v="CMR004005002"/>
    <s v="Mora"/>
  </r>
  <r>
    <s v="Extrême-Nord"/>
    <s v="CMR004"/>
    <x v="4"/>
    <s v="CMR004005"/>
    <x v="17"/>
    <s v="CMR004005002"/>
    <s v="MOR-0002"/>
    <s v="BALDAMA"/>
    <m/>
    <x v="0"/>
    <x v="0"/>
    <n v="41"/>
    <n v="185"/>
    <s v="Conflits liés à GANE (BH)"/>
    <m/>
    <s v="Même arrondissement"/>
    <s v="CMR"/>
    <s v="Cameroun"/>
    <s v="CMR004"/>
    <s v="Extrême-Nord"/>
    <s v="CMR004005"/>
    <s v="Mayo-Sava"/>
    <s v="CMR004005002"/>
    <s v="Mora"/>
  </r>
  <r>
    <s v="Extrême-Nord"/>
    <s v="CMR004"/>
    <x v="4"/>
    <s v="CMR004005"/>
    <x v="17"/>
    <s v="CMR004005002"/>
    <s v="MOR-0002"/>
    <s v="BALDAMA"/>
    <m/>
    <x v="0"/>
    <x v="1"/>
    <n v="20"/>
    <n v="109"/>
    <s v="Conflits liés à GANE (BH)"/>
    <m/>
    <s v="Même arrondissement"/>
    <s v="CMR"/>
    <s v="Cameroun"/>
    <s v="CMR004"/>
    <s v="Extrême-Nord"/>
    <s v="CMR004005"/>
    <s v="Mayo-Sava"/>
    <s v="CMR004005002"/>
    <s v="Mora"/>
  </r>
  <r>
    <s v="Extrême-Nord"/>
    <s v="CMR004"/>
    <x v="4"/>
    <s v="CMR004005"/>
    <x v="17"/>
    <s v="CMR004005002"/>
    <s v="MOR-0002"/>
    <s v="BALDAMA"/>
    <m/>
    <x v="0"/>
    <x v="4"/>
    <n v="3"/>
    <n v="37"/>
    <s v="Conflits liés à GANE (BH)"/>
    <m/>
    <s v="Même arrondissement"/>
    <s v="CMR"/>
    <s v="Cameroun"/>
    <s v="CMR004"/>
    <s v="Extrême-Nord"/>
    <s v="CMR004005"/>
    <s v="Mayo-Sava"/>
    <s v="CMR004005002"/>
    <s v="Mora"/>
  </r>
  <r>
    <s v="Extrême-Nord"/>
    <s v="CMR004"/>
    <x v="4"/>
    <s v="CMR004005"/>
    <x v="17"/>
    <s v="CMR004005002"/>
    <s v="MOR-0002"/>
    <s v="BALDAMA"/>
    <m/>
    <x v="0"/>
    <x v="3"/>
    <n v="6"/>
    <n v="34"/>
    <s v="Conflits liés à GANE (BH)"/>
    <m/>
    <s v="Même arrondissement"/>
    <s v="CMR"/>
    <s v="Cameroun"/>
    <s v="CMR004"/>
    <s v="Extrême-Nord"/>
    <s v="CMR004005"/>
    <s v="Mayo-Sava"/>
    <s v="CMR004005002"/>
    <s v="Mora"/>
  </r>
  <r>
    <s v="Extrême-Nord"/>
    <s v="CMR004"/>
    <x v="4"/>
    <s v="CMR004005"/>
    <x v="17"/>
    <s v="CMR004005002"/>
    <s v="MOR-0002"/>
    <s v="BALDAMA"/>
    <m/>
    <x v="0"/>
    <x v="2"/>
    <n v="0"/>
    <n v="3"/>
    <s v="Conflits liés à GANE (BH)"/>
    <m/>
    <s v="Même arrondissement"/>
    <s v="CMR"/>
    <s v="Cameroun"/>
    <s v="CMR004"/>
    <s v="Extrême-Nord"/>
    <s v="CMR004005"/>
    <s v="Mayo-Sava"/>
    <s v="CMR004005002"/>
    <s v="Mora"/>
  </r>
  <r>
    <s v="Extrême-Nord"/>
    <s v="CMR004"/>
    <x v="4"/>
    <s v="CMR004005"/>
    <x v="17"/>
    <s v="CMR004005002"/>
    <s v="MOR-0007"/>
    <s v="GODIGONG"/>
    <m/>
    <x v="0"/>
    <x v="0"/>
    <n v="37"/>
    <n v="166"/>
    <s v="Conflits liés à GANE (BH)"/>
    <m/>
    <s v="Même arrondissement"/>
    <s v="CMR"/>
    <s v="Cameroun"/>
    <s v="CMR004"/>
    <s v="Extrême-Nord"/>
    <s v="CMR004005"/>
    <s v="Mayo-Sava"/>
    <s v="CMR004005002"/>
    <s v="Mora"/>
  </r>
  <r>
    <s v="Extrême-Nord"/>
    <s v="CMR004"/>
    <x v="4"/>
    <s v="CMR004005"/>
    <x v="17"/>
    <s v="CMR004005002"/>
    <s v="MOR-0007"/>
    <s v="GODIGONG"/>
    <m/>
    <x v="0"/>
    <x v="1"/>
    <n v="83"/>
    <n v="427"/>
    <s v="Conflits liés à GANE (BH)"/>
    <m/>
    <s v="Même arrondissement"/>
    <s v="CMR"/>
    <s v="Cameroun"/>
    <s v="CMR004"/>
    <s v="Extrême-Nord"/>
    <s v="CMR004005"/>
    <s v="Mayo-Sava"/>
    <s v="CMR004005002"/>
    <s v="Mora"/>
  </r>
  <r>
    <s v="Extrême-Nord"/>
    <s v="CMR004"/>
    <x v="4"/>
    <s v="CMR004005"/>
    <x v="17"/>
    <s v="CMR004005002"/>
    <s v="MOR-0007"/>
    <s v="GODIGONG"/>
    <m/>
    <x v="0"/>
    <x v="4"/>
    <n v="15"/>
    <n v="114"/>
    <s v="Conflits liés à GANE (BH)"/>
    <m/>
    <s v="Même arrondissement"/>
    <s v="CMR"/>
    <s v="Cameroun"/>
    <s v="CMR004"/>
    <s v="Extrême-Nord"/>
    <s v="CMR004005"/>
    <s v="Mayo-Sava"/>
    <s v="CMR004005002"/>
    <s v="Mora"/>
  </r>
  <r>
    <s v="Extrême-Nord"/>
    <s v="CMR004"/>
    <x v="4"/>
    <s v="CMR004005"/>
    <x v="17"/>
    <s v="CMR004005002"/>
    <s v="MOR-0007"/>
    <s v="GODIGONG"/>
    <m/>
    <x v="0"/>
    <x v="3"/>
    <n v="12"/>
    <n v="75"/>
    <s v="Conflits liés à GANE (BH)"/>
    <m/>
    <s v="Même arrondissement"/>
    <s v="CMR"/>
    <s v="Cameroun"/>
    <s v="CMR004"/>
    <s v="Extrême-Nord"/>
    <s v="CMR004005"/>
    <s v="Mayo-Sava"/>
    <s v="CMR004005002"/>
    <s v="Mora"/>
  </r>
  <r>
    <s v="Extrême-Nord"/>
    <s v="CMR004"/>
    <x v="4"/>
    <s v="CMR004005"/>
    <x v="17"/>
    <s v="CMR004005002"/>
    <s v="MOR-0007"/>
    <s v="GODIGONG"/>
    <m/>
    <x v="0"/>
    <x v="2"/>
    <n v="17"/>
    <n v="61"/>
    <s v="Conflits liés à GANE (BH)"/>
    <m/>
    <s v="Même arrondissement"/>
    <s v="CMR"/>
    <s v="Cameroun"/>
    <s v="CMR004"/>
    <s v="Extrême-Nord"/>
    <s v="CMR004005"/>
    <s v="Mayo-Sava"/>
    <s v="CMR004005002"/>
    <s v="Mora"/>
  </r>
  <r>
    <s v="Extrême-Nord"/>
    <s v="CMR004"/>
    <x v="4"/>
    <s v="CMR004005"/>
    <x v="17"/>
    <s v="CMR004005002"/>
    <s v="MOR-0024"/>
    <s v="JAJA"/>
    <m/>
    <x v="0"/>
    <x v="0"/>
    <n v="240"/>
    <n v="282"/>
    <s v="Conflits liés à GANE (BH)"/>
    <m/>
    <s v="Même arrondissement"/>
    <s v="CMR"/>
    <s v="Cameroun"/>
    <s v="CMR004"/>
    <s v="Extrême-Nord"/>
    <s v="CMR004005"/>
    <s v="Mayo-Sava"/>
    <s v="CMR004005002"/>
    <s v="Mora"/>
  </r>
  <r>
    <s v="Extrême-Nord"/>
    <s v="CMR004"/>
    <x v="4"/>
    <s v="CMR004005"/>
    <x v="17"/>
    <s v="CMR004005002"/>
    <s v="MOR-0024"/>
    <s v="JAJA"/>
    <m/>
    <x v="0"/>
    <x v="1"/>
    <n v="20"/>
    <n v="151"/>
    <s v="Conflits liés à GANE (BH)"/>
    <m/>
    <s v="Même arrondissement"/>
    <s v="CMR"/>
    <s v="Cameroun"/>
    <s v="CMR004"/>
    <s v="Extrême-Nord"/>
    <s v="CMR004005"/>
    <s v="Mayo-Sava"/>
    <s v="CMR004005002"/>
    <s v="Mora"/>
  </r>
  <r>
    <s v="Extrême-Nord"/>
    <s v="CMR004"/>
    <x v="4"/>
    <s v="CMR004005"/>
    <x v="17"/>
    <s v="CMR004005002"/>
    <s v="MOR-0024"/>
    <s v="JAJA"/>
    <m/>
    <x v="0"/>
    <x v="4"/>
    <n v="20"/>
    <n v="100"/>
    <s v="Conflits liés à GANE (BH)"/>
    <m/>
    <s v="Même arrondissement"/>
    <s v="CMR"/>
    <s v="Cameroun"/>
    <s v="CMR004"/>
    <s v="Extrême-Nord"/>
    <s v="CMR004005"/>
    <s v="Mayo-Sava"/>
    <s v="CMR004005002"/>
    <s v="Mora"/>
  </r>
  <r>
    <s v="Extrême-Nord"/>
    <s v="CMR004"/>
    <x v="4"/>
    <s v="CMR004005"/>
    <x v="17"/>
    <s v="CMR004005002"/>
    <s v="MOR-0024"/>
    <s v="JAJA"/>
    <m/>
    <x v="0"/>
    <x v="3"/>
    <n v="28"/>
    <n v="160"/>
    <s v="Conflits liés à GANE (BH)"/>
    <m/>
    <s v="Même arrondissement"/>
    <s v="CMR"/>
    <s v="Cameroun"/>
    <s v="CMR004"/>
    <s v="Extrême-Nord"/>
    <s v="CMR004005"/>
    <s v="Mayo-Sava"/>
    <s v="CMR004005002"/>
    <s v="Mora"/>
  </r>
  <r>
    <s v="Extrême-Nord"/>
    <s v="CMR004"/>
    <x v="4"/>
    <s v="CMR004005"/>
    <x v="17"/>
    <s v="CMR004005002"/>
    <s v="MOR-0024"/>
    <s v="JAJA"/>
    <m/>
    <x v="0"/>
    <x v="2"/>
    <n v="0"/>
    <n v="3"/>
    <s v="Conflits liés à GANE (BH)"/>
    <m/>
    <s v="Même arrondissement"/>
    <s v="CMR"/>
    <s v="Cameroun"/>
    <s v="CMR004"/>
    <s v="Extrême-Nord"/>
    <s v="CMR004005"/>
    <s v="Mayo-Sava"/>
    <s v="CMR004005002"/>
    <s v="Mora"/>
  </r>
  <r>
    <s v="Extrême-Nord"/>
    <s v="CMR004"/>
    <x v="2"/>
    <s v="CMR004002"/>
    <x v="8"/>
    <s v="CMR004002009"/>
    <s v="MAK-0065"/>
    <s v="MASSIO"/>
    <m/>
    <x v="0"/>
    <x v="1"/>
    <n v="47"/>
    <n v="440"/>
    <s v="Conflits liés à GANE (BH)"/>
    <m/>
    <s v="Même arrondissement"/>
    <s v="CMR"/>
    <s v="Cameroun"/>
    <s v="CMR004"/>
    <s v="Extrême-Nord"/>
    <s v="CMR004002"/>
    <s v="Logone-Et-Chari"/>
    <s v="CMR004002009"/>
    <s v="Makary"/>
  </r>
  <r>
    <s v="Extrême-Nord"/>
    <s v="CMR004"/>
    <x v="2"/>
    <s v="CMR004002"/>
    <x v="25"/>
    <s v="CMR004002008"/>
    <s v="FOT-0001"/>
    <s v="AMTCHOUKOULI"/>
    <m/>
    <x v="0"/>
    <x v="0"/>
    <n v="22"/>
    <n v="158"/>
    <s v="Conflits liés à GANE (BH)"/>
    <m/>
    <s v="Même arrondissement"/>
    <s v="CMR"/>
    <s v="Cameroun"/>
    <s v="CMR004"/>
    <s v="Extrême-Nord"/>
    <s v="CMR004002"/>
    <s v="Logone-Et-Chari"/>
    <s v="CMR004002008"/>
    <s v="Fotokol"/>
  </r>
  <r>
    <s v="Extrême-Nord"/>
    <s v="CMR004"/>
    <x v="2"/>
    <s v="CMR004002"/>
    <x v="15"/>
    <s v="CMR004002004"/>
    <s v="LBI-0034"/>
    <s v="NGOYKOKA"/>
    <m/>
    <x v="0"/>
    <x v="0"/>
    <n v="15"/>
    <n v="31"/>
    <s v="Conflits liés à GANE (BH)"/>
    <m/>
    <s v="Même arrondissement"/>
    <s v="CMR"/>
    <s v="Cameroun"/>
    <s v="CMR004"/>
    <s v="Extrême-Nord"/>
    <s v="CMR004002"/>
    <s v="Logone-Et-Chari"/>
    <s v="CMR004002004"/>
    <s v="Logone-Birni"/>
  </r>
  <r>
    <s v="Extrême-Nord"/>
    <s v="CMR004"/>
    <x v="2"/>
    <s v="CMR004002"/>
    <x v="15"/>
    <s v="CMR004002004"/>
    <s v="LBI-0014"/>
    <s v="SITE DE MOULADOCK"/>
    <m/>
    <x v="0"/>
    <x v="0"/>
    <n v="31"/>
    <n v="207"/>
    <s v="Conflits liés à GANE (BH)"/>
    <m/>
    <s v="Même arrondissement"/>
    <s v="CMR"/>
    <s v="Cameroun"/>
    <s v="CMR004"/>
    <s v="Extrême-Nord"/>
    <s v="CMR004002"/>
    <s v="Logone-Et-Chari"/>
    <s v="CMR004002004"/>
    <s v="Logone-Birni"/>
  </r>
  <r>
    <s v="Extrême-Nord"/>
    <s v="CMR004"/>
    <x v="2"/>
    <s v="CMR004002"/>
    <x v="12"/>
    <s v="CMR004002002"/>
    <s v="GOU-0004"/>
    <s v="ZALAT DORO-ROYA"/>
    <m/>
    <x v="0"/>
    <x v="0"/>
    <n v="5"/>
    <n v="35"/>
    <s v="Conflits liés à GANE (BH)"/>
    <m/>
    <s v="Même département, autre arrondissement"/>
    <s v="CMR"/>
    <s v="Cameroun"/>
    <s v="CMR004"/>
    <s v="Extrême-Nord"/>
    <s v="CMR004002"/>
    <s v="Logone-Et-Chari"/>
    <s v="CMR004002008"/>
    <s v="Fotokol"/>
  </r>
  <r>
    <s v="Extrême-Nord"/>
    <s v="CMR004"/>
    <x v="2"/>
    <s v="CMR004002"/>
    <x v="12"/>
    <s v="CMR004002002"/>
    <s v="GOU-0029"/>
    <s v="MARAFAINE"/>
    <m/>
    <x v="0"/>
    <x v="0"/>
    <n v="3"/>
    <n v="15"/>
    <s v="Conflits liés à GANE (BH)"/>
    <m/>
    <s v="Même département, autre arrondissement"/>
    <s v="CMR"/>
    <s v="Cameroun"/>
    <s v="CMR004"/>
    <s v="Extrême-Nord"/>
    <s v="CMR004002"/>
    <s v="Logone-Et-Chari"/>
    <s v="CMR004002008"/>
    <s v="Fotokol"/>
  </r>
  <r>
    <s v="Extrême-Nord"/>
    <s v="CMR004"/>
    <x v="4"/>
    <s v="CMR004005"/>
    <x v="19"/>
    <s v="CMR004005001"/>
    <s v="KOL-0012"/>
    <s v="GOUZOUDOU"/>
    <m/>
    <x v="0"/>
    <x v="1"/>
    <n v="43"/>
    <n v="374"/>
    <s v="Conflits liés à GANE (BH)"/>
    <m/>
    <s v="Même arrondissement"/>
    <s v="CMR"/>
    <s v="Cameroun"/>
    <s v="CMR004"/>
    <s v="Extrême-Nord"/>
    <s v="CMR004005"/>
    <s v="Mayo-Sava"/>
    <s v="CMR004005001"/>
    <s v="Kolofata"/>
  </r>
  <r>
    <s v="Extrême-Nord"/>
    <s v="CMR004"/>
    <x v="4"/>
    <s v="CMR004005"/>
    <x v="19"/>
    <s v="CMR004005001"/>
    <s v="KOL-0012"/>
    <s v="GOUZOUDOU"/>
    <m/>
    <x v="0"/>
    <x v="4"/>
    <n v="7"/>
    <n v="79"/>
    <s v="Conflits liés à GANE (BH)"/>
    <m/>
    <s v="Même arrondissement"/>
    <s v="CMR"/>
    <s v="Cameroun"/>
    <s v="CMR004"/>
    <s v="Extrême-Nord"/>
    <s v="CMR004005"/>
    <s v="Mayo-Sava"/>
    <s v="CMR004005001"/>
    <s v="Kolofata"/>
  </r>
  <r>
    <s v="Extrême-Nord"/>
    <s v="CMR004"/>
    <x v="4"/>
    <s v="CMR004005"/>
    <x v="19"/>
    <s v="CMR004005001"/>
    <s v="KOL-0012"/>
    <s v="GOUZOUDOU"/>
    <m/>
    <x v="0"/>
    <x v="3"/>
    <n v="0"/>
    <n v="30"/>
    <s v="Conflits liés à GANE (BH)"/>
    <m/>
    <s v="Même arrondissement"/>
    <s v="CMR"/>
    <s v="Cameroun"/>
    <s v="CMR004"/>
    <s v="Extrême-Nord"/>
    <s v="CMR004005"/>
    <s v="Mayo-Sava"/>
    <s v="CMR004005001"/>
    <s v="Kolofata"/>
  </r>
  <r>
    <s v="Extrême-Nord"/>
    <s v="CMR004"/>
    <x v="4"/>
    <s v="CMR004005"/>
    <x v="19"/>
    <s v="CMR004005001"/>
    <s v="KOL-0012"/>
    <s v="GOUZOUDOU"/>
    <m/>
    <x v="0"/>
    <x v="2"/>
    <n v="0"/>
    <n v="3"/>
    <s v="Conflits liés à GANE (BH)"/>
    <m/>
    <s v="Même arrondissement"/>
    <s v="CMR"/>
    <s v="Cameroun"/>
    <s v="CMR004"/>
    <s v="Extrême-Nord"/>
    <s v="CMR004005"/>
    <s v="Mayo-Sava"/>
    <s v="CMR004005001"/>
    <s v="Kolofata"/>
  </r>
  <r>
    <s v="Extrême-Nord"/>
    <s v="CMR004"/>
    <x v="4"/>
    <s v="CMR004005"/>
    <x v="19"/>
    <s v="CMR004005001"/>
    <s v="KOL-0012"/>
    <s v="GOUZOUDOU"/>
    <m/>
    <x v="0"/>
    <x v="0"/>
    <n v="0"/>
    <n v="27"/>
    <s v="Conflits liés à GANE (BH)"/>
    <m/>
    <s v="Même arrondissement"/>
    <s v="CMR"/>
    <s v="Cameroun"/>
    <s v="CMR004"/>
    <s v="Extrême-Nord"/>
    <s v="CMR004005"/>
    <s v="Mayo-Sava"/>
    <s v="CMR004005001"/>
    <s v="Kolofata"/>
  </r>
  <r>
    <s v="Extrême-Nord"/>
    <s v="CMR004"/>
    <x v="2"/>
    <s v="CMR004002"/>
    <x v="15"/>
    <s v="CMR004002004"/>
    <s v="LBI-0023"/>
    <s v="DOUGOUMBRA"/>
    <m/>
    <x v="0"/>
    <x v="0"/>
    <n v="22"/>
    <n v="107"/>
    <s v="Conflits liés à GANE (BH)"/>
    <m/>
    <s v="Même département, autre arrondissement"/>
    <s v="CMR"/>
    <s v="Cameroun"/>
    <s v="CMR004"/>
    <s v="Extrême-Nord"/>
    <s v="CMR004002"/>
    <s v="Logone-Et-Chari"/>
    <s v="CMR004002001"/>
    <s v="Waza"/>
  </r>
  <r>
    <s v="Extrême-Nord"/>
    <s v="CMR004"/>
    <x v="2"/>
    <s v="CMR004002"/>
    <x v="15"/>
    <s v="CMR004002004"/>
    <s v="LBI-0023"/>
    <s v="DOUGOUMBRA"/>
    <m/>
    <x v="0"/>
    <x v="3"/>
    <n v="7"/>
    <n v="30"/>
    <s v="Conflit intercommunautaire"/>
    <m/>
    <s v="Même département, autre arrondissement"/>
    <s v="CMR"/>
    <s v="Cameroun"/>
    <s v="CMR004"/>
    <s v="Extrême-Nord"/>
    <s v="CMR004002"/>
    <s v="Logone-Et-Chari"/>
    <s v="CMR004002005"/>
    <s v="Zina"/>
  </r>
  <r>
    <s v="Extrême-Nord"/>
    <s v="CMR004"/>
    <x v="2"/>
    <s v="CMR004002"/>
    <x v="15"/>
    <s v="CMR004002004"/>
    <s v="LBI-0025"/>
    <s v="GUESH"/>
    <m/>
    <x v="0"/>
    <x v="0"/>
    <n v="17"/>
    <n v="107"/>
    <s v="Conflits liés à GANE (BH)"/>
    <m/>
    <s v="Même département, autre arrondissement"/>
    <s v="CMR"/>
    <s v="Cameroun"/>
    <s v="CMR004"/>
    <s v="Extrême-Nord"/>
    <s v="CMR004002"/>
    <s v="Logone-Et-Chari"/>
    <s v="CMR004002001"/>
    <s v="Waza"/>
  </r>
  <r>
    <s v="Extrême-Nord"/>
    <s v="CMR004"/>
    <x v="2"/>
    <s v="CMR004002"/>
    <x v="15"/>
    <s v="CMR004002004"/>
    <s v="LBI-0026"/>
    <s v="HINALE"/>
    <m/>
    <x v="0"/>
    <x v="0"/>
    <n v="33"/>
    <n v="209"/>
    <s v="Conflits liés à GANE (BH)"/>
    <m/>
    <s v="Même département, autre arrondissement"/>
    <s v="CMR"/>
    <s v="Cameroun"/>
    <s v="CMR004"/>
    <s v="Extrême-Nord"/>
    <s v="CMR004002"/>
    <s v="Logone-Et-Chari"/>
    <s v="CMR004002001"/>
    <s v="Waza"/>
  </r>
  <r>
    <s v="Extrême-Nord"/>
    <s v="CMR004"/>
    <x v="2"/>
    <s v="CMR004002"/>
    <x v="15"/>
    <s v="CMR004002004"/>
    <s v="LBI-0027"/>
    <s v="HOUNANGARE"/>
    <m/>
    <x v="0"/>
    <x v="0"/>
    <n v="34"/>
    <n v="139"/>
    <s v="Conflits liés à GANE (BH)"/>
    <m/>
    <s v="Même département, autre arrondissement"/>
    <s v="CMR"/>
    <s v="Cameroun"/>
    <s v="CMR004"/>
    <s v="Extrême-Nord"/>
    <s v="CMR004002"/>
    <s v="Logone-Et-Chari"/>
    <s v="CMR004002001"/>
    <s v="Waza"/>
  </r>
  <r>
    <s v="Extrême-Nord"/>
    <s v="CMR004"/>
    <x v="2"/>
    <s v="CMR004002"/>
    <x v="15"/>
    <s v="CMR004002004"/>
    <s v="LBI-0016"/>
    <s v="SAHABA 3"/>
    <m/>
    <x v="0"/>
    <x v="0"/>
    <n v="98"/>
    <n v="492"/>
    <s v="Conflits liés à GANE (BH)"/>
    <m/>
    <s v="Même arrondissement"/>
    <s v="CMR"/>
    <s v="Cameroun"/>
    <s v="CMR004"/>
    <s v="Extrême-Nord"/>
    <s v="CMR004002"/>
    <s v="Logone-Et-Chari"/>
    <s v="CMR004002004"/>
    <s v="Logone-Birni"/>
  </r>
  <r>
    <s v="Extrême-Nord"/>
    <s v="CMR004"/>
    <x v="2"/>
    <s v="CMR004002"/>
    <x v="15"/>
    <s v="CMR004002004"/>
    <s v="LBI-0032"/>
    <s v="MAHANA"/>
    <m/>
    <x v="0"/>
    <x v="0"/>
    <n v="22"/>
    <n v="148"/>
    <s v="Conflits liés à GANE (BH)"/>
    <m/>
    <s v="Même département, autre arrondissement"/>
    <s v="CMR"/>
    <s v="Cameroun"/>
    <s v="CMR004"/>
    <s v="Extrême-Nord"/>
    <s v="CMR004002"/>
    <s v="Logone-Et-Chari"/>
    <s v="CMR004002001"/>
    <s v="Waza"/>
  </r>
  <r>
    <s v="Extrême-Nord"/>
    <s v="CMR004"/>
    <x v="2"/>
    <s v="CMR004002"/>
    <x v="15"/>
    <s v="CMR004002004"/>
    <s v="LBI-0037"/>
    <s v="NDJAMENA"/>
    <m/>
    <x v="0"/>
    <x v="3"/>
    <n v="8"/>
    <n v="39"/>
    <s v="Conflit intercommunautaire"/>
    <m/>
    <s v="Même arrondissement"/>
    <s v="CMR"/>
    <s v="Cameroun"/>
    <s v="CMR004"/>
    <s v="Extrême-Nord"/>
    <s v="CMR004002"/>
    <s v="Logone-Et-Chari"/>
    <s v="CMR004002004"/>
    <s v="Logone-Birni"/>
  </r>
  <r>
    <s v="Extrême-Nord"/>
    <s v="CMR004"/>
    <x v="2"/>
    <s v="CMR004002"/>
    <x v="15"/>
    <s v="CMR004002004"/>
    <s v="LBI-0018"/>
    <s v="TRAYA"/>
    <m/>
    <x v="0"/>
    <x v="0"/>
    <n v="18"/>
    <n v="142"/>
    <s v="Conflits liés à GANE (BH)"/>
    <m/>
    <s v="Même arrondissement"/>
    <s v="CMR"/>
    <s v="Cameroun"/>
    <s v="CMR004"/>
    <s v="Extrême-Nord"/>
    <s v="CMR004002"/>
    <s v="Logone-Et-Chari"/>
    <s v="CMR004002004"/>
    <s v="Logone-Birni"/>
  </r>
  <r>
    <s v="Extrême-Nord"/>
    <s v="CMR004"/>
    <x v="2"/>
    <s v="CMR004002"/>
    <x v="10"/>
    <s v="CMR004002003"/>
    <s v="XXXX"/>
    <s v="SITE DE DINDO"/>
    <s v="SITE DE DINDO"/>
    <x v="0"/>
    <x v="2"/>
    <n v="29"/>
    <n v="116"/>
    <s v="Inondations saisonnières ou fortes pluies"/>
    <m/>
    <s v="Même arrondissement"/>
    <s v="CMR"/>
    <s v="Cameroun"/>
    <s v="CMR004"/>
    <s v="Extrême-Nord"/>
    <s v="CMR004002"/>
    <s v="Logone-Et-Chari"/>
    <s v="CMR004002003"/>
    <s v="Blangoua"/>
  </r>
  <r>
    <s v="Extrême-Nord"/>
    <s v="CMR004"/>
    <x v="4"/>
    <s v="CMR004005"/>
    <x v="19"/>
    <s v="CMR004005001"/>
    <s v="KOL-0003"/>
    <s v="KOLOFATA CENTRE"/>
    <m/>
    <x v="0"/>
    <x v="0"/>
    <n v="294"/>
    <n v="1287"/>
    <s v="Conflits liés à GANE (BH)"/>
    <m/>
    <s v="Même arrondissement"/>
    <s v="CMR"/>
    <s v="Cameroun"/>
    <s v="CMR004"/>
    <s v="Extrême-Nord"/>
    <s v="CMR004005"/>
    <s v="Mayo-Sava"/>
    <s v="CMR004005001"/>
    <s v="Kolofata"/>
  </r>
  <r>
    <s v="Extrême-Nord"/>
    <s v="CMR004"/>
    <x v="4"/>
    <s v="CMR004005"/>
    <x v="19"/>
    <s v="CMR004005001"/>
    <s v="KOL-0003"/>
    <s v="KOLOFATA CENTRE"/>
    <m/>
    <x v="0"/>
    <x v="1"/>
    <n v="46"/>
    <n v="479"/>
    <s v="Conflits liés à GANE (BH)"/>
    <m/>
    <s v="Même arrondissement"/>
    <s v="CMR"/>
    <s v="Cameroun"/>
    <s v="CMR004"/>
    <s v="Extrême-Nord"/>
    <s v="CMR004005"/>
    <s v="Mayo-Sava"/>
    <s v="CMR004005001"/>
    <s v="Kolofata"/>
  </r>
  <r>
    <s v="Extrême-Nord"/>
    <s v="CMR004"/>
    <x v="4"/>
    <s v="CMR004005"/>
    <x v="19"/>
    <s v="CMR004005001"/>
    <s v="KOL-0003"/>
    <s v="KOLOFATA CENTRE"/>
    <m/>
    <x v="0"/>
    <x v="4"/>
    <n v="15"/>
    <n v="120"/>
    <s v="Conflits liés à GANE (BH)"/>
    <m/>
    <s v="Même arrondissement"/>
    <s v="CMR"/>
    <s v="Cameroun"/>
    <s v="CMR004"/>
    <s v="Extrême-Nord"/>
    <s v="CMR004005"/>
    <s v="Mayo-Sava"/>
    <s v="CMR004005001"/>
    <s v="Kolofata"/>
  </r>
  <r>
    <s v="Extrême-Nord"/>
    <s v="CMR004"/>
    <x v="4"/>
    <s v="CMR004005"/>
    <x v="19"/>
    <s v="CMR004005001"/>
    <s v="KOL-0003"/>
    <s v="KOLOFATA CENTRE"/>
    <m/>
    <x v="0"/>
    <x v="3"/>
    <n v="0"/>
    <n v="24"/>
    <s v="Conflits liés à GANE (BH)"/>
    <m/>
    <s v="Même arrondissement"/>
    <s v="CMR"/>
    <s v="Cameroun"/>
    <s v="CMR004"/>
    <s v="Extrême-Nord"/>
    <s v="CMR004005"/>
    <s v="Mayo-Sava"/>
    <s v="CMR004005001"/>
    <s v="Kolofata"/>
  </r>
  <r>
    <s v="Extrême-Nord"/>
    <s v="CMR004"/>
    <x v="4"/>
    <s v="CMR004005"/>
    <x v="19"/>
    <s v="CMR004005001"/>
    <s v="KOL-0003"/>
    <s v="KOLOFATA CENTRE"/>
    <m/>
    <x v="0"/>
    <x v="2"/>
    <n v="8"/>
    <n v="92"/>
    <s v="Conflits liés à GANE (BH)"/>
    <m/>
    <s v="Même arrondissement"/>
    <s v="CMR"/>
    <s v="Cameroun"/>
    <s v="CMR004"/>
    <s v="Extrême-Nord"/>
    <s v="CMR004005"/>
    <s v="Mayo-Sava"/>
    <s v="CMR004005001"/>
    <s v="Kolofata"/>
  </r>
  <r>
    <s v="Extrême-Nord"/>
    <s v="CMR004"/>
    <x v="2"/>
    <s v="CMR004002"/>
    <x v="25"/>
    <s v="CMR004002008"/>
    <s v="FOT-0021"/>
    <s v="NIGUE"/>
    <m/>
    <x v="0"/>
    <x v="0"/>
    <n v="150"/>
    <n v="450"/>
    <s v="Conflits liés à GANE (BH)"/>
    <m/>
    <s v="Même arrondissement"/>
    <s v="CMR"/>
    <s v="Cameroun"/>
    <s v="CMR004"/>
    <s v="Extrême-Nord"/>
    <s v="CMR004002"/>
    <s v="Logone-Et-Chari"/>
    <s v="CMR004002008"/>
    <s v="Fotokol"/>
  </r>
  <r>
    <s v="Extrême-Nord"/>
    <s v="CMR004"/>
    <x v="2"/>
    <s v="CMR004002"/>
    <x v="25"/>
    <s v="CMR004002008"/>
    <s v="FOT-0032"/>
    <s v="NGANAWAI"/>
    <m/>
    <x v="0"/>
    <x v="0"/>
    <n v="7"/>
    <n v="50"/>
    <s v="Conflits liés à GANE (BH)"/>
    <m/>
    <s v="Même arrondissement"/>
    <s v="CMR"/>
    <s v="Cameroun"/>
    <s v="CMR004"/>
    <s v="Extrême-Nord"/>
    <s v="CMR004002"/>
    <s v="Logone-Et-Chari"/>
    <s v="CMR004002008"/>
    <s v="Fotokol"/>
  </r>
  <r>
    <s v="Extrême-Nord"/>
    <s v="CMR004"/>
    <x v="2"/>
    <s v="CMR004002"/>
    <x v="25"/>
    <s v="CMR004002008"/>
    <s v="FOT-0030"/>
    <s v="ROUNDE"/>
    <m/>
    <x v="0"/>
    <x v="0"/>
    <n v="40"/>
    <n v="85"/>
    <s v="Conflits liés à GANE (BH)"/>
    <m/>
    <s v="Même arrondissement"/>
    <s v="CMR"/>
    <s v="Cameroun"/>
    <s v="CMR004"/>
    <s v="Extrême-Nord"/>
    <s v="CMR004002"/>
    <s v="Logone-Et-Chari"/>
    <s v="CMR004002008"/>
    <s v="Fotokol"/>
  </r>
  <r>
    <s v="Extrême-Nord"/>
    <s v="CMR004"/>
    <x v="2"/>
    <s v="CMR004002"/>
    <x v="25"/>
    <s v="CMR004002008"/>
    <s v="FOT-0023"/>
    <s v="SITE DE GLO KOTOKO"/>
    <m/>
    <x v="0"/>
    <x v="0"/>
    <n v="51"/>
    <n v="233"/>
    <s v="Conflits liés à GANE (BH)"/>
    <m/>
    <s v="Même arrondissement"/>
    <s v="CMR"/>
    <s v="Cameroun"/>
    <s v="CMR004"/>
    <s v="Extrême-Nord"/>
    <s v="CMR004002"/>
    <s v="Logone-Et-Chari"/>
    <s v="CMR004002008"/>
    <s v="Fotokol"/>
  </r>
  <r>
    <s v="Extrême-Nord"/>
    <s v="CMR004"/>
    <x v="2"/>
    <s v="CMR004002"/>
    <x v="12"/>
    <s v="CMR004002002"/>
    <s v="GOU-0058"/>
    <s v="ANFARA6 (HILELE)"/>
    <m/>
    <x v="0"/>
    <x v="0"/>
    <n v="1"/>
    <n v="2"/>
    <s v="Conflits liés à GANE (BH)"/>
    <m/>
    <s v="Même arrondissement"/>
    <s v="CMR"/>
    <s v="Cameroun"/>
    <s v="CMR004"/>
    <s v="Extrême-Nord"/>
    <s v="CMR004002"/>
    <s v="Logone-Et-Chari"/>
    <s v="CMR004002002"/>
    <s v="Goulfey"/>
  </r>
  <r>
    <s v="Extrême-Nord"/>
    <s v="CMR004"/>
    <x v="2"/>
    <s v="CMR004002"/>
    <x v="12"/>
    <s v="CMR004002002"/>
    <s v="GOU-0032"/>
    <s v="TOUYOUS"/>
    <m/>
    <x v="0"/>
    <x v="0"/>
    <n v="10"/>
    <n v="50"/>
    <s v="Conflits liés à GANE (BH)"/>
    <m/>
    <s v="Même arrondissement"/>
    <s v="CMR"/>
    <s v="Cameroun"/>
    <s v="CMR004"/>
    <s v="Extrême-Nord"/>
    <s v="CMR004002"/>
    <s v="Logone-Et-Chari"/>
    <s v="CMR004002002"/>
    <s v="Goulfey"/>
  </r>
  <r>
    <s v="Extrême-Nord"/>
    <s v="CMR004"/>
    <x v="2"/>
    <s v="CMR004002"/>
    <x v="12"/>
    <s v="CMR004002002"/>
    <s v="GOU-0033"/>
    <s v="NGOULOU"/>
    <m/>
    <x v="0"/>
    <x v="0"/>
    <n v="15"/>
    <n v="60"/>
    <s v="Conflits liés à GANE (BH)"/>
    <m/>
    <s v="Même arrondissement"/>
    <s v="CMR"/>
    <s v="Cameroun"/>
    <s v="CMR004"/>
    <s v="Extrême-Nord"/>
    <s v="CMR004002"/>
    <s v="Logone-Et-Chari"/>
    <s v="CMR004002002"/>
    <s v="Goulfey"/>
  </r>
  <r>
    <s v="Extrême-Nord"/>
    <s v="CMR004"/>
    <x v="2"/>
    <s v="CMR004002"/>
    <x v="12"/>
    <s v="CMR004002002"/>
    <s v="GOU-0016"/>
    <s v="MOLODIA"/>
    <m/>
    <x v="0"/>
    <x v="0"/>
    <n v="16"/>
    <n v="106"/>
    <s v="Conflits liés à GANE (BH)"/>
    <m/>
    <s v="Même arrondissement"/>
    <s v="CMR"/>
    <s v="Cameroun"/>
    <s v="CMR004"/>
    <s v="Extrême-Nord"/>
    <s v="CMR004002"/>
    <s v="Logone-Et-Chari"/>
    <s v="CMR004002002"/>
    <s v="Goulfey"/>
  </r>
  <r>
    <s v="Extrême-Nord"/>
    <s v="CMR004"/>
    <x v="2"/>
    <s v="CMR004002"/>
    <x v="12"/>
    <s v="CMR004002002"/>
    <s v="GOU-0036"/>
    <s v="AMFADENA"/>
    <m/>
    <x v="0"/>
    <x v="0"/>
    <n v="11"/>
    <n v="50"/>
    <s v="Conflits liés à GANE (BH)"/>
    <m/>
    <s v="Même arrondissement"/>
    <s v="CMR"/>
    <s v="Cameroun"/>
    <s v="CMR004"/>
    <s v="Extrême-Nord"/>
    <s v="CMR004002"/>
    <s v="Logone-Et-Chari"/>
    <s v="CMR004002002"/>
    <s v="Goulfey"/>
  </r>
  <r>
    <s v="Extrême-Nord"/>
    <s v="CMR004"/>
    <x v="2"/>
    <s v="CMR004002"/>
    <x v="12"/>
    <s v="CMR004002002"/>
    <s v="GOU-0038"/>
    <s v="AMBASSANA"/>
    <m/>
    <x v="0"/>
    <x v="0"/>
    <n v="10"/>
    <n v="30"/>
    <s v="Conflits liés à GANE (BH)"/>
    <m/>
    <s v="Même arrondissement"/>
    <s v="CMR"/>
    <s v="Cameroun"/>
    <s v="CMR004"/>
    <s v="Extrême-Nord"/>
    <s v="CMR004002"/>
    <s v="Logone-Et-Chari"/>
    <s v="CMR004002002"/>
    <s v="Goulfey"/>
  </r>
  <r>
    <s v="Extrême-Nord"/>
    <s v="CMR004"/>
    <x v="2"/>
    <s v="CMR004002"/>
    <x v="12"/>
    <s v="CMR004002002"/>
    <s v="GOU-0039"/>
    <s v="NADJI"/>
    <m/>
    <x v="0"/>
    <x v="0"/>
    <n v="22"/>
    <n v="185"/>
    <s v="Conflits liés à GANE (BH)"/>
    <m/>
    <s v="Même arrondissement"/>
    <s v="CMR"/>
    <s v="Cameroun"/>
    <s v="CMR004"/>
    <s v="Extrême-Nord"/>
    <s v="CMR004002"/>
    <s v="Logone-Et-Chari"/>
    <s v="CMR004002002"/>
    <s v="Goulfey"/>
  </r>
  <r>
    <s v="Extrême-Nord"/>
    <s v="CMR004"/>
    <x v="2"/>
    <s v="CMR004002"/>
    <x v="12"/>
    <s v="CMR004002002"/>
    <s v="GOU-0034"/>
    <s v="BOUTAL-HADOUM"/>
    <m/>
    <x v="0"/>
    <x v="0"/>
    <n v="18"/>
    <n v="50"/>
    <s v="Conflits liés à GANE (BH)"/>
    <m/>
    <s v="Même arrondissement"/>
    <s v="CMR"/>
    <s v="Cameroun"/>
    <s v="CMR004"/>
    <s v="Extrême-Nord"/>
    <s v="CMR004002"/>
    <s v="Logone-Et-Chari"/>
    <s v="CMR004002002"/>
    <s v="Goulfey"/>
  </r>
  <r>
    <s v="Extrême-Nord"/>
    <s v="CMR004"/>
    <x v="1"/>
    <s v="CMR004006"/>
    <x v="1"/>
    <s v="CMR004006002"/>
    <s v="MOK-0061"/>
    <s v="SITE DE MOKOLO ( MATAKAM-SUD)"/>
    <m/>
    <x v="0"/>
    <x v="2"/>
    <n v="25"/>
    <n v="243"/>
    <s v="Conflits liés à GANE (BH)"/>
    <m/>
    <s v="Même arrondissement"/>
    <s v="CMR"/>
    <s v="Cameroun"/>
    <s v="CMR004"/>
    <s v="Extrême-Nord"/>
    <s v="CMR004006"/>
    <s v="Mayo-Tsanaga"/>
    <s v="CMR004006002"/>
    <s v="Mokolo"/>
  </r>
  <r>
    <s v="Extrême-Nord"/>
    <s v="CMR004"/>
    <x v="3"/>
    <s v="CMR004003"/>
    <x v="11"/>
    <s v="CMR004003002"/>
    <s v="MAG-0002"/>
    <s v="SITE DE GAGRAI"/>
    <m/>
    <x v="0"/>
    <x v="0"/>
    <n v="102"/>
    <n v="1549"/>
    <s v="Inondations saisonnières ou fortes pluies"/>
    <m/>
    <s v="Même arrondissement"/>
    <s v="CMR"/>
    <s v="Cameroun"/>
    <s v="CMR004"/>
    <s v="Extrême-Nord"/>
    <s v="CMR004003"/>
    <s v="Mayo-Danay"/>
    <s v="CMR004003002"/>
    <s v="Maga"/>
  </r>
  <r>
    <s v="Extrême-Nord"/>
    <s v="CMR004"/>
    <x v="3"/>
    <s v="CMR004003"/>
    <x v="11"/>
    <s v="CMR004003002"/>
    <s v="MAG-0002"/>
    <s v="SITE DE GAGRAI"/>
    <m/>
    <x v="0"/>
    <x v="1"/>
    <n v="0"/>
    <n v="35"/>
    <s v="Inondations saisonnières ou fortes pluies"/>
    <m/>
    <s v="Même arrondissement"/>
    <s v="CMR"/>
    <s v="Cameroun"/>
    <s v="CMR004"/>
    <s v="Extrême-Nord"/>
    <s v="CMR004003"/>
    <s v="Mayo-Danay"/>
    <s v="CMR004003002"/>
    <s v="Maga"/>
  </r>
  <r>
    <s v="Extrême-Nord"/>
    <s v="CMR004"/>
    <x v="3"/>
    <s v="CMR004003"/>
    <x v="11"/>
    <s v="CMR004003002"/>
    <s v="MAG-0002"/>
    <s v="SITE DE GAGRAI"/>
    <m/>
    <x v="0"/>
    <x v="4"/>
    <n v="0"/>
    <n v="31"/>
    <s v="Inondations saisonnières ou fortes pluies"/>
    <m/>
    <s v="Même arrondissement"/>
    <s v="CMR"/>
    <s v="Cameroun"/>
    <s v="CMR004"/>
    <s v="Extrême-Nord"/>
    <s v="CMR004003"/>
    <s v="Mayo-Danay"/>
    <s v="CMR004003002"/>
    <s v="Maga"/>
  </r>
  <r>
    <s v="Extrême-Nord"/>
    <s v="CMR004"/>
    <x v="3"/>
    <s v="CMR004003"/>
    <x v="11"/>
    <s v="CMR004003002"/>
    <s v="MAG-0002"/>
    <s v="SITE DE GAGRAI"/>
    <m/>
    <x v="0"/>
    <x v="3"/>
    <n v="0"/>
    <n v="36"/>
    <s v="Inondations saisonnières ou fortes pluies"/>
    <m/>
    <s v="Même arrondissement"/>
    <s v="CMR"/>
    <s v="Cameroun"/>
    <s v="CMR004"/>
    <s v="Extrême-Nord"/>
    <s v="CMR004003"/>
    <s v="Mayo-Danay"/>
    <s v="CMR004003002"/>
    <s v="Maga"/>
  </r>
  <r>
    <s v="Extrême-Nord"/>
    <s v="CMR004"/>
    <x v="3"/>
    <s v="CMR004003"/>
    <x v="11"/>
    <s v="CMR004003002"/>
    <s v="MAG-0002"/>
    <s v="SITE DE GAGRAI"/>
    <m/>
    <x v="0"/>
    <x v="2"/>
    <n v="0"/>
    <n v="19"/>
    <s v="Inondations saisonnières ou fortes pluies"/>
    <m/>
    <s v="Même arrondissement"/>
    <s v="CMR"/>
    <s v="Cameroun"/>
    <s v="CMR004"/>
    <s v="Extrême-Nord"/>
    <s v="CMR004003"/>
    <s v="Mayo-Danay"/>
    <s v="CMR004003002"/>
    <s v="Maga"/>
  </r>
  <r>
    <s v="Extrême-Nord"/>
    <s v="CMR004"/>
    <x v="3"/>
    <s v="CMR004003"/>
    <x v="11"/>
    <s v="CMR004003002"/>
    <s v="MAG-0001"/>
    <s v="SITE DE FARAOULOU"/>
    <m/>
    <x v="0"/>
    <x v="0"/>
    <n v="31"/>
    <n v="162"/>
    <s v="Inondations saisonnières ou fortes pluies"/>
    <m/>
    <s v="Même arrondissement"/>
    <s v="CMR"/>
    <s v="Cameroun"/>
    <s v="CMR004"/>
    <s v="Extrême-Nord"/>
    <s v="CMR004003"/>
    <s v="Mayo-Danay"/>
    <s v="CMR004003002"/>
    <s v="Maga"/>
  </r>
  <r>
    <s v="Extrême-Nord"/>
    <s v="CMR004"/>
    <x v="3"/>
    <s v="CMR004003"/>
    <x v="11"/>
    <s v="CMR004003002"/>
    <s v="MAG-0001"/>
    <s v="SITE DE FARAOULOU"/>
    <m/>
    <x v="0"/>
    <x v="4"/>
    <n v="0"/>
    <n v="3"/>
    <s v="Inondations saisonnières ou fortes pluies"/>
    <m/>
    <s v="Même arrondissement"/>
    <s v="CMR"/>
    <s v="Cameroun"/>
    <s v="CMR004"/>
    <s v="Extrême-Nord"/>
    <s v="CMR004003"/>
    <s v="Mayo-Danay"/>
    <s v="CMR004003002"/>
    <s v="Maga"/>
  </r>
  <r>
    <s v="Extrême-Nord"/>
    <s v="CMR004"/>
    <x v="3"/>
    <s v="CMR004003"/>
    <x v="11"/>
    <s v="CMR004003002"/>
    <s v="MAG-0001"/>
    <s v="SITE DE FARAOULOU"/>
    <m/>
    <x v="0"/>
    <x v="3"/>
    <n v="0"/>
    <n v="1"/>
    <s v="Inondations saisonnières ou fortes pluies"/>
    <m/>
    <s v="Même arrondissement"/>
    <s v="CMR"/>
    <s v="Cameroun"/>
    <s v="CMR004"/>
    <s v="Extrême-Nord"/>
    <s v="CMR004003"/>
    <s v="Mayo-Danay"/>
    <s v="CMR004003002"/>
    <s v="Maga"/>
  </r>
  <r>
    <s v="Extrême-Nord"/>
    <s v="CMR004"/>
    <x v="3"/>
    <s v="CMR004003"/>
    <x v="11"/>
    <s v="CMR004003002"/>
    <s v="MAG-0001"/>
    <s v="SITE DE FARAOULOU"/>
    <m/>
    <x v="0"/>
    <x v="2"/>
    <n v="0"/>
    <n v="5"/>
    <s v="Inondations saisonnières ou fortes pluies"/>
    <m/>
    <s v="Même arrondissement"/>
    <s v="CMR"/>
    <s v="Cameroun"/>
    <s v="CMR004"/>
    <s v="Extrême-Nord"/>
    <s v="CMR004003"/>
    <s v="Mayo-Danay"/>
    <s v="CMR004003002"/>
    <s v="Maga"/>
  </r>
  <r>
    <s v="Extrême-Nord"/>
    <s v="CMR004"/>
    <x v="3"/>
    <s v="CMR004003"/>
    <x v="11"/>
    <s v="CMR004003002"/>
    <s v="MAG-0011"/>
    <s v="GRONG"/>
    <m/>
    <x v="0"/>
    <x v="0"/>
    <n v="12"/>
    <n v="110"/>
    <s v="Inondations saisonnières ou fortes pluies"/>
    <m/>
    <s v="Même arrondissement"/>
    <s v="CMR"/>
    <s v="Cameroun"/>
    <s v="CMR004"/>
    <s v="Extrême-Nord"/>
    <s v="CMR004003"/>
    <s v="Mayo-Danay"/>
    <s v="CMR004003002"/>
    <s v="Maga"/>
  </r>
  <r>
    <s v="Extrême-Nord"/>
    <s v="CMR004"/>
    <x v="3"/>
    <s v="CMR004003"/>
    <x v="11"/>
    <s v="CMR004003002"/>
    <s v="MAG-0011"/>
    <s v="GRONG"/>
    <m/>
    <x v="0"/>
    <x v="1"/>
    <n v="0"/>
    <n v="15"/>
    <s v="Inondations saisonnières ou fortes pluies"/>
    <m/>
    <s v="Même arrondissement"/>
    <s v="CMR"/>
    <s v="Cameroun"/>
    <s v="CMR004"/>
    <s v="Extrême-Nord"/>
    <s v="CMR004003"/>
    <s v="Mayo-Danay"/>
    <s v="CMR004003002"/>
    <s v="Maga"/>
  </r>
  <r>
    <s v="Extrême-Nord"/>
    <s v="CMR004"/>
    <x v="3"/>
    <s v="CMR004003"/>
    <x v="11"/>
    <s v="CMR004003002"/>
    <s v="MAG-0011"/>
    <s v="GRONG"/>
    <m/>
    <x v="0"/>
    <x v="4"/>
    <n v="0"/>
    <n v="10"/>
    <s v="Inondations saisonnières ou fortes pluies"/>
    <m/>
    <s v="Même arrondissement"/>
    <s v="CMR"/>
    <s v="Cameroun"/>
    <s v="CMR004"/>
    <s v="Extrême-Nord"/>
    <s v="CMR004003"/>
    <s v="Mayo-Danay"/>
    <s v="CMR004003002"/>
    <s v="Maga"/>
  </r>
  <r>
    <s v="Extrême-Nord"/>
    <s v="CMR004"/>
    <x v="3"/>
    <s v="CMR004003"/>
    <x v="11"/>
    <s v="CMR004003002"/>
    <s v="MAG-0011"/>
    <s v="GRONG"/>
    <m/>
    <x v="0"/>
    <x v="3"/>
    <n v="0"/>
    <n v="6"/>
    <s v="Inondations saisonnières ou fortes pluies"/>
    <m/>
    <s v="Même arrondissement"/>
    <s v="CMR"/>
    <s v="Cameroun"/>
    <s v="CMR004"/>
    <s v="Extrême-Nord"/>
    <s v="CMR004003"/>
    <s v="Mayo-Danay"/>
    <s v="CMR004003002"/>
    <s v="Maga"/>
  </r>
  <r>
    <s v="Extrême-Nord"/>
    <s v="CMR004"/>
    <x v="3"/>
    <s v="CMR004003"/>
    <x v="11"/>
    <s v="CMR004003002"/>
    <s v="MAG-0011"/>
    <s v="GRONG"/>
    <m/>
    <x v="0"/>
    <x v="2"/>
    <n v="0"/>
    <n v="7"/>
    <s v="Inondations saisonnières ou fortes pluies"/>
    <m/>
    <s v="Même arrondissement"/>
    <s v="CMR"/>
    <s v="Cameroun"/>
    <s v="CMR004"/>
    <s v="Extrême-Nord"/>
    <s v="CMR004003"/>
    <s v="Mayo-Danay"/>
    <s v="CMR004003002"/>
    <s v="Maga"/>
  </r>
  <r>
    <s v="Extrême-Nord"/>
    <s v="CMR004"/>
    <x v="2"/>
    <s v="CMR004002"/>
    <x v="8"/>
    <s v="CMR004002009"/>
    <s v="MAK-0061"/>
    <s v="MALTAM"/>
    <m/>
    <x v="0"/>
    <x v="0"/>
    <n v="20"/>
    <n v="420"/>
    <s v="Conflits liés à GANE (BH)"/>
    <m/>
    <s v="Même arrondissement"/>
    <s v="CMR"/>
    <s v="Cameroun"/>
    <s v="CMR004"/>
    <s v="Extrême-Nord"/>
    <s v="CMR004002"/>
    <s v="Logone-Et-Chari"/>
    <s v="CMR004002009"/>
    <s v="Makary"/>
  </r>
  <r>
    <s v="Extrême-Nord"/>
    <s v="CMR004"/>
    <x v="2"/>
    <s v="CMR004002"/>
    <x v="8"/>
    <s v="CMR004002009"/>
    <s v="MAK-0061"/>
    <s v="MALTAM"/>
    <m/>
    <x v="0"/>
    <x v="2"/>
    <n v="20"/>
    <n v="250"/>
    <s v="Inondations saisonnières ou fortes pluies"/>
    <m/>
    <s v="Même département, autre arrondissement"/>
    <s v="CMR"/>
    <s v="Cameroun"/>
    <s v="CMR004"/>
    <s v="Extrême-Nord"/>
    <s v="CMR004002"/>
    <s v="Logone-Et-Chari"/>
    <s v="CMR004002002"/>
    <s v="Goulfey"/>
  </r>
  <r>
    <s v="Extrême-Nord"/>
    <s v="CMR004"/>
    <x v="2"/>
    <s v="CMR004002"/>
    <x v="8"/>
    <s v="CMR004002009"/>
    <s v="MAK-0223"/>
    <s v="BACKE"/>
    <m/>
    <x v="0"/>
    <x v="0"/>
    <n v="3"/>
    <n v="15"/>
    <s v="Conflits liés à GANE (BH)"/>
    <m/>
    <s v="Même arrondissement"/>
    <s v="CMR"/>
    <s v="Cameroun"/>
    <s v="CMR004"/>
    <s v="Extrême-Nord"/>
    <s v="CMR004002"/>
    <s v="Logone-Et-Chari"/>
    <s v="CMR004002009"/>
    <s v="Makary"/>
  </r>
  <r>
    <s v="Extrême-Nord"/>
    <s v="CMR004"/>
    <x v="2"/>
    <s v="CMR004002"/>
    <x v="8"/>
    <s v="CMR004002009"/>
    <s v="MAK-0223"/>
    <s v="BACKE"/>
    <m/>
    <x v="0"/>
    <x v="2"/>
    <n v="10"/>
    <n v="27"/>
    <s v="Inondations saisonnières ou fortes pluies"/>
    <m/>
    <s v="Même arrondissement"/>
    <s v="CMR"/>
    <s v="Cameroun"/>
    <s v="CMR004"/>
    <s v="Extrême-Nord"/>
    <s v="CMR004002"/>
    <s v="Logone-Et-Chari"/>
    <s v="CMR004002009"/>
    <s v="Makary"/>
  </r>
  <r>
    <s v="Extrême-Nord"/>
    <s v="CMR004"/>
    <x v="2"/>
    <s v="CMR004002"/>
    <x v="8"/>
    <s v="CMR004002009"/>
    <s v="MAK-0081"/>
    <s v="NDOLOHE ARABE"/>
    <m/>
    <x v="0"/>
    <x v="3"/>
    <n v="5"/>
    <n v="20"/>
    <s v="Conflits liés à GANE (BH)"/>
    <m/>
    <s v="Même département, autre arrondissement"/>
    <s v="CMR"/>
    <s v="Cameroun"/>
    <s v="CMR004"/>
    <s v="Extrême-Nord"/>
    <s v="CMR004002"/>
    <s v="Logone-Et-Chari"/>
    <s v="CMR004002007"/>
    <s v="Darak"/>
  </r>
  <r>
    <s v="Extrême-Nord"/>
    <s v="CMR004"/>
    <x v="2"/>
    <s v="CMR004002"/>
    <x v="8"/>
    <s v="CMR004002009"/>
    <s v="MAK-0081"/>
    <s v="NDOLOHE ARABE"/>
    <m/>
    <x v="0"/>
    <x v="2"/>
    <n v="5"/>
    <n v="42"/>
    <s v="Conflits liés à GANE (BH)"/>
    <m/>
    <s v="Même département, autre arrondissement"/>
    <s v="CMR"/>
    <s v="Cameroun"/>
    <s v="CMR004"/>
    <s v="Extrême-Nord"/>
    <s v="CMR004002"/>
    <s v="Logone-Et-Chari"/>
    <s v="CMR004002002"/>
    <s v="Goulfey"/>
  </r>
  <r>
    <s v="Extrême-Nord"/>
    <s v="CMR004"/>
    <x v="2"/>
    <s v="CMR004002"/>
    <x v="8"/>
    <s v="CMR004002009"/>
    <s v="MAK-0036"/>
    <s v="GAMBAROU"/>
    <m/>
    <x v="0"/>
    <x v="3"/>
    <n v="4"/>
    <n v="9"/>
    <s v="Conflits liés à GANE (BH)"/>
    <m/>
    <s v="Même département, autre arrondissement"/>
    <s v="CMR"/>
    <s v="Cameroun"/>
    <s v="CMR004"/>
    <s v="Extrême-Nord"/>
    <s v="CMR004002"/>
    <s v="Logone-Et-Chari"/>
    <s v="CMR004002008"/>
    <s v="Fotokol"/>
  </r>
  <r>
    <s v="Extrême-Nord"/>
    <s v="CMR004"/>
    <x v="2"/>
    <s v="CMR004002"/>
    <x v="8"/>
    <s v="CMR004002009"/>
    <s v="MAK-0036"/>
    <s v="GAMBAROU"/>
    <m/>
    <x v="0"/>
    <x v="2"/>
    <n v="10"/>
    <n v="59"/>
    <s v="Conflits liés à GANE (BH)"/>
    <m/>
    <s v="Même département, autre arrondissement"/>
    <s v="CMR"/>
    <s v="Cameroun"/>
    <s v="CMR004"/>
    <s v="Extrême-Nord"/>
    <s v="CMR004002"/>
    <s v="Logone-Et-Chari"/>
    <s v="CMR004002008"/>
    <s v="Fotokol"/>
  </r>
  <r>
    <s v="Extrême-Nord"/>
    <s v="CMR004"/>
    <x v="2"/>
    <s v="CMR004002"/>
    <x v="8"/>
    <s v="CMR004002009"/>
    <s v="MAK-0104"/>
    <s v="KOKIO 2"/>
    <m/>
    <x v="0"/>
    <x v="3"/>
    <n v="2"/>
    <n v="11"/>
    <s v="Conflits liés à GANE (BH)"/>
    <m/>
    <s v="Même département, autre arrondissement"/>
    <s v="CMR"/>
    <s v="Cameroun"/>
    <s v="CMR004"/>
    <s v="Extrême-Nord"/>
    <s v="CMR004002"/>
    <s v="Logone-Et-Chari"/>
    <s v="CMR004002007"/>
    <s v="Darak"/>
  </r>
  <r>
    <s v="Extrême-Nord"/>
    <s v="CMR004"/>
    <x v="2"/>
    <s v="CMR004002"/>
    <x v="8"/>
    <s v="CMR004002009"/>
    <s v="MAK-0104"/>
    <s v="KOKIO 2"/>
    <m/>
    <x v="0"/>
    <x v="2"/>
    <n v="4"/>
    <n v="32"/>
    <s v="Conflits liés à GANE (BH)"/>
    <m/>
    <s v="Même département, autre arrondissement"/>
    <s v="CMR"/>
    <s v="Cameroun"/>
    <s v="CMR004"/>
    <s v="Extrême-Nord"/>
    <s v="CMR004002"/>
    <s v="Logone-Et-Chari"/>
    <s v="CMR004002008"/>
    <s v="Fotokol"/>
  </r>
  <r>
    <s v="Extrême-Nord"/>
    <s v="CMR004"/>
    <x v="2"/>
    <s v="CMR004002"/>
    <x v="8"/>
    <s v="CMR004002009"/>
    <s v="MAK-0059"/>
    <s v="MALADI"/>
    <m/>
    <x v="0"/>
    <x v="3"/>
    <n v="5"/>
    <n v="23"/>
    <s v="Conflits liés à GANE (BH)"/>
    <m/>
    <s v="Même département, autre arrondissement"/>
    <s v="CMR"/>
    <s v="Cameroun"/>
    <s v="CMR004"/>
    <s v="Extrême-Nord"/>
    <s v="CMR004002"/>
    <s v="Logone-Et-Chari"/>
    <s v="CMR004002007"/>
    <s v="Darak"/>
  </r>
  <r>
    <s v="Extrême-Nord"/>
    <s v="CMR004"/>
    <x v="2"/>
    <s v="CMR004002"/>
    <x v="8"/>
    <s v="CMR004002009"/>
    <s v="MAK-0059"/>
    <s v="MALADI"/>
    <m/>
    <x v="0"/>
    <x v="2"/>
    <n v="27"/>
    <n v="146"/>
    <s v="Conflits liés à GANE (BH)"/>
    <m/>
    <s v="Même département, autre arrondissement"/>
    <s v="CMR"/>
    <s v="Cameroun"/>
    <s v="CMR004"/>
    <s v="Extrême-Nord"/>
    <s v="CMR004002"/>
    <s v="Logone-Et-Chari"/>
    <s v="CMR004002008"/>
    <s v="Fotokol"/>
  </r>
  <r>
    <s v="Extrême-Nord"/>
    <s v="CMR004"/>
    <x v="2"/>
    <s v="CMR004002"/>
    <x v="9"/>
    <s v="CMR004002010"/>
    <s v="XXXX"/>
    <s v="SITE DE RAMIDORINA"/>
    <s v="SITE DE RAMIDORINA"/>
    <x v="0"/>
    <x v="2"/>
    <n v="94"/>
    <n v="658"/>
    <s v="Conflits liés à GANE (BH)"/>
    <m/>
    <s v="Même département, autre arrondissement"/>
    <s v="CMR"/>
    <s v="Cameroun"/>
    <s v="CMR004"/>
    <s v="Extrême-Nord"/>
    <s v="CMR004002"/>
    <s v="Logone-Et-Chari"/>
    <s v="CMR004002007"/>
    <s v="Darak"/>
  </r>
  <r>
    <s v="Extrême-Nord"/>
    <s v="CMR004"/>
    <x v="2"/>
    <s v="CMR004002"/>
    <x v="9"/>
    <s v="CMR004002010"/>
    <s v="HIL-0019"/>
    <s v="MAFOULSO 3"/>
    <m/>
    <x v="0"/>
    <x v="0"/>
    <n v="2"/>
    <n v="17"/>
    <s v="Conflits liés à GANE (BH)"/>
    <m/>
    <s v="Même arrondissement"/>
    <s v="CMR"/>
    <s v="Cameroun"/>
    <s v="CMR004"/>
    <s v="Extrême-Nord"/>
    <s v="CMR004002"/>
    <s v="Logone-Et-Chari"/>
    <s v="CMR004002010"/>
    <s v="Hile-Alifa"/>
  </r>
  <r>
    <s v="Extrême-Nord"/>
    <s v="CMR004"/>
    <x v="2"/>
    <s v="CMR004002"/>
    <x v="9"/>
    <s v="CMR004002010"/>
    <s v="HIL-0019"/>
    <s v="MAFOULSO 3"/>
    <m/>
    <x v="0"/>
    <x v="4"/>
    <n v="10"/>
    <n v="70"/>
    <s v="Conflits liés à GANE (BH)"/>
    <m/>
    <s v="Même arrondissement"/>
    <s v="CMR"/>
    <s v="Cameroun"/>
    <s v="CMR004"/>
    <s v="Extrême-Nord"/>
    <s v="CMR004002"/>
    <s v="Logone-Et-Chari"/>
    <s v="CMR004002010"/>
    <s v="Hile-Alifa"/>
  </r>
  <r>
    <s v="Extrême-Nord"/>
    <s v="CMR004"/>
    <x v="2"/>
    <s v="CMR004002"/>
    <x v="9"/>
    <s v="CMR004002010"/>
    <s v="HIL-0019"/>
    <s v="MAFOULSO 3"/>
    <m/>
    <x v="0"/>
    <x v="3"/>
    <n v="9"/>
    <n v="63"/>
    <s v="Conflits liés à GANE (BH)"/>
    <m/>
    <s v="Même arrondissement"/>
    <s v="CMR"/>
    <s v="Cameroun"/>
    <s v="CMR004"/>
    <s v="Extrême-Nord"/>
    <s v="CMR004002"/>
    <s v="Logone-Et-Chari"/>
    <s v="CMR004002010"/>
    <s v="Hile-Alifa"/>
  </r>
  <r>
    <s v="Extrême-Nord"/>
    <s v="CMR004"/>
    <x v="2"/>
    <s v="CMR004002"/>
    <x v="9"/>
    <s v="CMR004002010"/>
    <s v="HIL-0019"/>
    <s v="MAFOULSO 3"/>
    <m/>
    <x v="0"/>
    <x v="2"/>
    <n v="30"/>
    <n v="180"/>
    <s v="Conflits liés à GANE (BH)"/>
    <m/>
    <s v="Même arrondissement"/>
    <s v="CMR"/>
    <s v="Cameroun"/>
    <s v="CMR004"/>
    <s v="Extrême-Nord"/>
    <s v="CMR004002"/>
    <s v="Logone-Et-Chari"/>
    <s v="CMR004002010"/>
    <s v="Hile-Alifa"/>
  </r>
  <r>
    <s v="Extrême-Nord"/>
    <s v="CMR004"/>
    <x v="2"/>
    <s v="CMR004002"/>
    <x v="9"/>
    <s v="CMR004002010"/>
    <s v="HIL-0024"/>
    <s v="MAITO"/>
    <m/>
    <x v="0"/>
    <x v="3"/>
    <n v="5"/>
    <n v="34"/>
    <s v="Conflits liés à GANE (BH)"/>
    <m/>
    <s v="Même arrondissement"/>
    <s v="CMR"/>
    <s v="Cameroun"/>
    <s v="CMR004"/>
    <s v="Extrême-Nord"/>
    <s v="CMR004002"/>
    <s v="Logone-Et-Chari"/>
    <s v="CMR004002010"/>
    <s v="Hile-Alifa"/>
  </r>
  <r>
    <s v="Extrême-Nord"/>
    <s v="CMR004"/>
    <x v="2"/>
    <s v="CMR004002"/>
    <x v="9"/>
    <s v="CMR004002010"/>
    <s v="HIL-0024"/>
    <s v="MAITO"/>
    <m/>
    <x v="0"/>
    <x v="2"/>
    <n v="65"/>
    <n v="455"/>
    <s v="Conflits liés à GANE (BH)"/>
    <m/>
    <s v="Même arrondissement"/>
    <s v="CMR"/>
    <s v="Cameroun"/>
    <s v="CMR004"/>
    <s v="Extrême-Nord"/>
    <s v="CMR004002"/>
    <s v="Logone-Et-Chari"/>
    <s v="CMR004002010"/>
    <s v="Hile-Alifa"/>
  </r>
  <r>
    <s v="Extrême-Nord"/>
    <s v="CMR004"/>
    <x v="2"/>
    <s v="CMR004002"/>
    <x v="9"/>
    <s v="CMR004002010"/>
    <s v="HIL-0012"/>
    <s v="TERBOU"/>
    <m/>
    <x v="0"/>
    <x v="0"/>
    <n v="34"/>
    <n v="295"/>
    <s v="Conflits liés à GANE (BH)"/>
    <m/>
    <s v="Même arrondissement"/>
    <s v="CMR"/>
    <s v="Cameroun"/>
    <s v="CMR004"/>
    <s v="Extrême-Nord"/>
    <s v="CMR004002"/>
    <s v="Logone-Et-Chari"/>
    <s v="CMR004002010"/>
    <s v="Hile-Alifa"/>
  </r>
  <r>
    <s v="Extrême-Nord"/>
    <s v="CMR004"/>
    <x v="1"/>
    <s v="CMR004006"/>
    <x v="7"/>
    <s v="CMR004006005"/>
    <s v="MOZ-0029"/>
    <s v="SITE DE MOSKOTA - TCHEBE-TCHEBE"/>
    <m/>
    <x v="0"/>
    <x v="0"/>
    <n v="57"/>
    <n v="656"/>
    <s v="Conflits liés à GANE (BH)"/>
    <m/>
    <s v="Même arrondissement"/>
    <s v="CMR"/>
    <s v="Cameroun"/>
    <s v="CMR004"/>
    <s v="Extrême-Nord"/>
    <s v="CMR004006"/>
    <s v="Mayo-Tsanaga"/>
    <s v="CMR004006005"/>
    <s v="Mayo-Moskota"/>
  </r>
  <r>
    <s v="Extrême-Nord"/>
    <s v="CMR004"/>
    <x v="1"/>
    <s v="CMR004006"/>
    <x v="7"/>
    <s v="CMR004006005"/>
    <s v="MOZ-0029"/>
    <s v="SITE DE MOSKOTA - TCHEBE-TCHEBE"/>
    <m/>
    <x v="0"/>
    <x v="1"/>
    <n v="0"/>
    <n v="20"/>
    <s v="Conflits liés à GANE (BH)"/>
    <m/>
    <s v="Même arrondissement"/>
    <s v="CMR"/>
    <s v="Cameroun"/>
    <s v="CMR004"/>
    <s v="Extrême-Nord"/>
    <s v="CMR004006"/>
    <s v="Mayo-Tsanaga"/>
    <s v="CMR004006005"/>
    <s v="Mayo-Moskota"/>
  </r>
  <r>
    <s v="Extrême-Nord"/>
    <s v="CMR004"/>
    <x v="1"/>
    <s v="CMR004006"/>
    <x v="7"/>
    <s v="CMR004006005"/>
    <s v="MOZ-0029"/>
    <s v="SITE DE MOSKOTA - TCHEBE-TCHEBE"/>
    <m/>
    <x v="0"/>
    <x v="4"/>
    <n v="19"/>
    <n v="43"/>
    <s v="Conflits liés à GANE (BH)"/>
    <m/>
    <s v="Même arrondissement"/>
    <s v="CMR"/>
    <s v="Cameroun"/>
    <s v="CMR004"/>
    <s v="Extrême-Nord"/>
    <s v="CMR004006"/>
    <s v="Mayo-Tsanaga"/>
    <s v="CMR004006005"/>
    <s v="Mayo-Moskota"/>
  </r>
  <r>
    <s v="Extrême-Nord"/>
    <s v="CMR004"/>
    <x v="1"/>
    <s v="CMR004006"/>
    <x v="7"/>
    <s v="CMR004006005"/>
    <s v="MOZ-0029"/>
    <s v="SITE DE MOSKOTA - TCHEBE-TCHEBE"/>
    <m/>
    <x v="0"/>
    <x v="3"/>
    <n v="1"/>
    <n v="7"/>
    <s v="Conflits liés à GANE (BH)"/>
    <m/>
    <s v="Même arrondissement"/>
    <s v="CMR"/>
    <s v="Cameroun"/>
    <s v="CMR004"/>
    <s v="Extrême-Nord"/>
    <s v="CMR004006"/>
    <s v="Mayo-Tsanaga"/>
    <s v="CMR004006005"/>
    <s v="Mayo-Moskota"/>
  </r>
  <r>
    <s v="Extrême-Nord"/>
    <s v="CMR004"/>
    <x v="1"/>
    <s v="CMR004006"/>
    <x v="7"/>
    <s v="CMR004006005"/>
    <s v="MOZ-0029"/>
    <s v="SITE DE MOSKOTA - TCHEBE-TCHEBE"/>
    <m/>
    <x v="0"/>
    <x v="2"/>
    <n v="6"/>
    <n v="40"/>
    <s v="Conflits liés à GANE (BH)"/>
    <m/>
    <s v="Même arrondissement"/>
    <s v="CMR"/>
    <s v="Cameroun"/>
    <s v="CMR004"/>
    <s v="Extrême-Nord"/>
    <s v="CMR004006"/>
    <s v="Mayo-Tsanaga"/>
    <s v="CMR004006005"/>
    <s v="Mayo-Moskota"/>
  </r>
  <r>
    <s v="Extrême-Nord"/>
    <s v="CMR004"/>
    <x v="1"/>
    <s v="CMR004006"/>
    <x v="7"/>
    <s v="CMR004006005"/>
    <s v="MOZ-0039"/>
    <s v="SITE DE KERAWA - MAFA"/>
    <m/>
    <x v="0"/>
    <x v="3"/>
    <n v="60"/>
    <n v="656"/>
    <s v="Conflits liés à GANE (BH)"/>
    <m/>
    <s v="Même arrondissement"/>
    <s v="CMR"/>
    <s v="Cameroun"/>
    <s v="CMR004"/>
    <s v="Extrême-Nord"/>
    <s v="CMR004006"/>
    <s v="Mayo-Tsanaga"/>
    <s v="CMR004006005"/>
    <s v="Mayo-Moskota"/>
  </r>
  <r>
    <s v="Extrême-Nord"/>
    <s v="CMR004"/>
    <x v="1"/>
    <s v="CMR004006"/>
    <x v="7"/>
    <s v="CMR004006005"/>
    <s v="MOZ-0039"/>
    <s v="SITE DE KERAWA - MAFA"/>
    <m/>
    <x v="0"/>
    <x v="2"/>
    <n v="10"/>
    <n v="40"/>
    <s v="Conflits liés à GANE (BH)"/>
    <m/>
    <s v="Même arrondissement"/>
    <s v="CMR"/>
    <s v="Cameroun"/>
    <s v="CMR004"/>
    <s v="Extrême-Nord"/>
    <s v="CMR004006"/>
    <s v="Mayo-Tsanaga"/>
    <s v="CMR004006005"/>
    <s v="Mayo-Moskota"/>
  </r>
  <r>
    <s v="Extrême-Nord"/>
    <s v="CMR004"/>
    <x v="1"/>
    <s v="CMR004006"/>
    <x v="7"/>
    <s v="CMR004006005"/>
    <s v="MOZ-0003"/>
    <s v="KARAZAWA"/>
    <m/>
    <x v="0"/>
    <x v="0"/>
    <n v="23"/>
    <n v="132"/>
    <s v="Conflits liés à GANE (BH)"/>
    <m/>
    <s v="Même arrondissement"/>
    <s v="CMR"/>
    <s v="Cameroun"/>
    <s v="CMR004"/>
    <s v="Extrême-Nord"/>
    <s v="CMR004006"/>
    <s v="Mayo-Tsanaga"/>
    <s v="CMR004006005"/>
    <s v="Mayo-Moskota"/>
  </r>
  <r>
    <s v="Extrême-Nord"/>
    <s v="CMR004"/>
    <x v="1"/>
    <s v="CMR004006"/>
    <x v="7"/>
    <s v="CMR004006005"/>
    <s v="MOZ-0003"/>
    <s v="KARAZAWA"/>
    <m/>
    <x v="0"/>
    <x v="1"/>
    <n v="0"/>
    <n v="10"/>
    <s v="Conflits liés à GANE (BH)"/>
    <m/>
    <s v="Même arrondissement"/>
    <s v="CMR"/>
    <s v="Cameroun"/>
    <s v="CMR004"/>
    <s v="Extrême-Nord"/>
    <s v="CMR004006"/>
    <s v="Mayo-Tsanaga"/>
    <s v="CMR004006005"/>
    <s v="Mayo-Moskota"/>
  </r>
  <r>
    <s v="Extrême-Nord"/>
    <s v="CMR004"/>
    <x v="1"/>
    <s v="CMR004006"/>
    <x v="7"/>
    <s v="CMR004006005"/>
    <s v="MOZ-0003"/>
    <s v="KARAZAWA"/>
    <m/>
    <x v="0"/>
    <x v="4"/>
    <n v="2"/>
    <n v="23"/>
    <s v="Conflits liés à GANE (BH)"/>
    <m/>
    <s v="Même arrondissement"/>
    <s v="CMR"/>
    <s v="Cameroun"/>
    <s v="CMR004"/>
    <s v="Extrême-Nord"/>
    <s v="CMR004006"/>
    <s v="Mayo-Tsanaga"/>
    <s v="CMR004006005"/>
    <s v="Mayo-Moskota"/>
  </r>
  <r>
    <s v="Extrême-Nord"/>
    <s v="CMR004"/>
    <x v="1"/>
    <s v="CMR004006"/>
    <x v="7"/>
    <s v="CMR004006005"/>
    <s v="MOZ-0003"/>
    <s v="KARAZAWA"/>
    <m/>
    <x v="0"/>
    <x v="3"/>
    <n v="40"/>
    <n v="150"/>
    <s v="Conflits liés à GANE (BH)"/>
    <m/>
    <s v="Même arrondissement"/>
    <s v="CMR"/>
    <s v="Cameroun"/>
    <s v="CMR004"/>
    <s v="Extrême-Nord"/>
    <s v="CMR004006"/>
    <s v="Mayo-Tsanaga"/>
    <s v="CMR004006005"/>
    <s v="Mayo-Moskota"/>
  </r>
  <r>
    <s v="Extrême-Nord"/>
    <s v="CMR004"/>
    <x v="1"/>
    <s v="CMR004006"/>
    <x v="7"/>
    <s v="CMR004006005"/>
    <s v="MOZ-0003"/>
    <s v="KARAZAWA"/>
    <m/>
    <x v="0"/>
    <x v="2"/>
    <n v="50"/>
    <n v="170"/>
    <s v="Conflits liés à GANE (BH)"/>
    <m/>
    <s v="Même arrondissement"/>
    <s v="CMR"/>
    <s v="Cameroun"/>
    <s v="CMR004"/>
    <s v="Extrême-Nord"/>
    <s v="CMR004006"/>
    <s v="Mayo-Tsanaga"/>
    <s v="CMR004006005"/>
    <s v="Mayo-Moskota"/>
  </r>
  <r>
    <s v="Extrême-Nord"/>
    <s v="CMR004"/>
    <x v="1"/>
    <s v="CMR004006"/>
    <x v="7"/>
    <s v="CMR004006005"/>
    <s v="MOZ-0024"/>
    <s v="ZELEVED"/>
    <m/>
    <x v="0"/>
    <x v="0"/>
    <n v="9"/>
    <n v="47"/>
    <s v="Conflits liés à GANE (BH)"/>
    <m/>
    <s v="Même arrondissement"/>
    <s v="CMR"/>
    <s v="Cameroun"/>
    <s v="CMR004"/>
    <s v="Extrême-Nord"/>
    <s v="CMR004006"/>
    <s v="Mayo-Tsanaga"/>
    <s v="CMR004006005"/>
    <s v="Mayo-Moskota"/>
  </r>
  <r>
    <s v="Extrême-Nord"/>
    <s v="CMR004"/>
    <x v="1"/>
    <s v="CMR004006"/>
    <x v="7"/>
    <s v="CMR004006005"/>
    <s v="MOZ-0024"/>
    <s v="ZELEVED"/>
    <m/>
    <x v="0"/>
    <x v="2"/>
    <n v="0"/>
    <n v="15"/>
    <s v="Conflits liés à GANE (BH)"/>
    <m/>
    <s v="Même arrondissement"/>
    <s v="CMR"/>
    <s v="Cameroun"/>
    <s v="CMR004"/>
    <s v="Extrême-Nord"/>
    <s v="CMR004006"/>
    <s v="Mayo-Tsanaga"/>
    <s v="CMR004006005"/>
    <s v="Mayo-Moskota"/>
  </r>
  <r>
    <s v="Extrême-Nord"/>
    <s v="CMR004"/>
    <x v="2"/>
    <s v="CMR004002"/>
    <x v="26"/>
    <s v="CMR004002006"/>
    <s v="KOU-0006"/>
    <s v="DJAMBAL BAR"/>
    <m/>
    <x v="0"/>
    <x v="3"/>
    <n v="40"/>
    <n v="400"/>
    <s v="Inondations saisonnières ou fortes pluies"/>
    <m/>
    <s v="Même arrondissement"/>
    <s v="CMR"/>
    <s v="Cameroun"/>
    <s v="CMR004"/>
    <s v="Extrême-Nord"/>
    <s v="CMR004002"/>
    <s v="Logone-Et-Chari"/>
    <s v="CMR004002006"/>
    <s v="Kousséri"/>
  </r>
  <r>
    <s v="Extrême-Nord"/>
    <s v="CMR004"/>
    <x v="2"/>
    <s v="CMR004002"/>
    <x v="26"/>
    <s v="CMR004002006"/>
    <s v="KOU-0006"/>
    <s v="DJAMBAL BAR"/>
    <m/>
    <x v="0"/>
    <x v="2"/>
    <n v="60"/>
    <n v="500"/>
    <s v="Inondations saisonnières ou fortes pluies"/>
    <m/>
    <s v="Même arrondissement"/>
    <s v="CMR"/>
    <s v="Cameroun"/>
    <s v="CMR004"/>
    <s v="Extrême-Nord"/>
    <s v="CMR004002"/>
    <s v="Logone-Et-Chari"/>
    <s v="CMR004002006"/>
    <s v="Kousséri"/>
  </r>
  <r>
    <s v="Extrême-Nord"/>
    <s v="CMR004"/>
    <x v="2"/>
    <s v="CMR004002"/>
    <x v="26"/>
    <s v="CMR004002006"/>
    <s v="KOU-0025"/>
    <s v="MASSIL-AL-KANAM"/>
    <m/>
    <x v="0"/>
    <x v="2"/>
    <n v="10"/>
    <n v="100"/>
    <s v="Inondations saisonnières ou fortes pluies"/>
    <m/>
    <s v="Même arrondissement"/>
    <s v="CMR"/>
    <s v="Cameroun"/>
    <s v="CMR004"/>
    <s v="Extrême-Nord"/>
    <s v="CMR004002"/>
    <s v="Logone-Et-Chari"/>
    <s v="CMR004002006"/>
    <s v="Kousséri"/>
  </r>
  <r>
    <s v="Extrême-Nord"/>
    <s v="CMR004"/>
    <x v="2"/>
    <s v="CMR004002"/>
    <x v="26"/>
    <s v="CMR004002006"/>
    <s v="KOU-0011"/>
    <s v="IBOU"/>
    <m/>
    <x v="0"/>
    <x v="2"/>
    <n v="10"/>
    <n v="30"/>
    <s v="Inondations saisonnières ou fortes pluies"/>
    <m/>
    <s v="Même arrondissement"/>
    <s v="CMR"/>
    <s v="Cameroun"/>
    <s v="CMR004"/>
    <s v="Extrême-Nord"/>
    <s v="CMR004002"/>
    <s v="Logone-Et-Chari"/>
    <s v="CMR004002006"/>
    <s v="Kousséri"/>
  </r>
  <r>
    <s v="Extrême-Nord"/>
    <s v="CMR004"/>
    <x v="2"/>
    <s v="CMR004002"/>
    <x v="15"/>
    <s v="CMR004002004"/>
    <s v="LBI-0071"/>
    <s v="MBANAMAMTE"/>
    <m/>
    <x v="0"/>
    <x v="4"/>
    <n v="35"/>
    <n v="75"/>
    <s v="Conflits liés à GANE (BH)"/>
    <m/>
    <s v="Même arrondissement"/>
    <s v="CMR"/>
    <s v="Cameroun"/>
    <s v="CMR004"/>
    <s v="Extrême-Nord"/>
    <s v="CMR004002"/>
    <s v="Logone-Et-Chari"/>
    <s v="CMR004002004"/>
    <s v="Logone-Birni"/>
  </r>
  <r>
    <s v="Extrême-Nord"/>
    <s v="CMR004"/>
    <x v="2"/>
    <s v="CMR004002"/>
    <x v="15"/>
    <s v="CMR004002004"/>
    <s v="LBI-0071"/>
    <s v="MBANAMAMTE"/>
    <m/>
    <x v="0"/>
    <x v="3"/>
    <n v="0"/>
    <n v="5"/>
    <s v="Conflits liés à GANE (BH)"/>
    <m/>
    <s v="Même arrondissement"/>
    <s v="CMR"/>
    <s v="Cameroun"/>
    <s v="CMR004"/>
    <s v="Extrême-Nord"/>
    <s v="CMR004002"/>
    <s v="Logone-Et-Chari"/>
    <s v="CMR004002004"/>
    <s v="Logone-Birni"/>
  </r>
  <r>
    <s v="Extrême-Nord"/>
    <s v="CMR004"/>
    <x v="2"/>
    <s v="CMR004002"/>
    <x v="13"/>
    <s v="CMR004002001"/>
    <s v="WAZ-0008"/>
    <s v="TAGAWA 2"/>
    <m/>
    <x v="0"/>
    <x v="0"/>
    <n v="6"/>
    <n v="41"/>
    <s v="Conflits liés à GANE (BH)"/>
    <m/>
    <s v="Même arrondissement"/>
    <s v="CMR"/>
    <s v="Cameroun"/>
    <s v="CMR004"/>
    <s v="Extrême-Nord"/>
    <s v="CMR004002"/>
    <s v="Logone-Et-Chari"/>
    <s v="CMR004002001"/>
    <s v="Waza"/>
  </r>
  <r>
    <s v="Extrême-Nord"/>
    <s v="CMR004"/>
    <x v="2"/>
    <s v="CMR004002"/>
    <x v="13"/>
    <s v="CMR004002001"/>
    <s v="WAZ-0008"/>
    <s v="TAGAWA 2"/>
    <m/>
    <x v="0"/>
    <x v="1"/>
    <n v="1"/>
    <n v="13"/>
    <s v="Conflits liés à GANE (BH)"/>
    <m/>
    <s v="Même arrondissement"/>
    <s v="CMR"/>
    <s v="Cameroun"/>
    <s v="CMR004"/>
    <s v="Extrême-Nord"/>
    <s v="CMR004002"/>
    <s v="Logone-Et-Chari"/>
    <s v="CMR004002001"/>
    <s v="Waza"/>
  </r>
  <r>
    <s v="Extrême-Nord"/>
    <s v="CMR004"/>
    <x v="2"/>
    <s v="CMR004002"/>
    <x v="13"/>
    <s v="CMR004002001"/>
    <s v="WAZ-0008"/>
    <s v="TAGAWA 2"/>
    <m/>
    <x v="0"/>
    <x v="4"/>
    <n v="26"/>
    <n v="117"/>
    <s v="Conflit intercommunautaire"/>
    <m/>
    <s v="Autre département"/>
    <s v="CMR"/>
    <s v="Cameroun"/>
    <s v="CMR004"/>
    <s v="Extrême-Nord"/>
    <s v="CMR004003"/>
    <s v="Mayo-Danay"/>
    <m/>
    <m/>
  </r>
  <r>
    <s v="Extrême-Nord"/>
    <s v="CMR004"/>
    <x v="2"/>
    <s v="CMR004002"/>
    <x v="8"/>
    <s v="CMR004002009"/>
    <s v="MAK-0225"/>
    <s v="FOURKOURI"/>
    <m/>
    <x v="0"/>
    <x v="4"/>
    <n v="3"/>
    <n v="30"/>
    <s v="Inondations saisonnières ou fortes pluies"/>
    <m/>
    <s v="Même arrondissement"/>
    <s v="CMR"/>
    <s v="Cameroun"/>
    <s v="CMR004"/>
    <s v="Extrême-Nord"/>
    <s v="CMR004002"/>
    <s v="Logone-Et-Chari"/>
    <s v="CMR004002009"/>
    <s v="Makary"/>
  </r>
  <r>
    <s v="Extrême-Nord"/>
    <s v="CMR004"/>
    <x v="1"/>
    <s v="CMR004006"/>
    <x v="1"/>
    <s v="CMR004006002"/>
    <s v="MOK-0001"/>
    <s v="BOUNGUELRE"/>
    <m/>
    <x v="0"/>
    <x v="1"/>
    <n v="3"/>
    <n v="18"/>
    <s v="Conflits liés à GANE (BH)"/>
    <m/>
    <s v="Même arrondissement"/>
    <s v="CMR"/>
    <s v="Cameroun"/>
    <s v="CMR004"/>
    <s v="Extrême-Nord"/>
    <s v="CMR004006"/>
    <s v="Mayo-Tsanaga"/>
    <s v="CMR004006002"/>
    <s v="Mokolo"/>
  </r>
  <r>
    <s v="Extrême-Nord"/>
    <s v="CMR004"/>
    <x v="1"/>
    <s v="CMR004006"/>
    <x v="1"/>
    <s v="CMR004006002"/>
    <s v="MOK-0001"/>
    <s v="BOUNGUELRE"/>
    <m/>
    <x v="0"/>
    <x v="4"/>
    <n v="30"/>
    <n v="203"/>
    <s v="Conflits liés à GANE (BH)"/>
    <m/>
    <s v="Même arrondissement"/>
    <s v="CMR"/>
    <s v="Cameroun"/>
    <s v="CMR004"/>
    <s v="Extrême-Nord"/>
    <s v="CMR004006"/>
    <s v="Mayo-Tsanaga"/>
    <s v="CMR004006002"/>
    <s v="Mokolo"/>
  </r>
  <r>
    <s v="Extrême-Nord"/>
    <s v="CMR004"/>
    <x v="1"/>
    <s v="CMR004006"/>
    <x v="1"/>
    <s v="CMR004006002"/>
    <s v="MOK-0001"/>
    <s v="BOUNGUELRE"/>
    <m/>
    <x v="0"/>
    <x v="3"/>
    <n v="19"/>
    <n v="58"/>
    <s v="Conflits liés à GANE (BH)"/>
    <m/>
    <s v="Même arrondissement"/>
    <s v="CMR"/>
    <s v="Cameroun"/>
    <s v="CMR004"/>
    <s v="Extrême-Nord"/>
    <s v="CMR004006"/>
    <s v="Mayo-Tsanaga"/>
    <s v="CMR004006002"/>
    <s v="Mokolo"/>
  </r>
  <r>
    <s v="Extrême-Nord"/>
    <s v="CMR004"/>
    <x v="1"/>
    <s v="CMR004006"/>
    <x v="1"/>
    <s v="CMR004006002"/>
    <s v="MOK-0001"/>
    <s v="BOUNGUELRE"/>
    <m/>
    <x v="0"/>
    <x v="2"/>
    <n v="23"/>
    <n v="212"/>
    <s v="Conflits liés à GANE (BH)"/>
    <m/>
    <s v="Même arrondissement"/>
    <s v="CMR"/>
    <s v="Cameroun"/>
    <s v="CMR004"/>
    <s v="Extrême-Nord"/>
    <s v="CMR004006"/>
    <s v="Mayo-Tsanaga"/>
    <s v="CMR004006002"/>
    <s v="Mokolo"/>
  </r>
  <r>
    <s v="Extrême-Nord"/>
    <s v="CMR004"/>
    <x v="2"/>
    <s v="CMR004002"/>
    <x v="9"/>
    <s v="CMR004002010"/>
    <s v="HIL-0014"/>
    <s v="DOLE MILIMI"/>
    <m/>
    <x v="0"/>
    <x v="4"/>
    <n v="14"/>
    <n v="108"/>
    <s v="Conflits liés à GANE (BH)"/>
    <m/>
    <s v="Même arrondissement"/>
    <s v="CMR"/>
    <s v="Cameroun"/>
    <s v="CMR004"/>
    <s v="Extrême-Nord"/>
    <s v="CMR004002"/>
    <s v="Logone-Et-Chari"/>
    <s v="CMR004002010"/>
    <s v="Hile-Alifa"/>
  </r>
  <r>
    <s v="Extrême-Nord"/>
    <s v="CMR004"/>
    <x v="2"/>
    <s v="CMR004002"/>
    <x v="9"/>
    <s v="CMR004002010"/>
    <s v="HIL-0014"/>
    <s v="DOLE MILIMI"/>
    <m/>
    <x v="0"/>
    <x v="3"/>
    <n v="6"/>
    <n v="30"/>
    <s v="Conflits liés à GANE (BH)"/>
    <m/>
    <s v="Même arrondissement"/>
    <s v="CMR"/>
    <s v="Cameroun"/>
    <s v="CMR004"/>
    <s v="Extrême-Nord"/>
    <s v="CMR004002"/>
    <s v="Logone-Et-Chari"/>
    <s v="CMR004002010"/>
    <s v="Hile-Alifa"/>
  </r>
  <r>
    <s v="Extrême-Nord"/>
    <s v="CMR004"/>
    <x v="2"/>
    <s v="CMR004002"/>
    <x v="9"/>
    <s v="CMR004002010"/>
    <s v="HIL-0014"/>
    <s v="DOLE MILIMI"/>
    <m/>
    <x v="0"/>
    <x v="2"/>
    <n v="70"/>
    <n v="420"/>
    <s v="Conflits liés à GANE (BH)"/>
    <m/>
    <s v="Même arrondissement"/>
    <s v="CMR"/>
    <s v="Cameroun"/>
    <s v="CMR004"/>
    <s v="Extrême-Nord"/>
    <s v="CMR004002"/>
    <s v="Logone-Et-Chari"/>
    <s v="CMR004002010"/>
    <s v="Hile-Alifa"/>
  </r>
  <r>
    <s v="Extrême-Nord"/>
    <s v="CMR004"/>
    <x v="2"/>
    <s v="CMR004002"/>
    <x v="9"/>
    <s v="CMR004002010"/>
    <s v="HIL-0020"/>
    <s v="WADAK"/>
    <m/>
    <x v="0"/>
    <x v="0"/>
    <n v="10"/>
    <n v="78"/>
    <s v="Conflits liés à GANE (BH)"/>
    <m/>
    <s v="Même arrondissement"/>
    <s v="CMR"/>
    <s v="Cameroun"/>
    <s v="CMR004"/>
    <s v="Extrême-Nord"/>
    <s v="CMR004002"/>
    <s v="Logone-Et-Chari"/>
    <s v="CMR004002010"/>
    <s v="Hile-Alifa"/>
  </r>
  <r>
    <s v="Extrême-Nord"/>
    <s v="CMR004"/>
    <x v="2"/>
    <s v="CMR004002"/>
    <x v="9"/>
    <s v="CMR004002010"/>
    <s v="HIL-0020"/>
    <s v="WADAK"/>
    <m/>
    <x v="0"/>
    <x v="3"/>
    <n v="7"/>
    <n v="30"/>
    <s v="Conflits liés à GANE (BH)"/>
    <m/>
    <s v="Même arrondissement"/>
    <s v="CMR"/>
    <s v="Cameroun"/>
    <s v="CMR004"/>
    <s v="Extrême-Nord"/>
    <s v="CMR004002"/>
    <s v="Logone-Et-Chari"/>
    <s v="CMR004002010"/>
    <s v="Hile-Alifa"/>
  </r>
  <r>
    <s v="Extrême-Nord"/>
    <s v="CMR004"/>
    <x v="2"/>
    <s v="CMR004002"/>
    <x v="9"/>
    <s v="CMR004002010"/>
    <s v="HIL-0020"/>
    <s v="WADAK"/>
    <m/>
    <x v="0"/>
    <x v="2"/>
    <n v="70"/>
    <n v="420"/>
    <s v="Conflits liés à GANE (BH)"/>
    <m/>
    <s v="Même arrondissement"/>
    <s v="CMR"/>
    <s v="Cameroun"/>
    <s v="CMR004"/>
    <s v="Extrême-Nord"/>
    <s v="CMR004002"/>
    <s v="Logone-Et-Chari"/>
    <s v="CMR004002010"/>
    <s v="Hile-Alifa"/>
  </r>
  <r>
    <s v="Extrême-Nord"/>
    <s v="CMR004"/>
    <x v="2"/>
    <s v="CMR004002"/>
    <x v="8"/>
    <s v="CMR004002009"/>
    <s v="MAK-0090"/>
    <s v="TILDE-ECOLE"/>
    <m/>
    <x v="0"/>
    <x v="0"/>
    <n v="61"/>
    <n v="505"/>
    <s v="Conflits liés à GANE (BH)"/>
    <m/>
    <s v="Même arrondissement"/>
    <s v="CMR"/>
    <s v="Cameroun"/>
    <s v="CMR004"/>
    <s v="Extrême-Nord"/>
    <s v="CMR004002"/>
    <s v="Logone-Et-Chari"/>
    <s v="CMR004002009"/>
    <s v="Makary"/>
  </r>
  <r>
    <s v="Extrême-Nord"/>
    <s v="CMR004"/>
    <x v="2"/>
    <s v="CMR004002"/>
    <x v="8"/>
    <s v="CMR004002009"/>
    <s v="MAK-0090"/>
    <s v="TILDE-ECOLE"/>
    <m/>
    <x v="0"/>
    <x v="1"/>
    <n v="0"/>
    <n v="19"/>
    <s v="Conflits liés à GANE (BH)"/>
    <m/>
    <s v="Même arrondissement"/>
    <s v="CMR"/>
    <s v="Cameroun"/>
    <s v="CMR004"/>
    <s v="Extrême-Nord"/>
    <s v="CMR004002"/>
    <s v="Logone-Et-Chari"/>
    <s v="CMR004002009"/>
    <s v="Makary"/>
  </r>
  <r>
    <s v="Extrême-Nord"/>
    <s v="CMR004"/>
    <x v="2"/>
    <s v="CMR004002"/>
    <x v="8"/>
    <s v="CMR004002009"/>
    <s v="MAK-0090"/>
    <s v="TILDE-ECOLE"/>
    <m/>
    <x v="0"/>
    <x v="3"/>
    <n v="0"/>
    <n v="13"/>
    <s v="Conflits liés à GANE (BH)"/>
    <m/>
    <s v="Même arrondissement"/>
    <s v="CMR"/>
    <s v="Cameroun"/>
    <s v="CMR004"/>
    <s v="Extrême-Nord"/>
    <s v="CMR004002"/>
    <s v="Logone-Et-Chari"/>
    <s v="CMR004002009"/>
    <s v="Makary"/>
  </r>
  <r>
    <s v="Extrême-Nord"/>
    <s v="CMR004"/>
    <x v="2"/>
    <s v="CMR004002"/>
    <x v="8"/>
    <s v="CMR004002009"/>
    <s v="MAK-0090"/>
    <s v="TILDE-ECOLE"/>
    <m/>
    <x v="0"/>
    <x v="2"/>
    <n v="0"/>
    <n v="5"/>
    <s v="Conflits liés à GANE (BH)"/>
    <m/>
    <s v="Même arrondissement"/>
    <s v="CMR"/>
    <s v="Cameroun"/>
    <s v="CMR004"/>
    <s v="Extrême-Nord"/>
    <s v="CMR004002"/>
    <s v="Logone-Et-Chari"/>
    <s v="CMR004002009"/>
    <s v="Makary"/>
  </r>
  <r>
    <s v="Extrême-Nord"/>
    <s v="CMR004"/>
    <x v="2"/>
    <s v="CMR004002"/>
    <x v="12"/>
    <s v="CMR004002002"/>
    <s v="GOU-0021"/>
    <s v="SAO"/>
    <m/>
    <x v="0"/>
    <x v="0"/>
    <n v="38"/>
    <n v="238"/>
    <s v="Conflits liés à GANE (BH)"/>
    <m/>
    <s v="Même arrondissement"/>
    <s v="CMR"/>
    <s v="Cameroun"/>
    <s v="CMR004"/>
    <s v="Extrême-Nord"/>
    <s v="CMR004002"/>
    <s v="Logone-Et-Chari"/>
    <s v="CMR004002002"/>
    <s v="Goulfey"/>
  </r>
  <r>
    <s v="Extrême-Nord"/>
    <s v="CMR004"/>
    <x v="2"/>
    <s v="CMR004002"/>
    <x v="12"/>
    <s v="CMR004002002"/>
    <s v="GOU-0015"/>
    <s v="MICH-MICH"/>
    <m/>
    <x v="0"/>
    <x v="0"/>
    <n v="6"/>
    <n v="30"/>
    <s v="Conflits liés à GANE (BH)"/>
    <m/>
    <s v="Même département, autre arrondissement"/>
    <s v="CMR"/>
    <s v="Cameroun"/>
    <s v="CMR004"/>
    <s v="Extrême-Nord"/>
    <s v="CMR004002"/>
    <s v="Logone-Et-Chari"/>
    <s v="CMR004002008"/>
    <s v="Fotokol"/>
  </r>
  <r>
    <s v="Extrême-Nord"/>
    <s v="CMR004"/>
    <x v="2"/>
    <s v="CMR004002"/>
    <x v="12"/>
    <s v="CMR004002002"/>
    <s v="GOU-0027"/>
    <s v="MADINA"/>
    <m/>
    <x v="0"/>
    <x v="3"/>
    <n v="3"/>
    <n v="19"/>
    <s v="Inondations saisonnières ou fortes pluies"/>
    <m/>
    <s v="Même département, autre arrondissement"/>
    <s v="CMR"/>
    <s v="Cameroun"/>
    <s v="CMR004"/>
    <s v="Extrême-Nord"/>
    <s v="CMR004002"/>
    <s v="Logone-Et-Chari"/>
    <s v="CMR004002004"/>
    <s v="Logone-Birni"/>
  </r>
  <r>
    <s v="Extrême-Nord"/>
    <s v="CMR004"/>
    <x v="2"/>
    <s v="CMR004002"/>
    <x v="12"/>
    <s v="CMR004002002"/>
    <s v="GOU-0026"/>
    <s v="LABADO"/>
    <m/>
    <x v="0"/>
    <x v="0"/>
    <n v="4"/>
    <n v="29"/>
    <s v="Conflits liés à GANE (BH)"/>
    <m/>
    <s v="Même département, autre arrondissement"/>
    <s v="CMR"/>
    <s v="Cameroun"/>
    <s v="CMR004"/>
    <s v="Extrême-Nord"/>
    <s v="CMR004002"/>
    <s v="Logone-Et-Chari"/>
    <s v="CMR004002008"/>
    <s v="Fotokol"/>
  </r>
  <r>
    <s v="Extrême-Nord"/>
    <s v="CMR004"/>
    <x v="2"/>
    <s v="CMR004002"/>
    <x v="8"/>
    <s v="CMR004002009"/>
    <s v="MAK-0138"/>
    <s v="GOURLE 2"/>
    <m/>
    <x v="0"/>
    <x v="3"/>
    <n v="4"/>
    <n v="46"/>
    <s v="Conflits liés à GANE (BH)"/>
    <m/>
    <s v="Même arrondissement"/>
    <s v="CMR"/>
    <s v="Cameroun"/>
    <s v="CMR004"/>
    <s v="Extrême-Nord"/>
    <s v="CMR004002"/>
    <s v="Logone-Et-Chari"/>
    <s v="CMR004002009"/>
    <s v="Makary"/>
  </r>
  <r>
    <s v="Extrême-Nord"/>
    <s v="CMR004"/>
    <x v="2"/>
    <s v="CMR004002"/>
    <x v="8"/>
    <s v="CMR004002009"/>
    <s v="MAK-0211"/>
    <s v="BHARAM"/>
    <m/>
    <x v="0"/>
    <x v="3"/>
    <n v="6"/>
    <n v="28"/>
    <s v="Conflits liés à GANE (BH)"/>
    <m/>
    <s v="Même arrondissement"/>
    <s v="CMR"/>
    <s v="Cameroun"/>
    <s v="CMR004"/>
    <s v="Extrême-Nord"/>
    <s v="CMR004002"/>
    <s v="Logone-Et-Chari"/>
    <s v="CMR004002009"/>
    <s v="Makary"/>
  </r>
  <r>
    <s v="Extrême-Nord"/>
    <s v="CMR004"/>
    <x v="2"/>
    <s v="CMR004002"/>
    <x v="8"/>
    <s v="CMR004002009"/>
    <s v="XXXX"/>
    <s v="SITE DE BIAMO"/>
    <s v="SITE DE BIAMO"/>
    <x v="0"/>
    <x v="2"/>
    <n v="100"/>
    <n v="200"/>
    <s v="Inondations saisonnières ou fortes pluies"/>
    <m/>
    <s v="Même arrondissement"/>
    <s v="CMR"/>
    <s v="Cameroun"/>
    <s v="CMR004"/>
    <s v="Extrême-Nord"/>
    <s v="CMR004002"/>
    <s v="Logone-Et-Chari"/>
    <s v="CMR004002009"/>
    <s v="Makary"/>
  </r>
  <r>
    <s v="Extrême-Nord"/>
    <s v="CMR004"/>
    <x v="2"/>
    <s v="CMR004002"/>
    <x v="8"/>
    <s v="CMR004002009"/>
    <s v="MAK-0012"/>
    <s v="BADRA"/>
    <m/>
    <x v="0"/>
    <x v="3"/>
    <n v="2"/>
    <n v="13"/>
    <s v="Conflits liés à GANE (BH)"/>
    <m/>
    <s v="Même département, autre arrondissement"/>
    <s v="CMR"/>
    <s v="Cameroun"/>
    <s v="CMR004"/>
    <s v="Extrême-Nord"/>
    <s v="CMR004002"/>
    <s v="Logone-Et-Chari"/>
    <s v="CMR004002007"/>
    <s v="Darak"/>
  </r>
  <r>
    <s v="Extrême-Nord"/>
    <s v="CMR004"/>
    <x v="2"/>
    <s v="CMR004002"/>
    <x v="8"/>
    <s v="CMR004002009"/>
    <s v="MAK-0012"/>
    <s v="BADRA"/>
    <m/>
    <x v="0"/>
    <x v="2"/>
    <n v="6"/>
    <n v="25"/>
    <s v="Conflits liés à GANE (BH)"/>
    <m/>
    <s v="Même département, autre arrondissement"/>
    <s v="CMR"/>
    <s v="Cameroun"/>
    <s v="CMR004"/>
    <s v="Extrême-Nord"/>
    <s v="CMR004002"/>
    <s v="Logone-Et-Chari"/>
    <s v="CMR004002008"/>
    <s v="Fotokol"/>
  </r>
  <r>
    <s v="Extrême-Nord"/>
    <s v="CMR004"/>
    <x v="2"/>
    <s v="CMR004002"/>
    <x v="8"/>
    <s v="CMR004002009"/>
    <s v="MAK-0018"/>
    <s v="BLAHE"/>
    <m/>
    <x v="0"/>
    <x v="3"/>
    <n v="11"/>
    <n v="54"/>
    <s v="Conflits liés à GANE (BH)"/>
    <m/>
    <s v="Même département, autre arrondissement"/>
    <s v="CMR"/>
    <s v="Cameroun"/>
    <s v="CMR004"/>
    <s v="Extrême-Nord"/>
    <s v="CMR004002"/>
    <s v="Logone-Et-Chari"/>
    <s v="CMR004002007"/>
    <s v="Darak"/>
  </r>
  <r>
    <s v="Extrême-Nord"/>
    <s v="CMR004"/>
    <x v="2"/>
    <s v="CMR004002"/>
    <x v="8"/>
    <s v="CMR004002009"/>
    <s v="MAK-0018"/>
    <s v="BLAHE"/>
    <m/>
    <x v="0"/>
    <x v="2"/>
    <n v="3"/>
    <n v="16"/>
    <s v="Conflits liés à GANE (BH)"/>
    <m/>
    <s v="Même département, autre arrondissement"/>
    <s v="CMR"/>
    <s v="Cameroun"/>
    <s v="CMR004"/>
    <s v="Extrême-Nord"/>
    <s v="CMR004002"/>
    <s v="Logone-Et-Chari"/>
    <s v="CMR004002008"/>
    <s v="Fotokol"/>
  </r>
  <r>
    <s v="Extrême-Nord"/>
    <s v="CMR004"/>
    <x v="2"/>
    <s v="CMR004002"/>
    <x v="8"/>
    <s v="CMR004002009"/>
    <s v="MAK-0079"/>
    <s v="NDODOHE KALIA"/>
    <m/>
    <x v="0"/>
    <x v="3"/>
    <n v="3"/>
    <n v="15"/>
    <s v="Conflits liés à GANE (BH)"/>
    <m/>
    <s v="Même département, autre arrondissement"/>
    <s v="CMR"/>
    <s v="Cameroun"/>
    <s v="CMR004"/>
    <s v="Extrême-Nord"/>
    <s v="CMR004002"/>
    <s v="Logone-Et-Chari"/>
    <s v="CMR004002007"/>
    <s v="Darak"/>
  </r>
  <r>
    <s v="Extrême-Nord"/>
    <s v="CMR004"/>
    <x v="2"/>
    <s v="CMR004002"/>
    <x v="8"/>
    <s v="CMR004002009"/>
    <s v="MAK-0079"/>
    <s v="NDODOHE KALIA"/>
    <m/>
    <x v="0"/>
    <x v="2"/>
    <n v="4"/>
    <n v="26"/>
    <s v="Conflits liés à GANE (BH)"/>
    <m/>
    <s v="Même département, autre arrondissement"/>
    <s v="CMR"/>
    <s v="Cameroun"/>
    <s v="CMR004"/>
    <s v="Extrême-Nord"/>
    <s v="CMR004002"/>
    <s v="Logone-Et-Chari"/>
    <s v="CMR004002002"/>
    <s v="Goulfey"/>
  </r>
  <r>
    <s v="Extrême-Nord"/>
    <s v="CMR004"/>
    <x v="2"/>
    <s v="CMR004002"/>
    <x v="8"/>
    <s v="CMR004002009"/>
    <s v="MAK-0080"/>
    <s v="NDODOHE YOUSSOUF"/>
    <m/>
    <x v="0"/>
    <x v="3"/>
    <n v="6"/>
    <n v="56"/>
    <s v="Conflits liés à GANE (BH)"/>
    <m/>
    <s v="Même département, autre arrondissement"/>
    <s v="CMR"/>
    <s v="Cameroun"/>
    <s v="CMR004"/>
    <s v="Extrême-Nord"/>
    <s v="CMR004002"/>
    <s v="Logone-Et-Chari"/>
    <s v="CMR004002007"/>
    <s v="Darak"/>
  </r>
  <r>
    <s v="Extrême-Nord"/>
    <s v="CMR004"/>
    <x v="2"/>
    <s v="CMR004002"/>
    <x v="8"/>
    <s v="CMR004002009"/>
    <s v="MAK-0080"/>
    <s v="NDODOHE YOUSSOUF"/>
    <m/>
    <x v="0"/>
    <x v="2"/>
    <n v="8"/>
    <n v="48"/>
    <s v="Conflits liés à GANE (BH)"/>
    <m/>
    <s v="Même département, autre arrondissement"/>
    <s v="CMR"/>
    <s v="Cameroun"/>
    <s v="CMR004"/>
    <s v="Extrême-Nord"/>
    <s v="CMR004002"/>
    <s v="Logone-Et-Chari"/>
    <s v="CMR004002002"/>
    <s v="Goulfey"/>
  </r>
  <r>
    <s v="Extrême-Nord"/>
    <s v="CMR004"/>
    <x v="2"/>
    <s v="CMR004002"/>
    <x v="8"/>
    <s v="CMR004002009"/>
    <s v="MAK-0219"/>
    <s v="FADJE"/>
    <m/>
    <x v="0"/>
    <x v="3"/>
    <n v="4"/>
    <n v="17"/>
    <s v="Conflits liés à GANE (BH)"/>
    <m/>
    <s v="Même département, autre arrondissement"/>
    <s v="CMR"/>
    <s v="Cameroun"/>
    <s v="CMR004"/>
    <s v="Extrême-Nord"/>
    <s v="CMR004002"/>
    <s v="Logone-Et-Chari"/>
    <s v="CMR004002007"/>
    <s v="Darak"/>
  </r>
  <r>
    <s v="Extrême-Nord"/>
    <s v="CMR004"/>
    <x v="2"/>
    <s v="CMR004002"/>
    <x v="8"/>
    <s v="CMR004002009"/>
    <s v="MAK-0219"/>
    <s v="FADJE"/>
    <m/>
    <x v="0"/>
    <x v="2"/>
    <n v="11"/>
    <n v="68"/>
    <s v="Conflits liés à GANE (BH)"/>
    <m/>
    <s v="Même département, autre arrondissement"/>
    <s v="CMR"/>
    <s v="Cameroun"/>
    <s v="CMR004"/>
    <s v="Extrême-Nord"/>
    <s v="CMR004002"/>
    <s v="Logone-Et-Chari"/>
    <s v="CMR004002008"/>
    <s v="Fotokol"/>
  </r>
  <r>
    <s v="Extrême-Nord"/>
    <s v="CMR004"/>
    <x v="2"/>
    <s v="CMR004002"/>
    <x v="8"/>
    <s v="CMR004002009"/>
    <s v="MAK-0042"/>
    <s v="GOURGOURA"/>
    <m/>
    <x v="0"/>
    <x v="3"/>
    <n v="10"/>
    <n v="39"/>
    <s v="Conflits liés à GANE (BH)"/>
    <m/>
    <s v="Même département, autre arrondissement"/>
    <s v="CMR"/>
    <s v="Cameroun"/>
    <s v="CMR004"/>
    <s v="Extrême-Nord"/>
    <s v="CMR004002"/>
    <s v="Logone-Et-Chari"/>
    <s v="CMR004002007"/>
    <s v="Darak"/>
  </r>
  <r>
    <s v="Extrême-Nord"/>
    <s v="CMR004"/>
    <x v="2"/>
    <s v="CMR004002"/>
    <x v="8"/>
    <s v="CMR004002009"/>
    <s v="MAK-0042"/>
    <s v="GOURGOURA"/>
    <m/>
    <x v="0"/>
    <x v="2"/>
    <n v="10"/>
    <n v="76"/>
    <s v="Conflits liés à GANE (BH)"/>
    <m/>
    <s v="Même département, autre arrondissement"/>
    <s v="CMR"/>
    <s v="Cameroun"/>
    <s v="CMR004"/>
    <s v="Extrême-Nord"/>
    <s v="CMR004002"/>
    <s v="Logone-Et-Chari"/>
    <s v="CMR004002008"/>
    <s v="Fotokol"/>
  </r>
  <r>
    <s v="Extrême-Nord"/>
    <s v="CMR004"/>
    <x v="3"/>
    <s v="CMR004003"/>
    <x v="31"/>
    <s v="CMR004003006"/>
    <s v="GUM-0001"/>
    <s v="BANGALA"/>
    <m/>
    <x v="0"/>
    <x v="2"/>
    <n v="35"/>
    <n v="285"/>
    <s v="Inondations saisonnières ou fortes pluies"/>
    <m/>
    <s v="Même arrondissement"/>
    <s v="CMR"/>
    <s v="Cameroun"/>
    <s v="CMR004"/>
    <s v="Extrême-Nord"/>
    <s v="CMR004003"/>
    <s v="Mayo-Danay"/>
    <s v="CMR004003006"/>
    <s v="Guémé"/>
  </r>
  <r>
    <s v="Extrême-Nord"/>
    <s v="CMR004"/>
    <x v="2"/>
    <s v="CMR004002"/>
    <x v="8"/>
    <s v="CMR004002009"/>
    <s v="MAK-0092"/>
    <s v="WACHAMO"/>
    <m/>
    <x v="0"/>
    <x v="0"/>
    <n v="16"/>
    <n v="86"/>
    <s v="Conflits liés à GANE (BH)"/>
    <m/>
    <s v="Même département, autre arrondissement"/>
    <s v="CMR"/>
    <s v="Cameroun"/>
    <s v="CMR004"/>
    <s v="Extrême-Nord"/>
    <s v="CMR004002"/>
    <s v="Logone-Et-Chari"/>
    <s v="CMR004002008"/>
    <s v="Fotokol"/>
  </r>
  <r>
    <s v="Extrême-Nord"/>
    <s v="CMR004"/>
    <x v="2"/>
    <s v="CMR004002"/>
    <x v="8"/>
    <s v="CMR004002009"/>
    <s v="MAK-0092"/>
    <s v="WACHAMO"/>
    <m/>
    <x v="0"/>
    <x v="4"/>
    <n v="0"/>
    <n v="8"/>
    <s v="Conflits liés à GANE (BH)"/>
    <m/>
    <s v="Même département, autre arrondissement"/>
    <s v="CMR"/>
    <s v="Cameroun"/>
    <s v="CMR004"/>
    <s v="Extrême-Nord"/>
    <s v="CMR004002"/>
    <s v="Logone-Et-Chari"/>
    <s v="CMR004002008"/>
    <s v="Fotokol"/>
  </r>
  <r>
    <s v="Extrême-Nord"/>
    <s v="CMR004"/>
    <x v="2"/>
    <s v="CMR004002"/>
    <x v="26"/>
    <s v="CMR004002006"/>
    <s v="KOU-0013"/>
    <s v="KOULKADA"/>
    <m/>
    <x v="0"/>
    <x v="0"/>
    <n v="50"/>
    <n v="200"/>
    <s v="Conflits liés à GANE (BH)"/>
    <m/>
    <s v="Même département, autre arrondissement"/>
    <s v="CMR"/>
    <s v="Cameroun"/>
    <s v="CMR004"/>
    <s v="Extrême-Nord"/>
    <s v="CMR004002"/>
    <s v="Logone-Et-Chari"/>
    <s v="CMR004002008"/>
    <s v="Fotokol"/>
  </r>
  <r>
    <s v="Extrême-Nord"/>
    <s v="CMR004"/>
    <x v="2"/>
    <s v="CMR004002"/>
    <x v="26"/>
    <s v="CMR004002006"/>
    <s v="KOU-0013"/>
    <s v="KOULKADA"/>
    <m/>
    <x v="0"/>
    <x v="2"/>
    <n v="10"/>
    <n v="55"/>
    <s v="Inondations saisonnières ou fortes pluies"/>
    <m/>
    <s v="Même arrondissement"/>
    <s v="CMR"/>
    <s v="Cameroun"/>
    <s v="CMR004"/>
    <s v="Extrême-Nord"/>
    <s v="CMR004002"/>
    <s v="Logone-Et-Chari"/>
    <s v="CMR004002006"/>
    <s v="Kousséri"/>
  </r>
  <r>
    <s v="Extrême-Nord"/>
    <s v="CMR004"/>
    <x v="3"/>
    <s v="CMR004003"/>
    <x v="31"/>
    <s v="CMR004003006"/>
    <s v="GUM-0002"/>
    <s v="GUEME"/>
    <m/>
    <x v="0"/>
    <x v="2"/>
    <n v="41"/>
    <n v="454"/>
    <s v="Inondations saisonnières ou fortes pluies"/>
    <m/>
    <s v="Même arrondissement"/>
    <s v="CMR"/>
    <s v="Cameroun"/>
    <s v="CMR004"/>
    <s v="Extrême-Nord"/>
    <s v="CMR004003"/>
    <s v="Mayo-Danay"/>
    <s v="CMR004003006"/>
    <s v="Guémé"/>
  </r>
  <r>
    <s v="Extrême-Nord"/>
    <s v="CMR004"/>
    <x v="4"/>
    <s v="CMR004005"/>
    <x v="19"/>
    <s v="CMR004005001"/>
    <s v="XXXX"/>
    <s v="SITE DE GAKARA"/>
    <s v="SITE DE GAKARA"/>
    <x v="0"/>
    <x v="2"/>
    <n v="200"/>
    <n v="600"/>
    <s v="Conflits liés à GANE (BH)"/>
    <m/>
    <s v="Même arrondissement"/>
    <s v="CMR"/>
    <s v="Cameroun"/>
    <s v="CMR004"/>
    <s v="Extrême-Nord"/>
    <s v="CMR004005"/>
    <s v="Mayo-Sava"/>
    <s v="CMR004005001"/>
    <s v="Kolofata"/>
  </r>
  <r>
    <s v="Extrême-Nord"/>
    <s v="CMR004"/>
    <x v="4"/>
    <s v="CMR004005"/>
    <x v="19"/>
    <s v="CMR004005001"/>
    <s v="KOL-0001"/>
    <s v="AMCHIDE"/>
    <m/>
    <x v="0"/>
    <x v="2"/>
    <n v="117"/>
    <n v="868"/>
    <s v="Conflits liés à GANE (BH)"/>
    <m/>
    <s v="Même arrondissement"/>
    <s v="CMR"/>
    <s v="Cameroun"/>
    <s v="CMR004"/>
    <s v="Extrême-Nord"/>
    <s v="CMR004005"/>
    <s v="Mayo-Sava"/>
    <s v="CMR004005001"/>
    <s v="Kolofata"/>
  </r>
  <r>
    <s v="Extrême-Nord"/>
    <s v="CMR004"/>
    <x v="4"/>
    <s v="CMR004005"/>
    <x v="19"/>
    <s v="CMR004005001"/>
    <s v="KOL-0001"/>
    <s v="AMCHIDE"/>
    <m/>
    <x v="0"/>
    <x v="0"/>
    <n v="627"/>
    <n v="4445"/>
    <s v="Conflits liés à GANE (BH)"/>
    <m/>
    <s v="Même arrondissement"/>
    <s v="CMR"/>
    <s v="Cameroun"/>
    <s v="CMR004"/>
    <s v="Extrême-Nord"/>
    <s v="CMR004005"/>
    <s v="Mayo-Sava"/>
    <s v="CMR004005001"/>
    <s v="Kolofata"/>
  </r>
  <r>
    <s v="Extrême-Nord"/>
    <s v="CMR004"/>
    <x v="4"/>
    <s v="CMR004005"/>
    <x v="19"/>
    <s v="CMR004005001"/>
    <s v="KOL-0001"/>
    <s v="AMCHIDE"/>
    <m/>
    <x v="0"/>
    <x v="1"/>
    <n v="0"/>
    <n v="34"/>
    <s v="Conflits liés à GANE (BH)"/>
    <m/>
    <s v="Même arrondissement"/>
    <s v="CMR"/>
    <s v="Cameroun"/>
    <s v="CMR004"/>
    <s v="Extrême-Nord"/>
    <s v="CMR004005"/>
    <s v="Mayo-Sava"/>
    <s v="CMR004005001"/>
    <s v="Kolofata"/>
  </r>
  <r>
    <s v="Extrême-Nord"/>
    <s v="CMR004"/>
    <x v="4"/>
    <s v="CMR004005"/>
    <x v="19"/>
    <s v="CMR004005001"/>
    <s v="KOL-0001"/>
    <s v="AMCHIDE"/>
    <m/>
    <x v="0"/>
    <x v="4"/>
    <n v="0"/>
    <n v="51"/>
    <s v="Conflits liés à GANE (BH)"/>
    <m/>
    <s v="Même arrondissement"/>
    <s v="CMR"/>
    <s v="Cameroun"/>
    <s v="CMR004"/>
    <s v="Extrême-Nord"/>
    <s v="CMR004005"/>
    <s v="Mayo-Sava"/>
    <s v="CMR004005001"/>
    <s v="Kolofata"/>
  </r>
  <r>
    <s v="Extrême-Nord"/>
    <s v="CMR004"/>
    <x v="4"/>
    <s v="CMR004005"/>
    <x v="19"/>
    <s v="CMR004005001"/>
    <s v="KOL-0001"/>
    <s v="AMCHIDE"/>
    <m/>
    <x v="0"/>
    <x v="3"/>
    <n v="0"/>
    <n v="60"/>
    <s v="Conflits liés à GANE (BH)"/>
    <m/>
    <s v="Même arrondissement"/>
    <s v="CMR"/>
    <s v="Cameroun"/>
    <s v="CMR004"/>
    <s v="Extrême-Nord"/>
    <s v="CMR004005"/>
    <s v="Mayo-Sava"/>
    <s v="CMR004005001"/>
    <s v="Kolofata"/>
  </r>
  <r>
    <s v="Extrême-Nord"/>
    <s v="CMR004"/>
    <x v="4"/>
    <s v="CMR004005"/>
    <x v="29"/>
    <s v="CMR004005003"/>
    <s v="TOK-0005"/>
    <s v="MBZAGABAI"/>
    <m/>
    <x v="0"/>
    <x v="2"/>
    <n v="4"/>
    <n v="32"/>
    <s v="Conflits liés à GANE (BH)"/>
    <m/>
    <s v="Même arrondissement"/>
    <s v="CMR"/>
    <s v="Cameroun"/>
    <s v="CMR004"/>
    <s v="Extrême-Nord"/>
    <s v="CMR004005"/>
    <s v="Mayo-Sava"/>
    <s v="CMR004005003"/>
    <s v="Tokombéré"/>
  </r>
  <r>
    <s v="Extrême-Nord"/>
    <s v="CMR004"/>
    <x v="4"/>
    <s v="CMR004005"/>
    <x v="29"/>
    <s v="CMR004005003"/>
    <s v="TOK-0005"/>
    <s v="MBZAGABAI"/>
    <m/>
    <x v="0"/>
    <x v="0"/>
    <n v="10"/>
    <n v="136"/>
    <s v="Conflits liés à GANE (BH)"/>
    <m/>
    <s v="Même arrondissement"/>
    <s v="CMR"/>
    <s v="Cameroun"/>
    <s v="CMR004"/>
    <s v="Extrême-Nord"/>
    <s v="CMR004005"/>
    <s v="Mayo-Sava"/>
    <s v="CMR004005003"/>
    <s v="Tokombéré"/>
  </r>
  <r>
    <s v="Extrême-Nord"/>
    <s v="CMR004"/>
    <x v="4"/>
    <s v="CMR004005"/>
    <x v="29"/>
    <s v="CMR004005003"/>
    <s v="TOK-0005"/>
    <s v="MBZAGABAI"/>
    <m/>
    <x v="0"/>
    <x v="1"/>
    <n v="0"/>
    <n v="15"/>
    <s v="Conflits liés à GANE (BH)"/>
    <m/>
    <s v="Même arrondissement"/>
    <s v="CMR"/>
    <s v="Cameroun"/>
    <s v="CMR004"/>
    <s v="Extrême-Nord"/>
    <s v="CMR004005"/>
    <s v="Mayo-Sava"/>
    <s v="CMR004005003"/>
    <s v="Tokombéré"/>
  </r>
  <r>
    <s v="Extrême-Nord"/>
    <s v="CMR004"/>
    <x v="4"/>
    <s v="CMR004005"/>
    <x v="29"/>
    <s v="CMR004005003"/>
    <s v="TOK-0005"/>
    <s v="MBZAGABAI"/>
    <m/>
    <x v="0"/>
    <x v="4"/>
    <n v="0"/>
    <n v="43"/>
    <s v="Conflits liés à GANE (BH)"/>
    <m/>
    <s v="Même arrondissement"/>
    <s v="CMR"/>
    <s v="Cameroun"/>
    <s v="CMR004"/>
    <s v="Extrême-Nord"/>
    <s v="CMR004005"/>
    <s v="Mayo-Sava"/>
    <s v="CMR004005003"/>
    <s v="Tokombéré"/>
  </r>
  <r>
    <s v="Extrême-Nord"/>
    <s v="CMR004"/>
    <x v="4"/>
    <s v="CMR004005"/>
    <x v="29"/>
    <s v="CMR004005003"/>
    <s v="TOK-0005"/>
    <s v="MBZAGABAI"/>
    <m/>
    <x v="0"/>
    <x v="3"/>
    <n v="0"/>
    <n v="6"/>
    <s v="Conflits liés à GANE (BH)"/>
    <m/>
    <s v="Même arrondissement"/>
    <s v="CMR"/>
    <s v="Cameroun"/>
    <s v="CMR004"/>
    <s v="Extrême-Nord"/>
    <s v="CMR004005"/>
    <s v="Mayo-Sava"/>
    <s v="CMR004005003"/>
    <s v="Tokombéré"/>
  </r>
  <r>
    <s v="Extrême-Nord"/>
    <s v="CMR004"/>
    <x v="4"/>
    <s v="CMR004005"/>
    <x v="29"/>
    <s v="CMR004005003"/>
    <s v="TOK-0012"/>
    <s v="DAKADALA GADADOU"/>
    <m/>
    <x v="0"/>
    <x v="2"/>
    <n v="0"/>
    <n v="2"/>
    <s v="Conflits liés à GANE (BH)"/>
    <m/>
    <s v="Même arrondissement"/>
    <s v="CMR"/>
    <s v="Cameroun"/>
    <s v="CMR004"/>
    <s v="Extrême-Nord"/>
    <s v="CMR004005"/>
    <s v="Mayo-Sava"/>
    <s v="CMR004005003"/>
    <s v="Tokombéré"/>
  </r>
  <r>
    <s v="Extrême-Nord"/>
    <s v="CMR004"/>
    <x v="4"/>
    <s v="CMR004005"/>
    <x v="29"/>
    <s v="CMR004005003"/>
    <s v="TOK-0012"/>
    <s v="DAKADALA GADADOU"/>
    <m/>
    <x v="0"/>
    <x v="1"/>
    <n v="1"/>
    <n v="36"/>
    <s v="Conflits liés à GANE (BH)"/>
    <m/>
    <s v="Même arrondissement"/>
    <s v="CMR"/>
    <s v="Cameroun"/>
    <s v="CMR004"/>
    <s v="Extrême-Nord"/>
    <s v="CMR004005"/>
    <s v="Mayo-Sava"/>
    <s v="CMR004005003"/>
    <s v="Tokombéré"/>
  </r>
  <r>
    <s v="Extrême-Nord"/>
    <s v="CMR004"/>
    <x v="4"/>
    <s v="CMR004005"/>
    <x v="29"/>
    <s v="CMR004005003"/>
    <s v="TOK-0012"/>
    <s v="DAKADALA GADADOU"/>
    <m/>
    <x v="0"/>
    <x v="4"/>
    <n v="0"/>
    <n v="13"/>
    <s v="Conflits liés à GANE (BH)"/>
    <m/>
    <s v="Même arrondissement"/>
    <s v="CMR"/>
    <s v="Cameroun"/>
    <s v="CMR004"/>
    <s v="Extrême-Nord"/>
    <s v="CMR004005"/>
    <s v="Mayo-Sava"/>
    <s v="CMR004005003"/>
    <s v="Tokombéré"/>
  </r>
  <r>
    <s v="Extrême-Nord"/>
    <s v="CMR004"/>
    <x v="4"/>
    <s v="CMR004005"/>
    <x v="29"/>
    <s v="CMR004005003"/>
    <s v="TOK-0012"/>
    <s v="DAKADALA GADADOU"/>
    <m/>
    <x v="0"/>
    <x v="3"/>
    <n v="0"/>
    <n v="10"/>
    <s v="Conflits liés à GANE (BH)"/>
    <m/>
    <s v="Même arrondissement"/>
    <s v="CMR"/>
    <s v="Cameroun"/>
    <s v="CMR004"/>
    <s v="Extrême-Nord"/>
    <s v="CMR004005"/>
    <s v="Mayo-Sava"/>
    <s v="CMR004005003"/>
    <s v="Tokombéré"/>
  </r>
  <r>
    <s v="Extrême-Nord"/>
    <s v="CMR004"/>
    <x v="4"/>
    <s v="CMR004005"/>
    <x v="29"/>
    <s v="CMR004005003"/>
    <s v="TOK-0015"/>
    <s v="BALA"/>
    <m/>
    <x v="0"/>
    <x v="2"/>
    <n v="0"/>
    <n v="1"/>
    <s v="Conflits liés à GANE (BH)"/>
    <m/>
    <s v="Même arrondissement"/>
    <s v="CMR"/>
    <s v="Cameroun"/>
    <s v="CMR004"/>
    <s v="Extrême-Nord"/>
    <s v="CMR004005"/>
    <s v="Mayo-Sava"/>
    <s v="CMR004005003"/>
    <s v="Tokombéré"/>
  </r>
  <r>
    <s v="Extrême-Nord"/>
    <s v="CMR004"/>
    <x v="4"/>
    <s v="CMR004005"/>
    <x v="29"/>
    <s v="CMR004005003"/>
    <s v="TOK-0015"/>
    <s v="BALA"/>
    <m/>
    <x v="0"/>
    <x v="0"/>
    <n v="3"/>
    <n v="21"/>
    <s v="Conflits liés à GANE (BH)"/>
    <m/>
    <s v="Même arrondissement"/>
    <s v="CMR"/>
    <s v="Cameroun"/>
    <s v="CMR004"/>
    <s v="Extrême-Nord"/>
    <s v="CMR004005"/>
    <s v="Mayo-Sava"/>
    <s v="CMR004005003"/>
    <s v="Tokombéré"/>
  </r>
  <r>
    <s v="Extrême-Nord"/>
    <s v="CMR004"/>
    <x v="4"/>
    <s v="CMR004005"/>
    <x v="29"/>
    <s v="CMR004005003"/>
    <s v="TOK-0015"/>
    <s v="BALA"/>
    <m/>
    <x v="0"/>
    <x v="1"/>
    <n v="1"/>
    <n v="6"/>
    <s v="Conflits liés à GANE (BH)"/>
    <m/>
    <s v="Même arrondissement"/>
    <s v="CMR"/>
    <s v="Cameroun"/>
    <s v="CMR004"/>
    <s v="Extrême-Nord"/>
    <s v="CMR004005"/>
    <s v="Mayo-Sava"/>
    <s v="CMR004005003"/>
    <s v="Tokombéré"/>
  </r>
  <r>
    <s v="Extrême-Nord"/>
    <s v="CMR004"/>
    <x v="4"/>
    <s v="CMR004005"/>
    <x v="29"/>
    <s v="CMR004005003"/>
    <s v="TOK-0015"/>
    <s v="BALA"/>
    <m/>
    <x v="0"/>
    <x v="4"/>
    <n v="0"/>
    <n v="20"/>
    <s v="Conflits liés à GANE (BH)"/>
    <m/>
    <s v="Même arrondissement"/>
    <s v="CMR"/>
    <s v="Cameroun"/>
    <s v="CMR004"/>
    <s v="Extrême-Nord"/>
    <s v="CMR004005"/>
    <s v="Mayo-Sava"/>
    <s v="CMR004005003"/>
    <s v="Tokombéré"/>
  </r>
  <r>
    <s v="Extrême-Nord"/>
    <s v="CMR004"/>
    <x v="4"/>
    <s v="CMR004005"/>
    <x v="29"/>
    <s v="CMR004005003"/>
    <s v="TOK-0015"/>
    <s v="BALA"/>
    <m/>
    <x v="0"/>
    <x v="3"/>
    <n v="0"/>
    <n v="2"/>
    <s v="Conflits liés à GANE (BH)"/>
    <m/>
    <s v="Même arrondissement"/>
    <s v="CMR"/>
    <s v="Cameroun"/>
    <s v="CMR004"/>
    <s v="Extrême-Nord"/>
    <s v="CMR004005"/>
    <s v="Mayo-Sava"/>
    <s v="CMR004005003"/>
    <s v="Tokombéré"/>
  </r>
  <r>
    <s v="Extrême-Nord"/>
    <s v="CMR004"/>
    <x v="2"/>
    <s v="CMR004002"/>
    <x v="25"/>
    <s v="CMR004002008"/>
    <s v="FOT-0006"/>
    <s v="FOTOKOL VILLE"/>
    <m/>
    <x v="0"/>
    <x v="1"/>
    <n v="2"/>
    <n v="10"/>
    <s v="Conflits liés à GANE (BH)"/>
    <m/>
    <s v="Même arrondissement"/>
    <s v="CMR"/>
    <s v="Cameroun"/>
    <s v="CMR004"/>
    <s v="Extrême-Nord"/>
    <s v="CMR004002"/>
    <s v="Logone-Et-Chari"/>
    <s v="CMR004002008"/>
    <s v="Fotokol"/>
  </r>
  <r>
    <s v="Extrême-Nord"/>
    <s v="CMR004"/>
    <x v="2"/>
    <s v="CMR004002"/>
    <x v="25"/>
    <s v="CMR004002008"/>
    <s v="FOT-0006"/>
    <s v="FOTOKOL VILLE"/>
    <m/>
    <x v="0"/>
    <x v="0"/>
    <n v="2392"/>
    <n v="12370"/>
    <s v="Conflits liés à GANE (BH)"/>
    <m/>
    <s v="Même arrondissement"/>
    <s v="CMR"/>
    <s v="Cameroun"/>
    <s v="CMR004"/>
    <s v="Extrême-Nord"/>
    <s v="CMR004002"/>
    <s v="Logone-Et-Chari"/>
    <s v="CMR004002008"/>
    <s v="Fotokol"/>
  </r>
  <r>
    <s v="Extrême-Nord"/>
    <s v="CMR004"/>
    <x v="3"/>
    <s v="CMR004003"/>
    <x v="11"/>
    <s v="CMR004003002"/>
    <s v="MAG-0009"/>
    <s v="ARGAZAMA"/>
    <m/>
    <x v="0"/>
    <x v="0"/>
    <n v="10"/>
    <n v="43"/>
    <s v="Inondations saisonnières ou fortes pluies"/>
    <m/>
    <s v="Même arrondissement"/>
    <s v="CMR"/>
    <s v="Cameroun"/>
    <s v="CMR004"/>
    <s v="Extrême-Nord"/>
    <s v="CMR004003"/>
    <s v="Mayo-Danay"/>
    <s v="CMR004003002"/>
    <s v="Maga"/>
  </r>
  <r>
    <s v="Extrême-Nord"/>
    <s v="CMR004"/>
    <x v="3"/>
    <s v="CMR004003"/>
    <x v="11"/>
    <s v="CMR004003002"/>
    <s v="MAG-0009"/>
    <s v="ARGAZAMA"/>
    <m/>
    <x v="0"/>
    <x v="1"/>
    <n v="0"/>
    <n v="8"/>
    <s v="Inondations saisonnières ou fortes pluies"/>
    <m/>
    <s v="Même arrondissement"/>
    <s v="CMR"/>
    <s v="Cameroun"/>
    <s v="CMR004"/>
    <s v="Extrême-Nord"/>
    <s v="CMR004003"/>
    <s v="Mayo-Danay"/>
    <s v="CMR004003002"/>
    <s v="Maga"/>
  </r>
  <r>
    <s v="Extrême-Nord"/>
    <s v="CMR004"/>
    <x v="3"/>
    <s v="CMR004003"/>
    <x v="11"/>
    <s v="CMR004003002"/>
    <s v="MAG-0009"/>
    <s v="ARGAZAMA"/>
    <m/>
    <x v="0"/>
    <x v="3"/>
    <n v="0"/>
    <n v="2"/>
    <s v="Inondations saisonnières ou fortes pluies"/>
    <m/>
    <s v="Même arrondissement"/>
    <s v="CMR"/>
    <s v="Cameroun"/>
    <s v="CMR004"/>
    <s v="Extrême-Nord"/>
    <s v="CMR004003"/>
    <s v="Mayo-Danay"/>
    <s v="CMR004003002"/>
    <s v="Maga"/>
  </r>
  <r>
    <s v="Extrême-Nord"/>
    <s v="CMR004"/>
    <x v="3"/>
    <s v="CMR004003"/>
    <x v="11"/>
    <s v="CMR004003002"/>
    <s v="MAG-0009"/>
    <s v="ARGAZAMA"/>
    <m/>
    <x v="0"/>
    <x v="4"/>
    <n v="0"/>
    <n v="3"/>
    <s v="Inondations saisonnières ou fortes pluies"/>
    <m/>
    <s v="Même arrondissement"/>
    <s v="CMR"/>
    <s v="Cameroun"/>
    <s v="CMR004"/>
    <s v="Extrême-Nord"/>
    <s v="CMR004003"/>
    <s v="Mayo-Danay"/>
    <s v="CMR004003002"/>
    <s v="Maga"/>
  </r>
  <r>
    <s v="Extrême-Nord"/>
    <s v="CMR004"/>
    <x v="3"/>
    <s v="CMR004003"/>
    <x v="11"/>
    <s v="CMR004003002"/>
    <s v="MAG-0014"/>
    <s v="PINFOUNG"/>
    <m/>
    <x v="0"/>
    <x v="0"/>
    <n v="30"/>
    <n v="218"/>
    <s v="Inondations saisonnières ou fortes pluies"/>
    <m/>
    <s v="Même arrondissement"/>
    <s v="CMR"/>
    <s v="Cameroun"/>
    <s v="CMR004"/>
    <s v="Extrême-Nord"/>
    <s v="CMR004003"/>
    <s v="Mayo-Danay"/>
    <s v="CMR004003002"/>
    <s v="Maga"/>
  </r>
  <r>
    <s v="Extrême-Nord"/>
    <s v="CMR004"/>
    <x v="3"/>
    <s v="CMR004003"/>
    <x v="11"/>
    <s v="CMR004003002"/>
    <s v="MAG-0014"/>
    <s v="PINFOUNG"/>
    <m/>
    <x v="0"/>
    <x v="1"/>
    <n v="0"/>
    <n v="20"/>
    <s v="Inondations saisonnières ou fortes pluies"/>
    <m/>
    <s v="Même arrondissement"/>
    <s v="CMR"/>
    <s v="Cameroun"/>
    <s v="CMR004"/>
    <s v="Extrême-Nord"/>
    <s v="CMR004003"/>
    <s v="Mayo-Danay"/>
    <s v="CMR004003002"/>
    <s v="Maga"/>
  </r>
  <r>
    <s v="Extrême-Nord"/>
    <s v="CMR004"/>
    <x v="3"/>
    <s v="CMR004003"/>
    <x v="11"/>
    <s v="CMR004003002"/>
    <s v="MAG-0014"/>
    <s v="PINFOUNG"/>
    <m/>
    <x v="0"/>
    <x v="4"/>
    <n v="0"/>
    <n v="10"/>
    <s v="Inondations saisonnières ou fortes pluies"/>
    <m/>
    <s v="Même arrondissement"/>
    <s v="CMR"/>
    <s v="Cameroun"/>
    <s v="CMR004"/>
    <s v="Extrême-Nord"/>
    <s v="CMR004003"/>
    <s v="Mayo-Danay"/>
    <s v="CMR004003002"/>
    <s v="Maga"/>
  </r>
  <r>
    <s v="Extrême-Nord"/>
    <s v="CMR004"/>
    <x v="3"/>
    <s v="CMR004003"/>
    <x v="11"/>
    <s v="CMR004003002"/>
    <s v="MAG-0014"/>
    <s v="PINFOUNG"/>
    <m/>
    <x v="0"/>
    <x v="3"/>
    <n v="0"/>
    <n v="11"/>
    <s v="Inondations saisonnières ou fortes pluies"/>
    <m/>
    <s v="Même arrondissement"/>
    <s v="CMR"/>
    <s v="Cameroun"/>
    <s v="CMR004"/>
    <s v="Extrême-Nord"/>
    <s v="CMR004003"/>
    <s v="Mayo-Danay"/>
    <s v="CMR004003002"/>
    <s v="Maga"/>
  </r>
  <r>
    <s v="Extrême-Nord"/>
    <s v="CMR004"/>
    <x v="3"/>
    <s v="CMR004003"/>
    <x v="11"/>
    <s v="CMR004003002"/>
    <s v="MAG-0014"/>
    <s v="PINFOUNG"/>
    <m/>
    <x v="0"/>
    <x v="2"/>
    <n v="0"/>
    <n v="11"/>
    <s v="Inondations saisonnières ou fortes pluies"/>
    <m/>
    <s v="Même arrondissement"/>
    <s v="CMR"/>
    <s v="Cameroun"/>
    <s v="CMR004"/>
    <s v="Extrême-Nord"/>
    <s v="CMR004003"/>
    <s v="Mayo-Danay"/>
    <s v="CMR004003002"/>
    <s v="Maga"/>
  </r>
  <r>
    <s v="Extrême-Nord"/>
    <s v="CMR004"/>
    <x v="3"/>
    <s v="CMR004003"/>
    <x v="11"/>
    <s v="CMR004003002"/>
    <s v="MAG-0007"/>
    <s v="GAYA 2 SITE"/>
    <m/>
    <x v="0"/>
    <x v="4"/>
    <n v="0"/>
    <n v="7"/>
    <s v="Inondations saisonnières ou fortes pluies"/>
    <m/>
    <s v="Même arrondissement"/>
    <s v="CMR"/>
    <s v="Cameroun"/>
    <s v="CMR004"/>
    <s v="Extrême-Nord"/>
    <s v="CMR004003"/>
    <s v="Mayo-Danay"/>
    <s v="CMR004003002"/>
    <s v="Maga"/>
  </r>
  <r>
    <s v="Extrême-Nord"/>
    <s v="CMR004"/>
    <x v="3"/>
    <s v="CMR004003"/>
    <x v="11"/>
    <s v="CMR004003002"/>
    <s v="MAG-0007"/>
    <s v="GAYA 2 SITE"/>
    <m/>
    <x v="0"/>
    <x v="3"/>
    <n v="0"/>
    <n v="12"/>
    <s v="Inondations saisonnières ou fortes pluies"/>
    <m/>
    <s v="Même arrondissement"/>
    <s v="CMR"/>
    <s v="Cameroun"/>
    <s v="CMR004"/>
    <s v="Extrême-Nord"/>
    <s v="CMR004003"/>
    <s v="Mayo-Danay"/>
    <s v="CMR004003002"/>
    <s v="Maga"/>
  </r>
  <r>
    <s v="Extrême-Nord"/>
    <s v="CMR004"/>
    <x v="3"/>
    <s v="CMR004003"/>
    <x v="11"/>
    <s v="CMR004003002"/>
    <s v="MAG-0007"/>
    <s v="GAYA 2 SITE"/>
    <m/>
    <x v="0"/>
    <x v="2"/>
    <n v="0"/>
    <n v="9"/>
    <s v="Inondations saisonnières ou fortes pluies"/>
    <m/>
    <s v="Même arrondissement"/>
    <s v="CMR"/>
    <s v="Cameroun"/>
    <s v="CMR004"/>
    <s v="Extrême-Nord"/>
    <s v="CMR004003"/>
    <s v="Mayo-Danay"/>
    <s v="CMR004003002"/>
    <s v="Maga"/>
  </r>
  <r>
    <s v="Extrême-Nord"/>
    <s v="CMR004"/>
    <x v="3"/>
    <s v="CMR004003"/>
    <x v="11"/>
    <s v="CMR004003002"/>
    <s v="MAG-0007"/>
    <s v="GAYA 2 SITE"/>
    <m/>
    <x v="0"/>
    <x v="1"/>
    <n v="0"/>
    <n v="2"/>
    <s v="Inondations saisonnières ou fortes pluies"/>
    <m/>
    <s v="Même arrondissement"/>
    <s v="CMR"/>
    <s v="Cameroun"/>
    <s v="CMR004"/>
    <s v="Extrême-Nord"/>
    <s v="CMR004003"/>
    <s v="Mayo-Danay"/>
    <s v="CMR004003002"/>
    <s v="Maga"/>
  </r>
  <r>
    <s v="Extrême-Nord"/>
    <s v="CMR004"/>
    <x v="3"/>
    <s v="CMR004003"/>
    <x v="11"/>
    <s v="CMR004003002"/>
    <s v="MAG-0007"/>
    <s v="GAYA 2 SITE"/>
    <m/>
    <x v="0"/>
    <x v="0"/>
    <n v="49"/>
    <n v="294"/>
    <s v="Inondations saisonnières ou fortes pluies"/>
    <m/>
    <s v="Même arrondissement"/>
    <s v="CMR"/>
    <s v="Cameroun"/>
    <s v="CMR004"/>
    <s v="Extrême-Nord"/>
    <s v="CMR004003"/>
    <s v="Mayo-Danay"/>
    <s v="CMR004003002"/>
    <s v="Maga"/>
  </r>
  <r>
    <s v="Extrême-Nord"/>
    <s v="CMR004"/>
    <x v="3"/>
    <s v="CMR004003"/>
    <x v="11"/>
    <s v="CMR004003002"/>
    <s v="MAG-0003"/>
    <s v="GUIRVIDIG"/>
    <m/>
    <x v="0"/>
    <x v="0"/>
    <n v="60"/>
    <n v="546"/>
    <s v="Inondations saisonnières ou fortes pluies"/>
    <m/>
    <s v="Même arrondissement"/>
    <s v="CMR"/>
    <s v="Cameroun"/>
    <s v="CMR004"/>
    <s v="Extrême-Nord"/>
    <s v="CMR004003"/>
    <s v="Mayo-Danay"/>
    <s v="CMR004003002"/>
    <s v="Maga"/>
  </r>
  <r>
    <s v="Extrême-Nord"/>
    <s v="CMR004"/>
    <x v="3"/>
    <s v="CMR004003"/>
    <x v="11"/>
    <s v="CMR004003002"/>
    <s v="MAG-0003"/>
    <s v="GUIRVIDIG"/>
    <m/>
    <x v="0"/>
    <x v="4"/>
    <n v="0"/>
    <n v="4"/>
    <s v="Inondations saisonnières ou fortes pluies"/>
    <m/>
    <s v="Même arrondissement"/>
    <s v="CMR"/>
    <s v="Cameroun"/>
    <s v="CMR004"/>
    <s v="Extrême-Nord"/>
    <s v="CMR004003"/>
    <s v="Mayo-Danay"/>
    <s v="CMR004003002"/>
    <s v="Maga"/>
  </r>
  <r>
    <s v="Extrême-Nord"/>
    <s v="CMR004"/>
    <x v="3"/>
    <s v="CMR004003"/>
    <x v="11"/>
    <s v="CMR004003002"/>
    <s v="MAG-0003"/>
    <s v="GUIRVIDIG"/>
    <m/>
    <x v="0"/>
    <x v="3"/>
    <n v="0"/>
    <n v="6"/>
    <s v="Inondations saisonnières ou fortes pluies"/>
    <m/>
    <s v="Même arrondissement"/>
    <s v="CMR"/>
    <s v="Cameroun"/>
    <s v="CMR004"/>
    <s v="Extrême-Nord"/>
    <s v="CMR004003"/>
    <s v="Mayo-Danay"/>
    <s v="CMR004003002"/>
    <s v="Maga"/>
  </r>
  <r>
    <s v="Extrême-Nord"/>
    <s v="CMR004"/>
    <x v="3"/>
    <s v="CMR004003"/>
    <x v="11"/>
    <s v="CMR004003002"/>
    <s v="MAG-0003"/>
    <s v="GUIRVIDIG"/>
    <m/>
    <x v="0"/>
    <x v="2"/>
    <n v="0"/>
    <n v="4"/>
    <s v="Inondations saisonnières ou fortes pluies"/>
    <m/>
    <s v="Même arrondissement"/>
    <s v="CMR"/>
    <s v="Cameroun"/>
    <s v="CMR004"/>
    <s v="Extrême-Nord"/>
    <s v="CMR004003"/>
    <s v="Mayo-Danay"/>
    <s v="CMR004003002"/>
    <s v="Maga"/>
  </r>
  <r>
    <s v="Extrême-Nord"/>
    <s v="CMR004"/>
    <x v="1"/>
    <s v="CMR004006"/>
    <x v="1"/>
    <s v="CMR004006002"/>
    <s v="MOK-0009"/>
    <s v="MAGOUMAZ"/>
    <m/>
    <x v="0"/>
    <x v="0"/>
    <n v="93"/>
    <n v="571"/>
    <s v="Conflits liés à GANE (BH)"/>
    <m/>
    <s v="Même arrondissement"/>
    <s v="CMR"/>
    <s v="Cameroun"/>
    <s v="CMR004"/>
    <s v="Extrême-Nord"/>
    <s v="CMR004006"/>
    <s v="Mayo-Tsanaga"/>
    <s v="CMR004006002"/>
    <s v="Mokolo"/>
  </r>
  <r>
    <s v="Extrême-Nord"/>
    <s v="CMR004"/>
    <x v="1"/>
    <s v="CMR004006"/>
    <x v="1"/>
    <s v="CMR004006002"/>
    <s v="MOK-0009"/>
    <s v="MAGOUMAZ"/>
    <m/>
    <x v="0"/>
    <x v="1"/>
    <n v="71"/>
    <n v="505"/>
    <s v="Conflits liés à GANE (BH)"/>
    <m/>
    <s v="Même arrondissement"/>
    <s v="CMR"/>
    <s v="Cameroun"/>
    <s v="CMR004"/>
    <s v="Extrême-Nord"/>
    <s v="CMR004006"/>
    <s v="Mayo-Tsanaga"/>
    <s v="CMR004006002"/>
    <s v="Mokolo"/>
  </r>
  <r>
    <s v="Extrême-Nord"/>
    <s v="CMR004"/>
    <x v="1"/>
    <s v="CMR004006"/>
    <x v="1"/>
    <s v="CMR004006002"/>
    <s v="MOK-0009"/>
    <s v="MAGOUMAZ"/>
    <m/>
    <x v="0"/>
    <x v="4"/>
    <n v="12"/>
    <n v="73"/>
    <s v="Conflits liés à GANE (BH)"/>
    <m/>
    <s v="Même arrondissement"/>
    <s v="CMR"/>
    <s v="Cameroun"/>
    <s v="CMR004"/>
    <s v="Extrême-Nord"/>
    <s v="CMR004006"/>
    <s v="Mayo-Tsanaga"/>
    <s v="CMR004006002"/>
    <s v="Mokolo"/>
  </r>
  <r>
    <s v="Extrême-Nord"/>
    <s v="CMR004"/>
    <x v="1"/>
    <s v="CMR004006"/>
    <x v="1"/>
    <s v="CMR004006002"/>
    <s v="MOK-0009"/>
    <s v="MAGOUMAZ"/>
    <m/>
    <x v="0"/>
    <x v="3"/>
    <n v="48"/>
    <n v="76"/>
    <s v="Conflits liés à GANE (BH)"/>
    <m/>
    <s v="Même arrondissement"/>
    <s v="CMR"/>
    <s v="Cameroun"/>
    <s v="CMR004"/>
    <s v="Extrême-Nord"/>
    <s v="CMR004006"/>
    <s v="Mayo-Tsanaga"/>
    <s v="CMR004006002"/>
    <s v="Mokolo"/>
  </r>
  <r>
    <s v="Extrême-Nord"/>
    <s v="CMR004"/>
    <x v="1"/>
    <s v="CMR004006"/>
    <x v="1"/>
    <s v="CMR004006002"/>
    <s v="MOK-0009"/>
    <s v="MAGOUMAZ"/>
    <m/>
    <x v="0"/>
    <x v="2"/>
    <n v="60"/>
    <n v="240"/>
    <s v="Conflits liés à GANE (BH)"/>
    <m/>
    <s v="Même département, autre arrondissement"/>
    <s v="CMR"/>
    <s v="Cameroun"/>
    <s v="CMR004"/>
    <s v="Extrême-Nord"/>
    <s v="CMR004006"/>
    <s v="Mayo-Tsanaga"/>
    <m/>
    <s v="Koza"/>
  </r>
  <r>
    <s v="Extrême-Nord"/>
    <s v="CMR004"/>
    <x v="3"/>
    <s v="CMR004003"/>
    <x v="31"/>
    <s v="CMR004003006"/>
    <s v="GUM-0003"/>
    <s v="KARTOUA"/>
    <m/>
    <x v="0"/>
    <x v="2"/>
    <n v="56"/>
    <n v="380"/>
    <s v="Inondations saisonnières ou fortes pluies"/>
    <m/>
    <s v="Même arrondissement"/>
    <s v="CMR"/>
    <s v="Cameroun"/>
    <s v="CMR004"/>
    <s v="Extrême-Nord"/>
    <s v="CMR004003"/>
    <s v="Mayo-Danay"/>
    <s v="CMR004003006"/>
    <s v="Guémé"/>
  </r>
  <r>
    <s v="Extrême-Nord"/>
    <s v="CMR004"/>
    <x v="2"/>
    <s v="CMR004002"/>
    <x v="8"/>
    <s v="CMR004002009"/>
    <s v="MAK-0226"/>
    <s v="KARENA"/>
    <m/>
    <x v="0"/>
    <x v="1"/>
    <n v="1"/>
    <n v="8"/>
    <s v="Inondations saisonnières ou fortes pluies"/>
    <m/>
    <s v="Même arrondissement"/>
    <s v="CMR"/>
    <s v="Cameroun"/>
    <s v="CMR004"/>
    <s v="Extrême-Nord"/>
    <s v="CMR004002"/>
    <s v="Logone-Et-Chari"/>
    <s v="CMR004002009"/>
    <s v="Makary"/>
  </r>
  <r>
    <s v="Extrême-Nord"/>
    <s v="CMR004"/>
    <x v="2"/>
    <s v="CMR004002"/>
    <x v="8"/>
    <s v="CMR004002009"/>
    <s v="MAK-0226"/>
    <s v="KARENA"/>
    <m/>
    <x v="0"/>
    <x v="2"/>
    <n v="5"/>
    <n v="15"/>
    <s v="Inondations saisonnières ou fortes pluies"/>
    <m/>
    <s v="Même département, autre arrondissement"/>
    <s v="CMR"/>
    <s v="Cameroun"/>
    <s v="CMR004"/>
    <s v="Extrême-Nord"/>
    <s v="CMR004002"/>
    <s v="Logone-Et-Chari"/>
    <s v="CMR004002004"/>
    <s v="Logone-Birni"/>
  </r>
  <r>
    <s v="Extrême-Nord"/>
    <s v="CMR004"/>
    <x v="3"/>
    <s v="CMR004003"/>
    <x v="31"/>
    <s v="CMR004003006"/>
    <s v="GUM-0004"/>
    <s v="VELE"/>
    <m/>
    <x v="0"/>
    <x v="2"/>
    <n v="100"/>
    <n v="525"/>
    <s v="Inondations saisonnières ou fortes pluies"/>
    <m/>
    <s v="Même arrondissement"/>
    <s v="CMR"/>
    <s v="Cameroun"/>
    <s v="CMR004"/>
    <s v="Extrême-Nord"/>
    <s v="CMR004003"/>
    <s v="Mayo-Danay"/>
    <s v="CMR004003006"/>
    <s v="Guémé"/>
  </r>
  <r>
    <s v="Extrême-Nord"/>
    <s v="CMR004"/>
    <x v="1"/>
    <s v="CMR004006"/>
    <x v="1"/>
    <s v="CMR004006002"/>
    <s v="MOK-0014"/>
    <s v="NASSARAO 1"/>
    <m/>
    <x v="0"/>
    <x v="4"/>
    <n v="20"/>
    <n v="120"/>
    <s v="Conflits liés à GANE (BH)"/>
    <m/>
    <s v="Même arrondissement"/>
    <s v="CMR"/>
    <s v="Cameroun"/>
    <s v="CMR004"/>
    <s v="Extrême-Nord"/>
    <s v="CMR004006"/>
    <s v="Mayo-Tsanaga"/>
    <s v="CMR004006002"/>
    <s v="Mokolo"/>
  </r>
  <r>
    <s v="Extrême-Nord"/>
    <s v="CMR004"/>
    <x v="1"/>
    <s v="CMR004006"/>
    <x v="1"/>
    <s v="CMR004006002"/>
    <s v="MOK-0014"/>
    <s v="NASSARAO 1"/>
    <m/>
    <x v="0"/>
    <x v="3"/>
    <n v="5"/>
    <n v="32"/>
    <s v="Conflits liés à GANE (BH)"/>
    <m/>
    <s v="Même arrondissement"/>
    <s v="CMR"/>
    <s v="Cameroun"/>
    <s v="CMR004"/>
    <s v="Extrême-Nord"/>
    <s v="CMR004006"/>
    <s v="Mayo-Tsanaga"/>
    <s v="CMR004006002"/>
    <s v="Mokolo"/>
  </r>
  <r>
    <s v="Extrême-Nord"/>
    <s v="CMR004"/>
    <x v="1"/>
    <s v="CMR004006"/>
    <x v="1"/>
    <s v="CMR004006002"/>
    <s v="MOK-0015"/>
    <s v="NASSARAO 2"/>
    <m/>
    <x v="0"/>
    <x v="0"/>
    <n v="25"/>
    <n v="152"/>
    <s v="Conflits liés à GANE (BH)"/>
    <m/>
    <s v="Même arrondissement"/>
    <s v="CMR"/>
    <s v="Cameroun"/>
    <s v="CMR004"/>
    <s v="Extrême-Nord"/>
    <s v="CMR004006"/>
    <s v="Mayo-Tsanaga"/>
    <s v="CMR004006002"/>
    <s v="Mokolo"/>
  </r>
  <r>
    <s v="Extrême-Nord"/>
    <s v="CMR004"/>
    <x v="2"/>
    <s v="CMR004002"/>
    <x v="12"/>
    <s v="CMR004002002"/>
    <s v="GOU-0024"/>
    <s v="AKMASSIRAK"/>
    <m/>
    <x v="0"/>
    <x v="3"/>
    <n v="70"/>
    <n v="70"/>
    <s v="Conflits liés à GANE (BH)"/>
    <m/>
    <s v="Même arrondissement"/>
    <s v="CMR"/>
    <s v="Cameroun"/>
    <s v="CMR004"/>
    <s v="Extrême-Nord"/>
    <s v="CMR004002"/>
    <s v="Logone-Et-Chari"/>
    <s v="CMR004002002"/>
    <s v="Goulfey"/>
  </r>
  <r>
    <s v="Extrême-Nord"/>
    <s v="CMR004"/>
    <x v="2"/>
    <s v="CMR004002"/>
    <x v="12"/>
    <s v="CMR004002002"/>
    <s v="GOU-0028"/>
    <s v="MALA"/>
    <m/>
    <x v="0"/>
    <x v="3"/>
    <n v="30"/>
    <n v="30"/>
    <s v="Conflits liés à GANE (BH)"/>
    <m/>
    <s v="Même arrondissement"/>
    <s v="CMR"/>
    <s v="Cameroun"/>
    <s v="CMR004"/>
    <s v="Extrême-Nord"/>
    <s v="CMR004002"/>
    <s v="Logone-Et-Chari"/>
    <s v="CMR004002002"/>
    <s v="Goulfey"/>
  </r>
  <r>
    <s v="Extrême-Nord"/>
    <s v="CMR004"/>
    <x v="3"/>
    <s v="CMR004003"/>
    <x v="31"/>
    <s v="CMR004003006"/>
    <s v="GUM-0005"/>
    <s v="VOUNALOUM"/>
    <m/>
    <x v="0"/>
    <x v="2"/>
    <n v="5"/>
    <n v="72"/>
    <s v="Inondations saisonnières ou fortes pluies"/>
    <m/>
    <s v="Même arrondissement"/>
    <s v="CMR"/>
    <s v="Cameroun"/>
    <s v="CMR004"/>
    <s v="Extrême-Nord"/>
    <s v="CMR004003"/>
    <s v="Mayo-Danay"/>
    <s v="CMR004003006"/>
    <s v="Guémé"/>
  </r>
  <r>
    <s v="Extrême-Nord"/>
    <s v="CMR004"/>
    <x v="2"/>
    <s v="CMR004002"/>
    <x v="8"/>
    <s v="CMR004002009"/>
    <s v="MAK-0136"/>
    <s v="FARFARA 1"/>
    <m/>
    <x v="0"/>
    <x v="0"/>
    <n v="8"/>
    <n v="60"/>
    <s v="Conflits liés à GANE (BH)"/>
    <m/>
    <s v="Même département, autre arrondissement"/>
    <s v="CMR"/>
    <s v="Cameroun"/>
    <s v="CMR004"/>
    <s v="Extrême-Nord"/>
    <s v="CMR004002"/>
    <s v="Logone-Et-Chari"/>
    <s v="CMR004002001"/>
    <s v="Waza"/>
  </r>
  <r>
    <s v="Extrême-Nord"/>
    <s v="CMR004"/>
    <x v="2"/>
    <s v="CMR004002"/>
    <x v="8"/>
    <s v="CMR004002009"/>
    <s v="MAK-0136"/>
    <s v="FARFARA 1"/>
    <m/>
    <x v="0"/>
    <x v="3"/>
    <n v="9"/>
    <n v="30"/>
    <s v="Conflit intercommunautaire"/>
    <m/>
    <s v="Même département, autre arrondissement"/>
    <s v="CMR"/>
    <s v="Cameroun"/>
    <s v="CMR004"/>
    <s v="Extrême-Nord"/>
    <s v="CMR004002"/>
    <s v="Logone-Et-Chari"/>
    <s v="CMR004002004"/>
    <s v="Logone-Birni"/>
  </r>
  <r>
    <s v="Extrême-Nord"/>
    <s v="CMR004"/>
    <x v="2"/>
    <s v="CMR004002"/>
    <x v="8"/>
    <s v="CMR004002009"/>
    <s v="MAK-0136"/>
    <s v="FARFARA 1"/>
    <m/>
    <x v="0"/>
    <x v="2"/>
    <n v="0"/>
    <n v="12"/>
    <s v="Conflits liés à GANE (BH)"/>
    <m/>
    <s v="Même département, autre arrondissement"/>
    <s v="CMR"/>
    <s v="Cameroun"/>
    <s v="CMR004"/>
    <s v="Extrême-Nord"/>
    <s v="CMR004002"/>
    <s v="Logone-Et-Chari"/>
    <s v="CMR004002001"/>
    <s v="Waza"/>
  </r>
  <r>
    <s v="Extrême-Nord"/>
    <s v="CMR004"/>
    <x v="1"/>
    <s v="CMR004006"/>
    <x v="1"/>
    <s v="CMR004006002"/>
    <s v="MOK-0002"/>
    <s v="DEDEP"/>
    <m/>
    <x v="0"/>
    <x v="3"/>
    <n v="1"/>
    <n v="10"/>
    <s v="Conflits liés à GANE (BH)"/>
    <m/>
    <s v="Même département, autre arrondissement"/>
    <s v="CMR"/>
    <s v="Cameroun"/>
    <s v="CMR004"/>
    <s v="Extrême-Nord"/>
    <s v="CMR004006"/>
    <s v="Mayo-Tsanaga"/>
    <s v="CMR004006005"/>
    <s v="Mayo-Moskota"/>
  </r>
  <r>
    <s v="Extrême-Nord"/>
    <s v="CMR004"/>
    <x v="2"/>
    <s v="CMR004002"/>
    <x v="25"/>
    <s v="CMR004002008"/>
    <s v="FOT-0013"/>
    <s v="SAGME"/>
    <m/>
    <x v="0"/>
    <x v="0"/>
    <n v="8"/>
    <n v="37"/>
    <s v="Conflits liés à GANE (BH)"/>
    <m/>
    <s v="Même arrondissement"/>
    <s v="CMR"/>
    <s v="Cameroun"/>
    <s v="CMR004"/>
    <s v="Extrême-Nord"/>
    <s v="CMR004002"/>
    <s v="Logone-Et-Chari"/>
    <s v="CMR004002008"/>
    <s v="Fotokol"/>
  </r>
  <r>
    <s v="Extrême-Nord"/>
    <s v="CMR004"/>
    <x v="1"/>
    <s v="CMR004006"/>
    <x v="1"/>
    <s v="CMR004006002"/>
    <s v="MOK-0021"/>
    <s v="TOUROU CENTRE"/>
    <m/>
    <x v="0"/>
    <x v="0"/>
    <n v="130"/>
    <n v="987"/>
    <s v="Conflits liés à GANE (BH)"/>
    <m/>
    <s v="Même arrondissement"/>
    <s v="CMR"/>
    <s v="Cameroun"/>
    <s v="CMR004"/>
    <s v="Extrême-Nord"/>
    <s v="CMR004006"/>
    <s v="Mayo-Tsanaga"/>
    <s v="CMR004006002"/>
    <s v="Mokolo"/>
  </r>
  <r>
    <s v="Extrême-Nord"/>
    <s v="CMR004"/>
    <x v="1"/>
    <s v="CMR004006"/>
    <x v="1"/>
    <s v="CMR004006002"/>
    <s v="MOK-0021"/>
    <s v="TOUROU CENTRE"/>
    <m/>
    <x v="0"/>
    <x v="1"/>
    <n v="37"/>
    <n v="1125"/>
    <s v="Conflits liés à GANE (BH)"/>
    <m/>
    <s v="Même arrondissement"/>
    <s v="CMR"/>
    <s v="Cameroun"/>
    <s v="CMR004"/>
    <s v="Extrême-Nord"/>
    <s v="CMR004006"/>
    <s v="Mayo-Tsanaga"/>
    <s v="CMR004006002"/>
    <s v="Mokolo"/>
  </r>
  <r>
    <s v="Extrême-Nord"/>
    <s v="CMR004"/>
    <x v="1"/>
    <s v="CMR004006"/>
    <x v="1"/>
    <s v="CMR004006002"/>
    <s v="MOK-0021"/>
    <s v="TOUROU CENTRE"/>
    <m/>
    <x v="0"/>
    <x v="4"/>
    <n v="48"/>
    <n v="70"/>
    <s v="Conflits liés à GANE (BH)"/>
    <m/>
    <s v="Même arrondissement"/>
    <s v="CMR"/>
    <s v="Cameroun"/>
    <s v="CMR004"/>
    <s v="Extrême-Nord"/>
    <s v="CMR004006"/>
    <s v="Mayo-Tsanaga"/>
    <s v="CMR004006002"/>
    <s v="Mokolo"/>
  </r>
  <r>
    <s v="Extrême-Nord"/>
    <s v="CMR004"/>
    <x v="1"/>
    <s v="CMR004006"/>
    <x v="1"/>
    <s v="CMR004006002"/>
    <s v="MOK-0021"/>
    <s v="TOUROU CENTRE"/>
    <m/>
    <x v="0"/>
    <x v="3"/>
    <n v="368"/>
    <n v="5669"/>
    <s v="Conflits liés à GANE (BH)"/>
    <m/>
    <s v="Même arrondissement"/>
    <s v="CMR"/>
    <s v="Cameroun"/>
    <s v="CMR004"/>
    <s v="Extrême-Nord"/>
    <s v="CMR004006"/>
    <s v="Mayo-Tsanaga"/>
    <s v="CMR004006002"/>
    <s v="Mokolo"/>
  </r>
  <r>
    <s v="Extrême-Nord"/>
    <s v="CMR004"/>
    <x v="1"/>
    <s v="CMR004006"/>
    <x v="1"/>
    <s v="CMR004006002"/>
    <s v="MOK-0021"/>
    <s v="TOUROU CENTRE"/>
    <m/>
    <x v="0"/>
    <x v="2"/>
    <n v="60"/>
    <n v="115"/>
    <s v="Conflits liés à GANE (BH)"/>
    <m/>
    <s v="Même arrondissement"/>
    <s v="CMR"/>
    <s v="Cameroun"/>
    <s v="CMR004"/>
    <s v="Extrême-Nord"/>
    <s v="CMR004006"/>
    <s v="Mayo-Tsanaga"/>
    <s v="CMR004006002"/>
    <s v="Mokolo"/>
  </r>
  <r>
    <s v="Extrême-Nord"/>
    <s v="CMR004"/>
    <x v="2"/>
    <s v="CMR004002"/>
    <x v="8"/>
    <s v="CMR004002009"/>
    <s v="MAK-0233"/>
    <s v="SOUNGOURA 2"/>
    <m/>
    <x v="0"/>
    <x v="0"/>
    <n v="26"/>
    <n v="157"/>
    <s v="Conflits liés à GANE (BH)"/>
    <m/>
    <s v="Même arrondissement"/>
    <s v="CMR"/>
    <s v="Cameroun"/>
    <s v="CMR004"/>
    <s v="Extrême-Nord"/>
    <s v="CMR004002"/>
    <s v="Logone-Et-Chari"/>
    <s v="CMR004002009"/>
    <s v="Makary"/>
  </r>
  <r>
    <s v="Extrême-Nord"/>
    <s v="CMR004"/>
    <x v="3"/>
    <s v="CMR004003"/>
    <x v="11"/>
    <s v="CMR004003002"/>
    <s v="MAG-0004"/>
    <s v="SITE DE MAHAOUROU"/>
    <m/>
    <x v="0"/>
    <x v="0"/>
    <n v="45"/>
    <n v="312"/>
    <s v="Inondations saisonnières ou fortes pluies"/>
    <m/>
    <s v="Même arrondissement"/>
    <s v="CMR"/>
    <s v="Cameroun"/>
    <s v="CMR004"/>
    <s v="Extrême-Nord"/>
    <s v="CMR004003"/>
    <s v="Mayo-Danay"/>
    <s v="CMR004003002"/>
    <s v="Maga"/>
  </r>
  <r>
    <s v="Extrême-Nord"/>
    <s v="CMR004"/>
    <x v="3"/>
    <s v="CMR004003"/>
    <x v="11"/>
    <s v="CMR004003002"/>
    <s v="MAG-0004"/>
    <s v="SITE DE MAHAOUROU"/>
    <m/>
    <x v="0"/>
    <x v="1"/>
    <n v="1"/>
    <n v="12"/>
    <s v="Inondations saisonnières ou fortes pluies"/>
    <m/>
    <s v="Même arrondissement"/>
    <s v="CMR"/>
    <s v="Cameroun"/>
    <s v="CMR004"/>
    <s v="Extrême-Nord"/>
    <s v="CMR004003"/>
    <s v="Mayo-Danay"/>
    <s v="CMR004003002"/>
    <s v="Maga"/>
  </r>
  <r>
    <s v="Extrême-Nord"/>
    <s v="CMR004"/>
    <x v="3"/>
    <s v="CMR004003"/>
    <x v="11"/>
    <s v="CMR004003002"/>
    <s v="MAG-0004"/>
    <s v="SITE DE MAHAOUROU"/>
    <m/>
    <x v="0"/>
    <x v="4"/>
    <n v="0"/>
    <n v="6"/>
    <s v="Inondations saisonnières ou fortes pluies"/>
    <m/>
    <s v="Même arrondissement"/>
    <s v="CMR"/>
    <s v="Cameroun"/>
    <s v="CMR004"/>
    <s v="Extrême-Nord"/>
    <s v="CMR004003"/>
    <s v="Mayo-Danay"/>
    <s v="CMR004003002"/>
    <s v="Maga"/>
  </r>
  <r>
    <s v="Extrême-Nord"/>
    <s v="CMR004"/>
    <x v="3"/>
    <s v="CMR004003"/>
    <x v="11"/>
    <s v="CMR004003002"/>
    <s v="MAG-0004"/>
    <s v="SITE DE MAHAOUROU"/>
    <m/>
    <x v="0"/>
    <x v="3"/>
    <n v="0"/>
    <n v="16"/>
    <s v="Inondations saisonnières ou fortes pluies"/>
    <m/>
    <s v="Même arrondissement"/>
    <s v="CMR"/>
    <s v="Cameroun"/>
    <s v="CMR004"/>
    <s v="Extrême-Nord"/>
    <s v="CMR004003"/>
    <s v="Mayo-Danay"/>
    <s v="CMR004003002"/>
    <s v="Maga"/>
  </r>
  <r>
    <s v="Extrême-Nord"/>
    <s v="CMR004"/>
    <x v="3"/>
    <s v="CMR004003"/>
    <x v="11"/>
    <s v="CMR004003002"/>
    <s v="MAG-0004"/>
    <s v="SITE DE MAHAOUROU"/>
    <m/>
    <x v="0"/>
    <x v="2"/>
    <n v="0"/>
    <n v="5"/>
    <s v="Inondations saisonnières ou fortes pluies"/>
    <m/>
    <s v="Même arrondissement"/>
    <s v="CMR"/>
    <s v="Cameroun"/>
    <s v="CMR004"/>
    <s v="Extrême-Nord"/>
    <s v="CMR004003"/>
    <s v="Mayo-Danay"/>
    <s v="CMR004003002"/>
    <s v="Maga"/>
  </r>
  <r>
    <s v="Extrême-Nord"/>
    <s v="CMR004"/>
    <x v="0"/>
    <s v="CMR004001"/>
    <x v="6"/>
    <s v="CMR004001001"/>
    <s v="MA3-0007"/>
    <s v="MAYELIBE"/>
    <m/>
    <x v="0"/>
    <x v="4"/>
    <n v="78"/>
    <n v="687"/>
    <s v="Conflit intercommunautaire"/>
    <m/>
    <s v="Autre département"/>
    <s v="CMR"/>
    <s v="Cameroun"/>
    <s v="CMR004"/>
    <s v="Extrême-Nord"/>
    <s v="CMR004003"/>
    <s v="Mayo-Danay"/>
    <m/>
    <m/>
  </r>
  <r>
    <s v="Extrême-Nord"/>
    <s v="CMR004"/>
    <x v="1"/>
    <s v="CMR004006"/>
    <x v="32"/>
    <s v="CMR004006006"/>
    <s v="SOU-0004"/>
    <s v="MADOKONAI 1"/>
    <m/>
    <x v="0"/>
    <x v="3"/>
    <n v="2"/>
    <n v="11"/>
    <s v="Conflits liés à GANE (BH)"/>
    <m/>
    <s v="Même département, autre arrondissement"/>
    <s v="CMR"/>
    <s v="Cameroun"/>
    <s v="CMR004"/>
    <s v="Extrême-Nord"/>
    <s v="CMR004006"/>
    <s v="Mayo-Tsanaga"/>
    <s v="CMR004006005"/>
    <s v="Mayo-Moskota"/>
  </r>
  <r>
    <s v="Extrême-Nord"/>
    <s v="CMR004"/>
    <x v="1"/>
    <s v="CMR004006"/>
    <x v="32"/>
    <s v="CMR004006006"/>
    <s v="SOU-0004"/>
    <s v="MADOKONAI 1"/>
    <m/>
    <x v="0"/>
    <x v="2"/>
    <n v="3"/>
    <n v="13"/>
    <s v="Conflits liés à GANE (BH)"/>
    <m/>
    <s v="Même département, autre arrondissement"/>
    <s v="CMR"/>
    <s v="Cameroun"/>
    <s v="CMR004"/>
    <s v="Extrême-Nord"/>
    <s v="CMR004006"/>
    <s v="Mayo-Tsanaga"/>
    <s v="CMR004006005"/>
    <s v="Mayo-Moskota"/>
  </r>
  <r>
    <s v="Extrême-Nord"/>
    <s v="CMR004"/>
    <x v="1"/>
    <s v="CMR004006"/>
    <x v="1"/>
    <s v="CMR004006002"/>
    <s v="MOK-0059"/>
    <s v="MABASS"/>
    <m/>
    <x v="0"/>
    <x v="3"/>
    <n v="89"/>
    <n v="311"/>
    <s v="Conflits liés à GANE (BH)"/>
    <m/>
    <s v="Même arrondissement"/>
    <s v="CMR"/>
    <s v="Cameroun"/>
    <s v="CMR004"/>
    <s v="Extrême-Nord"/>
    <s v="CMR004006"/>
    <s v="Mayo-Tsanaga"/>
    <s v="CMR004006002"/>
    <s v="Mokolo"/>
  </r>
  <r>
    <s v="Extrême-Nord"/>
    <s v="CMR004"/>
    <x v="1"/>
    <s v="CMR004006"/>
    <x v="1"/>
    <s v="CMR004006002"/>
    <s v="MOK-0059"/>
    <s v="MABASS"/>
    <m/>
    <x v="0"/>
    <x v="2"/>
    <n v="83"/>
    <n v="319"/>
    <s v="Conflits liés à GANE (BH)"/>
    <m/>
    <s v="Même arrondissement"/>
    <s v="CMR"/>
    <s v="Cameroun"/>
    <s v="CMR004"/>
    <s v="Extrême-Nord"/>
    <s v="CMR004006"/>
    <s v="Mayo-Tsanaga"/>
    <s v="CMR004006002"/>
    <s v="Mokolo"/>
  </r>
  <r>
    <s v="Extrême-Nord"/>
    <s v="CMR004"/>
    <x v="1"/>
    <s v="CMR004006"/>
    <x v="32"/>
    <s v="CMR004006006"/>
    <s v="SOU-0008"/>
    <s v="DOUMGAR"/>
    <m/>
    <x v="0"/>
    <x v="3"/>
    <n v="75"/>
    <n v="314"/>
    <s v="Conflits liés à GANE (BH)"/>
    <m/>
    <s v="Même département, autre arrondissement"/>
    <s v="CMR"/>
    <s v="Cameroun"/>
    <s v="CMR004"/>
    <s v="Extrême-Nord"/>
    <s v="CMR004006"/>
    <s v="Mayo-Tsanaga"/>
    <s v="CMR004006005"/>
    <s v="Mayo-Moskota"/>
  </r>
  <r>
    <s v="Extrême-Nord"/>
    <s v="CMR004"/>
    <x v="1"/>
    <s v="CMR004006"/>
    <x v="32"/>
    <s v="CMR004006006"/>
    <s v="SOU-0008"/>
    <s v="DOUMGAR"/>
    <m/>
    <x v="0"/>
    <x v="2"/>
    <n v="1"/>
    <n v="13"/>
    <s v="Conflits liés à GANE (BH)"/>
    <m/>
    <s v="Autre département"/>
    <s v="CMR"/>
    <s v="Cameroun"/>
    <s v="CMR004"/>
    <s v="Extrême-Nord"/>
    <s v="CMR004005"/>
    <s v="Mayo-Sava"/>
    <m/>
    <m/>
  </r>
  <r>
    <s v="Extrême-Nord"/>
    <s v="CMR004"/>
    <x v="1"/>
    <s v="CMR004006"/>
    <x v="32"/>
    <s v="CMR004006006"/>
    <s v="SOU-0007"/>
    <s v="OUDOUMDJARAY"/>
    <m/>
    <x v="0"/>
    <x v="3"/>
    <n v="2"/>
    <n v="11"/>
    <s v="Conflits liés à GANE (BH)"/>
    <m/>
    <s v="Autre département"/>
    <s v="CMR"/>
    <s v="Cameroun"/>
    <s v="CMR004"/>
    <s v="Extrême-Nord"/>
    <s v="CMR004005"/>
    <s v="Mayo-Sava"/>
    <m/>
    <m/>
  </r>
  <r>
    <s v="Extrême-Nord"/>
    <s v="CMR004"/>
    <x v="1"/>
    <s v="CMR004006"/>
    <x v="32"/>
    <s v="CMR004006006"/>
    <s v="SOU-0007"/>
    <s v="OUDOUMDJARAY"/>
    <m/>
    <x v="0"/>
    <x v="2"/>
    <n v="1"/>
    <n v="12"/>
    <s v="Conflits liés à GANE (BH)"/>
    <m/>
    <s v="Autre département"/>
    <s v="CMR"/>
    <s v="Cameroun"/>
    <s v="CMR004"/>
    <s v="Extrême-Nord"/>
    <s v="CMR004005"/>
    <s v="Mayo-Sava"/>
    <m/>
    <m/>
  </r>
  <r>
    <s v="Extrême-Nord"/>
    <s v="CMR004"/>
    <x v="2"/>
    <s v="CMR004002"/>
    <x v="26"/>
    <s v="CMR004002006"/>
    <s v="KOU-0023"/>
    <s v="MALACK"/>
    <m/>
    <x v="0"/>
    <x v="2"/>
    <n v="4"/>
    <n v="15"/>
    <s v="Inondations saisonnières ou fortes pluies"/>
    <m/>
    <s v="Même arrondissement"/>
    <s v="CMR"/>
    <s v="Cameroun"/>
    <s v="CMR004"/>
    <s v="Extrême-Nord"/>
    <s v="CMR004002"/>
    <s v="Logone-Et-Chari"/>
    <s v="CMR004002006"/>
    <s v="Kousséri"/>
  </r>
  <r>
    <s v="Extrême-Nord"/>
    <s v="CMR004"/>
    <x v="2"/>
    <s v="CMR004002"/>
    <x v="26"/>
    <s v="CMR004002006"/>
    <s v="KOU-0034"/>
    <s v="SOKOTO"/>
    <m/>
    <x v="0"/>
    <x v="2"/>
    <n v="5"/>
    <n v="20"/>
    <s v="Inondations saisonnières ou fortes pluies"/>
    <m/>
    <s v="Même arrondissement"/>
    <s v="CMR"/>
    <s v="Cameroun"/>
    <s v="CMR004"/>
    <s v="Extrême-Nord"/>
    <s v="CMR004002"/>
    <s v="Logone-Et-Chari"/>
    <s v="CMR004002006"/>
    <s v="Kousséri"/>
  </r>
  <r>
    <s v="Extrême-Nord"/>
    <s v="CMR004"/>
    <x v="3"/>
    <s v="CMR004003"/>
    <x v="31"/>
    <s v="CMR004003006"/>
    <s v="GUM-0007"/>
    <s v="GABARAYE"/>
    <m/>
    <x v="0"/>
    <x v="0"/>
    <n v="159"/>
    <n v="536"/>
    <s v="Inondations saisonnières ou fortes pluies"/>
    <m/>
    <s v="Même arrondissement"/>
    <s v="CMR"/>
    <s v="Cameroun"/>
    <s v="CMR004"/>
    <s v="Extrême-Nord"/>
    <s v="CMR004003"/>
    <s v="Mayo-Danay"/>
    <s v="CMR004003006"/>
    <s v="Guémé"/>
  </r>
  <r>
    <s v="Extrême-Nord"/>
    <s v="CMR004"/>
    <x v="4"/>
    <s v="CMR004005"/>
    <x v="19"/>
    <s v="CMR004005001"/>
    <s v="KOL-0029"/>
    <s v="SATTOMI"/>
    <m/>
    <x v="0"/>
    <x v="2"/>
    <n v="0"/>
    <n v="13"/>
    <s v="Conflits liés à GANE (BH)"/>
    <m/>
    <s v="Même arrondissement"/>
    <s v="CMR"/>
    <s v="Cameroun"/>
    <s v="CMR004"/>
    <s v="Extrême-Nord"/>
    <s v="CMR004005"/>
    <s v="Mayo-Sava"/>
    <s v="CMR004005001"/>
    <s v="Kolofata"/>
  </r>
  <r>
    <s v="Extrême-Nord"/>
    <s v="CMR004"/>
    <x v="4"/>
    <s v="CMR004005"/>
    <x v="19"/>
    <s v="CMR004005001"/>
    <s v="KOL-0029"/>
    <s v="SATTOMI"/>
    <m/>
    <x v="0"/>
    <x v="4"/>
    <n v="90"/>
    <n v="535"/>
    <s v="Conflits liés à GANE (BH)"/>
    <m/>
    <s v="Même arrondissement"/>
    <s v="CMR"/>
    <s v="Cameroun"/>
    <s v="CMR004"/>
    <s v="Extrême-Nord"/>
    <s v="CMR004005"/>
    <s v="Mayo-Sava"/>
    <s v="CMR004005001"/>
    <s v="Kolofata"/>
  </r>
  <r>
    <s v="Extrême-Nord"/>
    <s v="CMR004"/>
    <x v="4"/>
    <s v="CMR004005"/>
    <x v="19"/>
    <s v="CMR004005001"/>
    <s v="KOL-0029"/>
    <s v="SATTOMI"/>
    <m/>
    <x v="0"/>
    <x v="3"/>
    <n v="0"/>
    <n v="3"/>
    <s v="Conflits liés à GANE (BH)"/>
    <m/>
    <s v="Même arrondissement"/>
    <s v="CMR"/>
    <s v="Cameroun"/>
    <s v="CMR004"/>
    <s v="Extrême-Nord"/>
    <s v="CMR004005"/>
    <s v="Mayo-Sava"/>
    <s v="CMR004005001"/>
    <s v="Kolofata"/>
  </r>
  <r>
    <s v="Extrême-Nord"/>
    <s v="CMR004"/>
    <x v="0"/>
    <s v="CMR004001"/>
    <x v="3"/>
    <s v="CMR004001009"/>
    <s v="MA1-0006"/>
    <s v="WOURO DOLE"/>
    <m/>
    <x v="0"/>
    <x v="4"/>
    <n v="3"/>
    <n v="11"/>
    <s v="Conflit intercommunautaire"/>
    <m/>
    <s v="Autre département"/>
    <s v="CMR"/>
    <s v="Cameroun"/>
    <s v="CMR004"/>
    <s v="Extrême-Nord"/>
    <s v="CMR004002"/>
    <s v="Logone-Et-Chari"/>
    <m/>
    <m/>
  </r>
  <r>
    <s v="Extrême-Nord"/>
    <s v="CMR004"/>
    <x v="1"/>
    <s v="CMR004006"/>
    <x v="1"/>
    <s v="CMR004006002"/>
    <s v="MOK-0004"/>
    <s v="DJIMETA"/>
    <m/>
    <x v="0"/>
    <x v="4"/>
    <n v="9"/>
    <n v="87"/>
    <s v="Conflits liés à GANE (BH)"/>
    <m/>
    <s v="Même arrondissement"/>
    <s v="CMR"/>
    <s v="Cameroun"/>
    <s v="CMR004"/>
    <s v="Extrême-Nord"/>
    <s v="CMR004006"/>
    <s v="Mayo-Tsanaga"/>
    <s v="CMR004006002"/>
    <s v="Mokolo"/>
  </r>
  <r>
    <s v="Extrême-Nord"/>
    <s v="CMR004"/>
    <x v="1"/>
    <s v="CMR004006"/>
    <x v="1"/>
    <s v="CMR004006002"/>
    <s v="MOK-0004"/>
    <s v="DJIMETA"/>
    <m/>
    <x v="0"/>
    <x v="2"/>
    <n v="5"/>
    <n v="22"/>
    <s v="Conflits liés à GANE (BH)"/>
    <m/>
    <s v="Même arrondissement"/>
    <s v="CMR"/>
    <s v="Cameroun"/>
    <s v="CMR004"/>
    <s v="Extrême-Nord"/>
    <s v="CMR004006"/>
    <s v="Mayo-Tsanaga"/>
    <s v="CMR004006002"/>
    <s v="Mokolo"/>
  </r>
  <r>
    <s v="Extrême-Nord"/>
    <s v="CMR004"/>
    <x v="1"/>
    <s v="CMR004006"/>
    <x v="1"/>
    <s v="CMR004006002"/>
    <s v="MOK-0004"/>
    <s v="DJIMETA"/>
    <m/>
    <x v="0"/>
    <x v="0"/>
    <n v="32"/>
    <n v="233"/>
    <s v="Conflits liés à GANE (BH)"/>
    <m/>
    <s v="Même arrondissement"/>
    <s v="CMR"/>
    <s v="Cameroun"/>
    <s v="CMR004"/>
    <s v="Extrême-Nord"/>
    <s v="CMR004006"/>
    <s v="Mayo-Tsanaga"/>
    <s v="CMR004006002"/>
    <s v="Mokolo"/>
  </r>
  <r>
    <s v="Extrême-Nord"/>
    <s v="CMR004"/>
    <x v="4"/>
    <s v="CMR004005"/>
    <x v="19"/>
    <s v="CMR004005001"/>
    <s v="KOL-0021"/>
    <s v="TOLKOMARI"/>
    <m/>
    <x v="0"/>
    <x v="0"/>
    <n v="500"/>
    <n v="3170"/>
    <s v="Conflits liés à GANE (BH)"/>
    <m/>
    <s v="Même arrondissement"/>
    <s v="CMR"/>
    <s v="Cameroun"/>
    <s v="CMR004"/>
    <s v="Extrême-Nord"/>
    <s v="CMR004005"/>
    <s v="Mayo-Sava"/>
    <s v="CMR004005001"/>
    <s v="Kolofata"/>
  </r>
  <r>
    <s v="Extrême-Nord"/>
    <s v="CMR004"/>
    <x v="4"/>
    <s v="CMR004005"/>
    <x v="19"/>
    <s v="CMR004005001"/>
    <s v="KOL-0021"/>
    <s v="TOLKOMARI"/>
    <m/>
    <x v="0"/>
    <x v="1"/>
    <n v="0"/>
    <n v="50"/>
    <s v="Conflits liés à GANE (BH)"/>
    <m/>
    <s v="Même arrondissement"/>
    <s v="CMR"/>
    <s v="Cameroun"/>
    <s v="CMR004"/>
    <s v="Extrême-Nord"/>
    <s v="CMR004005"/>
    <s v="Mayo-Sava"/>
    <s v="CMR004005001"/>
    <s v="Kolofata"/>
  </r>
  <r>
    <s v="Extrême-Nord"/>
    <s v="CMR004"/>
    <x v="4"/>
    <s v="CMR004005"/>
    <x v="19"/>
    <s v="CMR004005001"/>
    <s v="KOL-0021"/>
    <s v="TOLKOMARI"/>
    <m/>
    <x v="0"/>
    <x v="2"/>
    <n v="17"/>
    <n v="146"/>
    <s v="Conflits liés à GANE (BH)"/>
    <m/>
    <s v="Même arrondissement"/>
    <s v="CMR"/>
    <s v="Cameroun"/>
    <s v="CMR004"/>
    <s v="Extrême-Nord"/>
    <s v="CMR004005"/>
    <s v="Mayo-Sava"/>
    <s v="CMR004005001"/>
    <s v="Kolofata"/>
  </r>
  <r>
    <s v="Extrême-Nord"/>
    <s v="CMR004"/>
    <x v="4"/>
    <s v="CMR004005"/>
    <x v="19"/>
    <s v="CMR004005001"/>
    <s v="KOL-0021"/>
    <s v="TOLKOMARI"/>
    <m/>
    <x v="0"/>
    <x v="4"/>
    <n v="48"/>
    <n v="397"/>
    <s v="Conflits liés à GANE (BH)"/>
    <m/>
    <s v="Même arrondissement"/>
    <s v="CMR"/>
    <s v="Cameroun"/>
    <s v="CMR004"/>
    <s v="Extrême-Nord"/>
    <s v="CMR004005"/>
    <s v="Mayo-Sava"/>
    <s v="CMR004005001"/>
    <s v="Kolofata"/>
  </r>
  <r>
    <s v="Extrême-Nord"/>
    <s v="CMR004"/>
    <x v="4"/>
    <s v="CMR004005"/>
    <x v="19"/>
    <s v="CMR004005001"/>
    <s v="KOL-0021"/>
    <s v="TOLKOMARI"/>
    <m/>
    <x v="0"/>
    <x v="3"/>
    <n v="30"/>
    <n v="280"/>
    <s v="Conflits liés à GANE (BH)"/>
    <m/>
    <s v="Même arrondissement"/>
    <s v="CMR"/>
    <s v="Cameroun"/>
    <s v="CMR004"/>
    <s v="Extrême-Nord"/>
    <s v="CMR004005"/>
    <s v="Mayo-Sava"/>
    <s v="CMR004005001"/>
    <s v="Kolofata"/>
  </r>
  <r>
    <s v="Extrême-Nord"/>
    <s v="CMR004"/>
    <x v="3"/>
    <s v="CMR004003"/>
    <x v="31"/>
    <s v="CMR004003006"/>
    <s v="GUM-0008"/>
    <s v="GABARAYE-WIDI"/>
    <m/>
    <x v="0"/>
    <x v="1"/>
    <n v="160"/>
    <n v="510"/>
    <s v="Inondations saisonnières ou fortes pluies"/>
    <m/>
    <s v="Même arrondissement"/>
    <s v="CMR"/>
    <s v="Cameroun"/>
    <s v="CMR004"/>
    <s v="Extrême-Nord"/>
    <s v="CMR004003"/>
    <s v="Mayo-Danay"/>
    <s v="CMR004003006"/>
    <s v="Guémé"/>
  </r>
  <r>
    <s v="Extrême-Nord"/>
    <s v="CMR004"/>
    <x v="3"/>
    <s v="CMR004003"/>
    <x v="31"/>
    <s v="CMR004003006"/>
    <s v="GUM-0008"/>
    <s v="GABARAYE-WIDI"/>
    <m/>
    <x v="0"/>
    <x v="4"/>
    <n v="0"/>
    <n v="5"/>
    <s v="Inondations saisonnières ou fortes pluies"/>
    <m/>
    <s v="Même arrondissement"/>
    <s v="CMR"/>
    <s v="Cameroun"/>
    <s v="CMR004"/>
    <s v="Extrême-Nord"/>
    <s v="CMR004003"/>
    <s v="Mayo-Danay"/>
    <s v="CMR004003006"/>
    <s v="Guémé"/>
  </r>
  <r>
    <s v="Extrême-Nord"/>
    <s v="CMR004"/>
    <x v="2"/>
    <s v="CMR004002"/>
    <x v="26"/>
    <s v="CMR004002006"/>
    <s v="KOU-0038"/>
    <s v="ARDEBE NGADJAM"/>
    <m/>
    <x v="0"/>
    <x v="2"/>
    <n v="5"/>
    <n v="20"/>
    <s v="Inondations saisonnières ou fortes pluies"/>
    <m/>
    <s v="Même arrondissement"/>
    <s v="CMR"/>
    <s v="Cameroun"/>
    <s v="CMR004"/>
    <s v="Extrême-Nord"/>
    <s v="CMR004002"/>
    <s v="Logone-Et-Chari"/>
    <s v="CMR004002006"/>
    <s v="Kousséri"/>
  </r>
  <r>
    <s v="Extrême-Nord"/>
    <s v="CMR004"/>
    <x v="2"/>
    <s v="CMR004002"/>
    <x v="26"/>
    <s v="CMR004002006"/>
    <s v="KOU-0012"/>
    <s v="KODOGO"/>
    <m/>
    <x v="0"/>
    <x v="2"/>
    <n v="2"/>
    <n v="15"/>
    <s v="Inondations saisonnières ou fortes pluies"/>
    <m/>
    <s v="Même arrondissement"/>
    <s v="CMR"/>
    <s v="Cameroun"/>
    <s v="CMR004"/>
    <s v="Extrême-Nord"/>
    <s v="CMR004002"/>
    <s v="Logone-Et-Chari"/>
    <s v="CMR004002006"/>
    <s v="Kousséri"/>
  </r>
  <r>
    <s v="Extrême-Nord"/>
    <s v="CMR004"/>
    <x v="2"/>
    <s v="CMR004002"/>
    <x v="15"/>
    <s v="CMR004002004"/>
    <s v="LBI-0007"/>
    <s v="MANNA"/>
    <m/>
    <x v="0"/>
    <x v="3"/>
    <n v="35"/>
    <n v="277"/>
    <s v="Conflit intercommunautaire"/>
    <m/>
    <s v="Même arrondissement"/>
    <s v="CMR"/>
    <s v="Cameroun"/>
    <s v="CMR004"/>
    <s v="Extrême-Nord"/>
    <s v="CMR004002"/>
    <s v="Logone-Et-Chari"/>
    <s v="CMR004002004"/>
    <s v="Logone-Birni"/>
  </r>
  <r>
    <s v="Extrême-Nord"/>
    <s v="CMR004"/>
    <x v="2"/>
    <s v="CMR004002"/>
    <x v="15"/>
    <s v="CMR004002004"/>
    <s v="LBI-0007"/>
    <s v="MANNA"/>
    <m/>
    <x v="0"/>
    <x v="2"/>
    <n v="4"/>
    <n v="30"/>
    <s v="Inondations saisonnières ou fortes pluies"/>
    <m/>
    <s v="Même arrondissement"/>
    <s v="CMR"/>
    <s v="Cameroun"/>
    <s v="CMR004"/>
    <s v="Extrême-Nord"/>
    <s v="CMR004002"/>
    <s v="Logone-Et-Chari"/>
    <s v="CMR004002004"/>
    <s v="Logone-Birni"/>
  </r>
  <r>
    <s v="Extrême-Nord"/>
    <s v="CMR004"/>
    <x v="2"/>
    <s v="CMR004002"/>
    <x v="15"/>
    <s v="CMR004002004"/>
    <s v="LBI-0002"/>
    <s v="KALKOUSSAM"/>
    <m/>
    <x v="0"/>
    <x v="0"/>
    <n v="18"/>
    <n v="100"/>
    <s v="Conflits liés à GANE (BH)"/>
    <m/>
    <s v="Même arrondissement"/>
    <s v="CMR"/>
    <s v="Cameroun"/>
    <s v="CMR004"/>
    <s v="Extrême-Nord"/>
    <s v="CMR004002"/>
    <s v="Logone-Et-Chari"/>
    <s v="CMR004002004"/>
    <s v="Logone-Birni"/>
  </r>
  <r>
    <s v="Extrême-Nord"/>
    <s v="CMR004"/>
    <x v="2"/>
    <s v="CMR004002"/>
    <x v="15"/>
    <s v="CMR004002004"/>
    <s v="LBI-0031"/>
    <s v="MADEF"/>
    <m/>
    <x v="0"/>
    <x v="2"/>
    <n v="10"/>
    <n v="54"/>
    <s v="Inondations saisonnières ou fortes pluies"/>
    <m/>
    <s v="Même arrondissement"/>
    <s v="CMR"/>
    <s v="Cameroun"/>
    <s v="CMR004"/>
    <s v="Extrême-Nord"/>
    <s v="CMR004002"/>
    <s v="Logone-Et-Chari"/>
    <s v="CMR004002004"/>
    <s v="Logone-Birni"/>
  </r>
  <r>
    <s v="Extrême-Nord"/>
    <s v="CMR004"/>
    <x v="2"/>
    <s v="CMR004002"/>
    <x v="15"/>
    <s v="CMR004002004"/>
    <s v="LBI-0031"/>
    <s v="MADEF"/>
    <m/>
    <x v="0"/>
    <x v="3"/>
    <n v="25"/>
    <n v="60"/>
    <s v="Inondations saisonnières ou fortes pluies"/>
    <m/>
    <s v="Même arrondissement"/>
    <s v="CMR"/>
    <s v="Cameroun"/>
    <s v="CMR004"/>
    <s v="Extrême-Nord"/>
    <s v="CMR004002"/>
    <s v="Logone-Et-Chari"/>
    <s v="CMR004002004"/>
    <s v="Logone-Birni"/>
  </r>
  <r>
    <s v="Extrême-Nord"/>
    <s v="CMR004"/>
    <x v="2"/>
    <s v="CMR004002"/>
    <x v="15"/>
    <s v="CMR004002004"/>
    <s v="LBI-0024"/>
    <s v="GALESS"/>
    <m/>
    <x v="0"/>
    <x v="3"/>
    <n v="52"/>
    <n v="226"/>
    <s v="Inondations saisonnières ou fortes pluies"/>
    <m/>
    <s v="Même arrondissement"/>
    <s v="CMR"/>
    <s v="Cameroun"/>
    <s v="CMR004"/>
    <s v="Extrême-Nord"/>
    <s v="CMR004002"/>
    <s v="Logone-Et-Chari"/>
    <s v="CMR004002004"/>
    <s v="Logone-Birni"/>
  </r>
  <r>
    <s v="Extrême-Nord"/>
    <s v="CMR004"/>
    <x v="2"/>
    <s v="CMR004002"/>
    <x v="15"/>
    <s v="CMR004002004"/>
    <s v="LBI-0024"/>
    <s v="GALESS"/>
    <m/>
    <x v="0"/>
    <x v="2"/>
    <n v="35"/>
    <n v="203"/>
    <s v="Inondations saisonnières ou fortes pluies"/>
    <m/>
    <s v="Même arrondissement"/>
    <s v="CMR"/>
    <s v="Cameroun"/>
    <s v="CMR004"/>
    <s v="Extrême-Nord"/>
    <s v="CMR004002"/>
    <s v="Logone-Et-Chari"/>
    <s v="CMR004002004"/>
    <s v="Logone-Birni"/>
  </r>
  <r>
    <s v="Extrême-Nord"/>
    <s v="CMR004"/>
    <x v="2"/>
    <s v="CMR004002"/>
    <x v="15"/>
    <s v="CMR004002004"/>
    <s v="LBI-0015"/>
    <s v="NGADA"/>
    <m/>
    <x v="0"/>
    <x v="3"/>
    <n v="59"/>
    <n v="309"/>
    <s v="Inondations saisonnières ou fortes pluies"/>
    <m/>
    <s v="Même arrondissement"/>
    <s v="CMR"/>
    <s v="Cameroun"/>
    <s v="CMR004"/>
    <s v="Extrême-Nord"/>
    <s v="CMR004002"/>
    <s v="Logone-Et-Chari"/>
    <s v="CMR004002004"/>
    <s v="Logone-Birni"/>
  </r>
  <r>
    <s v="Extrême-Nord"/>
    <s v="CMR004"/>
    <x v="2"/>
    <s v="CMR004002"/>
    <x v="15"/>
    <s v="CMR004002004"/>
    <s v="LBI-0062"/>
    <s v="KARA GANA"/>
    <m/>
    <x v="0"/>
    <x v="0"/>
    <n v="10"/>
    <n v="73"/>
    <s v="Conflits liés à GANE (BH)"/>
    <m/>
    <s v="Même arrondissement"/>
    <s v="CMR"/>
    <s v="Cameroun"/>
    <s v="CMR004"/>
    <s v="Extrême-Nord"/>
    <s v="CMR004002"/>
    <s v="Logone-Et-Chari"/>
    <s v="CMR004002004"/>
    <s v="Logone-Birni"/>
  </r>
  <r>
    <s v="Extrême-Nord"/>
    <s v="CMR004"/>
    <x v="2"/>
    <s v="CMR004002"/>
    <x v="15"/>
    <s v="CMR004002004"/>
    <s v="LBI-0060"/>
    <s v="HOULOUF"/>
    <m/>
    <x v="0"/>
    <x v="0"/>
    <n v="30"/>
    <n v="150"/>
    <s v="Conflits liés à GANE (BH)"/>
    <m/>
    <s v="Même arrondissement"/>
    <s v="CMR"/>
    <s v="Cameroun"/>
    <s v="CMR004"/>
    <s v="Extrême-Nord"/>
    <s v="CMR004002"/>
    <s v="Logone-Et-Chari"/>
    <s v="CMR004002004"/>
    <s v="Logone-Birni"/>
  </r>
  <r>
    <s v="Extrême-Nord"/>
    <s v="CMR004"/>
    <x v="2"/>
    <s v="CMR004002"/>
    <x v="15"/>
    <s v="CMR004002004"/>
    <s v="XXXX"/>
    <s v="BOURBEDE"/>
    <s v="BOURBEDE"/>
    <x v="0"/>
    <x v="2"/>
    <n v="40"/>
    <n v="250"/>
    <s v="Inondations saisonnières ou fortes pluies"/>
    <m/>
    <s v="Même arrondissement"/>
    <s v="CMR"/>
    <s v="Cameroun"/>
    <s v="CMR004"/>
    <s v="Extrême-Nord"/>
    <s v="CMR004002"/>
    <s v="Logone-Et-Chari"/>
    <s v="CMR004002004"/>
    <s v="Logone-Birni"/>
  </r>
  <r>
    <s v="Extrême-Nord"/>
    <s v="CMR004"/>
    <x v="2"/>
    <s v="CMR004002"/>
    <x v="15"/>
    <s v="CMR004002004"/>
    <s v="LBI-0063"/>
    <s v="KASHAL"/>
    <m/>
    <x v="0"/>
    <x v="3"/>
    <n v="9"/>
    <n v="50"/>
    <s v="Inondations saisonnières ou fortes pluies"/>
    <m/>
    <s v="Même arrondissement"/>
    <s v="CMR"/>
    <s v="Cameroun"/>
    <s v="CMR004"/>
    <s v="Extrême-Nord"/>
    <s v="CMR004002"/>
    <s v="Logone-Et-Chari"/>
    <s v="CMR004002004"/>
    <s v="Logone-Birni"/>
  </r>
  <r>
    <s v="Extrême-Nord"/>
    <s v="CMR004"/>
    <x v="2"/>
    <s v="CMR004002"/>
    <x v="15"/>
    <s v="CMR004002004"/>
    <s v="LBI-0063"/>
    <s v="KASHAL"/>
    <m/>
    <x v="0"/>
    <x v="2"/>
    <n v="16"/>
    <n v="85"/>
    <s v="Inondations saisonnières ou fortes pluies"/>
    <m/>
    <s v="Même arrondissement"/>
    <s v="CMR"/>
    <s v="Cameroun"/>
    <s v="CMR004"/>
    <s v="Extrême-Nord"/>
    <s v="CMR004002"/>
    <s v="Logone-Et-Chari"/>
    <s v="CMR004002004"/>
    <s v="Logone-Birni"/>
  </r>
  <r>
    <s v="Extrême-Nord"/>
    <s v="CMR004"/>
    <x v="2"/>
    <s v="CMR004002"/>
    <x v="15"/>
    <s v="CMR004002004"/>
    <s v="XXXX"/>
    <s v="SITE DE DEIMA"/>
    <s v="SITE DE DEIMA"/>
    <x v="0"/>
    <x v="2"/>
    <n v="131"/>
    <n v="1186"/>
    <s v="Inondations saisonnières ou fortes pluies"/>
    <m/>
    <s v="Même arrondissement"/>
    <s v="CMR"/>
    <s v="Cameroun"/>
    <s v="CMR004"/>
    <s v="Extrême-Nord"/>
    <s v="CMR004002"/>
    <s v="Logone-Et-Chari"/>
    <s v="CMR004002004"/>
    <s v="Logone-Birni"/>
  </r>
  <r>
    <s v="Extrême-Nord"/>
    <s v="CMR004"/>
    <x v="1"/>
    <s v="CMR004006"/>
    <x v="7"/>
    <s v="CMR004006005"/>
    <s v="XXXX"/>
    <s v="SITE DE DZAMADZAF"/>
    <s v="SITE DE DZAMADZAF"/>
    <x v="0"/>
    <x v="2"/>
    <n v="83"/>
    <n v="550"/>
    <s v="Conflits liés à GANE (BH)"/>
    <m/>
    <s v="Même arrondissement"/>
    <s v="CMR"/>
    <s v="Cameroun"/>
    <s v="CMR004"/>
    <s v="Extrême-Nord"/>
    <s v="CMR004006"/>
    <s v="Mayo-Tsanaga"/>
    <s v="CMR004006005"/>
    <s v="Mayo-Moskota"/>
  </r>
  <r>
    <s v="Extrême-Nord"/>
    <s v="CMR004"/>
    <x v="1"/>
    <s v="CMR004006"/>
    <x v="1"/>
    <s v="CMR004006002"/>
    <s v="MOK-0012"/>
    <s v="MBOUA ZIMAGAZAK"/>
    <m/>
    <x v="0"/>
    <x v="0"/>
    <n v="19"/>
    <n v="130"/>
    <s v="Conflits liés à GANE (BH)"/>
    <m/>
    <s v="Même département, autre arrondissement"/>
    <s v="CMR"/>
    <s v="Cameroun"/>
    <s v="CMR004"/>
    <s v="Extrême-Nord"/>
    <s v="CMR004006"/>
    <s v="Mayo-Tsanaga"/>
    <s v="CMR004006005"/>
    <s v="Mayo-Moskota"/>
  </r>
  <r>
    <s v="Extrême-Nord"/>
    <s v="CMR004"/>
    <x v="1"/>
    <s v="CMR004006"/>
    <x v="1"/>
    <s v="CMR004006002"/>
    <s v="MOK-0012"/>
    <s v="MBOUA ZIMAGAZAK"/>
    <m/>
    <x v="0"/>
    <x v="4"/>
    <n v="12"/>
    <n v="100"/>
    <s v="Conflits liés à GANE (BH)"/>
    <m/>
    <s v="Même département, autre arrondissement"/>
    <s v="CMR"/>
    <s v="Cameroun"/>
    <s v="CMR004"/>
    <s v="Extrême-Nord"/>
    <s v="CMR004006"/>
    <s v="Mayo-Tsanaga"/>
    <s v="CMR004006005"/>
    <s v="Mayo-Moskota"/>
  </r>
  <r>
    <s v="Extrême-Nord"/>
    <s v="CMR004"/>
    <x v="1"/>
    <s v="CMR004006"/>
    <x v="1"/>
    <s v="CMR004006002"/>
    <s v="MOK-0012"/>
    <s v="MBOUA ZIMAGAZAK"/>
    <m/>
    <x v="0"/>
    <x v="2"/>
    <n v="50"/>
    <n v="147"/>
    <s v="Conflits liés à GANE (BH)"/>
    <m/>
    <s v="Même arrondissement"/>
    <s v="CMR"/>
    <s v="Cameroun"/>
    <s v="CMR004"/>
    <s v="Extrême-Nord"/>
    <s v="CMR004006"/>
    <s v="Mayo-Tsanaga"/>
    <s v="CMR004006002"/>
    <s v="Mokolo"/>
  </r>
  <r>
    <s v="Extrême-Nord"/>
    <s v="CMR004"/>
    <x v="1"/>
    <s v="CMR004006"/>
    <x v="1"/>
    <s v="CMR004006002"/>
    <s v="MOK-0026"/>
    <s v="SARKI FADA"/>
    <m/>
    <x v="0"/>
    <x v="1"/>
    <n v="15"/>
    <n v="75"/>
    <s v="Conflits liés à GANE (BH)"/>
    <m/>
    <s v="Même arrondissement"/>
    <s v="CMR"/>
    <s v="Cameroun"/>
    <s v="CMR004"/>
    <s v="Extrême-Nord"/>
    <s v="CMR004006"/>
    <s v="Mayo-Tsanaga"/>
    <s v="CMR004006002"/>
    <s v="Mokolo"/>
  </r>
  <r>
    <s v="Extrême-Nord"/>
    <s v="CMR004"/>
    <x v="1"/>
    <s v="CMR004006"/>
    <x v="1"/>
    <s v="CMR004006002"/>
    <s v="MOK-0026"/>
    <s v="SARKI FADA"/>
    <m/>
    <x v="0"/>
    <x v="4"/>
    <n v="5"/>
    <n v="26"/>
    <s v="Conflits liés à GANE (BH)"/>
    <m/>
    <s v="Même arrondissement"/>
    <s v="CMR"/>
    <s v="Cameroun"/>
    <s v="CMR004"/>
    <s v="Extrême-Nord"/>
    <s v="CMR004006"/>
    <s v="Mayo-Tsanaga"/>
    <s v="CMR004006002"/>
    <s v="Mokolo"/>
  </r>
  <r>
    <s v="Extrême-Nord"/>
    <s v="CMR004"/>
    <x v="1"/>
    <s v="CMR004006"/>
    <x v="1"/>
    <s v="CMR004006002"/>
    <s v="MOK-0026"/>
    <s v="SARKI FADA"/>
    <m/>
    <x v="0"/>
    <x v="3"/>
    <n v="41"/>
    <n v="231"/>
    <s v="Conflits liés à GANE (BH)"/>
    <m/>
    <s v="Même arrondissement"/>
    <s v="CMR"/>
    <s v="Cameroun"/>
    <s v="CMR004"/>
    <s v="Extrême-Nord"/>
    <s v="CMR004006"/>
    <s v="Mayo-Tsanaga"/>
    <s v="CMR004006002"/>
    <s v="Mokolo"/>
  </r>
  <r>
    <s v="Extrême-Nord"/>
    <s v="CMR004"/>
    <x v="2"/>
    <s v="CMR004002"/>
    <x v="23"/>
    <s v="CMR004002005"/>
    <s v="ZIN-0002"/>
    <s v="BALGUE 1"/>
    <m/>
    <x v="0"/>
    <x v="0"/>
    <n v="2"/>
    <n v="9"/>
    <s v="Inondations saisonnières ou fortes pluies"/>
    <m/>
    <s v="Même arrondissement"/>
    <s v="CMR"/>
    <s v="Cameroun"/>
    <s v="CMR004"/>
    <s v="Extrême-Nord"/>
    <s v="CMR004002"/>
    <s v="Logone-Et-Chari"/>
    <s v="CMR004002005"/>
    <s v="Zina"/>
  </r>
  <r>
    <s v="Extrême-Nord"/>
    <s v="CMR004"/>
    <x v="2"/>
    <s v="CMR004002"/>
    <x v="23"/>
    <s v="CMR004002005"/>
    <s v="ZIN-0021"/>
    <s v="TCHOUKFOU 2"/>
    <m/>
    <x v="0"/>
    <x v="3"/>
    <n v="10"/>
    <n v="50"/>
    <s v="Inondations saisonnières ou fortes pluies"/>
    <m/>
    <s v="Même arrondissement"/>
    <s v="CMR"/>
    <s v="Cameroun"/>
    <s v="CMR004"/>
    <s v="Extrême-Nord"/>
    <s v="CMR004002"/>
    <s v="Logone-Et-Chari"/>
    <s v="CMR004002005"/>
    <s v="Zina"/>
  </r>
  <r>
    <s v="Extrême-Nord"/>
    <s v="CMR004"/>
    <x v="2"/>
    <s v="CMR004002"/>
    <x v="23"/>
    <s v="CMR004002005"/>
    <s v="ZIN-0018"/>
    <s v="LAHAI"/>
    <m/>
    <x v="0"/>
    <x v="3"/>
    <n v="4"/>
    <n v="30"/>
    <s v="Inondations saisonnières ou fortes pluies"/>
    <m/>
    <s v="Même arrondissement"/>
    <s v="CMR"/>
    <s v="Cameroun"/>
    <s v="CMR004"/>
    <s v="Extrême-Nord"/>
    <s v="CMR004002"/>
    <s v="Logone-Et-Chari"/>
    <s v="CMR004002005"/>
    <s v="Zina"/>
  </r>
  <r>
    <s v="Extrême-Nord"/>
    <s v="CMR004"/>
    <x v="2"/>
    <s v="CMR004002"/>
    <x v="23"/>
    <s v="CMR004002005"/>
    <s v="ZIN-0007"/>
    <s v="MASKALAI"/>
    <m/>
    <x v="0"/>
    <x v="2"/>
    <n v="10"/>
    <n v="78"/>
    <s v="Catastrophe naturelle (sécheresse, glissement de terrain, rupture de digue)"/>
    <s v="rupture de digue"/>
    <s v="Même arrondissement"/>
    <s v="CMR"/>
    <s v="Cameroun"/>
    <s v="CMR004"/>
    <s v="Extrême-Nord"/>
    <s v="CMR004002"/>
    <s v="Logone-Et-Chari"/>
    <s v="CMR004002005"/>
    <s v="Zina"/>
  </r>
  <r>
    <s v="Extrême-Nord"/>
    <s v="CMR004"/>
    <x v="2"/>
    <s v="CMR004002"/>
    <x v="8"/>
    <s v="CMR004002009"/>
    <s v="MAK-0151"/>
    <s v="SERO 1"/>
    <m/>
    <x v="0"/>
    <x v="0"/>
    <n v="26"/>
    <n v="154"/>
    <s v="Conflits liés à GANE (BH)"/>
    <m/>
    <s v="Même arrondissement"/>
    <s v="CMR"/>
    <s v="Cameroun"/>
    <s v="CMR004"/>
    <s v="Extrême-Nord"/>
    <s v="CMR004002"/>
    <s v="Logone-Et-Chari"/>
    <s v="CMR004002009"/>
    <s v="Makary"/>
  </r>
  <r>
    <s v="Extrême-Nord"/>
    <s v="CMR004"/>
    <x v="2"/>
    <s v="CMR004002"/>
    <x v="8"/>
    <s v="CMR004002009"/>
    <s v="MAK-0151"/>
    <s v="SERO 1"/>
    <m/>
    <x v="0"/>
    <x v="2"/>
    <n v="10"/>
    <n v="24"/>
    <s v="Inondations saisonnières ou fortes pluies"/>
    <m/>
    <s v="Même département, autre arrondissement"/>
    <s v="CMR"/>
    <s v="Cameroun"/>
    <s v="CMR004"/>
    <s v="Extrême-Nord"/>
    <s v="CMR004002"/>
    <s v="Logone-Et-Chari"/>
    <s v="CMR004002004"/>
    <s v="Logone-Birni"/>
  </r>
  <r>
    <s v="Extrême-Nord"/>
    <s v="CMR004"/>
    <x v="2"/>
    <s v="CMR004002"/>
    <x v="8"/>
    <s v="CMR004002009"/>
    <s v="MAK-0152"/>
    <s v="SOUNGOURA 1"/>
    <m/>
    <x v="0"/>
    <x v="0"/>
    <n v="4"/>
    <n v="30"/>
    <s v="Conflits liés à GANE (BH)"/>
    <m/>
    <s v="Même arrondissement"/>
    <s v="CMR"/>
    <s v="Cameroun"/>
    <s v="CMR004"/>
    <s v="Extrême-Nord"/>
    <s v="CMR004002"/>
    <s v="Logone-Et-Chari"/>
    <s v="CMR004002009"/>
    <s v="Makary"/>
  </r>
  <r>
    <s v="Extrême-Nord"/>
    <s v="CMR004"/>
    <x v="1"/>
    <s v="CMR004006"/>
    <x v="1"/>
    <s v="CMR004006002"/>
    <s v="MOK-0027"/>
    <s v="LDAMANG"/>
    <m/>
    <x v="0"/>
    <x v="1"/>
    <n v="2"/>
    <n v="6"/>
    <s v="Conflits liés à GANE (BH)"/>
    <m/>
    <s v="Même arrondissement"/>
    <s v="CMR"/>
    <s v="Cameroun"/>
    <s v="CMR004"/>
    <s v="Extrême-Nord"/>
    <s v="CMR004006"/>
    <s v="Mayo-Tsanaga"/>
    <s v="CMR004006002"/>
    <s v="Mokolo"/>
  </r>
  <r>
    <s v="Extrême-Nord"/>
    <s v="CMR004"/>
    <x v="1"/>
    <s v="CMR004006"/>
    <x v="1"/>
    <s v="CMR004006002"/>
    <s v="MOK-0027"/>
    <s v="LDAMANG"/>
    <m/>
    <x v="0"/>
    <x v="4"/>
    <n v="4"/>
    <n v="9"/>
    <s v="Conflits liés à GANE (BH)"/>
    <m/>
    <s v="Même arrondissement"/>
    <s v="CMR"/>
    <s v="Cameroun"/>
    <s v="CMR004"/>
    <s v="Extrême-Nord"/>
    <s v="CMR004006"/>
    <s v="Mayo-Tsanaga"/>
    <s v="CMR004006002"/>
    <s v="Mokolo"/>
  </r>
  <r>
    <s v="Extrême-Nord"/>
    <s v="CMR004"/>
    <x v="1"/>
    <s v="CMR004006"/>
    <x v="1"/>
    <s v="CMR004006002"/>
    <s v="MOK-0027"/>
    <s v="LDAMANG"/>
    <m/>
    <x v="0"/>
    <x v="3"/>
    <n v="265"/>
    <n v="1629"/>
    <s v="Conflits liés à GANE (BH)"/>
    <m/>
    <s v="Même arrondissement"/>
    <s v="CMR"/>
    <s v="Cameroun"/>
    <s v="CMR004"/>
    <s v="Extrême-Nord"/>
    <s v="CMR004006"/>
    <s v="Mayo-Tsanaga"/>
    <s v="CMR004006002"/>
    <s v="Mokolo"/>
  </r>
  <r>
    <s v="Extrême-Nord"/>
    <s v="CMR004"/>
    <x v="1"/>
    <s v="CMR004006"/>
    <x v="1"/>
    <s v="CMR004006002"/>
    <s v="MOK-0027"/>
    <s v="LDAMANG"/>
    <m/>
    <x v="0"/>
    <x v="2"/>
    <n v="25"/>
    <n v="365"/>
    <s v="Conflits liés à GANE (BH)"/>
    <m/>
    <s v="Même arrondissement"/>
    <s v="CMR"/>
    <s v="Cameroun"/>
    <s v="CMR004"/>
    <s v="Extrême-Nord"/>
    <s v="CMR004006"/>
    <s v="Mayo-Tsanaga"/>
    <s v="CMR004006002"/>
    <s v="Mokolo"/>
  </r>
  <r>
    <s v="Extrême-Nord"/>
    <s v="CMR004"/>
    <x v="2"/>
    <s v="CMR004002"/>
    <x v="23"/>
    <s v="CMR004002005"/>
    <s v="XXXX"/>
    <s v="DIBISSA"/>
    <s v="DIBISSA"/>
    <x v="0"/>
    <x v="3"/>
    <n v="67"/>
    <n v="570"/>
    <s v="Inondations saisonnières ou fortes pluies"/>
    <m/>
    <s v="Même arrondissement"/>
    <s v="CMR"/>
    <s v="Cameroun"/>
    <s v="CMR004"/>
    <s v="Extrême-Nord"/>
    <s v="CMR004002"/>
    <s v="Logone-Et-Chari"/>
    <s v="CMR004002005"/>
    <s v="Zina"/>
  </r>
  <r>
    <s v="Extrême-Nord"/>
    <s v="CMR004"/>
    <x v="2"/>
    <s v="CMR004002"/>
    <x v="23"/>
    <s v="CMR004002005"/>
    <s v="ZIN-0010"/>
    <s v="ZILIM 2"/>
    <m/>
    <x v="0"/>
    <x v="4"/>
    <n v="6"/>
    <n v="48"/>
    <s v="Inondations saisonnières ou fortes pluies"/>
    <m/>
    <s v="Même arrondissement"/>
    <s v="CMR"/>
    <s v="Cameroun"/>
    <s v="CMR004"/>
    <s v="Extrême-Nord"/>
    <s v="CMR004002"/>
    <s v="Logone-Et-Chari"/>
    <s v="CMR004002005"/>
    <s v="Zina"/>
  </r>
  <r>
    <s v="Extrême-Nord"/>
    <s v="CMR004"/>
    <x v="2"/>
    <s v="CMR004002"/>
    <x v="15"/>
    <s v="CMR004002004"/>
    <s v="LBI-0033"/>
    <s v="NDOM"/>
    <m/>
    <x v="0"/>
    <x v="0"/>
    <n v="16"/>
    <n v="117"/>
    <s v="Conflits liés à GANE (BH)"/>
    <m/>
    <s v="Même arrondissement"/>
    <s v="CMR"/>
    <s v="Cameroun"/>
    <s v="CMR004"/>
    <s v="Extrême-Nord"/>
    <s v="CMR004002"/>
    <s v="Logone-Et-Chari"/>
    <s v="CMR004002004"/>
    <s v="Logone-Birni"/>
  </r>
  <r>
    <s v="Extrême-Nord"/>
    <s v="CMR004"/>
    <x v="2"/>
    <s v="CMR004002"/>
    <x v="8"/>
    <s v="CMR004002009"/>
    <s v="MAK-0229"/>
    <s v="NALA 1"/>
    <m/>
    <x v="0"/>
    <x v="2"/>
    <n v="10"/>
    <n v="25"/>
    <s v="Inondations saisonnières ou fortes pluies"/>
    <m/>
    <s v="Même arrondissement"/>
    <s v="CMR"/>
    <s v="Cameroun"/>
    <s v="CMR004"/>
    <s v="Extrême-Nord"/>
    <s v="CMR004002"/>
    <s v="Logone-Et-Chari"/>
    <s v="CMR004002009"/>
    <s v="Makary"/>
  </r>
  <r>
    <s v="Extrême-Nord"/>
    <s v="CMR004"/>
    <x v="3"/>
    <s v="CMR004003"/>
    <x v="11"/>
    <s v="CMR004003002"/>
    <s v="MAG-0006"/>
    <s v="SITE DE TEKELE"/>
    <m/>
    <x v="0"/>
    <x v="0"/>
    <n v="35"/>
    <n v="193"/>
    <s v="Inondations saisonnières ou fortes pluies"/>
    <m/>
    <s v="Même arrondissement"/>
    <s v="CMR"/>
    <s v="Cameroun"/>
    <s v="CMR004"/>
    <s v="Extrême-Nord"/>
    <s v="CMR004003"/>
    <s v="Mayo-Danay"/>
    <s v="CMR004003002"/>
    <s v="Maga"/>
  </r>
  <r>
    <s v="Extrême-Nord"/>
    <s v="CMR004"/>
    <x v="3"/>
    <s v="CMR004003"/>
    <x v="11"/>
    <s v="CMR004003002"/>
    <s v="MAG-0006"/>
    <s v="SITE DE TEKELE"/>
    <m/>
    <x v="0"/>
    <x v="1"/>
    <n v="0"/>
    <n v="2"/>
    <s v="Inondations saisonnières ou fortes pluies"/>
    <m/>
    <s v="Même arrondissement"/>
    <s v="CMR"/>
    <s v="Cameroun"/>
    <s v="CMR004"/>
    <s v="Extrême-Nord"/>
    <s v="CMR004003"/>
    <s v="Mayo-Danay"/>
    <s v="CMR004003002"/>
    <s v="Maga"/>
  </r>
  <r>
    <s v="Extrême-Nord"/>
    <s v="CMR004"/>
    <x v="3"/>
    <s v="CMR004003"/>
    <x v="11"/>
    <s v="CMR004003002"/>
    <s v="MAG-0006"/>
    <s v="SITE DE TEKELE"/>
    <m/>
    <x v="0"/>
    <x v="4"/>
    <n v="2"/>
    <n v="14"/>
    <s v="Inondations saisonnières ou fortes pluies"/>
    <m/>
    <s v="Même arrondissement"/>
    <s v="CMR"/>
    <s v="Cameroun"/>
    <s v="CMR004"/>
    <s v="Extrême-Nord"/>
    <s v="CMR004003"/>
    <s v="Mayo-Danay"/>
    <s v="CMR004003002"/>
    <s v="Maga"/>
  </r>
  <r>
    <s v="Extrême-Nord"/>
    <s v="CMR004"/>
    <x v="3"/>
    <s v="CMR004003"/>
    <x v="11"/>
    <s v="CMR004003002"/>
    <s v="MAG-0006"/>
    <s v="SITE DE TEKELE"/>
    <m/>
    <x v="0"/>
    <x v="3"/>
    <n v="0"/>
    <n v="4"/>
    <s v="Inondations saisonnières ou fortes pluies"/>
    <m/>
    <s v="Même arrondissement"/>
    <s v="CMR"/>
    <s v="Cameroun"/>
    <s v="CMR004"/>
    <s v="Extrême-Nord"/>
    <s v="CMR004003"/>
    <s v="Mayo-Danay"/>
    <s v="CMR004003002"/>
    <s v="Maga"/>
  </r>
  <r>
    <s v="Extrême-Nord"/>
    <s v="CMR004"/>
    <x v="3"/>
    <s v="CMR004003"/>
    <x v="11"/>
    <s v="CMR004003002"/>
    <s v="MAG-0006"/>
    <s v="SITE DE TEKELE"/>
    <m/>
    <x v="0"/>
    <x v="2"/>
    <n v="0"/>
    <n v="2"/>
    <s v="Inondations saisonnières ou fortes pluies"/>
    <m/>
    <s v="Même arrondissement"/>
    <s v="CMR"/>
    <s v="Cameroun"/>
    <s v="CMR004"/>
    <s v="Extrême-Nord"/>
    <s v="CMR004003"/>
    <s v="Mayo-Danay"/>
    <s v="CMR004003002"/>
    <s v="Maga"/>
  </r>
  <r>
    <s v="Extrême-Nord"/>
    <s v="CMR004"/>
    <x v="1"/>
    <s v="CMR004006"/>
    <x v="1"/>
    <s v="CMR004006002"/>
    <s v="MOK-0033"/>
    <s v="LDUBAM"/>
    <m/>
    <x v="0"/>
    <x v="1"/>
    <n v="3"/>
    <n v="73"/>
    <s v="Conflits liés à GANE (BH)"/>
    <m/>
    <s v="Même arrondissement"/>
    <s v="CMR"/>
    <s v="Cameroun"/>
    <s v="CMR004"/>
    <s v="Extrême-Nord"/>
    <s v="CMR004006"/>
    <s v="Mayo-Tsanaga"/>
    <s v="CMR004006002"/>
    <s v="Mokolo"/>
  </r>
  <r>
    <s v="Extrême-Nord"/>
    <s v="CMR004"/>
    <x v="1"/>
    <s v="CMR004006"/>
    <x v="1"/>
    <s v="CMR004006002"/>
    <s v="MOK-0033"/>
    <s v="LDUBAM"/>
    <m/>
    <x v="0"/>
    <x v="4"/>
    <n v="8"/>
    <n v="37"/>
    <s v="Conflits liés à GANE (BH)"/>
    <m/>
    <s v="Même arrondissement"/>
    <s v="CMR"/>
    <s v="Cameroun"/>
    <s v="CMR004"/>
    <s v="Extrême-Nord"/>
    <s v="CMR004006"/>
    <s v="Mayo-Tsanaga"/>
    <s v="CMR004006002"/>
    <s v="Mokolo"/>
  </r>
  <r>
    <s v="Extrême-Nord"/>
    <s v="CMR004"/>
    <x v="1"/>
    <s v="CMR004006"/>
    <x v="1"/>
    <s v="CMR004006002"/>
    <s v="MOK-0033"/>
    <s v="LDUBAM"/>
    <m/>
    <x v="0"/>
    <x v="3"/>
    <n v="4"/>
    <n v="18"/>
    <s v="Conflits liés à GANE (BH)"/>
    <m/>
    <s v="Même arrondissement"/>
    <s v="CMR"/>
    <s v="Cameroun"/>
    <s v="CMR004"/>
    <s v="Extrême-Nord"/>
    <s v="CMR004006"/>
    <s v="Mayo-Tsanaga"/>
    <s v="CMR004006002"/>
    <s v="Mokolo"/>
  </r>
  <r>
    <s v="Extrême-Nord"/>
    <s v="CMR004"/>
    <x v="1"/>
    <s v="CMR004006"/>
    <x v="1"/>
    <s v="CMR004006002"/>
    <s v="MOK-0033"/>
    <s v="LDUBAM"/>
    <m/>
    <x v="0"/>
    <x v="2"/>
    <n v="50"/>
    <n v="118"/>
    <s v="Conflits liés à GANE (BH)"/>
    <m/>
    <s v="Même arrondissement"/>
    <s v="CMR"/>
    <s v="Cameroun"/>
    <s v="CMR004"/>
    <s v="Extrême-Nord"/>
    <s v="CMR004006"/>
    <s v="Mayo-Tsanaga"/>
    <s v="CMR004006002"/>
    <s v="Mokolo"/>
  </r>
  <r>
    <s v="Extrême-Nord"/>
    <s v="CMR004"/>
    <x v="1"/>
    <s v="CMR004006"/>
    <x v="1"/>
    <s v="CMR004006002"/>
    <s v="MOK-0034"/>
    <s v="WOUDAHAI"/>
    <m/>
    <x v="0"/>
    <x v="0"/>
    <n v="66"/>
    <n v="397"/>
    <s v="Conflits liés à GANE (BH)"/>
    <m/>
    <s v="Même arrondissement"/>
    <s v="CMR"/>
    <s v="Cameroun"/>
    <s v="CMR004"/>
    <s v="Extrême-Nord"/>
    <s v="CMR004006"/>
    <s v="Mayo-Tsanaga"/>
    <s v="CMR004006002"/>
    <s v="Mokolo"/>
  </r>
  <r>
    <s v="Extrême-Nord"/>
    <s v="CMR004"/>
    <x v="1"/>
    <s v="CMR004006"/>
    <x v="1"/>
    <s v="CMR004006002"/>
    <s v="MOK-0034"/>
    <s v="WOUDAHAI"/>
    <m/>
    <x v="0"/>
    <x v="1"/>
    <n v="0"/>
    <n v="9"/>
    <s v="Conflits liés à GANE (BH)"/>
    <m/>
    <s v="Même arrondissement"/>
    <s v="CMR"/>
    <s v="Cameroun"/>
    <s v="CMR004"/>
    <s v="Extrême-Nord"/>
    <s v="CMR004006"/>
    <s v="Mayo-Tsanaga"/>
    <s v="CMR004006002"/>
    <s v="Mokolo"/>
  </r>
  <r>
    <s v="Extrême-Nord"/>
    <s v="CMR004"/>
    <x v="1"/>
    <s v="CMR004006"/>
    <x v="1"/>
    <s v="CMR004006002"/>
    <s v="MOK-0034"/>
    <s v="WOUDAHAI"/>
    <m/>
    <x v="0"/>
    <x v="4"/>
    <n v="12"/>
    <n v="60"/>
    <s v="Conflits liés à GANE (BH)"/>
    <m/>
    <s v="Même arrondissement"/>
    <s v="CMR"/>
    <s v="Cameroun"/>
    <s v="CMR004"/>
    <s v="Extrême-Nord"/>
    <s v="CMR004006"/>
    <s v="Mayo-Tsanaga"/>
    <s v="CMR004006002"/>
    <s v="Mokolo"/>
  </r>
  <r>
    <s v="Extrême-Nord"/>
    <s v="CMR004"/>
    <x v="1"/>
    <s v="CMR004006"/>
    <x v="1"/>
    <s v="CMR004006002"/>
    <s v="MOK-0034"/>
    <s v="WOUDAHAI"/>
    <m/>
    <x v="0"/>
    <x v="3"/>
    <n v="15"/>
    <n v="59"/>
    <s v="Conflits liés à GANE (BH)"/>
    <m/>
    <s v="Même arrondissement"/>
    <s v="CMR"/>
    <s v="Cameroun"/>
    <s v="CMR004"/>
    <s v="Extrême-Nord"/>
    <s v="CMR004006"/>
    <s v="Mayo-Tsanaga"/>
    <s v="CMR004006002"/>
    <s v="Mokolo"/>
  </r>
  <r>
    <s v="Extrême-Nord"/>
    <s v="CMR004"/>
    <x v="1"/>
    <s v="CMR004006"/>
    <x v="1"/>
    <s v="CMR004006002"/>
    <s v="MOK-0034"/>
    <s v="WOUDAHAI"/>
    <m/>
    <x v="0"/>
    <x v="2"/>
    <n v="60"/>
    <n v="98"/>
    <s v="Conflits liés à GANE (BH)"/>
    <m/>
    <s v="Même arrondissement"/>
    <s v="CMR"/>
    <s v="Cameroun"/>
    <s v="CMR004"/>
    <s v="Extrême-Nord"/>
    <s v="CMR004006"/>
    <s v="Mayo-Tsanaga"/>
    <s v="CMR004006002"/>
    <s v="Mokolo"/>
  </r>
  <r>
    <s v="Extrême-Nord"/>
    <s v="CMR004"/>
    <x v="1"/>
    <s v="CMR004006"/>
    <x v="1"/>
    <s v="CMR004006002"/>
    <s v="MOK-0037"/>
    <s v="SITE DE ZAMAI 3"/>
    <m/>
    <x v="0"/>
    <x v="0"/>
    <n v="552"/>
    <n v="2068"/>
    <s v="Conflits liés à GANE (BH)"/>
    <m/>
    <s v="Même arrondissement"/>
    <s v="CMR"/>
    <s v="Cameroun"/>
    <s v="CMR004"/>
    <s v="Extrême-Nord"/>
    <s v="CMR004006"/>
    <s v="Mayo-Tsanaga"/>
    <s v="CMR004006002"/>
    <s v="Mokolo"/>
  </r>
  <r>
    <s v="Extrême-Nord"/>
    <s v="CMR004"/>
    <x v="1"/>
    <s v="CMR004006"/>
    <x v="1"/>
    <s v="CMR004006002"/>
    <s v="MOK-0037"/>
    <s v="SITE DE ZAMAI 3"/>
    <m/>
    <x v="0"/>
    <x v="1"/>
    <n v="50"/>
    <n v="164"/>
    <s v="Conflits liés à GANE (BH)"/>
    <m/>
    <s v="Même arrondissement"/>
    <s v="CMR"/>
    <s v="Cameroun"/>
    <s v="CMR004"/>
    <s v="Extrême-Nord"/>
    <s v="CMR004006"/>
    <s v="Mayo-Tsanaga"/>
    <s v="CMR004006002"/>
    <s v="Mokolo"/>
  </r>
  <r>
    <s v="Extrême-Nord"/>
    <s v="CMR004"/>
    <x v="1"/>
    <s v="CMR004006"/>
    <x v="1"/>
    <s v="CMR004006002"/>
    <s v="MOK-0037"/>
    <s v="SITE DE ZAMAI 3"/>
    <m/>
    <x v="0"/>
    <x v="4"/>
    <n v="30"/>
    <n v="185"/>
    <s v="Conflits liés à GANE (BH)"/>
    <m/>
    <s v="Même arrondissement"/>
    <s v="CMR"/>
    <s v="Cameroun"/>
    <s v="CMR004"/>
    <s v="Extrême-Nord"/>
    <s v="CMR004006"/>
    <s v="Mayo-Tsanaga"/>
    <s v="CMR004006002"/>
    <s v="Mokolo"/>
  </r>
  <r>
    <s v="Extrême-Nord"/>
    <s v="CMR004"/>
    <x v="1"/>
    <s v="CMR004006"/>
    <x v="1"/>
    <s v="CMR004006002"/>
    <s v="MOK-0037"/>
    <s v="SITE DE ZAMAI 3"/>
    <m/>
    <x v="0"/>
    <x v="3"/>
    <n v="58"/>
    <n v="268"/>
    <s v="Conflits liés à GANE (BH)"/>
    <m/>
    <s v="Même arrondissement"/>
    <s v="CMR"/>
    <s v="Cameroun"/>
    <s v="CMR004"/>
    <s v="Extrême-Nord"/>
    <s v="CMR004006"/>
    <s v="Mayo-Tsanaga"/>
    <s v="CMR004006002"/>
    <s v="Mokolo"/>
  </r>
  <r>
    <s v="Extrême-Nord"/>
    <s v="CMR004"/>
    <x v="1"/>
    <s v="CMR004006"/>
    <x v="1"/>
    <s v="CMR004006002"/>
    <s v="MOK-0037"/>
    <s v="SITE DE ZAMAI 3"/>
    <m/>
    <x v="0"/>
    <x v="2"/>
    <n v="160"/>
    <n v="450"/>
    <s v="Conflits liés à GANE (BH)"/>
    <m/>
    <s v="Même arrondissement"/>
    <s v="CMR"/>
    <s v="Cameroun"/>
    <s v="CMR004"/>
    <s v="Extrême-Nord"/>
    <s v="CMR004006"/>
    <s v="Mayo-Tsanaga"/>
    <s v="CMR004006002"/>
    <s v="Mokolo"/>
  </r>
  <r>
    <s v="Extrême-Nord"/>
    <s v="CMR004"/>
    <x v="1"/>
    <s v="CMR004006"/>
    <x v="1"/>
    <s v="CMR004006002"/>
    <s v="MOK-0013"/>
    <s v="MOKONG"/>
    <m/>
    <x v="0"/>
    <x v="0"/>
    <n v="12"/>
    <n v="70"/>
    <s v="Conflits liés à GANE (BH)"/>
    <m/>
    <s v="Autre département"/>
    <s v="CMR"/>
    <s v="Cameroun"/>
    <s v="CMR004"/>
    <s v="Extrême-Nord"/>
    <s v="CMR004005"/>
    <s v="Mayo-Sava"/>
    <m/>
    <m/>
  </r>
  <r>
    <s v="Extrême-Nord"/>
    <s v="CMR004"/>
    <x v="1"/>
    <s v="CMR004006"/>
    <x v="1"/>
    <s v="CMR004006002"/>
    <s v="MOK-0013"/>
    <s v="MOKONG"/>
    <m/>
    <x v="0"/>
    <x v="2"/>
    <n v="1"/>
    <n v="7"/>
    <s v="Conflits liés à GANE (BH)"/>
    <m/>
    <s v="Même arrondissement"/>
    <s v="CMR"/>
    <s v="Cameroun"/>
    <s v="CMR004"/>
    <s v="Extrême-Nord"/>
    <s v="CMR004006"/>
    <s v="Mayo-Tsanaga"/>
    <s v="CMR004006002"/>
    <s v="Mokolo"/>
  </r>
  <r>
    <s v="Extrême-Nord"/>
    <s v="CMR004"/>
    <x v="1"/>
    <s v="CMR004006"/>
    <x v="1"/>
    <s v="CMR004006002"/>
    <s v="MOK-0018"/>
    <s v="SABONGARI"/>
    <m/>
    <x v="0"/>
    <x v="0"/>
    <n v="9"/>
    <n v="49"/>
    <s v="Conflits liés à GANE (BH)"/>
    <m/>
    <s v="Même arrondissement"/>
    <s v="CMR"/>
    <s v="Cameroun"/>
    <s v="CMR004"/>
    <s v="Extrême-Nord"/>
    <s v="CMR004006"/>
    <s v="Mayo-Tsanaga"/>
    <s v="CMR004006002"/>
    <s v="Mokolo"/>
  </r>
  <r>
    <s v="Extrême-Nord"/>
    <s v="CMR004"/>
    <x v="1"/>
    <s v="CMR004006"/>
    <x v="1"/>
    <s v="CMR004006002"/>
    <s v="MOK-0018"/>
    <s v="SABONGARI"/>
    <m/>
    <x v="0"/>
    <x v="1"/>
    <n v="7"/>
    <n v="21"/>
    <s v="Conflits liés à GANE (BH)"/>
    <m/>
    <s v="Même arrondissement"/>
    <s v="CMR"/>
    <s v="Cameroun"/>
    <s v="CMR004"/>
    <s v="Extrême-Nord"/>
    <s v="CMR004006"/>
    <s v="Mayo-Tsanaga"/>
    <s v="CMR004006002"/>
    <s v="Mokolo"/>
  </r>
  <r>
    <s v="Extrême-Nord"/>
    <s v="CMR004"/>
    <x v="1"/>
    <s v="CMR004006"/>
    <x v="1"/>
    <s v="CMR004006002"/>
    <s v="MOK-0018"/>
    <s v="SABONGARI"/>
    <m/>
    <x v="0"/>
    <x v="4"/>
    <n v="3"/>
    <n v="34"/>
    <s v="Conflits liés à GANE (BH)"/>
    <m/>
    <s v="Même arrondissement"/>
    <s v="CMR"/>
    <s v="Cameroun"/>
    <s v="CMR004"/>
    <s v="Extrême-Nord"/>
    <s v="CMR004006"/>
    <s v="Mayo-Tsanaga"/>
    <s v="CMR004006002"/>
    <s v="Mokolo"/>
  </r>
  <r>
    <s v="Extrême-Nord"/>
    <s v="CMR004"/>
    <x v="1"/>
    <s v="CMR004006"/>
    <x v="1"/>
    <s v="CMR004006002"/>
    <s v="MOK-0018"/>
    <s v="SABONGARI"/>
    <m/>
    <x v="0"/>
    <x v="2"/>
    <n v="20"/>
    <n v="56"/>
    <s v="Conflits liés à GANE (BH)"/>
    <m/>
    <s v="Même arrondissement"/>
    <s v="CMR"/>
    <s v="Cameroun"/>
    <s v="CMR004"/>
    <s v="Extrême-Nord"/>
    <s v="CMR004006"/>
    <s v="Mayo-Tsanaga"/>
    <s v="CMR004006002"/>
    <s v="Mokolo"/>
  </r>
  <r>
    <s v="Extrême-Nord"/>
    <s v="CMR004"/>
    <x v="1"/>
    <s v="CMR004006"/>
    <x v="1"/>
    <s v="CMR004006002"/>
    <s v="MOK-0039"/>
    <s v="SITE DE TOUROU"/>
    <m/>
    <x v="0"/>
    <x v="0"/>
    <n v="466"/>
    <n v="2730"/>
    <s v="Conflits liés à GANE (BH)"/>
    <m/>
    <s v="Même arrondissement"/>
    <s v="CMR"/>
    <s v="Cameroun"/>
    <s v="CMR004"/>
    <s v="Extrême-Nord"/>
    <s v="CMR004006"/>
    <s v="Mayo-Tsanaga"/>
    <s v="CMR004006002"/>
    <s v="Mokolo"/>
  </r>
  <r>
    <s v="Extrême-Nord"/>
    <s v="CMR004"/>
    <x v="1"/>
    <s v="CMR004006"/>
    <x v="1"/>
    <s v="CMR004006002"/>
    <s v="MOK-0039"/>
    <s v="SITE DE TOUROU"/>
    <m/>
    <x v="0"/>
    <x v="4"/>
    <n v="0"/>
    <n v="1"/>
    <s v="Conflits liés à GANE (BH)"/>
    <m/>
    <s v="Même arrondissement"/>
    <s v="CMR"/>
    <s v="Cameroun"/>
    <s v="CMR004"/>
    <s v="Extrême-Nord"/>
    <s v="CMR004006"/>
    <s v="Mayo-Tsanaga"/>
    <s v="CMR004006002"/>
    <s v="Mokolo"/>
  </r>
  <r>
    <s v="Extrême-Nord"/>
    <s v="CMR004"/>
    <x v="1"/>
    <s v="CMR004006"/>
    <x v="1"/>
    <s v="CMR004006002"/>
    <s v="MOK-0039"/>
    <s v="SITE DE TOUROU"/>
    <m/>
    <x v="0"/>
    <x v="3"/>
    <n v="22"/>
    <n v="195"/>
    <s v="Conflits liés à GANE (BH)"/>
    <m/>
    <s v="Même arrondissement"/>
    <s v="CMR"/>
    <s v="Cameroun"/>
    <s v="CMR004"/>
    <s v="Extrême-Nord"/>
    <s v="CMR004006"/>
    <s v="Mayo-Tsanaga"/>
    <s v="CMR004006002"/>
    <s v="Mokolo"/>
  </r>
  <r>
    <s v="Extrême-Nord"/>
    <s v="CMR004"/>
    <x v="1"/>
    <s v="CMR004006"/>
    <x v="1"/>
    <s v="CMR004006002"/>
    <s v="MOK-0039"/>
    <s v="SITE DE TOUROU"/>
    <m/>
    <x v="0"/>
    <x v="2"/>
    <n v="75"/>
    <n v="200"/>
    <s v="Conflits liés à GANE (BH)"/>
    <m/>
    <s v="Même arrondissement"/>
    <s v="CMR"/>
    <s v="Cameroun"/>
    <s v="CMR004"/>
    <s v="Extrême-Nord"/>
    <s v="CMR004006"/>
    <s v="Mayo-Tsanaga"/>
    <s v="CMR004006002"/>
    <s v="Mokolo"/>
  </r>
  <r>
    <s v="Extrême-Nord"/>
    <s v="CMR004"/>
    <x v="1"/>
    <s v="CMR004006"/>
    <x v="1"/>
    <s v="CMR004006002"/>
    <s v="MOK-0045"/>
    <s v="BISKAVAI"/>
    <m/>
    <x v="0"/>
    <x v="4"/>
    <n v="2"/>
    <n v="12"/>
    <s v="Conflits liés à GANE (BH)"/>
    <m/>
    <s v="Même département, autre arrondissement"/>
    <s v="CMR"/>
    <s v="Cameroun"/>
    <s v="CMR004"/>
    <s v="Extrême-Nord"/>
    <s v="CMR004006"/>
    <s v="Mayo-Tsanaga"/>
    <s v="CMR004006005"/>
    <s v="Mayo-Moskota"/>
  </r>
  <r>
    <s v="Extrême-Nord"/>
    <s v="CMR004"/>
    <x v="1"/>
    <s v="CMR004006"/>
    <x v="1"/>
    <s v="CMR004006002"/>
    <s v="MOK-0045"/>
    <s v="BISKAVAI"/>
    <m/>
    <x v="0"/>
    <x v="0"/>
    <n v="20"/>
    <n v="67"/>
    <s v="Conflits liés à GANE (BH)"/>
    <m/>
    <s v="Même département, autre arrondissement"/>
    <s v="CMR"/>
    <s v="Cameroun"/>
    <s v="CMR004"/>
    <s v="Extrême-Nord"/>
    <s v="CMR004006"/>
    <s v="Mayo-Tsanaga"/>
    <s v="CMR004006005"/>
    <s v="Mayo-Moskota"/>
  </r>
  <r>
    <s v="Extrême-Nord"/>
    <s v="CMR004"/>
    <x v="1"/>
    <s v="CMR004006"/>
    <x v="1"/>
    <s v="CMR004006002"/>
    <s v="MOK-0045"/>
    <s v="BISKAVAI"/>
    <m/>
    <x v="0"/>
    <x v="2"/>
    <n v="7"/>
    <n v="21"/>
    <s v="Conflits liés à GANE (BH)"/>
    <m/>
    <s v="Même département, autre arrondissement"/>
    <s v="CMR"/>
    <s v="Cameroun"/>
    <s v="CMR004"/>
    <s v="Extrême-Nord"/>
    <s v="CMR004006"/>
    <s v="Mayo-Tsanaga"/>
    <s v="CMR004006005"/>
    <s v="Mayo-Moskota"/>
  </r>
  <r>
    <s v="Extrême-Nord"/>
    <s v="CMR004"/>
    <x v="1"/>
    <s v="CMR004006"/>
    <x v="1"/>
    <s v="CMR004006002"/>
    <s v="XXXX"/>
    <s v="DOUVAR"/>
    <s v="DOUVAR"/>
    <x v="0"/>
    <x v="2"/>
    <n v="15"/>
    <n v="60"/>
    <s v="Conflits liés à GANE (BH)"/>
    <m/>
    <s v="Même arrondissement"/>
    <s v="CMR"/>
    <s v="Cameroun"/>
    <s v="CMR004"/>
    <s v="Extrême-Nord"/>
    <s v="CMR004006"/>
    <s v="Mayo-Tsanaga"/>
    <s v="CMR004006002"/>
    <s v="Mokolo"/>
  </r>
  <r>
    <s v="Extrême-Nord"/>
    <s v="CMR004"/>
    <x v="1"/>
    <s v="CMR004006"/>
    <x v="1"/>
    <s v="CMR004006002"/>
    <s v="MOK-0054"/>
    <s v="NASSARAO"/>
    <m/>
    <x v="0"/>
    <x v="0"/>
    <n v="20"/>
    <n v="120"/>
    <s v="Conflits liés à GANE (BH)"/>
    <m/>
    <s v="Même arrondissement"/>
    <s v="CMR"/>
    <s v="Cameroun"/>
    <s v="CMR004"/>
    <s v="Extrême-Nord"/>
    <s v="CMR004006"/>
    <s v="Mayo-Tsanaga"/>
    <s v="CMR004006002"/>
    <s v="Mokolo"/>
  </r>
  <r>
    <s v="Extrême-Nord"/>
    <s v="CMR004"/>
    <x v="1"/>
    <s v="CMR004006"/>
    <x v="1"/>
    <s v="CMR004006002"/>
    <s v="MOK-0054"/>
    <s v="NASSARAO"/>
    <m/>
    <x v="0"/>
    <x v="3"/>
    <n v="5"/>
    <n v="33"/>
    <s v="Conflits liés à GANE (BH)"/>
    <m/>
    <s v="Même arrondissement"/>
    <s v="CMR"/>
    <s v="Cameroun"/>
    <s v="CMR004"/>
    <s v="Extrême-Nord"/>
    <s v="CMR004006"/>
    <s v="Mayo-Tsanaga"/>
    <s v="CMR004006002"/>
    <s v="Mokolo"/>
  </r>
  <r>
    <s v="Extrême-Nord"/>
    <s v="CMR004"/>
    <x v="1"/>
    <s v="CMR004006"/>
    <x v="1"/>
    <s v="CMR004006002"/>
    <s v="MOK-0054"/>
    <s v="NASSARAO"/>
    <m/>
    <x v="0"/>
    <x v="2"/>
    <n v="12"/>
    <n v="32"/>
    <s v="Conflits liés à GANE (BH)"/>
    <m/>
    <s v="Même arrondissement"/>
    <s v="CMR"/>
    <s v="Cameroun"/>
    <s v="CMR004"/>
    <s v="Extrême-Nord"/>
    <s v="CMR004006"/>
    <s v="Mayo-Tsanaga"/>
    <s v="CMR004006002"/>
    <s v="Mokolo"/>
  </r>
  <r>
    <s v="Extrême-Nord"/>
    <s v="CMR004"/>
    <x v="1"/>
    <s v="CMR004006"/>
    <x v="1"/>
    <s v="CMR004006002"/>
    <s v="MOK-0008"/>
    <s v="LAIDE"/>
    <m/>
    <x v="0"/>
    <x v="1"/>
    <n v="1"/>
    <n v="1"/>
    <s v="Conflits liés à GANE (BH)"/>
    <m/>
    <s v="Même arrondissement"/>
    <s v="CMR"/>
    <s v="Cameroun"/>
    <s v="CMR004"/>
    <s v="Extrême-Nord"/>
    <s v="CMR004006"/>
    <s v="Mayo-Tsanaga"/>
    <s v="CMR004006002"/>
    <s v="Mokolo"/>
  </r>
  <r>
    <s v="Extrême-Nord"/>
    <s v="CMR004"/>
    <x v="1"/>
    <s v="CMR004006"/>
    <x v="1"/>
    <s v="CMR004006002"/>
    <s v="MOK-0008"/>
    <s v="LAIDE"/>
    <m/>
    <x v="0"/>
    <x v="4"/>
    <n v="3"/>
    <n v="10"/>
    <s v="Conflits liés à GANE (BH)"/>
    <m/>
    <s v="Même arrondissement"/>
    <s v="CMR"/>
    <s v="Cameroun"/>
    <s v="CMR004"/>
    <s v="Extrême-Nord"/>
    <s v="CMR004006"/>
    <s v="Mayo-Tsanaga"/>
    <s v="CMR004006002"/>
    <s v="Mokolo"/>
  </r>
  <r>
    <s v="Extrême-Nord"/>
    <s v="CMR004"/>
    <x v="1"/>
    <s v="CMR004006"/>
    <x v="1"/>
    <s v="CMR004006002"/>
    <s v="MOK-0048"/>
    <s v="MOKOLA"/>
    <m/>
    <x v="0"/>
    <x v="0"/>
    <n v="2"/>
    <n v="14"/>
    <s v="Conflits liés à GANE (BH)"/>
    <m/>
    <s v="Même arrondissement"/>
    <s v="CMR"/>
    <s v="Cameroun"/>
    <s v="CMR004"/>
    <s v="Extrême-Nord"/>
    <s v="CMR004006"/>
    <s v="Mayo-Tsanaga"/>
    <s v="CMR004006002"/>
    <s v="Mokolo"/>
  </r>
  <r>
    <s v="Extrême-Nord"/>
    <s v="CMR004"/>
    <x v="1"/>
    <s v="CMR004006"/>
    <x v="1"/>
    <s v="CMR004006002"/>
    <s v="MOK-0048"/>
    <s v="MOKOLA"/>
    <m/>
    <x v="0"/>
    <x v="1"/>
    <n v="5"/>
    <n v="44"/>
    <s v="Conflits liés à GANE (BH)"/>
    <m/>
    <s v="Même arrondissement"/>
    <s v="CMR"/>
    <s v="Cameroun"/>
    <s v="CMR004"/>
    <s v="Extrême-Nord"/>
    <s v="CMR004006"/>
    <s v="Mayo-Tsanaga"/>
    <s v="CMR004006002"/>
    <s v="Mokolo"/>
  </r>
  <r>
    <s v="Extrême-Nord"/>
    <s v="CMR004"/>
    <x v="1"/>
    <s v="CMR004006"/>
    <x v="1"/>
    <s v="CMR004006002"/>
    <s v="MOK-0048"/>
    <s v="MOKOLA"/>
    <m/>
    <x v="0"/>
    <x v="4"/>
    <n v="1"/>
    <n v="5"/>
    <s v="Conflits liés à GANE (BH)"/>
    <m/>
    <s v="Même arrondissement"/>
    <s v="CMR"/>
    <s v="Cameroun"/>
    <s v="CMR004"/>
    <s v="Extrême-Nord"/>
    <s v="CMR004006"/>
    <s v="Mayo-Tsanaga"/>
    <s v="CMR004006002"/>
    <s v="Mokolo"/>
  </r>
  <r>
    <s v="Extrême-Nord"/>
    <s v="CMR004"/>
    <x v="1"/>
    <s v="CMR004006"/>
    <x v="1"/>
    <s v="CMR004006002"/>
    <s v="MOK-0048"/>
    <s v="MOKOLA"/>
    <m/>
    <x v="0"/>
    <x v="3"/>
    <n v="18"/>
    <n v="88"/>
    <s v="Conflits liés à GANE (BH)"/>
    <m/>
    <s v="Même arrondissement"/>
    <s v="CMR"/>
    <s v="Cameroun"/>
    <s v="CMR004"/>
    <s v="Extrême-Nord"/>
    <s v="CMR004006"/>
    <s v="Mayo-Tsanaga"/>
    <s v="CMR004006002"/>
    <s v="Mokolo"/>
  </r>
  <r>
    <s v="Extrême-Nord"/>
    <s v="CMR004"/>
    <x v="1"/>
    <s v="CMR004006"/>
    <x v="1"/>
    <s v="CMR004006002"/>
    <s v="MOK-0048"/>
    <s v="MOKOLA"/>
    <m/>
    <x v="0"/>
    <x v="2"/>
    <n v="25"/>
    <n v="119"/>
    <s v="Conflits liés à GANE (BH)"/>
    <m/>
    <s v="Même arrondissement"/>
    <s v="CMR"/>
    <s v="Cameroun"/>
    <s v="CMR004"/>
    <s v="Extrême-Nord"/>
    <s v="CMR004006"/>
    <s v="Mayo-Tsanaga"/>
    <s v="CMR004006002"/>
    <s v="Mokolo"/>
  </r>
  <r>
    <s v="Extrême-Nord"/>
    <s v="CMR004"/>
    <x v="5"/>
    <s v="CMR004004"/>
    <x v="20"/>
    <s v="CMR004004006"/>
    <s v="KAE-0004"/>
    <s v="ZAPILI"/>
    <m/>
    <x v="0"/>
    <x v="0"/>
    <n v="2"/>
    <n v="9"/>
    <s v="Conflits liés à GANE (BH)"/>
    <m/>
    <s v="Autre département"/>
    <s v="CMR"/>
    <s v="Cameroun"/>
    <s v="CMR004"/>
    <s v="Extrême-Nord"/>
    <s v="CMR004005"/>
    <s v="Mayo-Sava"/>
    <m/>
    <m/>
  </r>
  <r>
    <s v="Extrême-Nord"/>
    <s v="CMR004"/>
    <x v="1"/>
    <s v="CMR004006"/>
    <x v="1"/>
    <s v="CMR004006002"/>
    <s v="MOK-0019"/>
    <s v="TONGO"/>
    <m/>
    <x v="0"/>
    <x v="0"/>
    <n v="20"/>
    <n v="111"/>
    <s v="Conflits liés à GANE (BH)"/>
    <m/>
    <s v="Même arrondissement"/>
    <s v="CMR"/>
    <s v="Cameroun"/>
    <s v="CMR004"/>
    <s v="Extrême-Nord"/>
    <s v="CMR004006"/>
    <s v="Mayo-Tsanaga"/>
    <s v="CMR004006002"/>
    <s v="Mokolo"/>
  </r>
  <r>
    <s v="Extrême-Nord"/>
    <s v="CMR004"/>
    <x v="1"/>
    <s v="CMR004006"/>
    <x v="1"/>
    <s v="CMR004006002"/>
    <s v="MOK-0019"/>
    <s v="TONGO"/>
    <m/>
    <x v="0"/>
    <x v="1"/>
    <n v="0"/>
    <n v="7"/>
    <s v="Conflits liés à GANE (BH)"/>
    <m/>
    <s v="Même arrondissement"/>
    <s v="CMR"/>
    <s v="Cameroun"/>
    <s v="CMR004"/>
    <s v="Extrême-Nord"/>
    <s v="CMR004006"/>
    <s v="Mayo-Tsanaga"/>
    <s v="CMR004006002"/>
    <s v="Mokolo"/>
  </r>
  <r>
    <s v="Extrême-Nord"/>
    <s v="CMR004"/>
    <x v="1"/>
    <s v="CMR004006"/>
    <x v="1"/>
    <s v="CMR004006002"/>
    <s v="MOK-0019"/>
    <s v="TONGO"/>
    <m/>
    <x v="0"/>
    <x v="4"/>
    <n v="1"/>
    <n v="9"/>
    <s v="Conflits liés à GANE (BH)"/>
    <m/>
    <s v="Même arrondissement"/>
    <s v="CMR"/>
    <s v="Cameroun"/>
    <s v="CMR004"/>
    <s v="Extrême-Nord"/>
    <s v="CMR004006"/>
    <s v="Mayo-Tsanaga"/>
    <s v="CMR004006002"/>
    <s v="Mokolo"/>
  </r>
  <r>
    <s v="Extrême-Nord"/>
    <s v="CMR004"/>
    <x v="1"/>
    <s v="CMR004006"/>
    <x v="1"/>
    <s v="CMR004006002"/>
    <s v="MOK-0019"/>
    <s v="TONGO"/>
    <m/>
    <x v="0"/>
    <x v="3"/>
    <n v="26"/>
    <n v="145"/>
    <s v="Conflits liés à GANE (BH)"/>
    <m/>
    <s v="Même arrondissement"/>
    <s v="CMR"/>
    <s v="Cameroun"/>
    <s v="CMR004"/>
    <s v="Extrême-Nord"/>
    <s v="CMR004006"/>
    <s v="Mayo-Tsanaga"/>
    <s v="CMR004006002"/>
    <s v="Mokolo"/>
  </r>
  <r>
    <s v="Extrême-Nord"/>
    <s v="CMR004"/>
    <x v="1"/>
    <s v="CMR004006"/>
    <x v="1"/>
    <s v="CMR004006002"/>
    <s v="MOK-0019"/>
    <s v="TONGO"/>
    <m/>
    <x v="0"/>
    <x v="2"/>
    <n v="0"/>
    <n v="5"/>
    <s v="Conflits liés à GANE (BH)"/>
    <m/>
    <s v="Même arrondissement"/>
    <s v="CMR"/>
    <s v="Cameroun"/>
    <s v="CMR004"/>
    <s v="Extrême-Nord"/>
    <s v="CMR004006"/>
    <s v="Mayo-Tsanaga"/>
    <s v="CMR004006002"/>
    <s v="Mokolo"/>
  </r>
  <r>
    <s v="Extrême-Nord"/>
    <s v="CMR004"/>
    <x v="2"/>
    <s v="CMR004002"/>
    <x v="13"/>
    <s v="CMR004002001"/>
    <s v="WAZ-0001"/>
    <s v="GOZOLNANE"/>
    <m/>
    <x v="0"/>
    <x v="0"/>
    <n v="4"/>
    <n v="25"/>
    <s v="Conflits liés à GANE (BH)"/>
    <m/>
    <s v="Même arrondissement"/>
    <s v="CMR"/>
    <s v="Cameroun"/>
    <s v="CMR004"/>
    <s v="Extrême-Nord"/>
    <s v="CMR004002"/>
    <s v="Logone-Et-Chari"/>
    <s v="CMR004002001"/>
    <s v="Waza"/>
  </r>
  <r>
    <s v="Extrême-Nord"/>
    <s v="CMR004"/>
    <x v="2"/>
    <s v="CMR004002"/>
    <x v="13"/>
    <s v="CMR004002001"/>
    <s v="WAZ-0001"/>
    <s v="GOZOLNANE"/>
    <m/>
    <x v="0"/>
    <x v="2"/>
    <n v="13"/>
    <n v="35"/>
    <s v="Conflit intercommunautaire"/>
    <m/>
    <s v="Même département, autre arrondissement"/>
    <s v="CMR"/>
    <s v="Cameroun"/>
    <s v="CMR004"/>
    <s v="Extrême-Nord"/>
    <s v="CMR004002"/>
    <s v="Logone-Et-Chari"/>
    <s v="CMR004002004"/>
    <s v="Logone-Birni"/>
  </r>
  <r>
    <s v="Extrême-Nord"/>
    <s v="CMR004"/>
    <x v="2"/>
    <s v="CMR004002"/>
    <x v="13"/>
    <s v="CMR004002001"/>
    <s v="WAZ-0001"/>
    <s v="GOZOLNANE"/>
    <m/>
    <x v="0"/>
    <x v="3"/>
    <n v="2"/>
    <n v="16"/>
    <s v="Conflit intercommunautaire"/>
    <m/>
    <s v="Même département, autre arrondissement"/>
    <s v="CMR"/>
    <s v="Cameroun"/>
    <s v="CMR004"/>
    <s v="Extrême-Nord"/>
    <s v="CMR004002"/>
    <s v="Logone-Et-Chari"/>
    <s v="CMR004002004"/>
    <s v="Logone-Birni"/>
  </r>
  <r>
    <s v="Extrême-Nord"/>
    <s v="CMR004"/>
    <x v="2"/>
    <s v="CMR004002"/>
    <x v="8"/>
    <s v="CMR004002009"/>
    <s v="MAK-0213"/>
    <s v="SITE DE BEDAT"/>
    <m/>
    <x v="0"/>
    <x v="4"/>
    <n v="24"/>
    <n v="115"/>
    <s v="Conflits liés à GANE (BH)"/>
    <m/>
    <s v="Même arrondissement"/>
    <s v="CMR"/>
    <s v="Cameroun"/>
    <s v="CMR004"/>
    <s v="Extrême-Nord"/>
    <s v="CMR004002"/>
    <s v="Logone-Et-Chari"/>
    <s v="CMR004002009"/>
    <s v="Makary"/>
  </r>
  <r>
    <s v="Extrême-Nord"/>
    <s v="CMR004"/>
    <x v="5"/>
    <s v="CMR004004"/>
    <x v="20"/>
    <s v="CMR004004006"/>
    <s v="KAE-0008"/>
    <s v="DOUMROU"/>
    <m/>
    <x v="0"/>
    <x v="0"/>
    <n v="17"/>
    <n v="119"/>
    <s v="Conflits liés à GANE (BH)"/>
    <m/>
    <s v="Autre département"/>
    <s v="CMR"/>
    <s v="Cameroun"/>
    <s v="CMR004"/>
    <s v="Extrême-Nord"/>
    <s v="CMR004005"/>
    <s v="Mayo-Sava"/>
    <m/>
    <m/>
  </r>
  <r>
    <s v="Extrême-Nord"/>
    <s v="CMR004"/>
    <x v="5"/>
    <s v="CMR004004"/>
    <x v="20"/>
    <s v="CMR004004006"/>
    <s v="KAE-0012"/>
    <s v="SOKOYE"/>
    <m/>
    <x v="0"/>
    <x v="0"/>
    <n v="19"/>
    <n v="180"/>
    <s v="Conflits liés à GANE (BH)"/>
    <m/>
    <s v="Autre département"/>
    <s v="CMR"/>
    <s v="Cameroun"/>
    <s v="CMR004"/>
    <s v="Extrême-Nord"/>
    <s v="CMR004005"/>
    <s v="Mayo-Sava"/>
    <m/>
    <m/>
  </r>
  <r>
    <s v="Extrême-Nord"/>
    <s v="CMR004"/>
    <x v="5"/>
    <s v="CMR004004"/>
    <x v="20"/>
    <s v="CMR004004006"/>
    <s v="KAE-0018"/>
    <s v="PADJANI"/>
    <m/>
    <x v="0"/>
    <x v="0"/>
    <n v="2"/>
    <n v="10"/>
    <s v="Conflits liés à GANE (BH)"/>
    <m/>
    <s v="Autre département"/>
    <s v="CMR"/>
    <s v="Cameroun"/>
    <s v="CMR004"/>
    <s v="Extrême-Nord"/>
    <s v="CMR004002"/>
    <s v="Logone-Et-Chari"/>
    <m/>
    <m/>
  </r>
  <r>
    <s v="Extrême-Nord"/>
    <s v="CMR004"/>
    <x v="5"/>
    <s v="CMR004004"/>
    <x v="20"/>
    <s v="CMR004004006"/>
    <s v="KAE-0015"/>
    <s v="ROUMDÉ"/>
    <m/>
    <x v="0"/>
    <x v="0"/>
    <n v="16"/>
    <n v="140"/>
    <s v="Conflits liés à GANE (BH)"/>
    <m/>
    <s v="Autre département"/>
    <s v="CMR"/>
    <s v="Cameroun"/>
    <s v="CMR004"/>
    <s v="Extrême-Nord"/>
    <s v="CMR004005"/>
    <s v="Mayo-Sava"/>
    <m/>
    <m/>
  </r>
  <r>
    <s v="Extrême-Nord"/>
    <s v="CMR004"/>
    <x v="2"/>
    <s v="CMR004002"/>
    <x v="15"/>
    <s v="CMR004002004"/>
    <s v="LBI-0051"/>
    <s v="DAMBE"/>
    <m/>
    <x v="0"/>
    <x v="3"/>
    <n v="6"/>
    <n v="40"/>
    <s v="Conflit intercommunautaire"/>
    <m/>
    <s v="Même arrondissement"/>
    <s v="CMR"/>
    <s v="Cameroun"/>
    <s v="CMR004"/>
    <s v="Extrême-Nord"/>
    <s v="CMR004002"/>
    <s v="Logone-Et-Chari"/>
    <s v="CMR004002004"/>
    <s v="Logone-Birni"/>
  </r>
  <r>
    <s v="Extrême-Nord"/>
    <s v="CMR004"/>
    <x v="2"/>
    <s v="CMR004002"/>
    <x v="15"/>
    <s v="CMR004002004"/>
    <s v="LBI-0058"/>
    <s v="HILE WAYA 1"/>
    <m/>
    <x v="0"/>
    <x v="3"/>
    <n v="10"/>
    <n v="50"/>
    <s v="Conflit intercommunautaire"/>
    <m/>
    <s v="Même arrondissement"/>
    <s v="CMR"/>
    <s v="Cameroun"/>
    <s v="CMR004"/>
    <s v="Extrême-Nord"/>
    <s v="CMR004002"/>
    <s v="Logone-Et-Chari"/>
    <s v="CMR004002004"/>
    <s v="Logone-Birni"/>
  </r>
  <r>
    <s v="Extrême-Nord"/>
    <s v="CMR004"/>
    <x v="2"/>
    <s v="CMR004002"/>
    <x v="15"/>
    <s v="CMR004002004"/>
    <s v="LBI-0009"/>
    <s v="SITE DE FADJE"/>
    <m/>
    <x v="0"/>
    <x v="0"/>
    <n v="15"/>
    <n v="82"/>
    <s v="Conflits liés à GANE (BH)"/>
    <m/>
    <s v="Même arrondissement"/>
    <s v="CMR"/>
    <s v="Cameroun"/>
    <s v="CMR004"/>
    <s v="Extrême-Nord"/>
    <s v="CMR004002"/>
    <s v="Logone-Et-Chari"/>
    <s v="CMR004002004"/>
    <s v="Logone-Birni"/>
  </r>
  <r>
    <s v="Extrême-Nord"/>
    <s v="CMR004"/>
    <x v="2"/>
    <s v="CMR004002"/>
    <x v="15"/>
    <s v="CMR004002004"/>
    <s v="LBI-0003"/>
    <s v="KALAKAFRA"/>
    <m/>
    <x v="0"/>
    <x v="0"/>
    <n v="206"/>
    <n v="1061"/>
    <s v="Conflits liés à GANE (BH)"/>
    <m/>
    <s v="Même arrondissement"/>
    <s v="CMR"/>
    <s v="Cameroun"/>
    <s v="CMR004"/>
    <s v="Extrême-Nord"/>
    <s v="CMR004002"/>
    <s v="Logone-Et-Chari"/>
    <s v="CMR004002004"/>
    <s v="Logone-Birni"/>
  </r>
  <r>
    <s v="Extrême-Nord"/>
    <s v="CMR004"/>
    <x v="2"/>
    <s v="CMR004002"/>
    <x v="15"/>
    <s v="CMR004002004"/>
    <s v="LBI-0003"/>
    <s v="KALAKAFRA"/>
    <m/>
    <x v="0"/>
    <x v="2"/>
    <n v="4"/>
    <n v="26"/>
    <s v="Inondations saisonnières ou fortes pluies"/>
    <m/>
    <s v="Même arrondissement"/>
    <s v="CMR"/>
    <s v="Cameroun"/>
    <s v="CMR004"/>
    <s v="Extrême-Nord"/>
    <s v="CMR004002"/>
    <s v="Logone-Et-Chari"/>
    <s v="CMR004002004"/>
    <s v="Logone-Birni"/>
  </r>
  <r>
    <s v="Extrême-Nord"/>
    <s v="CMR004"/>
    <x v="2"/>
    <s v="CMR004002"/>
    <x v="15"/>
    <s v="CMR004002004"/>
    <s v="LBI-0005"/>
    <s v="SITE DE CHAFOU IDJELIDJE"/>
    <m/>
    <x v="0"/>
    <x v="0"/>
    <n v="53"/>
    <n v="228"/>
    <s v="Conflits liés à GANE (BH)"/>
    <m/>
    <s v="Même arrondissement"/>
    <s v="CMR"/>
    <s v="Cameroun"/>
    <s v="CMR004"/>
    <s v="Extrême-Nord"/>
    <s v="CMR004002"/>
    <s v="Logone-Et-Chari"/>
    <s v="CMR004002004"/>
    <s v="Logone-Birni"/>
  </r>
  <r>
    <s v="Extrême-Nord"/>
    <s v="CMR004"/>
    <x v="2"/>
    <s v="CMR004002"/>
    <x v="8"/>
    <s v="CMR004002009"/>
    <s v="MAK-0234"/>
    <s v="FADJÉ ABISSO 2"/>
    <m/>
    <x v="0"/>
    <x v="1"/>
    <n v="17"/>
    <n v="67"/>
    <s v="Conflits liés à GANE (BH)"/>
    <m/>
    <s v="Même arrondissement"/>
    <s v="CMR"/>
    <s v="Cameroun"/>
    <s v="CMR004"/>
    <s v="Extrême-Nord"/>
    <s v="CMR004002"/>
    <s v="Logone-Et-Chari"/>
    <s v="CMR004002009"/>
    <s v="Makary"/>
  </r>
  <r>
    <s v="Extrême-Nord"/>
    <s v="CMR004"/>
    <x v="1"/>
    <s v="CMR004006"/>
    <x v="1"/>
    <s v="CMR004006002"/>
    <s v="MOK-0057"/>
    <s v="SITE DE MAYO SANGUE"/>
    <m/>
    <x v="0"/>
    <x v="2"/>
    <n v="5"/>
    <n v="18"/>
    <s v="Conflits liés à GANE (BH)"/>
    <m/>
    <s v="Même département, autre arrondissement"/>
    <s v="CMR"/>
    <s v="Cameroun"/>
    <s v="CMR004"/>
    <s v="Extrême-Nord"/>
    <s v="CMR004006"/>
    <s v="Mayo-Tsanaga"/>
    <s v="CMR004006005"/>
    <s v="Mayo-Moskota"/>
  </r>
  <r>
    <s v="Extrême-Nord"/>
    <s v="CMR004"/>
    <x v="1"/>
    <s v="CMR004006"/>
    <x v="1"/>
    <s v="CMR004006002"/>
    <s v="MOK-0057"/>
    <s v="SITE DE MAYO SANGUE"/>
    <m/>
    <x v="0"/>
    <x v="4"/>
    <n v="66"/>
    <n v="469"/>
    <s v="Conflits liés à GANE (BH)"/>
    <m/>
    <s v="Même département, autre arrondissement"/>
    <s v="CMR"/>
    <s v="Cameroun"/>
    <s v="CMR004"/>
    <s v="Extrême-Nord"/>
    <s v="CMR004006"/>
    <s v="Mayo-Tsanaga"/>
    <s v="CMR004006005"/>
    <s v="Mayo-Moskota"/>
  </r>
  <r>
    <s v="Extrême-Nord"/>
    <s v="CMR004"/>
    <x v="1"/>
    <s v="CMR004006"/>
    <x v="1"/>
    <s v="CMR004006002"/>
    <s v="MOK-0057"/>
    <s v="SITE DE MAYO SANGUE"/>
    <m/>
    <x v="0"/>
    <x v="1"/>
    <n v="6"/>
    <n v="31"/>
    <s v="Conflits liés à GANE (BH)"/>
    <m/>
    <s v="Même département, autre arrondissement"/>
    <s v="CMR"/>
    <s v="Cameroun"/>
    <s v="CMR004"/>
    <s v="Extrême-Nord"/>
    <s v="CMR004006"/>
    <s v="Mayo-Tsanaga"/>
    <s v="CMR004006005"/>
    <s v="Mayo-Moskota"/>
  </r>
  <r>
    <s v="Extrême-Nord"/>
    <s v="CMR004"/>
    <x v="1"/>
    <s v="CMR004006"/>
    <x v="7"/>
    <s v="CMR004006005"/>
    <s v="MOZ-0035"/>
    <s v="HOUDGOLOUM"/>
    <m/>
    <x v="0"/>
    <x v="0"/>
    <n v="16"/>
    <n v="116"/>
    <s v="Conflits liés à GANE (BH)"/>
    <m/>
    <s v="Même arrondissement"/>
    <s v="CMR"/>
    <s v="Cameroun"/>
    <s v="CMR004"/>
    <s v="Extrême-Nord"/>
    <s v="CMR004006"/>
    <s v="Mayo-Tsanaga"/>
    <s v="CMR004006005"/>
    <s v="Mayo-Moskota"/>
  </r>
  <r>
    <s v="Extrême-Nord"/>
    <s v="CMR004"/>
    <x v="1"/>
    <s v="CMR004006"/>
    <x v="7"/>
    <s v="CMR004006005"/>
    <s v="MOZ-0035"/>
    <s v="HOUDGOLOUM"/>
    <m/>
    <x v="0"/>
    <x v="2"/>
    <n v="3"/>
    <n v="13"/>
    <s v="Conflits liés à GANE (BH)"/>
    <m/>
    <s v="Même arrondissement"/>
    <s v="CMR"/>
    <s v="Cameroun"/>
    <s v="CMR004"/>
    <s v="Extrême-Nord"/>
    <s v="CMR004006"/>
    <s v="Mayo-Tsanaga"/>
    <s v="CMR004006005"/>
    <s v="Mayo-Moskota"/>
  </r>
  <r>
    <s v="Extrême-Nord"/>
    <s v="CMR004"/>
    <x v="5"/>
    <s v="CMR004004"/>
    <x v="20"/>
    <s v="CMR004004006"/>
    <s v="KAE-0013"/>
    <s v="GUETALÉ"/>
    <m/>
    <x v="0"/>
    <x v="0"/>
    <n v="6"/>
    <n v="42"/>
    <s v="Conflits liés à GANE (BH)"/>
    <m/>
    <s v="Autre département"/>
    <s v="CMR"/>
    <s v="Cameroun"/>
    <s v="CMR004"/>
    <s v="Extrême-Nord"/>
    <s v="CMR004005"/>
    <s v="Mayo-Sava"/>
    <m/>
    <m/>
  </r>
  <r>
    <s v="Extrême-Nord"/>
    <s v="CMR004"/>
    <x v="5"/>
    <s v="CMR004004"/>
    <x v="20"/>
    <s v="CMR004004006"/>
    <s v="KAE-0017"/>
    <s v="KEO-KEO"/>
    <m/>
    <x v="0"/>
    <x v="0"/>
    <n v="15"/>
    <n v="129"/>
    <s v="Conflits liés à GANE (BH)"/>
    <m/>
    <s v="Autre département"/>
    <s v="CMR"/>
    <s v="Cameroun"/>
    <s v="CMR004"/>
    <s v="Extrême-Nord"/>
    <s v="CMR004005"/>
    <s v="Mayo-Sava"/>
    <m/>
    <m/>
  </r>
  <r>
    <s v="Extrême-Nord"/>
    <s v="CMR004"/>
    <x v="3"/>
    <s v="CMR004003"/>
    <x v="33"/>
    <s v="CMR004003001"/>
    <s v="KAI-0008"/>
    <s v="MBOUKTANG"/>
    <m/>
    <x v="0"/>
    <x v="2"/>
    <n v="6"/>
    <n v="51"/>
    <s v="Inondations saisonnières ou fortes pluies"/>
    <m/>
    <s v="Même arrondissement"/>
    <s v="CMR"/>
    <s v="Cameroun"/>
    <s v="CMR004"/>
    <s v="Extrême-Nord"/>
    <s v="CMR004003"/>
    <s v="Mayo-Danay"/>
    <s v="CMR004003001"/>
    <s v="Kai-Kai"/>
  </r>
  <r>
    <s v="Extrême-Nord"/>
    <s v="CMR004"/>
    <x v="3"/>
    <s v="CMR004003"/>
    <x v="33"/>
    <s v="CMR004003001"/>
    <s v="KAI-0002"/>
    <s v="BARKAYA"/>
    <m/>
    <x v="0"/>
    <x v="0"/>
    <n v="15"/>
    <n v="90"/>
    <s v="Inondations saisonnières ou fortes pluies"/>
    <m/>
    <s v="Même arrondissement"/>
    <s v="CMR"/>
    <s v="Cameroun"/>
    <s v="CMR004"/>
    <s v="Extrême-Nord"/>
    <s v="CMR004003"/>
    <s v="Mayo-Danay"/>
    <s v="CMR004003001"/>
    <s v="Kai-Kai"/>
  </r>
  <r>
    <s v="Extrême-Nord"/>
    <s v="CMR004"/>
    <x v="3"/>
    <s v="CMR004003"/>
    <x v="33"/>
    <s v="CMR004003001"/>
    <s v="KAI-0002"/>
    <s v="BARKAYA"/>
    <m/>
    <x v="0"/>
    <x v="3"/>
    <n v="0"/>
    <n v="11"/>
    <s v="Inondations saisonnières ou fortes pluies"/>
    <m/>
    <s v="Même arrondissement"/>
    <s v="CMR"/>
    <s v="Cameroun"/>
    <s v="CMR004"/>
    <s v="Extrême-Nord"/>
    <s v="CMR004003"/>
    <s v="Mayo-Danay"/>
    <s v="CMR004003001"/>
    <s v="Kai-Kai"/>
  </r>
  <r>
    <s v="Extrême-Nord"/>
    <s v="CMR004"/>
    <x v="3"/>
    <s v="CMR004003"/>
    <x v="33"/>
    <s v="CMR004003001"/>
    <s v="KAI-0002"/>
    <s v="BARKAYA"/>
    <m/>
    <x v="0"/>
    <x v="2"/>
    <n v="18"/>
    <n v="116"/>
    <s v="Inondations saisonnières ou fortes pluies"/>
    <m/>
    <s v="Même arrondissement"/>
    <s v="CMR"/>
    <s v="Cameroun"/>
    <s v="CMR004"/>
    <s v="Extrême-Nord"/>
    <s v="CMR004003"/>
    <s v="Mayo-Danay"/>
    <s v="CMR004003001"/>
    <s v="Kai-Kai"/>
  </r>
  <r>
    <s v="Extrême-Nord"/>
    <s v="CMR004"/>
    <x v="3"/>
    <s v="CMR004003"/>
    <x v="33"/>
    <s v="CMR004003001"/>
    <s v="KAI-0004"/>
    <s v="DOUGUI"/>
    <m/>
    <x v="0"/>
    <x v="2"/>
    <n v="27"/>
    <n v="210"/>
    <s v="Inondations saisonnières ou fortes pluies"/>
    <m/>
    <s v="Même arrondissement"/>
    <s v="CMR"/>
    <s v="Cameroun"/>
    <s v="CMR004"/>
    <s v="Extrême-Nord"/>
    <s v="CMR004003"/>
    <s v="Mayo-Danay"/>
    <s v="CMR004003001"/>
    <s v="Kai-Kai"/>
  </r>
  <r>
    <s v="Extrême-Nord"/>
    <s v="CMR004"/>
    <x v="3"/>
    <s v="CMR004003"/>
    <x v="33"/>
    <s v="CMR004003001"/>
    <s v="KAI-0011"/>
    <s v="MAGAYEL"/>
    <m/>
    <x v="0"/>
    <x v="0"/>
    <n v="33"/>
    <n v="239"/>
    <s v="Inondations saisonnières ou fortes pluies"/>
    <m/>
    <s v="Même arrondissement"/>
    <s v="CMR"/>
    <s v="Cameroun"/>
    <s v="CMR004"/>
    <s v="Extrême-Nord"/>
    <s v="CMR004003"/>
    <s v="Mayo-Danay"/>
    <s v="CMR004003001"/>
    <s v="Kai-Kai"/>
  </r>
  <r>
    <s v="Extrême-Nord"/>
    <s v="CMR004"/>
    <x v="3"/>
    <s v="CMR004003"/>
    <x v="33"/>
    <s v="CMR004003001"/>
    <s v="KAI-0011"/>
    <s v="MAGAYEL"/>
    <m/>
    <x v="0"/>
    <x v="2"/>
    <n v="20"/>
    <n v="140"/>
    <s v="Inondations saisonnières ou fortes pluies"/>
    <m/>
    <s v="Même arrondissement"/>
    <s v="CMR"/>
    <s v="Cameroun"/>
    <s v="CMR004"/>
    <s v="Extrême-Nord"/>
    <s v="CMR004003"/>
    <s v="Mayo-Danay"/>
    <s v="CMR004003001"/>
    <s v="Kai-Kai"/>
  </r>
  <r>
    <s v="Extrême-Nord"/>
    <s v="CMR004"/>
    <x v="3"/>
    <s v="CMR004003"/>
    <x v="33"/>
    <s v="CMR004003001"/>
    <s v="KAI-0013"/>
    <s v="SITE DE BARIAGODJO"/>
    <m/>
    <x v="0"/>
    <x v="0"/>
    <n v="152"/>
    <n v="1200"/>
    <s v="Inondations saisonnières ou fortes pluies"/>
    <m/>
    <s v="Même arrondissement"/>
    <s v="CMR"/>
    <s v="Cameroun"/>
    <s v="CMR004"/>
    <s v="Extrême-Nord"/>
    <s v="CMR004003"/>
    <s v="Mayo-Danay"/>
    <s v="CMR004003001"/>
    <s v="Kai-Kai"/>
  </r>
  <r>
    <s v="Extrême-Nord"/>
    <s v="CMR004"/>
    <x v="3"/>
    <s v="CMR004003"/>
    <x v="33"/>
    <s v="CMR004003001"/>
    <s v="KAI-0013"/>
    <s v="SITE DE BARIAGODJO"/>
    <m/>
    <x v="0"/>
    <x v="4"/>
    <n v="0"/>
    <n v="6"/>
    <s v="Inondations saisonnières ou fortes pluies"/>
    <m/>
    <s v="Même arrondissement"/>
    <s v="CMR"/>
    <s v="Cameroun"/>
    <s v="CMR004"/>
    <s v="Extrême-Nord"/>
    <s v="CMR004003"/>
    <s v="Mayo-Danay"/>
    <s v="CMR004003001"/>
    <s v="Kai-Kai"/>
  </r>
  <r>
    <s v="Extrême-Nord"/>
    <s v="CMR004"/>
    <x v="3"/>
    <s v="CMR004003"/>
    <x v="33"/>
    <s v="CMR004003001"/>
    <s v="KAI-0013"/>
    <s v="SITE DE BARIAGODJO"/>
    <m/>
    <x v="0"/>
    <x v="3"/>
    <n v="0"/>
    <n v="14"/>
    <s v="Inondations saisonnières ou fortes pluies"/>
    <m/>
    <s v="Même arrondissement"/>
    <s v="CMR"/>
    <s v="Cameroun"/>
    <s v="CMR004"/>
    <s v="Extrême-Nord"/>
    <s v="CMR004003"/>
    <s v="Mayo-Danay"/>
    <s v="CMR004003001"/>
    <s v="Kai-Kai"/>
  </r>
  <r>
    <s v="Extrême-Nord"/>
    <s v="CMR004"/>
    <x v="2"/>
    <s v="CMR004002"/>
    <x v="8"/>
    <s v="CMR004002009"/>
    <s v="MAK-0167"/>
    <s v="DARSALAM"/>
    <m/>
    <x v="0"/>
    <x v="3"/>
    <n v="5"/>
    <n v="47"/>
    <s v="Conflit intercommunautaire"/>
    <m/>
    <s v="Même département, autre arrondissement"/>
    <s v="CMR"/>
    <s v="Cameroun"/>
    <s v="CMR004"/>
    <s v="Extrême-Nord"/>
    <s v="CMR004002"/>
    <s v="Logone-Et-Chari"/>
    <s v="CMR004002007"/>
    <s v="Darak"/>
  </r>
  <r>
    <s v="Extrême-Nord"/>
    <s v="CMR004"/>
    <x v="2"/>
    <s v="CMR004002"/>
    <x v="8"/>
    <s v="CMR004002009"/>
    <s v="MAK-0167"/>
    <s v="DARSALAM"/>
    <m/>
    <x v="0"/>
    <x v="2"/>
    <n v="6"/>
    <n v="18"/>
    <s v="Conflit intercommunautaire"/>
    <m/>
    <s v="Même arrondissement"/>
    <s v="CMR"/>
    <s v="Cameroun"/>
    <s v="CMR004"/>
    <s v="Extrême-Nord"/>
    <s v="CMR004002"/>
    <s v="Logone-Et-Chari"/>
    <s v="CMR004002009"/>
    <s v="Makary"/>
  </r>
  <r>
    <s v="Extrême-Nord"/>
    <s v="CMR004"/>
    <x v="3"/>
    <s v="CMR004003"/>
    <x v="34"/>
    <s v="CMR004003011"/>
    <s v="GOB-0002"/>
    <s v="DABANA"/>
    <m/>
    <x v="0"/>
    <x v="2"/>
    <n v="38"/>
    <n v="220"/>
    <s v="Inondations saisonnières ou fortes pluies"/>
    <m/>
    <s v="Même arrondissement"/>
    <s v="CMR"/>
    <s v="Cameroun"/>
    <s v="CMR004"/>
    <s v="Extrême-Nord"/>
    <s v="CMR004003"/>
    <s v="Mayo-Danay"/>
    <s v="CMR004003011"/>
    <s v="Gobo"/>
  </r>
  <r>
    <s v="Extrême-Nord"/>
    <s v="CMR004"/>
    <x v="3"/>
    <s v="CMR004003"/>
    <x v="34"/>
    <s v="CMR004003011"/>
    <s v="GOB-0001"/>
    <s v="BASTEBE"/>
    <m/>
    <x v="0"/>
    <x v="2"/>
    <n v="40"/>
    <n v="305"/>
    <s v="Inondations saisonnières ou fortes pluies"/>
    <m/>
    <s v="Même arrondissement"/>
    <s v="CMR"/>
    <s v="Cameroun"/>
    <s v="CMR004"/>
    <s v="Extrême-Nord"/>
    <s v="CMR004003"/>
    <s v="Mayo-Danay"/>
    <s v="CMR004003011"/>
    <s v="Gobo"/>
  </r>
  <r>
    <s v="Extrême-Nord"/>
    <s v="CMR004"/>
    <x v="3"/>
    <s v="CMR004003"/>
    <x v="34"/>
    <s v="CMR004003011"/>
    <s v="GOB-0005"/>
    <s v="KARAM 2"/>
    <m/>
    <x v="0"/>
    <x v="2"/>
    <n v="45"/>
    <n v="270"/>
    <s v="Inondations saisonnières ou fortes pluies"/>
    <m/>
    <s v="Même arrondissement"/>
    <s v="CMR"/>
    <s v="Cameroun"/>
    <s v="CMR004"/>
    <s v="Extrême-Nord"/>
    <s v="CMR004003"/>
    <s v="Mayo-Danay"/>
    <s v="CMR004003011"/>
    <s v="Gobo"/>
  </r>
  <r>
    <s v="Extrême-Nord"/>
    <s v="CMR004"/>
    <x v="3"/>
    <s v="CMR004003"/>
    <x v="34"/>
    <s v="CMR004003011"/>
    <s v="GOB-0006"/>
    <s v="KARAM 1"/>
    <m/>
    <x v="0"/>
    <x v="2"/>
    <n v="30"/>
    <n v="204"/>
    <s v="Inondations saisonnières ou fortes pluies"/>
    <m/>
    <s v="Même arrondissement"/>
    <s v="CMR"/>
    <s v="Cameroun"/>
    <s v="CMR004"/>
    <s v="Extrême-Nord"/>
    <s v="CMR004003"/>
    <s v="Mayo-Danay"/>
    <s v="CMR004003011"/>
    <s v="Gobo"/>
  </r>
  <r>
    <s v="Extrême-Nord"/>
    <s v="CMR004"/>
    <x v="3"/>
    <s v="CMR004003"/>
    <x v="34"/>
    <s v="CMR004003011"/>
    <s v="GOB-0003"/>
    <s v="DJELME"/>
    <m/>
    <x v="0"/>
    <x v="3"/>
    <n v="22"/>
    <n v="123"/>
    <s v="Inondations saisonnières ou fortes pluies"/>
    <m/>
    <s v="Même arrondissement"/>
    <s v="CMR"/>
    <s v="Cameroun"/>
    <s v="CMR004"/>
    <s v="Extrême-Nord"/>
    <s v="CMR004003"/>
    <s v="Mayo-Danay"/>
    <s v="CMR004003011"/>
    <s v="Gobo"/>
  </r>
  <r>
    <s v="Extrême-Nord"/>
    <s v="CMR004"/>
    <x v="2"/>
    <s v="CMR004002"/>
    <x v="15"/>
    <s v="CMR004002004"/>
    <s v="LBI-0020"/>
    <s v="AMREF"/>
    <m/>
    <x v="0"/>
    <x v="3"/>
    <n v="85"/>
    <n v="242"/>
    <s v="Conflit intercommunautaire"/>
    <m/>
    <s v="Même arrondissement"/>
    <s v="CMR"/>
    <s v="Cameroun"/>
    <s v="CMR004"/>
    <s v="Extrême-Nord"/>
    <s v="CMR004002"/>
    <s v="Logone-Et-Chari"/>
    <s v="CMR004002004"/>
    <s v="Logone-Birni"/>
  </r>
  <r>
    <s v="Extrême-Nord"/>
    <s v="CMR004"/>
    <x v="2"/>
    <s v="CMR004002"/>
    <x v="15"/>
    <s v="CMR004002004"/>
    <s v="LBI-0028"/>
    <s v="HOUNDOUK"/>
    <m/>
    <x v="0"/>
    <x v="3"/>
    <n v="85"/>
    <n v="354"/>
    <s v="Conflit intercommunautaire"/>
    <m/>
    <s v="Même arrondissement"/>
    <s v="CMR"/>
    <s v="Cameroun"/>
    <s v="CMR004"/>
    <s v="Extrême-Nord"/>
    <s v="CMR004002"/>
    <s v="Logone-Et-Chari"/>
    <s v="CMR004002004"/>
    <s v="Logone-Birni"/>
  </r>
  <r>
    <s v="Extrême-Nord"/>
    <s v="CMR004"/>
    <x v="2"/>
    <s v="CMR004002"/>
    <x v="15"/>
    <s v="CMR004002004"/>
    <s v="LBI-0030"/>
    <s v="MACHOKA"/>
    <m/>
    <x v="0"/>
    <x v="3"/>
    <n v="9"/>
    <n v="61"/>
    <s v="Conflit intercommunautaire"/>
    <m/>
    <s v="Même arrondissement"/>
    <s v="CMR"/>
    <s v="Cameroun"/>
    <s v="CMR004"/>
    <s v="Extrême-Nord"/>
    <s v="CMR004002"/>
    <s v="Logone-Et-Chari"/>
    <s v="CMR004002004"/>
    <s v="Logone-Birni"/>
  </r>
  <r>
    <s v="Extrême-Nord"/>
    <s v="CMR004"/>
    <x v="3"/>
    <s v="CMR004003"/>
    <x v="34"/>
    <s v="CMR004003011"/>
    <s v="GOB-0008"/>
    <s v="MASSA KOUWEITA"/>
    <m/>
    <x v="0"/>
    <x v="2"/>
    <n v="31"/>
    <n v="195"/>
    <s v="Inondations saisonnières ou fortes pluies"/>
    <m/>
    <s v="Même arrondissement"/>
    <s v="CMR"/>
    <s v="Cameroun"/>
    <s v="CMR004"/>
    <s v="Extrême-Nord"/>
    <s v="CMR004003"/>
    <s v="Mayo-Danay"/>
    <s v="CMR004003011"/>
    <s v="Gobo"/>
  </r>
  <r>
    <s v="Extrême-Nord"/>
    <s v="CMR004"/>
    <x v="3"/>
    <s v="CMR004003"/>
    <x v="34"/>
    <s v="CMR004003011"/>
    <s v="GOB-0007"/>
    <s v="MASSA IKA"/>
    <m/>
    <x v="0"/>
    <x v="2"/>
    <n v="21"/>
    <n v="155"/>
    <s v="Inondations saisonnières ou fortes pluies"/>
    <m/>
    <s v="Même arrondissement"/>
    <s v="CMR"/>
    <s v="Cameroun"/>
    <s v="CMR004"/>
    <s v="Extrême-Nord"/>
    <s v="CMR004003"/>
    <s v="Mayo-Danay"/>
    <s v="CMR004003011"/>
    <s v="Gobo"/>
  </r>
  <r>
    <s v="Extrême-Nord"/>
    <s v="CMR004"/>
    <x v="3"/>
    <s v="CMR004003"/>
    <x v="34"/>
    <s v="CMR004003011"/>
    <s v="GOB-0009"/>
    <s v="NAYEGUISSIA"/>
    <m/>
    <x v="0"/>
    <x v="2"/>
    <n v="20"/>
    <n v="115"/>
    <s v="Inondations saisonnières ou fortes pluies"/>
    <m/>
    <s v="Même arrondissement"/>
    <s v="CMR"/>
    <s v="Cameroun"/>
    <s v="CMR004"/>
    <s v="Extrême-Nord"/>
    <s v="CMR004003"/>
    <s v="Mayo-Danay"/>
    <s v="CMR004003011"/>
    <s v="Gobo"/>
  </r>
  <r>
    <s v="Extrême-Nord"/>
    <s v="CMR004"/>
    <x v="3"/>
    <s v="CMR004003"/>
    <x v="33"/>
    <s v="CMR004003001"/>
    <s v="KAI-0016"/>
    <s v="SITE DE KOLONG"/>
    <m/>
    <x v="0"/>
    <x v="0"/>
    <n v="45"/>
    <n v="280"/>
    <s v="Inondations saisonnières ou fortes pluies"/>
    <m/>
    <s v="Même arrondissement"/>
    <s v="CMR"/>
    <s v="Cameroun"/>
    <s v="CMR004"/>
    <s v="Extrême-Nord"/>
    <s v="CMR004003"/>
    <s v="Mayo-Danay"/>
    <s v="CMR004003001"/>
    <s v="Kai-Kai"/>
  </r>
  <r>
    <s v="Extrême-Nord"/>
    <s v="CMR004"/>
    <x v="3"/>
    <s v="CMR004003"/>
    <x v="33"/>
    <s v="CMR004003001"/>
    <s v="KAI-0016"/>
    <s v="SITE DE KOLONG"/>
    <m/>
    <x v="0"/>
    <x v="3"/>
    <n v="0"/>
    <n v="10"/>
    <s v="Inondations saisonnières ou fortes pluies"/>
    <m/>
    <s v="Même arrondissement"/>
    <s v="CMR"/>
    <s v="Cameroun"/>
    <s v="CMR004"/>
    <s v="Extrême-Nord"/>
    <s v="CMR004003"/>
    <s v="Mayo-Danay"/>
    <s v="CMR004003001"/>
    <s v="Kai-Kai"/>
  </r>
  <r>
    <s v="Extrême-Nord"/>
    <s v="CMR004"/>
    <x v="3"/>
    <s v="CMR004003"/>
    <x v="33"/>
    <s v="CMR004003001"/>
    <s v="KAI-0012"/>
    <s v="SILLA"/>
    <m/>
    <x v="0"/>
    <x v="0"/>
    <n v="31"/>
    <n v="270"/>
    <s v="Inondations saisonnières ou fortes pluies"/>
    <m/>
    <s v="Même arrondissement"/>
    <s v="CMR"/>
    <s v="Cameroun"/>
    <s v="CMR004"/>
    <s v="Extrême-Nord"/>
    <s v="CMR004003"/>
    <s v="Mayo-Danay"/>
    <s v="CMR004003001"/>
    <s v="Kai-Kai"/>
  </r>
  <r>
    <s v="Extrême-Nord"/>
    <s v="CMR004"/>
    <x v="3"/>
    <s v="CMR004003"/>
    <x v="33"/>
    <s v="CMR004003001"/>
    <s v="KAI-0012"/>
    <s v="SILLA"/>
    <m/>
    <x v="0"/>
    <x v="3"/>
    <n v="1"/>
    <n v="7"/>
    <s v="Inondations saisonnières ou fortes pluies"/>
    <m/>
    <s v="Même arrondissement"/>
    <s v="CMR"/>
    <s v="Cameroun"/>
    <s v="CMR004"/>
    <s v="Extrême-Nord"/>
    <s v="CMR004003"/>
    <s v="Mayo-Danay"/>
    <s v="CMR004003001"/>
    <s v="Kai-Kai"/>
  </r>
  <r>
    <s v="Extrême-Nord"/>
    <s v="CMR004"/>
    <x v="3"/>
    <s v="CMR004003"/>
    <x v="33"/>
    <s v="CMR004003001"/>
    <s v="KAI-0012"/>
    <s v="SILLA"/>
    <m/>
    <x v="0"/>
    <x v="2"/>
    <n v="6"/>
    <n v="42"/>
    <s v="Inondations saisonnières ou fortes pluies"/>
    <m/>
    <s v="Même arrondissement"/>
    <s v="CMR"/>
    <s v="Cameroun"/>
    <s v="CMR004"/>
    <s v="Extrême-Nord"/>
    <s v="CMR004003"/>
    <s v="Mayo-Danay"/>
    <s v="CMR004003001"/>
    <s v="Kai-Kai"/>
  </r>
  <r>
    <s v="Extrême-Nord"/>
    <s v="CMR004"/>
    <x v="3"/>
    <s v="CMR004003"/>
    <x v="33"/>
    <s v="CMR004003001"/>
    <s v="XXXX"/>
    <s v="DARAM (BEKA)"/>
    <s v="DARAM (BEKA)"/>
    <x v="0"/>
    <x v="3"/>
    <n v="4"/>
    <n v="37"/>
    <s v="Inondations saisonnières ou fortes pluies"/>
    <m/>
    <s v="Même arrondissement"/>
    <s v="CMR"/>
    <s v="Cameroun"/>
    <s v="CMR004"/>
    <s v="Extrême-Nord"/>
    <s v="CMR004003"/>
    <s v="Mayo-Danay"/>
    <s v="CMR004003001"/>
    <s v="Kai-Kai"/>
  </r>
  <r>
    <s v="Extrême-Nord"/>
    <s v="CMR004"/>
    <x v="3"/>
    <s v="CMR004003"/>
    <x v="33"/>
    <s v="CMR004003001"/>
    <s v="KAI-0015"/>
    <s v="SITE DE LOUGOYE KAMASSE"/>
    <m/>
    <x v="0"/>
    <x v="3"/>
    <n v="0"/>
    <n v="10"/>
    <s v="Inondations saisonnières ou fortes pluies"/>
    <m/>
    <s v="Même arrondissement"/>
    <s v="CMR"/>
    <s v="Cameroun"/>
    <s v="CMR004"/>
    <s v="Extrême-Nord"/>
    <s v="CMR004003"/>
    <s v="Mayo-Danay"/>
    <s v="CMR004003001"/>
    <s v="Kai-Kai"/>
  </r>
  <r>
    <s v="Extrême-Nord"/>
    <s v="CMR004"/>
    <x v="3"/>
    <s v="CMR004003"/>
    <x v="33"/>
    <s v="CMR004003001"/>
    <s v="KAI-0015"/>
    <s v="SITE DE LOUGOYE KAMASSE"/>
    <m/>
    <x v="0"/>
    <x v="2"/>
    <n v="252"/>
    <n v="1730"/>
    <s v="Inondations saisonnières ou fortes pluies"/>
    <m/>
    <s v="Même arrondissement"/>
    <s v="CMR"/>
    <s v="Cameroun"/>
    <s v="CMR004"/>
    <s v="Extrême-Nord"/>
    <s v="CMR004003"/>
    <s v="Mayo-Danay"/>
    <s v="CMR004003001"/>
    <s v="Kai-Kai"/>
  </r>
  <r>
    <s v="Extrême-Nord"/>
    <s v="CMR004"/>
    <x v="3"/>
    <s v="CMR004003"/>
    <x v="33"/>
    <s v="CMR004003001"/>
    <s v="KAI-0017"/>
    <s v="SITE DE MAGAYEL"/>
    <m/>
    <x v="0"/>
    <x v="2"/>
    <n v="152"/>
    <n v="768"/>
    <s v="Inondations saisonnières ou fortes pluies"/>
    <m/>
    <s v="Même arrondissement"/>
    <s v="CMR"/>
    <s v="Cameroun"/>
    <s v="CMR004"/>
    <s v="Extrême-Nord"/>
    <s v="CMR004003"/>
    <s v="Mayo-Danay"/>
    <s v="CMR004003001"/>
    <s v="Kai-Kai"/>
  </r>
  <r>
    <s v="Extrême-Nord"/>
    <s v="CMR004"/>
    <x v="3"/>
    <s v="CMR004003"/>
    <x v="33"/>
    <s v="CMR004003001"/>
    <s v="KAI-0017"/>
    <s v="SITE DE MAGAYEL"/>
    <m/>
    <x v="0"/>
    <x v="3"/>
    <n v="0"/>
    <n v="17"/>
    <s v="Inondations saisonnières ou fortes pluies"/>
    <m/>
    <s v="Même arrondissement"/>
    <s v="CMR"/>
    <s v="Cameroun"/>
    <s v="CMR004"/>
    <s v="Extrême-Nord"/>
    <s v="CMR004003"/>
    <s v="Mayo-Danay"/>
    <s v="CMR004003001"/>
    <s v="Kai-Kai"/>
  </r>
  <r>
    <s v="Extrême-Nord"/>
    <s v="CMR004"/>
    <x v="3"/>
    <s v="CMR004003"/>
    <x v="33"/>
    <s v="CMR004003001"/>
    <s v="KAI-0005"/>
    <s v="KAIKAI"/>
    <m/>
    <x v="0"/>
    <x v="0"/>
    <n v="55"/>
    <n v="339"/>
    <s v="Inondations saisonnières ou fortes pluies"/>
    <m/>
    <s v="Même arrondissement"/>
    <s v="CMR"/>
    <s v="Cameroun"/>
    <s v="CMR004"/>
    <s v="Extrême-Nord"/>
    <s v="CMR004003"/>
    <s v="Mayo-Danay"/>
    <s v="CMR004003001"/>
    <s v="Kai-Kai"/>
  </r>
  <r>
    <s v="Extrême-Nord"/>
    <s v="CMR004"/>
    <x v="3"/>
    <s v="CMR004003"/>
    <x v="33"/>
    <s v="CMR004003001"/>
    <s v="KAI-0005"/>
    <s v="KAIKAI"/>
    <m/>
    <x v="0"/>
    <x v="3"/>
    <n v="0"/>
    <n v="10"/>
    <s v="Inondations saisonnières ou fortes pluies"/>
    <m/>
    <s v="Même arrondissement"/>
    <s v="CMR"/>
    <s v="Cameroun"/>
    <s v="CMR004"/>
    <s v="Extrême-Nord"/>
    <s v="CMR004003"/>
    <s v="Mayo-Danay"/>
    <s v="CMR004003001"/>
    <s v="Kai-Kai"/>
  </r>
  <r>
    <s v="Extrême-Nord"/>
    <s v="CMR004"/>
    <x v="3"/>
    <s v="CMR004003"/>
    <x v="33"/>
    <s v="CMR004003001"/>
    <s v="KAI-0023"/>
    <s v="SITE DE KAIKAI CENTRE 2"/>
    <m/>
    <x v="0"/>
    <x v="0"/>
    <n v="393"/>
    <n v="1715"/>
    <s v="Inondations saisonnières ou fortes pluies"/>
    <m/>
    <s v="Même arrondissement"/>
    <s v="CMR"/>
    <s v="Cameroun"/>
    <s v="CMR004"/>
    <s v="Extrême-Nord"/>
    <s v="CMR004003"/>
    <s v="Mayo-Danay"/>
    <s v="CMR004003001"/>
    <s v="Kai-Kai"/>
  </r>
  <r>
    <s v="Extrême-Nord"/>
    <s v="CMR004"/>
    <x v="3"/>
    <s v="CMR004003"/>
    <x v="33"/>
    <s v="CMR004003001"/>
    <s v="KAI-0023"/>
    <s v="SITE DE KAIKAI CENTRE 2"/>
    <m/>
    <x v="0"/>
    <x v="3"/>
    <n v="8"/>
    <n v="65"/>
    <s v="Inondations saisonnières ou fortes pluies"/>
    <m/>
    <s v="Même arrondissement"/>
    <s v="CMR"/>
    <s v="Cameroun"/>
    <s v="CMR004"/>
    <s v="Extrême-Nord"/>
    <s v="CMR004003"/>
    <s v="Mayo-Danay"/>
    <s v="CMR004003001"/>
    <s v="Kai-Kai"/>
  </r>
  <r>
    <s v="Extrême-Nord"/>
    <s v="CMR004"/>
    <x v="3"/>
    <s v="CMR004003"/>
    <x v="33"/>
    <s v="CMR004003001"/>
    <s v="KAI-0023"/>
    <s v="SITE DE KAIKAI CENTRE 2"/>
    <m/>
    <x v="0"/>
    <x v="2"/>
    <n v="9"/>
    <n v="100"/>
    <s v="Inondations saisonnières ou fortes pluies"/>
    <m/>
    <s v="Même arrondissement"/>
    <s v="CMR"/>
    <s v="Cameroun"/>
    <s v="CMR004"/>
    <s v="Extrême-Nord"/>
    <s v="CMR004003"/>
    <s v="Mayo-Danay"/>
    <s v="CMR004003001"/>
    <s v="Kai-Kai"/>
  </r>
  <r>
    <s v="Extrême-Nord"/>
    <s v="CMR004"/>
    <x v="3"/>
    <s v="CMR004003"/>
    <x v="33"/>
    <s v="CMR004003001"/>
    <s v="KAI-0014"/>
    <s v="SITE DE KAI-KAI CENTRE"/>
    <m/>
    <x v="0"/>
    <x v="3"/>
    <n v="10"/>
    <n v="100"/>
    <s v="Inondations saisonnières ou fortes pluies"/>
    <m/>
    <s v="Même arrondissement"/>
    <s v="CMR"/>
    <s v="Cameroun"/>
    <s v="CMR004"/>
    <s v="Extrême-Nord"/>
    <s v="CMR004003"/>
    <s v="Mayo-Danay"/>
    <s v="CMR004003001"/>
    <s v="Kai-Kai"/>
  </r>
  <r>
    <s v="Extrême-Nord"/>
    <s v="CMR004"/>
    <x v="3"/>
    <s v="CMR004003"/>
    <x v="33"/>
    <s v="CMR004003001"/>
    <s v="KAI-0014"/>
    <s v="SITE DE KAI-KAI CENTRE"/>
    <m/>
    <x v="0"/>
    <x v="2"/>
    <n v="20"/>
    <n v="220"/>
    <s v="Inondations saisonnières ou fortes pluies"/>
    <m/>
    <s v="Même arrondissement"/>
    <s v="CMR"/>
    <s v="Cameroun"/>
    <s v="CMR004"/>
    <s v="Extrême-Nord"/>
    <s v="CMR004003"/>
    <s v="Mayo-Danay"/>
    <s v="CMR004003001"/>
    <s v="Kai-Kai"/>
  </r>
  <r>
    <s v="Extrême-Nord"/>
    <s v="CMR004"/>
    <x v="3"/>
    <s v="CMR004003"/>
    <x v="33"/>
    <s v="CMR004003001"/>
    <s v="KAI-0010"/>
    <s v="LOUGOY MASSOUANG"/>
    <m/>
    <x v="0"/>
    <x v="2"/>
    <n v="230"/>
    <n v="2506"/>
    <s v="Inondations saisonnières ou fortes pluies"/>
    <m/>
    <s v="Même arrondissement"/>
    <s v="CMR"/>
    <s v="Cameroun"/>
    <s v="CMR004"/>
    <s v="Extrême-Nord"/>
    <s v="CMR004003"/>
    <s v="Mayo-Danay"/>
    <s v="CMR004003001"/>
    <s v="Kai-Kai"/>
  </r>
  <r>
    <s v="Extrême-Nord"/>
    <s v="CMR004"/>
    <x v="2"/>
    <s v="CMR004002"/>
    <x v="15"/>
    <s v="CMR004002004"/>
    <s v="LBI-0080"/>
    <s v="NDOUDOUM"/>
    <m/>
    <x v="0"/>
    <x v="3"/>
    <n v="15"/>
    <n v="20"/>
    <s v="Conflit intercommunautaire"/>
    <m/>
    <s v="Même arrondissement"/>
    <s v="CMR"/>
    <s v="Cameroun"/>
    <s v="CMR004"/>
    <s v="Extrême-Nord"/>
    <s v="CMR004002"/>
    <s v="Logone-Et-Chari"/>
    <s v="CMR004002004"/>
    <s v="Logone-Birni"/>
  </r>
  <r>
    <s v="Extrême-Nord"/>
    <s v="CMR004"/>
    <x v="3"/>
    <s v="CMR004003"/>
    <x v="35"/>
    <s v="CMR004003009"/>
    <s v="YAG-0006"/>
    <s v="SITE DE TCHAKAO"/>
    <m/>
    <x v="0"/>
    <x v="4"/>
    <n v="19"/>
    <n v="133"/>
    <s v="Inondations saisonnières ou fortes pluies"/>
    <m/>
    <s v="Même département, autre arrondissement"/>
    <s v="CMR"/>
    <s v="Cameroun"/>
    <s v="CMR004"/>
    <s v="Extrême-Nord"/>
    <s v="CMR004003"/>
    <s v="Mayo-Danay"/>
    <s v="CMR004003002"/>
    <s v="Maga"/>
  </r>
  <r>
    <s v="Extrême-Nord"/>
    <s v="CMR004"/>
    <x v="3"/>
    <s v="CMR004003"/>
    <x v="35"/>
    <s v="CMR004003009"/>
    <s v="YAG-0006"/>
    <s v="SITE DE TCHAKAO"/>
    <m/>
    <x v="0"/>
    <x v="3"/>
    <n v="13"/>
    <n v="112"/>
    <s v="Inondations saisonnières ou fortes pluies"/>
    <m/>
    <s v="Même département, autre arrondissement"/>
    <s v="CMR"/>
    <s v="Cameroun"/>
    <s v="CMR004"/>
    <s v="Extrême-Nord"/>
    <s v="CMR004003"/>
    <s v="Mayo-Danay"/>
    <s v="CMR004003002"/>
    <s v="Maga"/>
  </r>
  <r>
    <s v="Extrême-Nord"/>
    <s v="CMR004"/>
    <x v="3"/>
    <s v="CMR004003"/>
    <x v="35"/>
    <s v="CMR004003009"/>
    <s v="YAG-0006"/>
    <s v="SITE DE TCHAKAO"/>
    <m/>
    <x v="0"/>
    <x v="2"/>
    <n v="0"/>
    <n v="36"/>
    <s v="Inondations saisonnières ou fortes pluies"/>
    <m/>
    <s v="Même département, autre arrondissement"/>
    <s v="CMR"/>
    <s v="Cameroun"/>
    <s v="CMR004"/>
    <s v="Extrême-Nord"/>
    <s v="CMR004003"/>
    <s v="Mayo-Danay"/>
    <s v="CMR004003002"/>
    <s v="Maga"/>
  </r>
  <r>
    <s v="Extrême-Nord"/>
    <s v="CMR004"/>
    <x v="3"/>
    <s v="CMR004003"/>
    <x v="35"/>
    <s v="CMR004003009"/>
    <s v="XXXX"/>
    <s v="SITE DE OURO DABANG"/>
    <s v="SITE DE OURO DABANG"/>
    <x v="0"/>
    <x v="2"/>
    <n v="58"/>
    <n v="375"/>
    <s v="Inondations saisonnières ou fortes pluies"/>
    <m/>
    <s v="Même arrondissement"/>
    <s v="CMR"/>
    <s v="Cameroun"/>
    <s v="CMR004"/>
    <s v="Extrême-Nord"/>
    <s v="CMR004003"/>
    <s v="Mayo-Danay"/>
    <s v="CMR004003009"/>
    <s v="Yagoua"/>
  </r>
  <r>
    <s v="Extrême-Nord"/>
    <s v="CMR004"/>
    <x v="3"/>
    <s v="CMR004003"/>
    <x v="35"/>
    <s v="CMR004003009"/>
    <s v="YAG-0004"/>
    <s v="DANAY 1"/>
    <m/>
    <x v="0"/>
    <x v="2"/>
    <n v="66"/>
    <n v="412"/>
    <s v="Inondations saisonnières ou fortes pluies"/>
    <m/>
    <s v="Même arrondissement"/>
    <s v="CMR"/>
    <s v="Cameroun"/>
    <s v="CMR004"/>
    <s v="Extrême-Nord"/>
    <s v="CMR004003"/>
    <s v="Mayo-Danay"/>
    <s v="CMR004003009"/>
    <s v="Yagoua"/>
  </r>
  <r>
    <s v="Extrême-Nord"/>
    <s v="CMR004"/>
    <x v="3"/>
    <s v="CMR004003"/>
    <x v="35"/>
    <s v="CMR004003009"/>
    <s v="YAG-0001"/>
    <s v="DANA"/>
    <m/>
    <x v="0"/>
    <x v="0"/>
    <n v="18"/>
    <n v="131"/>
    <s v="Inondations saisonnières ou fortes pluies"/>
    <m/>
    <s v="Même arrondissement"/>
    <s v="CMR"/>
    <s v="Cameroun"/>
    <s v="CMR004"/>
    <s v="Extrême-Nord"/>
    <s v="CMR004003"/>
    <s v="Mayo-Danay"/>
    <s v="CMR004003009"/>
    <s v="Yagoua"/>
  </r>
  <r>
    <s v="Extrême-Nord"/>
    <s v="CMR004"/>
    <x v="3"/>
    <s v="CMR004003"/>
    <x v="36"/>
    <s v="CMR004003008"/>
    <s v="WIN-0002"/>
    <s v="DJONGDONG"/>
    <m/>
    <x v="0"/>
    <x v="0"/>
    <n v="51"/>
    <n v="307"/>
    <s v="Inondations saisonnières ou fortes pluies"/>
    <m/>
    <s v="Même arrondissement"/>
    <s v="CMR"/>
    <s v="Cameroun"/>
    <s v="CMR004"/>
    <s v="Extrême-Nord"/>
    <s v="CMR004003"/>
    <s v="Mayo-Danay"/>
    <s v="CMR004003008"/>
    <s v="Wina"/>
  </r>
  <r>
    <s v="Extrême-Nord"/>
    <s v="CMR004"/>
    <x v="3"/>
    <s v="CMR004003"/>
    <x v="37"/>
    <s v="CMR004003007"/>
    <s v="DAT-0001"/>
    <s v="BAMVERE"/>
    <m/>
    <x v="0"/>
    <x v="2"/>
    <n v="92"/>
    <n v="378"/>
    <s v="Inondations saisonnières ou fortes pluies"/>
    <m/>
    <s v="Même arrondissement"/>
    <s v="CMR"/>
    <s v="Cameroun"/>
    <s v="CMR004"/>
    <s v="Extrême-Nord"/>
    <s v="CMR004003"/>
    <s v="Mayo-Danay"/>
    <s v="CMR004003007"/>
    <s v="Datchéka"/>
  </r>
  <r>
    <s v="Extrême-Nord"/>
    <s v="CMR004"/>
    <x v="3"/>
    <s v="CMR004003"/>
    <x v="36"/>
    <s v="CMR004003008"/>
    <s v="WIN-0001"/>
    <s v="BOSGOYE"/>
    <m/>
    <x v="0"/>
    <x v="2"/>
    <n v="48"/>
    <n v="245"/>
    <s v="Inondations saisonnières ou fortes pluies"/>
    <m/>
    <s v="Même arrondissement"/>
    <s v="CMR"/>
    <s v="Cameroun"/>
    <s v="CMR004"/>
    <s v="Extrême-Nord"/>
    <s v="CMR004003"/>
    <s v="Mayo-Danay"/>
    <s v="CMR004003008"/>
    <s v="Wina"/>
  </r>
  <r>
    <s v="Extrême-Nord"/>
    <s v="CMR004"/>
    <x v="3"/>
    <s v="CMR004003"/>
    <x v="35"/>
    <s v="CMR004003009"/>
    <s v="YAG-0002"/>
    <s v="DOMO"/>
    <m/>
    <x v="0"/>
    <x v="2"/>
    <n v="32"/>
    <n v="165"/>
    <s v="Inondations saisonnières ou fortes pluies"/>
    <m/>
    <s v="Même arrondissement"/>
    <s v="CMR"/>
    <s v="Cameroun"/>
    <s v="CMR004"/>
    <s v="Extrême-Nord"/>
    <s v="CMR004003"/>
    <s v="Mayo-Danay"/>
    <s v="CMR004003009"/>
    <s v="Yagoua"/>
  </r>
  <r>
    <s v="Extrême-Nord"/>
    <s v="CMR004"/>
    <x v="3"/>
    <s v="CMR004003"/>
    <x v="35"/>
    <s v="CMR004003009"/>
    <s v="YAG-0003"/>
    <s v="MOURI"/>
    <m/>
    <x v="0"/>
    <x v="2"/>
    <n v="15"/>
    <n v="83"/>
    <s v="Inondations saisonnières ou fortes pluies"/>
    <m/>
    <s v="Même arrondissement"/>
    <s v="CMR"/>
    <s v="Cameroun"/>
    <s v="CMR004"/>
    <s v="Extrême-Nord"/>
    <s v="CMR004003"/>
    <s v="Mayo-Danay"/>
    <s v="CMR004003009"/>
    <s v="Yagoua"/>
  </r>
  <r>
    <s v="Extrême-Nord"/>
    <s v="CMR004"/>
    <x v="2"/>
    <s v="CMR004002"/>
    <x v="15"/>
    <s v="CMR004002004"/>
    <s v="LBI-0043"/>
    <s v="ZIMADO KOTOKO"/>
    <m/>
    <x v="0"/>
    <x v="0"/>
    <n v="21"/>
    <n v="198"/>
    <s v="Conflits liés à GANE (BH)"/>
    <m/>
    <s v="Même département, autre arrondissement"/>
    <s v="CMR"/>
    <s v="Cameroun"/>
    <s v="CMR004"/>
    <s v="Extrême-Nord"/>
    <s v="CMR004002"/>
    <s v="Logone-Et-Chari"/>
    <s v="CMR004002001"/>
    <s v="Waza"/>
  </r>
  <r>
    <s v="Extrême-Nord"/>
    <s v="CMR004"/>
    <x v="2"/>
    <s v="CMR004002"/>
    <x v="15"/>
    <s v="CMR004002004"/>
    <s v="LBI-0042"/>
    <s v="ZIMADO 1-4"/>
    <m/>
    <x v="0"/>
    <x v="0"/>
    <n v="7"/>
    <n v="65"/>
    <s v="Conflit intercommunautaire"/>
    <m/>
    <s v="Même arrondissement"/>
    <s v="CMR"/>
    <s v="Cameroun"/>
    <s v="CMR004"/>
    <s v="Extrême-Nord"/>
    <s v="CMR004002"/>
    <s v="Logone-Et-Chari"/>
    <s v="CMR004002004"/>
    <s v="Logone-Birni"/>
  </r>
  <r>
    <s v="Extrême-Nord"/>
    <s v="CMR004"/>
    <x v="2"/>
    <s v="CMR004002"/>
    <x v="15"/>
    <s v="CMR004002004"/>
    <s v="LBI-0004"/>
    <s v="ZIMADO"/>
    <m/>
    <x v="0"/>
    <x v="0"/>
    <n v="100"/>
    <n v="724"/>
    <s v="Conflits liés à GANE (BH)"/>
    <m/>
    <s v="Même département, autre arrondissement"/>
    <s v="CMR"/>
    <s v="Cameroun"/>
    <s v="CMR004"/>
    <s v="Extrême-Nord"/>
    <s v="CMR004002"/>
    <s v="Logone-Et-Chari"/>
    <s v="CMR004002001"/>
    <s v="Waza"/>
  </r>
  <r>
    <s v="Extrême-Nord"/>
    <s v="CMR004"/>
    <x v="2"/>
    <s v="CMR004002"/>
    <x v="26"/>
    <s v="CMR004002006"/>
    <s v="KOU-0022"/>
    <s v="MAINANI"/>
    <m/>
    <x v="0"/>
    <x v="0"/>
    <n v="30"/>
    <n v="105"/>
    <s v="Conflits liés à GANE (BH)"/>
    <m/>
    <s v="Même département, autre arrondissement"/>
    <s v="CMR"/>
    <s v="Cameroun"/>
    <s v="CMR004"/>
    <s v="Extrême-Nord"/>
    <s v="CMR004002"/>
    <s v="Logone-Et-Chari"/>
    <s v="CMR004002008"/>
    <s v="Fotokol"/>
  </r>
  <r>
    <s v="Extrême-Nord"/>
    <s v="CMR004"/>
    <x v="2"/>
    <s v="CMR004002"/>
    <x v="26"/>
    <s v="CMR004002006"/>
    <s v="KOU-0022"/>
    <s v="MAINANI"/>
    <m/>
    <x v="0"/>
    <x v="2"/>
    <n v="20"/>
    <n v="100"/>
    <s v="Conflit intercommunautaire"/>
    <m/>
    <s v="Même département, autre arrondissement"/>
    <s v="CMR"/>
    <s v="Cameroun"/>
    <s v="CMR004"/>
    <s v="Extrême-Nord"/>
    <s v="CMR004002"/>
    <s v="Logone-Et-Chari"/>
    <s v="CMR004002004"/>
    <s v="Logone-Birni"/>
  </r>
  <r>
    <s v="Extrême-Nord"/>
    <s v="CMR004"/>
    <x v="2"/>
    <s v="CMR004002"/>
    <x v="26"/>
    <s v="CMR004002006"/>
    <s v="XXXX"/>
    <s v="SITE DE MADAGASCAR 1"/>
    <s v="SITE DE MADAGASCAR 1"/>
    <x v="0"/>
    <x v="0"/>
    <n v="77"/>
    <n v="1500"/>
    <s v="Conflits liés à GANE (BH)"/>
    <m/>
    <s v="Même département, autre arrondissement"/>
    <s v="CMR"/>
    <s v="Cameroun"/>
    <s v="CMR004"/>
    <s v="Extrême-Nord"/>
    <s v="CMR004002"/>
    <s v="Logone-Et-Chari"/>
    <s v="CMR004002008"/>
    <s v="Fotokol"/>
  </r>
  <r>
    <s v="Extrême-Nord"/>
    <s v="CMR004"/>
    <x v="2"/>
    <s v="CMR004002"/>
    <x v="26"/>
    <s v="CMR004002006"/>
    <s v="XXXX"/>
    <s v="SITE DE MADAGASCAR 1"/>
    <s v="SITE DE MADAGASCAR 1"/>
    <x v="0"/>
    <x v="2"/>
    <n v="200"/>
    <n v="2000"/>
    <s v="Inondations saisonnières ou fortes pluies"/>
    <m/>
    <s v="Même arrondissement"/>
    <s v="CMR"/>
    <s v="Cameroun"/>
    <s v="CMR004"/>
    <s v="Extrême-Nord"/>
    <s v="CMR004002"/>
    <s v="Logone-Et-Chari"/>
    <s v="CMR004002006"/>
    <s v="Kousséri"/>
  </r>
  <r>
    <s v="Extrême-Nord"/>
    <s v="CMR004"/>
    <x v="2"/>
    <s v="CMR004002"/>
    <x v="26"/>
    <s v="CMR004002006"/>
    <s v="KOU-0030"/>
    <s v="PAGUI"/>
    <m/>
    <x v="0"/>
    <x v="0"/>
    <n v="30"/>
    <n v="90"/>
    <s v="Conflits liés à GANE (BH)"/>
    <m/>
    <s v="Même département, autre arrondissement"/>
    <s v="CMR"/>
    <s v="Cameroun"/>
    <s v="CMR004"/>
    <s v="Extrême-Nord"/>
    <s v="CMR004002"/>
    <s v="Logone-Et-Chari"/>
    <s v="CMR004002004"/>
    <s v="Logone-Birni"/>
  </r>
  <r>
    <s v="Extrême-Nord"/>
    <s v="CMR004"/>
    <x v="2"/>
    <s v="CMR004002"/>
    <x v="26"/>
    <s v="CMR004002006"/>
    <s v="KOU-0030"/>
    <s v="PAGUI"/>
    <m/>
    <x v="0"/>
    <x v="2"/>
    <n v="5"/>
    <n v="15"/>
    <s v="Inondations saisonnières ou fortes pluies"/>
    <m/>
    <s v="Même département, autre arrondissement"/>
    <s v="CMR"/>
    <s v="Cameroun"/>
    <s v="CMR004"/>
    <s v="Extrême-Nord"/>
    <s v="CMR004002"/>
    <s v="Logone-Et-Chari"/>
    <s v="CMR004002008"/>
    <s v="Fotokol"/>
  </r>
  <r>
    <s v="Extrême-Nord"/>
    <s v="CMR004"/>
    <x v="3"/>
    <s v="CMR004003"/>
    <x v="38"/>
    <s v="CMR004003010"/>
    <s v="GUR-0004"/>
    <s v="MOUKA"/>
    <m/>
    <x v="0"/>
    <x v="0"/>
    <n v="7"/>
    <n v="43"/>
    <s v="Inondations saisonnières ou fortes pluies"/>
    <m/>
    <s v="Même arrondissement"/>
    <s v="CMR"/>
    <s v="Cameroun"/>
    <s v="CMR004"/>
    <s v="Extrême-Nord"/>
    <s v="CMR004003"/>
    <s v="Mayo-Danay"/>
    <s v="CMR004003010"/>
    <s v="Guéré"/>
  </r>
  <r>
    <s v="Extrême-Nord"/>
    <s v="CMR004"/>
    <x v="3"/>
    <s v="CMR004003"/>
    <x v="38"/>
    <s v="CMR004003010"/>
    <s v="GUR-0004"/>
    <s v="MOUKA"/>
    <m/>
    <x v="0"/>
    <x v="1"/>
    <n v="0"/>
    <n v="6"/>
    <s v="Inondations saisonnières ou fortes pluies"/>
    <m/>
    <s v="Même arrondissement"/>
    <s v="CMR"/>
    <s v="Cameroun"/>
    <s v="CMR004"/>
    <s v="Extrême-Nord"/>
    <s v="CMR004003"/>
    <s v="Mayo-Danay"/>
    <s v="CMR004003010"/>
    <s v="Guéré"/>
  </r>
  <r>
    <s v="Extrême-Nord"/>
    <s v="CMR004"/>
    <x v="2"/>
    <s v="CMR004002"/>
    <x v="8"/>
    <s v="CMR004002009"/>
    <s v="MAK-0070"/>
    <s v="MADEGOUA"/>
    <m/>
    <x v="0"/>
    <x v="0"/>
    <n v="22"/>
    <n v="170"/>
    <s v="Conflits liés à GANE (BH)"/>
    <m/>
    <s v="Même département, autre arrondissement"/>
    <s v="CMR"/>
    <s v="Cameroun"/>
    <s v="CMR004"/>
    <s v="Extrême-Nord"/>
    <s v="CMR004002"/>
    <s v="Logone-Et-Chari"/>
    <s v="CMR004002008"/>
    <s v="Fotokol"/>
  </r>
  <r>
    <s v="Extrême-Nord"/>
    <s v="CMR004"/>
    <x v="2"/>
    <s v="CMR004002"/>
    <x v="26"/>
    <s v="CMR004002006"/>
    <s v="KOU-0007"/>
    <s v="GAROUA"/>
    <m/>
    <x v="0"/>
    <x v="2"/>
    <n v="4"/>
    <n v="25"/>
    <s v="Inondations saisonnières ou fortes pluies"/>
    <m/>
    <s v="Même arrondissement"/>
    <s v="CMR"/>
    <s v="Cameroun"/>
    <s v="CMR004"/>
    <s v="Extrême-Nord"/>
    <s v="CMR004002"/>
    <s v="Logone-Et-Chari"/>
    <s v="CMR004002006"/>
    <s v="Kousséri"/>
  </r>
  <r>
    <s v="Extrême-Nord"/>
    <s v="CMR004"/>
    <x v="2"/>
    <s v="CMR004002"/>
    <x v="12"/>
    <s v="CMR004002002"/>
    <s v="GOU-0012"/>
    <s v="MARA 1"/>
    <m/>
    <x v="0"/>
    <x v="0"/>
    <n v="12"/>
    <n v="70"/>
    <s v="Conflits liés à GANE (BH)"/>
    <m/>
    <s v="Même département, autre arrondissement"/>
    <s v="CMR"/>
    <s v="Cameroun"/>
    <s v="CMR004"/>
    <s v="Extrême-Nord"/>
    <s v="CMR004002"/>
    <s v="Logone-Et-Chari"/>
    <s v="CMR004002008"/>
    <s v="Fotokol"/>
  </r>
  <r>
    <s v="Extrême-Nord"/>
    <s v="CMR004"/>
    <x v="2"/>
    <s v="CMR004002"/>
    <x v="12"/>
    <s v="CMR004002002"/>
    <s v="GOU-0012"/>
    <s v="MARA 1"/>
    <m/>
    <x v="0"/>
    <x v="2"/>
    <n v="0"/>
    <n v="2"/>
    <s v="Conflits liés à GANE (BH)"/>
    <m/>
    <s v="Même département, autre arrondissement"/>
    <s v="CMR"/>
    <s v="Cameroun"/>
    <s v="CMR004"/>
    <s v="Extrême-Nord"/>
    <s v="CMR004002"/>
    <s v="Logone-Et-Chari"/>
    <s v="CMR004002008"/>
    <s v="Fotokol"/>
  </r>
  <r>
    <s v="Extrême-Nord"/>
    <s v="CMR004"/>
    <x v="2"/>
    <s v="CMR004002"/>
    <x v="12"/>
    <s v="CMR004002002"/>
    <s v="GOU-0013"/>
    <s v="MARA 2"/>
    <m/>
    <x v="0"/>
    <x v="0"/>
    <n v="12"/>
    <n v="80"/>
    <s v="Conflits liés à GANE (BH)"/>
    <m/>
    <s v="Même département, autre arrondissement"/>
    <s v="CMR"/>
    <s v="Cameroun"/>
    <s v="CMR004"/>
    <s v="Extrême-Nord"/>
    <s v="CMR004002"/>
    <s v="Logone-Et-Chari"/>
    <s v="CMR004002008"/>
    <s v="Fotokol"/>
  </r>
  <r>
    <s v="Extrême-Nord"/>
    <s v="CMR004"/>
    <x v="2"/>
    <s v="CMR004002"/>
    <x v="12"/>
    <s v="CMR004002002"/>
    <s v="GOU-0013"/>
    <s v="MARA 2"/>
    <m/>
    <x v="0"/>
    <x v="2"/>
    <n v="0"/>
    <n v="1"/>
    <s v="Conflits liés à GANE (BH)"/>
    <m/>
    <s v="Même département, autre arrondissement"/>
    <s v="CMR"/>
    <s v="Cameroun"/>
    <s v="CMR004"/>
    <s v="Extrême-Nord"/>
    <s v="CMR004002"/>
    <s v="Logone-Et-Chari"/>
    <s v="CMR004002008"/>
    <s v="Fotokol"/>
  </r>
  <r>
    <s v="Extrême-Nord"/>
    <s v="CMR004"/>
    <x v="1"/>
    <s v="CMR004006"/>
    <x v="1"/>
    <s v="CMR004006002"/>
    <s v="MOK-0028"/>
    <s v="DINGUILIND"/>
    <m/>
    <x v="0"/>
    <x v="0"/>
    <n v="30"/>
    <n v="237"/>
    <s v="Conflits liés à GANE (BH)"/>
    <m/>
    <s v="Même arrondissement"/>
    <s v="CMR"/>
    <s v="Cameroun"/>
    <s v="CMR004"/>
    <s v="Extrême-Nord"/>
    <s v="CMR004006"/>
    <s v="Mayo-Tsanaga"/>
    <s v="CMR004006002"/>
    <s v="Mokolo"/>
  </r>
  <r>
    <s v="Extrême-Nord"/>
    <s v="CMR004"/>
    <x v="1"/>
    <s v="CMR004006"/>
    <x v="1"/>
    <s v="CMR004006002"/>
    <s v="MOK-0028"/>
    <s v="DINGUILIND"/>
    <m/>
    <x v="0"/>
    <x v="3"/>
    <n v="6"/>
    <n v="36"/>
    <s v="Conflits liés à GANE (BH)"/>
    <m/>
    <s v="Même arrondissement"/>
    <s v="CMR"/>
    <s v="Cameroun"/>
    <s v="CMR004"/>
    <s v="Extrême-Nord"/>
    <s v="CMR004006"/>
    <s v="Mayo-Tsanaga"/>
    <s v="CMR004006002"/>
    <s v="Mokolo"/>
  </r>
  <r>
    <s v="Extrême-Nord"/>
    <s v="CMR004"/>
    <x v="1"/>
    <s v="CMR004006"/>
    <x v="1"/>
    <s v="CMR004006002"/>
    <s v="MOK-0028"/>
    <s v="DINGUILIND"/>
    <m/>
    <x v="0"/>
    <x v="2"/>
    <n v="10"/>
    <n v="28"/>
    <s v="Conflits liés à GANE (BH)"/>
    <m/>
    <s v="Même arrondissement"/>
    <s v="CMR"/>
    <s v="Cameroun"/>
    <s v="CMR004"/>
    <s v="Extrême-Nord"/>
    <s v="CMR004006"/>
    <s v="Mayo-Tsanaga"/>
    <s v="CMR004006002"/>
    <s v="Mokolo"/>
  </r>
  <r>
    <s v="Extrême-Nord"/>
    <s v="CMR004"/>
    <x v="1"/>
    <s v="CMR004006"/>
    <x v="1"/>
    <s v="CMR004006002"/>
    <s v="MOK-0055"/>
    <s v="LAMORDE"/>
    <m/>
    <x v="0"/>
    <x v="0"/>
    <n v="139"/>
    <n v="999"/>
    <s v="Conflits liés à GANE (BH)"/>
    <m/>
    <s v="Même arrondissement"/>
    <s v="CMR"/>
    <s v="Cameroun"/>
    <s v="CMR004"/>
    <s v="Extrême-Nord"/>
    <s v="CMR004006"/>
    <s v="Mayo-Tsanaga"/>
    <s v="CMR004006002"/>
    <s v="Mokolo"/>
  </r>
  <r>
    <s v="Extrême-Nord"/>
    <s v="CMR004"/>
    <x v="1"/>
    <s v="CMR004006"/>
    <x v="1"/>
    <s v="CMR004006002"/>
    <s v="MOK-0055"/>
    <s v="LAMORDE"/>
    <m/>
    <x v="0"/>
    <x v="1"/>
    <n v="2"/>
    <n v="12"/>
    <s v="Conflits liés à GANE (BH)"/>
    <m/>
    <s v="Même arrondissement"/>
    <s v="CMR"/>
    <s v="Cameroun"/>
    <s v="CMR004"/>
    <s v="Extrême-Nord"/>
    <s v="CMR004006"/>
    <s v="Mayo-Tsanaga"/>
    <s v="CMR004006002"/>
    <s v="Mokolo"/>
  </r>
  <r>
    <s v="Extrême-Nord"/>
    <s v="CMR004"/>
    <x v="1"/>
    <s v="CMR004006"/>
    <x v="1"/>
    <s v="CMR004006002"/>
    <s v="MOK-0055"/>
    <s v="LAMORDE"/>
    <m/>
    <x v="0"/>
    <x v="3"/>
    <n v="10"/>
    <n v="32"/>
    <s v="Conflits liés à GANE (BH)"/>
    <m/>
    <s v="Même arrondissement"/>
    <s v="CMR"/>
    <s v="Cameroun"/>
    <s v="CMR004"/>
    <s v="Extrême-Nord"/>
    <s v="CMR004006"/>
    <s v="Mayo-Tsanaga"/>
    <s v="CMR004006002"/>
    <s v="Mokolo"/>
  </r>
  <r>
    <s v="Extrême-Nord"/>
    <s v="CMR004"/>
    <x v="1"/>
    <s v="CMR004006"/>
    <x v="1"/>
    <s v="CMR004006002"/>
    <s v="MOK-0055"/>
    <s v="LAMORDE"/>
    <m/>
    <x v="0"/>
    <x v="2"/>
    <n v="22"/>
    <n v="102"/>
    <s v="Conflits liés à GANE (BH)"/>
    <m/>
    <s v="Même arrondissement"/>
    <s v="CMR"/>
    <s v="Cameroun"/>
    <s v="CMR004"/>
    <s v="Extrême-Nord"/>
    <s v="CMR004006"/>
    <s v="Mayo-Tsanaga"/>
    <s v="CMR004006002"/>
    <s v="Mokolo"/>
  </r>
  <r>
    <s v="Extrême-Nord"/>
    <s v="CMR004"/>
    <x v="4"/>
    <s v="CMR004005"/>
    <x v="19"/>
    <s v="CMR004005001"/>
    <s v="KOL-0028"/>
    <s v="YEGOUA"/>
    <m/>
    <x v="0"/>
    <x v="1"/>
    <n v="1"/>
    <n v="1"/>
    <s v="Conflits liés à GANE (BH)"/>
    <m/>
    <s v="Même arrondissement"/>
    <s v="CMR"/>
    <s v="Cameroun"/>
    <s v="CMR004"/>
    <s v="Extrême-Nord"/>
    <s v="CMR004005"/>
    <s v="Mayo-Sava"/>
    <s v="CMR004005001"/>
    <s v="Kolofata"/>
  </r>
  <r>
    <s v="Extrême-Nord"/>
    <s v="CMR004"/>
    <x v="4"/>
    <s v="CMR004005"/>
    <x v="19"/>
    <s v="CMR004005001"/>
    <s v="KOL-0028"/>
    <s v="YEGOUA"/>
    <m/>
    <x v="0"/>
    <x v="3"/>
    <n v="0"/>
    <n v="19"/>
    <s v="Conflits liés à GANE (BH)"/>
    <m/>
    <s v="Même arrondissement"/>
    <s v="CMR"/>
    <s v="Cameroun"/>
    <s v="CMR004"/>
    <s v="Extrême-Nord"/>
    <s v="CMR004005"/>
    <s v="Mayo-Sava"/>
    <s v="CMR004005001"/>
    <s v="Kolofata"/>
  </r>
  <r>
    <s v="Extrême-Nord"/>
    <s v="CMR004"/>
    <x v="4"/>
    <s v="CMR004005"/>
    <x v="19"/>
    <s v="CMR004005001"/>
    <s v="KOL-0028"/>
    <s v="YEGOUA"/>
    <m/>
    <x v="0"/>
    <x v="0"/>
    <n v="8"/>
    <n v="64"/>
    <s v="Conflits liés à GANE (BH)"/>
    <m/>
    <s v="Même arrondissement"/>
    <s v="CMR"/>
    <s v="Cameroun"/>
    <s v="CMR004"/>
    <s v="Extrême-Nord"/>
    <s v="CMR004005"/>
    <s v="Mayo-Sava"/>
    <s v="CMR004005001"/>
    <s v="Kolofata"/>
  </r>
  <r>
    <s v="Extrême-Nord"/>
    <s v="CMR004"/>
    <x v="4"/>
    <s v="CMR004005"/>
    <x v="19"/>
    <s v="CMR004005001"/>
    <s v="KOL-0028"/>
    <s v="YEGOUA"/>
    <m/>
    <x v="0"/>
    <x v="2"/>
    <n v="0"/>
    <n v="16"/>
    <s v="Conflits liés à GANE (BH)"/>
    <m/>
    <s v="Même arrondissement"/>
    <s v="CMR"/>
    <s v="Cameroun"/>
    <s v="CMR004"/>
    <s v="Extrême-Nord"/>
    <s v="CMR004005"/>
    <s v="Mayo-Sava"/>
    <s v="CMR004005001"/>
    <s v="Kolofata"/>
  </r>
  <r>
    <s v="Extrême-Nord"/>
    <s v="CMR004"/>
    <x v="2"/>
    <s v="CMR004002"/>
    <x v="27"/>
    <s v="CMR004002007"/>
    <s v="DAR-0015"/>
    <s v="MAGALA-KABIR 2"/>
    <m/>
    <x v="0"/>
    <x v="1"/>
    <n v="10"/>
    <n v="33"/>
    <s v="Conflits liés à GANE (BH)"/>
    <m/>
    <s v="Même arrondissement"/>
    <s v="CMR"/>
    <s v="Cameroun"/>
    <s v="CMR004"/>
    <s v="Extrême-Nord"/>
    <s v="CMR004002"/>
    <s v="Logone-Et-Chari"/>
    <s v="CMR004002007"/>
    <s v="Darak"/>
  </r>
  <r>
    <s v="Extrême-Nord"/>
    <s v="CMR004"/>
    <x v="2"/>
    <s v="CMR004002"/>
    <x v="27"/>
    <s v="CMR004002007"/>
    <s v="DAR-0024"/>
    <s v="KADOUNA"/>
    <m/>
    <x v="0"/>
    <x v="1"/>
    <n v="16"/>
    <n v="92"/>
    <s v="Conflits liés à GANE (BH)"/>
    <m/>
    <s v="Même arrondissement"/>
    <s v="CMR"/>
    <s v="Cameroun"/>
    <s v="CMR004"/>
    <s v="Extrême-Nord"/>
    <s v="CMR004002"/>
    <s v="Logone-Et-Chari"/>
    <s v="CMR004002007"/>
    <s v="Darak"/>
  </r>
  <r>
    <s v="Extrême-Nord"/>
    <s v="CMR004"/>
    <x v="2"/>
    <s v="CMR004002"/>
    <x v="8"/>
    <s v="CMR004002009"/>
    <s v="MAK-0013"/>
    <s v="BAGARA"/>
    <m/>
    <x v="0"/>
    <x v="1"/>
    <n v="4"/>
    <n v="37"/>
    <s v="Conflits liés à GANE (BH)"/>
    <m/>
    <s v="Même arrondissement"/>
    <s v="CMR"/>
    <s v="Cameroun"/>
    <s v="CMR004"/>
    <s v="Extrême-Nord"/>
    <s v="CMR004002"/>
    <s v="Logone-Et-Chari"/>
    <s v="CMR004002009"/>
    <s v="Makary"/>
  </r>
  <r>
    <s v="Extrême-Nord"/>
    <s v="CMR004"/>
    <x v="2"/>
    <s v="CMR004002"/>
    <x v="8"/>
    <s v="CMR004002009"/>
    <s v="MAK-0147"/>
    <s v="NGOUT"/>
    <m/>
    <x v="0"/>
    <x v="1"/>
    <n v="29"/>
    <n v="199"/>
    <s v="Conflits liés à GANE (BH)"/>
    <m/>
    <s v="Même arrondissement"/>
    <s v="CMR"/>
    <s v="Cameroun"/>
    <s v="CMR004"/>
    <s v="Extrême-Nord"/>
    <s v="CMR004002"/>
    <s v="Logone-Et-Chari"/>
    <s v="CMR004002009"/>
    <s v="Makary"/>
  </r>
  <r>
    <s v="Extrême-Nord"/>
    <s v="CMR004"/>
    <x v="2"/>
    <s v="CMR004002"/>
    <x v="8"/>
    <s v="CMR004002009"/>
    <s v="MAK-0162"/>
    <s v="AMSOUFA"/>
    <m/>
    <x v="0"/>
    <x v="1"/>
    <n v="10"/>
    <n v="96"/>
    <s v="Conflits liés à GANE (BH)"/>
    <m/>
    <s v="Même arrondissement"/>
    <s v="CMR"/>
    <s v="Cameroun"/>
    <s v="CMR004"/>
    <s v="Extrême-Nord"/>
    <s v="CMR004002"/>
    <s v="Logone-Et-Chari"/>
    <s v="CMR004002009"/>
    <s v="Makary"/>
  </r>
  <r>
    <s v="Extrême-Nord"/>
    <s v="CMR004"/>
    <x v="2"/>
    <s v="CMR004002"/>
    <x v="27"/>
    <s v="CMR004002007"/>
    <s v="DAR-0027"/>
    <s v="NDJODA"/>
    <m/>
    <x v="0"/>
    <x v="1"/>
    <n v="7"/>
    <n v="40"/>
    <s v="Conflits liés à GANE (BH)"/>
    <m/>
    <s v="Même arrondissement"/>
    <s v="CMR"/>
    <s v="Cameroun"/>
    <s v="CMR004"/>
    <s v="Extrême-Nord"/>
    <s v="CMR004002"/>
    <s v="Logone-Et-Chari"/>
    <s v="CMR004002007"/>
    <s v="Darak"/>
  </r>
  <r>
    <s v="Extrême-Nord"/>
    <s v="CMR004"/>
    <x v="1"/>
    <s v="CMR004006"/>
    <x v="1"/>
    <s v="CMR004006002"/>
    <s v="XXXX"/>
    <s v="LARAM 2"/>
    <s v="LARAM2"/>
    <x v="0"/>
    <x v="2"/>
    <n v="23"/>
    <n v="75"/>
    <s v="Conflits liés à GANE (BH)"/>
    <m/>
    <s v="Même arrondissement"/>
    <s v="CMR"/>
    <s v="Cameroun"/>
    <s v="CMR004"/>
    <s v="Extrême-Nord"/>
    <s v="CMR004006"/>
    <s v="Mayo-Tsanaga"/>
    <s v="CMR004006002"/>
    <s v="Mokolo"/>
  </r>
  <r>
    <s v="Extrême-Nord"/>
    <s v="CMR004"/>
    <x v="1"/>
    <s v="CMR004006"/>
    <x v="7"/>
    <s v="CMR004006005"/>
    <s v="MOZ-0038"/>
    <s v="MAWA"/>
    <m/>
    <x v="0"/>
    <x v="2"/>
    <n v="1"/>
    <n v="17"/>
    <s v="Conflits liés à GANE (BH)"/>
    <m/>
    <s v="Même arrondissement"/>
    <s v="CMR"/>
    <s v="Cameroun"/>
    <s v="CMR004"/>
    <s v="Extrême-Nord"/>
    <s v="CMR004006"/>
    <s v="Mayo-Tsanaga"/>
    <s v="CMR004006005"/>
    <s v="Mayo-Moskota"/>
  </r>
  <r>
    <s v="Extrême-Nord"/>
    <s v="CMR004"/>
    <x v="1"/>
    <s v="CMR004006"/>
    <x v="7"/>
    <s v="CMR004006005"/>
    <s v="MOZ-0038"/>
    <s v="MAWA"/>
    <m/>
    <x v="0"/>
    <x v="0"/>
    <n v="98"/>
    <n v="795"/>
    <s v="Conflits liés à GANE (BH)"/>
    <m/>
    <s v="Même arrondissement"/>
    <s v="CMR"/>
    <s v="Cameroun"/>
    <s v="CMR004"/>
    <s v="Extrême-Nord"/>
    <s v="CMR004006"/>
    <s v="Mayo-Tsanaga"/>
    <s v="CMR004006005"/>
    <s v="Mayo-Moskota"/>
  </r>
  <r>
    <s v="Extrême-Nord"/>
    <s v="CMR004"/>
    <x v="1"/>
    <s v="CMR004006"/>
    <x v="7"/>
    <s v="CMR004006005"/>
    <s v="MOZ-0038"/>
    <s v="MAWA"/>
    <m/>
    <x v="0"/>
    <x v="4"/>
    <n v="0"/>
    <n v="10"/>
    <s v="Conflits liés à GANE (BH)"/>
    <m/>
    <s v="Même arrondissement"/>
    <s v="CMR"/>
    <s v="Cameroun"/>
    <s v="CMR004"/>
    <s v="Extrême-Nord"/>
    <s v="CMR004006"/>
    <s v="Mayo-Tsanaga"/>
    <s v="CMR004006005"/>
    <s v="Mayo-Moskota"/>
  </r>
  <r>
    <s v="Extrême-Nord"/>
    <s v="CMR004"/>
    <x v="1"/>
    <s v="CMR004006"/>
    <x v="7"/>
    <s v="CMR004006005"/>
    <s v="MOZ-0038"/>
    <s v="MAWA"/>
    <m/>
    <x v="0"/>
    <x v="3"/>
    <n v="10"/>
    <n v="37"/>
    <s v="Conflits liés à GANE (BH)"/>
    <m/>
    <s v="Même arrondissement"/>
    <s v="CMR"/>
    <s v="Cameroun"/>
    <s v="CMR004"/>
    <s v="Extrême-Nord"/>
    <s v="CMR004006"/>
    <s v="Mayo-Tsanaga"/>
    <s v="CMR004006005"/>
    <s v="Mayo-Moskota"/>
  </r>
  <r>
    <s v="Extrême-Nord"/>
    <s v="CMR004"/>
    <x v="2"/>
    <s v="CMR004002"/>
    <x v="26"/>
    <s v="CMR004002006"/>
    <s v="KOU-0004"/>
    <s v="ARKIS"/>
    <m/>
    <x v="0"/>
    <x v="0"/>
    <n v="4"/>
    <n v="19"/>
    <s v="Conflits liés à GANE (BH)"/>
    <m/>
    <s v="Même arrondissement"/>
    <s v="CMR"/>
    <s v="Cameroun"/>
    <s v="CMR004"/>
    <s v="Extrême-Nord"/>
    <s v="CMR004002"/>
    <s v="Logone-Et-Chari"/>
    <s v="CMR004002006"/>
    <s v="Kousséri"/>
  </r>
  <r>
    <s v="Extrême-Nord"/>
    <s v="CMR004"/>
    <x v="2"/>
    <s v="CMR004002"/>
    <x v="26"/>
    <s v="CMR004002006"/>
    <s v="KOU-0004"/>
    <s v="ARKIS"/>
    <m/>
    <x v="0"/>
    <x v="2"/>
    <n v="7"/>
    <n v="12"/>
    <s v="Conflits liés à GANE (BH)"/>
    <m/>
    <s v="Même arrondissement"/>
    <s v="CMR"/>
    <s v="Cameroun"/>
    <s v="CMR004"/>
    <s v="Extrême-Nord"/>
    <s v="CMR004002"/>
    <s v="Logone-Et-Chari"/>
    <s v="CMR004002006"/>
    <s v="Kousséri"/>
  </r>
  <r>
    <s v="Extrême-Nord"/>
    <s v="CMR004"/>
    <x v="2"/>
    <s v="CMR004002"/>
    <x v="26"/>
    <s v="CMR004002006"/>
    <s v="KOU-0004"/>
    <s v="ARKIS"/>
    <m/>
    <x v="0"/>
    <x v="1"/>
    <n v="0"/>
    <n v="4"/>
    <s v="Autre raison"/>
    <s v="Naissance."/>
    <s v="Même arrondissement"/>
    <s v="CMR"/>
    <s v="Cameroun"/>
    <s v="CMR004"/>
    <s v="Extrême-Nord"/>
    <s v="CMR004002"/>
    <s v="Logone-Et-Chari"/>
    <s v="CMR004002006"/>
    <s v="Kousséri"/>
  </r>
  <r>
    <s v="Extrême-Nord"/>
    <s v="CMR004"/>
    <x v="3"/>
    <s v="CMR004003"/>
    <x v="33"/>
    <s v="CMR004003001"/>
    <s v="KAI-0025"/>
    <s v="DAMA"/>
    <m/>
    <x v="0"/>
    <x v="3"/>
    <n v="17"/>
    <n v="56"/>
    <s v="Inondations saisonnières ou fortes pluies"/>
    <m/>
    <s v="Même arrondissement"/>
    <s v="CMR"/>
    <s v="Cameroun"/>
    <s v="CMR004"/>
    <s v="Extrême-Nord"/>
    <s v="CMR004003"/>
    <s v="Mayo-Danay"/>
    <s v="CMR004003001"/>
    <s v="Kai-Kai"/>
  </r>
  <r>
    <s v="Extrême-Nord"/>
    <s v="CMR004"/>
    <x v="0"/>
    <s v="CMR004001"/>
    <x v="0"/>
    <s v="CMR004001003"/>
    <s v="PET-0013"/>
    <s v="KLISSAWA"/>
    <m/>
    <x v="1"/>
    <x v="0"/>
    <n v="1"/>
    <n v="5"/>
    <s v="Conflits liés à GANE (BH)"/>
    <m/>
    <s v="Autre pays"/>
    <s v="NGA"/>
    <s v="Nigéria"/>
    <s v="NGA008"/>
    <s v="Borno"/>
    <m/>
    <m/>
    <m/>
    <m/>
  </r>
  <r>
    <s v="Extrême-Nord"/>
    <s v="CMR004"/>
    <x v="0"/>
    <s v="CMR004001"/>
    <x v="0"/>
    <s v="CMR004001003"/>
    <s v="PET-0020"/>
    <s v="LOUBA LOUBA"/>
    <m/>
    <x v="1"/>
    <x v="0"/>
    <n v="2"/>
    <n v="10"/>
    <s v="Conflits liés à GANE (BH)"/>
    <m/>
    <s v="Autre pays"/>
    <s v="NGA"/>
    <s v="Nigéria"/>
    <s v="NGA008"/>
    <s v="Borno"/>
    <m/>
    <m/>
    <m/>
    <m/>
  </r>
  <r>
    <s v="Extrême-Nord"/>
    <s v="CMR004"/>
    <x v="1"/>
    <s v="CMR004006"/>
    <x v="7"/>
    <s v="CMR004006005"/>
    <s v="MOZ-0014"/>
    <s v="OUZAL"/>
    <m/>
    <x v="1"/>
    <x v="0"/>
    <n v="17"/>
    <n v="83"/>
    <s v="Conflits liés à GANE (BH)"/>
    <m/>
    <s v="Autre pays"/>
    <s v="NGA"/>
    <s v="Nigéria"/>
    <s v="NGA008"/>
    <s v="Borno"/>
    <m/>
    <m/>
    <m/>
    <m/>
  </r>
  <r>
    <s v="Extrême-Nord"/>
    <s v="CMR004"/>
    <x v="1"/>
    <s v="CMR004006"/>
    <x v="7"/>
    <s v="CMR004006005"/>
    <s v="MOZ-0014"/>
    <s v="OUZAL"/>
    <m/>
    <x v="1"/>
    <x v="1"/>
    <n v="6"/>
    <n v="43"/>
    <s v="Conflits liés à GANE (BH)"/>
    <m/>
    <s v="Autre pays"/>
    <s v="NGA"/>
    <s v="Nigéria"/>
    <s v="NGA002"/>
    <s v="Adamawa"/>
    <m/>
    <m/>
    <m/>
    <m/>
  </r>
  <r>
    <s v="Extrême-Nord"/>
    <s v="CMR004"/>
    <x v="1"/>
    <s v="CMR004006"/>
    <x v="7"/>
    <s v="CMR004006005"/>
    <s v="MOZ-0009"/>
    <s v="MOZOGO GUIDBALA"/>
    <m/>
    <x v="1"/>
    <x v="2"/>
    <n v="2"/>
    <n v="16"/>
    <s v="Conflits liés à GANE (BH)"/>
    <m/>
    <s v="Autre pays"/>
    <s v="NGA"/>
    <s v="Nigéria"/>
    <s v="NGA025"/>
    <s v="Lagos"/>
    <m/>
    <m/>
    <m/>
    <m/>
  </r>
  <r>
    <s v="Extrême-Nord"/>
    <s v="CMR004"/>
    <x v="1"/>
    <s v="CMR004006"/>
    <x v="7"/>
    <s v="CMR004006005"/>
    <s v="MOZ-0006"/>
    <s v="MEDEGOUER"/>
    <m/>
    <x v="1"/>
    <x v="2"/>
    <n v="1"/>
    <n v="3"/>
    <s v="Conflits liés à GANE (BH)"/>
    <m/>
    <s v="Autre pays"/>
    <s v="NGA"/>
    <s v="Nigéria"/>
    <s v="NGA025"/>
    <s v="Lagos"/>
    <m/>
    <m/>
    <m/>
    <m/>
  </r>
  <r>
    <s v="Extrême-Nord"/>
    <s v="CMR004"/>
    <x v="2"/>
    <s v="CMR004002"/>
    <x v="8"/>
    <s v="CMR004002009"/>
    <s v="MAK-0071"/>
    <s v="NANAMI"/>
    <m/>
    <x v="1"/>
    <x v="0"/>
    <n v="6"/>
    <n v="21"/>
    <s v="Conflits liés à GANE (BH)"/>
    <m/>
    <s v="Autre pays"/>
    <s v="NGA"/>
    <s v="Nigéria"/>
    <s v="NGA008"/>
    <s v="Borno"/>
    <m/>
    <m/>
    <m/>
    <m/>
  </r>
  <r>
    <s v="Extrême-Nord"/>
    <s v="CMR004"/>
    <x v="2"/>
    <s v="CMR004002"/>
    <x v="8"/>
    <s v="CMR004002009"/>
    <s v="MAK-0185"/>
    <s v="GUEILALA"/>
    <m/>
    <x v="1"/>
    <x v="0"/>
    <n v="15"/>
    <n v="115"/>
    <s v="Conflits liés à GANE (BH)"/>
    <m/>
    <s v="Autre pays"/>
    <s v="NGA"/>
    <s v="Nigéria"/>
    <s v="NGA008"/>
    <s v="Borno"/>
    <m/>
    <m/>
    <m/>
    <m/>
  </r>
  <r>
    <s v="Extrême-Nord"/>
    <s v="CMR004"/>
    <x v="2"/>
    <s v="CMR004002"/>
    <x v="13"/>
    <s v="CMR004002001"/>
    <s v="WAZ-0002"/>
    <s v="KABE 1"/>
    <m/>
    <x v="1"/>
    <x v="0"/>
    <n v="6"/>
    <n v="22"/>
    <s v="Conflits liés à GANE (BH)"/>
    <m/>
    <s v="Autre pays"/>
    <s v="NGA"/>
    <s v="Nigéria"/>
    <s v="NGA008"/>
    <s v="Borno"/>
    <m/>
    <m/>
    <m/>
    <m/>
  </r>
  <r>
    <s v="Extrême-Nord"/>
    <s v="CMR004"/>
    <x v="2"/>
    <s v="CMR004002"/>
    <x v="10"/>
    <s v="CMR004002003"/>
    <s v="BLA-0019"/>
    <s v="BLABINE"/>
    <m/>
    <x v="1"/>
    <x v="0"/>
    <n v="2"/>
    <n v="5"/>
    <s v="Conflits liés à GANE (BH)"/>
    <m/>
    <s v="Autre pays"/>
    <s v="NGA"/>
    <s v="Nigéria"/>
    <s v="NGA008"/>
    <s v="Borno"/>
    <m/>
    <m/>
    <m/>
    <m/>
  </r>
  <r>
    <s v="Extrême-Nord"/>
    <s v="CMR004"/>
    <x v="2"/>
    <s v="CMR004002"/>
    <x v="10"/>
    <s v="CMR004002003"/>
    <s v="BLA-0010"/>
    <s v="KOUTOULA"/>
    <m/>
    <x v="1"/>
    <x v="0"/>
    <n v="7"/>
    <n v="64"/>
    <s v="Conflits liés à GANE (BH)"/>
    <m/>
    <s v="Autre pays"/>
    <s v="NGA"/>
    <s v="Nigéria"/>
    <s v="NGA008"/>
    <s v="Borno"/>
    <m/>
    <m/>
    <m/>
    <m/>
  </r>
  <r>
    <s v="Extrême-Nord"/>
    <s v="CMR004"/>
    <x v="0"/>
    <s v="CMR004001"/>
    <x v="0"/>
    <s v="CMR004001003"/>
    <s v="PET-0021"/>
    <s v="MOURGOUT"/>
    <m/>
    <x v="1"/>
    <x v="0"/>
    <n v="2"/>
    <n v="14"/>
    <s v="Conflits liés à GANE (BH)"/>
    <m/>
    <s v="Autre pays"/>
    <s v="NGA"/>
    <s v="Nigéria"/>
    <s v="NGA008"/>
    <s v="Borno"/>
    <m/>
    <m/>
    <m/>
    <m/>
  </r>
  <r>
    <s v="Extrême-Nord"/>
    <s v="CMR004"/>
    <x v="0"/>
    <s v="CMR004001"/>
    <x v="0"/>
    <s v="CMR004001003"/>
    <s v="PET-0021"/>
    <s v="MOURGOUT"/>
    <m/>
    <x v="1"/>
    <x v="4"/>
    <n v="0"/>
    <n v="2"/>
    <s v="Conflits liés à GANE (BH)"/>
    <m/>
    <s v="Autre pays"/>
    <s v="NGA"/>
    <s v="Nigéria"/>
    <s v="NGA008"/>
    <s v="Borno"/>
    <m/>
    <m/>
    <m/>
    <m/>
  </r>
  <r>
    <s v="Extrême-Nord"/>
    <s v="CMR004"/>
    <x v="1"/>
    <s v="CMR004006"/>
    <x v="39"/>
    <s v="CMR004006001"/>
    <s v="MOG-0002"/>
    <s v="KARANTCHI"/>
    <m/>
    <x v="1"/>
    <x v="0"/>
    <n v="17"/>
    <n v="84"/>
    <s v="Conflits liés à GANE (BH)"/>
    <m/>
    <s v="Autre pays"/>
    <s v="NGA"/>
    <s v="Nigéria"/>
    <s v="NGA002"/>
    <s v="Adamawa"/>
    <m/>
    <m/>
    <m/>
    <m/>
  </r>
  <r>
    <s v="Extrême-Nord"/>
    <s v="CMR004"/>
    <x v="1"/>
    <s v="CMR004006"/>
    <x v="39"/>
    <s v="CMR004006001"/>
    <s v="MOG-0002"/>
    <s v="KARANTCHI"/>
    <m/>
    <x v="1"/>
    <x v="4"/>
    <n v="0"/>
    <n v="7"/>
    <s v="Conflits liés à GANE (BH)"/>
    <m/>
    <s v="Autre pays"/>
    <s v="NGA"/>
    <s v="Nigéria"/>
    <s v="NGA002"/>
    <s v="Adamawa"/>
    <m/>
    <m/>
    <m/>
    <m/>
  </r>
  <r>
    <s v="Extrême-Nord"/>
    <s v="CMR004"/>
    <x v="1"/>
    <s v="CMR004006"/>
    <x v="39"/>
    <s v="CMR004006001"/>
    <s v="MOG-0002"/>
    <s v="KARANTCHI"/>
    <m/>
    <x v="1"/>
    <x v="3"/>
    <n v="1"/>
    <n v="6"/>
    <s v="Conflits liés à GANE (BH)"/>
    <m/>
    <s v="Autre pays"/>
    <s v="NGA"/>
    <s v="Nigéria"/>
    <s v="NGA002"/>
    <s v="Adamawa"/>
    <m/>
    <m/>
    <m/>
    <m/>
  </r>
  <r>
    <s v="Extrême-Nord"/>
    <s v="CMR004"/>
    <x v="1"/>
    <s v="CMR004006"/>
    <x v="39"/>
    <s v="CMR004006001"/>
    <s v="MOG-0004"/>
    <s v="KOUFFI"/>
    <m/>
    <x v="1"/>
    <x v="0"/>
    <n v="8"/>
    <n v="41"/>
    <s v="Conflits liés à GANE (BH)"/>
    <m/>
    <s v="Autre pays"/>
    <s v="NGA"/>
    <s v="Nigéria"/>
    <s v="NGA002"/>
    <s v="Adamawa"/>
    <m/>
    <m/>
    <m/>
    <m/>
  </r>
  <r>
    <s v="Extrême-Nord"/>
    <s v="CMR004"/>
    <x v="1"/>
    <s v="CMR004006"/>
    <x v="39"/>
    <s v="CMR004006001"/>
    <s v="MOG-0004"/>
    <s v="KOUFFI"/>
    <m/>
    <x v="1"/>
    <x v="4"/>
    <n v="0"/>
    <n v="1"/>
    <s v="Conflits liés à GANE (BH)"/>
    <m/>
    <s v="Autre pays"/>
    <s v="NGA"/>
    <s v="Nigéria"/>
    <s v="NGA002"/>
    <s v="Adamawa"/>
    <m/>
    <m/>
    <m/>
    <m/>
  </r>
  <r>
    <s v="Extrême-Nord"/>
    <s v="CMR004"/>
    <x v="1"/>
    <s v="CMR004006"/>
    <x v="39"/>
    <s v="CMR004006001"/>
    <s v="MOG-0004"/>
    <s v="KOUFFI"/>
    <m/>
    <x v="1"/>
    <x v="3"/>
    <n v="0"/>
    <n v="3"/>
    <s v="Conflits liés à GANE (BH)"/>
    <m/>
    <s v="Autre pays"/>
    <s v="NGA"/>
    <s v="Nigéria"/>
    <s v="NGA002"/>
    <s v="Adamawa"/>
    <m/>
    <m/>
    <m/>
    <m/>
  </r>
  <r>
    <s v="Extrême-Nord"/>
    <s v="CMR004"/>
    <x v="1"/>
    <s v="CMR004006"/>
    <x v="39"/>
    <s v="CMR004006001"/>
    <s v="MOG-0004"/>
    <s v="KOUFFI"/>
    <m/>
    <x v="1"/>
    <x v="2"/>
    <n v="0"/>
    <n v="2"/>
    <s v="Conflits liés à GANE (BH)"/>
    <m/>
    <s v="Autre pays"/>
    <s v="NGA"/>
    <s v="Nigéria"/>
    <s v="NGA002"/>
    <s v="Adamawa"/>
    <m/>
    <m/>
    <m/>
    <m/>
  </r>
  <r>
    <s v="Extrême-Nord"/>
    <s v="CMR004"/>
    <x v="1"/>
    <s v="CMR004006"/>
    <x v="39"/>
    <s v="CMR004006001"/>
    <s v="MOG-0012"/>
    <s v="VITTE"/>
    <m/>
    <x v="1"/>
    <x v="0"/>
    <n v="5"/>
    <n v="22"/>
    <s v="Conflits liés à GANE (BH)"/>
    <m/>
    <s v="Autre pays"/>
    <s v="NGA"/>
    <s v="Nigéria"/>
    <s v="NGA002"/>
    <s v="Adamawa"/>
    <m/>
    <m/>
    <m/>
    <m/>
  </r>
  <r>
    <s v="Extrême-Nord"/>
    <s v="CMR004"/>
    <x v="1"/>
    <s v="CMR004006"/>
    <x v="39"/>
    <s v="CMR004006001"/>
    <s v="MOG-0012"/>
    <s v="VITTE"/>
    <m/>
    <x v="1"/>
    <x v="3"/>
    <n v="0"/>
    <n v="5"/>
    <s v="Conflits liés à GANE (BH)"/>
    <m/>
    <s v="Autre pays"/>
    <s v="NGA"/>
    <s v="Nigéria"/>
    <s v="NGA002"/>
    <s v="Adamawa"/>
    <m/>
    <m/>
    <m/>
    <m/>
  </r>
  <r>
    <s v="Extrême-Nord"/>
    <s v="CMR004"/>
    <x v="0"/>
    <s v="CMR004001"/>
    <x v="0"/>
    <s v="CMR004001003"/>
    <s v="PET-0002"/>
    <s v="SITE DE DJABIRE"/>
    <m/>
    <x v="1"/>
    <x v="0"/>
    <n v="18"/>
    <n v="183"/>
    <s v="Conflits liés à GANE (BH)"/>
    <m/>
    <s v="Autre pays"/>
    <s v="NGA"/>
    <s v="Nigéria"/>
    <s v="NGA008"/>
    <s v="Borno"/>
    <m/>
    <m/>
    <m/>
    <m/>
  </r>
  <r>
    <s v="Extrême-Nord"/>
    <s v="CMR004"/>
    <x v="0"/>
    <s v="CMR004001"/>
    <x v="0"/>
    <s v="CMR004001003"/>
    <s v="PET-0002"/>
    <s v="SITE DE DJABIRE"/>
    <m/>
    <x v="1"/>
    <x v="4"/>
    <n v="0"/>
    <n v="8"/>
    <s v="Conflits liés à GANE (BH)"/>
    <m/>
    <s v="Autre pays"/>
    <s v="NGA"/>
    <s v="Nigéria"/>
    <s v="NGA008"/>
    <s v="Borno"/>
    <m/>
    <m/>
    <m/>
    <m/>
  </r>
  <r>
    <s v="Extrême-Nord"/>
    <s v="CMR004"/>
    <x v="2"/>
    <s v="CMR004002"/>
    <x v="13"/>
    <s v="CMR004002001"/>
    <s v="WAZ-0006"/>
    <s v="SALEH"/>
    <m/>
    <x v="1"/>
    <x v="0"/>
    <n v="7"/>
    <n v="44"/>
    <s v="Conflits liés à GANE (BH)"/>
    <m/>
    <s v="Autre pays"/>
    <s v="NGA"/>
    <s v="Nigéria"/>
    <s v="NGA008"/>
    <s v="Borno"/>
    <m/>
    <m/>
    <m/>
    <m/>
  </r>
  <r>
    <s v="Extrême-Nord"/>
    <s v="CMR004"/>
    <x v="2"/>
    <s v="CMR004002"/>
    <x v="13"/>
    <s v="CMR004002001"/>
    <s v="WAZ-0006"/>
    <s v="SALEH"/>
    <m/>
    <x v="1"/>
    <x v="2"/>
    <n v="0"/>
    <n v="2"/>
    <s v="Conflits liés à GANE (BH)"/>
    <m/>
    <s v="Autre pays"/>
    <s v="NGA"/>
    <s v="Nigéria"/>
    <s v="NGA008"/>
    <s v="Borno"/>
    <m/>
    <m/>
    <m/>
    <m/>
  </r>
  <r>
    <s v="Extrême-Nord"/>
    <s v="CMR004"/>
    <x v="2"/>
    <s v="CMR004002"/>
    <x v="13"/>
    <s v="CMR004002001"/>
    <s v="WAZ-0036"/>
    <s v="ZIGUE"/>
    <m/>
    <x v="1"/>
    <x v="3"/>
    <n v="10"/>
    <n v="62"/>
    <s v="Conflits liés à GANE (BH)"/>
    <m/>
    <s v="Autre pays"/>
    <s v="NGA"/>
    <s v="Nigéria"/>
    <s v="NGA008"/>
    <s v="Borno"/>
    <m/>
    <m/>
    <m/>
    <m/>
  </r>
  <r>
    <s v="Extrême-Nord"/>
    <s v="CMR004"/>
    <x v="2"/>
    <s v="CMR004002"/>
    <x v="13"/>
    <s v="CMR004002001"/>
    <s v="WAZ-0036"/>
    <s v="ZIGUE"/>
    <m/>
    <x v="1"/>
    <x v="2"/>
    <n v="0"/>
    <n v="4"/>
    <s v="Conflits liés à GANE (BH)"/>
    <m/>
    <s v="Autre pays"/>
    <s v="NGA"/>
    <s v="Nigéria"/>
    <s v="NGA008"/>
    <s v="Borno"/>
    <m/>
    <m/>
    <m/>
    <m/>
  </r>
  <r>
    <s v="Extrême-Nord"/>
    <s v="CMR004"/>
    <x v="2"/>
    <s v="CMR004002"/>
    <x v="13"/>
    <s v="CMR004002001"/>
    <s v="WAZ-0012"/>
    <s v="ZIGAGUE"/>
    <m/>
    <x v="1"/>
    <x v="0"/>
    <n v="15"/>
    <n v="58"/>
    <s v="Conflits liés à GANE (BH)"/>
    <m/>
    <s v="Autre pays"/>
    <s v="NGA"/>
    <s v="Nigéria"/>
    <s v="NGA008"/>
    <s v="Borno"/>
    <m/>
    <m/>
    <m/>
    <m/>
  </r>
  <r>
    <s v="Extrême-Nord"/>
    <s v="CMR004"/>
    <x v="2"/>
    <s v="CMR004002"/>
    <x v="13"/>
    <s v="CMR004002001"/>
    <s v="WAZ-0012"/>
    <s v="ZIGAGUE"/>
    <m/>
    <x v="1"/>
    <x v="2"/>
    <n v="0"/>
    <n v="3"/>
    <s v="Conflits liés à GANE (BH)"/>
    <m/>
    <s v="Autre pays"/>
    <s v="NGA"/>
    <s v="Nigéria"/>
    <s v="NGA008"/>
    <s v="Borno"/>
    <m/>
    <m/>
    <m/>
    <m/>
  </r>
  <r>
    <s v="Extrême-Nord"/>
    <s v="CMR004"/>
    <x v="2"/>
    <s v="CMR004002"/>
    <x v="13"/>
    <s v="CMR004002001"/>
    <s v="WAZ-0021"/>
    <s v="GOULOUZIVINI"/>
    <m/>
    <x v="1"/>
    <x v="3"/>
    <n v="5"/>
    <n v="36"/>
    <s v="Conflits liés à GANE (BH)"/>
    <m/>
    <s v="Autre pays"/>
    <s v="NGA"/>
    <s v="Nigéria"/>
    <s v="NGA008"/>
    <s v="Borno"/>
    <m/>
    <m/>
    <m/>
    <m/>
  </r>
  <r>
    <s v="Extrême-Nord"/>
    <s v="CMR004"/>
    <x v="2"/>
    <s v="CMR004002"/>
    <x v="13"/>
    <s v="CMR004002001"/>
    <s v="WAZ-0021"/>
    <s v="GOULOUZIVINI"/>
    <m/>
    <x v="1"/>
    <x v="2"/>
    <n v="0"/>
    <n v="5"/>
    <s v="Conflits liés à GANE (BH)"/>
    <m/>
    <s v="Autre pays"/>
    <s v="NGA"/>
    <s v="Nigéria"/>
    <s v="NGA008"/>
    <s v="Borno"/>
    <m/>
    <m/>
    <m/>
    <m/>
  </r>
  <r>
    <s v="Extrême-Nord"/>
    <s v="CMR004"/>
    <x v="2"/>
    <s v="CMR004002"/>
    <x v="13"/>
    <s v="CMR004002001"/>
    <s v="WAZ-0021"/>
    <s v="GOULOUZIVINI"/>
    <m/>
    <x v="1"/>
    <x v="4"/>
    <n v="0"/>
    <n v="2"/>
    <s v="Conflits liés à GANE (BH)"/>
    <m/>
    <s v="Autre pays"/>
    <s v="NGA"/>
    <s v="Nigéria"/>
    <s v="NGA008"/>
    <s v="Borno"/>
    <m/>
    <m/>
    <m/>
    <m/>
  </r>
  <r>
    <s v="Extrême-Nord"/>
    <s v="CMR004"/>
    <x v="1"/>
    <s v="CMR004006"/>
    <x v="7"/>
    <s v="CMR004006005"/>
    <s v="MOZ-0021"/>
    <s v="ASSIGHASSIA"/>
    <m/>
    <x v="1"/>
    <x v="0"/>
    <n v="474"/>
    <n v="2735"/>
    <s v="Conflits liés à GANE (BH)"/>
    <m/>
    <s v="Autre pays"/>
    <s v="NGA"/>
    <s v="Nigéria"/>
    <s v="NGA025"/>
    <s v="Lagos"/>
    <m/>
    <m/>
    <m/>
    <m/>
  </r>
  <r>
    <s v="Extrême-Nord"/>
    <s v="CMR004"/>
    <x v="1"/>
    <s v="CMR004006"/>
    <x v="7"/>
    <s v="CMR004006005"/>
    <s v="MOZ-0021"/>
    <s v="ASSIGHASSIA"/>
    <m/>
    <x v="1"/>
    <x v="1"/>
    <n v="5"/>
    <n v="20"/>
    <s v="Conflits liés à GANE (BH)"/>
    <m/>
    <s v="Autre pays"/>
    <s v="NGA"/>
    <s v="Nigéria"/>
    <s v="NGA025"/>
    <s v="Lagos"/>
    <m/>
    <m/>
    <m/>
    <m/>
  </r>
  <r>
    <s v="Extrême-Nord"/>
    <s v="CMR004"/>
    <x v="1"/>
    <s v="CMR004006"/>
    <x v="7"/>
    <s v="CMR004006005"/>
    <s v="MOZ-0021"/>
    <s v="ASSIGHASSIA"/>
    <m/>
    <x v="1"/>
    <x v="4"/>
    <n v="0"/>
    <n v="3"/>
    <s v="Conflits liés à GANE (BH)"/>
    <m/>
    <s v="Autre pays"/>
    <s v="NGA"/>
    <s v="Nigéria"/>
    <s v="NGA020"/>
    <s v="Kano"/>
    <m/>
    <m/>
    <m/>
    <m/>
  </r>
  <r>
    <s v="Extrême-Nord"/>
    <s v="CMR004"/>
    <x v="1"/>
    <s v="CMR004006"/>
    <x v="7"/>
    <s v="CMR004006005"/>
    <s v="MOZ-0021"/>
    <s v="ASSIGHASSIA"/>
    <m/>
    <x v="1"/>
    <x v="3"/>
    <n v="18"/>
    <n v="150"/>
    <s v="Conflits liés à GANE (BH)"/>
    <m/>
    <s v="Autre pays"/>
    <s v="NGA"/>
    <s v="Nigéria"/>
    <s v="NGA020"/>
    <s v="Kano"/>
    <m/>
    <m/>
    <m/>
    <m/>
  </r>
  <r>
    <s v="Extrême-Nord"/>
    <s v="CMR004"/>
    <x v="1"/>
    <s v="CMR004006"/>
    <x v="7"/>
    <s v="CMR004006005"/>
    <s v="MOZ-0021"/>
    <s v="ASSIGHASSIA"/>
    <m/>
    <x v="1"/>
    <x v="2"/>
    <n v="23"/>
    <n v="210"/>
    <s v="Conflits liés à GANE (BH)"/>
    <m/>
    <s v="Autre pays"/>
    <s v="NGA"/>
    <s v="Nigéria"/>
    <s v="NGA025"/>
    <s v="Lagos"/>
    <m/>
    <m/>
    <m/>
    <m/>
  </r>
  <r>
    <s v="Extrême-Nord"/>
    <s v="CMR004"/>
    <x v="2"/>
    <s v="CMR004002"/>
    <x v="10"/>
    <s v="CMR004002003"/>
    <s v="BLA-0018"/>
    <s v="DOUGOUMACHI"/>
    <m/>
    <x v="1"/>
    <x v="4"/>
    <n v="10"/>
    <n v="120"/>
    <s v="Conflits liés à GANE (BH)"/>
    <m/>
    <s v="Autre pays"/>
    <s v="NGA"/>
    <s v="Nigéria"/>
    <s v="NGA008"/>
    <s v="Borno"/>
    <m/>
    <m/>
    <m/>
    <m/>
  </r>
  <r>
    <s v="Extrême-Nord"/>
    <s v="CMR004"/>
    <x v="1"/>
    <s v="CMR004006"/>
    <x v="14"/>
    <s v="CMR004006007"/>
    <s v="BOU-0004"/>
    <s v="BOURHA 2"/>
    <m/>
    <x v="1"/>
    <x v="0"/>
    <n v="18"/>
    <n v="113"/>
    <s v="Conflits liés à GANE (BH)"/>
    <m/>
    <s v="Autre pays"/>
    <s v="NGA"/>
    <s v="Nigéria"/>
    <s v="NGA002"/>
    <s v="Adamawa"/>
    <m/>
    <m/>
    <m/>
    <m/>
  </r>
  <r>
    <s v="Extrême-Nord"/>
    <s v="CMR004"/>
    <x v="1"/>
    <s v="CMR004006"/>
    <x v="14"/>
    <s v="CMR004006007"/>
    <s v="BOU-0004"/>
    <s v="BOURHA 2"/>
    <m/>
    <x v="1"/>
    <x v="1"/>
    <n v="0"/>
    <n v="1"/>
    <s v="Conflits liés à GANE (BH)"/>
    <m/>
    <s v="Autre pays"/>
    <s v="NGA"/>
    <s v="Nigéria"/>
    <s v="NGA002"/>
    <s v="Adamawa"/>
    <m/>
    <m/>
    <m/>
    <m/>
  </r>
  <r>
    <s v="Extrême-Nord"/>
    <s v="CMR004"/>
    <x v="1"/>
    <s v="CMR004006"/>
    <x v="14"/>
    <s v="CMR004006007"/>
    <s v="BOU-0004"/>
    <s v="BOURHA 2"/>
    <m/>
    <x v="1"/>
    <x v="3"/>
    <n v="5"/>
    <n v="22"/>
    <s v="Conflits liés à GANE (BH)"/>
    <m/>
    <s v="Autre pays"/>
    <s v="NGA"/>
    <s v="Nigéria"/>
    <s v="NGA002"/>
    <s v="Adamawa"/>
    <m/>
    <m/>
    <m/>
    <m/>
  </r>
  <r>
    <s v="Extrême-Nord"/>
    <s v="CMR004"/>
    <x v="2"/>
    <s v="CMR004002"/>
    <x v="13"/>
    <s v="CMR004002001"/>
    <s v="WAZ-0026"/>
    <s v="SITE DE LAFIA"/>
    <m/>
    <x v="1"/>
    <x v="0"/>
    <n v="17"/>
    <n v="70"/>
    <s v="Conflits liés à GANE (BH)"/>
    <m/>
    <s v="Autre pays"/>
    <s v="NGA"/>
    <s v="Nigéria"/>
    <s v="NGA008"/>
    <s v="Borno"/>
    <m/>
    <m/>
    <m/>
    <m/>
  </r>
  <r>
    <s v="Extrême-Nord"/>
    <s v="CMR004"/>
    <x v="2"/>
    <s v="CMR004002"/>
    <x v="13"/>
    <s v="CMR004002001"/>
    <s v="WAZ-0026"/>
    <s v="SITE DE LAFIA"/>
    <m/>
    <x v="1"/>
    <x v="2"/>
    <n v="0"/>
    <n v="5"/>
    <s v="Conflits liés à GANE (BH)"/>
    <m/>
    <s v="Autre pays"/>
    <s v="NGA"/>
    <s v="Nigéria"/>
    <s v="NGA008"/>
    <s v="Borno"/>
    <m/>
    <m/>
    <m/>
    <m/>
  </r>
  <r>
    <s v="Extrême-Nord"/>
    <s v="CMR004"/>
    <x v="2"/>
    <s v="CMR004002"/>
    <x v="13"/>
    <s v="CMR004002001"/>
    <s v="WAZ-0026"/>
    <s v="SITE DE LAFIA"/>
    <m/>
    <x v="1"/>
    <x v="4"/>
    <n v="0"/>
    <n v="10"/>
    <s v="Conflits liés à GANE (BH)"/>
    <m/>
    <s v="Autre pays"/>
    <s v="NGA"/>
    <s v="Nigéria"/>
    <s v="NGA008"/>
    <s v="Borno"/>
    <m/>
    <m/>
    <m/>
    <m/>
  </r>
  <r>
    <s v="Extrême-Nord"/>
    <s v="CMR004"/>
    <x v="1"/>
    <s v="CMR004006"/>
    <x v="7"/>
    <s v="CMR004006005"/>
    <s v="MOZ-0037"/>
    <s v="MOUNDOUGOUA"/>
    <m/>
    <x v="1"/>
    <x v="0"/>
    <n v="60"/>
    <n v="300"/>
    <s v="Conflits liés à GANE (BH)"/>
    <m/>
    <s v="Autre pays"/>
    <s v="NGA"/>
    <s v="Nigéria"/>
    <s v="NGA025"/>
    <s v="Lagos"/>
    <m/>
    <m/>
    <m/>
    <m/>
  </r>
  <r>
    <s v="Extrême-Nord"/>
    <s v="CMR004"/>
    <x v="1"/>
    <s v="CMR004006"/>
    <x v="7"/>
    <s v="CMR004006005"/>
    <s v="MOZ-0037"/>
    <s v="MOUNDOUGOUA"/>
    <m/>
    <x v="1"/>
    <x v="1"/>
    <n v="11"/>
    <n v="50"/>
    <s v="Conflits liés à GANE (BH)"/>
    <m/>
    <s v="Autre pays"/>
    <s v="NGA"/>
    <s v="Nigéria"/>
    <s v="NGA025"/>
    <s v="Lagos"/>
    <m/>
    <m/>
    <m/>
    <m/>
  </r>
  <r>
    <s v="Extrême-Nord"/>
    <s v="CMR004"/>
    <x v="2"/>
    <s v="CMR004002"/>
    <x v="13"/>
    <s v="CMR004002001"/>
    <s v="WAZ-0003"/>
    <s v="KABE 2"/>
    <m/>
    <x v="1"/>
    <x v="0"/>
    <n v="17"/>
    <n v="64"/>
    <s v="Conflits liés à GANE (BH)"/>
    <m/>
    <s v="Autre pays"/>
    <s v="NGA"/>
    <s v="Nigéria"/>
    <s v="NGA008"/>
    <s v="Borno"/>
    <m/>
    <m/>
    <m/>
    <m/>
  </r>
  <r>
    <s v="Extrême-Nord"/>
    <s v="CMR004"/>
    <x v="2"/>
    <s v="CMR004002"/>
    <x v="13"/>
    <s v="CMR004002001"/>
    <s v="WAZ-0024"/>
    <s v="ANGOUROU"/>
    <m/>
    <x v="1"/>
    <x v="0"/>
    <n v="9"/>
    <n v="65"/>
    <s v="Conflits liés à GANE (BH)"/>
    <m/>
    <s v="Autre pays"/>
    <s v="NGA"/>
    <s v="Nigéria"/>
    <s v="NGA008"/>
    <s v="Borno"/>
    <m/>
    <m/>
    <m/>
    <m/>
  </r>
  <r>
    <s v="Extrême-Nord"/>
    <s v="CMR004"/>
    <x v="2"/>
    <s v="CMR004002"/>
    <x v="13"/>
    <s v="CMR004002001"/>
    <s v="WAZ-0024"/>
    <s v="ANGOUROU"/>
    <m/>
    <x v="1"/>
    <x v="1"/>
    <n v="0"/>
    <n v="2"/>
    <s v="Conflits liés à GANE (BH)"/>
    <m/>
    <s v="Autre pays"/>
    <s v="NGA"/>
    <s v="Nigéria"/>
    <s v="NGA008"/>
    <s v="Borno"/>
    <m/>
    <m/>
    <m/>
    <m/>
  </r>
  <r>
    <s v="Extrême-Nord"/>
    <s v="CMR004"/>
    <x v="2"/>
    <s v="CMR004002"/>
    <x v="13"/>
    <s v="CMR004002001"/>
    <s v="WAZ-0024"/>
    <s v="ANGOUROU"/>
    <m/>
    <x v="1"/>
    <x v="4"/>
    <n v="0"/>
    <n v="9"/>
    <s v="Conflits liés à GANE (BH)"/>
    <m/>
    <s v="Autre pays"/>
    <s v="NGA"/>
    <s v="Nigéria"/>
    <s v="NGA008"/>
    <s v="Borno"/>
    <m/>
    <m/>
    <m/>
    <m/>
  </r>
  <r>
    <s v="Extrême-Nord"/>
    <s v="CMR004"/>
    <x v="2"/>
    <s v="CMR004002"/>
    <x v="13"/>
    <s v="CMR004002001"/>
    <s v="WAZ-0018"/>
    <s v="MATKOUNA 1"/>
    <m/>
    <x v="1"/>
    <x v="1"/>
    <n v="15"/>
    <n v="79"/>
    <s v="Conflits liés à GANE (BH)"/>
    <m/>
    <s v="Autre pays"/>
    <s v="NGA"/>
    <s v="Nigéria"/>
    <s v="NGA008"/>
    <s v="Borno"/>
    <m/>
    <m/>
    <m/>
    <m/>
  </r>
  <r>
    <s v="Extrême-Nord"/>
    <s v="CMR004"/>
    <x v="2"/>
    <s v="CMR004002"/>
    <x v="13"/>
    <s v="CMR004002001"/>
    <s v="WAZ-0018"/>
    <s v="MATKOUNA 1"/>
    <m/>
    <x v="1"/>
    <x v="2"/>
    <n v="0"/>
    <n v="2"/>
    <s v="Conflits liés à GANE (BH)"/>
    <m/>
    <s v="Autre pays"/>
    <s v="NGA"/>
    <s v="Nigéria"/>
    <s v="NGA008"/>
    <s v="Borno"/>
    <m/>
    <m/>
    <m/>
    <m/>
  </r>
  <r>
    <s v="Extrême-Nord"/>
    <s v="CMR004"/>
    <x v="2"/>
    <s v="CMR004002"/>
    <x v="15"/>
    <s v="CMR004002004"/>
    <s v="LBI-0041"/>
    <s v="TIKINI"/>
    <m/>
    <x v="1"/>
    <x v="2"/>
    <n v="32"/>
    <n v="224"/>
    <s v="Inondations saisonnières ou fortes pluies"/>
    <m/>
    <s v="Autre pays"/>
    <s v="TCD"/>
    <s v="Tchad"/>
    <s v="TCD018"/>
    <s v="N'Djamena"/>
    <m/>
    <m/>
    <m/>
    <m/>
  </r>
  <r>
    <s v="Extrême-Nord"/>
    <s v="CMR004"/>
    <x v="2"/>
    <s v="CMR004002"/>
    <x v="8"/>
    <s v="CMR004002009"/>
    <s v="MAK-0032"/>
    <s v="DOROROYA 1"/>
    <m/>
    <x v="1"/>
    <x v="3"/>
    <n v="3"/>
    <n v="21"/>
    <s v="Conflits liés à GANE (BH)"/>
    <m/>
    <s v="Autre pays"/>
    <s v="NGA"/>
    <s v="Nigéria"/>
    <s v="NGA008"/>
    <s v="Borno"/>
    <m/>
    <m/>
    <m/>
    <m/>
  </r>
  <r>
    <s v="Extrême-Nord"/>
    <s v="CMR004"/>
    <x v="5"/>
    <s v="CMR004004"/>
    <x v="20"/>
    <s v="CMR004004006"/>
    <s v="KAE-0016"/>
    <s v="TIBIRI"/>
    <m/>
    <x v="1"/>
    <x v="0"/>
    <n v="6"/>
    <n v="45"/>
    <s v="Conflit intercommunautaire"/>
    <m/>
    <s v="Autre pays"/>
    <s v="TCD"/>
    <s v="Tchad"/>
    <s v="TCD011"/>
    <s v="Mayo Kebbi Est"/>
    <m/>
    <m/>
    <m/>
    <m/>
  </r>
  <r>
    <s v="Extrême-Nord"/>
    <s v="CMR004"/>
    <x v="2"/>
    <s v="CMR004002"/>
    <x v="9"/>
    <s v="CMR004002010"/>
    <s v="HIL-0009"/>
    <s v="HILE ALIFA 2"/>
    <m/>
    <x v="1"/>
    <x v="1"/>
    <n v="5"/>
    <n v="30"/>
    <s v="Conflits liés à GANE (BH)"/>
    <m/>
    <s v="Autre pays"/>
    <s v="NGA"/>
    <s v="Nigéria"/>
    <s v="NGA008"/>
    <s v="Borno"/>
    <m/>
    <m/>
    <m/>
    <m/>
  </r>
  <r>
    <s v="Extrême-Nord"/>
    <s v="CMR004"/>
    <x v="2"/>
    <s v="CMR004002"/>
    <x v="9"/>
    <s v="CMR004002010"/>
    <s v="HIL-0009"/>
    <s v="HILE ALIFA 2"/>
    <m/>
    <x v="1"/>
    <x v="3"/>
    <n v="10"/>
    <n v="70"/>
    <s v="Conflits liés à GANE (BH)"/>
    <m/>
    <s v="Autre pays"/>
    <s v="NGA"/>
    <s v="Nigéria"/>
    <s v="NGA008"/>
    <s v="Borno"/>
    <m/>
    <m/>
    <m/>
    <m/>
  </r>
  <r>
    <s v="Extrême-Nord"/>
    <s v="CMR004"/>
    <x v="4"/>
    <s v="CMR004005"/>
    <x v="17"/>
    <s v="CMR004005002"/>
    <s v="MOR-0079"/>
    <s v="TOUSKI"/>
    <m/>
    <x v="1"/>
    <x v="0"/>
    <n v="42"/>
    <n v="319"/>
    <s v="Conflits liés à GANE (BH)"/>
    <m/>
    <s v="Autre pays"/>
    <s v="NGA"/>
    <s v="Nigéria"/>
    <s v="NGA008"/>
    <s v="Borno"/>
    <m/>
    <m/>
    <m/>
    <m/>
  </r>
  <r>
    <s v="Extrême-Nord"/>
    <s v="CMR004"/>
    <x v="4"/>
    <s v="CMR004005"/>
    <x v="17"/>
    <s v="CMR004005002"/>
    <s v="MOR-0079"/>
    <s v="TOUSKI"/>
    <m/>
    <x v="1"/>
    <x v="4"/>
    <n v="0"/>
    <n v="4"/>
    <s v="Conflits liés à GANE (BH)"/>
    <m/>
    <s v="Autre pays"/>
    <s v="NGA"/>
    <s v="Nigéria"/>
    <s v="NGA008"/>
    <s v="Borno"/>
    <m/>
    <m/>
    <m/>
    <m/>
  </r>
  <r>
    <s v="Extrême-Nord"/>
    <s v="CMR004"/>
    <x v="4"/>
    <s v="CMR004005"/>
    <x v="17"/>
    <s v="CMR004005002"/>
    <s v="MOR-0079"/>
    <s v="TOUSKI"/>
    <m/>
    <x v="1"/>
    <x v="3"/>
    <n v="0"/>
    <n v="20"/>
    <s v="Conflits liés à GANE (BH)"/>
    <m/>
    <s v="Autre pays"/>
    <s v="NGA"/>
    <s v="Nigéria"/>
    <s v="NGA008"/>
    <s v="Borno"/>
    <m/>
    <m/>
    <m/>
    <m/>
  </r>
  <r>
    <s v="Extrême-Nord"/>
    <s v="CMR004"/>
    <x v="4"/>
    <s v="CMR004005"/>
    <x v="17"/>
    <s v="CMR004005002"/>
    <s v="MOR-0079"/>
    <s v="TOUSKI"/>
    <m/>
    <x v="1"/>
    <x v="2"/>
    <n v="0"/>
    <n v="20"/>
    <s v="Conflits liés à GANE (BH)"/>
    <m/>
    <s v="Autre pays"/>
    <s v="NGA"/>
    <s v="Nigéria"/>
    <s v="NGA008"/>
    <s v="Borno"/>
    <m/>
    <m/>
    <m/>
    <m/>
  </r>
  <r>
    <s v="Extrême-Nord"/>
    <s v="CMR004"/>
    <x v="4"/>
    <s v="CMR004005"/>
    <x v="17"/>
    <s v="CMR004005002"/>
    <s v="MOR-0086"/>
    <s v="TAGAWA 2 (DALIL)"/>
    <m/>
    <x v="1"/>
    <x v="0"/>
    <n v="6"/>
    <n v="20"/>
    <s v="Conflits liés à GANE (BH)"/>
    <m/>
    <s v="Autre pays"/>
    <s v="NGA"/>
    <s v="Nigéria"/>
    <s v="NGA002"/>
    <s v="Adamawa"/>
    <m/>
    <m/>
    <m/>
    <m/>
  </r>
  <r>
    <s v="Extrême-Nord"/>
    <s v="CMR004"/>
    <x v="4"/>
    <s v="CMR004005"/>
    <x v="17"/>
    <s v="CMR004005002"/>
    <s v="MOR-0086"/>
    <s v="TAGAWA 2 (DALIL)"/>
    <m/>
    <x v="1"/>
    <x v="3"/>
    <n v="6"/>
    <n v="38"/>
    <s v="Conflits liés à GANE (BH)"/>
    <m/>
    <s v="Autre pays"/>
    <s v="NGA"/>
    <s v="Nigéria"/>
    <s v="NGA008"/>
    <s v="Borno"/>
    <m/>
    <m/>
    <m/>
    <m/>
  </r>
  <r>
    <s v="Extrême-Nord"/>
    <s v="CMR004"/>
    <x v="4"/>
    <s v="CMR004005"/>
    <x v="17"/>
    <s v="CMR004005002"/>
    <s v="MOR-0087"/>
    <s v="TAGAWA 3 (MAHAMAT)"/>
    <m/>
    <x v="1"/>
    <x v="0"/>
    <n v="10"/>
    <n v="33"/>
    <s v="Conflits liés à GANE (BH)"/>
    <m/>
    <s v="Autre pays"/>
    <s v="NGA"/>
    <s v="Nigéria"/>
    <s v="NGA002"/>
    <s v="Adamawa"/>
    <m/>
    <m/>
    <m/>
    <m/>
  </r>
  <r>
    <s v="Extrême-Nord"/>
    <s v="CMR004"/>
    <x v="4"/>
    <s v="CMR004005"/>
    <x v="17"/>
    <s v="CMR004005002"/>
    <s v="MOR-0087"/>
    <s v="TAGAWA 3 (MAHAMAT)"/>
    <m/>
    <x v="1"/>
    <x v="4"/>
    <n v="0"/>
    <n v="2"/>
    <s v="Conflits liés à GANE (BH)"/>
    <m/>
    <s v="Autre pays"/>
    <s v="NGA"/>
    <s v="Nigéria"/>
    <m/>
    <s v="Benue"/>
    <m/>
    <m/>
    <m/>
    <m/>
  </r>
  <r>
    <s v="Extrême-Nord"/>
    <s v="CMR004"/>
    <x v="4"/>
    <s v="CMR004005"/>
    <x v="17"/>
    <s v="CMR004005002"/>
    <s v="MOR-0087"/>
    <s v="TAGAWA 3 (MAHAMAT)"/>
    <m/>
    <x v="1"/>
    <x v="3"/>
    <n v="0"/>
    <n v="5"/>
    <s v="Conflits liés à GANE (BH)"/>
    <m/>
    <s v="Autre pays"/>
    <s v="NGA"/>
    <s v="Nigéria"/>
    <s v="NGA008"/>
    <s v="Borno"/>
    <m/>
    <m/>
    <m/>
    <m/>
  </r>
  <r>
    <s v="Extrême-Nord"/>
    <s v="CMR004"/>
    <x v="2"/>
    <s v="CMR004002"/>
    <x v="15"/>
    <s v="CMR004002004"/>
    <s v="LBI-0040"/>
    <s v="SITE DE TILDE"/>
    <m/>
    <x v="1"/>
    <x v="0"/>
    <n v="71"/>
    <n v="382"/>
    <s v="Conflits liés à GANE (BH)"/>
    <m/>
    <s v="Autre pays"/>
    <s v="NGA"/>
    <s v="Nigéria"/>
    <s v="NGA008"/>
    <s v="Borno"/>
    <m/>
    <m/>
    <m/>
    <m/>
  </r>
  <r>
    <s v="Extrême-Nord"/>
    <s v="CMR004"/>
    <x v="2"/>
    <s v="CMR004002"/>
    <x v="15"/>
    <s v="CMR004002004"/>
    <s v="LBI-0040"/>
    <s v="SITE DE TILDE"/>
    <m/>
    <x v="1"/>
    <x v="1"/>
    <n v="44"/>
    <n v="292"/>
    <s v="Conflits liés à GANE (BH)"/>
    <m/>
    <s v="Autre pays"/>
    <s v="NGA"/>
    <s v="Nigéria"/>
    <s v="NGA008"/>
    <s v="Borno"/>
    <m/>
    <m/>
    <m/>
    <m/>
  </r>
  <r>
    <s v="Extrême-Nord"/>
    <s v="CMR004"/>
    <x v="5"/>
    <s v="CMR004004"/>
    <x v="20"/>
    <s v="CMR004004006"/>
    <s v="KAE-0014"/>
    <s v="WINDEO"/>
    <m/>
    <x v="1"/>
    <x v="1"/>
    <n v="7"/>
    <n v="37"/>
    <s v="Conflit intercommunautaire"/>
    <m/>
    <s v="Autre pays"/>
    <s v="TCD"/>
    <s v="Tchad"/>
    <s v="TCD011"/>
    <s v="Mayo Kebbi Est"/>
    <m/>
    <m/>
    <m/>
    <m/>
  </r>
  <r>
    <s v="Extrême-Nord"/>
    <s v="CMR004"/>
    <x v="5"/>
    <s v="CMR004004"/>
    <x v="21"/>
    <s v="CMR004004007"/>
    <s v="MIN-0001"/>
    <s v="MOGOM"/>
    <m/>
    <x v="1"/>
    <x v="0"/>
    <n v="3"/>
    <n v="9"/>
    <s v="Conflit intercommunautaire"/>
    <m/>
    <s v="Autre pays"/>
    <s v="TCD"/>
    <s v="Tchad"/>
    <s v="TCD011"/>
    <s v="Mayo Kebbi Est"/>
    <m/>
    <m/>
    <m/>
    <m/>
  </r>
  <r>
    <s v="Extrême-Nord"/>
    <s v="CMR004"/>
    <x v="2"/>
    <s v="CMR004002"/>
    <x v="13"/>
    <s v="CMR004002001"/>
    <s v="WAZ-0020"/>
    <s v="TOUNGA"/>
    <m/>
    <x v="1"/>
    <x v="0"/>
    <n v="13"/>
    <n v="87"/>
    <s v="Conflits liés à GANE (BH)"/>
    <m/>
    <s v="Autre pays"/>
    <s v="NGA"/>
    <s v="Nigéria"/>
    <s v="NGA008"/>
    <s v="Borno"/>
    <m/>
    <m/>
    <m/>
    <m/>
  </r>
  <r>
    <s v="Extrême-Nord"/>
    <s v="CMR004"/>
    <x v="2"/>
    <s v="CMR004002"/>
    <x v="13"/>
    <s v="CMR004002001"/>
    <s v="WAZ-0020"/>
    <s v="TOUNGA"/>
    <m/>
    <x v="1"/>
    <x v="2"/>
    <n v="0"/>
    <n v="4"/>
    <s v="Conflits liés à GANE (BH)"/>
    <m/>
    <s v="Autre pays"/>
    <s v="NGA"/>
    <s v="Nigéria"/>
    <s v="NGA008"/>
    <s v="Borno"/>
    <m/>
    <m/>
    <m/>
    <m/>
  </r>
  <r>
    <s v="Extrême-Nord"/>
    <s v="CMR004"/>
    <x v="2"/>
    <s v="CMR004002"/>
    <x v="13"/>
    <s v="CMR004002001"/>
    <s v="XXXX"/>
    <s v="MALIA"/>
    <s v="MALIA"/>
    <x v="1"/>
    <x v="0"/>
    <n v="25"/>
    <n v="90"/>
    <s v="Conflits liés à GANE (BH)"/>
    <m/>
    <s v="Autre pays"/>
    <s v="NGA"/>
    <s v="Nigéria"/>
    <s v="NGA008"/>
    <s v="Borno"/>
    <m/>
    <m/>
    <m/>
    <m/>
  </r>
  <r>
    <s v="Extrême-Nord"/>
    <s v="CMR004"/>
    <x v="2"/>
    <s v="CMR004002"/>
    <x v="13"/>
    <s v="CMR004002001"/>
    <s v="XXXX"/>
    <s v="MALIA"/>
    <s v="MALIA"/>
    <x v="1"/>
    <x v="2"/>
    <n v="0"/>
    <n v="5"/>
    <s v="Conflits liés à GANE (BH)"/>
    <m/>
    <s v="Autre pays"/>
    <s v="NGA"/>
    <s v="Nigéria"/>
    <s v="NGA008"/>
    <s v="Borno"/>
    <m/>
    <m/>
    <m/>
    <m/>
  </r>
  <r>
    <s v="Extrême-Nord"/>
    <s v="CMR004"/>
    <x v="2"/>
    <s v="CMR004002"/>
    <x v="8"/>
    <s v="CMR004002009"/>
    <s v="MAK-0020"/>
    <s v="BODO"/>
    <m/>
    <x v="1"/>
    <x v="0"/>
    <n v="185"/>
    <n v="1122"/>
    <s v="Conflits liés à GANE (BH)"/>
    <m/>
    <s v="Autre pays"/>
    <s v="NGA"/>
    <s v="Nigéria"/>
    <s v="NGA008"/>
    <s v="Borno"/>
    <m/>
    <m/>
    <m/>
    <m/>
  </r>
  <r>
    <s v="Extrême-Nord"/>
    <s v="CMR004"/>
    <x v="2"/>
    <s v="CMR004002"/>
    <x v="8"/>
    <s v="CMR004002009"/>
    <s v="MAK-0089"/>
    <s v="SOULFA"/>
    <m/>
    <x v="1"/>
    <x v="0"/>
    <n v="53"/>
    <n v="359"/>
    <s v="Conflits liés à GANE (BH)"/>
    <m/>
    <s v="Autre pays"/>
    <s v="NGA"/>
    <s v="Nigéria"/>
    <s v="NGA008"/>
    <s v="Borno"/>
    <m/>
    <m/>
    <m/>
    <m/>
  </r>
  <r>
    <s v="Extrême-Nord"/>
    <s v="CMR004"/>
    <x v="5"/>
    <s v="CMR004004"/>
    <x v="22"/>
    <s v="CMR004004005"/>
    <s v="MOT-0005"/>
    <s v="SITE DE ZIBOU"/>
    <m/>
    <x v="1"/>
    <x v="0"/>
    <n v="15"/>
    <n v="150"/>
    <s v="Conflits liés à GANE (BH)"/>
    <m/>
    <s v="Autre pays"/>
    <s v="NGA"/>
    <s v="Nigéria"/>
    <s v="NGA008"/>
    <s v="Borno"/>
    <m/>
    <m/>
    <m/>
    <m/>
  </r>
  <r>
    <s v="Extrême-Nord"/>
    <s v="CMR004"/>
    <x v="1"/>
    <s v="CMR004006"/>
    <x v="1"/>
    <s v="CMR004006002"/>
    <s v="MOK-0007"/>
    <s v="KOSSEHONE"/>
    <m/>
    <x v="1"/>
    <x v="0"/>
    <n v="150"/>
    <n v="485"/>
    <s v="Conflits liés à GANE (BH)"/>
    <m/>
    <s v="Autre pays"/>
    <s v="NGA"/>
    <s v="Nigéria"/>
    <s v="NGA002"/>
    <s v="Adamawa"/>
    <m/>
    <m/>
    <m/>
    <m/>
  </r>
  <r>
    <s v="Extrême-Nord"/>
    <s v="CMR004"/>
    <x v="1"/>
    <s v="CMR004006"/>
    <x v="1"/>
    <s v="CMR004006002"/>
    <s v="MOK-0052"/>
    <s v="WAGANFO ZAMAI"/>
    <m/>
    <x v="1"/>
    <x v="0"/>
    <n v="2"/>
    <n v="15"/>
    <s v="Conflits liés à GANE (BH)"/>
    <m/>
    <s v="Autre pays"/>
    <s v="NGA"/>
    <s v="Nigéria"/>
    <s v="NGA002"/>
    <s v="Adamawa"/>
    <m/>
    <m/>
    <m/>
    <m/>
  </r>
  <r>
    <s v="Extrême-Nord"/>
    <s v="CMR004"/>
    <x v="2"/>
    <s v="CMR004002"/>
    <x v="10"/>
    <s v="CMR004002003"/>
    <s v="BLA-0022"/>
    <s v="DOR IMAR"/>
    <m/>
    <x v="1"/>
    <x v="3"/>
    <n v="1"/>
    <n v="3"/>
    <s v="Conflits liés à GANE (BH)"/>
    <m/>
    <s v="Autre pays"/>
    <s v="NGA"/>
    <s v="Nigéria"/>
    <s v="NGA008"/>
    <s v="Borno"/>
    <m/>
    <m/>
    <m/>
    <m/>
  </r>
  <r>
    <s v="Extrême-Nord"/>
    <s v="CMR004"/>
    <x v="2"/>
    <s v="CMR004002"/>
    <x v="10"/>
    <s v="CMR004002003"/>
    <s v="BLA-0022"/>
    <s v="DOR IMAR"/>
    <m/>
    <x v="1"/>
    <x v="2"/>
    <n v="1"/>
    <n v="5"/>
    <s v="Conflits liés à GANE (BH)"/>
    <m/>
    <s v="Autre pays"/>
    <s v="NGA"/>
    <s v="Nigéria"/>
    <s v="NGA008"/>
    <s v="Borno"/>
    <m/>
    <m/>
    <m/>
    <m/>
  </r>
  <r>
    <s v="Extrême-Nord"/>
    <s v="CMR004"/>
    <x v="0"/>
    <s v="CMR004001"/>
    <x v="0"/>
    <s v="CMR004001003"/>
    <s v="PET-0031"/>
    <s v="SITE DE TINI"/>
    <m/>
    <x v="1"/>
    <x v="0"/>
    <n v="19"/>
    <n v="112"/>
    <s v="Conflits liés à GANE (BH)"/>
    <m/>
    <s v="Autre pays"/>
    <s v="NGA"/>
    <s v="Nigéria"/>
    <s v="NGA002"/>
    <s v="Adamawa"/>
    <m/>
    <m/>
    <m/>
    <m/>
  </r>
  <r>
    <s v="Extrême-Nord"/>
    <s v="CMR004"/>
    <x v="1"/>
    <s v="CMR004006"/>
    <x v="7"/>
    <s v="CMR004006005"/>
    <s v="MOZ-0022"/>
    <s v="GOLDAVI"/>
    <m/>
    <x v="1"/>
    <x v="2"/>
    <n v="2"/>
    <n v="5"/>
    <s v="Conflits liés à GANE (BH)"/>
    <m/>
    <s v="Autre pays"/>
    <s v="NGA"/>
    <s v="Nigéria"/>
    <s v="NGA002"/>
    <s v="Adamawa"/>
    <m/>
    <m/>
    <m/>
    <m/>
  </r>
  <r>
    <s v="Extrême-Nord"/>
    <s v="CMR004"/>
    <x v="1"/>
    <s v="CMR004006"/>
    <x v="14"/>
    <s v="CMR004006007"/>
    <s v="BOU-0007"/>
    <s v="DJEKI"/>
    <m/>
    <x v="1"/>
    <x v="3"/>
    <n v="1"/>
    <n v="39"/>
    <s v="Conflits liés à GANE (BH)"/>
    <m/>
    <s v="Autre pays"/>
    <s v="NGA"/>
    <s v="Nigéria"/>
    <s v="NGA002"/>
    <s v="Adamawa"/>
    <m/>
    <m/>
    <m/>
    <m/>
  </r>
  <r>
    <s v="Extrême-Nord"/>
    <s v="CMR004"/>
    <x v="2"/>
    <s v="CMR004002"/>
    <x v="15"/>
    <s v="CMR004002004"/>
    <s v="LBI-0068"/>
    <s v="MAHAM"/>
    <m/>
    <x v="1"/>
    <x v="0"/>
    <n v="2"/>
    <n v="2"/>
    <s v="Conflits liés à GANE (BH)"/>
    <m/>
    <s v="Autre pays"/>
    <s v="NGA"/>
    <s v="Nigéria"/>
    <s v="NGA008"/>
    <s v="Borno"/>
    <m/>
    <m/>
    <m/>
    <m/>
  </r>
  <r>
    <s v="Extrême-Nord"/>
    <s v="CMR004"/>
    <x v="4"/>
    <s v="CMR004005"/>
    <x v="17"/>
    <s v="CMR004005002"/>
    <s v="MOR-0030"/>
    <s v="LIMANI"/>
    <m/>
    <x v="1"/>
    <x v="4"/>
    <n v="2"/>
    <n v="9"/>
    <s v="Conflits liés à GANE (BH)"/>
    <m/>
    <s v="Autre pays"/>
    <s v="NGA"/>
    <s v="Nigéria"/>
    <s v="NGA008"/>
    <s v="Borno"/>
    <m/>
    <m/>
    <m/>
    <m/>
  </r>
  <r>
    <s v="Extrême-Nord"/>
    <s v="CMR004"/>
    <x v="2"/>
    <s v="CMR004002"/>
    <x v="25"/>
    <s v="CMR004002008"/>
    <s v="FOT-0020"/>
    <s v="CHOLOBA"/>
    <m/>
    <x v="1"/>
    <x v="0"/>
    <n v="6"/>
    <n v="56"/>
    <s v="Conflits liés à GANE (BH)"/>
    <m/>
    <s v="Autre pays"/>
    <s v="NGA"/>
    <s v="Nigéria"/>
    <s v="NGA008"/>
    <s v="Borno"/>
    <m/>
    <m/>
    <m/>
    <m/>
  </r>
  <r>
    <s v="Extrême-Nord"/>
    <s v="CMR004"/>
    <x v="2"/>
    <s v="CMR004002"/>
    <x v="25"/>
    <s v="CMR004002008"/>
    <s v="FOT-0019"/>
    <s v="SITE DE WAROU"/>
    <m/>
    <x v="1"/>
    <x v="0"/>
    <n v="12"/>
    <n v="88"/>
    <s v="Conflits liés à GANE (BH)"/>
    <m/>
    <s v="Autre pays"/>
    <s v="NGA"/>
    <s v="Nigéria"/>
    <s v="NGA008"/>
    <s v="Borno"/>
    <m/>
    <m/>
    <m/>
    <m/>
  </r>
  <r>
    <s v="Extrême-Nord"/>
    <s v="CMR004"/>
    <x v="2"/>
    <s v="CMR004002"/>
    <x v="25"/>
    <s v="CMR004002008"/>
    <s v="FOT-0019"/>
    <s v="SITE DE WAROU"/>
    <m/>
    <x v="1"/>
    <x v="2"/>
    <n v="12"/>
    <n v="52"/>
    <s v="Autre raison"/>
    <s v="Pas d'assistance dans le lieu de déplacement dans leurs pays d'origine et pas lieu de culture se pour cette raison qu'il sont déplacés au Cameroun , depuis le Camp idps de NGALA au NIGERIA"/>
    <s v="Autre pays"/>
    <s v="NGA"/>
    <s v="Nigéria"/>
    <s v="NGA008"/>
    <s v="Borno"/>
    <m/>
    <m/>
    <m/>
    <m/>
  </r>
  <r>
    <s v="Extrême-Nord"/>
    <s v="CMR004"/>
    <x v="2"/>
    <s v="CMR004002"/>
    <x v="8"/>
    <s v="CMR004002009"/>
    <s v="MAK-0109"/>
    <s v="GALE-GALE"/>
    <m/>
    <x v="1"/>
    <x v="3"/>
    <n v="24"/>
    <n v="142"/>
    <s v="Conflits liés à GANE (BH)"/>
    <m/>
    <s v="Autre pays"/>
    <s v="NGA"/>
    <s v="Nigéria"/>
    <s v="NGA008"/>
    <s v="Borno"/>
    <m/>
    <m/>
    <m/>
    <m/>
  </r>
  <r>
    <s v="Extrême-Nord"/>
    <s v="CMR004"/>
    <x v="2"/>
    <s v="CMR004002"/>
    <x v="8"/>
    <s v="CMR004002009"/>
    <s v="MAK-0137"/>
    <s v="GOULOUMBO"/>
    <m/>
    <x v="1"/>
    <x v="3"/>
    <n v="21"/>
    <n v="135"/>
    <s v="Conflits liés à GANE (BH)"/>
    <m/>
    <s v="Autre pays"/>
    <s v="NGA"/>
    <s v="Nigéria"/>
    <s v="NGA008"/>
    <s v="Borno"/>
    <m/>
    <m/>
    <m/>
    <m/>
  </r>
  <r>
    <s v="Extrême-Nord"/>
    <s v="CMR004"/>
    <x v="2"/>
    <s v="CMR004002"/>
    <x v="8"/>
    <s v="CMR004002009"/>
    <s v="MAK-0187"/>
    <s v="HEREDIBE MOUSSA"/>
    <m/>
    <x v="1"/>
    <x v="3"/>
    <n v="11"/>
    <n v="93"/>
    <s v="Conflits liés à GANE (BH)"/>
    <m/>
    <s v="Autre pays"/>
    <s v="NGA"/>
    <s v="Nigéria"/>
    <s v="NGA008"/>
    <s v="Borno"/>
    <m/>
    <m/>
    <m/>
    <m/>
  </r>
  <r>
    <s v="Extrême-Nord"/>
    <s v="CMR004"/>
    <x v="2"/>
    <s v="CMR004002"/>
    <x v="15"/>
    <s v="CMR004002004"/>
    <s v="LBI-0036"/>
    <s v="DOKI"/>
    <m/>
    <x v="1"/>
    <x v="0"/>
    <n v="6"/>
    <n v="29"/>
    <s v="Conflits liés à GANE (BH)"/>
    <m/>
    <s v="Autre pays"/>
    <s v="NGA"/>
    <s v="Nigéria"/>
    <s v="NGA008"/>
    <s v="Borno"/>
    <m/>
    <m/>
    <m/>
    <m/>
  </r>
  <r>
    <s v="Extrême-Nord"/>
    <s v="CMR004"/>
    <x v="2"/>
    <s v="CMR004002"/>
    <x v="15"/>
    <s v="CMR004002004"/>
    <s v="LBI-0001"/>
    <s v="KABO"/>
    <m/>
    <x v="1"/>
    <x v="0"/>
    <n v="57"/>
    <n v="349"/>
    <s v="Conflits liés à GANE (BH)"/>
    <m/>
    <s v="Autre pays"/>
    <s v="NGA"/>
    <s v="Nigéria"/>
    <s v="NGA008"/>
    <s v="Borno"/>
    <m/>
    <m/>
    <m/>
    <m/>
  </r>
  <r>
    <s v="Extrême-Nord"/>
    <s v="CMR004"/>
    <x v="1"/>
    <s v="CMR004006"/>
    <x v="14"/>
    <s v="CMR004006007"/>
    <s v="BOU-0002"/>
    <s v="GAMBOURA"/>
    <m/>
    <x v="1"/>
    <x v="0"/>
    <n v="1"/>
    <n v="4"/>
    <s v="Conflits liés à GANE (BH)"/>
    <m/>
    <s v="Autre pays"/>
    <s v="NGA"/>
    <s v="Nigéria"/>
    <s v="NGA002"/>
    <s v="Adamawa"/>
    <m/>
    <m/>
    <m/>
    <m/>
  </r>
  <r>
    <s v="Extrême-Nord"/>
    <s v="CMR004"/>
    <x v="1"/>
    <s v="CMR004006"/>
    <x v="14"/>
    <s v="CMR004006007"/>
    <s v="BOU-0002"/>
    <s v="GAMBOURA"/>
    <m/>
    <x v="1"/>
    <x v="1"/>
    <n v="6"/>
    <n v="8"/>
    <s v="Conflits liés à GANE (BH)"/>
    <m/>
    <s v="Autre pays"/>
    <s v="NGA"/>
    <s v="Nigéria"/>
    <s v="NGA002"/>
    <s v="Adamawa"/>
    <m/>
    <m/>
    <m/>
    <m/>
  </r>
  <r>
    <s v="Extrême-Nord"/>
    <s v="CMR004"/>
    <x v="1"/>
    <s v="CMR004006"/>
    <x v="14"/>
    <s v="CMR004006007"/>
    <s v="BOU-0002"/>
    <s v="GAMBOURA"/>
    <m/>
    <x v="1"/>
    <x v="4"/>
    <n v="0"/>
    <n v="6"/>
    <s v="Conflits liés à GANE (BH)"/>
    <m/>
    <s v="Autre pays"/>
    <s v="NGA"/>
    <s v="Nigéria"/>
    <s v="NGA002"/>
    <s v="Adamawa"/>
    <m/>
    <m/>
    <m/>
    <m/>
  </r>
  <r>
    <s v="Extrême-Nord"/>
    <s v="CMR004"/>
    <x v="1"/>
    <s v="CMR004006"/>
    <x v="14"/>
    <s v="CMR004006007"/>
    <s v="BOU-0002"/>
    <s v="GAMBOURA"/>
    <m/>
    <x v="1"/>
    <x v="3"/>
    <n v="7"/>
    <n v="33"/>
    <s v="Conflits liés à GANE (BH)"/>
    <m/>
    <s v="Autre pays"/>
    <s v="NGA"/>
    <s v="Nigéria"/>
    <s v="NGA002"/>
    <s v="Adamawa"/>
    <m/>
    <m/>
    <m/>
    <m/>
  </r>
  <r>
    <s v="Extrême-Nord"/>
    <s v="CMR004"/>
    <x v="2"/>
    <s v="CMR004002"/>
    <x v="15"/>
    <s v="CMR004002004"/>
    <s v="XXXX"/>
    <s v="SITE DE TABOYE"/>
    <s v="SITE DE TABOYE"/>
    <x v="1"/>
    <x v="0"/>
    <n v="44"/>
    <n v="254"/>
    <s v="Conflits liés à GANE (BH)"/>
    <m/>
    <s v="Autre pays"/>
    <s v="NGA"/>
    <s v="Nigéria"/>
    <s v="NGA008"/>
    <s v="Borno"/>
    <m/>
    <m/>
    <m/>
    <m/>
  </r>
  <r>
    <s v="Extrême-Nord"/>
    <s v="CMR004"/>
    <x v="2"/>
    <s v="CMR004002"/>
    <x v="8"/>
    <s v="CMR004002009"/>
    <s v="MAK-0068"/>
    <s v="MEITO"/>
    <m/>
    <x v="1"/>
    <x v="3"/>
    <n v="13"/>
    <n v="77"/>
    <s v="Conflits liés à GANE (BH)"/>
    <m/>
    <s v="Autre pays"/>
    <s v="NGA"/>
    <s v="Nigéria"/>
    <s v="NGA008"/>
    <s v="Borno"/>
    <m/>
    <m/>
    <m/>
    <m/>
  </r>
  <r>
    <s v="Extrême-Nord"/>
    <s v="CMR004"/>
    <x v="2"/>
    <s v="CMR004002"/>
    <x v="8"/>
    <s v="CMR004002009"/>
    <s v="MAK-0186"/>
    <s v="SITE DE BLEM"/>
    <m/>
    <x v="1"/>
    <x v="3"/>
    <n v="51"/>
    <n v="431"/>
    <s v="Conflits liés à GANE (BH)"/>
    <m/>
    <s v="Autre pays"/>
    <s v="NGA"/>
    <s v="Nigéria"/>
    <s v="NGA008"/>
    <s v="Borno"/>
    <m/>
    <m/>
    <m/>
    <m/>
  </r>
  <r>
    <s v="Extrême-Nord"/>
    <s v="CMR004"/>
    <x v="2"/>
    <s v="CMR004002"/>
    <x v="8"/>
    <s v="CMR004002009"/>
    <s v="MAK-0096"/>
    <s v="MESSIO"/>
    <m/>
    <x v="1"/>
    <x v="0"/>
    <n v="16"/>
    <n v="89"/>
    <s v="Conflits liés à GANE (BH)"/>
    <m/>
    <s v="Autre pays"/>
    <s v="NGA"/>
    <s v="Nigéria"/>
    <s v="NGA008"/>
    <s v="Borno"/>
    <m/>
    <m/>
    <m/>
    <m/>
  </r>
  <r>
    <s v="Extrême-Nord"/>
    <s v="CMR004"/>
    <x v="2"/>
    <s v="CMR004002"/>
    <x v="8"/>
    <s v="CMR004002009"/>
    <s v="MAK-0096"/>
    <s v="MESSIO"/>
    <m/>
    <x v="1"/>
    <x v="1"/>
    <n v="0"/>
    <n v="5"/>
    <s v="Conflits liés à GANE (BH)"/>
    <m/>
    <s v="Autre pays"/>
    <s v="NGA"/>
    <s v="Nigéria"/>
    <s v="NGA008"/>
    <s v="Borno"/>
    <m/>
    <m/>
    <m/>
    <m/>
  </r>
  <r>
    <s v="Extrême-Nord"/>
    <s v="CMR004"/>
    <x v="2"/>
    <s v="CMR004002"/>
    <x v="8"/>
    <s v="CMR004002009"/>
    <s v="MAK-0029"/>
    <s v="DJIMTILO"/>
    <m/>
    <x v="1"/>
    <x v="0"/>
    <n v="10"/>
    <n v="45"/>
    <s v="Conflits liés à GANE (BH)"/>
    <m/>
    <s v="Autre pays"/>
    <s v="NGA"/>
    <s v="Nigéria"/>
    <s v="NGA008"/>
    <s v="Borno"/>
    <m/>
    <m/>
    <m/>
    <m/>
  </r>
  <r>
    <s v="Extrême-Nord"/>
    <s v="CMR004"/>
    <x v="2"/>
    <s v="CMR004002"/>
    <x v="8"/>
    <s v="CMR004002009"/>
    <s v="MAK-0019"/>
    <s v="BLOUMTAGUI"/>
    <m/>
    <x v="1"/>
    <x v="0"/>
    <n v="13"/>
    <n v="68"/>
    <s v="Conflits liés à GANE (BH)"/>
    <m/>
    <s v="Autre pays"/>
    <s v="NGA"/>
    <s v="Nigéria"/>
    <s v="NGA008"/>
    <s v="Borno"/>
    <m/>
    <m/>
    <m/>
    <m/>
  </r>
  <r>
    <s v="Extrême-Nord"/>
    <s v="CMR004"/>
    <x v="4"/>
    <s v="CMR004005"/>
    <x v="17"/>
    <s v="CMR004005002"/>
    <s v="MOR-0028"/>
    <s v="GOUDJOUMDELE"/>
    <m/>
    <x v="1"/>
    <x v="1"/>
    <n v="1"/>
    <n v="1"/>
    <s v="Conflits liés à GANE (BH)"/>
    <m/>
    <s v="Autre pays"/>
    <s v="NGA"/>
    <s v="Nigéria"/>
    <s v="NGA031"/>
    <s v="Oyo"/>
    <m/>
    <m/>
    <m/>
    <m/>
  </r>
  <r>
    <s v="Extrême-Nord"/>
    <s v="CMR004"/>
    <x v="4"/>
    <s v="CMR004005"/>
    <x v="17"/>
    <s v="CMR004005002"/>
    <s v="MOR-0028"/>
    <s v="GOUDJOUMDELE"/>
    <m/>
    <x v="1"/>
    <x v="4"/>
    <n v="2"/>
    <n v="9"/>
    <s v="Conflits liés à GANE (BH)"/>
    <m/>
    <s v="Autre pays"/>
    <s v="NGA"/>
    <s v="Nigéria"/>
    <s v="NGA031"/>
    <s v="Oyo"/>
    <m/>
    <m/>
    <m/>
    <m/>
  </r>
  <r>
    <s v="Extrême-Nord"/>
    <s v="CMR004"/>
    <x v="4"/>
    <s v="CMR004005"/>
    <x v="17"/>
    <s v="CMR004005002"/>
    <s v="MOR-0028"/>
    <s v="GOUDJOUMDELE"/>
    <m/>
    <x v="1"/>
    <x v="3"/>
    <n v="0"/>
    <n v="2"/>
    <s v="Conflits liés à GANE (BH)"/>
    <m/>
    <s v="Autre pays"/>
    <s v="NGA"/>
    <s v="Nigéria"/>
    <s v="NGA031"/>
    <s v="Oyo"/>
    <m/>
    <m/>
    <m/>
    <m/>
  </r>
  <r>
    <s v="Extrême-Nord"/>
    <s v="CMR004"/>
    <x v="4"/>
    <s v="CMR004005"/>
    <x v="17"/>
    <s v="CMR004005002"/>
    <s v="MOR-0065"/>
    <s v="MANGAVE ABBA FADI"/>
    <m/>
    <x v="1"/>
    <x v="1"/>
    <n v="1"/>
    <n v="7"/>
    <s v="Conflits liés à GANE (BH)"/>
    <m/>
    <s v="Autre pays"/>
    <s v="NGA"/>
    <s v="Nigéria"/>
    <s v="NGA031"/>
    <s v="Oyo"/>
    <m/>
    <m/>
    <m/>
    <m/>
  </r>
  <r>
    <s v="Extrême-Nord"/>
    <s v="CMR004"/>
    <x v="4"/>
    <s v="CMR004005"/>
    <x v="17"/>
    <s v="CMR004005002"/>
    <s v="MOR-0065"/>
    <s v="MANGAVE ABBA FADI"/>
    <m/>
    <x v="1"/>
    <x v="4"/>
    <n v="1"/>
    <n v="5"/>
    <s v="Conflits liés à GANE (BH)"/>
    <m/>
    <s v="Autre pays"/>
    <s v="NGA"/>
    <s v="Nigéria"/>
    <s v="NGA031"/>
    <s v="Oyo"/>
    <m/>
    <m/>
    <m/>
    <m/>
  </r>
  <r>
    <s v="Extrême-Nord"/>
    <s v="CMR004"/>
    <x v="2"/>
    <s v="CMR004002"/>
    <x v="10"/>
    <s v="CMR004002003"/>
    <s v="BLA-0009"/>
    <s v="KOFIA"/>
    <m/>
    <x v="1"/>
    <x v="0"/>
    <n v="61"/>
    <n v="208"/>
    <s v="Conflits liés à GANE (BH)"/>
    <m/>
    <s v="Autre pays"/>
    <s v="NGA"/>
    <s v="Nigéria"/>
    <s v="NGA008"/>
    <s v="Borno"/>
    <m/>
    <m/>
    <m/>
    <m/>
  </r>
  <r>
    <s v="Extrême-Nord"/>
    <s v="CMR004"/>
    <x v="1"/>
    <s v="CMR004006"/>
    <x v="7"/>
    <s v="CMR004006005"/>
    <s v="MOZ-0018"/>
    <s v="KRAWA-MAFA"/>
    <m/>
    <x v="1"/>
    <x v="0"/>
    <n v="15"/>
    <n v="76"/>
    <s v="Conflits liés à GANE (BH)"/>
    <m/>
    <s v="Autre pays"/>
    <s v="NGA"/>
    <s v="Nigéria"/>
    <s v="NGA025"/>
    <s v="Lagos"/>
    <m/>
    <m/>
    <m/>
    <m/>
  </r>
  <r>
    <s v="Extrême-Nord"/>
    <s v="CMR004"/>
    <x v="1"/>
    <s v="CMR004006"/>
    <x v="7"/>
    <s v="CMR004006005"/>
    <s v="MOZ-0004"/>
    <s v="KELARI"/>
    <m/>
    <x v="1"/>
    <x v="0"/>
    <n v="5"/>
    <n v="63"/>
    <s v="Conflits liés à GANE (BH)"/>
    <m/>
    <s v="Autre pays"/>
    <s v="NGA"/>
    <s v="Nigéria"/>
    <s v="NGA025"/>
    <s v="Lagos"/>
    <m/>
    <m/>
    <m/>
    <m/>
  </r>
  <r>
    <s v="Extrême-Nord"/>
    <s v="CMR004"/>
    <x v="1"/>
    <s v="CMR004006"/>
    <x v="7"/>
    <s v="CMR004006005"/>
    <s v="MOZ-0011"/>
    <s v="MOZOGO TCHEKODE"/>
    <m/>
    <x v="1"/>
    <x v="2"/>
    <n v="3"/>
    <n v="3"/>
    <s v="Conflits liés à GANE (BH)"/>
    <m/>
    <s v="Autre pays"/>
    <s v="NGA"/>
    <s v="Nigéria"/>
    <s v="NGA025"/>
    <s v="Lagos"/>
    <m/>
    <m/>
    <m/>
    <m/>
  </r>
  <r>
    <s v="Extrême-Nord"/>
    <s v="CMR004"/>
    <x v="1"/>
    <s v="CMR004006"/>
    <x v="14"/>
    <s v="CMR004006007"/>
    <s v="BOU-0006"/>
    <s v="DJIMI"/>
    <m/>
    <x v="1"/>
    <x v="0"/>
    <n v="4"/>
    <n v="15"/>
    <s v="Conflits liés à GANE (BH)"/>
    <m/>
    <s v="Autre pays"/>
    <s v="NGA"/>
    <s v="Nigéria"/>
    <s v="NGA002"/>
    <s v="Adamawa"/>
    <m/>
    <m/>
    <m/>
    <m/>
  </r>
  <r>
    <s v="Extrême-Nord"/>
    <s v="CMR004"/>
    <x v="1"/>
    <s v="CMR004006"/>
    <x v="14"/>
    <s v="CMR004006007"/>
    <s v="BOU-0006"/>
    <s v="DJIMI"/>
    <m/>
    <x v="1"/>
    <x v="1"/>
    <n v="0"/>
    <n v="2"/>
    <s v="Conflits liés à GANE (BH)"/>
    <m/>
    <s v="Autre pays"/>
    <s v="NGA"/>
    <s v="Nigéria"/>
    <s v="NGA002"/>
    <s v="Adamawa"/>
    <m/>
    <m/>
    <m/>
    <m/>
  </r>
  <r>
    <s v="Extrême-Nord"/>
    <s v="CMR004"/>
    <x v="1"/>
    <s v="CMR004006"/>
    <x v="14"/>
    <s v="CMR004006007"/>
    <s v="BOU-0006"/>
    <s v="DJIMI"/>
    <m/>
    <x v="1"/>
    <x v="4"/>
    <n v="0"/>
    <n v="4"/>
    <s v="Conflits liés à GANE (BH)"/>
    <m/>
    <s v="Autre pays"/>
    <s v="NGA"/>
    <s v="Nigéria"/>
    <s v="NGA002"/>
    <s v="Adamawa"/>
    <m/>
    <m/>
    <m/>
    <m/>
  </r>
  <r>
    <s v="Extrême-Nord"/>
    <s v="CMR004"/>
    <x v="1"/>
    <s v="CMR004006"/>
    <x v="14"/>
    <s v="CMR004006007"/>
    <s v="BOU-0006"/>
    <s v="DJIMI"/>
    <m/>
    <x v="1"/>
    <x v="3"/>
    <n v="1"/>
    <n v="3"/>
    <s v="Conflits liés à GANE (BH)"/>
    <m/>
    <s v="Autre pays"/>
    <s v="NGA"/>
    <s v="Nigéria"/>
    <s v="NGA002"/>
    <s v="Adamawa"/>
    <m/>
    <m/>
    <m/>
    <m/>
  </r>
  <r>
    <s v="Extrême-Nord"/>
    <s v="CMR004"/>
    <x v="2"/>
    <s v="CMR004002"/>
    <x v="13"/>
    <s v="CMR004002001"/>
    <s v="WAZ-0035"/>
    <s v="ARDEBE 1"/>
    <m/>
    <x v="1"/>
    <x v="1"/>
    <n v="9"/>
    <n v="46"/>
    <s v="Conflits liés à GANE (BH)"/>
    <m/>
    <s v="Autre pays"/>
    <s v="NGA"/>
    <s v="Nigéria"/>
    <s v="NGA008"/>
    <s v="Borno"/>
    <m/>
    <m/>
    <m/>
    <m/>
  </r>
  <r>
    <s v="Extrême-Nord"/>
    <s v="CMR004"/>
    <x v="2"/>
    <s v="CMR004002"/>
    <x v="13"/>
    <s v="CMR004002001"/>
    <s v="WAZ-0035"/>
    <s v="ARDEBE 1"/>
    <m/>
    <x v="1"/>
    <x v="3"/>
    <n v="4"/>
    <n v="13"/>
    <s v="Conflits liés à GANE (BH)"/>
    <m/>
    <s v="Autre pays"/>
    <s v="NGA"/>
    <s v="Nigéria"/>
    <s v="NGA008"/>
    <s v="Borno"/>
    <m/>
    <m/>
    <m/>
    <m/>
  </r>
  <r>
    <s v="Extrême-Nord"/>
    <s v="CMR004"/>
    <x v="2"/>
    <s v="CMR004002"/>
    <x v="15"/>
    <s v="CMR004002004"/>
    <s v="LBI-0102"/>
    <s v="MOULOUMSA MASSA"/>
    <m/>
    <x v="1"/>
    <x v="2"/>
    <n v="10"/>
    <n v="36"/>
    <s v="Inondations saisonnières ou fortes pluies"/>
    <m/>
    <s v="Autre pays"/>
    <s v="TCD"/>
    <s v="Tchad"/>
    <s v="TCD018"/>
    <s v="N'Djamena"/>
    <m/>
    <m/>
    <m/>
    <m/>
  </r>
  <r>
    <s v="Extrême-Nord"/>
    <s v="CMR004"/>
    <x v="2"/>
    <s v="CMR004002"/>
    <x v="15"/>
    <s v="CMR004002004"/>
    <s v="XXXX"/>
    <s v="SITE DE MARIAM"/>
    <s v="SITE DE MARIAM"/>
    <x v="1"/>
    <x v="2"/>
    <n v="50"/>
    <n v="350"/>
    <s v="Inondations saisonnières ou fortes pluies"/>
    <m/>
    <s v="Autre pays"/>
    <s v="TCD"/>
    <s v="Tchad"/>
    <s v="TCD018"/>
    <s v="N'Djamena"/>
    <m/>
    <m/>
    <m/>
    <m/>
  </r>
  <r>
    <s v="Extrême-Nord"/>
    <s v="CMR004"/>
    <x v="2"/>
    <s v="CMR004002"/>
    <x v="15"/>
    <s v="CMR004002004"/>
    <s v="LBI-0073"/>
    <s v="NGOUAMA"/>
    <m/>
    <x v="1"/>
    <x v="2"/>
    <n v="4"/>
    <n v="16"/>
    <s v="Inondations saisonnières ou fortes pluies"/>
    <m/>
    <s v="Autre pays"/>
    <s v="TCD"/>
    <s v="Tchad"/>
    <s v="TCD018"/>
    <s v="N'Djamena"/>
    <m/>
    <m/>
    <m/>
    <m/>
  </r>
  <r>
    <s v="Extrême-Nord"/>
    <s v="CMR004"/>
    <x v="2"/>
    <s v="CMR004002"/>
    <x v="26"/>
    <s v="CMR004002006"/>
    <s v="XXXX"/>
    <s v="SITE DE KAWADJI 2"/>
    <s v="SITE DE KAWADJI 2"/>
    <x v="1"/>
    <x v="2"/>
    <n v="2"/>
    <n v="5"/>
    <s v="Inondations saisonnières ou fortes pluies"/>
    <m/>
    <s v="Autre pays"/>
    <s v="TCD"/>
    <s v="Tchad"/>
    <s v="TCD018"/>
    <s v="N'Djamena"/>
    <m/>
    <m/>
    <m/>
    <m/>
  </r>
  <r>
    <s v="Extrême-Nord"/>
    <s v="CMR004"/>
    <x v="2"/>
    <s v="CMR004002"/>
    <x v="15"/>
    <s v="CMR004002004"/>
    <s v="LBI-0090"/>
    <s v="MARIAM"/>
    <m/>
    <x v="1"/>
    <x v="2"/>
    <n v="17"/>
    <n v="72"/>
    <s v="Inondations saisonnières ou fortes pluies"/>
    <m/>
    <s v="Autre pays"/>
    <s v="TCD"/>
    <s v="Tchad"/>
    <s v="TCD018"/>
    <s v="N'Djamena"/>
    <m/>
    <m/>
    <m/>
    <m/>
  </r>
  <r>
    <s v="Extrême-Nord"/>
    <s v="CMR004"/>
    <x v="2"/>
    <s v="CMR004002"/>
    <x v="15"/>
    <s v="CMR004002004"/>
    <s v="LBI-0066"/>
    <s v="LOGONE BIRNI (SAGOULA)"/>
    <m/>
    <x v="1"/>
    <x v="2"/>
    <n v="10"/>
    <n v="80"/>
    <s v="Inondations saisonnières ou fortes pluies"/>
    <m/>
    <s v="Autre pays"/>
    <s v="TCD"/>
    <s v="Tchad"/>
    <s v="TCD018"/>
    <s v="N'Djamena"/>
    <m/>
    <m/>
    <m/>
    <m/>
  </r>
  <r>
    <s v="Extrême-Nord"/>
    <s v="CMR004"/>
    <x v="2"/>
    <s v="CMR004002"/>
    <x v="13"/>
    <s v="CMR004002001"/>
    <s v="WAZ-0025"/>
    <s v="TOUKOUMAYA"/>
    <m/>
    <x v="1"/>
    <x v="4"/>
    <n v="15"/>
    <n v="120"/>
    <s v="Conflits liés à GANE (BH)"/>
    <m/>
    <s v="Autre pays"/>
    <s v="NGA"/>
    <s v="Nigéria"/>
    <s v="NGA008"/>
    <s v="Borno"/>
    <m/>
    <m/>
    <m/>
    <m/>
  </r>
  <r>
    <s v="Extrême-Nord"/>
    <s v="CMR004"/>
    <x v="2"/>
    <s v="CMR004002"/>
    <x v="26"/>
    <s v="CMR004002006"/>
    <s v="KOU-0028"/>
    <s v="NGALLO"/>
    <m/>
    <x v="1"/>
    <x v="2"/>
    <n v="7"/>
    <n v="80"/>
    <s v="Inondations saisonnières ou fortes pluies"/>
    <m/>
    <s v="Autre pays"/>
    <s v="TCD"/>
    <s v="Tchad"/>
    <s v="TCD018"/>
    <s v="N'Djamena"/>
    <m/>
    <m/>
    <m/>
    <m/>
  </r>
  <r>
    <s v="Extrême-Nord"/>
    <s v="CMR004"/>
    <x v="2"/>
    <s v="CMR004002"/>
    <x v="8"/>
    <s v="CMR004002009"/>
    <s v="MAK-0129"/>
    <s v="DAGLE"/>
    <m/>
    <x v="1"/>
    <x v="0"/>
    <n v="33"/>
    <n v="169"/>
    <s v="Conflits liés à GANE (BH)"/>
    <m/>
    <s v="Autre pays"/>
    <s v="NGA"/>
    <s v="Nigéria"/>
    <s v="NGA008"/>
    <s v="Borno"/>
    <m/>
    <m/>
    <m/>
    <m/>
  </r>
  <r>
    <s v="Extrême-Nord"/>
    <s v="CMR004"/>
    <x v="2"/>
    <s v="CMR004002"/>
    <x v="8"/>
    <s v="CMR004002009"/>
    <s v="MAK-0129"/>
    <s v="DAGLE"/>
    <m/>
    <x v="1"/>
    <x v="1"/>
    <n v="4"/>
    <n v="24"/>
    <s v="Conflits liés à GANE (BH)"/>
    <m/>
    <s v="Autre pays"/>
    <s v="NGA"/>
    <s v="Nigéria"/>
    <s v="NGA008"/>
    <s v="Borno"/>
    <m/>
    <m/>
    <m/>
    <m/>
  </r>
  <r>
    <s v="Extrême-Nord"/>
    <s v="CMR004"/>
    <x v="2"/>
    <s v="CMR004002"/>
    <x v="8"/>
    <s v="CMR004002009"/>
    <s v="MAK-0129"/>
    <s v="DAGLE"/>
    <m/>
    <x v="1"/>
    <x v="3"/>
    <n v="0"/>
    <n v="11"/>
    <s v="Conflits liés à GANE (BH)"/>
    <m/>
    <s v="Autre pays"/>
    <s v="NGA"/>
    <s v="Nigéria"/>
    <s v="NGA008"/>
    <s v="Borno"/>
    <m/>
    <m/>
    <m/>
    <m/>
  </r>
  <r>
    <s v="Extrême-Nord"/>
    <s v="CMR004"/>
    <x v="2"/>
    <s v="CMR004002"/>
    <x v="8"/>
    <s v="CMR004002009"/>
    <s v="MAK-0129"/>
    <s v="DAGLE"/>
    <m/>
    <x v="1"/>
    <x v="2"/>
    <n v="0"/>
    <n v="3"/>
    <s v="Conflits liés à GANE (BH)"/>
    <m/>
    <s v="Autre pays"/>
    <s v="NGA"/>
    <s v="Nigéria"/>
    <s v="NGA008"/>
    <s v="Borno"/>
    <m/>
    <m/>
    <m/>
    <m/>
  </r>
  <r>
    <s v="Extrême-Nord"/>
    <s v="CMR004"/>
    <x v="5"/>
    <s v="CMR004004"/>
    <x v="21"/>
    <s v="CMR004004007"/>
    <s v="MIN-0002"/>
    <s v="YAKANG"/>
    <m/>
    <x v="1"/>
    <x v="0"/>
    <n v="4"/>
    <n v="24"/>
    <s v="Conflit intercommunautaire"/>
    <m/>
    <s v="Autre pays"/>
    <s v="TCD"/>
    <s v="Tchad"/>
    <s v="TCD011"/>
    <s v="Mayo Kebbi Est"/>
    <m/>
    <m/>
    <m/>
    <m/>
  </r>
  <r>
    <s v="Extrême-Nord"/>
    <s v="CMR004"/>
    <x v="5"/>
    <s v="CMR004004"/>
    <x v="20"/>
    <s v="CMR004004006"/>
    <s v="KAE-0010"/>
    <s v="MADA"/>
    <m/>
    <x v="1"/>
    <x v="2"/>
    <n v="12"/>
    <n v="75"/>
    <s v="Conflit intercommunautaire"/>
    <m/>
    <s v="Autre pays"/>
    <s v="NGA"/>
    <s v="Nigéria"/>
    <s v="NGA019"/>
    <s v="Kaduna"/>
    <m/>
    <m/>
    <m/>
    <m/>
  </r>
  <r>
    <s v="Extrême-Nord"/>
    <s v="CMR004"/>
    <x v="2"/>
    <s v="CMR004002"/>
    <x v="15"/>
    <s v="CMR004002004"/>
    <s v="LBI-0081"/>
    <s v="KABELA GOUDOUM"/>
    <m/>
    <x v="1"/>
    <x v="2"/>
    <n v="200"/>
    <n v="1050"/>
    <s v="Inondations saisonnières ou fortes pluies"/>
    <m/>
    <s v="Autre pays"/>
    <s v="TCD"/>
    <s v="Tchad"/>
    <s v="TCD003"/>
    <s v="Chari Baguirmi"/>
    <m/>
    <m/>
    <m/>
    <m/>
  </r>
  <r>
    <s v="Extrême-Nord"/>
    <s v="CMR004"/>
    <x v="2"/>
    <s v="CMR004002"/>
    <x v="15"/>
    <s v="CMR004002004"/>
    <s v="XXXX"/>
    <s v="SITE DE TARADONA"/>
    <s v="SITE DE TARADONA"/>
    <x v="1"/>
    <x v="2"/>
    <n v="200"/>
    <n v="1050"/>
    <s v="Inondations saisonnières ou fortes pluies"/>
    <m/>
    <s v="Autre pays"/>
    <s v="TCD"/>
    <s v="Tchad"/>
    <s v="TCD003"/>
    <s v="Chari Baguirmi"/>
    <m/>
    <m/>
    <m/>
    <m/>
  </r>
  <r>
    <s v="Extrême-Nord"/>
    <s v="CMR004"/>
    <x v="2"/>
    <s v="CMR004002"/>
    <x v="15"/>
    <s v="CMR004002004"/>
    <s v="LBI-0097"/>
    <s v="BARAK 1"/>
    <m/>
    <x v="1"/>
    <x v="2"/>
    <n v="5"/>
    <n v="10"/>
    <s v="Conflit intercommunautaire"/>
    <m/>
    <s v="Autre pays"/>
    <s v="TCD"/>
    <s v="Tchad"/>
    <s v="TCD003"/>
    <s v="Chari Baguirmi"/>
    <m/>
    <m/>
    <m/>
    <m/>
  </r>
  <r>
    <s v="Extrême-Nord"/>
    <s v="CMR004"/>
    <x v="2"/>
    <s v="CMR004002"/>
    <x v="15"/>
    <s v="CMR004002004"/>
    <s v="LBI-0098"/>
    <s v="BARAK2"/>
    <m/>
    <x v="1"/>
    <x v="1"/>
    <n v="4"/>
    <n v="9"/>
    <s v="Conflits liés à GANE (BH)"/>
    <m/>
    <s v="Autre pays"/>
    <s v="NGA"/>
    <s v="Nigéria"/>
    <s v="NGA008"/>
    <s v="Borno"/>
    <m/>
    <m/>
    <m/>
    <m/>
  </r>
  <r>
    <s v="Extrême-Nord"/>
    <s v="CMR004"/>
    <x v="2"/>
    <s v="CMR004002"/>
    <x v="10"/>
    <s v="CMR004002003"/>
    <s v="BLA-0001"/>
    <s v="ANDOURMAN"/>
    <m/>
    <x v="1"/>
    <x v="2"/>
    <n v="1"/>
    <n v="4"/>
    <s v="Conflits liés à GANE (BH)"/>
    <m/>
    <s v="Autre pays"/>
    <s v="NGA"/>
    <s v="Nigéria"/>
    <s v="NGA008"/>
    <s v="Borno"/>
    <m/>
    <m/>
    <m/>
    <m/>
  </r>
  <r>
    <s v="Extrême-Nord"/>
    <s v="CMR004"/>
    <x v="2"/>
    <s v="CMR004002"/>
    <x v="10"/>
    <s v="CMR004002003"/>
    <s v="BLA-0002"/>
    <s v="BLANGOUA"/>
    <m/>
    <x v="1"/>
    <x v="0"/>
    <n v="150"/>
    <n v="400"/>
    <s v="Conflits liés à GANE (BH)"/>
    <m/>
    <s v="Autre pays"/>
    <s v="NGA"/>
    <s v="Nigéria"/>
    <s v="NGA008"/>
    <s v="Borno"/>
    <m/>
    <m/>
    <m/>
    <m/>
  </r>
  <r>
    <s v="Extrême-Nord"/>
    <s v="CMR004"/>
    <x v="2"/>
    <s v="CMR004002"/>
    <x v="10"/>
    <s v="CMR004002003"/>
    <s v="BLA-0002"/>
    <s v="BLANGOUA"/>
    <m/>
    <x v="1"/>
    <x v="2"/>
    <n v="2"/>
    <n v="10"/>
    <s v="Conflits liés à GANE (BH)"/>
    <m/>
    <s v="Autre pays"/>
    <s v="NGA"/>
    <s v="Nigéria"/>
    <s v="NGA008"/>
    <s v="Borno"/>
    <m/>
    <m/>
    <m/>
    <m/>
  </r>
  <r>
    <s v="Extrême-Nord"/>
    <s v="CMR004"/>
    <x v="4"/>
    <s v="CMR004005"/>
    <x v="17"/>
    <s v="CMR004005002"/>
    <s v="MOR-0027"/>
    <s v="DJAKANA"/>
    <m/>
    <x v="1"/>
    <x v="0"/>
    <n v="1"/>
    <n v="10"/>
    <s v="Conflits liés à GANE (BH)"/>
    <m/>
    <s v="Autre pays"/>
    <s v="NGA"/>
    <s v="Nigéria"/>
    <s v="NGA008"/>
    <s v="Borno"/>
    <m/>
    <m/>
    <m/>
    <m/>
  </r>
  <r>
    <s v="Extrême-Nord"/>
    <s v="CMR004"/>
    <x v="4"/>
    <s v="CMR004005"/>
    <x v="17"/>
    <s v="CMR004005002"/>
    <s v="MOR-0004"/>
    <s v="DOULO"/>
    <m/>
    <x v="1"/>
    <x v="4"/>
    <n v="1"/>
    <n v="3"/>
    <s v="Conflits liés à GANE (BH)"/>
    <m/>
    <s v="Autre pays"/>
    <s v="NGA"/>
    <s v="Nigéria"/>
    <s v="NGA008"/>
    <s v="Borno"/>
    <m/>
    <m/>
    <m/>
    <m/>
  </r>
  <r>
    <s v="Extrême-Nord"/>
    <s v="CMR004"/>
    <x v="2"/>
    <s v="CMR004002"/>
    <x v="8"/>
    <s v="CMR004002009"/>
    <s v="MAK-0067"/>
    <s v="MEDINA 3"/>
    <m/>
    <x v="1"/>
    <x v="0"/>
    <n v="1"/>
    <n v="6"/>
    <s v="Conflits liés à GANE (BH)"/>
    <m/>
    <s v="Autre pays"/>
    <s v="NGA"/>
    <s v="Nigéria"/>
    <s v="NGA008"/>
    <s v="Borno"/>
    <m/>
    <m/>
    <m/>
    <m/>
  </r>
  <r>
    <s v="Extrême-Nord"/>
    <s v="CMR004"/>
    <x v="1"/>
    <s v="CMR004006"/>
    <x v="1"/>
    <s v="CMR004006002"/>
    <s v="MOK-0005"/>
    <s v="GAWAR"/>
    <m/>
    <x v="1"/>
    <x v="0"/>
    <n v="24"/>
    <n v="124"/>
    <s v="Conflits liés à GANE (BH)"/>
    <m/>
    <s v="Autre pays"/>
    <s v="NGA"/>
    <s v="Nigéria"/>
    <s v="NGA002"/>
    <s v="Adamawa"/>
    <m/>
    <m/>
    <m/>
    <m/>
  </r>
  <r>
    <s v="Extrême-Nord"/>
    <s v="CMR004"/>
    <x v="1"/>
    <s v="CMR004006"/>
    <x v="28"/>
    <s v="CMR004006003"/>
    <s v="HIN-0007"/>
    <s v="GAMDOUGOUM"/>
    <m/>
    <x v="1"/>
    <x v="0"/>
    <n v="1"/>
    <n v="9"/>
    <s v="Conflits liés à GANE (BH)"/>
    <m/>
    <s v="Autre pays"/>
    <s v="NGA"/>
    <s v="Nigéria"/>
    <s v="NGA002"/>
    <s v="Adamawa"/>
    <m/>
    <m/>
    <m/>
    <m/>
  </r>
  <r>
    <s v="Extrême-Nord"/>
    <s v="CMR004"/>
    <x v="1"/>
    <s v="CMR004006"/>
    <x v="28"/>
    <s v="CMR004006003"/>
    <s v="HIN-0007"/>
    <s v="GAMDOUGOUM"/>
    <m/>
    <x v="1"/>
    <x v="4"/>
    <n v="3"/>
    <n v="12"/>
    <s v="Conflits liés à GANE (BH)"/>
    <m/>
    <s v="Autre pays"/>
    <s v="NGA"/>
    <s v="Nigéria"/>
    <s v="NGA002"/>
    <s v="Adamawa"/>
    <m/>
    <m/>
    <m/>
    <m/>
  </r>
  <r>
    <s v="Extrême-Nord"/>
    <s v="CMR004"/>
    <x v="1"/>
    <s v="CMR004006"/>
    <x v="28"/>
    <s v="CMR004006003"/>
    <s v="HIN-0007"/>
    <s v="GAMDOUGOUM"/>
    <m/>
    <x v="1"/>
    <x v="2"/>
    <n v="0"/>
    <n v="1"/>
    <s v="Autre raison"/>
    <s v="Naissance "/>
    <s v="Autre pays"/>
    <s v="NGA"/>
    <s v="Nigéria"/>
    <s v="NGA002"/>
    <s v="Adamawa"/>
    <m/>
    <m/>
    <m/>
    <m/>
  </r>
  <r>
    <s v="Extrême-Nord"/>
    <s v="CMR004"/>
    <x v="1"/>
    <s v="CMR004006"/>
    <x v="28"/>
    <s v="CMR004006003"/>
    <s v="HIN-0005"/>
    <s v="MADINA"/>
    <m/>
    <x v="1"/>
    <x v="0"/>
    <n v="2"/>
    <n v="12"/>
    <s v="Conflits liés à GANE (BH)"/>
    <m/>
    <s v="Autre pays"/>
    <s v="NGA"/>
    <s v="Nigéria"/>
    <s v="NGA008"/>
    <s v="Borno"/>
    <m/>
    <m/>
    <m/>
    <m/>
  </r>
  <r>
    <s v="Extrême-Nord"/>
    <s v="CMR004"/>
    <x v="1"/>
    <s v="CMR004006"/>
    <x v="28"/>
    <s v="CMR004006003"/>
    <s v="HIN-0005"/>
    <s v="MADINA"/>
    <m/>
    <x v="1"/>
    <x v="2"/>
    <n v="0"/>
    <n v="1"/>
    <s v="Autre raison"/>
    <s v="Naissance "/>
    <s v="Autre pays"/>
    <s v="NGA"/>
    <s v="Nigéria"/>
    <s v="NGA002"/>
    <s v="Adamawa"/>
    <m/>
    <m/>
    <m/>
    <m/>
  </r>
  <r>
    <s v="Extrême-Nord"/>
    <s v="CMR004"/>
    <x v="2"/>
    <s v="CMR004002"/>
    <x v="13"/>
    <s v="CMR004002001"/>
    <s v="WAZ-0015"/>
    <s v="DJINGUI"/>
    <m/>
    <x v="1"/>
    <x v="4"/>
    <n v="47"/>
    <n v="246"/>
    <s v="Conflits liés à GANE (BH)"/>
    <m/>
    <s v="Autre pays"/>
    <s v="NGA"/>
    <s v="Nigéria"/>
    <s v="NGA008"/>
    <s v="Borno"/>
    <m/>
    <m/>
    <m/>
    <m/>
  </r>
  <r>
    <s v="Extrême-Nord"/>
    <s v="CMR004"/>
    <x v="2"/>
    <s v="CMR004002"/>
    <x v="13"/>
    <s v="CMR004002001"/>
    <s v="WAZ-0015"/>
    <s v="DJINGUI"/>
    <m/>
    <x v="1"/>
    <x v="2"/>
    <n v="0"/>
    <n v="4"/>
    <s v="Conflits liés à GANE (BH)"/>
    <m/>
    <s v="Autre pays"/>
    <s v="NGA"/>
    <s v="Nigéria"/>
    <s v="NGA008"/>
    <s v="Borno"/>
    <m/>
    <m/>
    <m/>
    <m/>
  </r>
  <r>
    <s v="Extrême-Nord"/>
    <s v="CMR004"/>
    <x v="2"/>
    <s v="CMR004002"/>
    <x v="8"/>
    <s v="CMR004002009"/>
    <s v="MAK-0107"/>
    <s v="DJADJAYA"/>
    <m/>
    <x v="1"/>
    <x v="0"/>
    <n v="4"/>
    <n v="33"/>
    <s v="Conflits liés à GANE (BH)"/>
    <m/>
    <s v="Autre pays"/>
    <s v="NGA"/>
    <s v="Nigéria"/>
    <s v="NGA008"/>
    <s v="Borno"/>
    <m/>
    <m/>
    <m/>
    <m/>
  </r>
  <r>
    <s v="Extrême-Nord"/>
    <s v="CMR004"/>
    <x v="2"/>
    <s v="CMR004002"/>
    <x v="8"/>
    <s v="CMR004002009"/>
    <s v="MAK-0107"/>
    <s v="DJADJAYA"/>
    <m/>
    <x v="1"/>
    <x v="2"/>
    <n v="1"/>
    <n v="4"/>
    <s v="Autre raison"/>
    <s v="Peur"/>
    <s v="Autre pays"/>
    <s v="NGA"/>
    <s v="Nigéria"/>
    <s v="NGA008"/>
    <s v="Borno"/>
    <m/>
    <m/>
    <m/>
    <m/>
  </r>
  <r>
    <s v="Extrême-Nord"/>
    <s v="CMR004"/>
    <x v="2"/>
    <s v="CMR004002"/>
    <x v="15"/>
    <s v="CMR004002004"/>
    <s v="LBI-0038"/>
    <s v="KRENACK"/>
    <m/>
    <x v="1"/>
    <x v="0"/>
    <n v="30"/>
    <n v="100"/>
    <s v="Conflits liés à GANE (BH)"/>
    <m/>
    <s v="Autre pays"/>
    <s v="NGA"/>
    <s v="Nigéria"/>
    <s v="NGA008"/>
    <s v="Borno"/>
    <m/>
    <m/>
    <m/>
    <m/>
  </r>
  <r>
    <s v="Extrême-Nord"/>
    <s v="CMR004"/>
    <x v="2"/>
    <s v="CMR004002"/>
    <x v="8"/>
    <s v="CMR004002009"/>
    <s v="MAK-0015"/>
    <s v="SITE DE BEDEO"/>
    <m/>
    <x v="1"/>
    <x v="3"/>
    <n v="65"/>
    <n v="470"/>
    <s v="Conflits liés à GANE (BH)"/>
    <m/>
    <s v="Autre pays"/>
    <s v="NGA"/>
    <s v="Nigéria"/>
    <s v="NGA008"/>
    <s v="Borno"/>
    <m/>
    <m/>
    <m/>
    <m/>
  </r>
  <r>
    <s v="Extrême-Nord"/>
    <s v="CMR004"/>
    <x v="2"/>
    <s v="CMR004002"/>
    <x v="8"/>
    <s v="CMR004002009"/>
    <s v="MAK-0023"/>
    <s v="CHALAMTINI"/>
    <m/>
    <x v="1"/>
    <x v="3"/>
    <n v="5"/>
    <n v="27"/>
    <s v="Conflits liés à GANE (BH)"/>
    <m/>
    <s v="Autre pays"/>
    <s v="NGA"/>
    <s v="Nigéria"/>
    <s v="NGA008"/>
    <s v="Borno"/>
    <m/>
    <m/>
    <m/>
    <m/>
  </r>
  <r>
    <s v="Extrême-Nord"/>
    <s v="CMR004"/>
    <x v="2"/>
    <s v="CMR004002"/>
    <x v="8"/>
    <s v="CMR004002009"/>
    <s v="MAK-0002"/>
    <s v="ABOUYAKOUBA"/>
    <m/>
    <x v="1"/>
    <x v="3"/>
    <n v="25"/>
    <n v="76"/>
    <s v="Conflits liés à GANE (BH)"/>
    <m/>
    <s v="Autre pays"/>
    <s v="NGA"/>
    <s v="Nigéria"/>
    <s v="NGA008"/>
    <s v="Borno"/>
    <m/>
    <m/>
    <m/>
    <m/>
  </r>
  <r>
    <s v="Extrême-Nord"/>
    <s v="CMR004"/>
    <x v="2"/>
    <s v="CMR004002"/>
    <x v="8"/>
    <s v="CMR004002009"/>
    <s v="MAK-0007"/>
    <s v="AMCHITIRE"/>
    <m/>
    <x v="1"/>
    <x v="3"/>
    <n v="2"/>
    <n v="13"/>
    <s v="Conflits liés à GANE (BH)"/>
    <m/>
    <s v="Autre pays"/>
    <s v="NGA"/>
    <s v="Nigéria"/>
    <s v="NGA008"/>
    <s v="Borno"/>
    <m/>
    <m/>
    <m/>
    <m/>
  </r>
  <r>
    <s v="Extrême-Nord"/>
    <s v="CMR004"/>
    <x v="2"/>
    <s v="CMR004002"/>
    <x v="8"/>
    <s v="CMR004002009"/>
    <s v="MAK-0016"/>
    <s v="BIAMO"/>
    <m/>
    <x v="1"/>
    <x v="0"/>
    <n v="95"/>
    <n v="845"/>
    <s v="Conflits liés à GANE (BH)"/>
    <m/>
    <s v="Autre pays"/>
    <s v="NGA"/>
    <s v="Nigéria"/>
    <s v="NGA008"/>
    <s v="Borno"/>
    <m/>
    <m/>
    <m/>
    <m/>
  </r>
  <r>
    <s v="Extrême-Nord"/>
    <s v="CMR004"/>
    <x v="2"/>
    <s v="CMR004002"/>
    <x v="8"/>
    <s v="CMR004002009"/>
    <s v="MAK-0122"/>
    <s v="ALAK 1"/>
    <m/>
    <x v="1"/>
    <x v="0"/>
    <n v="10"/>
    <n v="40"/>
    <s v="Conflits liés à GANE (BH)"/>
    <m/>
    <s v="Autre pays"/>
    <s v="NGA"/>
    <s v="Nigéria"/>
    <s v="NGA008"/>
    <s v="Borno"/>
    <m/>
    <m/>
    <m/>
    <m/>
  </r>
  <r>
    <s v="Extrême-Nord"/>
    <s v="CMR004"/>
    <x v="2"/>
    <s v="CMR004002"/>
    <x v="8"/>
    <s v="CMR004002009"/>
    <s v="MAK-0126"/>
    <s v="ARDEB 2"/>
    <m/>
    <x v="1"/>
    <x v="0"/>
    <n v="3"/>
    <n v="9"/>
    <s v="Conflits liés à GANE (BH)"/>
    <m/>
    <s v="Autre pays"/>
    <s v="NGA"/>
    <s v="Nigéria"/>
    <s v="NGA008"/>
    <s v="Borno"/>
    <m/>
    <m/>
    <m/>
    <m/>
  </r>
  <r>
    <s v="Extrême-Nord"/>
    <s v="CMR004"/>
    <x v="2"/>
    <s v="CMR004002"/>
    <x v="8"/>
    <s v="CMR004002009"/>
    <s v="MAK-0125"/>
    <s v="ARDEB 1"/>
    <m/>
    <x v="1"/>
    <x v="0"/>
    <n v="3"/>
    <n v="11"/>
    <s v="Conflits liés à GANE (BH)"/>
    <m/>
    <s v="Autre pays"/>
    <s v="NGA"/>
    <s v="Nigéria"/>
    <s v="NGA008"/>
    <s v="Borno"/>
    <m/>
    <m/>
    <m/>
    <m/>
  </r>
  <r>
    <s v="Extrême-Nord"/>
    <s v="CMR004"/>
    <x v="2"/>
    <s v="CMR004002"/>
    <x v="8"/>
    <s v="CMR004002009"/>
    <s v="MAK-0010"/>
    <s v="ANAMBARI"/>
    <m/>
    <x v="1"/>
    <x v="0"/>
    <n v="10"/>
    <n v="40"/>
    <s v="Conflits liés à GANE (BH)"/>
    <m/>
    <s v="Autre pays"/>
    <s v="NGA"/>
    <s v="Nigéria"/>
    <s v="NGA008"/>
    <s v="Borno"/>
    <m/>
    <m/>
    <m/>
    <m/>
  </r>
  <r>
    <s v="Extrême-Nord"/>
    <s v="CMR004"/>
    <x v="2"/>
    <s v="CMR004002"/>
    <x v="26"/>
    <s v="CMR004002006"/>
    <s v="XXXX"/>
    <s v="SITE DE KAWADJI 1"/>
    <s v="SITE DE KAWADJI 1"/>
    <x v="1"/>
    <x v="2"/>
    <n v="21"/>
    <n v="200"/>
    <s v="Inondations saisonnières ou fortes pluies"/>
    <m/>
    <s v="Autre pays"/>
    <s v="TCD"/>
    <s v="Tchad"/>
    <s v="TCD018"/>
    <s v="N'Djamena"/>
    <m/>
    <m/>
    <m/>
    <m/>
  </r>
  <r>
    <s v="Extrême-Nord"/>
    <s v="CMR004"/>
    <x v="2"/>
    <s v="CMR004002"/>
    <x v="26"/>
    <s v="CMR004002006"/>
    <s v="KOU-0037"/>
    <s v="KAWADJI 2"/>
    <m/>
    <x v="1"/>
    <x v="2"/>
    <n v="23"/>
    <n v="200"/>
    <s v="Inondations saisonnières ou fortes pluies"/>
    <m/>
    <s v="Autre pays"/>
    <s v="TCD"/>
    <s v="Tchad"/>
    <s v="TCD018"/>
    <s v="N'Djamena"/>
    <m/>
    <m/>
    <m/>
    <m/>
  </r>
  <r>
    <s v="Extrême-Nord"/>
    <s v="CMR004"/>
    <x v="2"/>
    <s v="CMR004002"/>
    <x v="8"/>
    <s v="CMR004002009"/>
    <s v="MAK-0139"/>
    <s v="GRELIE"/>
    <m/>
    <x v="1"/>
    <x v="0"/>
    <n v="2"/>
    <n v="10"/>
    <s v="Conflits liés à GANE (BH)"/>
    <m/>
    <s v="Autre pays"/>
    <s v="NGA"/>
    <s v="Nigéria"/>
    <s v="NGA008"/>
    <s v="Borno"/>
    <m/>
    <m/>
    <m/>
    <m/>
  </r>
  <r>
    <s v="Extrême-Nord"/>
    <s v="CMR004"/>
    <x v="2"/>
    <s v="CMR004002"/>
    <x v="9"/>
    <s v="CMR004002010"/>
    <s v="HIL-0017"/>
    <s v="MAFOULSO 1"/>
    <m/>
    <x v="1"/>
    <x v="4"/>
    <n v="4"/>
    <n v="40"/>
    <s v="Conflits liés à GANE (BH)"/>
    <m/>
    <s v="Autre pays"/>
    <s v="NGA"/>
    <s v="Nigéria"/>
    <s v="NGA008"/>
    <s v="Borno"/>
    <m/>
    <m/>
    <m/>
    <m/>
  </r>
  <r>
    <s v="Extrême-Nord"/>
    <s v="CMR004"/>
    <x v="2"/>
    <s v="CMR004002"/>
    <x v="8"/>
    <s v="CMR004002009"/>
    <s v="MAK-0130"/>
    <s v="DIAM 1"/>
    <m/>
    <x v="1"/>
    <x v="0"/>
    <n v="16"/>
    <n v="69"/>
    <s v="Conflits liés à GANE (BH)"/>
    <m/>
    <s v="Autre pays"/>
    <s v="NGA"/>
    <s v="Nigéria"/>
    <s v="NGA020"/>
    <s v="Kano"/>
    <m/>
    <m/>
    <m/>
    <m/>
  </r>
  <r>
    <s v="Extrême-Nord"/>
    <s v="CMR004"/>
    <x v="2"/>
    <s v="CMR004002"/>
    <x v="8"/>
    <s v="CMR004002009"/>
    <s v="MAK-0130"/>
    <s v="DIAM 1"/>
    <m/>
    <x v="1"/>
    <x v="1"/>
    <n v="0"/>
    <n v="14"/>
    <s v="Conflits liés à GANE (BH)"/>
    <m/>
    <s v="Autre pays"/>
    <s v="NGA"/>
    <s v="Nigéria"/>
    <s v="NGA020"/>
    <s v="Kano"/>
    <m/>
    <m/>
    <m/>
    <m/>
  </r>
  <r>
    <s v="Extrême-Nord"/>
    <s v="CMR004"/>
    <x v="2"/>
    <s v="CMR004002"/>
    <x v="8"/>
    <s v="CMR004002009"/>
    <s v="MAK-0130"/>
    <s v="DIAM 1"/>
    <m/>
    <x v="1"/>
    <x v="3"/>
    <n v="0"/>
    <n v="2"/>
    <s v="Conflits liés à GANE (BH)"/>
    <m/>
    <s v="Autre pays"/>
    <s v="NGA"/>
    <s v="Nigéria"/>
    <s v="NGA020"/>
    <s v="Kano"/>
    <m/>
    <m/>
    <m/>
    <m/>
  </r>
  <r>
    <s v="Extrême-Nord"/>
    <s v="CMR004"/>
    <x v="2"/>
    <s v="CMR004002"/>
    <x v="8"/>
    <s v="CMR004002009"/>
    <s v="MAK-0130"/>
    <s v="DIAM 1"/>
    <m/>
    <x v="1"/>
    <x v="2"/>
    <n v="0"/>
    <n v="8"/>
    <s v="Conflits liés à GANE (BH)"/>
    <m/>
    <s v="Autre pays"/>
    <s v="NGA"/>
    <s v="Nigéria"/>
    <s v="NGA020"/>
    <s v="Kano"/>
    <m/>
    <m/>
    <m/>
    <m/>
  </r>
  <r>
    <s v="Extrême-Nord"/>
    <s v="CMR004"/>
    <x v="4"/>
    <s v="CMR004005"/>
    <x v="29"/>
    <s v="CMR004005003"/>
    <s v="TOK-0001"/>
    <s v="LALAWAI"/>
    <m/>
    <x v="1"/>
    <x v="0"/>
    <n v="2"/>
    <n v="12"/>
    <s v="Conflits liés à GANE (BH)"/>
    <m/>
    <s v="Autre pays"/>
    <s v="NGA"/>
    <s v="Nigéria"/>
    <s v="NGA008"/>
    <s v="Borno"/>
    <m/>
    <m/>
    <m/>
    <m/>
  </r>
  <r>
    <s v="Extrême-Nord"/>
    <s v="CMR004"/>
    <x v="4"/>
    <s v="CMR004005"/>
    <x v="29"/>
    <s v="CMR004005003"/>
    <s v="TOK-0001"/>
    <s v="LALAWAI"/>
    <m/>
    <x v="1"/>
    <x v="1"/>
    <n v="0"/>
    <n v="5"/>
    <s v="Conflits liés à GANE (BH)"/>
    <m/>
    <s v="Autre pays"/>
    <s v="NGA"/>
    <s v="Nigéria"/>
    <s v="NGA008"/>
    <s v="Borno"/>
    <m/>
    <m/>
    <m/>
    <m/>
  </r>
  <r>
    <s v="Extrême-Nord"/>
    <s v="CMR004"/>
    <x v="4"/>
    <s v="CMR004005"/>
    <x v="29"/>
    <s v="CMR004005003"/>
    <s v="TOK-0001"/>
    <s v="LALAWAI"/>
    <m/>
    <x v="1"/>
    <x v="4"/>
    <n v="0"/>
    <n v="16"/>
    <s v="Conflits liés à GANE (BH)"/>
    <m/>
    <s v="Autre pays"/>
    <s v="NGA"/>
    <s v="Nigéria"/>
    <s v="NGA008"/>
    <s v="Borno"/>
    <m/>
    <m/>
    <m/>
    <m/>
  </r>
  <r>
    <s v="Extrême-Nord"/>
    <s v="CMR004"/>
    <x v="4"/>
    <s v="CMR004005"/>
    <x v="29"/>
    <s v="CMR004005003"/>
    <s v="TOK-0001"/>
    <s v="LALAWAI"/>
    <m/>
    <x v="1"/>
    <x v="3"/>
    <n v="0"/>
    <n v="9"/>
    <s v="Conflits liés à GANE (BH)"/>
    <m/>
    <s v="Autre pays"/>
    <s v="NGA"/>
    <s v="Nigéria"/>
    <s v="NGA008"/>
    <s v="Borno"/>
    <m/>
    <m/>
    <m/>
    <m/>
  </r>
  <r>
    <s v="Extrême-Nord"/>
    <s v="CMR004"/>
    <x v="4"/>
    <s v="CMR004005"/>
    <x v="29"/>
    <s v="CMR004005003"/>
    <s v="TOK-0001"/>
    <s v="LALAWAI"/>
    <m/>
    <x v="1"/>
    <x v="2"/>
    <n v="0"/>
    <n v="3"/>
    <s v="Conflits liés à GANE (BH)"/>
    <m/>
    <s v="Autre pays"/>
    <s v="NGA"/>
    <s v="Nigéria"/>
    <s v="NGA008"/>
    <s v="Borno"/>
    <m/>
    <m/>
    <m/>
    <m/>
  </r>
  <r>
    <s v="Extrême-Nord"/>
    <s v="CMR004"/>
    <x v="2"/>
    <s v="CMR004002"/>
    <x v="8"/>
    <s v="CMR004002009"/>
    <s v="MAK-0041"/>
    <s v="GOURA 2"/>
    <m/>
    <x v="1"/>
    <x v="1"/>
    <n v="20"/>
    <n v="140"/>
    <s v="Conflits liés à GANE (BH)"/>
    <m/>
    <s v="Autre pays"/>
    <s v="NGA"/>
    <s v="Nigéria"/>
    <s v="NGA008"/>
    <s v="Borno"/>
    <m/>
    <m/>
    <m/>
    <m/>
  </r>
  <r>
    <s v="Extrême-Nord"/>
    <s v="CMR004"/>
    <x v="2"/>
    <s v="CMR004002"/>
    <x v="8"/>
    <s v="CMR004002009"/>
    <s v="MAK-0190"/>
    <s v="GOURA 3"/>
    <m/>
    <x v="1"/>
    <x v="0"/>
    <n v="2"/>
    <n v="11"/>
    <s v="Conflits liés à GANE (BH)"/>
    <m/>
    <s v="Autre pays"/>
    <s v="NGA"/>
    <s v="Nigéria"/>
    <s v="NGA008"/>
    <s v="Borno"/>
    <m/>
    <m/>
    <m/>
    <m/>
  </r>
  <r>
    <s v="Extrême-Nord"/>
    <s v="CMR004"/>
    <x v="2"/>
    <s v="CMR004002"/>
    <x v="8"/>
    <s v="CMR004002009"/>
    <s v="MAK-0204"/>
    <s v="GOURA ABOUNOUMRE"/>
    <m/>
    <x v="1"/>
    <x v="0"/>
    <n v="2"/>
    <n v="12"/>
    <s v="Conflits liés à GANE (BH)"/>
    <m/>
    <s v="Autre pays"/>
    <s v="NGA"/>
    <s v="Nigéria"/>
    <s v="NGA008"/>
    <s v="Borno"/>
    <m/>
    <m/>
    <m/>
    <m/>
  </r>
  <r>
    <s v="Extrême-Nord"/>
    <s v="CMR004"/>
    <x v="1"/>
    <s v="CMR004006"/>
    <x v="39"/>
    <s v="CMR004006001"/>
    <s v="MOG-0007"/>
    <s v="OUDAVA"/>
    <m/>
    <x v="1"/>
    <x v="0"/>
    <n v="12"/>
    <n v="82"/>
    <s v="Conflits liés à GANE (BH)"/>
    <m/>
    <s v="Autre pays"/>
    <s v="NGA"/>
    <s v="Nigéria"/>
    <s v="NGA002"/>
    <s v="Adamawa"/>
    <m/>
    <m/>
    <m/>
    <m/>
  </r>
  <r>
    <s v="Extrême-Nord"/>
    <s v="CMR004"/>
    <x v="1"/>
    <s v="CMR004006"/>
    <x v="39"/>
    <s v="CMR004006001"/>
    <s v="MOG-0007"/>
    <s v="OUDAVA"/>
    <m/>
    <x v="1"/>
    <x v="1"/>
    <n v="1"/>
    <n v="6"/>
    <s v="Conflits liés à GANE (BH)"/>
    <m/>
    <s v="Autre pays"/>
    <s v="NGA"/>
    <s v="Nigéria"/>
    <s v="NGA002"/>
    <s v="Adamawa"/>
    <m/>
    <m/>
    <m/>
    <m/>
  </r>
  <r>
    <s v="Extrême-Nord"/>
    <s v="CMR004"/>
    <x v="1"/>
    <s v="CMR004006"/>
    <x v="39"/>
    <s v="CMR004006001"/>
    <s v="MOG-0007"/>
    <s v="OUDAVA"/>
    <m/>
    <x v="1"/>
    <x v="4"/>
    <n v="0"/>
    <n v="4"/>
    <s v="Conflits liés à GANE (BH)"/>
    <m/>
    <s v="Autre pays"/>
    <s v="NGA"/>
    <s v="Nigéria"/>
    <s v="NGA002"/>
    <s v="Adamawa"/>
    <m/>
    <m/>
    <m/>
    <m/>
  </r>
  <r>
    <s v="Extrême-Nord"/>
    <s v="CMR004"/>
    <x v="1"/>
    <s v="CMR004006"/>
    <x v="39"/>
    <s v="CMR004006001"/>
    <s v="MOG-0007"/>
    <s v="OUDAVA"/>
    <m/>
    <x v="1"/>
    <x v="3"/>
    <n v="0"/>
    <n v="6"/>
    <s v="Conflits liés à GANE (BH)"/>
    <m/>
    <s v="Autre pays"/>
    <s v="NGA"/>
    <s v="Nigéria"/>
    <s v="NGA002"/>
    <s v="Adamawa"/>
    <m/>
    <m/>
    <m/>
    <m/>
  </r>
  <r>
    <s v="Extrême-Nord"/>
    <s v="CMR004"/>
    <x v="1"/>
    <s v="CMR004006"/>
    <x v="39"/>
    <s v="CMR004006001"/>
    <s v="MOG-0003"/>
    <s v="KILA"/>
    <m/>
    <x v="1"/>
    <x v="0"/>
    <n v="5"/>
    <n v="23"/>
    <s v="Conflits liés à GANE (BH)"/>
    <m/>
    <s v="Autre pays"/>
    <s v="NGA"/>
    <s v="Nigéria"/>
    <s v="NGA002"/>
    <s v="Adamawa"/>
    <m/>
    <m/>
    <m/>
    <m/>
  </r>
  <r>
    <s v="Extrême-Nord"/>
    <s v="CMR004"/>
    <x v="1"/>
    <s v="CMR004006"/>
    <x v="39"/>
    <s v="CMR004006001"/>
    <s v="MOG-0003"/>
    <s v="KILA"/>
    <m/>
    <x v="1"/>
    <x v="4"/>
    <n v="0"/>
    <n v="2"/>
    <s v="Conflits liés à GANE (BH)"/>
    <m/>
    <s v="Autre pays"/>
    <s v="NGA"/>
    <s v="Nigéria"/>
    <s v="NGA002"/>
    <s v="Adamawa"/>
    <m/>
    <m/>
    <m/>
    <m/>
  </r>
  <r>
    <s v="Extrême-Nord"/>
    <s v="CMR004"/>
    <x v="1"/>
    <s v="CMR004006"/>
    <x v="39"/>
    <s v="CMR004006001"/>
    <s v="MOG-0003"/>
    <s v="KILA"/>
    <m/>
    <x v="1"/>
    <x v="1"/>
    <n v="0"/>
    <n v="2"/>
    <s v="Conflits liés à GANE (BH)"/>
    <m/>
    <s v="Autre pays"/>
    <s v="NGA"/>
    <s v="Nigéria"/>
    <s v="NGA002"/>
    <s v="Adamawa"/>
    <m/>
    <m/>
    <m/>
    <m/>
  </r>
  <r>
    <s v="Extrême-Nord"/>
    <s v="CMR004"/>
    <x v="1"/>
    <s v="CMR004006"/>
    <x v="39"/>
    <s v="CMR004006001"/>
    <s v="MOG-0003"/>
    <s v="KILA"/>
    <m/>
    <x v="1"/>
    <x v="3"/>
    <n v="0"/>
    <n v="1"/>
    <s v="Conflits liés à GANE (BH)"/>
    <m/>
    <s v="Autre pays"/>
    <s v="NGA"/>
    <s v="Nigéria"/>
    <s v="NGA002"/>
    <s v="Adamawa"/>
    <m/>
    <m/>
    <m/>
    <m/>
  </r>
  <r>
    <s v="Extrême-Nord"/>
    <s v="CMR004"/>
    <x v="2"/>
    <s v="CMR004002"/>
    <x v="15"/>
    <s v="CMR004002004"/>
    <s v="LBI-0074"/>
    <s v="SOUHARA"/>
    <m/>
    <x v="1"/>
    <x v="2"/>
    <n v="11"/>
    <n v="48"/>
    <s v="Inondations saisonnières ou fortes pluies"/>
    <m/>
    <s v="Autre pays"/>
    <s v="TCD"/>
    <s v="Tchad"/>
    <s v="TCD018"/>
    <s v="N'Djamena"/>
    <m/>
    <m/>
    <m/>
    <m/>
  </r>
  <r>
    <s v="Extrême-Nord"/>
    <s v="CMR004"/>
    <x v="2"/>
    <s v="CMR004002"/>
    <x v="8"/>
    <s v="CMR004002009"/>
    <s v="MAK-0184"/>
    <s v="ABANKOURI"/>
    <m/>
    <x v="1"/>
    <x v="0"/>
    <n v="64"/>
    <n v="208"/>
    <s v="Conflits liés à GANE (BH)"/>
    <m/>
    <s v="Autre pays"/>
    <s v="NGA"/>
    <s v="Nigéria"/>
    <s v="NGA009"/>
    <s v="Cross River"/>
    <m/>
    <m/>
    <m/>
    <m/>
  </r>
  <r>
    <s v="Extrême-Nord"/>
    <s v="CMR004"/>
    <x v="2"/>
    <s v="CMR004002"/>
    <x v="8"/>
    <s v="CMR004002009"/>
    <s v="MAK-0184"/>
    <s v="ABANKOURI"/>
    <m/>
    <x v="1"/>
    <x v="3"/>
    <n v="10"/>
    <n v="32"/>
    <s v="Conflits liés à GANE (BH)"/>
    <m/>
    <s v="Autre pays"/>
    <s v="NGA"/>
    <s v="Nigéria"/>
    <s v="NGA036"/>
    <s v="Yobe"/>
    <m/>
    <m/>
    <m/>
    <m/>
  </r>
  <r>
    <s v="Extrême-Nord"/>
    <s v="CMR004"/>
    <x v="2"/>
    <s v="CMR004002"/>
    <x v="8"/>
    <s v="CMR004002009"/>
    <s v="MAK-0086"/>
    <s v="NGOUMA"/>
    <m/>
    <x v="1"/>
    <x v="0"/>
    <n v="18"/>
    <n v="96"/>
    <s v="Conflits liés à GANE (BH)"/>
    <m/>
    <s v="Autre pays"/>
    <s v="NGA"/>
    <s v="Nigéria"/>
    <s v="NGA008"/>
    <s v="Borno"/>
    <m/>
    <m/>
    <m/>
    <m/>
  </r>
  <r>
    <s v="Extrême-Nord"/>
    <s v="CMR004"/>
    <x v="4"/>
    <s v="CMR004005"/>
    <x v="17"/>
    <s v="CMR004005002"/>
    <s v="MOR-0070"/>
    <s v="SERADOUMDA"/>
    <m/>
    <x v="1"/>
    <x v="0"/>
    <n v="1"/>
    <n v="5"/>
    <s v="Conflits liés à GANE (BH)"/>
    <m/>
    <s v="Autre pays"/>
    <s v="NGA"/>
    <s v="Nigéria"/>
    <s v="NGA002"/>
    <s v="Adamawa"/>
    <m/>
    <m/>
    <m/>
    <m/>
  </r>
  <r>
    <s v="Extrême-Nord"/>
    <s v="CMR004"/>
    <x v="4"/>
    <s v="CMR004005"/>
    <x v="17"/>
    <s v="CMR004005002"/>
    <s v="MOR-0070"/>
    <s v="SERADOUMDA"/>
    <m/>
    <x v="1"/>
    <x v="4"/>
    <n v="0"/>
    <n v="1"/>
    <s v="Conflits liés à GANE (BH)"/>
    <m/>
    <s v="Autre pays"/>
    <s v="NGA"/>
    <s v="Nigéria"/>
    <s v="NGA002"/>
    <s v="Adamawa"/>
    <m/>
    <m/>
    <m/>
    <m/>
  </r>
  <r>
    <s v="Extrême-Nord"/>
    <s v="CMR004"/>
    <x v="4"/>
    <s v="CMR004005"/>
    <x v="17"/>
    <s v="CMR004005002"/>
    <s v="MOR-0070"/>
    <s v="SERADOUMDA"/>
    <m/>
    <x v="1"/>
    <x v="3"/>
    <n v="2"/>
    <n v="12"/>
    <s v="Conflits liés à GANE (BH)"/>
    <m/>
    <s v="Autre pays"/>
    <s v="NGA"/>
    <s v="Nigéria"/>
    <s v="NGA002"/>
    <s v="Adamawa"/>
    <m/>
    <m/>
    <m/>
    <m/>
  </r>
  <r>
    <s v="Extrême-Nord"/>
    <s v="CMR004"/>
    <x v="4"/>
    <s v="CMR004005"/>
    <x v="17"/>
    <s v="CMR004005002"/>
    <s v="MOR-0070"/>
    <s v="SERADOUMDA"/>
    <m/>
    <x v="1"/>
    <x v="2"/>
    <n v="0"/>
    <n v="2"/>
    <s v="Conflits liés à GANE (BH)"/>
    <m/>
    <s v="Autre pays"/>
    <s v="NGA"/>
    <s v="Nigéria"/>
    <s v="NGA002"/>
    <s v="Adamawa"/>
    <m/>
    <m/>
    <m/>
    <m/>
  </r>
  <r>
    <s v="Extrême-Nord"/>
    <s v="CMR004"/>
    <x v="4"/>
    <s v="CMR004005"/>
    <x v="17"/>
    <s v="CMR004005002"/>
    <s v="MOR-0078"/>
    <s v="TALLA LAWAN"/>
    <m/>
    <x v="1"/>
    <x v="1"/>
    <n v="5"/>
    <n v="37"/>
    <s v="Conflits liés à GANE (BH)"/>
    <m/>
    <s v="Autre pays"/>
    <s v="NGA"/>
    <s v="Nigéria"/>
    <s v="NGA002"/>
    <s v="Adamawa"/>
    <m/>
    <m/>
    <m/>
    <m/>
  </r>
  <r>
    <s v="Extrême-Nord"/>
    <s v="CMR004"/>
    <x v="4"/>
    <s v="CMR004005"/>
    <x v="17"/>
    <s v="CMR004005002"/>
    <s v="MOR-0078"/>
    <s v="TALLA LAWAN"/>
    <m/>
    <x v="1"/>
    <x v="4"/>
    <n v="2"/>
    <n v="27"/>
    <s v="Conflits liés à GANE (BH)"/>
    <m/>
    <s v="Autre pays"/>
    <s v="NGA"/>
    <s v="Nigéria"/>
    <s v="NGA002"/>
    <s v="Adamawa"/>
    <m/>
    <m/>
    <m/>
    <m/>
  </r>
  <r>
    <s v="Extrême-Nord"/>
    <s v="CMR004"/>
    <x v="4"/>
    <s v="CMR004005"/>
    <x v="17"/>
    <s v="CMR004005002"/>
    <s v="MOR-0078"/>
    <s v="TALLA LAWAN"/>
    <m/>
    <x v="1"/>
    <x v="3"/>
    <n v="0"/>
    <n v="13"/>
    <s v="Conflits liés à GANE (BH)"/>
    <m/>
    <s v="Autre pays"/>
    <s v="NGA"/>
    <s v="Nigéria"/>
    <s v="NGA002"/>
    <s v="Adamawa"/>
    <m/>
    <m/>
    <m/>
    <m/>
  </r>
  <r>
    <s v="Extrême-Nord"/>
    <s v="CMR004"/>
    <x v="4"/>
    <s v="CMR004005"/>
    <x v="17"/>
    <s v="CMR004005002"/>
    <s v="MOR-0078"/>
    <s v="TALLA LAWAN"/>
    <m/>
    <x v="1"/>
    <x v="2"/>
    <n v="0"/>
    <n v="8"/>
    <s v="Conflits liés à GANE (BH)"/>
    <m/>
    <s v="Autre pays"/>
    <s v="NGA"/>
    <s v="Nigéria"/>
    <s v="NGA002"/>
    <s v="Adamawa"/>
    <m/>
    <m/>
    <m/>
    <m/>
  </r>
  <r>
    <s v="Extrême-Nord"/>
    <s v="CMR004"/>
    <x v="4"/>
    <s v="CMR004005"/>
    <x v="17"/>
    <s v="CMR004005002"/>
    <s v="MOR-0061"/>
    <s v="DJAMPALA"/>
    <m/>
    <x v="1"/>
    <x v="0"/>
    <n v="15"/>
    <n v="30"/>
    <s v="Conflits liés à GANE (BH)"/>
    <m/>
    <s v="Autre pays"/>
    <s v="NGA"/>
    <s v="Nigéria"/>
    <s v="NGA002"/>
    <s v="Adamawa"/>
    <m/>
    <m/>
    <m/>
    <m/>
  </r>
  <r>
    <s v="Extrême-Nord"/>
    <s v="CMR004"/>
    <x v="4"/>
    <s v="CMR004005"/>
    <x v="17"/>
    <s v="CMR004005002"/>
    <s v="MOR-0061"/>
    <s v="DJAMPALA"/>
    <m/>
    <x v="1"/>
    <x v="4"/>
    <n v="0"/>
    <n v="2"/>
    <s v="Conflits liés à GANE (BH)"/>
    <m/>
    <s v="Autre pays"/>
    <s v="NGA"/>
    <s v="Nigéria"/>
    <s v="NGA002"/>
    <s v="Adamawa"/>
    <m/>
    <m/>
    <m/>
    <m/>
  </r>
  <r>
    <s v="Extrême-Nord"/>
    <s v="CMR004"/>
    <x v="4"/>
    <s v="CMR004005"/>
    <x v="17"/>
    <s v="CMR004005002"/>
    <s v="MOR-0061"/>
    <s v="DJAMPALA"/>
    <m/>
    <x v="1"/>
    <x v="3"/>
    <n v="0"/>
    <n v="27"/>
    <s v="Conflits liés à GANE (BH)"/>
    <m/>
    <s v="Autre pays"/>
    <s v="NGA"/>
    <s v="Nigéria"/>
    <s v="NGA002"/>
    <s v="Adamawa"/>
    <m/>
    <m/>
    <m/>
    <m/>
  </r>
  <r>
    <s v="Extrême-Nord"/>
    <s v="CMR004"/>
    <x v="4"/>
    <s v="CMR004005"/>
    <x v="17"/>
    <s v="CMR004005002"/>
    <s v="MOR-0061"/>
    <s v="DJAMPALA"/>
    <m/>
    <x v="1"/>
    <x v="2"/>
    <n v="0"/>
    <n v="4"/>
    <s v="Conflits liés à GANE (BH)"/>
    <m/>
    <s v="Autre pays"/>
    <s v="NGA"/>
    <s v="Nigéria"/>
    <s v="NGA002"/>
    <s v="Adamawa"/>
    <m/>
    <m/>
    <m/>
    <m/>
  </r>
  <r>
    <s v="Extrême-Nord"/>
    <s v="CMR004"/>
    <x v="1"/>
    <s v="CMR004006"/>
    <x v="39"/>
    <s v="CMR004006001"/>
    <s v="MOG-0001"/>
    <s v="GOURIA"/>
    <m/>
    <x v="1"/>
    <x v="0"/>
    <n v="3"/>
    <n v="20"/>
    <s v="Conflits liés à GANE (BH)"/>
    <m/>
    <s v="Autre pays"/>
    <s v="NGA"/>
    <s v="Nigéria"/>
    <s v="NGA002"/>
    <s v="Adamawa"/>
    <m/>
    <m/>
    <m/>
    <m/>
  </r>
  <r>
    <s v="Extrême-Nord"/>
    <s v="CMR004"/>
    <x v="1"/>
    <s v="CMR004006"/>
    <x v="39"/>
    <s v="CMR004006001"/>
    <s v="MOG-0001"/>
    <s v="GOURIA"/>
    <m/>
    <x v="1"/>
    <x v="4"/>
    <n v="0"/>
    <n v="5"/>
    <s v="Conflits liés à GANE (BH)"/>
    <m/>
    <s v="Autre pays"/>
    <s v="NGA"/>
    <s v="Nigéria"/>
    <s v="NGA002"/>
    <s v="Adamawa"/>
    <m/>
    <m/>
    <m/>
    <m/>
  </r>
  <r>
    <s v="Extrême-Nord"/>
    <s v="CMR004"/>
    <x v="1"/>
    <s v="CMR004006"/>
    <x v="39"/>
    <s v="CMR004006001"/>
    <s v="MOG-0005"/>
    <s v="MOGODE"/>
    <m/>
    <x v="1"/>
    <x v="0"/>
    <n v="12"/>
    <n v="129"/>
    <s v="Conflits liés à GANE (BH)"/>
    <m/>
    <s v="Autre pays"/>
    <s v="NGA"/>
    <s v="Nigéria"/>
    <s v="NGA002"/>
    <s v="Adamawa"/>
    <m/>
    <m/>
    <m/>
    <m/>
  </r>
  <r>
    <s v="Extrême-Nord"/>
    <s v="CMR004"/>
    <x v="1"/>
    <s v="CMR004006"/>
    <x v="39"/>
    <s v="CMR004006001"/>
    <s v="MOG-0005"/>
    <s v="MOGODE"/>
    <m/>
    <x v="1"/>
    <x v="1"/>
    <n v="1"/>
    <n v="6"/>
    <s v="Conflits liés à GANE (BH)"/>
    <m/>
    <s v="Autre pays"/>
    <s v="NGA"/>
    <s v="Nigéria"/>
    <s v="NGA002"/>
    <s v="Adamawa"/>
    <m/>
    <m/>
    <m/>
    <m/>
  </r>
  <r>
    <s v="Extrême-Nord"/>
    <s v="CMR004"/>
    <x v="1"/>
    <s v="CMR004006"/>
    <x v="39"/>
    <s v="CMR004006001"/>
    <s v="MOG-0005"/>
    <s v="MOGODE"/>
    <m/>
    <x v="1"/>
    <x v="4"/>
    <n v="0"/>
    <n v="4"/>
    <s v="Conflits liés à GANE (BH)"/>
    <m/>
    <s v="Autre pays"/>
    <s v="NGA"/>
    <s v="Nigéria"/>
    <s v="NGA002"/>
    <s v="Adamawa"/>
    <m/>
    <m/>
    <m/>
    <m/>
  </r>
  <r>
    <s v="Extrême-Nord"/>
    <s v="CMR004"/>
    <x v="1"/>
    <s v="CMR004006"/>
    <x v="39"/>
    <s v="CMR004006001"/>
    <s v="MOG-0005"/>
    <s v="MOGODE"/>
    <m/>
    <x v="1"/>
    <x v="3"/>
    <n v="0"/>
    <n v="5"/>
    <s v="Conflits liés à GANE (BH)"/>
    <m/>
    <s v="Autre pays"/>
    <s v="NGA"/>
    <s v="Nigéria"/>
    <s v="NGA002"/>
    <s v="Adamawa"/>
    <m/>
    <m/>
    <m/>
    <m/>
  </r>
  <r>
    <s v="Extrême-Nord"/>
    <s v="CMR004"/>
    <x v="1"/>
    <s v="CMR004006"/>
    <x v="39"/>
    <s v="CMR004006001"/>
    <s v="MOG-0008"/>
    <s v="RHUMSIKI"/>
    <m/>
    <x v="1"/>
    <x v="0"/>
    <n v="15"/>
    <n v="74"/>
    <s v="Conflits liés à GANE (BH)"/>
    <m/>
    <s v="Autre pays"/>
    <s v="NGA"/>
    <s v="Nigéria"/>
    <s v="NGA002"/>
    <s v="Adamawa"/>
    <m/>
    <m/>
    <m/>
    <m/>
  </r>
  <r>
    <s v="Extrême-Nord"/>
    <s v="CMR004"/>
    <x v="1"/>
    <s v="CMR004006"/>
    <x v="39"/>
    <s v="CMR004006001"/>
    <s v="MOG-0008"/>
    <s v="RHUMSIKI"/>
    <m/>
    <x v="1"/>
    <x v="1"/>
    <n v="0"/>
    <n v="1"/>
    <s v="Conflits liés à GANE (BH)"/>
    <m/>
    <s v="Autre pays"/>
    <s v="NGA"/>
    <s v="Nigéria"/>
    <s v="NGA002"/>
    <s v="Adamawa"/>
    <m/>
    <m/>
    <m/>
    <m/>
  </r>
  <r>
    <s v="Extrême-Nord"/>
    <s v="CMR004"/>
    <x v="1"/>
    <s v="CMR004006"/>
    <x v="39"/>
    <s v="CMR004006001"/>
    <s v="MOG-0008"/>
    <s v="RHUMSIKI"/>
    <m/>
    <x v="1"/>
    <x v="4"/>
    <n v="0"/>
    <n v="2"/>
    <s v="Conflits liés à GANE (BH)"/>
    <m/>
    <s v="Autre pays"/>
    <s v="NGA"/>
    <s v="Nigéria"/>
    <s v="NGA002"/>
    <s v="Adamawa"/>
    <m/>
    <m/>
    <m/>
    <m/>
  </r>
  <r>
    <s v="Extrême-Nord"/>
    <s v="CMR004"/>
    <x v="1"/>
    <s v="CMR004006"/>
    <x v="39"/>
    <s v="CMR004006001"/>
    <s v="MOG-0008"/>
    <s v="RHUMSIKI"/>
    <m/>
    <x v="1"/>
    <x v="3"/>
    <n v="0"/>
    <n v="4"/>
    <s v="Conflits liés à GANE (BH)"/>
    <m/>
    <s v="Autre pays"/>
    <s v="NGA"/>
    <s v="Nigéria"/>
    <s v="NGA002"/>
    <s v="Adamawa"/>
    <m/>
    <m/>
    <m/>
    <m/>
  </r>
  <r>
    <s v="Extrême-Nord"/>
    <s v="CMR004"/>
    <x v="1"/>
    <s v="CMR004006"/>
    <x v="39"/>
    <s v="CMR004006001"/>
    <s v="MOG-0008"/>
    <s v="RHUMSIKI"/>
    <m/>
    <x v="1"/>
    <x v="2"/>
    <n v="1"/>
    <n v="5"/>
    <s v="Conflits liés à GANE (BH)"/>
    <m/>
    <s v="Autre pays"/>
    <s v="NGA"/>
    <s v="Nigéria"/>
    <s v="NGA002"/>
    <s v="Adamawa"/>
    <m/>
    <m/>
    <m/>
    <m/>
  </r>
  <r>
    <s v="Extrême-Nord"/>
    <s v="CMR004"/>
    <x v="1"/>
    <s v="CMR004006"/>
    <x v="39"/>
    <s v="CMR004006001"/>
    <s v="MOG-0009"/>
    <s v="RHUMZU"/>
    <m/>
    <x v="1"/>
    <x v="0"/>
    <n v="11"/>
    <n v="15"/>
    <s v="Conflits liés à GANE (BH)"/>
    <m/>
    <s v="Autre pays"/>
    <s v="NGA"/>
    <s v="Nigéria"/>
    <s v="NGA002"/>
    <s v="Adamawa"/>
    <m/>
    <m/>
    <m/>
    <m/>
  </r>
  <r>
    <s v="Extrême-Nord"/>
    <s v="CMR004"/>
    <x v="1"/>
    <s v="CMR004006"/>
    <x v="39"/>
    <s v="CMR004006001"/>
    <s v="MOG-0009"/>
    <s v="RHUMZU"/>
    <m/>
    <x v="1"/>
    <x v="4"/>
    <n v="0"/>
    <n v="1"/>
    <s v="Conflits liés à GANE (BH)"/>
    <m/>
    <s v="Autre pays"/>
    <s v="NGA"/>
    <s v="Nigéria"/>
    <s v="NGA002"/>
    <s v="Adamawa"/>
    <m/>
    <m/>
    <m/>
    <m/>
  </r>
  <r>
    <s v="Extrême-Nord"/>
    <s v="CMR004"/>
    <x v="1"/>
    <s v="CMR004006"/>
    <x v="39"/>
    <s v="CMR004006001"/>
    <s v="MOG-0009"/>
    <s v="RHUMZU"/>
    <m/>
    <x v="1"/>
    <x v="3"/>
    <n v="0"/>
    <n v="3"/>
    <s v="Conflits liés à GANE (BH)"/>
    <m/>
    <s v="Autre pays"/>
    <s v="NGA"/>
    <s v="Nigéria"/>
    <s v="NGA002"/>
    <s v="Adamawa"/>
    <m/>
    <m/>
    <m/>
    <m/>
  </r>
  <r>
    <s v="Extrême-Nord"/>
    <s v="CMR004"/>
    <x v="1"/>
    <s v="CMR004006"/>
    <x v="39"/>
    <s v="CMR004006001"/>
    <s v="MOG-0013"/>
    <s v="YELLE"/>
    <m/>
    <x v="1"/>
    <x v="0"/>
    <n v="20"/>
    <n v="179"/>
    <s v="Conflits liés à GANE (BH)"/>
    <m/>
    <s v="Autre pays"/>
    <s v="NGA"/>
    <s v="Nigéria"/>
    <s v="NGA002"/>
    <s v="Adamawa"/>
    <m/>
    <m/>
    <m/>
    <m/>
  </r>
  <r>
    <s v="Extrême-Nord"/>
    <s v="CMR004"/>
    <x v="1"/>
    <s v="CMR004006"/>
    <x v="39"/>
    <s v="CMR004006001"/>
    <s v="MOG-0013"/>
    <s v="YELLE"/>
    <m/>
    <x v="1"/>
    <x v="4"/>
    <n v="1"/>
    <n v="7"/>
    <s v="Conflits liés à GANE (BH)"/>
    <m/>
    <s v="Autre pays"/>
    <s v="NGA"/>
    <s v="Nigéria"/>
    <s v="NGA002"/>
    <s v="Adamawa"/>
    <m/>
    <m/>
    <m/>
    <m/>
  </r>
  <r>
    <s v="Extrême-Nord"/>
    <s v="CMR004"/>
    <x v="1"/>
    <s v="CMR004006"/>
    <x v="39"/>
    <s v="CMR004006001"/>
    <s v="MOG-0013"/>
    <s v="YELLE"/>
    <m/>
    <x v="1"/>
    <x v="3"/>
    <n v="0"/>
    <n v="3"/>
    <s v="Conflits liés à GANE (BH)"/>
    <m/>
    <s v="Autre pays"/>
    <s v="NGA"/>
    <s v="Nigéria"/>
    <s v="NGA002"/>
    <s v="Adamawa"/>
    <m/>
    <m/>
    <m/>
    <m/>
  </r>
  <r>
    <s v="Extrême-Nord"/>
    <s v="CMR004"/>
    <x v="1"/>
    <s v="CMR004006"/>
    <x v="39"/>
    <s v="CMR004006001"/>
    <s v="MOG-0010"/>
    <s v="SIR"/>
    <m/>
    <x v="1"/>
    <x v="0"/>
    <n v="21"/>
    <n v="121"/>
    <s v="Conflits liés à GANE (BH)"/>
    <m/>
    <s v="Autre pays"/>
    <s v="NGA"/>
    <s v="Nigéria"/>
    <s v="NGA002"/>
    <s v="Adamawa"/>
    <m/>
    <m/>
    <m/>
    <m/>
  </r>
  <r>
    <s v="Extrême-Nord"/>
    <s v="CMR004"/>
    <x v="1"/>
    <s v="CMR004006"/>
    <x v="39"/>
    <s v="CMR004006001"/>
    <s v="MOG-0010"/>
    <s v="SIR"/>
    <m/>
    <x v="1"/>
    <x v="1"/>
    <n v="0"/>
    <n v="4"/>
    <s v="Conflits liés à GANE (BH)"/>
    <m/>
    <s v="Autre pays"/>
    <s v="NGA"/>
    <s v="Nigéria"/>
    <s v="NGA002"/>
    <s v="Adamawa"/>
    <m/>
    <m/>
    <m/>
    <m/>
  </r>
  <r>
    <s v="Extrême-Nord"/>
    <s v="CMR004"/>
    <x v="1"/>
    <s v="CMR004006"/>
    <x v="39"/>
    <s v="CMR004006001"/>
    <s v="MOG-0010"/>
    <s v="SIR"/>
    <m/>
    <x v="1"/>
    <x v="4"/>
    <n v="0"/>
    <n v="5"/>
    <s v="Conflits liés à GANE (BH)"/>
    <m/>
    <s v="Autre pays"/>
    <s v="NGA"/>
    <s v="Nigéria"/>
    <s v="NGA002"/>
    <s v="Adamawa"/>
    <m/>
    <m/>
    <m/>
    <m/>
  </r>
  <r>
    <s v="Extrême-Nord"/>
    <s v="CMR004"/>
    <x v="1"/>
    <s v="CMR004006"/>
    <x v="39"/>
    <s v="CMR004006001"/>
    <s v="MOG-0010"/>
    <s v="SIR"/>
    <m/>
    <x v="1"/>
    <x v="3"/>
    <n v="0"/>
    <n v="4"/>
    <s v="Conflits liés à GANE (BH)"/>
    <m/>
    <s v="Autre pays"/>
    <s v="NGA"/>
    <s v="Nigéria"/>
    <s v="NGA002"/>
    <s v="Adamawa"/>
    <m/>
    <m/>
    <m/>
    <m/>
  </r>
  <r>
    <s v="Extrême-Nord"/>
    <s v="CMR004"/>
    <x v="1"/>
    <s v="CMR004006"/>
    <x v="39"/>
    <s v="CMR004006001"/>
    <s v="MOG-0011"/>
    <s v="TEKI"/>
    <m/>
    <x v="1"/>
    <x v="0"/>
    <n v="3"/>
    <n v="16"/>
    <s v="Conflits liés à GANE (BH)"/>
    <m/>
    <s v="Autre pays"/>
    <s v="NGA"/>
    <s v="Nigéria"/>
    <s v="NGA002"/>
    <s v="Adamawa"/>
    <m/>
    <m/>
    <m/>
    <m/>
  </r>
  <r>
    <s v="Extrême-Nord"/>
    <s v="CMR004"/>
    <x v="1"/>
    <s v="CMR004006"/>
    <x v="39"/>
    <s v="CMR004006001"/>
    <s v="MOG-0011"/>
    <s v="TEKI"/>
    <m/>
    <x v="1"/>
    <x v="4"/>
    <n v="0"/>
    <n v="1"/>
    <s v="Conflits liés à GANE (BH)"/>
    <m/>
    <s v="Autre pays"/>
    <s v="NGA"/>
    <s v="Nigéria"/>
    <s v="NGA002"/>
    <s v="Adamawa"/>
    <m/>
    <m/>
    <m/>
    <m/>
  </r>
  <r>
    <s v="Extrême-Nord"/>
    <s v="CMR004"/>
    <x v="1"/>
    <s v="CMR004006"/>
    <x v="39"/>
    <s v="CMR004006001"/>
    <s v="MOG-0011"/>
    <s v="TEKI"/>
    <m/>
    <x v="1"/>
    <x v="3"/>
    <n v="0"/>
    <n v="2"/>
    <s v="Conflits liés à GANE (BH)"/>
    <m/>
    <s v="Autre pays"/>
    <s v="NGA"/>
    <s v="Nigéria"/>
    <s v="NGA002"/>
    <s v="Adamawa"/>
    <m/>
    <m/>
    <m/>
    <m/>
  </r>
  <r>
    <s v="Extrême-Nord"/>
    <s v="CMR004"/>
    <x v="2"/>
    <s v="CMR004002"/>
    <x v="12"/>
    <s v="CMR004002002"/>
    <s v="GOU-0055"/>
    <s v="AMFARA 5"/>
    <m/>
    <x v="1"/>
    <x v="3"/>
    <n v="1"/>
    <n v="2"/>
    <s v="Conflits liés à GANE (BH)"/>
    <m/>
    <s v="Autre pays"/>
    <s v="NGA"/>
    <s v="Nigéria"/>
    <s v="CAR071"/>
    <s v="Bayelsa"/>
    <m/>
    <m/>
    <m/>
    <m/>
  </r>
  <r>
    <s v="Extrême-Nord"/>
    <s v="CMR004"/>
    <x v="2"/>
    <s v="CMR004002"/>
    <x v="12"/>
    <s v="CMR004002002"/>
    <s v="GOU-0031"/>
    <s v="TOE 2"/>
    <m/>
    <x v="1"/>
    <x v="0"/>
    <n v="5"/>
    <n v="15"/>
    <s v="Conflits liés à GANE (BH)"/>
    <m/>
    <s v="Autre pays"/>
    <s v="NGA"/>
    <s v="Nigéria"/>
    <s v="NGA001"/>
    <s v="Abia"/>
    <m/>
    <m/>
    <m/>
    <m/>
  </r>
  <r>
    <s v="Extrême-Nord"/>
    <s v="CMR004"/>
    <x v="2"/>
    <s v="CMR004002"/>
    <x v="8"/>
    <s v="CMR004002009"/>
    <s v="MAK-0124"/>
    <s v="AMSOUMOU"/>
    <m/>
    <x v="1"/>
    <x v="3"/>
    <n v="22"/>
    <n v="180"/>
    <s v="Conflits liés à GANE (BH)"/>
    <m/>
    <s v="Autre pays"/>
    <s v="NGA"/>
    <s v="Nigéria"/>
    <s v="NGA008"/>
    <s v="Borno"/>
    <m/>
    <m/>
    <m/>
    <m/>
  </r>
  <r>
    <s v="Extrême-Nord"/>
    <s v="CMR004"/>
    <x v="2"/>
    <s v="CMR004002"/>
    <x v="8"/>
    <s v="CMR004002009"/>
    <s v="MAK-0106"/>
    <s v="CHOU-SALAMAT"/>
    <m/>
    <x v="1"/>
    <x v="3"/>
    <n v="3"/>
    <n v="8"/>
    <s v="Conflits liés à GANE (BH)"/>
    <m/>
    <s v="Autre pays"/>
    <s v="NGA"/>
    <s v="Nigéria"/>
    <s v="NGA008"/>
    <s v="Borno"/>
    <m/>
    <m/>
    <m/>
    <m/>
  </r>
  <r>
    <s v="Extrême-Nord"/>
    <s v="CMR004"/>
    <x v="2"/>
    <s v="CMR004002"/>
    <x v="8"/>
    <s v="CMR004002009"/>
    <s v="MAK-0106"/>
    <s v="CHOU-SALAMAT"/>
    <m/>
    <x v="1"/>
    <x v="2"/>
    <n v="2"/>
    <n v="3"/>
    <s v="Inondations saisonnières ou fortes pluies"/>
    <m/>
    <s v="Autre pays"/>
    <s v="NGA"/>
    <s v="Nigéria"/>
    <s v="NGA008"/>
    <s v="Borno"/>
    <m/>
    <m/>
    <m/>
    <m/>
  </r>
  <r>
    <s v="Extrême-Nord"/>
    <s v="CMR004"/>
    <x v="2"/>
    <s v="CMR004002"/>
    <x v="8"/>
    <s v="CMR004002009"/>
    <s v="MAK-0105"/>
    <s v="CHOU-KOTOKO"/>
    <m/>
    <x v="1"/>
    <x v="3"/>
    <n v="9"/>
    <n v="12"/>
    <s v="Conflits liés à GANE (BH)"/>
    <m/>
    <s v="Autre pays"/>
    <s v="NGA"/>
    <s v="Nigéria"/>
    <s v="NGA008"/>
    <s v="Borno"/>
    <m/>
    <m/>
    <m/>
    <m/>
  </r>
  <r>
    <s v="Extrême-Nord"/>
    <s v="CMR004"/>
    <x v="2"/>
    <s v="CMR004002"/>
    <x v="8"/>
    <s v="CMR004002009"/>
    <s v="MAK-0115"/>
    <s v="NGORTCHONO 2"/>
    <m/>
    <x v="1"/>
    <x v="3"/>
    <n v="19"/>
    <n v="154"/>
    <s v="Conflits liés à GANE (BH)"/>
    <m/>
    <s v="Autre pays"/>
    <s v="NGA"/>
    <s v="Nigéria"/>
    <s v="NGA008"/>
    <s v="Borno"/>
    <m/>
    <m/>
    <m/>
    <m/>
  </r>
  <r>
    <s v="Extrême-Nord"/>
    <s v="CMR004"/>
    <x v="2"/>
    <s v="CMR004002"/>
    <x v="8"/>
    <s v="CMR004002009"/>
    <s v="MAK-0153"/>
    <s v="BLO"/>
    <m/>
    <x v="1"/>
    <x v="3"/>
    <n v="47"/>
    <n v="422"/>
    <s v="Conflits liés à GANE (BH)"/>
    <m/>
    <s v="Autre pays"/>
    <s v="NGA"/>
    <s v="Nigéria"/>
    <s v="NGA008"/>
    <s v="Borno"/>
    <m/>
    <m/>
    <m/>
    <m/>
  </r>
  <r>
    <s v="Extrême-Nord"/>
    <s v="CMR004"/>
    <x v="2"/>
    <s v="CMR004002"/>
    <x v="8"/>
    <s v="CMR004002009"/>
    <s v="MAK-0103"/>
    <s v="NGOURNOU"/>
    <m/>
    <x v="1"/>
    <x v="3"/>
    <n v="42"/>
    <n v="152"/>
    <s v="Conflits liés à GANE (BH)"/>
    <m/>
    <s v="Autre pays"/>
    <s v="NGA"/>
    <s v="Nigéria"/>
    <s v="NGA008"/>
    <s v="Borno"/>
    <m/>
    <m/>
    <m/>
    <m/>
  </r>
  <r>
    <s v="Extrême-Nord"/>
    <s v="CMR004"/>
    <x v="2"/>
    <s v="CMR004002"/>
    <x v="8"/>
    <s v="CMR004002009"/>
    <s v="MAK-0101"/>
    <s v="MBEE"/>
    <m/>
    <x v="1"/>
    <x v="3"/>
    <n v="16"/>
    <n v="83"/>
    <s v="Conflits liés à GANE (BH)"/>
    <m/>
    <s v="Autre pays"/>
    <s v="NGA"/>
    <s v="Nigéria"/>
    <s v="NGA008"/>
    <s v="Borno"/>
    <m/>
    <m/>
    <m/>
    <m/>
  </r>
  <r>
    <s v="Extrême-Nord"/>
    <s v="CMR004"/>
    <x v="2"/>
    <s v="CMR004002"/>
    <x v="8"/>
    <s v="CMR004002009"/>
    <s v="MAK-0207"/>
    <s v="SITE DE MAFOUFOU"/>
    <m/>
    <x v="1"/>
    <x v="3"/>
    <n v="37"/>
    <n v="116"/>
    <s v="Conflits liés à GANE (BH)"/>
    <m/>
    <s v="Autre pays"/>
    <s v="NGA"/>
    <s v="Nigéria"/>
    <s v="NGA008"/>
    <s v="Borno"/>
    <m/>
    <m/>
    <m/>
    <m/>
  </r>
  <r>
    <s v="Extrême-Nord"/>
    <s v="CMR004"/>
    <x v="1"/>
    <s v="CMR004006"/>
    <x v="39"/>
    <s v="CMR004006001"/>
    <s v="MOG-0006"/>
    <s v="NORA"/>
    <m/>
    <x v="1"/>
    <x v="0"/>
    <n v="6"/>
    <n v="29"/>
    <s v="Conflits liés à GANE (BH)"/>
    <m/>
    <s v="Autre pays"/>
    <s v="NGA"/>
    <s v="Nigéria"/>
    <s v="NGA002"/>
    <s v="Adamawa"/>
    <m/>
    <m/>
    <m/>
    <m/>
  </r>
  <r>
    <s v="Extrême-Nord"/>
    <s v="CMR004"/>
    <x v="1"/>
    <s v="CMR004006"/>
    <x v="39"/>
    <s v="CMR004006001"/>
    <s v="MOG-0006"/>
    <s v="NORA"/>
    <m/>
    <x v="1"/>
    <x v="4"/>
    <n v="0"/>
    <n v="2"/>
    <s v="Conflits liés à GANE (BH)"/>
    <m/>
    <s v="Autre pays"/>
    <s v="NGA"/>
    <s v="Nigéria"/>
    <s v="NGA002"/>
    <s v="Adamawa"/>
    <m/>
    <m/>
    <m/>
    <m/>
  </r>
  <r>
    <s v="Extrême-Nord"/>
    <s v="CMR004"/>
    <x v="1"/>
    <s v="CMR004006"/>
    <x v="39"/>
    <s v="CMR004006001"/>
    <s v="MOG-0006"/>
    <s v="NORA"/>
    <m/>
    <x v="1"/>
    <x v="3"/>
    <n v="0"/>
    <n v="2"/>
    <s v="Conflits liés à GANE (BH)"/>
    <m/>
    <s v="Autre pays"/>
    <s v="NGA"/>
    <s v="Nigéria"/>
    <s v="NGA002"/>
    <s v="Adamawa"/>
    <m/>
    <m/>
    <m/>
    <m/>
  </r>
  <r>
    <s v="Extrême-Nord"/>
    <s v="CMR004"/>
    <x v="1"/>
    <s v="CMR004006"/>
    <x v="39"/>
    <s v="CMR004006001"/>
    <s v="MOG-0014"/>
    <s v="KORTCHI"/>
    <m/>
    <x v="1"/>
    <x v="0"/>
    <n v="2"/>
    <n v="11"/>
    <s v="Conflits liés à GANE (BH)"/>
    <m/>
    <s v="Autre pays"/>
    <s v="NGA"/>
    <s v="Nigéria"/>
    <s v="NGA002"/>
    <s v="Adamawa"/>
    <m/>
    <m/>
    <m/>
    <m/>
  </r>
  <r>
    <s v="Extrême-Nord"/>
    <s v="CMR004"/>
    <x v="1"/>
    <s v="CMR004006"/>
    <x v="39"/>
    <s v="CMR004006001"/>
    <s v="MOG-0014"/>
    <s v="KORTCHI"/>
    <m/>
    <x v="1"/>
    <x v="3"/>
    <n v="1"/>
    <n v="3"/>
    <s v="Conflits liés à GANE (BH)"/>
    <m/>
    <s v="Autre pays"/>
    <s v="NGA"/>
    <s v="Nigéria"/>
    <s v="NGA002"/>
    <s v="Adamawa"/>
    <m/>
    <m/>
    <m/>
    <m/>
  </r>
  <r>
    <s v="Extrême-Nord"/>
    <s v="CMR004"/>
    <x v="2"/>
    <s v="CMR004002"/>
    <x v="8"/>
    <s v="CMR004002009"/>
    <s v="MAK-0127"/>
    <s v="SITE DE BEDA"/>
    <m/>
    <x v="1"/>
    <x v="0"/>
    <n v="26"/>
    <n v="344"/>
    <s v="Conflits liés à GANE (BH)"/>
    <m/>
    <s v="Autre pays"/>
    <s v="NGA"/>
    <s v="Nigéria"/>
    <s v="NGA008"/>
    <s v="Borno"/>
    <m/>
    <m/>
    <m/>
    <m/>
  </r>
  <r>
    <s v="Extrême-Nord"/>
    <s v="CMR004"/>
    <x v="2"/>
    <s v="CMR004002"/>
    <x v="25"/>
    <s v="CMR004002008"/>
    <s v="FOT-0037"/>
    <s v="BIDI"/>
    <m/>
    <x v="1"/>
    <x v="0"/>
    <n v="6"/>
    <n v="43"/>
    <s v="Conflits liés à GANE (BH)"/>
    <m/>
    <s v="Autre pays"/>
    <s v="NGA"/>
    <s v="Nigéria"/>
    <s v="NGA008"/>
    <s v="Borno"/>
    <m/>
    <m/>
    <m/>
    <m/>
  </r>
  <r>
    <s v="Extrême-Nord"/>
    <s v="CMR004"/>
    <x v="2"/>
    <s v="CMR004002"/>
    <x v="25"/>
    <s v="CMR004002008"/>
    <s v="FOT-0037"/>
    <s v="BIDI"/>
    <m/>
    <x v="1"/>
    <x v="3"/>
    <n v="4"/>
    <n v="22"/>
    <s v="Conflits liés à GANE (BH)"/>
    <m/>
    <s v="Autre pays"/>
    <s v="NGA"/>
    <s v="Nigéria"/>
    <s v="NGA008"/>
    <s v="Borno"/>
    <m/>
    <m/>
    <m/>
    <m/>
  </r>
  <r>
    <s v="Extrême-Nord"/>
    <s v="CMR004"/>
    <x v="2"/>
    <s v="CMR004002"/>
    <x v="25"/>
    <s v="CMR004002008"/>
    <s v="FOT-0037"/>
    <s v="BIDI"/>
    <m/>
    <x v="1"/>
    <x v="4"/>
    <n v="7"/>
    <n v="28"/>
    <s v="Conflits liés à GANE (BH)"/>
    <m/>
    <s v="Autre pays"/>
    <s v="NGA"/>
    <s v="Nigéria"/>
    <s v="NGA008"/>
    <s v="Borno"/>
    <m/>
    <m/>
    <m/>
    <m/>
  </r>
  <r>
    <s v="Extrême-Nord"/>
    <s v="CMR004"/>
    <x v="2"/>
    <s v="CMR004002"/>
    <x v="25"/>
    <s v="CMR004002008"/>
    <s v="FOT-0007"/>
    <s v="KALOUE"/>
    <m/>
    <x v="1"/>
    <x v="0"/>
    <n v="2"/>
    <n v="18"/>
    <s v="Conflits liés à GANE (BH)"/>
    <m/>
    <s v="Autre pays"/>
    <s v="NGA"/>
    <s v="Nigéria"/>
    <s v="NGA008"/>
    <s v="Borno"/>
    <m/>
    <m/>
    <m/>
    <m/>
  </r>
  <r>
    <s v="Extrême-Nord"/>
    <s v="CMR004"/>
    <x v="2"/>
    <s v="CMR004002"/>
    <x v="9"/>
    <s v="CMR004002010"/>
    <s v="HIL-0022"/>
    <s v="FADJA"/>
    <m/>
    <x v="1"/>
    <x v="0"/>
    <n v="4"/>
    <n v="40"/>
    <s v="Conflits liés à GANE (BH)"/>
    <m/>
    <s v="Autre pays"/>
    <s v="NGA"/>
    <s v="Nigéria"/>
    <s v="NGA008"/>
    <s v="Borno"/>
    <m/>
    <m/>
    <m/>
    <m/>
  </r>
  <r>
    <s v="Extrême-Nord"/>
    <s v="CMR004"/>
    <x v="2"/>
    <s v="CMR004002"/>
    <x v="9"/>
    <s v="CMR004002010"/>
    <s v="HIL-0023"/>
    <s v="GONONI"/>
    <m/>
    <x v="1"/>
    <x v="0"/>
    <n v="4"/>
    <n v="31"/>
    <s v="Conflits liés à GANE (BH)"/>
    <m/>
    <s v="Autre pays"/>
    <s v="NGA"/>
    <s v="Nigéria"/>
    <s v="NGA008"/>
    <s v="Borno"/>
    <m/>
    <m/>
    <m/>
    <m/>
  </r>
  <r>
    <s v="Extrême-Nord"/>
    <s v="CMR004"/>
    <x v="1"/>
    <s v="CMR004006"/>
    <x v="7"/>
    <s v="CMR004006005"/>
    <s v="MOZ-0013"/>
    <s v="MANDOUSSA"/>
    <m/>
    <x v="1"/>
    <x v="0"/>
    <n v="17"/>
    <n v="85"/>
    <s v="Conflits liés à GANE (BH)"/>
    <m/>
    <s v="Autre pays"/>
    <s v="NGA"/>
    <s v="Nigéria"/>
    <s v="NGA008"/>
    <s v="Borno"/>
    <m/>
    <m/>
    <m/>
    <m/>
  </r>
  <r>
    <s v="Extrême-Nord"/>
    <s v="CMR004"/>
    <x v="2"/>
    <s v="CMR004002"/>
    <x v="9"/>
    <s v="CMR004002010"/>
    <s v="HIL-0016"/>
    <s v="DOUGOUMSILIO 2"/>
    <m/>
    <x v="1"/>
    <x v="0"/>
    <n v="7"/>
    <n v="49"/>
    <s v="Conflits liés à GANE (BH)"/>
    <m/>
    <s v="Autre pays"/>
    <s v="NGA"/>
    <s v="Nigéria"/>
    <s v="NGA008"/>
    <s v="Borno"/>
    <m/>
    <m/>
    <m/>
    <m/>
  </r>
  <r>
    <s v="Extrême-Nord"/>
    <s v="CMR004"/>
    <x v="2"/>
    <s v="CMR004002"/>
    <x v="8"/>
    <s v="CMR004002009"/>
    <s v="MAK-0100"/>
    <s v="KESSAWA"/>
    <m/>
    <x v="1"/>
    <x v="3"/>
    <n v="39"/>
    <n v="261"/>
    <s v="Conflits liés à GANE (BH)"/>
    <m/>
    <s v="Autre pays"/>
    <s v="NGA"/>
    <s v="Nigéria"/>
    <s v="NGA008"/>
    <s v="Borno"/>
    <m/>
    <m/>
    <m/>
    <m/>
  </r>
  <r>
    <s v="Extrême-Nord"/>
    <s v="CMR004"/>
    <x v="2"/>
    <s v="CMR004002"/>
    <x v="8"/>
    <s v="CMR004002009"/>
    <s v="MAK-0100"/>
    <s v="KESSAWA"/>
    <m/>
    <x v="1"/>
    <x v="2"/>
    <n v="10"/>
    <n v="80"/>
    <s v="Conflits liés à GANE (BH)"/>
    <m/>
    <s v="Autre pays"/>
    <s v="NGA"/>
    <s v="Nigéria"/>
    <s v="NGA009"/>
    <s v="Cross River"/>
    <m/>
    <m/>
    <m/>
    <m/>
  </r>
  <r>
    <s v="Extrême-Nord"/>
    <s v="CMR004"/>
    <x v="2"/>
    <s v="CMR004002"/>
    <x v="8"/>
    <s v="CMR004002009"/>
    <s v="MAK-0049"/>
    <s v="KESAWA"/>
    <m/>
    <x v="1"/>
    <x v="3"/>
    <n v="15"/>
    <n v="139"/>
    <s v="Conflits liés à GANE (BH)"/>
    <m/>
    <s v="Autre pays"/>
    <s v="NGA"/>
    <s v="Nigéria"/>
    <s v="NGA008"/>
    <s v="Borno"/>
    <m/>
    <m/>
    <m/>
    <m/>
  </r>
  <r>
    <s v="Extrême-Nord"/>
    <s v="CMR004"/>
    <x v="2"/>
    <s v="CMR004002"/>
    <x v="8"/>
    <s v="CMR004002009"/>
    <s v="MAK-0110"/>
    <s v="HELISNA"/>
    <m/>
    <x v="1"/>
    <x v="3"/>
    <n v="5"/>
    <n v="47"/>
    <s v="Conflits liés à GANE (BH)"/>
    <m/>
    <s v="Autre pays"/>
    <s v="NGA"/>
    <s v="Nigéria"/>
    <s v="NGA008"/>
    <s v="Borno"/>
    <m/>
    <m/>
    <m/>
    <m/>
  </r>
  <r>
    <s v="Extrême-Nord"/>
    <s v="CMR004"/>
    <x v="2"/>
    <s v="CMR004002"/>
    <x v="8"/>
    <s v="CMR004002009"/>
    <s v="MAK-0003"/>
    <s v="AFADE (village)"/>
    <m/>
    <x v="1"/>
    <x v="3"/>
    <n v="52"/>
    <n v="474"/>
    <s v="Conflits liés à GANE (BH)"/>
    <m/>
    <s v="Autre pays"/>
    <s v="NGA"/>
    <s v="Nigéria"/>
    <s v="NGA008"/>
    <s v="Borno"/>
    <m/>
    <m/>
    <m/>
    <m/>
  </r>
  <r>
    <s v="Extrême-Nord"/>
    <s v="CMR004"/>
    <x v="2"/>
    <s v="CMR004002"/>
    <x v="8"/>
    <s v="CMR004002009"/>
    <s v="MAK-0004"/>
    <s v="SITE DE AFADE"/>
    <m/>
    <x v="1"/>
    <x v="3"/>
    <n v="397"/>
    <n v="3500"/>
    <s v="Conflits liés à GANE (BH)"/>
    <m/>
    <s v="Autre pays"/>
    <s v="NGA"/>
    <s v="Nigéria"/>
    <s v="NGA008"/>
    <s v="Borno"/>
    <m/>
    <m/>
    <m/>
    <m/>
  </r>
  <r>
    <s v="Extrême-Nord"/>
    <s v="CMR004"/>
    <x v="2"/>
    <s v="CMR004002"/>
    <x v="13"/>
    <s v="CMR004002001"/>
    <s v="WAZ-0014"/>
    <s v="ZOLZALÉ"/>
    <m/>
    <x v="1"/>
    <x v="0"/>
    <n v="38"/>
    <n v="216"/>
    <s v="Conflits liés à GANE (BH)"/>
    <m/>
    <s v="Autre pays"/>
    <s v="NGA"/>
    <s v="Nigéria"/>
    <s v="NGA008"/>
    <s v="Borno"/>
    <m/>
    <m/>
    <m/>
    <m/>
  </r>
  <r>
    <s v="Extrême-Nord"/>
    <s v="CMR004"/>
    <x v="2"/>
    <s v="CMR004002"/>
    <x v="13"/>
    <s v="CMR004002001"/>
    <s v="WAZ-0014"/>
    <s v="ZOLZALÉ"/>
    <m/>
    <x v="1"/>
    <x v="1"/>
    <n v="0"/>
    <n v="4"/>
    <s v="Conflits liés à GANE (BH)"/>
    <m/>
    <s v="Autre pays"/>
    <s v="NGA"/>
    <s v="Nigéria"/>
    <s v="NGA008"/>
    <s v="Borno"/>
    <m/>
    <m/>
    <m/>
    <m/>
  </r>
  <r>
    <s v="Extrême-Nord"/>
    <s v="CMR004"/>
    <x v="2"/>
    <s v="CMR004002"/>
    <x v="13"/>
    <s v="CMR004002001"/>
    <s v="WAZ-0014"/>
    <s v="ZOLZALÉ"/>
    <m/>
    <x v="1"/>
    <x v="4"/>
    <n v="0"/>
    <n v="11"/>
    <s v="Conflits liés à GANE (BH)"/>
    <m/>
    <s v="Autre pays"/>
    <s v="NGA"/>
    <s v="Nigéria"/>
    <s v="NGA008"/>
    <s v="Borno"/>
    <m/>
    <m/>
    <m/>
    <m/>
  </r>
  <r>
    <s v="Extrême-Nord"/>
    <s v="CMR004"/>
    <x v="2"/>
    <s v="CMR004002"/>
    <x v="13"/>
    <s v="CMR004002001"/>
    <s v="WAZ-0014"/>
    <s v="ZOLZALÉ"/>
    <m/>
    <x v="1"/>
    <x v="3"/>
    <n v="0"/>
    <n v="4"/>
    <s v="Conflits liés à GANE (BH)"/>
    <m/>
    <s v="Autre pays"/>
    <s v="NGA"/>
    <s v="Nigéria"/>
    <s v="NGA008"/>
    <s v="Borno"/>
    <m/>
    <m/>
    <m/>
    <m/>
  </r>
  <r>
    <s v="Extrême-Nord"/>
    <s v="CMR004"/>
    <x v="2"/>
    <s v="CMR004002"/>
    <x v="13"/>
    <s v="CMR004002001"/>
    <s v="WAZ-0004"/>
    <s v="MADA 1"/>
    <m/>
    <x v="1"/>
    <x v="0"/>
    <n v="40"/>
    <n v="175"/>
    <s v="Conflits liés à GANE (BH)"/>
    <m/>
    <s v="Autre pays"/>
    <s v="NGA"/>
    <s v="Nigéria"/>
    <s v="NGA008"/>
    <s v="Borno"/>
    <m/>
    <m/>
    <m/>
    <m/>
  </r>
  <r>
    <s v="Extrême-Nord"/>
    <s v="CMR004"/>
    <x v="2"/>
    <s v="CMR004002"/>
    <x v="13"/>
    <s v="CMR004002001"/>
    <s v="WAZ-0004"/>
    <s v="MADA 1"/>
    <m/>
    <x v="1"/>
    <x v="1"/>
    <n v="0"/>
    <n v="15"/>
    <s v="Conflits liés à GANE (BH)"/>
    <m/>
    <s v="Autre pays"/>
    <s v="NGA"/>
    <s v="Nigéria"/>
    <s v="NGA008"/>
    <s v="Borno"/>
    <m/>
    <m/>
    <m/>
    <m/>
  </r>
  <r>
    <s v="Extrême-Nord"/>
    <s v="CMR004"/>
    <x v="2"/>
    <s v="CMR004002"/>
    <x v="15"/>
    <s v="CMR004002004"/>
    <s v="LBI-0017"/>
    <s v="SKLIO"/>
    <m/>
    <x v="1"/>
    <x v="0"/>
    <n v="40"/>
    <n v="119"/>
    <s v="Conflits liés à GANE (BH)"/>
    <m/>
    <s v="Autre pays"/>
    <s v="NGA"/>
    <s v="Nigéria"/>
    <s v="NGA008"/>
    <s v="Borno"/>
    <m/>
    <m/>
    <m/>
    <m/>
  </r>
  <r>
    <s v="Extrême-Nord"/>
    <s v="CMR004"/>
    <x v="2"/>
    <s v="CMR004002"/>
    <x v="15"/>
    <s v="CMR004002004"/>
    <s v="LBI-0013"/>
    <s v="MOULADOCK 2"/>
    <m/>
    <x v="1"/>
    <x v="0"/>
    <n v="44"/>
    <n v="244"/>
    <s v="Conflits liés à GANE (BH)"/>
    <m/>
    <s v="Autre pays"/>
    <s v="NGA"/>
    <s v="Nigéria"/>
    <s v="NGA008"/>
    <s v="Borno"/>
    <m/>
    <m/>
    <m/>
    <m/>
  </r>
  <r>
    <s v="Extrême-Nord"/>
    <s v="CMR004"/>
    <x v="2"/>
    <s v="CMR004002"/>
    <x v="25"/>
    <s v="CMR004002008"/>
    <s v="FOT-0026"/>
    <s v="GOLMO KOTOKO"/>
    <m/>
    <x v="1"/>
    <x v="0"/>
    <n v="53"/>
    <n v="268"/>
    <s v="Conflits liés à GANE (BH)"/>
    <m/>
    <s v="Autre pays"/>
    <s v="NGA"/>
    <s v="Nigéria"/>
    <s v="NGA008"/>
    <s v="Borno"/>
    <m/>
    <m/>
    <m/>
    <m/>
  </r>
  <r>
    <s v="Extrême-Nord"/>
    <s v="CMR004"/>
    <x v="2"/>
    <s v="CMR004002"/>
    <x v="13"/>
    <s v="CMR004002001"/>
    <s v="WAZ-0022"/>
    <s v="SITE DE MADA 2"/>
    <m/>
    <x v="1"/>
    <x v="0"/>
    <n v="11"/>
    <n v="47"/>
    <s v="Conflits liés à GANE (BH)"/>
    <m/>
    <s v="Autre pays"/>
    <s v="NGA"/>
    <s v="Nigéria"/>
    <s v="NGA008"/>
    <s v="Borno"/>
    <m/>
    <m/>
    <m/>
    <m/>
  </r>
  <r>
    <s v="Extrême-Nord"/>
    <s v="CMR004"/>
    <x v="2"/>
    <s v="CMR004002"/>
    <x v="13"/>
    <s v="CMR004002001"/>
    <s v="WAZ-0022"/>
    <s v="SITE DE MADA 2"/>
    <m/>
    <x v="1"/>
    <x v="1"/>
    <n v="0"/>
    <n v="2"/>
    <s v="Conflits liés à GANE (BH)"/>
    <m/>
    <s v="Autre pays"/>
    <s v="NGA"/>
    <s v="Nigéria"/>
    <s v="NGA008"/>
    <s v="Borno"/>
    <m/>
    <m/>
    <m/>
    <m/>
  </r>
  <r>
    <s v="Extrême-Nord"/>
    <s v="CMR004"/>
    <x v="2"/>
    <s v="CMR004002"/>
    <x v="13"/>
    <s v="CMR004002001"/>
    <s v="WAZ-0022"/>
    <s v="SITE DE MADA 2"/>
    <m/>
    <x v="1"/>
    <x v="4"/>
    <n v="2"/>
    <n v="9"/>
    <s v="Conflits liés à GANE (BH)"/>
    <m/>
    <s v="Autre pays"/>
    <s v="NGA"/>
    <s v="Nigéria"/>
    <s v="NGA008"/>
    <s v="Borno"/>
    <m/>
    <m/>
    <m/>
    <m/>
  </r>
  <r>
    <s v="Extrême-Nord"/>
    <s v="CMR004"/>
    <x v="2"/>
    <s v="CMR004002"/>
    <x v="13"/>
    <s v="CMR004002001"/>
    <s v="WAZ-0022"/>
    <s v="SITE DE MADA 2"/>
    <m/>
    <x v="1"/>
    <x v="3"/>
    <n v="0"/>
    <n v="2"/>
    <s v="Conflits liés à GANE (BH)"/>
    <m/>
    <s v="Autre pays"/>
    <s v="NGA"/>
    <s v="Nigéria"/>
    <s v="NGA008"/>
    <s v="Borno"/>
    <m/>
    <m/>
    <m/>
    <m/>
  </r>
  <r>
    <s v="Extrême-Nord"/>
    <s v="CMR004"/>
    <x v="2"/>
    <s v="CMR004002"/>
    <x v="10"/>
    <s v="CMR004002003"/>
    <s v="BLA-0017"/>
    <s v="SABOURA"/>
    <m/>
    <x v="1"/>
    <x v="2"/>
    <n v="2"/>
    <n v="10"/>
    <s v="Conflits liés à GANE (BH)"/>
    <m/>
    <s v="Autre pays"/>
    <s v="NGA"/>
    <s v="Nigéria"/>
    <s v="NGA008"/>
    <s v="Borno"/>
    <m/>
    <m/>
    <m/>
    <m/>
  </r>
  <r>
    <s v="Extrême-Nord"/>
    <s v="CMR004"/>
    <x v="2"/>
    <s v="CMR004002"/>
    <x v="8"/>
    <s v="CMR004002009"/>
    <s v="MAK-0191"/>
    <s v="SOUDRALHEL"/>
    <m/>
    <x v="1"/>
    <x v="0"/>
    <n v="30"/>
    <n v="100"/>
    <s v="Conflits liés à GANE (BH)"/>
    <m/>
    <s v="Autre pays"/>
    <s v="NGA"/>
    <s v="Nigéria"/>
    <s v="NGA008"/>
    <s v="Borno"/>
    <m/>
    <m/>
    <m/>
    <m/>
  </r>
  <r>
    <s v="Extrême-Nord"/>
    <s v="CMR004"/>
    <x v="4"/>
    <s v="CMR004005"/>
    <x v="17"/>
    <s v="CMR004005002"/>
    <s v="MOR-0038"/>
    <s v="KESSA GANA"/>
    <m/>
    <x v="1"/>
    <x v="0"/>
    <n v="30"/>
    <n v="134"/>
    <s v="Conflits liés à GANE (BH)"/>
    <m/>
    <s v="Autre pays"/>
    <s v="NGA"/>
    <s v="Nigéria"/>
    <s v="NGA008"/>
    <s v="Borno"/>
    <m/>
    <m/>
    <m/>
    <m/>
  </r>
  <r>
    <s v="Extrême-Nord"/>
    <s v="CMR004"/>
    <x v="4"/>
    <s v="CMR004005"/>
    <x v="17"/>
    <s v="CMR004005002"/>
    <s v="MOR-0038"/>
    <s v="KESSA GANA"/>
    <m/>
    <x v="1"/>
    <x v="1"/>
    <n v="0"/>
    <n v="8"/>
    <s v="Conflits liés à GANE (BH)"/>
    <m/>
    <s v="Autre pays"/>
    <s v="NGA"/>
    <s v="Nigéria"/>
    <s v="NGA008"/>
    <s v="Borno"/>
    <m/>
    <m/>
    <m/>
    <m/>
  </r>
  <r>
    <s v="Extrême-Nord"/>
    <s v="CMR004"/>
    <x v="4"/>
    <s v="CMR004005"/>
    <x v="17"/>
    <s v="CMR004005002"/>
    <s v="MOR-0038"/>
    <s v="KESSA GANA"/>
    <m/>
    <x v="1"/>
    <x v="4"/>
    <n v="0"/>
    <n v="4"/>
    <s v="Conflits liés à GANE (BH)"/>
    <m/>
    <s v="Autre pays"/>
    <s v="NGA"/>
    <s v="Nigéria"/>
    <s v="NGA008"/>
    <s v="Borno"/>
    <m/>
    <m/>
    <m/>
    <m/>
  </r>
  <r>
    <s v="Extrême-Nord"/>
    <s v="CMR004"/>
    <x v="4"/>
    <s v="CMR004005"/>
    <x v="17"/>
    <s v="CMR004005002"/>
    <s v="MOR-0038"/>
    <s v="KESSA GANA"/>
    <m/>
    <x v="1"/>
    <x v="3"/>
    <n v="0"/>
    <n v="4"/>
    <s v="Conflits liés à GANE (BH)"/>
    <m/>
    <s v="Autre pays"/>
    <s v="NGA"/>
    <s v="Nigéria"/>
    <s v="NGA008"/>
    <s v="Borno"/>
    <m/>
    <m/>
    <m/>
    <m/>
  </r>
  <r>
    <s v="Extrême-Nord"/>
    <s v="CMR004"/>
    <x v="4"/>
    <s v="CMR004005"/>
    <x v="17"/>
    <s v="CMR004005002"/>
    <s v="MOR-0037"/>
    <s v="KALDJE"/>
    <m/>
    <x v="1"/>
    <x v="0"/>
    <n v="26"/>
    <n v="192"/>
    <s v="Conflits liés à GANE (BH)"/>
    <m/>
    <s v="Autre pays"/>
    <s v="NGA"/>
    <s v="Nigéria"/>
    <s v="NGA008"/>
    <s v="Borno"/>
    <m/>
    <m/>
    <m/>
    <m/>
  </r>
  <r>
    <s v="Extrême-Nord"/>
    <s v="CMR004"/>
    <x v="4"/>
    <s v="CMR004005"/>
    <x v="17"/>
    <s v="CMR004005002"/>
    <s v="MOR-0037"/>
    <s v="KALDJE"/>
    <m/>
    <x v="1"/>
    <x v="1"/>
    <n v="5"/>
    <n v="21"/>
    <s v="Conflits liés à GANE (BH)"/>
    <m/>
    <s v="Autre pays"/>
    <s v="NGA"/>
    <s v="Nigéria"/>
    <s v="NGA008"/>
    <s v="Borno"/>
    <m/>
    <m/>
    <m/>
    <m/>
  </r>
  <r>
    <s v="Extrême-Nord"/>
    <s v="CMR004"/>
    <x v="4"/>
    <s v="CMR004005"/>
    <x v="17"/>
    <s v="CMR004005002"/>
    <s v="MOR-0037"/>
    <s v="KALDJE"/>
    <m/>
    <x v="1"/>
    <x v="4"/>
    <n v="0"/>
    <n v="2"/>
    <s v="Conflits liés à GANE (BH)"/>
    <m/>
    <s v="Autre pays"/>
    <s v="NGA"/>
    <s v="Nigéria"/>
    <s v="NGA008"/>
    <s v="Borno"/>
    <m/>
    <m/>
    <m/>
    <m/>
  </r>
  <r>
    <s v="Extrême-Nord"/>
    <s v="CMR004"/>
    <x v="4"/>
    <s v="CMR004005"/>
    <x v="17"/>
    <s v="CMR004005002"/>
    <s v="MOR-0037"/>
    <s v="KALDJE"/>
    <m/>
    <x v="1"/>
    <x v="3"/>
    <n v="0"/>
    <n v="4"/>
    <s v="Conflits liés à GANE (BH)"/>
    <m/>
    <s v="Autre pays"/>
    <s v="NGA"/>
    <s v="Nigéria"/>
    <s v="NGA008"/>
    <s v="Borno"/>
    <m/>
    <m/>
    <m/>
    <m/>
  </r>
  <r>
    <s v="Extrême-Nord"/>
    <s v="CMR004"/>
    <x v="4"/>
    <s v="CMR004005"/>
    <x v="17"/>
    <s v="CMR004005002"/>
    <s v="MOR-0037"/>
    <s v="KALDJE"/>
    <m/>
    <x v="1"/>
    <x v="2"/>
    <n v="0"/>
    <n v="3"/>
    <s v="Conflits liés à GANE (BH)"/>
    <m/>
    <s v="Autre pays"/>
    <s v="NGA"/>
    <s v="Nigéria"/>
    <s v="NGA008"/>
    <s v="Borno"/>
    <m/>
    <m/>
    <m/>
    <m/>
  </r>
  <r>
    <s v="Extrême-Nord"/>
    <s v="CMR004"/>
    <x v="4"/>
    <s v="CMR004005"/>
    <x v="17"/>
    <s v="CMR004005002"/>
    <s v="MOR-0039"/>
    <s v="SITE DE DANDAYA"/>
    <m/>
    <x v="1"/>
    <x v="0"/>
    <n v="105"/>
    <n v="414"/>
    <s v="Conflits liés à GANE (BH)"/>
    <m/>
    <s v="Autre pays"/>
    <s v="NGA"/>
    <s v="Nigéria"/>
    <s v="NGA008"/>
    <s v="Borno"/>
    <m/>
    <m/>
    <m/>
    <m/>
  </r>
  <r>
    <s v="Extrême-Nord"/>
    <s v="CMR004"/>
    <x v="4"/>
    <s v="CMR004005"/>
    <x v="17"/>
    <s v="CMR004005002"/>
    <s v="MOR-0039"/>
    <s v="SITE DE DANDAYA"/>
    <m/>
    <x v="1"/>
    <x v="1"/>
    <n v="0"/>
    <n v="4"/>
    <s v="Conflits liés à GANE (BH)"/>
    <m/>
    <s v="Autre pays"/>
    <s v="NGA"/>
    <s v="Nigéria"/>
    <s v="NGA008"/>
    <s v="Borno"/>
    <m/>
    <m/>
    <m/>
    <m/>
  </r>
  <r>
    <s v="Extrême-Nord"/>
    <s v="CMR004"/>
    <x v="4"/>
    <s v="CMR004005"/>
    <x v="17"/>
    <s v="CMR004005002"/>
    <s v="MOR-0039"/>
    <s v="SITE DE DANDAYA"/>
    <m/>
    <x v="1"/>
    <x v="4"/>
    <n v="0"/>
    <n v="5"/>
    <s v="Conflits liés à GANE (BH)"/>
    <m/>
    <s v="Autre pays"/>
    <s v="NGA"/>
    <s v="Nigéria"/>
    <s v="NGA008"/>
    <s v="Borno"/>
    <m/>
    <m/>
    <m/>
    <m/>
  </r>
  <r>
    <s v="Extrême-Nord"/>
    <s v="CMR004"/>
    <x v="4"/>
    <s v="CMR004005"/>
    <x v="17"/>
    <s v="CMR004005002"/>
    <s v="MOR-0039"/>
    <s v="SITE DE DANDAYA"/>
    <m/>
    <x v="1"/>
    <x v="3"/>
    <n v="0"/>
    <n v="5"/>
    <s v="Conflits liés à GANE (BH)"/>
    <m/>
    <s v="Autre pays"/>
    <s v="NGA"/>
    <s v="Nigéria"/>
    <s v="NGA008"/>
    <s v="Borno"/>
    <m/>
    <m/>
    <m/>
    <m/>
  </r>
  <r>
    <s v="Extrême-Nord"/>
    <s v="CMR004"/>
    <x v="4"/>
    <s v="CMR004005"/>
    <x v="17"/>
    <s v="CMR004005002"/>
    <s v="MOR-0039"/>
    <s v="SITE DE DANDAYA"/>
    <m/>
    <x v="1"/>
    <x v="2"/>
    <n v="2"/>
    <n v="15"/>
    <s v="Conflits liés à GANE (BH)"/>
    <m/>
    <s v="Autre pays"/>
    <s v="NGA"/>
    <s v="Nigéria"/>
    <s v="NGA008"/>
    <s v="Borno"/>
    <m/>
    <m/>
    <m/>
    <m/>
  </r>
  <r>
    <s v="Extrême-Nord"/>
    <s v="CMR004"/>
    <x v="2"/>
    <s v="CMR004002"/>
    <x v="8"/>
    <s v="CMR004002009"/>
    <s v="MAK-0121"/>
    <s v="ABTABILO FADJAWA"/>
    <m/>
    <x v="1"/>
    <x v="0"/>
    <n v="12"/>
    <n v="115"/>
    <s v="Conflits liés à GANE (BH)"/>
    <m/>
    <s v="Autre pays"/>
    <s v="NGA"/>
    <s v="Nigéria"/>
    <s v="NGA008"/>
    <s v="Borno"/>
    <m/>
    <m/>
    <m/>
    <m/>
  </r>
  <r>
    <s v="Extrême-Nord"/>
    <s v="CMR004"/>
    <x v="2"/>
    <s v="CMR004002"/>
    <x v="8"/>
    <s v="CMR004002009"/>
    <s v="MAK-0098"/>
    <s v="DIGAM BAR"/>
    <m/>
    <x v="1"/>
    <x v="0"/>
    <n v="12"/>
    <n v="120"/>
    <s v="Conflits liés à GANE (BH)"/>
    <m/>
    <s v="Autre pays"/>
    <s v="NGA"/>
    <s v="Nigéria"/>
    <s v="NGA008"/>
    <s v="Borno"/>
    <m/>
    <m/>
    <m/>
    <m/>
  </r>
  <r>
    <s v="Extrême-Nord"/>
    <s v="CMR004"/>
    <x v="2"/>
    <s v="CMR004002"/>
    <x v="8"/>
    <s v="CMR004002009"/>
    <s v="MAK-0037"/>
    <s v="GLAO"/>
    <m/>
    <x v="1"/>
    <x v="0"/>
    <n v="9"/>
    <n v="82"/>
    <s v="Conflits liés à GANE (BH)"/>
    <m/>
    <s v="Autre pays"/>
    <s v="NGA"/>
    <s v="Nigéria"/>
    <s v="NGA008"/>
    <s v="Borno"/>
    <m/>
    <m/>
    <m/>
    <m/>
  </r>
  <r>
    <s v="Extrême-Nord"/>
    <s v="CMR004"/>
    <x v="2"/>
    <s v="CMR004002"/>
    <x v="8"/>
    <s v="CMR004002009"/>
    <s v="MAK-0094"/>
    <s v="WOULKIOKALE"/>
    <m/>
    <x v="1"/>
    <x v="0"/>
    <n v="8"/>
    <n v="130"/>
    <s v="Conflits liés à GANE (BH)"/>
    <m/>
    <s v="Autre pays"/>
    <s v="NGA"/>
    <s v="Nigéria"/>
    <s v="NGA008"/>
    <s v="Borno"/>
    <m/>
    <m/>
    <m/>
    <m/>
  </r>
  <r>
    <s v="Extrême-Nord"/>
    <s v="CMR004"/>
    <x v="2"/>
    <s v="CMR004002"/>
    <x v="26"/>
    <s v="CMR004002006"/>
    <s v="KOU-0014"/>
    <s v="KOULOUK"/>
    <m/>
    <x v="1"/>
    <x v="2"/>
    <n v="7"/>
    <n v="30"/>
    <s v="Inondations saisonnières ou fortes pluies"/>
    <m/>
    <s v="Autre pays"/>
    <s v="TCD"/>
    <s v="Tchad"/>
    <s v="TCD018"/>
    <s v="N'Djamena"/>
    <m/>
    <m/>
    <m/>
    <m/>
  </r>
  <r>
    <s v="Extrême-Nord"/>
    <s v="CMR004"/>
    <x v="2"/>
    <s v="CMR004002"/>
    <x v="26"/>
    <s v="CMR004002006"/>
    <s v="KOU-0020"/>
    <s v="MADANA"/>
    <m/>
    <x v="1"/>
    <x v="2"/>
    <n v="45"/>
    <n v="150"/>
    <s v="Inondations saisonnières ou fortes pluies"/>
    <m/>
    <s v="Autre pays"/>
    <s v="TCD"/>
    <s v="Tchad"/>
    <s v="TCD018"/>
    <s v="N'Djamena"/>
    <m/>
    <m/>
    <m/>
    <m/>
  </r>
  <r>
    <s v="Extrême-Nord"/>
    <s v="CMR004"/>
    <x v="2"/>
    <s v="CMR004002"/>
    <x v="9"/>
    <s v="CMR004002010"/>
    <s v="HIL-0021"/>
    <s v="FAMARE"/>
    <m/>
    <x v="1"/>
    <x v="1"/>
    <n v="6"/>
    <n v="35"/>
    <s v="Conflits liés à GANE (BH)"/>
    <m/>
    <s v="Autre pays"/>
    <s v="NGA"/>
    <s v="Nigéria"/>
    <s v="NGA008"/>
    <s v="Borno"/>
    <m/>
    <m/>
    <m/>
    <m/>
  </r>
  <r>
    <s v="Extrême-Nord"/>
    <s v="CMR004"/>
    <x v="2"/>
    <s v="CMR004002"/>
    <x v="9"/>
    <s v="CMR004002010"/>
    <s v="HIL-0021"/>
    <s v="FAMARE"/>
    <m/>
    <x v="1"/>
    <x v="3"/>
    <n v="1"/>
    <n v="6"/>
    <s v="Conflits liés à GANE (BH)"/>
    <m/>
    <s v="Autre pays"/>
    <s v="NGA"/>
    <s v="Nigéria"/>
    <s v="NGA008"/>
    <s v="Borno"/>
    <m/>
    <m/>
    <m/>
    <m/>
  </r>
  <r>
    <s v="Extrême-Nord"/>
    <s v="CMR004"/>
    <x v="4"/>
    <s v="CMR004005"/>
    <x v="17"/>
    <s v="CMR004005002"/>
    <s v="MOR-0073"/>
    <s v="KOSSERE ZOUELVA"/>
    <m/>
    <x v="1"/>
    <x v="4"/>
    <n v="3"/>
    <n v="16"/>
    <s v="Conflits liés à GANE (BH)"/>
    <m/>
    <s v="Autre pays"/>
    <s v="NGA"/>
    <s v="Nigéria"/>
    <s v="NGA002"/>
    <s v="Adamawa"/>
    <m/>
    <m/>
    <m/>
    <m/>
  </r>
  <r>
    <s v="Extrême-Nord"/>
    <s v="CMR004"/>
    <x v="4"/>
    <s v="CMR004005"/>
    <x v="17"/>
    <s v="CMR004005002"/>
    <s v="MOR-0073"/>
    <s v="KOSSERE ZOUELVA"/>
    <m/>
    <x v="1"/>
    <x v="3"/>
    <n v="0"/>
    <n v="3"/>
    <s v="Conflits liés à GANE (BH)"/>
    <m/>
    <s v="Autre pays"/>
    <s v="NGA"/>
    <s v="Nigéria"/>
    <s v="NGA002"/>
    <s v="Adamawa"/>
    <m/>
    <m/>
    <m/>
    <m/>
  </r>
  <r>
    <s v="Extrême-Nord"/>
    <s v="CMR004"/>
    <x v="1"/>
    <s v="CMR004006"/>
    <x v="7"/>
    <s v="CMR004006005"/>
    <s v="MOZ-0005"/>
    <s v="KORSAMBA"/>
    <m/>
    <x v="1"/>
    <x v="2"/>
    <n v="16"/>
    <n v="73"/>
    <s v="Conflits liés à GANE (BH)"/>
    <m/>
    <s v="Autre pays"/>
    <s v="NGA"/>
    <s v="Nigéria"/>
    <s v="NGA008"/>
    <s v="Borno"/>
    <m/>
    <m/>
    <m/>
    <m/>
  </r>
  <r>
    <s v="Extrême-Nord"/>
    <s v="CMR004"/>
    <x v="1"/>
    <s v="CMR004006"/>
    <x v="7"/>
    <s v="CMR004006005"/>
    <s v="MOZ-0008"/>
    <s v="DEKERE CENTRE"/>
    <m/>
    <x v="1"/>
    <x v="0"/>
    <n v="20"/>
    <n v="102"/>
    <s v="Conflits liés à GANE (BH)"/>
    <m/>
    <s v="Autre pays"/>
    <s v="NGA"/>
    <s v="Nigéria"/>
    <s v="NGA008"/>
    <s v="Borno"/>
    <m/>
    <m/>
    <m/>
    <m/>
  </r>
  <r>
    <s v="Extrême-Nord"/>
    <s v="CMR004"/>
    <x v="2"/>
    <s v="CMR004002"/>
    <x v="25"/>
    <s v="CMR004002008"/>
    <s v="FOT-0024"/>
    <s v="WORO KEYME"/>
    <m/>
    <x v="1"/>
    <x v="0"/>
    <n v="12"/>
    <n v="91"/>
    <s v="Conflits liés à GANE (BH)"/>
    <m/>
    <s v="Autre pays"/>
    <s v="NGA"/>
    <s v="Nigéria"/>
    <s v="NGA008"/>
    <s v="Borno"/>
    <m/>
    <m/>
    <m/>
    <m/>
  </r>
  <r>
    <s v="Extrême-Nord"/>
    <s v="CMR004"/>
    <x v="2"/>
    <s v="CMR004002"/>
    <x v="25"/>
    <s v="CMR004002008"/>
    <s v="FOT-0024"/>
    <s v="WORO KEYME"/>
    <m/>
    <x v="1"/>
    <x v="3"/>
    <n v="3"/>
    <n v="17"/>
    <s v="Conflits liés à GANE (BH)"/>
    <m/>
    <s v="Autre pays"/>
    <s v="NGA"/>
    <s v="Nigéria"/>
    <s v="NGA008"/>
    <s v="Borno"/>
    <m/>
    <m/>
    <m/>
    <m/>
  </r>
  <r>
    <s v="Extrême-Nord"/>
    <s v="CMR004"/>
    <x v="2"/>
    <s v="CMR004002"/>
    <x v="13"/>
    <s v="CMR004002001"/>
    <s v="WAZ-0011"/>
    <s v="SITE DE WAZA"/>
    <m/>
    <x v="1"/>
    <x v="0"/>
    <n v="76"/>
    <n v="304"/>
    <s v="Conflits liés à GANE (BH)"/>
    <m/>
    <s v="Autre pays"/>
    <s v="NGA"/>
    <s v="Nigéria"/>
    <s v="NGA008"/>
    <s v="Borno"/>
    <m/>
    <m/>
    <m/>
    <m/>
  </r>
  <r>
    <s v="Extrême-Nord"/>
    <s v="CMR004"/>
    <x v="2"/>
    <s v="CMR004002"/>
    <x v="13"/>
    <s v="CMR004002001"/>
    <s v="WAZ-0011"/>
    <s v="SITE DE WAZA"/>
    <m/>
    <x v="1"/>
    <x v="2"/>
    <n v="0"/>
    <n v="8"/>
    <s v="Conflits liés à GANE (BH)"/>
    <m/>
    <s v="Autre pays"/>
    <s v="NGA"/>
    <s v="Nigéria"/>
    <s v="NGA008"/>
    <s v="Borno"/>
    <m/>
    <m/>
    <m/>
    <m/>
  </r>
  <r>
    <s v="Extrême-Nord"/>
    <s v="CMR004"/>
    <x v="2"/>
    <s v="CMR004002"/>
    <x v="13"/>
    <s v="CMR004002001"/>
    <s v="WAZ-0010"/>
    <s v="TAGAWA 4"/>
    <m/>
    <x v="1"/>
    <x v="0"/>
    <n v="13"/>
    <n v="110"/>
    <s v="Conflits liés à GANE (BH)"/>
    <m/>
    <s v="Autre pays"/>
    <s v="NGA"/>
    <s v="Nigéria"/>
    <s v="NGA008"/>
    <s v="Borno"/>
    <m/>
    <m/>
    <m/>
    <m/>
  </r>
  <r>
    <s v="Extrême-Nord"/>
    <s v="CMR004"/>
    <x v="2"/>
    <s v="CMR004002"/>
    <x v="13"/>
    <s v="CMR004002001"/>
    <s v="WAZ-0010"/>
    <s v="TAGAWA 4"/>
    <m/>
    <x v="1"/>
    <x v="2"/>
    <n v="2"/>
    <n v="12"/>
    <s v="Conflits liés à GANE (BH)"/>
    <m/>
    <s v="Autre pays"/>
    <s v="NGA"/>
    <s v="Nigéria"/>
    <s v="NGA008"/>
    <s v="Borno"/>
    <m/>
    <m/>
    <m/>
    <m/>
  </r>
  <r>
    <s v="Extrême-Nord"/>
    <s v="CMR004"/>
    <x v="2"/>
    <s v="CMR004002"/>
    <x v="13"/>
    <s v="CMR004002001"/>
    <s v="WAZ-0013"/>
    <s v="CHAOUDE"/>
    <m/>
    <x v="1"/>
    <x v="0"/>
    <n v="32"/>
    <n v="143"/>
    <s v="Conflits liés à GANE (BH)"/>
    <m/>
    <s v="Autre pays"/>
    <s v="NGA"/>
    <s v="Nigéria"/>
    <s v="NGA008"/>
    <s v="Borno"/>
    <m/>
    <m/>
    <m/>
    <m/>
  </r>
  <r>
    <s v="Extrême-Nord"/>
    <s v="CMR004"/>
    <x v="2"/>
    <s v="CMR004002"/>
    <x v="13"/>
    <s v="CMR004002001"/>
    <s v="WAZ-0013"/>
    <s v="CHAOUDE"/>
    <m/>
    <x v="1"/>
    <x v="2"/>
    <n v="0"/>
    <n v="10"/>
    <s v="Conflits liés à GANE (BH)"/>
    <m/>
    <s v="Autre pays"/>
    <s v="NGA"/>
    <s v="Nigéria"/>
    <s v="NGA008"/>
    <s v="Borno"/>
    <m/>
    <m/>
    <m/>
    <m/>
  </r>
  <r>
    <s v="Extrême-Nord"/>
    <s v="CMR004"/>
    <x v="2"/>
    <s v="CMR004002"/>
    <x v="9"/>
    <s v="CMR004002010"/>
    <s v="HIL-0005"/>
    <s v="BARGARAM"/>
    <m/>
    <x v="1"/>
    <x v="0"/>
    <n v="30"/>
    <n v="249"/>
    <s v="Conflits liés à GANE (BH)"/>
    <m/>
    <s v="Autre pays"/>
    <s v="NGA"/>
    <s v="Nigéria"/>
    <s v="NGA008"/>
    <s v="Borno"/>
    <m/>
    <m/>
    <m/>
    <m/>
  </r>
  <r>
    <s v="Extrême-Nord"/>
    <s v="CMR004"/>
    <x v="2"/>
    <s v="CMR004002"/>
    <x v="9"/>
    <s v="CMR004002010"/>
    <s v="HIL-0005"/>
    <s v="BARGARAM"/>
    <m/>
    <x v="1"/>
    <x v="3"/>
    <n v="35"/>
    <n v="295"/>
    <s v="Conflits liés à GANE (BH)"/>
    <m/>
    <s v="Autre pays"/>
    <s v="NGA"/>
    <s v="Nigéria"/>
    <s v="NGA008"/>
    <s v="Borno"/>
    <m/>
    <m/>
    <m/>
    <m/>
  </r>
  <r>
    <s v="Extrême-Nord"/>
    <s v="CMR004"/>
    <x v="2"/>
    <s v="CMR004002"/>
    <x v="10"/>
    <s v="CMR004002003"/>
    <s v="BLA-0008"/>
    <s v="KOBRO"/>
    <m/>
    <x v="1"/>
    <x v="2"/>
    <n v="2"/>
    <n v="8"/>
    <s v="Conflits liés à GANE (BH)"/>
    <m/>
    <s v="Autre pays"/>
    <s v="NGA"/>
    <s v="Nigéria"/>
    <s v="NGA008"/>
    <s v="Borno"/>
    <m/>
    <m/>
    <m/>
    <m/>
  </r>
  <r>
    <s v="Extrême-Nord"/>
    <s v="CMR004"/>
    <x v="2"/>
    <s v="CMR004002"/>
    <x v="8"/>
    <s v="CMR004002009"/>
    <s v="MAK-0222"/>
    <s v="LABADO"/>
    <m/>
    <x v="1"/>
    <x v="0"/>
    <n v="15"/>
    <n v="50"/>
    <s v="Conflits liés à GANE (BH)"/>
    <m/>
    <s v="Autre pays"/>
    <s v="NGA"/>
    <s v="Nigéria"/>
    <s v="NGA008"/>
    <s v="Borno"/>
    <m/>
    <m/>
    <m/>
    <m/>
  </r>
  <r>
    <s v="Extrême-Nord"/>
    <s v="CMR004"/>
    <x v="2"/>
    <s v="CMR004002"/>
    <x v="13"/>
    <s v="CMR004002001"/>
    <s v="WAZ-0007"/>
    <s v="TAGAWA 1"/>
    <m/>
    <x v="1"/>
    <x v="4"/>
    <n v="5"/>
    <n v="35"/>
    <s v="Conflits liés à GANE (BH)"/>
    <m/>
    <s v="Autre pays"/>
    <s v="NGA"/>
    <s v="Nigéria"/>
    <s v="NGA008"/>
    <s v="Borno"/>
    <m/>
    <m/>
    <m/>
    <m/>
  </r>
  <r>
    <s v="Extrême-Nord"/>
    <s v="CMR004"/>
    <x v="2"/>
    <s v="CMR004002"/>
    <x v="25"/>
    <s v="CMR004002008"/>
    <s v="FOT-0034"/>
    <s v="GUEGUERI"/>
    <m/>
    <x v="1"/>
    <x v="0"/>
    <n v="12"/>
    <n v="90"/>
    <s v="Conflits liés à GANE (BH)"/>
    <m/>
    <s v="Autre pays"/>
    <s v="NGA"/>
    <s v="Nigéria"/>
    <s v="NGA008"/>
    <s v="Borno"/>
    <m/>
    <m/>
    <m/>
    <m/>
  </r>
  <r>
    <s v="Extrême-Nord"/>
    <s v="CMR004"/>
    <x v="4"/>
    <s v="CMR004005"/>
    <x v="17"/>
    <s v="CMR004005002"/>
    <s v="MOR-0043"/>
    <s v="SITE DE YEME"/>
    <m/>
    <x v="1"/>
    <x v="0"/>
    <n v="304"/>
    <n v="2376"/>
    <s v="Conflits liés à GANE (BH)"/>
    <m/>
    <s v="Autre pays"/>
    <s v="NGA"/>
    <s v="Nigéria"/>
    <s v="NGA008"/>
    <s v="Borno"/>
    <m/>
    <m/>
    <m/>
    <m/>
  </r>
  <r>
    <s v="Extrême-Nord"/>
    <s v="CMR004"/>
    <x v="4"/>
    <s v="CMR004005"/>
    <x v="17"/>
    <s v="CMR004005002"/>
    <s v="MOR-0043"/>
    <s v="SITE DE YEME"/>
    <m/>
    <x v="1"/>
    <x v="1"/>
    <n v="0"/>
    <n v="11"/>
    <s v="Conflits liés à GANE (BH)"/>
    <m/>
    <s v="Autre pays"/>
    <s v="NGA"/>
    <s v="Nigéria"/>
    <s v="NGA008"/>
    <s v="Borno"/>
    <m/>
    <m/>
    <m/>
    <m/>
  </r>
  <r>
    <s v="Extrême-Nord"/>
    <s v="CMR004"/>
    <x v="4"/>
    <s v="CMR004005"/>
    <x v="17"/>
    <s v="CMR004005002"/>
    <s v="MOR-0043"/>
    <s v="SITE DE YEME"/>
    <m/>
    <x v="1"/>
    <x v="4"/>
    <n v="0"/>
    <n v="16"/>
    <s v="Conflits liés à GANE (BH)"/>
    <m/>
    <s v="Autre pays"/>
    <s v="NGA"/>
    <s v="Nigéria"/>
    <s v="NGA008"/>
    <s v="Borno"/>
    <m/>
    <m/>
    <m/>
    <m/>
  </r>
  <r>
    <s v="Extrême-Nord"/>
    <s v="CMR004"/>
    <x v="4"/>
    <s v="CMR004005"/>
    <x v="17"/>
    <s v="CMR004005002"/>
    <s v="MOR-0043"/>
    <s v="SITE DE YEME"/>
    <m/>
    <x v="1"/>
    <x v="3"/>
    <n v="2"/>
    <n v="21"/>
    <s v="Conflits liés à GANE (BH)"/>
    <m/>
    <s v="Autre pays"/>
    <s v="NGA"/>
    <s v="Nigéria"/>
    <s v="NGA008"/>
    <s v="Borno"/>
    <m/>
    <m/>
    <m/>
    <m/>
  </r>
  <r>
    <s v="Extrême-Nord"/>
    <s v="CMR004"/>
    <x v="4"/>
    <s v="CMR004005"/>
    <x v="17"/>
    <s v="CMR004005002"/>
    <s v="MOR-0043"/>
    <s v="SITE DE YEME"/>
    <m/>
    <x v="1"/>
    <x v="2"/>
    <n v="0"/>
    <n v="8"/>
    <s v="Conflits liés à GANE (BH)"/>
    <m/>
    <s v="Autre pays"/>
    <s v="NGA"/>
    <s v="Nigéria"/>
    <s v="NGA008"/>
    <s v="Borno"/>
    <m/>
    <m/>
    <m/>
    <m/>
  </r>
  <r>
    <s v="Extrême-Nord"/>
    <s v="CMR004"/>
    <x v="4"/>
    <s v="CMR004005"/>
    <x v="17"/>
    <s v="CMR004005002"/>
    <s v="MOR-0041"/>
    <s v="MADJINA"/>
    <m/>
    <x v="1"/>
    <x v="0"/>
    <n v="24"/>
    <n v="79"/>
    <s v="Conflits liés à GANE (BH)"/>
    <m/>
    <s v="Autre pays"/>
    <s v="NGA"/>
    <s v="Nigéria"/>
    <s v="NGA008"/>
    <s v="Borno"/>
    <m/>
    <m/>
    <m/>
    <m/>
  </r>
  <r>
    <s v="Extrême-Nord"/>
    <s v="CMR004"/>
    <x v="4"/>
    <s v="CMR004005"/>
    <x v="17"/>
    <s v="CMR004005002"/>
    <s v="MOR-0041"/>
    <s v="MADJINA"/>
    <m/>
    <x v="1"/>
    <x v="1"/>
    <n v="0"/>
    <n v="12"/>
    <s v="Conflits liés à GANE (BH)"/>
    <m/>
    <s v="Autre pays"/>
    <s v="NGA"/>
    <s v="Nigéria"/>
    <s v="NGA008"/>
    <s v="Borno"/>
    <m/>
    <m/>
    <m/>
    <m/>
  </r>
  <r>
    <s v="Extrême-Nord"/>
    <s v="CMR004"/>
    <x v="4"/>
    <s v="CMR004005"/>
    <x v="17"/>
    <s v="CMR004005002"/>
    <s v="MOR-0041"/>
    <s v="MADJINA"/>
    <m/>
    <x v="1"/>
    <x v="4"/>
    <n v="8"/>
    <n v="43"/>
    <s v="Conflits liés à GANE (BH)"/>
    <m/>
    <s v="Autre pays"/>
    <s v="NGA"/>
    <s v="Nigéria"/>
    <s v="NGA008"/>
    <s v="Borno"/>
    <m/>
    <m/>
    <m/>
    <m/>
  </r>
  <r>
    <s v="Extrême-Nord"/>
    <s v="CMR004"/>
    <x v="4"/>
    <s v="CMR004005"/>
    <x v="17"/>
    <s v="CMR004005002"/>
    <s v="MOR-0041"/>
    <s v="MADJINA"/>
    <m/>
    <x v="1"/>
    <x v="3"/>
    <n v="0"/>
    <n v="8"/>
    <s v="Conflits liés à GANE (BH)"/>
    <m/>
    <s v="Autre pays"/>
    <s v="NGA"/>
    <s v="Nigéria"/>
    <s v="NGA008"/>
    <s v="Borno"/>
    <m/>
    <m/>
    <m/>
    <m/>
  </r>
  <r>
    <s v="Extrême-Nord"/>
    <s v="CMR004"/>
    <x v="4"/>
    <s v="CMR004005"/>
    <x v="17"/>
    <s v="CMR004005002"/>
    <s v="MOR-0041"/>
    <s v="MADJINA"/>
    <m/>
    <x v="1"/>
    <x v="2"/>
    <n v="3"/>
    <n v="10"/>
    <s v="Conflits liés à GANE (BH)"/>
    <m/>
    <s v="Autre pays"/>
    <s v="NGA"/>
    <s v="Nigéria"/>
    <s v="NGA008"/>
    <s v="Borno"/>
    <m/>
    <m/>
    <m/>
    <m/>
  </r>
  <r>
    <s v="Extrême-Nord"/>
    <s v="CMR004"/>
    <x v="4"/>
    <s v="CMR004005"/>
    <x v="17"/>
    <s v="CMR004005002"/>
    <s v="MOR-0042"/>
    <s v="DJALA"/>
    <m/>
    <x v="1"/>
    <x v="0"/>
    <n v="87"/>
    <n v="247"/>
    <s v="Conflits liés à GANE (BH)"/>
    <m/>
    <s v="Autre pays"/>
    <s v="NGA"/>
    <s v="Nigéria"/>
    <s v="NGA008"/>
    <s v="Borno"/>
    <m/>
    <m/>
    <m/>
    <m/>
  </r>
  <r>
    <s v="Extrême-Nord"/>
    <s v="CMR004"/>
    <x v="4"/>
    <s v="CMR004005"/>
    <x v="17"/>
    <s v="CMR004005002"/>
    <s v="MOR-0042"/>
    <s v="DJALA"/>
    <m/>
    <x v="1"/>
    <x v="1"/>
    <n v="0"/>
    <n v="4"/>
    <s v="Conflits liés à GANE (BH)"/>
    <m/>
    <s v="Autre pays"/>
    <s v="NGA"/>
    <s v="Nigéria"/>
    <s v="NGA008"/>
    <s v="Borno"/>
    <m/>
    <m/>
    <m/>
    <m/>
  </r>
  <r>
    <s v="Extrême-Nord"/>
    <s v="CMR004"/>
    <x v="4"/>
    <s v="CMR004005"/>
    <x v="17"/>
    <s v="CMR004005002"/>
    <s v="MOR-0042"/>
    <s v="DJALA"/>
    <m/>
    <x v="1"/>
    <x v="2"/>
    <n v="0"/>
    <n v="3"/>
    <s v="Conflits liés à GANE (BH)"/>
    <m/>
    <s v="Autre pays"/>
    <s v="NGA"/>
    <s v="Nigéria"/>
    <s v="NGA008"/>
    <s v="Borno"/>
    <m/>
    <m/>
    <m/>
    <m/>
  </r>
  <r>
    <s v="Extrême-Nord"/>
    <s v="CMR004"/>
    <x v="2"/>
    <s v="CMR004002"/>
    <x v="8"/>
    <s v="CMR004002009"/>
    <s v="MAK-0078"/>
    <s v="NDJAMENA 3"/>
    <m/>
    <x v="1"/>
    <x v="3"/>
    <n v="6"/>
    <n v="9"/>
    <s v="Conflits liés à GANE (BH)"/>
    <m/>
    <s v="Autre pays"/>
    <s v="NGA"/>
    <s v="Nigéria"/>
    <s v="NGA008"/>
    <s v="Borno"/>
    <m/>
    <m/>
    <m/>
    <m/>
  </r>
  <r>
    <s v="Extrême-Nord"/>
    <s v="CMR004"/>
    <x v="2"/>
    <s v="CMR004002"/>
    <x v="8"/>
    <s v="CMR004002009"/>
    <s v="MAK-0200"/>
    <s v="SITE DE AMADABO 1"/>
    <m/>
    <x v="1"/>
    <x v="3"/>
    <n v="3"/>
    <n v="13"/>
    <s v="Conflits liés à GANE (BH)"/>
    <m/>
    <s v="Autre pays"/>
    <s v="NGA"/>
    <s v="Nigéria"/>
    <s v="NGA008"/>
    <s v="Borno"/>
    <m/>
    <m/>
    <m/>
    <m/>
  </r>
  <r>
    <s v="Extrême-Nord"/>
    <s v="CMR004"/>
    <x v="2"/>
    <s v="CMR004002"/>
    <x v="8"/>
    <s v="CMR004002009"/>
    <s v="MAK-0214"/>
    <s v="SITE DE MICHKINDING"/>
    <m/>
    <x v="1"/>
    <x v="2"/>
    <n v="1"/>
    <n v="2"/>
    <s v="Conflits liés à GANE (BH)"/>
    <m/>
    <s v="Autre pays"/>
    <s v="NGA"/>
    <s v="Nigéria"/>
    <s v="NGA008"/>
    <s v="Borno"/>
    <m/>
    <m/>
    <m/>
    <m/>
  </r>
  <r>
    <s v="Extrême-Nord"/>
    <s v="CMR004"/>
    <x v="2"/>
    <s v="CMR004002"/>
    <x v="8"/>
    <s v="CMR004002009"/>
    <s v="MAK-0201"/>
    <s v="SITE DE AMADABO 2"/>
    <m/>
    <x v="1"/>
    <x v="3"/>
    <n v="23"/>
    <n v="137"/>
    <s v="Conflits liés à GANE (BH)"/>
    <m/>
    <s v="Autre pays"/>
    <s v="NGA"/>
    <s v="Nigéria"/>
    <s v="NGA008"/>
    <s v="Borno"/>
    <m/>
    <m/>
    <m/>
    <m/>
  </r>
  <r>
    <s v="Extrême-Nord"/>
    <s v="CMR004"/>
    <x v="2"/>
    <s v="CMR004002"/>
    <x v="8"/>
    <s v="CMR004002009"/>
    <s v="MAK-0220"/>
    <s v="SITE DE TILDE"/>
    <m/>
    <x v="1"/>
    <x v="0"/>
    <n v="21"/>
    <n v="95"/>
    <s v="Conflits liés à GANE (BH)"/>
    <m/>
    <s v="Autre pays"/>
    <s v="NGA"/>
    <s v="Nigéria"/>
    <s v="NGA008"/>
    <s v="Borno"/>
    <m/>
    <m/>
    <m/>
    <m/>
  </r>
  <r>
    <s v="Extrême-Nord"/>
    <s v="CMR004"/>
    <x v="2"/>
    <s v="CMR004002"/>
    <x v="8"/>
    <s v="CMR004002009"/>
    <s v="MAK-0220"/>
    <s v="SITE DE TILDE"/>
    <m/>
    <x v="1"/>
    <x v="1"/>
    <n v="44"/>
    <n v="292"/>
    <s v="Conflits liés à GANE (BH)"/>
    <m/>
    <s v="Autre pays"/>
    <s v="NGA"/>
    <s v="Nigéria"/>
    <s v="NGA008"/>
    <s v="Borno"/>
    <m/>
    <m/>
    <m/>
    <m/>
  </r>
  <r>
    <s v="Extrême-Nord"/>
    <s v="CMR004"/>
    <x v="2"/>
    <s v="CMR004002"/>
    <x v="8"/>
    <s v="CMR004002009"/>
    <s v="MAK-0220"/>
    <s v="SITE DE TILDE"/>
    <m/>
    <x v="1"/>
    <x v="4"/>
    <n v="0"/>
    <n v="15"/>
    <s v="Conflits liés à GANE (BH)"/>
    <m/>
    <s v="Autre pays"/>
    <s v="NGA"/>
    <s v="Nigéria"/>
    <s v="NGA008"/>
    <s v="Borno"/>
    <m/>
    <m/>
    <m/>
    <m/>
  </r>
  <r>
    <s v="Extrême-Nord"/>
    <s v="CMR004"/>
    <x v="2"/>
    <s v="CMR004002"/>
    <x v="8"/>
    <s v="CMR004002009"/>
    <s v="MAK-0220"/>
    <s v="SITE DE TILDE"/>
    <m/>
    <x v="1"/>
    <x v="3"/>
    <n v="0"/>
    <n v="9"/>
    <s v="Conflits liés à GANE (BH)"/>
    <m/>
    <s v="Autre pays"/>
    <s v="NGA"/>
    <s v="Nigéria"/>
    <s v="NGA008"/>
    <s v="Borno"/>
    <m/>
    <m/>
    <m/>
    <m/>
  </r>
  <r>
    <s v="Extrême-Nord"/>
    <s v="CMR004"/>
    <x v="2"/>
    <s v="CMR004002"/>
    <x v="8"/>
    <s v="CMR004002009"/>
    <s v="MAK-0220"/>
    <s v="SITE DE TILDE"/>
    <m/>
    <x v="1"/>
    <x v="2"/>
    <n v="0"/>
    <n v="4"/>
    <s v="Conflits liés à GANE (BH)"/>
    <m/>
    <s v="Autre pays"/>
    <s v="NGA"/>
    <s v="Nigéria"/>
    <s v="NGA008"/>
    <s v="Borno"/>
    <m/>
    <m/>
    <m/>
    <m/>
  </r>
  <r>
    <s v="Extrême-Nord"/>
    <s v="CMR004"/>
    <x v="4"/>
    <s v="CMR004005"/>
    <x v="17"/>
    <s v="CMR004005002"/>
    <s v="MOR-0032"/>
    <s v="TAYER"/>
    <m/>
    <x v="1"/>
    <x v="3"/>
    <n v="4"/>
    <n v="20"/>
    <s v="Conflits liés à GANE (BH)"/>
    <m/>
    <s v="Autre pays"/>
    <s v="NGA"/>
    <s v="Nigéria"/>
    <s v="NGA031"/>
    <s v="Oyo"/>
    <m/>
    <m/>
    <m/>
    <m/>
  </r>
  <r>
    <s v="Extrême-Nord"/>
    <s v="CMR004"/>
    <x v="4"/>
    <s v="CMR004005"/>
    <x v="17"/>
    <s v="CMR004005002"/>
    <s v="MOR-0032"/>
    <s v="TAYER"/>
    <m/>
    <x v="1"/>
    <x v="2"/>
    <n v="6"/>
    <n v="27"/>
    <s v="Conflits liés à GANE (BH)"/>
    <m/>
    <s v="Autre pays"/>
    <s v="NGA"/>
    <s v="Nigéria"/>
    <s v="NGA031"/>
    <s v="Oyo"/>
    <m/>
    <m/>
    <m/>
    <m/>
  </r>
  <r>
    <s v="Extrême-Nord"/>
    <s v="CMR004"/>
    <x v="2"/>
    <s v="CMR004002"/>
    <x v="15"/>
    <s v="CMR004002004"/>
    <s v="LBI-0067"/>
    <s v="MAGO"/>
    <m/>
    <x v="1"/>
    <x v="2"/>
    <n v="1"/>
    <n v="7"/>
    <s v="Inondations saisonnières ou fortes pluies"/>
    <m/>
    <s v="Autre pays"/>
    <s v="TCD"/>
    <s v="Tchad"/>
    <s v="TCD018"/>
    <s v="N'Djamena"/>
    <m/>
    <m/>
    <m/>
    <m/>
  </r>
  <r>
    <s v="Extrême-Nord"/>
    <s v="CMR004"/>
    <x v="2"/>
    <s v="CMR004002"/>
    <x v="8"/>
    <s v="CMR004002009"/>
    <s v="MAK-0050"/>
    <s v="KOKIO 1"/>
    <m/>
    <x v="1"/>
    <x v="3"/>
    <n v="17"/>
    <n v="87"/>
    <s v="Conflits liés à GANE (BH)"/>
    <m/>
    <s v="Autre pays"/>
    <s v="NGA"/>
    <s v="Nigéria"/>
    <s v="NGA008"/>
    <s v="Borno"/>
    <m/>
    <m/>
    <m/>
    <m/>
  </r>
  <r>
    <s v="Extrême-Nord"/>
    <s v="CMR004"/>
    <x v="2"/>
    <s v="CMR004002"/>
    <x v="8"/>
    <s v="CMR004002009"/>
    <s v="MAK-0040"/>
    <s v="GOUBAGO"/>
    <m/>
    <x v="1"/>
    <x v="3"/>
    <n v="12"/>
    <n v="59"/>
    <s v="Conflits liés à GANE (BH)"/>
    <m/>
    <s v="Autre pays"/>
    <s v="NGA"/>
    <s v="Nigéria"/>
    <s v="NGA008"/>
    <s v="Borno"/>
    <m/>
    <m/>
    <m/>
    <m/>
  </r>
  <r>
    <s v="Extrême-Nord"/>
    <s v="CMR004"/>
    <x v="2"/>
    <s v="CMR004002"/>
    <x v="26"/>
    <s v="CMR004002006"/>
    <s v="KOU-0036"/>
    <s v="KAWADJI 1"/>
    <m/>
    <x v="1"/>
    <x v="2"/>
    <n v="87"/>
    <n v="420"/>
    <s v="Inondations saisonnières ou fortes pluies"/>
    <m/>
    <s v="Autre pays"/>
    <s v="TCD"/>
    <s v="Tchad"/>
    <s v="TCD018"/>
    <s v="N'Djamena"/>
    <m/>
    <m/>
    <m/>
    <m/>
  </r>
  <r>
    <s v="Extrême-Nord"/>
    <s v="CMR004"/>
    <x v="2"/>
    <s v="CMR004002"/>
    <x v="26"/>
    <s v="CMR004002006"/>
    <s v="KOU-0021"/>
    <s v="MADANA GABAG"/>
    <m/>
    <x v="1"/>
    <x v="2"/>
    <n v="44"/>
    <n v="150"/>
    <s v="Inondations saisonnières ou fortes pluies"/>
    <m/>
    <s v="Autre pays"/>
    <s v="TCD"/>
    <s v="Tchad"/>
    <s v="TCD018"/>
    <s v="N'Djamena"/>
    <m/>
    <m/>
    <m/>
    <m/>
  </r>
  <r>
    <s v="Extrême-Nord"/>
    <s v="CMR004"/>
    <x v="4"/>
    <s v="CMR004005"/>
    <x v="17"/>
    <s v="CMR004005002"/>
    <s v="MOR-0003"/>
    <s v="DJOUNDE"/>
    <m/>
    <x v="1"/>
    <x v="3"/>
    <n v="6"/>
    <n v="62"/>
    <s v="Conflits liés à GANE (BH)"/>
    <m/>
    <s v="Autre pays"/>
    <s v="NGA"/>
    <s v="Nigéria"/>
    <s v="NGA031"/>
    <s v="Oyo"/>
    <m/>
    <m/>
    <m/>
    <m/>
  </r>
  <r>
    <s v="Extrême-Nord"/>
    <s v="CMR004"/>
    <x v="5"/>
    <s v="CMR004004"/>
    <x v="18"/>
    <s v="CMR004004001"/>
    <s v="GUI-0003"/>
    <s v="LARAO"/>
    <m/>
    <x v="1"/>
    <x v="0"/>
    <n v="2"/>
    <n v="30"/>
    <s v="Autre raison"/>
    <s v="Guerre en RCA"/>
    <s v="Autre pays"/>
    <s v="CAR"/>
    <s v="République Centrafricaine"/>
    <s v="CAR071"/>
    <s v="Bangui"/>
    <m/>
    <m/>
    <m/>
    <m/>
  </r>
  <r>
    <s v="Extrême-Nord"/>
    <s v="CMR004"/>
    <x v="4"/>
    <s v="CMR004005"/>
    <x v="17"/>
    <s v="CMR004005002"/>
    <s v="MOR-0029"/>
    <s v="KOSSA"/>
    <m/>
    <x v="1"/>
    <x v="0"/>
    <n v="606"/>
    <n v="3082"/>
    <s v="Conflits liés à GANE (BH)"/>
    <m/>
    <s v="Autre pays"/>
    <s v="NGA"/>
    <s v="Nigéria"/>
    <s v="NGA008"/>
    <s v="Borno"/>
    <m/>
    <m/>
    <m/>
    <m/>
  </r>
  <r>
    <s v="Extrême-Nord"/>
    <s v="CMR004"/>
    <x v="4"/>
    <s v="CMR004005"/>
    <x v="17"/>
    <s v="CMR004005002"/>
    <s v="MOR-0029"/>
    <s v="KOSSA"/>
    <m/>
    <x v="1"/>
    <x v="4"/>
    <n v="0"/>
    <n v="4"/>
    <s v="Conflits liés à GANE (BH)"/>
    <m/>
    <s v="Autre pays"/>
    <s v="NGA"/>
    <s v="Nigéria"/>
    <s v="NGA008"/>
    <s v="Borno"/>
    <m/>
    <m/>
    <m/>
    <m/>
  </r>
  <r>
    <s v="Extrême-Nord"/>
    <s v="CMR004"/>
    <x v="4"/>
    <s v="CMR004005"/>
    <x v="17"/>
    <s v="CMR004005002"/>
    <s v="MOR-0029"/>
    <s v="KOSSA"/>
    <m/>
    <x v="1"/>
    <x v="2"/>
    <n v="2"/>
    <n v="10"/>
    <s v="Conflits liés à GANE (BH)"/>
    <m/>
    <s v="Autre pays"/>
    <s v="NGA"/>
    <s v="Nigéria"/>
    <s v="NGA008"/>
    <s v="Borno"/>
    <m/>
    <m/>
    <m/>
    <m/>
  </r>
  <r>
    <s v="Extrême-Nord"/>
    <s v="CMR004"/>
    <x v="2"/>
    <s v="CMR004002"/>
    <x v="9"/>
    <s v="CMR004002010"/>
    <s v="HIL-0015"/>
    <s v="DOUGOUMSILIO 1"/>
    <m/>
    <x v="1"/>
    <x v="3"/>
    <n v="3"/>
    <n v="11"/>
    <s v="Conflits liés à GANE (BH)"/>
    <m/>
    <s v="Autre pays"/>
    <s v="NGA"/>
    <s v="Nigéria"/>
    <s v="NGA008"/>
    <s v="Borno"/>
    <m/>
    <m/>
    <m/>
    <m/>
  </r>
  <r>
    <s v="Extrême-Nord"/>
    <s v="CMR004"/>
    <x v="2"/>
    <s v="CMR004002"/>
    <x v="9"/>
    <s v="CMR004002010"/>
    <s v="HIL-0007"/>
    <s v="GORETAL GOUTOUN"/>
    <m/>
    <x v="1"/>
    <x v="0"/>
    <n v="7"/>
    <n v="53"/>
    <s v="Conflits liés à GANE (BH)"/>
    <m/>
    <s v="Autre pays"/>
    <s v="NGA"/>
    <s v="Nigéria"/>
    <s v="NGA008"/>
    <s v="Borno"/>
    <m/>
    <m/>
    <m/>
    <m/>
  </r>
  <r>
    <s v="Extrême-Nord"/>
    <s v="CMR004"/>
    <x v="2"/>
    <s v="CMR004002"/>
    <x v="9"/>
    <s v="CMR004002010"/>
    <s v="HIL-0007"/>
    <s v="GORETAL GOUTOUN"/>
    <m/>
    <x v="1"/>
    <x v="1"/>
    <n v="18"/>
    <n v="126"/>
    <s v="Conflits liés à GANE (BH)"/>
    <m/>
    <s v="Autre pays"/>
    <s v="NGA"/>
    <s v="Nigéria"/>
    <s v="NGA008"/>
    <s v="Borno"/>
    <m/>
    <m/>
    <m/>
    <m/>
  </r>
  <r>
    <s v="Extrême-Nord"/>
    <s v="CMR004"/>
    <x v="2"/>
    <s v="CMR004002"/>
    <x v="9"/>
    <s v="CMR004002010"/>
    <s v="HIL-0007"/>
    <s v="GORETAL GOUTOUN"/>
    <m/>
    <x v="1"/>
    <x v="3"/>
    <n v="16"/>
    <n v="163"/>
    <s v="Conflits liés à GANE (BH)"/>
    <m/>
    <s v="Autre pays"/>
    <s v="NGA"/>
    <s v="Nigéria"/>
    <s v="NGA008"/>
    <s v="Borno"/>
    <m/>
    <m/>
    <m/>
    <m/>
  </r>
  <r>
    <s v="Extrême-Nord"/>
    <s v="CMR004"/>
    <x v="2"/>
    <s v="CMR004002"/>
    <x v="8"/>
    <s v="CMR004002009"/>
    <s v="MAK-0209"/>
    <s v="NOIRA"/>
    <m/>
    <x v="1"/>
    <x v="0"/>
    <n v="7"/>
    <n v="30"/>
    <s v="Conflits liés à GANE (BH)"/>
    <m/>
    <s v="Autre pays"/>
    <s v="NGA"/>
    <s v="Nigéria"/>
    <s v="NGA008"/>
    <s v="Borno"/>
    <m/>
    <m/>
    <m/>
    <m/>
  </r>
  <r>
    <s v="Extrême-Nord"/>
    <s v="CMR004"/>
    <x v="2"/>
    <s v="CMR004002"/>
    <x v="25"/>
    <s v="CMR004002008"/>
    <s v="FOT-0001"/>
    <s v="AMTCHOUKOULI"/>
    <m/>
    <x v="1"/>
    <x v="0"/>
    <n v="24"/>
    <n v="160"/>
    <s v="Conflits liés à GANE (BH)"/>
    <m/>
    <s v="Autre pays"/>
    <s v="NGA"/>
    <s v="Nigéria"/>
    <s v="NGA008"/>
    <s v="Borno"/>
    <m/>
    <m/>
    <m/>
    <m/>
  </r>
  <r>
    <s v="Extrême-Nord"/>
    <s v="CMR004"/>
    <x v="2"/>
    <s v="CMR004002"/>
    <x v="15"/>
    <s v="CMR004002004"/>
    <s v="LBI-0034"/>
    <s v="NGOYKOKA"/>
    <m/>
    <x v="1"/>
    <x v="0"/>
    <n v="20"/>
    <n v="130"/>
    <s v="Conflits liés à GANE (BH)"/>
    <m/>
    <s v="Autre pays"/>
    <s v="NGA"/>
    <s v="Nigéria"/>
    <s v="NGA008"/>
    <s v="Borno"/>
    <m/>
    <m/>
    <m/>
    <m/>
  </r>
  <r>
    <s v="Extrême-Nord"/>
    <s v="CMR004"/>
    <x v="2"/>
    <s v="CMR004002"/>
    <x v="15"/>
    <s v="CMR004002004"/>
    <s v="LBI-0016"/>
    <s v="SAHABA 3"/>
    <m/>
    <x v="1"/>
    <x v="0"/>
    <n v="104"/>
    <n v="525"/>
    <s v="Conflits liés à GANE (BH)"/>
    <m/>
    <s v="Autre pays"/>
    <s v="NGA"/>
    <s v="Nigéria"/>
    <s v="NGA008"/>
    <s v="Borno"/>
    <m/>
    <m/>
    <m/>
    <m/>
  </r>
  <r>
    <s v="Extrême-Nord"/>
    <s v="CMR004"/>
    <x v="2"/>
    <s v="CMR004002"/>
    <x v="15"/>
    <s v="CMR004002004"/>
    <s v="LBI-0037"/>
    <s v="NDJAMENA"/>
    <m/>
    <x v="1"/>
    <x v="0"/>
    <n v="22"/>
    <n v="113"/>
    <s v="Conflits liés à GANE (BH)"/>
    <m/>
    <s v="Autre pays"/>
    <s v="NGA"/>
    <s v="Nigéria"/>
    <s v="NGA008"/>
    <s v="Borno"/>
    <m/>
    <m/>
    <m/>
    <m/>
  </r>
  <r>
    <s v="Extrême-Nord"/>
    <s v="CMR004"/>
    <x v="2"/>
    <s v="CMR004002"/>
    <x v="15"/>
    <s v="CMR004002004"/>
    <s v="LBI-0018"/>
    <s v="TRAYA"/>
    <m/>
    <x v="1"/>
    <x v="0"/>
    <n v="5"/>
    <n v="40"/>
    <s v="Conflits liés à GANE (BH)"/>
    <m/>
    <s v="Autre pays"/>
    <s v="NGA"/>
    <s v="Nigéria"/>
    <s v="NGA008"/>
    <s v="Borno"/>
    <m/>
    <m/>
    <m/>
    <m/>
  </r>
  <r>
    <s v="Extrême-Nord"/>
    <s v="CMR004"/>
    <x v="1"/>
    <s v="CMR004006"/>
    <x v="14"/>
    <s v="CMR004006007"/>
    <s v="BOU-0005"/>
    <s v="TCHEVI"/>
    <m/>
    <x v="1"/>
    <x v="0"/>
    <n v="16"/>
    <n v="97"/>
    <s v="Conflits liés à GANE (BH)"/>
    <m/>
    <s v="Autre pays"/>
    <s v="NGA"/>
    <s v="Nigéria"/>
    <s v="NGA002"/>
    <s v="Adamawa"/>
    <m/>
    <m/>
    <m/>
    <m/>
  </r>
  <r>
    <s v="Extrême-Nord"/>
    <s v="CMR004"/>
    <x v="1"/>
    <s v="CMR004006"/>
    <x v="14"/>
    <s v="CMR004006007"/>
    <s v="BOU-0005"/>
    <s v="TCHEVI"/>
    <m/>
    <x v="1"/>
    <x v="1"/>
    <n v="0"/>
    <n v="8"/>
    <s v="Conflits liés à GANE (BH)"/>
    <m/>
    <s v="Autre pays"/>
    <s v="NGA"/>
    <s v="Nigéria"/>
    <s v="NGA002"/>
    <s v="Adamawa"/>
    <m/>
    <m/>
    <m/>
    <m/>
  </r>
  <r>
    <s v="Extrême-Nord"/>
    <s v="CMR004"/>
    <x v="1"/>
    <s v="CMR004006"/>
    <x v="14"/>
    <s v="CMR004006007"/>
    <s v="BOU-0005"/>
    <s v="TCHEVI"/>
    <m/>
    <x v="1"/>
    <x v="4"/>
    <n v="2"/>
    <n v="24"/>
    <s v="Conflits liés à GANE (BH)"/>
    <m/>
    <s v="Autre pays"/>
    <s v="NGA"/>
    <s v="Nigéria"/>
    <s v="NGA002"/>
    <s v="Adamawa"/>
    <m/>
    <m/>
    <m/>
    <m/>
  </r>
  <r>
    <s v="Extrême-Nord"/>
    <s v="CMR004"/>
    <x v="1"/>
    <s v="CMR004006"/>
    <x v="14"/>
    <s v="CMR004006007"/>
    <s v="BOU-0005"/>
    <s v="TCHEVI"/>
    <m/>
    <x v="1"/>
    <x v="3"/>
    <n v="1"/>
    <n v="7"/>
    <s v="Conflits liés à GANE (BH)"/>
    <m/>
    <s v="Autre pays"/>
    <s v="NGA"/>
    <s v="Nigéria"/>
    <s v="NGA002"/>
    <s v="Adamawa"/>
    <m/>
    <m/>
    <m/>
    <m/>
  </r>
  <r>
    <s v="Extrême-Nord"/>
    <s v="CMR004"/>
    <x v="2"/>
    <s v="CMR004002"/>
    <x v="12"/>
    <s v="CMR004002002"/>
    <s v="GOU-0036"/>
    <s v="AMFADENA"/>
    <m/>
    <x v="1"/>
    <x v="0"/>
    <n v="9"/>
    <n v="40"/>
    <s v="Conflits liés à GANE (BH)"/>
    <m/>
    <s v="Autre pays"/>
    <s v="NGA"/>
    <s v="Nigéria"/>
    <s v="NGA036"/>
    <s v="Yobe"/>
    <m/>
    <m/>
    <m/>
    <m/>
  </r>
  <r>
    <s v="Extrême-Nord"/>
    <s v="CMR004"/>
    <x v="2"/>
    <s v="CMR004002"/>
    <x v="12"/>
    <s v="CMR004002002"/>
    <s v="GOU-0038"/>
    <s v="AMBASSANA"/>
    <m/>
    <x v="1"/>
    <x v="0"/>
    <n v="15"/>
    <n v="60"/>
    <s v="Conflits liés à GANE (BH)"/>
    <m/>
    <s v="Autre pays"/>
    <s v="NGA"/>
    <s v="Nigéria"/>
    <s v="NGA036"/>
    <s v="Yobe"/>
    <m/>
    <m/>
    <m/>
    <m/>
  </r>
  <r>
    <s v="Extrême-Nord"/>
    <s v="CMR004"/>
    <x v="2"/>
    <s v="CMR004002"/>
    <x v="8"/>
    <s v="CMR004002009"/>
    <s v="MAK-0061"/>
    <s v="MALTAM"/>
    <m/>
    <x v="1"/>
    <x v="4"/>
    <n v="5"/>
    <n v="58"/>
    <s v="Conflit intercommunautaire"/>
    <m/>
    <s v="Autre pays"/>
    <s v="TCD"/>
    <s v="Tchad"/>
    <s v="TCD018"/>
    <s v="N'Djamena"/>
    <m/>
    <m/>
    <m/>
    <m/>
  </r>
  <r>
    <s v="Extrême-Nord"/>
    <s v="CMR004"/>
    <x v="2"/>
    <s v="CMR004002"/>
    <x v="8"/>
    <s v="CMR004002009"/>
    <s v="MAK-0081"/>
    <s v="NDOLOHE ARABE"/>
    <m/>
    <x v="1"/>
    <x v="3"/>
    <n v="4"/>
    <n v="29"/>
    <s v="Conflits liés à GANE (BH)"/>
    <m/>
    <s v="Autre pays"/>
    <s v="NGA"/>
    <s v="Nigéria"/>
    <s v="NGA008"/>
    <s v="Borno"/>
    <m/>
    <m/>
    <m/>
    <m/>
  </r>
  <r>
    <s v="Extrême-Nord"/>
    <s v="CMR004"/>
    <x v="2"/>
    <s v="CMR004002"/>
    <x v="8"/>
    <s v="CMR004002009"/>
    <s v="MAK-0036"/>
    <s v="GAMBAROU"/>
    <m/>
    <x v="1"/>
    <x v="3"/>
    <n v="5"/>
    <n v="21"/>
    <s v="Conflits liés à GANE (BH)"/>
    <m/>
    <s v="Autre pays"/>
    <s v="NGA"/>
    <s v="Nigéria"/>
    <s v="NGA008"/>
    <s v="Borno"/>
    <m/>
    <m/>
    <m/>
    <m/>
  </r>
  <r>
    <s v="Extrême-Nord"/>
    <s v="CMR004"/>
    <x v="2"/>
    <s v="CMR004002"/>
    <x v="8"/>
    <s v="CMR004002009"/>
    <s v="MAK-0036"/>
    <s v="GAMBAROU"/>
    <m/>
    <x v="1"/>
    <x v="2"/>
    <n v="5"/>
    <n v="15"/>
    <s v="Conflits liés à GANE (BH)"/>
    <m/>
    <s v="Autre pays"/>
    <s v="NGA"/>
    <s v="Nigéria"/>
    <s v="NGA008"/>
    <s v="Borno"/>
    <m/>
    <m/>
    <m/>
    <m/>
  </r>
  <r>
    <s v="Extrême-Nord"/>
    <s v="CMR004"/>
    <x v="2"/>
    <s v="CMR004002"/>
    <x v="8"/>
    <s v="CMR004002009"/>
    <s v="MAK-0104"/>
    <s v="KOKIO 2"/>
    <m/>
    <x v="1"/>
    <x v="3"/>
    <n v="3"/>
    <n v="20"/>
    <s v="Conflits liés à GANE (BH)"/>
    <m/>
    <s v="Autre pays"/>
    <s v="NGA"/>
    <s v="Nigéria"/>
    <s v="NGA008"/>
    <s v="Borno"/>
    <m/>
    <m/>
    <m/>
    <m/>
  </r>
  <r>
    <s v="Extrême-Nord"/>
    <s v="CMR004"/>
    <x v="2"/>
    <s v="CMR004002"/>
    <x v="8"/>
    <s v="CMR004002009"/>
    <s v="MAK-0104"/>
    <s v="KOKIO 2"/>
    <m/>
    <x v="1"/>
    <x v="2"/>
    <n v="0"/>
    <n v="8"/>
    <s v="Conflits liés à GANE (BH)"/>
    <m/>
    <s v="Autre pays"/>
    <s v="NGA"/>
    <s v="Nigéria"/>
    <s v="NGA008"/>
    <s v="Borno"/>
    <m/>
    <m/>
    <m/>
    <m/>
  </r>
  <r>
    <s v="Extrême-Nord"/>
    <s v="CMR004"/>
    <x v="2"/>
    <s v="CMR004002"/>
    <x v="8"/>
    <s v="CMR004002009"/>
    <s v="MAK-0059"/>
    <s v="MALADI"/>
    <m/>
    <x v="1"/>
    <x v="2"/>
    <n v="2"/>
    <n v="5"/>
    <s v="Conflits liés à GANE (BH)"/>
    <m/>
    <s v="Autre pays"/>
    <s v="NGA"/>
    <s v="Nigéria"/>
    <s v="NGA008"/>
    <s v="Borno"/>
    <m/>
    <m/>
    <m/>
    <m/>
  </r>
  <r>
    <s v="Extrême-Nord"/>
    <s v="CMR004"/>
    <x v="2"/>
    <s v="CMR004002"/>
    <x v="15"/>
    <s v="CMR004002004"/>
    <s v="XXXX"/>
    <s v="SITE DE DJARANGOUBOU MOUSGOUM"/>
    <s v="SITE DE DJARANGOUBOU MOUSGOUM"/>
    <x v="1"/>
    <x v="2"/>
    <n v="34"/>
    <n v="238"/>
    <s v="Inondations saisonnières ou fortes pluies"/>
    <m/>
    <s v="Autre pays"/>
    <s v="TCD"/>
    <s v="Tchad"/>
    <s v="TCD018"/>
    <s v="N'Djamena"/>
    <m/>
    <m/>
    <m/>
    <m/>
  </r>
  <r>
    <s v="Extrême-Nord"/>
    <s v="CMR004"/>
    <x v="2"/>
    <s v="CMR004002"/>
    <x v="15"/>
    <s v="CMR004002004"/>
    <s v="LBI-0082"/>
    <s v="SAMAKALE"/>
    <m/>
    <x v="1"/>
    <x v="2"/>
    <n v="10"/>
    <n v="40"/>
    <s v="Inondations saisonnières ou fortes pluies"/>
    <m/>
    <s v="Autre pays"/>
    <s v="TCD"/>
    <s v="Tchad"/>
    <s v="TCD018"/>
    <s v="N'Djamena"/>
    <m/>
    <m/>
    <m/>
    <m/>
  </r>
  <r>
    <s v="Extrême-Nord"/>
    <s v="CMR004"/>
    <x v="2"/>
    <s v="CMR004002"/>
    <x v="15"/>
    <s v="CMR004002004"/>
    <s v="LBI-0071"/>
    <s v="MBANAMAMTE"/>
    <m/>
    <x v="1"/>
    <x v="2"/>
    <n v="5"/>
    <n v="35"/>
    <s v="Inondations saisonnières ou fortes pluies"/>
    <m/>
    <s v="Autre pays"/>
    <s v="TCD"/>
    <s v="Tchad"/>
    <s v="TCD018"/>
    <s v="N'Djamena"/>
    <m/>
    <m/>
    <m/>
    <m/>
  </r>
  <r>
    <s v="Extrême-Nord"/>
    <s v="CMR004"/>
    <x v="2"/>
    <s v="CMR004002"/>
    <x v="13"/>
    <s v="CMR004002001"/>
    <s v="WAZ-0008"/>
    <s v="TAGAWA 2"/>
    <m/>
    <x v="1"/>
    <x v="0"/>
    <n v="30"/>
    <n v="259"/>
    <s v="Conflits liés à GANE (BH)"/>
    <m/>
    <s v="Autre pays"/>
    <s v="NGA"/>
    <s v="Nigéria"/>
    <s v="NGA008"/>
    <s v="Borno"/>
    <m/>
    <m/>
    <m/>
    <m/>
  </r>
  <r>
    <s v="Extrême-Nord"/>
    <s v="CMR004"/>
    <x v="2"/>
    <s v="CMR004002"/>
    <x v="13"/>
    <s v="CMR004002001"/>
    <s v="WAZ-0008"/>
    <s v="TAGAWA 2"/>
    <m/>
    <x v="1"/>
    <x v="1"/>
    <n v="0"/>
    <n v="19"/>
    <s v="Conflits liés à GANE (BH)"/>
    <m/>
    <s v="Autre pays"/>
    <s v="NGA"/>
    <s v="Nigéria"/>
    <s v="NGA008"/>
    <s v="Borno"/>
    <m/>
    <m/>
    <m/>
    <m/>
  </r>
  <r>
    <s v="Extrême-Nord"/>
    <s v="CMR004"/>
    <x v="2"/>
    <s v="CMR004002"/>
    <x v="9"/>
    <s v="CMR004002010"/>
    <s v="HIL-0014"/>
    <s v="DOLE MILIMI"/>
    <m/>
    <x v="1"/>
    <x v="4"/>
    <n v="5"/>
    <n v="18"/>
    <s v="Conflits liés à GANE (BH)"/>
    <m/>
    <s v="Autre pays"/>
    <s v="NGA"/>
    <s v="Nigéria"/>
    <s v="NGA008"/>
    <s v="Borno"/>
    <m/>
    <m/>
    <m/>
    <m/>
  </r>
  <r>
    <s v="Extrême-Nord"/>
    <s v="CMR004"/>
    <x v="2"/>
    <s v="CMR004002"/>
    <x v="9"/>
    <s v="CMR004002010"/>
    <s v="HIL-0020"/>
    <s v="WADAK"/>
    <m/>
    <x v="1"/>
    <x v="4"/>
    <n v="5"/>
    <n v="20"/>
    <s v="Conflits liés à GANE (BH)"/>
    <m/>
    <s v="Autre pays"/>
    <s v="NGA"/>
    <s v="Nigéria"/>
    <s v="NGA008"/>
    <s v="Borno"/>
    <m/>
    <m/>
    <m/>
    <m/>
  </r>
  <r>
    <s v="Extrême-Nord"/>
    <s v="CMR004"/>
    <x v="2"/>
    <s v="CMR004002"/>
    <x v="12"/>
    <s v="CMR004002002"/>
    <s v="GOU-0015"/>
    <s v="MICH-MICH"/>
    <m/>
    <x v="1"/>
    <x v="0"/>
    <n v="1"/>
    <n v="4"/>
    <s v="Conflits liés à GANE (BH)"/>
    <m/>
    <s v="Autre pays"/>
    <s v="NGA"/>
    <s v="Nigéria"/>
    <s v="NGA010"/>
    <s v="Delta"/>
    <m/>
    <m/>
    <m/>
    <m/>
  </r>
  <r>
    <s v="Extrême-Nord"/>
    <s v="CMR004"/>
    <x v="2"/>
    <s v="CMR004002"/>
    <x v="12"/>
    <s v="CMR004002002"/>
    <s v="GOU-0025"/>
    <s v="MICHKA-MALIE"/>
    <m/>
    <x v="1"/>
    <x v="0"/>
    <n v="4"/>
    <n v="23"/>
    <s v="Conflits liés à GANE (BH)"/>
    <m/>
    <s v="Autre pays"/>
    <s v="NGA"/>
    <s v="Nigéria"/>
    <s v="NGA007"/>
    <s v="Benue"/>
    <m/>
    <m/>
    <m/>
    <m/>
  </r>
  <r>
    <s v="Extrême-Nord"/>
    <s v="CMR004"/>
    <x v="2"/>
    <s v="CMR004002"/>
    <x v="8"/>
    <s v="CMR004002009"/>
    <s v="MAK-0212"/>
    <s v="NDJAMENA KADAT"/>
    <m/>
    <x v="1"/>
    <x v="3"/>
    <n v="15"/>
    <n v="78"/>
    <s v="Conflits liés à GANE (BH)"/>
    <m/>
    <s v="Autre pays"/>
    <s v="NGA"/>
    <s v="Nigéria"/>
    <s v="NGA008"/>
    <s v="Borno"/>
    <m/>
    <m/>
    <m/>
    <m/>
  </r>
  <r>
    <s v="Extrême-Nord"/>
    <s v="CMR004"/>
    <x v="2"/>
    <s v="CMR004002"/>
    <x v="8"/>
    <s v="CMR004002009"/>
    <s v="MAK-0211"/>
    <s v="BHARAM"/>
    <m/>
    <x v="1"/>
    <x v="3"/>
    <n v="9"/>
    <n v="41"/>
    <s v="Conflits liés à GANE (BH)"/>
    <m/>
    <s v="Autre pays"/>
    <s v="NGA"/>
    <s v="Nigéria"/>
    <s v="NGA008"/>
    <s v="Borno"/>
    <m/>
    <m/>
    <m/>
    <m/>
  </r>
  <r>
    <s v="Extrême-Nord"/>
    <s v="CMR004"/>
    <x v="2"/>
    <s v="CMR004002"/>
    <x v="8"/>
    <s v="CMR004002009"/>
    <s v="XXXX"/>
    <s v="SITE DE BIAMO"/>
    <s v="SITE DE BIAMO"/>
    <x v="1"/>
    <x v="2"/>
    <n v="50"/>
    <n v="150"/>
    <s v="Inondations saisonnières ou fortes pluies"/>
    <m/>
    <s v="Autre pays"/>
    <s v="NGA"/>
    <s v="Nigéria"/>
    <s v="NGA008"/>
    <s v="Borno"/>
    <m/>
    <m/>
    <m/>
    <m/>
  </r>
  <r>
    <s v="Extrême-Nord"/>
    <s v="CMR004"/>
    <x v="2"/>
    <s v="CMR004002"/>
    <x v="8"/>
    <s v="CMR004002009"/>
    <s v="MAK-0012"/>
    <s v="BADRA"/>
    <m/>
    <x v="1"/>
    <x v="3"/>
    <n v="8"/>
    <n v="9"/>
    <s v="Conflits liés à GANE (BH)"/>
    <m/>
    <s v="Autre pays"/>
    <s v="NGA"/>
    <s v="Nigéria"/>
    <s v="NGA002"/>
    <s v="Adamawa"/>
    <m/>
    <m/>
    <m/>
    <m/>
  </r>
  <r>
    <s v="Extrême-Nord"/>
    <s v="CMR004"/>
    <x v="2"/>
    <s v="CMR004002"/>
    <x v="8"/>
    <s v="CMR004002009"/>
    <s v="MAK-0018"/>
    <s v="BLAHE"/>
    <m/>
    <x v="1"/>
    <x v="3"/>
    <n v="51"/>
    <n v="431"/>
    <s v="Conflits liés à GANE (BH)"/>
    <m/>
    <s v="Autre pays"/>
    <s v="NGA"/>
    <s v="Nigéria"/>
    <s v="NGA008"/>
    <s v="Borno"/>
    <m/>
    <m/>
    <m/>
    <m/>
  </r>
  <r>
    <s v="Extrême-Nord"/>
    <s v="CMR004"/>
    <x v="2"/>
    <s v="CMR004002"/>
    <x v="8"/>
    <s v="CMR004002009"/>
    <s v="MAK-0079"/>
    <s v="NDODOHE KALIA"/>
    <m/>
    <x v="1"/>
    <x v="3"/>
    <n v="9"/>
    <n v="36"/>
    <s v="Conflits liés à GANE (BH)"/>
    <m/>
    <s v="Autre pays"/>
    <s v="NGA"/>
    <s v="Nigéria"/>
    <s v="NGA008"/>
    <s v="Borno"/>
    <m/>
    <m/>
    <m/>
    <m/>
  </r>
  <r>
    <s v="Extrême-Nord"/>
    <s v="CMR004"/>
    <x v="2"/>
    <s v="CMR004002"/>
    <x v="8"/>
    <s v="CMR004002009"/>
    <s v="MAK-0080"/>
    <s v="NDODOHE YOUSSOUF"/>
    <m/>
    <x v="1"/>
    <x v="3"/>
    <n v="4"/>
    <n v="27"/>
    <s v="Conflits liés à GANE (BH)"/>
    <m/>
    <s v="Autre pays"/>
    <s v="NGA"/>
    <s v="Nigéria"/>
    <s v="NGA002"/>
    <s v="Adamawa"/>
    <m/>
    <m/>
    <m/>
    <m/>
  </r>
  <r>
    <s v="Extrême-Nord"/>
    <s v="CMR004"/>
    <x v="2"/>
    <s v="CMR004002"/>
    <x v="8"/>
    <s v="CMR004002009"/>
    <s v="MAK-0219"/>
    <s v="FADJE"/>
    <m/>
    <x v="1"/>
    <x v="3"/>
    <n v="12"/>
    <n v="74"/>
    <s v="Conflits liés à GANE (BH)"/>
    <m/>
    <s v="Autre pays"/>
    <s v="NGA"/>
    <s v="Nigéria"/>
    <s v="NGA008"/>
    <s v="Borno"/>
    <m/>
    <m/>
    <m/>
    <m/>
  </r>
  <r>
    <s v="Extrême-Nord"/>
    <s v="CMR004"/>
    <x v="2"/>
    <s v="CMR004002"/>
    <x v="8"/>
    <s v="CMR004002009"/>
    <s v="MAK-0042"/>
    <s v="GOURGOURA"/>
    <m/>
    <x v="1"/>
    <x v="3"/>
    <n v="12"/>
    <n v="59"/>
    <s v="Conflits liés à GANE (BH)"/>
    <m/>
    <s v="Autre pays"/>
    <s v="NGA"/>
    <s v="Nigéria"/>
    <s v="NGA008"/>
    <s v="Borno"/>
    <m/>
    <m/>
    <m/>
    <m/>
  </r>
  <r>
    <s v="Extrême-Nord"/>
    <s v="CMR004"/>
    <x v="2"/>
    <s v="CMR004002"/>
    <x v="25"/>
    <s v="CMR004002008"/>
    <s v="FOT-0006"/>
    <s v="FOTOKOL VILLE"/>
    <m/>
    <x v="1"/>
    <x v="0"/>
    <n v="680"/>
    <n v="3808"/>
    <s v="Conflits liés à GANE (BH)"/>
    <m/>
    <s v="Autre pays"/>
    <s v="NGA"/>
    <s v="Nigéria"/>
    <s v="NGA008"/>
    <s v="Borno"/>
    <m/>
    <m/>
    <m/>
    <m/>
  </r>
  <r>
    <s v="Extrême-Nord"/>
    <s v="CMR004"/>
    <x v="2"/>
    <s v="CMR004002"/>
    <x v="13"/>
    <s v="CMR004002001"/>
    <s v="WAZ-0009"/>
    <s v="TAGAWA 3"/>
    <m/>
    <x v="1"/>
    <x v="2"/>
    <n v="6"/>
    <n v="50"/>
    <s v="Conflits liés à GANE (BH)"/>
    <m/>
    <s v="Autre pays"/>
    <s v="NGA"/>
    <s v="Nigéria"/>
    <s v="NGA008"/>
    <s v="Borno"/>
    <m/>
    <m/>
    <m/>
    <m/>
  </r>
  <r>
    <s v="Extrême-Nord"/>
    <s v="CMR004"/>
    <x v="1"/>
    <s v="CMR004006"/>
    <x v="1"/>
    <s v="CMR004006002"/>
    <s v="MOK-0009"/>
    <s v="MAGOUMAZ"/>
    <m/>
    <x v="1"/>
    <x v="0"/>
    <n v="36"/>
    <n v="195"/>
    <s v="Conflits liés à GANE (BH)"/>
    <m/>
    <s v="Autre pays"/>
    <s v="NGA"/>
    <s v="Nigéria"/>
    <s v="NGA002"/>
    <s v="Adamawa"/>
    <m/>
    <m/>
    <m/>
    <m/>
  </r>
  <r>
    <s v="Extrême-Nord"/>
    <s v="CMR004"/>
    <x v="2"/>
    <s v="CMR004002"/>
    <x v="8"/>
    <s v="CMR004002009"/>
    <s v="MAK-0136"/>
    <s v="FARFARA 1"/>
    <m/>
    <x v="1"/>
    <x v="0"/>
    <n v="37"/>
    <n v="223"/>
    <s v="Conflits liés à GANE (BH)"/>
    <m/>
    <s v="Autre pays"/>
    <s v="NGA"/>
    <s v="Nigéria"/>
    <s v="NGA025"/>
    <s v="Lagos"/>
    <m/>
    <m/>
    <m/>
    <m/>
  </r>
  <r>
    <s v="Extrême-Nord"/>
    <s v="CMR004"/>
    <x v="2"/>
    <s v="CMR004002"/>
    <x v="8"/>
    <s v="CMR004002009"/>
    <s v="MAK-0136"/>
    <s v="FARFARA 1"/>
    <m/>
    <x v="1"/>
    <x v="1"/>
    <n v="4"/>
    <n v="16"/>
    <s v="Conflits liés à GANE (BH)"/>
    <m/>
    <s v="Autre pays"/>
    <s v="NGA"/>
    <s v="Nigéria"/>
    <s v="NGA025"/>
    <s v="Lagos"/>
    <m/>
    <m/>
    <m/>
    <m/>
  </r>
  <r>
    <s v="Extrême-Nord"/>
    <s v="CMR004"/>
    <x v="2"/>
    <s v="CMR004002"/>
    <x v="8"/>
    <s v="CMR004002009"/>
    <s v="MAK-0136"/>
    <s v="FARFARA 1"/>
    <m/>
    <x v="1"/>
    <x v="3"/>
    <n v="0"/>
    <n v="10"/>
    <s v="Conflits liés à GANE (BH)"/>
    <m/>
    <s v="Autre pays"/>
    <s v="NGA"/>
    <s v="Nigéria"/>
    <s v="NGA025"/>
    <s v="Lagos"/>
    <m/>
    <m/>
    <m/>
    <m/>
  </r>
  <r>
    <s v="Extrême-Nord"/>
    <s v="CMR004"/>
    <x v="2"/>
    <s v="CMR004002"/>
    <x v="8"/>
    <s v="CMR004002009"/>
    <s v="MAK-0136"/>
    <s v="FARFARA 1"/>
    <m/>
    <x v="1"/>
    <x v="2"/>
    <n v="1"/>
    <n v="13"/>
    <s v="Conflit intercommunautaire"/>
    <m/>
    <s v="Autre pays"/>
    <s v="NGA"/>
    <s v="Nigéria"/>
    <s v="NGA028"/>
    <s v="Ogun"/>
    <m/>
    <m/>
    <m/>
    <m/>
  </r>
  <r>
    <s v="Extrême-Nord"/>
    <s v="CMR004"/>
    <x v="2"/>
    <s v="CMR004002"/>
    <x v="25"/>
    <s v="CMR004002008"/>
    <s v="FOT-0013"/>
    <s v="SAGME"/>
    <m/>
    <x v="1"/>
    <x v="0"/>
    <n v="66"/>
    <n v="318"/>
    <s v="Conflits liés à GANE (BH)"/>
    <m/>
    <s v="Autre pays"/>
    <s v="NGA"/>
    <s v="Nigéria"/>
    <s v="NGA008"/>
    <s v="Borno"/>
    <m/>
    <m/>
    <m/>
    <m/>
  </r>
  <r>
    <s v="Extrême-Nord"/>
    <s v="CMR004"/>
    <x v="1"/>
    <s v="CMR004006"/>
    <x v="1"/>
    <s v="CMR004006002"/>
    <s v="MOK-0021"/>
    <s v="TOUROU CENTRE"/>
    <m/>
    <x v="1"/>
    <x v="0"/>
    <n v="260"/>
    <n v="1296"/>
    <s v="Conflits liés à GANE (BH)"/>
    <m/>
    <s v="Autre pays"/>
    <s v="NGA"/>
    <s v="Nigéria"/>
    <s v="NGA002"/>
    <s v="Adamawa"/>
    <m/>
    <m/>
    <m/>
    <m/>
  </r>
  <r>
    <s v="Extrême-Nord"/>
    <s v="CMR004"/>
    <x v="1"/>
    <s v="CMR004006"/>
    <x v="1"/>
    <s v="CMR004006002"/>
    <s v="MOK-0059"/>
    <s v="MABASS"/>
    <m/>
    <x v="1"/>
    <x v="2"/>
    <n v="7"/>
    <n v="51"/>
    <s v="Conflits liés à GANE (BH)"/>
    <m/>
    <s v="Autre pays"/>
    <s v="NGA"/>
    <s v="Nigéria"/>
    <s v="CAR071"/>
    <s v="Bayelsa"/>
    <m/>
    <m/>
    <m/>
    <m/>
  </r>
  <r>
    <s v="Extrême-Nord"/>
    <s v="CMR004"/>
    <x v="1"/>
    <s v="CMR004006"/>
    <x v="32"/>
    <s v="CMR004006006"/>
    <s v="SOU-0006"/>
    <s v="SOULEDE ROUA"/>
    <m/>
    <x v="1"/>
    <x v="2"/>
    <n v="1"/>
    <n v="3"/>
    <s v="Conflit intercommunautaire"/>
    <m/>
    <s v="Autre pays"/>
    <s v="TCD"/>
    <s v="Tchad"/>
    <s v="TCD007"/>
    <s v="Lac"/>
    <m/>
    <m/>
    <m/>
    <m/>
  </r>
  <r>
    <s v="Extrême-Nord"/>
    <s v="CMR004"/>
    <x v="2"/>
    <s v="CMR004002"/>
    <x v="26"/>
    <s v="CMR004002006"/>
    <s v="KOU-0034"/>
    <s v="SOKOTO"/>
    <m/>
    <x v="1"/>
    <x v="2"/>
    <n v="3"/>
    <n v="20"/>
    <s v="Inondations saisonnières ou fortes pluies"/>
    <m/>
    <s v="Autre pays"/>
    <s v="TCD"/>
    <s v="Tchad"/>
    <s v="TCD018"/>
    <s v="N'Djamena"/>
    <m/>
    <m/>
    <m/>
    <m/>
  </r>
  <r>
    <s v="Extrême-Nord"/>
    <s v="CMR004"/>
    <x v="2"/>
    <s v="CMR004002"/>
    <x v="26"/>
    <s v="CMR004002006"/>
    <s v="KOU-0038"/>
    <s v="ARDEBE NGADJAM"/>
    <m/>
    <x v="1"/>
    <x v="2"/>
    <n v="1"/>
    <n v="3"/>
    <s v="Inondations saisonnières ou fortes pluies"/>
    <m/>
    <s v="Autre pays"/>
    <s v="TCD"/>
    <s v="Tchad"/>
    <s v="TCD018"/>
    <s v="N'Djamena"/>
    <m/>
    <m/>
    <m/>
    <m/>
  </r>
  <r>
    <s v="Extrême-Nord"/>
    <s v="CMR004"/>
    <x v="2"/>
    <s v="CMR004002"/>
    <x v="15"/>
    <s v="CMR004002004"/>
    <s v="LBI-0024"/>
    <s v="GALESS"/>
    <m/>
    <x v="1"/>
    <x v="0"/>
    <n v="2"/>
    <n v="12"/>
    <s v="Conflits liés à GANE (BH)"/>
    <m/>
    <s v="Autre pays"/>
    <s v="NGA"/>
    <s v="Nigéria"/>
    <s v="NGA037"/>
    <s v="Zamfara"/>
    <m/>
    <m/>
    <m/>
    <m/>
  </r>
  <r>
    <s v="Extrême-Nord"/>
    <s v="CMR004"/>
    <x v="2"/>
    <s v="CMR004002"/>
    <x v="15"/>
    <s v="CMR004002004"/>
    <s v="LBI-0015"/>
    <s v="NGADA"/>
    <m/>
    <x v="1"/>
    <x v="0"/>
    <n v="50"/>
    <n v="198"/>
    <s v="Conflits liés à GANE (BH)"/>
    <m/>
    <s v="Autre pays"/>
    <s v="NGA"/>
    <s v="Nigéria"/>
    <s v="NGA036"/>
    <s v="Yobe"/>
    <m/>
    <m/>
    <m/>
    <m/>
  </r>
  <r>
    <s v="Extrême-Nord"/>
    <s v="CMR004"/>
    <x v="2"/>
    <s v="CMR004002"/>
    <x v="15"/>
    <s v="CMR004002004"/>
    <s v="XXXX"/>
    <s v="BOURBEDE"/>
    <s v="BOURBEDE"/>
    <x v="1"/>
    <x v="2"/>
    <n v="7"/>
    <n v="60"/>
    <s v="Inondations saisonnières ou fortes pluies"/>
    <m/>
    <s v="Autre pays"/>
    <s v="NGA"/>
    <s v="Nigéria"/>
    <s v="NGA037"/>
    <s v="Zamfara"/>
    <m/>
    <m/>
    <m/>
    <m/>
  </r>
  <r>
    <s v="Extrême-Nord"/>
    <s v="CMR004"/>
    <x v="2"/>
    <s v="CMR004002"/>
    <x v="15"/>
    <s v="CMR004002004"/>
    <s v="XXXX"/>
    <s v="SITE DE DEIMA"/>
    <s v="SITE DE DEIMA"/>
    <x v="1"/>
    <x v="0"/>
    <n v="15"/>
    <n v="79"/>
    <s v="Conflits liés à GANE (BH)"/>
    <m/>
    <s v="Autre pays"/>
    <s v="NGA"/>
    <s v="Nigéria"/>
    <s v="NGA037"/>
    <s v="Zamfara"/>
    <m/>
    <m/>
    <m/>
    <m/>
  </r>
  <r>
    <s v="Extrême-Nord"/>
    <s v="CMR004"/>
    <x v="2"/>
    <s v="CMR004002"/>
    <x v="8"/>
    <s v="CMR004002009"/>
    <s v="MAK-0151"/>
    <s v="SERO 1"/>
    <m/>
    <x v="1"/>
    <x v="0"/>
    <n v="10"/>
    <n v="109"/>
    <s v="Conflits liés à GANE (BH)"/>
    <m/>
    <s v="Autre pays"/>
    <s v="NGA"/>
    <s v="Nigéria"/>
    <s v="NGA008"/>
    <s v="Borno"/>
    <m/>
    <m/>
    <m/>
    <m/>
  </r>
  <r>
    <s v="Extrême-Nord"/>
    <s v="CMR004"/>
    <x v="2"/>
    <s v="CMR004002"/>
    <x v="8"/>
    <s v="CMR004002009"/>
    <s v="MAK-0152"/>
    <s v="SOUNGOURA 1"/>
    <m/>
    <x v="1"/>
    <x v="1"/>
    <n v="2"/>
    <n v="22"/>
    <s v="Conflits liés à GANE (BH)"/>
    <m/>
    <s v="Autre pays"/>
    <s v="NGA"/>
    <s v="Nigéria"/>
    <s v="NGA008"/>
    <s v="Borno"/>
    <m/>
    <m/>
    <m/>
    <m/>
  </r>
  <r>
    <s v="Extrême-Nord"/>
    <s v="CMR004"/>
    <x v="1"/>
    <s v="CMR004006"/>
    <x v="1"/>
    <s v="CMR004006002"/>
    <s v="MOK-0027"/>
    <s v="LDAMANG"/>
    <m/>
    <x v="1"/>
    <x v="0"/>
    <n v="86"/>
    <n v="564"/>
    <s v="Conflits liés à GANE (BH)"/>
    <m/>
    <s v="Autre pays"/>
    <s v="NGA"/>
    <s v="Nigéria"/>
    <s v="NGA002"/>
    <s v="Adamawa"/>
    <m/>
    <m/>
    <m/>
    <m/>
  </r>
  <r>
    <s v="Extrême-Nord"/>
    <s v="CMR004"/>
    <x v="2"/>
    <s v="CMR004002"/>
    <x v="15"/>
    <s v="CMR004002004"/>
    <s v="LBI-0033"/>
    <s v="NDOM"/>
    <m/>
    <x v="1"/>
    <x v="0"/>
    <n v="18"/>
    <n v="205"/>
    <s v="Conflits liés à GANE (BH)"/>
    <m/>
    <s v="Autre pays"/>
    <s v="NGA"/>
    <s v="Nigéria"/>
    <s v="NGA036"/>
    <s v="Yobe"/>
    <m/>
    <m/>
    <m/>
    <m/>
  </r>
  <r>
    <s v="Extrême-Nord"/>
    <s v="CMR004"/>
    <x v="1"/>
    <s v="CMR004006"/>
    <x v="1"/>
    <s v="CMR004006002"/>
    <s v="MOK-0033"/>
    <s v="LDUBAM"/>
    <m/>
    <x v="1"/>
    <x v="0"/>
    <n v="86"/>
    <n v="564"/>
    <s v="Conflits liés à GANE (BH)"/>
    <m/>
    <s v="Autre pays"/>
    <s v="NGA"/>
    <s v="Nigéria"/>
    <s v="NGA002"/>
    <s v="Adamawa"/>
    <m/>
    <m/>
    <m/>
    <m/>
  </r>
  <r>
    <s v="Extrême-Nord"/>
    <s v="CMR004"/>
    <x v="1"/>
    <s v="CMR004006"/>
    <x v="1"/>
    <s v="CMR004006002"/>
    <s v="MOK-0034"/>
    <s v="WOUDAHAI"/>
    <m/>
    <x v="1"/>
    <x v="0"/>
    <n v="1"/>
    <n v="8"/>
    <s v="Conflits liés à GANE (BH)"/>
    <m/>
    <s v="Autre pays"/>
    <s v="NGA"/>
    <s v="Nigéria"/>
    <s v="NGA025"/>
    <s v="Lagos"/>
    <m/>
    <m/>
    <m/>
    <m/>
  </r>
  <r>
    <s v="Extrême-Nord"/>
    <s v="CMR004"/>
    <x v="1"/>
    <s v="CMR004006"/>
    <x v="1"/>
    <s v="CMR004006002"/>
    <s v="MOK-0045"/>
    <s v="BISKAVAI"/>
    <m/>
    <x v="1"/>
    <x v="2"/>
    <n v="1"/>
    <n v="2"/>
    <s v="Conflits liés à GANE (BH)"/>
    <m/>
    <s v="Autre pays"/>
    <s v="NGA"/>
    <s v="Nigéria"/>
    <s v="NGA001"/>
    <s v="Abia"/>
    <m/>
    <m/>
    <m/>
    <m/>
  </r>
  <r>
    <s v="Extrême-Nord"/>
    <s v="CMR004"/>
    <x v="1"/>
    <s v="CMR004006"/>
    <x v="1"/>
    <s v="CMR004006002"/>
    <s v="MOK-0019"/>
    <s v="TONGO"/>
    <m/>
    <x v="1"/>
    <x v="0"/>
    <n v="23"/>
    <n v="107"/>
    <s v="Conflits liés à GANE (BH)"/>
    <m/>
    <s v="Autre pays"/>
    <s v="NGA"/>
    <s v="Nigéria"/>
    <s v="NGA002"/>
    <s v="Adamawa"/>
    <m/>
    <m/>
    <m/>
    <m/>
  </r>
  <r>
    <s v="Extrême-Nord"/>
    <s v="CMR004"/>
    <x v="2"/>
    <s v="CMR004002"/>
    <x v="13"/>
    <s v="CMR004002001"/>
    <s v="WAZ-0001"/>
    <s v="GOZOLNANE"/>
    <m/>
    <x v="1"/>
    <x v="0"/>
    <n v="22"/>
    <n v="77"/>
    <s v="Conflits liés à GANE (BH)"/>
    <m/>
    <s v="Autre pays"/>
    <s v="NGA"/>
    <s v="Nigéria"/>
    <s v="NGA008"/>
    <s v="Borno"/>
    <m/>
    <m/>
    <m/>
    <m/>
  </r>
  <r>
    <s v="Extrême-Nord"/>
    <s v="CMR004"/>
    <x v="2"/>
    <s v="CMR004002"/>
    <x v="13"/>
    <s v="CMR004002001"/>
    <s v="WAZ-0001"/>
    <s v="GOZOLNANE"/>
    <m/>
    <x v="1"/>
    <x v="2"/>
    <n v="0"/>
    <n v="5"/>
    <s v="Conflits liés à GANE (BH)"/>
    <m/>
    <s v="Autre pays"/>
    <s v="NGA"/>
    <s v="Nigéria"/>
    <s v="NGA008"/>
    <s v="Borno"/>
    <m/>
    <m/>
    <m/>
    <m/>
  </r>
  <r>
    <s v="Extrême-Nord"/>
    <s v="CMR004"/>
    <x v="5"/>
    <s v="CMR004004"/>
    <x v="20"/>
    <s v="CMR004004006"/>
    <s v="KAE-0008"/>
    <s v="DOUMROU"/>
    <m/>
    <x v="1"/>
    <x v="0"/>
    <n v="33"/>
    <n v="154"/>
    <s v="Conflit intercommunautaire"/>
    <m/>
    <s v="Autre pays"/>
    <s v="TCD"/>
    <s v="Tchad"/>
    <s v="TCD011"/>
    <s v="Mayo Kebbi Est"/>
    <m/>
    <m/>
    <m/>
    <m/>
  </r>
  <r>
    <s v="Extrême-Nord"/>
    <s v="CMR004"/>
    <x v="5"/>
    <s v="CMR004004"/>
    <x v="20"/>
    <s v="CMR004004006"/>
    <s v="KAE-0008"/>
    <s v="DOUMROU"/>
    <m/>
    <x v="1"/>
    <x v="2"/>
    <n v="2"/>
    <n v="9"/>
    <s v="Conflit intercommunautaire"/>
    <m/>
    <s v="Autre pays"/>
    <s v="TCD"/>
    <s v="Tchad"/>
    <s v="TCD011"/>
    <s v="Mayo Kebbi Est"/>
    <m/>
    <m/>
    <m/>
    <m/>
  </r>
  <r>
    <s v="Extrême-Nord"/>
    <s v="CMR004"/>
    <x v="5"/>
    <s v="CMR004004"/>
    <x v="20"/>
    <s v="CMR004004006"/>
    <s v="KAE-0012"/>
    <s v="SOKOYE"/>
    <m/>
    <x v="1"/>
    <x v="0"/>
    <n v="11"/>
    <n v="89"/>
    <s v="Conflit intercommunautaire"/>
    <m/>
    <s v="Autre pays"/>
    <s v="TCD"/>
    <s v="Tchad"/>
    <s v="TCD011"/>
    <s v="Mayo Kebbi Est"/>
    <m/>
    <m/>
    <m/>
    <m/>
  </r>
  <r>
    <s v="Extrême-Nord"/>
    <s v="CMR004"/>
    <x v="5"/>
    <s v="CMR004004"/>
    <x v="20"/>
    <s v="CMR004004006"/>
    <s v="KAE-0018"/>
    <s v="PADJANI"/>
    <m/>
    <x v="1"/>
    <x v="2"/>
    <n v="1"/>
    <n v="6"/>
    <s v="Conflit intercommunautaire"/>
    <m/>
    <s v="Autre pays"/>
    <s v="TCD"/>
    <s v="Tchad"/>
    <s v="TCD011"/>
    <s v="Mayo Kebbi Est"/>
    <m/>
    <m/>
    <m/>
    <m/>
  </r>
  <r>
    <s v="Extrême-Nord"/>
    <s v="CMR004"/>
    <x v="2"/>
    <s v="CMR004002"/>
    <x v="15"/>
    <s v="CMR004002004"/>
    <s v="LBI-0009"/>
    <s v="SITE DE FADJE"/>
    <m/>
    <x v="1"/>
    <x v="0"/>
    <n v="6"/>
    <n v="42"/>
    <s v="Conflits liés à GANE (BH)"/>
    <m/>
    <s v="Autre pays"/>
    <s v="NGA"/>
    <s v="Nigéria"/>
    <s v="NGA008"/>
    <s v="Borno"/>
    <m/>
    <m/>
    <m/>
    <m/>
  </r>
  <r>
    <s v="Extrême-Nord"/>
    <s v="CMR004"/>
    <x v="2"/>
    <s v="CMR004002"/>
    <x v="15"/>
    <s v="CMR004002004"/>
    <s v="LBI-0019"/>
    <s v="AMALGOCH"/>
    <m/>
    <x v="1"/>
    <x v="0"/>
    <n v="2"/>
    <n v="9"/>
    <s v="Conflits liés à GANE (BH)"/>
    <m/>
    <s v="Autre pays"/>
    <s v="NGA"/>
    <s v="Nigéria"/>
    <s v="NGA008"/>
    <s v="Borno"/>
    <m/>
    <m/>
    <m/>
    <m/>
  </r>
  <r>
    <s v="Extrême-Nord"/>
    <s v="CMR004"/>
    <x v="5"/>
    <s v="CMR004004"/>
    <x v="20"/>
    <s v="CMR004004006"/>
    <s v="KAE-0013"/>
    <s v="GUETALÉ"/>
    <m/>
    <x v="1"/>
    <x v="0"/>
    <n v="4"/>
    <n v="28"/>
    <s v="Conflit intercommunautaire"/>
    <m/>
    <s v="Autre pays"/>
    <s v="TCD"/>
    <s v="Tchad"/>
    <s v="TCD011"/>
    <s v="Mayo Kebbi Est"/>
    <m/>
    <m/>
    <m/>
    <m/>
  </r>
  <r>
    <s v="Extrême-Nord"/>
    <s v="CMR004"/>
    <x v="5"/>
    <s v="CMR004004"/>
    <x v="20"/>
    <s v="CMR004004006"/>
    <s v="KAE-0017"/>
    <s v="KEO-KEO"/>
    <m/>
    <x v="1"/>
    <x v="0"/>
    <n v="1"/>
    <n v="12"/>
    <s v="Conflit intercommunautaire"/>
    <m/>
    <s v="Autre pays"/>
    <s v="TCD"/>
    <s v="Tchad"/>
    <s v="TCD011"/>
    <s v="Mayo Kebbi Est"/>
    <m/>
    <m/>
    <m/>
    <m/>
  </r>
  <r>
    <s v="Extrême-Nord"/>
    <s v="CMR004"/>
    <x v="3"/>
    <s v="CMR004003"/>
    <x v="34"/>
    <s v="CMR004003011"/>
    <s v="GOB-0006"/>
    <s v="KARAM 1"/>
    <m/>
    <x v="1"/>
    <x v="2"/>
    <n v="40"/>
    <n v="150"/>
    <s v="Inondations saisonnières ou fortes pluies"/>
    <m/>
    <s v="Autre pays"/>
    <s v="TCD"/>
    <s v="Tchad"/>
    <s v="TCD011"/>
    <s v="Mayo Kebbi Est"/>
    <m/>
    <m/>
    <m/>
    <m/>
  </r>
  <r>
    <s v="Extrême-Nord"/>
    <s v="CMR004"/>
    <x v="3"/>
    <s v="CMR004003"/>
    <x v="34"/>
    <s v="CMR004003011"/>
    <s v="GOB-0004"/>
    <s v="GOBOGAIOUA"/>
    <m/>
    <x v="1"/>
    <x v="0"/>
    <n v="23"/>
    <n v="115"/>
    <s v="Conflits liés à GANE (BH)"/>
    <m/>
    <s v="Autre pays"/>
    <s v="TCD"/>
    <s v="Tchad"/>
    <s v="TCD007"/>
    <s v="Lac"/>
    <m/>
    <m/>
    <m/>
    <m/>
  </r>
  <r>
    <s v="Extrême-Nord"/>
    <s v="CMR004"/>
    <x v="3"/>
    <s v="CMR004003"/>
    <x v="34"/>
    <s v="CMR004003011"/>
    <s v="GOB-0003"/>
    <s v="DJELME"/>
    <m/>
    <x v="1"/>
    <x v="0"/>
    <n v="3"/>
    <n v="13"/>
    <s v="Conflits liés à GANE (BH)"/>
    <m/>
    <s v="Autre pays"/>
    <s v="TCD"/>
    <s v="Tchad"/>
    <s v="TCD007"/>
    <s v="Lac"/>
    <m/>
    <m/>
    <m/>
    <m/>
  </r>
  <r>
    <s v="Extrême-Nord"/>
    <s v="CMR004"/>
    <x v="2"/>
    <s v="CMR004002"/>
    <x v="26"/>
    <s v="CMR004002006"/>
    <s v="KOU-0003"/>
    <s v="ARDEBE VILLE"/>
    <m/>
    <x v="1"/>
    <x v="2"/>
    <n v="2"/>
    <n v="10"/>
    <s v="Inondations saisonnières ou fortes pluies"/>
    <m/>
    <s v="Autre pays"/>
    <s v="TCD"/>
    <s v="Tchad"/>
    <s v="TCD018"/>
    <s v="N'Djamena"/>
    <m/>
    <m/>
    <m/>
    <m/>
  </r>
  <r>
    <s v="Extrême-Nord"/>
    <s v="CMR004"/>
    <x v="3"/>
    <s v="CMR004003"/>
    <x v="33"/>
    <s v="CMR004003001"/>
    <s v="KAI-0010"/>
    <s v="LOUGOY MASSOUANG"/>
    <m/>
    <x v="1"/>
    <x v="0"/>
    <n v="5"/>
    <n v="12"/>
    <s v="Conflits liés à GANE (BH)"/>
    <m/>
    <s v="Autre pays"/>
    <s v="NGA"/>
    <s v="Nigéria"/>
    <s v="NGA002"/>
    <s v="Adamawa"/>
    <m/>
    <m/>
    <m/>
    <m/>
  </r>
  <r>
    <s v="Extrême-Nord"/>
    <s v="CMR004"/>
    <x v="3"/>
    <s v="CMR004003"/>
    <x v="33"/>
    <s v="CMR004003001"/>
    <s v="KAI-0010"/>
    <s v="LOUGOY MASSOUANG"/>
    <m/>
    <x v="1"/>
    <x v="3"/>
    <n v="0"/>
    <n v="6"/>
    <s v="Conflits liés à GANE (BH)"/>
    <m/>
    <s v="Autre pays"/>
    <s v="NGA"/>
    <s v="Nigéria"/>
    <s v="NGA002"/>
    <s v="Adamawa"/>
    <m/>
    <m/>
    <m/>
    <m/>
  </r>
  <r>
    <s v="Extrême-Nord"/>
    <s v="CMR004"/>
    <x v="2"/>
    <s v="CMR004002"/>
    <x v="26"/>
    <s v="CMR004002006"/>
    <s v="KOU-0017"/>
    <s v="LACKA"/>
    <m/>
    <x v="1"/>
    <x v="2"/>
    <n v="6"/>
    <n v="50"/>
    <s v="Inondations saisonnières ou fortes pluies"/>
    <m/>
    <s v="Autre pays"/>
    <s v="TCD"/>
    <s v="Tchad"/>
    <s v="TCD018"/>
    <s v="N'Djamena"/>
    <m/>
    <m/>
    <m/>
    <m/>
  </r>
  <r>
    <s v="Extrême-Nord"/>
    <s v="CMR004"/>
    <x v="2"/>
    <s v="CMR004002"/>
    <x v="27"/>
    <s v="CMR004002007"/>
    <s v="DAR-0015"/>
    <s v="MAGALA-KABIR 2"/>
    <m/>
    <x v="1"/>
    <x v="1"/>
    <n v="5"/>
    <n v="25"/>
    <s v="Conflits liés à GANE (BH)"/>
    <m/>
    <s v="Autre pays"/>
    <s v="NGA"/>
    <s v="Nigéria"/>
    <s v="NGA008"/>
    <s v="Borno"/>
    <m/>
    <m/>
    <m/>
    <m/>
  </r>
  <r>
    <s v="Extrême-Nord"/>
    <s v="CMR004"/>
    <x v="2"/>
    <s v="CMR004002"/>
    <x v="27"/>
    <s v="CMR004002007"/>
    <s v="DAR-0024"/>
    <s v="KADOUNA"/>
    <m/>
    <x v="1"/>
    <x v="1"/>
    <n v="20"/>
    <n v="90"/>
    <s v="Conflits liés à GANE (BH)"/>
    <m/>
    <s v="Autre pays"/>
    <s v="NGA"/>
    <s v="Nigéria"/>
    <s v="NGA008"/>
    <s v="Borno"/>
    <m/>
    <m/>
    <m/>
    <m/>
  </r>
  <r>
    <s v="Extrême-Nord"/>
    <s v="CMR004"/>
    <x v="2"/>
    <s v="CMR004002"/>
    <x v="8"/>
    <s v="CMR004002009"/>
    <s v="MAK-0162"/>
    <s v="AMSOUFA"/>
    <m/>
    <x v="1"/>
    <x v="1"/>
    <n v="1"/>
    <n v="6"/>
    <s v="Conflits liés à GANE (BH)"/>
    <m/>
    <s v="Autre pays"/>
    <s v="NGA"/>
    <s v="Nigéria"/>
    <s v="NGA008"/>
    <s v="Borno"/>
    <m/>
    <m/>
    <m/>
    <m/>
  </r>
  <r>
    <s v="Extrême-Nord"/>
    <s v="CMR004"/>
    <x v="2"/>
    <s v="CMR004002"/>
    <x v="8"/>
    <s v="CMR004002009"/>
    <s v="MAK-0083"/>
    <s v="NGARDOUKOUM 2"/>
    <m/>
    <x v="1"/>
    <x v="1"/>
    <n v="10"/>
    <n v="79"/>
    <s v="Conflits liés à GANE (BH)"/>
    <m/>
    <s v="Autre pays"/>
    <s v="NGA"/>
    <s v="Nigéria"/>
    <s v="NGA008"/>
    <s v="Borno"/>
    <m/>
    <m/>
    <m/>
    <m/>
  </r>
  <r>
    <s v="Extrême-Nord"/>
    <s v="CMR004"/>
    <x v="0"/>
    <s v="CMR004001"/>
    <x v="0"/>
    <s v="CMR004001003"/>
    <s v="PET-0019"/>
    <s v="KOURWAMAYEL"/>
    <m/>
    <x v="2"/>
    <x v="0"/>
    <n v="4"/>
    <n v="19"/>
    <s v="Conflits liés à GANE (BH)"/>
    <m/>
    <s v="Autre département"/>
    <s v="CMR"/>
    <s v="Cameroun"/>
    <s v="CMR004"/>
    <s v="Extrême-Nord"/>
    <s v="CMR004005"/>
    <s v="Mayo-Sava"/>
    <m/>
    <m/>
  </r>
  <r>
    <s v="Extrême-Nord"/>
    <s v="CMR004"/>
    <x v="0"/>
    <s v="CMR004001"/>
    <x v="0"/>
    <s v="CMR004001003"/>
    <s v="PET-0019"/>
    <s v="KOURWAMAYEL"/>
    <m/>
    <x v="2"/>
    <x v="4"/>
    <n v="0"/>
    <n v="1"/>
    <s v="Conflits liés à GANE (BH)"/>
    <m/>
    <s v="Autre département"/>
    <s v="CMR"/>
    <s v="Cameroun"/>
    <s v="CMR004"/>
    <s v="Extrême-Nord"/>
    <s v="CMR004005"/>
    <s v="Mayo-Sava"/>
    <m/>
    <m/>
  </r>
  <r>
    <s v="Extrême-Nord"/>
    <s v="CMR004"/>
    <x v="0"/>
    <s v="CMR004001"/>
    <x v="0"/>
    <s v="CMR004001003"/>
    <s v="PET-0019"/>
    <s v="KOURWAMAYEL"/>
    <m/>
    <x v="2"/>
    <x v="3"/>
    <n v="0"/>
    <n v="2"/>
    <s v="Conflits liés à GANE (BH)"/>
    <m/>
    <s v="Autre département"/>
    <s v="CMR"/>
    <s v="Cameroun"/>
    <s v="CMR004"/>
    <s v="Extrême-Nord"/>
    <s v="CMR004005"/>
    <s v="Mayo-Sava"/>
    <m/>
    <m/>
  </r>
  <r>
    <s v="Extrême-Nord"/>
    <s v="CMR004"/>
    <x v="0"/>
    <s v="CMR004001"/>
    <x v="0"/>
    <s v="CMR004001003"/>
    <s v="PET-0013"/>
    <s v="KLISSAWA"/>
    <m/>
    <x v="2"/>
    <x v="0"/>
    <n v="2"/>
    <n v="7"/>
    <s v="Conflits liés à GANE (BH)"/>
    <m/>
    <s v="Autre département"/>
    <s v="CMR"/>
    <s v="Cameroun"/>
    <s v="CMR004"/>
    <s v="Extrême-Nord"/>
    <s v="CMR004005"/>
    <s v="Mayo-Sava"/>
    <m/>
    <m/>
  </r>
  <r>
    <s v="Extrême-Nord"/>
    <s v="CMR004"/>
    <x v="0"/>
    <s v="CMR004001"/>
    <x v="40"/>
    <s v="CMR004001004"/>
    <s v="DAG-0001"/>
    <s v="DARGALA"/>
    <m/>
    <x v="2"/>
    <x v="0"/>
    <n v="2"/>
    <n v="16"/>
    <s v="Conflit intercommunautaire"/>
    <m/>
    <s v="Autre pays"/>
    <s v="CAR"/>
    <s v="République Centrafricaine"/>
    <m/>
    <m/>
    <m/>
    <m/>
    <m/>
    <m/>
  </r>
  <r>
    <s v="Extrême-Nord"/>
    <s v="CMR004"/>
    <x v="0"/>
    <s v="CMR004001"/>
    <x v="40"/>
    <s v="CMR004001004"/>
    <s v="DAG-0002"/>
    <s v="DJOHIRE"/>
    <m/>
    <x v="2"/>
    <x v="0"/>
    <n v="3"/>
    <n v="45"/>
    <s v="Conflit intercommunautaire"/>
    <m/>
    <s v="Autre pays"/>
    <s v="CAR"/>
    <s v="République Centrafricaine"/>
    <m/>
    <m/>
    <m/>
    <m/>
    <m/>
    <m/>
  </r>
  <r>
    <s v="Extrême-Nord"/>
    <s v="CMR004"/>
    <x v="0"/>
    <s v="CMR004001"/>
    <x v="40"/>
    <s v="CMR004001004"/>
    <s v="DAG-0005"/>
    <s v="WOULMOYE"/>
    <m/>
    <x v="2"/>
    <x v="0"/>
    <n v="6"/>
    <n v="86"/>
    <s v="Conflit intercommunautaire"/>
    <m/>
    <s v="Autre pays"/>
    <s v="CAR"/>
    <s v="République Centrafricaine"/>
    <m/>
    <m/>
    <m/>
    <m/>
    <m/>
    <m/>
  </r>
  <r>
    <s v="Extrême-Nord"/>
    <s v="CMR004"/>
    <x v="0"/>
    <s v="CMR004001"/>
    <x v="40"/>
    <s v="CMR004001004"/>
    <s v="DAG-0003"/>
    <s v="KALAKI"/>
    <m/>
    <x v="2"/>
    <x v="0"/>
    <n v="11"/>
    <n v="135"/>
    <s v="Conflit intercommunautaire"/>
    <m/>
    <s v="Autre pays"/>
    <s v="CAR"/>
    <s v="République Centrafricaine"/>
    <m/>
    <m/>
    <m/>
    <m/>
    <m/>
    <m/>
  </r>
  <r>
    <s v="Extrême-Nord"/>
    <s v="CMR004"/>
    <x v="0"/>
    <s v="CMR004001"/>
    <x v="40"/>
    <s v="CMR004001004"/>
    <s v="DAG-0004"/>
    <s v="OURO-ZANGUI"/>
    <m/>
    <x v="2"/>
    <x v="0"/>
    <n v="1"/>
    <n v="5"/>
    <s v="Conflit intercommunautaire"/>
    <m/>
    <s v="Autre pays"/>
    <s v="CAR"/>
    <s v="République Centrafricaine"/>
    <m/>
    <m/>
    <m/>
    <m/>
    <m/>
    <m/>
  </r>
  <r>
    <s v="Extrême-Nord"/>
    <s v="CMR004"/>
    <x v="1"/>
    <s v="CMR004006"/>
    <x v="7"/>
    <s v="CMR004006005"/>
    <s v="MOZ-0010"/>
    <s v="MOZOGO QUARTIER HAOUSSA"/>
    <m/>
    <x v="2"/>
    <x v="0"/>
    <n v="75"/>
    <n v="405"/>
    <s v="Conflits liés à GANE (BH)"/>
    <m/>
    <s v="Même département, autre arrondissement"/>
    <s v="CMR"/>
    <s v="Cameroun"/>
    <s v="CMR004"/>
    <s v="Extrême-Nord"/>
    <s v="CMR004006"/>
    <s v="Mayo-Tsanaga"/>
    <m/>
    <s v="Koza"/>
  </r>
  <r>
    <s v="Extrême-Nord"/>
    <s v="CMR004"/>
    <x v="1"/>
    <s v="CMR004006"/>
    <x v="7"/>
    <s v="CMR004006005"/>
    <s v="MOZ-0010"/>
    <s v="MOZOGO QUARTIER HAOUSSA"/>
    <m/>
    <x v="2"/>
    <x v="4"/>
    <n v="3"/>
    <n v="25"/>
    <s v="Conflits liés à GANE (BH)"/>
    <m/>
    <s v="Même arrondissement"/>
    <s v="CMR"/>
    <s v="Cameroun"/>
    <s v="CMR004"/>
    <s v="Extrême-Nord"/>
    <s v="CMR004006"/>
    <s v="Mayo-Tsanaga"/>
    <s v="CMR004006005"/>
    <s v="Mayo-Moskota"/>
  </r>
  <r>
    <s v="Extrême-Nord"/>
    <s v="CMR004"/>
    <x v="1"/>
    <s v="CMR004006"/>
    <x v="7"/>
    <s v="CMR004006005"/>
    <s v="MOZ-0010"/>
    <s v="MOZOGO QUARTIER HAOUSSA"/>
    <m/>
    <x v="2"/>
    <x v="3"/>
    <n v="7"/>
    <n v="30"/>
    <s v="Conflits liés à GANE (BH)"/>
    <m/>
    <s v="Même département, autre arrondissement"/>
    <s v="CMR"/>
    <s v="Cameroun"/>
    <s v="CMR004"/>
    <s v="Extrême-Nord"/>
    <s v="CMR004006"/>
    <s v="Mayo-Tsanaga"/>
    <m/>
    <s v="Koza"/>
  </r>
  <r>
    <s v="Extrême-Nord"/>
    <s v="CMR004"/>
    <x v="1"/>
    <s v="CMR004006"/>
    <x v="7"/>
    <s v="CMR004006005"/>
    <s v="MOZ-0010"/>
    <s v="MOZOGO QUARTIER HAOUSSA"/>
    <m/>
    <x v="2"/>
    <x v="2"/>
    <n v="10"/>
    <n v="30"/>
    <s v="Conflits liés à GANE (BH)"/>
    <m/>
    <s v="Même département, autre arrondissement"/>
    <s v="CMR"/>
    <s v="Cameroun"/>
    <s v="CMR004"/>
    <s v="Extrême-Nord"/>
    <s v="CMR004006"/>
    <s v="Mayo-Tsanaga"/>
    <m/>
    <s v="Koza"/>
  </r>
  <r>
    <s v="Extrême-Nord"/>
    <s v="CMR004"/>
    <x v="1"/>
    <s v="CMR004006"/>
    <x v="7"/>
    <s v="CMR004006005"/>
    <s v="MOZ-0014"/>
    <s v="OUZAL"/>
    <m/>
    <x v="2"/>
    <x v="2"/>
    <n v="5"/>
    <n v="18"/>
    <s v="Conflits liés à GANE (BH)"/>
    <m/>
    <s v="Même département, autre arrondissement"/>
    <s v="CMR"/>
    <s v="Cameroun"/>
    <s v="CMR004"/>
    <s v="Extrême-Nord"/>
    <s v="CMR004006"/>
    <s v="Mayo-Tsanaga"/>
    <m/>
    <s v="Koza"/>
  </r>
  <r>
    <s v="Extrême-Nord"/>
    <s v="CMR004"/>
    <x v="1"/>
    <s v="CMR004006"/>
    <x v="7"/>
    <s v="CMR004006005"/>
    <s v="MOZ-0009"/>
    <s v="MOZOGO GUIDBALA"/>
    <m/>
    <x v="2"/>
    <x v="0"/>
    <n v="75"/>
    <n v="428"/>
    <s v="Conflits liés à GANE (BH)"/>
    <m/>
    <s v="Même département, autre arrondissement"/>
    <s v="CMR"/>
    <s v="Cameroun"/>
    <s v="CMR004"/>
    <s v="Extrême-Nord"/>
    <s v="CMR004006"/>
    <s v="Mayo-Tsanaga"/>
    <s v="CMR004006002"/>
    <s v="Mokolo"/>
  </r>
  <r>
    <s v="Extrême-Nord"/>
    <s v="CMR004"/>
    <x v="1"/>
    <s v="CMR004006"/>
    <x v="7"/>
    <s v="CMR004006005"/>
    <s v="MOZ-0009"/>
    <s v="MOZOGO GUIDBALA"/>
    <m/>
    <x v="2"/>
    <x v="4"/>
    <n v="9"/>
    <n v="38"/>
    <s v="Conflits liés à GANE (BH)"/>
    <m/>
    <s v="Même département, autre arrondissement"/>
    <s v="CMR"/>
    <s v="Cameroun"/>
    <s v="CMR004"/>
    <s v="Extrême-Nord"/>
    <s v="CMR004006"/>
    <s v="Mayo-Tsanaga"/>
    <m/>
    <s v="Koza"/>
  </r>
  <r>
    <s v="Extrême-Nord"/>
    <s v="CMR004"/>
    <x v="1"/>
    <s v="CMR004006"/>
    <x v="7"/>
    <s v="CMR004006005"/>
    <s v="MOZ-0006"/>
    <s v="MEDEGOUER"/>
    <m/>
    <x v="2"/>
    <x v="0"/>
    <n v="5"/>
    <n v="10"/>
    <s v="Conflits liés à GANE (BH)"/>
    <m/>
    <s v="Autre région"/>
    <s v="CMR"/>
    <s v="Cameroun"/>
    <s v="CMR001"/>
    <s v="Adamaoua"/>
    <m/>
    <m/>
    <m/>
    <m/>
  </r>
  <r>
    <s v="Extrême-Nord"/>
    <s v="CMR004"/>
    <x v="0"/>
    <s v="CMR004001"/>
    <x v="0"/>
    <s v="CMR004001003"/>
    <s v="PET-0005"/>
    <s v="DJOUTA-BEMBAL"/>
    <m/>
    <x v="2"/>
    <x v="0"/>
    <n v="3"/>
    <n v="10"/>
    <s v="Conflits liés à GANE (BH)"/>
    <m/>
    <s v="Autre département"/>
    <s v="CMR"/>
    <s v="Cameroun"/>
    <s v="CMR004"/>
    <s v="Extrême-Nord"/>
    <s v="CMR004005"/>
    <s v="Mayo-Sava"/>
    <m/>
    <m/>
  </r>
  <r>
    <s v="Extrême-Nord"/>
    <s v="CMR004"/>
    <x v="2"/>
    <s v="CMR004002"/>
    <x v="8"/>
    <s v="CMR004002009"/>
    <s v="MAK-0071"/>
    <s v="NANAMI"/>
    <m/>
    <x v="2"/>
    <x v="0"/>
    <n v="8"/>
    <n v="42"/>
    <s v="Conflits liés à GANE (BH)"/>
    <m/>
    <s v="Même département, autre arrondissement"/>
    <s v="CMR"/>
    <s v="Cameroun"/>
    <s v="CMR004"/>
    <s v="Extrême-Nord"/>
    <s v="CMR004002"/>
    <s v="Logone-Et-Chari"/>
    <s v="CMR004002010"/>
    <s v="Hile-Alifa"/>
  </r>
  <r>
    <s v="Extrême-Nord"/>
    <s v="CMR004"/>
    <x v="0"/>
    <s v="CMR004001"/>
    <x v="40"/>
    <s v="CMR004001004"/>
    <s v="DAG-0007"/>
    <s v="WOURO MAOUNDE"/>
    <m/>
    <x v="2"/>
    <x v="0"/>
    <n v="4"/>
    <n v="29"/>
    <s v="Conflit intercommunautaire"/>
    <m/>
    <s v="Autre pays"/>
    <s v="CAR"/>
    <s v="République Centrafricaine"/>
    <m/>
    <m/>
    <m/>
    <m/>
    <m/>
    <m/>
  </r>
  <r>
    <s v="Extrême-Nord"/>
    <s v="CMR004"/>
    <x v="0"/>
    <s v="CMR004001"/>
    <x v="40"/>
    <s v="CMR004001004"/>
    <s v="DAG-0006"/>
    <s v="WOURO BOUBA"/>
    <m/>
    <x v="2"/>
    <x v="0"/>
    <n v="9"/>
    <n v="74"/>
    <s v="Conflit intercommunautaire"/>
    <m/>
    <s v="Autre pays"/>
    <s v="CAR"/>
    <s v="République Centrafricaine"/>
    <m/>
    <m/>
    <m/>
    <m/>
    <m/>
    <m/>
  </r>
  <r>
    <s v="Extrême-Nord"/>
    <s v="CMR004"/>
    <x v="2"/>
    <s v="CMR004002"/>
    <x v="15"/>
    <s v="CMR004002004"/>
    <s v="LBI-0107"/>
    <s v="MRÉ - MRÉ"/>
    <m/>
    <x v="2"/>
    <x v="2"/>
    <n v="1"/>
    <n v="3"/>
    <s v="Conflit intercommunautaire"/>
    <m/>
    <s v="Autre pays"/>
    <s v="NGA"/>
    <s v="Nigéria"/>
    <m/>
    <m/>
    <m/>
    <m/>
    <m/>
    <m/>
  </r>
  <r>
    <s v="Extrême-Nord"/>
    <s v="CMR004"/>
    <x v="3"/>
    <s v="CMR004003"/>
    <x v="11"/>
    <s v="CMR004003002"/>
    <s v="MAG-0008"/>
    <s v="ALVAKAYE"/>
    <m/>
    <x v="2"/>
    <x v="4"/>
    <n v="177"/>
    <n v="2527"/>
    <s v="Inondations saisonnières ou fortes pluies"/>
    <m/>
    <s v="Même arrondissement"/>
    <s v="CMR"/>
    <s v="Cameroun"/>
    <s v="CMR004"/>
    <s v="Extrême-Nord"/>
    <s v="CMR004003"/>
    <s v="Mayo-Danay"/>
    <s v="CMR004003002"/>
    <s v="Maga"/>
  </r>
  <r>
    <s v="Extrême-Nord"/>
    <s v="CMR004"/>
    <x v="3"/>
    <s v="CMR004003"/>
    <x v="11"/>
    <s v="CMR004003002"/>
    <s v="MAG-0008"/>
    <s v="ALVAKAYE"/>
    <m/>
    <x v="2"/>
    <x v="3"/>
    <n v="0"/>
    <n v="16"/>
    <s v="Inondations saisonnières ou fortes pluies"/>
    <m/>
    <s v="Même arrondissement"/>
    <s v="CMR"/>
    <s v="Cameroun"/>
    <s v="CMR004"/>
    <s v="Extrême-Nord"/>
    <s v="CMR004003"/>
    <s v="Mayo-Danay"/>
    <s v="CMR004003002"/>
    <s v="Maga"/>
  </r>
  <r>
    <s v="Extrême-Nord"/>
    <s v="CMR004"/>
    <x v="3"/>
    <s v="CMR004003"/>
    <x v="11"/>
    <s v="CMR004003002"/>
    <s v="MAG-0008"/>
    <s v="ALVAKAYE"/>
    <m/>
    <x v="2"/>
    <x v="2"/>
    <n v="0"/>
    <n v="26"/>
    <s v="Inondations saisonnières ou fortes pluies"/>
    <m/>
    <s v="Même arrondissement"/>
    <s v="CMR"/>
    <s v="Cameroun"/>
    <s v="CMR004"/>
    <s v="Extrême-Nord"/>
    <s v="CMR004003"/>
    <s v="Mayo-Danay"/>
    <s v="CMR004003002"/>
    <s v="Maga"/>
  </r>
  <r>
    <s v="Extrême-Nord"/>
    <s v="CMR004"/>
    <x v="1"/>
    <s v="CMR004006"/>
    <x v="7"/>
    <s v="CMR004006005"/>
    <s v="MOZ-0007"/>
    <s v="MOSKOTA CENTRE"/>
    <m/>
    <x v="2"/>
    <x v="0"/>
    <n v="140"/>
    <n v="706"/>
    <s v="Conflits liés à GANE (BH)"/>
    <m/>
    <s v="Même arrondissement"/>
    <s v="CMR"/>
    <s v="Cameroun"/>
    <s v="CMR004"/>
    <s v="Extrême-Nord"/>
    <s v="CMR004006"/>
    <s v="Mayo-Tsanaga"/>
    <s v="CMR004006005"/>
    <s v="Mayo-Moskota"/>
  </r>
  <r>
    <s v="Extrême-Nord"/>
    <s v="CMR004"/>
    <x v="1"/>
    <s v="CMR004006"/>
    <x v="7"/>
    <s v="CMR004006005"/>
    <s v="MOZ-0007"/>
    <s v="MOSKOTA CENTRE"/>
    <m/>
    <x v="2"/>
    <x v="4"/>
    <n v="13"/>
    <n v="95"/>
    <s v="Conflits liés à GANE (BH)"/>
    <m/>
    <s v="Même arrondissement"/>
    <s v="CMR"/>
    <s v="Cameroun"/>
    <s v="CMR004"/>
    <s v="Extrême-Nord"/>
    <s v="CMR004006"/>
    <s v="Mayo-Tsanaga"/>
    <s v="CMR004006005"/>
    <s v="Mayo-Moskota"/>
  </r>
  <r>
    <s v="Extrême-Nord"/>
    <s v="CMR004"/>
    <x v="1"/>
    <s v="CMR004006"/>
    <x v="7"/>
    <s v="CMR004006005"/>
    <s v="MOZ-0007"/>
    <s v="MOSKOTA CENTRE"/>
    <m/>
    <x v="2"/>
    <x v="3"/>
    <n v="13"/>
    <n v="43"/>
    <s v="Conflits liés à GANE (BH)"/>
    <m/>
    <s v="Même département, autre arrondissement"/>
    <s v="CMR"/>
    <s v="Cameroun"/>
    <s v="CMR004"/>
    <s v="Extrême-Nord"/>
    <s v="CMR004006"/>
    <s v="Mayo-Tsanaga"/>
    <s v="CMR004006002"/>
    <s v="Mokolo"/>
  </r>
  <r>
    <s v="Extrême-Nord"/>
    <s v="CMR004"/>
    <x v="1"/>
    <s v="CMR004006"/>
    <x v="7"/>
    <s v="CMR004006005"/>
    <s v="MOZ-0007"/>
    <s v="MOSKOTA CENTRE"/>
    <m/>
    <x v="2"/>
    <x v="2"/>
    <n v="20"/>
    <n v="70"/>
    <s v="Conflits liés à GANE (BH)"/>
    <m/>
    <s v="Même département, autre arrondissement"/>
    <s v="CMR"/>
    <s v="Cameroun"/>
    <s v="CMR004"/>
    <s v="Extrême-Nord"/>
    <s v="CMR004006"/>
    <s v="Mayo-Tsanaga"/>
    <m/>
    <s v="Koza"/>
  </r>
  <r>
    <s v="Extrême-Nord"/>
    <s v="CMR004"/>
    <x v="1"/>
    <s v="CMR004006"/>
    <x v="7"/>
    <s v="CMR004006005"/>
    <s v="MOZ-0031"/>
    <s v="SITE DE MOSKOTA - MOGODA"/>
    <m/>
    <x v="2"/>
    <x v="2"/>
    <n v="1"/>
    <n v="6"/>
    <s v="Conflits liés à GANE (BH)"/>
    <m/>
    <s v="Même département, autre arrondissement"/>
    <s v="CMR"/>
    <s v="Cameroun"/>
    <s v="CMR004"/>
    <s v="Extrême-Nord"/>
    <s v="CMR004006"/>
    <s v="Mayo-Tsanaga"/>
    <m/>
    <s v="Koza"/>
  </r>
  <r>
    <s v="Extrême-Nord"/>
    <s v="CMR004"/>
    <x v="2"/>
    <s v="CMR004002"/>
    <x v="13"/>
    <s v="CMR004002001"/>
    <s v="WAZ-0002"/>
    <s v="KABE 1"/>
    <m/>
    <x v="2"/>
    <x v="0"/>
    <n v="62"/>
    <n v="360"/>
    <s v="Conflits liés à GANE (BH)"/>
    <m/>
    <s v="Même arrondissement"/>
    <s v="CMR"/>
    <s v="Cameroun"/>
    <s v="CMR004"/>
    <s v="Extrême-Nord"/>
    <s v="CMR004002"/>
    <s v="Logone-Et-Chari"/>
    <s v="CMR004002001"/>
    <s v="Waza"/>
  </r>
  <r>
    <s v="Extrême-Nord"/>
    <s v="CMR004"/>
    <x v="2"/>
    <s v="CMR004002"/>
    <x v="10"/>
    <s v="CMR004002003"/>
    <s v="BLA-0010"/>
    <s v="KOUTOULA"/>
    <m/>
    <x v="2"/>
    <x v="0"/>
    <n v="6"/>
    <n v="46"/>
    <s v="Conflits liés à GANE (BH)"/>
    <m/>
    <s v="Même département, autre arrondissement"/>
    <s v="CMR"/>
    <s v="Cameroun"/>
    <s v="CMR004"/>
    <s v="Extrême-Nord"/>
    <s v="CMR004002"/>
    <s v="Logone-Et-Chari"/>
    <s v="CMR004002007"/>
    <s v="Darak"/>
  </r>
  <r>
    <s v="Extrême-Nord"/>
    <s v="CMR004"/>
    <x v="1"/>
    <s v="CMR004006"/>
    <x v="39"/>
    <s v="CMR004006001"/>
    <s v="MOG-0002"/>
    <s v="KARANTCHI"/>
    <m/>
    <x v="2"/>
    <x v="0"/>
    <n v="12"/>
    <n v="73"/>
    <s v="Conflits liés à GANE (BH)"/>
    <m/>
    <s v="Autre pays"/>
    <s v="NGA"/>
    <s v="Nigéria"/>
    <m/>
    <m/>
    <m/>
    <m/>
    <m/>
    <m/>
  </r>
  <r>
    <s v="Extrême-Nord"/>
    <s v="CMR004"/>
    <x v="1"/>
    <s v="CMR004006"/>
    <x v="39"/>
    <s v="CMR004006001"/>
    <s v="MOG-0002"/>
    <s v="KARANTCHI"/>
    <m/>
    <x v="2"/>
    <x v="4"/>
    <n v="0"/>
    <n v="6"/>
    <s v="Conflits liés à GANE (BH)"/>
    <m/>
    <s v="Autre pays"/>
    <s v="NGA"/>
    <s v="Nigéria"/>
    <m/>
    <m/>
    <m/>
    <m/>
    <m/>
    <m/>
  </r>
  <r>
    <s v="Extrême-Nord"/>
    <s v="CMR004"/>
    <x v="1"/>
    <s v="CMR004006"/>
    <x v="39"/>
    <s v="CMR004006001"/>
    <s v="MOG-0002"/>
    <s v="KARANTCHI"/>
    <m/>
    <x v="2"/>
    <x v="3"/>
    <n v="0"/>
    <n v="4"/>
    <s v="Conflits liés à GANE (BH)"/>
    <m/>
    <s v="Autre pays"/>
    <s v="NGA"/>
    <s v="Nigéria"/>
    <m/>
    <m/>
    <m/>
    <m/>
    <m/>
    <m/>
  </r>
  <r>
    <s v="Extrême-Nord"/>
    <s v="CMR004"/>
    <x v="1"/>
    <s v="CMR004006"/>
    <x v="39"/>
    <s v="CMR004006001"/>
    <s v="MOG-0012"/>
    <s v="VITTE"/>
    <m/>
    <x v="2"/>
    <x v="0"/>
    <n v="8"/>
    <n v="35"/>
    <s v="Conflits liés à GANE (BH)"/>
    <m/>
    <s v="Autre pays"/>
    <s v="NGA"/>
    <s v="Nigéria"/>
    <m/>
    <m/>
    <m/>
    <m/>
    <m/>
    <m/>
  </r>
  <r>
    <s v="Extrême-Nord"/>
    <s v="CMR004"/>
    <x v="1"/>
    <s v="CMR004006"/>
    <x v="39"/>
    <s v="CMR004006001"/>
    <s v="MOG-0012"/>
    <s v="VITTE"/>
    <m/>
    <x v="2"/>
    <x v="1"/>
    <n v="0"/>
    <n v="4"/>
    <s v="Conflits liés à GANE (BH)"/>
    <m/>
    <s v="Autre pays"/>
    <s v="NGA"/>
    <s v="Nigéria"/>
    <m/>
    <m/>
    <m/>
    <m/>
    <m/>
    <m/>
  </r>
  <r>
    <s v="Extrême-Nord"/>
    <s v="CMR004"/>
    <x v="1"/>
    <s v="CMR004006"/>
    <x v="39"/>
    <s v="CMR004006001"/>
    <s v="MOG-0012"/>
    <s v="VITTE"/>
    <m/>
    <x v="2"/>
    <x v="4"/>
    <n v="0"/>
    <n v="2"/>
    <s v="Conflits liés à GANE (BH)"/>
    <m/>
    <s v="Autre pays"/>
    <s v="NGA"/>
    <s v="Nigéria"/>
    <m/>
    <m/>
    <m/>
    <m/>
    <m/>
    <m/>
  </r>
  <r>
    <s v="Extrême-Nord"/>
    <s v="CMR004"/>
    <x v="1"/>
    <s v="CMR004006"/>
    <x v="39"/>
    <s v="CMR004006001"/>
    <s v="MOG-0012"/>
    <s v="VITTE"/>
    <m/>
    <x v="2"/>
    <x v="2"/>
    <n v="2"/>
    <n v="8"/>
    <s v="Conflits liés à GANE (BH)"/>
    <m/>
    <s v="Autre pays"/>
    <s v="NGA"/>
    <s v="Nigéria"/>
    <m/>
    <m/>
    <m/>
    <m/>
    <m/>
    <m/>
  </r>
  <r>
    <s v="Extrême-Nord"/>
    <s v="CMR004"/>
    <x v="2"/>
    <s v="CMR004002"/>
    <x v="13"/>
    <s v="CMR004002001"/>
    <s v="WAZ-0006"/>
    <s v="SALEH"/>
    <m/>
    <x v="2"/>
    <x v="2"/>
    <n v="101"/>
    <n v="517"/>
    <s v="Conflits liés à GANE (BH)"/>
    <m/>
    <s v="Même arrondissement"/>
    <s v="CMR"/>
    <s v="Cameroun"/>
    <s v="CMR004"/>
    <s v="Extrême-Nord"/>
    <s v="CMR004002"/>
    <s v="Logone-Et-Chari"/>
    <s v="CMR004002001"/>
    <s v="Waza"/>
  </r>
  <r>
    <s v="Extrême-Nord"/>
    <s v="CMR004"/>
    <x v="2"/>
    <s v="CMR004002"/>
    <x v="13"/>
    <s v="CMR004002001"/>
    <s v="WAZ-0006"/>
    <s v="SALEH"/>
    <m/>
    <x v="2"/>
    <x v="0"/>
    <n v="0"/>
    <n v="16"/>
    <s v="Conflits liés à GANE (BH)"/>
    <m/>
    <s v="Même arrondissement"/>
    <s v="CMR"/>
    <s v="Cameroun"/>
    <s v="CMR004"/>
    <s v="Extrême-Nord"/>
    <s v="CMR004002"/>
    <s v="Logone-Et-Chari"/>
    <s v="CMR004002001"/>
    <s v="Waza"/>
  </r>
  <r>
    <s v="Extrême-Nord"/>
    <s v="CMR004"/>
    <x v="2"/>
    <s v="CMR004002"/>
    <x v="13"/>
    <s v="CMR004002001"/>
    <s v="WAZ-0012"/>
    <s v="ZIGAGUE"/>
    <m/>
    <x v="2"/>
    <x v="0"/>
    <n v="53"/>
    <n v="372"/>
    <s v="Conflits liés à GANE (BH)"/>
    <m/>
    <s v="Même arrondissement"/>
    <s v="CMR"/>
    <s v="Cameroun"/>
    <s v="CMR004"/>
    <s v="Extrême-Nord"/>
    <s v="CMR004002"/>
    <s v="Logone-Et-Chari"/>
    <s v="CMR004002001"/>
    <s v="Waza"/>
  </r>
  <r>
    <s v="Extrême-Nord"/>
    <s v="CMR004"/>
    <x v="2"/>
    <s v="CMR004002"/>
    <x v="13"/>
    <s v="CMR004002001"/>
    <s v="WAZ-0012"/>
    <s v="ZIGAGUE"/>
    <m/>
    <x v="2"/>
    <x v="2"/>
    <n v="0"/>
    <n v="10"/>
    <s v="Conflits liés à GANE (BH)"/>
    <m/>
    <s v="Même arrondissement"/>
    <s v="CMR"/>
    <s v="Cameroun"/>
    <s v="CMR004"/>
    <s v="Extrême-Nord"/>
    <s v="CMR004002"/>
    <s v="Logone-Et-Chari"/>
    <s v="CMR004002001"/>
    <s v="Waza"/>
  </r>
  <r>
    <s v="Extrême-Nord"/>
    <s v="CMR004"/>
    <x v="2"/>
    <s v="CMR004002"/>
    <x v="13"/>
    <s v="CMR004002001"/>
    <s v="WAZ-0021"/>
    <s v="GOULOUZIVINI"/>
    <m/>
    <x v="2"/>
    <x v="4"/>
    <n v="3"/>
    <n v="23"/>
    <s v="Conflits liés à GANE (BH)"/>
    <m/>
    <s v="Même arrondissement"/>
    <s v="CMR"/>
    <s v="Cameroun"/>
    <s v="CMR004"/>
    <s v="Extrême-Nord"/>
    <s v="CMR004002"/>
    <s v="Logone-Et-Chari"/>
    <s v="CMR004002001"/>
    <s v="Waza"/>
  </r>
  <r>
    <s v="Extrême-Nord"/>
    <s v="CMR004"/>
    <x v="2"/>
    <s v="CMR004002"/>
    <x v="13"/>
    <s v="CMR004002001"/>
    <s v="WAZ-0021"/>
    <s v="GOULOUZIVINI"/>
    <m/>
    <x v="2"/>
    <x v="2"/>
    <n v="0"/>
    <n v="1"/>
    <s v="Conflits liés à GANE (BH)"/>
    <m/>
    <s v="Même arrondissement"/>
    <s v="CMR"/>
    <s v="Cameroun"/>
    <s v="CMR004"/>
    <s v="Extrême-Nord"/>
    <s v="CMR004002"/>
    <s v="Logone-Et-Chari"/>
    <s v="CMR004002001"/>
    <s v="Waza"/>
  </r>
  <r>
    <s v="Extrême-Nord"/>
    <s v="CMR004"/>
    <x v="1"/>
    <s v="CMR004006"/>
    <x v="7"/>
    <s v="CMR004006005"/>
    <s v="MOZ-0021"/>
    <s v="ASSIGHASSIA"/>
    <m/>
    <x v="2"/>
    <x v="0"/>
    <n v="1017"/>
    <n v="7909"/>
    <s v="Conflits liés à GANE (BH)"/>
    <m/>
    <s v="Même arrondissement"/>
    <s v="CMR"/>
    <s v="Cameroun"/>
    <s v="CMR004"/>
    <s v="Extrême-Nord"/>
    <s v="CMR004006"/>
    <s v="Mayo-Tsanaga"/>
    <s v="CMR004006005"/>
    <s v="Mayo-Moskota"/>
  </r>
  <r>
    <s v="Extrême-Nord"/>
    <s v="CMR004"/>
    <x v="1"/>
    <s v="CMR004006"/>
    <x v="7"/>
    <s v="CMR004006005"/>
    <s v="MOZ-0021"/>
    <s v="ASSIGHASSIA"/>
    <m/>
    <x v="2"/>
    <x v="4"/>
    <n v="2"/>
    <n v="17"/>
    <s v="Conflits liés à GANE (BH)"/>
    <m/>
    <s v="Même arrondissement"/>
    <s v="CMR"/>
    <s v="Cameroun"/>
    <s v="CMR004"/>
    <s v="Extrême-Nord"/>
    <s v="CMR004006"/>
    <s v="Mayo-Tsanaga"/>
    <s v="CMR004006005"/>
    <s v="Mayo-Moskota"/>
  </r>
  <r>
    <s v="Extrême-Nord"/>
    <s v="CMR004"/>
    <x v="1"/>
    <s v="CMR004006"/>
    <x v="7"/>
    <s v="CMR004006005"/>
    <s v="MOZ-0021"/>
    <s v="ASSIGHASSIA"/>
    <m/>
    <x v="2"/>
    <x v="3"/>
    <n v="2"/>
    <n v="16"/>
    <s v="Conflits liés à GANE (BH)"/>
    <m/>
    <s v="Même arrondissement"/>
    <s v="CMR"/>
    <s v="Cameroun"/>
    <s v="CMR004"/>
    <s v="Extrême-Nord"/>
    <s v="CMR004006"/>
    <s v="Mayo-Tsanaga"/>
    <s v="CMR004006005"/>
    <s v="Mayo-Moskota"/>
  </r>
  <r>
    <s v="Extrême-Nord"/>
    <s v="CMR004"/>
    <x v="2"/>
    <s v="CMR004002"/>
    <x v="15"/>
    <s v="CMR004002004"/>
    <s v="LBI-0079"/>
    <s v="OULI HERAS"/>
    <m/>
    <x v="2"/>
    <x v="2"/>
    <n v="1"/>
    <n v="3"/>
    <s v="Conflit intercommunautaire"/>
    <m/>
    <s v="Autre pays"/>
    <s v="TCD"/>
    <s v="Tchad"/>
    <m/>
    <m/>
    <m/>
    <m/>
    <m/>
    <m/>
  </r>
  <r>
    <s v="Extrême-Nord"/>
    <s v="CMR004"/>
    <x v="2"/>
    <s v="CMR004002"/>
    <x v="15"/>
    <s v="CMR004002004"/>
    <s v="LBI-0079"/>
    <s v="OULI HERAS"/>
    <m/>
    <x v="2"/>
    <x v="3"/>
    <n v="42"/>
    <n v="333"/>
    <s v="Conflit intercommunautaire"/>
    <m/>
    <s v="Même département, autre arrondissement"/>
    <s v="CMR"/>
    <s v="Cameroun"/>
    <s v="CMR004"/>
    <s v="Extrême-Nord"/>
    <s v="CMR004002"/>
    <s v="Logone-Et-Chari"/>
    <s v="CMR004002006"/>
    <s v="Kousséri"/>
  </r>
  <r>
    <s v="Extrême-Nord"/>
    <s v="CMR004"/>
    <x v="2"/>
    <s v="CMR004002"/>
    <x v="10"/>
    <s v="CMR004002003"/>
    <s v="BLA-0018"/>
    <s v="DOUGOUMACHI"/>
    <m/>
    <x v="2"/>
    <x v="3"/>
    <n v="35"/>
    <n v="40"/>
    <s v="Conflits liés à GANE (BH)"/>
    <m/>
    <s v="Même département, autre arrondissement"/>
    <s v="CMR"/>
    <s v="Cameroun"/>
    <s v="CMR004"/>
    <s v="Extrême-Nord"/>
    <s v="CMR004002"/>
    <s v="Logone-Et-Chari"/>
    <s v="CMR004002007"/>
    <s v="Darak"/>
  </r>
  <r>
    <s v="Extrême-Nord"/>
    <s v="CMR004"/>
    <x v="2"/>
    <s v="CMR004002"/>
    <x v="13"/>
    <s v="CMR004002001"/>
    <s v="WAZ-0019"/>
    <s v="MATKOUNA 2"/>
    <m/>
    <x v="2"/>
    <x v="0"/>
    <n v="17"/>
    <n v="75"/>
    <s v="Conflits liés à GANE (BH)"/>
    <m/>
    <s v="Même arrondissement"/>
    <s v="CMR"/>
    <s v="Cameroun"/>
    <s v="CMR004"/>
    <s v="Extrême-Nord"/>
    <s v="CMR004002"/>
    <s v="Logone-Et-Chari"/>
    <s v="CMR004002001"/>
    <s v="Waza"/>
  </r>
  <r>
    <s v="Extrême-Nord"/>
    <s v="CMR004"/>
    <x v="2"/>
    <s v="CMR004002"/>
    <x v="13"/>
    <s v="CMR004002001"/>
    <s v="WAZ-0019"/>
    <s v="MATKOUNA 2"/>
    <m/>
    <x v="2"/>
    <x v="1"/>
    <n v="0"/>
    <n v="3"/>
    <s v="Conflits liés à GANE (BH)"/>
    <m/>
    <s v="Même arrondissement"/>
    <s v="CMR"/>
    <s v="Cameroun"/>
    <s v="CMR004"/>
    <s v="Extrême-Nord"/>
    <s v="CMR004002"/>
    <s v="Logone-Et-Chari"/>
    <s v="CMR004002001"/>
    <s v="Waza"/>
  </r>
  <r>
    <s v="Extrême-Nord"/>
    <s v="CMR004"/>
    <x v="2"/>
    <s v="CMR004002"/>
    <x v="13"/>
    <s v="CMR004002001"/>
    <s v="WAZ-0019"/>
    <s v="MATKOUNA 2"/>
    <m/>
    <x v="2"/>
    <x v="4"/>
    <n v="0"/>
    <n v="7"/>
    <s v="Conflits liés à GANE (BH)"/>
    <m/>
    <s v="Même arrondissement"/>
    <s v="CMR"/>
    <s v="Cameroun"/>
    <s v="CMR004"/>
    <s v="Extrême-Nord"/>
    <s v="CMR004002"/>
    <s v="Logone-Et-Chari"/>
    <s v="CMR004002001"/>
    <s v="Waza"/>
  </r>
  <r>
    <s v="Extrême-Nord"/>
    <s v="CMR004"/>
    <x v="1"/>
    <s v="CMR004006"/>
    <x v="7"/>
    <s v="CMR004006005"/>
    <s v="MOZ-0037"/>
    <s v="MOUNDOUGOUA"/>
    <m/>
    <x v="2"/>
    <x v="0"/>
    <n v="80"/>
    <n v="830"/>
    <s v="Conflits liés à GANE (BH)"/>
    <m/>
    <s v="Même arrondissement"/>
    <s v="CMR"/>
    <s v="Cameroun"/>
    <s v="CMR004"/>
    <s v="Extrême-Nord"/>
    <s v="CMR004006"/>
    <s v="Mayo-Tsanaga"/>
    <s v="CMR004006005"/>
    <s v="Mayo-Moskota"/>
  </r>
  <r>
    <s v="Extrême-Nord"/>
    <s v="CMR004"/>
    <x v="1"/>
    <s v="CMR004006"/>
    <x v="7"/>
    <s v="CMR004006005"/>
    <s v="MOZ-0037"/>
    <s v="MOUNDOUGOUA"/>
    <m/>
    <x v="2"/>
    <x v="4"/>
    <n v="1"/>
    <n v="5"/>
    <s v="Conflits liés à GANE (BH)"/>
    <m/>
    <s v="Même arrondissement"/>
    <s v="CMR"/>
    <s v="Cameroun"/>
    <s v="CMR004"/>
    <s v="Extrême-Nord"/>
    <s v="CMR004006"/>
    <s v="Mayo-Tsanaga"/>
    <s v="CMR004006005"/>
    <s v="Mayo-Moskota"/>
  </r>
  <r>
    <s v="Extrême-Nord"/>
    <s v="CMR004"/>
    <x v="1"/>
    <s v="CMR004006"/>
    <x v="7"/>
    <s v="CMR004006005"/>
    <s v="MOZ-0037"/>
    <s v="MOUNDOUGOUA"/>
    <m/>
    <x v="2"/>
    <x v="3"/>
    <n v="20"/>
    <n v="70"/>
    <s v="Conflits liés à GANE (BH)"/>
    <m/>
    <s v="Même arrondissement"/>
    <s v="CMR"/>
    <s v="Cameroun"/>
    <s v="CMR004"/>
    <s v="Extrême-Nord"/>
    <s v="CMR004006"/>
    <s v="Mayo-Tsanaga"/>
    <s v="CMR004006005"/>
    <s v="Mayo-Moskota"/>
  </r>
  <r>
    <s v="Extrême-Nord"/>
    <s v="CMR004"/>
    <x v="2"/>
    <s v="CMR004002"/>
    <x v="13"/>
    <s v="CMR004002001"/>
    <s v="WAZ-0003"/>
    <s v="KABE 2"/>
    <m/>
    <x v="2"/>
    <x v="1"/>
    <n v="40"/>
    <n v="200"/>
    <s v="Conflits liés à GANE (BH)"/>
    <m/>
    <s v="Même arrondissement"/>
    <s v="CMR"/>
    <s v="Cameroun"/>
    <s v="CMR004"/>
    <s v="Extrême-Nord"/>
    <s v="CMR004002"/>
    <s v="Logone-Et-Chari"/>
    <s v="CMR004002001"/>
    <s v="Waza"/>
  </r>
  <r>
    <s v="Extrême-Nord"/>
    <s v="CMR004"/>
    <x v="2"/>
    <s v="CMR004002"/>
    <x v="13"/>
    <s v="CMR004002001"/>
    <s v="WAZ-0003"/>
    <s v="KABE 2"/>
    <m/>
    <x v="2"/>
    <x v="2"/>
    <n v="0"/>
    <n v="6"/>
    <s v="Conflits liés à GANE (BH)"/>
    <m/>
    <s v="Même arrondissement"/>
    <s v="CMR"/>
    <s v="Cameroun"/>
    <s v="CMR004"/>
    <s v="Extrême-Nord"/>
    <s v="CMR004002"/>
    <s v="Logone-Et-Chari"/>
    <s v="CMR004002001"/>
    <s v="Waza"/>
  </r>
  <r>
    <s v="Extrême-Nord"/>
    <s v="CMR004"/>
    <x v="2"/>
    <s v="CMR004002"/>
    <x v="13"/>
    <s v="CMR004002001"/>
    <s v="WAZ-0024"/>
    <s v="ANGOUROU"/>
    <m/>
    <x v="2"/>
    <x v="0"/>
    <n v="18"/>
    <n v="157"/>
    <s v="Conflits liés à GANE (BH)"/>
    <m/>
    <s v="Même arrondissement"/>
    <s v="CMR"/>
    <s v="Cameroun"/>
    <s v="CMR004"/>
    <s v="Extrême-Nord"/>
    <s v="CMR004002"/>
    <s v="Logone-Et-Chari"/>
    <s v="CMR004002001"/>
    <s v="Waza"/>
  </r>
  <r>
    <s v="Extrême-Nord"/>
    <s v="CMR004"/>
    <x v="2"/>
    <s v="CMR004002"/>
    <x v="13"/>
    <s v="CMR004002001"/>
    <s v="WAZ-0024"/>
    <s v="ANGOUROU"/>
    <m/>
    <x v="2"/>
    <x v="4"/>
    <n v="0"/>
    <n v="9"/>
    <s v="Conflits liés à GANE (BH)"/>
    <m/>
    <s v="Même arrondissement"/>
    <s v="CMR"/>
    <s v="Cameroun"/>
    <s v="CMR004"/>
    <s v="Extrême-Nord"/>
    <s v="CMR004002"/>
    <s v="Logone-Et-Chari"/>
    <s v="CMR004002001"/>
    <s v="Waza"/>
  </r>
  <r>
    <s v="Extrême-Nord"/>
    <s v="CMR004"/>
    <x v="2"/>
    <s v="CMR004002"/>
    <x v="13"/>
    <s v="CMR004002001"/>
    <s v="WAZ-0005"/>
    <s v="MICHEDIRE"/>
    <m/>
    <x v="2"/>
    <x v="0"/>
    <n v="44"/>
    <n v="266"/>
    <s v="Conflits liés à GANE (BH)"/>
    <m/>
    <s v="Même arrondissement"/>
    <s v="CMR"/>
    <s v="Cameroun"/>
    <s v="CMR004"/>
    <s v="Extrême-Nord"/>
    <s v="CMR004002"/>
    <s v="Logone-Et-Chari"/>
    <s v="CMR004002001"/>
    <s v="Waza"/>
  </r>
  <r>
    <s v="Extrême-Nord"/>
    <s v="CMR004"/>
    <x v="2"/>
    <s v="CMR004002"/>
    <x v="13"/>
    <s v="CMR004002001"/>
    <s v="WAZ-0018"/>
    <s v="MATKOUNA 1"/>
    <m/>
    <x v="2"/>
    <x v="1"/>
    <n v="2"/>
    <n v="12"/>
    <s v="Conflits liés à GANE (BH)"/>
    <m/>
    <s v="Même arrondissement"/>
    <s v="CMR"/>
    <s v="Cameroun"/>
    <s v="CMR004"/>
    <s v="Extrême-Nord"/>
    <s v="CMR004002"/>
    <s v="Logone-Et-Chari"/>
    <s v="CMR004002001"/>
    <s v="Waza"/>
  </r>
  <r>
    <s v="Extrême-Nord"/>
    <s v="CMR004"/>
    <x v="2"/>
    <s v="CMR004002"/>
    <x v="15"/>
    <s v="CMR004002004"/>
    <s v="LBI-0041"/>
    <s v="TIKINI"/>
    <m/>
    <x v="2"/>
    <x v="3"/>
    <n v="44"/>
    <n v="89"/>
    <s v="Conflit intercommunautaire"/>
    <m/>
    <s v="Autre pays"/>
    <s v="TCD"/>
    <s v="Tchad"/>
    <m/>
    <m/>
    <m/>
    <m/>
    <m/>
    <m/>
  </r>
  <r>
    <s v="Extrême-Nord"/>
    <s v="CMR004"/>
    <x v="2"/>
    <s v="CMR004002"/>
    <x v="15"/>
    <s v="CMR004002004"/>
    <s v="LBI-0056"/>
    <s v="GAWI"/>
    <m/>
    <x v="2"/>
    <x v="3"/>
    <n v="15"/>
    <n v="65"/>
    <s v="Conflit intercommunautaire"/>
    <m/>
    <s v="Autre pays"/>
    <s v="TCD"/>
    <s v="Tchad"/>
    <m/>
    <m/>
    <m/>
    <m/>
    <m/>
    <m/>
  </r>
  <r>
    <s v="Extrême-Nord"/>
    <s v="CMR004"/>
    <x v="5"/>
    <s v="CMR004004"/>
    <x v="18"/>
    <s v="CMR004004001"/>
    <s v="GUI-0001"/>
    <s v="DJANINI"/>
    <m/>
    <x v="2"/>
    <x v="0"/>
    <n v="2"/>
    <n v="6"/>
    <s v="Conflits liés à GANE (BH)"/>
    <m/>
    <s v="Autre département"/>
    <s v="CMR"/>
    <s v="Cameroun"/>
    <s v="CMR004"/>
    <s v="Extrême-Nord"/>
    <s v="CMR004005"/>
    <s v="Mayo-Sava"/>
    <m/>
    <m/>
  </r>
  <r>
    <s v="Extrême-Nord"/>
    <s v="CMR004"/>
    <x v="5"/>
    <s v="CMR004004"/>
    <x v="18"/>
    <s v="CMR004004001"/>
    <s v="GUI-0005"/>
    <s v="SIRATARE"/>
    <m/>
    <x v="2"/>
    <x v="0"/>
    <n v="3"/>
    <n v="15"/>
    <s v="Conflit intercommunautaire"/>
    <m/>
    <s v="Autre pays"/>
    <s v="CAR"/>
    <s v="République Centrafricaine"/>
    <m/>
    <m/>
    <m/>
    <m/>
    <m/>
    <m/>
  </r>
  <r>
    <s v="Extrême-Nord"/>
    <s v="CMR004"/>
    <x v="5"/>
    <s v="CMR004004"/>
    <x v="18"/>
    <s v="CMR004004001"/>
    <s v="GUI-0004"/>
    <s v="MENDAIRE"/>
    <m/>
    <x v="2"/>
    <x v="0"/>
    <n v="1"/>
    <n v="6"/>
    <s v="Conflit intercommunautaire"/>
    <m/>
    <s v="Autre pays"/>
    <s v="CAR"/>
    <s v="République Centrafricaine"/>
    <m/>
    <m/>
    <m/>
    <m/>
    <m/>
    <m/>
  </r>
  <r>
    <s v="Extrême-Nord"/>
    <s v="CMR004"/>
    <x v="5"/>
    <s v="CMR004004"/>
    <x v="20"/>
    <s v="CMR004004006"/>
    <s v="KAE-0006"/>
    <s v="DJIDOMA"/>
    <m/>
    <x v="2"/>
    <x v="0"/>
    <n v="3"/>
    <n v="21"/>
    <s v="Conflits liés à GANE (BH)"/>
    <m/>
    <s v="Autre département"/>
    <s v="CMR"/>
    <s v="Cameroun"/>
    <s v="CMR004"/>
    <s v="Extrême-Nord"/>
    <s v="CMR004005"/>
    <s v="Mayo-Sava"/>
    <m/>
    <m/>
  </r>
  <r>
    <s v="Extrême-Nord"/>
    <s v="CMR004"/>
    <x v="4"/>
    <s v="CMR004005"/>
    <x v="19"/>
    <s v="CMR004005001"/>
    <s v="KOL-0034"/>
    <s v="SITE DE GREYA"/>
    <m/>
    <x v="2"/>
    <x v="3"/>
    <n v="209"/>
    <n v="937"/>
    <s v="Conflits liés à GANE (BH)"/>
    <m/>
    <s v="Même arrondissement"/>
    <s v="CMR"/>
    <s v="Cameroun"/>
    <s v="CMR004"/>
    <s v="Extrême-Nord"/>
    <s v="CMR004005"/>
    <s v="Mayo-Sava"/>
    <s v="CMR004005001"/>
    <s v="Kolofata"/>
  </r>
  <r>
    <s v="Extrême-Nord"/>
    <s v="CMR004"/>
    <x v="2"/>
    <s v="CMR004002"/>
    <x v="15"/>
    <s v="CMR004002004"/>
    <s v="LBI-0039"/>
    <s v="LABADO"/>
    <m/>
    <x v="2"/>
    <x v="2"/>
    <n v="5"/>
    <n v="20"/>
    <s v="Inondations saisonnières ou fortes pluies"/>
    <m/>
    <s v="Même arrondissement"/>
    <s v="CMR"/>
    <s v="Cameroun"/>
    <s v="CMR004"/>
    <s v="Extrême-Nord"/>
    <s v="CMR004002"/>
    <s v="Logone-Et-Chari"/>
    <s v="CMR004002004"/>
    <s v="Logone-Birni"/>
  </r>
  <r>
    <s v="Extrême-Nord"/>
    <s v="CMR004"/>
    <x v="5"/>
    <s v="CMR004004"/>
    <x v="21"/>
    <s v="CMR004004007"/>
    <s v="MIN-0001"/>
    <s v="MOGOM"/>
    <m/>
    <x v="2"/>
    <x v="0"/>
    <n v="3"/>
    <n v="6"/>
    <s v="Conflits liés à GANE (BH)"/>
    <m/>
    <s v="Autre département"/>
    <s v="CMR"/>
    <s v="Cameroun"/>
    <s v="CMR004"/>
    <s v="Extrême-Nord"/>
    <s v="CMR004005"/>
    <s v="Mayo-Sava"/>
    <m/>
    <m/>
  </r>
  <r>
    <s v="Extrême-Nord"/>
    <s v="CMR004"/>
    <x v="2"/>
    <s v="CMR004002"/>
    <x v="13"/>
    <s v="CMR004002001"/>
    <s v="WAZ-0020"/>
    <s v="TOUNGA"/>
    <m/>
    <x v="2"/>
    <x v="0"/>
    <n v="15"/>
    <n v="63"/>
    <s v="Conflits liés à GANE (BH)"/>
    <m/>
    <s v="Même arrondissement"/>
    <s v="CMR"/>
    <s v="Cameroun"/>
    <s v="CMR004"/>
    <s v="Extrême-Nord"/>
    <s v="CMR004002"/>
    <s v="Logone-Et-Chari"/>
    <s v="CMR004002001"/>
    <s v="Waza"/>
  </r>
  <r>
    <s v="Extrême-Nord"/>
    <s v="CMR004"/>
    <x v="2"/>
    <s v="CMR004002"/>
    <x v="13"/>
    <s v="CMR004002001"/>
    <s v="WAZ-0020"/>
    <s v="TOUNGA"/>
    <m/>
    <x v="2"/>
    <x v="2"/>
    <n v="0"/>
    <n v="2"/>
    <s v="Conflits liés à GANE (BH)"/>
    <m/>
    <s v="Même arrondissement"/>
    <s v="CMR"/>
    <s v="Cameroun"/>
    <s v="CMR004"/>
    <s v="Extrême-Nord"/>
    <s v="CMR004002"/>
    <s v="Logone-Et-Chari"/>
    <s v="CMR004002001"/>
    <s v="Waza"/>
  </r>
  <r>
    <s v="Extrême-Nord"/>
    <s v="CMR004"/>
    <x v="2"/>
    <s v="CMR004002"/>
    <x v="8"/>
    <s v="CMR004002009"/>
    <s v="MAK-0063"/>
    <s v="MANDA 1"/>
    <m/>
    <x v="2"/>
    <x v="2"/>
    <n v="1"/>
    <n v="3"/>
    <s v="Conflits liés à GANE (BH)"/>
    <m/>
    <s v="Même département, autre arrondissement"/>
    <s v="CMR"/>
    <s v="Cameroun"/>
    <s v="CMR004"/>
    <s v="Extrême-Nord"/>
    <s v="CMR004002"/>
    <s v="Logone-Et-Chari"/>
    <s v="CMR004002007"/>
    <s v="Darak"/>
  </r>
  <r>
    <s v="Extrême-Nord"/>
    <s v="CMR004"/>
    <x v="2"/>
    <s v="CMR004002"/>
    <x v="8"/>
    <s v="CMR004002009"/>
    <s v="MAK-0020"/>
    <s v="BODO"/>
    <m/>
    <x v="2"/>
    <x v="0"/>
    <n v="10"/>
    <n v="51"/>
    <s v="Conflits liés à GANE (BH)"/>
    <m/>
    <s v="Même département, autre arrondissement"/>
    <s v="CMR"/>
    <s v="Cameroun"/>
    <s v="CMR004"/>
    <s v="Extrême-Nord"/>
    <s v="CMR004002"/>
    <s v="Logone-Et-Chari"/>
    <s v="CMR004002006"/>
    <s v="Kousséri"/>
  </r>
  <r>
    <s v="Extrême-Nord"/>
    <s v="CMR004"/>
    <x v="5"/>
    <s v="CMR004004"/>
    <x v="20"/>
    <s v="CMR004004006"/>
    <s v="KAE-0001"/>
    <s v="BOURGOURI"/>
    <m/>
    <x v="2"/>
    <x v="4"/>
    <n v="2"/>
    <n v="11"/>
    <s v="Conflits liés à GANE (BH)"/>
    <m/>
    <s v="Autre département"/>
    <s v="CMR"/>
    <s v="Cameroun"/>
    <s v="CMR004"/>
    <s v="Extrême-Nord"/>
    <s v="CMR004005"/>
    <s v="Mayo-Sava"/>
    <m/>
    <m/>
  </r>
  <r>
    <s v="Extrême-Nord"/>
    <s v="CMR004"/>
    <x v="5"/>
    <s v="CMR004004"/>
    <x v="22"/>
    <s v="CMR004004005"/>
    <s v="MOT-0003"/>
    <s v="MOUTOUROUA ROOM"/>
    <m/>
    <x v="2"/>
    <x v="0"/>
    <n v="2"/>
    <n v="9"/>
    <s v="Conflits liés à GANE (BH)"/>
    <m/>
    <s v="Autre département"/>
    <s v="CMR"/>
    <s v="Cameroun"/>
    <s v="CMR004"/>
    <s v="Extrême-Nord"/>
    <s v="CMR004005"/>
    <s v="Mayo-Sava"/>
    <m/>
    <m/>
  </r>
  <r>
    <s v="Extrême-Nord"/>
    <s v="CMR004"/>
    <x v="2"/>
    <s v="CMR004002"/>
    <x v="23"/>
    <s v="CMR004002005"/>
    <s v="ZIN-0019"/>
    <s v="SIFNA"/>
    <m/>
    <x v="2"/>
    <x v="2"/>
    <n v="46"/>
    <n v="329"/>
    <s v="Inondations saisonnières ou fortes pluies"/>
    <m/>
    <s v="Même arrondissement"/>
    <s v="CMR"/>
    <s v="Cameroun"/>
    <s v="CMR004"/>
    <s v="Extrême-Nord"/>
    <s v="CMR004002"/>
    <s v="Logone-Et-Chari"/>
    <s v="CMR004002005"/>
    <s v="Zina"/>
  </r>
  <r>
    <s v="Extrême-Nord"/>
    <s v="CMR004"/>
    <x v="1"/>
    <s v="CMR004006"/>
    <x v="7"/>
    <s v="CMR004006005"/>
    <s v="MOZ-0022"/>
    <s v="GOLDAVI"/>
    <m/>
    <x v="2"/>
    <x v="0"/>
    <n v="62"/>
    <n v="321"/>
    <s v="Conflits liés à GANE (BH)"/>
    <m/>
    <s v="Autre région"/>
    <s v="CMR"/>
    <s v="Cameroun"/>
    <s v="CMR006"/>
    <s v="Nord"/>
    <m/>
    <m/>
    <m/>
    <m/>
  </r>
  <r>
    <s v="Extrême-Nord"/>
    <s v="CMR004"/>
    <x v="1"/>
    <s v="CMR004006"/>
    <x v="7"/>
    <s v="CMR004006005"/>
    <s v="MOZ-0022"/>
    <s v="GOLDAVI"/>
    <m/>
    <x v="2"/>
    <x v="4"/>
    <n v="2"/>
    <n v="8"/>
    <s v="Conflits liés à GANE (BH)"/>
    <m/>
    <s v="Autre région"/>
    <s v="CMR"/>
    <s v="Cameroun"/>
    <s v="CMR006"/>
    <s v="Nord"/>
    <m/>
    <m/>
    <m/>
    <m/>
  </r>
  <r>
    <s v="Extrême-Nord"/>
    <s v="CMR004"/>
    <x v="1"/>
    <s v="CMR004006"/>
    <x v="14"/>
    <s v="CMR004006007"/>
    <s v="BOU-0007"/>
    <s v="DJEKI"/>
    <m/>
    <x v="2"/>
    <x v="3"/>
    <n v="2"/>
    <n v="8"/>
    <s v="Conflits liés à GANE (BH)"/>
    <m/>
    <s v="Autre pays"/>
    <s v="NGA"/>
    <s v="Nigéria"/>
    <m/>
    <m/>
    <m/>
    <m/>
    <m/>
    <m/>
  </r>
  <r>
    <s v="Extrême-Nord"/>
    <s v="CMR004"/>
    <x v="2"/>
    <s v="CMR004002"/>
    <x v="15"/>
    <s v="CMR004002004"/>
    <s v="LBI-0068"/>
    <s v="MAHAM"/>
    <m/>
    <x v="2"/>
    <x v="3"/>
    <n v="85"/>
    <n v="664"/>
    <s v="Conflit intercommunautaire"/>
    <m/>
    <s v="Autre pays"/>
    <s v="TCD"/>
    <s v="Tchad"/>
    <m/>
    <m/>
    <m/>
    <m/>
    <m/>
    <m/>
  </r>
  <r>
    <s v="Extrême-Nord"/>
    <s v="CMR004"/>
    <x v="2"/>
    <s v="CMR004002"/>
    <x v="15"/>
    <s v="CMR004002004"/>
    <s v="LBI-0068"/>
    <s v="MAHAM"/>
    <m/>
    <x v="2"/>
    <x v="2"/>
    <n v="15"/>
    <n v="213"/>
    <s v="Conflit intercommunautaire"/>
    <m/>
    <s v="Autre pays"/>
    <s v="TCD"/>
    <s v="Tchad"/>
    <m/>
    <m/>
    <m/>
    <m/>
    <m/>
    <m/>
  </r>
  <r>
    <s v="Extrême-Nord"/>
    <s v="CMR004"/>
    <x v="5"/>
    <s v="CMR004004"/>
    <x v="24"/>
    <s v="CMR004004002"/>
    <s v="MOL-0012"/>
    <s v="LOPÉRÉ"/>
    <m/>
    <x v="2"/>
    <x v="3"/>
    <n v="4"/>
    <n v="20"/>
    <s v="Inondations saisonnières ou fortes pluies"/>
    <m/>
    <s v="Même arrondissement"/>
    <s v="CMR"/>
    <s v="Cameroun"/>
    <s v="CMR004"/>
    <s v="Extrême-Nord"/>
    <s v="CMR004004"/>
    <s v="Mayo-Kani"/>
    <s v="CMR004004002"/>
    <s v="Moulvoudaye"/>
  </r>
  <r>
    <s v="Extrême-Nord"/>
    <s v="CMR004"/>
    <x v="4"/>
    <s v="CMR004005"/>
    <x v="17"/>
    <s v="CMR004005002"/>
    <s v="MOR-0035"/>
    <s v="DOUBLE"/>
    <m/>
    <x v="2"/>
    <x v="0"/>
    <n v="109"/>
    <n v="927"/>
    <s v="Conflits liés à GANE (BH)"/>
    <m/>
    <s v="Même arrondissement"/>
    <s v="CMR"/>
    <s v="Cameroun"/>
    <s v="CMR004"/>
    <s v="Extrême-Nord"/>
    <s v="CMR004005"/>
    <s v="Mayo-Sava"/>
    <s v="CMR004005002"/>
    <s v="Mora"/>
  </r>
  <r>
    <s v="Extrême-Nord"/>
    <s v="CMR004"/>
    <x v="4"/>
    <s v="CMR004005"/>
    <x v="17"/>
    <s v="CMR004005002"/>
    <s v="MOR-0035"/>
    <s v="DOUBLE"/>
    <m/>
    <x v="2"/>
    <x v="4"/>
    <n v="0"/>
    <n v="4"/>
    <s v="Conflits liés à GANE (BH)"/>
    <m/>
    <s v="Même arrondissement"/>
    <s v="CMR"/>
    <s v="Cameroun"/>
    <s v="CMR004"/>
    <s v="Extrême-Nord"/>
    <s v="CMR004005"/>
    <s v="Mayo-Sava"/>
    <s v="CMR004005002"/>
    <s v="Mora"/>
  </r>
  <r>
    <s v="Extrême-Nord"/>
    <s v="CMR004"/>
    <x v="4"/>
    <s v="CMR004005"/>
    <x v="17"/>
    <s v="CMR004005002"/>
    <s v="MOR-0035"/>
    <s v="DOUBLE"/>
    <m/>
    <x v="2"/>
    <x v="3"/>
    <n v="4"/>
    <n v="44"/>
    <s v="Conflits liés à GANE (BH)"/>
    <m/>
    <s v="Même arrondissement"/>
    <s v="CMR"/>
    <s v="Cameroun"/>
    <s v="CMR004"/>
    <s v="Extrême-Nord"/>
    <s v="CMR004005"/>
    <s v="Mayo-Sava"/>
    <s v="CMR004005002"/>
    <s v="Mora"/>
  </r>
  <r>
    <s v="Extrême-Nord"/>
    <s v="CMR004"/>
    <x v="4"/>
    <s v="CMR004005"/>
    <x v="17"/>
    <s v="CMR004005002"/>
    <s v="MOR-0035"/>
    <s v="DOUBLE"/>
    <m/>
    <x v="2"/>
    <x v="2"/>
    <n v="0"/>
    <n v="20"/>
    <s v="Conflits liés à GANE (BH)"/>
    <m/>
    <s v="Même arrondissement"/>
    <s v="CMR"/>
    <s v="Cameroun"/>
    <s v="CMR004"/>
    <s v="Extrême-Nord"/>
    <s v="CMR004005"/>
    <s v="Mayo-Sava"/>
    <s v="CMR004005002"/>
    <s v="Mora"/>
  </r>
  <r>
    <s v="Extrême-Nord"/>
    <s v="CMR004"/>
    <x v="1"/>
    <s v="CMR004006"/>
    <x v="14"/>
    <s v="CMR004006007"/>
    <s v="BOU-0001"/>
    <s v="BOUKOULA"/>
    <m/>
    <x v="2"/>
    <x v="0"/>
    <n v="17"/>
    <n v="99"/>
    <s v="Conflits liés à GANE (BH)"/>
    <m/>
    <s v="Autre pays"/>
    <s v="NGA"/>
    <s v="Nigéria"/>
    <m/>
    <m/>
    <m/>
    <m/>
    <m/>
    <m/>
  </r>
  <r>
    <s v="Extrême-Nord"/>
    <s v="CMR004"/>
    <x v="1"/>
    <s v="CMR004006"/>
    <x v="14"/>
    <s v="CMR004006007"/>
    <s v="BOU-0001"/>
    <s v="BOUKOULA"/>
    <m/>
    <x v="2"/>
    <x v="1"/>
    <n v="0"/>
    <n v="7"/>
    <s v="Conflits liés à GANE (BH)"/>
    <m/>
    <s v="Autre pays"/>
    <s v="NGA"/>
    <s v="Nigéria"/>
    <m/>
    <m/>
    <m/>
    <m/>
    <m/>
    <m/>
  </r>
  <r>
    <s v="Extrême-Nord"/>
    <s v="CMR004"/>
    <x v="1"/>
    <s v="CMR004006"/>
    <x v="14"/>
    <s v="CMR004006007"/>
    <s v="BOU-0001"/>
    <s v="BOUKOULA"/>
    <m/>
    <x v="2"/>
    <x v="4"/>
    <n v="0"/>
    <n v="5"/>
    <s v="Conflits liés à GANE (BH)"/>
    <m/>
    <s v="Autre pays"/>
    <s v="NGA"/>
    <s v="Nigéria"/>
    <m/>
    <m/>
    <m/>
    <m/>
    <m/>
    <m/>
  </r>
  <r>
    <s v="Extrême-Nord"/>
    <s v="CMR004"/>
    <x v="4"/>
    <s v="CMR004005"/>
    <x v="17"/>
    <s v="CMR004005002"/>
    <s v="MOR-0030"/>
    <s v="LIMANI"/>
    <m/>
    <x v="2"/>
    <x v="0"/>
    <n v="359"/>
    <n v="2165"/>
    <s v="Conflits liés à GANE (BH)"/>
    <m/>
    <s v="Même arrondissement"/>
    <s v="CMR"/>
    <s v="Cameroun"/>
    <s v="CMR004"/>
    <s v="Extrême-Nord"/>
    <s v="CMR004005"/>
    <s v="Mayo-Sava"/>
    <s v="CMR004005002"/>
    <s v="Mora"/>
  </r>
  <r>
    <s v="Extrême-Nord"/>
    <s v="CMR004"/>
    <x v="4"/>
    <s v="CMR004005"/>
    <x v="17"/>
    <s v="CMR004005002"/>
    <s v="MOR-0030"/>
    <s v="LIMANI"/>
    <m/>
    <x v="2"/>
    <x v="1"/>
    <n v="29"/>
    <n v="194"/>
    <s v="Conflits liés à GANE (BH)"/>
    <m/>
    <s v="Même arrondissement"/>
    <s v="CMR"/>
    <s v="Cameroun"/>
    <s v="CMR004"/>
    <s v="Extrême-Nord"/>
    <s v="CMR004005"/>
    <s v="Mayo-Sava"/>
    <s v="CMR004005002"/>
    <s v="Mora"/>
  </r>
  <r>
    <s v="Extrême-Nord"/>
    <s v="CMR004"/>
    <x v="4"/>
    <s v="CMR004005"/>
    <x v="17"/>
    <s v="CMR004005002"/>
    <s v="MOR-0030"/>
    <s v="LIMANI"/>
    <m/>
    <x v="2"/>
    <x v="4"/>
    <n v="32"/>
    <n v="252"/>
    <s v="Conflits liés à GANE (BH)"/>
    <m/>
    <s v="Même arrondissement"/>
    <s v="CMR"/>
    <s v="Cameroun"/>
    <s v="CMR004"/>
    <s v="Extrême-Nord"/>
    <s v="CMR004005"/>
    <s v="Mayo-Sava"/>
    <s v="CMR004005002"/>
    <s v="Mora"/>
  </r>
  <r>
    <s v="Extrême-Nord"/>
    <s v="CMR004"/>
    <x v="4"/>
    <s v="CMR004005"/>
    <x v="17"/>
    <s v="CMR004005002"/>
    <s v="MOR-0030"/>
    <s v="LIMANI"/>
    <m/>
    <x v="2"/>
    <x v="2"/>
    <n v="5"/>
    <n v="58"/>
    <s v="Conflits liés à GANE (BH)"/>
    <m/>
    <s v="Même arrondissement"/>
    <s v="CMR"/>
    <s v="Cameroun"/>
    <s v="CMR004"/>
    <s v="Extrême-Nord"/>
    <s v="CMR004005"/>
    <s v="Mayo-Sava"/>
    <s v="CMR004005002"/>
    <s v="Mora"/>
  </r>
  <r>
    <s v="Extrême-Nord"/>
    <s v="CMR004"/>
    <x v="4"/>
    <s v="CMR004005"/>
    <x v="17"/>
    <s v="CMR004005002"/>
    <s v="MOR-0090"/>
    <s v="GUIBA"/>
    <m/>
    <x v="2"/>
    <x v="3"/>
    <n v="34"/>
    <n v="238"/>
    <s v="Conflits liés à GANE (BH)"/>
    <m/>
    <s v="Même arrondissement"/>
    <s v="CMR"/>
    <s v="Cameroun"/>
    <s v="CMR004"/>
    <s v="Extrême-Nord"/>
    <s v="CMR004005"/>
    <s v="Mayo-Sava"/>
    <s v="CMR004005002"/>
    <s v="Mora"/>
  </r>
  <r>
    <s v="Extrême-Nord"/>
    <s v="CMR004"/>
    <x v="4"/>
    <s v="CMR004005"/>
    <x v="17"/>
    <s v="CMR004005002"/>
    <s v="MOR-0090"/>
    <s v="GUIBA"/>
    <m/>
    <x v="2"/>
    <x v="2"/>
    <n v="1"/>
    <n v="3"/>
    <s v="Conflits liés à GANE (BH)"/>
    <m/>
    <s v="Même arrondissement"/>
    <s v="CMR"/>
    <s v="Cameroun"/>
    <s v="CMR004"/>
    <s v="Extrême-Nord"/>
    <s v="CMR004005"/>
    <s v="Mayo-Sava"/>
    <s v="CMR004005002"/>
    <s v="Mora"/>
  </r>
  <r>
    <s v="Extrême-Nord"/>
    <s v="CMR004"/>
    <x v="4"/>
    <s v="CMR004005"/>
    <x v="17"/>
    <s v="CMR004005002"/>
    <s v="MOR-0056"/>
    <s v="PIVOU 1"/>
    <m/>
    <x v="2"/>
    <x v="4"/>
    <n v="5"/>
    <n v="25"/>
    <s v="Conflits liés à GANE (BH)"/>
    <m/>
    <s v="Même arrondissement"/>
    <s v="CMR"/>
    <s v="Cameroun"/>
    <s v="CMR004"/>
    <s v="Extrême-Nord"/>
    <s v="CMR004005"/>
    <s v="Mayo-Sava"/>
    <s v="CMR004005002"/>
    <s v="Mora"/>
  </r>
  <r>
    <s v="Extrême-Nord"/>
    <s v="CMR004"/>
    <x v="4"/>
    <s v="CMR004005"/>
    <x v="17"/>
    <s v="CMR004005002"/>
    <s v="MOR-0016"/>
    <s v="OUDJILA"/>
    <m/>
    <x v="2"/>
    <x v="0"/>
    <n v="40"/>
    <n v="223"/>
    <s v="Conflits liés à GANE (BH)"/>
    <m/>
    <s v="Même arrondissement"/>
    <s v="CMR"/>
    <s v="Cameroun"/>
    <s v="CMR004"/>
    <s v="Extrême-Nord"/>
    <s v="CMR004005"/>
    <s v="Mayo-Sava"/>
    <s v="CMR004005002"/>
    <s v="Mora"/>
  </r>
  <r>
    <s v="Extrême-Nord"/>
    <s v="CMR004"/>
    <x v="4"/>
    <s v="CMR004005"/>
    <x v="17"/>
    <s v="CMR004005002"/>
    <s v="MOR-0016"/>
    <s v="OUDJILA"/>
    <m/>
    <x v="2"/>
    <x v="1"/>
    <n v="50"/>
    <n v="150"/>
    <s v="Conflits liés à GANE (BH)"/>
    <m/>
    <s v="Même arrondissement"/>
    <s v="CMR"/>
    <s v="Cameroun"/>
    <s v="CMR004"/>
    <s v="Extrême-Nord"/>
    <s v="CMR004005"/>
    <s v="Mayo-Sava"/>
    <s v="CMR004005002"/>
    <s v="Mora"/>
  </r>
  <r>
    <s v="Extrême-Nord"/>
    <s v="CMR004"/>
    <x v="4"/>
    <s v="CMR004005"/>
    <x v="17"/>
    <s v="CMR004005002"/>
    <s v="MOR-0016"/>
    <s v="OUDJILA"/>
    <m/>
    <x v="2"/>
    <x v="3"/>
    <n v="0"/>
    <n v="4"/>
    <s v="Conflits liés à GANE (BH)"/>
    <m/>
    <s v="Même arrondissement"/>
    <s v="CMR"/>
    <s v="Cameroun"/>
    <s v="CMR004"/>
    <s v="Extrême-Nord"/>
    <s v="CMR004005"/>
    <s v="Mayo-Sava"/>
    <s v="CMR004005002"/>
    <s v="Mora"/>
  </r>
  <r>
    <s v="Extrême-Nord"/>
    <s v="CMR004"/>
    <x v="1"/>
    <s v="CMR004006"/>
    <x v="14"/>
    <s v="CMR004006007"/>
    <s v="BOU-0002"/>
    <s v="GAMBOURA"/>
    <m/>
    <x v="2"/>
    <x v="1"/>
    <n v="4"/>
    <n v="6"/>
    <s v="Conflits liés à GANE (BH)"/>
    <m/>
    <s v="Autre pays"/>
    <s v="NGA"/>
    <s v="Nigéria"/>
    <m/>
    <m/>
    <m/>
    <m/>
    <m/>
    <m/>
  </r>
  <r>
    <s v="Extrême-Nord"/>
    <s v="CMR004"/>
    <x v="1"/>
    <s v="CMR004006"/>
    <x v="14"/>
    <s v="CMR004006007"/>
    <s v="BOU-0002"/>
    <s v="GAMBOURA"/>
    <m/>
    <x v="2"/>
    <x v="4"/>
    <n v="1"/>
    <n v="9"/>
    <s v="Conflits liés à GANE (BH)"/>
    <m/>
    <s v="Autre pays"/>
    <s v="NGA"/>
    <s v="Nigéria"/>
    <m/>
    <m/>
    <m/>
    <m/>
    <m/>
    <m/>
  </r>
  <r>
    <s v="Extrême-Nord"/>
    <s v="CMR004"/>
    <x v="1"/>
    <s v="CMR004006"/>
    <x v="14"/>
    <s v="CMR004006007"/>
    <s v="BOU-0002"/>
    <s v="GAMBOURA"/>
    <m/>
    <x v="2"/>
    <x v="3"/>
    <n v="1"/>
    <n v="5"/>
    <s v="Conflits liés à GANE (BH)"/>
    <m/>
    <s v="Autre pays"/>
    <s v="NGA"/>
    <s v="Nigéria"/>
    <m/>
    <m/>
    <m/>
    <m/>
    <m/>
    <m/>
  </r>
  <r>
    <s v="Extrême-Nord"/>
    <s v="CMR004"/>
    <x v="2"/>
    <s v="CMR004002"/>
    <x v="8"/>
    <s v="CMR004002009"/>
    <s v="MAK-0068"/>
    <s v="MEITO"/>
    <m/>
    <x v="2"/>
    <x v="3"/>
    <n v="16"/>
    <n v="88"/>
    <s v="Conflits liés à GANE (BH)"/>
    <m/>
    <s v="Même arrondissement"/>
    <s v="CMR"/>
    <s v="Cameroun"/>
    <s v="CMR004"/>
    <s v="Extrême-Nord"/>
    <s v="CMR004002"/>
    <s v="Logone-Et-Chari"/>
    <s v="CMR004002009"/>
    <s v="Makary"/>
  </r>
  <r>
    <s v="Extrême-Nord"/>
    <s v="CMR004"/>
    <x v="4"/>
    <s v="CMR004005"/>
    <x v="17"/>
    <s v="CMR004005002"/>
    <s v="MOR-0028"/>
    <s v="GOUDJOUMDELE"/>
    <m/>
    <x v="2"/>
    <x v="1"/>
    <n v="20"/>
    <n v="86"/>
    <s v="Conflits liés à GANE (BH)"/>
    <m/>
    <s v="Même arrondissement"/>
    <s v="CMR"/>
    <s v="Cameroun"/>
    <s v="CMR004"/>
    <s v="Extrême-Nord"/>
    <s v="CMR004005"/>
    <s v="Mayo-Sava"/>
    <s v="CMR004005002"/>
    <s v="Mora"/>
  </r>
  <r>
    <s v="Extrême-Nord"/>
    <s v="CMR004"/>
    <x v="4"/>
    <s v="CMR004005"/>
    <x v="17"/>
    <s v="CMR004005002"/>
    <s v="MOR-0028"/>
    <s v="GOUDJOUMDELE"/>
    <m/>
    <x v="2"/>
    <x v="4"/>
    <n v="0"/>
    <n v="10"/>
    <s v="Conflits liés à GANE (BH)"/>
    <m/>
    <s v="Même arrondissement"/>
    <s v="CMR"/>
    <s v="Cameroun"/>
    <s v="CMR004"/>
    <s v="Extrême-Nord"/>
    <s v="CMR004005"/>
    <s v="Mayo-Sava"/>
    <s v="CMR004005002"/>
    <s v="Mora"/>
  </r>
  <r>
    <s v="Extrême-Nord"/>
    <s v="CMR004"/>
    <x v="4"/>
    <s v="CMR004005"/>
    <x v="17"/>
    <s v="CMR004005002"/>
    <s v="MOR-0028"/>
    <s v="GOUDJOUMDELE"/>
    <m/>
    <x v="2"/>
    <x v="3"/>
    <n v="0"/>
    <n v="7"/>
    <s v="Conflits liés à GANE (BH)"/>
    <m/>
    <s v="Même arrondissement"/>
    <s v="CMR"/>
    <s v="Cameroun"/>
    <s v="CMR004"/>
    <s v="Extrême-Nord"/>
    <s v="CMR004005"/>
    <s v="Mayo-Sava"/>
    <s v="CMR004005002"/>
    <s v="Mora"/>
  </r>
  <r>
    <s v="Extrême-Nord"/>
    <s v="CMR004"/>
    <x v="4"/>
    <s v="CMR004005"/>
    <x v="17"/>
    <s v="CMR004005002"/>
    <s v="MOR-0028"/>
    <s v="GOUDJOUMDELE"/>
    <m/>
    <x v="2"/>
    <x v="2"/>
    <n v="15"/>
    <n v="50"/>
    <s v="Conflits liés à GANE (BH)"/>
    <m/>
    <s v="Même arrondissement"/>
    <s v="CMR"/>
    <s v="Cameroun"/>
    <s v="CMR004"/>
    <s v="Extrême-Nord"/>
    <s v="CMR004005"/>
    <s v="Mayo-Sava"/>
    <s v="CMR004005002"/>
    <s v="Mora"/>
  </r>
  <r>
    <s v="Extrême-Nord"/>
    <s v="CMR004"/>
    <x v="2"/>
    <s v="CMR004002"/>
    <x v="10"/>
    <s v="CMR004002003"/>
    <s v="BLA-0009"/>
    <s v="KOFIA"/>
    <m/>
    <x v="2"/>
    <x v="0"/>
    <n v="23"/>
    <n v="100"/>
    <s v="Conflits liés à GANE (BH)"/>
    <m/>
    <s v="Même département, autre arrondissement"/>
    <s v="CMR"/>
    <s v="Cameroun"/>
    <s v="CMR004"/>
    <s v="Extrême-Nord"/>
    <s v="CMR004002"/>
    <s v="Logone-Et-Chari"/>
    <s v="CMR004002007"/>
    <s v="Darak"/>
  </r>
  <r>
    <s v="Extrême-Nord"/>
    <s v="CMR004"/>
    <x v="2"/>
    <s v="CMR004002"/>
    <x v="10"/>
    <s v="CMR004002003"/>
    <s v="BLA-0009"/>
    <s v="KOFIA"/>
    <m/>
    <x v="2"/>
    <x v="2"/>
    <n v="2"/>
    <n v="10"/>
    <s v="Conflits liés à GANE (BH)"/>
    <m/>
    <s v="Même département, autre arrondissement"/>
    <s v="CMR"/>
    <s v="Cameroun"/>
    <s v="CMR004"/>
    <s v="Extrême-Nord"/>
    <s v="CMR004002"/>
    <s v="Logone-Et-Chari"/>
    <s v="CMR004002007"/>
    <s v="Darak"/>
  </r>
  <r>
    <s v="Extrême-Nord"/>
    <s v="CMR004"/>
    <x v="1"/>
    <s v="CMR004006"/>
    <x v="7"/>
    <s v="CMR004006005"/>
    <s v="MOZ-0018"/>
    <s v="KRAWA-MAFA"/>
    <m/>
    <x v="2"/>
    <x v="0"/>
    <n v="33"/>
    <n v="185"/>
    <s v="Conflits liés à GANE (BH)"/>
    <m/>
    <s v="Même arrondissement"/>
    <s v="CMR"/>
    <s v="Cameroun"/>
    <s v="CMR004"/>
    <s v="Extrême-Nord"/>
    <s v="CMR004006"/>
    <s v="Mayo-Tsanaga"/>
    <s v="CMR004006005"/>
    <s v="Mayo-Moskota"/>
  </r>
  <r>
    <s v="Extrême-Nord"/>
    <s v="CMR004"/>
    <x v="1"/>
    <s v="CMR004006"/>
    <x v="7"/>
    <s v="CMR004006005"/>
    <s v="MOZ-0004"/>
    <s v="KELARI"/>
    <m/>
    <x v="2"/>
    <x v="3"/>
    <n v="27"/>
    <n v="123"/>
    <s v="Conflits liés à GANE (BH)"/>
    <m/>
    <s v="Même arrondissement"/>
    <s v="CMR"/>
    <s v="Cameroun"/>
    <s v="CMR004"/>
    <s v="Extrême-Nord"/>
    <s v="CMR004006"/>
    <s v="Mayo-Tsanaga"/>
    <s v="CMR004006005"/>
    <s v="Mayo-Moskota"/>
  </r>
  <r>
    <s v="Extrême-Nord"/>
    <s v="CMR004"/>
    <x v="4"/>
    <s v="CMR004005"/>
    <x v="19"/>
    <s v="CMR004005001"/>
    <s v="KOL-0020"/>
    <s v="KOUYAPE"/>
    <m/>
    <x v="2"/>
    <x v="0"/>
    <n v="26"/>
    <n v="206"/>
    <s v="Conflits liés à GANE (BH)"/>
    <m/>
    <s v="Même arrondissement"/>
    <s v="CMR"/>
    <s v="Cameroun"/>
    <s v="CMR004"/>
    <s v="Extrême-Nord"/>
    <s v="CMR004005"/>
    <s v="Mayo-Sava"/>
    <s v="CMR004005001"/>
    <s v="Kolofata"/>
  </r>
  <r>
    <s v="Extrême-Nord"/>
    <s v="CMR004"/>
    <x v="4"/>
    <s v="CMR004005"/>
    <x v="19"/>
    <s v="CMR004005001"/>
    <s v="KOL-0020"/>
    <s v="KOUYAPE"/>
    <m/>
    <x v="2"/>
    <x v="4"/>
    <n v="16"/>
    <n v="70"/>
    <s v="Conflits liés à GANE (BH)"/>
    <m/>
    <s v="Même arrondissement"/>
    <s v="CMR"/>
    <s v="Cameroun"/>
    <s v="CMR004"/>
    <s v="Extrême-Nord"/>
    <s v="CMR004005"/>
    <s v="Mayo-Sava"/>
    <s v="CMR004005001"/>
    <s v="Kolofata"/>
  </r>
  <r>
    <s v="Extrême-Nord"/>
    <s v="CMR004"/>
    <x v="4"/>
    <s v="CMR004005"/>
    <x v="19"/>
    <s v="CMR004005001"/>
    <s v="KOL-0020"/>
    <s v="KOUYAPE"/>
    <m/>
    <x v="2"/>
    <x v="3"/>
    <n v="10"/>
    <n v="87"/>
    <s v="Conflits liés à GANE (BH)"/>
    <m/>
    <s v="Même arrondissement"/>
    <s v="CMR"/>
    <s v="Cameroun"/>
    <s v="CMR004"/>
    <s v="Extrême-Nord"/>
    <s v="CMR004005"/>
    <s v="Mayo-Sava"/>
    <s v="CMR004005001"/>
    <s v="Kolofata"/>
  </r>
  <r>
    <s v="Extrême-Nord"/>
    <s v="CMR004"/>
    <x v="4"/>
    <s v="CMR004005"/>
    <x v="19"/>
    <s v="CMR004005001"/>
    <s v="KOL-0020"/>
    <s v="KOUYAPE"/>
    <m/>
    <x v="2"/>
    <x v="2"/>
    <n v="0"/>
    <n v="12"/>
    <s v="Conflits liés à GANE (BH)"/>
    <m/>
    <s v="Même arrondissement"/>
    <s v="CMR"/>
    <s v="Cameroun"/>
    <s v="CMR004"/>
    <s v="Extrême-Nord"/>
    <s v="CMR004005"/>
    <s v="Mayo-Sava"/>
    <s v="CMR004005001"/>
    <s v="Kolofata"/>
  </r>
  <r>
    <s v="Extrême-Nord"/>
    <s v="CMR004"/>
    <x v="2"/>
    <s v="CMR004002"/>
    <x v="15"/>
    <s v="CMR004002004"/>
    <s v="LBI-0094"/>
    <s v="BANSAZALA2"/>
    <m/>
    <x v="2"/>
    <x v="2"/>
    <n v="2"/>
    <n v="4"/>
    <s v="Conflit intercommunautaire"/>
    <m/>
    <s v="Autre pays"/>
    <s v="TCD"/>
    <s v="Tchad"/>
    <m/>
    <m/>
    <m/>
    <m/>
    <m/>
    <m/>
  </r>
  <r>
    <s v="Extrême-Nord"/>
    <s v="CMR004"/>
    <x v="2"/>
    <s v="CMR004002"/>
    <x v="15"/>
    <s v="CMR004002004"/>
    <s v="LBI-0094"/>
    <s v="BANSAZALA2"/>
    <m/>
    <x v="2"/>
    <x v="3"/>
    <n v="22"/>
    <n v="100"/>
    <s v="Conflit intercommunautaire"/>
    <m/>
    <s v="Même département, autre arrondissement"/>
    <s v="CMR"/>
    <s v="Cameroun"/>
    <s v="CMR004"/>
    <s v="Extrême-Nord"/>
    <s v="CMR004002"/>
    <s v="Logone-Et-Chari"/>
    <s v="CMR004002006"/>
    <s v="Kousséri"/>
  </r>
  <r>
    <s v="Extrême-Nord"/>
    <s v="CMR004"/>
    <x v="2"/>
    <s v="CMR004002"/>
    <x v="15"/>
    <s v="CMR004002004"/>
    <s v="LBI-0093"/>
    <s v="BANZALA 1"/>
    <m/>
    <x v="2"/>
    <x v="3"/>
    <n v="16"/>
    <n v="57"/>
    <s v="Conflit intercommunautaire"/>
    <m/>
    <s v="Même département, autre arrondissement"/>
    <s v="CMR"/>
    <s v="Cameroun"/>
    <s v="CMR004"/>
    <s v="Extrême-Nord"/>
    <s v="CMR004002"/>
    <s v="Logone-Et-Chari"/>
    <s v="CMR004002006"/>
    <s v="Kousséri"/>
  </r>
  <r>
    <s v="Extrême-Nord"/>
    <s v="CMR004"/>
    <x v="2"/>
    <s v="CMR004002"/>
    <x v="15"/>
    <s v="CMR004002004"/>
    <s v="LBI-0093"/>
    <s v="BANZALA 1"/>
    <m/>
    <x v="2"/>
    <x v="2"/>
    <n v="4"/>
    <n v="8"/>
    <s v="Conflit intercommunautaire"/>
    <m/>
    <s v="Autre pays"/>
    <s v="TCD"/>
    <s v="Tchad"/>
    <m/>
    <m/>
    <m/>
    <m/>
    <m/>
    <m/>
  </r>
  <r>
    <s v="Extrême-Nord"/>
    <s v="CMR004"/>
    <x v="2"/>
    <s v="CMR004002"/>
    <x v="15"/>
    <s v="CMR004002004"/>
    <s v="LBI-0092"/>
    <s v="GADOUDJI"/>
    <m/>
    <x v="2"/>
    <x v="3"/>
    <n v="25"/>
    <n v="101"/>
    <s v="Conflit intercommunautaire"/>
    <m/>
    <s v="Même département, autre arrondissement"/>
    <s v="CMR"/>
    <s v="Cameroun"/>
    <s v="CMR004"/>
    <s v="Extrême-Nord"/>
    <s v="CMR004002"/>
    <s v="Logone-Et-Chari"/>
    <s v="CMR004002006"/>
    <s v="Kousséri"/>
  </r>
  <r>
    <s v="Extrême-Nord"/>
    <s v="CMR004"/>
    <x v="2"/>
    <s v="CMR004002"/>
    <x v="15"/>
    <s v="CMR004002004"/>
    <s v="LBI-0092"/>
    <s v="GADOUDJI"/>
    <m/>
    <x v="2"/>
    <x v="2"/>
    <n v="3"/>
    <n v="6"/>
    <s v="Conflit intercommunautaire"/>
    <m/>
    <s v="Autre pays"/>
    <s v="TCD"/>
    <s v="Tchad"/>
    <m/>
    <m/>
    <m/>
    <m/>
    <m/>
    <m/>
  </r>
  <r>
    <s v="Extrême-Nord"/>
    <s v="CMR004"/>
    <x v="1"/>
    <s v="CMR004006"/>
    <x v="16"/>
    <s v="CMR004006004"/>
    <s v="XXXX"/>
    <s v="DZAKOURMA"/>
    <s v="DZAKOURMA"/>
    <x v="2"/>
    <x v="2"/>
    <n v="30"/>
    <n v="160"/>
    <s v="Conflits liés à GANE (BH)"/>
    <m/>
    <s v="Même arrondissement"/>
    <s v="CMR"/>
    <s v="Cameroun"/>
    <s v="CMR004"/>
    <s v="Extrême-Nord"/>
    <s v="CMR004006"/>
    <s v="Mayo-Tsanaga"/>
    <s v="CMR004006004"/>
    <s v="Koza"/>
  </r>
  <r>
    <s v="Extrême-Nord"/>
    <s v="CMR004"/>
    <x v="1"/>
    <s v="CMR004006"/>
    <x v="16"/>
    <s v="CMR004006004"/>
    <s v="KOZ-0002"/>
    <s v="DJINGIYA PLAINE"/>
    <m/>
    <x v="2"/>
    <x v="3"/>
    <n v="6"/>
    <n v="18"/>
    <s v="Conflits liés à GANE (BH)"/>
    <m/>
    <s v="Même arrondissement"/>
    <s v="CMR"/>
    <s v="Cameroun"/>
    <s v="CMR004"/>
    <s v="Extrême-Nord"/>
    <s v="CMR004006"/>
    <s v="Mayo-Tsanaga"/>
    <s v="CMR004006004"/>
    <s v="Koza"/>
  </r>
  <r>
    <s v="Extrême-Nord"/>
    <s v="CMR004"/>
    <x v="1"/>
    <s v="CMR004006"/>
    <x v="16"/>
    <s v="CMR004006004"/>
    <s v="KOZ-0002"/>
    <s v="DJINGIYA PLAINE"/>
    <m/>
    <x v="2"/>
    <x v="2"/>
    <n v="21"/>
    <n v="140"/>
    <s v="Conflits liés à GANE (BH)"/>
    <m/>
    <s v="Même arrondissement"/>
    <s v="CMR"/>
    <s v="Cameroun"/>
    <s v="CMR004"/>
    <s v="Extrême-Nord"/>
    <s v="CMR004006"/>
    <s v="Mayo-Tsanaga"/>
    <s v="CMR004006004"/>
    <s v="Koza"/>
  </r>
  <r>
    <s v="Extrême-Nord"/>
    <s v="CMR004"/>
    <x v="1"/>
    <s v="CMR004006"/>
    <x v="7"/>
    <s v="CMR004006005"/>
    <s v="MOZ-0011"/>
    <s v="MOZOGO TCHEKODE"/>
    <m/>
    <x v="2"/>
    <x v="0"/>
    <n v="89"/>
    <n v="480"/>
    <s v="Conflits liés à GANE (BH)"/>
    <m/>
    <s v="Même arrondissement"/>
    <s v="CMR"/>
    <s v="Cameroun"/>
    <s v="CMR004"/>
    <s v="Extrême-Nord"/>
    <s v="CMR004006"/>
    <s v="Mayo-Tsanaga"/>
    <s v="CMR004006005"/>
    <s v="Mayo-Moskota"/>
  </r>
  <r>
    <s v="Extrême-Nord"/>
    <s v="CMR004"/>
    <x v="1"/>
    <s v="CMR004006"/>
    <x v="7"/>
    <s v="CMR004006005"/>
    <s v="MOZ-0011"/>
    <s v="MOZOGO TCHEKODE"/>
    <m/>
    <x v="2"/>
    <x v="2"/>
    <n v="17"/>
    <n v="60"/>
    <s v="Conflits liés à GANE (BH)"/>
    <m/>
    <s v="Autre région"/>
    <s v="CMR"/>
    <s v="Cameroun"/>
    <s v="CMR006"/>
    <s v="Nord"/>
    <m/>
    <m/>
    <m/>
    <m/>
  </r>
  <r>
    <s v="Extrême-Nord"/>
    <s v="CMR004"/>
    <x v="1"/>
    <s v="CMR004006"/>
    <x v="14"/>
    <s v="CMR004006007"/>
    <s v="BOU-0006"/>
    <s v="DJIMI"/>
    <m/>
    <x v="2"/>
    <x v="0"/>
    <n v="0"/>
    <n v="1"/>
    <s v="Conflits liés à GANE (BH)"/>
    <m/>
    <s v="Autre pays"/>
    <s v="NGA"/>
    <s v="Nigéria"/>
    <m/>
    <m/>
    <m/>
    <m/>
    <m/>
    <m/>
  </r>
  <r>
    <s v="Extrême-Nord"/>
    <s v="CMR004"/>
    <x v="1"/>
    <s v="CMR004006"/>
    <x v="14"/>
    <s v="CMR004006007"/>
    <s v="BOU-0006"/>
    <s v="DJIMI"/>
    <m/>
    <x v="2"/>
    <x v="1"/>
    <n v="6"/>
    <n v="15"/>
    <s v="Conflits liés à GANE (BH)"/>
    <m/>
    <s v="Autre pays"/>
    <s v="NGA"/>
    <s v="Nigéria"/>
    <m/>
    <m/>
    <m/>
    <m/>
    <m/>
    <m/>
  </r>
  <r>
    <s v="Extrême-Nord"/>
    <s v="CMR004"/>
    <x v="1"/>
    <s v="CMR004006"/>
    <x v="14"/>
    <s v="CMR004006007"/>
    <s v="BOU-0006"/>
    <s v="DJIMI"/>
    <m/>
    <x v="2"/>
    <x v="4"/>
    <n v="0"/>
    <n v="5"/>
    <s v="Conflits liés à GANE (BH)"/>
    <m/>
    <s v="Autre pays"/>
    <s v="NGA"/>
    <s v="Nigéria"/>
    <m/>
    <m/>
    <m/>
    <m/>
    <m/>
    <m/>
  </r>
  <r>
    <s v="Extrême-Nord"/>
    <s v="CMR004"/>
    <x v="1"/>
    <s v="CMR004006"/>
    <x v="14"/>
    <s v="CMR004006007"/>
    <s v="BOU-0006"/>
    <s v="DJIMI"/>
    <m/>
    <x v="2"/>
    <x v="3"/>
    <n v="0"/>
    <n v="4"/>
    <s v="Conflits liés à GANE (BH)"/>
    <m/>
    <s v="Autre pays"/>
    <s v="NGA"/>
    <s v="Nigéria"/>
    <m/>
    <m/>
    <m/>
    <m/>
    <m/>
    <m/>
  </r>
  <r>
    <s v="Extrême-Nord"/>
    <s v="CMR004"/>
    <x v="1"/>
    <s v="CMR004006"/>
    <x v="14"/>
    <s v="CMR004006007"/>
    <s v="BOU-0003"/>
    <s v="GUILI"/>
    <m/>
    <x v="2"/>
    <x v="0"/>
    <n v="152"/>
    <n v="800"/>
    <s v="Conflits liés à GANE (BH)"/>
    <m/>
    <s v="Autre pays"/>
    <s v="NGA"/>
    <s v="Nigéria"/>
    <m/>
    <m/>
    <m/>
    <m/>
    <m/>
    <m/>
  </r>
  <r>
    <s v="Extrême-Nord"/>
    <s v="CMR004"/>
    <x v="1"/>
    <s v="CMR004006"/>
    <x v="14"/>
    <s v="CMR004006007"/>
    <s v="BOU-0003"/>
    <s v="GUILI"/>
    <m/>
    <x v="2"/>
    <x v="1"/>
    <n v="0"/>
    <n v="7"/>
    <s v="Conflits liés à GANE (BH)"/>
    <m/>
    <s v="Autre pays"/>
    <s v="NGA"/>
    <s v="Nigéria"/>
    <m/>
    <m/>
    <m/>
    <m/>
    <m/>
    <m/>
  </r>
  <r>
    <s v="Extrême-Nord"/>
    <s v="CMR004"/>
    <x v="1"/>
    <s v="CMR004006"/>
    <x v="14"/>
    <s v="CMR004006007"/>
    <s v="BOU-0003"/>
    <s v="GUILI"/>
    <m/>
    <x v="2"/>
    <x v="4"/>
    <n v="0"/>
    <n v="7"/>
    <s v="Conflits liés à GANE (BH)"/>
    <m/>
    <s v="Autre pays"/>
    <s v="NGA"/>
    <s v="Nigéria"/>
    <m/>
    <m/>
    <m/>
    <m/>
    <m/>
    <m/>
  </r>
  <r>
    <s v="Extrême-Nord"/>
    <s v="CMR004"/>
    <x v="1"/>
    <s v="CMR004006"/>
    <x v="14"/>
    <s v="CMR004006007"/>
    <s v="BOU-0003"/>
    <s v="GUILI"/>
    <m/>
    <x v="2"/>
    <x v="3"/>
    <n v="1"/>
    <n v="18"/>
    <s v="Conflits liés à GANE (BH)"/>
    <m/>
    <s v="Autre pays"/>
    <s v="NGA"/>
    <s v="Nigéria"/>
    <m/>
    <m/>
    <m/>
    <m/>
    <m/>
    <m/>
  </r>
  <r>
    <s v="Extrême-Nord"/>
    <s v="CMR004"/>
    <x v="2"/>
    <s v="CMR004002"/>
    <x v="26"/>
    <s v="CMR004002006"/>
    <s v="KOU-0033"/>
    <s v="SEHEBA"/>
    <m/>
    <x v="2"/>
    <x v="2"/>
    <n v="6"/>
    <n v="54"/>
    <s v="Inondations saisonnières ou fortes pluies"/>
    <m/>
    <s v="Même arrondissement"/>
    <s v="CMR"/>
    <s v="Cameroun"/>
    <s v="CMR004"/>
    <s v="Extrême-Nord"/>
    <s v="CMR004002"/>
    <s v="Logone-Et-Chari"/>
    <s v="CMR004002006"/>
    <s v="Kousséri"/>
  </r>
  <r>
    <s v="Extrême-Nord"/>
    <s v="CMR004"/>
    <x v="2"/>
    <s v="CMR004002"/>
    <x v="13"/>
    <s v="CMR004002001"/>
    <s v="WAZ-0035"/>
    <s v="ARDEBE 1"/>
    <m/>
    <x v="2"/>
    <x v="4"/>
    <n v="20"/>
    <n v="117"/>
    <s v="Conflits liés à GANE (BH)"/>
    <m/>
    <s v="Même arrondissement"/>
    <s v="CMR"/>
    <s v="Cameroun"/>
    <s v="CMR004"/>
    <s v="Extrême-Nord"/>
    <s v="CMR004002"/>
    <s v="Logone-Et-Chari"/>
    <s v="CMR004002001"/>
    <s v="Waza"/>
  </r>
  <r>
    <s v="Extrême-Nord"/>
    <s v="CMR004"/>
    <x v="2"/>
    <s v="CMR004002"/>
    <x v="15"/>
    <s v="CMR004002004"/>
    <s v="LBI-0102"/>
    <s v="MOULOUMSA MASSA"/>
    <m/>
    <x v="2"/>
    <x v="3"/>
    <n v="46"/>
    <n v="180"/>
    <s v="Conflit intercommunautaire"/>
    <m/>
    <s v="Autre pays"/>
    <s v="TCD"/>
    <s v="Tchad"/>
    <m/>
    <m/>
    <m/>
    <m/>
    <m/>
    <m/>
  </r>
  <r>
    <s v="Extrême-Nord"/>
    <s v="CMR004"/>
    <x v="2"/>
    <s v="CMR004002"/>
    <x v="15"/>
    <s v="CMR004002004"/>
    <s v="LBI-0102"/>
    <s v="MOULOUMSA MASSA"/>
    <m/>
    <x v="2"/>
    <x v="2"/>
    <n v="15"/>
    <n v="60"/>
    <s v="Conflit intercommunautaire"/>
    <m/>
    <s v="Autre pays"/>
    <s v="TCD"/>
    <s v="Tchad"/>
    <m/>
    <m/>
    <m/>
    <m/>
    <m/>
    <m/>
  </r>
  <r>
    <s v="Extrême-Nord"/>
    <s v="CMR004"/>
    <x v="2"/>
    <s v="CMR004002"/>
    <x v="15"/>
    <s v="CMR004002004"/>
    <s v="LBI-0073"/>
    <s v="NGOUAMA"/>
    <m/>
    <x v="2"/>
    <x v="3"/>
    <n v="11"/>
    <n v="93"/>
    <s v="Conflit intercommunautaire"/>
    <m/>
    <s v="Autre pays"/>
    <s v="TCD"/>
    <s v="Tchad"/>
    <m/>
    <m/>
    <m/>
    <m/>
    <m/>
    <m/>
  </r>
  <r>
    <s v="Extrême-Nord"/>
    <s v="CMR004"/>
    <x v="2"/>
    <s v="CMR004002"/>
    <x v="15"/>
    <s v="CMR004002004"/>
    <s v="LBI-0073"/>
    <s v="NGOUAMA"/>
    <m/>
    <x v="2"/>
    <x v="2"/>
    <n v="18"/>
    <n v="30"/>
    <s v="Conflit intercommunautaire"/>
    <m/>
    <s v="Autre pays"/>
    <s v="TCD"/>
    <s v="Tchad"/>
    <m/>
    <m/>
    <m/>
    <m/>
    <m/>
    <m/>
  </r>
  <r>
    <s v="Extrême-Nord"/>
    <s v="CMR004"/>
    <x v="2"/>
    <s v="CMR004002"/>
    <x v="15"/>
    <s v="CMR004002004"/>
    <s v="LBI-0090"/>
    <s v="MARIAM"/>
    <m/>
    <x v="2"/>
    <x v="3"/>
    <n v="56"/>
    <n v="459"/>
    <s v="Conflit intercommunautaire"/>
    <m/>
    <s v="Autre pays"/>
    <s v="TCD"/>
    <s v="Tchad"/>
    <m/>
    <m/>
    <m/>
    <m/>
    <m/>
    <m/>
  </r>
  <r>
    <s v="Extrême-Nord"/>
    <s v="CMR004"/>
    <x v="2"/>
    <s v="CMR004002"/>
    <x v="15"/>
    <s v="CMR004002004"/>
    <s v="LBI-0090"/>
    <s v="MARIAM"/>
    <m/>
    <x v="2"/>
    <x v="2"/>
    <n v="33"/>
    <n v="108"/>
    <s v="Conflit intercommunautaire"/>
    <m/>
    <s v="Autre pays"/>
    <s v="TCD"/>
    <s v="Tchad"/>
    <m/>
    <m/>
    <m/>
    <m/>
    <m/>
    <m/>
  </r>
  <r>
    <s v="Extrême-Nord"/>
    <s v="CMR004"/>
    <x v="2"/>
    <s v="CMR004002"/>
    <x v="15"/>
    <s v="CMR004002004"/>
    <s v="LBI-0066"/>
    <s v="LOGONE BIRNI (SAGOULA)"/>
    <m/>
    <x v="2"/>
    <x v="3"/>
    <n v="15"/>
    <n v="50"/>
    <s v="Conflit intercommunautaire"/>
    <m/>
    <s v="Autre pays"/>
    <s v="TCD"/>
    <s v="Tchad"/>
    <m/>
    <m/>
    <m/>
    <m/>
    <m/>
    <m/>
  </r>
  <r>
    <s v="Extrême-Nord"/>
    <s v="CMR004"/>
    <x v="2"/>
    <s v="CMR004002"/>
    <x v="15"/>
    <s v="CMR004002004"/>
    <s v="LBI-0066"/>
    <s v="LOGONE BIRNI (SAGOULA)"/>
    <m/>
    <x v="2"/>
    <x v="2"/>
    <n v="20"/>
    <n v="120"/>
    <s v="Conflit intercommunautaire"/>
    <m/>
    <s v="Autre pays"/>
    <s v="TCD"/>
    <s v="Tchad"/>
    <m/>
    <m/>
    <m/>
    <m/>
    <m/>
    <m/>
  </r>
  <r>
    <s v="Extrême-Nord"/>
    <s v="CMR004"/>
    <x v="1"/>
    <s v="CMR004006"/>
    <x v="16"/>
    <s v="CMR004006004"/>
    <s v="KOZ-0021"/>
    <s v="MODOKO"/>
    <m/>
    <x v="2"/>
    <x v="4"/>
    <n v="10"/>
    <n v="40"/>
    <s v="Conflits liés à GANE (BH)"/>
    <m/>
    <s v="Même département, autre arrondissement"/>
    <s v="CMR"/>
    <s v="Cameroun"/>
    <s v="CMR004"/>
    <s v="Extrême-Nord"/>
    <s v="CMR004006"/>
    <s v="Mayo-Tsanaga"/>
    <s v="CMR004006005"/>
    <s v="Mayo-Moskota"/>
  </r>
  <r>
    <s v="Extrême-Nord"/>
    <s v="CMR004"/>
    <x v="1"/>
    <s v="CMR004006"/>
    <x v="16"/>
    <s v="CMR004006004"/>
    <s v="KOZ-0021"/>
    <s v="MODOKO"/>
    <m/>
    <x v="2"/>
    <x v="2"/>
    <n v="6"/>
    <n v="47"/>
    <s v="Conflits liés à GANE (BH)"/>
    <m/>
    <s v="Même département, autre arrondissement"/>
    <s v="CMR"/>
    <s v="Cameroun"/>
    <s v="CMR004"/>
    <s v="Extrême-Nord"/>
    <s v="CMR004006"/>
    <s v="Mayo-Tsanaga"/>
    <s v="CMR004006005"/>
    <s v="Mayo-Moskota"/>
  </r>
  <r>
    <s v="Extrême-Nord"/>
    <s v="CMR004"/>
    <x v="1"/>
    <s v="CMR004006"/>
    <x v="16"/>
    <s v="CMR004006004"/>
    <s v="KOZ-0004"/>
    <s v="DOUMBOGO"/>
    <m/>
    <x v="2"/>
    <x v="4"/>
    <n v="0"/>
    <n v="10"/>
    <s v="Conflits liés à GANE (BH)"/>
    <m/>
    <s v="Même département, autre arrondissement"/>
    <s v="CMR"/>
    <s v="Cameroun"/>
    <s v="CMR004"/>
    <s v="Extrême-Nord"/>
    <s v="CMR004006"/>
    <s v="Mayo-Tsanaga"/>
    <s v="CMR004006005"/>
    <s v="Mayo-Moskota"/>
  </r>
  <r>
    <s v="Extrême-Nord"/>
    <s v="CMR004"/>
    <x v="1"/>
    <s v="CMR004006"/>
    <x v="16"/>
    <s v="CMR004006004"/>
    <s v="KOZ-0004"/>
    <s v="DOUMBOGO"/>
    <m/>
    <x v="2"/>
    <x v="3"/>
    <n v="2"/>
    <n v="9"/>
    <s v="Conflits liés à GANE (BH)"/>
    <m/>
    <s v="Même département, autre arrondissement"/>
    <s v="CMR"/>
    <s v="Cameroun"/>
    <s v="CMR004"/>
    <s v="Extrême-Nord"/>
    <s v="CMR004006"/>
    <s v="Mayo-Tsanaga"/>
    <s v="CMR004006005"/>
    <s v="Mayo-Moskota"/>
  </r>
  <r>
    <s v="Extrême-Nord"/>
    <s v="CMR004"/>
    <x v="5"/>
    <s v="CMR004004"/>
    <x v="21"/>
    <s v="CMR004004007"/>
    <s v="MIN-0002"/>
    <s v="YAKANG"/>
    <m/>
    <x v="2"/>
    <x v="0"/>
    <n v="6"/>
    <n v="30"/>
    <s v="Conflits liés à GANE (BH)"/>
    <m/>
    <s v="Autre département"/>
    <s v="CMR"/>
    <s v="Cameroun"/>
    <s v="CMR004"/>
    <s v="Extrême-Nord"/>
    <s v="CMR004005"/>
    <s v="Mayo-Sava"/>
    <m/>
    <m/>
  </r>
  <r>
    <s v="Extrême-Nord"/>
    <s v="CMR004"/>
    <x v="5"/>
    <s v="CMR004004"/>
    <x v="21"/>
    <s v="CMR004004007"/>
    <s v="MIN-0002"/>
    <s v="YAKANG"/>
    <m/>
    <x v="2"/>
    <x v="2"/>
    <n v="2"/>
    <n v="15"/>
    <s v="Conflits liés à GANE (BH)"/>
    <m/>
    <s v="Autre département"/>
    <s v="CMR"/>
    <s v="Cameroun"/>
    <s v="CMR004"/>
    <s v="Extrême-Nord"/>
    <s v="CMR004002"/>
    <s v="Logone-Et-Chari"/>
    <m/>
    <m/>
  </r>
  <r>
    <s v="Extrême-Nord"/>
    <s v="CMR004"/>
    <x v="2"/>
    <s v="CMR004002"/>
    <x v="15"/>
    <s v="CMR004002004"/>
    <s v="LBI-0089"/>
    <s v="HERWA BAGTABA"/>
    <m/>
    <x v="2"/>
    <x v="2"/>
    <n v="5"/>
    <n v="30"/>
    <s v="Inondations saisonnières ou fortes pluies"/>
    <m/>
    <s v="Même arrondissement"/>
    <s v="CMR"/>
    <s v="Cameroun"/>
    <s v="CMR004"/>
    <s v="Extrême-Nord"/>
    <s v="CMR004002"/>
    <s v="Logone-Et-Chari"/>
    <s v="CMR004002004"/>
    <s v="Logone-Birni"/>
  </r>
  <r>
    <s v="Extrême-Nord"/>
    <s v="CMR004"/>
    <x v="2"/>
    <s v="CMR004002"/>
    <x v="15"/>
    <s v="CMR004002004"/>
    <s v="XXXX"/>
    <s v="NGOUDOUM"/>
    <s v="NGOUDOUM"/>
    <x v="2"/>
    <x v="3"/>
    <n v="5"/>
    <n v="30"/>
    <s v="Conflit intercommunautaire"/>
    <m/>
    <s v="Même arrondissement"/>
    <s v="CMR"/>
    <s v="Cameroun"/>
    <s v="CMR004"/>
    <s v="Extrême-Nord"/>
    <s v="CMR004002"/>
    <s v="Logone-Et-Chari"/>
    <s v="CMR004002004"/>
    <s v="Logone-Birni"/>
  </r>
  <r>
    <s v="Extrême-Nord"/>
    <s v="CMR004"/>
    <x v="2"/>
    <s v="CMR004002"/>
    <x v="15"/>
    <s v="CMR004002004"/>
    <s v="XXXX"/>
    <s v="DILGA ARABE"/>
    <s v="DILGA ARABE"/>
    <x v="2"/>
    <x v="2"/>
    <n v="6"/>
    <n v="20"/>
    <s v="Inondations saisonnières ou fortes pluies"/>
    <m/>
    <s v="Même arrondissement"/>
    <s v="CMR"/>
    <s v="Cameroun"/>
    <s v="CMR004"/>
    <s v="Extrême-Nord"/>
    <s v="CMR004002"/>
    <s v="Logone-Et-Chari"/>
    <s v="CMR004002004"/>
    <s v="Logone-Birni"/>
  </r>
  <r>
    <s v="Extrême-Nord"/>
    <s v="CMR004"/>
    <x v="2"/>
    <s v="CMR004002"/>
    <x v="15"/>
    <s v="CMR004002004"/>
    <s v="LBI-0110"/>
    <s v="BOULAKORE 1,2,3"/>
    <m/>
    <x v="2"/>
    <x v="2"/>
    <n v="100"/>
    <n v="1500"/>
    <s v="Inondations saisonnières ou fortes pluies"/>
    <m/>
    <s v="Autre pays"/>
    <s v="TCD"/>
    <s v="Tchad"/>
    <m/>
    <m/>
    <m/>
    <m/>
    <m/>
    <m/>
  </r>
  <r>
    <s v="Extrême-Nord"/>
    <s v="CMR004"/>
    <x v="2"/>
    <s v="CMR004002"/>
    <x v="15"/>
    <s v="CMR004002004"/>
    <s v="LBI-0099"/>
    <s v="DILGA HEMDAN"/>
    <m/>
    <x v="2"/>
    <x v="4"/>
    <n v="16"/>
    <n v="200"/>
    <s v="Conflit intercommunautaire"/>
    <m/>
    <s v="Autre pays"/>
    <s v="TCD"/>
    <s v="Tchad"/>
    <m/>
    <m/>
    <m/>
    <m/>
    <m/>
    <m/>
  </r>
  <r>
    <s v="Extrême-Nord"/>
    <s v="CMR004"/>
    <x v="2"/>
    <s v="CMR004002"/>
    <x v="15"/>
    <s v="CMR004002004"/>
    <s v="LBI-0075"/>
    <s v="WOULI GOLMADE"/>
    <m/>
    <x v="2"/>
    <x v="3"/>
    <n v="125"/>
    <n v="400"/>
    <s v="Conflit intercommunautaire"/>
    <m/>
    <s v="Même arrondissement"/>
    <s v="CMR"/>
    <s v="Cameroun"/>
    <s v="CMR004"/>
    <s v="Extrême-Nord"/>
    <s v="CMR004002"/>
    <s v="Logone-Et-Chari"/>
    <s v="CMR004002004"/>
    <s v="Logone-Birni"/>
  </r>
  <r>
    <s v="Extrême-Nord"/>
    <s v="CMR004"/>
    <x v="2"/>
    <s v="CMR004002"/>
    <x v="15"/>
    <s v="CMR004002004"/>
    <s v="LBI-0072"/>
    <s v="MBOUTOUFKA"/>
    <m/>
    <x v="2"/>
    <x v="2"/>
    <n v="4"/>
    <n v="10"/>
    <s v="Conflit intercommunautaire"/>
    <m/>
    <s v="Autre pays"/>
    <s v="TCD"/>
    <s v="Tchad"/>
    <m/>
    <m/>
    <m/>
    <m/>
    <m/>
    <m/>
  </r>
  <r>
    <s v="Extrême-Nord"/>
    <s v="CMR004"/>
    <x v="2"/>
    <s v="CMR004002"/>
    <x v="15"/>
    <s v="CMR004002004"/>
    <s v="LBI-0084"/>
    <s v="DAMZA"/>
    <m/>
    <x v="2"/>
    <x v="3"/>
    <n v="44"/>
    <n v="250"/>
    <s v="Conflit intercommunautaire"/>
    <m/>
    <s v="Même département, autre arrondissement"/>
    <s v="CMR"/>
    <s v="Cameroun"/>
    <s v="CMR004"/>
    <s v="Extrême-Nord"/>
    <s v="CMR004002"/>
    <s v="Logone-Et-Chari"/>
    <s v="CMR004002006"/>
    <s v="Kousséri"/>
  </r>
  <r>
    <s v="Extrême-Nord"/>
    <s v="CMR004"/>
    <x v="2"/>
    <s v="CMR004002"/>
    <x v="15"/>
    <s v="CMR004002004"/>
    <s v="LBI-0084"/>
    <s v="DAMZA"/>
    <m/>
    <x v="2"/>
    <x v="2"/>
    <n v="8"/>
    <n v="14"/>
    <s v="Conflit intercommunautaire"/>
    <m/>
    <s v="Autre pays"/>
    <s v="TCD"/>
    <s v="Tchad"/>
    <m/>
    <m/>
    <m/>
    <m/>
    <m/>
    <m/>
  </r>
  <r>
    <s v="Extrême-Nord"/>
    <s v="CMR004"/>
    <x v="1"/>
    <s v="CMR004006"/>
    <x v="16"/>
    <s v="CMR004006004"/>
    <s v="KOZ-0040"/>
    <s v="BANQUETTE"/>
    <m/>
    <x v="2"/>
    <x v="4"/>
    <n v="4"/>
    <n v="21"/>
    <s v="Conflits liés à GANE (BH)"/>
    <m/>
    <s v="Même département, autre arrondissement"/>
    <s v="CMR"/>
    <s v="Cameroun"/>
    <s v="CMR004"/>
    <s v="Extrême-Nord"/>
    <s v="CMR004006"/>
    <s v="Mayo-Tsanaga"/>
    <s v="CMR004006005"/>
    <s v="Mayo-Moskota"/>
  </r>
  <r>
    <s v="Extrême-Nord"/>
    <s v="CMR004"/>
    <x v="1"/>
    <s v="CMR004006"/>
    <x v="16"/>
    <s v="CMR004006004"/>
    <s v="KOZ-0040"/>
    <s v="BANQUETTE"/>
    <m/>
    <x v="2"/>
    <x v="3"/>
    <n v="3"/>
    <n v="16"/>
    <s v="Conflits liés à GANE (BH)"/>
    <m/>
    <s v="Même département, autre arrondissement"/>
    <s v="CMR"/>
    <s v="Cameroun"/>
    <s v="CMR004"/>
    <s v="Extrême-Nord"/>
    <s v="CMR004006"/>
    <s v="Mayo-Tsanaga"/>
    <s v="CMR004006005"/>
    <s v="Mayo-Moskota"/>
  </r>
  <r>
    <s v="Extrême-Nord"/>
    <s v="CMR004"/>
    <x v="1"/>
    <s v="CMR004006"/>
    <x v="16"/>
    <s v="CMR004006004"/>
    <s v="KOZ-0017"/>
    <s v="KILDA"/>
    <m/>
    <x v="2"/>
    <x v="2"/>
    <n v="4"/>
    <n v="17"/>
    <s v="Conflits liés à GANE (BH)"/>
    <m/>
    <s v="Même département, autre arrondissement"/>
    <s v="CMR"/>
    <s v="Cameroun"/>
    <s v="CMR004"/>
    <s v="Extrême-Nord"/>
    <s v="CMR004006"/>
    <s v="Mayo-Tsanaga"/>
    <s v="CMR004006005"/>
    <s v="Mayo-Moskota"/>
  </r>
  <r>
    <s v="Extrême-Nord"/>
    <s v="CMR004"/>
    <x v="1"/>
    <s v="CMR004006"/>
    <x v="16"/>
    <s v="CMR004006004"/>
    <s v="KOZ-0017"/>
    <s v="KILDA"/>
    <m/>
    <x v="2"/>
    <x v="3"/>
    <n v="6"/>
    <n v="30"/>
    <s v="Conflits liés à GANE (BH)"/>
    <m/>
    <s v="Même département, autre arrondissement"/>
    <s v="CMR"/>
    <s v="Cameroun"/>
    <s v="CMR004"/>
    <s v="Extrême-Nord"/>
    <s v="CMR004006"/>
    <s v="Mayo-Tsanaga"/>
    <s v="CMR004006005"/>
    <s v="Mayo-Moskota"/>
  </r>
  <r>
    <s v="Extrême-Nord"/>
    <s v="CMR004"/>
    <x v="1"/>
    <s v="CMR004006"/>
    <x v="16"/>
    <s v="CMR004006004"/>
    <s v="KOZ-0017"/>
    <s v="KILDA"/>
    <m/>
    <x v="2"/>
    <x v="4"/>
    <n v="2"/>
    <n v="13"/>
    <s v="Conflits liés à GANE (BH)"/>
    <m/>
    <s v="Même département, autre arrondissement"/>
    <s v="CMR"/>
    <s v="Cameroun"/>
    <s v="CMR004"/>
    <s v="Extrême-Nord"/>
    <s v="CMR004006"/>
    <s v="Mayo-Tsanaga"/>
    <s v="CMR004006005"/>
    <s v="Mayo-Moskota"/>
  </r>
  <r>
    <s v="Extrême-Nord"/>
    <s v="CMR004"/>
    <x v="1"/>
    <s v="CMR004006"/>
    <x v="16"/>
    <s v="CMR004006004"/>
    <s v="KOZ-0034"/>
    <s v="LDAGAM"/>
    <m/>
    <x v="2"/>
    <x v="2"/>
    <n v="3"/>
    <n v="41"/>
    <s v="Conflits liés à GANE (BH)"/>
    <m/>
    <s v="Même département, autre arrondissement"/>
    <s v="CMR"/>
    <s v="Cameroun"/>
    <s v="CMR004"/>
    <s v="Extrême-Nord"/>
    <s v="CMR004006"/>
    <s v="Mayo-Tsanaga"/>
    <s v="CMR004006005"/>
    <s v="Mayo-Moskota"/>
  </r>
  <r>
    <s v="Extrême-Nord"/>
    <s v="CMR004"/>
    <x v="1"/>
    <s v="CMR004006"/>
    <x v="16"/>
    <s v="CMR004006004"/>
    <s v="KOZ-0034"/>
    <s v="LDAGAM"/>
    <m/>
    <x v="2"/>
    <x v="3"/>
    <n v="2"/>
    <n v="23"/>
    <s v="Conflits liés à GANE (BH)"/>
    <m/>
    <s v="Même département, autre arrondissement"/>
    <s v="CMR"/>
    <s v="Cameroun"/>
    <s v="CMR004"/>
    <s v="Extrême-Nord"/>
    <s v="CMR004006"/>
    <s v="Mayo-Tsanaga"/>
    <s v="CMR004006005"/>
    <s v="Mayo-Moskota"/>
  </r>
  <r>
    <s v="Extrême-Nord"/>
    <s v="CMR004"/>
    <x v="1"/>
    <s v="CMR004006"/>
    <x v="16"/>
    <s v="CMR004006004"/>
    <s v="KOZ-0034"/>
    <s v="LDAGAM"/>
    <m/>
    <x v="2"/>
    <x v="4"/>
    <n v="5"/>
    <n v="37"/>
    <s v="Conflits liés à GANE (BH)"/>
    <m/>
    <s v="Même département, autre arrondissement"/>
    <s v="CMR"/>
    <s v="Cameroun"/>
    <s v="CMR004"/>
    <s v="Extrême-Nord"/>
    <s v="CMR004006"/>
    <s v="Mayo-Tsanaga"/>
    <s v="CMR004006005"/>
    <s v="Mayo-Moskota"/>
  </r>
  <r>
    <s v="Extrême-Nord"/>
    <s v="CMR004"/>
    <x v="1"/>
    <s v="CMR004006"/>
    <x v="16"/>
    <s v="CMR004006004"/>
    <s v="KOZ-0039"/>
    <s v="MAWA"/>
    <m/>
    <x v="2"/>
    <x v="2"/>
    <n v="2"/>
    <n v="4"/>
    <s v="Conflits liés à GANE (BH)"/>
    <m/>
    <s v="Même département, autre arrondissement"/>
    <s v="CMR"/>
    <s v="Cameroun"/>
    <s v="CMR004"/>
    <s v="Extrême-Nord"/>
    <s v="CMR004006"/>
    <s v="Mayo-Tsanaga"/>
    <s v="CMR004006005"/>
    <s v="Mayo-Moskota"/>
  </r>
  <r>
    <s v="Extrême-Nord"/>
    <s v="CMR004"/>
    <x v="1"/>
    <s v="CMR004006"/>
    <x v="16"/>
    <s v="CMR004006004"/>
    <s v="KOZ-0039"/>
    <s v="MAWA"/>
    <m/>
    <x v="2"/>
    <x v="4"/>
    <n v="1"/>
    <n v="8"/>
    <s v="Conflits liés à GANE (BH)"/>
    <m/>
    <s v="Même département, autre arrondissement"/>
    <s v="CMR"/>
    <s v="Cameroun"/>
    <s v="CMR004"/>
    <s v="Extrême-Nord"/>
    <s v="CMR004006"/>
    <s v="Mayo-Tsanaga"/>
    <s v="CMR004006005"/>
    <s v="Mayo-Moskota"/>
  </r>
  <r>
    <s v="Extrême-Nord"/>
    <s v="CMR004"/>
    <x v="1"/>
    <s v="CMR004006"/>
    <x v="16"/>
    <s v="CMR004006004"/>
    <s v="KOZ-0027"/>
    <s v="ZILER"/>
    <m/>
    <x v="2"/>
    <x v="4"/>
    <n v="6"/>
    <n v="36"/>
    <s v="Conflits liés à GANE (BH)"/>
    <m/>
    <s v="Même département, autre arrondissement"/>
    <s v="CMR"/>
    <s v="Cameroun"/>
    <s v="CMR004"/>
    <s v="Extrême-Nord"/>
    <s v="CMR004006"/>
    <s v="Mayo-Tsanaga"/>
    <s v="CMR004006005"/>
    <s v="Mayo-Moskota"/>
  </r>
  <r>
    <s v="Extrême-Nord"/>
    <s v="CMR004"/>
    <x v="1"/>
    <s v="CMR004006"/>
    <x v="16"/>
    <s v="CMR004006004"/>
    <s v="KOZ-0018"/>
    <s v="MALTAMAYA"/>
    <m/>
    <x v="2"/>
    <x v="4"/>
    <n v="2"/>
    <n v="5"/>
    <s v="Conflits liés à GANE (BH)"/>
    <m/>
    <s v="Même département, autre arrondissement"/>
    <s v="CMR"/>
    <s v="Cameroun"/>
    <s v="CMR004"/>
    <s v="Extrême-Nord"/>
    <s v="CMR004006"/>
    <s v="Mayo-Tsanaga"/>
    <s v="CMR004006005"/>
    <s v="Mayo-Moskota"/>
  </r>
  <r>
    <s v="Extrême-Nord"/>
    <s v="CMR004"/>
    <x v="1"/>
    <s v="CMR004006"/>
    <x v="16"/>
    <s v="CMR004006004"/>
    <s v="KOZ-0018"/>
    <s v="MALTAMAYA"/>
    <m/>
    <x v="2"/>
    <x v="2"/>
    <n v="2"/>
    <n v="15"/>
    <s v="Conflits liés à GANE (BH)"/>
    <m/>
    <s v="Même département, autre arrondissement"/>
    <s v="CMR"/>
    <s v="Cameroun"/>
    <s v="CMR004"/>
    <s v="Extrême-Nord"/>
    <s v="CMR004006"/>
    <s v="Mayo-Tsanaga"/>
    <s v="CMR004006005"/>
    <s v="Mayo-Moskota"/>
  </r>
  <r>
    <s v="Extrême-Nord"/>
    <s v="CMR004"/>
    <x v="1"/>
    <s v="CMR004006"/>
    <x v="16"/>
    <s v="CMR004006004"/>
    <s v="KOZ-0028"/>
    <s v="MATALAM"/>
    <m/>
    <x v="2"/>
    <x v="3"/>
    <n v="7"/>
    <n v="36"/>
    <s v="Conflits liés à GANE (BH)"/>
    <m/>
    <s v="Même département, autre arrondissement"/>
    <s v="CMR"/>
    <s v="Cameroun"/>
    <s v="CMR004"/>
    <s v="Extrême-Nord"/>
    <s v="CMR004006"/>
    <s v="Mayo-Tsanaga"/>
    <s v="CMR004006005"/>
    <s v="Mayo-Moskota"/>
  </r>
  <r>
    <s v="Extrême-Nord"/>
    <s v="CMR004"/>
    <x v="1"/>
    <s v="CMR004006"/>
    <x v="16"/>
    <s v="CMR004006004"/>
    <s v="KOZ-0028"/>
    <s v="MATALAM"/>
    <m/>
    <x v="2"/>
    <x v="4"/>
    <n v="5"/>
    <n v="19"/>
    <s v="Conflits liés à GANE (BH)"/>
    <m/>
    <s v="Même département, autre arrondissement"/>
    <s v="CMR"/>
    <s v="Cameroun"/>
    <s v="CMR004"/>
    <s v="Extrême-Nord"/>
    <s v="CMR004006"/>
    <s v="Mayo-Tsanaga"/>
    <s v="CMR004006005"/>
    <s v="Mayo-Moskota"/>
  </r>
  <r>
    <s v="Extrême-Nord"/>
    <s v="CMR004"/>
    <x v="2"/>
    <s v="CMR004002"/>
    <x v="10"/>
    <s v="CMR004002003"/>
    <s v="BLA-0002"/>
    <s v="BLANGOUA"/>
    <m/>
    <x v="2"/>
    <x v="0"/>
    <n v="140"/>
    <n v="500"/>
    <s v="Conflits liés à GANE (BH)"/>
    <m/>
    <s v="Même département, autre arrondissement"/>
    <s v="CMR"/>
    <s v="Cameroun"/>
    <s v="CMR004"/>
    <s v="Extrême-Nord"/>
    <s v="CMR004002"/>
    <s v="Logone-Et-Chari"/>
    <s v="CMR004002002"/>
    <s v="Goulfey"/>
  </r>
  <r>
    <s v="Extrême-Nord"/>
    <s v="CMR004"/>
    <x v="4"/>
    <s v="CMR004005"/>
    <x v="17"/>
    <s v="CMR004005002"/>
    <s v="MOR-0027"/>
    <s v="DJAKANA"/>
    <m/>
    <x v="2"/>
    <x v="0"/>
    <n v="420"/>
    <n v="2570"/>
    <s v="Conflits liés à GANE (BH)"/>
    <m/>
    <s v="Même arrondissement"/>
    <s v="CMR"/>
    <s v="Cameroun"/>
    <s v="CMR004"/>
    <s v="Extrême-Nord"/>
    <s v="CMR004005"/>
    <s v="Mayo-Sava"/>
    <s v="CMR004005002"/>
    <s v="Mora"/>
  </r>
  <r>
    <s v="Extrême-Nord"/>
    <s v="CMR004"/>
    <x v="4"/>
    <s v="CMR004005"/>
    <x v="17"/>
    <s v="CMR004005002"/>
    <s v="MOR-0027"/>
    <s v="DJAKANA"/>
    <m/>
    <x v="2"/>
    <x v="4"/>
    <n v="30"/>
    <n v="128"/>
    <s v="Conflits liés à GANE (BH)"/>
    <m/>
    <s v="Même arrondissement"/>
    <s v="CMR"/>
    <s v="Cameroun"/>
    <s v="CMR004"/>
    <s v="Extrême-Nord"/>
    <s v="CMR004005"/>
    <s v="Mayo-Sava"/>
    <s v="CMR004005002"/>
    <s v="Mora"/>
  </r>
  <r>
    <s v="Extrême-Nord"/>
    <s v="CMR004"/>
    <x v="4"/>
    <s v="CMR004005"/>
    <x v="17"/>
    <s v="CMR004005002"/>
    <s v="MOR-0027"/>
    <s v="DJAKANA"/>
    <m/>
    <x v="2"/>
    <x v="3"/>
    <n v="17"/>
    <n v="120"/>
    <s v="Conflits liés à GANE (BH)"/>
    <m/>
    <s v="Même arrondissement"/>
    <s v="CMR"/>
    <s v="Cameroun"/>
    <s v="CMR004"/>
    <s v="Extrême-Nord"/>
    <s v="CMR004005"/>
    <s v="Mayo-Sava"/>
    <s v="CMR004005002"/>
    <s v="Mora"/>
  </r>
  <r>
    <s v="Extrême-Nord"/>
    <s v="CMR004"/>
    <x v="4"/>
    <s v="CMR004005"/>
    <x v="17"/>
    <s v="CMR004005002"/>
    <s v="MOR-0027"/>
    <s v="DJAKANA"/>
    <m/>
    <x v="2"/>
    <x v="2"/>
    <n v="6"/>
    <n v="45"/>
    <s v="Conflits liés à GANE (BH)"/>
    <m/>
    <s v="Même arrondissement"/>
    <s v="CMR"/>
    <s v="Cameroun"/>
    <s v="CMR004"/>
    <s v="Extrême-Nord"/>
    <s v="CMR004005"/>
    <s v="Mayo-Sava"/>
    <s v="CMR004005002"/>
    <s v="Mora"/>
  </r>
  <r>
    <s v="Extrême-Nord"/>
    <s v="CMR004"/>
    <x v="4"/>
    <s v="CMR004005"/>
    <x v="17"/>
    <s v="CMR004005002"/>
    <s v="MOR-0091"/>
    <s v="ADAKELE"/>
    <m/>
    <x v="2"/>
    <x v="3"/>
    <n v="31"/>
    <n v="219"/>
    <s v="Conflits liés à GANE (BH)"/>
    <m/>
    <s v="Même arrondissement"/>
    <s v="CMR"/>
    <s v="Cameroun"/>
    <s v="CMR004"/>
    <s v="Extrême-Nord"/>
    <s v="CMR004005"/>
    <s v="Mayo-Sava"/>
    <s v="CMR004005002"/>
    <s v="Mora"/>
  </r>
  <r>
    <s v="Extrême-Nord"/>
    <s v="CMR004"/>
    <x v="4"/>
    <s v="CMR004005"/>
    <x v="17"/>
    <s v="CMR004005002"/>
    <s v="MOR-0091"/>
    <s v="ADAKELE"/>
    <m/>
    <x v="2"/>
    <x v="2"/>
    <n v="0"/>
    <n v="10"/>
    <s v="Conflits liés à GANE (BH)"/>
    <m/>
    <s v="Même arrondissement"/>
    <s v="CMR"/>
    <s v="Cameroun"/>
    <s v="CMR004"/>
    <s v="Extrême-Nord"/>
    <s v="CMR004005"/>
    <s v="Mayo-Sava"/>
    <s v="CMR004005002"/>
    <s v="Mora"/>
  </r>
  <r>
    <s v="Extrême-Nord"/>
    <s v="CMR004"/>
    <x v="4"/>
    <s v="CMR004005"/>
    <x v="17"/>
    <s v="CMR004005002"/>
    <s v="MOR-0004"/>
    <s v="DOULO"/>
    <m/>
    <x v="2"/>
    <x v="0"/>
    <n v="358"/>
    <n v="2189"/>
    <s v="Conflits liés à GANE (BH)"/>
    <m/>
    <s v="Même arrondissement"/>
    <s v="CMR"/>
    <s v="Cameroun"/>
    <s v="CMR004"/>
    <s v="Extrême-Nord"/>
    <s v="CMR004005"/>
    <s v="Mayo-Sava"/>
    <s v="CMR004005002"/>
    <s v="Mora"/>
  </r>
  <r>
    <s v="Extrême-Nord"/>
    <s v="CMR004"/>
    <x v="4"/>
    <s v="CMR004005"/>
    <x v="17"/>
    <s v="CMR004005002"/>
    <s v="MOR-0004"/>
    <s v="DOULO"/>
    <m/>
    <x v="2"/>
    <x v="1"/>
    <n v="20"/>
    <n v="74"/>
    <s v="Conflits liés à GANE (BH)"/>
    <m/>
    <s v="Même arrondissement"/>
    <s v="CMR"/>
    <s v="Cameroun"/>
    <s v="CMR004"/>
    <s v="Extrême-Nord"/>
    <s v="CMR004005"/>
    <s v="Mayo-Sava"/>
    <s v="CMR004005002"/>
    <s v="Mora"/>
  </r>
  <r>
    <s v="Extrême-Nord"/>
    <s v="CMR004"/>
    <x v="4"/>
    <s v="CMR004005"/>
    <x v="17"/>
    <s v="CMR004005002"/>
    <s v="MOR-0004"/>
    <s v="DOULO"/>
    <m/>
    <x v="2"/>
    <x v="4"/>
    <n v="13"/>
    <n v="65"/>
    <s v="Conflits liés à GANE (BH)"/>
    <m/>
    <s v="Même arrondissement"/>
    <s v="CMR"/>
    <s v="Cameroun"/>
    <s v="CMR004"/>
    <s v="Extrême-Nord"/>
    <s v="CMR004005"/>
    <s v="Mayo-Sava"/>
    <s v="CMR004005002"/>
    <s v="Mora"/>
  </r>
  <r>
    <s v="Extrême-Nord"/>
    <s v="CMR004"/>
    <x v="4"/>
    <s v="CMR004005"/>
    <x v="17"/>
    <s v="CMR004005002"/>
    <s v="MOR-0004"/>
    <s v="DOULO"/>
    <m/>
    <x v="2"/>
    <x v="3"/>
    <n v="55"/>
    <n v="295"/>
    <s v="Conflits liés à GANE (BH)"/>
    <m/>
    <s v="Même arrondissement"/>
    <s v="CMR"/>
    <s v="Cameroun"/>
    <s v="CMR004"/>
    <s v="Extrême-Nord"/>
    <s v="CMR004005"/>
    <s v="Mayo-Sava"/>
    <s v="CMR004005002"/>
    <s v="Mora"/>
  </r>
  <r>
    <s v="Extrême-Nord"/>
    <s v="CMR004"/>
    <x v="4"/>
    <s v="CMR004005"/>
    <x v="17"/>
    <s v="CMR004005002"/>
    <s v="MOR-0004"/>
    <s v="DOULO"/>
    <m/>
    <x v="2"/>
    <x v="2"/>
    <n v="20"/>
    <n v="135"/>
    <s v="Conflits liés à GANE (BH)"/>
    <m/>
    <s v="Même arrondissement"/>
    <s v="CMR"/>
    <s v="Cameroun"/>
    <s v="CMR004"/>
    <s v="Extrême-Nord"/>
    <s v="CMR004005"/>
    <s v="Mayo-Sava"/>
    <s v="CMR004005002"/>
    <s v="Mora"/>
  </r>
  <r>
    <s v="Extrême-Nord"/>
    <s v="CMR004"/>
    <x v="2"/>
    <s v="CMR004002"/>
    <x v="27"/>
    <s v="CMR004002007"/>
    <s v="DAR-0016"/>
    <s v="NAGA A"/>
    <m/>
    <x v="2"/>
    <x v="2"/>
    <n v="50"/>
    <n v="315"/>
    <s v="Conflits liés à GANE (BH)"/>
    <m/>
    <s v="Même arrondissement"/>
    <s v="CMR"/>
    <s v="Cameroun"/>
    <s v="CMR004"/>
    <s v="Extrême-Nord"/>
    <s v="CMR004002"/>
    <s v="Logone-Et-Chari"/>
    <s v="CMR004002007"/>
    <s v="Darak"/>
  </r>
  <r>
    <s v="Extrême-Nord"/>
    <s v="CMR004"/>
    <x v="2"/>
    <s v="CMR004002"/>
    <x v="27"/>
    <s v="CMR004002007"/>
    <s v="DAR-0011"/>
    <s v="KATIKIME 1"/>
    <m/>
    <x v="2"/>
    <x v="2"/>
    <n v="25"/>
    <n v="70"/>
    <s v="Conflits liés à GANE (BH)"/>
    <m/>
    <s v="Même arrondissement"/>
    <s v="CMR"/>
    <s v="Cameroun"/>
    <s v="CMR004"/>
    <s v="Extrême-Nord"/>
    <s v="CMR004002"/>
    <s v="Logone-Et-Chari"/>
    <s v="CMR004002007"/>
    <s v="Darak"/>
  </r>
  <r>
    <s v="Extrême-Nord"/>
    <s v="CMR004"/>
    <x v="1"/>
    <s v="CMR004006"/>
    <x v="1"/>
    <s v="CMR004006002"/>
    <s v="MOK-0005"/>
    <s v="GAWAR"/>
    <m/>
    <x v="2"/>
    <x v="0"/>
    <n v="20"/>
    <n v="100"/>
    <s v="Conflits liés à GANE (BH)"/>
    <m/>
    <s v="Autre pays"/>
    <s v="NGA"/>
    <s v="Nigéria"/>
    <m/>
    <m/>
    <m/>
    <m/>
    <m/>
    <m/>
  </r>
  <r>
    <s v="Extrême-Nord"/>
    <s v="CMR004"/>
    <x v="1"/>
    <s v="CMR004006"/>
    <x v="1"/>
    <s v="CMR004006002"/>
    <s v="MOK-0005"/>
    <s v="GAWAR"/>
    <m/>
    <x v="2"/>
    <x v="1"/>
    <n v="4"/>
    <n v="22"/>
    <s v="Conflits liés à GANE (BH)"/>
    <m/>
    <s v="Autre pays"/>
    <s v="NGA"/>
    <s v="Nigéria"/>
    <m/>
    <m/>
    <m/>
    <m/>
    <m/>
    <m/>
  </r>
  <r>
    <s v="Extrême-Nord"/>
    <s v="CMR004"/>
    <x v="1"/>
    <s v="CMR004006"/>
    <x v="1"/>
    <s v="CMR004006002"/>
    <s v="MOK-0005"/>
    <s v="GAWAR"/>
    <m/>
    <x v="2"/>
    <x v="4"/>
    <n v="0"/>
    <n v="2"/>
    <s v="Autre raison"/>
    <s v="Naissances "/>
    <s v="Même arrondissement"/>
    <s v="CMR"/>
    <s v="Cameroun"/>
    <s v="CMR004"/>
    <s v="Extrême-Nord"/>
    <s v="CMR004006"/>
    <s v="Mayo-Tsanaga"/>
    <s v="CMR004006002"/>
    <s v="Mokolo"/>
  </r>
  <r>
    <s v="Extrême-Nord"/>
    <s v="CMR004"/>
    <x v="1"/>
    <s v="CMR004006"/>
    <x v="1"/>
    <s v="CMR004006002"/>
    <s v="MOK-0003"/>
    <s v="DJALINGO"/>
    <m/>
    <x v="2"/>
    <x v="0"/>
    <n v="5"/>
    <n v="24"/>
    <s v="Conflits liés à GANE (BH)"/>
    <m/>
    <s v="Autre pays"/>
    <s v="NGA"/>
    <s v="Nigéria"/>
    <m/>
    <m/>
    <m/>
    <m/>
    <m/>
    <m/>
  </r>
  <r>
    <s v="Extrême-Nord"/>
    <s v="CMR004"/>
    <x v="1"/>
    <s v="CMR004006"/>
    <x v="28"/>
    <s v="CMR004006003"/>
    <s v="HIN-0003"/>
    <s v="BERING"/>
    <m/>
    <x v="2"/>
    <x v="0"/>
    <n v="3"/>
    <n v="24"/>
    <s v="Conflits liés à GANE (BH)"/>
    <m/>
    <s v="Autre pays"/>
    <s v="NGA"/>
    <s v="Nigéria"/>
    <m/>
    <m/>
    <m/>
    <m/>
    <m/>
    <m/>
  </r>
  <r>
    <s v="Extrême-Nord"/>
    <s v="CMR004"/>
    <x v="1"/>
    <s v="CMR004006"/>
    <x v="28"/>
    <s v="CMR004006003"/>
    <s v="HIN-0004"/>
    <s v="HINA CENTRE"/>
    <m/>
    <x v="2"/>
    <x v="0"/>
    <n v="3"/>
    <n v="22"/>
    <s v="Conflits liés à GANE (BH)"/>
    <m/>
    <s v="Autre pays"/>
    <s v="NGA"/>
    <s v="Nigéria"/>
    <m/>
    <m/>
    <m/>
    <m/>
    <m/>
    <m/>
  </r>
  <r>
    <s v="Extrême-Nord"/>
    <s v="CMR004"/>
    <x v="1"/>
    <s v="CMR004006"/>
    <x v="28"/>
    <s v="CMR004006003"/>
    <s v="HIN-0004"/>
    <s v="HINA CENTRE"/>
    <m/>
    <x v="2"/>
    <x v="4"/>
    <n v="1"/>
    <n v="11"/>
    <s v="Conflits liés à GANE (BH)"/>
    <m/>
    <s v="Autre pays"/>
    <s v="NGA"/>
    <s v="Nigéria"/>
    <m/>
    <m/>
    <m/>
    <m/>
    <m/>
    <m/>
  </r>
  <r>
    <s v="Extrême-Nord"/>
    <s v="CMR004"/>
    <x v="1"/>
    <s v="CMR004006"/>
    <x v="28"/>
    <s v="CMR004006003"/>
    <s v="HIN-0008"/>
    <s v="HINA WIDE"/>
    <m/>
    <x v="2"/>
    <x v="0"/>
    <n v="3"/>
    <n v="29"/>
    <s v="Conflits liés à GANE (BH)"/>
    <m/>
    <s v="Autre pays"/>
    <s v="NGA"/>
    <s v="Nigéria"/>
    <m/>
    <m/>
    <m/>
    <m/>
    <m/>
    <m/>
  </r>
  <r>
    <s v="Extrême-Nord"/>
    <s v="CMR004"/>
    <x v="1"/>
    <s v="CMR004006"/>
    <x v="28"/>
    <s v="CMR004006003"/>
    <s v="HIN-0006"/>
    <s v="ZOUVOUL"/>
    <m/>
    <x v="2"/>
    <x v="0"/>
    <n v="1"/>
    <n v="6"/>
    <s v="Conflits liés à GANE (BH)"/>
    <m/>
    <s v="Autre pays"/>
    <s v="NGA"/>
    <s v="Nigéria"/>
    <m/>
    <m/>
    <m/>
    <m/>
    <m/>
    <m/>
  </r>
  <r>
    <s v="Extrême-Nord"/>
    <s v="CMR004"/>
    <x v="1"/>
    <s v="CMR004006"/>
    <x v="28"/>
    <s v="CMR004006003"/>
    <s v="HIN-0006"/>
    <s v="ZOUVOUL"/>
    <m/>
    <x v="2"/>
    <x v="2"/>
    <n v="0"/>
    <n v="1"/>
    <s v="Conflits liés à GANE (BH)"/>
    <m/>
    <s v="Autre pays"/>
    <s v="NGA"/>
    <s v="Nigéria"/>
    <m/>
    <m/>
    <m/>
    <m/>
    <m/>
    <m/>
  </r>
  <r>
    <s v="Extrême-Nord"/>
    <s v="CMR004"/>
    <x v="1"/>
    <s v="CMR004006"/>
    <x v="28"/>
    <s v="CMR004006003"/>
    <s v="HIN-0002"/>
    <s v="BASSARA"/>
    <m/>
    <x v="2"/>
    <x v="0"/>
    <n v="2"/>
    <n v="29"/>
    <s v="Conflits liés à GANE (BH)"/>
    <m/>
    <s v="Autre pays"/>
    <s v="NGA"/>
    <s v="Nigéria"/>
    <m/>
    <m/>
    <m/>
    <m/>
    <m/>
    <m/>
  </r>
  <r>
    <s v="Extrême-Nord"/>
    <s v="CMR004"/>
    <x v="1"/>
    <s v="CMR004006"/>
    <x v="28"/>
    <s v="CMR004006003"/>
    <s v="HIN-0002"/>
    <s v="BASSARA"/>
    <m/>
    <x v="2"/>
    <x v="2"/>
    <n v="0"/>
    <n v="2"/>
    <s v="Autre raison"/>
    <s v="Naissance "/>
    <s v="Même arrondissement"/>
    <s v="CMR"/>
    <s v="Cameroun"/>
    <s v="CMR004"/>
    <s v="Extrême-Nord"/>
    <s v="CMR004006"/>
    <s v="Mayo-Tsanaga"/>
    <s v="CMR004006003"/>
    <s v="Hina"/>
  </r>
  <r>
    <s v="Extrême-Nord"/>
    <s v="CMR004"/>
    <x v="1"/>
    <s v="CMR004006"/>
    <x v="28"/>
    <s v="CMR004006003"/>
    <s v="HIN-0001"/>
    <s v="BAMGUEL BORORO"/>
    <m/>
    <x v="2"/>
    <x v="0"/>
    <n v="2"/>
    <n v="12"/>
    <s v="Conflits liés à GANE (BH)"/>
    <m/>
    <s v="Autre pays"/>
    <s v="NGA"/>
    <s v="Nigéria"/>
    <m/>
    <m/>
    <m/>
    <m/>
    <m/>
    <m/>
  </r>
  <r>
    <s v="Extrême-Nord"/>
    <s v="CMR004"/>
    <x v="1"/>
    <s v="CMR004006"/>
    <x v="28"/>
    <s v="CMR004006003"/>
    <s v="HIN-0007"/>
    <s v="GAMDOUGOUM"/>
    <m/>
    <x v="2"/>
    <x v="4"/>
    <n v="1"/>
    <n v="7"/>
    <s v="Conflits liés à GANE (BH)"/>
    <m/>
    <s v="Autre pays"/>
    <s v="NGA"/>
    <s v="Nigéria"/>
    <m/>
    <m/>
    <m/>
    <m/>
    <m/>
    <m/>
  </r>
  <r>
    <s v="Extrême-Nord"/>
    <s v="CMR004"/>
    <x v="1"/>
    <s v="CMR004006"/>
    <x v="28"/>
    <s v="CMR004006003"/>
    <s v="HIN-0007"/>
    <s v="GAMDOUGOUM"/>
    <m/>
    <x v="2"/>
    <x v="0"/>
    <n v="1"/>
    <n v="5"/>
    <s v="Conflits liés à GANE (BH)"/>
    <m/>
    <s v="Autre pays"/>
    <s v="NGA"/>
    <s v="Nigéria"/>
    <m/>
    <m/>
    <m/>
    <m/>
    <m/>
    <m/>
  </r>
  <r>
    <s v="Extrême-Nord"/>
    <s v="CMR004"/>
    <x v="1"/>
    <s v="CMR004006"/>
    <x v="28"/>
    <s v="CMR004006003"/>
    <s v="HIN-0007"/>
    <s v="GAMDOUGOUM"/>
    <m/>
    <x v="2"/>
    <x v="2"/>
    <n v="0"/>
    <n v="2"/>
    <s v="Autre raison"/>
    <s v="Naissance "/>
    <s v="Autre pays"/>
    <s v="NGA"/>
    <s v="Nigéria"/>
    <m/>
    <m/>
    <m/>
    <m/>
    <m/>
    <m/>
  </r>
  <r>
    <s v="Extrême-Nord"/>
    <s v="CMR004"/>
    <x v="1"/>
    <s v="CMR004006"/>
    <x v="28"/>
    <s v="CMR004006003"/>
    <s v="HIN-0005"/>
    <s v="MADINA"/>
    <m/>
    <x v="2"/>
    <x v="0"/>
    <n v="3"/>
    <n v="32"/>
    <s v="Conflits liés à GANE (BH)"/>
    <m/>
    <s v="Autre pays"/>
    <s v="NGA"/>
    <s v="Nigéria"/>
    <m/>
    <m/>
    <m/>
    <m/>
    <m/>
    <m/>
  </r>
  <r>
    <s v="Extrême-Nord"/>
    <s v="CMR004"/>
    <x v="1"/>
    <s v="CMR004006"/>
    <x v="28"/>
    <s v="CMR004006003"/>
    <s v="HIN-0005"/>
    <s v="MADINA"/>
    <m/>
    <x v="2"/>
    <x v="2"/>
    <n v="0"/>
    <n v="2"/>
    <s v="Conflits liés à GANE (BH)"/>
    <m/>
    <s v="Autre pays"/>
    <s v="NGA"/>
    <s v="Nigéria"/>
    <m/>
    <m/>
    <m/>
    <m/>
    <m/>
    <m/>
  </r>
  <r>
    <s v="Extrême-Nord"/>
    <s v="CMR004"/>
    <x v="2"/>
    <s v="CMR004002"/>
    <x v="8"/>
    <s v="CMR004002009"/>
    <s v="MAK-0023"/>
    <s v="CHALAMTINI"/>
    <m/>
    <x v="2"/>
    <x v="3"/>
    <n v="35"/>
    <n v="220"/>
    <s v="Conflits liés à GANE (BH)"/>
    <m/>
    <s v="Même arrondissement"/>
    <s v="CMR"/>
    <s v="Cameroun"/>
    <s v="CMR004"/>
    <s v="Extrême-Nord"/>
    <s v="CMR004002"/>
    <s v="Logone-Et-Chari"/>
    <s v="CMR004002009"/>
    <s v="Makary"/>
  </r>
  <r>
    <s v="Extrême-Nord"/>
    <s v="CMR004"/>
    <x v="2"/>
    <s v="CMR004002"/>
    <x v="10"/>
    <s v="CMR004002003"/>
    <s v="BLA-0011"/>
    <s v="NDARABAYA"/>
    <m/>
    <x v="2"/>
    <x v="2"/>
    <n v="7"/>
    <n v="27"/>
    <s v="Conflits liés à GANE (BH)"/>
    <m/>
    <s v="Même département, autre arrondissement"/>
    <s v="CMR"/>
    <s v="Cameroun"/>
    <s v="CMR004"/>
    <s v="Extrême-Nord"/>
    <s v="CMR004002"/>
    <s v="Logone-Et-Chari"/>
    <s v="CMR004002010"/>
    <s v="Hile-Alifa"/>
  </r>
  <r>
    <s v="Extrême-Nord"/>
    <s v="CMR004"/>
    <x v="2"/>
    <s v="CMR004002"/>
    <x v="8"/>
    <s v="CMR004002009"/>
    <s v="MAK-0002"/>
    <s v="ABOUYAKOUBA"/>
    <m/>
    <x v="2"/>
    <x v="3"/>
    <n v="4"/>
    <n v="28"/>
    <s v="Conflits liés à GANE (BH)"/>
    <m/>
    <s v="Même département, autre arrondissement"/>
    <s v="CMR"/>
    <s v="Cameroun"/>
    <s v="CMR004"/>
    <s v="Extrême-Nord"/>
    <s v="CMR004002"/>
    <s v="Logone-Et-Chari"/>
    <s v="CMR004002008"/>
    <s v="Fotokol"/>
  </r>
  <r>
    <s v="Extrême-Nord"/>
    <s v="CMR004"/>
    <x v="1"/>
    <s v="CMR004006"/>
    <x v="16"/>
    <s v="CMR004006004"/>
    <s v="KOZ-0016"/>
    <s v="KECHKEME"/>
    <m/>
    <x v="2"/>
    <x v="1"/>
    <n v="1"/>
    <n v="8"/>
    <s v="Conflits liés à GANE (BH)"/>
    <m/>
    <s v="Même département, autre arrondissement"/>
    <s v="CMR"/>
    <s v="Cameroun"/>
    <s v="CMR004"/>
    <s v="Extrême-Nord"/>
    <s v="CMR004006"/>
    <s v="Mayo-Tsanaga"/>
    <s v="CMR004006005"/>
    <s v="Mayo-Moskota"/>
  </r>
  <r>
    <s v="Extrême-Nord"/>
    <s v="CMR004"/>
    <x v="1"/>
    <s v="CMR004006"/>
    <x v="16"/>
    <s v="CMR004006004"/>
    <s v="KOZ-0016"/>
    <s v="KECHKEME"/>
    <m/>
    <x v="2"/>
    <x v="4"/>
    <n v="6"/>
    <n v="12"/>
    <s v="Conflits liés à GANE (BH)"/>
    <m/>
    <s v="Même arrondissement"/>
    <s v="CMR"/>
    <s v="Cameroun"/>
    <s v="CMR004"/>
    <s v="Extrême-Nord"/>
    <s v="CMR004006"/>
    <s v="Mayo-Tsanaga"/>
    <s v="CMR004006004"/>
    <s v="Koza"/>
  </r>
  <r>
    <s v="Extrême-Nord"/>
    <s v="CMR004"/>
    <x v="1"/>
    <s v="CMR004006"/>
    <x v="16"/>
    <s v="CMR004006004"/>
    <s v="KOZ-0016"/>
    <s v="KECHKEME"/>
    <m/>
    <x v="2"/>
    <x v="3"/>
    <n v="2"/>
    <n v="4"/>
    <s v="Conflits liés à GANE (BH)"/>
    <m/>
    <s v="Même arrondissement"/>
    <s v="CMR"/>
    <s v="Cameroun"/>
    <s v="CMR004"/>
    <s v="Extrême-Nord"/>
    <s v="CMR004006"/>
    <s v="Mayo-Tsanaga"/>
    <s v="CMR004006004"/>
    <s v="Koza"/>
  </r>
  <r>
    <s v="Extrême-Nord"/>
    <s v="CMR004"/>
    <x v="1"/>
    <s v="CMR004006"/>
    <x v="16"/>
    <s v="CMR004006004"/>
    <s v="KOZ-0014"/>
    <s v="HAMDALA"/>
    <m/>
    <x v="2"/>
    <x v="1"/>
    <n v="16"/>
    <n v="96"/>
    <s v="Conflits liés à GANE (BH)"/>
    <m/>
    <s v="Même département, autre arrondissement"/>
    <s v="CMR"/>
    <s v="Cameroun"/>
    <s v="CMR004"/>
    <s v="Extrême-Nord"/>
    <s v="CMR004006"/>
    <s v="Mayo-Tsanaga"/>
    <s v="CMR004006005"/>
    <s v="Mayo-Moskota"/>
  </r>
  <r>
    <s v="Extrême-Nord"/>
    <s v="CMR004"/>
    <x v="1"/>
    <s v="CMR004006"/>
    <x v="16"/>
    <s v="CMR004006004"/>
    <s v="KOZ-0014"/>
    <s v="HAMDALA"/>
    <m/>
    <x v="2"/>
    <x v="4"/>
    <n v="12"/>
    <n v="72"/>
    <s v="Conflits liés à GANE (BH)"/>
    <m/>
    <s v="Même arrondissement"/>
    <s v="CMR"/>
    <s v="Cameroun"/>
    <s v="CMR004"/>
    <s v="Extrême-Nord"/>
    <s v="CMR004006"/>
    <s v="Mayo-Tsanaga"/>
    <s v="CMR004006004"/>
    <s v="Koza"/>
  </r>
  <r>
    <s v="Extrême-Nord"/>
    <s v="CMR004"/>
    <x v="1"/>
    <s v="CMR004006"/>
    <x v="16"/>
    <s v="CMR004006004"/>
    <s v="KOZ-0014"/>
    <s v="HAMDALA"/>
    <m/>
    <x v="2"/>
    <x v="3"/>
    <n v="95"/>
    <n v="259"/>
    <s v="Conflits liés à GANE (BH)"/>
    <m/>
    <s v="Même arrondissement"/>
    <s v="CMR"/>
    <s v="Cameroun"/>
    <s v="CMR004"/>
    <s v="Extrême-Nord"/>
    <s v="CMR004006"/>
    <s v="Mayo-Tsanaga"/>
    <s v="CMR004006004"/>
    <s v="Koza"/>
  </r>
  <r>
    <s v="Extrême-Nord"/>
    <s v="CMR004"/>
    <x v="1"/>
    <s v="CMR004006"/>
    <x v="16"/>
    <s v="CMR004006004"/>
    <s v="KOZ-0014"/>
    <s v="HAMDALA"/>
    <m/>
    <x v="2"/>
    <x v="2"/>
    <n v="5"/>
    <n v="31"/>
    <s v="Conflits liés à GANE (BH)"/>
    <m/>
    <s v="Même arrondissement"/>
    <s v="CMR"/>
    <s v="Cameroun"/>
    <s v="CMR004"/>
    <s v="Extrême-Nord"/>
    <s v="CMR004006"/>
    <s v="Mayo-Tsanaga"/>
    <s v="CMR004006004"/>
    <s v="Koza"/>
  </r>
  <r>
    <s v="Extrême-Nord"/>
    <s v="CMR004"/>
    <x v="1"/>
    <s v="CMR004006"/>
    <x v="16"/>
    <s v="CMR004006004"/>
    <s v="KOZ-0014"/>
    <s v="HAMDALA"/>
    <m/>
    <x v="2"/>
    <x v="0"/>
    <n v="36"/>
    <n v="270"/>
    <s v="Conflits liés à GANE (BH)"/>
    <m/>
    <s v="Même arrondissement"/>
    <s v="CMR"/>
    <s v="Cameroun"/>
    <s v="CMR004"/>
    <s v="Extrême-Nord"/>
    <s v="CMR004006"/>
    <s v="Mayo-Tsanaga"/>
    <s v="CMR004006004"/>
    <s v="Koza"/>
  </r>
  <r>
    <s v="Extrême-Nord"/>
    <s v="CMR004"/>
    <x v="1"/>
    <s v="CMR004006"/>
    <x v="16"/>
    <s v="CMR004006004"/>
    <s v="KOZ-0011"/>
    <s v="GOUSDA WAYAM"/>
    <m/>
    <x v="2"/>
    <x v="0"/>
    <n v="26"/>
    <n v="128"/>
    <s v="Conflits liés à GANE (BH)"/>
    <m/>
    <s v="Même département, autre arrondissement"/>
    <s v="CMR"/>
    <s v="Cameroun"/>
    <s v="CMR004"/>
    <s v="Extrême-Nord"/>
    <s v="CMR004006"/>
    <s v="Mayo-Tsanaga"/>
    <s v="CMR004006005"/>
    <s v="Mayo-Moskota"/>
  </r>
  <r>
    <s v="Extrême-Nord"/>
    <s v="CMR004"/>
    <x v="1"/>
    <s v="CMR004006"/>
    <x v="16"/>
    <s v="CMR004006004"/>
    <s v="KOZ-0011"/>
    <s v="GOUSDA WAYAM"/>
    <m/>
    <x v="2"/>
    <x v="2"/>
    <n v="30"/>
    <n v="153"/>
    <s v="Conflits liés à GANE (BH)"/>
    <m/>
    <s v="Même arrondissement"/>
    <s v="CMR"/>
    <s v="Cameroun"/>
    <s v="CMR004"/>
    <s v="Extrême-Nord"/>
    <s v="CMR004006"/>
    <s v="Mayo-Tsanaga"/>
    <s v="CMR004006004"/>
    <s v="Koza"/>
  </r>
  <r>
    <s v="Extrême-Nord"/>
    <s v="CMR004"/>
    <x v="1"/>
    <s v="CMR004006"/>
    <x v="16"/>
    <s v="CMR004006004"/>
    <s v="KOZ-0011"/>
    <s v="GOUSDA WAYAM"/>
    <m/>
    <x v="2"/>
    <x v="4"/>
    <n v="28"/>
    <n v="176"/>
    <s v="Conflits liés à GANE (BH)"/>
    <m/>
    <s v="Même arrondissement"/>
    <s v="CMR"/>
    <s v="Cameroun"/>
    <s v="CMR004"/>
    <s v="Extrême-Nord"/>
    <s v="CMR004006"/>
    <s v="Mayo-Tsanaga"/>
    <s v="CMR004006004"/>
    <s v="Koza"/>
  </r>
  <r>
    <s v="Extrême-Nord"/>
    <s v="CMR004"/>
    <x v="1"/>
    <s v="CMR004006"/>
    <x v="16"/>
    <s v="CMR004006004"/>
    <s v="KOZ-0003"/>
    <s v="DJINGLIYA MONTAGNE"/>
    <m/>
    <x v="2"/>
    <x v="3"/>
    <n v="11"/>
    <n v="87"/>
    <s v="Conflits liés à GANE (BH)"/>
    <m/>
    <s v="Même arrondissement"/>
    <s v="CMR"/>
    <s v="Cameroun"/>
    <s v="CMR004"/>
    <s v="Extrême-Nord"/>
    <s v="CMR004006"/>
    <s v="Mayo-Tsanaga"/>
    <s v="CMR004006004"/>
    <s v="Koza"/>
  </r>
  <r>
    <s v="Extrême-Nord"/>
    <s v="CMR004"/>
    <x v="3"/>
    <s v="CMR004003"/>
    <x v="11"/>
    <s v="CMR004003002"/>
    <s v="MAG-0010"/>
    <s v="GAYA"/>
    <m/>
    <x v="2"/>
    <x v="1"/>
    <n v="29"/>
    <n v="260"/>
    <s v="Inondations saisonnières ou fortes pluies"/>
    <m/>
    <s v="Même arrondissement"/>
    <s v="CMR"/>
    <s v="Cameroun"/>
    <s v="CMR004"/>
    <s v="Extrême-Nord"/>
    <s v="CMR004003"/>
    <s v="Mayo-Danay"/>
    <s v="CMR004003002"/>
    <s v="Maga"/>
  </r>
  <r>
    <s v="Extrême-Nord"/>
    <s v="CMR004"/>
    <x v="3"/>
    <s v="CMR004003"/>
    <x v="11"/>
    <s v="CMR004003002"/>
    <s v="MAG-0010"/>
    <s v="GAYA"/>
    <m/>
    <x v="2"/>
    <x v="4"/>
    <n v="0"/>
    <n v="17"/>
    <s v="Inondations saisonnières ou fortes pluies"/>
    <m/>
    <s v="Même arrondissement"/>
    <s v="CMR"/>
    <s v="Cameroun"/>
    <s v="CMR004"/>
    <s v="Extrême-Nord"/>
    <s v="CMR004003"/>
    <s v="Mayo-Danay"/>
    <s v="CMR004003002"/>
    <s v="Maga"/>
  </r>
  <r>
    <s v="Extrême-Nord"/>
    <s v="CMR004"/>
    <x v="3"/>
    <s v="CMR004003"/>
    <x v="11"/>
    <s v="CMR004003002"/>
    <s v="MAG-0010"/>
    <s v="GAYA"/>
    <m/>
    <x v="2"/>
    <x v="3"/>
    <n v="0"/>
    <n v="11"/>
    <s v="Inondations saisonnières ou fortes pluies"/>
    <m/>
    <s v="Même arrondissement"/>
    <s v="CMR"/>
    <s v="Cameroun"/>
    <s v="CMR004"/>
    <s v="Extrême-Nord"/>
    <s v="CMR004003"/>
    <s v="Mayo-Danay"/>
    <s v="CMR004003002"/>
    <s v="Maga"/>
  </r>
  <r>
    <s v="Extrême-Nord"/>
    <s v="CMR004"/>
    <x v="3"/>
    <s v="CMR004003"/>
    <x v="11"/>
    <s v="CMR004003002"/>
    <s v="MAG-0010"/>
    <s v="GAYA"/>
    <m/>
    <x v="2"/>
    <x v="2"/>
    <n v="0"/>
    <n v="7"/>
    <s v="Inondations saisonnières ou fortes pluies"/>
    <m/>
    <s v="Même arrondissement"/>
    <s v="CMR"/>
    <s v="Cameroun"/>
    <s v="CMR004"/>
    <s v="Extrême-Nord"/>
    <s v="CMR004003"/>
    <s v="Mayo-Danay"/>
    <s v="CMR004003002"/>
    <s v="Maga"/>
  </r>
  <r>
    <s v="Extrême-Nord"/>
    <s v="CMR004"/>
    <x v="2"/>
    <s v="CMR004002"/>
    <x v="8"/>
    <s v="CMR004002009"/>
    <s v="MAK-0016"/>
    <s v="BIAMO"/>
    <m/>
    <x v="2"/>
    <x v="1"/>
    <n v="6"/>
    <n v="30"/>
    <s v="Conflits liés à GANE (BH)"/>
    <m/>
    <s v="Même arrondissement"/>
    <s v="CMR"/>
    <s v="Cameroun"/>
    <s v="CMR004"/>
    <s v="Extrême-Nord"/>
    <s v="CMR004002"/>
    <s v="Logone-Et-Chari"/>
    <s v="CMR004002009"/>
    <s v="Makary"/>
  </r>
  <r>
    <s v="Extrême-Nord"/>
    <s v="CMR004"/>
    <x v="4"/>
    <s v="CMR004005"/>
    <x v="17"/>
    <s v="CMR004005002"/>
    <s v="MOR-0058"/>
    <s v="AISSA-HARDE"/>
    <m/>
    <x v="2"/>
    <x v="0"/>
    <n v="94"/>
    <n v="570"/>
    <s v="Conflits liés à GANE (BH)"/>
    <m/>
    <s v="Même arrondissement"/>
    <s v="CMR"/>
    <s v="Cameroun"/>
    <s v="CMR004"/>
    <s v="Extrême-Nord"/>
    <s v="CMR004005"/>
    <s v="Mayo-Sava"/>
    <s v="CMR004005002"/>
    <s v="Mora"/>
  </r>
  <r>
    <s v="Extrême-Nord"/>
    <s v="CMR004"/>
    <x v="4"/>
    <s v="CMR004005"/>
    <x v="17"/>
    <s v="CMR004005002"/>
    <s v="MOR-0058"/>
    <s v="AISSA-HARDE"/>
    <m/>
    <x v="2"/>
    <x v="4"/>
    <n v="10"/>
    <n v="40"/>
    <s v="Conflits liés à GANE (BH)"/>
    <m/>
    <s v="Même arrondissement"/>
    <s v="CMR"/>
    <s v="Cameroun"/>
    <s v="CMR004"/>
    <s v="Extrême-Nord"/>
    <s v="CMR004005"/>
    <s v="Mayo-Sava"/>
    <s v="CMR004005002"/>
    <s v="Mora"/>
  </r>
  <r>
    <s v="Extrême-Nord"/>
    <s v="CMR004"/>
    <x v="4"/>
    <s v="CMR004005"/>
    <x v="17"/>
    <s v="CMR004005002"/>
    <s v="MOR-0058"/>
    <s v="AISSA-HARDE"/>
    <m/>
    <x v="2"/>
    <x v="3"/>
    <n v="0"/>
    <n v="28"/>
    <s v="Conflits liés à GANE (BH)"/>
    <m/>
    <s v="Même arrondissement"/>
    <s v="CMR"/>
    <s v="Cameroun"/>
    <s v="CMR004"/>
    <s v="Extrême-Nord"/>
    <s v="CMR004005"/>
    <s v="Mayo-Sava"/>
    <s v="CMR004005002"/>
    <s v="Mora"/>
  </r>
  <r>
    <s v="Extrême-Nord"/>
    <s v="CMR004"/>
    <x v="4"/>
    <s v="CMR004005"/>
    <x v="17"/>
    <s v="CMR004005002"/>
    <s v="MOR-0058"/>
    <s v="AISSA-HARDE"/>
    <m/>
    <x v="2"/>
    <x v="2"/>
    <n v="0"/>
    <n v="21"/>
    <s v="Conflits liés à GANE (BH)"/>
    <m/>
    <s v="Même arrondissement"/>
    <s v="CMR"/>
    <s v="Cameroun"/>
    <s v="CMR004"/>
    <s v="Extrême-Nord"/>
    <s v="CMR004005"/>
    <s v="Mayo-Sava"/>
    <s v="CMR004005002"/>
    <s v="Mora"/>
  </r>
  <r>
    <s v="Extrême-Nord"/>
    <s v="CMR004"/>
    <x v="4"/>
    <s v="CMR004005"/>
    <x v="17"/>
    <s v="CMR004005002"/>
    <s v="MOR-0058"/>
    <s v="AISSA-HARDE"/>
    <m/>
    <x v="2"/>
    <x v="1"/>
    <n v="0"/>
    <n v="18"/>
    <s v="Conflits liés à GANE (BH)"/>
    <m/>
    <s v="Même arrondissement"/>
    <s v="CMR"/>
    <s v="Cameroun"/>
    <s v="CMR004"/>
    <s v="Extrême-Nord"/>
    <s v="CMR004005"/>
    <s v="Mayo-Sava"/>
    <s v="CMR004005002"/>
    <s v="Mora"/>
  </r>
  <r>
    <s v="Extrême-Nord"/>
    <s v="CMR004"/>
    <x v="2"/>
    <s v="CMR004002"/>
    <x v="26"/>
    <s v="CMR004002006"/>
    <s v="KOU-0037"/>
    <s v="KAWADJI 2"/>
    <m/>
    <x v="2"/>
    <x v="2"/>
    <n v="60"/>
    <n v="500"/>
    <s v="Conflit intercommunautaire"/>
    <m/>
    <s v="Autre pays"/>
    <s v="TCD"/>
    <s v="Tchad"/>
    <m/>
    <m/>
    <m/>
    <m/>
    <m/>
    <m/>
  </r>
  <r>
    <s v="Extrême-Nord"/>
    <s v="CMR004"/>
    <x v="1"/>
    <s v="CMR004006"/>
    <x v="16"/>
    <s v="CMR004006004"/>
    <s v="KOZ-0033"/>
    <s v="GABOUA MARCHE"/>
    <m/>
    <x v="2"/>
    <x v="2"/>
    <n v="6"/>
    <n v="40"/>
    <s v="Conflits liés à GANE (BH)"/>
    <m/>
    <s v="Même département, autre arrondissement"/>
    <s v="CMR"/>
    <s v="Cameroun"/>
    <s v="CMR004"/>
    <s v="Extrême-Nord"/>
    <s v="CMR004006"/>
    <s v="Mayo-Tsanaga"/>
    <s v="CMR004006005"/>
    <s v="Mayo-Moskota"/>
  </r>
  <r>
    <s v="Extrême-Nord"/>
    <s v="CMR004"/>
    <x v="1"/>
    <s v="CMR004006"/>
    <x v="39"/>
    <s v="CMR004006001"/>
    <s v="MOG-0007"/>
    <s v="OUDAVA"/>
    <m/>
    <x v="2"/>
    <x v="0"/>
    <n v="16"/>
    <n v="70"/>
    <s v="Conflits liés à GANE (BH)"/>
    <m/>
    <s v="Autre pays"/>
    <s v="NGA"/>
    <s v="Nigéria"/>
    <m/>
    <m/>
    <m/>
    <m/>
    <m/>
    <m/>
  </r>
  <r>
    <s v="Extrême-Nord"/>
    <s v="CMR004"/>
    <x v="1"/>
    <s v="CMR004006"/>
    <x v="39"/>
    <s v="CMR004006001"/>
    <s v="MOG-0007"/>
    <s v="OUDAVA"/>
    <m/>
    <x v="2"/>
    <x v="1"/>
    <n v="10"/>
    <n v="30"/>
    <s v="Conflits liés à GANE (BH)"/>
    <m/>
    <s v="Autre pays"/>
    <s v="NGA"/>
    <s v="Nigéria"/>
    <m/>
    <m/>
    <m/>
    <m/>
    <m/>
    <m/>
  </r>
  <r>
    <s v="Extrême-Nord"/>
    <s v="CMR004"/>
    <x v="1"/>
    <s v="CMR004006"/>
    <x v="39"/>
    <s v="CMR004006001"/>
    <s v="MOG-0007"/>
    <s v="OUDAVA"/>
    <m/>
    <x v="2"/>
    <x v="4"/>
    <n v="0"/>
    <n v="3"/>
    <s v="Conflits liés à GANE (BH)"/>
    <m/>
    <s v="Autre pays"/>
    <s v="NGA"/>
    <s v="Nigéria"/>
    <m/>
    <m/>
    <m/>
    <m/>
    <m/>
    <m/>
  </r>
  <r>
    <s v="Extrême-Nord"/>
    <s v="CMR004"/>
    <x v="1"/>
    <s v="CMR004006"/>
    <x v="39"/>
    <s v="CMR004006001"/>
    <s v="MOG-0007"/>
    <s v="OUDAVA"/>
    <m/>
    <x v="2"/>
    <x v="3"/>
    <n v="0"/>
    <n v="1"/>
    <s v="Conflits liés à GANE (BH)"/>
    <m/>
    <s v="Autre pays"/>
    <s v="NGA"/>
    <s v="Nigéria"/>
    <m/>
    <m/>
    <m/>
    <m/>
    <m/>
    <m/>
  </r>
  <r>
    <s v="Extrême-Nord"/>
    <s v="CMR004"/>
    <x v="1"/>
    <s v="CMR004006"/>
    <x v="39"/>
    <s v="CMR004006001"/>
    <s v="MOG-0007"/>
    <s v="OUDAVA"/>
    <m/>
    <x v="2"/>
    <x v="2"/>
    <n v="2"/>
    <n v="12"/>
    <s v="Conflits liés à GANE (BH)"/>
    <m/>
    <s v="Autre pays"/>
    <s v="NGA"/>
    <s v="Nigéria"/>
    <m/>
    <m/>
    <m/>
    <m/>
    <m/>
    <m/>
  </r>
  <r>
    <s v="Extrême-Nord"/>
    <s v="CMR004"/>
    <x v="1"/>
    <s v="CMR004006"/>
    <x v="39"/>
    <s v="CMR004006001"/>
    <s v="MOG-0003"/>
    <s v="KILA"/>
    <m/>
    <x v="2"/>
    <x v="0"/>
    <n v="6"/>
    <n v="34"/>
    <s v="Conflits liés à GANE (BH)"/>
    <m/>
    <s v="Autre pays"/>
    <s v="NGA"/>
    <s v="Nigéria"/>
    <m/>
    <m/>
    <m/>
    <m/>
    <m/>
    <m/>
  </r>
  <r>
    <s v="Extrême-Nord"/>
    <s v="CMR004"/>
    <x v="1"/>
    <s v="CMR004006"/>
    <x v="39"/>
    <s v="CMR004006001"/>
    <s v="MOG-0003"/>
    <s v="KILA"/>
    <m/>
    <x v="2"/>
    <x v="1"/>
    <n v="0"/>
    <n v="1"/>
    <s v="Conflits liés à GANE (BH)"/>
    <m/>
    <s v="Autre pays"/>
    <s v="NGA"/>
    <s v="Nigéria"/>
    <m/>
    <m/>
    <m/>
    <m/>
    <m/>
    <m/>
  </r>
  <r>
    <s v="Extrême-Nord"/>
    <s v="CMR004"/>
    <x v="1"/>
    <s v="CMR004006"/>
    <x v="39"/>
    <s v="CMR004006001"/>
    <s v="MOG-0003"/>
    <s v="KILA"/>
    <m/>
    <x v="2"/>
    <x v="4"/>
    <n v="3"/>
    <n v="8"/>
    <s v="Conflits liés à GANE (BH)"/>
    <m/>
    <s v="Autre pays"/>
    <s v="NGA"/>
    <s v="Nigéria"/>
    <m/>
    <m/>
    <m/>
    <m/>
    <m/>
    <m/>
  </r>
  <r>
    <s v="Extrême-Nord"/>
    <s v="CMR004"/>
    <x v="1"/>
    <s v="CMR004006"/>
    <x v="39"/>
    <s v="CMR004006001"/>
    <s v="MOG-0003"/>
    <s v="KILA"/>
    <m/>
    <x v="2"/>
    <x v="3"/>
    <n v="3"/>
    <n v="13"/>
    <s v="Conflits liés à GANE (BH)"/>
    <m/>
    <s v="Autre pays"/>
    <s v="NGA"/>
    <s v="Nigéria"/>
    <m/>
    <m/>
    <m/>
    <m/>
    <m/>
    <m/>
  </r>
  <r>
    <s v="Extrême-Nord"/>
    <s v="CMR004"/>
    <x v="2"/>
    <s v="CMR004002"/>
    <x v="15"/>
    <s v="CMR004002004"/>
    <s v="LBI-0074"/>
    <s v="SOUHARA"/>
    <m/>
    <x v="2"/>
    <x v="3"/>
    <n v="5"/>
    <n v="30"/>
    <s v="Conflit intercommunautaire"/>
    <m/>
    <s v="Autre pays"/>
    <s v="TCD"/>
    <s v="Tchad"/>
    <m/>
    <m/>
    <m/>
    <m/>
    <m/>
    <m/>
  </r>
  <r>
    <s v="Extrême-Nord"/>
    <s v="CMR004"/>
    <x v="2"/>
    <s v="CMR004002"/>
    <x v="15"/>
    <s v="CMR004002004"/>
    <s v="LBI-0104"/>
    <s v="OULI MAGNAKO"/>
    <m/>
    <x v="2"/>
    <x v="3"/>
    <n v="85"/>
    <n v="520"/>
    <s v="Conflit intercommunautaire"/>
    <m/>
    <s v="Autre pays"/>
    <s v="TCD"/>
    <s v="Tchad"/>
    <m/>
    <m/>
    <m/>
    <m/>
    <m/>
    <m/>
  </r>
  <r>
    <s v="Extrême-Nord"/>
    <s v="CMR004"/>
    <x v="2"/>
    <s v="CMR004002"/>
    <x v="15"/>
    <s v="CMR004002004"/>
    <s v="LBI-0104"/>
    <s v="OULI MAGNAKO"/>
    <m/>
    <x v="2"/>
    <x v="2"/>
    <n v="14"/>
    <n v="100"/>
    <s v="Conflit intercommunautaire"/>
    <m/>
    <s v="Autre pays"/>
    <s v="TCD"/>
    <s v="Tchad"/>
    <m/>
    <m/>
    <m/>
    <m/>
    <m/>
    <m/>
  </r>
  <r>
    <s v="Extrême-Nord"/>
    <s v="CMR004"/>
    <x v="2"/>
    <s v="CMR004002"/>
    <x v="8"/>
    <s v="CMR004002009"/>
    <s v="MAK-0086"/>
    <s v="NGOUMA"/>
    <m/>
    <x v="2"/>
    <x v="0"/>
    <n v="18"/>
    <n v="96"/>
    <s v="Conflits liés à GANE (BH)"/>
    <m/>
    <s v="Même département, autre arrondissement"/>
    <s v="CMR"/>
    <s v="Cameroun"/>
    <s v="CMR004"/>
    <s v="Extrême-Nord"/>
    <s v="CMR004002"/>
    <s v="Logone-Et-Chari"/>
    <s v="CMR004002008"/>
    <s v="Fotokol"/>
  </r>
  <r>
    <s v="Extrême-Nord"/>
    <s v="CMR004"/>
    <x v="4"/>
    <s v="CMR004005"/>
    <x v="17"/>
    <s v="CMR004005002"/>
    <s v="MOR-0011"/>
    <s v="MAHOULA"/>
    <m/>
    <x v="2"/>
    <x v="1"/>
    <n v="5"/>
    <n v="31"/>
    <s v="Conflits liés à GANE (BH)"/>
    <m/>
    <s v="Même arrondissement"/>
    <s v="CMR"/>
    <s v="Cameroun"/>
    <s v="CMR004"/>
    <s v="Extrême-Nord"/>
    <s v="CMR004005"/>
    <s v="Mayo-Sava"/>
    <s v="CMR004005002"/>
    <s v="Mora"/>
  </r>
  <r>
    <s v="Extrême-Nord"/>
    <s v="CMR004"/>
    <x v="4"/>
    <s v="CMR004005"/>
    <x v="17"/>
    <s v="CMR004005002"/>
    <s v="MOR-0011"/>
    <s v="MAHOULA"/>
    <m/>
    <x v="2"/>
    <x v="4"/>
    <n v="0"/>
    <n v="9"/>
    <s v="Conflits liés à GANE (BH)"/>
    <m/>
    <s v="Même arrondissement"/>
    <s v="CMR"/>
    <s v="Cameroun"/>
    <s v="CMR004"/>
    <s v="Extrême-Nord"/>
    <s v="CMR004005"/>
    <s v="Mayo-Sava"/>
    <s v="CMR004005002"/>
    <s v="Mora"/>
  </r>
  <r>
    <s v="Extrême-Nord"/>
    <s v="CMR004"/>
    <x v="4"/>
    <s v="CMR004005"/>
    <x v="17"/>
    <s v="CMR004005002"/>
    <s v="MOR-0011"/>
    <s v="MAHOULA"/>
    <m/>
    <x v="2"/>
    <x v="3"/>
    <n v="3"/>
    <n v="24"/>
    <s v="Conflits liés à GANE (BH)"/>
    <m/>
    <s v="Même arrondissement"/>
    <s v="CMR"/>
    <s v="Cameroun"/>
    <s v="CMR004"/>
    <s v="Extrême-Nord"/>
    <s v="CMR004005"/>
    <s v="Mayo-Sava"/>
    <s v="CMR004005002"/>
    <s v="Mora"/>
  </r>
  <r>
    <s v="Extrême-Nord"/>
    <s v="CMR004"/>
    <x v="4"/>
    <s v="CMR004005"/>
    <x v="17"/>
    <s v="CMR004005002"/>
    <s v="MOR-0011"/>
    <s v="MAHOULA"/>
    <m/>
    <x v="2"/>
    <x v="2"/>
    <n v="0"/>
    <n v="9"/>
    <s v="Conflits liés à GANE (BH)"/>
    <m/>
    <s v="Même arrondissement"/>
    <s v="CMR"/>
    <s v="Cameroun"/>
    <s v="CMR004"/>
    <s v="Extrême-Nord"/>
    <s v="CMR004005"/>
    <s v="Mayo-Sava"/>
    <s v="CMR004005002"/>
    <s v="Mora"/>
  </r>
  <r>
    <s v="Extrême-Nord"/>
    <s v="CMR004"/>
    <x v="1"/>
    <s v="CMR004006"/>
    <x v="39"/>
    <s v="CMR004006001"/>
    <s v="MOG-0001"/>
    <s v="GOURIA"/>
    <m/>
    <x v="2"/>
    <x v="0"/>
    <n v="2"/>
    <n v="8"/>
    <s v="Conflits liés à GANE (BH)"/>
    <m/>
    <s v="Autre pays"/>
    <s v="NGA"/>
    <s v="Nigéria"/>
    <m/>
    <m/>
    <m/>
    <m/>
    <m/>
    <m/>
  </r>
  <r>
    <s v="Extrême-Nord"/>
    <s v="CMR004"/>
    <x v="1"/>
    <s v="CMR004006"/>
    <x v="39"/>
    <s v="CMR004006001"/>
    <s v="MOG-0001"/>
    <s v="GOURIA"/>
    <m/>
    <x v="2"/>
    <x v="4"/>
    <n v="1"/>
    <n v="4"/>
    <s v="Conflits liés à GANE (BH)"/>
    <m/>
    <s v="Autre pays"/>
    <s v="NGA"/>
    <s v="Nigéria"/>
    <m/>
    <m/>
    <m/>
    <m/>
    <m/>
    <m/>
  </r>
  <r>
    <s v="Extrême-Nord"/>
    <s v="CMR004"/>
    <x v="1"/>
    <s v="CMR004006"/>
    <x v="39"/>
    <s v="CMR004006001"/>
    <s v="MOG-0001"/>
    <s v="GOURIA"/>
    <m/>
    <x v="2"/>
    <x v="3"/>
    <n v="0"/>
    <n v="3"/>
    <s v="Conflits liés à GANE (BH)"/>
    <m/>
    <s v="Autre pays"/>
    <s v="NGA"/>
    <s v="Nigéria"/>
    <m/>
    <m/>
    <m/>
    <m/>
    <m/>
    <m/>
  </r>
  <r>
    <s v="Extrême-Nord"/>
    <s v="CMR004"/>
    <x v="1"/>
    <s v="CMR004006"/>
    <x v="39"/>
    <s v="CMR004006001"/>
    <s v="MOG-0005"/>
    <s v="MOGODE"/>
    <m/>
    <x v="2"/>
    <x v="0"/>
    <n v="45"/>
    <n v="273"/>
    <s v="Conflits liés à GANE (BH)"/>
    <m/>
    <s v="Autre pays"/>
    <s v="NGA"/>
    <s v="Nigéria"/>
    <m/>
    <m/>
    <m/>
    <m/>
    <m/>
    <m/>
  </r>
  <r>
    <s v="Extrême-Nord"/>
    <s v="CMR004"/>
    <x v="1"/>
    <s v="CMR004006"/>
    <x v="39"/>
    <s v="CMR004006001"/>
    <s v="MOG-0005"/>
    <s v="MOGODE"/>
    <m/>
    <x v="2"/>
    <x v="4"/>
    <n v="0"/>
    <n v="4"/>
    <s v="Conflits liés à GANE (BH)"/>
    <m/>
    <s v="Autre pays"/>
    <s v="NGA"/>
    <s v="Nigéria"/>
    <m/>
    <m/>
    <m/>
    <m/>
    <m/>
    <m/>
  </r>
  <r>
    <s v="Extrême-Nord"/>
    <s v="CMR004"/>
    <x v="1"/>
    <s v="CMR004006"/>
    <x v="39"/>
    <s v="CMR004006001"/>
    <s v="MOG-0005"/>
    <s v="MOGODE"/>
    <m/>
    <x v="2"/>
    <x v="3"/>
    <n v="0"/>
    <n v="9"/>
    <s v="Conflits liés à GANE (BH)"/>
    <m/>
    <s v="Autre pays"/>
    <s v="NGA"/>
    <s v="Nigéria"/>
    <m/>
    <m/>
    <m/>
    <m/>
    <m/>
    <m/>
  </r>
  <r>
    <s v="Extrême-Nord"/>
    <s v="CMR004"/>
    <x v="1"/>
    <s v="CMR004006"/>
    <x v="39"/>
    <s v="CMR004006001"/>
    <s v="MOG-0005"/>
    <s v="MOGODE"/>
    <m/>
    <x v="2"/>
    <x v="2"/>
    <n v="2"/>
    <n v="8"/>
    <s v="Conflits liés à GANE (BH)"/>
    <m/>
    <s v="Autre pays"/>
    <s v="NGA"/>
    <s v="Nigéria"/>
    <m/>
    <m/>
    <m/>
    <m/>
    <m/>
    <m/>
  </r>
  <r>
    <s v="Extrême-Nord"/>
    <s v="CMR004"/>
    <x v="1"/>
    <s v="CMR004006"/>
    <x v="39"/>
    <s v="CMR004006001"/>
    <s v="MOG-0008"/>
    <s v="RHUMSIKI"/>
    <m/>
    <x v="2"/>
    <x v="0"/>
    <n v="17"/>
    <n v="87"/>
    <s v="Conflits liés à GANE (BH)"/>
    <m/>
    <s v="Autre pays"/>
    <s v="NGA"/>
    <s v="Nigéria"/>
    <m/>
    <m/>
    <m/>
    <m/>
    <m/>
    <m/>
  </r>
  <r>
    <s v="Extrême-Nord"/>
    <s v="CMR004"/>
    <x v="1"/>
    <s v="CMR004006"/>
    <x v="39"/>
    <s v="CMR004006001"/>
    <s v="MOG-0008"/>
    <s v="RHUMSIKI"/>
    <m/>
    <x v="2"/>
    <x v="1"/>
    <n v="1"/>
    <n v="3"/>
    <s v="Conflits liés à GANE (BH)"/>
    <m/>
    <s v="Autre pays"/>
    <s v="NGA"/>
    <s v="Nigéria"/>
    <m/>
    <m/>
    <m/>
    <m/>
    <m/>
    <m/>
  </r>
  <r>
    <s v="Extrême-Nord"/>
    <s v="CMR004"/>
    <x v="1"/>
    <s v="CMR004006"/>
    <x v="39"/>
    <s v="CMR004006001"/>
    <s v="MOG-0008"/>
    <s v="RHUMSIKI"/>
    <m/>
    <x v="2"/>
    <x v="3"/>
    <n v="0"/>
    <n v="8"/>
    <s v="Conflits liés à GANE (BH)"/>
    <m/>
    <s v="Autre pays"/>
    <s v="NGA"/>
    <s v="Nigéria"/>
    <m/>
    <m/>
    <m/>
    <m/>
    <m/>
    <m/>
  </r>
  <r>
    <s v="Extrême-Nord"/>
    <s v="CMR004"/>
    <x v="1"/>
    <s v="CMR004006"/>
    <x v="39"/>
    <s v="CMR004006001"/>
    <s v="MOG-0009"/>
    <s v="RHUMZU"/>
    <m/>
    <x v="2"/>
    <x v="0"/>
    <n v="50"/>
    <n v="152"/>
    <s v="Conflits liés à GANE (BH)"/>
    <m/>
    <s v="Autre pays"/>
    <s v="NGA"/>
    <s v="Nigéria"/>
    <m/>
    <m/>
    <m/>
    <m/>
    <m/>
    <m/>
  </r>
  <r>
    <s v="Extrême-Nord"/>
    <s v="CMR004"/>
    <x v="1"/>
    <s v="CMR004006"/>
    <x v="39"/>
    <s v="CMR004006001"/>
    <s v="MOG-0009"/>
    <s v="RHUMZU"/>
    <m/>
    <x v="2"/>
    <x v="4"/>
    <n v="0"/>
    <n v="2"/>
    <s v="Conflits liés à GANE (BH)"/>
    <m/>
    <s v="Autre pays"/>
    <s v="NGA"/>
    <s v="Nigéria"/>
    <m/>
    <m/>
    <m/>
    <m/>
    <m/>
    <m/>
  </r>
  <r>
    <s v="Extrême-Nord"/>
    <s v="CMR004"/>
    <x v="1"/>
    <s v="CMR004006"/>
    <x v="39"/>
    <s v="CMR004006001"/>
    <s v="MOG-0013"/>
    <s v="YELLE"/>
    <m/>
    <x v="2"/>
    <x v="0"/>
    <n v="5"/>
    <n v="31"/>
    <s v="Conflits liés à GANE (BH)"/>
    <m/>
    <s v="Autre pays"/>
    <s v="NGA"/>
    <s v="Nigéria"/>
    <m/>
    <m/>
    <m/>
    <m/>
    <m/>
    <m/>
  </r>
  <r>
    <s v="Extrême-Nord"/>
    <s v="CMR004"/>
    <x v="1"/>
    <s v="CMR004006"/>
    <x v="39"/>
    <s v="CMR004006001"/>
    <s v="MOG-0013"/>
    <s v="YELLE"/>
    <m/>
    <x v="2"/>
    <x v="4"/>
    <n v="0"/>
    <n v="7"/>
    <s v="Conflits liés à GANE (BH)"/>
    <m/>
    <s v="Autre pays"/>
    <s v="NGA"/>
    <s v="Nigéria"/>
    <m/>
    <m/>
    <m/>
    <m/>
    <m/>
    <m/>
  </r>
  <r>
    <s v="Extrême-Nord"/>
    <s v="CMR004"/>
    <x v="1"/>
    <s v="CMR004006"/>
    <x v="39"/>
    <s v="CMR004006001"/>
    <s v="MOG-0013"/>
    <s v="YELLE"/>
    <m/>
    <x v="2"/>
    <x v="3"/>
    <n v="0"/>
    <n v="2"/>
    <s v="Conflits liés à GANE (BH)"/>
    <m/>
    <s v="Autre pays"/>
    <s v="NGA"/>
    <s v="Nigéria"/>
    <m/>
    <m/>
    <m/>
    <m/>
    <m/>
    <m/>
  </r>
  <r>
    <s v="Extrême-Nord"/>
    <s v="CMR004"/>
    <x v="1"/>
    <s v="CMR004006"/>
    <x v="39"/>
    <s v="CMR004006001"/>
    <s v="MOG-0013"/>
    <s v="YELLE"/>
    <m/>
    <x v="2"/>
    <x v="2"/>
    <n v="0"/>
    <n v="2"/>
    <s v="Conflits liés à GANE (BH)"/>
    <m/>
    <s v="Autre pays"/>
    <s v="NGA"/>
    <s v="Nigéria"/>
    <m/>
    <m/>
    <m/>
    <m/>
    <m/>
    <m/>
  </r>
  <r>
    <s v="Extrême-Nord"/>
    <s v="CMR004"/>
    <x v="1"/>
    <s v="CMR004006"/>
    <x v="39"/>
    <s v="CMR004006001"/>
    <s v="MOG-0010"/>
    <s v="SIR"/>
    <m/>
    <x v="2"/>
    <x v="0"/>
    <n v="47"/>
    <n v="133"/>
    <s v="Conflits liés à GANE (BH)"/>
    <m/>
    <s v="Autre pays"/>
    <s v="NGA"/>
    <s v="Nigéria"/>
    <m/>
    <m/>
    <m/>
    <m/>
    <m/>
    <m/>
  </r>
  <r>
    <s v="Extrême-Nord"/>
    <s v="CMR004"/>
    <x v="1"/>
    <s v="CMR004006"/>
    <x v="39"/>
    <s v="CMR004006001"/>
    <s v="MOG-0010"/>
    <s v="SIR"/>
    <m/>
    <x v="2"/>
    <x v="1"/>
    <n v="0"/>
    <n v="3"/>
    <s v="Conflits liés à GANE (BH)"/>
    <m/>
    <s v="Autre pays"/>
    <s v="NGA"/>
    <s v="Nigéria"/>
    <m/>
    <m/>
    <m/>
    <m/>
    <m/>
    <m/>
  </r>
  <r>
    <s v="Extrême-Nord"/>
    <s v="CMR004"/>
    <x v="1"/>
    <s v="CMR004006"/>
    <x v="39"/>
    <s v="CMR004006001"/>
    <s v="MOG-0010"/>
    <s v="SIR"/>
    <m/>
    <x v="2"/>
    <x v="4"/>
    <n v="0"/>
    <n v="5"/>
    <s v="Conflits liés à GANE (BH)"/>
    <m/>
    <s v="Autre pays"/>
    <s v="NGA"/>
    <s v="Nigéria"/>
    <m/>
    <m/>
    <m/>
    <m/>
    <m/>
    <m/>
  </r>
  <r>
    <s v="Extrême-Nord"/>
    <s v="CMR004"/>
    <x v="1"/>
    <s v="CMR004006"/>
    <x v="39"/>
    <s v="CMR004006001"/>
    <s v="MOG-0010"/>
    <s v="SIR"/>
    <m/>
    <x v="2"/>
    <x v="3"/>
    <n v="0"/>
    <n v="8"/>
    <s v="Conflits liés à GANE (BH)"/>
    <m/>
    <s v="Autre pays"/>
    <s v="NGA"/>
    <s v="Nigéria"/>
    <m/>
    <m/>
    <m/>
    <m/>
    <m/>
    <m/>
  </r>
  <r>
    <s v="Extrême-Nord"/>
    <s v="CMR004"/>
    <x v="1"/>
    <s v="CMR004006"/>
    <x v="16"/>
    <s v="CMR004006004"/>
    <s v="KOZ-0041"/>
    <s v="GUIDEMBEK"/>
    <m/>
    <x v="2"/>
    <x v="3"/>
    <n v="10"/>
    <n v="47"/>
    <s v="Conflits liés à GANE (BH)"/>
    <m/>
    <s v="Même département, autre arrondissement"/>
    <s v="CMR"/>
    <s v="Cameroun"/>
    <s v="CMR004"/>
    <s v="Extrême-Nord"/>
    <s v="CMR004006"/>
    <s v="Mayo-Tsanaga"/>
    <s v="CMR004006005"/>
    <s v="Mayo-Moskota"/>
  </r>
  <r>
    <s v="Extrême-Nord"/>
    <s v="CMR004"/>
    <x v="1"/>
    <s v="CMR004006"/>
    <x v="16"/>
    <s v="CMR004006004"/>
    <s v="KOZ-0043"/>
    <s v="GUID CHIGUE"/>
    <m/>
    <x v="2"/>
    <x v="2"/>
    <n v="2"/>
    <n v="16"/>
    <s v="Autre raison"/>
    <s v="Manque de moyens de subsistance "/>
    <s v="Autre région"/>
    <s v="CMR"/>
    <s v="Cameroun"/>
    <s v="CMR006"/>
    <s v="Nord"/>
    <m/>
    <m/>
    <m/>
    <m/>
  </r>
  <r>
    <s v="Extrême-Nord"/>
    <s v="CMR004"/>
    <x v="2"/>
    <s v="CMR004002"/>
    <x v="12"/>
    <s v="CMR004002002"/>
    <s v="GOU-0052"/>
    <s v="HILEGUIME"/>
    <m/>
    <x v="2"/>
    <x v="4"/>
    <n v="15"/>
    <n v="70"/>
    <s v="Conflit intercommunautaire"/>
    <m/>
    <s v="Même département, autre arrondissement"/>
    <s v="CMR"/>
    <s v="Cameroun"/>
    <s v="CMR004"/>
    <s v="Extrême-Nord"/>
    <s v="CMR004002"/>
    <s v="Logone-Et-Chari"/>
    <s v="CMR004002008"/>
    <s v="Fotokol"/>
  </r>
  <r>
    <s v="Extrême-Nord"/>
    <s v="CMR004"/>
    <x v="2"/>
    <s v="CMR004002"/>
    <x v="8"/>
    <s v="CMR004002009"/>
    <s v="MAK-0105"/>
    <s v="CHOU-KOTOKO"/>
    <m/>
    <x v="2"/>
    <x v="3"/>
    <n v="7"/>
    <n v="20"/>
    <s v="Conflits liés à GANE (BH)"/>
    <m/>
    <s v="Même arrondissement"/>
    <s v="CMR"/>
    <s v="Cameroun"/>
    <s v="CMR004"/>
    <s v="Extrême-Nord"/>
    <s v="CMR004002"/>
    <s v="Logone-Et-Chari"/>
    <s v="CMR004002009"/>
    <s v="Makary"/>
  </r>
  <r>
    <s v="Extrême-Nord"/>
    <s v="CMR004"/>
    <x v="2"/>
    <s v="CMR004002"/>
    <x v="8"/>
    <s v="CMR004002009"/>
    <s v="MAK-0103"/>
    <s v="NGOURNOU"/>
    <m/>
    <x v="2"/>
    <x v="3"/>
    <n v="12"/>
    <n v="60"/>
    <s v="Conflits liés à GANE (BH)"/>
    <m/>
    <s v="Même arrondissement"/>
    <s v="CMR"/>
    <s v="Cameroun"/>
    <s v="CMR004"/>
    <s v="Extrême-Nord"/>
    <s v="CMR004002"/>
    <s v="Logone-Et-Chari"/>
    <s v="CMR004002009"/>
    <s v="Makary"/>
  </r>
  <r>
    <s v="Extrême-Nord"/>
    <s v="CMR004"/>
    <x v="2"/>
    <s v="CMR004002"/>
    <x v="8"/>
    <s v="CMR004002009"/>
    <s v="MAK-0101"/>
    <s v="MBEE"/>
    <m/>
    <x v="2"/>
    <x v="3"/>
    <n v="30"/>
    <n v="158"/>
    <s v="Conflits liés à GANE (BH)"/>
    <m/>
    <s v="Même arrondissement"/>
    <s v="CMR"/>
    <s v="Cameroun"/>
    <s v="CMR004"/>
    <s v="Extrême-Nord"/>
    <s v="CMR004002"/>
    <s v="Logone-Et-Chari"/>
    <s v="CMR004002009"/>
    <s v="Makary"/>
  </r>
  <r>
    <s v="Extrême-Nord"/>
    <s v="CMR004"/>
    <x v="1"/>
    <s v="CMR004006"/>
    <x v="39"/>
    <s v="CMR004006001"/>
    <s v="MOG-0006"/>
    <s v="NORA"/>
    <m/>
    <x v="2"/>
    <x v="0"/>
    <n v="15"/>
    <n v="38"/>
    <s v="Conflits liés à GANE (BH)"/>
    <m/>
    <s v="Autre pays"/>
    <s v="NGA"/>
    <s v="Nigéria"/>
    <m/>
    <m/>
    <m/>
    <m/>
    <m/>
    <m/>
  </r>
  <r>
    <s v="Extrême-Nord"/>
    <s v="CMR004"/>
    <x v="1"/>
    <s v="CMR004006"/>
    <x v="39"/>
    <s v="CMR004006001"/>
    <s v="MOG-0006"/>
    <s v="NORA"/>
    <m/>
    <x v="2"/>
    <x v="1"/>
    <n v="0"/>
    <n v="2"/>
    <s v="Conflits liés à GANE (BH)"/>
    <m/>
    <s v="Autre pays"/>
    <s v="NGA"/>
    <s v="Nigéria"/>
    <m/>
    <m/>
    <m/>
    <m/>
    <m/>
    <m/>
  </r>
  <r>
    <s v="Extrême-Nord"/>
    <s v="CMR004"/>
    <x v="1"/>
    <s v="CMR004006"/>
    <x v="39"/>
    <s v="CMR004006001"/>
    <s v="MOG-0006"/>
    <s v="NORA"/>
    <m/>
    <x v="2"/>
    <x v="3"/>
    <n v="0"/>
    <n v="4"/>
    <s v="Conflits liés à GANE (BH)"/>
    <m/>
    <s v="Autre pays"/>
    <s v="NGA"/>
    <s v="Nigéria"/>
    <m/>
    <m/>
    <m/>
    <m/>
    <m/>
    <m/>
  </r>
  <r>
    <s v="Extrême-Nord"/>
    <s v="CMR004"/>
    <x v="1"/>
    <s v="CMR004006"/>
    <x v="39"/>
    <s v="CMR004006001"/>
    <s v="MOG-0014"/>
    <s v="KORTCHI"/>
    <m/>
    <x v="2"/>
    <x v="3"/>
    <n v="3"/>
    <n v="21"/>
    <s v="Conflits liés à GANE (BH)"/>
    <m/>
    <s v="Autre pays"/>
    <s v="NGA"/>
    <s v="Nigéria"/>
    <m/>
    <m/>
    <m/>
    <m/>
    <m/>
    <m/>
  </r>
  <r>
    <s v="Extrême-Nord"/>
    <s v="CMR004"/>
    <x v="1"/>
    <s v="CMR004006"/>
    <x v="39"/>
    <s v="CMR004006001"/>
    <s v="MOG-0014"/>
    <s v="KORTCHI"/>
    <m/>
    <x v="2"/>
    <x v="0"/>
    <n v="5"/>
    <n v="13"/>
    <s v="Conflits liés à GANE (BH)"/>
    <m/>
    <s v="Autre pays"/>
    <s v="NGA"/>
    <s v="Nigéria"/>
    <m/>
    <m/>
    <m/>
    <m/>
    <m/>
    <m/>
  </r>
  <r>
    <s v="Extrême-Nord"/>
    <s v="CMR004"/>
    <x v="1"/>
    <s v="CMR004006"/>
    <x v="39"/>
    <s v="CMR004006001"/>
    <s v="MOG-0014"/>
    <s v="KORTCHI"/>
    <m/>
    <x v="2"/>
    <x v="4"/>
    <n v="1"/>
    <n v="5"/>
    <s v="Conflits liés à GANE (BH)"/>
    <m/>
    <s v="Autre pays"/>
    <s v="NGA"/>
    <s v="Nigéria"/>
    <m/>
    <m/>
    <m/>
    <m/>
    <m/>
    <m/>
  </r>
  <r>
    <s v="Extrême-Nord"/>
    <s v="CMR004"/>
    <x v="1"/>
    <s v="CMR004006"/>
    <x v="39"/>
    <s v="CMR004006001"/>
    <s v="MOG-0014"/>
    <s v="KORTCHI"/>
    <m/>
    <x v="2"/>
    <x v="2"/>
    <n v="2"/>
    <n v="10"/>
    <s v="Conflits liés à GANE (BH)"/>
    <m/>
    <s v="Autre pays"/>
    <s v="NGA"/>
    <s v="Nigéria"/>
    <m/>
    <m/>
    <m/>
    <m/>
    <m/>
    <m/>
  </r>
  <r>
    <s v="Extrême-Nord"/>
    <s v="CMR004"/>
    <x v="1"/>
    <s v="CMR004006"/>
    <x v="16"/>
    <s v="CMR004006004"/>
    <s v="KOZ-0010"/>
    <s v="GOUSDA MAKANDAI"/>
    <m/>
    <x v="2"/>
    <x v="4"/>
    <n v="6"/>
    <n v="10"/>
    <s v="Conflits liés à GANE (BH)"/>
    <m/>
    <s v="Même département, autre arrondissement"/>
    <s v="CMR"/>
    <s v="Cameroun"/>
    <s v="CMR004"/>
    <s v="Extrême-Nord"/>
    <s v="CMR004006"/>
    <s v="Mayo-Tsanaga"/>
    <s v="CMR004006005"/>
    <s v="Mayo-Moskota"/>
  </r>
  <r>
    <s v="Extrême-Nord"/>
    <s v="CMR004"/>
    <x v="1"/>
    <s v="CMR004006"/>
    <x v="16"/>
    <s v="CMR004006004"/>
    <s v="KOZ-0010"/>
    <s v="GOUSDA MAKANDAI"/>
    <m/>
    <x v="2"/>
    <x v="2"/>
    <n v="2"/>
    <n v="9"/>
    <s v="Conflits liés à GANE (BH)"/>
    <m/>
    <s v="Même département, autre arrondissement"/>
    <s v="CMR"/>
    <s v="Cameroun"/>
    <s v="CMR004"/>
    <s v="Extrême-Nord"/>
    <s v="CMR004006"/>
    <s v="Mayo-Tsanaga"/>
    <s v="CMR004006005"/>
    <s v="Mayo-Moskota"/>
  </r>
  <r>
    <s v="Extrême-Nord"/>
    <s v="CMR004"/>
    <x v="1"/>
    <s v="CMR004006"/>
    <x v="16"/>
    <s v="CMR004006004"/>
    <s v="KOZ-0013"/>
    <s v="GUID BALA"/>
    <m/>
    <x v="2"/>
    <x v="4"/>
    <n v="12"/>
    <n v="56"/>
    <s v="Conflits liés à GANE (BH)"/>
    <m/>
    <s v="Même département, autre arrondissement"/>
    <s v="CMR"/>
    <s v="Cameroun"/>
    <s v="CMR004"/>
    <s v="Extrême-Nord"/>
    <s v="CMR004006"/>
    <s v="Mayo-Tsanaga"/>
    <s v="CMR004006005"/>
    <s v="Mayo-Moskota"/>
  </r>
  <r>
    <s v="Extrême-Nord"/>
    <s v="CMR004"/>
    <x v="1"/>
    <s v="CMR004006"/>
    <x v="16"/>
    <s v="CMR004006004"/>
    <s v="KOZ-0013"/>
    <s v="GUID BALA"/>
    <m/>
    <x v="2"/>
    <x v="2"/>
    <n v="20"/>
    <n v="152"/>
    <s v="Conflits liés à GANE (BH)"/>
    <m/>
    <s v="Même département, autre arrondissement"/>
    <s v="CMR"/>
    <s v="Cameroun"/>
    <s v="CMR004"/>
    <s v="Extrême-Nord"/>
    <s v="CMR004006"/>
    <s v="Mayo-Tsanaga"/>
    <s v="CMR004006005"/>
    <s v="Mayo-Moskota"/>
  </r>
  <r>
    <s v="Extrême-Nord"/>
    <s v="CMR004"/>
    <x v="1"/>
    <s v="CMR004006"/>
    <x v="16"/>
    <s v="CMR004006004"/>
    <s v="KOZ-0019"/>
    <s v="MAZI"/>
    <m/>
    <x v="2"/>
    <x v="4"/>
    <n v="3"/>
    <n v="19"/>
    <s v="Conflits liés à GANE (BH)"/>
    <m/>
    <s v="Même département, autre arrondissement"/>
    <s v="CMR"/>
    <s v="Cameroun"/>
    <s v="CMR004"/>
    <s v="Extrême-Nord"/>
    <s v="CMR004006"/>
    <s v="Mayo-Tsanaga"/>
    <s v="CMR004006005"/>
    <s v="Mayo-Moskota"/>
  </r>
  <r>
    <s v="Extrême-Nord"/>
    <s v="CMR004"/>
    <x v="1"/>
    <s v="CMR004006"/>
    <x v="16"/>
    <s v="CMR004006004"/>
    <s v="KOZ-0019"/>
    <s v="MAZI"/>
    <m/>
    <x v="2"/>
    <x v="2"/>
    <n v="0"/>
    <n v="6"/>
    <s v="Conflits liés à GANE (BH)"/>
    <m/>
    <s v="Même département, autre arrondissement"/>
    <s v="CMR"/>
    <s v="Cameroun"/>
    <s v="CMR004"/>
    <s v="Extrême-Nord"/>
    <s v="CMR004006"/>
    <s v="Mayo-Tsanaga"/>
    <s v="CMR004006005"/>
    <s v="Mayo-Moskota"/>
  </r>
  <r>
    <s v="Extrême-Nord"/>
    <s v="CMR004"/>
    <x v="1"/>
    <s v="CMR004006"/>
    <x v="7"/>
    <s v="CMR004006005"/>
    <s v="MOZ-0013"/>
    <s v="MANDOUSSA"/>
    <m/>
    <x v="2"/>
    <x v="0"/>
    <n v="21"/>
    <n v="104"/>
    <s v="Autre raison"/>
    <s v="A la recherche d'une vie meilleure "/>
    <s v="Autre région"/>
    <s v="CMR"/>
    <s v="Cameroun"/>
    <s v="CMR001"/>
    <s v="Adamaoua"/>
    <m/>
    <m/>
    <m/>
    <m/>
  </r>
  <r>
    <s v="Extrême-Nord"/>
    <s v="CMR004"/>
    <x v="1"/>
    <s v="CMR004006"/>
    <x v="7"/>
    <s v="CMR004006005"/>
    <s v="MOZ-0034"/>
    <s v="GODZ-GODZON"/>
    <m/>
    <x v="2"/>
    <x v="3"/>
    <n v="13"/>
    <n v="105"/>
    <s v="Autre raison"/>
    <s v="A la recherche d'une vie meilleure "/>
    <s v="Autre région"/>
    <s v="CMR"/>
    <s v="Cameroun"/>
    <s v="CMR001"/>
    <s v="Adamaoua"/>
    <m/>
    <m/>
    <m/>
    <m/>
  </r>
  <r>
    <s v="Extrême-Nord"/>
    <s v="CMR004"/>
    <x v="1"/>
    <s v="CMR004006"/>
    <x v="7"/>
    <s v="CMR004006005"/>
    <s v="MOZ-0034"/>
    <s v="GODZ-GODZON"/>
    <m/>
    <x v="2"/>
    <x v="2"/>
    <n v="7"/>
    <n v="30"/>
    <s v="Autre raison"/>
    <s v="A la recherche d'une vie meilleure "/>
    <s v="Autre région"/>
    <s v="CMR"/>
    <s v="Cameroun"/>
    <s v="CMR001"/>
    <s v="Adamaoua"/>
    <m/>
    <m/>
    <m/>
    <m/>
  </r>
  <r>
    <s v="Extrême-Nord"/>
    <s v="CMR004"/>
    <x v="1"/>
    <s v="CMR004006"/>
    <x v="7"/>
    <s v="CMR004006005"/>
    <s v="MOZ-0027"/>
    <s v="TALLA KATCHI"/>
    <m/>
    <x v="2"/>
    <x v="3"/>
    <n v="59"/>
    <n v="417"/>
    <s v="Autre raison"/>
    <s v="A la recherche d'une vie meilleure "/>
    <s v="Autre région"/>
    <s v="CMR"/>
    <s v="Cameroun"/>
    <s v="CMR001"/>
    <s v="Adamaoua"/>
    <m/>
    <m/>
    <m/>
    <m/>
  </r>
  <r>
    <s v="Extrême-Nord"/>
    <s v="CMR004"/>
    <x v="1"/>
    <s v="CMR004006"/>
    <x v="7"/>
    <s v="CMR004006005"/>
    <s v="MOZ-0001"/>
    <s v="GOKORO"/>
    <m/>
    <x v="2"/>
    <x v="3"/>
    <n v="66"/>
    <n v="367"/>
    <s v="Autre raison"/>
    <s v="A la recherche d'une vie meilleure "/>
    <s v="Autre région"/>
    <s v="CMR"/>
    <s v="Cameroun"/>
    <s v="CMR001"/>
    <s v="Adamaoua"/>
    <m/>
    <m/>
    <m/>
    <m/>
  </r>
  <r>
    <s v="Extrême-Nord"/>
    <s v="CMR004"/>
    <x v="2"/>
    <s v="CMR004002"/>
    <x v="8"/>
    <s v="CMR004002009"/>
    <s v="MAK-0110"/>
    <s v="HELISNA"/>
    <m/>
    <x v="2"/>
    <x v="3"/>
    <n v="21"/>
    <n v="257"/>
    <s v="Conflits liés à GANE (BH)"/>
    <m/>
    <s v="Même arrondissement"/>
    <s v="CMR"/>
    <s v="Cameroun"/>
    <s v="CMR004"/>
    <s v="Extrême-Nord"/>
    <s v="CMR004002"/>
    <s v="Logone-Et-Chari"/>
    <s v="CMR004002009"/>
    <s v="Makary"/>
  </r>
  <r>
    <s v="Extrême-Nord"/>
    <s v="CMR004"/>
    <x v="2"/>
    <s v="CMR004002"/>
    <x v="8"/>
    <s v="CMR004002009"/>
    <s v="MAK-0003"/>
    <s v="AFADE (village)"/>
    <m/>
    <x v="2"/>
    <x v="3"/>
    <n v="887"/>
    <n v="7299"/>
    <s v="Conflits liés à GANE (BH)"/>
    <m/>
    <s v="Même arrondissement"/>
    <s v="CMR"/>
    <s v="Cameroun"/>
    <s v="CMR004"/>
    <s v="Extrême-Nord"/>
    <s v="CMR004002"/>
    <s v="Logone-Et-Chari"/>
    <s v="CMR004002009"/>
    <s v="Makary"/>
  </r>
  <r>
    <s v="Extrême-Nord"/>
    <s v="CMR004"/>
    <x v="2"/>
    <s v="CMR004002"/>
    <x v="13"/>
    <s v="CMR004002001"/>
    <s v="WAZ-0004"/>
    <s v="MADA 1"/>
    <m/>
    <x v="2"/>
    <x v="0"/>
    <n v="100"/>
    <n v="492"/>
    <s v="Conflits liés à GANE (BH)"/>
    <m/>
    <s v="Même arrondissement"/>
    <s v="CMR"/>
    <s v="Cameroun"/>
    <s v="CMR004"/>
    <s v="Extrême-Nord"/>
    <s v="CMR004002"/>
    <s v="Logone-Et-Chari"/>
    <s v="CMR004002001"/>
    <s v="Waza"/>
  </r>
  <r>
    <s v="Extrême-Nord"/>
    <s v="CMR004"/>
    <x v="2"/>
    <s v="CMR004002"/>
    <x v="13"/>
    <s v="CMR004002001"/>
    <s v="WAZ-0004"/>
    <s v="MADA 1"/>
    <m/>
    <x v="2"/>
    <x v="1"/>
    <n v="0"/>
    <n v="20"/>
    <s v="Conflits liés à GANE (BH)"/>
    <m/>
    <s v="Même arrondissement"/>
    <s v="CMR"/>
    <s v="Cameroun"/>
    <s v="CMR004"/>
    <s v="Extrême-Nord"/>
    <s v="CMR004002"/>
    <s v="Logone-Et-Chari"/>
    <s v="CMR004002001"/>
    <s v="Waza"/>
  </r>
  <r>
    <s v="Extrême-Nord"/>
    <s v="CMR004"/>
    <x v="2"/>
    <s v="CMR004002"/>
    <x v="13"/>
    <s v="CMR004002001"/>
    <s v="WAZ-0004"/>
    <s v="MADA 1"/>
    <m/>
    <x v="2"/>
    <x v="4"/>
    <n v="0"/>
    <n v="12"/>
    <s v="Conflits liés à GANE (BH)"/>
    <m/>
    <s v="Même arrondissement"/>
    <s v="CMR"/>
    <s v="Cameroun"/>
    <s v="CMR004"/>
    <s v="Extrême-Nord"/>
    <s v="CMR004002"/>
    <s v="Logone-Et-Chari"/>
    <s v="CMR004002001"/>
    <s v="Waza"/>
  </r>
  <r>
    <s v="Extrême-Nord"/>
    <s v="CMR004"/>
    <x v="2"/>
    <s v="CMR004002"/>
    <x v="10"/>
    <s v="CMR004002003"/>
    <s v="BLA-0017"/>
    <s v="SABOURA"/>
    <m/>
    <x v="2"/>
    <x v="2"/>
    <n v="1"/>
    <n v="9"/>
    <s v="Conflits liés à GANE (BH)"/>
    <m/>
    <s v="Autre pays"/>
    <s v="TCD"/>
    <s v="Tchad"/>
    <m/>
    <m/>
    <m/>
    <m/>
    <m/>
    <m/>
  </r>
  <r>
    <s v="Extrême-Nord"/>
    <s v="CMR004"/>
    <x v="2"/>
    <s v="CMR004002"/>
    <x v="15"/>
    <s v="CMR004002004"/>
    <s v="LBI-0100"/>
    <s v="CHALAN"/>
    <m/>
    <x v="2"/>
    <x v="3"/>
    <n v="80"/>
    <n v="600"/>
    <s v="Conflit intercommunautaire"/>
    <m/>
    <s v="Même département, autre arrondissement"/>
    <s v="CMR"/>
    <s v="Cameroun"/>
    <s v="CMR004"/>
    <s v="Extrême-Nord"/>
    <s v="CMR004002"/>
    <s v="Logone-Et-Chari"/>
    <s v="CMR004002006"/>
    <s v="Kousséri"/>
  </r>
  <r>
    <s v="Extrême-Nord"/>
    <s v="CMR004"/>
    <x v="2"/>
    <s v="CMR004002"/>
    <x v="15"/>
    <s v="CMR004002004"/>
    <s v="LBI-0100"/>
    <s v="CHALAN"/>
    <m/>
    <x v="2"/>
    <x v="2"/>
    <n v="4"/>
    <n v="13"/>
    <s v="Conflit intercommunautaire"/>
    <m/>
    <s v="Autre pays"/>
    <s v="TCD"/>
    <s v="Tchad"/>
    <m/>
    <m/>
    <m/>
    <m/>
    <m/>
    <m/>
  </r>
  <r>
    <s v="Extrême-Nord"/>
    <s v="CMR004"/>
    <x v="2"/>
    <s v="CMR004002"/>
    <x v="15"/>
    <s v="CMR004002004"/>
    <s v="LBI-0101"/>
    <s v="AMRE"/>
    <m/>
    <x v="2"/>
    <x v="3"/>
    <n v="8"/>
    <n v="58"/>
    <s v="Conflit intercommunautaire"/>
    <m/>
    <s v="Même département, autre arrondissement"/>
    <s v="CMR"/>
    <s v="Cameroun"/>
    <s v="CMR004"/>
    <s v="Extrême-Nord"/>
    <s v="CMR004002"/>
    <s v="Logone-Et-Chari"/>
    <s v="CMR004002006"/>
    <s v="Kousséri"/>
  </r>
  <r>
    <s v="Extrême-Nord"/>
    <s v="CMR004"/>
    <x v="2"/>
    <s v="CMR004002"/>
    <x v="15"/>
    <s v="CMR004002004"/>
    <s v="LBI-0101"/>
    <s v="AMRE"/>
    <m/>
    <x v="2"/>
    <x v="2"/>
    <n v="5"/>
    <n v="14"/>
    <s v="Conflit intercommunautaire"/>
    <m/>
    <s v="Autre pays"/>
    <s v="TCD"/>
    <s v="Tchad"/>
    <m/>
    <m/>
    <m/>
    <m/>
    <m/>
    <m/>
  </r>
  <r>
    <s v="Extrême-Nord"/>
    <s v="CMR004"/>
    <x v="2"/>
    <s v="CMR004002"/>
    <x v="15"/>
    <s v="CMR004002004"/>
    <s v="LBI-0103"/>
    <s v="OULI DELIBE"/>
    <m/>
    <x v="2"/>
    <x v="3"/>
    <n v="48"/>
    <n v="300"/>
    <s v="Conflit intercommunautaire"/>
    <m/>
    <s v="Même département, autre arrondissement"/>
    <s v="CMR"/>
    <s v="Cameroun"/>
    <s v="CMR004"/>
    <s v="Extrême-Nord"/>
    <s v="CMR004002"/>
    <s v="Logone-Et-Chari"/>
    <s v="CMR004002006"/>
    <s v="Kousséri"/>
  </r>
  <r>
    <s v="Extrême-Nord"/>
    <s v="CMR004"/>
    <x v="2"/>
    <s v="CMR004002"/>
    <x v="15"/>
    <s v="CMR004002004"/>
    <s v="LBI-0103"/>
    <s v="OULI DELIBE"/>
    <m/>
    <x v="2"/>
    <x v="2"/>
    <n v="3"/>
    <n v="10"/>
    <s v="Conflit intercommunautaire"/>
    <m/>
    <s v="Autre pays"/>
    <s v="TCD"/>
    <s v="Tchad"/>
    <m/>
    <m/>
    <m/>
    <m/>
    <m/>
    <m/>
  </r>
  <r>
    <s v="Extrême-Nord"/>
    <s v="CMR004"/>
    <x v="5"/>
    <s v="CMR004004"/>
    <x v="20"/>
    <s v="CMR004004006"/>
    <s v="KAE-0005"/>
    <s v="ZAKLANG"/>
    <m/>
    <x v="2"/>
    <x v="1"/>
    <n v="1"/>
    <n v="8"/>
    <s v="Conflit intercommunautaire"/>
    <m/>
    <s v="Autre département"/>
    <s v="CMR"/>
    <s v="Cameroun"/>
    <s v="CMR004"/>
    <s v="Extrême-Nord"/>
    <s v="CMR004002"/>
    <s v="Logone-Et-Chari"/>
    <m/>
    <m/>
  </r>
  <r>
    <s v="Extrême-Nord"/>
    <s v="CMR004"/>
    <x v="5"/>
    <s v="CMR004004"/>
    <x v="20"/>
    <s v="CMR004004006"/>
    <s v="KAE-0005"/>
    <s v="ZAKLANG"/>
    <m/>
    <x v="2"/>
    <x v="2"/>
    <n v="1"/>
    <n v="4"/>
    <s v="Conflit intercommunautaire"/>
    <m/>
    <s v="Autre département"/>
    <s v="CMR"/>
    <s v="Cameroun"/>
    <s v="CMR004"/>
    <s v="Extrême-Nord"/>
    <s v="CMR004002"/>
    <s v="Logone-Et-Chari"/>
    <m/>
    <m/>
  </r>
  <r>
    <s v="Extrême-Nord"/>
    <s v="CMR004"/>
    <x v="5"/>
    <s v="CMR004004"/>
    <x v="20"/>
    <s v="CMR004004006"/>
    <s v="KAE-0002"/>
    <s v="GAZARO"/>
    <m/>
    <x v="2"/>
    <x v="0"/>
    <n v="2"/>
    <n v="27"/>
    <s v="Conflit intercommunautaire"/>
    <m/>
    <s v="Autre département"/>
    <s v="CMR"/>
    <s v="Cameroun"/>
    <s v="CMR004"/>
    <s v="Extrême-Nord"/>
    <s v="CMR004002"/>
    <s v="Logone-Et-Chari"/>
    <m/>
    <m/>
  </r>
  <r>
    <s v="Extrême-Nord"/>
    <s v="CMR004"/>
    <x v="4"/>
    <s v="CMR004005"/>
    <x v="17"/>
    <s v="CMR004005002"/>
    <s v="MOR-0038"/>
    <s v="KESSA GANA"/>
    <m/>
    <x v="2"/>
    <x v="0"/>
    <n v="5"/>
    <n v="35"/>
    <s v="Conflits liés à GANE (BH)"/>
    <m/>
    <s v="Même arrondissement"/>
    <s v="CMR"/>
    <s v="Cameroun"/>
    <s v="CMR004"/>
    <s v="Extrême-Nord"/>
    <s v="CMR004005"/>
    <s v="Mayo-Sava"/>
    <s v="CMR004005002"/>
    <s v="Mora"/>
  </r>
  <r>
    <s v="Extrême-Nord"/>
    <s v="CMR004"/>
    <x v="4"/>
    <s v="CMR004005"/>
    <x v="17"/>
    <s v="CMR004005002"/>
    <s v="MOR-0037"/>
    <s v="KALDJE"/>
    <m/>
    <x v="2"/>
    <x v="0"/>
    <n v="2"/>
    <n v="8"/>
    <s v="Conflits liés à GANE (BH)"/>
    <m/>
    <s v="Même arrondissement"/>
    <s v="CMR"/>
    <s v="Cameroun"/>
    <s v="CMR004"/>
    <s v="Extrême-Nord"/>
    <s v="CMR004005"/>
    <s v="Mayo-Sava"/>
    <s v="CMR004005002"/>
    <s v="Mora"/>
  </r>
  <r>
    <s v="Extrême-Nord"/>
    <s v="CMR004"/>
    <x v="1"/>
    <s v="CMR004006"/>
    <x v="16"/>
    <s v="CMR004006004"/>
    <s v="KOZ-0026"/>
    <s v="WOULAD"/>
    <m/>
    <x v="2"/>
    <x v="4"/>
    <n v="2"/>
    <n v="3"/>
    <s v="Conflits liés à GANE (BH)"/>
    <m/>
    <s v="Même arrondissement"/>
    <s v="CMR"/>
    <s v="Cameroun"/>
    <s v="CMR004"/>
    <s v="Extrême-Nord"/>
    <s v="CMR004006"/>
    <s v="Mayo-Tsanaga"/>
    <s v="CMR004006004"/>
    <s v="Koza"/>
  </r>
  <r>
    <s v="Extrême-Nord"/>
    <s v="CMR004"/>
    <x v="1"/>
    <s v="CMR004006"/>
    <x v="16"/>
    <s v="CMR004006004"/>
    <s v="KOZ-0026"/>
    <s v="WOULAD"/>
    <m/>
    <x v="2"/>
    <x v="3"/>
    <n v="2"/>
    <n v="5"/>
    <s v="Conflits liés à GANE (BH)"/>
    <m/>
    <s v="Même arrondissement"/>
    <s v="CMR"/>
    <s v="Cameroun"/>
    <s v="CMR004"/>
    <s v="Extrême-Nord"/>
    <s v="CMR004006"/>
    <s v="Mayo-Tsanaga"/>
    <s v="CMR004006004"/>
    <s v="Koza"/>
  </r>
  <r>
    <s v="Extrême-Nord"/>
    <s v="CMR004"/>
    <x v="1"/>
    <s v="CMR004006"/>
    <x v="16"/>
    <s v="CMR004006004"/>
    <s v="KOZ-0026"/>
    <s v="WOULAD"/>
    <m/>
    <x v="2"/>
    <x v="2"/>
    <n v="21"/>
    <n v="150"/>
    <s v="Conflits liés à GANE (BH)"/>
    <m/>
    <s v="Même arrondissement"/>
    <s v="CMR"/>
    <s v="Cameroun"/>
    <s v="CMR004"/>
    <s v="Extrême-Nord"/>
    <s v="CMR004006"/>
    <s v="Mayo-Tsanaga"/>
    <s v="CMR004006004"/>
    <s v="Koza"/>
  </r>
  <r>
    <s v="Extrême-Nord"/>
    <s v="CMR004"/>
    <x v="4"/>
    <s v="CMR004005"/>
    <x v="17"/>
    <s v="CMR004005002"/>
    <s v="MOR-0017"/>
    <s v="POUCHE"/>
    <m/>
    <x v="2"/>
    <x v="0"/>
    <n v="15"/>
    <n v="68"/>
    <s v="Conflits liés à GANE (BH)"/>
    <m/>
    <s v="Même arrondissement"/>
    <s v="CMR"/>
    <s v="Cameroun"/>
    <s v="CMR004"/>
    <s v="Extrême-Nord"/>
    <s v="CMR004005"/>
    <s v="Mayo-Sava"/>
    <s v="CMR004005002"/>
    <s v="Mora"/>
  </r>
  <r>
    <s v="Extrême-Nord"/>
    <s v="CMR004"/>
    <x v="4"/>
    <s v="CMR004005"/>
    <x v="17"/>
    <s v="CMR004005002"/>
    <s v="MOR-0017"/>
    <s v="POUCHE"/>
    <m/>
    <x v="2"/>
    <x v="4"/>
    <n v="0"/>
    <n v="10"/>
    <s v="Conflits liés à GANE (BH)"/>
    <m/>
    <s v="Même arrondissement"/>
    <s v="CMR"/>
    <s v="Cameroun"/>
    <s v="CMR004"/>
    <s v="Extrême-Nord"/>
    <s v="CMR004005"/>
    <s v="Mayo-Sava"/>
    <s v="CMR004005002"/>
    <s v="Mora"/>
  </r>
  <r>
    <s v="Extrême-Nord"/>
    <s v="CMR004"/>
    <x v="2"/>
    <s v="CMR004002"/>
    <x v="26"/>
    <s v="CMR004002006"/>
    <s v="KOU-0020"/>
    <s v="MADANA"/>
    <m/>
    <x v="2"/>
    <x v="2"/>
    <n v="15"/>
    <n v="34"/>
    <s v="Inondations saisonnières ou fortes pluies"/>
    <m/>
    <s v="Même arrondissement"/>
    <s v="CMR"/>
    <s v="Cameroun"/>
    <s v="CMR004"/>
    <s v="Extrême-Nord"/>
    <s v="CMR004002"/>
    <s v="Logone-Et-Chari"/>
    <s v="CMR004002006"/>
    <s v="Kousséri"/>
  </r>
  <r>
    <s v="Extrême-Nord"/>
    <s v="CMR004"/>
    <x v="4"/>
    <s v="CMR004005"/>
    <x v="17"/>
    <s v="CMR004005002"/>
    <s v="MOR-0073"/>
    <s v="KOSSERE ZOUELVA"/>
    <m/>
    <x v="2"/>
    <x v="3"/>
    <n v="1"/>
    <n v="6"/>
    <s v="Conflits liés à GANE (BH)"/>
    <m/>
    <s v="Même arrondissement"/>
    <s v="CMR"/>
    <s v="Cameroun"/>
    <s v="CMR004"/>
    <s v="Extrême-Nord"/>
    <s v="CMR004005"/>
    <s v="Mayo-Sava"/>
    <s v="CMR004005002"/>
    <s v="Mora"/>
  </r>
  <r>
    <s v="Extrême-Nord"/>
    <s v="CMR004"/>
    <x v="4"/>
    <s v="CMR004005"/>
    <x v="17"/>
    <s v="CMR004005002"/>
    <s v="MOR-0073"/>
    <s v="KOSSERE ZOUELVA"/>
    <m/>
    <x v="2"/>
    <x v="4"/>
    <n v="4"/>
    <n v="30"/>
    <s v="Conflits liés à GANE (BH)"/>
    <m/>
    <s v="Même arrondissement"/>
    <s v="CMR"/>
    <s v="Cameroun"/>
    <s v="CMR004"/>
    <s v="Extrême-Nord"/>
    <s v="CMR004005"/>
    <s v="Mayo-Sava"/>
    <s v="CMR004005002"/>
    <s v="Mora"/>
  </r>
  <r>
    <s v="Extrême-Nord"/>
    <s v="CMR004"/>
    <x v="1"/>
    <s v="CMR004006"/>
    <x v="7"/>
    <s v="CMR004006005"/>
    <s v="MOZ-0005"/>
    <s v="KORSAMBA"/>
    <m/>
    <x v="2"/>
    <x v="4"/>
    <n v="29"/>
    <n v="143"/>
    <s v="Autre raison"/>
    <s v="A la recherche d'une vie meilleure "/>
    <s v="Autre région"/>
    <s v="CMR"/>
    <s v="Cameroun"/>
    <s v="CMR001"/>
    <s v="Adamaoua"/>
    <m/>
    <m/>
    <m/>
    <m/>
  </r>
  <r>
    <s v="Extrême-Nord"/>
    <s v="CMR004"/>
    <x v="1"/>
    <s v="CMR004006"/>
    <x v="7"/>
    <s v="CMR004006005"/>
    <s v="MOZ-0008"/>
    <s v="DEKERE CENTRE"/>
    <m/>
    <x v="2"/>
    <x v="2"/>
    <n v="4"/>
    <n v="4"/>
    <s v="Autre raison"/>
    <s v="A la recherche d'une vie meilleure "/>
    <s v="Même département, autre arrondissement"/>
    <s v="CMR"/>
    <s v="Cameroun"/>
    <s v="CMR004"/>
    <s v="Extrême-Nord"/>
    <s v="CMR004006"/>
    <s v="Mayo-Tsanaga"/>
    <s v="CMR004006002"/>
    <s v="Mokolo"/>
  </r>
  <r>
    <s v="Extrême-Nord"/>
    <s v="CMR004"/>
    <x v="1"/>
    <s v="CMR004006"/>
    <x v="1"/>
    <s v="CMR004006002"/>
    <s v="MOK-0058"/>
    <s v="WANAROU MOKOLO"/>
    <m/>
    <x v="2"/>
    <x v="3"/>
    <n v="7"/>
    <n v="46"/>
    <s v="Conflits liés à GANE (BH)"/>
    <m/>
    <s v="Autre pays"/>
    <s v="NGA"/>
    <s v="Nigéria"/>
    <m/>
    <m/>
    <m/>
    <m/>
    <m/>
    <m/>
  </r>
  <r>
    <s v="Extrême-Nord"/>
    <s v="CMR004"/>
    <x v="1"/>
    <s v="CMR004006"/>
    <x v="1"/>
    <s v="CMR004006002"/>
    <s v="MOK-0058"/>
    <s v="WANAROU MOKOLO"/>
    <m/>
    <x v="2"/>
    <x v="2"/>
    <n v="7"/>
    <n v="52"/>
    <s v="Conflits liés à GANE (BH)"/>
    <m/>
    <s v="Autre pays"/>
    <s v="NGA"/>
    <s v="Nigéria"/>
    <m/>
    <m/>
    <m/>
    <m/>
    <m/>
    <m/>
  </r>
  <r>
    <s v="Extrême-Nord"/>
    <s v="CMR004"/>
    <x v="1"/>
    <s v="CMR004006"/>
    <x v="16"/>
    <s v="CMR004006004"/>
    <s v="KOZ-0042"/>
    <s v="MADAKAR"/>
    <m/>
    <x v="2"/>
    <x v="2"/>
    <n v="7"/>
    <n v="31"/>
    <s v="Conflits liés à GANE (BH)"/>
    <m/>
    <s v="Même département, autre arrondissement"/>
    <s v="CMR"/>
    <s v="Cameroun"/>
    <s v="CMR004"/>
    <s v="Extrême-Nord"/>
    <s v="CMR004006"/>
    <s v="Mayo-Tsanaga"/>
    <s v="CMR004006005"/>
    <s v="Mayo-Moskota"/>
  </r>
  <r>
    <s v="Extrême-Nord"/>
    <s v="CMR004"/>
    <x v="2"/>
    <s v="CMR004002"/>
    <x v="9"/>
    <s v="CMR004002010"/>
    <s v="HIL-0005"/>
    <s v="BARGARAM"/>
    <m/>
    <x v="2"/>
    <x v="0"/>
    <n v="18"/>
    <n v="160"/>
    <s v="Conflits liés à GANE (BH)"/>
    <m/>
    <s v="Même arrondissement"/>
    <s v="CMR"/>
    <s v="Cameroun"/>
    <s v="CMR004"/>
    <s v="Extrême-Nord"/>
    <s v="CMR004002"/>
    <s v="Logone-Et-Chari"/>
    <s v="CMR004002010"/>
    <s v="Hile-Alifa"/>
  </r>
  <r>
    <s v="Extrême-Nord"/>
    <s v="CMR004"/>
    <x v="2"/>
    <s v="CMR004002"/>
    <x v="9"/>
    <s v="CMR004002010"/>
    <s v="HIL-0005"/>
    <s v="BARGARAM"/>
    <m/>
    <x v="2"/>
    <x v="1"/>
    <n v="11"/>
    <n v="71"/>
    <s v="Conflits liés à GANE (BH)"/>
    <m/>
    <s v="Même arrondissement"/>
    <s v="CMR"/>
    <s v="Cameroun"/>
    <s v="CMR004"/>
    <s v="Extrême-Nord"/>
    <s v="CMR004002"/>
    <s v="Logone-Et-Chari"/>
    <s v="CMR004002010"/>
    <s v="Hile-Alifa"/>
  </r>
  <r>
    <s v="Extrême-Nord"/>
    <s v="CMR004"/>
    <x v="2"/>
    <s v="CMR004002"/>
    <x v="9"/>
    <s v="CMR004002010"/>
    <s v="HIL-0005"/>
    <s v="BARGARAM"/>
    <m/>
    <x v="2"/>
    <x v="4"/>
    <n v="31"/>
    <n v="218"/>
    <s v="Conflits liés à GANE (BH)"/>
    <m/>
    <s v="Même arrondissement"/>
    <s v="CMR"/>
    <s v="Cameroun"/>
    <s v="CMR004"/>
    <s v="Extrême-Nord"/>
    <s v="CMR004002"/>
    <s v="Logone-Et-Chari"/>
    <s v="CMR004002010"/>
    <s v="Hile-Alifa"/>
  </r>
  <r>
    <s v="Extrême-Nord"/>
    <s v="CMR004"/>
    <x v="2"/>
    <s v="CMR004002"/>
    <x v="10"/>
    <s v="CMR004002003"/>
    <s v="BLA-0008"/>
    <s v="KOBRO"/>
    <m/>
    <x v="2"/>
    <x v="2"/>
    <n v="2"/>
    <n v="7"/>
    <s v="Inondations saisonnières ou fortes pluies"/>
    <m/>
    <s v="Même département, autre arrondissement"/>
    <s v="CMR"/>
    <s v="Cameroun"/>
    <s v="CMR004"/>
    <s v="Extrême-Nord"/>
    <s v="CMR004002"/>
    <s v="Logone-Et-Chari"/>
    <s v="CMR004002007"/>
    <s v="Darak"/>
  </r>
  <r>
    <s v="Extrême-Nord"/>
    <s v="CMR004"/>
    <x v="2"/>
    <s v="CMR004002"/>
    <x v="15"/>
    <s v="CMR004002004"/>
    <s v="LBI-0047"/>
    <s v="DABANGA ABANI"/>
    <m/>
    <x v="2"/>
    <x v="2"/>
    <n v="56"/>
    <n v="370"/>
    <s v="Conflit intercommunautaire"/>
    <m/>
    <s v="Même arrondissement"/>
    <s v="CMR"/>
    <s v="Cameroun"/>
    <s v="CMR004"/>
    <s v="Extrême-Nord"/>
    <s v="CMR004002"/>
    <s v="Logone-Et-Chari"/>
    <s v="CMR004002004"/>
    <s v="Logone-Birni"/>
  </r>
  <r>
    <s v="Extrême-Nord"/>
    <s v="CMR004"/>
    <x v="2"/>
    <s v="CMR004002"/>
    <x v="15"/>
    <s v="CMR004002004"/>
    <s v="LBI-0121"/>
    <s v="MAROUFA"/>
    <m/>
    <x v="2"/>
    <x v="2"/>
    <n v="19"/>
    <n v="100"/>
    <s v="Conflit intercommunautaire"/>
    <m/>
    <s v="Même arrondissement"/>
    <s v="CMR"/>
    <s v="Cameroun"/>
    <s v="CMR004"/>
    <s v="Extrême-Nord"/>
    <s v="CMR004002"/>
    <s v="Logone-Et-Chari"/>
    <s v="CMR004002004"/>
    <s v="Logone-Birni"/>
  </r>
  <r>
    <s v="Extrême-Nord"/>
    <s v="CMR004"/>
    <x v="1"/>
    <s v="CMR004006"/>
    <x v="16"/>
    <s v="CMR004006004"/>
    <s v="KOZ-0008"/>
    <s v="GAIVOUKIDA"/>
    <m/>
    <x v="2"/>
    <x v="3"/>
    <n v="22"/>
    <n v="86"/>
    <s v="Conflits liés à GANE (BH)"/>
    <m/>
    <s v="Même département, autre arrondissement"/>
    <s v="CMR"/>
    <s v="Cameroun"/>
    <s v="CMR004"/>
    <s v="Extrême-Nord"/>
    <s v="CMR004006"/>
    <s v="Mayo-Tsanaga"/>
    <s v="CMR004006005"/>
    <s v="Mayo-Moskota"/>
  </r>
  <r>
    <s v="Extrême-Nord"/>
    <s v="CMR004"/>
    <x v="1"/>
    <s v="CMR004006"/>
    <x v="16"/>
    <s v="CMR004006004"/>
    <s v="KOZ-0015"/>
    <s v="HIRCHE"/>
    <m/>
    <x v="2"/>
    <x v="3"/>
    <n v="2"/>
    <n v="8"/>
    <s v="Conflits liés à GANE (BH)"/>
    <m/>
    <s v="Même département, autre arrondissement"/>
    <s v="CMR"/>
    <s v="Cameroun"/>
    <s v="CMR004"/>
    <s v="Extrême-Nord"/>
    <s v="CMR004006"/>
    <s v="Mayo-Tsanaga"/>
    <s v="CMR004006005"/>
    <s v="Mayo-Moskota"/>
  </r>
  <r>
    <s v="Extrême-Nord"/>
    <s v="CMR004"/>
    <x v="1"/>
    <s v="CMR004006"/>
    <x v="16"/>
    <s v="CMR004006004"/>
    <s v="KOZ-0015"/>
    <s v="HIRCHE"/>
    <m/>
    <x v="2"/>
    <x v="2"/>
    <n v="6"/>
    <n v="16"/>
    <s v="Conflits liés à GANE (BH)"/>
    <m/>
    <s v="Même département, autre arrondissement"/>
    <s v="CMR"/>
    <s v="Cameroun"/>
    <s v="CMR004"/>
    <s v="Extrême-Nord"/>
    <s v="CMR004006"/>
    <s v="Mayo-Tsanaga"/>
    <s v="CMR004006005"/>
    <s v="Mayo-Moskota"/>
  </r>
  <r>
    <s v="Extrême-Nord"/>
    <s v="CMR004"/>
    <x v="2"/>
    <s v="CMR004002"/>
    <x v="13"/>
    <s v="CMR004002001"/>
    <s v="WAZ-0007"/>
    <s v="TAGAWA 1"/>
    <m/>
    <x v="2"/>
    <x v="4"/>
    <n v="5"/>
    <n v="35"/>
    <s v="Conflits liés à GANE (BH)"/>
    <m/>
    <s v="Même arrondissement"/>
    <s v="CMR"/>
    <s v="Cameroun"/>
    <s v="CMR004"/>
    <s v="Extrême-Nord"/>
    <s v="CMR004002"/>
    <s v="Logone-Et-Chari"/>
    <s v="CMR004002001"/>
    <s v="Waza"/>
  </r>
  <r>
    <s v="Extrême-Nord"/>
    <s v="CMR004"/>
    <x v="2"/>
    <s v="CMR004002"/>
    <x v="27"/>
    <s v="CMR004002007"/>
    <s v="DAR-0020"/>
    <s v="DORO LIMANE"/>
    <m/>
    <x v="2"/>
    <x v="2"/>
    <n v="30"/>
    <n v="70"/>
    <s v="Conflits liés à GANE (BH)"/>
    <m/>
    <s v="Même arrondissement"/>
    <s v="CMR"/>
    <s v="Cameroun"/>
    <s v="CMR004"/>
    <s v="Extrême-Nord"/>
    <s v="CMR004002"/>
    <s v="Logone-Et-Chari"/>
    <s v="CMR004002007"/>
    <s v="Darak"/>
  </r>
  <r>
    <s v="Extrême-Nord"/>
    <s v="CMR004"/>
    <x v="4"/>
    <s v="CMR004005"/>
    <x v="17"/>
    <s v="CMR004005002"/>
    <s v="MOR-0040"/>
    <s v="TAGAWA"/>
    <m/>
    <x v="2"/>
    <x v="1"/>
    <n v="2"/>
    <n v="9"/>
    <s v="Conflits liés à GANE (BH)"/>
    <m/>
    <s v="Même arrondissement"/>
    <s v="CMR"/>
    <s v="Cameroun"/>
    <s v="CMR004"/>
    <s v="Extrême-Nord"/>
    <s v="CMR004005"/>
    <s v="Mayo-Sava"/>
    <s v="CMR004005002"/>
    <s v="Mora"/>
  </r>
  <r>
    <s v="Extrême-Nord"/>
    <s v="CMR004"/>
    <x v="4"/>
    <s v="CMR004005"/>
    <x v="17"/>
    <s v="CMR004005002"/>
    <s v="MOR-0033"/>
    <s v="TCHAKARMARI"/>
    <m/>
    <x v="2"/>
    <x v="0"/>
    <n v="136"/>
    <n v="546"/>
    <s v="Conflits liés à GANE (BH)"/>
    <m/>
    <s v="Même arrondissement"/>
    <s v="CMR"/>
    <s v="Cameroun"/>
    <s v="CMR004"/>
    <s v="Extrême-Nord"/>
    <s v="CMR004005"/>
    <s v="Mayo-Sava"/>
    <s v="CMR004005002"/>
    <s v="Mora"/>
  </r>
  <r>
    <s v="Extrême-Nord"/>
    <s v="CMR004"/>
    <x v="4"/>
    <s v="CMR004005"/>
    <x v="17"/>
    <s v="CMR004005002"/>
    <s v="MOR-0033"/>
    <s v="TCHAKARMARI"/>
    <m/>
    <x v="2"/>
    <x v="1"/>
    <n v="15"/>
    <n v="60"/>
    <s v="Conflits liés à GANE (BH)"/>
    <m/>
    <s v="Même arrondissement"/>
    <s v="CMR"/>
    <s v="Cameroun"/>
    <s v="CMR004"/>
    <s v="Extrême-Nord"/>
    <s v="CMR004005"/>
    <s v="Mayo-Sava"/>
    <s v="CMR004005002"/>
    <s v="Mora"/>
  </r>
  <r>
    <s v="Extrême-Nord"/>
    <s v="CMR004"/>
    <x v="4"/>
    <s v="CMR004005"/>
    <x v="17"/>
    <s v="CMR004005002"/>
    <s v="MOR-0033"/>
    <s v="TCHAKARMARI"/>
    <m/>
    <x v="2"/>
    <x v="4"/>
    <n v="3"/>
    <n v="40"/>
    <s v="Conflits liés à GANE (BH)"/>
    <m/>
    <s v="Même arrondissement"/>
    <s v="CMR"/>
    <s v="Cameroun"/>
    <s v="CMR004"/>
    <s v="Extrême-Nord"/>
    <s v="CMR004005"/>
    <s v="Mayo-Sava"/>
    <s v="CMR004005002"/>
    <s v="Mora"/>
  </r>
  <r>
    <s v="Extrême-Nord"/>
    <s v="CMR004"/>
    <x v="4"/>
    <s v="CMR004005"/>
    <x v="17"/>
    <s v="CMR004005002"/>
    <s v="MOR-0033"/>
    <s v="TCHAKARMARI"/>
    <m/>
    <x v="2"/>
    <x v="3"/>
    <n v="3"/>
    <n v="24"/>
    <s v="Conflits liés à GANE (BH)"/>
    <m/>
    <s v="Même arrondissement"/>
    <s v="CMR"/>
    <s v="Cameroun"/>
    <s v="CMR004"/>
    <s v="Extrême-Nord"/>
    <s v="CMR004005"/>
    <s v="Mayo-Sava"/>
    <s v="CMR004005002"/>
    <s v="Mora"/>
  </r>
  <r>
    <s v="Extrême-Nord"/>
    <s v="CMR004"/>
    <x v="2"/>
    <s v="CMR004002"/>
    <x v="10"/>
    <s v="CMR004002003"/>
    <s v="BLA-0026"/>
    <s v="SITE DE IYA MAGRA"/>
    <m/>
    <x v="2"/>
    <x v="1"/>
    <n v="18"/>
    <n v="182"/>
    <s v="Conflit intercommunautaire"/>
    <m/>
    <s v="Autre pays"/>
    <s v="TCD"/>
    <s v="Tchad"/>
    <m/>
    <m/>
    <m/>
    <m/>
    <m/>
    <m/>
  </r>
  <r>
    <s v="Extrême-Nord"/>
    <s v="CMR004"/>
    <x v="1"/>
    <s v="CMR004006"/>
    <x v="16"/>
    <s v="CMR004006004"/>
    <s v="KOZ-0020"/>
    <s v="MBARDAM"/>
    <m/>
    <x v="2"/>
    <x v="0"/>
    <n v="21"/>
    <n v="147"/>
    <s v="Conflits liés à GANE (BH)"/>
    <m/>
    <s v="Même département, autre arrondissement"/>
    <s v="CMR"/>
    <s v="Cameroun"/>
    <s v="CMR004"/>
    <s v="Extrême-Nord"/>
    <s v="CMR004006"/>
    <s v="Mayo-Tsanaga"/>
    <s v="CMR004006005"/>
    <s v="Mayo-Moskota"/>
  </r>
  <r>
    <s v="Extrême-Nord"/>
    <s v="CMR004"/>
    <x v="1"/>
    <s v="CMR004006"/>
    <x v="16"/>
    <s v="CMR004006004"/>
    <s v="KOZ-0020"/>
    <s v="MBARDAM"/>
    <m/>
    <x v="2"/>
    <x v="4"/>
    <n v="21"/>
    <n v="142"/>
    <s v="Conflits liés à GANE (BH)"/>
    <m/>
    <s v="Même département, autre arrondissement"/>
    <s v="CMR"/>
    <s v="Cameroun"/>
    <s v="CMR004"/>
    <s v="Extrême-Nord"/>
    <s v="CMR004006"/>
    <s v="Mayo-Tsanaga"/>
    <s v="CMR004006005"/>
    <s v="Mayo-Moskota"/>
  </r>
  <r>
    <s v="Extrême-Nord"/>
    <s v="CMR004"/>
    <x v="1"/>
    <s v="CMR004006"/>
    <x v="16"/>
    <s v="CMR004006004"/>
    <s v="KOZ-0020"/>
    <s v="MBARDAM"/>
    <m/>
    <x v="2"/>
    <x v="2"/>
    <n v="1"/>
    <n v="3"/>
    <s v="Conflits liés à GANE (BH)"/>
    <m/>
    <s v="Même arrondissement"/>
    <s v="CMR"/>
    <s v="Cameroun"/>
    <s v="CMR004"/>
    <s v="Extrême-Nord"/>
    <s v="CMR004006"/>
    <s v="Mayo-Tsanaga"/>
    <s v="CMR004006004"/>
    <s v="Koza"/>
  </r>
  <r>
    <s v="Extrême-Nord"/>
    <s v="CMR004"/>
    <x v="4"/>
    <s v="CMR004005"/>
    <x v="17"/>
    <s v="CMR004005002"/>
    <s v="MOR-0041"/>
    <s v="MADJINA"/>
    <m/>
    <x v="2"/>
    <x v="0"/>
    <n v="8"/>
    <n v="58"/>
    <s v="Conflits liés à GANE (BH)"/>
    <m/>
    <s v="Même arrondissement"/>
    <s v="CMR"/>
    <s v="Cameroun"/>
    <s v="CMR004"/>
    <s v="Extrême-Nord"/>
    <s v="CMR004005"/>
    <s v="Mayo-Sava"/>
    <s v="CMR004005002"/>
    <s v="Mora"/>
  </r>
  <r>
    <s v="Extrême-Nord"/>
    <s v="CMR004"/>
    <x v="4"/>
    <s v="CMR004005"/>
    <x v="17"/>
    <s v="CMR004005002"/>
    <s v="MOR-0042"/>
    <s v="DJALA"/>
    <m/>
    <x v="2"/>
    <x v="0"/>
    <n v="3"/>
    <n v="13"/>
    <s v="Conflits liés à GANE (BH)"/>
    <m/>
    <s v="Même arrondissement"/>
    <s v="CMR"/>
    <s v="Cameroun"/>
    <s v="CMR004"/>
    <s v="Extrême-Nord"/>
    <s v="CMR004005"/>
    <s v="Mayo-Sava"/>
    <s v="CMR004005002"/>
    <s v="Mora"/>
  </r>
  <r>
    <s v="Extrême-Nord"/>
    <s v="CMR004"/>
    <x v="4"/>
    <s v="CMR004005"/>
    <x v="17"/>
    <s v="CMR004005002"/>
    <s v="MOR-0042"/>
    <s v="DJALA"/>
    <m/>
    <x v="2"/>
    <x v="1"/>
    <n v="0"/>
    <n v="1"/>
    <s v="Conflits liés à GANE (BH)"/>
    <m/>
    <s v="Même arrondissement"/>
    <s v="CMR"/>
    <s v="Cameroun"/>
    <s v="CMR004"/>
    <s v="Extrême-Nord"/>
    <s v="CMR004005"/>
    <s v="Mayo-Sava"/>
    <s v="CMR004005002"/>
    <s v="Mora"/>
  </r>
  <r>
    <s v="Extrême-Nord"/>
    <s v="CMR004"/>
    <x v="4"/>
    <s v="CMR004005"/>
    <x v="17"/>
    <s v="CMR004005002"/>
    <s v="MOR-0005"/>
    <s v="FIKE 1"/>
    <m/>
    <x v="2"/>
    <x v="2"/>
    <n v="5"/>
    <n v="20"/>
    <s v="Conflits liés à GANE (BH)"/>
    <m/>
    <s v="Même arrondissement"/>
    <s v="CMR"/>
    <s v="Cameroun"/>
    <s v="CMR004"/>
    <s v="Extrême-Nord"/>
    <s v="CMR004005"/>
    <s v="Mayo-Sava"/>
    <s v="CMR004005002"/>
    <s v="Mora"/>
  </r>
  <r>
    <s v="Extrême-Nord"/>
    <s v="CMR004"/>
    <x v="4"/>
    <s v="CMR004005"/>
    <x v="17"/>
    <s v="CMR004005002"/>
    <s v="MOR-0032"/>
    <s v="TAYER"/>
    <m/>
    <x v="2"/>
    <x v="0"/>
    <n v="60"/>
    <n v="356"/>
    <s v="Conflits liés à GANE (BH)"/>
    <m/>
    <s v="Même arrondissement"/>
    <s v="CMR"/>
    <s v="Cameroun"/>
    <s v="CMR004"/>
    <s v="Extrême-Nord"/>
    <s v="CMR004005"/>
    <s v="Mayo-Sava"/>
    <s v="CMR004005002"/>
    <s v="Mora"/>
  </r>
  <r>
    <s v="Extrême-Nord"/>
    <s v="CMR004"/>
    <x v="4"/>
    <s v="CMR004005"/>
    <x v="17"/>
    <s v="CMR004005002"/>
    <s v="MOR-0032"/>
    <s v="TAYER"/>
    <m/>
    <x v="2"/>
    <x v="4"/>
    <n v="50"/>
    <n v="335"/>
    <s v="Conflits liés à GANE (BH)"/>
    <m/>
    <s v="Même arrondissement"/>
    <s v="CMR"/>
    <s v="Cameroun"/>
    <s v="CMR004"/>
    <s v="Extrême-Nord"/>
    <s v="CMR004005"/>
    <s v="Mayo-Sava"/>
    <s v="CMR004005002"/>
    <s v="Mora"/>
  </r>
  <r>
    <s v="Extrême-Nord"/>
    <s v="CMR004"/>
    <x v="4"/>
    <s v="CMR004005"/>
    <x v="17"/>
    <s v="CMR004005002"/>
    <s v="MOR-0032"/>
    <s v="TAYER"/>
    <m/>
    <x v="2"/>
    <x v="3"/>
    <n v="10"/>
    <n v="80"/>
    <s v="Conflits liés à GANE (BH)"/>
    <m/>
    <s v="Même arrondissement"/>
    <s v="CMR"/>
    <s v="Cameroun"/>
    <s v="CMR004"/>
    <s v="Extrême-Nord"/>
    <s v="CMR004005"/>
    <s v="Mayo-Sava"/>
    <s v="CMR004005002"/>
    <s v="Mora"/>
  </r>
  <r>
    <s v="Extrême-Nord"/>
    <s v="CMR004"/>
    <x v="4"/>
    <s v="CMR004005"/>
    <x v="17"/>
    <s v="CMR004005002"/>
    <s v="MOR-0032"/>
    <s v="TAYER"/>
    <m/>
    <x v="2"/>
    <x v="2"/>
    <n v="20"/>
    <n v="80"/>
    <s v="Conflits liés à GANE (BH)"/>
    <m/>
    <s v="Même arrondissement"/>
    <s v="CMR"/>
    <s v="Cameroun"/>
    <s v="CMR004"/>
    <s v="Extrême-Nord"/>
    <s v="CMR004005"/>
    <s v="Mayo-Sava"/>
    <s v="CMR004005002"/>
    <s v="Mora"/>
  </r>
  <r>
    <s v="Extrême-Nord"/>
    <s v="CMR004"/>
    <x v="2"/>
    <s v="CMR004002"/>
    <x v="15"/>
    <s v="CMR004002004"/>
    <s v="LBI-0114"/>
    <s v="DOLE"/>
    <m/>
    <x v="2"/>
    <x v="3"/>
    <n v="57"/>
    <n v="450"/>
    <s v="Conflit intercommunautaire"/>
    <m/>
    <s v="Autre pays"/>
    <s v="TCD"/>
    <s v="Tchad"/>
    <m/>
    <m/>
    <m/>
    <m/>
    <m/>
    <m/>
  </r>
  <r>
    <s v="Extrême-Nord"/>
    <s v="CMR004"/>
    <x v="2"/>
    <s v="CMR004002"/>
    <x v="15"/>
    <s v="CMR004002004"/>
    <s v="LBI-0114"/>
    <s v="DOLE"/>
    <m/>
    <x v="2"/>
    <x v="2"/>
    <n v="7"/>
    <n v="50"/>
    <s v="Conflit intercommunautaire"/>
    <m/>
    <s v="Autre pays"/>
    <s v="TCD"/>
    <s v="Tchad"/>
    <m/>
    <m/>
    <m/>
    <m/>
    <m/>
    <m/>
  </r>
  <r>
    <s v="Extrême-Nord"/>
    <s v="CMR004"/>
    <x v="4"/>
    <s v="CMR004005"/>
    <x v="19"/>
    <s v="CMR004005001"/>
    <s v="KOL-0025"/>
    <s v="SANDAWADJIRI"/>
    <m/>
    <x v="2"/>
    <x v="0"/>
    <n v="23"/>
    <n v="135"/>
    <s v="Conflits liés à GANE (BH)"/>
    <m/>
    <s v="Même arrondissement"/>
    <s v="CMR"/>
    <s v="Cameroun"/>
    <s v="CMR004"/>
    <s v="Extrême-Nord"/>
    <s v="CMR004005"/>
    <s v="Mayo-Sava"/>
    <s v="CMR004005001"/>
    <s v="Kolofata"/>
  </r>
  <r>
    <s v="Extrême-Nord"/>
    <s v="CMR004"/>
    <x v="4"/>
    <s v="CMR004005"/>
    <x v="19"/>
    <s v="CMR004005001"/>
    <s v="KOL-0025"/>
    <s v="SANDAWADJIRI"/>
    <m/>
    <x v="2"/>
    <x v="3"/>
    <n v="60"/>
    <n v="416"/>
    <s v="Conflits liés à GANE (BH)"/>
    <m/>
    <s v="Même arrondissement"/>
    <s v="CMR"/>
    <s v="Cameroun"/>
    <s v="CMR004"/>
    <s v="Extrême-Nord"/>
    <s v="CMR004005"/>
    <s v="Mayo-Sava"/>
    <s v="CMR004005001"/>
    <s v="Kolofata"/>
  </r>
  <r>
    <s v="Extrême-Nord"/>
    <s v="CMR004"/>
    <x v="4"/>
    <s v="CMR004005"/>
    <x v="19"/>
    <s v="CMR004005001"/>
    <s v="KOL-0025"/>
    <s v="SANDAWADJIRI"/>
    <m/>
    <x v="2"/>
    <x v="2"/>
    <n v="0"/>
    <n v="5"/>
    <s v="Conflits liés à GANE (BH)"/>
    <m/>
    <s v="Même arrondissement"/>
    <s v="CMR"/>
    <s v="Cameroun"/>
    <s v="CMR004"/>
    <s v="Extrême-Nord"/>
    <s v="CMR004005"/>
    <s v="Mayo-Sava"/>
    <s v="CMR004005001"/>
    <s v="Kolofata"/>
  </r>
  <r>
    <s v="Extrême-Nord"/>
    <s v="CMR004"/>
    <x v="2"/>
    <s v="CMR004002"/>
    <x v="26"/>
    <s v="CMR004002006"/>
    <s v="KOU-0016"/>
    <s v="KROUANG 2"/>
    <m/>
    <x v="2"/>
    <x v="2"/>
    <n v="10"/>
    <n v="56"/>
    <s v="Inondations saisonnières ou fortes pluies"/>
    <m/>
    <s v="Autre pays"/>
    <s v="TCD"/>
    <s v="Tchad"/>
    <m/>
    <m/>
    <m/>
    <m/>
    <m/>
    <m/>
  </r>
  <r>
    <s v="Extrême-Nord"/>
    <s v="CMR004"/>
    <x v="2"/>
    <s v="CMR004002"/>
    <x v="26"/>
    <s v="CMR004002006"/>
    <s v="KOU-0036"/>
    <s v="KAWADJI 1"/>
    <m/>
    <x v="2"/>
    <x v="2"/>
    <n v="60"/>
    <n v="400"/>
    <s v="Inondations saisonnières ou fortes pluies"/>
    <m/>
    <s v="Même arrondissement"/>
    <s v="CMR"/>
    <s v="Cameroun"/>
    <s v="CMR004"/>
    <s v="Extrême-Nord"/>
    <s v="CMR004002"/>
    <s v="Logone-Et-Chari"/>
    <s v="CMR004002006"/>
    <s v="Kousséri"/>
  </r>
  <r>
    <s v="Extrême-Nord"/>
    <s v="CMR004"/>
    <x v="2"/>
    <s v="CMR004002"/>
    <x v="26"/>
    <s v="CMR004002006"/>
    <s v="KOU-0021"/>
    <s v="MADANA GABAG"/>
    <m/>
    <x v="2"/>
    <x v="2"/>
    <n v="60"/>
    <n v="300"/>
    <s v="Inondations saisonnières ou fortes pluies"/>
    <m/>
    <s v="Même arrondissement"/>
    <s v="CMR"/>
    <s v="Cameroun"/>
    <s v="CMR004"/>
    <s v="Extrême-Nord"/>
    <s v="CMR004002"/>
    <s v="Logone-Et-Chari"/>
    <s v="CMR004002006"/>
    <s v="Kousséri"/>
  </r>
  <r>
    <s v="Extrême-Nord"/>
    <s v="CMR004"/>
    <x v="4"/>
    <s v="CMR004005"/>
    <x v="17"/>
    <s v="CMR004005002"/>
    <s v="MOR-0034"/>
    <s v="WARAGA"/>
    <m/>
    <x v="2"/>
    <x v="0"/>
    <n v="167"/>
    <n v="1082"/>
    <s v="Conflits liés à GANE (BH)"/>
    <m/>
    <s v="Même arrondissement"/>
    <s v="CMR"/>
    <s v="Cameroun"/>
    <s v="CMR004"/>
    <s v="Extrême-Nord"/>
    <s v="CMR004005"/>
    <s v="Mayo-Sava"/>
    <s v="CMR004005002"/>
    <s v="Mora"/>
  </r>
  <r>
    <s v="Extrême-Nord"/>
    <s v="CMR004"/>
    <x v="4"/>
    <s v="CMR004005"/>
    <x v="17"/>
    <s v="CMR004005002"/>
    <s v="MOR-0034"/>
    <s v="WARAGA"/>
    <m/>
    <x v="2"/>
    <x v="1"/>
    <n v="15"/>
    <n v="65"/>
    <s v="Conflits liés à GANE (BH)"/>
    <m/>
    <s v="Même arrondissement"/>
    <s v="CMR"/>
    <s v="Cameroun"/>
    <s v="CMR004"/>
    <s v="Extrême-Nord"/>
    <s v="CMR004005"/>
    <s v="Mayo-Sava"/>
    <s v="CMR004005002"/>
    <s v="Mora"/>
  </r>
  <r>
    <s v="Extrême-Nord"/>
    <s v="CMR004"/>
    <x v="4"/>
    <s v="CMR004005"/>
    <x v="17"/>
    <s v="CMR004005002"/>
    <s v="MOR-0034"/>
    <s v="WARAGA"/>
    <m/>
    <x v="2"/>
    <x v="4"/>
    <n v="1"/>
    <n v="15"/>
    <s v="Conflits liés à GANE (BH)"/>
    <m/>
    <s v="Même arrondissement"/>
    <s v="CMR"/>
    <s v="Cameroun"/>
    <s v="CMR004"/>
    <s v="Extrême-Nord"/>
    <s v="CMR004005"/>
    <s v="Mayo-Sava"/>
    <s v="CMR004005002"/>
    <s v="Mora"/>
  </r>
  <r>
    <s v="Extrême-Nord"/>
    <s v="CMR004"/>
    <x v="4"/>
    <s v="CMR004005"/>
    <x v="17"/>
    <s v="CMR004005002"/>
    <s v="MOR-0034"/>
    <s v="WARAGA"/>
    <m/>
    <x v="2"/>
    <x v="3"/>
    <n v="12"/>
    <n v="53"/>
    <s v="Conflits liés à GANE (BH)"/>
    <m/>
    <s v="Même arrondissement"/>
    <s v="CMR"/>
    <s v="Cameroun"/>
    <s v="CMR004"/>
    <s v="Extrême-Nord"/>
    <s v="CMR004005"/>
    <s v="Mayo-Sava"/>
    <s v="CMR004005002"/>
    <s v="Mora"/>
  </r>
  <r>
    <s v="Extrême-Nord"/>
    <s v="CMR004"/>
    <x v="4"/>
    <s v="CMR004005"/>
    <x v="17"/>
    <s v="CMR004005002"/>
    <s v="MOR-0034"/>
    <s v="WARAGA"/>
    <m/>
    <x v="2"/>
    <x v="2"/>
    <n v="0"/>
    <n v="7"/>
    <s v="Conflits liés à GANE (BH)"/>
    <m/>
    <s v="Même arrondissement"/>
    <s v="CMR"/>
    <s v="Cameroun"/>
    <s v="CMR004"/>
    <s v="Extrême-Nord"/>
    <s v="CMR004005"/>
    <s v="Mayo-Sava"/>
    <s v="CMR004005002"/>
    <s v="Mora"/>
  </r>
  <r>
    <s v="Extrême-Nord"/>
    <s v="CMR004"/>
    <x v="4"/>
    <s v="CMR004005"/>
    <x v="19"/>
    <s v="CMR004005001"/>
    <s v="KOL-0011"/>
    <s v="GANCE"/>
    <m/>
    <x v="2"/>
    <x v="3"/>
    <n v="8"/>
    <n v="64"/>
    <s v="Conflits liés à GANE (BH)"/>
    <m/>
    <s v="Même arrondissement"/>
    <s v="CMR"/>
    <s v="Cameroun"/>
    <s v="CMR004"/>
    <s v="Extrême-Nord"/>
    <s v="CMR004005"/>
    <s v="Mayo-Sava"/>
    <s v="CMR004005001"/>
    <s v="Kolofata"/>
  </r>
  <r>
    <s v="Extrême-Nord"/>
    <s v="CMR004"/>
    <x v="4"/>
    <s v="CMR004005"/>
    <x v="19"/>
    <s v="CMR004005001"/>
    <s v="KOL-0011"/>
    <s v="GANCE"/>
    <m/>
    <x v="2"/>
    <x v="2"/>
    <n v="0"/>
    <n v="35"/>
    <s v="Conflits liés à GANE (BH)"/>
    <m/>
    <s v="Même arrondissement"/>
    <s v="CMR"/>
    <s v="Cameroun"/>
    <s v="CMR004"/>
    <s v="Extrême-Nord"/>
    <s v="CMR004005"/>
    <s v="Mayo-Sava"/>
    <s v="CMR004005001"/>
    <s v="Kolofata"/>
  </r>
  <r>
    <s v="Extrême-Nord"/>
    <s v="CMR004"/>
    <x v="2"/>
    <s v="CMR004002"/>
    <x v="12"/>
    <s v="CMR004002002"/>
    <s v="GOU-0049"/>
    <s v="ANDOURMAN"/>
    <m/>
    <x v="2"/>
    <x v="2"/>
    <n v="20"/>
    <n v="128"/>
    <s v="Inondations saisonnières ou fortes pluies"/>
    <m/>
    <s v="Même arrondissement"/>
    <s v="CMR"/>
    <s v="Cameroun"/>
    <s v="CMR004"/>
    <s v="Extrême-Nord"/>
    <s v="CMR004002"/>
    <s v="Logone-Et-Chari"/>
    <s v="CMR004002002"/>
    <s v="Goulfey"/>
  </r>
  <r>
    <s v="Extrême-Nord"/>
    <s v="CMR004"/>
    <x v="2"/>
    <s v="CMR004002"/>
    <x v="12"/>
    <s v="CMR004002002"/>
    <s v="GOU-0044"/>
    <s v="FADJE"/>
    <m/>
    <x v="2"/>
    <x v="3"/>
    <n v="56"/>
    <n v="204"/>
    <s v="Catastrophe naturelle (sécheresse, glissement de terrain, rupture de digue)"/>
    <s v="rupture de digue"/>
    <s v="Même département, autre arrondissement"/>
    <s v="CMR"/>
    <s v="Cameroun"/>
    <s v="CMR004"/>
    <s v="Extrême-Nord"/>
    <s v="CMR004002"/>
    <s v="Logone-Et-Chari"/>
    <s v="CMR004002009"/>
    <s v="Makary"/>
  </r>
  <r>
    <s v="Extrême-Nord"/>
    <s v="CMR004"/>
    <x v="2"/>
    <s v="CMR004002"/>
    <x v="8"/>
    <s v="CMR004002009"/>
    <s v="MAK-0198"/>
    <s v="BOUNGOUR 1"/>
    <m/>
    <x v="2"/>
    <x v="0"/>
    <n v="116"/>
    <n v="751"/>
    <s v="Conflits liés à GANE (BH)"/>
    <m/>
    <s v="Même arrondissement"/>
    <s v="CMR"/>
    <s v="Cameroun"/>
    <s v="CMR004"/>
    <s v="Extrême-Nord"/>
    <s v="CMR004002"/>
    <s v="Logone-Et-Chari"/>
    <s v="CMR004002009"/>
    <s v="Makary"/>
  </r>
  <r>
    <s v="Extrême-Nord"/>
    <s v="CMR004"/>
    <x v="2"/>
    <s v="CMR004002"/>
    <x v="8"/>
    <s v="CMR004002009"/>
    <s v="MAK-0198"/>
    <s v="BOUNGOUR 1"/>
    <m/>
    <x v="2"/>
    <x v="4"/>
    <n v="0"/>
    <n v="16"/>
    <s v="Conflits liés à GANE (BH)"/>
    <m/>
    <s v="Même arrondissement"/>
    <s v="CMR"/>
    <s v="Cameroun"/>
    <s v="CMR004"/>
    <s v="Extrême-Nord"/>
    <s v="CMR004002"/>
    <s v="Logone-Et-Chari"/>
    <s v="CMR004002009"/>
    <s v="Makary"/>
  </r>
  <r>
    <s v="Extrême-Nord"/>
    <s v="CMR004"/>
    <x v="2"/>
    <s v="CMR004002"/>
    <x v="8"/>
    <s v="CMR004002009"/>
    <s v="MAK-0198"/>
    <s v="BOUNGOUR 1"/>
    <m/>
    <x v="2"/>
    <x v="1"/>
    <n v="1"/>
    <n v="7"/>
    <s v="Conflits liés à GANE (BH)"/>
    <m/>
    <s v="Même arrondissement"/>
    <s v="CMR"/>
    <s v="Cameroun"/>
    <s v="CMR004"/>
    <s v="Extrême-Nord"/>
    <s v="CMR004002"/>
    <s v="Logone-Et-Chari"/>
    <s v="CMR004002009"/>
    <s v="Makary"/>
  </r>
  <r>
    <s v="Extrême-Nord"/>
    <s v="CMR004"/>
    <x v="4"/>
    <s v="CMR004005"/>
    <x v="17"/>
    <s v="CMR004005002"/>
    <s v="MOR-0029"/>
    <s v="KOSSA"/>
    <m/>
    <x v="2"/>
    <x v="0"/>
    <n v="180"/>
    <n v="1304"/>
    <s v="Conflits liés à GANE (BH)"/>
    <m/>
    <s v="Même arrondissement"/>
    <s v="CMR"/>
    <s v="Cameroun"/>
    <s v="CMR004"/>
    <s v="Extrême-Nord"/>
    <s v="CMR004005"/>
    <s v="Mayo-Sava"/>
    <s v="CMR004005002"/>
    <s v="Mora"/>
  </r>
  <r>
    <s v="Extrême-Nord"/>
    <s v="CMR004"/>
    <x v="2"/>
    <s v="CMR004002"/>
    <x v="9"/>
    <s v="CMR004002010"/>
    <s v="HIL-0007"/>
    <s v="GORETAL GOUTOUN"/>
    <m/>
    <x v="2"/>
    <x v="0"/>
    <n v="131"/>
    <n v="999"/>
    <s v="Conflits liés à GANE (BH)"/>
    <m/>
    <s v="Même arrondissement"/>
    <s v="CMR"/>
    <s v="Cameroun"/>
    <s v="CMR004"/>
    <s v="Extrême-Nord"/>
    <s v="CMR004002"/>
    <s v="Logone-Et-Chari"/>
    <s v="CMR004002010"/>
    <s v="Hile-Alifa"/>
  </r>
  <r>
    <s v="Extrême-Nord"/>
    <s v="CMR004"/>
    <x v="2"/>
    <s v="CMR004002"/>
    <x v="9"/>
    <s v="CMR004002010"/>
    <s v="HIL-0007"/>
    <s v="GORETAL GOUTOUN"/>
    <m/>
    <x v="2"/>
    <x v="1"/>
    <n v="2"/>
    <n v="2"/>
    <s v="Conflits liés à GANE (BH)"/>
    <m/>
    <s v="Même département, autre arrondissement"/>
    <s v="CMR"/>
    <s v="Cameroun"/>
    <s v="CMR004"/>
    <s v="Extrême-Nord"/>
    <s v="CMR004002"/>
    <s v="Logone-Et-Chari"/>
    <s v="CMR004002009"/>
    <s v="Makary"/>
  </r>
  <r>
    <s v="Extrême-Nord"/>
    <s v="CMR004"/>
    <x v="2"/>
    <s v="CMR004002"/>
    <x v="9"/>
    <s v="CMR004002010"/>
    <s v="HIL-0007"/>
    <s v="GORETAL GOUTOUN"/>
    <m/>
    <x v="2"/>
    <x v="3"/>
    <n v="11"/>
    <n v="158"/>
    <s v="Conflits liés à GANE (BH)"/>
    <m/>
    <s v="Même arrondissement"/>
    <s v="CMR"/>
    <s v="Cameroun"/>
    <s v="CMR004"/>
    <s v="Extrême-Nord"/>
    <s v="CMR004002"/>
    <s v="Logone-Et-Chari"/>
    <s v="CMR004002010"/>
    <s v="Hile-Alifa"/>
  </r>
  <r>
    <s v="Extrême-Nord"/>
    <s v="CMR004"/>
    <x v="4"/>
    <s v="CMR004005"/>
    <x v="17"/>
    <s v="CMR004005002"/>
    <s v="MOR-0036"/>
    <s v="BOUDOUA"/>
    <m/>
    <x v="2"/>
    <x v="0"/>
    <n v="113"/>
    <n v="751"/>
    <s v="Conflits liés à GANE (BH)"/>
    <m/>
    <s v="Même arrondissement"/>
    <s v="CMR"/>
    <s v="Cameroun"/>
    <s v="CMR004"/>
    <s v="Extrême-Nord"/>
    <s v="CMR004005"/>
    <s v="Mayo-Sava"/>
    <s v="CMR004005002"/>
    <s v="Mora"/>
  </r>
  <r>
    <s v="Extrême-Nord"/>
    <s v="CMR004"/>
    <x v="4"/>
    <s v="CMR004005"/>
    <x v="17"/>
    <s v="CMR004005002"/>
    <s v="MOR-0036"/>
    <s v="BOUDOUA"/>
    <m/>
    <x v="2"/>
    <x v="4"/>
    <n v="10"/>
    <n v="53"/>
    <s v="Conflits liés à GANE (BH)"/>
    <m/>
    <s v="Même arrondissement"/>
    <s v="CMR"/>
    <s v="Cameroun"/>
    <s v="CMR004"/>
    <s v="Extrême-Nord"/>
    <s v="CMR004005"/>
    <s v="Mayo-Sava"/>
    <s v="CMR004005002"/>
    <s v="Mora"/>
  </r>
  <r>
    <s v="Extrême-Nord"/>
    <s v="CMR004"/>
    <x v="4"/>
    <s v="CMR004005"/>
    <x v="17"/>
    <s v="CMR004005002"/>
    <s v="MOR-0036"/>
    <s v="BOUDOUA"/>
    <m/>
    <x v="2"/>
    <x v="3"/>
    <n v="4"/>
    <n v="45"/>
    <s v="Conflits liés à GANE (BH)"/>
    <m/>
    <s v="Même arrondissement"/>
    <s v="CMR"/>
    <s v="Cameroun"/>
    <s v="CMR004"/>
    <s v="Extrême-Nord"/>
    <s v="CMR004005"/>
    <s v="Mayo-Sava"/>
    <s v="CMR004005002"/>
    <s v="Mora"/>
  </r>
  <r>
    <s v="Extrême-Nord"/>
    <s v="CMR004"/>
    <x v="2"/>
    <s v="CMR004002"/>
    <x v="25"/>
    <s v="CMR004002008"/>
    <s v="FOT-0001"/>
    <s v="AMTCHOUKOULI"/>
    <m/>
    <x v="2"/>
    <x v="0"/>
    <n v="73"/>
    <n v="565"/>
    <s v="Conflits liés à GANE (BH)"/>
    <m/>
    <s v="Même arrondissement"/>
    <s v="CMR"/>
    <s v="Cameroun"/>
    <s v="CMR004"/>
    <s v="Extrême-Nord"/>
    <s v="CMR004002"/>
    <s v="Logone-Et-Chari"/>
    <s v="CMR004002008"/>
    <s v="Fotokol"/>
  </r>
  <r>
    <s v="Extrême-Nord"/>
    <s v="CMR004"/>
    <x v="2"/>
    <s v="CMR004002"/>
    <x v="15"/>
    <s v="CMR004002004"/>
    <s v="LBI-0023"/>
    <s v="DOUGOUMBRA"/>
    <m/>
    <x v="2"/>
    <x v="3"/>
    <n v="32"/>
    <n v="315"/>
    <s v="Conflit intercommunautaire"/>
    <m/>
    <s v="Même département, autre arrondissement"/>
    <s v="CMR"/>
    <s v="Cameroun"/>
    <s v="CMR004"/>
    <s v="Extrême-Nord"/>
    <s v="CMR004002"/>
    <s v="Logone-Et-Chari"/>
    <s v="CMR004002001"/>
    <s v="Waza"/>
  </r>
  <r>
    <s v="Extrême-Nord"/>
    <s v="CMR004"/>
    <x v="2"/>
    <s v="CMR004002"/>
    <x v="15"/>
    <s v="CMR004002004"/>
    <s v="LBI-0025"/>
    <s v="GUESH"/>
    <m/>
    <x v="2"/>
    <x v="3"/>
    <n v="11"/>
    <n v="88"/>
    <s v="Conflit intercommunautaire"/>
    <m/>
    <s v="Même département, autre arrondissement"/>
    <s v="CMR"/>
    <s v="Cameroun"/>
    <s v="CMR004"/>
    <s v="Extrême-Nord"/>
    <s v="CMR004002"/>
    <s v="Logone-Et-Chari"/>
    <s v="CMR004002001"/>
    <s v="Waza"/>
  </r>
  <r>
    <s v="Extrême-Nord"/>
    <s v="CMR004"/>
    <x v="2"/>
    <s v="CMR004002"/>
    <x v="15"/>
    <s v="CMR004002004"/>
    <s v="LBI-0032"/>
    <s v="MAHANA"/>
    <m/>
    <x v="2"/>
    <x v="3"/>
    <n v="65"/>
    <n v="400"/>
    <s v="Conflit intercommunautaire"/>
    <m/>
    <s v="Même département, autre arrondissement"/>
    <s v="CMR"/>
    <s v="Cameroun"/>
    <s v="CMR004"/>
    <s v="Extrême-Nord"/>
    <s v="CMR004002"/>
    <s v="Logone-Et-Chari"/>
    <s v="CMR004002001"/>
    <s v="Waza"/>
  </r>
  <r>
    <s v="Extrême-Nord"/>
    <s v="CMR004"/>
    <x v="2"/>
    <s v="CMR004002"/>
    <x v="15"/>
    <s v="CMR004002004"/>
    <s v="LBI-0117"/>
    <s v="GO"/>
    <m/>
    <x v="2"/>
    <x v="3"/>
    <n v="28"/>
    <n v="208"/>
    <s v="Conflit intercommunautaire"/>
    <m/>
    <s v="Même département, autre arrondissement"/>
    <s v="CMR"/>
    <s v="Cameroun"/>
    <s v="CMR004"/>
    <s v="Extrême-Nord"/>
    <s v="CMR004002"/>
    <s v="Logone-Et-Chari"/>
    <s v="CMR004002001"/>
    <s v="Waza"/>
  </r>
  <r>
    <s v="Extrême-Nord"/>
    <s v="CMR004"/>
    <x v="2"/>
    <s v="CMR004002"/>
    <x v="15"/>
    <s v="CMR004002004"/>
    <s v="LBI-0037"/>
    <s v="NDJAMENA"/>
    <m/>
    <x v="2"/>
    <x v="3"/>
    <n v="49"/>
    <n v="450"/>
    <s v="Conflit intercommunautaire"/>
    <m/>
    <s v="Même département, autre arrondissement"/>
    <s v="CMR"/>
    <s v="Cameroun"/>
    <s v="CMR004"/>
    <s v="Extrême-Nord"/>
    <s v="CMR004002"/>
    <s v="Logone-Et-Chari"/>
    <s v="CMR004002001"/>
    <s v="Waza"/>
  </r>
  <r>
    <s v="Extrême-Nord"/>
    <s v="CMR004"/>
    <x v="2"/>
    <s v="CMR004002"/>
    <x v="15"/>
    <s v="CMR004002004"/>
    <s v="LBI-0125"/>
    <s v="TINERI 1"/>
    <m/>
    <x v="2"/>
    <x v="3"/>
    <n v="10"/>
    <n v="63"/>
    <s v="Conflit intercommunautaire"/>
    <m/>
    <s v="Même département, autre arrondissement"/>
    <s v="CMR"/>
    <s v="Cameroun"/>
    <s v="CMR004"/>
    <s v="Extrême-Nord"/>
    <s v="CMR004002"/>
    <s v="Logone-Et-Chari"/>
    <s v="CMR004002001"/>
    <s v="Waza"/>
  </r>
  <r>
    <s v="Extrême-Nord"/>
    <s v="CMR004"/>
    <x v="2"/>
    <s v="CMR004002"/>
    <x v="15"/>
    <s v="CMR004002004"/>
    <s v="LBI-0126"/>
    <s v="TINERI 2"/>
    <m/>
    <x v="2"/>
    <x v="3"/>
    <n v="20"/>
    <n v="97"/>
    <s v="Conflit intercommunautaire"/>
    <m/>
    <s v="Même département, autre arrondissement"/>
    <s v="CMR"/>
    <s v="Cameroun"/>
    <s v="CMR004"/>
    <s v="Extrême-Nord"/>
    <s v="CMR004002"/>
    <s v="Logone-Et-Chari"/>
    <s v="CMR004002001"/>
    <s v="Waza"/>
  </r>
  <r>
    <s v="Extrême-Nord"/>
    <s v="CMR004"/>
    <x v="2"/>
    <s v="CMR004002"/>
    <x v="15"/>
    <s v="CMR004002004"/>
    <s v="XXXX"/>
    <s v="MAHANA 2"/>
    <s v="MAHANA 2"/>
    <x v="2"/>
    <x v="3"/>
    <n v="24"/>
    <n v="168"/>
    <s v="Conflit intercommunautaire"/>
    <m/>
    <s v="Même département, autre arrondissement"/>
    <s v="CMR"/>
    <s v="Cameroun"/>
    <s v="CMR004"/>
    <s v="Extrême-Nord"/>
    <s v="CMR004002"/>
    <s v="Logone-Et-Chari"/>
    <s v="CMR004002001"/>
    <s v="Waza"/>
  </r>
  <r>
    <s v="Extrême-Nord"/>
    <s v="CMR004"/>
    <x v="2"/>
    <s v="CMR004002"/>
    <x v="15"/>
    <s v="CMR004002004"/>
    <s v="XXXX"/>
    <s v="MARDIA"/>
    <s v="MARDIA"/>
    <x v="2"/>
    <x v="3"/>
    <n v="46"/>
    <n v="322"/>
    <s v="Conflit intercommunautaire"/>
    <m/>
    <s v="Même département, autre arrondissement"/>
    <s v="CMR"/>
    <s v="Cameroun"/>
    <s v="CMR004"/>
    <s v="Extrême-Nord"/>
    <s v="CMR004002"/>
    <s v="Logone-Et-Chari"/>
    <s v="CMR004002001"/>
    <s v="Waza"/>
  </r>
  <r>
    <s v="Extrême-Nord"/>
    <s v="CMR004"/>
    <x v="2"/>
    <s v="CMR004002"/>
    <x v="15"/>
    <s v="CMR004002004"/>
    <s v="XXXX"/>
    <s v="GRINGAYWA"/>
    <s v="GRINGAYWA"/>
    <x v="2"/>
    <x v="3"/>
    <n v="28"/>
    <n v="160"/>
    <s v="Conflit intercommunautaire"/>
    <m/>
    <s v="Même département, autre arrondissement"/>
    <s v="CMR"/>
    <s v="Cameroun"/>
    <s v="CMR004"/>
    <s v="Extrême-Nord"/>
    <s v="CMR004002"/>
    <s v="Logone-Et-Chari"/>
    <s v="CMR004002001"/>
    <s v="Waza"/>
  </r>
  <r>
    <s v="Extrême-Nord"/>
    <s v="CMR004"/>
    <x v="2"/>
    <s v="CMR004002"/>
    <x v="15"/>
    <s v="CMR004002004"/>
    <s v="XXXX"/>
    <s v="BLAGANA"/>
    <s v="BLAGANA"/>
    <x v="2"/>
    <x v="0"/>
    <n v="30"/>
    <n v="200"/>
    <s v="Conflit intercommunautaire"/>
    <m/>
    <s v="Même département, autre arrondissement"/>
    <s v="CMR"/>
    <s v="Cameroun"/>
    <s v="CMR004"/>
    <s v="Extrême-Nord"/>
    <s v="CMR004002"/>
    <s v="Logone-Et-Chari"/>
    <s v="CMR004002001"/>
    <s v="Waza"/>
  </r>
  <r>
    <s v="Extrême-Nord"/>
    <s v="CMR004"/>
    <x v="2"/>
    <s v="CMR004002"/>
    <x v="15"/>
    <s v="CMR004002004"/>
    <s v="XXXX"/>
    <s v="HILE DJADID"/>
    <s v="HILE DJADID"/>
    <x v="2"/>
    <x v="3"/>
    <n v="18"/>
    <n v="36"/>
    <s v="Conflit intercommunautaire"/>
    <m/>
    <s v="Même département, autre arrondissement"/>
    <s v="CMR"/>
    <s v="Cameroun"/>
    <s v="CMR004"/>
    <s v="Extrême-Nord"/>
    <s v="CMR004002"/>
    <s v="Logone-Et-Chari"/>
    <s v="CMR004002001"/>
    <s v="Waza"/>
  </r>
  <r>
    <s v="Extrême-Nord"/>
    <s v="CMR004"/>
    <x v="2"/>
    <s v="CMR004002"/>
    <x v="15"/>
    <s v="CMR004002004"/>
    <s v="XXXX"/>
    <s v="SARA"/>
    <s v="SARA"/>
    <x v="2"/>
    <x v="3"/>
    <n v="19"/>
    <n v="150"/>
    <s v="Conflit intercommunautaire"/>
    <m/>
    <s v="Même département, autre arrondissement"/>
    <s v="CMR"/>
    <s v="Cameroun"/>
    <s v="CMR004"/>
    <s v="Extrême-Nord"/>
    <s v="CMR004002"/>
    <s v="Logone-Et-Chari"/>
    <s v="CMR004002001"/>
    <s v="Waza"/>
  </r>
  <r>
    <s v="Extrême-Nord"/>
    <s v="CMR004"/>
    <x v="2"/>
    <s v="CMR004002"/>
    <x v="15"/>
    <s v="CMR004002004"/>
    <s v="XXXX"/>
    <s v="MALOUMRI"/>
    <s v="MALOUMRI"/>
    <x v="2"/>
    <x v="3"/>
    <n v="11"/>
    <n v="77"/>
    <s v="Conflit intercommunautaire"/>
    <m/>
    <s v="Même département, autre arrondissement"/>
    <s v="CMR"/>
    <s v="Cameroun"/>
    <s v="CMR004"/>
    <s v="Extrême-Nord"/>
    <s v="CMR004002"/>
    <s v="Logone-Et-Chari"/>
    <s v="CMR004002001"/>
    <s v="Waza"/>
  </r>
  <r>
    <s v="Extrême-Nord"/>
    <s v="CMR004"/>
    <x v="2"/>
    <s v="CMR004002"/>
    <x v="15"/>
    <s v="CMR004002004"/>
    <s v="LBI-0076"/>
    <s v="BLABILINE"/>
    <m/>
    <x v="2"/>
    <x v="3"/>
    <n v="179"/>
    <n v="1130"/>
    <s v="Conflit intercommunautaire"/>
    <m/>
    <s v="Même arrondissement"/>
    <s v="CMR"/>
    <s v="Cameroun"/>
    <s v="CMR004"/>
    <s v="Extrême-Nord"/>
    <s v="CMR004002"/>
    <s v="Logone-Et-Chari"/>
    <s v="CMR004002004"/>
    <s v="Logone-Birni"/>
  </r>
  <r>
    <s v="Extrême-Nord"/>
    <s v="CMR004"/>
    <x v="2"/>
    <s v="CMR004002"/>
    <x v="15"/>
    <s v="CMR004002004"/>
    <s v="LBI-0088"/>
    <s v="FIRKLIWA"/>
    <m/>
    <x v="2"/>
    <x v="3"/>
    <n v="5"/>
    <n v="20"/>
    <s v="Conflit intercommunautaire"/>
    <m/>
    <s v="Même arrondissement"/>
    <s v="CMR"/>
    <s v="Cameroun"/>
    <s v="CMR004"/>
    <s v="Extrême-Nord"/>
    <s v="CMR004002"/>
    <s v="Logone-Et-Chari"/>
    <s v="CMR004002004"/>
    <s v="Logone-Birni"/>
  </r>
  <r>
    <s v="Extrême-Nord"/>
    <s v="CMR004"/>
    <x v="2"/>
    <s v="CMR004002"/>
    <x v="15"/>
    <s v="CMR004002004"/>
    <s v="LBI-0106"/>
    <s v="AMBALAKA"/>
    <m/>
    <x v="2"/>
    <x v="3"/>
    <n v="68"/>
    <n v="291"/>
    <s v="Conflit intercommunautaire"/>
    <m/>
    <s v="Même arrondissement"/>
    <s v="CMR"/>
    <s v="Cameroun"/>
    <s v="CMR004"/>
    <s v="Extrême-Nord"/>
    <s v="CMR004002"/>
    <s v="Logone-Et-Chari"/>
    <s v="CMR004002004"/>
    <s v="Logone-Birni"/>
  </r>
  <r>
    <s v="Extrême-Nord"/>
    <s v="CMR004"/>
    <x v="1"/>
    <s v="CMR004006"/>
    <x v="14"/>
    <s v="CMR004006007"/>
    <s v="BOU-0005"/>
    <s v="TCHEVI"/>
    <m/>
    <x v="2"/>
    <x v="0"/>
    <n v="15"/>
    <n v="84"/>
    <s v="Conflits liés à GANE (BH)"/>
    <m/>
    <s v="Autre pays"/>
    <s v="NGA"/>
    <s v="Nigéria"/>
    <m/>
    <m/>
    <m/>
    <m/>
    <m/>
    <m/>
  </r>
  <r>
    <s v="Extrême-Nord"/>
    <s v="CMR004"/>
    <x v="1"/>
    <s v="CMR004006"/>
    <x v="14"/>
    <s v="CMR004006007"/>
    <s v="BOU-0005"/>
    <s v="TCHEVI"/>
    <m/>
    <x v="2"/>
    <x v="1"/>
    <n v="2"/>
    <n v="8"/>
    <s v="Conflits liés à GANE (BH)"/>
    <m/>
    <s v="Autre pays"/>
    <s v="NGA"/>
    <s v="Nigéria"/>
    <m/>
    <m/>
    <m/>
    <m/>
    <m/>
    <m/>
  </r>
  <r>
    <s v="Extrême-Nord"/>
    <s v="CMR004"/>
    <x v="1"/>
    <s v="CMR004006"/>
    <x v="14"/>
    <s v="CMR004006007"/>
    <s v="BOU-0005"/>
    <s v="TCHEVI"/>
    <m/>
    <x v="2"/>
    <x v="4"/>
    <n v="1"/>
    <n v="4"/>
    <s v="Conflits liés à GANE (BH)"/>
    <m/>
    <s v="Autre pays"/>
    <s v="NGA"/>
    <s v="Nigéria"/>
    <m/>
    <m/>
    <m/>
    <m/>
    <m/>
    <m/>
  </r>
  <r>
    <s v="Extrême-Nord"/>
    <s v="CMR004"/>
    <x v="1"/>
    <s v="CMR004006"/>
    <x v="14"/>
    <s v="CMR004006007"/>
    <s v="BOU-0005"/>
    <s v="TCHEVI"/>
    <m/>
    <x v="2"/>
    <x v="3"/>
    <n v="2"/>
    <n v="5"/>
    <s v="Conflits liés à GANE (BH)"/>
    <m/>
    <s v="Autre pays"/>
    <s v="NGA"/>
    <s v="Nigéria"/>
    <m/>
    <m/>
    <m/>
    <m/>
    <m/>
    <m/>
  </r>
  <r>
    <s v="Extrême-Nord"/>
    <s v="CMR004"/>
    <x v="4"/>
    <s v="CMR004005"/>
    <x v="19"/>
    <s v="CMR004005001"/>
    <s v="KOL-0003"/>
    <s v="KOLOFATA CENTRE"/>
    <m/>
    <x v="2"/>
    <x v="0"/>
    <n v="228"/>
    <n v="1134"/>
    <s v="Conflits liés à GANE (BH)"/>
    <m/>
    <s v="Même arrondissement"/>
    <s v="CMR"/>
    <s v="Cameroun"/>
    <s v="CMR004"/>
    <s v="Extrême-Nord"/>
    <s v="CMR004005"/>
    <s v="Mayo-Sava"/>
    <s v="CMR004005001"/>
    <s v="Kolofata"/>
  </r>
  <r>
    <s v="Extrême-Nord"/>
    <s v="CMR004"/>
    <x v="4"/>
    <s v="CMR004005"/>
    <x v="19"/>
    <s v="CMR004005001"/>
    <s v="KOL-0003"/>
    <s v="KOLOFATA CENTRE"/>
    <m/>
    <x v="2"/>
    <x v="2"/>
    <n v="11"/>
    <n v="79"/>
    <s v="Conflits liés à GANE (BH)"/>
    <m/>
    <s v="Même arrondissement"/>
    <s v="CMR"/>
    <s v="Cameroun"/>
    <s v="CMR004"/>
    <s v="Extrême-Nord"/>
    <s v="CMR004005"/>
    <s v="Mayo-Sava"/>
    <s v="CMR004005001"/>
    <s v="Kolofata"/>
  </r>
  <r>
    <s v="Extrême-Nord"/>
    <s v="CMR004"/>
    <x v="4"/>
    <s v="CMR004005"/>
    <x v="19"/>
    <s v="CMR004005001"/>
    <s v="KOL-0003"/>
    <s v="KOLOFATA CENTRE"/>
    <m/>
    <x v="2"/>
    <x v="3"/>
    <n v="0"/>
    <n v="10"/>
    <s v="Conflits liés à GANE (BH)"/>
    <m/>
    <s v="Même arrondissement"/>
    <s v="CMR"/>
    <s v="Cameroun"/>
    <s v="CMR004"/>
    <s v="Extrême-Nord"/>
    <s v="CMR004005"/>
    <s v="Mayo-Sava"/>
    <s v="CMR004005001"/>
    <s v="Kolofata"/>
  </r>
  <r>
    <s v="Extrême-Nord"/>
    <s v="CMR004"/>
    <x v="2"/>
    <s v="CMR004002"/>
    <x v="15"/>
    <s v="CMR004002004"/>
    <s v="LBI-0109"/>
    <s v="ADA"/>
    <m/>
    <x v="2"/>
    <x v="3"/>
    <n v="23"/>
    <n v="100"/>
    <s v="Conflit intercommunautaire"/>
    <m/>
    <s v="Même département, autre arrondissement"/>
    <s v="CMR"/>
    <s v="Cameroun"/>
    <s v="CMR004"/>
    <s v="Extrême-Nord"/>
    <s v="CMR004002"/>
    <s v="Logone-Et-Chari"/>
    <s v="CMR004002001"/>
    <s v="Waza"/>
  </r>
  <r>
    <s v="Extrême-Nord"/>
    <s v="CMR004"/>
    <x v="2"/>
    <s v="CMR004002"/>
    <x v="15"/>
    <s v="CMR004002004"/>
    <s v="LBI-0118"/>
    <s v="KALGOULOU 1"/>
    <m/>
    <x v="2"/>
    <x v="3"/>
    <n v="47"/>
    <n v="211"/>
    <s v="Conflit intercommunautaire"/>
    <m/>
    <s v="Même département, autre arrondissement"/>
    <s v="CMR"/>
    <s v="Cameroun"/>
    <s v="CMR004"/>
    <s v="Extrême-Nord"/>
    <s v="CMR004002"/>
    <s v="Logone-Et-Chari"/>
    <s v="CMR004002001"/>
    <s v="Waza"/>
  </r>
  <r>
    <s v="Extrême-Nord"/>
    <s v="CMR004"/>
    <x v="2"/>
    <s v="CMR004002"/>
    <x v="15"/>
    <s v="CMR004002004"/>
    <s v="LBI-0119"/>
    <s v="KALGOULOU 2"/>
    <m/>
    <x v="2"/>
    <x v="3"/>
    <n v="46"/>
    <n v="206"/>
    <s v="Conflit intercommunautaire"/>
    <m/>
    <s v="Même département, autre arrondissement"/>
    <s v="CMR"/>
    <s v="Cameroun"/>
    <s v="CMR004"/>
    <s v="Extrême-Nord"/>
    <s v="CMR004002"/>
    <s v="Logone-Et-Chari"/>
    <s v="CMR004002001"/>
    <s v="Waza"/>
  </r>
  <r>
    <s v="Extrême-Nord"/>
    <s v="CMR004"/>
    <x v="3"/>
    <s v="CMR004003"/>
    <x v="11"/>
    <s v="CMR004003002"/>
    <s v="MAG-0018"/>
    <s v="VARAYE"/>
    <m/>
    <x v="2"/>
    <x v="1"/>
    <n v="17"/>
    <n v="180"/>
    <s v="Autre raison"/>
    <s v="La zone de déplacement est une digue route "/>
    <s v="Même arrondissement"/>
    <s v="CMR"/>
    <s v="Cameroun"/>
    <s v="CMR004"/>
    <s v="Extrême-Nord"/>
    <s v="CMR004003"/>
    <s v="Mayo-Danay"/>
    <s v="CMR004003002"/>
    <s v="Maga"/>
  </r>
  <r>
    <s v="Extrême-Nord"/>
    <s v="CMR004"/>
    <x v="3"/>
    <s v="CMR004003"/>
    <x v="11"/>
    <s v="CMR004003002"/>
    <s v="MAG-0018"/>
    <s v="VARAYE"/>
    <m/>
    <x v="2"/>
    <x v="4"/>
    <n v="0"/>
    <n v="10"/>
    <s v="Inondations saisonnières ou fortes pluies"/>
    <m/>
    <s v="Même arrondissement"/>
    <s v="CMR"/>
    <s v="Cameroun"/>
    <s v="CMR004"/>
    <s v="Extrême-Nord"/>
    <s v="CMR004003"/>
    <s v="Mayo-Danay"/>
    <s v="CMR004003002"/>
    <s v="Maga"/>
  </r>
  <r>
    <s v="Extrême-Nord"/>
    <s v="CMR004"/>
    <x v="3"/>
    <s v="CMR004003"/>
    <x v="11"/>
    <s v="CMR004003002"/>
    <s v="MAG-0018"/>
    <s v="VARAYE"/>
    <m/>
    <x v="2"/>
    <x v="3"/>
    <n v="0"/>
    <n v="9"/>
    <s v="Inondations saisonnières ou fortes pluies"/>
    <m/>
    <s v="Même arrondissement"/>
    <s v="CMR"/>
    <s v="Cameroun"/>
    <s v="CMR004"/>
    <s v="Extrême-Nord"/>
    <s v="CMR004003"/>
    <s v="Mayo-Danay"/>
    <s v="CMR004003002"/>
    <s v="Maga"/>
  </r>
  <r>
    <s v="Extrême-Nord"/>
    <s v="CMR004"/>
    <x v="3"/>
    <s v="CMR004003"/>
    <x v="11"/>
    <s v="CMR004003002"/>
    <s v="MAG-0018"/>
    <s v="VARAYE"/>
    <m/>
    <x v="2"/>
    <x v="2"/>
    <n v="2"/>
    <n v="11"/>
    <s v="Inondations saisonnières ou fortes pluies"/>
    <m/>
    <s v="Même arrondissement"/>
    <s v="CMR"/>
    <s v="Cameroun"/>
    <s v="CMR004"/>
    <s v="Extrême-Nord"/>
    <s v="CMR004003"/>
    <s v="Mayo-Danay"/>
    <s v="CMR004003002"/>
    <s v="Maga"/>
  </r>
  <r>
    <s v="Extrême-Nord"/>
    <s v="CMR004"/>
    <x v="3"/>
    <s v="CMR004003"/>
    <x v="11"/>
    <s v="CMR004003002"/>
    <s v="MAG-0026"/>
    <s v="MOUSTAFARI"/>
    <m/>
    <x v="2"/>
    <x v="3"/>
    <n v="13"/>
    <n v="80"/>
    <s v="Conflit intercommunautaire"/>
    <m/>
    <s v="Autre département"/>
    <s v="CMR"/>
    <s v="Cameroun"/>
    <s v="CMR004"/>
    <s v="Extrême-Nord"/>
    <s v="CMR004001"/>
    <s v="Diamaré"/>
    <m/>
    <m/>
  </r>
  <r>
    <s v="Extrême-Nord"/>
    <s v="CMR004"/>
    <x v="3"/>
    <s v="CMR004003"/>
    <x v="11"/>
    <s v="CMR004003002"/>
    <s v="MAG-0026"/>
    <s v="MOUSTAFARI"/>
    <m/>
    <x v="2"/>
    <x v="2"/>
    <n v="0"/>
    <n v="3"/>
    <s v="Conflit intercommunautaire"/>
    <m/>
    <s v="Autre département"/>
    <s v="CMR"/>
    <s v="Cameroun"/>
    <s v="CMR004"/>
    <s v="Extrême-Nord"/>
    <s v="CMR004001"/>
    <s v="Diamaré"/>
    <m/>
    <m/>
  </r>
  <r>
    <s v="Extrême-Nord"/>
    <s v="CMR004"/>
    <x v="3"/>
    <s v="CMR004003"/>
    <x v="11"/>
    <s v="CMR004003002"/>
    <s v="MAG-0020"/>
    <s v="DIGA ARABE"/>
    <m/>
    <x v="2"/>
    <x v="3"/>
    <n v="38"/>
    <n v="200"/>
    <s v="Conflit intercommunautaire"/>
    <m/>
    <s v="Même arrondissement"/>
    <s v="CMR"/>
    <s v="Cameroun"/>
    <s v="CMR004"/>
    <s v="Extrême-Nord"/>
    <s v="CMR004003"/>
    <s v="Mayo-Danay"/>
    <s v="CMR004003002"/>
    <s v="Maga"/>
  </r>
  <r>
    <s v="Extrême-Nord"/>
    <s v="CMR004"/>
    <x v="3"/>
    <s v="CMR004003"/>
    <x v="11"/>
    <s v="CMR004003002"/>
    <s v="MAG-0020"/>
    <s v="DIGA ARABE"/>
    <m/>
    <x v="2"/>
    <x v="2"/>
    <n v="7"/>
    <n v="40"/>
    <s v="Conflit intercommunautaire"/>
    <m/>
    <s v="Même arrondissement"/>
    <s v="CMR"/>
    <s v="Cameroun"/>
    <s v="CMR004"/>
    <s v="Extrême-Nord"/>
    <s v="CMR004003"/>
    <s v="Mayo-Danay"/>
    <s v="CMR004003002"/>
    <s v="Maga"/>
  </r>
  <r>
    <s v="Extrême-Nord"/>
    <s v="CMR004"/>
    <x v="2"/>
    <s v="CMR004002"/>
    <x v="8"/>
    <s v="CMR004002009"/>
    <s v="MAK-0061"/>
    <s v="MALTAM"/>
    <m/>
    <x v="2"/>
    <x v="1"/>
    <n v="15"/>
    <n v="85"/>
    <s v="Conflits liés à GANE (BH)"/>
    <m/>
    <s v="Même arrondissement"/>
    <s v="CMR"/>
    <s v="Cameroun"/>
    <s v="CMR004"/>
    <s v="Extrême-Nord"/>
    <s v="CMR004002"/>
    <s v="Logone-Et-Chari"/>
    <s v="CMR004002009"/>
    <s v="Makary"/>
  </r>
  <r>
    <s v="Extrême-Nord"/>
    <s v="CMR004"/>
    <x v="2"/>
    <s v="CMR004002"/>
    <x v="8"/>
    <s v="CMR004002009"/>
    <s v="MAK-0061"/>
    <s v="MALTAM"/>
    <m/>
    <x v="2"/>
    <x v="2"/>
    <n v="5"/>
    <n v="17"/>
    <s v="Inondations saisonnières ou fortes pluies"/>
    <m/>
    <s v="Même arrondissement"/>
    <s v="CMR"/>
    <s v="Cameroun"/>
    <s v="CMR004"/>
    <s v="Extrême-Nord"/>
    <s v="CMR004002"/>
    <s v="Logone-Et-Chari"/>
    <s v="CMR004002009"/>
    <s v="Makary"/>
  </r>
  <r>
    <s v="Extrême-Nord"/>
    <s v="CMR004"/>
    <x v="3"/>
    <s v="CMR004003"/>
    <x v="11"/>
    <s v="CMR004003002"/>
    <s v="MAG-0029"/>
    <s v="OURO-GAOU"/>
    <m/>
    <x v="2"/>
    <x v="3"/>
    <n v="5"/>
    <n v="40"/>
    <s v="Conflit intercommunautaire"/>
    <m/>
    <s v="Autre département"/>
    <s v="CMR"/>
    <s v="Cameroun"/>
    <s v="CMR004"/>
    <s v="Extrême-Nord"/>
    <s v="CMR004001"/>
    <s v="Diamaré"/>
    <m/>
    <m/>
  </r>
  <r>
    <s v="Extrême-Nord"/>
    <s v="CMR004"/>
    <x v="3"/>
    <s v="CMR004003"/>
    <x v="11"/>
    <s v="CMR004003002"/>
    <s v="MAG-0029"/>
    <s v="OURO-GAOU"/>
    <m/>
    <x v="2"/>
    <x v="2"/>
    <n v="27"/>
    <n v="175"/>
    <s v="Conflit intercommunautaire"/>
    <m/>
    <s v="Autre département"/>
    <s v="CMR"/>
    <s v="Cameroun"/>
    <s v="CMR004"/>
    <s v="Extrême-Nord"/>
    <s v="CMR004001"/>
    <s v="Diamaré"/>
    <m/>
    <m/>
  </r>
  <r>
    <s v="Extrême-Nord"/>
    <s v="CMR004"/>
    <x v="2"/>
    <s v="CMR004002"/>
    <x v="9"/>
    <s v="CMR004002010"/>
    <s v="HIL-0012"/>
    <s v="TERBOU"/>
    <m/>
    <x v="2"/>
    <x v="0"/>
    <n v="90"/>
    <n v="472"/>
    <s v="Conflits liés à GANE (BH)"/>
    <m/>
    <s v="Même arrondissement"/>
    <s v="CMR"/>
    <s v="Cameroun"/>
    <s v="CMR004"/>
    <s v="Extrême-Nord"/>
    <s v="CMR004002"/>
    <s v="Logone-Et-Chari"/>
    <s v="CMR004002010"/>
    <s v="Hile-Alifa"/>
  </r>
  <r>
    <s v="Extrême-Nord"/>
    <s v="CMR004"/>
    <x v="1"/>
    <s v="CMR004006"/>
    <x v="7"/>
    <s v="CMR004006005"/>
    <s v="MOZ-0029"/>
    <s v="SITE DE MOSKOTA - TCHEBE-TCHEBE"/>
    <m/>
    <x v="2"/>
    <x v="2"/>
    <n v="6"/>
    <n v="27"/>
    <s v="Conflits liés à GANE (BH)"/>
    <m/>
    <s v="Même département, autre arrondissement"/>
    <s v="CMR"/>
    <s v="Cameroun"/>
    <s v="CMR004"/>
    <s v="Extrême-Nord"/>
    <s v="CMR004006"/>
    <s v="Mayo-Tsanaga"/>
    <s v="CMR004006004"/>
    <s v="Koza"/>
  </r>
  <r>
    <s v="Extrême-Nord"/>
    <s v="CMR004"/>
    <x v="1"/>
    <s v="CMR004006"/>
    <x v="7"/>
    <s v="CMR004006005"/>
    <s v="MOZ-0003"/>
    <s v="KARAZAWA"/>
    <m/>
    <x v="2"/>
    <x v="0"/>
    <n v="13"/>
    <n v="68"/>
    <s v="Conflits liés à GANE (BH)"/>
    <m/>
    <s v="Autre région"/>
    <s v="CMR"/>
    <s v="Cameroun"/>
    <s v="CMR006"/>
    <s v="Nord"/>
    <m/>
    <m/>
    <m/>
    <m/>
  </r>
  <r>
    <s v="Extrême-Nord"/>
    <s v="CMR004"/>
    <x v="1"/>
    <s v="CMR004006"/>
    <x v="7"/>
    <s v="CMR004006005"/>
    <s v="MOZ-0024"/>
    <s v="ZELEVED"/>
    <m/>
    <x v="2"/>
    <x v="0"/>
    <n v="32"/>
    <n v="161"/>
    <s v="Conflits liés à GANE (BH)"/>
    <m/>
    <s v="Même arrondissement"/>
    <s v="CMR"/>
    <s v="Cameroun"/>
    <s v="CMR004"/>
    <s v="Extrême-Nord"/>
    <s v="CMR004006"/>
    <s v="Mayo-Tsanaga"/>
    <s v="CMR004006005"/>
    <s v="Mayo-Moskota"/>
  </r>
  <r>
    <s v="Extrême-Nord"/>
    <s v="CMR004"/>
    <x v="1"/>
    <s v="CMR004006"/>
    <x v="7"/>
    <s v="CMR004006005"/>
    <s v="MOZ-0024"/>
    <s v="ZELEVED"/>
    <m/>
    <x v="2"/>
    <x v="4"/>
    <n v="0"/>
    <n v="1"/>
    <s v="Conflits liés à GANE (BH)"/>
    <m/>
    <s v="Même arrondissement"/>
    <s v="CMR"/>
    <s v="Cameroun"/>
    <s v="CMR004"/>
    <s v="Extrême-Nord"/>
    <s v="CMR004006"/>
    <s v="Mayo-Tsanaga"/>
    <s v="CMR004006005"/>
    <s v="Mayo-Moskota"/>
  </r>
  <r>
    <s v="Extrême-Nord"/>
    <s v="CMR004"/>
    <x v="2"/>
    <s v="CMR004002"/>
    <x v="26"/>
    <s v="CMR004002006"/>
    <s v="KOU-0025"/>
    <s v="MASSIL-AL-KANAM"/>
    <m/>
    <x v="2"/>
    <x v="2"/>
    <n v="4"/>
    <n v="30"/>
    <s v="Inondations saisonnières ou fortes pluies"/>
    <m/>
    <s v="Même arrondissement"/>
    <s v="CMR"/>
    <s v="Cameroun"/>
    <s v="CMR004"/>
    <s v="Extrême-Nord"/>
    <s v="CMR004002"/>
    <s v="Logone-Et-Chari"/>
    <s v="CMR004002006"/>
    <s v="Kousséri"/>
  </r>
  <r>
    <s v="Extrême-Nord"/>
    <s v="CMR004"/>
    <x v="2"/>
    <s v="CMR004002"/>
    <x v="26"/>
    <s v="CMR004002006"/>
    <s v="KOU-0011"/>
    <s v="IBOU"/>
    <m/>
    <x v="2"/>
    <x v="2"/>
    <n v="30"/>
    <n v="150"/>
    <s v="Inondations saisonnières ou fortes pluies"/>
    <m/>
    <s v="Même arrondissement"/>
    <s v="CMR"/>
    <s v="Cameroun"/>
    <s v="CMR004"/>
    <s v="Extrême-Nord"/>
    <s v="CMR004002"/>
    <s v="Logone-Et-Chari"/>
    <s v="CMR004002006"/>
    <s v="Kousséri"/>
  </r>
  <r>
    <s v="Extrême-Nord"/>
    <s v="CMR004"/>
    <x v="2"/>
    <s v="CMR004002"/>
    <x v="15"/>
    <s v="CMR004002004"/>
    <s v="LBI-0082"/>
    <s v="SAMAKALE"/>
    <m/>
    <x v="2"/>
    <x v="3"/>
    <n v="83"/>
    <n v="215"/>
    <s v="Conflit intercommunautaire"/>
    <m/>
    <s v="Autre pays"/>
    <s v="TCD"/>
    <s v="Tchad"/>
    <m/>
    <m/>
    <m/>
    <m/>
    <m/>
    <m/>
  </r>
  <r>
    <s v="Extrême-Nord"/>
    <s v="CMR004"/>
    <x v="2"/>
    <s v="CMR004002"/>
    <x v="15"/>
    <s v="CMR004002004"/>
    <s v="LBI-0082"/>
    <s v="SAMAKALE"/>
    <m/>
    <x v="2"/>
    <x v="2"/>
    <n v="20"/>
    <n v="100"/>
    <s v="Conflit intercommunautaire"/>
    <m/>
    <s v="Autre pays"/>
    <s v="TCD"/>
    <s v="Tchad"/>
    <m/>
    <m/>
    <m/>
    <m/>
    <m/>
    <m/>
  </r>
  <r>
    <s v="Extrême-Nord"/>
    <s v="CMR004"/>
    <x v="2"/>
    <s v="CMR004002"/>
    <x v="15"/>
    <s v="CMR004002004"/>
    <s v="LBI-0071"/>
    <s v="MBANAMAMTE"/>
    <m/>
    <x v="2"/>
    <x v="2"/>
    <n v="10"/>
    <n v="54"/>
    <s v="Conflit intercommunautaire"/>
    <m/>
    <s v="Autre pays"/>
    <s v="TCD"/>
    <s v="Tchad"/>
    <m/>
    <m/>
    <m/>
    <m/>
    <m/>
    <m/>
  </r>
  <r>
    <s v="Extrême-Nord"/>
    <s v="CMR004"/>
    <x v="2"/>
    <s v="CMR004002"/>
    <x v="13"/>
    <s v="CMR004002001"/>
    <s v="WAZ-0008"/>
    <s v="TAGAWA 2"/>
    <m/>
    <x v="2"/>
    <x v="0"/>
    <n v="5"/>
    <n v="21"/>
    <s v="Conflits liés à GANE (BH)"/>
    <m/>
    <s v="Même arrondissement"/>
    <s v="CMR"/>
    <s v="Cameroun"/>
    <s v="CMR004"/>
    <s v="Extrême-Nord"/>
    <s v="CMR004002"/>
    <s v="Logone-Et-Chari"/>
    <s v="CMR004002001"/>
    <s v="Waza"/>
  </r>
  <r>
    <s v="Extrême-Nord"/>
    <s v="CMR004"/>
    <x v="1"/>
    <s v="CMR004006"/>
    <x v="1"/>
    <s v="CMR004006002"/>
    <s v="MOK-0001"/>
    <s v="BOUNGUELRE"/>
    <m/>
    <x v="2"/>
    <x v="0"/>
    <n v="156"/>
    <n v="1236"/>
    <s v="Conflits liés à GANE (BH)"/>
    <m/>
    <s v="Même arrondissement"/>
    <s v="CMR"/>
    <s v="Cameroun"/>
    <s v="CMR004"/>
    <s v="Extrême-Nord"/>
    <s v="CMR004006"/>
    <s v="Mayo-Tsanaga"/>
    <s v="CMR004006002"/>
    <s v="Mokolo"/>
  </r>
  <r>
    <s v="Extrême-Nord"/>
    <s v="CMR004"/>
    <x v="2"/>
    <s v="CMR004002"/>
    <x v="12"/>
    <s v="CMR004002002"/>
    <s v="GOU-0021"/>
    <s v="SAO"/>
    <m/>
    <x v="2"/>
    <x v="0"/>
    <n v="5"/>
    <n v="17"/>
    <s v="Inondations saisonnières ou fortes pluies"/>
    <m/>
    <s v="Même arrondissement"/>
    <s v="CMR"/>
    <s v="Cameroun"/>
    <s v="CMR004"/>
    <s v="Extrême-Nord"/>
    <s v="CMR004002"/>
    <s v="Logone-Et-Chari"/>
    <s v="CMR004002002"/>
    <s v="Goulfey"/>
  </r>
  <r>
    <s v="Extrême-Nord"/>
    <s v="CMR004"/>
    <x v="3"/>
    <s v="CMR004003"/>
    <x v="33"/>
    <s v="CMR004003001"/>
    <s v="XXXX"/>
    <s v="DOREISSOU"/>
    <s v="DOREISSOU"/>
    <x v="2"/>
    <x v="2"/>
    <n v="937"/>
    <n v="8433"/>
    <s v="Inondations saisonnières ou fortes pluies"/>
    <m/>
    <s v="Même arrondissement"/>
    <s v="CMR"/>
    <s v="Cameroun"/>
    <s v="CMR004"/>
    <s v="Extrême-Nord"/>
    <s v="CMR004003"/>
    <s v="Mayo-Danay"/>
    <s v="CMR004003001"/>
    <s v="Kai-Kai"/>
  </r>
  <r>
    <s v="Extrême-Nord"/>
    <s v="CMR004"/>
    <x v="3"/>
    <s v="CMR004003"/>
    <x v="33"/>
    <s v="CMR004003001"/>
    <s v="KAI-0003"/>
    <s v="BEGUEPALAM"/>
    <m/>
    <x v="2"/>
    <x v="2"/>
    <n v="417"/>
    <n v="2140"/>
    <s v="Inondations saisonnières ou fortes pluies"/>
    <m/>
    <s v="Même arrondissement"/>
    <s v="CMR"/>
    <s v="Cameroun"/>
    <s v="CMR004"/>
    <s v="Extrême-Nord"/>
    <s v="CMR004003"/>
    <s v="Mayo-Danay"/>
    <s v="CMR004003001"/>
    <s v="Kai-Kai"/>
  </r>
  <r>
    <s v="Extrême-Nord"/>
    <s v="CMR004"/>
    <x v="3"/>
    <s v="CMR004003"/>
    <x v="31"/>
    <s v="CMR004003006"/>
    <s v="GUM-0001"/>
    <s v="BANGALA"/>
    <m/>
    <x v="2"/>
    <x v="2"/>
    <n v="93"/>
    <n v="920"/>
    <s v="Inondations saisonnières ou fortes pluies"/>
    <m/>
    <s v="Même arrondissement"/>
    <s v="CMR"/>
    <s v="Cameroun"/>
    <s v="CMR004"/>
    <s v="Extrême-Nord"/>
    <s v="CMR004003"/>
    <s v="Mayo-Danay"/>
    <s v="CMR004003006"/>
    <s v="Guémé"/>
  </r>
  <r>
    <s v="Extrême-Nord"/>
    <s v="CMR004"/>
    <x v="3"/>
    <s v="CMR004003"/>
    <x v="31"/>
    <s v="CMR004003006"/>
    <s v="GUM-0002"/>
    <s v="GUEME"/>
    <m/>
    <x v="2"/>
    <x v="2"/>
    <n v="34"/>
    <n v="183"/>
    <s v="Inondations saisonnières ou fortes pluies"/>
    <m/>
    <s v="Même arrondissement"/>
    <s v="CMR"/>
    <s v="Cameroun"/>
    <s v="CMR004"/>
    <s v="Extrême-Nord"/>
    <s v="CMR004003"/>
    <s v="Mayo-Danay"/>
    <s v="CMR004003006"/>
    <s v="Guémé"/>
  </r>
  <r>
    <s v="Extrême-Nord"/>
    <s v="CMR004"/>
    <x v="4"/>
    <s v="CMR004005"/>
    <x v="19"/>
    <s v="CMR004005001"/>
    <s v="KOL-0001"/>
    <s v="AMCHIDE"/>
    <m/>
    <x v="2"/>
    <x v="0"/>
    <n v="1589"/>
    <n v="11690"/>
    <s v="Conflits liés à GANE (BH)"/>
    <m/>
    <s v="Même arrondissement"/>
    <s v="CMR"/>
    <s v="Cameroun"/>
    <s v="CMR004"/>
    <s v="Extrême-Nord"/>
    <s v="CMR004005"/>
    <s v="Mayo-Sava"/>
    <s v="CMR004005001"/>
    <s v="Kolofata"/>
  </r>
  <r>
    <s v="Extrême-Nord"/>
    <s v="CMR004"/>
    <x v="4"/>
    <s v="CMR004005"/>
    <x v="19"/>
    <s v="CMR004005001"/>
    <s v="KOL-0001"/>
    <s v="AMCHIDE"/>
    <m/>
    <x v="2"/>
    <x v="1"/>
    <n v="0"/>
    <n v="18"/>
    <s v="Conflits liés à GANE (BH)"/>
    <m/>
    <s v="Même arrondissement"/>
    <s v="CMR"/>
    <s v="Cameroun"/>
    <s v="CMR004"/>
    <s v="Extrême-Nord"/>
    <s v="CMR004005"/>
    <s v="Mayo-Sava"/>
    <s v="CMR004005001"/>
    <s v="Kolofata"/>
  </r>
  <r>
    <s v="Extrême-Nord"/>
    <s v="CMR004"/>
    <x v="4"/>
    <s v="CMR004005"/>
    <x v="19"/>
    <s v="CMR004005001"/>
    <s v="KOL-0001"/>
    <s v="AMCHIDE"/>
    <m/>
    <x v="2"/>
    <x v="4"/>
    <n v="115"/>
    <n v="768"/>
    <s v="Conflits liés à GANE (BH)"/>
    <m/>
    <s v="Même arrondissement"/>
    <s v="CMR"/>
    <s v="Cameroun"/>
    <s v="CMR004"/>
    <s v="Extrême-Nord"/>
    <s v="CMR004005"/>
    <s v="Mayo-Sava"/>
    <s v="CMR004005001"/>
    <s v="Kolofata"/>
  </r>
  <r>
    <s v="Extrême-Nord"/>
    <s v="CMR004"/>
    <x v="4"/>
    <s v="CMR004005"/>
    <x v="19"/>
    <s v="CMR004005001"/>
    <s v="KOL-0001"/>
    <s v="AMCHIDE"/>
    <m/>
    <x v="2"/>
    <x v="3"/>
    <n v="20"/>
    <n v="100"/>
    <s v="Conflits liés à GANE (BH)"/>
    <m/>
    <s v="Même arrondissement"/>
    <s v="CMR"/>
    <s v="Cameroun"/>
    <s v="CMR004"/>
    <s v="Extrême-Nord"/>
    <s v="CMR004005"/>
    <s v="Mayo-Sava"/>
    <s v="CMR004005001"/>
    <s v="Kolofata"/>
  </r>
  <r>
    <s v="Extrême-Nord"/>
    <s v="CMR004"/>
    <x v="4"/>
    <s v="CMR004005"/>
    <x v="19"/>
    <s v="CMR004005001"/>
    <s v="KOL-0001"/>
    <s v="AMCHIDE"/>
    <m/>
    <x v="2"/>
    <x v="2"/>
    <n v="0"/>
    <n v="30"/>
    <s v="Conflits liés à GANE (BH)"/>
    <m/>
    <s v="Même arrondissement"/>
    <s v="CMR"/>
    <s v="Cameroun"/>
    <s v="CMR004"/>
    <s v="Extrême-Nord"/>
    <s v="CMR004005"/>
    <s v="Mayo-Sava"/>
    <s v="CMR004005001"/>
    <s v="Kolofata"/>
  </r>
  <r>
    <s v="Extrême-Nord"/>
    <s v="CMR004"/>
    <x v="2"/>
    <s v="CMR004002"/>
    <x v="25"/>
    <s v="CMR004002008"/>
    <s v="FOT-0006"/>
    <s v="FOTOKOL VILLE"/>
    <m/>
    <x v="2"/>
    <x v="0"/>
    <n v="1302"/>
    <n v="9935"/>
    <s v="Conflits liés à GANE (BH)"/>
    <m/>
    <s v="Même arrondissement"/>
    <s v="CMR"/>
    <s v="Cameroun"/>
    <s v="CMR004"/>
    <s v="Extrême-Nord"/>
    <s v="CMR004002"/>
    <s v="Logone-Et-Chari"/>
    <s v="CMR004002008"/>
    <s v="Fotokol"/>
  </r>
  <r>
    <s v="Extrême-Nord"/>
    <s v="CMR004"/>
    <x v="2"/>
    <s v="CMR004002"/>
    <x v="25"/>
    <s v="CMR004002008"/>
    <s v="FOT-0006"/>
    <s v="FOTOKOL VILLE"/>
    <m/>
    <x v="2"/>
    <x v="1"/>
    <n v="39"/>
    <n v="235"/>
    <s v="Conflits liés à GANE (BH)"/>
    <m/>
    <s v="Même arrondissement"/>
    <s v="CMR"/>
    <s v="Cameroun"/>
    <s v="CMR004"/>
    <s v="Extrême-Nord"/>
    <s v="CMR004002"/>
    <s v="Logone-Et-Chari"/>
    <s v="CMR004002008"/>
    <s v="Fotokol"/>
  </r>
  <r>
    <s v="Extrême-Nord"/>
    <s v="CMR004"/>
    <x v="2"/>
    <s v="CMR004002"/>
    <x v="25"/>
    <s v="CMR004002008"/>
    <s v="FOT-0006"/>
    <s v="FOTOKOL VILLE"/>
    <m/>
    <x v="2"/>
    <x v="4"/>
    <n v="43"/>
    <n v="321"/>
    <s v="Conflits liés à GANE (BH)"/>
    <m/>
    <s v="Même arrondissement"/>
    <s v="CMR"/>
    <s v="Cameroun"/>
    <s v="CMR004"/>
    <s v="Extrême-Nord"/>
    <s v="CMR004002"/>
    <s v="Logone-Et-Chari"/>
    <s v="CMR004002008"/>
    <s v="Fotokol"/>
  </r>
  <r>
    <s v="Extrême-Nord"/>
    <s v="CMR004"/>
    <x v="2"/>
    <s v="CMR004002"/>
    <x v="25"/>
    <s v="CMR004002008"/>
    <s v="FOT-0006"/>
    <s v="FOTOKOL VILLE"/>
    <m/>
    <x v="2"/>
    <x v="3"/>
    <n v="2"/>
    <n v="13"/>
    <s v="Conflits liés à GANE (BH)"/>
    <m/>
    <s v="Même arrondissement"/>
    <s v="CMR"/>
    <s v="Cameroun"/>
    <s v="CMR004"/>
    <s v="Extrême-Nord"/>
    <s v="CMR004002"/>
    <s v="Logone-Et-Chari"/>
    <s v="CMR004002008"/>
    <s v="Fotokol"/>
  </r>
  <r>
    <s v="Extrême-Nord"/>
    <s v="CMR004"/>
    <x v="2"/>
    <s v="CMR004002"/>
    <x v="13"/>
    <s v="CMR004002001"/>
    <s v="WAZ-0009"/>
    <s v="TAGAWA 3"/>
    <m/>
    <x v="2"/>
    <x v="2"/>
    <n v="15"/>
    <n v="102"/>
    <s v="Conflits liés à GANE (BH)"/>
    <m/>
    <s v="Même arrondissement"/>
    <s v="CMR"/>
    <s v="Cameroun"/>
    <s v="CMR004"/>
    <s v="Extrême-Nord"/>
    <s v="CMR004002"/>
    <s v="Logone-Et-Chari"/>
    <s v="CMR004002001"/>
    <s v="Waza"/>
  </r>
  <r>
    <s v="Extrême-Nord"/>
    <s v="CMR004"/>
    <x v="3"/>
    <s v="CMR004003"/>
    <x v="11"/>
    <s v="CMR004003002"/>
    <s v="MAG-0009"/>
    <s v="ARGAZAMA"/>
    <m/>
    <x v="2"/>
    <x v="2"/>
    <n v="12"/>
    <n v="100"/>
    <s v="Inondations saisonnières ou fortes pluies"/>
    <m/>
    <s v="Même arrondissement"/>
    <s v="CMR"/>
    <s v="Cameroun"/>
    <s v="CMR004"/>
    <s v="Extrême-Nord"/>
    <s v="CMR004003"/>
    <s v="Mayo-Danay"/>
    <s v="CMR004003002"/>
    <s v="Maga"/>
  </r>
  <r>
    <s v="Extrême-Nord"/>
    <s v="CMR004"/>
    <x v="3"/>
    <s v="CMR004003"/>
    <x v="11"/>
    <s v="CMR004003002"/>
    <s v="MAG-0021"/>
    <s v="MAGA CENTRE"/>
    <m/>
    <x v="2"/>
    <x v="2"/>
    <n v="12"/>
    <n v="123"/>
    <s v="Conflit intercommunautaire"/>
    <m/>
    <s v="Autre département"/>
    <s v="CMR"/>
    <s v="Cameroun"/>
    <s v="CMR004"/>
    <s v="Extrême-Nord"/>
    <s v="CMR004001"/>
    <s v="Diamaré"/>
    <m/>
    <m/>
  </r>
  <r>
    <s v="Extrême-Nord"/>
    <s v="CMR004"/>
    <x v="3"/>
    <s v="CMR004003"/>
    <x v="11"/>
    <s v="CMR004003002"/>
    <s v="MAG-0023"/>
    <s v="MAOUDA"/>
    <m/>
    <x v="2"/>
    <x v="2"/>
    <n v="3"/>
    <n v="18"/>
    <s v="Conflit intercommunautaire"/>
    <m/>
    <s v="Autre pays"/>
    <s v="TCD"/>
    <s v="Tchad"/>
    <m/>
    <m/>
    <m/>
    <m/>
    <m/>
    <m/>
  </r>
  <r>
    <s v="Extrême-Nord"/>
    <s v="CMR004"/>
    <x v="3"/>
    <s v="CMR004003"/>
    <x v="11"/>
    <s v="CMR004003002"/>
    <s v="MAG-0003"/>
    <s v="GUIRVIDIG"/>
    <m/>
    <x v="2"/>
    <x v="2"/>
    <n v="23"/>
    <n v="162"/>
    <s v="Conflit intercommunautaire"/>
    <m/>
    <s v="Même arrondissement"/>
    <s v="CMR"/>
    <s v="Cameroun"/>
    <s v="CMR004"/>
    <s v="Extrême-Nord"/>
    <s v="CMR004003"/>
    <s v="Mayo-Danay"/>
    <s v="CMR004003002"/>
    <s v="Maga"/>
  </r>
  <r>
    <s v="Extrême-Nord"/>
    <s v="CMR004"/>
    <x v="3"/>
    <s v="CMR004003"/>
    <x v="11"/>
    <s v="CMR004003002"/>
    <s v="MAG-0003"/>
    <s v="GUIRVIDIG"/>
    <m/>
    <x v="2"/>
    <x v="3"/>
    <n v="15"/>
    <n v="90"/>
    <s v="Conflit intercommunautaire"/>
    <m/>
    <s v="Autre département"/>
    <s v="CMR"/>
    <s v="Cameroun"/>
    <s v="CMR004"/>
    <s v="Extrême-Nord"/>
    <s v="CMR004001"/>
    <s v="Diamaré"/>
    <m/>
    <m/>
  </r>
  <r>
    <s v="Extrême-Nord"/>
    <s v="CMR004"/>
    <x v="3"/>
    <s v="CMR004003"/>
    <x v="11"/>
    <s v="CMR004003002"/>
    <s v="MAG-0024"/>
    <s v="MBARKOUT"/>
    <m/>
    <x v="2"/>
    <x v="3"/>
    <n v="7"/>
    <n v="27"/>
    <s v="Conflit intercommunautaire"/>
    <m/>
    <s v="Autre département"/>
    <s v="CMR"/>
    <s v="Cameroun"/>
    <s v="CMR004"/>
    <s v="Extrême-Nord"/>
    <s v="CMR004001"/>
    <s v="Diamaré"/>
    <m/>
    <m/>
  </r>
  <r>
    <s v="Extrême-Nord"/>
    <s v="CMR004"/>
    <x v="3"/>
    <s v="CMR004003"/>
    <x v="11"/>
    <s v="CMR004003002"/>
    <s v="MAG-0024"/>
    <s v="MBARKOUT"/>
    <m/>
    <x v="2"/>
    <x v="2"/>
    <n v="35"/>
    <n v="103"/>
    <s v="Conflit intercommunautaire"/>
    <m/>
    <s v="Autre département"/>
    <s v="CMR"/>
    <s v="Cameroun"/>
    <s v="CMR004"/>
    <s v="Extrême-Nord"/>
    <s v="CMR004001"/>
    <s v="Diamaré"/>
    <m/>
    <m/>
  </r>
  <r>
    <s v="Extrême-Nord"/>
    <s v="CMR004"/>
    <x v="3"/>
    <s v="CMR004003"/>
    <x v="11"/>
    <s v="CMR004003002"/>
    <s v="MAG-0031"/>
    <s v="SIYAOU"/>
    <m/>
    <x v="2"/>
    <x v="3"/>
    <n v="20"/>
    <n v="158"/>
    <s v="Conflit intercommunautaire"/>
    <m/>
    <s v="Autre département"/>
    <s v="CMR"/>
    <s v="Cameroun"/>
    <s v="CMR004"/>
    <s v="Extrême-Nord"/>
    <s v="CMR004001"/>
    <s v="Diamaré"/>
    <m/>
    <m/>
  </r>
  <r>
    <s v="Extrême-Nord"/>
    <s v="CMR004"/>
    <x v="3"/>
    <s v="CMR004003"/>
    <x v="11"/>
    <s v="CMR004003002"/>
    <s v="MAG-0031"/>
    <s v="SIYAOU"/>
    <m/>
    <x v="2"/>
    <x v="2"/>
    <n v="42"/>
    <n v="326"/>
    <s v="Conflit intercommunautaire"/>
    <m/>
    <s v="Autre département"/>
    <s v="CMR"/>
    <s v="Cameroun"/>
    <s v="CMR004"/>
    <s v="Extrême-Nord"/>
    <s v="CMR004001"/>
    <s v="Diamaré"/>
    <m/>
    <m/>
  </r>
  <r>
    <s v="Extrême-Nord"/>
    <s v="CMR004"/>
    <x v="3"/>
    <s v="CMR004003"/>
    <x v="11"/>
    <s v="CMR004003002"/>
    <s v="MAG-0019"/>
    <s v="BLAMMOUTOKO"/>
    <m/>
    <x v="2"/>
    <x v="3"/>
    <n v="30"/>
    <n v="237"/>
    <s v="Conflit intercommunautaire"/>
    <m/>
    <s v="Autre département"/>
    <s v="CMR"/>
    <s v="Cameroun"/>
    <s v="CMR004"/>
    <s v="Extrême-Nord"/>
    <s v="CMR004001"/>
    <s v="Diamaré"/>
    <m/>
    <m/>
  </r>
  <r>
    <s v="Extrême-Nord"/>
    <s v="CMR004"/>
    <x v="3"/>
    <s v="CMR004003"/>
    <x v="11"/>
    <s v="CMR004003002"/>
    <s v="MAG-0019"/>
    <s v="BLAMMOUTOKO"/>
    <m/>
    <x v="2"/>
    <x v="2"/>
    <n v="130"/>
    <n v="963"/>
    <s v="Conflit intercommunautaire"/>
    <m/>
    <s v="Autre département"/>
    <s v="CMR"/>
    <s v="Cameroun"/>
    <s v="CMR004"/>
    <s v="Extrême-Nord"/>
    <s v="CMR004001"/>
    <s v="Diamaré"/>
    <m/>
    <m/>
  </r>
  <r>
    <s v="Extrême-Nord"/>
    <s v="CMR004"/>
    <x v="3"/>
    <s v="CMR004003"/>
    <x v="11"/>
    <s v="CMR004003002"/>
    <s v="MAG-0032"/>
    <s v="TAPADAÏ"/>
    <m/>
    <x v="2"/>
    <x v="3"/>
    <n v="7"/>
    <n v="46"/>
    <s v="Conflit intercommunautaire"/>
    <m/>
    <s v="Autre département"/>
    <s v="CMR"/>
    <s v="Cameroun"/>
    <s v="CMR004"/>
    <s v="Extrême-Nord"/>
    <s v="CMR004001"/>
    <s v="Diamaré"/>
    <m/>
    <m/>
  </r>
  <r>
    <s v="Extrême-Nord"/>
    <s v="CMR004"/>
    <x v="3"/>
    <s v="CMR004003"/>
    <x v="11"/>
    <s v="CMR004003002"/>
    <s v="MAG-0032"/>
    <s v="TAPADAÏ"/>
    <m/>
    <x v="2"/>
    <x v="2"/>
    <n v="0"/>
    <n v="1"/>
    <s v="Conflit intercommunautaire"/>
    <m/>
    <s v="Autre département"/>
    <s v="CMR"/>
    <s v="Cameroun"/>
    <s v="CMR004"/>
    <s v="Extrême-Nord"/>
    <s v="CMR004001"/>
    <s v="Diamaré"/>
    <m/>
    <m/>
  </r>
  <r>
    <s v="Extrême-Nord"/>
    <s v="CMR004"/>
    <x v="3"/>
    <s v="CMR004003"/>
    <x v="11"/>
    <s v="CMR004003002"/>
    <s v="MAG-0022"/>
    <s v="MAHAO ARABE"/>
    <m/>
    <x v="2"/>
    <x v="3"/>
    <n v="15"/>
    <n v="37"/>
    <s v="Conflit intercommunautaire"/>
    <m/>
    <s v="Autre département"/>
    <s v="CMR"/>
    <s v="Cameroun"/>
    <s v="CMR004"/>
    <s v="Extrême-Nord"/>
    <s v="CMR004001"/>
    <s v="Diamaré"/>
    <m/>
    <m/>
  </r>
  <r>
    <s v="Extrême-Nord"/>
    <s v="CMR004"/>
    <x v="3"/>
    <s v="CMR004003"/>
    <x v="11"/>
    <s v="CMR004003002"/>
    <s v="MAG-0022"/>
    <s v="MAHAO ARABE"/>
    <m/>
    <x v="2"/>
    <x v="2"/>
    <n v="5"/>
    <n v="63"/>
    <s v="Conflit intercommunautaire"/>
    <m/>
    <s v="Autre département"/>
    <s v="CMR"/>
    <s v="Cameroun"/>
    <s v="CMR004"/>
    <s v="Extrême-Nord"/>
    <s v="CMR004001"/>
    <s v="Diamaré"/>
    <m/>
    <m/>
  </r>
  <r>
    <s v="Extrême-Nord"/>
    <s v="CMR004"/>
    <x v="3"/>
    <s v="CMR004003"/>
    <x v="11"/>
    <s v="CMR004003002"/>
    <s v="MAG-0027"/>
    <s v="OURA 1"/>
    <m/>
    <x v="2"/>
    <x v="3"/>
    <n v="10"/>
    <n v="50"/>
    <s v="Conflit intercommunautaire"/>
    <m/>
    <s v="Autre département"/>
    <s v="CMR"/>
    <s v="Cameroun"/>
    <s v="CMR004"/>
    <s v="Extrême-Nord"/>
    <s v="CMR004001"/>
    <s v="Diamaré"/>
    <m/>
    <m/>
  </r>
  <r>
    <s v="Extrême-Nord"/>
    <s v="CMR004"/>
    <x v="3"/>
    <s v="CMR004003"/>
    <x v="11"/>
    <s v="CMR004003002"/>
    <s v="MAG-0027"/>
    <s v="OURA 1"/>
    <m/>
    <x v="2"/>
    <x v="2"/>
    <n v="11"/>
    <n v="77"/>
    <s v="Conflit intercommunautaire"/>
    <m/>
    <s v="Autre département"/>
    <s v="CMR"/>
    <s v="Cameroun"/>
    <s v="CMR004"/>
    <s v="Extrême-Nord"/>
    <s v="CMR004001"/>
    <s v="Diamaré"/>
    <m/>
    <m/>
  </r>
  <r>
    <s v="Extrême-Nord"/>
    <s v="CMR004"/>
    <x v="3"/>
    <s v="CMR004003"/>
    <x v="11"/>
    <s v="CMR004003002"/>
    <s v="MAG-0028"/>
    <s v="OURA 2"/>
    <m/>
    <x v="2"/>
    <x v="3"/>
    <n v="13"/>
    <n v="60"/>
    <s v="Conflit intercommunautaire"/>
    <m/>
    <s v="Autre département"/>
    <s v="CMR"/>
    <s v="Cameroun"/>
    <s v="CMR004"/>
    <s v="Extrême-Nord"/>
    <s v="CMR004001"/>
    <s v="Diamaré"/>
    <m/>
    <m/>
  </r>
  <r>
    <s v="Extrême-Nord"/>
    <s v="CMR004"/>
    <x v="3"/>
    <s v="CMR004003"/>
    <x v="11"/>
    <s v="CMR004003002"/>
    <s v="MAG-0028"/>
    <s v="OURA 2"/>
    <m/>
    <x v="2"/>
    <x v="2"/>
    <n v="7"/>
    <n v="59"/>
    <s v="Conflit intercommunautaire"/>
    <m/>
    <s v="Autre département"/>
    <s v="CMR"/>
    <s v="Cameroun"/>
    <s v="CMR004"/>
    <s v="Extrême-Nord"/>
    <s v="CMR004001"/>
    <s v="Diamaré"/>
    <m/>
    <m/>
  </r>
  <r>
    <s v="Extrême-Nord"/>
    <s v="CMR004"/>
    <x v="3"/>
    <s v="CMR004003"/>
    <x v="11"/>
    <s v="CMR004003002"/>
    <s v="MAG-0030"/>
    <s v="SAPONGARI"/>
    <m/>
    <x v="2"/>
    <x v="3"/>
    <n v="23"/>
    <n v="100"/>
    <s v="Conflit intercommunautaire"/>
    <m/>
    <s v="Autre département"/>
    <s v="CMR"/>
    <s v="Cameroun"/>
    <s v="CMR004"/>
    <s v="Extrême-Nord"/>
    <s v="CMR004001"/>
    <s v="Diamaré"/>
    <m/>
    <m/>
  </r>
  <r>
    <s v="Extrême-Nord"/>
    <s v="CMR004"/>
    <x v="3"/>
    <s v="CMR004003"/>
    <x v="11"/>
    <s v="CMR004003002"/>
    <s v="MAG-0030"/>
    <s v="SAPONGARI"/>
    <m/>
    <x v="2"/>
    <x v="2"/>
    <n v="18"/>
    <n v="183"/>
    <s v="Conflit intercommunautaire"/>
    <m/>
    <s v="Autre département"/>
    <s v="CMR"/>
    <s v="Cameroun"/>
    <s v="CMR004"/>
    <s v="Extrême-Nord"/>
    <s v="CMR004001"/>
    <s v="Diamaré"/>
    <m/>
    <m/>
  </r>
  <r>
    <s v="Extrême-Nord"/>
    <s v="CMR004"/>
    <x v="3"/>
    <s v="CMR004003"/>
    <x v="31"/>
    <s v="CMR004003006"/>
    <s v="GUM-0003"/>
    <s v="KARTOUA"/>
    <m/>
    <x v="2"/>
    <x v="2"/>
    <n v="62"/>
    <n v="646"/>
    <s v="Inondations saisonnières ou fortes pluies"/>
    <m/>
    <s v="Même arrondissement"/>
    <s v="CMR"/>
    <s v="Cameroun"/>
    <s v="CMR004"/>
    <s v="Extrême-Nord"/>
    <s v="CMR004003"/>
    <s v="Mayo-Danay"/>
    <s v="CMR004003006"/>
    <s v="Guémé"/>
  </r>
  <r>
    <s v="Extrême-Nord"/>
    <s v="CMR004"/>
    <x v="3"/>
    <s v="CMR004003"/>
    <x v="31"/>
    <s v="CMR004003006"/>
    <s v="GUM-0004"/>
    <s v="VELE"/>
    <m/>
    <x v="2"/>
    <x v="2"/>
    <n v="67"/>
    <n v="565"/>
    <s v="Inondations saisonnières ou fortes pluies"/>
    <m/>
    <s v="Même arrondissement"/>
    <s v="CMR"/>
    <s v="Cameroun"/>
    <s v="CMR004"/>
    <s v="Extrême-Nord"/>
    <s v="CMR004003"/>
    <s v="Mayo-Danay"/>
    <s v="CMR004003006"/>
    <s v="Guémé"/>
  </r>
  <r>
    <s v="Extrême-Nord"/>
    <s v="CMR004"/>
    <x v="3"/>
    <s v="CMR004003"/>
    <x v="31"/>
    <s v="CMR004003006"/>
    <s v="GUM-0005"/>
    <s v="VOUNALOUM"/>
    <m/>
    <x v="2"/>
    <x v="2"/>
    <n v="75"/>
    <n v="900"/>
    <s v="Inondations saisonnières ou fortes pluies"/>
    <m/>
    <s v="Même arrondissement"/>
    <s v="CMR"/>
    <s v="Cameroun"/>
    <s v="CMR004"/>
    <s v="Extrême-Nord"/>
    <s v="CMR004003"/>
    <s v="Mayo-Danay"/>
    <s v="CMR004003006"/>
    <s v="Guémé"/>
  </r>
  <r>
    <s v="Extrême-Nord"/>
    <s v="CMR004"/>
    <x v="2"/>
    <s v="CMR004002"/>
    <x v="25"/>
    <s v="CMR004002008"/>
    <s v="FOT-0013"/>
    <s v="SAGME"/>
    <m/>
    <x v="2"/>
    <x v="0"/>
    <n v="197"/>
    <n v="1427"/>
    <s v="Conflits liés à GANE (BH)"/>
    <m/>
    <s v="Même arrondissement"/>
    <s v="CMR"/>
    <s v="Cameroun"/>
    <s v="CMR004"/>
    <s v="Extrême-Nord"/>
    <s v="CMR004002"/>
    <s v="Logone-Et-Chari"/>
    <s v="CMR004002008"/>
    <s v="Fotokol"/>
  </r>
  <r>
    <s v="Extrême-Nord"/>
    <s v="CMR004"/>
    <x v="3"/>
    <s v="CMR004003"/>
    <x v="31"/>
    <s v="CMR004003006"/>
    <s v="GUM-0006"/>
    <s v="DOUANG"/>
    <m/>
    <x v="2"/>
    <x v="0"/>
    <n v="59"/>
    <n v="181"/>
    <s v="Inondations saisonnières ou fortes pluies"/>
    <m/>
    <s v="Même arrondissement"/>
    <s v="CMR"/>
    <s v="Cameroun"/>
    <s v="CMR004"/>
    <s v="Extrême-Nord"/>
    <s v="CMR004003"/>
    <s v="Mayo-Danay"/>
    <s v="CMR004003006"/>
    <s v="Guémé"/>
  </r>
  <r>
    <s v="Extrême-Nord"/>
    <s v="CMR004"/>
    <x v="3"/>
    <s v="CMR004003"/>
    <x v="31"/>
    <s v="CMR004003006"/>
    <s v="GUM-0006"/>
    <s v="DOUANG"/>
    <m/>
    <x v="2"/>
    <x v="3"/>
    <n v="0"/>
    <n v="4"/>
    <s v="Inondations saisonnières ou fortes pluies"/>
    <m/>
    <s v="Même arrondissement"/>
    <s v="CMR"/>
    <s v="Cameroun"/>
    <s v="CMR004"/>
    <s v="Extrême-Nord"/>
    <s v="CMR004003"/>
    <s v="Mayo-Danay"/>
    <s v="CMR004003006"/>
    <s v="Guémé"/>
  </r>
  <r>
    <s v="Extrême-Nord"/>
    <s v="CMR004"/>
    <x v="1"/>
    <s v="CMR004006"/>
    <x v="32"/>
    <s v="CMR004006006"/>
    <s v="SOU-0004"/>
    <s v="MADOKONAI 1"/>
    <m/>
    <x v="2"/>
    <x v="2"/>
    <n v="1"/>
    <n v="3"/>
    <s v="Conflits liés à GANE (BH)"/>
    <m/>
    <s v="Même département, autre arrondissement"/>
    <s v="CMR"/>
    <s v="Cameroun"/>
    <s v="CMR004"/>
    <s v="Extrême-Nord"/>
    <s v="CMR004006"/>
    <s v="Mayo-Tsanaga"/>
    <s v="CMR004006005"/>
    <s v="Mayo-Moskota"/>
  </r>
  <r>
    <s v="Extrême-Nord"/>
    <s v="CMR004"/>
    <x v="1"/>
    <s v="CMR004006"/>
    <x v="32"/>
    <s v="CMR004006006"/>
    <s v="SOU-0001"/>
    <s v="FOGOM"/>
    <m/>
    <x v="2"/>
    <x v="3"/>
    <n v="4"/>
    <n v="25"/>
    <s v="Conflits liés à GANE (BH)"/>
    <m/>
    <s v="Même département, autre arrondissement"/>
    <s v="CMR"/>
    <s v="Cameroun"/>
    <s v="CMR004"/>
    <s v="Extrême-Nord"/>
    <s v="CMR004006"/>
    <s v="Mayo-Tsanaga"/>
    <s v="CMR004006005"/>
    <s v="Mayo-Moskota"/>
  </r>
  <r>
    <s v="Extrême-Nord"/>
    <s v="CMR004"/>
    <x v="1"/>
    <s v="CMR004006"/>
    <x v="32"/>
    <s v="CMR004006006"/>
    <s v="SOU-0001"/>
    <s v="FOGOM"/>
    <m/>
    <x v="2"/>
    <x v="2"/>
    <n v="1"/>
    <n v="3"/>
    <s v="Conflits liés à GANE (BH)"/>
    <m/>
    <s v="Même département, autre arrondissement"/>
    <s v="CMR"/>
    <s v="Cameroun"/>
    <s v="CMR004"/>
    <s v="Extrême-Nord"/>
    <s v="CMR004006"/>
    <s v="Mayo-Tsanaga"/>
    <s v="CMR004006005"/>
    <s v="Mayo-Moskota"/>
  </r>
  <r>
    <s v="Extrême-Nord"/>
    <s v="CMR004"/>
    <x v="1"/>
    <s v="CMR004006"/>
    <x v="32"/>
    <s v="CMR004006006"/>
    <s v="SOU-0003"/>
    <s v="GOLIBAI"/>
    <m/>
    <x v="2"/>
    <x v="3"/>
    <n v="14"/>
    <n v="42"/>
    <s v="Conflits liés à GANE (BH)"/>
    <m/>
    <s v="Même département, autre arrondissement"/>
    <s v="CMR"/>
    <s v="Cameroun"/>
    <s v="CMR004"/>
    <s v="Extrême-Nord"/>
    <s v="CMR004006"/>
    <s v="Mayo-Tsanaga"/>
    <s v="CMR004006004"/>
    <s v="Koza"/>
  </r>
  <r>
    <s v="Extrême-Nord"/>
    <s v="CMR004"/>
    <x v="1"/>
    <s v="CMR004006"/>
    <x v="32"/>
    <s v="CMR004006006"/>
    <s v="SOU-0003"/>
    <s v="GOLIBAI"/>
    <m/>
    <x v="2"/>
    <x v="2"/>
    <n v="1"/>
    <n v="4"/>
    <s v="Conflits liés à GANE (BH)"/>
    <m/>
    <s v="Même département, autre arrondissement"/>
    <s v="CMR"/>
    <s v="Cameroun"/>
    <s v="CMR004"/>
    <s v="Extrême-Nord"/>
    <s v="CMR004006"/>
    <s v="Mayo-Tsanaga"/>
    <s v="CMR004006004"/>
    <s v="Koza"/>
  </r>
  <r>
    <s v="Extrême-Nord"/>
    <s v="CMR004"/>
    <x v="1"/>
    <s v="CMR004006"/>
    <x v="1"/>
    <s v="CMR004006002"/>
    <s v="MOK-0059"/>
    <s v="MABASS"/>
    <m/>
    <x v="2"/>
    <x v="2"/>
    <n v="20"/>
    <n v="90"/>
    <s v="Conflits liés à GANE (BH)"/>
    <m/>
    <s v="Même arrondissement"/>
    <s v="CMR"/>
    <s v="Cameroun"/>
    <s v="CMR004"/>
    <s v="Extrême-Nord"/>
    <s v="CMR004006"/>
    <s v="Mayo-Tsanaga"/>
    <s v="CMR004006002"/>
    <s v="Mokolo"/>
  </r>
  <r>
    <s v="Extrême-Nord"/>
    <s v="CMR004"/>
    <x v="1"/>
    <s v="CMR004006"/>
    <x v="32"/>
    <s v="CMR004006006"/>
    <s v="SOU-0008"/>
    <s v="DOUMGAR"/>
    <m/>
    <x v="2"/>
    <x v="3"/>
    <n v="14"/>
    <n v="66"/>
    <s v="Conflits liés à GANE (BH)"/>
    <m/>
    <s v="Même département, autre arrondissement"/>
    <s v="CMR"/>
    <s v="Cameroun"/>
    <s v="CMR004"/>
    <s v="Extrême-Nord"/>
    <s v="CMR004006"/>
    <s v="Mayo-Tsanaga"/>
    <s v="CMR004006004"/>
    <s v="Koza"/>
  </r>
  <r>
    <s v="Extrême-Nord"/>
    <s v="CMR004"/>
    <x v="1"/>
    <s v="CMR004006"/>
    <x v="32"/>
    <s v="CMR004006006"/>
    <s v="SOU-0008"/>
    <s v="DOUMGAR"/>
    <m/>
    <x v="2"/>
    <x v="2"/>
    <n v="3"/>
    <n v="23"/>
    <s v="Conflits liés à GANE (BH)"/>
    <m/>
    <s v="Autre département"/>
    <s v="CMR"/>
    <s v="Cameroun"/>
    <s v="CMR004"/>
    <s v="Extrême-Nord"/>
    <s v="CMR004005"/>
    <s v="Mayo-Sava"/>
    <m/>
    <m/>
  </r>
  <r>
    <s v="Extrême-Nord"/>
    <s v="CMR004"/>
    <x v="1"/>
    <s v="CMR004006"/>
    <x v="32"/>
    <s v="CMR004006006"/>
    <s v="SOU-0007"/>
    <s v="OUDOUMDJARAY"/>
    <m/>
    <x v="2"/>
    <x v="3"/>
    <n v="4"/>
    <n v="29"/>
    <s v="Conflits liés à GANE (BH)"/>
    <m/>
    <s v="Autre département"/>
    <s v="CMR"/>
    <s v="Cameroun"/>
    <s v="CMR004"/>
    <s v="Extrême-Nord"/>
    <s v="CMR004005"/>
    <s v="Mayo-Sava"/>
    <m/>
    <m/>
  </r>
  <r>
    <s v="Extrême-Nord"/>
    <s v="CMR004"/>
    <x v="1"/>
    <s v="CMR004006"/>
    <x v="32"/>
    <s v="CMR004006006"/>
    <s v="SOU-0007"/>
    <s v="OUDOUMDJARAY"/>
    <m/>
    <x v="2"/>
    <x v="2"/>
    <n v="1"/>
    <n v="8"/>
    <s v="Conflits liés à GANE (BH)"/>
    <m/>
    <s v="Autre département"/>
    <s v="CMR"/>
    <s v="Cameroun"/>
    <s v="CMR004"/>
    <s v="Extrême-Nord"/>
    <s v="CMR004005"/>
    <s v="Mayo-Sava"/>
    <m/>
    <m/>
  </r>
  <r>
    <s v="Extrême-Nord"/>
    <s v="CMR004"/>
    <x v="1"/>
    <s v="CMR004006"/>
    <x v="32"/>
    <s v="CMR004006006"/>
    <s v="SOU-0009"/>
    <s v="BAO TASAI"/>
    <m/>
    <x v="2"/>
    <x v="2"/>
    <n v="2"/>
    <n v="13"/>
    <s v="Conflits liés à GANE (BH)"/>
    <m/>
    <s v="Même département, autre arrondissement"/>
    <s v="CMR"/>
    <s v="Cameroun"/>
    <s v="CMR004"/>
    <s v="Extrême-Nord"/>
    <s v="CMR004006"/>
    <s v="Mayo-Tsanaga"/>
    <s v="CMR004006004"/>
    <s v="Koza"/>
  </r>
  <r>
    <s v="Extrême-Nord"/>
    <s v="CMR004"/>
    <x v="2"/>
    <s v="CMR004002"/>
    <x v="26"/>
    <s v="CMR004002006"/>
    <s v="KOU-0023"/>
    <s v="MALACK"/>
    <m/>
    <x v="2"/>
    <x v="2"/>
    <n v="2"/>
    <n v="15"/>
    <s v="Inondations saisonnières ou fortes pluies"/>
    <m/>
    <s v="Même arrondissement"/>
    <s v="CMR"/>
    <s v="Cameroun"/>
    <s v="CMR004"/>
    <s v="Extrême-Nord"/>
    <s v="CMR004002"/>
    <s v="Logone-Et-Chari"/>
    <s v="CMR004002006"/>
    <s v="Kousséri"/>
  </r>
  <r>
    <s v="Extrême-Nord"/>
    <s v="CMR004"/>
    <x v="4"/>
    <s v="CMR004005"/>
    <x v="19"/>
    <s v="CMR004005001"/>
    <s v="KOL-0029"/>
    <s v="SATTOMI"/>
    <m/>
    <x v="2"/>
    <x v="4"/>
    <n v="40"/>
    <n v="314"/>
    <s v="Conflits liés à GANE (BH)"/>
    <m/>
    <s v="Même arrondissement"/>
    <s v="CMR"/>
    <s v="Cameroun"/>
    <s v="CMR004"/>
    <s v="Extrême-Nord"/>
    <s v="CMR004005"/>
    <s v="Mayo-Sava"/>
    <s v="CMR004005001"/>
    <s v="Kolofata"/>
  </r>
  <r>
    <s v="Extrême-Nord"/>
    <s v="CMR004"/>
    <x v="1"/>
    <s v="CMR004006"/>
    <x v="1"/>
    <s v="CMR004006002"/>
    <s v="MOK-0004"/>
    <s v="DJIMETA"/>
    <m/>
    <x v="2"/>
    <x v="0"/>
    <n v="5"/>
    <n v="35"/>
    <s v="Conflits liés à GANE (BH)"/>
    <m/>
    <s v="Même arrondissement"/>
    <s v="CMR"/>
    <s v="Cameroun"/>
    <s v="CMR004"/>
    <s v="Extrême-Nord"/>
    <s v="CMR004006"/>
    <s v="Mayo-Tsanaga"/>
    <s v="CMR004006002"/>
    <s v="Mokolo"/>
  </r>
  <r>
    <s v="Extrême-Nord"/>
    <s v="CMR004"/>
    <x v="1"/>
    <s v="CMR004006"/>
    <x v="1"/>
    <s v="CMR004006002"/>
    <s v="MOK-0004"/>
    <s v="DJIMETA"/>
    <m/>
    <x v="2"/>
    <x v="4"/>
    <n v="1"/>
    <n v="1"/>
    <s v="Conflits liés à GANE (BH)"/>
    <m/>
    <s v="Même arrondissement"/>
    <s v="CMR"/>
    <s v="Cameroun"/>
    <s v="CMR004"/>
    <s v="Extrême-Nord"/>
    <s v="CMR004006"/>
    <s v="Mayo-Tsanaga"/>
    <s v="CMR004006002"/>
    <s v="Mokolo"/>
  </r>
  <r>
    <s v="Extrême-Nord"/>
    <s v="CMR004"/>
    <x v="4"/>
    <s v="CMR004005"/>
    <x v="19"/>
    <s v="CMR004005001"/>
    <s v="KOL-0021"/>
    <s v="TOLKOMARI"/>
    <m/>
    <x v="2"/>
    <x v="4"/>
    <n v="10"/>
    <n v="50"/>
    <s v="Conflits liés à GANE (BH)"/>
    <m/>
    <s v="Même arrondissement"/>
    <s v="CMR"/>
    <s v="Cameroun"/>
    <s v="CMR004"/>
    <s v="Extrême-Nord"/>
    <s v="CMR004005"/>
    <s v="Mayo-Sava"/>
    <s v="CMR004005001"/>
    <s v="Kolofata"/>
  </r>
  <r>
    <s v="Extrême-Nord"/>
    <s v="CMR004"/>
    <x v="4"/>
    <s v="CMR004005"/>
    <x v="19"/>
    <s v="CMR004005001"/>
    <s v="KOL-0021"/>
    <s v="TOLKOMARI"/>
    <m/>
    <x v="2"/>
    <x v="1"/>
    <n v="0"/>
    <n v="12"/>
    <s v="Conflits liés à GANE (BH)"/>
    <m/>
    <s v="Même arrondissement"/>
    <s v="CMR"/>
    <s v="Cameroun"/>
    <s v="CMR004"/>
    <s v="Extrême-Nord"/>
    <s v="CMR004005"/>
    <s v="Mayo-Sava"/>
    <s v="CMR004005001"/>
    <s v="Kolofata"/>
  </r>
  <r>
    <s v="Extrême-Nord"/>
    <s v="CMR004"/>
    <x v="4"/>
    <s v="CMR004005"/>
    <x v="19"/>
    <s v="CMR004005001"/>
    <s v="KOL-0021"/>
    <s v="TOLKOMARI"/>
    <m/>
    <x v="2"/>
    <x v="0"/>
    <n v="50"/>
    <n v="304"/>
    <s v="Conflits liés à GANE (BH)"/>
    <m/>
    <s v="Même arrondissement"/>
    <s v="CMR"/>
    <s v="Cameroun"/>
    <s v="CMR004"/>
    <s v="Extrême-Nord"/>
    <s v="CMR004005"/>
    <s v="Mayo-Sava"/>
    <s v="CMR004005001"/>
    <s v="Kolofata"/>
  </r>
  <r>
    <s v="Extrême-Nord"/>
    <s v="CMR004"/>
    <x v="4"/>
    <s v="CMR004005"/>
    <x v="19"/>
    <s v="CMR004005001"/>
    <s v="KOL-0021"/>
    <s v="TOLKOMARI"/>
    <m/>
    <x v="2"/>
    <x v="3"/>
    <n v="15"/>
    <n v="80"/>
    <s v="Conflits liés à GANE (BH)"/>
    <m/>
    <s v="Même arrondissement"/>
    <s v="CMR"/>
    <s v="Cameroun"/>
    <s v="CMR004"/>
    <s v="Extrême-Nord"/>
    <s v="CMR004005"/>
    <s v="Mayo-Sava"/>
    <s v="CMR004005001"/>
    <s v="Kolofata"/>
  </r>
  <r>
    <s v="Extrême-Nord"/>
    <s v="CMR004"/>
    <x v="4"/>
    <s v="CMR004005"/>
    <x v="19"/>
    <s v="CMR004005001"/>
    <s v="KOL-0021"/>
    <s v="TOLKOMARI"/>
    <m/>
    <x v="2"/>
    <x v="2"/>
    <n v="0"/>
    <n v="6"/>
    <s v="Conflits liés à GANE (BH)"/>
    <m/>
    <s v="Même arrondissement"/>
    <s v="CMR"/>
    <s v="Cameroun"/>
    <s v="CMR004"/>
    <s v="Extrême-Nord"/>
    <s v="CMR004005"/>
    <s v="Mayo-Sava"/>
    <s v="CMR004005001"/>
    <s v="Kolofata"/>
  </r>
  <r>
    <s v="Extrême-Nord"/>
    <s v="CMR004"/>
    <x v="3"/>
    <s v="CMR004003"/>
    <x v="31"/>
    <s v="CMR004003006"/>
    <s v="GUM-0008"/>
    <s v="GABARAYE-WIDI"/>
    <m/>
    <x v="2"/>
    <x v="1"/>
    <n v="45"/>
    <n v="295"/>
    <s v="Inondations saisonnières ou fortes pluies"/>
    <m/>
    <s v="Même arrondissement"/>
    <s v="CMR"/>
    <s v="Cameroun"/>
    <s v="CMR004"/>
    <s v="Extrême-Nord"/>
    <s v="CMR004003"/>
    <s v="Mayo-Danay"/>
    <s v="CMR004003006"/>
    <s v="Guémé"/>
  </r>
  <r>
    <s v="Extrême-Nord"/>
    <s v="CMR004"/>
    <x v="3"/>
    <s v="CMR004003"/>
    <x v="31"/>
    <s v="CMR004003006"/>
    <s v="GUM-0009"/>
    <s v="MERAINGNE"/>
    <m/>
    <x v="2"/>
    <x v="2"/>
    <n v="122"/>
    <n v="642"/>
    <s v="Inondations saisonnières ou fortes pluies"/>
    <m/>
    <s v="Même arrondissement"/>
    <s v="CMR"/>
    <s v="Cameroun"/>
    <s v="CMR004"/>
    <s v="Extrême-Nord"/>
    <s v="CMR004003"/>
    <s v="Mayo-Danay"/>
    <s v="CMR004003006"/>
    <s v="Guémé"/>
  </r>
  <r>
    <s v="Extrême-Nord"/>
    <s v="CMR004"/>
    <x v="3"/>
    <s v="CMR004003"/>
    <x v="31"/>
    <s v="CMR004003006"/>
    <s v="GUM-0010"/>
    <s v="YAHLOKKA"/>
    <m/>
    <x v="2"/>
    <x v="2"/>
    <n v="122"/>
    <n v="841"/>
    <s v="Inondations saisonnières ou fortes pluies"/>
    <m/>
    <s v="Même arrondissement"/>
    <s v="CMR"/>
    <s v="Cameroun"/>
    <s v="CMR004"/>
    <s v="Extrême-Nord"/>
    <s v="CMR004003"/>
    <s v="Mayo-Danay"/>
    <s v="CMR004003006"/>
    <s v="Guémé"/>
  </r>
  <r>
    <s v="Extrême-Nord"/>
    <s v="CMR004"/>
    <x v="3"/>
    <s v="CMR004003"/>
    <x v="31"/>
    <s v="CMR004003006"/>
    <s v="GUM-0011"/>
    <s v="GARDÉ II"/>
    <m/>
    <x v="2"/>
    <x v="3"/>
    <n v="150"/>
    <n v="511"/>
    <s v="Inondations saisonnières ou fortes pluies"/>
    <m/>
    <s v="Même arrondissement"/>
    <s v="CMR"/>
    <s v="Cameroun"/>
    <s v="CMR004"/>
    <s v="Extrême-Nord"/>
    <s v="CMR004003"/>
    <s v="Mayo-Danay"/>
    <s v="CMR004003006"/>
    <s v="Guémé"/>
  </r>
  <r>
    <s v="Extrême-Nord"/>
    <s v="CMR004"/>
    <x v="3"/>
    <s v="CMR004003"/>
    <x v="31"/>
    <s v="CMR004003006"/>
    <s v="GUM-0011"/>
    <s v="GARDÉ II"/>
    <m/>
    <x v="2"/>
    <x v="2"/>
    <n v="30"/>
    <n v="450"/>
    <s v="Inondations saisonnières ou fortes pluies"/>
    <m/>
    <s v="Même arrondissement"/>
    <s v="CMR"/>
    <s v="Cameroun"/>
    <s v="CMR004"/>
    <s v="Extrême-Nord"/>
    <s v="CMR004003"/>
    <s v="Mayo-Danay"/>
    <s v="CMR004003006"/>
    <s v="Guémé"/>
  </r>
  <r>
    <s v="Extrême-Nord"/>
    <s v="CMR004"/>
    <x v="2"/>
    <s v="CMR004002"/>
    <x v="15"/>
    <s v="CMR004002004"/>
    <s v="LBI-0015"/>
    <s v="NGADA"/>
    <m/>
    <x v="2"/>
    <x v="3"/>
    <n v="58"/>
    <n v="581"/>
    <s v="Inondations saisonnières ou fortes pluies"/>
    <m/>
    <s v="Même arrondissement"/>
    <s v="CMR"/>
    <s v="Cameroun"/>
    <s v="CMR004"/>
    <s v="Extrême-Nord"/>
    <s v="CMR004002"/>
    <s v="Logone-Et-Chari"/>
    <s v="CMR004002004"/>
    <s v="Logone-Birni"/>
  </r>
  <r>
    <s v="Extrême-Nord"/>
    <s v="CMR004"/>
    <x v="2"/>
    <s v="CMR004002"/>
    <x v="15"/>
    <s v="CMR004002004"/>
    <s v="LBI-0052"/>
    <s v="DARSALAM"/>
    <m/>
    <x v="2"/>
    <x v="3"/>
    <n v="250"/>
    <n v="2000"/>
    <s v="Conflit intercommunautaire"/>
    <m/>
    <s v="Même arrondissement"/>
    <s v="CMR"/>
    <s v="Cameroun"/>
    <s v="CMR004"/>
    <s v="Extrême-Nord"/>
    <s v="CMR004002"/>
    <s v="Logone-Et-Chari"/>
    <s v="CMR004002004"/>
    <s v="Logone-Birni"/>
  </r>
  <r>
    <s v="Extrême-Nord"/>
    <s v="CMR004"/>
    <x v="1"/>
    <s v="CMR004006"/>
    <x v="1"/>
    <s v="CMR004006002"/>
    <s v="MOK-0012"/>
    <s v="MBOUA ZIMAGAZAK"/>
    <m/>
    <x v="2"/>
    <x v="0"/>
    <n v="98"/>
    <n v="136"/>
    <s v="Conflits liés à GANE (BH)"/>
    <m/>
    <s v="Même arrondissement"/>
    <s v="CMR"/>
    <s v="Cameroun"/>
    <s v="CMR004"/>
    <s v="Extrême-Nord"/>
    <s v="CMR004006"/>
    <s v="Mayo-Tsanaga"/>
    <s v="CMR004006002"/>
    <s v="Mokolo"/>
  </r>
  <r>
    <s v="Extrême-Nord"/>
    <s v="CMR004"/>
    <x v="1"/>
    <s v="CMR004006"/>
    <x v="1"/>
    <s v="CMR004006002"/>
    <s v="MOK-0012"/>
    <s v="MBOUA ZIMAGAZAK"/>
    <m/>
    <x v="2"/>
    <x v="4"/>
    <n v="4"/>
    <n v="18"/>
    <s v="Conflits liés à GANE (BH)"/>
    <m/>
    <s v="Même arrondissement"/>
    <s v="CMR"/>
    <s v="Cameroun"/>
    <s v="CMR004"/>
    <s v="Extrême-Nord"/>
    <s v="CMR004006"/>
    <s v="Mayo-Tsanaga"/>
    <s v="CMR004006002"/>
    <s v="Mokolo"/>
  </r>
  <r>
    <s v="Extrême-Nord"/>
    <s v="CMR004"/>
    <x v="1"/>
    <s v="CMR004006"/>
    <x v="1"/>
    <s v="CMR004006002"/>
    <s v="MOK-0026"/>
    <s v="SARKI FADA"/>
    <m/>
    <x v="2"/>
    <x v="0"/>
    <n v="1"/>
    <n v="14"/>
    <s v="Conflits liés à GANE (BH)"/>
    <m/>
    <s v="Même arrondissement"/>
    <s v="CMR"/>
    <s v="Cameroun"/>
    <s v="CMR004"/>
    <s v="Extrême-Nord"/>
    <s v="CMR004006"/>
    <s v="Mayo-Tsanaga"/>
    <s v="CMR004006002"/>
    <s v="Mokolo"/>
  </r>
  <r>
    <s v="Extrême-Nord"/>
    <s v="CMR004"/>
    <x v="2"/>
    <s v="CMR004002"/>
    <x v="23"/>
    <s v="CMR004002005"/>
    <s v="ZIN-0009"/>
    <s v="PATMANGAI"/>
    <m/>
    <x v="2"/>
    <x v="3"/>
    <n v="5"/>
    <n v="52"/>
    <s v="Inondations saisonnières ou fortes pluies"/>
    <m/>
    <s v="Même arrondissement"/>
    <s v="CMR"/>
    <s v="Cameroun"/>
    <s v="CMR004"/>
    <s v="Extrême-Nord"/>
    <s v="CMR004002"/>
    <s v="Logone-Et-Chari"/>
    <s v="CMR004002005"/>
    <s v="Zina"/>
  </r>
  <r>
    <s v="Extrême-Nord"/>
    <s v="CMR004"/>
    <x v="2"/>
    <s v="CMR004002"/>
    <x v="23"/>
    <s v="CMR004002005"/>
    <s v="ZIN-0012"/>
    <s v="MANDJOUR II AFTI"/>
    <m/>
    <x v="2"/>
    <x v="3"/>
    <n v="20"/>
    <n v="100"/>
    <s v="Inondations saisonnières ou fortes pluies"/>
    <m/>
    <s v="Même arrondissement"/>
    <s v="CMR"/>
    <s v="Cameroun"/>
    <s v="CMR004"/>
    <s v="Extrême-Nord"/>
    <s v="CMR004002"/>
    <s v="Logone-Et-Chari"/>
    <s v="CMR004002005"/>
    <s v="Zina"/>
  </r>
  <r>
    <s v="Extrême-Nord"/>
    <s v="CMR004"/>
    <x v="2"/>
    <s v="CMR004002"/>
    <x v="23"/>
    <s v="CMR004002005"/>
    <s v="ZIN-0017"/>
    <s v="HALAVANG"/>
    <m/>
    <x v="2"/>
    <x v="2"/>
    <n v="4"/>
    <n v="28"/>
    <s v="Catastrophe naturelle (sécheresse, glissement de terrain, rupture de digue)"/>
    <s v="rupture de digue"/>
    <s v="Même arrondissement"/>
    <s v="CMR"/>
    <s v="Cameroun"/>
    <s v="CMR004"/>
    <s v="Extrême-Nord"/>
    <s v="CMR004002"/>
    <s v="Logone-Et-Chari"/>
    <s v="CMR004002005"/>
    <s v="Zina"/>
  </r>
  <r>
    <s v="Extrême-Nord"/>
    <s v="CMR004"/>
    <x v="1"/>
    <s v="CMR004006"/>
    <x v="1"/>
    <s v="CMR004006002"/>
    <s v="MOK-0027"/>
    <s v="LDAMANG"/>
    <m/>
    <x v="2"/>
    <x v="1"/>
    <n v="70"/>
    <n v="356"/>
    <s v="Conflits liés à GANE (BH)"/>
    <m/>
    <s v="Même arrondissement"/>
    <s v="CMR"/>
    <s v="Cameroun"/>
    <s v="CMR004"/>
    <s v="Extrême-Nord"/>
    <s v="CMR004006"/>
    <s v="Mayo-Tsanaga"/>
    <s v="CMR004006002"/>
    <s v="Mokolo"/>
  </r>
  <r>
    <s v="Extrême-Nord"/>
    <s v="CMR004"/>
    <x v="3"/>
    <s v="CMR004003"/>
    <x v="11"/>
    <s v="CMR004003002"/>
    <s v="MAG-0006"/>
    <s v="SITE DE TEKELE"/>
    <m/>
    <x v="2"/>
    <x v="0"/>
    <n v="29"/>
    <n v="203"/>
    <s v="Inondations saisonnières ou fortes pluies"/>
    <m/>
    <s v="Autre département"/>
    <s v="CMR"/>
    <s v="Cameroun"/>
    <s v="CMR004"/>
    <s v="Extrême-Nord"/>
    <s v="CMR004002"/>
    <s v="Logone-Et-Chari"/>
    <m/>
    <m/>
  </r>
  <r>
    <s v="Extrême-Nord"/>
    <s v="CMR004"/>
    <x v="3"/>
    <s v="CMR004003"/>
    <x v="11"/>
    <s v="CMR004003002"/>
    <s v="MAG-0006"/>
    <s v="SITE DE TEKELE"/>
    <m/>
    <x v="2"/>
    <x v="1"/>
    <n v="0"/>
    <n v="18"/>
    <s v="Inondations saisonnières ou fortes pluies"/>
    <m/>
    <s v="Autre département"/>
    <s v="CMR"/>
    <s v="Cameroun"/>
    <s v="CMR004"/>
    <s v="Extrême-Nord"/>
    <s v="CMR004002"/>
    <s v="Logone-Et-Chari"/>
    <m/>
    <m/>
  </r>
  <r>
    <s v="Extrême-Nord"/>
    <s v="CMR004"/>
    <x v="3"/>
    <s v="CMR004003"/>
    <x v="11"/>
    <s v="CMR004003002"/>
    <s v="MAG-0006"/>
    <s v="SITE DE TEKELE"/>
    <m/>
    <x v="2"/>
    <x v="4"/>
    <n v="0"/>
    <n v="6"/>
    <s v="Inondations saisonnières ou fortes pluies"/>
    <m/>
    <s v="Autre département"/>
    <s v="CMR"/>
    <s v="Cameroun"/>
    <s v="CMR004"/>
    <s v="Extrême-Nord"/>
    <s v="CMR004002"/>
    <s v="Logone-Et-Chari"/>
    <m/>
    <m/>
  </r>
  <r>
    <s v="Extrême-Nord"/>
    <s v="CMR004"/>
    <x v="3"/>
    <s v="CMR004003"/>
    <x v="11"/>
    <s v="CMR004003002"/>
    <s v="MAG-0006"/>
    <s v="SITE DE TEKELE"/>
    <m/>
    <x v="2"/>
    <x v="3"/>
    <n v="0"/>
    <n v="4"/>
    <s v="Inondations saisonnières ou fortes pluies"/>
    <m/>
    <s v="Autre département"/>
    <s v="CMR"/>
    <s v="Cameroun"/>
    <s v="CMR004"/>
    <s v="Extrême-Nord"/>
    <s v="CMR004002"/>
    <s v="Logone-Et-Chari"/>
    <m/>
    <m/>
  </r>
  <r>
    <s v="Extrême-Nord"/>
    <s v="CMR004"/>
    <x v="3"/>
    <s v="CMR004003"/>
    <x v="11"/>
    <s v="CMR004003002"/>
    <s v="MAG-0006"/>
    <s v="SITE DE TEKELE"/>
    <m/>
    <x v="2"/>
    <x v="2"/>
    <n v="0"/>
    <n v="2"/>
    <s v="Inondations saisonnières ou fortes pluies"/>
    <m/>
    <s v="Autre département"/>
    <s v="CMR"/>
    <s v="Cameroun"/>
    <s v="CMR004"/>
    <s v="Extrême-Nord"/>
    <s v="CMR004002"/>
    <s v="Logone-Et-Chari"/>
    <m/>
    <m/>
  </r>
  <r>
    <s v="Extrême-Nord"/>
    <s v="CMR004"/>
    <x v="3"/>
    <s v="CMR004003"/>
    <x v="11"/>
    <s v="CMR004003002"/>
    <s v="XXXX"/>
    <s v="GAZIAM"/>
    <s v="GAZIAM"/>
    <x v="2"/>
    <x v="2"/>
    <n v="23"/>
    <n v="175"/>
    <s v="Conflit intercommunautaire"/>
    <m/>
    <s v="Autre département"/>
    <s v="CMR"/>
    <s v="Cameroun"/>
    <s v="CMR004"/>
    <s v="Extrême-Nord"/>
    <s v="CMR004001"/>
    <s v="Diamaré"/>
    <m/>
    <m/>
  </r>
  <r>
    <s v="Extrême-Nord"/>
    <s v="CMR004"/>
    <x v="1"/>
    <s v="CMR004006"/>
    <x v="1"/>
    <s v="CMR004006002"/>
    <s v="MOK-0033"/>
    <s v="LDUBAM"/>
    <m/>
    <x v="2"/>
    <x v="0"/>
    <n v="70"/>
    <n v="356"/>
    <s v="Conflits liés à GANE (BH)"/>
    <m/>
    <s v="Même arrondissement"/>
    <s v="CMR"/>
    <s v="Cameroun"/>
    <s v="CMR004"/>
    <s v="Extrême-Nord"/>
    <s v="CMR004006"/>
    <s v="Mayo-Tsanaga"/>
    <s v="CMR004006002"/>
    <s v="Mokolo"/>
  </r>
  <r>
    <s v="Extrême-Nord"/>
    <s v="CMR004"/>
    <x v="1"/>
    <s v="CMR004006"/>
    <x v="1"/>
    <s v="CMR004006002"/>
    <s v="MOK-0034"/>
    <s v="WOUDAHAI"/>
    <m/>
    <x v="2"/>
    <x v="0"/>
    <n v="19"/>
    <n v="75"/>
    <s v="Conflits liés à GANE (BH)"/>
    <m/>
    <s v="Même arrondissement"/>
    <s v="CMR"/>
    <s v="Cameroun"/>
    <s v="CMR004"/>
    <s v="Extrême-Nord"/>
    <s v="CMR004006"/>
    <s v="Mayo-Tsanaga"/>
    <s v="CMR004006002"/>
    <s v="Mokolo"/>
  </r>
  <r>
    <s v="Extrême-Nord"/>
    <s v="CMR004"/>
    <x v="2"/>
    <s v="CMR004002"/>
    <x v="25"/>
    <s v="CMR004002008"/>
    <s v="XXXX"/>
    <s v="BOROWADJI"/>
    <s v="BOROWADJI"/>
    <x v="2"/>
    <x v="2"/>
    <n v="12"/>
    <n v="67"/>
    <s v="Conflits liés à GANE (BH)"/>
    <m/>
    <s v="Même arrondissement"/>
    <s v="CMR"/>
    <s v="Cameroun"/>
    <s v="CMR004"/>
    <s v="Extrême-Nord"/>
    <s v="CMR004002"/>
    <s v="Logone-Et-Chari"/>
    <s v="CMR004002008"/>
    <s v="Fotokol"/>
  </r>
  <r>
    <s v="Extrême-Nord"/>
    <s v="CMR004"/>
    <x v="1"/>
    <s v="CMR004006"/>
    <x v="1"/>
    <s v="CMR004006002"/>
    <s v="MOK-0045"/>
    <s v="BISKAVAI"/>
    <m/>
    <x v="2"/>
    <x v="2"/>
    <n v="2"/>
    <n v="18"/>
    <s v="Conflits liés à GANE (BH)"/>
    <m/>
    <s v="Même département, autre arrondissement"/>
    <s v="CMR"/>
    <s v="Cameroun"/>
    <s v="CMR004"/>
    <s v="Extrême-Nord"/>
    <s v="CMR004006"/>
    <s v="Mayo-Tsanaga"/>
    <s v="CMR004006005"/>
    <s v="Mayo-Moskota"/>
  </r>
  <r>
    <s v="Extrême-Nord"/>
    <s v="CMR004"/>
    <x v="1"/>
    <s v="CMR004006"/>
    <x v="1"/>
    <s v="CMR004006002"/>
    <s v="MOK-0008"/>
    <s v="LAIDE"/>
    <m/>
    <x v="2"/>
    <x v="0"/>
    <n v="8"/>
    <n v="50"/>
    <s v="Conflits liés à GANE (BH)"/>
    <m/>
    <s v="Même arrondissement"/>
    <s v="CMR"/>
    <s v="Cameroun"/>
    <s v="CMR004"/>
    <s v="Extrême-Nord"/>
    <s v="CMR004006"/>
    <s v="Mayo-Tsanaga"/>
    <s v="CMR004006002"/>
    <s v="Mokolo"/>
  </r>
  <r>
    <s v="Extrême-Nord"/>
    <s v="CMR004"/>
    <x v="1"/>
    <s v="CMR004006"/>
    <x v="1"/>
    <s v="CMR004006002"/>
    <s v="MOK-0019"/>
    <s v="TONGO"/>
    <m/>
    <x v="2"/>
    <x v="0"/>
    <n v="3"/>
    <n v="9"/>
    <s v="Conflits liés à GANE (BH)"/>
    <m/>
    <s v="Même arrondissement"/>
    <s v="CMR"/>
    <s v="Cameroun"/>
    <s v="CMR004"/>
    <s v="Extrême-Nord"/>
    <s v="CMR004006"/>
    <s v="Mayo-Tsanaga"/>
    <s v="CMR004006002"/>
    <s v="Mokolo"/>
  </r>
  <r>
    <s v="Extrême-Nord"/>
    <s v="CMR004"/>
    <x v="2"/>
    <s v="CMR004002"/>
    <x v="13"/>
    <s v="CMR004002001"/>
    <s v="WAZ-0001"/>
    <s v="GOZOLNANE"/>
    <m/>
    <x v="2"/>
    <x v="0"/>
    <n v="17"/>
    <n v="93"/>
    <s v="Conflits liés à GANE (BH)"/>
    <m/>
    <s v="Même arrondissement"/>
    <s v="CMR"/>
    <s v="Cameroun"/>
    <s v="CMR004"/>
    <s v="Extrême-Nord"/>
    <s v="CMR004002"/>
    <s v="Logone-Et-Chari"/>
    <s v="CMR004002001"/>
    <s v="Waza"/>
  </r>
  <r>
    <s v="Extrême-Nord"/>
    <s v="CMR004"/>
    <x v="2"/>
    <s v="CMR004002"/>
    <x v="13"/>
    <s v="CMR004002001"/>
    <s v="WAZ-0001"/>
    <s v="GOZOLNANE"/>
    <m/>
    <x v="2"/>
    <x v="2"/>
    <n v="0"/>
    <n v="5"/>
    <s v="Conflits liés à GANE (BH)"/>
    <m/>
    <s v="Même arrondissement"/>
    <s v="CMR"/>
    <s v="Cameroun"/>
    <s v="CMR004"/>
    <s v="Extrême-Nord"/>
    <s v="CMR004002"/>
    <s v="Logone-Et-Chari"/>
    <s v="CMR004002001"/>
    <s v="Waza"/>
  </r>
  <r>
    <s v="Extrême-Nord"/>
    <s v="CMR004"/>
    <x v="5"/>
    <s v="CMR004004"/>
    <x v="20"/>
    <s v="CMR004004006"/>
    <s v="KAE-0008"/>
    <s v="DOUMROU"/>
    <m/>
    <x v="2"/>
    <x v="0"/>
    <n v="2"/>
    <n v="9"/>
    <s v="Conflits liés à GANE (BH)"/>
    <m/>
    <s v="Autre département"/>
    <s v="CMR"/>
    <s v="Cameroun"/>
    <s v="CMR004"/>
    <s v="Extrême-Nord"/>
    <s v="CMR004002"/>
    <s v="Logone-Et-Chari"/>
    <m/>
    <m/>
  </r>
  <r>
    <s v="Extrême-Nord"/>
    <s v="CMR004"/>
    <x v="2"/>
    <s v="CMR004002"/>
    <x v="15"/>
    <s v="CMR004002004"/>
    <s v="LBI-0019"/>
    <s v="AMALGOCH"/>
    <m/>
    <x v="2"/>
    <x v="3"/>
    <n v="100"/>
    <n v="491"/>
    <s v="Conflit intercommunautaire"/>
    <m/>
    <s v="Même arrondissement"/>
    <s v="CMR"/>
    <s v="Cameroun"/>
    <s v="CMR004"/>
    <s v="Extrême-Nord"/>
    <s v="CMR004002"/>
    <s v="Logone-Et-Chari"/>
    <s v="CMR004002004"/>
    <s v="Logone-Birni"/>
  </r>
  <r>
    <s v="Extrême-Nord"/>
    <s v="CMR004"/>
    <x v="2"/>
    <s v="CMR004002"/>
    <x v="15"/>
    <s v="CMR004002004"/>
    <s v="LBI-0064"/>
    <s v="KIDAM"/>
    <m/>
    <x v="2"/>
    <x v="3"/>
    <n v="496"/>
    <n v="3490"/>
    <s v="Conflit intercommunautaire"/>
    <m/>
    <s v="Autre pays"/>
    <s v="TCD"/>
    <s v="Tchad"/>
    <m/>
    <m/>
    <m/>
    <m/>
    <m/>
    <m/>
  </r>
  <r>
    <s v="Extrême-Nord"/>
    <s v="CMR004"/>
    <x v="2"/>
    <s v="CMR004002"/>
    <x v="15"/>
    <s v="CMR004002004"/>
    <s v="LBI-0064"/>
    <s v="KIDAM"/>
    <m/>
    <x v="2"/>
    <x v="2"/>
    <n v="4"/>
    <n v="10"/>
    <s v="Conflit intercommunautaire"/>
    <m/>
    <s v="Autre pays"/>
    <s v="TCD"/>
    <s v="Tchad"/>
    <m/>
    <m/>
    <m/>
    <m/>
    <m/>
    <m/>
  </r>
  <r>
    <s v="Extrême-Nord"/>
    <s v="CMR004"/>
    <x v="2"/>
    <s v="CMR004002"/>
    <x v="15"/>
    <s v="CMR004002004"/>
    <s v="LBI-0055"/>
    <s v="GAMBAROU BORNO"/>
    <m/>
    <x v="2"/>
    <x v="3"/>
    <n v="64"/>
    <n v="500"/>
    <s v="Conflit intercommunautaire"/>
    <m/>
    <s v="Autre pays"/>
    <s v="TCD"/>
    <s v="Tchad"/>
    <m/>
    <m/>
    <m/>
    <m/>
    <m/>
    <m/>
  </r>
  <r>
    <s v="Extrême-Nord"/>
    <s v="CMR004"/>
    <x v="2"/>
    <s v="CMR004002"/>
    <x v="15"/>
    <s v="CMR004002004"/>
    <s v="LBI-0115"/>
    <s v="FADJÉ"/>
    <m/>
    <x v="2"/>
    <x v="3"/>
    <n v="46"/>
    <n v="300"/>
    <s v="Conflit intercommunautaire"/>
    <m/>
    <s v="Même département, autre arrondissement"/>
    <s v="CMR"/>
    <s v="Cameroun"/>
    <s v="CMR004"/>
    <s v="Extrême-Nord"/>
    <s v="CMR004002"/>
    <s v="Logone-Et-Chari"/>
    <s v="CMR004002009"/>
    <s v="Makary"/>
  </r>
  <r>
    <s v="Extrême-Nord"/>
    <s v="CMR004"/>
    <x v="2"/>
    <s v="CMR004002"/>
    <x v="15"/>
    <s v="CMR004002004"/>
    <s v="LBI-0124"/>
    <s v="NDJAMENA ISSA"/>
    <m/>
    <x v="2"/>
    <x v="3"/>
    <n v="44"/>
    <n v="352"/>
    <s v="Conflit intercommunautaire"/>
    <m/>
    <s v="Autre pays"/>
    <s v="TCD"/>
    <s v="Tchad"/>
    <m/>
    <m/>
    <m/>
    <m/>
    <m/>
    <m/>
  </r>
  <r>
    <s v="Extrême-Nord"/>
    <s v="CMR004"/>
    <x v="2"/>
    <s v="CMR004002"/>
    <x v="15"/>
    <s v="CMR004002004"/>
    <s v="LBI-0124"/>
    <s v="NDJAMENA ISSA"/>
    <m/>
    <x v="2"/>
    <x v="2"/>
    <n v="2"/>
    <n v="8"/>
    <s v="Conflit intercommunautaire"/>
    <m/>
    <s v="Autre pays"/>
    <s v="TCD"/>
    <s v="Tchad"/>
    <m/>
    <m/>
    <m/>
    <m/>
    <m/>
    <m/>
  </r>
  <r>
    <s v="Extrême-Nord"/>
    <s v="CMR004"/>
    <x v="2"/>
    <s v="CMR004002"/>
    <x v="15"/>
    <s v="CMR004002004"/>
    <s v="LBI-0044"/>
    <s v="BOURGOUMA"/>
    <m/>
    <x v="2"/>
    <x v="3"/>
    <n v="201"/>
    <n v="1500"/>
    <s v="Conflit intercommunautaire"/>
    <m/>
    <s v="Autre pays"/>
    <s v="TCD"/>
    <s v="Tchad"/>
    <m/>
    <m/>
    <m/>
    <m/>
    <m/>
    <m/>
  </r>
  <r>
    <s v="Extrême-Nord"/>
    <s v="CMR004"/>
    <x v="2"/>
    <s v="CMR004002"/>
    <x v="15"/>
    <s v="CMR004002004"/>
    <s v="LBI-0044"/>
    <s v="BOURGOUMA"/>
    <m/>
    <x v="2"/>
    <x v="2"/>
    <n v="3"/>
    <n v="10"/>
    <s v="Conflit intercommunautaire"/>
    <m/>
    <s v="Autre pays"/>
    <s v="TCD"/>
    <s v="Tchad"/>
    <m/>
    <m/>
    <m/>
    <m/>
    <m/>
    <m/>
  </r>
  <r>
    <s v="Extrême-Nord"/>
    <s v="CMR004"/>
    <x v="2"/>
    <s v="CMR004002"/>
    <x v="15"/>
    <s v="CMR004002004"/>
    <s v="LBI-0070"/>
    <s v="MARTE"/>
    <m/>
    <x v="2"/>
    <x v="3"/>
    <n v="56"/>
    <n v="247"/>
    <s v="Conflit intercommunautaire"/>
    <m/>
    <s v="Même arrondissement"/>
    <s v="CMR"/>
    <s v="Cameroun"/>
    <s v="CMR004"/>
    <s v="Extrême-Nord"/>
    <s v="CMR004002"/>
    <s v="Logone-Et-Chari"/>
    <s v="CMR004002004"/>
    <s v="Logone-Birni"/>
  </r>
  <r>
    <s v="Extrême-Nord"/>
    <s v="CMR004"/>
    <x v="2"/>
    <s v="CMR004002"/>
    <x v="15"/>
    <s v="CMR004002004"/>
    <s v="LBI-0057"/>
    <s v="GOUDOUGOUNI"/>
    <m/>
    <x v="2"/>
    <x v="3"/>
    <n v="37"/>
    <n v="189"/>
    <s v="Conflit intercommunautaire"/>
    <m/>
    <s v="Même arrondissement"/>
    <s v="CMR"/>
    <s v="Cameroun"/>
    <s v="CMR004"/>
    <s v="Extrême-Nord"/>
    <s v="CMR004002"/>
    <s v="Logone-Et-Chari"/>
    <s v="CMR004002004"/>
    <s v="Logone-Birni"/>
  </r>
  <r>
    <s v="Extrême-Nord"/>
    <s v="CMR004"/>
    <x v="1"/>
    <s v="CMR004006"/>
    <x v="7"/>
    <s v="CMR004006005"/>
    <s v="MOZ-0035"/>
    <s v="HOUDGOLOUM"/>
    <m/>
    <x v="2"/>
    <x v="0"/>
    <n v="16"/>
    <n v="126"/>
    <s v="Conflits liés à GANE (BH)"/>
    <m/>
    <s v="Même arrondissement"/>
    <s v="CMR"/>
    <s v="Cameroun"/>
    <s v="CMR004"/>
    <s v="Extrême-Nord"/>
    <s v="CMR004006"/>
    <s v="Mayo-Tsanaga"/>
    <s v="CMR004006005"/>
    <s v="Mayo-Moskota"/>
  </r>
  <r>
    <s v="Extrême-Nord"/>
    <s v="CMR004"/>
    <x v="2"/>
    <s v="CMR004002"/>
    <x v="15"/>
    <s v="CMR004002004"/>
    <s v="LBI-0085"/>
    <s v="RIDINA"/>
    <m/>
    <x v="2"/>
    <x v="3"/>
    <n v="122"/>
    <n v="800"/>
    <s v="Conflit intercommunautaire"/>
    <m/>
    <s v="Même arrondissement"/>
    <s v="CMR"/>
    <s v="Cameroun"/>
    <s v="CMR004"/>
    <s v="Extrême-Nord"/>
    <s v="CMR004002"/>
    <s v="Logone-Et-Chari"/>
    <s v="CMR004002004"/>
    <s v="Logone-Birni"/>
  </r>
  <r>
    <s v="Extrême-Nord"/>
    <s v="CMR004"/>
    <x v="2"/>
    <s v="CMR004002"/>
    <x v="15"/>
    <s v="CMR004002004"/>
    <s v="LBI-0122"/>
    <s v="MISHISKA"/>
    <m/>
    <x v="2"/>
    <x v="3"/>
    <n v="35"/>
    <n v="350"/>
    <s v="Conflit intercommunautaire"/>
    <m/>
    <s v="Même arrondissement"/>
    <s v="CMR"/>
    <s v="Cameroun"/>
    <s v="CMR004"/>
    <s v="Extrême-Nord"/>
    <s v="CMR004002"/>
    <s v="Logone-Et-Chari"/>
    <s v="CMR004002004"/>
    <s v="Logone-Birni"/>
  </r>
  <r>
    <s v="Extrême-Nord"/>
    <s v="CMR004"/>
    <x v="2"/>
    <s v="CMR004002"/>
    <x v="15"/>
    <s v="CMR004002004"/>
    <s v="LBI-0122"/>
    <s v="MISHISKA"/>
    <m/>
    <x v="2"/>
    <x v="2"/>
    <n v="0"/>
    <n v="10"/>
    <s v="Conflit intercommunautaire"/>
    <m/>
    <s v="Même arrondissement"/>
    <s v="CMR"/>
    <s v="Cameroun"/>
    <s v="CMR004"/>
    <s v="Extrême-Nord"/>
    <s v="CMR004002"/>
    <s v="Logone-Et-Chari"/>
    <s v="CMR004002004"/>
    <s v="Logone-Birni"/>
  </r>
  <r>
    <s v="Extrême-Nord"/>
    <s v="CMR004"/>
    <x v="3"/>
    <s v="CMR004003"/>
    <x v="33"/>
    <s v="CMR004003001"/>
    <s v="KAI-0008"/>
    <s v="MBOUKTANG"/>
    <m/>
    <x v="2"/>
    <x v="2"/>
    <n v="16"/>
    <n v="128"/>
    <s v="Inondations saisonnières ou fortes pluies"/>
    <m/>
    <s v="Même arrondissement"/>
    <s v="CMR"/>
    <s v="Cameroun"/>
    <s v="CMR004"/>
    <s v="Extrême-Nord"/>
    <s v="CMR004003"/>
    <s v="Mayo-Danay"/>
    <s v="CMR004003001"/>
    <s v="Kai-Kai"/>
  </r>
  <r>
    <s v="Extrême-Nord"/>
    <s v="CMR004"/>
    <x v="3"/>
    <s v="CMR004003"/>
    <x v="33"/>
    <s v="CMR004003001"/>
    <s v="KAI-0002"/>
    <s v="BARKAYA"/>
    <m/>
    <x v="2"/>
    <x v="2"/>
    <n v="45"/>
    <n v="284"/>
    <s v="Inondations saisonnières ou fortes pluies"/>
    <m/>
    <s v="Même arrondissement"/>
    <s v="CMR"/>
    <s v="Cameroun"/>
    <s v="CMR004"/>
    <s v="Extrême-Nord"/>
    <s v="CMR004003"/>
    <s v="Mayo-Danay"/>
    <s v="CMR004003001"/>
    <s v="Kai-Kai"/>
  </r>
  <r>
    <s v="Extrême-Nord"/>
    <s v="CMR004"/>
    <x v="3"/>
    <s v="CMR004003"/>
    <x v="33"/>
    <s v="CMR004003001"/>
    <s v="KAI-0009"/>
    <s v="YANGA"/>
    <m/>
    <x v="2"/>
    <x v="2"/>
    <n v="13"/>
    <n v="111"/>
    <s v="Inondations saisonnières ou fortes pluies"/>
    <m/>
    <s v="Même arrondissement"/>
    <s v="CMR"/>
    <s v="Cameroun"/>
    <s v="CMR004"/>
    <s v="Extrême-Nord"/>
    <s v="CMR004003"/>
    <s v="Mayo-Danay"/>
    <s v="CMR004003001"/>
    <s v="Kai-Kai"/>
  </r>
  <r>
    <s v="Extrême-Nord"/>
    <s v="CMR004"/>
    <x v="3"/>
    <s v="CMR004003"/>
    <x v="33"/>
    <s v="CMR004003001"/>
    <s v="KAI-0004"/>
    <s v="DOUGUI"/>
    <m/>
    <x v="2"/>
    <x v="2"/>
    <n v="11"/>
    <n v="129"/>
    <s v="Inondations saisonnières ou fortes pluies"/>
    <m/>
    <s v="Même arrondissement"/>
    <s v="CMR"/>
    <s v="Cameroun"/>
    <s v="CMR004"/>
    <s v="Extrême-Nord"/>
    <s v="CMR004003"/>
    <s v="Mayo-Danay"/>
    <s v="CMR004003001"/>
    <s v="Kai-Kai"/>
  </r>
  <r>
    <s v="Extrême-Nord"/>
    <s v="CMR004"/>
    <x v="3"/>
    <s v="CMR004003"/>
    <x v="33"/>
    <s v="CMR004003001"/>
    <s v="KAI-0007"/>
    <s v="LOUGOYE KAMASSE"/>
    <m/>
    <x v="2"/>
    <x v="2"/>
    <n v="45"/>
    <n v="306"/>
    <s v="Inondations saisonnières ou fortes pluies"/>
    <m/>
    <s v="Même arrondissement"/>
    <s v="CMR"/>
    <s v="Cameroun"/>
    <s v="CMR004"/>
    <s v="Extrême-Nord"/>
    <s v="CMR004003"/>
    <s v="Mayo-Danay"/>
    <s v="CMR004003001"/>
    <s v="Kai-Kai"/>
  </r>
  <r>
    <s v="Extrême-Nord"/>
    <s v="CMR004"/>
    <x v="3"/>
    <s v="CMR004003"/>
    <x v="33"/>
    <s v="CMR004003001"/>
    <s v="KAI-0018"/>
    <s v="DAMARO"/>
    <m/>
    <x v="2"/>
    <x v="2"/>
    <n v="9"/>
    <n v="97"/>
    <s v="Inondations saisonnières ou fortes pluies"/>
    <m/>
    <s v="Même arrondissement"/>
    <s v="CMR"/>
    <s v="Cameroun"/>
    <s v="CMR004"/>
    <s v="Extrême-Nord"/>
    <s v="CMR004003"/>
    <s v="Mayo-Danay"/>
    <s v="CMR004003001"/>
    <s v="Kai-Kai"/>
  </r>
  <r>
    <s v="Extrême-Nord"/>
    <s v="CMR004"/>
    <x v="3"/>
    <s v="CMR004003"/>
    <x v="33"/>
    <s v="CMR004003001"/>
    <s v="KAI-0019"/>
    <s v="GABOUANG"/>
    <m/>
    <x v="2"/>
    <x v="2"/>
    <n v="13"/>
    <n v="118"/>
    <s v="Inondations saisonnières ou fortes pluies"/>
    <m/>
    <s v="Même arrondissement"/>
    <s v="CMR"/>
    <s v="Cameroun"/>
    <s v="CMR004"/>
    <s v="Extrême-Nord"/>
    <s v="CMR004003"/>
    <s v="Mayo-Danay"/>
    <s v="CMR004003001"/>
    <s v="Kai-Kai"/>
  </r>
  <r>
    <s v="Extrême-Nord"/>
    <s v="CMR004"/>
    <x v="3"/>
    <s v="CMR004003"/>
    <x v="33"/>
    <s v="CMR004003001"/>
    <s v="KAI-0020"/>
    <s v="KOLONG"/>
    <m/>
    <x v="2"/>
    <x v="2"/>
    <n v="45"/>
    <n v="278"/>
    <s v="Inondations saisonnières ou fortes pluies"/>
    <m/>
    <s v="Même arrondissement"/>
    <s v="CMR"/>
    <s v="Cameroun"/>
    <s v="CMR004"/>
    <s v="Extrême-Nord"/>
    <s v="CMR004003"/>
    <s v="Mayo-Danay"/>
    <s v="CMR004003001"/>
    <s v="Kai-Kai"/>
  </r>
  <r>
    <s v="Extrême-Nord"/>
    <s v="CMR004"/>
    <x v="3"/>
    <s v="CMR004003"/>
    <x v="33"/>
    <s v="CMR004003001"/>
    <s v="KAI-0021"/>
    <s v="KOURBOUK"/>
    <m/>
    <x v="2"/>
    <x v="2"/>
    <n v="23"/>
    <n v="160"/>
    <s v="Inondations saisonnières ou fortes pluies"/>
    <m/>
    <s v="Même arrondissement"/>
    <s v="CMR"/>
    <s v="Cameroun"/>
    <s v="CMR004"/>
    <s v="Extrême-Nord"/>
    <s v="CMR004003"/>
    <s v="Mayo-Danay"/>
    <s v="CMR004003001"/>
    <s v="Kai-Kai"/>
  </r>
  <r>
    <s v="Extrême-Nord"/>
    <s v="CMR004"/>
    <x v="3"/>
    <s v="CMR004003"/>
    <x v="33"/>
    <s v="CMR004003001"/>
    <s v="KAI-0021"/>
    <s v="KOURBOUK"/>
    <m/>
    <x v="2"/>
    <x v="3"/>
    <n v="0"/>
    <n v="7"/>
    <s v="Inondations saisonnières ou fortes pluies"/>
    <m/>
    <s v="Même arrondissement"/>
    <s v="CMR"/>
    <s v="Cameroun"/>
    <s v="CMR004"/>
    <s v="Extrême-Nord"/>
    <s v="CMR004003"/>
    <s v="Mayo-Danay"/>
    <s v="CMR004003001"/>
    <s v="Kai-Kai"/>
  </r>
  <r>
    <s v="Extrême-Nord"/>
    <s v="CMR004"/>
    <x v="3"/>
    <s v="CMR004003"/>
    <x v="33"/>
    <s v="CMR004003001"/>
    <s v="KAI-0006"/>
    <s v="KELEO"/>
    <m/>
    <x v="2"/>
    <x v="3"/>
    <n v="27"/>
    <n v="197"/>
    <s v="Inondations saisonnières ou fortes pluies"/>
    <m/>
    <s v="Même arrondissement"/>
    <s v="CMR"/>
    <s v="Cameroun"/>
    <s v="CMR004"/>
    <s v="Extrême-Nord"/>
    <s v="CMR004003"/>
    <s v="Mayo-Danay"/>
    <s v="CMR004003001"/>
    <s v="Kai-Kai"/>
  </r>
  <r>
    <s v="Extrême-Nord"/>
    <s v="CMR004"/>
    <x v="3"/>
    <s v="CMR004003"/>
    <x v="33"/>
    <s v="CMR004003001"/>
    <s v="KAI-0006"/>
    <s v="KELEO"/>
    <m/>
    <x v="2"/>
    <x v="2"/>
    <n v="6"/>
    <n v="60"/>
    <s v="Inondations saisonnières ou fortes pluies"/>
    <m/>
    <s v="Même arrondissement"/>
    <s v="CMR"/>
    <s v="Cameroun"/>
    <s v="CMR004"/>
    <s v="Extrême-Nord"/>
    <s v="CMR004003"/>
    <s v="Mayo-Danay"/>
    <s v="CMR004003001"/>
    <s v="Kai-Kai"/>
  </r>
  <r>
    <s v="Extrême-Nord"/>
    <s v="CMR004"/>
    <x v="3"/>
    <s v="CMR004003"/>
    <x v="34"/>
    <s v="CMR004003011"/>
    <s v="GOB-0002"/>
    <s v="DABANA"/>
    <m/>
    <x v="2"/>
    <x v="2"/>
    <n v="550"/>
    <n v="3200"/>
    <s v="Inondations saisonnières ou fortes pluies"/>
    <m/>
    <s v="Même arrondissement"/>
    <s v="CMR"/>
    <s v="Cameroun"/>
    <s v="CMR004"/>
    <s v="Extrême-Nord"/>
    <s v="CMR004003"/>
    <s v="Mayo-Danay"/>
    <s v="CMR004003011"/>
    <s v="Gobo"/>
  </r>
  <r>
    <s v="Extrême-Nord"/>
    <s v="CMR004"/>
    <x v="3"/>
    <s v="CMR004003"/>
    <x v="34"/>
    <s v="CMR004003011"/>
    <s v="GOB-0001"/>
    <s v="BASTEBE"/>
    <m/>
    <x v="2"/>
    <x v="2"/>
    <n v="75"/>
    <n v="310"/>
    <s v="Inondations saisonnières ou fortes pluies"/>
    <m/>
    <s v="Même arrondissement"/>
    <s v="CMR"/>
    <s v="Cameroun"/>
    <s v="CMR004"/>
    <s v="Extrême-Nord"/>
    <s v="CMR004003"/>
    <s v="Mayo-Danay"/>
    <s v="CMR004003011"/>
    <s v="Gobo"/>
  </r>
  <r>
    <s v="Extrême-Nord"/>
    <s v="CMR004"/>
    <x v="3"/>
    <s v="CMR004003"/>
    <x v="34"/>
    <s v="CMR004003011"/>
    <s v="GOB-0005"/>
    <s v="KARAM 2"/>
    <m/>
    <x v="2"/>
    <x v="2"/>
    <n v="360"/>
    <n v="1900"/>
    <s v="Inondations saisonnières ou fortes pluies"/>
    <m/>
    <s v="Même arrondissement"/>
    <s v="CMR"/>
    <s v="Cameroun"/>
    <s v="CMR004"/>
    <s v="Extrême-Nord"/>
    <s v="CMR004003"/>
    <s v="Mayo-Danay"/>
    <s v="CMR004003011"/>
    <s v="Gobo"/>
  </r>
  <r>
    <s v="Extrême-Nord"/>
    <s v="CMR004"/>
    <x v="3"/>
    <s v="CMR004003"/>
    <x v="34"/>
    <s v="CMR004003011"/>
    <s v="GOB-0006"/>
    <s v="KARAM 1"/>
    <m/>
    <x v="2"/>
    <x v="2"/>
    <n v="390"/>
    <n v="2800"/>
    <s v="Inondations saisonnières ou fortes pluies"/>
    <m/>
    <s v="Même arrondissement"/>
    <s v="CMR"/>
    <s v="Cameroun"/>
    <s v="CMR004"/>
    <s v="Extrême-Nord"/>
    <s v="CMR004003"/>
    <s v="Mayo-Danay"/>
    <s v="CMR004003011"/>
    <s v="Gobo"/>
  </r>
  <r>
    <s v="Extrême-Nord"/>
    <s v="CMR004"/>
    <x v="2"/>
    <s v="CMR004002"/>
    <x v="15"/>
    <s v="CMR004002004"/>
    <s v="LBI-0086"/>
    <s v="MICHKETE"/>
    <m/>
    <x v="2"/>
    <x v="3"/>
    <n v="126"/>
    <n v="402"/>
    <s v="Conflit intercommunautaire"/>
    <m/>
    <s v="Même arrondissement"/>
    <s v="CMR"/>
    <s v="Cameroun"/>
    <s v="CMR004"/>
    <s v="Extrême-Nord"/>
    <s v="CMR004002"/>
    <s v="Logone-Et-Chari"/>
    <s v="CMR004002004"/>
    <s v="Logone-Birni"/>
  </r>
  <r>
    <s v="Extrême-Nord"/>
    <s v="CMR004"/>
    <x v="2"/>
    <s v="CMR004002"/>
    <x v="15"/>
    <s v="CMR004002004"/>
    <s v="LBI-0021"/>
    <s v="ANGOCH"/>
    <m/>
    <x v="2"/>
    <x v="3"/>
    <n v="44"/>
    <n v="321"/>
    <s v="Conflit intercommunautaire"/>
    <m/>
    <s v="Même arrondissement"/>
    <s v="CMR"/>
    <s v="Cameroun"/>
    <s v="CMR004"/>
    <s v="Extrême-Nord"/>
    <s v="CMR004002"/>
    <s v="Logone-Et-Chari"/>
    <s v="CMR004002004"/>
    <s v="Logone-Birni"/>
  </r>
  <r>
    <s v="Extrême-Nord"/>
    <s v="CMR004"/>
    <x v="2"/>
    <s v="CMR004002"/>
    <x v="15"/>
    <s v="CMR004002004"/>
    <s v="LBI-0020"/>
    <s v="AMREF"/>
    <m/>
    <x v="2"/>
    <x v="3"/>
    <n v="45"/>
    <n v="150"/>
    <s v="Conflit intercommunautaire"/>
    <m/>
    <s v="Même arrondissement"/>
    <s v="CMR"/>
    <s v="Cameroun"/>
    <s v="CMR004"/>
    <s v="Extrême-Nord"/>
    <s v="CMR004002"/>
    <s v="Logone-Et-Chari"/>
    <s v="CMR004002004"/>
    <s v="Logone-Birni"/>
  </r>
  <r>
    <s v="Extrême-Nord"/>
    <s v="CMR004"/>
    <x v="2"/>
    <s v="CMR004002"/>
    <x v="15"/>
    <s v="CMR004002004"/>
    <s v="LBI-0028"/>
    <s v="HOUNDOUK"/>
    <m/>
    <x v="2"/>
    <x v="3"/>
    <n v="75"/>
    <n v="395"/>
    <s v="Conflit intercommunautaire"/>
    <m/>
    <s v="Même arrondissement"/>
    <s v="CMR"/>
    <s v="Cameroun"/>
    <s v="CMR004"/>
    <s v="Extrême-Nord"/>
    <s v="CMR004002"/>
    <s v="Logone-Et-Chari"/>
    <s v="CMR004002004"/>
    <s v="Logone-Birni"/>
  </r>
  <r>
    <s v="Extrême-Nord"/>
    <s v="CMR004"/>
    <x v="2"/>
    <s v="CMR004002"/>
    <x v="15"/>
    <s v="CMR004002004"/>
    <s v="LBI-0030"/>
    <s v="MACHOKA"/>
    <m/>
    <x v="2"/>
    <x v="3"/>
    <n v="60"/>
    <n v="352"/>
    <s v="Conflit intercommunautaire"/>
    <m/>
    <s v="Même arrondissement"/>
    <s v="CMR"/>
    <s v="Cameroun"/>
    <s v="CMR004"/>
    <s v="Extrême-Nord"/>
    <s v="CMR004002"/>
    <s v="Logone-Et-Chari"/>
    <s v="CMR004002004"/>
    <s v="Logone-Birni"/>
  </r>
  <r>
    <s v="Extrême-Nord"/>
    <s v="CMR004"/>
    <x v="3"/>
    <s v="CMR004003"/>
    <x v="34"/>
    <s v="CMR004003011"/>
    <s v="GOB-0008"/>
    <s v="MASSA KOUWEITA"/>
    <m/>
    <x v="2"/>
    <x v="2"/>
    <n v="65"/>
    <n v="405"/>
    <s v="Inondations saisonnières ou fortes pluies"/>
    <m/>
    <s v="Même arrondissement"/>
    <s v="CMR"/>
    <s v="Cameroun"/>
    <s v="CMR004"/>
    <s v="Extrême-Nord"/>
    <s v="CMR004003"/>
    <s v="Mayo-Danay"/>
    <s v="CMR004003011"/>
    <s v="Gobo"/>
  </r>
  <r>
    <s v="Extrême-Nord"/>
    <s v="CMR004"/>
    <x v="3"/>
    <s v="CMR004003"/>
    <x v="34"/>
    <s v="CMR004003011"/>
    <s v="GOB-0007"/>
    <s v="MASSA IKA"/>
    <m/>
    <x v="2"/>
    <x v="2"/>
    <n v="90"/>
    <n v="600"/>
    <s v="Inondations saisonnières ou fortes pluies"/>
    <m/>
    <s v="Même arrondissement"/>
    <s v="CMR"/>
    <s v="Cameroun"/>
    <s v="CMR004"/>
    <s v="Extrême-Nord"/>
    <s v="CMR004003"/>
    <s v="Mayo-Danay"/>
    <s v="CMR004003011"/>
    <s v="Gobo"/>
  </r>
  <r>
    <s v="Extrême-Nord"/>
    <s v="CMR004"/>
    <x v="3"/>
    <s v="CMR004003"/>
    <x v="34"/>
    <s v="CMR004003011"/>
    <s v="XXXX"/>
    <s v="MASSA VOUMSOUNA"/>
    <s v="MASSA VOUMSOUNA"/>
    <x v="2"/>
    <x v="2"/>
    <n v="50"/>
    <n v="311"/>
    <s v="Inondations saisonnières ou fortes pluies"/>
    <m/>
    <s v="Même arrondissement"/>
    <s v="CMR"/>
    <s v="Cameroun"/>
    <s v="CMR004"/>
    <s v="Extrême-Nord"/>
    <s v="CMR004003"/>
    <s v="Mayo-Danay"/>
    <s v="CMR004003011"/>
    <s v="Gobo"/>
  </r>
  <r>
    <s v="Extrême-Nord"/>
    <s v="CMR004"/>
    <x v="3"/>
    <s v="CMR004003"/>
    <x v="34"/>
    <s v="CMR004003011"/>
    <s v="GOB-0009"/>
    <s v="NAYEGUISSIA"/>
    <m/>
    <x v="2"/>
    <x v="2"/>
    <n v="121"/>
    <n v="1350"/>
    <s v="Inondations saisonnières ou fortes pluies"/>
    <m/>
    <s v="Même arrondissement"/>
    <s v="CMR"/>
    <s v="Cameroun"/>
    <s v="CMR004"/>
    <s v="Extrême-Nord"/>
    <s v="CMR004003"/>
    <s v="Mayo-Danay"/>
    <s v="CMR004003011"/>
    <s v="Gobo"/>
  </r>
  <r>
    <s v="Extrême-Nord"/>
    <s v="CMR004"/>
    <x v="3"/>
    <s v="CMR004003"/>
    <x v="33"/>
    <s v="CMR004003001"/>
    <s v="XXXX"/>
    <s v="MANGAL(LOUGOYE TAMAK )"/>
    <s v="MANGAL(LOUGOYE TAMAK )"/>
    <x v="2"/>
    <x v="2"/>
    <n v="25"/>
    <n v="280"/>
    <s v="Inondations saisonnières ou fortes pluies"/>
    <m/>
    <s v="Même arrondissement"/>
    <s v="CMR"/>
    <s v="Cameroun"/>
    <s v="CMR004"/>
    <s v="Extrême-Nord"/>
    <s v="CMR004003"/>
    <s v="Mayo-Danay"/>
    <s v="CMR004003001"/>
    <s v="Kai-Kai"/>
  </r>
  <r>
    <s v="Extrême-Nord"/>
    <s v="CMR004"/>
    <x v="3"/>
    <s v="CMR004003"/>
    <x v="33"/>
    <s v="CMR004003001"/>
    <s v="XXXX"/>
    <s v="MANGAL(LOUGOYE TAMAK )"/>
    <s v="MANGAL(LOUGOYE TAMAK )"/>
    <x v="2"/>
    <x v="3"/>
    <n v="10"/>
    <n v="100"/>
    <s v="Inondations saisonnières ou fortes pluies"/>
    <m/>
    <s v="Même arrondissement"/>
    <s v="CMR"/>
    <s v="Cameroun"/>
    <s v="CMR004"/>
    <s v="Extrême-Nord"/>
    <s v="CMR004003"/>
    <s v="Mayo-Danay"/>
    <s v="CMR004003001"/>
    <s v="Kai-Kai"/>
  </r>
  <r>
    <s v="Extrême-Nord"/>
    <s v="CMR004"/>
    <x v="3"/>
    <s v="CMR004003"/>
    <x v="33"/>
    <s v="CMR004003001"/>
    <s v="XXXX"/>
    <s v="MANGAL(LOUGOYE TAMAK )"/>
    <s v="MANGAL(LOUGOYE TAMAK )"/>
    <x v="2"/>
    <x v="4"/>
    <n v="5"/>
    <n v="35"/>
    <s v="Inondations saisonnières ou fortes pluies"/>
    <m/>
    <s v="Même arrondissement"/>
    <s v="CMR"/>
    <s v="Cameroun"/>
    <s v="CMR004"/>
    <s v="Extrême-Nord"/>
    <s v="CMR004003"/>
    <s v="Mayo-Danay"/>
    <s v="CMR004003001"/>
    <s v="Kai-Kai"/>
  </r>
  <r>
    <s v="Extrême-Nord"/>
    <s v="CMR004"/>
    <x v="3"/>
    <s v="CMR004003"/>
    <x v="33"/>
    <s v="CMR004003001"/>
    <s v="XXXX"/>
    <s v="DIGUE WILWANG (DIGUE GUIDOUANG )"/>
    <s v="DIGUE WILWANG (DIGUE GUIDOUANG )"/>
    <x v="2"/>
    <x v="2"/>
    <n v="0"/>
    <n v="4"/>
    <s v="Inondations saisonnières ou fortes pluies"/>
    <m/>
    <s v="Même arrondissement"/>
    <s v="CMR"/>
    <s v="Cameroun"/>
    <s v="CMR004"/>
    <s v="Extrême-Nord"/>
    <s v="CMR004003"/>
    <s v="Mayo-Danay"/>
    <s v="CMR004003001"/>
    <s v="Kai-Kai"/>
  </r>
  <r>
    <s v="Extrême-Nord"/>
    <s v="CMR004"/>
    <x v="3"/>
    <s v="CMR004003"/>
    <x v="33"/>
    <s v="CMR004003001"/>
    <s v="XXXX"/>
    <s v="DIGUE WILWANG (DIGUE GUIDOUANG )"/>
    <s v="DIGUE WILWANG (DIGUE GUIDOUANG )"/>
    <x v="2"/>
    <x v="3"/>
    <n v="20"/>
    <n v="190"/>
    <s v="Inondations saisonnières ou fortes pluies"/>
    <m/>
    <s v="Même arrondissement"/>
    <s v="CMR"/>
    <s v="Cameroun"/>
    <s v="CMR004"/>
    <s v="Extrême-Nord"/>
    <s v="CMR004003"/>
    <s v="Mayo-Danay"/>
    <s v="CMR004003001"/>
    <s v="Kai-Kai"/>
  </r>
  <r>
    <s v="Extrême-Nord"/>
    <s v="CMR004"/>
    <x v="3"/>
    <s v="CMR004003"/>
    <x v="33"/>
    <s v="CMR004003001"/>
    <s v="KAI-0022"/>
    <s v="SOUKOMAYE"/>
    <m/>
    <x v="2"/>
    <x v="2"/>
    <n v="34"/>
    <n v="184"/>
    <s v="Inondations saisonnières ou fortes pluies"/>
    <m/>
    <s v="Même arrondissement"/>
    <s v="CMR"/>
    <s v="Cameroun"/>
    <s v="CMR004"/>
    <s v="Extrême-Nord"/>
    <s v="CMR004003"/>
    <s v="Mayo-Danay"/>
    <s v="CMR004003001"/>
    <s v="Kai-Kai"/>
  </r>
  <r>
    <s v="Extrême-Nord"/>
    <s v="CMR004"/>
    <x v="3"/>
    <s v="CMR004003"/>
    <x v="33"/>
    <s v="CMR004003001"/>
    <s v="XXXX"/>
    <s v="DARAM (BEKA)"/>
    <s v="DARAM (BEKA)"/>
    <x v="2"/>
    <x v="2"/>
    <n v="6"/>
    <n v="70"/>
    <s v="Inondations saisonnières ou fortes pluies"/>
    <m/>
    <s v="Même arrondissement"/>
    <s v="CMR"/>
    <s v="Cameroun"/>
    <s v="CMR004"/>
    <s v="Extrême-Nord"/>
    <s v="CMR004003"/>
    <s v="Mayo-Danay"/>
    <s v="CMR004003001"/>
    <s v="Kai-Kai"/>
  </r>
  <r>
    <s v="Extrême-Nord"/>
    <s v="CMR004"/>
    <x v="2"/>
    <s v="CMR004002"/>
    <x v="26"/>
    <s v="CMR004002006"/>
    <s v="KOU-0003"/>
    <s v="ARDEBE VILLE"/>
    <m/>
    <x v="2"/>
    <x v="2"/>
    <n v="3"/>
    <n v="15"/>
    <s v="Inondations saisonnières ou fortes pluies"/>
    <m/>
    <s v="Autre pays"/>
    <s v="TCD"/>
    <s v="Tchad"/>
    <m/>
    <m/>
    <m/>
    <m/>
    <m/>
    <m/>
  </r>
  <r>
    <s v="Extrême-Nord"/>
    <s v="CMR004"/>
    <x v="3"/>
    <s v="CMR004003"/>
    <x v="33"/>
    <s v="CMR004003001"/>
    <s v="KAI-0001"/>
    <s v="BARIAGODJO"/>
    <m/>
    <x v="2"/>
    <x v="2"/>
    <n v="42"/>
    <n v="340"/>
    <s v="Inondations saisonnières ou fortes pluies"/>
    <m/>
    <s v="Même arrondissement"/>
    <s v="CMR"/>
    <s v="Cameroun"/>
    <s v="CMR004"/>
    <s v="Extrême-Nord"/>
    <s v="CMR004003"/>
    <s v="Mayo-Danay"/>
    <s v="CMR004003001"/>
    <s v="Kai-Kai"/>
  </r>
  <r>
    <s v="Extrême-Nord"/>
    <s v="CMR004"/>
    <x v="3"/>
    <s v="CMR004003"/>
    <x v="33"/>
    <s v="CMR004003001"/>
    <s v="KAI-0005"/>
    <s v="KAIKAI"/>
    <m/>
    <x v="2"/>
    <x v="0"/>
    <n v="535"/>
    <n v="4240"/>
    <s v="Inondations saisonnières ou fortes pluies"/>
    <m/>
    <s v="Même arrondissement"/>
    <s v="CMR"/>
    <s v="Cameroun"/>
    <s v="CMR004"/>
    <s v="Extrême-Nord"/>
    <s v="CMR004003"/>
    <s v="Mayo-Danay"/>
    <s v="CMR004003001"/>
    <s v="Kai-Kai"/>
  </r>
  <r>
    <s v="Extrême-Nord"/>
    <s v="CMR004"/>
    <x v="3"/>
    <s v="CMR004003"/>
    <x v="33"/>
    <s v="CMR004003001"/>
    <s v="KAI-0005"/>
    <s v="KAIKAI"/>
    <m/>
    <x v="2"/>
    <x v="2"/>
    <n v="13"/>
    <n v="90"/>
    <s v="Inondations saisonnières ou fortes pluies"/>
    <m/>
    <s v="Même arrondissement"/>
    <s v="CMR"/>
    <s v="Cameroun"/>
    <s v="CMR004"/>
    <s v="Extrême-Nord"/>
    <s v="CMR004003"/>
    <s v="Mayo-Danay"/>
    <s v="CMR004003001"/>
    <s v="Kai-Kai"/>
  </r>
  <r>
    <s v="Extrême-Nord"/>
    <s v="CMR004"/>
    <x v="3"/>
    <s v="CMR004003"/>
    <x v="33"/>
    <s v="CMR004003001"/>
    <s v="KAI-0005"/>
    <s v="KAIKAI"/>
    <m/>
    <x v="2"/>
    <x v="3"/>
    <n v="0"/>
    <n v="8"/>
    <s v="Inondations saisonnières ou fortes pluies"/>
    <m/>
    <s v="Même arrondissement"/>
    <s v="CMR"/>
    <s v="Cameroun"/>
    <s v="CMR004"/>
    <s v="Extrême-Nord"/>
    <s v="CMR004003"/>
    <s v="Mayo-Danay"/>
    <s v="CMR004003001"/>
    <s v="Kai-Kai"/>
  </r>
  <r>
    <s v="Extrême-Nord"/>
    <s v="CMR004"/>
    <x v="2"/>
    <s v="CMR004002"/>
    <x v="15"/>
    <s v="CMR004002004"/>
    <s v="LBI-0116"/>
    <s v="GAMBAROU MOUSGOUM"/>
    <m/>
    <x v="2"/>
    <x v="3"/>
    <n v="58"/>
    <n v="316"/>
    <s v="Conflit intercommunautaire"/>
    <m/>
    <s v="Autre pays"/>
    <s v="TCD"/>
    <s v="Tchad"/>
    <m/>
    <m/>
    <m/>
    <m/>
    <m/>
    <m/>
  </r>
  <r>
    <s v="Extrême-Nord"/>
    <s v="CMR004"/>
    <x v="2"/>
    <s v="CMR004002"/>
    <x v="15"/>
    <s v="CMR004002004"/>
    <s v="LBI-0116"/>
    <s v="GAMBAROU MOUSGOUM"/>
    <m/>
    <x v="2"/>
    <x v="2"/>
    <n v="13"/>
    <n v="90"/>
    <s v="Conflit intercommunautaire"/>
    <m/>
    <s v="Autre pays"/>
    <s v="TCD"/>
    <s v="Tchad"/>
    <m/>
    <m/>
    <m/>
    <m/>
    <m/>
    <m/>
  </r>
  <r>
    <s v="Extrême-Nord"/>
    <s v="CMR004"/>
    <x v="2"/>
    <s v="CMR004002"/>
    <x v="15"/>
    <s v="CMR004002004"/>
    <s v="LBI-0080"/>
    <s v="NDOUDOUM"/>
    <m/>
    <x v="2"/>
    <x v="3"/>
    <n v="5"/>
    <n v="15"/>
    <s v="Conflit intercommunautaire"/>
    <m/>
    <s v="Autre pays"/>
    <s v="TCD"/>
    <s v="Tchad"/>
    <m/>
    <m/>
    <m/>
    <m/>
    <m/>
    <m/>
  </r>
  <r>
    <s v="Extrême-Nord"/>
    <s v="CMR004"/>
    <x v="2"/>
    <s v="CMR004002"/>
    <x v="15"/>
    <s v="CMR004002004"/>
    <s v="LBI-0080"/>
    <s v="NDOUDOUM"/>
    <m/>
    <x v="2"/>
    <x v="2"/>
    <n v="10"/>
    <n v="92"/>
    <s v="Conflit intercommunautaire"/>
    <m/>
    <s v="Autre pays"/>
    <s v="TCD"/>
    <s v="Tchad"/>
    <m/>
    <m/>
    <m/>
    <m/>
    <m/>
    <m/>
  </r>
  <r>
    <s v="Extrême-Nord"/>
    <s v="CMR004"/>
    <x v="3"/>
    <s v="CMR004003"/>
    <x v="35"/>
    <s v="CMR004003009"/>
    <s v="YAG-0004"/>
    <s v="DANAY 1"/>
    <m/>
    <x v="2"/>
    <x v="2"/>
    <n v="172"/>
    <n v="860"/>
    <s v="Inondations saisonnières ou fortes pluies"/>
    <m/>
    <s v="Même arrondissement"/>
    <s v="CMR"/>
    <s v="Cameroun"/>
    <s v="CMR004"/>
    <s v="Extrême-Nord"/>
    <s v="CMR004003"/>
    <s v="Mayo-Danay"/>
    <s v="CMR004003009"/>
    <s v="Yagoua"/>
  </r>
  <r>
    <s v="Extrême-Nord"/>
    <s v="CMR004"/>
    <x v="3"/>
    <s v="CMR004003"/>
    <x v="35"/>
    <s v="CMR004003009"/>
    <s v="YAG-0005"/>
    <s v="BAGARA"/>
    <m/>
    <x v="2"/>
    <x v="0"/>
    <n v="4"/>
    <n v="26"/>
    <s v="Conflits liés à GANE (BH)"/>
    <m/>
    <s v="Autre département"/>
    <s v="CMR"/>
    <s v="Cameroun"/>
    <s v="CMR004"/>
    <s v="Extrême-Nord"/>
    <s v="CMR004006"/>
    <s v="Mayo-Tsanaga"/>
    <m/>
    <m/>
  </r>
  <r>
    <s v="Extrême-Nord"/>
    <s v="CMR004"/>
    <x v="3"/>
    <s v="CMR004003"/>
    <x v="35"/>
    <s v="CMR004003009"/>
    <s v="YAG-0005"/>
    <s v="BAGARA"/>
    <m/>
    <x v="2"/>
    <x v="1"/>
    <n v="1"/>
    <n v="1"/>
    <s v="Inondations saisonnières ou fortes pluies"/>
    <m/>
    <s v="Même arrondissement"/>
    <s v="CMR"/>
    <s v="Cameroun"/>
    <s v="CMR004"/>
    <s v="Extrême-Nord"/>
    <s v="CMR004003"/>
    <s v="Mayo-Danay"/>
    <s v="CMR004003009"/>
    <s v="Yagoua"/>
  </r>
  <r>
    <s v="Extrême-Nord"/>
    <s v="CMR004"/>
    <x v="3"/>
    <s v="CMR004003"/>
    <x v="35"/>
    <s v="CMR004003009"/>
    <s v="YAG-0005"/>
    <s v="BAGARA"/>
    <m/>
    <x v="2"/>
    <x v="2"/>
    <n v="0"/>
    <n v="2"/>
    <s v="Inondations saisonnières ou fortes pluies"/>
    <m/>
    <s v="Même arrondissement"/>
    <s v="CMR"/>
    <s v="Cameroun"/>
    <s v="CMR004"/>
    <s v="Extrême-Nord"/>
    <s v="CMR004003"/>
    <s v="Mayo-Danay"/>
    <s v="CMR004003009"/>
    <s v="Yagoua"/>
  </r>
  <r>
    <s v="Extrême-Nord"/>
    <s v="CMR004"/>
    <x v="3"/>
    <s v="CMR004003"/>
    <x v="35"/>
    <s v="CMR004003009"/>
    <s v="XXXX"/>
    <s v="NALAYE"/>
    <s v="NALAYE"/>
    <x v="2"/>
    <x v="2"/>
    <n v="141"/>
    <n v="1742"/>
    <s v="Inondations saisonnières ou fortes pluies"/>
    <m/>
    <s v="Même arrondissement"/>
    <s v="CMR"/>
    <s v="Cameroun"/>
    <s v="CMR004"/>
    <s v="Extrême-Nord"/>
    <s v="CMR004003"/>
    <s v="Mayo-Danay"/>
    <s v="CMR004003009"/>
    <s v="Yagoua"/>
  </r>
  <r>
    <s v="Extrême-Nord"/>
    <s v="CMR004"/>
    <x v="3"/>
    <s v="CMR004003"/>
    <x v="37"/>
    <s v="CMR004003007"/>
    <s v="DAT-0001"/>
    <s v="BAMVERE"/>
    <m/>
    <x v="2"/>
    <x v="2"/>
    <n v="12"/>
    <n v="68"/>
    <s v="Inondations saisonnières ou fortes pluies"/>
    <m/>
    <s v="Même arrondissement"/>
    <s v="CMR"/>
    <s v="Cameroun"/>
    <s v="CMR004"/>
    <s v="Extrême-Nord"/>
    <s v="CMR004003"/>
    <s v="Mayo-Danay"/>
    <s v="CMR004003007"/>
    <s v="Datchéka"/>
  </r>
  <r>
    <s v="Extrême-Nord"/>
    <s v="CMR004"/>
    <x v="3"/>
    <s v="CMR004003"/>
    <x v="36"/>
    <s v="CMR004003008"/>
    <s v="XXXX"/>
    <s v="KAMARKI"/>
    <s v="KAMARKI"/>
    <x v="2"/>
    <x v="2"/>
    <n v="776"/>
    <n v="6208"/>
    <s v="Inondations saisonnières ou fortes pluies"/>
    <m/>
    <s v="Même arrondissement"/>
    <s v="CMR"/>
    <s v="Cameroun"/>
    <s v="CMR004"/>
    <s v="Extrême-Nord"/>
    <s v="CMR004003"/>
    <s v="Mayo-Danay"/>
    <s v="CMR004003008"/>
    <s v="Wina"/>
  </r>
  <r>
    <s v="Extrême-Nord"/>
    <s v="CMR004"/>
    <x v="3"/>
    <s v="CMR004003"/>
    <x v="36"/>
    <s v="CMR004003008"/>
    <s v="WIN-0001"/>
    <s v="BOSGOYE"/>
    <m/>
    <x v="2"/>
    <x v="2"/>
    <n v="50"/>
    <n v="800"/>
    <s v="Inondations saisonnières ou fortes pluies"/>
    <m/>
    <s v="Même arrondissement"/>
    <s v="CMR"/>
    <s v="Cameroun"/>
    <s v="CMR004"/>
    <s v="Extrême-Nord"/>
    <s v="CMR004003"/>
    <s v="Mayo-Danay"/>
    <s v="CMR004003008"/>
    <s v="Wina"/>
  </r>
  <r>
    <s v="Extrême-Nord"/>
    <s v="CMR004"/>
    <x v="3"/>
    <s v="CMR004003"/>
    <x v="36"/>
    <s v="CMR004003008"/>
    <s v="XXXX"/>
    <s v="DJENRENG"/>
    <s v="DJENRENG"/>
    <x v="2"/>
    <x v="2"/>
    <n v="1098"/>
    <n v="7686"/>
    <s v="Inondations saisonnières ou fortes pluies"/>
    <m/>
    <s v="Même arrondissement"/>
    <s v="CMR"/>
    <s v="Cameroun"/>
    <s v="CMR004"/>
    <s v="Extrême-Nord"/>
    <s v="CMR004003"/>
    <s v="Mayo-Danay"/>
    <s v="CMR004003008"/>
    <s v="Wina"/>
  </r>
  <r>
    <s v="Extrême-Nord"/>
    <s v="CMR004"/>
    <x v="3"/>
    <s v="CMR004003"/>
    <x v="36"/>
    <s v="CMR004003008"/>
    <s v="XXXX"/>
    <s v="VOUAIDOU"/>
    <s v="VOUAIDOU"/>
    <x v="2"/>
    <x v="2"/>
    <n v="441"/>
    <n v="5292"/>
    <s v="Inondations saisonnières ou fortes pluies"/>
    <m/>
    <s v="Même arrondissement"/>
    <s v="CMR"/>
    <s v="Cameroun"/>
    <s v="CMR004"/>
    <s v="Extrême-Nord"/>
    <s v="CMR004003"/>
    <s v="Mayo-Danay"/>
    <s v="CMR004003008"/>
    <s v="Wina"/>
  </r>
  <r>
    <s v="Extrême-Nord"/>
    <s v="CMR004"/>
    <x v="3"/>
    <s v="CMR004003"/>
    <x v="36"/>
    <s v="CMR004003008"/>
    <s v="XXXX"/>
    <s v="SOUAYE"/>
    <s v="SOUAYE"/>
    <x v="2"/>
    <x v="2"/>
    <n v="698"/>
    <n v="6980"/>
    <s v="Inondations saisonnières ou fortes pluies"/>
    <m/>
    <s v="Même arrondissement"/>
    <s v="CMR"/>
    <s v="Cameroun"/>
    <s v="CMR004"/>
    <s v="Extrême-Nord"/>
    <s v="CMR004003"/>
    <s v="Mayo-Danay"/>
    <s v="CMR004003008"/>
    <s v="Wina"/>
  </r>
  <r>
    <s v="Extrême-Nord"/>
    <s v="CMR004"/>
    <x v="3"/>
    <s v="CMR004003"/>
    <x v="36"/>
    <s v="CMR004003008"/>
    <s v="XXXX"/>
    <s v="ROUANE"/>
    <s v="ROUANE"/>
    <x v="2"/>
    <x v="2"/>
    <n v="1227"/>
    <n v="9816"/>
    <s v="Inondations saisonnières ou fortes pluies"/>
    <m/>
    <s v="Même arrondissement"/>
    <s v="CMR"/>
    <s v="Cameroun"/>
    <s v="CMR004"/>
    <s v="Extrême-Nord"/>
    <s v="CMR004003"/>
    <s v="Mayo-Danay"/>
    <s v="CMR004003008"/>
    <s v="Wina"/>
  </r>
  <r>
    <s v="Extrême-Nord"/>
    <s v="CMR004"/>
    <x v="3"/>
    <s v="CMR004003"/>
    <x v="35"/>
    <s v="CMR004003009"/>
    <s v="YAG-0002"/>
    <s v="DOMO"/>
    <m/>
    <x v="2"/>
    <x v="2"/>
    <n v="94"/>
    <n v="465"/>
    <s v="Inondations saisonnières ou fortes pluies"/>
    <m/>
    <s v="Même arrondissement"/>
    <s v="CMR"/>
    <s v="Cameroun"/>
    <s v="CMR004"/>
    <s v="Extrême-Nord"/>
    <s v="CMR004003"/>
    <s v="Mayo-Danay"/>
    <s v="CMR004003009"/>
    <s v="Yagoua"/>
  </r>
  <r>
    <s v="Extrême-Nord"/>
    <s v="CMR004"/>
    <x v="3"/>
    <s v="CMR004003"/>
    <x v="35"/>
    <s v="CMR004003009"/>
    <s v="YAG-0003"/>
    <s v="MOURI"/>
    <m/>
    <x v="2"/>
    <x v="2"/>
    <n v="72"/>
    <n v="364"/>
    <s v="Inondations saisonnières ou fortes pluies"/>
    <m/>
    <s v="Même arrondissement"/>
    <s v="CMR"/>
    <s v="Cameroun"/>
    <s v="CMR004"/>
    <s v="Extrême-Nord"/>
    <s v="CMR004003"/>
    <s v="Mayo-Danay"/>
    <s v="CMR004003009"/>
    <s v="Yagoua"/>
  </r>
  <r>
    <s v="Extrême-Nord"/>
    <s v="CMR004"/>
    <x v="2"/>
    <s v="CMR004002"/>
    <x v="15"/>
    <s v="CMR004002004"/>
    <s v="LBI-0095"/>
    <s v="DAMROU 2"/>
    <m/>
    <x v="2"/>
    <x v="3"/>
    <n v="25"/>
    <n v="325"/>
    <s v="Conflit intercommunautaire"/>
    <m/>
    <s v="Même arrondissement"/>
    <s v="CMR"/>
    <s v="Cameroun"/>
    <s v="CMR004"/>
    <s v="Extrême-Nord"/>
    <s v="CMR004002"/>
    <s v="Logone-Et-Chari"/>
    <s v="CMR004002004"/>
    <s v="Logone-Birni"/>
  </r>
  <r>
    <s v="Extrême-Nord"/>
    <s v="CMR004"/>
    <x v="2"/>
    <s v="CMR004002"/>
    <x v="15"/>
    <s v="CMR004002004"/>
    <s v="LBI-0095"/>
    <s v="DAMROU 2"/>
    <m/>
    <x v="2"/>
    <x v="2"/>
    <n v="8"/>
    <n v="66"/>
    <s v="Conflit intercommunautaire"/>
    <m/>
    <s v="Même arrondissement"/>
    <s v="CMR"/>
    <s v="Cameroun"/>
    <s v="CMR004"/>
    <s v="Extrême-Nord"/>
    <s v="CMR004002"/>
    <s v="Logone-Et-Chari"/>
    <s v="CMR004002004"/>
    <s v="Logone-Birni"/>
  </r>
  <r>
    <s v="Extrême-Nord"/>
    <s v="CMR004"/>
    <x v="2"/>
    <s v="CMR004002"/>
    <x v="15"/>
    <s v="CMR004002004"/>
    <s v="LBI-0108"/>
    <s v="DOGDORI ISSA BELLO"/>
    <m/>
    <x v="2"/>
    <x v="3"/>
    <n v="60"/>
    <n v="100"/>
    <s v="Conflit intercommunautaire"/>
    <m/>
    <s v="Même arrondissement"/>
    <s v="CMR"/>
    <s v="Cameroun"/>
    <s v="CMR004"/>
    <s v="Extrême-Nord"/>
    <s v="CMR004002"/>
    <s v="Logone-Et-Chari"/>
    <s v="CMR004002004"/>
    <s v="Logone-Birni"/>
  </r>
  <r>
    <s v="Extrême-Nord"/>
    <s v="CMR004"/>
    <x v="2"/>
    <s v="CMR004002"/>
    <x v="15"/>
    <s v="CMR004002004"/>
    <s v="LBI-0108"/>
    <s v="DOGDORI ISSA BELLO"/>
    <m/>
    <x v="2"/>
    <x v="2"/>
    <n v="6"/>
    <n v="27"/>
    <s v="Conflit intercommunautaire"/>
    <m/>
    <s v="Même arrondissement"/>
    <s v="CMR"/>
    <s v="Cameroun"/>
    <s v="CMR004"/>
    <s v="Extrême-Nord"/>
    <s v="CMR004002"/>
    <s v="Logone-Et-Chari"/>
    <s v="CMR004002004"/>
    <s v="Logone-Birni"/>
  </r>
  <r>
    <s v="Extrême-Nord"/>
    <s v="CMR004"/>
    <x v="2"/>
    <s v="CMR004002"/>
    <x v="15"/>
    <s v="CMR004002004"/>
    <s v="LBI-0054"/>
    <s v="DOCDORI 1"/>
    <m/>
    <x v="2"/>
    <x v="3"/>
    <n v="146"/>
    <n v="800"/>
    <s v="Conflit intercommunautaire"/>
    <m/>
    <s v="Même arrondissement"/>
    <s v="CMR"/>
    <s v="Cameroun"/>
    <s v="CMR004"/>
    <s v="Extrême-Nord"/>
    <s v="CMR004002"/>
    <s v="Logone-Et-Chari"/>
    <s v="CMR004002004"/>
    <s v="Logone-Birni"/>
  </r>
  <r>
    <s v="Extrême-Nord"/>
    <s v="CMR004"/>
    <x v="2"/>
    <s v="CMR004002"/>
    <x v="15"/>
    <s v="CMR004002004"/>
    <s v="LBI-0096"/>
    <s v="DAMROU 1"/>
    <m/>
    <x v="2"/>
    <x v="3"/>
    <n v="27"/>
    <n v="210"/>
    <s v="Conflit intercommunautaire"/>
    <m/>
    <s v="Même arrondissement"/>
    <s v="CMR"/>
    <s v="Cameroun"/>
    <s v="CMR004"/>
    <s v="Extrême-Nord"/>
    <s v="CMR004002"/>
    <s v="Logone-Et-Chari"/>
    <s v="CMR004002004"/>
    <s v="Logone-Birni"/>
  </r>
  <r>
    <s v="Extrême-Nord"/>
    <s v="CMR004"/>
    <x v="3"/>
    <s v="CMR004003"/>
    <x v="34"/>
    <s v="CMR004003011"/>
    <s v="XXXX"/>
    <s v="MASSA KALAC"/>
    <s v="MASSA KALAC"/>
    <x v="2"/>
    <x v="2"/>
    <n v="50"/>
    <n v="450"/>
    <s v="Inondations saisonnières ou fortes pluies"/>
    <m/>
    <s v="Même arrondissement"/>
    <s v="CMR"/>
    <s v="Cameroun"/>
    <s v="CMR004"/>
    <s v="Extrême-Nord"/>
    <s v="CMR004003"/>
    <s v="Mayo-Danay"/>
    <s v="CMR004003011"/>
    <s v="Gobo"/>
  </r>
  <r>
    <s v="Extrême-Nord"/>
    <s v="CMR004"/>
    <x v="3"/>
    <s v="CMR004003"/>
    <x v="38"/>
    <s v="CMR004003010"/>
    <s v="GUR-0002"/>
    <s v="DANGABISSI"/>
    <m/>
    <x v="2"/>
    <x v="0"/>
    <n v="15"/>
    <n v="102"/>
    <s v="Inondations saisonnières ou fortes pluies"/>
    <m/>
    <s v="Même arrondissement"/>
    <s v="CMR"/>
    <s v="Cameroun"/>
    <s v="CMR004"/>
    <s v="Extrême-Nord"/>
    <s v="CMR004003"/>
    <s v="Mayo-Danay"/>
    <s v="CMR004003010"/>
    <s v="Guéré"/>
  </r>
  <r>
    <s v="Extrême-Nord"/>
    <s v="CMR004"/>
    <x v="3"/>
    <s v="CMR004003"/>
    <x v="38"/>
    <s v="CMR004003010"/>
    <s v="GUR-0005"/>
    <s v="DJOUGOUMTA"/>
    <m/>
    <x v="2"/>
    <x v="2"/>
    <n v="76"/>
    <n v="480"/>
    <s v="Inondations saisonnières ou fortes pluies"/>
    <m/>
    <s v="Même arrondissement"/>
    <s v="CMR"/>
    <s v="Cameroun"/>
    <s v="CMR004"/>
    <s v="Extrême-Nord"/>
    <s v="CMR004003"/>
    <s v="Mayo-Danay"/>
    <s v="CMR004003010"/>
    <s v="Guéré"/>
  </r>
  <r>
    <s v="Extrême-Nord"/>
    <s v="CMR004"/>
    <x v="3"/>
    <s v="CMR004003"/>
    <x v="38"/>
    <s v="CMR004003010"/>
    <s v="GUR-0001"/>
    <s v="DAHAOU"/>
    <m/>
    <x v="2"/>
    <x v="0"/>
    <n v="50"/>
    <n v="250"/>
    <s v="Inondations saisonnières ou fortes pluies"/>
    <m/>
    <s v="Même arrondissement"/>
    <s v="CMR"/>
    <s v="Cameroun"/>
    <s v="CMR004"/>
    <s v="Extrême-Nord"/>
    <s v="CMR004003"/>
    <s v="Mayo-Danay"/>
    <s v="CMR004003010"/>
    <s v="Guéré"/>
  </r>
  <r>
    <s v="Extrême-Nord"/>
    <s v="CMR004"/>
    <x v="3"/>
    <s v="CMR004003"/>
    <x v="38"/>
    <s v="CMR004003010"/>
    <s v="GUR-0001"/>
    <s v="DAHAOU"/>
    <m/>
    <x v="2"/>
    <x v="1"/>
    <n v="0"/>
    <n v="10"/>
    <s v="Inondations saisonnières ou fortes pluies"/>
    <m/>
    <s v="Même arrondissement"/>
    <s v="CMR"/>
    <s v="Cameroun"/>
    <s v="CMR004"/>
    <s v="Extrême-Nord"/>
    <s v="CMR004003"/>
    <s v="Mayo-Danay"/>
    <s v="CMR004003010"/>
    <s v="Guéré"/>
  </r>
  <r>
    <s v="Extrême-Nord"/>
    <s v="CMR004"/>
    <x v="2"/>
    <s v="CMR004002"/>
    <x v="15"/>
    <s v="CMR004002004"/>
    <s v="LBI-0083"/>
    <s v="NDJAMENA SABLA"/>
    <m/>
    <x v="2"/>
    <x v="3"/>
    <n v="127"/>
    <n v="255"/>
    <s v="Conflit intercommunautaire"/>
    <m/>
    <s v="Même arrondissement"/>
    <s v="CMR"/>
    <s v="Cameroun"/>
    <s v="CMR004"/>
    <s v="Extrême-Nord"/>
    <s v="CMR004002"/>
    <s v="Logone-Et-Chari"/>
    <s v="CMR004002004"/>
    <s v="Logone-Birni"/>
  </r>
  <r>
    <s v="Extrême-Nord"/>
    <s v="CMR004"/>
    <x v="2"/>
    <s v="CMR004002"/>
    <x v="15"/>
    <s v="CMR004002004"/>
    <s v="LBI-0087"/>
    <s v="ZABAN"/>
    <m/>
    <x v="2"/>
    <x v="3"/>
    <n v="196"/>
    <n v="685"/>
    <s v="Conflit intercommunautaire"/>
    <m/>
    <s v="Même arrondissement"/>
    <s v="CMR"/>
    <s v="Cameroun"/>
    <s v="CMR004"/>
    <s v="Extrême-Nord"/>
    <s v="CMR004002"/>
    <s v="Logone-Et-Chari"/>
    <s v="CMR004002004"/>
    <s v="Logone-Birni"/>
  </r>
  <r>
    <s v="Extrême-Nord"/>
    <s v="CMR004"/>
    <x v="2"/>
    <s v="CMR004002"/>
    <x v="15"/>
    <s v="CMR004002004"/>
    <s v="LBI-0111"/>
    <s v="DILGA ELI"/>
    <m/>
    <x v="2"/>
    <x v="3"/>
    <n v="20"/>
    <n v="60"/>
    <s v="Conflit intercommunautaire"/>
    <m/>
    <s v="Même arrondissement"/>
    <s v="CMR"/>
    <s v="Cameroun"/>
    <s v="CMR004"/>
    <s v="Extrême-Nord"/>
    <s v="CMR004002"/>
    <s v="Logone-Et-Chari"/>
    <s v="CMR004002004"/>
    <s v="Logone-Birni"/>
  </r>
  <r>
    <s v="Extrême-Nord"/>
    <s v="CMR004"/>
    <x v="2"/>
    <s v="CMR004002"/>
    <x v="15"/>
    <s v="CMR004002004"/>
    <s v="LBI-0111"/>
    <s v="DILGA ELI"/>
    <m/>
    <x v="2"/>
    <x v="2"/>
    <n v="1"/>
    <n v="6"/>
    <s v="Inondations saisonnières ou fortes pluies"/>
    <m/>
    <s v="Même département, autre arrondissement"/>
    <s v="CMR"/>
    <s v="Cameroun"/>
    <s v="CMR004"/>
    <s v="Extrême-Nord"/>
    <s v="CMR004002"/>
    <s v="Logone-Et-Chari"/>
    <s v="CMR004002001"/>
    <s v="Waza"/>
  </r>
  <r>
    <s v="Extrême-Nord"/>
    <s v="CMR004"/>
    <x v="2"/>
    <s v="CMR004002"/>
    <x v="15"/>
    <s v="CMR004002004"/>
    <s v="LBI-0053"/>
    <s v="DILGA"/>
    <m/>
    <x v="2"/>
    <x v="3"/>
    <n v="65"/>
    <n v="150"/>
    <s v="Conflit intercommunautaire"/>
    <m/>
    <s v="Même arrondissement"/>
    <s v="CMR"/>
    <s v="Cameroun"/>
    <s v="CMR004"/>
    <s v="Extrême-Nord"/>
    <s v="CMR004002"/>
    <s v="Logone-Et-Chari"/>
    <s v="CMR004002004"/>
    <s v="Logone-Birni"/>
  </r>
  <r>
    <s v="Extrême-Nord"/>
    <s v="CMR004"/>
    <x v="2"/>
    <s v="CMR004002"/>
    <x v="15"/>
    <s v="CMR004002004"/>
    <s v="LBI-0053"/>
    <s v="DILGA"/>
    <m/>
    <x v="2"/>
    <x v="2"/>
    <n v="1"/>
    <n v="4"/>
    <s v="Conflit intercommunautaire"/>
    <m/>
    <s v="Autre pays"/>
    <s v="TCD"/>
    <s v="Tchad"/>
    <m/>
    <m/>
    <m/>
    <m/>
    <m/>
    <m/>
  </r>
  <r>
    <s v="Extrême-Nord"/>
    <s v="CMR004"/>
    <x v="2"/>
    <s v="CMR004002"/>
    <x v="15"/>
    <s v="CMR004002004"/>
    <s v="LBI-0113"/>
    <s v="DJIDABALI"/>
    <m/>
    <x v="2"/>
    <x v="3"/>
    <n v="18"/>
    <n v="40"/>
    <s v="Conflit intercommunautaire"/>
    <m/>
    <s v="Même arrondissement"/>
    <s v="CMR"/>
    <s v="Cameroun"/>
    <s v="CMR004"/>
    <s v="Extrême-Nord"/>
    <s v="CMR004002"/>
    <s v="Logone-Et-Chari"/>
    <s v="CMR004002004"/>
    <s v="Logone-Birni"/>
  </r>
  <r>
    <s v="Extrême-Nord"/>
    <s v="CMR004"/>
    <x v="2"/>
    <s v="CMR004002"/>
    <x v="15"/>
    <s v="CMR004002004"/>
    <s v="LBI-0043"/>
    <s v="ZIMADO KOTOKO"/>
    <m/>
    <x v="2"/>
    <x v="3"/>
    <n v="20"/>
    <n v="100"/>
    <s v="Conflit intercommunautaire"/>
    <m/>
    <s v="Autre pays"/>
    <s v="TCD"/>
    <s v="Tchad"/>
    <m/>
    <m/>
    <m/>
    <m/>
    <m/>
    <m/>
  </r>
  <r>
    <s v="Extrême-Nord"/>
    <s v="CMR004"/>
    <x v="2"/>
    <s v="CMR004002"/>
    <x v="15"/>
    <s v="CMR004002004"/>
    <s v="LBI-0042"/>
    <s v="ZIMADO 1-4"/>
    <m/>
    <x v="2"/>
    <x v="2"/>
    <n v="150"/>
    <n v="629"/>
    <s v="Conflit intercommunautaire"/>
    <m/>
    <s v="Autre pays"/>
    <s v="TCD"/>
    <s v="Tchad"/>
    <m/>
    <m/>
    <m/>
    <m/>
    <m/>
    <m/>
  </r>
  <r>
    <s v="Extrême-Nord"/>
    <s v="CMR004"/>
    <x v="2"/>
    <s v="CMR004002"/>
    <x v="15"/>
    <s v="CMR004002004"/>
    <s v="LBI-0004"/>
    <s v="ZIMADO"/>
    <m/>
    <x v="2"/>
    <x v="3"/>
    <n v="51"/>
    <n v="249"/>
    <s v="Conflit intercommunautaire"/>
    <m/>
    <s v="Autre pays"/>
    <s v="TCD"/>
    <s v="Tchad"/>
    <m/>
    <m/>
    <m/>
    <m/>
    <m/>
    <m/>
  </r>
  <r>
    <s v="Extrême-Nord"/>
    <s v="CMR004"/>
    <x v="2"/>
    <s v="CMR004002"/>
    <x v="26"/>
    <s v="CMR004002006"/>
    <s v="KOU-0022"/>
    <s v="MAINANI"/>
    <m/>
    <x v="2"/>
    <x v="2"/>
    <n v="100"/>
    <n v="445"/>
    <s v="Inondations saisonnières ou fortes pluies"/>
    <m/>
    <s v="Autre pays"/>
    <s v="TCD"/>
    <s v="Tchad"/>
    <m/>
    <m/>
    <m/>
    <m/>
    <m/>
    <m/>
  </r>
  <r>
    <s v="Extrême-Nord"/>
    <s v="CMR004"/>
    <x v="3"/>
    <s v="CMR004003"/>
    <x v="38"/>
    <s v="CMR004003010"/>
    <s v="GUR-0004"/>
    <s v="MOUKA"/>
    <m/>
    <x v="2"/>
    <x v="0"/>
    <n v="18"/>
    <n v="248"/>
    <s v="Inondations saisonnières ou fortes pluies"/>
    <m/>
    <s v="Même arrondissement"/>
    <s v="CMR"/>
    <s v="Cameroun"/>
    <s v="CMR004"/>
    <s v="Extrême-Nord"/>
    <s v="CMR004003"/>
    <s v="Mayo-Danay"/>
    <s v="CMR004003010"/>
    <s v="Guéré"/>
  </r>
  <r>
    <s v="Extrême-Nord"/>
    <s v="CMR004"/>
    <x v="3"/>
    <s v="CMR004003"/>
    <x v="38"/>
    <s v="CMR004003010"/>
    <s v="GUR-0004"/>
    <s v="MOUKA"/>
    <m/>
    <x v="2"/>
    <x v="1"/>
    <n v="0"/>
    <n v="2"/>
    <s v="Inondations saisonnières ou fortes pluies"/>
    <m/>
    <s v="Même arrondissement"/>
    <s v="CMR"/>
    <s v="Cameroun"/>
    <s v="CMR004"/>
    <s v="Extrême-Nord"/>
    <s v="CMR004003"/>
    <s v="Mayo-Danay"/>
    <s v="CMR004003010"/>
    <s v="Guéré"/>
  </r>
  <r>
    <s v="Extrême-Nord"/>
    <s v="CMR004"/>
    <x v="3"/>
    <s v="CMR004003"/>
    <x v="38"/>
    <s v="CMR004003010"/>
    <s v="GUR-0003"/>
    <s v="HOLLOM"/>
    <m/>
    <x v="2"/>
    <x v="2"/>
    <n v="50"/>
    <n v="475"/>
    <s v="Inondations saisonnières ou fortes pluies"/>
    <m/>
    <s v="Même arrondissement"/>
    <s v="CMR"/>
    <s v="Cameroun"/>
    <s v="CMR004"/>
    <s v="Extrême-Nord"/>
    <s v="CMR004003"/>
    <s v="Mayo-Danay"/>
    <s v="CMR004003010"/>
    <s v="Guéré"/>
  </r>
  <r>
    <s v="Extrême-Nord"/>
    <s v="CMR004"/>
    <x v="2"/>
    <s v="CMR004002"/>
    <x v="8"/>
    <s v="CMR004002009"/>
    <s v="MAK-0070"/>
    <s v="MADEGOUA"/>
    <m/>
    <x v="2"/>
    <x v="2"/>
    <n v="10"/>
    <n v="45"/>
    <s v="Conflits liés à GANE (BH)"/>
    <m/>
    <s v="Même département, autre arrondissement"/>
    <s v="CMR"/>
    <s v="Cameroun"/>
    <s v="CMR004"/>
    <s v="Extrême-Nord"/>
    <s v="CMR004002"/>
    <s v="Logone-Et-Chari"/>
    <s v="CMR004002007"/>
    <s v="Darak"/>
  </r>
  <r>
    <s v="Extrême-Nord"/>
    <s v="CMR004"/>
    <x v="3"/>
    <s v="CMR004003"/>
    <x v="11"/>
    <s v="CMR004003002"/>
    <s v="MAG-0025"/>
    <s v="MELEME"/>
    <m/>
    <x v="2"/>
    <x v="3"/>
    <n v="25"/>
    <n v="200"/>
    <s v="Conflit intercommunautaire"/>
    <m/>
    <s v="Autre département"/>
    <s v="CMR"/>
    <s v="Cameroun"/>
    <s v="CMR004"/>
    <s v="Extrême-Nord"/>
    <s v="CMR004001"/>
    <s v="Diamaré"/>
    <m/>
    <m/>
  </r>
  <r>
    <s v="Extrême-Nord"/>
    <s v="CMR004"/>
    <x v="3"/>
    <s v="CMR004003"/>
    <x v="11"/>
    <s v="CMR004003002"/>
    <s v="MAG-0025"/>
    <s v="MELEME"/>
    <m/>
    <x v="2"/>
    <x v="2"/>
    <n v="135"/>
    <n v="1300"/>
    <s v="Conflit intercommunautaire"/>
    <m/>
    <s v="Autre département"/>
    <s v="CMR"/>
    <s v="Cameroun"/>
    <s v="CMR004"/>
    <s v="Extrême-Nord"/>
    <s v="CMR004001"/>
    <s v="Diamaré"/>
    <m/>
    <m/>
  </r>
  <r>
    <s v="Extrême-Nord"/>
    <s v="CMR004"/>
    <x v="4"/>
    <s v="CMR004005"/>
    <x v="19"/>
    <s v="CMR004005001"/>
    <s v="KOL-0028"/>
    <s v="YEGOUA"/>
    <m/>
    <x v="2"/>
    <x v="1"/>
    <n v="5"/>
    <n v="25"/>
    <s v="Conflits liés à GANE (BH)"/>
    <m/>
    <s v="Même arrondissement"/>
    <s v="CMR"/>
    <s v="Cameroun"/>
    <s v="CMR004"/>
    <s v="Extrême-Nord"/>
    <s v="CMR004005"/>
    <s v="Mayo-Sava"/>
    <s v="CMR004005001"/>
    <s v="Kolofata"/>
  </r>
  <r>
    <s v="Extrême-Nord"/>
    <s v="CMR004"/>
    <x v="4"/>
    <s v="CMR004005"/>
    <x v="19"/>
    <s v="CMR004005001"/>
    <s v="KOL-0028"/>
    <s v="YEGOUA"/>
    <m/>
    <x v="2"/>
    <x v="3"/>
    <n v="10"/>
    <n v="50"/>
    <s v="Conflits liés à GANE (BH)"/>
    <m/>
    <s v="Même arrondissement"/>
    <s v="CMR"/>
    <s v="Cameroun"/>
    <s v="CMR004"/>
    <s v="Extrême-Nord"/>
    <s v="CMR004005"/>
    <s v="Mayo-Sava"/>
    <s v="CMR004005001"/>
    <s v="Kolofata"/>
  </r>
  <r>
    <s v="Extrême-Nord"/>
    <s v="CMR004"/>
    <x v="4"/>
    <s v="CMR004005"/>
    <x v="19"/>
    <s v="CMR004005001"/>
    <s v="KOL-0028"/>
    <s v="YEGOUA"/>
    <m/>
    <x v="2"/>
    <x v="2"/>
    <n v="0"/>
    <n v="16"/>
    <s v="Conflits liés à GANE (BH)"/>
    <m/>
    <s v="Même arrondissement"/>
    <s v="CMR"/>
    <s v="Cameroun"/>
    <s v="CMR004"/>
    <s v="Extrême-Nord"/>
    <s v="CMR004005"/>
    <s v="Mayo-Sava"/>
    <s v="CMR004005001"/>
    <s v="Kolofata"/>
  </r>
  <r>
    <s v="Extrême-Nord"/>
    <s v="CMR004"/>
    <x v="4"/>
    <s v="CMR004005"/>
    <x v="19"/>
    <s v="CMR004005001"/>
    <s v="KOL-0028"/>
    <s v="YEGOUA"/>
    <m/>
    <x v="2"/>
    <x v="4"/>
    <n v="0"/>
    <n v="3"/>
    <s v="Conflits liés à GANE (BH)"/>
    <m/>
    <s v="Même arrondissement"/>
    <s v="CMR"/>
    <s v="Cameroun"/>
    <s v="CMR004"/>
    <s v="Extrême-Nord"/>
    <s v="CMR004005"/>
    <s v="Mayo-Sava"/>
    <s v="CMR004005001"/>
    <s v="Kolofata"/>
  </r>
  <r>
    <s v="Extrême-Nord"/>
    <s v="CMR004"/>
    <x v="2"/>
    <s v="CMR004002"/>
    <x v="12"/>
    <s v="CMR004002002"/>
    <s v="GOU-0037"/>
    <s v="AFIE 2"/>
    <m/>
    <x v="2"/>
    <x v="2"/>
    <n v="30"/>
    <n v="251"/>
    <s v="Inondations saisonnières ou fortes pluies"/>
    <m/>
    <s v="Même arrondissement"/>
    <s v="CMR"/>
    <s v="Cameroun"/>
    <s v="CMR004"/>
    <s v="Extrême-Nord"/>
    <s v="CMR004002"/>
    <s v="Logone-Et-Chari"/>
    <s v="CMR004002002"/>
    <s v="Goulfey"/>
  </r>
  <r>
    <s v="Extrême-Nord"/>
    <s v="CMR004"/>
    <x v="1"/>
    <s v="CMR004006"/>
    <x v="7"/>
    <s v="CMR004006005"/>
    <s v="MOZ-0038"/>
    <s v="MAWA"/>
    <m/>
    <x v="2"/>
    <x v="0"/>
    <n v="6"/>
    <n v="32"/>
    <s v="Conflits liés à GANE (BH)"/>
    <m/>
    <s v="Même arrondissement"/>
    <s v="CMR"/>
    <s v="Cameroun"/>
    <s v="CMR004"/>
    <s v="Extrême-Nord"/>
    <s v="CMR004006"/>
    <s v="Mayo-Tsanaga"/>
    <s v="CMR004006005"/>
    <s v="Mayo-Moskota"/>
  </r>
  <r>
    <s v="Extrême-Nord"/>
    <s v="CMR004"/>
    <x v="2"/>
    <s v="CMR004002"/>
    <x v="26"/>
    <s v="CMR004002006"/>
    <s v="KOU-0004"/>
    <s v="ARKIS"/>
    <m/>
    <x v="2"/>
    <x v="3"/>
    <n v="107"/>
    <n v="1022"/>
    <s v="Conflit intercommunautaire"/>
    <m/>
    <s v="Même arrondissement"/>
    <s v="CMR"/>
    <s v="Cameroun"/>
    <s v="CMR004"/>
    <s v="Extrême-Nord"/>
    <s v="CMR004002"/>
    <s v="Logone-Et-Chari"/>
    <s v="CMR004002006"/>
    <s v="Kousséri"/>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588717-9629-4AE6-A83D-418070D60BEB}" name="Tableau croisé dynamique2"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56:E64" firstHeaderRow="1" firstDataRow="2" firstDataCol="1"/>
  <pivotFields count="105">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i>
    <i>
      <x v="1"/>
    </i>
    <i>
      <x v="2"/>
    </i>
    <i>
      <x v="3"/>
    </i>
    <i>
      <x v="4"/>
    </i>
    <i>
      <x v="5"/>
    </i>
    <i t="grand">
      <x/>
    </i>
  </rowItems>
  <colFields count="1">
    <field x="13"/>
  </colFields>
  <colItems count="3">
    <i>
      <x/>
    </i>
    <i>
      <x v="1"/>
    </i>
    <i t="grand">
      <x/>
    </i>
  </colItems>
  <dataFields count="1">
    <dataField name="Nombre de village_name2" fld="8" subtotal="count" showDataAs="percentOfRow" baseField="3" baseItem="0" numFmtId="9"/>
  </dataFields>
  <formats count="1">
    <format dxfId="4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A7355CB-CEE1-40A0-96BC-6D97E0F71F7C}" name="Tableau croisé dynamique1" cacheId="2" applyNumberFormats="0" applyBorderFormats="0" applyFontFormats="0" applyPatternFormats="0" applyAlignmentFormats="0" applyWidthHeightFormats="1" dataCaption="Valeurs" updatedVersion="8" minRefreshableVersion="3" useAutoFormatting="1" itemPrintTitles="1" createdVersion="7" indent="0" outline="1" outlineData="1" multipleFieldFilters="0">
  <location ref="A4:E47" firstHeaderRow="1" firstDataRow="2" firstDataCol="1" rowPageCount="1" colPageCount="1"/>
  <pivotFields count="24">
    <pivotField showAll="0"/>
    <pivotField showAll="0"/>
    <pivotField axis="axisRow" showAll="0">
      <items count="8">
        <item x="0"/>
        <item x="2"/>
        <item x="3"/>
        <item x="5"/>
        <item x="4"/>
        <item x="1"/>
        <item h="1" x="6"/>
        <item t="default"/>
      </items>
    </pivotField>
    <pivotField showAll="0"/>
    <pivotField axis="axisRow" showAll="0">
      <items count="44">
        <item x="10"/>
        <item x="14"/>
        <item x="27"/>
        <item x="40"/>
        <item x="37"/>
        <item x="25"/>
        <item x="4"/>
        <item x="34"/>
        <item x="12"/>
        <item x="31"/>
        <item x="38"/>
        <item x="18"/>
        <item m="1" x="42"/>
        <item x="28"/>
        <item x="20"/>
        <item x="33"/>
        <item x="19"/>
        <item x="26"/>
        <item x="16"/>
        <item x="15"/>
        <item x="11"/>
        <item x="8"/>
        <item x="3"/>
        <item x="5"/>
        <item x="6"/>
        <item x="7"/>
        <item x="30"/>
        <item x="21"/>
        <item x="39"/>
        <item x="1"/>
        <item x="17"/>
        <item x="24"/>
        <item x="22"/>
        <item x="0"/>
        <item x="32"/>
        <item x="29"/>
        <item x="13"/>
        <item x="36"/>
        <item x="35"/>
        <item x="23"/>
        <item x="41"/>
        <item x="2"/>
        <item x="9"/>
        <item t="default"/>
      </items>
    </pivotField>
    <pivotField showAll="0"/>
    <pivotField showAll="0"/>
    <pivotField showAll="0"/>
    <pivotField showAll="0"/>
    <pivotField axis="axisCol" showAll="0">
      <items count="5">
        <item x="0"/>
        <item x="1"/>
        <item x="2"/>
        <item x="3"/>
        <item t="default"/>
      </items>
    </pivotField>
    <pivotField axis="axisPage" multipleItemSelectionAllowed="1" showAll="0">
      <items count="9">
        <item m="1" x="6"/>
        <item m="1" x="7"/>
        <item h="1" x="5"/>
        <item h="1" x="0"/>
        <item h="1" x="1"/>
        <item x="2"/>
        <item h="1" x="3"/>
        <item h="1" x="4"/>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2">
    <i>
      <x/>
    </i>
    <i r="1">
      <x v="6"/>
    </i>
    <i r="1">
      <x v="24"/>
    </i>
    <i r="1">
      <x v="33"/>
    </i>
    <i>
      <x v="1"/>
    </i>
    <i r="1">
      <x/>
    </i>
    <i r="1">
      <x v="2"/>
    </i>
    <i r="1">
      <x v="5"/>
    </i>
    <i r="1">
      <x v="8"/>
    </i>
    <i r="1">
      <x v="17"/>
    </i>
    <i r="1">
      <x v="19"/>
    </i>
    <i r="1">
      <x v="21"/>
    </i>
    <i r="1">
      <x v="36"/>
    </i>
    <i r="1">
      <x v="39"/>
    </i>
    <i r="1">
      <x v="42"/>
    </i>
    <i>
      <x v="2"/>
    </i>
    <i r="1">
      <x v="4"/>
    </i>
    <i r="1">
      <x v="7"/>
    </i>
    <i r="1">
      <x v="9"/>
    </i>
    <i r="1">
      <x v="10"/>
    </i>
    <i r="1">
      <x v="15"/>
    </i>
    <i r="1">
      <x v="20"/>
    </i>
    <i r="1">
      <x v="37"/>
    </i>
    <i r="1">
      <x v="38"/>
    </i>
    <i>
      <x v="3"/>
    </i>
    <i r="1">
      <x v="14"/>
    </i>
    <i r="1">
      <x v="27"/>
    </i>
    <i r="1">
      <x v="31"/>
    </i>
    <i r="1">
      <x v="32"/>
    </i>
    <i>
      <x v="4"/>
    </i>
    <i r="1">
      <x v="16"/>
    </i>
    <i r="1">
      <x v="30"/>
    </i>
    <i r="1">
      <x v="35"/>
    </i>
    <i>
      <x v="5"/>
    </i>
    <i r="1">
      <x v="1"/>
    </i>
    <i r="1">
      <x v="13"/>
    </i>
    <i r="1">
      <x v="18"/>
    </i>
    <i r="1">
      <x v="25"/>
    </i>
    <i r="1">
      <x v="28"/>
    </i>
    <i r="1">
      <x v="29"/>
    </i>
    <i r="1">
      <x v="34"/>
    </i>
    <i t="grand">
      <x/>
    </i>
  </rowItems>
  <colFields count="1">
    <field x="9"/>
  </colFields>
  <colItems count="4">
    <i>
      <x/>
    </i>
    <i>
      <x v="1"/>
    </i>
    <i>
      <x v="2"/>
    </i>
    <i t="grand">
      <x/>
    </i>
  </colItems>
  <pageFields count="1">
    <pageField fld="10" hier="-1"/>
  </pageFields>
  <dataFields count="1">
    <dataField name="Somme de Individus" fld="12" baseField="0" baseItem="0"/>
  </dataFields>
  <formats count="1">
    <format dxfId="176">
      <pivotArea field="1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8AC0BB8-ECC4-4C20-A40A-811D8F56B19F}" name="Tableau croisé dynamique1"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45:E53" firstHeaderRow="1" firstDataRow="2" firstDataCol="1"/>
  <pivotFields count="105">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i>
    <i>
      <x v="1"/>
    </i>
    <i>
      <x v="2"/>
    </i>
    <i>
      <x v="3"/>
    </i>
    <i>
      <x v="4"/>
    </i>
    <i>
      <x v="5"/>
    </i>
    <i t="grand">
      <x/>
    </i>
  </rowItems>
  <colFields count="1">
    <field x="13"/>
  </colFields>
  <colItems count="3">
    <i>
      <x/>
    </i>
    <i>
      <x v="1"/>
    </i>
    <i t="grand">
      <x/>
    </i>
  </colItems>
  <dataFields count="1">
    <dataField name="Nombre de village_name2"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107FE3-431E-4AFA-A662-2BF7C258C5D1}" name="Tableau croisé dynamique6"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4:E12" firstHeaderRow="1" firstDataRow="2" firstDataCol="1"/>
  <pivotFields count="105">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i>
    <i>
      <x v="1"/>
    </i>
    <i>
      <x v="2"/>
    </i>
    <i>
      <x v="3"/>
    </i>
    <i>
      <x v="4"/>
    </i>
    <i>
      <x v="5"/>
    </i>
    <i t="grand">
      <x/>
    </i>
  </rowItems>
  <colFields count="1">
    <field x="10"/>
  </colFields>
  <colItems count="3">
    <i>
      <x/>
    </i>
    <i>
      <x v="1"/>
    </i>
    <i t="grand">
      <x/>
    </i>
  </colItems>
  <dataFields count="1">
    <dataField name="Nombre de village_name"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AB73A6C-8822-4B66-9D81-0EDDDB0E7F26}" name="Tableau croisé dynamique8"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28:E31" firstHeaderRow="0" firstDataRow="1" firstDataCol="1"/>
  <pivotFields count="105">
    <pivotField showAll="0"/>
    <pivotField showAll="0"/>
    <pivotField showAll="0"/>
    <pivotField showAll="0"/>
    <pivotField showAll="0"/>
    <pivotField showAll="0"/>
    <pivotField showAll="0"/>
    <pivotField showAll="0"/>
    <pivotField showAll="0"/>
    <pivotField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
    <i>
      <x/>
    </i>
    <i>
      <x v="1"/>
    </i>
    <i t="grand">
      <x/>
    </i>
  </rowItems>
  <colFields count="1">
    <field x="-2"/>
  </colFields>
  <colItems count="3">
    <i>
      <x/>
    </i>
    <i i="1">
      <x v="1"/>
    </i>
    <i i="2">
      <x v="2"/>
    </i>
  </colItems>
  <dataFields count="3">
    <dataField name="PDI" fld="35" baseField="10" baseItem="0"/>
    <dataField name="Réfugiés hors camp" fld="52" baseField="0" baseItem="0"/>
    <dataField name="retournées" fld="68" baseField="0" baseItem="0"/>
  </dataFields>
  <formats count="7">
    <format dxfId="465">
      <pivotArea outline="0" collapsedLevelsAreSubtotals="1" fieldPosition="0"/>
    </format>
    <format dxfId="464">
      <pivotArea outline="0" collapsedLevelsAreSubtotals="1" fieldPosition="0"/>
    </format>
    <format dxfId="463">
      <pivotArea outline="0" collapsedLevelsAreSubtotals="1" fieldPosition="0"/>
    </format>
    <format dxfId="462">
      <pivotArea collapsedLevelsAreSubtotals="1" fieldPosition="0">
        <references count="1">
          <reference field="10" count="0"/>
        </references>
      </pivotArea>
    </format>
    <format dxfId="461">
      <pivotArea dataOnly="0" labelOnly="1" fieldPosition="0">
        <references count="1">
          <reference field="10" count="0"/>
        </references>
      </pivotArea>
    </format>
    <format dxfId="460">
      <pivotArea dataOnly="0" labelOnly="1" grandRow="1" outline="0" fieldPosition="0"/>
    </format>
    <format dxfId="10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BB0E84A-633E-43F4-9456-EAE75DE3F5F5}" name="Tableau croisé dynamique7"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15:E23" firstHeaderRow="1" firstDataRow="2" firstDataCol="1"/>
  <pivotFields count="105">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i>
    <i>
      <x v="1"/>
    </i>
    <i>
      <x v="2"/>
    </i>
    <i>
      <x v="3"/>
    </i>
    <i>
      <x v="4"/>
    </i>
    <i>
      <x v="5"/>
    </i>
    <i t="grand">
      <x/>
    </i>
  </rowItems>
  <colFields count="1">
    <field x="10"/>
  </colFields>
  <colItems count="3">
    <i>
      <x/>
    </i>
    <i>
      <x v="1"/>
    </i>
    <i t="grand">
      <x/>
    </i>
  </colItems>
  <dataFields count="1">
    <dataField name="Nombre de village_name" fld="8" subtotal="count" showDataAs="percentOfRow" baseField="3" baseItem="0" numFmtId="9"/>
  </dataFields>
  <formats count="3">
    <format dxfId="468">
      <pivotArea outline="0" collapsedLevelsAreSubtotals="1" fieldPosition="0"/>
    </format>
    <format dxfId="467">
      <pivotArea outline="0" collapsedLevelsAreSubtotals="1" fieldPosition="0"/>
    </format>
    <format dxfId="4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443DC1E-A875-4FBD-8687-3B6ECA2BE3B0}" name="Tableau croisé dynamique4" cacheId="1" applyNumberFormats="0" applyBorderFormats="0" applyFontFormats="0" applyPatternFormats="0" applyAlignmentFormats="0" applyWidthHeightFormats="1" dataCaption="Valeurs" grandTotalCaption="Total" updatedVersion="8" minRefreshableVersion="3" useAutoFormatting="1" itemPrintTitles="1" createdVersion="7" indent="0" outline="1" outlineData="1" multipleFieldFilters="0" rowHeaderCaption="Row Labels" colHeaderCaption="Column labels">
  <location ref="W158:AA207" firstHeaderRow="1" firstDataRow="2" firstDataCol="1"/>
  <pivotFields count="24">
    <pivotField showAll="0"/>
    <pivotField showAll="0"/>
    <pivotField axis="axisRow" showAll="0">
      <items count="8">
        <item x="0"/>
        <item x="2"/>
        <item x="3"/>
        <item x="5"/>
        <item x="4"/>
        <item x="1"/>
        <item m="1" x="6"/>
        <item t="default"/>
      </items>
    </pivotField>
    <pivotField showAll="0"/>
    <pivotField axis="axisRow" showAll="0">
      <items count="56">
        <item x="10"/>
        <item x="14"/>
        <item x="27"/>
        <item x="40"/>
        <item m="1" x="49"/>
        <item x="25"/>
        <item x="4"/>
        <item x="34"/>
        <item x="12"/>
        <item m="1" x="48"/>
        <item m="1" x="46"/>
        <item x="18"/>
        <item x="9"/>
        <item x="28"/>
        <item m="1" x="45"/>
        <item x="33"/>
        <item x="19"/>
        <item m="1" x="52"/>
        <item x="16"/>
        <item x="15"/>
        <item x="11"/>
        <item x="8"/>
        <item m="1" x="50"/>
        <item m="1" x="51"/>
        <item m="1" x="44"/>
        <item x="7"/>
        <item x="21"/>
        <item m="1" x="42"/>
        <item x="1"/>
        <item x="17"/>
        <item x="24"/>
        <item x="22"/>
        <item m="1" x="54"/>
        <item m="1" x="47"/>
        <item m="1" x="43"/>
        <item x="13"/>
        <item x="36"/>
        <item x="35"/>
        <item x="23"/>
        <item x="3"/>
        <item x="5"/>
        <item x="6"/>
        <item x="0"/>
        <item m="1" x="53"/>
        <item x="26"/>
        <item x="37"/>
        <item x="31"/>
        <item x="38"/>
        <item x="20"/>
        <item x="29"/>
        <item x="32"/>
        <item x="39"/>
        <item x="30"/>
        <item m="1" x="41"/>
        <item x="2"/>
        <item t="default"/>
      </items>
    </pivotField>
    <pivotField showAll="0"/>
    <pivotField showAll="0"/>
    <pivotField showAll="0"/>
    <pivotField showAll="0"/>
    <pivotField axis="axisCol" showAll="0">
      <items count="5">
        <item n="idps" x="0"/>
        <item n="Refugees out of  camp" x="1"/>
        <item n="returnees" x="2"/>
        <item m="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3"/>
    </i>
    <i r="1">
      <x v="6"/>
    </i>
    <i r="1">
      <x v="39"/>
    </i>
    <i r="1">
      <x v="40"/>
    </i>
    <i r="1">
      <x v="41"/>
    </i>
    <i r="1">
      <x v="42"/>
    </i>
    <i r="1">
      <x v="52"/>
    </i>
    <i r="1">
      <x v="54"/>
    </i>
    <i>
      <x v="1"/>
    </i>
    <i r="1">
      <x/>
    </i>
    <i r="1">
      <x v="2"/>
    </i>
    <i r="1">
      <x v="5"/>
    </i>
    <i r="1">
      <x v="8"/>
    </i>
    <i r="1">
      <x v="12"/>
    </i>
    <i r="1">
      <x v="19"/>
    </i>
    <i r="1">
      <x v="21"/>
    </i>
    <i r="1">
      <x v="35"/>
    </i>
    <i r="1">
      <x v="38"/>
    </i>
    <i r="1">
      <x v="44"/>
    </i>
    <i>
      <x v="2"/>
    </i>
    <i r="1">
      <x v="7"/>
    </i>
    <i r="1">
      <x v="15"/>
    </i>
    <i r="1">
      <x v="20"/>
    </i>
    <i r="1">
      <x v="36"/>
    </i>
    <i r="1">
      <x v="37"/>
    </i>
    <i r="1">
      <x v="45"/>
    </i>
    <i r="1">
      <x v="46"/>
    </i>
    <i r="1">
      <x v="47"/>
    </i>
    <i>
      <x v="3"/>
    </i>
    <i r="1">
      <x v="11"/>
    </i>
    <i r="1">
      <x v="26"/>
    </i>
    <i r="1">
      <x v="30"/>
    </i>
    <i r="1">
      <x v="31"/>
    </i>
    <i r="1">
      <x v="48"/>
    </i>
    <i>
      <x v="4"/>
    </i>
    <i r="1">
      <x v="16"/>
    </i>
    <i r="1">
      <x v="29"/>
    </i>
    <i r="1">
      <x v="49"/>
    </i>
    <i>
      <x v="5"/>
    </i>
    <i r="1">
      <x v="1"/>
    </i>
    <i r="1">
      <x v="13"/>
    </i>
    <i r="1">
      <x v="18"/>
    </i>
    <i r="1">
      <x v="25"/>
    </i>
    <i r="1">
      <x v="28"/>
    </i>
    <i r="1">
      <x v="50"/>
    </i>
    <i r="1">
      <x v="51"/>
    </i>
    <i t="grand">
      <x/>
    </i>
  </rowItems>
  <colFields count="1">
    <field x="9"/>
  </colFields>
  <colItems count="4">
    <i>
      <x/>
    </i>
    <i>
      <x v="1"/>
    </i>
    <i>
      <x v="2"/>
    </i>
    <i t="grand">
      <x/>
    </i>
  </colItems>
  <dataFields count="1">
    <dataField name="Sum of Individuals" fld="12" baseField="0" baseItem="0" numFmtId="169"/>
  </dataFields>
  <formats count="6">
    <format dxfId="449">
      <pivotArea dataOnly="0" labelOnly="1" fieldPosition="0">
        <references count="1">
          <reference field="9" count="1">
            <x v="1"/>
          </reference>
        </references>
      </pivotArea>
    </format>
    <format dxfId="448">
      <pivotArea outline="0" collapsedLevelsAreSubtotals="1" fieldPosition="0"/>
    </format>
    <format dxfId="447">
      <pivotArea dataOnly="0" labelOnly="1" fieldPosition="0">
        <references count="1">
          <reference field="9" count="0"/>
        </references>
      </pivotArea>
    </format>
    <format dxfId="446">
      <pivotArea dataOnly="0" labelOnly="1" grandCol="1" outline="0" fieldPosition="0"/>
    </format>
    <format dxfId="445">
      <pivotArea dataOnly="0" labelOnly="1" fieldPosition="0">
        <references count="1">
          <reference field="9" count="0"/>
        </references>
      </pivotArea>
    </format>
    <format dxfId="44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BD1AB08-5FC8-481C-95B8-BB2BC0242301}" name="Tableau croisé dynamique2" cacheId="1" applyNumberFormats="0" applyBorderFormats="0" applyFontFormats="0" applyPatternFormats="0" applyAlignmentFormats="0" applyWidthHeightFormats="1" dataCaption="Valeurs" updatedVersion="8" minRefreshableVersion="3" useAutoFormatting="1" itemPrintTitles="1" createdVersion="7" indent="0" outline="1" outlineData="1" multipleFieldFilters="0">
  <location ref="D158:H207" firstHeaderRow="1" firstDataRow="2" firstDataCol="1"/>
  <pivotFields count="24">
    <pivotField showAll="0"/>
    <pivotField showAll="0"/>
    <pivotField axis="axisRow" showAll="0">
      <items count="8">
        <item x="0"/>
        <item x="2"/>
        <item x="3"/>
        <item x="5"/>
        <item x="4"/>
        <item x="1"/>
        <item m="1" x="6"/>
        <item t="default"/>
      </items>
    </pivotField>
    <pivotField showAll="0"/>
    <pivotField axis="axisRow" showAll="0" sortType="ascending">
      <items count="56">
        <item x="10"/>
        <item x="2"/>
        <item x="14"/>
        <item x="27"/>
        <item x="40"/>
        <item m="1" x="49"/>
        <item x="37"/>
        <item x="25"/>
        <item x="4"/>
        <item x="34"/>
        <item x="12"/>
        <item m="1" x="48"/>
        <item x="31"/>
        <item m="1" x="46"/>
        <item x="38"/>
        <item x="18"/>
        <item x="9"/>
        <item m="1" x="53"/>
        <item x="28"/>
        <item m="1" x="45"/>
        <item x="20"/>
        <item x="33"/>
        <item x="19"/>
        <item m="1" x="52"/>
        <item x="26"/>
        <item x="16"/>
        <item x="15"/>
        <item x="11"/>
        <item x="8"/>
        <item x="3"/>
        <item x="5"/>
        <item x="6"/>
        <item m="1" x="50"/>
        <item m="1" x="51"/>
        <item m="1" x="44"/>
        <item x="7"/>
        <item x="30"/>
        <item x="21"/>
        <item m="1" x="42"/>
        <item x="39"/>
        <item x="1"/>
        <item x="17"/>
        <item x="24"/>
        <item x="22"/>
        <item m="1" x="54"/>
        <item x="0"/>
        <item m="1" x="47"/>
        <item x="32"/>
        <item m="1" x="43"/>
        <item x="29"/>
        <item x="13"/>
        <item x="36"/>
        <item x="35"/>
        <item x="23"/>
        <item m="1" x="41"/>
        <item t="default"/>
      </items>
    </pivotField>
    <pivotField showAll="0"/>
    <pivotField showAll="0"/>
    <pivotField showAll="0"/>
    <pivotField showAll="0"/>
    <pivotField axis="axisCol" showAll="0">
      <items count="5">
        <item n="PDI" x="0"/>
        <item n="Refugié hors camp" x="1"/>
        <item n="Retournés" x="2"/>
        <item m="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1"/>
    </i>
    <i r="1">
      <x v="4"/>
    </i>
    <i r="1">
      <x v="8"/>
    </i>
    <i r="1">
      <x v="29"/>
    </i>
    <i r="1">
      <x v="30"/>
    </i>
    <i r="1">
      <x v="31"/>
    </i>
    <i r="1">
      <x v="36"/>
    </i>
    <i r="1">
      <x v="45"/>
    </i>
    <i>
      <x v="1"/>
    </i>
    <i r="1">
      <x/>
    </i>
    <i r="1">
      <x v="3"/>
    </i>
    <i r="1">
      <x v="7"/>
    </i>
    <i r="1">
      <x v="10"/>
    </i>
    <i r="1">
      <x v="16"/>
    </i>
    <i r="1">
      <x v="24"/>
    </i>
    <i r="1">
      <x v="26"/>
    </i>
    <i r="1">
      <x v="28"/>
    </i>
    <i r="1">
      <x v="50"/>
    </i>
    <i r="1">
      <x v="53"/>
    </i>
    <i>
      <x v="2"/>
    </i>
    <i r="1">
      <x v="6"/>
    </i>
    <i r="1">
      <x v="9"/>
    </i>
    <i r="1">
      <x v="12"/>
    </i>
    <i r="1">
      <x v="14"/>
    </i>
    <i r="1">
      <x v="21"/>
    </i>
    <i r="1">
      <x v="27"/>
    </i>
    <i r="1">
      <x v="51"/>
    </i>
    <i r="1">
      <x v="52"/>
    </i>
    <i>
      <x v="3"/>
    </i>
    <i r="1">
      <x v="15"/>
    </i>
    <i r="1">
      <x v="20"/>
    </i>
    <i r="1">
      <x v="37"/>
    </i>
    <i r="1">
      <x v="42"/>
    </i>
    <i r="1">
      <x v="43"/>
    </i>
    <i>
      <x v="4"/>
    </i>
    <i r="1">
      <x v="22"/>
    </i>
    <i r="1">
      <x v="41"/>
    </i>
    <i r="1">
      <x v="49"/>
    </i>
    <i>
      <x v="5"/>
    </i>
    <i r="1">
      <x v="2"/>
    </i>
    <i r="1">
      <x v="18"/>
    </i>
    <i r="1">
      <x v="25"/>
    </i>
    <i r="1">
      <x v="35"/>
    </i>
    <i r="1">
      <x v="39"/>
    </i>
    <i r="1">
      <x v="40"/>
    </i>
    <i r="1">
      <x v="47"/>
    </i>
    <i t="grand">
      <x/>
    </i>
  </rowItems>
  <colFields count="1">
    <field x="9"/>
  </colFields>
  <colItems count="4">
    <i>
      <x/>
    </i>
    <i>
      <x v="1"/>
    </i>
    <i>
      <x v="2"/>
    </i>
    <i t="grand">
      <x/>
    </i>
  </colItems>
  <dataFields count="1">
    <dataField name="Somme d'Individus" fld="12" baseField="0" baseItem="0" numFmtId="167"/>
  </dataFields>
  <formats count="9">
    <format dxfId="458">
      <pivotArea dataOnly="0" labelOnly="1" fieldPosition="0">
        <references count="1">
          <reference field="9" count="0"/>
        </references>
      </pivotArea>
    </format>
    <format dxfId="457">
      <pivotArea dataOnly="0" labelOnly="1" grandCol="1" outline="0" fieldPosition="0"/>
    </format>
    <format dxfId="456">
      <pivotArea field="2" type="button" dataOnly="0" labelOnly="1" outline="0" axis="axisRow" fieldPosition="0"/>
    </format>
    <format dxfId="455">
      <pivotArea dataOnly="0" labelOnly="1" fieldPosition="0">
        <references count="1">
          <reference field="9" count="0"/>
        </references>
      </pivotArea>
    </format>
    <format dxfId="454">
      <pivotArea dataOnly="0" labelOnly="1" grandCol="1" outline="0" fieldPosition="0"/>
    </format>
    <format dxfId="453">
      <pivotArea field="2" type="button" dataOnly="0" labelOnly="1" outline="0" axis="axisRow" fieldPosition="0"/>
    </format>
    <format dxfId="452">
      <pivotArea dataOnly="0" labelOnly="1" fieldPosition="0">
        <references count="1">
          <reference field="9" count="0"/>
        </references>
      </pivotArea>
    </format>
    <format dxfId="451">
      <pivotArea dataOnly="0" labelOnly="1" grandCol="1" outline="0" fieldPosition="0"/>
    </format>
    <format dxfId="4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1D46699-D2B3-4405-9A7D-4E86F494E769}" name="Tableau croisé dynamique12" cacheId="1" applyNumberFormats="0" applyBorderFormats="0" applyFontFormats="0" applyPatternFormats="0" applyAlignmentFormats="0" applyWidthHeightFormats="1" dataCaption="Valeurs" grandTotalCaption="Total" updatedVersion="8" minRefreshableVersion="3" useAutoFormatting="1" itemPrintTitles="1" createdVersion="7" indent="0" outline="1" outlineData="1" multipleFieldFilters="0" rowHeaderCaption="row labels" colHeaderCaption="column labels">
  <location ref="N53:T102" firstHeaderRow="1" firstDataRow="2" firstDataCol="1"/>
  <pivotFields count="24">
    <pivotField showAll="0"/>
    <pivotField showAll="0"/>
    <pivotField axis="axisRow" showAll="0">
      <items count="8">
        <item x="0"/>
        <item x="2"/>
        <item x="3"/>
        <item x="5"/>
        <item x="4"/>
        <item x="1"/>
        <item m="1" x="6"/>
        <item t="default"/>
      </items>
    </pivotField>
    <pivotField showAll="0"/>
    <pivotField axis="axisRow" showAll="0">
      <items count="56">
        <item x="10"/>
        <item x="14"/>
        <item x="27"/>
        <item x="40"/>
        <item m="1" x="49"/>
        <item x="25"/>
        <item x="4"/>
        <item x="34"/>
        <item x="12"/>
        <item m="1" x="48"/>
        <item m="1" x="46"/>
        <item x="18"/>
        <item x="9"/>
        <item x="28"/>
        <item m="1" x="45"/>
        <item x="33"/>
        <item x="19"/>
        <item m="1" x="52"/>
        <item x="16"/>
        <item x="15"/>
        <item x="11"/>
        <item x="8"/>
        <item m="1" x="50"/>
        <item m="1" x="51"/>
        <item m="1" x="44"/>
        <item x="7"/>
        <item x="21"/>
        <item m="1" x="42"/>
        <item x="1"/>
        <item x="17"/>
        <item x="24"/>
        <item x="22"/>
        <item m="1" x="54"/>
        <item m="1" x="47"/>
        <item m="1" x="43"/>
        <item x="13"/>
        <item x="36"/>
        <item x="35"/>
        <item x="23"/>
        <item x="3"/>
        <item x="5"/>
        <item x="6"/>
        <item x="0"/>
        <item m="1" x="53"/>
        <item x="26"/>
        <item x="37"/>
        <item x="31"/>
        <item x="38"/>
        <item x="20"/>
        <item x="29"/>
        <item x="32"/>
        <item x="39"/>
        <item x="30"/>
        <item m="1" x="41"/>
        <item x="2"/>
        <item t="default"/>
      </items>
    </pivotField>
    <pivotField showAll="0"/>
    <pivotField showAll="0"/>
    <pivotField showAll="0"/>
    <pivotField showAll="0"/>
    <pivotField showAll="0"/>
    <pivotField showAll="0"/>
    <pivotField showAll="0"/>
    <pivotField dataField="1" showAll="0"/>
    <pivotField axis="axisCol" showAll="0">
      <items count="25">
        <item m="1" x="12"/>
        <item m="1" x="18"/>
        <item m="1" x="11"/>
        <item n="others" m="1" x="13"/>
        <item m="1" x="16"/>
        <item m="1" x="14"/>
        <item n="armed conflicts" m="1" x="21"/>
        <item m="1" x="22"/>
        <item n="natural disasters" m="1" x="20"/>
        <item m="1" x="19"/>
        <item m="1" x="23"/>
        <item m="1" x="9"/>
        <item m="1" x="10"/>
        <item m="1" x="15"/>
        <item m="1" x="7"/>
        <item m="1" x="17"/>
        <item m="1" x="5"/>
        <item m="1" x="6"/>
        <item x="3"/>
        <item m="1" x="8"/>
        <item x="2"/>
        <item x="4"/>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3"/>
    </i>
    <i r="1">
      <x v="6"/>
    </i>
    <i r="1">
      <x v="39"/>
    </i>
    <i r="1">
      <x v="40"/>
    </i>
    <i r="1">
      <x v="41"/>
    </i>
    <i r="1">
      <x v="42"/>
    </i>
    <i r="1">
      <x v="52"/>
    </i>
    <i r="1">
      <x v="54"/>
    </i>
    <i>
      <x v="1"/>
    </i>
    <i r="1">
      <x/>
    </i>
    <i r="1">
      <x v="2"/>
    </i>
    <i r="1">
      <x v="5"/>
    </i>
    <i r="1">
      <x v="8"/>
    </i>
    <i r="1">
      <x v="12"/>
    </i>
    <i r="1">
      <x v="19"/>
    </i>
    <i r="1">
      <x v="21"/>
    </i>
    <i r="1">
      <x v="35"/>
    </i>
    <i r="1">
      <x v="38"/>
    </i>
    <i r="1">
      <x v="44"/>
    </i>
    <i>
      <x v="2"/>
    </i>
    <i r="1">
      <x v="7"/>
    </i>
    <i r="1">
      <x v="15"/>
    </i>
    <i r="1">
      <x v="20"/>
    </i>
    <i r="1">
      <x v="36"/>
    </i>
    <i r="1">
      <x v="37"/>
    </i>
    <i r="1">
      <x v="45"/>
    </i>
    <i r="1">
      <x v="46"/>
    </i>
    <i r="1">
      <x v="47"/>
    </i>
    <i>
      <x v="3"/>
    </i>
    <i r="1">
      <x v="11"/>
    </i>
    <i r="1">
      <x v="26"/>
    </i>
    <i r="1">
      <x v="30"/>
    </i>
    <i r="1">
      <x v="31"/>
    </i>
    <i r="1">
      <x v="48"/>
    </i>
    <i>
      <x v="4"/>
    </i>
    <i r="1">
      <x v="16"/>
    </i>
    <i r="1">
      <x v="29"/>
    </i>
    <i r="1">
      <x v="49"/>
    </i>
    <i>
      <x v="5"/>
    </i>
    <i r="1">
      <x v="1"/>
    </i>
    <i r="1">
      <x v="13"/>
    </i>
    <i r="1">
      <x v="18"/>
    </i>
    <i r="1">
      <x v="25"/>
    </i>
    <i r="1">
      <x v="28"/>
    </i>
    <i r="1">
      <x v="50"/>
    </i>
    <i r="1">
      <x v="51"/>
    </i>
    <i t="grand">
      <x/>
    </i>
  </rowItems>
  <colFields count="1">
    <field x="13"/>
  </colFields>
  <colItems count="6">
    <i>
      <x v="18"/>
    </i>
    <i>
      <x v="20"/>
    </i>
    <i>
      <x v="21"/>
    </i>
    <i>
      <x v="22"/>
    </i>
    <i>
      <x v="23"/>
    </i>
    <i t="grand">
      <x/>
    </i>
  </colItems>
  <dataFields count="1">
    <dataField name="sum of individuals" fld="12" baseField="0" baseItem="0" numFmtId="169"/>
  </dataFields>
  <formats count="12">
    <format dxfId="393">
      <pivotArea outline="0" collapsedLevelsAreSubtotals="1" fieldPosition="0"/>
    </format>
    <format dxfId="392">
      <pivotArea collapsedLevelsAreSubtotals="1" fieldPosition="0">
        <references count="1">
          <reference field="2" count="1">
            <x v="0"/>
          </reference>
        </references>
      </pivotArea>
    </format>
    <format dxfId="391">
      <pivotArea dataOnly="0" labelOnly="1" fieldPosition="0">
        <references count="1">
          <reference field="2" count="1">
            <x v="0"/>
          </reference>
        </references>
      </pivotArea>
    </format>
    <format dxfId="390">
      <pivotArea field="2" type="button" dataOnly="0" labelOnly="1" outline="0" axis="axisRow" fieldPosition="0"/>
    </format>
    <format dxfId="389">
      <pivotArea dataOnly="0" labelOnly="1" fieldPosition="0">
        <references count="1">
          <reference field="13" count="0"/>
        </references>
      </pivotArea>
    </format>
    <format dxfId="388">
      <pivotArea dataOnly="0" labelOnly="1" grandCol="1" outline="0" fieldPosition="0"/>
    </format>
    <format dxfId="387">
      <pivotArea field="2" type="button" dataOnly="0" labelOnly="1" outline="0" axis="axisRow" fieldPosition="0"/>
    </format>
    <format dxfId="386">
      <pivotArea dataOnly="0" labelOnly="1" fieldPosition="0">
        <references count="1">
          <reference field="13" count="0"/>
        </references>
      </pivotArea>
    </format>
    <format dxfId="385">
      <pivotArea dataOnly="0" labelOnly="1" grandCol="1" outline="0" fieldPosition="0"/>
    </format>
    <format dxfId="384">
      <pivotArea field="2" type="button" dataOnly="0" labelOnly="1" outline="0" axis="axisRow" fieldPosition="0"/>
    </format>
    <format dxfId="383">
      <pivotArea dataOnly="0" labelOnly="1" fieldPosition="0">
        <references count="1">
          <reference field="13" count="0"/>
        </references>
      </pivotArea>
    </format>
    <format dxfId="38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1D21B35-FF17-4240-B50D-35DE79206253}" name="Tableau croisé dynamique11" cacheId="1" applyNumberFormats="0" applyBorderFormats="0" applyFontFormats="0" applyPatternFormats="0" applyAlignmentFormats="0" applyWidthHeightFormats="1" dataCaption="Valeurs" grandTotalCaption="Total" updatedVersion="8" minRefreshableVersion="3" useAutoFormatting="1" itemPrintTitles="1" createdVersion="7" indent="0" outline="1" outlineData="1" multipleFieldFilters="0">
  <location ref="D53:J102" firstHeaderRow="1" firstDataRow="2" firstDataCol="1"/>
  <pivotFields count="24">
    <pivotField showAll="0"/>
    <pivotField showAll="0"/>
    <pivotField axis="axisRow" showAll="0">
      <items count="8">
        <item x="0"/>
        <item x="2"/>
        <item x="3"/>
        <item x="5"/>
        <item x="4"/>
        <item x="1"/>
        <item m="1" x="6"/>
        <item t="default"/>
      </items>
    </pivotField>
    <pivotField showAll="0"/>
    <pivotField axis="axisRow" showAll="0" sortType="ascending">
      <items count="56">
        <item x="10"/>
        <item x="2"/>
        <item x="14"/>
        <item x="27"/>
        <item x="40"/>
        <item m="1" x="49"/>
        <item x="37"/>
        <item x="25"/>
        <item x="4"/>
        <item x="34"/>
        <item x="12"/>
        <item m="1" x="48"/>
        <item x="31"/>
        <item m="1" x="46"/>
        <item x="38"/>
        <item x="18"/>
        <item x="9"/>
        <item m="1" x="53"/>
        <item x="28"/>
        <item m="1" x="45"/>
        <item x="20"/>
        <item x="33"/>
        <item x="19"/>
        <item m="1" x="52"/>
        <item x="26"/>
        <item x="16"/>
        <item x="15"/>
        <item x="11"/>
        <item x="8"/>
        <item x="3"/>
        <item x="5"/>
        <item x="6"/>
        <item m="1" x="50"/>
        <item m="1" x="51"/>
        <item m="1" x="44"/>
        <item x="7"/>
        <item x="30"/>
        <item x="21"/>
        <item m="1" x="42"/>
        <item x="39"/>
        <item x="1"/>
        <item x="17"/>
        <item x="24"/>
        <item x="22"/>
        <item m="1" x="54"/>
        <item x="0"/>
        <item m="1" x="47"/>
        <item x="32"/>
        <item m="1" x="43"/>
        <item x="29"/>
        <item x="13"/>
        <item x="36"/>
        <item x="35"/>
        <item x="23"/>
        <item m="1" x="41"/>
        <item t="default"/>
      </items>
    </pivotField>
    <pivotField showAll="0"/>
    <pivotField showAll="0"/>
    <pivotField showAll="0"/>
    <pivotField showAll="0"/>
    <pivotField showAll="0"/>
    <pivotField showAll="0"/>
    <pivotField showAll="0"/>
    <pivotField dataField="1" showAll="0"/>
    <pivotField axis="axisCol" showAll="0">
      <items count="25">
        <item m="1" x="12"/>
        <item m="1" x="18"/>
        <item m="1" x="11"/>
        <item m="1" x="13"/>
        <item m="1" x="16"/>
        <item m="1" x="14"/>
        <item m="1" x="21"/>
        <item m="1" x="22"/>
        <item m="1" x="20"/>
        <item m="1" x="19"/>
        <item m="1" x="23"/>
        <item m="1" x="9"/>
        <item m="1" x="10"/>
        <item m="1" x="15"/>
        <item m="1" x="7"/>
        <item m="1" x="17"/>
        <item m="1" x="5"/>
        <item m="1" x="6"/>
        <item x="3"/>
        <item m="1" x="8"/>
        <item x="2"/>
        <item x="4"/>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1"/>
    </i>
    <i r="1">
      <x v="4"/>
    </i>
    <i r="1">
      <x v="8"/>
    </i>
    <i r="1">
      <x v="29"/>
    </i>
    <i r="1">
      <x v="30"/>
    </i>
    <i r="1">
      <x v="31"/>
    </i>
    <i r="1">
      <x v="36"/>
    </i>
    <i r="1">
      <x v="45"/>
    </i>
    <i>
      <x v="1"/>
    </i>
    <i r="1">
      <x/>
    </i>
    <i r="1">
      <x v="3"/>
    </i>
    <i r="1">
      <x v="7"/>
    </i>
    <i r="1">
      <x v="10"/>
    </i>
    <i r="1">
      <x v="16"/>
    </i>
    <i r="1">
      <x v="24"/>
    </i>
    <i r="1">
      <x v="26"/>
    </i>
    <i r="1">
      <x v="28"/>
    </i>
    <i r="1">
      <x v="50"/>
    </i>
    <i r="1">
      <x v="53"/>
    </i>
    <i>
      <x v="2"/>
    </i>
    <i r="1">
      <x v="6"/>
    </i>
    <i r="1">
      <x v="9"/>
    </i>
    <i r="1">
      <x v="12"/>
    </i>
    <i r="1">
      <x v="14"/>
    </i>
    <i r="1">
      <x v="21"/>
    </i>
    <i r="1">
      <x v="27"/>
    </i>
    <i r="1">
      <x v="51"/>
    </i>
    <i r="1">
      <x v="52"/>
    </i>
    <i>
      <x v="3"/>
    </i>
    <i r="1">
      <x v="15"/>
    </i>
    <i r="1">
      <x v="20"/>
    </i>
    <i r="1">
      <x v="37"/>
    </i>
    <i r="1">
      <x v="42"/>
    </i>
    <i r="1">
      <x v="43"/>
    </i>
    <i>
      <x v="4"/>
    </i>
    <i r="1">
      <x v="22"/>
    </i>
    <i r="1">
      <x v="41"/>
    </i>
    <i r="1">
      <x v="49"/>
    </i>
    <i>
      <x v="5"/>
    </i>
    <i r="1">
      <x v="2"/>
    </i>
    <i r="1">
      <x v="18"/>
    </i>
    <i r="1">
      <x v="25"/>
    </i>
    <i r="1">
      <x v="35"/>
    </i>
    <i r="1">
      <x v="39"/>
    </i>
    <i r="1">
      <x v="40"/>
    </i>
    <i r="1">
      <x v="47"/>
    </i>
    <i t="grand">
      <x/>
    </i>
  </rowItems>
  <colFields count="1">
    <field x="13"/>
  </colFields>
  <colItems count="6">
    <i>
      <x v="18"/>
    </i>
    <i>
      <x v="20"/>
    </i>
    <i>
      <x v="21"/>
    </i>
    <i>
      <x v="22"/>
    </i>
    <i>
      <x v="23"/>
    </i>
    <i t="grand">
      <x/>
    </i>
  </colItems>
  <dataFields count="1">
    <dataField name="Somme d'Individus" fld="12" baseField="0" baseItem="0" numFmtId="167"/>
  </dataFields>
  <formats count="8">
    <format dxfId="401">
      <pivotArea field="2" type="button" dataOnly="0" labelOnly="1" outline="0" axis="axisRow" fieldPosition="0"/>
    </format>
    <format dxfId="400">
      <pivotArea dataOnly="0" labelOnly="1" fieldPosition="0">
        <references count="1">
          <reference field="13" count="0"/>
        </references>
      </pivotArea>
    </format>
    <format dxfId="399">
      <pivotArea dataOnly="0" labelOnly="1" grandCol="1" outline="0" fieldPosition="0"/>
    </format>
    <format dxfId="398">
      <pivotArea dataOnly="0" labelOnly="1" fieldPosition="0">
        <references count="1">
          <reference field="13" count="0"/>
        </references>
      </pivotArea>
    </format>
    <format dxfId="397">
      <pivotArea dataOnly="0" labelOnly="1" grandCol="1" outline="0" fieldPosition="0"/>
    </format>
    <format dxfId="396">
      <pivotArea dataOnly="0" labelOnly="1" fieldPosition="0">
        <references count="1">
          <reference field="13" count="0"/>
        </references>
      </pivotArea>
    </format>
    <format dxfId="395">
      <pivotArea dataOnly="0" labelOnly="1" grandCol="1" outline="0" fieldPosition="0"/>
    </format>
    <format dxfId="3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6" xr16:uid="{0A956FA9-4ECC-4397-B21C-6BADB1C694F2}" autoFormatId="0" applyNumberFormats="0" applyBorderFormats="0" applyFontFormats="1" applyPatternFormats="1" applyAlignmentFormats="0" applyWidthHeightFormats="0">
  <queryTableRefresh preserveSortFilterLayout="0" nextId="24" unboundColumnsRight="1">
    <queryTableFields count="19">
      <queryTableField id="2" name="Adm1_Name" tableColumnId="38"/>
      <queryTableField id="21" dataBound="0" tableColumnId="3"/>
      <queryTableField id="3" name="Adm1_code" tableColumnId="39"/>
      <queryTableField id="4" name="Adm2_Name" tableColumnId="40"/>
      <queryTableField id="22" dataBound="0" tableColumnId="4"/>
      <queryTableField id="5" name="Adm2_code" tableColumnId="41"/>
      <queryTableField id="6" name="Adm3_Name" tableColumnId="42"/>
      <queryTableField id="23" dataBound="0" tableColumnId="5"/>
      <queryTableField id="7" name="Adm3_code" tableColumnId="43"/>
      <queryTableField id="8" name="Village_code" tableColumnId="44"/>
      <queryTableField id="9" name="Village_name" tableColumnId="45"/>
      <queryTableField id="19" dataBound="0" tableColumnId="1"/>
      <queryTableField id="12" name="Ind_IDPs" tableColumnId="48"/>
      <queryTableField id="13" name="HH_IDPs" tableColumnId="49"/>
      <queryTableField id="14" name="Ind_Unregistered_Refugees" tableColumnId="50"/>
      <queryTableField id="15" name="HH_Unregistered_Refugees" tableColumnId="51"/>
      <queryTableField id="16" name="Ind_Returnees" tableColumnId="52"/>
      <queryTableField id="17" name="HH_Returnees" tableColumnId="53"/>
      <queryTableField id="20" dataBound="0" tableColumnId="2"/>
    </queryTableFields>
    <queryTableDeletedFields count="4">
      <deletedField name="#"/>
      <deletedField name="New"/>
      <deletedField name="Gps_long"/>
      <deletedField name="Gps_lat"/>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8D4470E8-946E-496E-8CBB-7ACD4243978E}" autoFormatId="0" applyNumberFormats="0" applyBorderFormats="0" applyFontFormats="1" applyPatternFormats="1" applyAlignmentFormats="0" applyWidthHeightFormats="0">
  <queryTableRefresh preserveSortFilterLayout="0" nextId="32">
    <queryTableFields count="24">
      <queryTableField id="1" name="adm1_name" tableColumnId="1"/>
      <queryTableField id="2" name="adm1_code" tableColumnId="2"/>
      <queryTableField id="3" name="adm2_name" tableColumnId="3"/>
      <queryTableField id="28" dataBound="0" tableColumnId="34"/>
      <queryTableField id="5" name="adm3_name" tableColumnId="5"/>
      <queryTableField id="6" name="adm3_code" tableColumnId="6"/>
      <queryTableField id="26" dataBound="0" tableColumnId="25"/>
      <queryTableField id="8" name="village_code" tableColumnId="8"/>
      <queryTableField id="25" dataBound="0" tableColumnId="24"/>
      <queryTableField id="9" name="deplacement" tableColumnId="9"/>
      <queryTableField id="10" name="periode" tableColumnId="10"/>
      <queryTableField id="11" name="hh" tableColumnId="11"/>
      <queryTableField id="12" name="ind" tableColumnId="12"/>
      <queryTableField id="13" name="raison" tableColumnId="13"/>
      <queryTableField id="14" name="autre_raison" tableColumnId="14"/>
      <queryTableField id="15" name="provenance" tableColumnId="15"/>
      <queryTableField id="16" name="provenance_adm0" tableColumnId="16"/>
      <queryTableField id="17" name="provenance_adm0_nom" tableColumnId="17"/>
      <queryTableField id="30" dataBound="0" tableColumnId="7"/>
      <queryTableField id="29" dataBound="0" tableColumnId="4"/>
      <queryTableField id="20" name="provenance_adm2" tableColumnId="20"/>
      <queryTableField id="21" name="provenance_adm2_nom" tableColumnId="21"/>
      <queryTableField id="22" name="provenance_adm3" tableColumnId="22"/>
      <queryTableField id="23" name="provenance_adm3_nom" tableColumnId="23"/>
    </queryTableFields>
    <queryTableDeletedFields count="4">
      <deletedField name="village_name"/>
      <deletedField name="adm2_code"/>
      <deletedField name="provenance_adm1"/>
      <deletedField name="provenance_adm1_nom"/>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4" connectionId="2" xr16:uid="{8B825D1F-2F47-41CB-A481-F2729AE771B1}" autoFormatId="0" applyNumberFormats="0" applyBorderFormats="0" applyFontFormats="1" applyPatternFormats="1" applyAlignmentFormats="0" applyWidthHeightFormats="0">
  <queryTableRefresh preserveSortFilterLayout="0" nextId="21">
    <queryTableFields count="13">
      <queryTableField id="1" name="departement" tableColumnId="27"/>
      <queryTableField id="19" dataBound="0" tableColumnId="1"/>
      <queryTableField id="2" name="arrondissement" tableColumnId="28"/>
      <queryTableField id="20" dataBound="0" tableColumnId="2"/>
      <queryTableField id="3" name="A_location_team_a_village" tableColumnId="29"/>
      <queryTableField id="4" name="Village" tableColumnId="30"/>
      <queryTableField id="5" name="Accessibilite" tableColumnId="31"/>
      <queryTableField id="6" name="idps" tableColumnId="32"/>
      <queryTableField id="7" name="refugees" tableColumnId="33"/>
      <queryTableField id="8" name="returnees" tableColumnId="34"/>
      <queryTableField id="9" name="motif_retour" tableColumnId="35"/>
      <queryTableField id="12" name="mois" tableColumnId="38"/>
      <queryTableField id="13" name="annee" tableColumnId="39"/>
    </queryTableFields>
    <queryTableDeletedFields count="2">
      <deletedField name="autre_motif"/>
      <deletedField name="Village_Pdi"/>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5" connectionId="3" xr16:uid="{5990C4DD-BE83-4340-909F-827C5AD7BAAB}" autoFormatId="0" applyNumberFormats="0" applyBorderFormats="0" applyFontFormats="1" applyPatternFormats="1" applyAlignmentFormats="0" applyWidthHeightFormats="0">
  <queryTableRefresh preserveSortFilterLayout="0" nextId="23">
    <queryTableFields count="21">
      <queryTableField id="1" name="evaluation_adm2_name" tableColumnId="39"/>
      <queryTableField id="21" dataBound="0" tableColumnId="1"/>
      <queryTableField id="2" name="evaluation_adm3_name" tableColumnId="40"/>
      <queryTableField id="22" dataBound="0" tableColumnId="2"/>
      <queryTableField id="3" name="evaluation_village_name" tableColumnId="41"/>
      <queryTableField id="4" name="village_SSID" tableColumnId="42"/>
      <queryTableField id="5" name="act_idp_hh" tableColumnId="43"/>
      <queryTableField id="6" name="act_idp_ind" tableColumnId="44"/>
      <queryTableField id="7" name="act_ref_hh" tableColumnId="45"/>
      <queryTableField id="8" name="act_ref_ind" tableColumnId="46"/>
      <queryTableField id="9" name="act_ret_hh" tableColumnId="47"/>
      <queryTableField id="10" name="act_ret_ind" tableColumnId="48"/>
      <queryTableField id="11" name="prev_idp_hh" tableColumnId="49"/>
      <queryTableField id="12" name="prev_idp_ind" tableColumnId="50"/>
      <queryTableField id="13" name="prev_ref_hh" tableColumnId="51"/>
      <queryTableField id="14" name="prev_ref_ind" tableColumnId="52"/>
      <queryTableField id="15" name="prev_ret_hh" tableColumnId="53"/>
      <queryTableField id="16" name="prev_ret_ind" tableColumnId="54"/>
      <queryTableField id="17" name="var_idp" tableColumnId="55"/>
      <queryTableField id="18" name="var_ref" tableColumnId="56"/>
      <queryTableField id="19" name="var_ret" tableColumnId="5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E007370-4EC3-463B-B336-E979E31CF52F}" name="Locations" displayName="Locations" ref="A1:S1265" tableType="queryTable" totalsRowShown="0" headerRowDxfId="0" dataDxfId="149">
  <tableColumns count="19">
    <tableColumn id="38" xr3:uid="{8ED77165-296C-4542-8B66-45B35DDF3198}" uniqueName="38" name="Adm1_Name" queryTableFieldId="2" dataDxfId="148"/>
    <tableColumn id="3" xr3:uid="{059EDDAC-66D7-493F-9547-06F5D7E39197}" uniqueName="3" name="Adm1_Name OCHA" queryTableFieldId="21" dataDxfId="102" dataCellStyle="Normal 11"/>
    <tableColumn id="39" xr3:uid="{0CA5D46E-3E8C-4C37-8C92-0921949BDAFC}" uniqueName="39" name="Adm1_code" queryTableFieldId="3" dataDxfId="147"/>
    <tableColumn id="40" xr3:uid="{EC90455D-18D7-4D4D-87AC-594FB310261D}" uniqueName="40" name="Adm2_Name" queryTableFieldId="4" dataDxfId="146"/>
    <tableColumn id="4" xr3:uid="{22266828-4877-4449-AFD8-15C25DDE3A15}" uniqueName="4" name="Adm2_Name OCHA" queryTableFieldId="22" dataDxfId="100" dataCellStyle="Normal 11"/>
    <tableColumn id="41" xr3:uid="{38120229-834A-4CB0-8C01-3B488CE6709A}" uniqueName="41" name="Adm2_code" queryTableFieldId="5" dataDxfId="145"/>
    <tableColumn id="42" xr3:uid="{039CB963-F076-4971-9C13-8147948A8938}" uniqueName="42" name="Adm3_Name" queryTableFieldId="6" dataDxfId="144"/>
    <tableColumn id="5" xr3:uid="{B59992BB-AC0E-48C0-80C0-207DA45D610D}" uniqueName="5" name="Adm3_Name OCHA" queryTableFieldId="23" dataDxfId="101" dataCellStyle="Normal 11"/>
    <tableColumn id="43" xr3:uid="{F62953F6-34F8-4645-96F8-7BC3AD43DD94}" uniqueName="43" name="Adm3_code" queryTableFieldId="7" dataDxfId="143"/>
    <tableColumn id="44" xr3:uid="{5805F402-A36C-41F8-B2C7-2EC681E36DE3}" uniqueName="44" name="Village_code" queryTableFieldId="8" dataDxfId="142"/>
    <tableColumn id="45" xr3:uid="{15D0B1A1-A1ED-4FD3-86DC-500943575307}" uniqueName="45" name="Village_name" queryTableFieldId="9" dataDxfId="141"/>
    <tableColumn id="1" xr3:uid="{EBC5E7E9-5703-43ED-86A8-6F1EE3BE7AEB}" uniqueName="1" name="New_village for this Round" queryTableFieldId="19" dataDxfId="140"/>
    <tableColumn id="48" xr3:uid="{C91FBA5D-A6BB-4FB9-BEC4-66B24F5E9EF8}" uniqueName="48" name="Household_IDPs" queryTableFieldId="12" dataDxfId="139"/>
    <tableColumn id="49" xr3:uid="{50BC465C-E078-4DDD-A801-6A22B34F3745}" uniqueName="49" name="Ind_IDPs" queryTableFieldId="13" dataDxfId="138"/>
    <tableColumn id="50" xr3:uid="{412F4554-E9E1-4371-82D6-606F68CD6CD1}" uniqueName="50" name="Household_Refugees" queryTableFieldId="14" dataDxfId="137"/>
    <tableColumn id="51" xr3:uid="{5C4447BB-7733-44D5-A6BD-0EC6FE04CE88}" uniqueName="51" name="Ind_Refugees" queryTableFieldId="15" dataDxfId="136"/>
    <tableColumn id="52" xr3:uid="{82A32E88-F676-429F-AC58-884433CEA7CE}" uniqueName="52" name="Household_Returnees" queryTableFieldId="16" dataDxfId="135"/>
    <tableColumn id="53" xr3:uid="{56FF1C26-CAB8-496F-B716-29EC03CC4FB1}" uniqueName="53" name="Ind_Returnees" queryTableFieldId="17" dataDxfId="134"/>
    <tableColumn id="2" xr3:uid="{B8BAC6B1-A544-4A0B-84BE-435D2B9D9FDA}" uniqueName="2" name="# TOTAL INDs DEPLACES" queryTableFieldId="20" dataDxfId="133">
      <calculatedColumnFormula>Locations[[#This Row],[Ind_Returnees]]+Locations[[#This Row],[Ind_Refugees]]+Locations[[#This Row],[Ind_IDPs]]</calculatedColumnFormula>
    </tableColumn>
  </tableColumns>
  <tableStyleInfo name="TableStyleQueryPreview"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913653C-C148-4D8A-8A7C-0C897B1528F8}" name="Tableau50939495120121" displayName="Tableau50939495120121" ref="B65:H71" totalsRowCount="1" headerRowDxfId="351" dataDxfId="350" totalsRowDxfId="349">
  <autoFilter ref="B65:H70" xr:uid="{C518D93E-7692-45A8-87A3-74C415265D81}"/>
  <sortState xmlns:xlrd2="http://schemas.microsoft.com/office/spreadsheetml/2017/richdata2" ref="B66:H70">
    <sortCondition ref="B66:B70"/>
  </sortState>
  <tableColumns count="7">
    <tableColumn id="1" xr3:uid="{76E97BD4-CB40-45C2-A942-084457802485}" name="Arrondissements" dataDxfId="348" totalsRowDxfId="347"/>
    <tableColumn id="2" xr3:uid="{9301BDAD-11FD-403C-B666-D9DD0847E9F7}" name="Guidiguis" totalsRowFunction="sum" dataDxfId="346" totalsRowDxfId="345">
      <calculatedColumnFormula>SUMIFS(DisplacementP[Individus],DisplacementP[Statut déplacé],"idp",DisplacementP[adm3_name],Tableau50939495120121[[#This Row],[Arrondissements]], DisplacementP[provenance_adm3_nom],Tableau50939495120121[[#Headers],[Guidiguis]])</calculatedColumnFormula>
    </tableColumn>
    <tableColumn id="3" xr3:uid="{C2B321D7-105A-4C8E-8A2C-69706A0CE787}" name="Kaélé" totalsRowFunction="sum" dataDxfId="344" totalsRowDxfId="343" dataCellStyle="Normal 15">
      <calculatedColumnFormula>SUMIFS(DisplacementP[Individus],DisplacementP[Statut déplacé],"idp",DisplacementP[adm3_name],Tableau50939495120121[[#This Row],[Arrondissements]], DisplacementP[provenance_adm3_nom],Tableau50939495120121[[#Headers],[Kaélé]])</calculatedColumnFormula>
    </tableColumn>
    <tableColumn id="4" xr3:uid="{4EEA122C-4439-4459-9600-04D73E864F96}" name="Mindif" totalsRowFunction="sum" dataDxfId="342" totalsRowDxfId="341">
      <calculatedColumnFormula>SUMIFS(DisplacementP[Individus],DisplacementP[Statut déplacé],"idp",DisplacementP[adm3_name],Tableau50939495120121[[#This Row],[Arrondissements]], DisplacementP[provenance_adm3_nom],Tableau50939495120121[[#Headers],[Mindif]])</calculatedColumnFormula>
    </tableColumn>
    <tableColumn id="5" xr3:uid="{DBDB2890-C2B3-41BC-A192-D7BFAD56B887}" name="Moulvoudaye" totalsRowFunction="sum" dataDxfId="340" totalsRowDxfId="339" dataCellStyle="Normal 15">
      <calculatedColumnFormula>SUMIFS(DisplacementP[Individus],DisplacementP[Statut déplacé],"idp",DisplacementP[adm3_name],Tableau50939495120121[[#This Row],[Arrondissements]], DisplacementP[provenance_adm3_nom],Tableau50939495120121[[#Headers],[Moulvoudaye]])</calculatedColumnFormula>
    </tableColumn>
    <tableColumn id="6" xr3:uid="{F31610A3-36E9-45E4-9483-2F8D49AE9254}" name="Moutourwa" totalsRowFunction="sum" dataDxfId="338" totalsRowDxfId="337">
      <calculatedColumnFormula>SUMIFS(DisplacementP[Individus],DisplacementP[Statut déplacé],"idp",DisplacementP[adm3_name],Tableau50939495120121[[#This Row],[Arrondissements]], DisplacementP[provenance_adm3_nom],Tableau50939495120121[[#Headers],[Moutourwa]])</calculatedColumnFormula>
    </tableColumn>
    <tableColumn id="12" xr3:uid="{34AD335B-6AC1-4BAE-BCA9-8A6AE881D004}" name="Total" totalsRowFunction="sum" dataDxfId="336" totalsRowDxfId="335">
      <calculatedColumnFormula>SUM(Tableau50939495120121[[#This Row],[Guidiguis]:[Moutourwa]])</calculatedColumnFormula>
    </tableColumn>
  </tableColumns>
  <tableStyleInfo name="TableStyleOIM"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0F0E14F-8AF9-4473-A754-CA1EAB8F1262}" name="Tableau50939495120121122" displayName="Tableau50939495120121122" ref="B75:F79" totalsRowCount="1" headerRowDxfId="334" dataDxfId="333" totalsRowDxfId="332">
  <autoFilter ref="B75:F78" xr:uid="{DB3AACF1-8C81-43E2-8BF0-75F8C95D4A34}"/>
  <sortState xmlns:xlrd2="http://schemas.microsoft.com/office/spreadsheetml/2017/richdata2" ref="B76:F78">
    <sortCondition ref="B76:B78"/>
  </sortState>
  <tableColumns count="5">
    <tableColumn id="1" xr3:uid="{3423324D-F80E-4972-9D4F-D05FF1691286}" name="Arrondissements" dataDxfId="331" totalsRowDxfId="330"/>
    <tableColumn id="2" xr3:uid="{20755273-B05A-439C-8643-10D6DA1869B6}" name="Kolofata" totalsRowFunction="sum" dataDxfId="329" totalsRowDxfId="328">
      <calculatedColumnFormula>SUMIFS(DisplacementP[Individus],DisplacementP[Statut déplacé],"idp",DisplacementP[adm3_name],Tableau50939495120121122[[#This Row],[Arrondissements]], DisplacementP[provenance_adm3_nom],Tableau50939495120121122[[#Headers],[Kolofata]])</calculatedColumnFormula>
    </tableColumn>
    <tableColumn id="3" xr3:uid="{6D4CA6A5-1959-4A5E-AE8A-421AF9B299DD}" name="Mora" totalsRowFunction="sum" dataDxfId="327" totalsRowDxfId="326">
      <calculatedColumnFormula>SUMIFS(DisplacementP[Individus],DisplacementP[Statut déplacé],"idp",DisplacementP[adm3_name],Tableau50939495120121122[[#This Row],[Arrondissements]], DisplacementP[provenance_adm3_nom],Tableau50939495120121122[[#Headers],[Mora]])</calculatedColumnFormula>
    </tableColumn>
    <tableColumn id="4" xr3:uid="{EE965516-45DB-4145-8F76-C790D50918B2}" name="Tokombéré" totalsRowFunction="sum" dataDxfId="325" totalsRowDxfId="324">
      <calculatedColumnFormula>SUMIFS(DisplacementP[Individus],DisplacementP[Statut déplacé],"idp",DisplacementP[adm3_name],Tableau50939495120121122[[#This Row],[Arrondissements]], DisplacementP[provenance_adm3_nom],Tableau50939495120121122[[#Headers],[Tokombéré]])</calculatedColumnFormula>
    </tableColumn>
    <tableColumn id="12" xr3:uid="{A047D184-173D-4E18-B5A8-942464BD04D9}" name="Total" totalsRowFunction="sum" dataDxfId="323" totalsRowDxfId="322">
      <calculatedColumnFormula>SUM(Tableau50939495120121122[[#This Row],[Kolofata]:[Tokombéré]])</calculatedColumnFormula>
    </tableColumn>
  </tableColumns>
  <tableStyleInfo name="TableStyleOIM"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5B26EC2-7976-4E6A-806C-864BD1DDE00B}" name="Tableau50939495123" displayName="Tableau50939495123" ref="B83:J91" totalsRowCount="1" headerRowDxfId="321" dataDxfId="320" totalsRowDxfId="319">
  <autoFilter ref="B83:J90" xr:uid="{AE0E6AD8-178C-43B4-9622-E2E80398F6C0}"/>
  <sortState xmlns:xlrd2="http://schemas.microsoft.com/office/spreadsheetml/2017/richdata2" ref="B84:J90">
    <sortCondition ref="B84:B90"/>
  </sortState>
  <tableColumns count="9">
    <tableColumn id="1" xr3:uid="{B82AF232-905E-40C2-B12E-31D7CFA41714}" name="Arrondissements" dataDxfId="318" totalsRowDxfId="317"/>
    <tableColumn id="2" xr3:uid="{431C3F78-42E2-490F-9272-F6F6DC273272}" name="Bourha" totalsRowFunction="sum" dataDxfId="316" totalsRowDxfId="315">
      <calculatedColumnFormula>SUMIFS(DisplacementP[Individus],DisplacementP[Statut déplacé],"idp",DisplacementP[adm3_name],Tableau50939495123[[#This Row],[Arrondissements]], DisplacementP[provenance_adm3_nom],Tableau50939495123[[#Headers],[Bourha]])</calculatedColumnFormula>
    </tableColumn>
    <tableColumn id="3" xr3:uid="{10BAD097-1EE0-4D02-9133-742D0DA29801}" name="Hina" totalsRowFunction="sum" dataDxfId="314" totalsRowDxfId="313">
      <calculatedColumnFormula>SUMIFS(DisplacementP[Individus],DisplacementP[Statut déplacé],"idp",DisplacementP[adm3_name],Tableau50939495123[[#This Row],[Arrondissements]], DisplacementP[provenance_adm3_nom],Tableau50939495123[[#Headers],[Hina]])</calculatedColumnFormula>
    </tableColumn>
    <tableColumn id="4" xr3:uid="{BBF768CA-B5E4-41BC-8199-D83FC5430BDC}" name="Koza" totalsRowFunction="sum" dataDxfId="312" totalsRowDxfId="311">
      <calculatedColumnFormula>SUMIFS(DisplacementP[Individus],DisplacementP[Statut déplacé],"idp",DisplacementP[adm3_name],Tableau50939495123[[#This Row],[Arrondissements]], DisplacementP[provenance_adm3_nom],Tableau50939495123[[#Headers],[Koza]])</calculatedColumnFormula>
    </tableColumn>
    <tableColumn id="5" xr3:uid="{127A1DFD-9F68-4D54-9AF3-8E13BF95651E}" name="Mayo-Moskota" totalsRowFunction="sum" dataDxfId="310" totalsRowDxfId="309">
      <calculatedColumnFormula>SUMIFS(DisplacementP[Individus],DisplacementP[Statut déplacé],"idp",DisplacementP[adm3_name],Tableau50939495123[[#This Row],[Arrondissements]], DisplacementP[provenance_adm3_nom],Tableau50939495123[[#Headers],[Mayo-Moskota]])</calculatedColumnFormula>
    </tableColumn>
    <tableColumn id="6" xr3:uid="{FD843B87-335D-4C0B-95B1-64EC4AE8CE7D}" name="Mogodé" totalsRowFunction="sum" dataDxfId="308" totalsRowDxfId="307">
      <calculatedColumnFormula>SUMIFS(DisplacementP[Individus],DisplacementP[Statut déplacé],"idp",DisplacementP[adm3_name],Tableau50939495123[[#This Row],[Arrondissements]], DisplacementP[provenance_adm3_nom],Tableau50939495123[[#Headers],[Mogodé]])</calculatedColumnFormula>
    </tableColumn>
    <tableColumn id="7" xr3:uid="{F5DDC144-FD6A-4BE4-AD8A-143526D358D6}" name="Mokolo" totalsRowFunction="sum" dataDxfId="306" totalsRowDxfId="305">
      <calculatedColumnFormula>SUMIFS(DisplacementP[Individus],DisplacementP[Statut déplacé],"idp",DisplacementP[adm3_name],Tableau50939495123[[#This Row],[Arrondissements]], DisplacementP[provenance_adm3_nom],Tableau50939495123[[#Headers],[Mokolo]])</calculatedColumnFormula>
    </tableColumn>
    <tableColumn id="8" xr3:uid="{63A177B5-01AA-4A24-B00A-F0123156942A}" name="Soulédé-Roua" totalsRowFunction="sum" dataDxfId="304" totalsRowDxfId="303">
      <calculatedColumnFormula>SUMIFS(DisplacementP[Individus],DisplacementP[Statut déplacé],"idp",DisplacementP[adm3_name],Tableau50939495123[[#This Row],[Arrondissements]], DisplacementP[provenance_adm3_nom],Tableau50939495123[[#Headers],[Soulédé-Roua]])</calculatedColumnFormula>
    </tableColumn>
    <tableColumn id="12" xr3:uid="{A856C0E7-0C49-4091-A006-FBC4E7193595}" name="Total" totalsRowFunction="sum" dataDxfId="302" totalsRowDxfId="301">
      <calculatedColumnFormula>SUM(Tableau50939495123[[#This Row],[Bourha]:[Soulédé-Roua]])</calculatedColumnFormula>
    </tableColumn>
  </tableColumns>
  <tableStyleInfo name="TableStyleOIM"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AD53F2C-26B5-40B1-B0C6-E37AA986A5C5}" name="Tableau50939495135" displayName="Tableau50939495135" ref="Q36:AB47" totalsRowCount="1" headerRowDxfId="300" dataDxfId="299" totalsRowDxfId="298">
  <autoFilter ref="Q36:AB46" xr:uid="{105B87C5-03F3-4647-9306-CF13477B2685}"/>
  <tableColumns count="12">
    <tableColumn id="1" xr3:uid="{F6E44F3A-1EA6-4D67-9ED1-28E04CCED79D}" name="Arrondissements" dataDxfId="297" totalsRowDxfId="296"/>
    <tableColumn id="2" xr3:uid="{29D79806-4BFA-4EAD-8E90-12F447F0C366}" name="Blangoua" totalsRowFunction="sum" dataDxfId="295" totalsRowDxfId="294">
      <calculatedColumnFormula>SUMIFS(DisplacementP[Individus],DisplacementP[adm3_name],Tableau50939495135[[#This Row],[Arrondissements]],DisplacementP[Statut déplacé],"returnee",DisplacementP[provenance_adm3_nom],Tableau50939495135[[#Headers],[Blangoua]])</calculatedColumnFormula>
    </tableColumn>
    <tableColumn id="3" xr3:uid="{1B6AA418-B99F-4381-847F-9EC3DDDF1CE6}" name="Darak" totalsRowFunction="sum" dataDxfId="293" totalsRowDxfId="292">
      <calculatedColumnFormula>SUMIFS(DisplacementP[Individus],DisplacementP[adm3_name],Tableau50939495135[[#This Row],[Arrondissements]],DisplacementP[Statut déplacé],"returnee",DisplacementP[provenance_adm3_nom],Tableau50939495135[[#Headers],[Darak]])</calculatedColumnFormula>
    </tableColumn>
    <tableColumn id="4" xr3:uid="{49CAC192-7837-46C8-89F9-B9ED9F5B153E}" name="Fotokol" totalsRowFunction="sum" dataDxfId="291" totalsRowDxfId="290">
      <calculatedColumnFormula>SUMIFS(DisplacementP[Individus],DisplacementP[adm3_name],Tableau50939495135[[#This Row],[Arrondissements]],DisplacementP[Statut déplacé],"returnee",DisplacementP[provenance_adm3_nom],Tableau50939495135[[#Headers],[Fotokol]])</calculatedColumnFormula>
    </tableColumn>
    <tableColumn id="5" xr3:uid="{CFC2AD3E-888C-4FE7-9545-8AE3D639B5C1}" name="Goulfey" totalsRowFunction="sum" dataDxfId="289" totalsRowDxfId="288">
      <calculatedColumnFormula>SUMIFS(DisplacementP[Individus],DisplacementP[adm3_name],Tableau50939495135[[#This Row],[Arrondissements]],DisplacementP[Statut déplacé],"returnee",DisplacementP[provenance_adm3_nom],Tableau50939495135[[#Headers],[Goulfey]])</calculatedColumnFormula>
    </tableColumn>
    <tableColumn id="6" xr3:uid="{A8C1CE07-E8C6-49C8-BFCE-1632EE1AD83B}" name="Hile-Alifa" totalsRowFunction="sum" dataDxfId="287" totalsRowDxfId="286">
      <calculatedColumnFormula>SUMIFS(DisplacementP[Individus],DisplacementP[adm3_name],Tableau50939495135[[#This Row],[Arrondissements]],DisplacementP[Statut déplacé],"returnee",DisplacementP[provenance_adm3_nom],Tableau50939495135[[#Headers],[Hile-Alifa]])</calculatedColumnFormula>
    </tableColumn>
    <tableColumn id="7" xr3:uid="{DE76944D-536A-40B6-9582-208BA4353EC8}" name="Kousséri" totalsRowFunction="sum" dataDxfId="285" totalsRowDxfId="284">
      <calculatedColumnFormula>SUMIFS(DisplacementP[Individus],DisplacementP[adm3_name],Tableau50939495135[[#This Row],[Arrondissements]],DisplacementP[Statut déplacé],"returnee",DisplacementP[provenance_adm3_nom],Tableau50939495135[[#Headers],[Kousséri]])</calculatedColumnFormula>
    </tableColumn>
    <tableColumn id="8" xr3:uid="{DD237269-3491-43C1-A23E-FEFD48A23B5D}" name="Logone-Birni" totalsRowFunction="sum" dataDxfId="283" totalsRowDxfId="282">
      <calculatedColumnFormula>SUMIFS(DisplacementP[Individus],DisplacementP[adm3_name],Tableau50939495135[[#This Row],[Arrondissements]],DisplacementP[Statut déplacé],"returnee",DisplacementP[provenance_adm3_nom],Tableau50939495135[[#Headers],[Logone-Birni]])</calculatedColumnFormula>
    </tableColumn>
    <tableColumn id="13" xr3:uid="{5C1FA14A-CB94-4464-942F-10A7A526C4F1}" name="Makary" totalsRowFunction="sum" dataDxfId="281" totalsRowDxfId="280">
      <calculatedColumnFormula>SUMIFS(DisplacementP[Individus],DisplacementP[adm3_name],Tableau50939495135[[#This Row],[Arrondissements]],DisplacementP[Statut déplacé],"returnee",DisplacementP[provenance_adm3_nom],Tableau50939495135[[#Headers],[Makary]])</calculatedColumnFormula>
    </tableColumn>
    <tableColumn id="9" xr3:uid="{646EE7ED-5200-4E30-83D2-E361ABA0463A}" name="Waza" totalsRowFunction="sum" dataDxfId="279" totalsRowDxfId="278" dataCellStyle="Normal 15">
      <calculatedColumnFormula>SUMIFS(DisplacementP[Individus],DisplacementP[adm3_name],Tableau50939495135[[#This Row],[Arrondissements]],DisplacementP[Statut déplacé],"returnee",DisplacementP[provenance_adm3_nom],Tableau50939495135[[#Headers],[Waza]])</calculatedColumnFormula>
    </tableColumn>
    <tableColumn id="10" xr3:uid="{DC2C55C8-7846-40C8-A45C-A3DD1CDBE275}" name="Zina" totalsRowFunction="sum" dataDxfId="277" totalsRowDxfId="276" dataCellStyle="Normal 15">
      <calculatedColumnFormula>SUMIFS(DisplacementP[Individus],DisplacementP[adm3_name],Tableau50939495135[[#This Row],[Arrondissements]],DisplacementP[Statut déplacé],"returnee",DisplacementP[provenance_adm3_nom],Tableau50939495135[[#Headers],[Zina]])</calculatedColumnFormula>
    </tableColumn>
    <tableColumn id="12" xr3:uid="{8099ED3F-B797-4817-A766-26166C570E3A}" name="Total" totalsRowFunction="sum" dataDxfId="275" totalsRowDxfId="274">
      <calculatedColumnFormula>SUM(Tableau50939495135[[#This Row],[Blangoua]:[Zina]])</calculatedColumnFormula>
    </tableColumn>
  </tableColumns>
  <tableStyleInfo name="TableStyleOIM"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1D578A1-BCE1-4A6C-97E6-0453BB90FA62}" name="Tableau50939495120121137" displayName="Tableau50939495120121137" ref="Q65:W71" totalsRowCount="1" headerRowDxfId="273" dataDxfId="272" totalsRowDxfId="271">
  <autoFilter ref="Q65:W70" xr:uid="{81D07EF5-5190-47B4-99B4-B49934901EBB}"/>
  <tableColumns count="7">
    <tableColumn id="1" xr3:uid="{80EDA918-9D7B-4A35-9F5C-A98CACE1FF9E}" name="Arrondissements" dataDxfId="270" totalsRowDxfId="269"/>
    <tableColumn id="2" xr3:uid="{AA264459-5BFC-4349-B3B0-7251B66C7BE4}" name="Guidiguis" totalsRowFunction="sum" dataDxfId="268" totalsRowDxfId="267">
      <calculatedColumnFormula>SUMIFS(DisplacementP[Individus],DisplacementP[adm3_name],Tableau50939495120121137[[#This Row],[Arrondissements]],DisplacementP[Statut déplacé],"returnee",DisplacementP[provenance_adm3_nom],Tableau50939495120121137[[#Headers],[Guidiguis]])</calculatedColumnFormula>
    </tableColumn>
    <tableColumn id="3" xr3:uid="{E553867C-A2F5-4966-9439-E1378E1C0EB0}" name="Kaélé" totalsRowFunction="sum" dataDxfId="266" totalsRowDxfId="265" dataCellStyle="Normal 15">
      <calculatedColumnFormula>SUMIFS(DisplacementP[Individus],DisplacementP[adm3_name],Tableau50939495120121137[[#This Row],[Arrondissements]],DisplacementP[Statut déplacé],"returnee",DisplacementP[provenance_adm3_nom],Tableau50939495120121137[[#Headers],[Kaélé]])</calculatedColumnFormula>
    </tableColumn>
    <tableColumn id="4" xr3:uid="{D010E844-0BE0-424A-80BC-305AD41B6DE4}" name="Mindif" totalsRowFunction="sum" dataDxfId="264" totalsRowDxfId="263">
      <calculatedColumnFormula>SUMIFS(DisplacementP[Individus],DisplacementP[adm3_name],Tableau50939495120121137[[#This Row],[Arrondissements]],DisplacementP[Statut déplacé],"returnee",DisplacementP[provenance_adm3_nom],Tableau50939495120121137[[#Headers],[Mindif]])</calculatedColumnFormula>
    </tableColumn>
    <tableColumn id="5" xr3:uid="{EFDC9344-DD8C-413D-9C10-B7E3DDB9538B}" name="Moulvoudaye" totalsRowFunction="sum" dataDxfId="262" totalsRowDxfId="261" dataCellStyle="Normal 15">
      <calculatedColumnFormula>SUMIFS(DisplacementP[Individus],DisplacementP[adm3_name],Tableau50939495120121137[[#This Row],[Arrondissements]],DisplacementP[Statut déplacé],"returnee",DisplacementP[provenance_adm3_nom],Tableau50939495120121137[[#Headers],[Moulvoudaye]])</calculatedColumnFormula>
    </tableColumn>
    <tableColumn id="6" xr3:uid="{9F1A2357-297E-47D7-A212-77E90D87373A}" name="Moutourwa" totalsRowFunction="sum" dataDxfId="260" totalsRowDxfId="259">
      <calculatedColumnFormula>SUMIFS(DisplacementP[Individus],DisplacementP[adm3_name],Tableau50939495120121137[[#This Row],[Arrondissements]],DisplacementP[Statut déplacé],"returnee",DisplacementP[provenance_adm3_nom],Tableau50939495120121137[[#Headers],[Moutourwa]])</calculatedColumnFormula>
    </tableColumn>
    <tableColumn id="12" xr3:uid="{008544CB-31BB-4955-89F0-4309E56E14C7}" name="Total" totalsRowFunction="sum" dataDxfId="258" totalsRowDxfId="257">
      <calculatedColumnFormula>SUM(Tableau50939495120121137[[#This Row],[Guidiguis]:[Moutourwa]])</calculatedColumnFormula>
    </tableColumn>
  </tableColumns>
  <tableStyleInfo name="TableStyleOIM"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E0B2A6C-EA46-4B05-B574-8927F5855C08}" name="Tableau50939495120121122138" displayName="Tableau50939495120121122138" ref="Q75:U79" totalsRowCount="1" headerRowDxfId="256" dataDxfId="255" totalsRowDxfId="254">
  <autoFilter ref="Q75:U78" xr:uid="{075266D3-0380-409F-9D64-009C9B5F7183}"/>
  <tableColumns count="5">
    <tableColumn id="1" xr3:uid="{8D9AA2EF-3E9A-4F24-9EE0-4F405CB00517}" name="Arrondissements" dataDxfId="253" totalsRowDxfId="252"/>
    <tableColumn id="2" xr3:uid="{BB9E9D85-9187-4FD4-8FC6-F40CEDCDB9EB}" name="Kolofata" totalsRowFunction="sum" dataDxfId="251" totalsRowDxfId="250">
      <calculatedColumnFormula>SUMIFS(DisplacementP[Individus],DisplacementP[adm3_name],Tableau50939495120121122138[[#This Row],[Arrondissements]],DisplacementP[Statut déplacé],"returnee",DisplacementP[provenance_adm3_nom],Tableau50939495120121122138[[#Headers],[Kolofata]])</calculatedColumnFormula>
    </tableColumn>
    <tableColumn id="3" xr3:uid="{D2F67B6F-A6CB-44EB-A03A-2E8AE511CB15}" name="Mora" totalsRowFunction="sum" dataDxfId="249" totalsRowDxfId="248">
      <calculatedColumnFormula>SUMIFS(DisplacementP[Individus],DisplacementP[adm3_name],Tableau50939495120121122138[[#This Row],[Arrondissements]],DisplacementP[Statut déplacé],"returnee",DisplacementP[provenance_adm3_nom],Tableau50939495120121122138[[#Headers],[Mora]])</calculatedColumnFormula>
    </tableColumn>
    <tableColumn id="4" xr3:uid="{026A3BAE-EE4C-4DC9-BC65-4A3C986121CB}" name="Tokombéré" totalsRowFunction="sum" dataDxfId="247" totalsRowDxfId="246">
      <calculatedColumnFormula>SUMIFS(DisplacementP[Individus],DisplacementP[adm3_name],Tableau50939495120121122138[[#This Row],[Arrondissements]],DisplacementP[Statut déplacé],"returnee",DisplacementP[provenance_adm3_nom],Tableau50939495120121122138[[#Headers],[Tokombéré]])</calculatedColumnFormula>
    </tableColumn>
    <tableColumn id="12" xr3:uid="{9B407FC0-63EB-450B-B63A-57304E40271C}" name="Total" totalsRowFunction="sum" dataDxfId="245" totalsRowDxfId="244">
      <calculatedColumnFormula>SUM(Tableau50939495120121122138[[#This Row],[Kolofata]:[Tokombéré]])</calculatedColumnFormula>
    </tableColumn>
  </tableColumns>
  <tableStyleInfo name="TableStyleOIM"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F1887125-035E-4187-9AA0-EB5B8951BDC4}" name="Tableau50939495123139" displayName="Tableau50939495123139" ref="Q83:Y91" totalsRowCount="1" headerRowDxfId="243" dataDxfId="242" totalsRowDxfId="241">
  <autoFilter ref="Q83:Y90" xr:uid="{183B99E4-567F-4B23-84B2-927839C72812}"/>
  <tableColumns count="9">
    <tableColumn id="1" xr3:uid="{ADEF9C92-91B5-4CCD-8F94-B6954B8B4B17}" name="Arrondissements" dataDxfId="240" totalsRowDxfId="239"/>
    <tableColumn id="2" xr3:uid="{B9E03409-BD5C-4231-9300-03444279E592}" name="Bourha" totalsRowFunction="sum" dataDxfId="238" totalsRowDxfId="237">
      <calculatedColumnFormula>SUMIFS(DisplacementP[Individus],DisplacementP[adm3_name],Tableau50939495123139[[#This Row],[Arrondissements]],DisplacementP[Statut déplacé],"returnee",DisplacementP[provenance_adm3_nom],Tableau50939495123139[[#Headers],[Bourha]])</calculatedColumnFormula>
    </tableColumn>
    <tableColumn id="3" xr3:uid="{3C719E7E-3ABA-4C46-B06A-684E517CFF5B}" name="Hina" totalsRowFunction="sum" dataDxfId="236" totalsRowDxfId="235">
      <calculatedColumnFormula>SUMIFS(DisplacementP[Individus],DisplacementP[adm3_name],Tableau50939495123139[[#This Row],[Arrondissements]],DisplacementP[Statut déplacé],"returnee",DisplacementP[provenance_adm3_nom],Tableau50939495123139[[#Headers],[Hina]])</calculatedColumnFormula>
    </tableColumn>
    <tableColumn id="4" xr3:uid="{5F56DC91-DF8F-457D-B775-04A742971FC1}" name="Koza" totalsRowFunction="sum" dataDxfId="234" totalsRowDxfId="233">
      <calculatedColumnFormula>SUMIFS(DisplacementP[Individus],DisplacementP[adm3_name],Tableau50939495123139[[#This Row],[Arrondissements]],DisplacementP[Statut déplacé],"returnee",DisplacementP[provenance_adm3_nom],Tableau50939495123139[[#Headers],[Koza]])</calculatedColumnFormula>
    </tableColumn>
    <tableColumn id="5" xr3:uid="{72BE15BF-579D-4C02-99D3-66A4046B4E48}" name="Mayo-Moskota" totalsRowFunction="sum" dataDxfId="232" totalsRowDxfId="231">
      <calculatedColumnFormula>SUMIFS(DisplacementP[Individus],DisplacementP[adm3_name],Tableau50939495123139[[#This Row],[Arrondissements]],DisplacementP[Statut déplacé],"returnee",DisplacementP[provenance_adm3_nom],Tableau50939495123139[[#Headers],[Mayo-Moskota]])</calculatedColumnFormula>
    </tableColumn>
    <tableColumn id="6" xr3:uid="{702B2BC4-C6E1-4F9E-AEB7-7B363DDEAB00}" name="Mogodé" totalsRowFunction="sum" dataDxfId="230" totalsRowDxfId="229">
      <calculatedColumnFormula>SUMIFS(DisplacementP[Individus],DisplacementP[adm3_name],Tableau50939495123139[[#This Row],[Arrondissements]],DisplacementP[Statut déplacé],"returnee",DisplacementP[provenance_adm3_nom],Tableau50939495123139[[#Headers],[Mogodé]])</calculatedColumnFormula>
    </tableColumn>
    <tableColumn id="7" xr3:uid="{10D93CBB-B662-4F78-956F-6988C0898D27}" name="Mokolo" totalsRowFunction="sum" dataDxfId="228" totalsRowDxfId="227">
      <calculatedColumnFormula>SUMIFS(DisplacementP[Individus],DisplacementP[adm3_name],Tableau50939495123139[[#This Row],[Arrondissements]],DisplacementP[Statut déplacé],"returnee",DisplacementP[provenance_adm3_nom],Tableau50939495123139[[#Headers],[Mokolo]])</calculatedColumnFormula>
    </tableColumn>
    <tableColumn id="8" xr3:uid="{4974FCDE-C1E9-4920-BCEF-ABB0BF881D2A}" name="Soulédé-Roua" totalsRowFunction="sum" dataDxfId="226" totalsRowDxfId="225">
      <calculatedColumnFormula>SUMIFS(DisplacementP[Individus],DisplacementP[adm3_name],Tableau50939495123139[[#This Row],[Arrondissements]],DisplacementP[Statut déplacé],"returnee",DisplacementP[provenance_adm3_nom],Tableau50939495123139[[#Headers],[Soulédé-Roua]])</calculatedColumnFormula>
    </tableColumn>
    <tableColumn id="12" xr3:uid="{07065525-496A-4F23-BB80-2B0546E3213B}" name="Total" totalsRowFunction="sum" dataDxfId="224" totalsRowDxfId="223">
      <calculatedColumnFormula>SUM(Tableau50939495123139[[#This Row],[Bourha]:[Soulédé-Roua]])</calculatedColumnFormula>
    </tableColumn>
  </tableColumns>
  <tableStyleInfo name="TableStyleOIM"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5FC4DE6F-AAED-48E0-B8AF-B9037A10C72A}" name="Tableau59140" displayName="Tableau59140" ref="Q8:Z15" totalsRowCount="1" headerRowDxfId="222" dataDxfId="221" totalsRowDxfId="220">
  <autoFilter ref="Q8:Z14" xr:uid="{9037EC76-B8E5-41C4-8A12-FB64B075884A}"/>
  <tableColumns count="10">
    <tableColumn id="1" xr3:uid="{A897E387-AC3D-4EAE-890A-1FF945624529}" name="Départements" dataDxfId="219" totalsRowDxfId="218"/>
    <tableColumn id="2" xr3:uid="{DD6C36BC-0A73-4914-9D4F-95913C736EB0}" name="Diamaré" totalsRowFunction="custom" dataDxfId="217" totalsRowDxfId="216">
      <calculatedColumnFormula>SUMIFS(DisplacementP[Individus],DisplacementP[adm2_name],Tableau59140[[#This Row],[Départements]],DisplacementP[Statut déplacé],"returnee",DisplacementP[provenance_adm2_nom],Tableau59140[[#Headers],[Diamaré]])</calculatedColumnFormula>
      <totalsRowFormula>SUM(R9:R14)</totalsRowFormula>
    </tableColumn>
    <tableColumn id="3" xr3:uid="{584D0C2A-8D65-4EB7-BA0D-0F79EFA91D2A}" name="Logone-Et-Chari" totalsRowFunction="custom" dataDxfId="215" totalsRowDxfId="214">
      <calculatedColumnFormula>SUMIFS(DisplacementP[Individus],DisplacementP[adm2_name],Tableau59140[[#This Row],[Départements]],DisplacementP[Statut déplacé],"returnee",DisplacementP[provenance_adm2_nom],Tableau59140[[#Headers],[Logone-Et-Chari]])</calculatedColumnFormula>
      <totalsRowFormula>SUM(S9:S14)</totalsRowFormula>
    </tableColumn>
    <tableColumn id="4" xr3:uid="{98711E8F-EE24-4D0A-91EA-6345D15F4509}" name="Mayo-Danay" totalsRowFunction="custom" dataDxfId="213" totalsRowDxfId="212">
      <calculatedColumnFormula>SUMIFS(DisplacementP[Individus],DisplacementP[adm2_name],Tableau59140[[#This Row],[Départements]],DisplacementP[Statut déplacé],"returnee",DisplacementP[provenance_adm2_nom],Tableau59140[[#Headers],[Mayo-Danay]])</calculatedColumnFormula>
      <totalsRowFormula>SUM(T9:T14)</totalsRowFormula>
    </tableColumn>
    <tableColumn id="5" xr3:uid="{7EE8311F-8EC7-470C-8E7E-359C6AA2747C}" name="Mayo-Kani" totalsRowFunction="custom" dataDxfId="211" totalsRowDxfId="210">
      <calculatedColumnFormula>SUMIFS(DisplacementP[Individus],DisplacementP[adm2_name],Tableau59140[[#This Row],[Départements]],DisplacementP[Statut déplacé],"returnee",DisplacementP[provenance_adm2_nom],Tableau59140[[#Headers],[Mayo-Kani]])</calculatedColumnFormula>
      <totalsRowFormula>SUM(U9:U14)</totalsRowFormula>
    </tableColumn>
    <tableColumn id="6" xr3:uid="{669A3043-2219-47DC-BEE8-12954D624B5A}" name="Mayo-Sava" totalsRowFunction="custom" dataDxfId="209" totalsRowDxfId="208">
      <calculatedColumnFormula>SUMIFS(DisplacementP[Individus],DisplacementP[adm2_name],Tableau59140[[#This Row],[Départements]],DisplacementP[Statut déplacé],"returnee",DisplacementP[provenance_adm2_nom],Tableau59140[[#Headers],[Mayo-Sava]])</calculatedColumnFormula>
      <totalsRowFormula>SUM(V9:V14)</totalsRowFormula>
    </tableColumn>
    <tableColumn id="7" xr3:uid="{9946F0A7-8EC5-4B84-A80B-77007667E2C4}" name="Mayo-Tsanaga" totalsRowFunction="custom" dataDxfId="207" totalsRowDxfId="206">
      <calculatedColumnFormula>SUMIFS(DisplacementP[Individus],DisplacementP[adm2_name],Tableau59140[[#This Row],[Départements]],DisplacementP[Statut déplacé],"returnee",DisplacementP[provenance_adm2_nom],Tableau59140[[#Headers],[Mayo-Tsanaga]])</calculatedColumnFormula>
      <totalsRowFormula>SUM(W9:W14)</totalsRowFormula>
    </tableColumn>
    <tableColumn id="9" xr3:uid="{D5205811-8E4F-49C0-904C-1D6F193BE12C}" name="Autres Régions" totalsRowFunction="custom" dataDxfId="205" totalsRowDxfId="204">
      <calculatedColumnFormula>(SUMIFS(DisplacementP[Individus],DisplacementP[adm2_name],Tableau59140[[#This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calculatedColumnFormula>
      <totalsRowFormula>SUM(X9:X14)</totalsRowFormula>
    </tableColumn>
    <tableColumn id="8" xr3:uid="{A7122894-51C1-4051-8C8E-408146FFD930}" name="Total" totalsRowFunction="sum" dataDxfId="203" totalsRowDxfId="202">
      <calculatedColumnFormula>SUM(Tableau59140[[#This Row],[Diamaré]:[Autres Régions]])</calculatedColumnFormula>
    </tableColumn>
    <tableColumn id="10" xr3:uid="{13958F85-9104-4FCD-B73B-41D9A2587C1B}" name="Test" dataDxfId="201" totalsRowDxfId="200"/>
  </tableColumns>
  <tableStyleInfo name="TableStyleOIM"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BF3EDCE-E011-417D-BFC5-7F2C7FAC079C}" name="Tableau58142" displayName="Tableau58142" ref="AB8:AG15" totalsRowCount="1" headerRowDxfId="199" dataDxfId="198" totalsRowDxfId="197">
  <tableColumns count="6">
    <tableColumn id="1" xr3:uid="{38E0CFCF-8632-4D46-9F69-3D06269FB0EF}" name="Départements" dataDxfId="196" totalsRowDxfId="195"/>
    <tableColumn id="2" xr3:uid="{BDAA5144-CD13-47A3-A0B0-806BCB0DBB13}" name="Cameroun" totalsRowFunction="custom" dataDxfId="194" totalsRowDxfId="193">
      <calculatedColumnFormula>SUMIFS(DisplacementP[Individus],DisplacementP[Statut déplacé],"returnee",DisplacementP[adm2_name],Tableau58142[[#This Row],[Départements]],DisplacementP[provenance_adm0],"CMR")</calculatedColumnFormula>
      <totalsRowFormula>SUM(AC9:AC14)</totalsRowFormula>
    </tableColumn>
    <tableColumn id="3" xr3:uid="{99EF7C5D-FCE7-4091-8473-A2902E41A651}" name="Nigéria" totalsRowFunction="custom" dataDxfId="192" totalsRowDxfId="191">
      <calculatedColumnFormula>SUMIFS(DisplacementP[Individus],DisplacementP[Statut déplacé],"returnee",DisplacementP[adm2_name],Tableau58142[[#This Row],[Départements]],DisplacementP[provenance_adm0],"NGA")</calculatedColumnFormula>
      <totalsRowFormula>SUM(AD9:AD14)</totalsRowFormula>
    </tableColumn>
    <tableColumn id="4" xr3:uid="{9E35F2BA-67B1-4F4F-B3FF-29E7623A6922}" name="Tchad" totalsRowFunction="sum" dataDxfId="190" totalsRowDxfId="189">
      <calculatedColumnFormula>SUMIFS(DisplacementP[Individus],DisplacementP[Statut déplacé],"returnee",DisplacementP[adm2_name],Tableau58142[[#This Row],[Départements]],DisplacementP[provenance_adm0],"TCD")</calculatedColumnFormula>
    </tableColumn>
    <tableColumn id="5" xr3:uid="{37210CE8-4235-4860-8466-C0DF8A6A6DCD}" name="Centrafrique" totalsRowFunction="sum" dataDxfId="188" totalsRowDxfId="187">
      <calculatedColumnFormula>SUMIFS(DisplacementP[Individus],DisplacementP[Statut déplacé],"returnee",DisplacementP[adm2_name],Tableau58142[[#This Row],[Départements]],DisplacementP[provenance_adm0],"CAR")</calculatedColumnFormula>
    </tableColumn>
    <tableColumn id="6" xr3:uid="{763FF263-F51A-4258-960A-B75314831FB4}" name="Total" totalsRowFunction="sum" dataDxfId="186" totalsRowDxfId="185">
      <calculatedColumnFormula>SUM(Tableau58142[[#This Row],[Cameroun]:[Centrafrique]])</calculatedColumnFormula>
    </tableColumn>
  </tableColumns>
  <tableStyleInfo name="TableStyleOIM"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00A138-6997-4FCD-A0D1-64FAE7267C3F}" name="Table519" displayName="Table519" ref="Q51:Z60" totalsRowShown="0" headerRowDxfId="184" tableBorderDxfId="183">
  <autoFilter ref="Q51:Z60" xr:uid="{E3EE4611-CA77-4458-879E-687A3BC4B6BC}"/>
  <tableColumns count="10">
    <tableColumn id="1" xr3:uid="{CE0F434F-FE19-4666-A942-16E783D5F267}" name="Arrondissements"/>
    <tableColumn id="2" xr3:uid="{8BBF0D34-97B5-4860-8796-626DCED26F5F}" name="Gobo"/>
    <tableColumn id="3" xr3:uid="{154A8C2C-EBB4-4887-BD90-3E91F030F58C}" name="Datchéka"/>
    <tableColumn id="4" xr3:uid="{D7C38DDD-E8CB-4D7F-96F1-6BA983AA75AF}" name="Guémé"/>
    <tableColumn id="5" xr3:uid="{47C2BDA7-25E4-4301-8C5A-65DDA593A93E}" name="Guéré"/>
    <tableColumn id="6" xr3:uid="{C55E7AB0-A8CC-42E1-BD07-CE3C1F66DBB5}" name="Kai-Kai"/>
    <tableColumn id="7" xr3:uid="{E8B0448E-ADD8-4B29-B361-11FC90FB4F67}" name="Maga"/>
    <tableColumn id="8" xr3:uid="{355E3E95-077C-476E-9EBB-1E2B1B36EAF5}" name="Wina"/>
    <tableColumn id="9" xr3:uid="{96B0006A-4736-420B-BCAB-52E63474550B}" name="Yagoua"/>
    <tableColumn id="10" xr3:uid="{017FC75B-BB48-4E82-98F8-F65FCB48CDED}" name="Total"/>
  </tableColumns>
  <tableStyleInfo name="TableStyleOIM"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415A1D4-0822-4AFD-AD80-FB2CC154BF83}" name="Tableau63" displayName="Tableau63" ref="C128:D135" totalsRowCount="1" headerRowDxfId="443" dataDxfId="442" totalsRowDxfId="441">
  <tableColumns count="2">
    <tableColumn id="1" xr3:uid="{D1174F78-3053-45A7-A685-0A3E502C266A}" name="Départements" dataDxfId="440" totalsRowDxfId="439"/>
    <tableColumn id="2" xr3:uid="{DD234CA1-C4BF-4769-9FFE-A9AAA050F21E}" name="villages" totalsRowFunction="custom" dataDxfId="438" totalsRowDxfId="437">
      <calculatedColumnFormula>COUNTIFS(sommaire[Département_nom],Tableau63[[#This Row],[Départements]], sommaire[présence personnes retournées],"oui")</calculatedColumnFormula>
      <totalsRowFormula>SUM(D129:D134)</totalsRowFormula>
    </tableColumn>
  </tableColumns>
  <tableStyleInfo name="TableStyleOIM RET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19622B2-BB9C-4EBF-BDD5-E39E77E755D4}" name="recap_globale" displayName="recap_globale" ref="A1:C49" totalsRowShown="0" headerRowDxfId="182" headerRowBorderDxfId="181" tableBorderDxfId="180" headerRowCellStyle="Normal 15">
  <tableColumns count="3">
    <tableColumn id="1" xr3:uid="{842CC7DE-B943-4C4A-A311-335EB39AEE8F}" name="Departements / Arrondissements" dataDxfId="179" dataCellStyle="Normal 15"/>
    <tableColumn id="2" xr3:uid="{9AA6EA3A-D6BA-4757-9BEA-5115D53CCA9B}" name="DATA MT ROUND 25" dataDxfId="178" dataCellStyle="Normal 15"/>
    <tableColumn id="3" xr3:uid="{AF277DB4-C1DF-4378-A0F5-519E31D500A8}" name="DATA MT ROUND 26" dataDxfId="177" dataCellStyle="Normal 15"/>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5665DD-8BAB-4841-A20D-251A459EFF03}" name="DisplacementP" displayName="DisplacementP" ref="A1:X3024" tableType="queryTable" totalsRowShown="0" headerRowDxfId="175" dataDxfId="174">
  <autoFilter ref="A1:X3024" xr:uid="{155665DD-8BAB-4841-A20D-251A459EFF03}"/>
  <tableColumns count="24">
    <tableColumn id="1" xr3:uid="{BA961697-AE02-4303-9AF4-00EB3AA1E694}" uniqueName="1" name="adm1_name" queryTableFieldId="1" dataDxfId="173"/>
    <tableColumn id="2" xr3:uid="{01ED5100-A3E4-4D0E-A6D6-9D34FDE711EF}" uniqueName="2" name="adm1_code" queryTableFieldId="2" dataDxfId="172"/>
    <tableColumn id="3" xr3:uid="{1E236A3B-563F-4F9E-AB34-DB2905DDE040}" uniqueName="3" name="adm2_name" queryTableFieldId="3" dataDxfId="171"/>
    <tableColumn id="34" xr3:uid="{5AEC9177-6678-4BB3-A422-128EE673B900}" uniqueName="34" name="adm2_code" queryTableFieldId="28" dataDxfId="170" dataCellStyle="Normal 6"/>
    <tableColumn id="5" xr3:uid="{6F8AE9A6-51C1-4AD4-B50E-D77FC5403466}" uniqueName="5" name="adm3_name" queryTableFieldId="5" dataDxfId="169"/>
    <tableColumn id="6" xr3:uid="{52A217F9-98F5-46EB-AA84-B047332B5E21}" uniqueName="6" name="adm3_code" queryTableFieldId="6" dataDxfId="168"/>
    <tableColumn id="25" xr3:uid="{8F5F439E-72CA-4D14-9D7D-EC2CFD455564}" uniqueName="25" name="village_code" queryTableFieldId="26" dataDxfId="167" dataCellStyle="Normal 6"/>
    <tableColumn id="8" xr3:uid="{BD72DA20-06C6-416E-B606-13BA5A128E59}" uniqueName="8" name="village_name" queryTableFieldId="8" dataDxfId="166"/>
    <tableColumn id="24" xr3:uid="{1F231343-45E0-47D7-8555-47FC63B2F7D0}" uniqueName="24" name="New_village for this Round" queryTableFieldId="25" dataDxfId="165"/>
    <tableColumn id="9" xr3:uid="{2497C187-BFEF-47CD-80A0-7DB03BF5E30C}" uniqueName="9" name="Statut déplacé" queryTableFieldId="9" dataDxfId="164"/>
    <tableColumn id="10" xr3:uid="{7A2EE286-D194-490C-ADCF-211B28262EF9}" uniqueName="10" name="période" queryTableFieldId="10" dataDxfId="163"/>
    <tableColumn id="11" xr3:uid="{6398BFF2-9516-4186-A3C1-49FB59BE814A}" uniqueName="11" name="Ménages" queryTableFieldId="11" dataDxfId="162"/>
    <tableColumn id="12" xr3:uid="{138663EE-EA0B-4288-9391-59DCDA979364}" uniqueName="12" name="Individus" queryTableFieldId="12" dataDxfId="161"/>
    <tableColumn id="13" xr3:uid="{572A70BB-E7EC-45AE-A2FB-3C6900DC6989}" uniqueName="13" name="raison" queryTableFieldId="13" dataDxfId="160"/>
    <tableColumn id="14" xr3:uid="{F24976BD-007B-4779-8675-F6F03ABD8286}" uniqueName="14" name="autre_raison" queryTableFieldId="14" dataDxfId="159"/>
    <tableColumn id="15" xr3:uid="{09335B24-FEF6-437D-A839-8A6FDBC22998}" uniqueName="15" name="provenance" queryTableFieldId="15" dataDxfId="158"/>
    <tableColumn id="16" xr3:uid="{7EDDACD9-E3B3-4532-B0DE-CA601EF2BE76}" uniqueName="16" name="provenance_adm0" queryTableFieldId="16" dataDxfId="157"/>
    <tableColumn id="17" xr3:uid="{F99DDBA3-0BBD-4F5C-8D9A-32DA756DE6B4}" uniqueName="17" name="provenance_adm0_nom" queryTableFieldId="17" dataDxfId="156"/>
    <tableColumn id="7" xr3:uid="{05A062FD-716C-4D41-ACEF-3778DDBD9D1F}" uniqueName="7" name="provenance_adm1" queryTableFieldId="30" dataDxfId="155" dataCellStyle="Normal 6"/>
    <tableColumn id="4" xr3:uid="{4460278B-562B-4EEE-9E22-84CD5FA0640B}" uniqueName="4" name="provenance_adm1_nom" queryTableFieldId="29" dataDxfId="154" dataCellStyle="Normal 6"/>
    <tableColumn id="20" xr3:uid="{E44BBD8F-CAA3-4E78-AF37-EC05FF81E478}" uniqueName="20" name="provenance_adm2" queryTableFieldId="20" dataDxfId="153"/>
    <tableColumn id="21" xr3:uid="{F108090E-3859-4D23-8E56-B4D01CF7142F}" uniqueName="21" name="provenance_adm2_nom" queryTableFieldId="21" dataDxfId="152"/>
    <tableColumn id="22" xr3:uid="{9456868D-F5F1-4B2C-9B07-3F2A76A065D9}" uniqueName="22" name="provenance_adm3" queryTableFieldId="22" dataDxfId="151"/>
    <tableColumn id="23" xr3:uid="{210109FD-C4A2-461D-9E44-51018D79BB71}" uniqueName="23" name="provenance_adm3_nom" queryTableFieldId="23" dataDxfId="150"/>
  </tableColumns>
  <tableStyleInfo name="TableStyleQueryPreview"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D8A86-D256-402E-973F-BF7456016D2D}" name="sommaire" displayName="sommaire" ref="A1:CI1264" totalsRowShown="0" headerRowDxfId="94" dataDxfId="93" headerRowBorderDxfId="91" tableBorderDxfId="92" headerRowCellStyle="Normal 6" dataCellStyle="Normal 4">
  <autoFilter ref="A1:CI1264" xr:uid="{BC0D8A86-D256-402E-973F-BF7456016D2D}"/>
  <tableColumns count="87">
    <tableColumn id="1" xr3:uid="{A119F052-C05F-4831-9BCF-F262995FD443}" name="ID Form" dataDxfId="90" dataCellStyle="Normal 4"/>
    <tableColumn id="4" xr3:uid="{66D5EE6D-15C7-479F-9B4F-D479D3BAA63B}" name="Région" dataDxfId="89" dataCellStyle="Normal 4"/>
    <tableColumn id="44" xr3:uid="{E23AA389-98A7-4647-84B5-E03B5BF2710B}" name="Région OCHA" dataCellStyle="Normal 4"/>
    <tableColumn id="5" xr3:uid="{98AE78D8-F653-4B6A-B8FC-A6A3074C6FCD}" name="Région_code" dataDxfId="88" dataCellStyle="Normal 4"/>
    <tableColumn id="6" xr3:uid="{2E4D5B7C-6EB3-4972-949E-ECEECF255E27}" name="Département_nom" dataDxfId="87" dataCellStyle="Normal 4"/>
    <tableColumn id="52" xr3:uid="{7800D742-D597-4F0D-8890-1C4668D046DC}" name="Département_nom_OCHA" dataDxfId="86" dataCellStyle="Normal 4"/>
    <tableColumn id="19" xr3:uid="{AED08B4D-3BC6-4956-91AE-2DE9A87AB795}" name="Département_code" dataDxfId="85" dataCellStyle="Normal 4"/>
    <tableColumn id="8" xr3:uid="{39258468-0386-49B7-8E5C-E875448AC7A3}" name="Arrondissement_nom" dataDxfId="84" dataCellStyle="Normal 4"/>
    <tableColumn id="58" xr3:uid="{128F4045-C133-49BD-B3D8-B88D70AFAC41}" name="Arrondissement_nom_OCHA" dataDxfId="83" dataCellStyle="Normal 4">
      <calculatedColumnFormula>_xlfn.XLOOKUP(sommaire[[#This Row],[Arrondissement_code]],OCHA_GIS!$F:$F,OCHA_GIS!$E:$E,,)</calculatedColumnFormula>
    </tableColumn>
    <tableColumn id="59" xr3:uid="{270C66B7-7BAE-419E-867E-67E4092E0948}" name="Arrondissement_code" dataDxfId="82" dataCellStyle="Normal 4"/>
    <tableColumn id="10" xr3:uid="{6AEFF8F4-799D-4402-A400-9D7A264811A7}" name="village_SSID" dataDxfId="81"/>
    <tableColumn id="11" xr3:uid="{2511F693-76B0-495C-8249-F37202672002}" name="village_name" dataDxfId="80" dataCellStyle="Normal 4"/>
    <tableColumn id="12" xr3:uid="{63A608D4-6284-4346-8798-685F77879AE9}" name="nouveau_village" dataDxfId="79" dataCellStyle="Normal 4"/>
    <tableColumn id="49" xr3:uid="{CBADB5CF-C35F-4B8C-8507-EBC10D36410D}" name="Type de zone de l’évaluation" dataDxfId="78" dataCellStyle="Normal 4"/>
    <tableColumn id="2" xr3:uid="{6887FDA2-8282-4119-BFB6-96AD2B8EFBCA}" name="Type de localité" dataDxfId="77" dataCellStyle="Normal 4"/>
    <tableColumn id="3" xr3:uid="{7FED84ED-B0C0-4889-ADDB-7694EE2CA92A}" name=" Méthodologie/Informateur clé" dataDxfId="76" dataCellStyle="Normal 4"/>
    <tableColumn id="16" xr3:uid="{208FEB12-7595-4A78-9AF9-3CBC560077F7}" name="Méthodologie/Groupe de discussion" dataDxfId="75" dataCellStyle="Normal 4"/>
    <tableColumn id="15" xr3:uid="{12ED7E51-C2D3-4557-9F9A-1F16627C33B3}" name="Méthodologie/Observation directe" dataDxfId="74" dataCellStyle="Normal 4"/>
    <tableColumn id="83" xr3:uid="{5B25EE78-C8D2-419E-BB4A-95302D560D3F}" name="nombre de participants réunis pour le groupe de discussion" dataDxfId="73" dataCellStyle="Normal 4"/>
    <tableColumn id="20" xr3:uid="{177FBF01-DBB8-45D3-A017-625C4DA308C3}" name="nombre informateurs clés" dataDxfId="72" dataCellStyle="Normal 4"/>
    <tableColumn id="21" xr3:uid="{DBB2A7DB-F383-4ACE-8550-39AF686A7222}" name="accessibilté" dataDxfId="71" dataCellStyle="Normal 4"/>
    <tableColumn id="22" xr3:uid="{A8035243-3070-4FB0-9B80-99BDC6BE1BF5}" name="raison-inaccessibilite" dataDxfId="70" dataCellStyle="Normal 4"/>
    <tableColumn id="23" xr3:uid="{574A00A3-5A90-4776-9D40-1D5666F677AE}" name="présence_population" dataDxfId="69" dataCellStyle="Normal 4"/>
    <tableColumn id="24" xr3:uid="{65898D16-7C98-44B5-B096-C173B7C5D7A3}" name="état du village" dataDxfId="68" dataCellStyle="Normal 4"/>
    <tableColumn id="25" xr3:uid="{849D466F-9305-4F2C-ABD5-F12E92A11612}" name="Causes destruction village" dataDxfId="67" dataCellStyle="Normal 4"/>
    <tableColumn id="26" xr3:uid="{163A6B6F-9F08-48BB-8653-452798DB78EF}" name="Autre cause destruction du village" dataDxfId="66" dataCellStyle="Normal 4"/>
    <tableColumn id="27" xr3:uid="{27D2D387-AC9C-4A04-BBCE-7662621B92FD}" name="village-acceuille-pop-cible(dpi_ref_ret)" dataDxfId="65" dataCellStyle="Normal 4"/>
    <tableColumn id="28" xr3:uid="{A818278C-CE77-4D75-90B4-AD8AAA84372F}" name="presence de la majorite" dataDxfId="64" dataCellStyle="Normal 4"/>
    <tableColumn id="17" xr3:uid="{DBBE7D23-7F94-4414-AA63-D2F34A7954AB}" name="Autre contexte de presence" dataDxfId="63" dataCellStyle="Normal 4"/>
    <tableColumn id="29" xr3:uid="{10302430-D028-42B5-BF88-84BD33F61FD1}" name="existence d'un site de déplacés" dataDxfId="62" dataCellStyle="Normal 4"/>
    <tableColumn id="30" xr3:uid="{4550519A-A4C3-46B7-94DB-27191F777024}" name="Nombre de site" dataDxfId="61" dataCellStyle="Normal 4"/>
    <tableColumn id="31" xr3:uid="{B53E6639-3A4B-4FA6-9C26-3BB17AB6C60E}" name="nombre de ménage PDI" dataDxfId="60" dataCellStyle="Normal 4"/>
    <tableColumn id="32" xr3:uid="{7939F34A-19F8-4561-A9FD-C970648B6C25}" name="population globale du village" dataDxfId="59" dataCellStyle="Normal 4"/>
    <tableColumn id="33" xr3:uid="{476A5709-8A39-41BF-ACE6-635244724FD4}" name="présence des personnes déplacés interne" dataDxfId="58" dataCellStyle="Normal 4"/>
    <tableColumn id="34" xr3:uid="{219012EC-E0F8-4CFF-9E0D-5671B4400ADA}" name="nombre de déplacement" dataDxfId="57" dataCellStyle="Normal 4"/>
    <tableColumn id="35" xr3:uid="{76D49491-AD7C-4095-AA6A-CE0AD5314888}" name="PDI_ménages" dataDxfId="56" dataCellStyle="Normal 4"/>
    <tableColumn id="36" xr3:uid="{03E08D9E-D89A-4FBC-985E-92E40DBBC0E8}" name="PDI_individus" dataDxfId="55" dataCellStyle="Normal 4"/>
    <tableColumn id="37" xr3:uid="{B1B0D469-46EB-49A5-A3F4-4E4E515528A9}" name="PDI_individus_homme" dataDxfId="54" dataCellStyle="Normal 4"/>
    <tableColumn id="38" xr3:uid="{E64EDEAA-053D-43A1-9367-20ED4D8A5E18}" name="PDI_individus_femme" dataDxfId="53" dataCellStyle="Normal 4"/>
    <tableColumn id="39" xr3:uid="{2A1BB817-B64F-4335-8E9C-DC2DE82C9070}" name="PDI_domicile personnel" dataDxfId="52" dataCellStyle="Normal 4"/>
    <tableColumn id="40" xr3:uid="{0EE1664C-44FB-4560-8F6D-BC4090FD8D07}" name="PDI_famille d'accueil (à titre gratuit)" dataDxfId="51" dataCellStyle="Normal 4"/>
    <tableColumn id="91" xr3:uid="{ED942A73-D05F-4DFF-BB5C-8BF8241C7D32}" name="PDI_famille d'accueil (contre travaux domestiques ou des champs)" dataDxfId="50" dataCellStyle="Normal 4"/>
    <tableColumn id="41" xr3:uid="{02EB3AC8-5245-4420-8470-267039AE3CA0}" name="PDI_en location" dataDxfId="49" dataCellStyle="Normal 4"/>
    <tableColumn id="42" xr3:uid="{54CAC471-761B-4655-BF91-30ACA7F47513}" name="PDI_en location_details" dataDxfId="48" dataCellStyle="Normal 4"/>
    <tableColumn id="47" xr3:uid="{90EDFD5A-F277-4613-997F-0EE081EC7136}" name="PDI_autre type location" dataDxfId="47" dataCellStyle="Normal 4"/>
    <tableColumn id="43" xr3:uid="{4F347B4A-2232-4446-87D0-429CAC04229E}" name="PDI_centre collectif" dataDxfId="46" dataCellStyle="Normal 4"/>
    <tableColumn id="45" xr3:uid="{8F97EB12-E5A7-468B-975F-EDC354705F46}" name="PDI_abris spontané" dataDxfId="45" dataCellStyle="Normal 4"/>
    <tableColumn id="50" xr3:uid="{13D847EF-31FF-41F5-8537-B3AEBFEFAABA}" name="PDI_abris-spont-details" dataDxfId="44" dataCellStyle="Normal 4"/>
    <tableColumn id="51" xr3:uid="{28966CC5-6382-4F62-AA66-35EFE24DE560}" name="PDI_autre-type-abris" dataDxfId="43" dataCellStyle="Normal 4"/>
    <tableColumn id="46" xr3:uid="{56756845-B49E-4CBF-B477-19B003B9E877}" name="PDI_air libre" dataDxfId="42" dataCellStyle="Normal 4"/>
    <tableColumn id="53" xr3:uid="{BDD2B0C0-2260-44E8-B87A-5A4EE5F9984D}" name="présence Réfugié hors camp" dataDxfId="41" dataCellStyle="Normal 4"/>
    <tableColumn id="54" xr3:uid="{9D2419B5-9052-474E-8DE9-0EBB7D6A06C1}" name="REF_ménages" dataDxfId="40" dataCellStyle="Normal 4"/>
    <tableColumn id="55" xr3:uid="{914747D0-9418-4954-B218-44932CFCB0FC}" name="REF_individus" dataDxfId="39" dataCellStyle="Normal 4"/>
    <tableColumn id="56" xr3:uid="{CE6EC1C9-5220-43D1-BA91-42F0EADD2667}" name="REF_individus homme" dataDxfId="38" dataCellStyle="Normal 4"/>
    <tableColumn id="57" xr3:uid="{96E92EC2-D555-4E6F-BFB8-0245FFB200B1}" name="REF_individus femme" dataDxfId="37" dataCellStyle="Normal 4"/>
    <tableColumn id="70" xr3:uid="{266D16E0-C9AA-4870-8838-E471E7C0646E}" name="REF_famille d'accueil (à titre gratuit)" dataDxfId="36" dataCellStyle="Normal 4"/>
    <tableColumn id="92" xr3:uid="{52D07BC5-45D1-4614-BC89-CDE30DE61397}" name="REF_famille d'accueil (contre travaux domestiques ou des champs)" dataDxfId="35" dataCellStyle="Normal 4"/>
    <tableColumn id="71" xr3:uid="{4F25E652-1A02-494D-9723-B122EDDD9A98}" name="REF_en location" dataDxfId="34" dataCellStyle="Normal 4"/>
    <tableColumn id="72" xr3:uid="{1885F09B-88AB-47FB-8896-4BA3FD0F1BE4}" name="REF_en location_details" dataDxfId="33" dataCellStyle="Normal 4"/>
    <tableColumn id="73" xr3:uid="{1C24029E-AEA5-44B0-9E98-26771FCF8002}" name="REF_centre collectif" dataDxfId="32" dataCellStyle="Normal 4"/>
    <tableColumn id="75" xr3:uid="{8CEAF88D-B1F0-44D6-98D2-CB1F63849297}" name="REF_abris spontané" dataDxfId="31" dataCellStyle="Normal 4"/>
    <tableColumn id="103" xr3:uid="{1F94FA11-E68C-4F2E-8EE9-B9EF4BE6CC2E}" name="REF_abris spontané_details" dataDxfId="30" dataCellStyle="Normal 4"/>
    <tableColumn id="190" xr3:uid="{72192024-38A4-4939-A10A-630BC16F27E4}" name="REF_autre-type-abris" dataDxfId="29" dataCellStyle="Normal 4"/>
    <tableColumn id="76" xr3:uid="{03DCCE2D-F1AB-47C8-9745-75C082E0A8FB}" name="REF_air libre" dataDxfId="28" dataCellStyle="Normal 4"/>
    <tableColumn id="18" xr3:uid="{EEE54AA1-66F4-4D23-8333-F5DD94B59155}" name="Nombre de ménages REF ENREGISTRÉS" dataDxfId="27" dataCellStyle="Normal 4"/>
    <tableColumn id="86" xr3:uid="{002157BE-8C0A-4589-82DB-422176888495}" name="présence personnes retournées" dataDxfId="26" dataCellStyle="Normal 4"/>
    <tableColumn id="87" xr3:uid="{AD526D1B-596A-49FA-8579-A8667B537203}" name="RET_Menages" dataDxfId="25" dataCellStyle="Normal 4"/>
    <tableColumn id="88" xr3:uid="{3F378751-CEF6-419E-88AA-B07E24FC6BEA}" name="RET_individus" dataDxfId="24" dataCellStyle="Normal 4"/>
    <tableColumn id="89" xr3:uid="{7934040B-628F-4063-8636-84BC24FDAA0C}" name="RET_individus homme" dataDxfId="23" dataCellStyle="Normal 4"/>
    <tableColumn id="90" xr3:uid="{4D85D4C6-4C63-413F-ADE4-DB349362414F}" name="RET_individus femme" dataDxfId="22" dataCellStyle="Normal 4"/>
    <tableColumn id="48" xr3:uid="{A6B743C8-18CC-45B4-8E66-4E5013828A20}" name="durée du déplacement pour la majorité des retournés présents dans la localité" dataDxfId="21" dataCellStyle="Normal 4"/>
    <tableColumn id="104" xr3:uid="{3CB0FC28-9F1B-4B42-95E2-2C93AB81F0E5}" name="RET_NOUVEAU_domicile personnel" dataDxfId="20" dataCellStyle="Normal 4"/>
    <tableColumn id="105" xr3:uid="{8DD057CA-F61B-4B71-94BD-2A23DBCA7EF1}" name="RET_habitat initial" dataDxfId="19" dataCellStyle="Normal 4"/>
    <tableColumn id="106" xr3:uid="{73C7265B-8746-42E6-8A48-85AEEAB4D3C6}" name="RET_famille d'accueil (à titre gratuit)" dataDxfId="18" dataCellStyle="Normal 4"/>
    <tableColumn id="191" xr3:uid="{C0A6E78E-913D-4BD8-B823-BC919231EDD8}" name="RET_famille d'accueil (contre travaux domestiques ou des champs)" dataDxfId="17" dataCellStyle="Normal 4"/>
    <tableColumn id="107" xr3:uid="{5ECAE607-3784-4F1D-965D-543E90FCFDF1}" name="RET_en location" dataDxfId="16" dataCellStyle="Normal 4"/>
    <tableColumn id="108" xr3:uid="{D61D400B-4482-4686-9B1E-DCD06E4CAAAA}" name="RET_en location details" dataDxfId="15" dataCellStyle="Normal 4"/>
    <tableColumn id="109" xr3:uid="{91861EB8-C4E2-4F50-BB0A-4AB5106DAFFC}" name="RET_centre collectif" dataDxfId="14" dataCellStyle="Normal 4"/>
    <tableColumn id="111" xr3:uid="{550963BB-F63A-478A-81A0-B00B2EF0B029}" name="RET_abris spontané" dataDxfId="13" dataCellStyle="Normal 4"/>
    <tableColumn id="113" xr3:uid="{5C807151-568A-41DB-A6D8-017B0A6EBE60}" name="d-abris-spont-details" dataDxfId="12" dataCellStyle="Normal 4"/>
    <tableColumn id="112" xr3:uid="{12109379-B9B3-4501-B308-15F6244C757A}" name="RET_air libre" dataDxfId="11" dataCellStyle="Normal 4"/>
    <tableColumn id="128" xr3:uid="{1E5144B9-5087-434C-9729-D52BD9D8AD39}" name="Menages à reunir" dataDxfId="10" dataCellStyle="Normal 4"/>
    <tableColumn id="129" xr3:uid="{FD1E1236-C7C3-4CE4-A269-D25F9EA04212}" name="existence de service indisponible" dataDxfId="9" dataCellStyle="Normal 4"/>
    <tableColumn id="60" xr3:uid="{9AE5218A-7D41-475F-9D88-B93668222DCE}" name="Flag PDI" dataDxfId="8" dataCellStyle="Normal 4">
      <calculatedColumnFormula>IF([1]!sommaire[[#This Row],[présence des personnes déplacés interne]]="Oui","1","0")</calculatedColumnFormula>
    </tableColumn>
    <tableColumn id="61" xr3:uid="{E7885F0F-7AFE-4E19-9160-2118C3F59A69}" name="Flag REF" dataDxfId="7" dataCellStyle="Normal 4">
      <calculatedColumnFormula>IF([1]!sommaire[[#This Row],[présence Réfugié hors camp]]="Oui","1","0")</calculatedColumnFormula>
    </tableColumn>
    <tableColumn id="62" xr3:uid="{943E74D8-0CC4-456D-A88D-48AE9DE42E3A}" name="Flag RET" dataDxfId="6" dataCellStyle="Normal 4">
      <calculatedColumnFormula>IF([1]!sommaire[[#This Row],[présence personnes retournées]]="Oui","1","0")</calculatedColumnFormula>
    </tableColumn>
    <tableColumn id="63" xr3:uid="{2CC692D9-9F44-49D2-BB30-7437541311DE}" name="Flag total" dataDxfId="5" dataCellStyle="Normal 4">
      <calculatedColumnFormula>[1]!sommaire[[#This Row],[Flag PDI]]+[1]!sommaire[[#This Row],[Flag REF]]+[1]!sommaire[[#This Row],[Flag RET]]</calculatedColumnFormula>
    </tableColumn>
  </tableColumns>
  <tableStyleInfo name="TableStyleMedium4"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2B30E5A-72B3-4F07-8805-E348DAEC679D}" name="Table5" displayName="Table5" ref="A1:F364" totalsRowShown="0">
  <autoFilter ref="A1:F364" xr:uid="{F2B30E5A-72B3-4F07-8805-E348DAEC679D}"/>
  <tableColumns count="6">
    <tableColumn id="1" xr3:uid="{4E14928F-75FD-4B43-A7DD-F4A9B2FBCCAC}" name="ADM1_NAME"/>
    <tableColumn id="2" xr3:uid="{573B8D48-ADF0-4B3F-8AC8-AD663C447F4C}" name="ADM1_CODE"/>
    <tableColumn id="5" xr3:uid="{BD113C42-FBE5-4B07-B91B-ED415B091318}" name="ADM2_NAME"/>
    <tableColumn id="6" xr3:uid="{0BAF357A-38BC-44D5-B7CC-67544FF09E46}" name="ADM2_CODE"/>
    <tableColumn id="9" xr3:uid="{E0D8C8E7-5C01-4DAA-A4FB-43BF318699A8}" name="ADM3_NAME"/>
    <tableColumn id="10" xr3:uid="{F33F7501-C8EF-42FB-94DF-B95F0FC13422}" name="ADM3_CODE"/>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B438DEB-A65C-41B2-8E03-0DC8F8EB19A0}" name="focus_retournes" displayName="focus_retournes" ref="A2:M632" tableType="queryTable" totalsRowShown="0" headerRowDxfId="132" dataDxfId="131">
  <tableColumns count="13">
    <tableColumn id="27" xr3:uid="{29B2FB41-14E5-439F-9499-0EE06A0B6E91}" uniqueName="27" name="departement" queryTableFieldId="1" dataDxfId="130"/>
    <tableColumn id="1" xr3:uid="{D44B240D-E8FB-4B40-8184-48FE5D2CEB8F}" uniqueName="1" name="departement OCHA" queryTableFieldId="19" dataDxfId="99" dataCellStyle="Normal 12"/>
    <tableColumn id="28" xr3:uid="{2F69432D-87C7-43FE-A06C-3E3D151F433A}" uniqueName="28" name="arrondissement" queryTableFieldId="2" dataDxfId="129"/>
    <tableColumn id="2" xr3:uid="{B46DC897-BE41-4A49-8966-5A9C2348FF83}" uniqueName="2" name="arrondissement OCHA" queryTableFieldId="20" dataDxfId="98" dataCellStyle="Normal 12"/>
    <tableColumn id="29" xr3:uid="{CA22BB37-B169-4A15-97E8-F1037EA02B59}" uniqueName="29" name="SSID_Village" queryTableFieldId="3" dataDxfId="128"/>
    <tableColumn id="30" xr3:uid="{8B4AB82F-FBFE-4405-9940-7C0D9C83D749}" uniqueName="30" name="Village_Name" queryTableFieldId="4" dataDxfId="127"/>
    <tableColumn id="31" xr3:uid="{F67D0C24-6CA5-457C-87FD-7143206A8008}" uniqueName="31" name="New_village for this Round" queryTableFieldId="5" dataDxfId="126"/>
    <tableColumn id="32" xr3:uid="{08717248-0C85-403A-9BDF-BFA5BFF0F2D9}" uniqueName="32" name="Statut" queryTableFieldId="6" dataDxfId="125"/>
    <tableColumn id="33" xr3:uid="{32F6E67B-EABC-4137-9381-FAE52A0A2027}" uniqueName="33" name="periode" queryTableFieldId="7" dataDxfId="124"/>
    <tableColumn id="34" xr3:uid="{D1676E7E-2097-4F7D-B4C9-2056F2697A9C}" uniqueName="34" name="hh" queryTableFieldId="8" dataDxfId="123"/>
    <tableColumn id="35" xr3:uid="{2B98E4C3-AEA6-4927-93D0-7EDDEB6F7970}" uniqueName="35" name="ind" queryTableFieldId="9" dataDxfId="122"/>
    <tableColumn id="38" xr3:uid="{F3348536-0295-49C8-959C-91566DA1FFE2}" uniqueName="38" name="motif_de_retour" queryTableFieldId="12" dataDxfId="121"/>
    <tableColumn id="39" xr3:uid="{ED2AFF06-D43E-4737-8934-A102E849280B}" uniqueName="39" name="autre_motif_de_retour" queryTableFieldId="13" dataDxfId="120"/>
  </tableColumns>
  <tableStyleInfo name="TableStyleQueryPreview"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DF69551-102E-476E-B332-26D1AB2C89B9}" name="comparaison_samebasis_villages" displayName="comparaison_samebasis_villages" ref="O2:AI1193" tableType="queryTable" totalsRowShown="0" headerRowDxfId="95" dataDxfId="119">
  <tableColumns count="21">
    <tableColumn id="39" xr3:uid="{B32DACC7-AD07-4336-BE98-621D795436F8}" uniqueName="39" name="Adm2_name" queryTableFieldId="1"/>
    <tableColumn id="1" xr3:uid="{3CED8179-5111-4D5E-8CA2-70DF2643DE59}" uniqueName="1" name="Adm2_name OCHA" queryTableFieldId="21" dataDxfId="97" dataCellStyle="Normal 12"/>
    <tableColumn id="40" xr3:uid="{BC4A50E2-92D8-445B-8694-CDDEC8D3ABA5}" uniqueName="40" name="Adm3_name" queryTableFieldId="2"/>
    <tableColumn id="2" xr3:uid="{85BB2F41-5DF6-4D2D-B99A-06A5043A4FAF}" uniqueName="2" name="Adm3_name OCHA" queryTableFieldId="22" dataDxfId="96" dataCellStyle="Normal 12"/>
    <tableColumn id="41" xr3:uid="{33FA5249-4A74-4DA1-BE6B-F440F5AF7577}" uniqueName="41" name="village_name" queryTableFieldId="3"/>
    <tableColumn id="42" xr3:uid="{6E540C05-D9D9-4C4A-8633-34C43383FFA5}" uniqueName="42" name="village_SSID" queryTableFieldId="4"/>
    <tableColumn id="43" xr3:uid="{4F2782A8-7860-4366-A482-E5A136AE9EA0}" uniqueName="43" name="actual idp_hh" queryTableFieldId="5" dataDxfId="118"/>
    <tableColumn id="44" xr3:uid="{218D2156-BE66-4C8E-9E9A-920F8A74F6AB}" uniqueName="44" name="actual idp_ind" queryTableFieldId="6" dataDxfId="117"/>
    <tableColumn id="45" xr3:uid="{69F63F6E-8A1C-44E5-80B4-2EBA72D99E2E}" uniqueName="45" name="actual ref_hh" queryTableFieldId="7" dataDxfId="116"/>
    <tableColumn id="46" xr3:uid="{520ED305-1694-4432-8F52-33C5E17D34B7}" uniqueName="46" name="actual ref_ind" queryTableFieldId="8" dataDxfId="115"/>
    <tableColumn id="47" xr3:uid="{05426C07-B98A-4BC8-B8B2-09EF02CE8118}" uniqueName="47" name="actual ret_hh" queryTableFieldId="9" dataDxfId="114"/>
    <tableColumn id="48" xr3:uid="{602A4710-48DC-43F6-ADA3-49C6A17484BC}" uniqueName="48" name="actual ret_ind" queryTableFieldId="10" dataDxfId="113"/>
    <tableColumn id="49" xr3:uid="{8DBCD159-B41B-4491-BE81-5D8ED3CEA672}" uniqueName="49" name="previous idp_hh" queryTableFieldId="11" dataDxfId="112"/>
    <tableColumn id="50" xr3:uid="{3223653F-68BC-408B-808E-476C0A65F100}" uniqueName="50" name="previous idp_ind" queryTableFieldId="12" dataDxfId="111"/>
    <tableColumn id="51" xr3:uid="{93221E2E-9E2E-405C-80C7-C1F4363184FD}" uniqueName="51" name="previous ref_hh" queryTableFieldId="13" dataDxfId="110"/>
    <tableColumn id="52" xr3:uid="{E706DA74-4DAB-4426-9FA8-17771F786A24}" uniqueName="52" name="previous ref_ind" queryTableFieldId="14" dataDxfId="109"/>
    <tableColumn id="53" xr3:uid="{CD27A8D4-7632-483F-BD96-B5B8D359AA59}" uniqueName="53" name="previous ret_hh" queryTableFieldId="15" dataDxfId="108"/>
    <tableColumn id="54" xr3:uid="{1EE897D4-3EF7-4B41-A499-F2A78862A15D}" uniqueName="54" name="previous ret_ind" queryTableFieldId="16" dataDxfId="107"/>
    <tableColumn id="55" xr3:uid="{E599E487-BBC0-4EE2-8C38-DD759460CFBF}" uniqueName="55" name="variation idp" queryTableFieldId="17" dataDxfId="106"/>
    <tableColumn id="56" xr3:uid="{11BD1459-1697-448E-97DC-2A2A02E0FAE5}" uniqueName="56" name="variation ref" queryTableFieldId="18" dataDxfId="105"/>
    <tableColumn id="57" xr3:uid="{DC8B5B01-70A7-4641-B92A-707DC380977A}" uniqueName="57" name="variation ret" queryTableFieldId="19" dataDxfId="104"/>
  </tableColumns>
  <tableStyleInfo name="TableStyleQueryPreview"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9B29F23-D134-4276-AB0C-5BB99A7D71CF}" name="Tableau6365" displayName="Tableau6365" ref="C84:D91" totalsRowCount="1" headerRowDxfId="436" dataDxfId="435" totalsRowDxfId="434">
  <tableColumns count="2">
    <tableColumn id="1" xr3:uid="{A3AFBA2A-7256-4C01-AD1E-ADE46299E097}" name="Départements" dataDxfId="433" totalsRowDxfId="432"/>
    <tableColumn id="2" xr3:uid="{3506035E-11B2-4D7B-AF1C-671B13133E0E}" name="villages" totalsRowFunction="custom" dataDxfId="431" totalsRowDxfId="430">
      <calculatedColumnFormula>COUNTIFS(sommaire[Département_nom],Tableau6365[[#This Row],[Départements]], sommaire[présence Réfugié hors camp], "oui")</calculatedColumnFormula>
      <totalsRowFormula>SUM(D85:D90)</totalsRowFormula>
    </tableColumn>
  </tableColumns>
  <tableStyleInfo name="TableStyleOIM REF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B72621C-918D-4DCD-B6C6-3039D1DB2197}" name="Tableau6366" displayName="Tableau6366" ref="C35:D42" totalsRowCount="1" headerRowDxfId="429" dataDxfId="428" totalsRowDxfId="427">
  <tableColumns count="2">
    <tableColumn id="1" xr3:uid="{A9509EA0-5D22-450D-8588-346A6CB6A4C7}" name="Départements" dataDxfId="426" totalsRowDxfId="425" totalsRowCellStyle="Normal 14"/>
    <tableColumn id="2" xr3:uid="{2BBA0A50-1058-4635-8414-3776094D4228}" name="villages" totalsRowFunction="custom" dataDxfId="424" totalsRowDxfId="423" totalsRowCellStyle="Normal 14">
      <calculatedColumnFormula>COUNTIFS(sommaire[Département_nom],Tableau6366[[#This Row],[Départements]],sommaire[présence des personnes déplacés interne],"oui")</calculatedColumnFormula>
      <totalsRowFormula>SUM(D36:D41)</totalsRowFormula>
    </tableColumn>
  </tableColumns>
  <tableStyleInfo name="TableStyleOIM IDP"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1136992-384E-435C-8EFC-BDA0188391B7}" name="Tableau6366154" displayName="Tableau6366154" ref="T35:U42" totalsRowCount="1" headerRowDxfId="422" dataDxfId="421" totalsRowDxfId="420">
  <autoFilter ref="T35:U41" xr:uid="{1F34C44D-A03F-4FCB-AFCD-01E466644B94}"/>
  <tableColumns count="2">
    <tableColumn id="1" xr3:uid="{AFCF7968-A67C-4D91-9C90-BC025DEA254F}" name="Departments" dataDxfId="419" totalsRowDxfId="418"/>
    <tableColumn id="2" xr3:uid="{940BEB65-70AE-42F7-A68B-5F682AE2F158}" name="villages" totalsRowFunction="custom" dataDxfId="417" totalsRowDxfId="416">
      <calculatedColumnFormula>Tableau6366[[#This Row],[villages]]</calculatedColumnFormula>
      <totalsRowFormula>SUM(U36:U41)</totalsRowFormula>
    </tableColumn>
  </tableColumns>
  <tableStyleInfo name="TableStyleOIM IDP"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E3F636D-27C0-4A5B-9E71-D71C00311BB3}" name="Tableau6365155" displayName="Tableau6365155" ref="T84:U91" totalsRowCount="1" headerRowDxfId="415" dataDxfId="414" totalsRowDxfId="413">
  <autoFilter ref="T84:U90" xr:uid="{3F26A955-8650-450F-B7B2-A4D350B0A27F}"/>
  <tableColumns count="2">
    <tableColumn id="1" xr3:uid="{EF824E5B-9747-4A9B-A812-5FF84779A70D}" name="Departments" dataDxfId="412" totalsRowDxfId="411"/>
    <tableColumn id="2" xr3:uid="{74C86B14-CEFB-46A7-A7FE-CDFE12CB877E}" name="villages" totalsRowFunction="custom" dataDxfId="410" totalsRowDxfId="409">
      <calculatedColumnFormula>Tableau6365[[#This Row],[villages]]</calculatedColumnFormula>
      <totalsRowFormula>SUM(U85:U90)</totalsRowFormula>
    </tableColumn>
  </tableColumns>
  <tableStyleInfo name="TableStyleOIM REF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24A4739-41B9-44D7-9BDE-7FCB1722A740}" name="Tableau63156" displayName="Tableau63156" ref="T128:U135" totalsRowCount="1" headerRowDxfId="408" dataDxfId="407" totalsRowDxfId="406">
  <autoFilter ref="T128:U134" xr:uid="{7629A145-CF37-45D9-85EE-63BB978454D9}"/>
  <tableColumns count="2">
    <tableColumn id="1" xr3:uid="{00F322A9-DE6D-4208-8F1F-604E93D5EC9A}" name="Departments" dataDxfId="405" totalsRowDxfId="404"/>
    <tableColumn id="2" xr3:uid="{B764CEC2-5479-4CC3-84BF-D9523D502838}" name="villages" totalsRowFunction="custom" dataDxfId="403" totalsRowDxfId="402">
      <calculatedColumnFormula>Tableau63[[#This Row],[villages]]</calculatedColumnFormula>
      <totalsRowFormula>SUM(U129:U134)</totalsRowFormula>
    </tableColumn>
  </tableColumns>
  <tableStyleInfo name="TableStyleOIM RET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E46E08-C513-4582-B0A5-BC53FB4557FE}" name="Tableau824" displayName="Tableau824" ref="C207:E214" totalsRowCount="1">
  <autoFilter ref="C207:E213" xr:uid="{13E46E08-C513-4582-B0A5-BC53FB4557FE}"/>
  <sortState xmlns:xlrd2="http://schemas.microsoft.com/office/spreadsheetml/2017/richdata2" ref="C208:D213">
    <sortCondition descending="1" ref="D4:D10"/>
  </sortState>
  <tableColumns count="3">
    <tableColumn id="1" xr3:uid="{F12E5B85-F8AE-4F42-AF81-B45A0B5850B2}" name="Départements" totalsRowLabel="TOTAL" dataDxfId="381" totalsRowDxfId="380"/>
    <tableColumn id="2" xr3:uid="{AF73D0B6-AB07-4B26-8916-CBC6DB8096F8}" name="Nombre de ménages à réunir" totalsRowFunction="custom" dataDxfId="379">
      <calculatedColumnFormula>SUMIFS(sommaire[Menages à reunir],sommaire[Département_nom],Tableau824[[#This Row],[Départements]])</calculatedColumnFormula>
      <totalsRowFormula>SUM(Tableau824[Nombre de ménages à réunir])</totalsRowFormula>
    </tableColumn>
    <tableColumn id="3" xr3:uid="{85A9AC79-4718-450C-9837-B2E2CF4130DD}" name="% ménages à réunir" totalsRowFunction="sum">
      <calculatedColumnFormula>Tableau824[[#This Row],[Nombre de ménages à réunir]]/Tableau824[[#Totals],[Nombre de ménages à réunir]]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1D36170-EA8A-4B29-A472-328AFD8560CA}" name="Tableau50939495" displayName="Tableau50939495" ref="B36:M47" totalsRowCount="1" headerRowDxfId="378" dataDxfId="377" totalsRowDxfId="376">
  <sortState xmlns:xlrd2="http://schemas.microsoft.com/office/spreadsheetml/2017/richdata2" ref="B37:M46">
    <sortCondition ref="B37:B46"/>
  </sortState>
  <tableColumns count="12">
    <tableColumn id="1" xr3:uid="{47710DCE-BF15-4F21-B89C-29B8900587C0}" name="Arrondissements" dataDxfId="375" totalsRowDxfId="374"/>
    <tableColumn id="2" xr3:uid="{9AEE4ADC-D303-4337-9610-3454BC137EC4}" name="Blangoua" totalsRowFunction="sum" dataDxfId="373" totalsRowDxfId="372" dataCellStyle="Normal 15">
      <calculatedColumnFormula>SUMIFS(DisplacementP[Individus],DisplacementP[Statut déplacé],"idp",DisplacementP[adm3_name],Tableau50939495[[#This Row],[Arrondissements]], DisplacementP[provenance_adm3_nom],Tableau50939495[[#Headers],[Blangoua]])</calculatedColumnFormula>
    </tableColumn>
    <tableColumn id="3" xr3:uid="{B4C63B05-D8A9-4E09-B8F7-28E558A14902}" name="Darak" totalsRowFunction="sum" dataDxfId="371" totalsRowDxfId="370" dataCellStyle="Normal 15">
      <calculatedColumnFormula>SUMIFS(DisplacementP[Individus],DisplacementP[Statut déplacé],"idp",DisplacementP[adm3_name],Tableau50939495[[#This Row],[Arrondissements]], DisplacementP[provenance_adm3_nom],Tableau50939495[[#Headers],[Darak]])</calculatedColumnFormula>
    </tableColumn>
    <tableColumn id="4" xr3:uid="{5592DFCA-8E38-457C-A12D-BDD750329CA3}" name="Fotokol" totalsRowFunction="sum" dataDxfId="369" totalsRowDxfId="368" dataCellStyle="Normal 15">
      <calculatedColumnFormula>SUMIFS(DisplacementP[Individus],DisplacementP[Statut déplacé],"idp",DisplacementP[adm3_name],Tableau50939495[[#This Row],[Arrondissements]], DisplacementP[provenance_adm3_nom],Tableau50939495[[#Headers],[Fotokol]])</calculatedColumnFormula>
    </tableColumn>
    <tableColumn id="5" xr3:uid="{C7DC0545-92AD-4224-ABC9-36CD0817AF42}" name="Goulfey" totalsRowFunction="sum" dataDxfId="367" totalsRowDxfId="366" dataCellStyle="Normal 15">
      <calculatedColumnFormula>SUMIFS(DisplacementP[Individus],DisplacementP[Statut déplacé],"idp",DisplacementP[adm3_name],Tableau50939495[[#This Row],[Arrondissements]], DisplacementP[provenance_adm3_nom],Tableau50939495[[#Headers],[Goulfey]])</calculatedColumnFormula>
    </tableColumn>
    <tableColumn id="6" xr3:uid="{40A1B35E-D335-4FA9-A951-6596EC10FC49}" name="Hile-Alifa" totalsRowFunction="sum" dataDxfId="365" totalsRowDxfId="364" dataCellStyle="Normal 15">
      <calculatedColumnFormula>SUMIFS(DisplacementP[Individus],DisplacementP[Statut déplacé],"idp",DisplacementP[adm3_name],Tableau50939495[[#This Row],[Arrondissements]], DisplacementP[provenance_adm3_nom],Tableau50939495[[#Headers],[Hile-Alifa]])</calculatedColumnFormula>
    </tableColumn>
    <tableColumn id="7" xr3:uid="{4C5020D8-6FEB-4F59-B35C-CE93CED3C388}" name="Kousséri" totalsRowFunction="sum" dataDxfId="363" totalsRowDxfId="362" dataCellStyle="Normal 15">
      <calculatedColumnFormula>SUMIFS(DisplacementP[Individus],DisplacementP[Statut déplacé],"idp",DisplacementP[adm3_name],Tableau50939495[[#This Row],[Arrondissements]], DisplacementP[provenance_adm3_nom],Tableau50939495[[#Headers],[Kousséri]])</calculatedColumnFormula>
    </tableColumn>
    <tableColumn id="8" xr3:uid="{7BAE040A-66D6-4640-9C82-44DE4916F03B}" name="Logone-Birni" totalsRowFunction="sum" dataDxfId="361" totalsRowDxfId="360" dataCellStyle="Normal 15">
      <calculatedColumnFormula>SUMIFS(DisplacementP[Individus],DisplacementP[Statut déplacé],"idp",DisplacementP[adm3_name],Tableau50939495[[#This Row],[Arrondissements]], DisplacementP[provenance_adm3_nom],Tableau50939495[[#Headers],[Logone-Birni]])</calculatedColumnFormula>
    </tableColumn>
    <tableColumn id="13" xr3:uid="{28F25DF4-7000-4373-BDAF-91FB9E35C8AD}" name="Makary" totalsRowFunction="sum" dataDxfId="359" totalsRowDxfId="358" dataCellStyle="Normal 15">
      <calculatedColumnFormula>SUMIFS(DisplacementP[Individus],DisplacementP[Statut déplacé],"idp",DisplacementP[adm3_name],Tableau50939495[[#This Row],[Arrondissements]], DisplacementP[provenance_adm3_nom],Tableau50939495[[#Headers],[Makary]])</calculatedColumnFormula>
    </tableColumn>
    <tableColumn id="9" xr3:uid="{81DF59C3-5CA4-4A67-8071-437B3EE2A936}" name="Waza" totalsRowFunction="sum" dataDxfId="357" totalsRowDxfId="356" dataCellStyle="Normal 15">
      <calculatedColumnFormula>SUMIFS(DisplacementP[Individus],DisplacementP[Statut déplacé],"idp",DisplacementP[adm3_name],Tableau50939495[[#This Row],[Arrondissements]], DisplacementP[provenance_adm3_nom],Tableau50939495[[#Headers],[Waza]])</calculatedColumnFormula>
    </tableColumn>
    <tableColumn id="10" xr3:uid="{08347452-0A52-49B5-85C2-3427D0B6BEF1}" name="Zina" totalsRowFunction="sum" dataDxfId="355" totalsRowDxfId="354">
      <calculatedColumnFormula>SUMIFS(DisplacementP[Individus],DisplacementP[Statut déplacé],"idp",DisplacementP[adm3_name],Tableau50939495[[#This Row],[Arrondissements]], DisplacementP[provenance_adm3_nom],Tableau50939495[[#Headers],[Zina]])</calculatedColumnFormula>
    </tableColumn>
    <tableColumn id="12" xr3:uid="{7070A221-0D59-4FF5-B60E-49A28A58A0C1}" name="Total" totalsRowFunction="sum" dataDxfId="353" totalsRowDxfId="352">
      <calculatedColumnFormula>SUM(Tableau50939495[[#This Row],[Blangoua]:[Zina]])</calculatedColumnFormula>
    </tableColumn>
  </tableColumns>
  <tableStyleInfo name="TableStyleOIM"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S373" dT="2022-09-22T16:54:21.66" personId="{101612FD-405D-4178-98A8-0C65618ACFB4}" id="{01350696-7FE0-4498-9F74-097FD0050076}">
    <text>Subdiviser en plusieurs</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vmlDrawing" Target="../drawings/vmlDrawing1.vml"/><Relationship Id="rId1" Type="http://schemas.openxmlformats.org/officeDocument/2006/relationships/printerSettings" Target="../printerSettings/printerSettings1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table" Target="../tables/table8.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table" Target="../tables/table10.xml"/><Relationship Id="rId7" Type="http://schemas.openxmlformats.org/officeDocument/2006/relationships/table" Target="../tables/table14.xml"/><Relationship Id="rId12" Type="http://schemas.openxmlformats.org/officeDocument/2006/relationships/table" Target="../tables/table19.xml"/><Relationship Id="rId2" Type="http://schemas.openxmlformats.org/officeDocument/2006/relationships/table" Target="../tables/table9.xml"/><Relationship Id="rId1" Type="http://schemas.openxmlformats.org/officeDocument/2006/relationships/printerSettings" Target="../printerSettings/printerSettings8.bin"/><Relationship Id="rId6" Type="http://schemas.openxmlformats.org/officeDocument/2006/relationships/table" Target="../tables/table13.xml"/><Relationship Id="rId11" Type="http://schemas.openxmlformats.org/officeDocument/2006/relationships/table" Target="../tables/table18.xml"/><Relationship Id="rId5" Type="http://schemas.openxmlformats.org/officeDocument/2006/relationships/table" Target="../tables/table12.xml"/><Relationship Id="rId10" Type="http://schemas.openxmlformats.org/officeDocument/2006/relationships/table" Target="../tables/table17.xml"/><Relationship Id="rId4" Type="http://schemas.openxmlformats.org/officeDocument/2006/relationships/table" Target="../tables/table11.xml"/><Relationship Id="rId9" Type="http://schemas.openxmlformats.org/officeDocument/2006/relationships/table" Target="../tables/table1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3278-E746-4CC1-A605-7AF7D4092D59}">
  <dimension ref="A1:AJ1265"/>
  <sheetViews>
    <sheetView showGridLines="0" tabSelected="1" zoomScaleNormal="100" workbookViewId="0"/>
  </sheetViews>
  <sheetFormatPr defaultColWidth="11.44140625" defaultRowHeight="14.4" x14ac:dyDescent="0.3"/>
  <cols>
    <col min="1" max="2" width="20" style="384" customWidth="1"/>
    <col min="3" max="3" width="13.21875" style="384" customWidth="1"/>
    <col min="4" max="5" width="19.77734375" style="384" customWidth="1"/>
    <col min="6" max="6" width="16.5546875" style="384" customWidth="1"/>
    <col min="7" max="7" width="16.77734375" style="384" customWidth="1"/>
    <col min="8" max="8" width="17.5546875" style="384" bestFit="1" customWidth="1"/>
    <col min="9" max="9" width="17.109375" style="384" customWidth="1"/>
    <col min="10" max="10" width="11.77734375" style="384" customWidth="1"/>
    <col min="11" max="11" width="24.21875" style="384" customWidth="1"/>
    <col min="12" max="12" width="20.33203125" style="384" customWidth="1"/>
    <col min="13" max="13" width="21.88671875" style="385" customWidth="1"/>
    <col min="14" max="14" width="17.5546875" style="385" customWidth="1"/>
    <col min="15" max="16" width="18.88671875" style="385" customWidth="1"/>
    <col min="17" max="17" width="21.5546875" style="385" customWidth="1"/>
    <col min="18" max="18" width="14.44140625" style="385" customWidth="1"/>
    <col min="19" max="19" width="23.109375" style="385" customWidth="1"/>
    <col min="20" max="21" width="9.44140625" style="384" customWidth="1"/>
    <col min="22" max="22" width="14.21875" style="384" customWidth="1"/>
    <col min="23" max="30" width="9.44140625" style="384" customWidth="1"/>
    <col min="31" max="36" width="10.44140625" style="384" customWidth="1"/>
    <col min="37" max="37" width="11.77734375" style="384" customWidth="1"/>
    <col min="38" max="38" width="15.21875" style="384" bestFit="1" customWidth="1"/>
    <col min="39" max="39" width="14" style="384" bestFit="1" customWidth="1"/>
    <col min="40" max="40" width="14.77734375" style="384" bestFit="1" customWidth="1"/>
    <col min="41" max="41" width="14" style="384" bestFit="1" customWidth="1"/>
    <col min="42" max="42" width="20.5546875" style="384" bestFit="1" customWidth="1"/>
    <col min="43" max="44" width="16.77734375" style="384" bestFit="1" customWidth="1"/>
    <col min="45" max="45" width="10" style="384" bestFit="1" customWidth="1"/>
    <col min="46" max="46" width="9.44140625" style="384" bestFit="1" customWidth="1"/>
    <col min="47" max="47" width="9.77734375" style="384" bestFit="1" customWidth="1"/>
    <col min="48" max="48" width="9.21875" style="384" bestFit="1" customWidth="1"/>
    <col min="49" max="49" width="9.77734375" style="384" bestFit="1" customWidth="1"/>
    <col min="50" max="50" width="9.21875" style="384" bestFit="1" customWidth="1"/>
    <col min="51" max="16384" width="11.44140625" style="384"/>
  </cols>
  <sheetData>
    <row r="1" spans="1:36" s="1450" customFormat="1" ht="29.55" customHeight="1" x14ac:dyDescent="0.3">
      <c r="A1" s="1448" t="s">
        <v>2713</v>
      </c>
      <c r="B1" s="1449" t="s">
        <v>4200</v>
      </c>
      <c r="C1" s="1448" t="s">
        <v>2714</v>
      </c>
      <c r="D1" s="1448" t="s">
        <v>2715</v>
      </c>
      <c r="E1" s="1449" t="s">
        <v>4201</v>
      </c>
      <c r="F1" s="1448" t="s">
        <v>2716</v>
      </c>
      <c r="G1" s="1448" t="s">
        <v>2717</v>
      </c>
      <c r="H1" s="1449" t="s">
        <v>4202</v>
      </c>
      <c r="I1" s="1448" t="s">
        <v>2718</v>
      </c>
      <c r="J1" s="1448" t="s">
        <v>2719</v>
      </c>
      <c r="K1" s="1448" t="s">
        <v>2720</v>
      </c>
      <c r="L1" s="1448" t="s">
        <v>520</v>
      </c>
      <c r="M1" s="1448" t="s">
        <v>2721</v>
      </c>
      <c r="N1" s="1448" t="s">
        <v>2722</v>
      </c>
      <c r="O1" s="1448" t="s">
        <v>2723</v>
      </c>
      <c r="P1" s="1448" t="s">
        <v>2724</v>
      </c>
      <c r="Q1" s="1448" t="s">
        <v>2725</v>
      </c>
      <c r="R1" s="1448" t="s">
        <v>2726</v>
      </c>
      <c r="S1" s="1448" t="s">
        <v>3037</v>
      </c>
    </row>
    <row r="2" spans="1:36" s="386" customFormat="1" ht="29.55" customHeight="1" x14ac:dyDescent="0.3">
      <c r="A2" s="1444"/>
      <c r="B2" s="1446" t="s">
        <v>4209</v>
      </c>
      <c r="C2" s="1447" t="s">
        <v>4210</v>
      </c>
      <c r="E2" s="1447" t="s">
        <v>4211</v>
      </c>
      <c r="F2" s="1447" t="s">
        <v>4212</v>
      </c>
      <c r="H2" s="1447" t="s">
        <v>4213</v>
      </c>
      <c r="I2" s="1447" t="s">
        <v>4214</v>
      </c>
      <c r="J2" s="1444"/>
      <c r="K2" s="1444"/>
      <c r="L2" s="1444"/>
      <c r="M2" s="1451" t="s">
        <v>4215</v>
      </c>
      <c r="N2" s="1451" t="s">
        <v>4216</v>
      </c>
      <c r="O2" s="1451" t="s">
        <v>4217</v>
      </c>
      <c r="P2" s="1451" t="s">
        <v>4218</v>
      </c>
      <c r="Q2" s="1451" t="s">
        <v>4219</v>
      </c>
      <c r="R2" s="1451" t="s">
        <v>4220</v>
      </c>
      <c r="S2" s="1445"/>
    </row>
    <row r="3" spans="1:36" s="388" customFormat="1" x14ac:dyDescent="0.3">
      <c r="A3" s="5" t="s">
        <v>533</v>
      </c>
      <c r="B3" s="1430" t="s">
        <v>3449</v>
      </c>
      <c r="C3" s="398" t="s">
        <v>534</v>
      </c>
      <c r="D3" s="5" t="s">
        <v>35</v>
      </c>
      <c r="E3" s="5" t="s">
        <v>35</v>
      </c>
      <c r="F3" s="5" t="s">
        <v>567</v>
      </c>
      <c r="G3" s="5" t="s">
        <v>193</v>
      </c>
      <c r="H3" s="5" t="s">
        <v>3983</v>
      </c>
      <c r="I3" s="5" t="s">
        <v>863</v>
      </c>
      <c r="J3" t="s">
        <v>550</v>
      </c>
      <c r="K3" s="5" t="s">
        <v>3114</v>
      </c>
      <c r="L3" s="5" t="s">
        <v>3114</v>
      </c>
      <c r="M3" s="387">
        <v>42</v>
      </c>
      <c r="N3" s="387">
        <v>240</v>
      </c>
      <c r="O3" s="387">
        <v>0</v>
      </c>
      <c r="P3" s="387">
        <v>0</v>
      </c>
      <c r="Q3" s="387">
        <v>0</v>
      </c>
      <c r="R3" s="387">
        <v>0</v>
      </c>
      <c r="S3" s="1174">
        <f>Locations[[#This Row],[Ind_Returnees]]+Locations[[#This Row],[Ind_Refugees]]+Locations[[#This Row],[Ind_IDPs]]</f>
        <v>240</v>
      </c>
    </row>
    <row r="4" spans="1:36" s="388" customFormat="1" x14ac:dyDescent="0.3">
      <c r="A4" s="5" t="s">
        <v>533</v>
      </c>
      <c r="B4" s="1430" t="s">
        <v>3449</v>
      </c>
      <c r="C4" s="1090" t="s">
        <v>534</v>
      </c>
      <c r="D4" s="5" t="s">
        <v>35</v>
      </c>
      <c r="E4" s="5" t="s">
        <v>35</v>
      </c>
      <c r="F4" s="5" t="s">
        <v>567</v>
      </c>
      <c r="G4" s="5" t="s">
        <v>195</v>
      </c>
      <c r="H4" s="5" t="s">
        <v>195</v>
      </c>
      <c r="I4" s="5" t="s">
        <v>733</v>
      </c>
      <c r="J4" t="s">
        <v>550</v>
      </c>
      <c r="K4" s="5" t="s">
        <v>3115</v>
      </c>
      <c r="L4" s="5" t="s">
        <v>3115</v>
      </c>
      <c r="M4" s="387">
        <v>0</v>
      </c>
      <c r="N4" s="387">
        <v>0</v>
      </c>
      <c r="O4" s="387">
        <v>0</v>
      </c>
      <c r="P4" s="387">
        <v>0</v>
      </c>
      <c r="Q4" s="387">
        <v>0</v>
      </c>
      <c r="R4" s="387">
        <v>0</v>
      </c>
      <c r="S4" s="1174">
        <f>Locations[[#This Row],[Ind_Returnees]]+Locations[[#This Row],[Ind_Refugees]]+Locations[[#This Row],[Ind_IDPs]]</f>
        <v>0</v>
      </c>
    </row>
    <row r="5" spans="1:36" s="388" customFormat="1" x14ac:dyDescent="0.3">
      <c r="A5" s="5" t="s">
        <v>533</v>
      </c>
      <c r="B5" s="1430" t="s">
        <v>3449</v>
      </c>
      <c r="C5" s="1090" t="s">
        <v>534</v>
      </c>
      <c r="D5" s="5" t="s">
        <v>35</v>
      </c>
      <c r="E5" s="5" t="s">
        <v>35</v>
      </c>
      <c r="F5" s="5" t="s">
        <v>567</v>
      </c>
      <c r="G5" s="5" t="s">
        <v>195</v>
      </c>
      <c r="H5" s="5" t="s">
        <v>195</v>
      </c>
      <c r="I5" s="5" t="s">
        <v>733</v>
      </c>
      <c r="J5" t="s">
        <v>550</v>
      </c>
      <c r="K5" s="5" t="s">
        <v>3116</v>
      </c>
      <c r="L5" s="5" t="s">
        <v>3116</v>
      </c>
      <c r="M5" s="387">
        <v>0</v>
      </c>
      <c r="N5" s="387">
        <v>0</v>
      </c>
      <c r="O5" s="387">
        <v>0</v>
      </c>
      <c r="P5" s="387">
        <v>0</v>
      </c>
      <c r="Q5" s="387">
        <v>0</v>
      </c>
      <c r="R5" s="387">
        <v>0</v>
      </c>
      <c r="S5" s="1174">
        <f>Locations[[#This Row],[Ind_Returnees]]+Locations[[#This Row],[Ind_Refugees]]+Locations[[#This Row],[Ind_IDPs]]</f>
        <v>0</v>
      </c>
    </row>
    <row r="6" spans="1:36" s="388" customFormat="1" x14ac:dyDescent="0.3">
      <c r="A6" s="5" t="s">
        <v>533</v>
      </c>
      <c r="B6" s="1430" t="s">
        <v>3449</v>
      </c>
      <c r="C6" s="398" t="s">
        <v>534</v>
      </c>
      <c r="D6" s="5" t="s">
        <v>35</v>
      </c>
      <c r="E6" s="5" t="s">
        <v>35</v>
      </c>
      <c r="F6" s="5" t="s">
        <v>567</v>
      </c>
      <c r="G6" s="5" t="s">
        <v>193</v>
      </c>
      <c r="H6" s="5" t="s">
        <v>3983</v>
      </c>
      <c r="I6" s="5" t="s">
        <v>863</v>
      </c>
      <c r="J6" t="s">
        <v>550</v>
      </c>
      <c r="K6" s="5" t="s">
        <v>3117</v>
      </c>
      <c r="L6" s="5" t="s">
        <v>3117</v>
      </c>
      <c r="M6" s="387">
        <v>0</v>
      </c>
      <c r="N6" s="387">
        <v>0</v>
      </c>
      <c r="O6" s="387">
        <v>0</v>
      </c>
      <c r="P6" s="387">
        <v>0</v>
      </c>
      <c r="Q6" s="387">
        <v>0</v>
      </c>
      <c r="R6" s="387">
        <v>0</v>
      </c>
      <c r="S6" s="1174">
        <f>Locations[[#This Row],[Ind_Returnees]]+Locations[[#This Row],[Ind_Refugees]]+Locations[[#This Row],[Ind_IDPs]]</f>
        <v>0</v>
      </c>
      <c r="AE6" s="389"/>
      <c r="AF6" s="389"/>
      <c r="AG6" s="389"/>
      <c r="AH6" s="389"/>
      <c r="AI6" s="389"/>
      <c r="AJ6" s="389"/>
    </row>
    <row r="7" spans="1:36" s="388" customFormat="1" x14ac:dyDescent="0.3">
      <c r="A7" s="5" t="s">
        <v>533</v>
      </c>
      <c r="B7" s="1430" t="s">
        <v>3449</v>
      </c>
      <c r="C7" s="398" t="s">
        <v>534</v>
      </c>
      <c r="D7" s="5" t="s">
        <v>31</v>
      </c>
      <c r="E7" s="5" t="s">
        <v>31</v>
      </c>
      <c r="F7" s="5" t="s">
        <v>549</v>
      </c>
      <c r="G7" s="5" t="s">
        <v>172</v>
      </c>
      <c r="H7" s="5" t="s">
        <v>172</v>
      </c>
      <c r="I7" s="5" t="s">
        <v>706</v>
      </c>
      <c r="J7" t="s">
        <v>550</v>
      </c>
      <c r="K7" s="5" t="s">
        <v>3118</v>
      </c>
      <c r="L7" s="5" t="s">
        <v>3118</v>
      </c>
      <c r="M7" s="387">
        <v>22</v>
      </c>
      <c r="N7" s="387">
        <v>109</v>
      </c>
      <c r="O7" s="387">
        <v>25</v>
      </c>
      <c r="P7" s="387">
        <v>95</v>
      </c>
      <c r="Q7" s="387">
        <v>0</v>
      </c>
      <c r="R7" s="387">
        <v>0</v>
      </c>
      <c r="S7" s="1174">
        <f>Locations[[#This Row],[Ind_Returnees]]+Locations[[#This Row],[Ind_Refugees]]+Locations[[#This Row],[Ind_IDPs]]</f>
        <v>204</v>
      </c>
    </row>
    <row r="8" spans="1:36" s="388" customFormat="1" x14ac:dyDescent="0.3">
      <c r="A8" s="5" t="s">
        <v>533</v>
      </c>
      <c r="B8" s="1430" t="s">
        <v>3449</v>
      </c>
      <c r="C8" s="398" t="s">
        <v>534</v>
      </c>
      <c r="D8" s="5" t="s">
        <v>35</v>
      </c>
      <c r="E8" s="5" t="s">
        <v>35</v>
      </c>
      <c r="F8" s="5" t="s">
        <v>567</v>
      </c>
      <c r="G8" s="5" t="s">
        <v>195</v>
      </c>
      <c r="H8" s="5" t="s">
        <v>195</v>
      </c>
      <c r="I8" s="5" t="s">
        <v>733</v>
      </c>
      <c r="J8" t="s">
        <v>550</v>
      </c>
      <c r="K8" s="5" t="s">
        <v>3119</v>
      </c>
      <c r="L8" s="5" t="s">
        <v>3119</v>
      </c>
      <c r="M8" s="387">
        <v>0</v>
      </c>
      <c r="N8" s="387">
        <v>0</v>
      </c>
      <c r="O8" s="387">
        <v>0</v>
      </c>
      <c r="P8" s="387">
        <v>0</v>
      </c>
      <c r="Q8" s="387">
        <v>0</v>
      </c>
      <c r="R8" s="387">
        <v>0</v>
      </c>
      <c r="S8" s="1174">
        <f>Locations[[#This Row],[Ind_Returnees]]+Locations[[#This Row],[Ind_Refugees]]+Locations[[#This Row],[Ind_IDPs]]</f>
        <v>0</v>
      </c>
    </row>
    <row r="9" spans="1:36" s="388" customFormat="1" x14ac:dyDescent="0.3">
      <c r="A9" s="5" t="s">
        <v>533</v>
      </c>
      <c r="B9" s="1430" t="s">
        <v>3449</v>
      </c>
      <c r="C9" s="398" t="s">
        <v>534</v>
      </c>
      <c r="D9" s="5" t="s">
        <v>35</v>
      </c>
      <c r="E9" s="5" t="s">
        <v>35</v>
      </c>
      <c r="F9" s="5" t="s">
        <v>567</v>
      </c>
      <c r="G9" s="5" t="s">
        <v>195</v>
      </c>
      <c r="H9" s="5" t="s">
        <v>195</v>
      </c>
      <c r="I9" s="5" t="s">
        <v>733</v>
      </c>
      <c r="J9" t="s">
        <v>550</v>
      </c>
      <c r="K9" s="5" t="s">
        <v>3120</v>
      </c>
      <c r="L9" s="5" t="s">
        <v>3120</v>
      </c>
      <c r="M9" s="387">
        <v>0</v>
      </c>
      <c r="N9" s="387">
        <v>0</v>
      </c>
      <c r="O9" s="387">
        <v>0</v>
      </c>
      <c r="P9" s="387">
        <v>0</v>
      </c>
      <c r="Q9" s="387">
        <v>0</v>
      </c>
      <c r="R9" s="387">
        <v>0</v>
      </c>
      <c r="S9" s="1174">
        <f>Locations[[#This Row],[Ind_Returnees]]+Locations[[#This Row],[Ind_Refugees]]+Locations[[#This Row],[Ind_IDPs]]</f>
        <v>0</v>
      </c>
    </row>
    <row r="10" spans="1:36" s="388" customFormat="1" x14ac:dyDescent="0.3">
      <c r="A10" s="5" t="s">
        <v>533</v>
      </c>
      <c r="B10" s="1430" t="s">
        <v>3449</v>
      </c>
      <c r="C10" s="1090" t="s">
        <v>534</v>
      </c>
      <c r="D10" s="5" t="s">
        <v>35</v>
      </c>
      <c r="E10" s="5" t="s">
        <v>35</v>
      </c>
      <c r="F10" s="5" t="s">
        <v>567</v>
      </c>
      <c r="G10" s="5" t="s">
        <v>192</v>
      </c>
      <c r="H10" s="5" t="s">
        <v>192</v>
      </c>
      <c r="I10" s="5" t="s">
        <v>853</v>
      </c>
      <c r="J10" t="s">
        <v>550</v>
      </c>
      <c r="K10" s="5" t="s">
        <v>3121</v>
      </c>
      <c r="L10" s="5" t="s">
        <v>3121</v>
      </c>
      <c r="M10" s="387">
        <v>60</v>
      </c>
      <c r="N10" s="387">
        <v>300</v>
      </c>
      <c r="O10" s="387">
        <v>0</v>
      </c>
      <c r="P10" s="387">
        <v>0</v>
      </c>
      <c r="Q10" s="387">
        <v>30</v>
      </c>
      <c r="R10" s="387">
        <v>160</v>
      </c>
      <c r="S10" s="1174">
        <f>Locations[[#This Row],[Ind_Returnees]]+Locations[[#This Row],[Ind_Refugees]]+Locations[[#This Row],[Ind_IDPs]]</f>
        <v>460</v>
      </c>
    </row>
    <row r="11" spans="1:36" s="388" customFormat="1" x14ac:dyDescent="0.3">
      <c r="A11" s="5" t="s">
        <v>533</v>
      </c>
      <c r="B11" s="1430" t="s">
        <v>3449</v>
      </c>
      <c r="C11" s="1090" t="s">
        <v>534</v>
      </c>
      <c r="D11" s="5" t="s">
        <v>31</v>
      </c>
      <c r="E11" s="5" t="s">
        <v>31</v>
      </c>
      <c r="F11" s="5" t="s">
        <v>549</v>
      </c>
      <c r="G11" s="5" t="s">
        <v>169</v>
      </c>
      <c r="H11" s="5" t="s">
        <v>169</v>
      </c>
      <c r="I11" s="5" t="s">
        <v>673</v>
      </c>
      <c r="J11" t="s">
        <v>550</v>
      </c>
      <c r="K11" s="5" t="s">
        <v>3122</v>
      </c>
      <c r="L11" s="5" t="s">
        <v>3122</v>
      </c>
      <c r="M11" s="387">
        <v>0</v>
      </c>
      <c r="N11" s="387">
        <v>0</v>
      </c>
      <c r="O11" s="387">
        <v>50</v>
      </c>
      <c r="P11" s="387">
        <v>350</v>
      </c>
      <c r="Q11" s="387">
        <v>0</v>
      </c>
      <c r="R11" s="387">
        <v>0</v>
      </c>
      <c r="S11" s="1174">
        <f>Locations[[#This Row],[Ind_Returnees]]+Locations[[#This Row],[Ind_Refugees]]+Locations[[#This Row],[Ind_IDPs]]</f>
        <v>350</v>
      </c>
    </row>
    <row r="12" spans="1:36" s="388" customFormat="1" x14ac:dyDescent="0.3">
      <c r="A12" s="5" t="s">
        <v>533</v>
      </c>
      <c r="B12" s="1430" t="s">
        <v>3449</v>
      </c>
      <c r="C12" s="1090" t="s">
        <v>534</v>
      </c>
      <c r="D12" s="5" t="s">
        <v>31</v>
      </c>
      <c r="E12" s="5" t="s">
        <v>31</v>
      </c>
      <c r="F12" s="5" t="s">
        <v>549</v>
      </c>
      <c r="G12" s="5" t="s">
        <v>169</v>
      </c>
      <c r="H12" s="5" t="s">
        <v>169</v>
      </c>
      <c r="I12" s="5" t="s">
        <v>673</v>
      </c>
      <c r="J12" t="s">
        <v>550</v>
      </c>
      <c r="K12" s="5" t="s">
        <v>3123</v>
      </c>
      <c r="L12" s="5" t="s">
        <v>3123</v>
      </c>
      <c r="M12" s="387">
        <v>0</v>
      </c>
      <c r="N12" s="387">
        <v>0</v>
      </c>
      <c r="O12" s="387">
        <v>0</v>
      </c>
      <c r="P12" s="387">
        <v>0</v>
      </c>
      <c r="Q12" s="387">
        <v>5</v>
      </c>
      <c r="R12" s="387">
        <v>30</v>
      </c>
      <c r="S12" s="1174">
        <f>Locations[[#This Row],[Ind_Returnees]]+Locations[[#This Row],[Ind_Refugees]]+Locations[[#This Row],[Ind_IDPs]]</f>
        <v>30</v>
      </c>
    </row>
    <row r="13" spans="1:36" s="388" customFormat="1" x14ac:dyDescent="0.3">
      <c r="A13" s="5" t="s">
        <v>533</v>
      </c>
      <c r="B13" s="1430" t="s">
        <v>3449</v>
      </c>
      <c r="C13" s="398" t="s">
        <v>534</v>
      </c>
      <c r="D13" s="5" t="s">
        <v>31</v>
      </c>
      <c r="E13" s="5" t="s">
        <v>31</v>
      </c>
      <c r="F13" s="5" t="s">
        <v>549</v>
      </c>
      <c r="G13" s="5" t="s">
        <v>169</v>
      </c>
      <c r="H13" s="5" t="s">
        <v>169</v>
      </c>
      <c r="I13" s="5" t="s">
        <v>673</v>
      </c>
      <c r="J13" t="s">
        <v>550</v>
      </c>
      <c r="K13" s="5" t="s">
        <v>3124</v>
      </c>
      <c r="L13" s="5" t="s">
        <v>3124</v>
      </c>
      <c r="M13" s="387">
        <v>15</v>
      </c>
      <c r="N13" s="387">
        <v>50</v>
      </c>
      <c r="O13" s="387">
        <v>0</v>
      </c>
      <c r="P13" s="387">
        <v>0</v>
      </c>
      <c r="Q13" s="387">
        <v>6</v>
      </c>
      <c r="R13" s="387">
        <v>20</v>
      </c>
      <c r="S13" s="1174">
        <f>Locations[[#This Row],[Ind_Returnees]]+Locations[[#This Row],[Ind_Refugees]]+Locations[[#This Row],[Ind_IDPs]]</f>
        <v>70</v>
      </c>
    </row>
    <row r="14" spans="1:36" s="388" customFormat="1" x14ac:dyDescent="0.3">
      <c r="A14" s="5" t="s">
        <v>533</v>
      </c>
      <c r="B14" s="1430" t="s">
        <v>3449</v>
      </c>
      <c r="C14" s="398" t="s">
        <v>534</v>
      </c>
      <c r="D14" s="5" t="s">
        <v>35</v>
      </c>
      <c r="E14" s="5" t="s">
        <v>35</v>
      </c>
      <c r="F14" s="5" t="s">
        <v>567</v>
      </c>
      <c r="G14" s="5" t="s">
        <v>192</v>
      </c>
      <c r="H14" s="5" t="s">
        <v>192</v>
      </c>
      <c r="I14" s="5" t="s">
        <v>853</v>
      </c>
      <c r="J14" t="s">
        <v>550</v>
      </c>
      <c r="K14" s="5" t="s">
        <v>3125</v>
      </c>
      <c r="L14" s="5" t="s">
        <v>3125</v>
      </c>
      <c r="M14" s="387">
        <v>34</v>
      </c>
      <c r="N14" s="387">
        <v>79</v>
      </c>
      <c r="O14" s="387">
        <v>0</v>
      </c>
      <c r="P14" s="387">
        <v>0</v>
      </c>
      <c r="Q14" s="387">
        <v>0</v>
      </c>
      <c r="R14" s="387">
        <v>0</v>
      </c>
      <c r="S14" s="1174">
        <f>Locations[[#This Row],[Ind_Returnees]]+Locations[[#This Row],[Ind_Refugees]]+Locations[[#This Row],[Ind_IDPs]]</f>
        <v>79</v>
      </c>
    </row>
    <row r="15" spans="1:36" s="388" customFormat="1" x14ac:dyDescent="0.3">
      <c r="A15" s="5" t="s">
        <v>533</v>
      </c>
      <c r="B15" s="1430" t="s">
        <v>3449</v>
      </c>
      <c r="C15" s="1090" t="s">
        <v>534</v>
      </c>
      <c r="D15" s="5" t="s">
        <v>33</v>
      </c>
      <c r="E15" s="5" t="s">
        <v>33</v>
      </c>
      <c r="F15" s="5" t="s">
        <v>561</v>
      </c>
      <c r="G15" s="5" t="s">
        <v>183</v>
      </c>
      <c r="H15" s="5" t="s">
        <v>183</v>
      </c>
      <c r="I15" s="5" t="s">
        <v>562</v>
      </c>
      <c r="J15" t="s">
        <v>550</v>
      </c>
      <c r="K15" s="5" t="s">
        <v>3126</v>
      </c>
      <c r="L15" s="5" t="s">
        <v>3126</v>
      </c>
      <c r="M15" s="387">
        <v>4</v>
      </c>
      <c r="N15" s="387">
        <v>26</v>
      </c>
      <c r="O15" s="387">
        <v>0</v>
      </c>
      <c r="P15" s="387">
        <v>0</v>
      </c>
      <c r="Q15" s="387">
        <v>0</v>
      </c>
      <c r="R15" s="387">
        <v>0</v>
      </c>
      <c r="S15" s="1174">
        <f>Locations[[#This Row],[Ind_Returnees]]+Locations[[#This Row],[Ind_Refugees]]+Locations[[#This Row],[Ind_IDPs]]</f>
        <v>26</v>
      </c>
    </row>
    <row r="16" spans="1:36" s="388" customFormat="1" x14ac:dyDescent="0.3">
      <c r="A16" s="5" t="s">
        <v>533</v>
      </c>
      <c r="B16" s="1430" t="s">
        <v>3449</v>
      </c>
      <c r="C16" s="1090" t="s">
        <v>534</v>
      </c>
      <c r="D16" s="5" t="s">
        <v>33</v>
      </c>
      <c r="E16" s="5" t="s">
        <v>33</v>
      </c>
      <c r="F16" s="5" t="s">
        <v>561</v>
      </c>
      <c r="G16" s="5" t="s">
        <v>183</v>
      </c>
      <c r="H16" s="5" t="s">
        <v>183</v>
      </c>
      <c r="I16" s="5" t="s">
        <v>562</v>
      </c>
      <c r="J16" t="s">
        <v>550</v>
      </c>
      <c r="K16" s="5" t="s">
        <v>3127</v>
      </c>
      <c r="L16" s="5" t="s">
        <v>3127</v>
      </c>
      <c r="M16" s="387">
        <v>15</v>
      </c>
      <c r="N16" s="387">
        <v>100</v>
      </c>
      <c r="O16" s="387">
        <v>0</v>
      </c>
      <c r="P16" s="387">
        <v>0</v>
      </c>
      <c r="Q16" s="387">
        <v>0</v>
      </c>
      <c r="R16" s="387">
        <v>0</v>
      </c>
      <c r="S16" s="1174">
        <f>Locations[[#This Row],[Ind_Returnees]]+Locations[[#This Row],[Ind_Refugees]]+Locations[[#This Row],[Ind_IDPs]]</f>
        <v>100</v>
      </c>
    </row>
    <row r="17" spans="1:19" s="388" customFormat="1" x14ac:dyDescent="0.3">
      <c r="A17" s="5" t="s">
        <v>533</v>
      </c>
      <c r="B17" s="1430" t="s">
        <v>3449</v>
      </c>
      <c r="C17" s="398" t="s">
        <v>534</v>
      </c>
      <c r="D17" s="5" t="s">
        <v>31</v>
      </c>
      <c r="E17" s="5" t="s">
        <v>31</v>
      </c>
      <c r="F17" s="5" t="s">
        <v>549</v>
      </c>
      <c r="G17" s="5" t="s">
        <v>165</v>
      </c>
      <c r="H17" s="5" t="s">
        <v>165</v>
      </c>
      <c r="I17" s="5" t="s">
        <v>881</v>
      </c>
      <c r="J17" t="s">
        <v>550</v>
      </c>
      <c r="K17" s="5" t="s">
        <v>3128</v>
      </c>
      <c r="L17" s="5" t="s">
        <v>3128</v>
      </c>
      <c r="M17" s="387">
        <v>0</v>
      </c>
      <c r="N17" s="387">
        <v>0</v>
      </c>
      <c r="O17" s="387">
        <v>0</v>
      </c>
      <c r="P17" s="387">
        <v>0</v>
      </c>
      <c r="Q17" s="387">
        <v>0</v>
      </c>
      <c r="R17" s="387">
        <v>0</v>
      </c>
      <c r="S17" s="1174">
        <f>Locations[[#This Row],[Ind_Returnees]]+Locations[[#This Row],[Ind_Refugees]]+Locations[[#This Row],[Ind_IDPs]]</f>
        <v>0</v>
      </c>
    </row>
    <row r="18" spans="1:19" s="388" customFormat="1" x14ac:dyDescent="0.3">
      <c r="A18" s="5" t="s">
        <v>533</v>
      </c>
      <c r="B18" s="1430" t="s">
        <v>3449</v>
      </c>
      <c r="C18" s="398" t="s">
        <v>534</v>
      </c>
      <c r="D18" s="5" t="s">
        <v>35</v>
      </c>
      <c r="E18" s="5" t="s">
        <v>35</v>
      </c>
      <c r="F18" s="5" t="s">
        <v>567</v>
      </c>
      <c r="G18" s="5" t="s">
        <v>192</v>
      </c>
      <c r="H18" s="5" t="s">
        <v>192</v>
      </c>
      <c r="I18" s="5" t="s">
        <v>853</v>
      </c>
      <c r="J18" t="s">
        <v>550</v>
      </c>
      <c r="K18" s="5" t="s">
        <v>3129</v>
      </c>
      <c r="L18" s="5" t="s">
        <v>3129</v>
      </c>
      <c r="M18" s="387">
        <v>40</v>
      </c>
      <c r="N18" s="387">
        <v>150</v>
      </c>
      <c r="O18" s="387">
        <v>0</v>
      </c>
      <c r="P18" s="387">
        <v>0</v>
      </c>
      <c r="Q18" s="387">
        <v>0</v>
      </c>
      <c r="R18" s="387">
        <v>0</v>
      </c>
      <c r="S18" s="1174">
        <f>Locations[[#This Row],[Ind_Returnees]]+Locations[[#This Row],[Ind_Refugees]]+Locations[[#This Row],[Ind_IDPs]]</f>
        <v>150</v>
      </c>
    </row>
    <row r="19" spans="1:19" s="388" customFormat="1" x14ac:dyDescent="0.3">
      <c r="A19" s="5" t="s">
        <v>533</v>
      </c>
      <c r="B19" s="1430" t="s">
        <v>3449</v>
      </c>
      <c r="C19" s="398" t="s">
        <v>534</v>
      </c>
      <c r="D19" s="5" t="s">
        <v>31</v>
      </c>
      <c r="E19" s="5" t="s">
        <v>31</v>
      </c>
      <c r="F19" s="5" t="s">
        <v>549</v>
      </c>
      <c r="G19" s="5" t="s">
        <v>172</v>
      </c>
      <c r="H19" s="5" t="s">
        <v>172</v>
      </c>
      <c r="I19" s="5" t="s">
        <v>706</v>
      </c>
      <c r="J19" t="s">
        <v>550</v>
      </c>
      <c r="K19" s="5" t="s">
        <v>3130</v>
      </c>
      <c r="L19" s="5" t="s">
        <v>3130</v>
      </c>
      <c r="M19" s="387">
        <v>0</v>
      </c>
      <c r="N19" s="387">
        <v>0</v>
      </c>
      <c r="O19" s="387">
        <v>0</v>
      </c>
      <c r="P19" s="387">
        <v>0</v>
      </c>
      <c r="Q19" s="387">
        <v>0</v>
      </c>
      <c r="R19" s="387">
        <v>0</v>
      </c>
      <c r="S19" s="1174">
        <f>Locations[[#This Row],[Ind_Returnees]]+Locations[[#This Row],[Ind_Refugees]]+Locations[[#This Row],[Ind_IDPs]]</f>
        <v>0</v>
      </c>
    </row>
    <row r="20" spans="1:19" s="388" customFormat="1" x14ac:dyDescent="0.3">
      <c r="A20" s="5" t="s">
        <v>533</v>
      </c>
      <c r="B20" s="1430" t="s">
        <v>3449</v>
      </c>
      <c r="C20" s="1090" t="s">
        <v>534</v>
      </c>
      <c r="D20" s="5" t="s">
        <v>31</v>
      </c>
      <c r="E20" s="5" t="s">
        <v>31</v>
      </c>
      <c r="F20" s="5" t="s">
        <v>549</v>
      </c>
      <c r="G20" s="5" t="s">
        <v>167</v>
      </c>
      <c r="H20" s="5" t="s">
        <v>167</v>
      </c>
      <c r="I20" s="5" t="s">
        <v>1113</v>
      </c>
      <c r="J20" t="s">
        <v>550</v>
      </c>
      <c r="K20" s="5" t="s">
        <v>3131</v>
      </c>
      <c r="L20" s="5" t="s">
        <v>3131</v>
      </c>
      <c r="M20" s="387">
        <v>0</v>
      </c>
      <c r="N20" s="387">
        <v>0</v>
      </c>
      <c r="O20" s="387">
        <v>0</v>
      </c>
      <c r="P20" s="387">
        <v>0</v>
      </c>
      <c r="Q20" s="387">
        <v>0</v>
      </c>
      <c r="R20" s="387">
        <v>0</v>
      </c>
      <c r="S20" s="1174">
        <f>Locations[[#This Row],[Ind_Returnees]]+Locations[[#This Row],[Ind_Refugees]]+Locations[[#This Row],[Ind_IDPs]]</f>
        <v>0</v>
      </c>
    </row>
    <row r="21" spans="1:19" s="388" customFormat="1" x14ac:dyDescent="0.3">
      <c r="A21" s="5" t="s">
        <v>533</v>
      </c>
      <c r="B21" s="1430" t="s">
        <v>3449</v>
      </c>
      <c r="C21" s="398" t="s">
        <v>534</v>
      </c>
      <c r="D21" s="5" t="s">
        <v>31</v>
      </c>
      <c r="E21" s="5" t="s">
        <v>31</v>
      </c>
      <c r="F21" s="5" t="s">
        <v>549</v>
      </c>
      <c r="G21" s="5" t="s">
        <v>167</v>
      </c>
      <c r="H21" s="5" t="s">
        <v>167</v>
      </c>
      <c r="I21" s="5" t="s">
        <v>1113</v>
      </c>
      <c r="J21" t="s">
        <v>550</v>
      </c>
      <c r="K21" s="5" t="s">
        <v>3132</v>
      </c>
      <c r="L21" s="5" t="s">
        <v>3132</v>
      </c>
      <c r="M21" s="387">
        <v>0</v>
      </c>
      <c r="N21" s="387">
        <v>0</v>
      </c>
      <c r="O21" s="387">
        <v>0</v>
      </c>
      <c r="P21" s="387">
        <v>0</v>
      </c>
      <c r="Q21" s="387">
        <v>0</v>
      </c>
      <c r="R21" s="387">
        <v>0</v>
      </c>
      <c r="S21" s="1174">
        <f>Locations[[#This Row],[Ind_Returnees]]+Locations[[#This Row],[Ind_Refugees]]+Locations[[#This Row],[Ind_IDPs]]</f>
        <v>0</v>
      </c>
    </row>
    <row r="22" spans="1:19" s="388" customFormat="1" x14ac:dyDescent="0.3">
      <c r="A22" s="5" t="s">
        <v>533</v>
      </c>
      <c r="B22" s="1430" t="s">
        <v>3449</v>
      </c>
      <c r="C22" s="398" t="s">
        <v>534</v>
      </c>
      <c r="D22" s="5" t="s">
        <v>33</v>
      </c>
      <c r="E22" s="5" t="s">
        <v>33</v>
      </c>
      <c r="F22" s="5" t="s">
        <v>561</v>
      </c>
      <c r="G22" s="5" t="s">
        <v>185</v>
      </c>
      <c r="H22" s="5" t="s">
        <v>185</v>
      </c>
      <c r="I22" s="5" t="s">
        <v>656</v>
      </c>
      <c r="J22" t="s">
        <v>550</v>
      </c>
      <c r="K22" s="5" t="s">
        <v>3133</v>
      </c>
      <c r="L22" s="5" t="s">
        <v>3133</v>
      </c>
      <c r="M22" s="387">
        <v>28</v>
      </c>
      <c r="N22" s="387">
        <v>206</v>
      </c>
      <c r="O22" s="387">
        <v>0</v>
      </c>
      <c r="P22" s="387">
        <v>0</v>
      </c>
      <c r="Q22" s="387">
        <v>0</v>
      </c>
      <c r="R22" s="387">
        <v>0</v>
      </c>
      <c r="S22" s="1174">
        <f>Locations[[#This Row],[Ind_Returnees]]+Locations[[#This Row],[Ind_Refugees]]+Locations[[#This Row],[Ind_IDPs]]</f>
        <v>206</v>
      </c>
    </row>
    <row r="23" spans="1:19" s="388" customFormat="1" x14ac:dyDescent="0.3">
      <c r="A23" s="5" t="s">
        <v>533</v>
      </c>
      <c r="B23" s="1430" t="s">
        <v>3449</v>
      </c>
      <c r="C23" s="398" t="s">
        <v>534</v>
      </c>
      <c r="D23" s="5" t="s">
        <v>31</v>
      </c>
      <c r="E23" s="5" t="s">
        <v>31</v>
      </c>
      <c r="F23" s="5" t="s">
        <v>549</v>
      </c>
      <c r="G23" s="5" t="s">
        <v>169</v>
      </c>
      <c r="H23" s="5" t="s">
        <v>169</v>
      </c>
      <c r="I23" s="5" t="s">
        <v>673</v>
      </c>
      <c r="J23" t="s">
        <v>550</v>
      </c>
      <c r="K23" s="5" t="s">
        <v>3134</v>
      </c>
      <c r="L23" s="5" t="s">
        <v>3134</v>
      </c>
      <c r="M23" s="387">
        <v>0</v>
      </c>
      <c r="N23" s="387">
        <v>0</v>
      </c>
      <c r="O23" s="387">
        <v>0</v>
      </c>
      <c r="P23" s="387">
        <v>0</v>
      </c>
      <c r="Q23" s="387">
        <v>24</v>
      </c>
      <c r="R23" s="387">
        <v>168</v>
      </c>
      <c r="S23" s="1174">
        <f>Locations[[#This Row],[Ind_Returnees]]+Locations[[#This Row],[Ind_Refugees]]+Locations[[#This Row],[Ind_IDPs]]</f>
        <v>168</v>
      </c>
    </row>
    <row r="24" spans="1:19" s="388" customFormat="1" x14ac:dyDescent="0.3">
      <c r="A24" s="5" t="s">
        <v>533</v>
      </c>
      <c r="B24" s="1430" t="s">
        <v>3449</v>
      </c>
      <c r="C24" s="1090" t="s">
        <v>534</v>
      </c>
      <c r="D24" s="5" t="s">
        <v>31</v>
      </c>
      <c r="E24" s="5" t="s">
        <v>31</v>
      </c>
      <c r="F24" s="5" t="s">
        <v>549</v>
      </c>
      <c r="G24" s="5" t="s">
        <v>169</v>
      </c>
      <c r="H24" s="5" t="s">
        <v>169</v>
      </c>
      <c r="I24" s="5" t="s">
        <v>673</v>
      </c>
      <c r="J24" t="s">
        <v>550</v>
      </c>
      <c r="K24" s="5" t="s">
        <v>3135</v>
      </c>
      <c r="L24" s="5" t="s">
        <v>3135</v>
      </c>
      <c r="M24" s="387">
        <v>0</v>
      </c>
      <c r="N24" s="387">
        <v>0</v>
      </c>
      <c r="O24" s="387">
        <v>0</v>
      </c>
      <c r="P24" s="387">
        <v>0</v>
      </c>
      <c r="Q24" s="387">
        <v>46</v>
      </c>
      <c r="R24" s="387">
        <v>322</v>
      </c>
      <c r="S24" s="1174">
        <f>Locations[[#This Row],[Ind_Returnees]]+Locations[[#This Row],[Ind_Refugees]]+Locations[[#This Row],[Ind_IDPs]]</f>
        <v>322</v>
      </c>
    </row>
    <row r="25" spans="1:19" s="388" customFormat="1" x14ac:dyDescent="0.3">
      <c r="A25" s="5" t="s">
        <v>533</v>
      </c>
      <c r="B25" s="1430" t="s">
        <v>3449</v>
      </c>
      <c r="C25" s="1090" t="s">
        <v>534</v>
      </c>
      <c r="D25" s="5" t="s">
        <v>31</v>
      </c>
      <c r="E25" s="5" t="s">
        <v>31</v>
      </c>
      <c r="F25" s="5" t="s">
        <v>549</v>
      </c>
      <c r="G25" s="5" t="s">
        <v>169</v>
      </c>
      <c r="H25" s="5" t="s">
        <v>169</v>
      </c>
      <c r="I25" s="5" t="s">
        <v>673</v>
      </c>
      <c r="J25" t="s">
        <v>550</v>
      </c>
      <c r="K25" s="5" t="s">
        <v>3136</v>
      </c>
      <c r="L25" s="5" t="s">
        <v>3136</v>
      </c>
      <c r="M25" s="387">
        <v>0</v>
      </c>
      <c r="N25" s="387">
        <v>0</v>
      </c>
      <c r="O25" s="387">
        <v>0</v>
      </c>
      <c r="P25" s="387">
        <v>0</v>
      </c>
      <c r="Q25" s="387">
        <v>28</v>
      </c>
      <c r="R25" s="387">
        <v>160</v>
      </c>
      <c r="S25" s="1174">
        <f>Locations[[#This Row],[Ind_Returnees]]+Locations[[#This Row],[Ind_Refugees]]+Locations[[#This Row],[Ind_IDPs]]</f>
        <v>160</v>
      </c>
    </row>
    <row r="26" spans="1:19" s="388" customFormat="1" x14ac:dyDescent="0.3">
      <c r="A26" s="5" t="s">
        <v>533</v>
      </c>
      <c r="B26" s="1430" t="s">
        <v>3449</v>
      </c>
      <c r="C26" s="398" t="s">
        <v>534</v>
      </c>
      <c r="D26" s="5" t="s">
        <v>31</v>
      </c>
      <c r="E26" s="5" t="s">
        <v>31</v>
      </c>
      <c r="F26" s="5" t="s">
        <v>549</v>
      </c>
      <c r="G26" s="5" t="s">
        <v>169</v>
      </c>
      <c r="H26" s="5" t="s">
        <v>169</v>
      </c>
      <c r="I26" s="5" t="s">
        <v>673</v>
      </c>
      <c r="J26" t="s">
        <v>550</v>
      </c>
      <c r="K26" s="5" t="s">
        <v>3137</v>
      </c>
      <c r="L26" s="5" t="s">
        <v>3137</v>
      </c>
      <c r="M26" s="387">
        <v>0</v>
      </c>
      <c r="N26" s="387">
        <v>0</v>
      </c>
      <c r="O26" s="387">
        <v>0</v>
      </c>
      <c r="P26" s="387">
        <v>0</v>
      </c>
      <c r="Q26" s="387">
        <v>30</v>
      </c>
      <c r="R26" s="387">
        <v>200</v>
      </c>
      <c r="S26" s="1174">
        <f>Locations[[#This Row],[Ind_Returnees]]+Locations[[#This Row],[Ind_Refugees]]+Locations[[#This Row],[Ind_IDPs]]</f>
        <v>200</v>
      </c>
    </row>
    <row r="27" spans="1:19" s="388" customFormat="1" x14ac:dyDescent="0.3">
      <c r="A27" s="5" t="s">
        <v>533</v>
      </c>
      <c r="B27" s="1430" t="s">
        <v>3449</v>
      </c>
      <c r="C27" s="398" t="s">
        <v>534</v>
      </c>
      <c r="D27" s="5" t="s">
        <v>31</v>
      </c>
      <c r="E27" s="5" t="s">
        <v>31</v>
      </c>
      <c r="F27" s="5" t="s">
        <v>549</v>
      </c>
      <c r="G27" s="5" t="s">
        <v>169</v>
      </c>
      <c r="H27" s="5" t="s">
        <v>169</v>
      </c>
      <c r="I27" s="5" t="s">
        <v>673</v>
      </c>
      <c r="J27" t="s">
        <v>550</v>
      </c>
      <c r="K27" s="5" t="s">
        <v>3138</v>
      </c>
      <c r="L27" s="5" t="s">
        <v>3138</v>
      </c>
      <c r="M27" s="387">
        <v>0</v>
      </c>
      <c r="N27" s="387">
        <v>0</v>
      </c>
      <c r="O27" s="387">
        <v>0</v>
      </c>
      <c r="P27" s="387">
        <v>0</v>
      </c>
      <c r="Q27" s="387">
        <v>18</v>
      </c>
      <c r="R27" s="387">
        <v>36</v>
      </c>
      <c r="S27" s="1174">
        <f>Locations[[#This Row],[Ind_Returnees]]+Locations[[#This Row],[Ind_Refugees]]+Locations[[#This Row],[Ind_IDPs]]</f>
        <v>36</v>
      </c>
    </row>
    <row r="28" spans="1:19" s="388" customFormat="1" x14ac:dyDescent="0.3">
      <c r="A28" s="5" t="s">
        <v>533</v>
      </c>
      <c r="B28" s="1430" t="s">
        <v>3449</v>
      </c>
      <c r="C28" s="398" t="s">
        <v>534</v>
      </c>
      <c r="D28" s="5" t="s">
        <v>31</v>
      </c>
      <c r="E28" s="5" t="s">
        <v>31</v>
      </c>
      <c r="F28" s="5" t="s">
        <v>549</v>
      </c>
      <c r="G28" s="5" t="s">
        <v>169</v>
      </c>
      <c r="H28" s="5" t="s">
        <v>169</v>
      </c>
      <c r="I28" s="5" t="s">
        <v>673</v>
      </c>
      <c r="J28" t="s">
        <v>550</v>
      </c>
      <c r="K28" s="5" t="s">
        <v>3139</v>
      </c>
      <c r="L28" s="5" t="s">
        <v>3139</v>
      </c>
      <c r="M28" s="387">
        <v>0</v>
      </c>
      <c r="N28" s="387">
        <v>0</v>
      </c>
      <c r="O28" s="387">
        <v>0</v>
      </c>
      <c r="P28" s="387">
        <v>0</v>
      </c>
      <c r="Q28" s="387">
        <v>19</v>
      </c>
      <c r="R28" s="387">
        <v>150</v>
      </c>
      <c r="S28" s="1174">
        <f>Locations[[#This Row],[Ind_Returnees]]+Locations[[#This Row],[Ind_Refugees]]+Locations[[#This Row],[Ind_IDPs]]</f>
        <v>150</v>
      </c>
    </row>
    <row r="29" spans="1:19" s="388" customFormat="1" x14ac:dyDescent="0.3">
      <c r="A29" s="5" t="s">
        <v>533</v>
      </c>
      <c r="B29" s="1430" t="s">
        <v>3449</v>
      </c>
      <c r="C29" s="398" t="s">
        <v>534</v>
      </c>
      <c r="D29" s="5" t="s">
        <v>31</v>
      </c>
      <c r="E29" s="5" t="s">
        <v>31</v>
      </c>
      <c r="F29" s="5" t="s">
        <v>549</v>
      </c>
      <c r="G29" s="5" t="s">
        <v>169</v>
      </c>
      <c r="H29" s="5" t="s">
        <v>169</v>
      </c>
      <c r="I29" s="5" t="s">
        <v>673</v>
      </c>
      <c r="J29" t="s">
        <v>550</v>
      </c>
      <c r="K29" s="5" t="s">
        <v>3140</v>
      </c>
      <c r="L29" s="5" t="s">
        <v>3140</v>
      </c>
      <c r="M29" s="387">
        <v>0</v>
      </c>
      <c r="N29" s="387">
        <v>0</v>
      </c>
      <c r="O29" s="387">
        <v>0</v>
      </c>
      <c r="P29" s="387">
        <v>0</v>
      </c>
      <c r="Q29" s="387">
        <v>11</v>
      </c>
      <c r="R29" s="387">
        <v>77</v>
      </c>
      <c r="S29" s="1174">
        <f>Locations[[#This Row],[Ind_Returnees]]+Locations[[#This Row],[Ind_Refugees]]+Locations[[#This Row],[Ind_IDPs]]</f>
        <v>77</v>
      </c>
    </row>
    <row r="30" spans="1:19" s="388" customFormat="1" x14ac:dyDescent="0.3">
      <c r="A30" s="5" t="s">
        <v>533</v>
      </c>
      <c r="B30" s="1430" t="s">
        <v>3449</v>
      </c>
      <c r="C30" s="1090" t="s">
        <v>534</v>
      </c>
      <c r="D30" s="5" t="s">
        <v>32</v>
      </c>
      <c r="E30" s="5" t="s">
        <v>32</v>
      </c>
      <c r="F30" s="5" t="s">
        <v>542</v>
      </c>
      <c r="G30" s="5" t="s">
        <v>176</v>
      </c>
      <c r="H30" s="5" t="s">
        <v>176</v>
      </c>
      <c r="I30" s="5" t="s">
        <v>772</v>
      </c>
      <c r="J30" t="s">
        <v>550</v>
      </c>
      <c r="K30" s="5" t="s">
        <v>3141</v>
      </c>
      <c r="L30" s="5" t="s">
        <v>3141</v>
      </c>
      <c r="M30" s="387">
        <v>0</v>
      </c>
      <c r="N30" s="387">
        <v>0</v>
      </c>
      <c r="O30" s="387">
        <v>0</v>
      </c>
      <c r="P30" s="387">
        <v>0</v>
      </c>
      <c r="Q30" s="387">
        <v>937</v>
      </c>
      <c r="R30" s="387">
        <v>8433</v>
      </c>
      <c r="S30" s="1174">
        <f>Locations[[#This Row],[Ind_Returnees]]+Locations[[#This Row],[Ind_Refugees]]+Locations[[#This Row],[Ind_IDPs]]</f>
        <v>8433</v>
      </c>
    </row>
    <row r="31" spans="1:19" s="388" customFormat="1" x14ac:dyDescent="0.3">
      <c r="A31" s="5" t="s">
        <v>533</v>
      </c>
      <c r="B31" s="1430" t="s">
        <v>3449</v>
      </c>
      <c r="C31" s="398" t="s">
        <v>534</v>
      </c>
      <c r="D31" s="5" t="s">
        <v>31</v>
      </c>
      <c r="E31" s="5" t="s">
        <v>31</v>
      </c>
      <c r="F31" s="5" t="s">
        <v>549</v>
      </c>
      <c r="G31" s="5" t="s">
        <v>169</v>
      </c>
      <c r="H31" s="5" t="s">
        <v>169</v>
      </c>
      <c r="I31" s="5" t="s">
        <v>673</v>
      </c>
      <c r="J31" t="s">
        <v>550</v>
      </c>
      <c r="K31" s="5" t="s">
        <v>3142</v>
      </c>
      <c r="L31" s="5" t="s">
        <v>3142</v>
      </c>
      <c r="M31" s="387">
        <v>40</v>
      </c>
      <c r="N31" s="387">
        <v>250</v>
      </c>
      <c r="O31" s="387">
        <v>7</v>
      </c>
      <c r="P31" s="387">
        <v>60</v>
      </c>
      <c r="Q31" s="387">
        <v>0</v>
      </c>
      <c r="R31" s="387">
        <v>0</v>
      </c>
      <c r="S31" s="1174">
        <f>Locations[[#This Row],[Ind_Returnees]]+Locations[[#This Row],[Ind_Refugees]]+Locations[[#This Row],[Ind_IDPs]]</f>
        <v>310</v>
      </c>
    </row>
    <row r="32" spans="1:19" s="388" customFormat="1" x14ac:dyDescent="0.3">
      <c r="A32" s="5" t="s">
        <v>533</v>
      </c>
      <c r="B32" s="1430" t="s">
        <v>3449</v>
      </c>
      <c r="C32" s="1090" t="s">
        <v>534</v>
      </c>
      <c r="D32" s="5" t="s">
        <v>35</v>
      </c>
      <c r="E32" s="5" t="s">
        <v>35</v>
      </c>
      <c r="F32" s="5" t="s">
        <v>567</v>
      </c>
      <c r="G32" s="5" t="s">
        <v>195</v>
      </c>
      <c r="H32" s="5" t="s">
        <v>195</v>
      </c>
      <c r="I32" s="5" t="s">
        <v>733</v>
      </c>
      <c r="J32" t="s">
        <v>550</v>
      </c>
      <c r="K32" s="5" t="s">
        <v>3143</v>
      </c>
      <c r="L32" s="5" t="s">
        <v>3143</v>
      </c>
      <c r="M32" s="387">
        <v>0</v>
      </c>
      <c r="N32" s="387">
        <v>0</v>
      </c>
      <c r="O32" s="387">
        <v>0</v>
      </c>
      <c r="P32" s="387">
        <v>0</v>
      </c>
      <c r="Q32" s="387">
        <v>0</v>
      </c>
      <c r="R32" s="387">
        <v>0</v>
      </c>
      <c r="S32" s="1174">
        <f>Locations[[#This Row],[Ind_Returnees]]+Locations[[#This Row],[Ind_Refugees]]+Locations[[#This Row],[Ind_IDPs]]</f>
        <v>0</v>
      </c>
    </row>
    <row r="33" spans="1:19" s="388" customFormat="1" x14ac:dyDescent="0.3">
      <c r="A33" s="5" t="s">
        <v>533</v>
      </c>
      <c r="B33" s="1430" t="s">
        <v>3449</v>
      </c>
      <c r="C33" s="398" t="s">
        <v>534</v>
      </c>
      <c r="D33" s="5" t="s">
        <v>31</v>
      </c>
      <c r="E33" s="5" t="s">
        <v>31</v>
      </c>
      <c r="F33" s="5" t="s">
        <v>549</v>
      </c>
      <c r="G33" s="5" t="s">
        <v>173</v>
      </c>
      <c r="H33" s="5" t="s">
        <v>173</v>
      </c>
      <c r="I33" s="5" t="s">
        <v>556</v>
      </c>
      <c r="J33" t="s">
        <v>550</v>
      </c>
      <c r="K33" s="5" t="s">
        <v>3144</v>
      </c>
      <c r="L33" s="5" t="s">
        <v>3144</v>
      </c>
      <c r="M33" s="387">
        <v>67</v>
      </c>
      <c r="N33" s="387">
        <v>570</v>
      </c>
      <c r="O33" s="387">
        <v>0</v>
      </c>
      <c r="P33" s="387">
        <v>0</v>
      </c>
      <c r="Q33" s="387">
        <v>0</v>
      </c>
      <c r="R33" s="387">
        <v>0</v>
      </c>
      <c r="S33" s="1174">
        <f>Locations[[#This Row],[Ind_Returnees]]+Locations[[#This Row],[Ind_Refugees]]+Locations[[#This Row],[Ind_IDPs]]</f>
        <v>570</v>
      </c>
    </row>
    <row r="34" spans="1:19" s="388" customFormat="1" x14ac:dyDescent="0.3">
      <c r="A34" s="5" t="s">
        <v>533</v>
      </c>
      <c r="B34" s="1430" t="s">
        <v>3449</v>
      </c>
      <c r="C34" s="1090" t="s">
        <v>534</v>
      </c>
      <c r="D34" s="5" t="s">
        <v>32</v>
      </c>
      <c r="E34" s="5" t="s">
        <v>32</v>
      </c>
      <c r="F34" s="5" t="s">
        <v>542</v>
      </c>
      <c r="G34" s="5" t="s">
        <v>178</v>
      </c>
      <c r="H34" s="5" t="s">
        <v>178</v>
      </c>
      <c r="I34" s="5" t="s">
        <v>543</v>
      </c>
      <c r="J34" t="s">
        <v>550</v>
      </c>
      <c r="K34" s="5" t="s">
        <v>3145</v>
      </c>
      <c r="L34" s="5" t="s">
        <v>3145</v>
      </c>
      <c r="M34" s="387">
        <v>0</v>
      </c>
      <c r="N34" s="387">
        <v>0</v>
      </c>
      <c r="O34" s="387">
        <v>0</v>
      </c>
      <c r="P34" s="387">
        <v>0</v>
      </c>
      <c r="Q34" s="387">
        <v>23</v>
      </c>
      <c r="R34" s="387">
        <v>175</v>
      </c>
      <c r="S34" s="1174">
        <f>Locations[[#This Row],[Ind_Returnees]]+Locations[[#This Row],[Ind_Refugees]]+Locations[[#This Row],[Ind_IDPs]]</f>
        <v>175</v>
      </c>
    </row>
    <row r="35" spans="1:19" s="388" customFormat="1" x14ac:dyDescent="0.3">
      <c r="A35" s="5" t="s">
        <v>533</v>
      </c>
      <c r="B35" s="1430" t="s">
        <v>3449</v>
      </c>
      <c r="C35" s="398" t="s">
        <v>534</v>
      </c>
      <c r="D35" s="5" t="s">
        <v>31</v>
      </c>
      <c r="E35" s="5" t="s">
        <v>31</v>
      </c>
      <c r="F35" s="5" t="s">
        <v>549</v>
      </c>
      <c r="G35" s="5" t="s">
        <v>166</v>
      </c>
      <c r="H35" s="5" t="s">
        <v>166</v>
      </c>
      <c r="I35" s="5" t="s">
        <v>844</v>
      </c>
      <c r="J35" t="s">
        <v>550</v>
      </c>
      <c r="K35" s="5" t="s">
        <v>3146</v>
      </c>
      <c r="L35" s="5" t="s">
        <v>3146</v>
      </c>
      <c r="M35" s="387">
        <v>0</v>
      </c>
      <c r="N35" s="387">
        <v>0</v>
      </c>
      <c r="O35" s="387">
        <v>0</v>
      </c>
      <c r="P35" s="387">
        <v>0</v>
      </c>
      <c r="Q35" s="387">
        <v>12</v>
      </c>
      <c r="R35" s="387">
        <v>67</v>
      </c>
      <c r="S35" s="1174">
        <f>Locations[[#This Row],[Ind_Returnees]]+Locations[[#This Row],[Ind_Refugees]]+Locations[[#This Row],[Ind_IDPs]]</f>
        <v>67</v>
      </c>
    </row>
    <row r="36" spans="1:19" s="388" customFormat="1" x14ac:dyDescent="0.3">
      <c r="A36" s="5" t="s">
        <v>533</v>
      </c>
      <c r="B36" s="1430" t="s">
        <v>3449</v>
      </c>
      <c r="C36" s="398" t="s">
        <v>534</v>
      </c>
      <c r="D36" s="5" t="s">
        <v>35</v>
      </c>
      <c r="E36" s="5" t="s">
        <v>35</v>
      </c>
      <c r="F36" s="5" t="s">
        <v>567</v>
      </c>
      <c r="G36" s="5" t="s">
        <v>195</v>
      </c>
      <c r="H36" s="5" t="s">
        <v>195</v>
      </c>
      <c r="I36" s="5" t="s">
        <v>733</v>
      </c>
      <c r="J36" t="s">
        <v>550</v>
      </c>
      <c r="K36" s="5" t="s">
        <v>3147</v>
      </c>
      <c r="L36" s="5" t="s">
        <v>3147</v>
      </c>
      <c r="M36" s="387">
        <v>15</v>
      </c>
      <c r="N36" s="387">
        <v>60</v>
      </c>
      <c r="O36" s="387">
        <v>0</v>
      </c>
      <c r="P36" s="387">
        <v>0</v>
      </c>
      <c r="Q36" s="387">
        <v>0</v>
      </c>
      <c r="R36" s="387">
        <v>0</v>
      </c>
      <c r="S36" s="1174">
        <f>Locations[[#This Row],[Ind_Returnees]]+Locations[[#This Row],[Ind_Refugees]]+Locations[[#This Row],[Ind_IDPs]]</f>
        <v>60</v>
      </c>
    </row>
    <row r="37" spans="1:19" s="388" customFormat="1" x14ac:dyDescent="0.3">
      <c r="A37" s="5" t="s">
        <v>533</v>
      </c>
      <c r="B37" s="1430" t="s">
        <v>3449</v>
      </c>
      <c r="C37" s="398" t="s">
        <v>534</v>
      </c>
      <c r="D37" s="5" t="s">
        <v>31</v>
      </c>
      <c r="E37" s="5" t="s">
        <v>31</v>
      </c>
      <c r="F37" s="5" t="s">
        <v>549</v>
      </c>
      <c r="G37" s="5" t="s">
        <v>169</v>
      </c>
      <c r="H37" s="5" t="s">
        <v>169</v>
      </c>
      <c r="I37" s="5" t="s">
        <v>673</v>
      </c>
      <c r="J37" t="s">
        <v>550</v>
      </c>
      <c r="K37" s="5" t="s">
        <v>3148</v>
      </c>
      <c r="L37" s="5" t="s">
        <v>3148</v>
      </c>
      <c r="M37" s="387">
        <v>0</v>
      </c>
      <c r="N37" s="387">
        <v>0</v>
      </c>
      <c r="O37" s="387">
        <v>0</v>
      </c>
      <c r="P37" s="387">
        <v>0</v>
      </c>
      <c r="Q37" s="387">
        <v>0</v>
      </c>
      <c r="R37" s="387">
        <v>0</v>
      </c>
      <c r="S37" s="1174">
        <f>Locations[[#This Row],[Ind_Returnees]]+Locations[[#This Row],[Ind_Refugees]]+Locations[[#This Row],[Ind_IDPs]]</f>
        <v>0</v>
      </c>
    </row>
    <row r="38" spans="1:19" s="388" customFormat="1" x14ac:dyDescent="0.3">
      <c r="A38" s="5" t="s">
        <v>533</v>
      </c>
      <c r="B38" s="1430" t="s">
        <v>3449</v>
      </c>
      <c r="C38" s="1090" t="s">
        <v>534</v>
      </c>
      <c r="D38" s="5" t="s">
        <v>32</v>
      </c>
      <c r="E38" s="5" t="s">
        <v>32</v>
      </c>
      <c r="F38" s="5" t="s">
        <v>542</v>
      </c>
      <c r="G38" s="1144" t="s">
        <v>175</v>
      </c>
      <c r="H38" s="1144" t="s">
        <v>175</v>
      </c>
      <c r="I38" s="5" t="s">
        <v>1136</v>
      </c>
      <c r="J38" t="s">
        <v>550</v>
      </c>
      <c r="K38" s="5" t="s">
        <v>3149</v>
      </c>
      <c r="L38" s="5" t="s">
        <v>3149</v>
      </c>
      <c r="M38" s="387">
        <v>0</v>
      </c>
      <c r="N38" s="387">
        <v>0</v>
      </c>
      <c r="O38" s="387">
        <v>0</v>
      </c>
      <c r="P38" s="387">
        <v>0</v>
      </c>
      <c r="Q38" s="387">
        <v>50</v>
      </c>
      <c r="R38" s="387">
        <v>311</v>
      </c>
      <c r="S38" s="1174">
        <f>Locations[[#This Row],[Ind_Returnees]]+Locations[[#This Row],[Ind_Refugees]]+Locations[[#This Row],[Ind_IDPs]]</f>
        <v>311</v>
      </c>
    </row>
    <row r="39" spans="1:19" s="388" customFormat="1" x14ac:dyDescent="0.3">
      <c r="A39" s="5" t="s">
        <v>533</v>
      </c>
      <c r="B39" s="1430" t="s">
        <v>3449</v>
      </c>
      <c r="C39" s="1090" t="s">
        <v>534</v>
      </c>
      <c r="D39" s="5" t="s">
        <v>32</v>
      </c>
      <c r="E39" s="5" t="s">
        <v>32</v>
      </c>
      <c r="F39" s="5" t="s">
        <v>542</v>
      </c>
      <c r="G39" s="1144" t="s">
        <v>176</v>
      </c>
      <c r="H39" s="1144" t="s">
        <v>176</v>
      </c>
      <c r="I39" s="5" t="s">
        <v>772</v>
      </c>
      <c r="J39" t="s">
        <v>550</v>
      </c>
      <c r="K39" s="5" t="s">
        <v>3150</v>
      </c>
      <c r="L39" s="5" t="s">
        <v>3150</v>
      </c>
      <c r="M39" s="387">
        <v>0</v>
      </c>
      <c r="N39" s="387">
        <v>0</v>
      </c>
      <c r="O39" s="387">
        <v>0</v>
      </c>
      <c r="P39" s="387">
        <v>0</v>
      </c>
      <c r="Q39" s="387">
        <v>40</v>
      </c>
      <c r="R39" s="387">
        <v>415</v>
      </c>
      <c r="S39" s="1174">
        <f>Locations[[#This Row],[Ind_Returnees]]+Locations[[#This Row],[Ind_Refugees]]+Locations[[#This Row],[Ind_IDPs]]</f>
        <v>415</v>
      </c>
    </row>
    <row r="40" spans="1:19" s="388" customFormat="1" x14ac:dyDescent="0.3">
      <c r="A40" s="5" t="s">
        <v>533</v>
      </c>
      <c r="B40" s="1430" t="s">
        <v>3449</v>
      </c>
      <c r="C40" s="1090" t="s">
        <v>534</v>
      </c>
      <c r="D40" s="5" t="s">
        <v>35</v>
      </c>
      <c r="E40" s="5" t="s">
        <v>35</v>
      </c>
      <c r="F40" s="5" t="s">
        <v>567</v>
      </c>
      <c r="G40" s="1144" t="s">
        <v>195</v>
      </c>
      <c r="H40" s="1144" t="s">
        <v>195</v>
      </c>
      <c r="I40" s="5" t="s">
        <v>733</v>
      </c>
      <c r="J40" t="s">
        <v>550</v>
      </c>
      <c r="K40" s="5" t="s">
        <v>3151</v>
      </c>
      <c r="L40" s="5" t="s">
        <v>3151</v>
      </c>
      <c r="M40" s="387">
        <v>0</v>
      </c>
      <c r="N40" s="387">
        <v>0</v>
      </c>
      <c r="O40" s="387">
        <v>0</v>
      </c>
      <c r="P40" s="387">
        <v>0</v>
      </c>
      <c r="Q40" s="387">
        <v>0</v>
      </c>
      <c r="R40" s="387">
        <v>0</v>
      </c>
      <c r="S40" s="1174">
        <f>Locations[[#This Row],[Ind_Returnees]]+Locations[[#This Row],[Ind_Refugees]]+Locations[[#This Row],[Ind_IDPs]]</f>
        <v>0</v>
      </c>
    </row>
    <row r="41" spans="1:19" s="388" customFormat="1" x14ac:dyDescent="0.3">
      <c r="A41" s="5" t="s">
        <v>533</v>
      </c>
      <c r="B41" s="1430" t="s">
        <v>3449</v>
      </c>
      <c r="C41" s="1090" t="s">
        <v>534</v>
      </c>
      <c r="D41" s="5" t="s">
        <v>32</v>
      </c>
      <c r="E41" s="5" t="s">
        <v>32</v>
      </c>
      <c r="F41" s="5" t="s">
        <v>542</v>
      </c>
      <c r="G41" s="5" t="s">
        <v>176</v>
      </c>
      <c r="H41" s="5" t="s">
        <v>176</v>
      </c>
      <c r="I41" s="5" t="s">
        <v>772</v>
      </c>
      <c r="J41" t="s">
        <v>550</v>
      </c>
      <c r="K41" s="5" t="s">
        <v>3152</v>
      </c>
      <c r="L41" s="5" t="s">
        <v>3152</v>
      </c>
      <c r="M41" s="387">
        <v>0</v>
      </c>
      <c r="N41" s="387">
        <v>0</v>
      </c>
      <c r="O41" s="387">
        <v>0</v>
      </c>
      <c r="P41" s="387">
        <v>0</v>
      </c>
      <c r="Q41" s="387">
        <v>20</v>
      </c>
      <c r="R41" s="387">
        <v>194</v>
      </c>
      <c r="S41" s="1174">
        <f>Locations[[#This Row],[Ind_Returnees]]+Locations[[#This Row],[Ind_Refugees]]+Locations[[#This Row],[Ind_IDPs]]</f>
        <v>194</v>
      </c>
    </row>
    <row r="42" spans="1:19" s="388" customFormat="1" x14ac:dyDescent="0.3">
      <c r="A42" s="5" t="s">
        <v>533</v>
      </c>
      <c r="B42" s="1430" t="s">
        <v>3449</v>
      </c>
      <c r="C42" s="398" t="s">
        <v>534</v>
      </c>
      <c r="D42" s="5" t="s">
        <v>32</v>
      </c>
      <c r="E42" s="5" t="s">
        <v>32</v>
      </c>
      <c r="F42" s="5" t="s">
        <v>542</v>
      </c>
      <c r="G42" s="5" t="s">
        <v>176</v>
      </c>
      <c r="H42" s="5" t="s">
        <v>176</v>
      </c>
      <c r="I42" s="5" t="s">
        <v>772</v>
      </c>
      <c r="J42" t="s">
        <v>550</v>
      </c>
      <c r="K42" s="5" t="s">
        <v>3153</v>
      </c>
      <c r="L42" s="5" t="s">
        <v>3153</v>
      </c>
      <c r="M42" s="387">
        <v>4</v>
      </c>
      <c r="N42" s="387">
        <v>37</v>
      </c>
      <c r="O42" s="387">
        <v>0</v>
      </c>
      <c r="P42" s="387">
        <v>0</v>
      </c>
      <c r="Q42" s="387">
        <v>6</v>
      </c>
      <c r="R42" s="387">
        <v>70</v>
      </c>
      <c r="S42" s="1174">
        <f>Locations[[#This Row],[Ind_Returnees]]+Locations[[#This Row],[Ind_Refugees]]+Locations[[#This Row],[Ind_IDPs]]</f>
        <v>107</v>
      </c>
    </row>
    <row r="43" spans="1:19" s="388" customFormat="1" x14ac:dyDescent="0.3">
      <c r="A43" s="577" t="s">
        <v>533</v>
      </c>
      <c r="B43" s="1430" t="s">
        <v>3449</v>
      </c>
      <c r="C43" s="577" t="s">
        <v>534</v>
      </c>
      <c r="D43" s="577" t="s">
        <v>32</v>
      </c>
      <c r="E43" s="577" t="s">
        <v>32</v>
      </c>
      <c r="F43" s="577" t="s">
        <v>542</v>
      </c>
      <c r="G43" s="577" t="s">
        <v>181</v>
      </c>
      <c r="H43" s="577" t="s">
        <v>181</v>
      </c>
      <c r="I43" s="577" t="s">
        <v>1661</v>
      </c>
      <c r="J43" s="577" t="s">
        <v>550</v>
      </c>
      <c r="K43" s="577" t="s">
        <v>3154</v>
      </c>
      <c r="L43" s="577" t="s">
        <v>3154</v>
      </c>
      <c r="M43" s="387">
        <v>0</v>
      </c>
      <c r="N43" s="387">
        <v>0</v>
      </c>
      <c r="O43" s="387">
        <v>0</v>
      </c>
      <c r="P43" s="387">
        <v>0</v>
      </c>
      <c r="Q43" s="387">
        <v>0</v>
      </c>
      <c r="R43" s="387">
        <v>0</v>
      </c>
      <c r="S43" s="1174">
        <f>Locations[[#This Row],[Ind_Returnees]]+Locations[[#This Row],[Ind_Refugees]]+Locations[[#This Row],[Ind_IDPs]]</f>
        <v>0</v>
      </c>
    </row>
    <row r="44" spans="1:19" s="388" customFormat="1" x14ac:dyDescent="0.3">
      <c r="A44" s="5" t="s">
        <v>533</v>
      </c>
      <c r="B44" s="1430" t="s">
        <v>3449</v>
      </c>
      <c r="C44" s="398" t="s">
        <v>534</v>
      </c>
      <c r="D44" s="5" t="s">
        <v>32</v>
      </c>
      <c r="E44" s="5" t="s">
        <v>32</v>
      </c>
      <c r="F44" s="5" t="s">
        <v>542</v>
      </c>
      <c r="G44" s="5" t="s">
        <v>181</v>
      </c>
      <c r="H44" s="5" t="s">
        <v>181</v>
      </c>
      <c r="I44" s="5" t="s">
        <v>1661</v>
      </c>
      <c r="J44" t="s">
        <v>550</v>
      </c>
      <c r="K44" s="5" t="s">
        <v>3155</v>
      </c>
      <c r="L44" s="5" t="s">
        <v>3155</v>
      </c>
      <c r="M44" s="387">
        <v>0</v>
      </c>
      <c r="N44" s="387">
        <v>0</v>
      </c>
      <c r="O44" s="387">
        <v>0</v>
      </c>
      <c r="P44" s="387">
        <v>0</v>
      </c>
      <c r="Q44" s="387">
        <v>141</v>
      </c>
      <c r="R44" s="387">
        <v>1742</v>
      </c>
      <c r="S44" s="1174">
        <f>Locations[[#This Row],[Ind_Returnees]]+Locations[[#This Row],[Ind_Refugees]]+Locations[[#This Row],[Ind_IDPs]]</f>
        <v>1742</v>
      </c>
    </row>
    <row r="45" spans="1:19" s="388" customFormat="1" x14ac:dyDescent="0.3">
      <c r="A45" s="577" t="s">
        <v>533</v>
      </c>
      <c r="B45" s="1430" t="s">
        <v>3449</v>
      </c>
      <c r="C45" s="577" t="s">
        <v>534</v>
      </c>
      <c r="D45" s="577" t="s">
        <v>32</v>
      </c>
      <c r="E45" s="577" t="s">
        <v>32</v>
      </c>
      <c r="F45" s="577" t="s">
        <v>542</v>
      </c>
      <c r="G45" s="577" t="s">
        <v>180</v>
      </c>
      <c r="H45" s="577" t="s">
        <v>180</v>
      </c>
      <c r="I45" s="577" t="s">
        <v>1653</v>
      </c>
      <c r="J45" s="577" t="s">
        <v>550</v>
      </c>
      <c r="K45" s="577" t="s">
        <v>3156</v>
      </c>
      <c r="L45" s="577" t="s">
        <v>3156</v>
      </c>
      <c r="M45" s="387">
        <v>0</v>
      </c>
      <c r="N45" s="387">
        <v>0</v>
      </c>
      <c r="O45" s="387">
        <v>0</v>
      </c>
      <c r="P45" s="387">
        <v>0</v>
      </c>
      <c r="Q45" s="387">
        <v>776</v>
      </c>
      <c r="R45" s="387">
        <v>6208</v>
      </c>
      <c r="S45" s="1174">
        <f>Locations[[#This Row],[Ind_Returnees]]+Locations[[#This Row],[Ind_Refugees]]+Locations[[#This Row],[Ind_IDPs]]</f>
        <v>6208</v>
      </c>
    </row>
    <row r="46" spans="1:19" s="388" customFormat="1" x14ac:dyDescent="0.3">
      <c r="A46" s="5" t="s">
        <v>533</v>
      </c>
      <c r="B46" s="1430" t="s">
        <v>3449</v>
      </c>
      <c r="C46" s="1090" t="s">
        <v>534</v>
      </c>
      <c r="D46" s="5" t="s">
        <v>32</v>
      </c>
      <c r="E46" s="5" t="s">
        <v>32</v>
      </c>
      <c r="F46" s="5" t="s">
        <v>542</v>
      </c>
      <c r="G46" s="5" t="s">
        <v>180</v>
      </c>
      <c r="H46" s="5" t="s">
        <v>180</v>
      </c>
      <c r="I46" s="5" t="s">
        <v>1653</v>
      </c>
      <c r="J46" t="s">
        <v>550</v>
      </c>
      <c r="K46" s="5" t="s">
        <v>3157</v>
      </c>
      <c r="L46" s="5" t="s">
        <v>3157</v>
      </c>
      <c r="M46" s="387">
        <v>0</v>
      </c>
      <c r="N46" s="387">
        <v>0</v>
      </c>
      <c r="O46" s="387">
        <v>0</v>
      </c>
      <c r="P46" s="387">
        <v>0</v>
      </c>
      <c r="Q46" s="387">
        <v>1098</v>
      </c>
      <c r="R46" s="387">
        <v>7686</v>
      </c>
      <c r="S46" s="1174">
        <f>Locations[[#This Row],[Ind_Returnees]]+Locations[[#This Row],[Ind_Refugees]]+Locations[[#This Row],[Ind_IDPs]]</f>
        <v>7686</v>
      </c>
    </row>
    <row r="47" spans="1:19" s="388" customFormat="1" x14ac:dyDescent="0.3">
      <c r="A47" s="5" t="s">
        <v>533</v>
      </c>
      <c r="B47" s="1430" t="s">
        <v>3449</v>
      </c>
      <c r="C47" s="398" t="s">
        <v>534</v>
      </c>
      <c r="D47" s="5" t="s">
        <v>32</v>
      </c>
      <c r="E47" s="5" t="s">
        <v>32</v>
      </c>
      <c r="F47" s="5" t="s">
        <v>542</v>
      </c>
      <c r="G47" s="5" t="s">
        <v>180</v>
      </c>
      <c r="H47" s="5" t="s">
        <v>180</v>
      </c>
      <c r="I47" s="5" t="s">
        <v>1653</v>
      </c>
      <c r="J47" t="s">
        <v>550</v>
      </c>
      <c r="K47" s="5" t="s">
        <v>3158</v>
      </c>
      <c r="L47" s="5" t="s">
        <v>3158</v>
      </c>
      <c r="M47" s="387">
        <v>0</v>
      </c>
      <c r="N47" s="387">
        <v>0</v>
      </c>
      <c r="O47" s="387">
        <v>0</v>
      </c>
      <c r="P47" s="387">
        <v>0</v>
      </c>
      <c r="Q47" s="387">
        <v>441</v>
      </c>
      <c r="R47" s="387">
        <v>5292</v>
      </c>
      <c r="S47" s="1174">
        <f>Locations[[#This Row],[Ind_Returnees]]+Locations[[#This Row],[Ind_Refugees]]+Locations[[#This Row],[Ind_IDPs]]</f>
        <v>5292</v>
      </c>
    </row>
    <row r="48" spans="1:19" s="388" customFormat="1" x14ac:dyDescent="0.3">
      <c r="A48" s="5" t="s">
        <v>533</v>
      </c>
      <c r="B48" s="1430" t="s">
        <v>3449</v>
      </c>
      <c r="C48" s="1090" t="s">
        <v>534</v>
      </c>
      <c r="D48" s="5" t="s">
        <v>32</v>
      </c>
      <c r="E48" s="5" t="s">
        <v>32</v>
      </c>
      <c r="F48" s="5" t="s">
        <v>542</v>
      </c>
      <c r="G48" s="5" t="s">
        <v>180</v>
      </c>
      <c r="H48" s="5" t="s">
        <v>180</v>
      </c>
      <c r="I48" s="5" t="s">
        <v>1653</v>
      </c>
      <c r="J48" t="s">
        <v>550</v>
      </c>
      <c r="K48" s="5" t="s">
        <v>3159</v>
      </c>
      <c r="L48" s="5" t="s">
        <v>3159</v>
      </c>
      <c r="M48" s="387">
        <v>0</v>
      </c>
      <c r="N48" s="387">
        <v>0</v>
      </c>
      <c r="O48" s="387">
        <v>0</v>
      </c>
      <c r="P48" s="387">
        <v>0</v>
      </c>
      <c r="Q48" s="387">
        <v>698</v>
      </c>
      <c r="R48" s="387">
        <v>6980</v>
      </c>
      <c r="S48" s="1174">
        <f>Locations[[#This Row],[Ind_Returnees]]+Locations[[#This Row],[Ind_Refugees]]+Locations[[#This Row],[Ind_IDPs]]</f>
        <v>6980</v>
      </c>
    </row>
    <row r="49" spans="1:19" s="388" customFormat="1" x14ac:dyDescent="0.3">
      <c r="A49" s="5" t="s">
        <v>533</v>
      </c>
      <c r="B49" s="1430" t="s">
        <v>3449</v>
      </c>
      <c r="C49" s="398" t="s">
        <v>534</v>
      </c>
      <c r="D49" s="5" t="s">
        <v>32</v>
      </c>
      <c r="E49" s="5" t="s">
        <v>32</v>
      </c>
      <c r="F49" s="5" t="s">
        <v>542</v>
      </c>
      <c r="G49" s="5" t="s">
        <v>180</v>
      </c>
      <c r="H49" s="5" t="s">
        <v>180</v>
      </c>
      <c r="I49" s="5" t="s">
        <v>1653</v>
      </c>
      <c r="J49" t="s">
        <v>550</v>
      </c>
      <c r="K49" s="5" t="s">
        <v>3160</v>
      </c>
      <c r="L49" s="5" t="s">
        <v>3160</v>
      </c>
      <c r="M49" s="387">
        <v>0</v>
      </c>
      <c r="N49" s="387">
        <v>0</v>
      </c>
      <c r="O49" s="387">
        <v>0</v>
      </c>
      <c r="P49" s="387">
        <v>0</v>
      </c>
      <c r="Q49" s="387">
        <v>1227</v>
      </c>
      <c r="R49" s="387">
        <v>9816</v>
      </c>
      <c r="S49" s="1174">
        <f>Locations[[#This Row],[Ind_Returnees]]+Locations[[#This Row],[Ind_Refugees]]+Locations[[#This Row],[Ind_IDPs]]</f>
        <v>9816</v>
      </c>
    </row>
    <row r="50" spans="1:19" s="388" customFormat="1" x14ac:dyDescent="0.3">
      <c r="A50" s="5" t="s">
        <v>533</v>
      </c>
      <c r="B50" s="1430" t="s">
        <v>3449</v>
      </c>
      <c r="C50" s="398" t="s">
        <v>534</v>
      </c>
      <c r="D50" s="5" t="s">
        <v>32</v>
      </c>
      <c r="E50" s="5" t="s">
        <v>32</v>
      </c>
      <c r="F50" s="5" t="s">
        <v>542</v>
      </c>
      <c r="G50" s="5" t="s">
        <v>175</v>
      </c>
      <c r="H50" s="5" t="s">
        <v>175</v>
      </c>
      <c r="I50" s="5" t="s">
        <v>1136</v>
      </c>
      <c r="J50" t="s">
        <v>550</v>
      </c>
      <c r="K50" s="5" t="s">
        <v>3161</v>
      </c>
      <c r="L50" s="5" t="s">
        <v>3161</v>
      </c>
      <c r="M50" s="387">
        <v>0</v>
      </c>
      <c r="N50" s="387">
        <v>0</v>
      </c>
      <c r="O50" s="387">
        <v>0</v>
      </c>
      <c r="P50" s="387">
        <v>0</v>
      </c>
      <c r="Q50" s="387">
        <v>50</v>
      </c>
      <c r="R50" s="387">
        <v>450</v>
      </c>
      <c r="S50" s="1174">
        <f>Locations[[#This Row],[Ind_Returnees]]+Locations[[#This Row],[Ind_Refugees]]+Locations[[#This Row],[Ind_IDPs]]</f>
        <v>450</v>
      </c>
    </row>
    <row r="51" spans="1:19" s="388" customFormat="1" x14ac:dyDescent="0.3">
      <c r="A51" s="5" t="s">
        <v>533</v>
      </c>
      <c r="B51" s="1430" t="s">
        <v>3449</v>
      </c>
      <c r="C51" s="398" t="s">
        <v>534</v>
      </c>
      <c r="D51" s="5" t="s">
        <v>35</v>
      </c>
      <c r="E51" s="5" t="s">
        <v>35</v>
      </c>
      <c r="F51" s="5" t="s">
        <v>567</v>
      </c>
      <c r="G51" s="5" t="s">
        <v>195</v>
      </c>
      <c r="H51" s="5" t="s">
        <v>195</v>
      </c>
      <c r="I51" s="5" t="s">
        <v>733</v>
      </c>
      <c r="J51" t="s">
        <v>550</v>
      </c>
      <c r="K51" s="5" t="s">
        <v>3162</v>
      </c>
      <c r="L51" s="5" t="s">
        <v>3163</v>
      </c>
      <c r="M51" s="387">
        <v>23</v>
      </c>
      <c r="N51" s="387">
        <v>75</v>
      </c>
      <c r="O51" s="387">
        <v>0</v>
      </c>
      <c r="P51" s="387">
        <v>0</v>
      </c>
      <c r="Q51" s="387">
        <v>0</v>
      </c>
      <c r="R51" s="387">
        <v>0</v>
      </c>
      <c r="S51" s="1174">
        <f>Locations[[#This Row],[Ind_Returnees]]+Locations[[#This Row],[Ind_Refugees]]+Locations[[#This Row],[Ind_IDPs]]</f>
        <v>75</v>
      </c>
    </row>
    <row r="52" spans="1:19" s="388" customFormat="1" x14ac:dyDescent="0.3">
      <c r="A52" s="5" t="s">
        <v>533</v>
      </c>
      <c r="B52" s="1430" t="s">
        <v>3449</v>
      </c>
      <c r="C52" s="1090" t="s">
        <v>534</v>
      </c>
      <c r="D52" s="5" t="s">
        <v>31</v>
      </c>
      <c r="E52" s="5" t="s">
        <v>31</v>
      </c>
      <c r="F52" s="5" t="s">
        <v>549</v>
      </c>
      <c r="G52" s="5" t="s">
        <v>170</v>
      </c>
      <c r="H52" s="5" t="s">
        <v>170</v>
      </c>
      <c r="I52" s="5" t="s">
        <v>866</v>
      </c>
      <c r="J52" t="s">
        <v>550</v>
      </c>
      <c r="K52" s="5" t="s">
        <v>3164</v>
      </c>
      <c r="L52" s="5" t="s">
        <v>3164</v>
      </c>
      <c r="M52" s="387">
        <v>277</v>
      </c>
      <c r="N52" s="387">
        <v>3500</v>
      </c>
      <c r="O52" s="387">
        <v>0</v>
      </c>
      <c r="P52" s="387">
        <v>0</v>
      </c>
      <c r="Q52" s="387">
        <v>0</v>
      </c>
      <c r="R52" s="387">
        <v>0</v>
      </c>
      <c r="S52" s="1174">
        <f>Locations[[#This Row],[Ind_Returnees]]+Locations[[#This Row],[Ind_Refugees]]+Locations[[#This Row],[Ind_IDPs]]</f>
        <v>3500</v>
      </c>
    </row>
    <row r="53" spans="1:19" s="388" customFormat="1" x14ac:dyDescent="0.3">
      <c r="A53" s="5" t="s">
        <v>533</v>
      </c>
      <c r="B53" s="1430" t="s">
        <v>3449</v>
      </c>
      <c r="C53" s="398" t="s">
        <v>534</v>
      </c>
      <c r="D53" s="5" t="s">
        <v>31</v>
      </c>
      <c r="E53" s="5" t="s">
        <v>31</v>
      </c>
      <c r="F53" s="5" t="s">
        <v>549</v>
      </c>
      <c r="G53" s="5" t="s">
        <v>167</v>
      </c>
      <c r="H53" s="5" t="s">
        <v>167</v>
      </c>
      <c r="I53" s="5" t="s">
        <v>1113</v>
      </c>
      <c r="J53" t="s">
        <v>550</v>
      </c>
      <c r="K53" s="5" t="s">
        <v>3165</v>
      </c>
      <c r="L53" s="5" t="s">
        <v>3165</v>
      </c>
      <c r="M53" s="387">
        <v>12</v>
      </c>
      <c r="N53" s="387">
        <v>122</v>
      </c>
      <c r="O53" s="387">
        <v>0</v>
      </c>
      <c r="P53" s="387">
        <v>0</v>
      </c>
      <c r="Q53" s="387">
        <v>0</v>
      </c>
      <c r="R53" s="387">
        <v>0</v>
      </c>
      <c r="S53" s="1174">
        <f>Locations[[#This Row],[Ind_Returnees]]+Locations[[#This Row],[Ind_Refugees]]+Locations[[#This Row],[Ind_IDPs]]</f>
        <v>122</v>
      </c>
    </row>
    <row r="54" spans="1:19" s="388" customFormat="1" x14ac:dyDescent="0.3">
      <c r="A54" s="5" t="s">
        <v>533</v>
      </c>
      <c r="B54" s="1430" t="s">
        <v>3449</v>
      </c>
      <c r="C54" s="1090" t="s">
        <v>534</v>
      </c>
      <c r="D54" s="5" t="s">
        <v>31</v>
      </c>
      <c r="E54" s="5" t="s">
        <v>31</v>
      </c>
      <c r="F54" s="5" t="s">
        <v>549</v>
      </c>
      <c r="G54" s="5" t="s">
        <v>2797</v>
      </c>
      <c r="H54" s="5" t="s">
        <v>3898</v>
      </c>
      <c r="I54" s="5" t="s">
        <v>767</v>
      </c>
      <c r="J54" t="s">
        <v>550</v>
      </c>
      <c r="K54" s="5" t="s">
        <v>3166</v>
      </c>
      <c r="L54" s="5" t="s">
        <v>3166</v>
      </c>
      <c r="M54" s="387">
        <v>350</v>
      </c>
      <c r="N54" s="387">
        <v>2450</v>
      </c>
      <c r="O54" s="387">
        <v>0</v>
      </c>
      <c r="P54" s="387">
        <v>0</v>
      </c>
      <c r="Q54" s="387">
        <v>0</v>
      </c>
      <c r="R54" s="387">
        <v>0</v>
      </c>
      <c r="S54" s="1174">
        <f>Locations[[#This Row],[Ind_Returnees]]+Locations[[#This Row],[Ind_Refugees]]+Locations[[#This Row],[Ind_IDPs]]</f>
        <v>2450</v>
      </c>
    </row>
    <row r="55" spans="1:19" s="388" customFormat="1" x14ac:dyDescent="0.3">
      <c r="A55" s="5" t="s">
        <v>533</v>
      </c>
      <c r="B55" s="1430" t="s">
        <v>3449</v>
      </c>
      <c r="C55" s="398" t="s">
        <v>534</v>
      </c>
      <c r="D55" s="5" t="s">
        <v>31</v>
      </c>
      <c r="E55" s="5" t="s">
        <v>31</v>
      </c>
      <c r="F55" s="5" t="s">
        <v>549</v>
      </c>
      <c r="G55" s="5" t="s">
        <v>167</v>
      </c>
      <c r="H55" s="5" t="s">
        <v>167</v>
      </c>
      <c r="I55" s="5" t="s">
        <v>1113</v>
      </c>
      <c r="J55" t="s">
        <v>550</v>
      </c>
      <c r="K55" s="5" t="s">
        <v>3167</v>
      </c>
      <c r="L55" s="5" t="s">
        <v>3167</v>
      </c>
      <c r="M55" s="387">
        <v>15</v>
      </c>
      <c r="N55" s="387">
        <v>172</v>
      </c>
      <c r="O55" s="387">
        <v>0</v>
      </c>
      <c r="P55" s="387">
        <v>0</v>
      </c>
      <c r="Q55" s="387">
        <v>0</v>
      </c>
      <c r="R55" s="387">
        <v>0</v>
      </c>
      <c r="S55" s="1174">
        <f>Locations[[#This Row],[Ind_Returnees]]+Locations[[#This Row],[Ind_Refugees]]+Locations[[#This Row],[Ind_IDPs]]</f>
        <v>172</v>
      </c>
    </row>
    <row r="56" spans="1:19" s="388" customFormat="1" x14ac:dyDescent="0.3">
      <c r="A56" s="5" t="s">
        <v>533</v>
      </c>
      <c r="B56" s="1430" t="s">
        <v>3449</v>
      </c>
      <c r="C56" s="1090" t="s">
        <v>534</v>
      </c>
      <c r="D56" s="5" t="s">
        <v>31</v>
      </c>
      <c r="E56" s="5" t="s">
        <v>31</v>
      </c>
      <c r="F56" s="5" t="s">
        <v>549</v>
      </c>
      <c r="G56" s="5" t="s">
        <v>2797</v>
      </c>
      <c r="H56" s="5" t="s">
        <v>3898</v>
      </c>
      <c r="I56" s="5" t="s">
        <v>767</v>
      </c>
      <c r="J56" t="s">
        <v>550</v>
      </c>
      <c r="K56" s="5" t="s">
        <v>3169</v>
      </c>
      <c r="L56" s="5" t="s">
        <v>3169</v>
      </c>
      <c r="M56" s="387">
        <v>100</v>
      </c>
      <c r="N56" s="387">
        <v>700</v>
      </c>
      <c r="O56" s="387">
        <v>0</v>
      </c>
      <c r="P56" s="387">
        <v>0</v>
      </c>
      <c r="Q56" s="387">
        <v>0</v>
      </c>
      <c r="R56" s="387">
        <v>0</v>
      </c>
      <c r="S56" s="1174">
        <f>Locations[[#This Row],[Ind_Returnees]]+Locations[[#This Row],[Ind_Refugees]]+Locations[[#This Row],[Ind_IDPs]]</f>
        <v>700</v>
      </c>
    </row>
    <row r="57" spans="1:19" s="388" customFormat="1" x14ac:dyDescent="0.3">
      <c r="A57" s="5" t="s">
        <v>533</v>
      </c>
      <c r="B57" s="1430" t="s">
        <v>3449</v>
      </c>
      <c r="C57" s="1090" t="s">
        <v>534</v>
      </c>
      <c r="D57" s="5" t="s">
        <v>31</v>
      </c>
      <c r="E57" s="5" t="s">
        <v>31</v>
      </c>
      <c r="F57" s="5" t="s">
        <v>549</v>
      </c>
      <c r="G57" s="5" t="s">
        <v>171</v>
      </c>
      <c r="H57" s="5" t="s">
        <v>171</v>
      </c>
      <c r="I57" s="5" t="s">
        <v>634</v>
      </c>
      <c r="J57" t="s">
        <v>550</v>
      </c>
      <c r="K57" s="5" t="s">
        <v>3170</v>
      </c>
      <c r="L57" s="5" t="s">
        <v>3170</v>
      </c>
      <c r="M57" s="387">
        <v>100</v>
      </c>
      <c r="N57" s="387">
        <v>200</v>
      </c>
      <c r="O57" s="387">
        <v>50</v>
      </c>
      <c r="P57" s="387">
        <v>150</v>
      </c>
      <c r="Q57" s="387">
        <v>0</v>
      </c>
      <c r="R57" s="387">
        <v>0</v>
      </c>
      <c r="S57" s="1174">
        <f>Locations[[#This Row],[Ind_Returnees]]+Locations[[#This Row],[Ind_Refugees]]+Locations[[#This Row],[Ind_IDPs]]</f>
        <v>350</v>
      </c>
    </row>
    <row r="58" spans="1:19" s="388" customFormat="1" x14ac:dyDescent="0.3">
      <c r="A58" s="5" t="s">
        <v>533</v>
      </c>
      <c r="B58" s="1430" t="s">
        <v>3449</v>
      </c>
      <c r="C58" s="398" t="s">
        <v>534</v>
      </c>
      <c r="D58" s="5" t="s">
        <v>31</v>
      </c>
      <c r="E58" s="5" t="s">
        <v>31</v>
      </c>
      <c r="F58" s="5" t="s">
        <v>549</v>
      </c>
      <c r="G58" s="5" t="s">
        <v>169</v>
      </c>
      <c r="H58" s="5" t="s">
        <v>169</v>
      </c>
      <c r="I58" s="5" t="s">
        <v>673</v>
      </c>
      <c r="J58" t="s">
        <v>550</v>
      </c>
      <c r="K58" s="5" t="s">
        <v>3171</v>
      </c>
      <c r="L58" s="5" t="s">
        <v>3171</v>
      </c>
      <c r="M58" s="387">
        <v>131</v>
      </c>
      <c r="N58" s="387">
        <v>1186</v>
      </c>
      <c r="O58" s="387">
        <v>15</v>
      </c>
      <c r="P58" s="387">
        <v>79</v>
      </c>
      <c r="Q58" s="387">
        <v>0</v>
      </c>
      <c r="R58" s="387">
        <v>0</v>
      </c>
      <c r="S58" s="1174">
        <f>Locations[[#This Row],[Ind_Returnees]]+Locations[[#This Row],[Ind_Refugees]]+Locations[[#This Row],[Ind_IDPs]]</f>
        <v>1265</v>
      </c>
    </row>
    <row r="59" spans="1:19" s="388" customFormat="1" x14ac:dyDescent="0.3">
      <c r="A59" s="5" t="s">
        <v>533</v>
      </c>
      <c r="B59" s="1430" t="s">
        <v>3449</v>
      </c>
      <c r="C59" s="398" t="s">
        <v>534</v>
      </c>
      <c r="D59" s="5" t="s">
        <v>31</v>
      </c>
      <c r="E59" s="5" t="s">
        <v>31</v>
      </c>
      <c r="F59" s="5" t="s">
        <v>549</v>
      </c>
      <c r="G59" s="5" t="s">
        <v>164</v>
      </c>
      <c r="H59" s="5" t="s">
        <v>164</v>
      </c>
      <c r="I59" s="5" t="s">
        <v>748</v>
      </c>
      <c r="J59" t="s">
        <v>550</v>
      </c>
      <c r="K59" s="5" t="s">
        <v>3172</v>
      </c>
      <c r="L59" s="5" t="s">
        <v>3172</v>
      </c>
      <c r="M59" s="387">
        <v>29</v>
      </c>
      <c r="N59" s="387">
        <v>116</v>
      </c>
      <c r="O59" s="387">
        <v>0</v>
      </c>
      <c r="P59" s="387">
        <v>0</v>
      </c>
      <c r="Q59" s="387">
        <v>0</v>
      </c>
      <c r="R59" s="387">
        <v>0</v>
      </c>
      <c r="S59" s="1174">
        <f>Locations[[#This Row],[Ind_Returnees]]+Locations[[#This Row],[Ind_Refugees]]+Locations[[#This Row],[Ind_IDPs]]</f>
        <v>116</v>
      </c>
    </row>
    <row r="60" spans="1:19" s="388" customFormat="1" x14ac:dyDescent="0.3">
      <c r="A60" s="5" t="s">
        <v>533</v>
      </c>
      <c r="B60" s="1430" t="s">
        <v>3449</v>
      </c>
      <c r="C60" s="1090" t="s">
        <v>534</v>
      </c>
      <c r="D60" s="5" t="s">
        <v>31</v>
      </c>
      <c r="E60" s="5" t="s">
        <v>31</v>
      </c>
      <c r="F60" s="5" t="s">
        <v>549</v>
      </c>
      <c r="G60" s="5" t="s">
        <v>169</v>
      </c>
      <c r="H60" s="5" t="s">
        <v>169</v>
      </c>
      <c r="I60" s="5" t="s">
        <v>673</v>
      </c>
      <c r="J60" t="s">
        <v>550</v>
      </c>
      <c r="K60" s="5" t="s">
        <v>3173</v>
      </c>
      <c r="L60" s="5" t="s">
        <v>3173</v>
      </c>
      <c r="M60" s="387">
        <v>0</v>
      </c>
      <c r="N60" s="387">
        <v>0</v>
      </c>
      <c r="O60" s="387">
        <v>34</v>
      </c>
      <c r="P60" s="387">
        <v>238</v>
      </c>
      <c r="Q60" s="387">
        <v>0</v>
      </c>
      <c r="R60" s="387">
        <v>0</v>
      </c>
      <c r="S60" s="1174">
        <f>Locations[[#This Row],[Ind_Returnees]]+Locations[[#This Row],[Ind_Refugees]]+Locations[[#This Row],[Ind_IDPs]]</f>
        <v>238</v>
      </c>
    </row>
    <row r="61" spans="1:19" s="388" customFormat="1" x14ac:dyDescent="0.3">
      <c r="A61" s="5" t="s">
        <v>533</v>
      </c>
      <c r="B61" s="1430" t="s">
        <v>3449</v>
      </c>
      <c r="C61" s="1090" t="s">
        <v>534</v>
      </c>
      <c r="D61" s="5" t="s">
        <v>35</v>
      </c>
      <c r="E61" s="5" t="s">
        <v>35</v>
      </c>
      <c r="F61" s="5" t="s">
        <v>567</v>
      </c>
      <c r="G61" s="5" t="s">
        <v>193</v>
      </c>
      <c r="H61" s="5" t="s">
        <v>3983</v>
      </c>
      <c r="I61" s="5" t="s">
        <v>863</v>
      </c>
      <c r="J61" t="s">
        <v>550</v>
      </c>
      <c r="K61" s="5" t="s">
        <v>3174</v>
      </c>
      <c r="L61" s="5" t="s">
        <v>3174</v>
      </c>
      <c r="M61" s="387">
        <v>83</v>
      </c>
      <c r="N61" s="387">
        <v>550</v>
      </c>
      <c r="O61" s="387">
        <v>0</v>
      </c>
      <c r="P61" s="387">
        <v>0</v>
      </c>
      <c r="Q61" s="387">
        <v>0</v>
      </c>
      <c r="R61" s="387">
        <v>0</v>
      </c>
      <c r="S61" s="1174">
        <f>Locations[[#This Row],[Ind_Returnees]]+Locations[[#This Row],[Ind_Refugees]]+Locations[[#This Row],[Ind_IDPs]]</f>
        <v>550</v>
      </c>
    </row>
    <row r="62" spans="1:19" s="388" customFormat="1" x14ac:dyDescent="0.3">
      <c r="A62" s="577" t="s">
        <v>533</v>
      </c>
      <c r="B62" s="1430" t="s">
        <v>3449</v>
      </c>
      <c r="C62" s="577" t="s">
        <v>534</v>
      </c>
      <c r="D62" s="577" t="s">
        <v>34</v>
      </c>
      <c r="E62" s="577" t="s">
        <v>34</v>
      </c>
      <c r="F62" s="577" t="s">
        <v>539</v>
      </c>
      <c r="G62" s="577" t="s">
        <v>187</v>
      </c>
      <c r="H62" s="577" t="s">
        <v>187</v>
      </c>
      <c r="I62" s="577" t="s">
        <v>951</v>
      </c>
      <c r="J62" s="577" t="s">
        <v>550</v>
      </c>
      <c r="K62" s="577" t="s">
        <v>3175</v>
      </c>
      <c r="L62" s="577" t="s">
        <v>3175</v>
      </c>
      <c r="M62" s="387">
        <v>200</v>
      </c>
      <c r="N62" s="387">
        <v>600</v>
      </c>
      <c r="O62" s="387">
        <v>0</v>
      </c>
      <c r="P62" s="387">
        <v>0</v>
      </c>
      <c r="Q62" s="387">
        <v>0</v>
      </c>
      <c r="R62" s="387">
        <v>0</v>
      </c>
      <c r="S62" s="1174">
        <f>Locations[[#This Row],[Ind_Returnees]]+Locations[[#This Row],[Ind_Refugees]]+Locations[[#This Row],[Ind_IDPs]]</f>
        <v>600</v>
      </c>
    </row>
    <row r="63" spans="1:19" s="388" customFormat="1" x14ac:dyDescent="0.3">
      <c r="A63" s="5" t="s">
        <v>533</v>
      </c>
      <c r="B63" s="1430" t="s">
        <v>3449</v>
      </c>
      <c r="C63" s="398" t="s">
        <v>534</v>
      </c>
      <c r="D63" s="5" t="s">
        <v>31</v>
      </c>
      <c r="E63" s="5" t="s">
        <v>31</v>
      </c>
      <c r="F63" s="5" t="s">
        <v>549</v>
      </c>
      <c r="G63" s="5" t="s">
        <v>2797</v>
      </c>
      <c r="H63" s="5" t="s">
        <v>3898</v>
      </c>
      <c r="I63" s="5" t="s">
        <v>767</v>
      </c>
      <c r="J63" t="s">
        <v>550</v>
      </c>
      <c r="K63" s="5" t="s">
        <v>3176</v>
      </c>
      <c r="L63" s="5" t="s">
        <v>3176</v>
      </c>
      <c r="M63" s="387">
        <v>146</v>
      </c>
      <c r="N63" s="387">
        <v>1100</v>
      </c>
      <c r="O63" s="387">
        <v>0</v>
      </c>
      <c r="P63" s="387">
        <v>0</v>
      </c>
      <c r="Q63" s="387">
        <v>0</v>
      </c>
      <c r="R63" s="387">
        <v>0</v>
      </c>
      <c r="S63" s="1174">
        <f>Locations[[#This Row],[Ind_Returnees]]+Locations[[#This Row],[Ind_Refugees]]+Locations[[#This Row],[Ind_IDPs]]</f>
        <v>1100</v>
      </c>
    </row>
    <row r="64" spans="1:19" s="388" customFormat="1" x14ac:dyDescent="0.3">
      <c r="A64" s="5" t="s">
        <v>533</v>
      </c>
      <c r="B64" s="1430" t="s">
        <v>3449</v>
      </c>
      <c r="C64" s="1090" t="s">
        <v>534</v>
      </c>
      <c r="D64" s="5" t="s">
        <v>31</v>
      </c>
      <c r="E64" s="5" t="s">
        <v>31</v>
      </c>
      <c r="F64" s="5" t="s">
        <v>549</v>
      </c>
      <c r="G64" s="5" t="s">
        <v>170</v>
      </c>
      <c r="H64" s="5" t="s">
        <v>170</v>
      </c>
      <c r="I64" s="5" t="s">
        <v>866</v>
      </c>
      <c r="J64" t="s">
        <v>550</v>
      </c>
      <c r="K64" s="5" t="s">
        <v>3177</v>
      </c>
      <c r="L64" s="5" t="s">
        <v>3177</v>
      </c>
      <c r="M64" s="387">
        <v>100</v>
      </c>
      <c r="N64" s="387">
        <v>1150</v>
      </c>
      <c r="O64" s="387">
        <v>21</v>
      </c>
      <c r="P64" s="387">
        <v>200</v>
      </c>
      <c r="Q64" s="387">
        <v>0</v>
      </c>
      <c r="R64" s="387">
        <v>0</v>
      </c>
      <c r="S64" s="1174">
        <f>Locations[[#This Row],[Ind_Returnees]]+Locations[[#This Row],[Ind_Refugees]]+Locations[[#This Row],[Ind_IDPs]]</f>
        <v>1350</v>
      </c>
    </row>
    <row r="65" spans="1:19" s="388" customFormat="1" x14ac:dyDescent="0.3">
      <c r="A65" s="5" t="s">
        <v>533</v>
      </c>
      <c r="B65" s="1430" t="s">
        <v>3449</v>
      </c>
      <c r="C65" s="398" t="s">
        <v>534</v>
      </c>
      <c r="D65" s="5" t="s">
        <v>31</v>
      </c>
      <c r="E65" s="5" t="s">
        <v>31</v>
      </c>
      <c r="F65" s="5" t="s">
        <v>549</v>
      </c>
      <c r="G65" s="5" t="s">
        <v>170</v>
      </c>
      <c r="H65" s="5" t="s">
        <v>170</v>
      </c>
      <c r="I65" s="5" t="s">
        <v>866</v>
      </c>
      <c r="J65" t="s">
        <v>550</v>
      </c>
      <c r="K65" s="5" t="s">
        <v>3178</v>
      </c>
      <c r="L65" s="5" t="s">
        <v>3178</v>
      </c>
      <c r="M65" s="387">
        <v>0</v>
      </c>
      <c r="N65" s="387">
        <v>0</v>
      </c>
      <c r="O65" s="387">
        <v>2</v>
      </c>
      <c r="P65" s="387">
        <v>5</v>
      </c>
      <c r="Q65" s="387">
        <v>0</v>
      </c>
      <c r="R65" s="387">
        <v>0</v>
      </c>
      <c r="S65" s="1174">
        <f>Locations[[#This Row],[Ind_Returnees]]+Locations[[#This Row],[Ind_Refugees]]+Locations[[#This Row],[Ind_IDPs]]</f>
        <v>5</v>
      </c>
    </row>
    <row r="66" spans="1:19" s="388" customFormat="1" x14ac:dyDescent="0.3">
      <c r="A66" s="5" t="s">
        <v>533</v>
      </c>
      <c r="B66" s="1430" t="s">
        <v>3449</v>
      </c>
      <c r="C66" s="1090" t="s">
        <v>534</v>
      </c>
      <c r="D66" s="5" t="s">
        <v>31</v>
      </c>
      <c r="E66" s="5" t="s">
        <v>31</v>
      </c>
      <c r="F66" s="5" t="s">
        <v>549</v>
      </c>
      <c r="G66" s="5" t="s">
        <v>164</v>
      </c>
      <c r="H66" s="5" t="s">
        <v>164</v>
      </c>
      <c r="I66" s="5" t="s">
        <v>748</v>
      </c>
      <c r="J66" t="s">
        <v>550</v>
      </c>
      <c r="K66" s="5" t="s">
        <v>3179</v>
      </c>
      <c r="L66" s="5" t="s">
        <v>3179</v>
      </c>
      <c r="M66" s="387">
        <v>669</v>
      </c>
      <c r="N66" s="387">
        <v>2285</v>
      </c>
      <c r="O66" s="387">
        <v>0</v>
      </c>
      <c r="P66" s="387">
        <v>0</v>
      </c>
      <c r="Q66" s="387">
        <v>0</v>
      </c>
      <c r="R66" s="387">
        <v>0</v>
      </c>
      <c r="S66" s="1174">
        <f>Locations[[#This Row],[Ind_Returnees]]+Locations[[#This Row],[Ind_Refugees]]+Locations[[#This Row],[Ind_IDPs]]</f>
        <v>2285</v>
      </c>
    </row>
    <row r="67" spans="1:19" s="388" customFormat="1" x14ac:dyDescent="0.3">
      <c r="A67" s="5" t="s">
        <v>533</v>
      </c>
      <c r="B67" s="1430" t="s">
        <v>3449</v>
      </c>
      <c r="C67" s="398" t="s">
        <v>534</v>
      </c>
      <c r="D67" s="5" t="s">
        <v>31</v>
      </c>
      <c r="E67" s="5" t="s">
        <v>31</v>
      </c>
      <c r="F67" s="5" t="s">
        <v>549</v>
      </c>
      <c r="G67" s="5" t="s">
        <v>170</v>
      </c>
      <c r="H67" s="5" t="s">
        <v>170</v>
      </c>
      <c r="I67" s="5" t="s">
        <v>866</v>
      </c>
      <c r="J67" t="s">
        <v>550</v>
      </c>
      <c r="K67" s="5" t="s">
        <v>3180</v>
      </c>
      <c r="L67" s="5" t="s">
        <v>3180</v>
      </c>
      <c r="M67" s="387">
        <v>300</v>
      </c>
      <c r="N67" s="387">
        <v>577</v>
      </c>
      <c r="O67" s="387">
        <v>0</v>
      </c>
      <c r="P67" s="387">
        <v>0</v>
      </c>
      <c r="Q67" s="387">
        <v>0</v>
      </c>
      <c r="R67" s="387">
        <v>0</v>
      </c>
      <c r="S67" s="1174">
        <f>Locations[[#This Row],[Ind_Returnees]]+Locations[[#This Row],[Ind_Refugees]]+Locations[[#This Row],[Ind_IDPs]]</f>
        <v>577</v>
      </c>
    </row>
    <row r="68" spans="1:19" s="388" customFormat="1" x14ac:dyDescent="0.3">
      <c r="A68" s="5" t="s">
        <v>533</v>
      </c>
      <c r="B68" s="1430" t="s">
        <v>3449</v>
      </c>
      <c r="C68" s="1090" t="s">
        <v>534</v>
      </c>
      <c r="D68" s="5" t="s">
        <v>31</v>
      </c>
      <c r="E68" s="5" t="s">
        <v>31</v>
      </c>
      <c r="F68" s="5" t="s">
        <v>549</v>
      </c>
      <c r="G68" s="5" t="s">
        <v>171</v>
      </c>
      <c r="H68" s="5" t="s">
        <v>171</v>
      </c>
      <c r="I68" s="5" t="s">
        <v>634</v>
      </c>
      <c r="J68" t="s">
        <v>550</v>
      </c>
      <c r="K68" s="5" t="s">
        <v>3181</v>
      </c>
      <c r="L68" s="5" t="s">
        <v>3181</v>
      </c>
      <c r="M68" s="387">
        <v>263</v>
      </c>
      <c r="N68" s="387">
        <v>401</v>
      </c>
      <c r="O68" s="387">
        <v>0</v>
      </c>
      <c r="P68" s="387">
        <v>0</v>
      </c>
      <c r="Q68" s="387">
        <v>0</v>
      </c>
      <c r="R68" s="387">
        <v>0</v>
      </c>
      <c r="S68" s="1174">
        <f>Locations[[#This Row],[Ind_Returnees]]+Locations[[#This Row],[Ind_Refugees]]+Locations[[#This Row],[Ind_IDPs]]</f>
        <v>401</v>
      </c>
    </row>
    <row r="69" spans="1:19" s="388" customFormat="1" x14ac:dyDescent="0.3">
      <c r="A69" s="5" t="s">
        <v>533</v>
      </c>
      <c r="B69" s="1430" t="s">
        <v>3449</v>
      </c>
      <c r="C69" s="398" t="s">
        <v>534</v>
      </c>
      <c r="D69" s="5" t="s">
        <v>31</v>
      </c>
      <c r="E69" s="5" t="s">
        <v>31</v>
      </c>
      <c r="F69" s="5" t="s">
        <v>549</v>
      </c>
      <c r="G69" s="5" t="s">
        <v>164</v>
      </c>
      <c r="H69" s="5" t="s">
        <v>164</v>
      </c>
      <c r="I69" s="5" t="s">
        <v>748</v>
      </c>
      <c r="J69" t="s">
        <v>550</v>
      </c>
      <c r="K69" s="5" t="s">
        <v>3182</v>
      </c>
      <c r="L69" s="5" t="s">
        <v>3182</v>
      </c>
      <c r="M69" s="387">
        <v>130</v>
      </c>
      <c r="N69" s="387">
        <v>800</v>
      </c>
      <c r="O69" s="387">
        <v>0</v>
      </c>
      <c r="P69" s="387">
        <v>0</v>
      </c>
      <c r="Q69" s="387">
        <v>0</v>
      </c>
      <c r="R69" s="387">
        <v>0</v>
      </c>
      <c r="S69" s="1174">
        <f>Locations[[#This Row],[Ind_Returnees]]+Locations[[#This Row],[Ind_Refugees]]+Locations[[#This Row],[Ind_IDPs]]</f>
        <v>800</v>
      </c>
    </row>
    <row r="70" spans="1:19" s="388" customFormat="1" x14ac:dyDescent="0.3">
      <c r="A70" s="5" t="s">
        <v>533</v>
      </c>
      <c r="B70" s="1430" t="s">
        <v>3449</v>
      </c>
      <c r="C70" s="1090" t="s">
        <v>534</v>
      </c>
      <c r="D70" s="5" t="s">
        <v>31</v>
      </c>
      <c r="E70" s="5" t="s">
        <v>31</v>
      </c>
      <c r="F70" s="5" t="s">
        <v>549</v>
      </c>
      <c r="G70" s="5" t="s">
        <v>2797</v>
      </c>
      <c r="H70" s="5" t="s">
        <v>3898</v>
      </c>
      <c r="I70" s="5" t="s">
        <v>767</v>
      </c>
      <c r="J70" t="s">
        <v>550</v>
      </c>
      <c r="K70" s="5" t="s">
        <v>3183</v>
      </c>
      <c r="L70" s="5" t="s">
        <v>3183</v>
      </c>
      <c r="M70" s="387">
        <v>400</v>
      </c>
      <c r="N70" s="387">
        <v>2800</v>
      </c>
      <c r="O70" s="387">
        <v>0</v>
      </c>
      <c r="P70" s="387">
        <v>0</v>
      </c>
      <c r="Q70" s="387">
        <v>0</v>
      </c>
      <c r="R70" s="387">
        <v>0</v>
      </c>
      <c r="S70" s="1174">
        <f>Locations[[#This Row],[Ind_Returnees]]+Locations[[#This Row],[Ind_Refugees]]+Locations[[#This Row],[Ind_IDPs]]</f>
        <v>2800</v>
      </c>
    </row>
    <row r="71" spans="1:19" s="388" customFormat="1" x14ac:dyDescent="0.3">
      <c r="A71" s="5" t="s">
        <v>533</v>
      </c>
      <c r="B71" s="1430" t="s">
        <v>3449</v>
      </c>
      <c r="C71" s="398" t="s">
        <v>534</v>
      </c>
      <c r="D71" s="5" t="s">
        <v>32</v>
      </c>
      <c r="E71" s="5" t="s">
        <v>32</v>
      </c>
      <c r="F71" s="5" t="s">
        <v>542</v>
      </c>
      <c r="G71" s="5" t="s">
        <v>181</v>
      </c>
      <c r="H71" s="5" t="s">
        <v>181</v>
      </c>
      <c r="I71" s="5" t="s">
        <v>1661</v>
      </c>
      <c r="J71" t="s">
        <v>550</v>
      </c>
      <c r="K71" s="5" t="s">
        <v>3184</v>
      </c>
      <c r="L71" s="5" t="s">
        <v>3184</v>
      </c>
      <c r="M71" s="387">
        <v>58</v>
      </c>
      <c r="N71" s="387">
        <v>375</v>
      </c>
      <c r="O71" s="387">
        <v>0</v>
      </c>
      <c r="P71" s="387">
        <v>0</v>
      </c>
      <c r="Q71" s="387">
        <v>0</v>
      </c>
      <c r="R71" s="387">
        <v>0</v>
      </c>
      <c r="S71" s="1174">
        <f>Locations[[#This Row],[Ind_Returnees]]+Locations[[#This Row],[Ind_Refugees]]+Locations[[#This Row],[Ind_IDPs]]</f>
        <v>375</v>
      </c>
    </row>
    <row r="72" spans="1:19" s="388" customFormat="1" x14ac:dyDescent="0.3">
      <c r="A72" s="5" t="s">
        <v>533</v>
      </c>
      <c r="B72" s="1430" t="s">
        <v>3449</v>
      </c>
      <c r="C72" s="1090" t="s">
        <v>534</v>
      </c>
      <c r="D72" s="5" t="s">
        <v>30</v>
      </c>
      <c r="E72" s="5" t="s">
        <v>3522</v>
      </c>
      <c r="F72" s="5" t="s">
        <v>535</v>
      </c>
      <c r="G72" s="5" t="s">
        <v>162</v>
      </c>
      <c r="H72" s="5" t="s">
        <v>3529</v>
      </c>
      <c r="I72" s="5" t="s">
        <v>536</v>
      </c>
      <c r="J72" t="s">
        <v>550</v>
      </c>
      <c r="K72" s="5" t="s">
        <v>3185</v>
      </c>
      <c r="L72" s="5" t="s">
        <v>3185</v>
      </c>
      <c r="M72" s="387">
        <v>5</v>
      </c>
      <c r="N72" s="387">
        <v>48</v>
      </c>
      <c r="O72" s="387">
        <v>0</v>
      </c>
      <c r="P72" s="387">
        <v>0</v>
      </c>
      <c r="Q72" s="387">
        <v>0</v>
      </c>
      <c r="R72" s="387">
        <v>0</v>
      </c>
      <c r="S72" s="1174">
        <f>Locations[[#This Row],[Ind_Returnees]]+Locations[[#This Row],[Ind_Refugees]]+Locations[[#This Row],[Ind_IDPs]]</f>
        <v>48</v>
      </c>
    </row>
    <row r="73" spans="1:19" s="388" customFormat="1" x14ac:dyDescent="0.3">
      <c r="A73" s="5" t="s">
        <v>533</v>
      </c>
      <c r="B73" s="1430" t="s">
        <v>3449</v>
      </c>
      <c r="C73" s="398" t="s">
        <v>534</v>
      </c>
      <c r="D73" s="5" t="s">
        <v>31</v>
      </c>
      <c r="E73" s="5" t="s">
        <v>31</v>
      </c>
      <c r="F73" s="5" t="s">
        <v>549</v>
      </c>
      <c r="G73" s="5" t="s">
        <v>2797</v>
      </c>
      <c r="H73" s="5" t="s">
        <v>3898</v>
      </c>
      <c r="I73" s="5" t="s">
        <v>767</v>
      </c>
      <c r="J73" t="s">
        <v>550</v>
      </c>
      <c r="K73" s="5" t="s">
        <v>3186</v>
      </c>
      <c r="L73" s="5" t="s">
        <v>3186</v>
      </c>
      <c r="M73" s="387">
        <v>94</v>
      </c>
      <c r="N73" s="387">
        <v>658</v>
      </c>
      <c r="O73" s="387">
        <v>0</v>
      </c>
      <c r="P73" s="387">
        <v>0</v>
      </c>
      <c r="Q73" s="387">
        <v>0</v>
      </c>
      <c r="R73" s="387">
        <v>0</v>
      </c>
      <c r="S73" s="1174">
        <f>Locations[[#This Row],[Ind_Returnees]]+Locations[[#This Row],[Ind_Refugees]]+Locations[[#This Row],[Ind_IDPs]]</f>
        <v>658</v>
      </c>
    </row>
    <row r="74" spans="1:19" s="388" customFormat="1" x14ac:dyDescent="0.3">
      <c r="A74" s="5" t="s">
        <v>533</v>
      </c>
      <c r="B74" s="1430" t="s">
        <v>3449</v>
      </c>
      <c r="C74" s="1090" t="s">
        <v>534</v>
      </c>
      <c r="D74" s="5" t="s">
        <v>31</v>
      </c>
      <c r="E74" s="5" t="s">
        <v>31</v>
      </c>
      <c r="F74" s="5" t="s">
        <v>549</v>
      </c>
      <c r="G74" s="5" t="s">
        <v>169</v>
      </c>
      <c r="H74" s="5" t="s">
        <v>169</v>
      </c>
      <c r="I74" s="5" t="s">
        <v>673</v>
      </c>
      <c r="J74" t="s">
        <v>550</v>
      </c>
      <c r="K74" s="5" t="s">
        <v>3187</v>
      </c>
      <c r="L74" s="5" t="s">
        <v>3187</v>
      </c>
      <c r="M74" s="387">
        <v>82</v>
      </c>
      <c r="N74" s="387">
        <v>567</v>
      </c>
      <c r="O74" s="387">
        <v>0</v>
      </c>
      <c r="P74" s="387">
        <v>0</v>
      </c>
      <c r="Q74" s="387">
        <v>0</v>
      </c>
      <c r="R74" s="387">
        <v>0</v>
      </c>
      <c r="S74" s="1174">
        <f>Locations[[#This Row],[Ind_Returnees]]+Locations[[#This Row],[Ind_Refugees]]+Locations[[#This Row],[Ind_IDPs]]</f>
        <v>567</v>
      </c>
    </row>
    <row r="75" spans="1:19" s="388" customFormat="1" x14ac:dyDescent="0.3">
      <c r="A75" s="5" t="s">
        <v>533</v>
      </c>
      <c r="B75" s="1430" t="s">
        <v>3449</v>
      </c>
      <c r="C75" s="1090" t="s">
        <v>534</v>
      </c>
      <c r="D75" s="5" t="s">
        <v>31</v>
      </c>
      <c r="E75" s="5" t="s">
        <v>31</v>
      </c>
      <c r="F75" s="5" t="s">
        <v>549</v>
      </c>
      <c r="G75" s="5" t="s">
        <v>167</v>
      </c>
      <c r="H75" s="5" t="s">
        <v>167</v>
      </c>
      <c r="I75" s="5" t="s">
        <v>1113</v>
      </c>
      <c r="J75" t="s">
        <v>550</v>
      </c>
      <c r="K75" s="5" t="s">
        <v>3188</v>
      </c>
      <c r="L75" s="5" t="s">
        <v>3188</v>
      </c>
      <c r="M75" s="387">
        <v>50</v>
      </c>
      <c r="N75" s="387">
        <v>350</v>
      </c>
      <c r="O75" s="387">
        <v>0</v>
      </c>
      <c r="P75" s="387">
        <v>0</v>
      </c>
      <c r="Q75" s="387">
        <v>0</v>
      </c>
      <c r="R75" s="387">
        <v>0</v>
      </c>
      <c r="S75" s="1174">
        <f>Locations[[#This Row],[Ind_Returnees]]+Locations[[#This Row],[Ind_Refugees]]+Locations[[#This Row],[Ind_IDPs]]</f>
        <v>350</v>
      </c>
    </row>
    <row r="76" spans="1:19" s="388" customFormat="1" x14ac:dyDescent="0.3">
      <c r="A76" s="5" t="s">
        <v>533</v>
      </c>
      <c r="B76" s="1430" t="s">
        <v>3449</v>
      </c>
      <c r="C76" s="1090" t="s">
        <v>534</v>
      </c>
      <c r="D76" s="5" t="s">
        <v>31</v>
      </c>
      <c r="E76" s="5" t="s">
        <v>31</v>
      </c>
      <c r="F76" s="5" t="s">
        <v>549</v>
      </c>
      <c r="G76" s="5" t="s">
        <v>169</v>
      </c>
      <c r="H76" s="5" t="s">
        <v>169</v>
      </c>
      <c r="I76" s="5" t="s">
        <v>673</v>
      </c>
      <c r="J76" t="s">
        <v>550</v>
      </c>
      <c r="K76" s="5" t="s">
        <v>3189</v>
      </c>
      <c r="L76" s="5" t="s">
        <v>3189</v>
      </c>
      <c r="M76" s="387">
        <v>74</v>
      </c>
      <c r="N76" s="387">
        <v>622</v>
      </c>
      <c r="O76" s="387">
        <v>44</v>
      </c>
      <c r="P76" s="387">
        <v>254</v>
      </c>
      <c r="Q76" s="387">
        <v>0</v>
      </c>
      <c r="R76" s="387">
        <v>0</v>
      </c>
      <c r="S76" s="1174">
        <f>Locations[[#This Row],[Ind_Returnees]]+Locations[[#This Row],[Ind_Refugees]]+Locations[[#This Row],[Ind_IDPs]]</f>
        <v>876</v>
      </c>
    </row>
    <row r="77" spans="1:19" s="388" customFormat="1" x14ac:dyDescent="0.3">
      <c r="A77" s="5" t="s">
        <v>533</v>
      </c>
      <c r="B77" s="1430" t="s">
        <v>3449</v>
      </c>
      <c r="C77" s="398" t="s">
        <v>534</v>
      </c>
      <c r="D77" s="5" t="s">
        <v>31</v>
      </c>
      <c r="E77" s="5" t="s">
        <v>31</v>
      </c>
      <c r="F77" s="5" t="s">
        <v>549</v>
      </c>
      <c r="G77" s="5" t="s">
        <v>169</v>
      </c>
      <c r="H77" s="5" t="s">
        <v>169</v>
      </c>
      <c r="I77" s="5" t="s">
        <v>673</v>
      </c>
      <c r="J77" t="s">
        <v>550</v>
      </c>
      <c r="K77" s="5" t="s">
        <v>3190</v>
      </c>
      <c r="L77" s="5" t="s">
        <v>3190</v>
      </c>
      <c r="M77" s="387">
        <v>0</v>
      </c>
      <c r="N77" s="387">
        <v>0</v>
      </c>
      <c r="O77" s="387">
        <v>200</v>
      </c>
      <c r="P77" s="387">
        <v>1050</v>
      </c>
      <c r="Q77" s="387">
        <v>0</v>
      </c>
      <c r="R77" s="387">
        <v>0</v>
      </c>
      <c r="S77" s="1174">
        <f>Locations[[#This Row],[Ind_Returnees]]+Locations[[#This Row],[Ind_Refugees]]+Locations[[#This Row],[Ind_IDPs]]</f>
        <v>1050</v>
      </c>
    </row>
    <row r="78" spans="1:19" s="388" customFormat="1" x14ac:dyDescent="0.3">
      <c r="A78" s="5" t="s">
        <v>533</v>
      </c>
      <c r="B78" s="1430" t="s">
        <v>3449</v>
      </c>
      <c r="C78" s="398" t="s">
        <v>534</v>
      </c>
      <c r="D78" s="5" t="s">
        <v>35</v>
      </c>
      <c r="E78" s="5" t="s">
        <v>35</v>
      </c>
      <c r="F78" s="5" t="s">
        <v>567</v>
      </c>
      <c r="G78" s="5" t="s">
        <v>193</v>
      </c>
      <c r="H78" s="5" t="s">
        <v>3983</v>
      </c>
      <c r="I78" s="5" t="s">
        <v>863</v>
      </c>
      <c r="J78" t="s">
        <v>550</v>
      </c>
      <c r="K78" s="5" t="s">
        <v>3191</v>
      </c>
      <c r="L78" s="5" t="s">
        <v>3191</v>
      </c>
      <c r="M78" s="387">
        <v>30</v>
      </c>
      <c r="N78" s="387">
        <v>150</v>
      </c>
      <c r="O78" s="387">
        <v>0</v>
      </c>
      <c r="P78" s="387">
        <v>0</v>
      </c>
      <c r="Q78" s="387">
        <v>0</v>
      </c>
      <c r="R78" s="387">
        <v>0</v>
      </c>
      <c r="S78" s="1174">
        <f>Locations[[#This Row],[Ind_Returnees]]+Locations[[#This Row],[Ind_Refugees]]+Locations[[#This Row],[Ind_IDPs]]</f>
        <v>150</v>
      </c>
    </row>
    <row r="79" spans="1:19" s="388" customFormat="1" x14ac:dyDescent="0.3">
      <c r="A79" s="5" t="s">
        <v>533</v>
      </c>
      <c r="B79" s="1430" t="s">
        <v>3449</v>
      </c>
      <c r="C79" s="398" t="s">
        <v>534</v>
      </c>
      <c r="D79" s="5" t="s">
        <v>31</v>
      </c>
      <c r="E79" s="5" t="s">
        <v>31</v>
      </c>
      <c r="F79" s="5" t="s">
        <v>549</v>
      </c>
      <c r="G79" s="5" t="s">
        <v>171</v>
      </c>
      <c r="H79" s="5" t="s">
        <v>171</v>
      </c>
      <c r="I79" s="5" t="s">
        <v>634</v>
      </c>
      <c r="J79" t="s">
        <v>2200</v>
      </c>
      <c r="K79" s="5" t="s">
        <v>1249</v>
      </c>
      <c r="L79" s="5"/>
      <c r="M79" s="387">
        <v>326</v>
      </c>
      <c r="N79" s="387">
        <v>3143</v>
      </c>
      <c r="O79" s="387">
        <v>74</v>
      </c>
      <c r="P79" s="387">
        <v>240</v>
      </c>
      <c r="Q79" s="387">
        <v>0</v>
      </c>
      <c r="R79" s="387">
        <v>0</v>
      </c>
      <c r="S79" s="1174">
        <f>Locations[[#This Row],[Ind_Returnees]]+Locations[[#This Row],[Ind_Refugees]]+Locations[[#This Row],[Ind_IDPs]]</f>
        <v>3383</v>
      </c>
    </row>
    <row r="80" spans="1:19" s="388" customFormat="1" x14ac:dyDescent="0.3">
      <c r="A80" s="5" t="s">
        <v>533</v>
      </c>
      <c r="B80" s="1430" t="s">
        <v>3449</v>
      </c>
      <c r="C80" s="1090" t="s">
        <v>534</v>
      </c>
      <c r="D80" s="5" t="s">
        <v>31</v>
      </c>
      <c r="E80" s="5" t="s">
        <v>31</v>
      </c>
      <c r="F80" s="5" t="s">
        <v>549</v>
      </c>
      <c r="G80" s="5" t="s">
        <v>2797</v>
      </c>
      <c r="H80" s="5" t="s">
        <v>3898</v>
      </c>
      <c r="I80" s="5" t="s">
        <v>767</v>
      </c>
      <c r="J80" t="s">
        <v>1699</v>
      </c>
      <c r="K80" s="5" t="s">
        <v>1700</v>
      </c>
      <c r="L80" s="5"/>
      <c r="M80" s="387">
        <v>140</v>
      </c>
      <c r="N80" s="387">
        <v>1054</v>
      </c>
      <c r="O80" s="387">
        <v>0</v>
      </c>
      <c r="P80" s="387">
        <v>0</v>
      </c>
      <c r="Q80" s="387">
        <v>0</v>
      </c>
      <c r="R80" s="387">
        <v>0</v>
      </c>
      <c r="S80" s="1174">
        <f>Locations[[#This Row],[Ind_Returnees]]+Locations[[#This Row],[Ind_Refugees]]+Locations[[#This Row],[Ind_IDPs]]</f>
        <v>1054</v>
      </c>
    </row>
    <row r="81" spans="1:19" s="388" customFormat="1" x14ac:dyDescent="0.3">
      <c r="A81" s="5" t="s">
        <v>533</v>
      </c>
      <c r="B81" s="1430" t="s">
        <v>3449</v>
      </c>
      <c r="C81" s="1090" t="s">
        <v>534</v>
      </c>
      <c r="D81" s="5" t="s">
        <v>31</v>
      </c>
      <c r="E81" s="5" t="s">
        <v>31</v>
      </c>
      <c r="F81" s="5" t="s">
        <v>549</v>
      </c>
      <c r="G81" s="5" t="s">
        <v>2797</v>
      </c>
      <c r="H81" s="5" t="s">
        <v>3898</v>
      </c>
      <c r="I81" s="5" t="s">
        <v>767</v>
      </c>
      <c r="J81" t="s">
        <v>768</v>
      </c>
      <c r="K81" s="5" t="s">
        <v>769</v>
      </c>
      <c r="L81" s="5"/>
      <c r="M81" s="387">
        <v>55</v>
      </c>
      <c r="N81" s="387">
        <v>383</v>
      </c>
      <c r="O81" s="387">
        <v>0</v>
      </c>
      <c r="P81" s="387">
        <v>0</v>
      </c>
      <c r="Q81" s="387">
        <v>0</v>
      </c>
      <c r="R81" s="387">
        <v>0</v>
      </c>
      <c r="S81" s="1174">
        <f>Locations[[#This Row],[Ind_Returnees]]+Locations[[#This Row],[Ind_Refugees]]+Locations[[#This Row],[Ind_IDPs]]</f>
        <v>383</v>
      </c>
    </row>
    <row r="82" spans="1:19" s="388" customFormat="1" x14ac:dyDescent="0.3">
      <c r="A82" s="5" t="s">
        <v>533</v>
      </c>
      <c r="B82" s="1430" t="s">
        <v>3449</v>
      </c>
      <c r="C82" s="1090" t="s">
        <v>534</v>
      </c>
      <c r="D82" s="5" t="s">
        <v>31</v>
      </c>
      <c r="E82" s="5" t="s">
        <v>31</v>
      </c>
      <c r="F82" s="5" t="s">
        <v>549</v>
      </c>
      <c r="G82" s="5" t="s">
        <v>2797</v>
      </c>
      <c r="H82" s="5" t="s">
        <v>3898</v>
      </c>
      <c r="I82" s="5" t="s">
        <v>767</v>
      </c>
      <c r="J82" t="s">
        <v>770</v>
      </c>
      <c r="K82" s="5" t="s">
        <v>771</v>
      </c>
      <c r="L82" s="5"/>
      <c r="M82" s="387">
        <v>31</v>
      </c>
      <c r="N82" s="387">
        <v>259</v>
      </c>
      <c r="O82" s="387">
        <v>0</v>
      </c>
      <c r="P82" s="387">
        <v>0</v>
      </c>
      <c r="Q82" s="387">
        <v>0</v>
      </c>
      <c r="R82" s="387">
        <v>0</v>
      </c>
      <c r="S82" s="1174">
        <f>Locations[[#This Row],[Ind_Returnees]]+Locations[[#This Row],[Ind_Refugees]]+Locations[[#This Row],[Ind_IDPs]]</f>
        <v>259</v>
      </c>
    </row>
    <row r="83" spans="1:19" s="388" customFormat="1" x14ac:dyDescent="0.3">
      <c r="A83" s="5" t="s">
        <v>533</v>
      </c>
      <c r="B83" s="1430" t="s">
        <v>3449</v>
      </c>
      <c r="C83" s="1090" t="s">
        <v>534</v>
      </c>
      <c r="D83" s="5" t="s">
        <v>31</v>
      </c>
      <c r="E83" s="5" t="s">
        <v>31</v>
      </c>
      <c r="F83" s="5" t="s">
        <v>549</v>
      </c>
      <c r="G83" s="5" t="s">
        <v>171</v>
      </c>
      <c r="H83" s="5" t="s">
        <v>171</v>
      </c>
      <c r="I83" s="5" t="s">
        <v>634</v>
      </c>
      <c r="J83" t="s">
        <v>2588</v>
      </c>
      <c r="K83" s="5" t="s">
        <v>2589</v>
      </c>
      <c r="L83" s="5"/>
      <c r="M83" s="387">
        <v>20</v>
      </c>
      <c r="N83" s="387">
        <v>100</v>
      </c>
      <c r="O83" s="387">
        <v>0</v>
      </c>
      <c r="P83" s="387">
        <v>0</v>
      </c>
      <c r="Q83" s="387">
        <v>0</v>
      </c>
      <c r="R83" s="387">
        <v>0</v>
      </c>
      <c r="S83" s="1174">
        <f>Locations[[#This Row],[Ind_Returnees]]+Locations[[#This Row],[Ind_Refugees]]+Locations[[#This Row],[Ind_IDPs]]</f>
        <v>100</v>
      </c>
    </row>
    <row r="84" spans="1:19" s="388" customFormat="1" x14ac:dyDescent="0.3">
      <c r="A84" s="5" t="s">
        <v>533</v>
      </c>
      <c r="B84" s="1430" t="s">
        <v>3449</v>
      </c>
      <c r="C84" s="398" t="s">
        <v>534</v>
      </c>
      <c r="D84" s="5" t="s">
        <v>31</v>
      </c>
      <c r="E84" s="5" t="s">
        <v>31</v>
      </c>
      <c r="F84" s="5" t="s">
        <v>549</v>
      </c>
      <c r="G84" s="5" t="s">
        <v>171</v>
      </c>
      <c r="H84" s="5" t="s">
        <v>171</v>
      </c>
      <c r="I84" s="5" t="s">
        <v>634</v>
      </c>
      <c r="J84" t="s">
        <v>1212</v>
      </c>
      <c r="K84" s="5" t="s">
        <v>850</v>
      </c>
      <c r="L84" s="5"/>
      <c r="M84" s="387">
        <v>11</v>
      </c>
      <c r="N84" s="387">
        <v>67</v>
      </c>
      <c r="O84" s="387">
        <v>0</v>
      </c>
      <c r="P84" s="387">
        <v>0</v>
      </c>
      <c r="Q84" s="387">
        <v>0</v>
      </c>
      <c r="R84" s="387">
        <v>0</v>
      </c>
      <c r="S84" s="1174">
        <f>Locations[[#This Row],[Ind_Returnees]]+Locations[[#This Row],[Ind_Refugees]]+Locations[[#This Row],[Ind_IDPs]]</f>
        <v>67</v>
      </c>
    </row>
    <row r="85" spans="1:19" s="388" customFormat="1" x14ac:dyDescent="0.3">
      <c r="A85" s="5" t="s">
        <v>533</v>
      </c>
      <c r="B85" s="1430" t="s">
        <v>3449</v>
      </c>
      <c r="C85" s="1090" t="s">
        <v>534</v>
      </c>
      <c r="D85" s="5" t="s">
        <v>31</v>
      </c>
      <c r="E85" s="5" t="s">
        <v>31</v>
      </c>
      <c r="F85" s="5" t="s">
        <v>549</v>
      </c>
      <c r="G85" s="5" t="s">
        <v>171</v>
      </c>
      <c r="H85" s="5" t="s">
        <v>171</v>
      </c>
      <c r="I85" s="5" t="s">
        <v>634</v>
      </c>
      <c r="J85" t="s">
        <v>918</v>
      </c>
      <c r="K85" s="5" t="s">
        <v>1290</v>
      </c>
      <c r="L85" s="5"/>
      <c r="M85" s="387">
        <v>16</v>
      </c>
      <c r="N85" s="387">
        <v>109</v>
      </c>
      <c r="O85" s="387">
        <v>0</v>
      </c>
      <c r="P85" s="387">
        <v>0</v>
      </c>
      <c r="Q85" s="387">
        <v>0</v>
      </c>
      <c r="R85" s="387">
        <v>0</v>
      </c>
      <c r="S85" s="1174">
        <f>Locations[[#This Row],[Ind_Returnees]]+Locations[[#This Row],[Ind_Refugees]]+Locations[[#This Row],[Ind_IDPs]]</f>
        <v>109</v>
      </c>
    </row>
    <row r="86" spans="1:19" s="388" customFormat="1" x14ac:dyDescent="0.3">
      <c r="A86" s="5" t="s">
        <v>533</v>
      </c>
      <c r="B86" s="1430" t="s">
        <v>3449</v>
      </c>
      <c r="C86" s="1090" t="s">
        <v>534</v>
      </c>
      <c r="D86" s="5" t="s">
        <v>31</v>
      </c>
      <c r="E86" s="5" t="s">
        <v>31</v>
      </c>
      <c r="F86" s="5" t="s">
        <v>549</v>
      </c>
      <c r="G86" s="5" t="s">
        <v>171</v>
      </c>
      <c r="H86" s="5" t="s">
        <v>171</v>
      </c>
      <c r="I86" s="5" t="s">
        <v>634</v>
      </c>
      <c r="J86" t="s">
        <v>2202</v>
      </c>
      <c r="K86" s="5" t="s">
        <v>1789</v>
      </c>
      <c r="L86" s="5"/>
      <c r="M86" s="387">
        <v>4</v>
      </c>
      <c r="N86" s="387">
        <v>22</v>
      </c>
      <c r="O86" s="387">
        <v>0</v>
      </c>
      <c r="P86" s="387">
        <v>0</v>
      </c>
      <c r="Q86" s="387">
        <v>0</v>
      </c>
      <c r="R86" s="387">
        <v>0</v>
      </c>
      <c r="S86" s="1174">
        <f>Locations[[#This Row],[Ind_Returnees]]+Locations[[#This Row],[Ind_Refugees]]+Locations[[#This Row],[Ind_IDPs]]</f>
        <v>22</v>
      </c>
    </row>
    <row r="87" spans="1:19" s="388" customFormat="1" x14ac:dyDescent="0.3">
      <c r="A87" s="5" t="s">
        <v>533</v>
      </c>
      <c r="B87" s="1430" t="s">
        <v>3449</v>
      </c>
      <c r="C87" s="398" t="s">
        <v>534</v>
      </c>
      <c r="D87" s="5" t="s">
        <v>31</v>
      </c>
      <c r="E87" s="5" t="s">
        <v>31</v>
      </c>
      <c r="F87" s="5" t="s">
        <v>549</v>
      </c>
      <c r="G87" s="5" t="s">
        <v>171</v>
      </c>
      <c r="H87" s="5" t="s">
        <v>171</v>
      </c>
      <c r="I87" s="5" t="s">
        <v>634</v>
      </c>
      <c r="J87" t="s">
        <v>1320</v>
      </c>
      <c r="K87" s="5" t="s">
        <v>1321</v>
      </c>
      <c r="L87" s="5"/>
      <c r="M87" s="387">
        <v>16</v>
      </c>
      <c r="N87" s="387">
        <v>92</v>
      </c>
      <c r="O87" s="387">
        <v>25</v>
      </c>
      <c r="P87" s="387">
        <v>76</v>
      </c>
      <c r="Q87" s="387">
        <v>4</v>
      </c>
      <c r="R87" s="387">
        <v>28</v>
      </c>
      <c r="S87" s="1174">
        <f>Locations[[#This Row],[Ind_Returnees]]+Locations[[#This Row],[Ind_Refugees]]+Locations[[#This Row],[Ind_IDPs]]</f>
        <v>196</v>
      </c>
    </row>
    <row r="88" spans="1:19" s="388" customFormat="1" x14ac:dyDescent="0.3">
      <c r="A88" s="5" t="s">
        <v>533</v>
      </c>
      <c r="B88" s="1430" t="s">
        <v>3449</v>
      </c>
      <c r="C88" s="398" t="s">
        <v>534</v>
      </c>
      <c r="D88" s="5" t="s">
        <v>31</v>
      </c>
      <c r="E88" s="5" t="s">
        <v>31</v>
      </c>
      <c r="F88" s="5" t="s">
        <v>549</v>
      </c>
      <c r="G88" s="5" t="s">
        <v>171</v>
      </c>
      <c r="H88" s="5" t="s">
        <v>171</v>
      </c>
      <c r="I88" s="5" t="s">
        <v>634</v>
      </c>
      <c r="J88" t="s">
        <v>2798</v>
      </c>
      <c r="K88" s="5" t="s">
        <v>2149</v>
      </c>
      <c r="L88" s="5"/>
      <c r="M88" s="387">
        <v>2</v>
      </c>
      <c r="N88" s="387">
        <v>19</v>
      </c>
      <c r="O88" s="387">
        <v>12</v>
      </c>
      <c r="P88" s="387">
        <v>115</v>
      </c>
      <c r="Q88" s="387">
        <v>0</v>
      </c>
      <c r="R88" s="387">
        <v>0</v>
      </c>
      <c r="S88" s="1174">
        <f>Locations[[#This Row],[Ind_Returnees]]+Locations[[#This Row],[Ind_Refugees]]+Locations[[#This Row],[Ind_IDPs]]</f>
        <v>134</v>
      </c>
    </row>
    <row r="89" spans="1:19" s="388" customFormat="1" x14ac:dyDescent="0.3">
      <c r="A89" s="5" t="s">
        <v>533</v>
      </c>
      <c r="B89" s="1430" t="s">
        <v>3449</v>
      </c>
      <c r="C89" s="398" t="s">
        <v>534</v>
      </c>
      <c r="D89" s="5" t="s">
        <v>31</v>
      </c>
      <c r="E89" s="5" t="s">
        <v>31</v>
      </c>
      <c r="F89" s="5" t="s">
        <v>549</v>
      </c>
      <c r="G89" s="5" t="s">
        <v>169</v>
      </c>
      <c r="H89" s="5" t="s">
        <v>169</v>
      </c>
      <c r="I89" s="5" t="s">
        <v>673</v>
      </c>
      <c r="J89" t="s">
        <v>2859</v>
      </c>
      <c r="K89" s="5" t="s">
        <v>3082</v>
      </c>
      <c r="L89" s="5"/>
      <c r="M89" s="387">
        <v>0</v>
      </c>
      <c r="N89" s="387">
        <v>0</v>
      </c>
      <c r="O89" s="387">
        <v>0</v>
      </c>
      <c r="P89" s="387">
        <v>0</v>
      </c>
      <c r="Q89" s="387">
        <v>23</v>
      </c>
      <c r="R89" s="387">
        <v>100</v>
      </c>
      <c r="S89" s="1174">
        <f>Locations[[#This Row],[Ind_Returnees]]+Locations[[#This Row],[Ind_Refugees]]+Locations[[#This Row],[Ind_IDPs]]</f>
        <v>100</v>
      </c>
    </row>
    <row r="90" spans="1:19" s="388" customFormat="1" x14ac:dyDescent="0.3">
      <c r="A90" s="5" t="s">
        <v>533</v>
      </c>
      <c r="B90" s="1430" t="s">
        <v>3449</v>
      </c>
      <c r="C90" s="1090" t="s">
        <v>534</v>
      </c>
      <c r="D90" s="5" t="s">
        <v>34</v>
      </c>
      <c r="E90" s="5" t="s">
        <v>34</v>
      </c>
      <c r="F90" s="5" t="s">
        <v>539</v>
      </c>
      <c r="G90" s="5" t="s">
        <v>188</v>
      </c>
      <c r="H90" s="5" t="s">
        <v>188</v>
      </c>
      <c r="I90" s="5" t="s">
        <v>546</v>
      </c>
      <c r="J90" t="s">
        <v>3192</v>
      </c>
      <c r="K90" s="5" t="s">
        <v>3193</v>
      </c>
      <c r="L90" s="5"/>
      <c r="M90" s="387">
        <v>0</v>
      </c>
      <c r="N90" s="387">
        <v>0</v>
      </c>
      <c r="O90" s="387">
        <v>0</v>
      </c>
      <c r="P90" s="387">
        <v>0</v>
      </c>
      <c r="Q90" s="387">
        <v>31</v>
      </c>
      <c r="R90" s="387">
        <v>229</v>
      </c>
      <c r="S90" s="1174">
        <f>Locations[[#This Row],[Ind_Returnees]]+Locations[[#This Row],[Ind_Refugees]]+Locations[[#This Row],[Ind_IDPs]]</f>
        <v>229</v>
      </c>
    </row>
    <row r="91" spans="1:19" s="388" customFormat="1" x14ac:dyDescent="0.3">
      <c r="A91" s="5" t="s">
        <v>533</v>
      </c>
      <c r="B91" s="1430" t="s">
        <v>3449</v>
      </c>
      <c r="C91" s="1090" t="s">
        <v>534</v>
      </c>
      <c r="D91" s="5" t="s">
        <v>31</v>
      </c>
      <c r="E91" s="5" t="s">
        <v>31</v>
      </c>
      <c r="F91" s="5" t="s">
        <v>549</v>
      </c>
      <c r="G91" s="5" t="s">
        <v>170</v>
      </c>
      <c r="H91" s="5" t="s">
        <v>170</v>
      </c>
      <c r="I91" s="5" t="s">
        <v>866</v>
      </c>
      <c r="J91" t="s">
        <v>1501</v>
      </c>
      <c r="K91" s="5" t="s">
        <v>1861</v>
      </c>
      <c r="L91" s="5"/>
      <c r="M91" s="387">
        <v>77</v>
      </c>
      <c r="N91" s="387">
        <v>280</v>
      </c>
      <c r="O91" s="387">
        <v>0</v>
      </c>
      <c r="P91" s="387">
        <v>0</v>
      </c>
      <c r="Q91" s="387">
        <v>0</v>
      </c>
      <c r="R91" s="387">
        <v>0</v>
      </c>
      <c r="S91" s="1174">
        <f>Locations[[#This Row],[Ind_Returnees]]+Locations[[#This Row],[Ind_Refugees]]+Locations[[#This Row],[Ind_IDPs]]</f>
        <v>280</v>
      </c>
    </row>
    <row r="92" spans="1:19" s="388" customFormat="1" x14ac:dyDescent="0.3">
      <c r="A92" s="5" t="s">
        <v>533</v>
      </c>
      <c r="B92" s="1430" t="s">
        <v>3449</v>
      </c>
      <c r="C92" s="1090" t="s">
        <v>534</v>
      </c>
      <c r="D92" s="5" t="s">
        <v>31</v>
      </c>
      <c r="E92" s="5" t="s">
        <v>31</v>
      </c>
      <c r="F92" s="5" t="s">
        <v>549</v>
      </c>
      <c r="G92" s="5" t="s">
        <v>171</v>
      </c>
      <c r="H92" s="5" t="s">
        <v>171</v>
      </c>
      <c r="I92" s="5" t="s">
        <v>634</v>
      </c>
      <c r="J92" t="s">
        <v>1318</v>
      </c>
      <c r="K92" s="5" t="s">
        <v>1319</v>
      </c>
      <c r="L92" s="5"/>
      <c r="M92" s="387">
        <v>936</v>
      </c>
      <c r="N92" s="387">
        <v>8361</v>
      </c>
      <c r="O92" s="387">
        <v>52</v>
      </c>
      <c r="P92" s="387">
        <v>474</v>
      </c>
      <c r="Q92" s="387">
        <v>887</v>
      </c>
      <c r="R92" s="387">
        <v>7299</v>
      </c>
      <c r="S92" s="1174">
        <f>Locations[[#This Row],[Ind_Returnees]]+Locations[[#This Row],[Ind_Refugees]]+Locations[[#This Row],[Ind_IDPs]]</f>
        <v>16134</v>
      </c>
    </row>
    <row r="93" spans="1:19" s="388" customFormat="1" x14ac:dyDescent="0.3">
      <c r="A93" s="5" t="s">
        <v>533</v>
      </c>
      <c r="B93" s="1430" t="s">
        <v>3449</v>
      </c>
      <c r="C93" s="1090" t="s">
        <v>534</v>
      </c>
      <c r="D93" s="5" t="s">
        <v>31</v>
      </c>
      <c r="E93" s="5" t="s">
        <v>31</v>
      </c>
      <c r="F93" s="5" t="s">
        <v>549</v>
      </c>
      <c r="G93" s="5" t="s">
        <v>167</v>
      </c>
      <c r="H93" s="5" t="s">
        <v>167</v>
      </c>
      <c r="I93" s="5" t="s">
        <v>1113</v>
      </c>
      <c r="J93" t="s">
        <v>2325</v>
      </c>
      <c r="K93" s="5" t="s">
        <v>2246</v>
      </c>
      <c r="L93" s="5"/>
      <c r="M93" s="387">
        <v>0</v>
      </c>
      <c r="N93" s="387">
        <v>0</v>
      </c>
      <c r="O93" s="387">
        <v>0</v>
      </c>
      <c r="P93" s="387">
        <v>0</v>
      </c>
      <c r="Q93" s="387">
        <v>30</v>
      </c>
      <c r="R93" s="387">
        <v>251</v>
      </c>
      <c r="S93" s="1174">
        <f>Locations[[#This Row],[Ind_Returnees]]+Locations[[#This Row],[Ind_Refugees]]+Locations[[#This Row],[Ind_IDPs]]</f>
        <v>251</v>
      </c>
    </row>
    <row r="94" spans="1:19" s="388" customFormat="1" x14ac:dyDescent="0.3">
      <c r="A94" s="5" t="s">
        <v>533</v>
      </c>
      <c r="B94" s="1430" t="s">
        <v>3449</v>
      </c>
      <c r="C94" s="398" t="s">
        <v>534</v>
      </c>
      <c r="D94" s="5" t="s">
        <v>33</v>
      </c>
      <c r="E94" s="5" t="s">
        <v>33</v>
      </c>
      <c r="F94" s="5" t="s">
        <v>561</v>
      </c>
      <c r="G94" s="5" t="s">
        <v>185</v>
      </c>
      <c r="H94" s="5" t="s">
        <v>185</v>
      </c>
      <c r="I94" s="5" t="s">
        <v>656</v>
      </c>
      <c r="J94" t="s">
        <v>2370</v>
      </c>
      <c r="K94" s="5" t="s">
        <v>2371</v>
      </c>
      <c r="L94" s="5"/>
      <c r="M94" s="387">
        <v>0</v>
      </c>
      <c r="N94" s="387">
        <v>0</v>
      </c>
      <c r="O94" s="387">
        <v>0</v>
      </c>
      <c r="P94" s="387">
        <v>0</v>
      </c>
      <c r="Q94" s="387">
        <v>0</v>
      </c>
      <c r="R94" s="387">
        <v>0</v>
      </c>
      <c r="S94" s="1174">
        <f>Locations[[#This Row],[Ind_Returnees]]+Locations[[#This Row],[Ind_Refugees]]+Locations[[#This Row],[Ind_IDPs]]</f>
        <v>0</v>
      </c>
    </row>
    <row r="95" spans="1:19" s="388" customFormat="1" x14ac:dyDescent="0.3">
      <c r="A95" s="5" t="s">
        <v>533</v>
      </c>
      <c r="B95" s="1430" t="s">
        <v>3449</v>
      </c>
      <c r="C95" s="1090" t="s">
        <v>534</v>
      </c>
      <c r="D95" s="5" t="s">
        <v>34</v>
      </c>
      <c r="E95" s="5" t="s">
        <v>34</v>
      </c>
      <c r="F95" s="5" t="s">
        <v>539</v>
      </c>
      <c r="G95" s="5" t="s">
        <v>188</v>
      </c>
      <c r="H95" s="5" t="s">
        <v>188</v>
      </c>
      <c r="I95" s="5" t="s">
        <v>546</v>
      </c>
      <c r="J95" t="s">
        <v>1264</v>
      </c>
      <c r="K95" s="5" t="s">
        <v>1043</v>
      </c>
      <c r="L95" s="5"/>
      <c r="M95" s="387">
        <v>77</v>
      </c>
      <c r="N95" s="387">
        <v>589</v>
      </c>
      <c r="O95" s="387">
        <v>0</v>
      </c>
      <c r="P95" s="387">
        <v>0</v>
      </c>
      <c r="Q95" s="387">
        <v>104</v>
      </c>
      <c r="R95" s="387">
        <v>677</v>
      </c>
      <c r="S95" s="1174">
        <f>Locations[[#This Row],[Ind_Returnees]]+Locations[[#This Row],[Ind_Refugees]]+Locations[[#This Row],[Ind_IDPs]]</f>
        <v>1266</v>
      </c>
    </row>
    <row r="96" spans="1:19" s="388" customFormat="1" x14ac:dyDescent="0.3">
      <c r="A96" s="5" t="s">
        <v>533</v>
      </c>
      <c r="B96" s="1430" t="s">
        <v>3449</v>
      </c>
      <c r="C96" s="398" t="s">
        <v>534</v>
      </c>
      <c r="D96" s="5" t="s">
        <v>31</v>
      </c>
      <c r="E96" s="5" t="s">
        <v>31</v>
      </c>
      <c r="F96" s="5" t="s">
        <v>549</v>
      </c>
      <c r="G96" s="5" t="s">
        <v>167</v>
      </c>
      <c r="H96" s="5" t="s">
        <v>167</v>
      </c>
      <c r="I96" s="5" t="s">
        <v>1113</v>
      </c>
      <c r="J96" t="s">
        <v>2532</v>
      </c>
      <c r="K96" s="5" t="s">
        <v>2084</v>
      </c>
      <c r="L96" s="5"/>
      <c r="M96" s="387">
        <v>70</v>
      </c>
      <c r="N96" s="387">
        <v>70</v>
      </c>
      <c r="O96" s="387">
        <v>0</v>
      </c>
      <c r="P96" s="387">
        <v>0</v>
      </c>
      <c r="Q96" s="387">
        <v>0</v>
      </c>
      <c r="R96" s="387">
        <v>0</v>
      </c>
      <c r="S96" s="1174">
        <f>Locations[[#This Row],[Ind_Returnees]]+Locations[[#This Row],[Ind_Refugees]]+Locations[[#This Row],[Ind_IDPs]]</f>
        <v>70</v>
      </c>
    </row>
    <row r="97" spans="1:19" s="388" customFormat="1" x14ac:dyDescent="0.3">
      <c r="A97" s="5" t="s">
        <v>533</v>
      </c>
      <c r="B97" s="1430" t="s">
        <v>3449</v>
      </c>
      <c r="C97" s="398" t="s">
        <v>534</v>
      </c>
      <c r="D97" s="5" t="s">
        <v>30</v>
      </c>
      <c r="E97" s="5" t="s">
        <v>3522</v>
      </c>
      <c r="F97" s="5" t="s">
        <v>535</v>
      </c>
      <c r="G97" s="5" t="s">
        <v>162</v>
      </c>
      <c r="H97" s="5" t="s">
        <v>3529</v>
      </c>
      <c r="I97" s="5" t="s">
        <v>536</v>
      </c>
      <c r="J97" t="s">
        <v>643</v>
      </c>
      <c r="K97" s="5" t="s">
        <v>644</v>
      </c>
      <c r="L97" s="5"/>
      <c r="M97" s="387">
        <v>2</v>
      </c>
      <c r="N97" s="387">
        <v>18</v>
      </c>
      <c r="O97" s="387">
        <v>0</v>
      </c>
      <c r="P97" s="387">
        <v>0</v>
      </c>
      <c r="Q97" s="387">
        <v>0</v>
      </c>
      <c r="R97" s="387">
        <v>0</v>
      </c>
      <c r="S97" s="1174">
        <f>Locations[[#This Row],[Ind_Returnees]]+Locations[[#This Row],[Ind_Refugees]]+Locations[[#This Row],[Ind_IDPs]]</f>
        <v>18</v>
      </c>
    </row>
    <row r="98" spans="1:19" s="388" customFormat="1" x14ac:dyDescent="0.3">
      <c r="A98" s="5" t="s">
        <v>533</v>
      </c>
      <c r="B98" s="1430" t="s">
        <v>3449</v>
      </c>
      <c r="C98" s="1090" t="s">
        <v>534</v>
      </c>
      <c r="D98" s="5" t="s">
        <v>31</v>
      </c>
      <c r="E98" s="5" t="s">
        <v>31</v>
      </c>
      <c r="F98" s="5" t="s">
        <v>549</v>
      </c>
      <c r="G98" s="5" t="s">
        <v>171</v>
      </c>
      <c r="H98" s="5" t="s">
        <v>171</v>
      </c>
      <c r="I98" s="5" t="s">
        <v>634</v>
      </c>
      <c r="J98" t="s">
        <v>2168</v>
      </c>
      <c r="K98" s="5" t="s">
        <v>1152</v>
      </c>
      <c r="L98" s="5"/>
      <c r="M98" s="387">
        <v>7</v>
      </c>
      <c r="N98" s="387">
        <v>30</v>
      </c>
      <c r="O98" s="387">
        <v>10</v>
      </c>
      <c r="P98" s="387">
        <v>40</v>
      </c>
      <c r="Q98" s="387">
        <v>0</v>
      </c>
      <c r="R98" s="387">
        <v>0</v>
      </c>
      <c r="S98" s="1174">
        <f>Locations[[#This Row],[Ind_Returnees]]+Locations[[#This Row],[Ind_Refugees]]+Locations[[#This Row],[Ind_IDPs]]</f>
        <v>70</v>
      </c>
    </row>
    <row r="99" spans="1:19" s="388" customFormat="1" x14ac:dyDescent="0.3">
      <c r="A99" s="5" t="s">
        <v>533</v>
      </c>
      <c r="B99" s="1430" t="s">
        <v>3449</v>
      </c>
      <c r="C99" s="1090" t="s">
        <v>534</v>
      </c>
      <c r="D99" s="5" t="s">
        <v>31</v>
      </c>
      <c r="E99" s="5" t="s">
        <v>31</v>
      </c>
      <c r="F99" s="5" t="s">
        <v>549</v>
      </c>
      <c r="G99" s="5" t="s">
        <v>171</v>
      </c>
      <c r="H99" s="5" t="s">
        <v>171</v>
      </c>
      <c r="I99" s="5" t="s">
        <v>634</v>
      </c>
      <c r="J99" t="s">
        <v>2179</v>
      </c>
      <c r="K99" s="5" t="s">
        <v>1154</v>
      </c>
      <c r="L99" s="5"/>
      <c r="M99" s="387">
        <v>4</v>
      </c>
      <c r="N99" s="387">
        <v>30</v>
      </c>
      <c r="O99" s="387">
        <v>0</v>
      </c>
      <c r="P99" s="387">
        <v>0</v>
      </c>
      <c r="Q99" s="387">
        <v>0</v>
      </c>
      <c r="R99" s="387">
        <v>0</v>
      </c>
      <c r="S99" s="1174">
        <f>Locations[[#This Row],[Ind_Returnees]]+Locations[[#This Row],[Ind_Refugees]]+Locations[[#This Row],[Ind_IDPs]]</f>
        <v>30</v>
      </c>
    </row>
    <row r="100" spans="1:19" s="388" customFormat="1" x14ac:dyDescent="0.3">
      <c r="A100" s="5" t="s">
        <v>533</v>
      </c>
      <c r="B100" s="1430" t="s">
        <v>3449</v>
      </c>
      <c r="C100" s="398" t="s">
        <v>534</v>
      </c>
      <c r="D100" s="5" t="s">
        <v>31</v>
      </c>
      <c r="E100" s="5" t="s">
        <v>31</v>
      </c>
      <c r="F100" s="5" t="s">
        <v>549</v>
      </c>
      <c r="G100" s="5" t="s">
        <v>170</v>
      </c>
      <c r="H100" s="5" t="s">
        <v>170</v>
      </c>
      <c r="I100" s="5" t="s">
        <v>866</v>
      </c>
      <c r="J100" t="s">
        <v>1858</v>
      </c>
      <c r="K100" s="5" t="s">
        <v>1859</v>
      </c>
      <c r="L100" s="5"/>
      <c r="M100" s="387">
        <v>52</v>
      </c>
      <c r="N100" s="387">
        <v>272</v>
      </c>
      <c r="O100" s="387">
        <v>0</v>
      </c>
      <c r="P100" s="387">
        <v>0</v>
      </c>
      <c r="Q100" s="387">
        <v>0</v>
      </c>
      <c r="R100" s="387">
        <v>0</v>
      </c>
      <c r="S100" s="1174">
        <f>Locations[[#This Row],[Ind_Returnees]]+Locations[[#This Row],[Ind_Refugees]]+Locations[[#This Row],[Ind_IDPs]]</f>
        <v>272</v>
      </c>
    </row>
    <row r="101" spans="1:19" s="388" customFormat="1" x14ac:dyDescent="0.3">
      <c r="A101" s="5" t="s">
        <v>533</v>
      </c>
      <c r="B101" s="1430" t="s">
        <v>3449</v>
      </c>
      <c r="C101" s="398" t="s">
        <v>534</v>
      </c>
      <c r="D101" s="5" t="s">
        <v>34</v>
      </c>
      <c r="E101" s="5" t="s">
        <v>34</v>
      </c>
      <c r="F101" s="5" t="s">
        <v>539</v>
      </c>
      <c r="G101" s="5" t="s">
        <v>187</v>
      </c>
      <c r="H101" s="5" t="s">
        <v>187</v>
      </c>
      <c r="I101" s="5" t="s">
        <v>951</v>
      </c>
      <c r="J101" t="s">
        <v>2800</v>
      </c>
      <c r="K101" s="5" t="s">
        <v>2557</v>
      </c>
      <c r="L101" s="5"/>
      <c r="M101" s="387">
        <v>0</v>
      </c>
      <c r="N101" s="387">
        <v>0</v>
      </c>
      <c r="O101" s="387">
        <v>0</v>
      </c>
      <c r="P101" s="387">
        <v>0</v>
      </c>
      <c r="Q101" s="387">
        <v>0</v>
      </c>
      <c r="R101" s="387">
        <v>0</v>
      </c>
      <c r="S101" s="1174">
        <f>Locations[[#This Row],[Ind_Returnees]]+Locations[[#This Row],[Ind_Refugees]]+Locations[[#This Row],[Ind_IDPs]]</f>
        <v>0</v>
      </c>
    </row>
    <row r="102" spans="1:19" s="388" customFormat="1" x14ac:dyDescent="0.3">
      <c r="A102" s="5" t="s">
        <v>533</v>
      </c>
      <c r="B102" s="1430" t="s">
        <v>3449</v>
      </c>
      <c r="C102" s="1090" t="s">
        <v>534</v>
      </c>
      <c r="D102" s="5" t="s">
        <v>31</v>
      </c>
      <c r="E102" s="5" t="s">
        <v>31</v>
      </c>
      <c r="F102" s="5" t="s">
        <v>549</v>
      </c>
      <c r="G102" s="5" t="s">
        <v>171</v>
      </c>
      <c r="H102" s="5" t="s">
        <v>171</v>
      </c>
      <c r="I102" s="5" t="s">
        <v>634</v>
      </c>
      <c r="J102" t="s">
        <v>2801</v>
      </c>
      <c r="K102" s="5" t="s">
        <v>1886</v>
      </c>
      <c r="L102" s="5"/>
      <c r="M102" s="387">
        <v>8</v>
      </c>
      <c r="N102" s="387">
        <v>32</v>
      </c>
      <c r="O102" s="387">
        <v>0</v>
      </c>
      <c r="P102" s="387">
        <v>0</v>
      </c>
      <c r="Q102" s="387">
        <v>0</v>
      </c>
      <c r="R102" s="387">
        <v>0</v>
      </c>
      <c r="S102" s="1174">
        <f>Locations[[#This Row],[Ind_Returnees]]+Locations[[#This Row],[Ind_Refugees]]+Locations[[#This Row],[Ind_IDPs]]</f>
        <v>32</v>
      </c>
    </row>
    <row r="103" spans="1:19" s="388" customFormat="1" x14ac:dyDescent="0.3">
      <c r="A103" s="5" t="s">
        <v>533</v>
      </c>
      <c r="B103" s="1430" t="s">
        <v>3449</v>
      </c>
      <c r="C103" s="398" t="s">
        <v>534</v>
      </c>
      <c r="D103" s="5" t="s">
        <v>31</v>
      </c>
      <c r="E103" s="5" t="s">
        <v>31</v>
      </c>
      <c r="F103" s="5" t="s">
        <v>549</v>
      </c>
      <c r="G103" s="5" t="s">
        <v>173</v>
      </c>
      <c r="H103" s="5" t="s">
        <v>173</v>
      </c>
      <c r="I103" s="5" t="s">
        <v>556</v>
      </c>
      <c r="J103" t="s">
        <v>824</v>
      </c>
      <c r="K103" s="5" t="s">
        <v>607</v>
      </c>
      <c r="L103" s="5"/>
      <c r="M103" s="387">
        <v>0</v>
      </c>
      <c r="N103" s="387">
        <v>0</v>
      </c>
      <c r="O103" s="387">
        <v>0</v>
      </c>
      <c r="P103" s="387">
        <v>0</v>
      </c>
      <c r="Q103" s="387">
        <v>0</v>
      </c>
      <c r="R103" s="387">
        <v>0</v>
      </c>
      <c r="S103" s="1174">
        <f>Locations[[#This Row],[Ind_Returnees]]+Locations[[#This Row],[Ind_Refugees]]+Locations[[#This Row],[Ind_IDPs]]</f>
        <v>0</v>
      </c>
    </row>
    <row r="104" spans="1:19" s="388" customFormat="1" x14ac:dyDescent="0.3">
      <c r="A104" s="5" t="s">
        <v>533</v>
      </c>
      <c r="B104" s="1430" t="s">
        <v>3449</v>
      </c>
      <c r="C104" s="398" t="s">
        <v>534</v>
      </c>
      <c r="D104" s="5" t="s">
        <v>31</v>
      </c>
      <c r="E104" s="5" t="s">
        <v>31</v>
      </c>
      <c r="F104" s="5" t="s">
        <v>549</v>
      </c>
      <c r="G104" s="5" t="s">
        <v>173</v>
      </c>
      <c r="H104" s="5" t="s">
        <v>173</v>
      </c>
      <c r="I104" s="5" t="s">
        <v>556</v>
      </c>
      <c r="J104" t="s">
        <v>606</v>
      </c>
      <c r="K104" s="5" t="s">
        <v>2264</v>
      </c>
      <c r="L104" s="5"/>
      <c r="M104" s="387">
        <v>0</v>
      </c>
      <c r="N104" s="387">
        <v>0</v>
      </c>
      <c r="O104" s="387">
        <v>0</v>
      </c>
      <c r="P104" s="387">
        <v>0</v>
      </c>
      <c r="Q104" s="387">
        <v>0</v>
      </c>
      <c r="R104" s="387">
        <v>0</v>
      </c>
      <c r="S104" s="1174">
        <f>Locations[[#This Row],[Ind_Returnees]]+Locations[[#This Row],[Ind_Refugees]]+Locations[[#This Row],[Ind_IDPs]]</f>
        <v>0</v>
      </c>
    </row>
    <row r="105" spans="1:19" s="388" customFormat="1" x14ac:dyDescent="0.3">
      <c r="A105" s="5" t="s">
        <v>533</v>
      </c>
      <c r="B105" s="1430" t="s">
        <v>3449</v>
      </c>
      <c r="C105" s="398" t="s">
        <v>534</v>
      </c>
      <c r="D105" s="5" t="s">
        <v>32</v>
      </c>
      <c r="E105" s="5" t="s">
        <v>32</v>
      </c>
      <c r="F105" s="5" t="s">
        <v>542</v>
      </c>
      <c r="G105" s="5" t="s">
        <v>178</v>
      </c>
      <c r="H105" s="5" t="s">
        <v>178</v>
      </c>
      <c r="I105" s="5" t="s">
        <v>543</v>
      </c>
      <c r="J105" t="s">
        <v>2251</v>
      </c>
      <c r="K105" s="5" t="s">
        <v>2252</v>
      </c>
      <c r="L105" s="5"/>
      <c r="M105" s="387">
        <v>0</v>
      </c>
      <c r="N105" s="387">
        <v>0</v>
      </c>
      <c r="O105" s="387">
        <v>0</v>
      </c>
      <c r="P105" s="387">
        <v>0</v>
      </c>
      <c r="Q105" s="387">
        <v>177</v>
      </c>
      <c r="R105" s="387">
        <v>2569</v>
      </c>
      <c r="S105" s="1174">
        <f>Locations[[#This Row],[Ind_Returnees]]+Locations[[#This Row],[Ind_Refugees]]+Locations[[#This Row],[Ind_IDPs]]</f>
        <v>2569</v>
      </c>
    </row>
    <row r="106" spans="1:19" s="388" customFormat="1" x14ac:dyDescent="0.3">
      <c r="A106" s="5" t="s">
        <v>533</v>
      </c>
      <c r="B106" s="1430" t="s">
        <v>3449</v>
      </c>
      <c r="C106" s="398" t="s">
        <v>534</v>
      </c>
      <c r="D106" s="5" t="s">
        <v>31</v>
      </c>
      <c r="E106" s="5" t="s">
        <v>31</v>
      </c>
      <c r="F106" s="5" t="s">
        <v>549</v>
      </c>
      <c r="G106" s="5" t="s">
        <v>171</v>
      </c>
      <c r="H106" s="5" t="s">
        <v>171</v>
      </c>
      <c r="I106" s="5" t="s">
        <v>634</v>
      </c>
      <c r="J106" t="s">
        <v>1242</v>
      </c>
      <c r="K106" s="5" t="s">
        <v>2633</v>
      </c>
      <c r="L106" s="5"/>
      <c r="M106" s="387">
        <v>0</v>
      </c>
      <c r="N106" s="387">
        <v>0</v>
      </c>
      <c r="O106" s="387">
        <v>0</v>
      </c>
      <c r="P106" s="387">
        <v>0</v>
      </c>
      <c r="Q106" s="387">
        <v>0</v>
      </c>
      <c r="R106" s="387">
        <v>0</v>
      </c>
      <c r="S106" s="1174">
        <f>Locations[[#This Row],[Ind_Returnees]]+Locations[[#This Row],[Ind_Refugees]]+Locations[[#This Row],[Ind_IDPs]]</f>
        <v>0</v>
      </c>
    </row>
    <row r="107" spans="1:19" s="388" customFormat="1" x14ac:dyDescent="0.3">
      <c r="A107" s="5" t="s">
        <v>533</v>
      </c>
      <c r="B107" s="1430" t="s">
        <v>3449</v>
      </c>
      <c r="C107" s="398" t="s">
        <v>534</v>
      </c>
      <c r="D107" s="5" t="s">
        <v>31</v>
      </c>
      <c r="E107" s="5" t="s">
        <v>31</v>
      </c>
      <c r="F107" s="5" t="s">
        <v>549</v>
      </c>
      <c r="G107" s="5" t="s">
        <v>171</v>
      </c>
      <c r="H107" s="5" t="s">
        <v>171</v>
      </c>
      <c r="I107" s="5" t="s">
        <v>634</v>
      </c>
      <c r="J107" t="s">
        <v>2590</v>
      </c>
      <c r="K107" s="5" t="s">
        <v>2591</v>
      </c>
      <c r="L107" s="5"/>
      <c r="M107" s="387">
        <v>0</v>
      </c>
      <c r="N107" s="387">
        <v>0</v>
      </c>
      <c r="O107" s="387">
        <v>0</v>
      </c>
      <c r="P107" s="387">
        <v>0</v>
      </c>
      <c r="Q107" s="387">
        <v>0</v>
      </c>
      <c r="R107" s="387">
        <v>0</v>
      </c>
      <c r="S107" s="1174">
        <f>Locations[[#This Row],[Ind_Returnees]]+Locations[[#This Row],[Ind_Refugees]]+Locations[[#This Row],[Ind_IDPs]]</f>
        <v>0</v>
      </c>
    </row>
    <row r="108" spans="1:19" s="388" customFormat="1" x14ac:dyDescent="0.3">
      <c r="A108" s="5" t="s">
        <v>533</v>
      </c>
      <c r="B108" s="1430" t="s">
        <v>3449</v>
      </c>
      <c r="C108" s="398" t="s">
        <v>534</v>
      </c>
      <c r="D108" s="5" t="s">
        <v>31</v>
      </c>
      <c r="E108" s="5" t="s">
        <v>31</v>
      </c>
      <c r="F108" s="5" t="s">
        <v>549</v>
      </c>
      <c r="G108" s="5" t="s">
        <v>169</v>
      </c>
      <c r="H108" s="5" t="s">
        <v>169</v>
      </c>
      <c r="I108" s="5" t="s">
        <v>673</v>
      </c>
      <c r="J108" t="s">
        <v>1474</v>
      </c>
      <c r="K108" s="5" t="s">
        <v>2569</v>
      </c>
      <c r="L108" s="5"/>
      <c r="M108" s="387">
        <v>0</v>
      </c>
      <c r="N108" s="387">
        <v>0</v>
      </c>
      <c r="O108" s="387">
        <v>2</v>
      </c>
      <c r="P108" s="387">
        <v>9</v>
      </c>
      <c r="Q108" s="387">
        <v>100</v>
      </c>
      <c r="R108" s="387">
        <v>491</v>
      </c>
      <c r="S108" s="1174">
        <f>Locations[[#This Row],[Ind_Returnees]]+Locations[[#This Row],[Ind_Refugees]]+Locations[[#This Row],[Ind_IDPs]]</f>
        <v>500</v>
      </c>
    </row>
    <row r="109" spans="1:19" s="388" customFormat="1" x14ac:dyDescent="0.3">
      <c r="A109" s="5" t="s">
        <v>533</v>
      </c>
      <c r="B109" s="1430" t="s">
        <v>3449</v>
      </c>
      <c r="C109" s="1090" t="s">
        <v>534</v>
      </c>
      <c r="D109" s="5" t="s">
        <v>31</v>
      </c>
      <c r="E109" s="5" t="s">
        <v>31</v>
      </c>
      <c r="F109" s="5" t="s">
        <v>549</v>
      </c>
      <c r="G109" s="5" t="s">
        <v>169</v>
      </c>
      <c r="H109" s="5" t="s">
        <v>169</v>
      </c>
      <c r="I109" s="5" t="s">
        <v>673</v>
      </c>
      <c r="J109" t="s">
        <v>2860</v>
      </c>
      <c r="K109" s="5" t="s">
        <v>2358</v>
      </c>
      <c r="L109" s="5"/>
      <c r="M109" s="387">
        <v>0</v>
      </c>
      <c r="N109" s="387">
        <v>0</v>
      </c>
      <c r="O109" s="387">
        <v>0</v>
      </c>
      <c r="P109" s="387">
        <v>0</v>
      </c>
      <c r="Q109" s="387">
        <v>68</v>
      </c>
      <c r="R109" s="387">
        <v>291</v>
      </c>
      <c r="S109" s="1174">
        <f>Locations[[#This Row],[Ind_Returnees]]+Locations[[#This Row],[Ind_Refugees]]+Locations[[#This Row],[Ind_IDPs]]</f>
        <v>291</v>
      </c>
    </row>
    <row r="110" spans="1:19" s="388" customFormat="1" x14ac:dyDescent="0.3">
      <c r="A110" s="5" t="s">
        <v>533</v>
      </c>
      <c r="B110" s="1430" t="s">
        <v>3449</v>
      </c>
      <c r="C110" s="398" t="s">
        <v>534</v>
      </c>
      <c r="D110" s="5" t="s">
        <v>31</v>
      </c>
      <c r="E110" s="5" t="s">
        <v>31</v>
      </c>
      <c r="F110" s="5" t="s">
        <v>549</v>
      </c>
      <c r="G110" s="5" t="s">
        <v>167</v>
      </c>
      <c r="H110" s="5" t="s">
        <v>167</v>
      </c>
      <c r="I110" s="5" t="s">
        <v>1113</v>
      </c>
      <c r="J110" t="s">
        <v>2085</v>
      </c>
      <c r="K110" s="5" t="s">
        <v>1949</v>
      </c>
      <c r="L110" s="5"/>
      <c r="M110" s="387">
        <v>10</v>
      </c>
      <c r="N110" s="387">
        <v>30</v>
      </c>
      <c r="O110" s="387">
        <v>15</v>
      </c>
      <c r="P110" s="387">
        <v>60</v>
      </c>
      <c r="Q110" s="387">
        <v>0</v>
      </c>
      <c r="R110" s="387">
        <v>0</v>
      </c>
      <c r="S110" s="1174">
        <f>Locations[[#This Row],[Ind_Returnees]]+Locations[[#This Row],[Ind_Refugees]]+Locations[[#This Row],[Ind_IDPs]]</f>
        <v>90</v>
      </c>
    </row>
    <row r="111" spans="1:19" s="388" customFormat="1" x14ac:dyDescent="0.3">
      <c r="A111" s="5" t="s">
        <v>533</v>
      </c>
      <c r="B111" s="1430" t="s">
        <v>3449</v>
      </c>
      <c r="C111" s="398" t="s">
        <v>534</v>
      </c>
      <c r="D111" s="5" t="s">
        <v>31</v>
      </c>
      <c r="E111" s="5" t="s">
        <v>31</v>
      </c>
      <c r="F111" s="5" t="s">
        <v>549</v>
      </c>
      <c r="G111" s="5" t="s">
        <v>170</v>
      </c>
      <c r="H111" s="5" t="s">
        <v>170</v>
      </c>
      <c r="I111" s="5" t="s">
        <v>866</v>
      </c>
      <c r="J111" t="s">
        <v>1704</v>
      </c>
      <c r="K111" s="5" t="s">
        <v>1705</v>
      </c>
      <c r="L111" s="5"/>
      <c r="M111" s="387">
        <v>683</v>
      </c>
      <c r="N111" s="387">
        <v>2420</v>
      </c>
      <c r="O111" s="387">
        <v>0</v>
      </c>
      <c r="P111" s="387">
        <v>0</v>
      </c>
      <c r="Q111" s="387">
        <v>0</v>
      </c>
      <c r="R111" s="387">
        <v>0</v>
      </c>
      <c r="S111" s="1174">
        <f>Locations[[#This Row],[Ind_Returnees]]+Locations[[#This Row],[Ind_Refugees]]+Locations[[#This Row],[Ind_IDPs]]</f>
        <v>2420</v>
      </c>
    </row>
    <row r="112" spans="1:19" s="388" customFormat="1" x14ac:dyDescent="0.3">
      <c r="A112" s="5" t="s">
        <v>533</v>
      </c>
      <c r="B112" s="1430" t="s">
        <v>3449</v>
      </c>
      <c r="C112" s="398" t="s">
        <v>534</v>
      </c>
      <c r="D112" s="5" t="s">
        <v>34</v>
      </c>
      <c r="E112" s="5" t="s">
        <v>34</v>
      </c>
      <c r="F112" s="5" t="s">
        <v>539</v>
      </c>
      <c r="G112" s="5" t="s">
        <v>187</v>
      </c>
      <c r="H112" s="5" t="s">
        <v>187</v>
      </c>
      <c r="I112" s="5" t="s">
        <v>951</v>
      </c>
      <c r="J112" t="s">
        <v>1240</v>
      </c>
      <c r="K112" s="5" t="s">
        <v>1241</v>
      </c>
      <c r="L112" s="5"/>
      <c r="M112" s="387">
        <v>744</v>
      </c>
      <c r="N112" s="387">
        <v>5458</v>
      </c>
      <c r="O112" s="387">
        <v>0</v>
      </c>
      <c r="P112" s="387">
        <v>0</v>
      </c>
      <c r="Q112" s="387">
        <v>1724</v>
      </c>
      <c r="R112" s="387">
        <v>12606</v>
      </c>
      <c r="S112" s="1174">
        <f>Locations[[#This Row],[Ind_Returnees]]+Locations[[#This Row],[Ind_Refugees]]+Locations[[#This Row],[Ind_IDPs]]</f>
        <v>18064</v>
      </c>
    </row>
    <row r="113" spans="1:19" s="388" customFormat="1" x14ac:dyDescent="0.3">
      <c r="A113" s="5" t="s">
        <v>533</v>
      </c>
      <c r="B113" s="1430" t="s">
        <v>3449</v>
      </c>
      <c r="C113" s="1090" t="s">
        <v>534</v>
      </c>
      <c r="D113" s="5" t="s">
        <v>31</v>
      </c>
      <c r="E113" s="5" t="s">
        <v>31</v>
      </c>
      <c r="F113" s="5" t="s">
        <v>549</v>
      </c>
      <c r="G113" s="5" t="s">
        <v>171</v>
      </c>
      <c r="H113" s="5" t="s">
        <v>171</v>
      </c>
      <c r="I113" s="5" t="s">
        <v>634</v>
      </c>
      <c r="J113" t="s">
        <v>1244</v>
      </c>
      <c r="K113" s="5" t="s">
        <v>1245</v>
      </c>
      <c r="L113" s="5"/>
      <c r="M113" s="387">
        <v>50</v>
      </c>
      <c r="N113" s="387">
        <v>210</v>
      </c>
      <c r="O113" s="387">
        <v>0</v>
      </c>
      <c r="P113" s="387">
        <v>0</v>
      </c>
      <c r="Q113" s="387">
        <v>0</v>
      </c>
      <c r="R113" s="387">
        <v>0</v>
      </c>
      <c r="S113" s="1174">
        <f>Locations[[#This Row],[Ind_Returnees]]+Locations[[#This Row],[Ind_Refugees]]+Locations[[#This Row],[Ind_IDPs]]</f>
        <v>210</v>
      </c>
    </row>
    <row r="114" spans="1:19" s="388" customFormat="1" x14ac:dyDescent="0.3">
      <c r="A114" s="5" t="s">
        <v>533</v>
      </c>
      <c r="B114" s="1430" t="s">
        <v>3449</v>
      </c>
      <c r="C114" s="1090" t="s">
        <v>534</v>
      </c>
      <c r="D114" s="5" t="s">
        <v>31</v>
      </c>
      <c r="E114" s="5" t="s">
        <v>31</v>
      </c>
      <c r="F114" s="5" t="s">
        <v>549</v>
      </c>
      <c r="G114" s="5" t="s">
        <v>171</v>
      </c>
      <c r="H114" s="5" t="s">
        <v>171</v>
      </c>
      <c r="I114" s="5" t="s">
        <v>634</v>
      </c>
      <c r="J114" t="s">
        <v>1250</v>
      </c>
      <c r="K114" s="5" t="s">
        <v>1251</v>
      </c>
      <c r="L114" s="5"/>
      <c r="M114" s="387">
        <v>11</v>
      </c>
      <c r="N114" s="387">
        <v>53</v>
      </c>
      <c r="O114" s="387">
        <v>2</v>
      </c>
      <c r="P114" s="387">
        <v>13</v>
      </c>
      <c r="Q114" s="387">
        <v>0</v>
      </c>
      <c r="R114" s="387">
        <v>0</v>
      </c>
      <c r="S114" s="1174">
        <f>Locations[[#This Row],[Ind_Returnees]]+Locations[[#This Row],[Ind_Refugees]]+Locations[[#This Row],[Ind_IDPs]]</f>
        <v>66</v>
      </c>
    </row>
    <row r="115" spans="1:19" s="388" customFormat="1" x14ac:dyDescent="0.3">
      <c r="A115" s="5" t="s">
        <v>533</v>
      </c>
      <c r="B115" s="1430" t="s">
        <v>3449</v>
      </c>
      <c r="C115" s="398" t="s">
        <v>534</v>
      </c>
      <c r="D115" s="5" t="s">
        <v>31</v>
      </c>
      <c r="E115" s="5" t="s">
        <v>31</v>
      </c>
      <c r="F115" s="5" t="s">
        <v>549</v>
      </c>
      <c r="G115" s="5" t="s">
        <v>167</v>
      </c>
      <c r="H115" s="5" t="s">
        <v>167</v>
      </c>
      <c r="I115" s="5" t="s">
        <v>1113</v>
      </c>
      <c r="J115" t="s">
        <v>2052</v>
      </c>
      <c r="K115" s="5" t="s">
        <v>2053</v>
      </c>
      <c r="L115" s="5"/>
      <c r="M115" s="387">
        <v>50</v>
      </c>
      <c r="N115" s="387">
        <v>50</v>
      </c>
      <c r="O115" s="387">
        <v>0</v>
      </c>
      <c r="P115" s="387">
        <v>0</v>
      </c>
      <c r="Q115" s="387">
        <v>0</v>
      </c>
      <c r="R115" s="387">
        <v>0</v>
      </c>
      <c r="S115" s="1174">
        <f>Locations[[#This Row],[Ind_Returnees]]+Locations[[#This Row],[Ind_Refugees]]+Locations[[#This Row],[Ind_IDPs]]</f>
        <v>50</v>
      </c>
    </row>
    <row r="116" spans="1:19" s="388" customFormat="1" x14ac:dyDescent="0.3">
      <c r="A116" s="5" t="s">
        <v>533</v>
      </c>
      <c r="B116" s="1430" t="s">
        <v>3449</v>
      </c>
      <c r="C116" s="398" t="s">
        <v>534</v>
      </c>
      <c r="D116" s="5" t="s">
        <v>31</v>
      </c>
      <c r="E116" s="5" t="s">
        <v>31</v>
      </c>
      <c r="F116" s="5" t="s">
        <v>549</v>
      </c>
      <c r="G116" s="5" t="s">
        <v>167</v>
      </c>
      <c r="H116" s="5" t="s">
        <v>167</v>
      </c>
      <c r="I116" s="5" t="s">
        <v>1113</v>
      </c>
      <c r="J116" t="s">
        <v>1910</v>
      </c>
      <c r="K116" s="5" t="s">
        <v>2048</v>
      </c>
      <c r="L116" s="5"/>
      <c r="M116" s="387">
        <v>11</v>
      </c>
      <c r="N116" s="387">
        <v>50</v>
      </c>
      <c r="O116" s="387">
        <v>9</v>
      </c>
      <c r="P116" s="387">
        <v>40</v>
      </c>
      <c r="Q116" s="387">
        <v>0</v>
      </c>
      <c r="R116" s="387">
        <v>0</v>
      </c>
      <c r="S116" s="1174">
        <f>Locations[[#This Row],[Ind_Returnees]]+Locations[[#This Row],[Ind_Refugees]]+Locations[[#This Row],[Ind_IDPs]]</f>
        <v>90</v>
      </c>
    </row>
    <row r="117" spans="1:19" s="388" customFormat="1" x14ac:dyDescent="0.3">
      <c r="A117" s="5" t="s">
        <v>533</v>
      </c>
      <c r="B117" s="1430" t="s">
        <v>3449</v>
      </c>
      <c r="C117" s="1090" t="s">
        <v>534</v>
      </c>
      <c r="D117" s="5" t="s">
        <v>31</v>
      </c>
      <c r="E117" s="5" t="s">
        <v>31</v>
      </c>
      <c r="F117" s="5" t="s">
        <v>549</v>
      </c>
      <c r="G117" s="5" t="s">
        <v>167</v>
      </c>
      <c r="H117" s="5" t="s">
        <v>167</v>
      </c>
      <c r="I117" s="5" t="s">
        <v>1113</v>
      </c>
      <c r="J117" t="s">
        <v>2185</v>
      </c>
      <c r="K117" s="5" t="s">
        <v>2056</v>
      </c>
      <c r="L117" s="5"/>
      <c r="M117" s="387">
        <v>0</v>
      </c>
      <c r="N117" s="387">
        <v>0</v>
      </c>
      <c r="O117" s="387">
        <v>0</v>
      </c>
      <c r="P117" s="387">
        <v>0</v>
      </c>
      <c r="Q117" s="387">
        <v>0</v>
      </c>
      <c r="R117" s="387">
        <v>0</v>
      </c>
      <c r="S117" s="1174">
        <f>Locations[[#This Row],[Ind_Returnees]]+Locations[[#This Row],[Ind_Refugees]]+Locations[[#This Row],[Ind_IDPs]]</f>
        <v>0</v>
      </c>
    </row>
    <row r="118" spans="1:19" s="388" customFormat="1" x14ac:dyDescent="0.3">
      <c r="A118" s="5" t="s">
        <v>533</v>
      </c>
      <c r="B118" s="1430" t="s">
        <v>3449</v>
      </c>
      <c r="C118" s="1090" t="s">
        <v>534</v>
      </c>
      <c r="D118" s="5" t="s">
        <v>31</v>
      </c>
      <c r="E118" s="5" t="s">
        <v>31</v>
      </c>
      <c r="F118" s="5" t="s">
        <v>549</v>
      </c>
      <c r="G118" s="5" t="s">
        <v>167</v>
      </c>
      <c r="H118" s="5" t="s">
        <v>167</v>
      </c>
      <c r="I118" s="5" t="s">
        <v>1113</v>
      </c>
      <c r="J118" t="s">
        <v>2899</v>
      </c>
      <c r="K118" s="5" t="s">
        <v>1935</v>
      </c>
      <c r="L118" s="5"/>
      <c r="M118" s="387">
        <v>0</v>
      </c>
      <c r="N118" s="387">
        <v>0</v>
      </c>
      <c r="O118" s="387">
        <v>0</v>
      </c>
      <c r="P118" s="387">
        <v>0</v>
      </c>
      <c r="Q118" s="387">
        <v>0</v>
      </c>
      <c r="R118" s="387">
        <v>0</v>
      </c>
      <c r="S118" s="1174">
        <f>Locations[[#This Row],[Ind_Returnees]]+Locations[[#This Row],[Ind_Refugees]]+Locations[[#This Row],[Ind_IDPs]]</f>
        <v>0</v>
      </c>
    </row>
    <row r="119" spans="1:19" s="388" customFormat="1" x14ac:dyDescent="0.3">
      <c r="A119" s="5" t="s">
        <v>533</v>
      </c>
      <c r="B119" s="1430" t="s">
        <v>3449</v>
      </c>
      <c r="C119" s="1090" t="s">
        <v>534</v>
      </c>
      <c r="D119" s="5" t="s">
        <v>31</v>
      </c>
      <c r="E119" s="5" t="s">
        <v>31</v>
      </c>
      <c r="F119" s="5" t="s">
        <v>549</v>
      </c>
      <c r="G119" s="5" t="s">
        <v>167</v>
      </c>
      <c r="H119" s="5" t="s">
        <v>167</v>
      </c>
      <c r="I119" s="5" t="s">
        <v>1113</v>
      </c>
      <c r="J119" t="s">
        <v>2804</v>
      </c>
      <c r="K119" s="5" t="s">
        <v>1936</v>
      </c>
      <c r="L119" s="5"/>
      <c r="M119" s="387">
        <v>0</v>
      </c>
      <c r="N119" s="387">
        <v>0</v>
      </c>
      <c r="O119" s="387">
        <v>0</v>
      </c>
      <c r="P119" s="387">
        <v>0</v>
      </c>
      <c r="Q119" s="387">
        <v>0</v>
      </c>
      <c r="R119" s="387">
        <v>0</v>
      </c>
      <c r="S119" s="1174">
        <f>Locations[[#This Row],[Ind_Returnees]]+Locations[[#This Row],[Ind_Refugees]]+Locations[[#This Row],[Ind_IDPs]]</f>
        <v>0</v>
      </c>
    </row>
    <row r="120" spans="1:19" s="388" customFormat="1" x14ac:dyDescent="0.3">
      <c r="A120" s="5" t="s">
        <v>533</v>
      </c>
      <c r="B120" s="1430" t="s">
        <v>3449</v>
      </c>
      <c r="C120" s="1090" t="s">
        <v>534</v>
      </c>
      <c r="D120" s="5" t="s">
        <v>31</v>
      </c>
      <c r="E120" s="5" t="s">
        <v>31</v>
      </c>
      <c r="F120" s="5" t="s">
        <v>549</v>
      </c>
      <c r="G120" s="5" t="s">
        <v>167</v>
      </c>
      <c r="H120" s="5" t="s">
        <v>167</v>
      </c>
      <c r="I120" s="5" t="s">
        <v>1113</v>
      </c>
      <c r="J120" t="s">
        <v>2805</v>
      </c>
      <c r="K120" s="5" t="s">
        <v>2057</v>
      </c>
      <c r="L120" s="5"/>
      <c r="M120" s="387">
        <v>0</v>
      </c>
      <c r="N120" s="387">
        <v>0</v>
      </c>
      <c r="O120" s="387">
        <v>1</v>
      </c>
      <c r="P120" s="387">
        <v>2</v>
      </c>
      <c r="Q120" s="387">
        <v>0</v>
      </c>
      <c r="R120" s="387">
        <v>0</v>
      </c>
      <c r="S120" s="1174">
        <f>Locations[[#This Row],[Ind_Returnees]]+Locations[[#This Row],[Ind_Refugees]]+Locations[[#This Row],[Ind_IDPs]]</f>
        <v>2</v>
      </c>
    </row>
    <row r="121" spans="1:19" s="388" customFormat="1" x14ac:dyDescent="0.3">
      <c r="A121" s="5" t="s">
        <v>533</v>
      </c>
      <c r="B121" s="1430" t="s">
        <v>3449</v>
      </c>
      <c r="C121" s="398" t="s">
        <v>534</v>
      </c>
      <c r="D121" s="5" t="s">
        <v>31</v>
      </c>
      <c r="E121" s="5" t="s">
        <v>31</v>
      </c>
      <c r="F121" s="5" t="s">
        <v>549</v>
      </c>
      <c r="G121" s="5" t="s">
        <v>167</v>
      </c>
      <c r="H121" s="5" t="s">
        <v>167</v>
      </c>
      <c r="I121" s="5" t="s">
        <v>1113</v>
      </c>
      <c r="J121" t="s">
        <v>2806</v>
      </c>
      <c r="K121" s="5" t="s">
        <v>1874</v>
      </c>
      <c r="L121" s="5"/>
      <c r="M121" s="387">
        <v>0</v>
      </c>
      <c r="N121" s="387">
        <v>0</v>
      </c>
      <c r="O121" s="387">
        <v>0</v>
      </c>
      <c r="P121" s="387">
        <v>0</v>
      </c>
      <c r="Q121" s="387">
        <v>0</v>
      </c>
      <c r="R121" s="387">
        <v>0</v>
      </c>
      <c r="S121" s="1174">
        <f>Locations[[#This Row],[Ind_Returnees]]+Locations[[#This Row],[Ind_Refugees]]+Locations[[#This Row],[Ind_IDPs]]</f>
        <v>0</v>
      </c>
    </row>
    <row r="122" spans="1:19" s="388" customFormat="1" x14ac:dyDescent="0.3">
      <c r="A122" s="5" t="s">
        <v>533</v>
      </c>
      <c r="B122" s="1430" t="s">
        <v>3449</v>
      </c>
      <c r="C122" s="1090" t="s">
        <v>534</v>
      </c>
      <c r="D122" s="5" t="s">
        <v>31</v>
      </c>
      <c r="E122" s="5" t="s">
        <v>31</v>
      </c>
      <c r="F122" s="5" t="s">
        <v>549</v>
      </c>
      <c r="G122" s="5" t="s">
        <v>169</v>
      </c>
      <c r="H122" s="5" t="s">
        <v>169</v>
      </c>
      <c r="I122" s="5" t="s">
        <v>673</v>
      </c>
      <c r="J122" t="s">
        <v>2833</v>
      </c>
      <c r="K122" s="5" t="s">
        <v>2353</v>
      </c>
      <c r="L122" s="5"/>
      <c r="M122" s="387">
        <v>0</v>
      </c>
      <c r="N122" s="387">
        <v>0</v>
      </c>
      <c r="O122" s="387">
        <v>0</v>
      </c>
      <c r="P122" s="387">
        <v>0</v>
      </c>
      <c r="Q122" s="387">
        <v>13</v>
      </c>
      <c r="R122" s="387">
        <v>72</v>
      </c>
      <c r="S122" s="1174">
        <f>Locations[[#This Row],[Ind_Returnees]]+Locations[[#This Row],[Ind_Refugees]]+Locations[[#This Row],[Ind_IDPs]]</f>
        <v>72</v>
      </c>
    </row>
    <row r="123" spans="1:19" s="388" customFormat="1" x14ac:dyDescent="0.3">
      <c r="A123" s="5" t="s">
        <v>533</v>
      </c>
      <c r="B123" s="1430" t="s">
        <v>3449</v>
      </c>
      <c r="C123" s="398" t="s">
        <v>534</v>
      </c>
      <c r="D123" s="5" t="s">
        <v>31</v>
      </c>
      <c r="E123" s="5" t="s">
        <v>31</v>
      </c>
      <c r="F123" s="5" t="s">
        <v>549</v>
      </c>
      <c r="G123" s="5" t="s">
        <v>169</v>
      </c>
      <c r="H123" s="5" t="s">
        <v>169</v>
      </c>
      <c r="I123" s="5" t="s">
        <v>673</v>
      </c>
      <c r="J123" t="s">
        <v>814</v>
      </c>
      <c r="K123" s="5" t="s">
        <v>1553</v>
      </c>
      <c r="L123" s="5"/>
      <c r="M123" s="387">
        <v>85</v>
      </c>
      <c r="N123" s="387">
        <v>242</v>
      </c>
      <c r="O123" s="387">
        <v>0</v>
      </c>
      <c r="P123" s="387">
        <v>0</v>
      </c>
      <c r="Q123" s="387">
        <v>45</v>
      </c>
      <c r="R123" s="387">
        <v>150</v>
      </c>
      <c r="S123" s="1174">
        <f>Locations[[#This Row],[Ind_Returnees]]+Locations[[#This Row],[Ind_Refugees]]+Locations[[#This Row],[Ind_IDPs]]</f>
        <v>392</v>
      </c>
    </row>
    <row r="124" spans="1:19" s="388" customFormat="1" x14ac:dyDescent="0.3">
      <c r="A124" s="5" t="s">
        <v>533</v>
      </c>
      <c r="B124" s="1430" t="s">
        <v>3449</v>
      </c>
      <c r="C124" s="398" t="s">
        <v>534</v>
      </c>
      <c r="D124" s="5" t="s">
        <v>31</v>
      </c>
      <c r="E124" s="5" t="s">
        <v>31</v>
      </c>
      <c r="F124" s="5" t="s">
        <v>549</v>
      </c>
      <c r="G124" s="5" t="s">
        <v>171</v>
      </c>
      <c r="H124" s="5" t="s">
        <v>171</v>
      </c>
      <c r="I124" s="5" t="s">
        <v>634</v>
      </c>
      <c r="J124" t="s">
        <v>856</v>
      </c>
      <c r="K124" s="5" t="s">
        <v>857</v>
      </c>
      <c r="L124" s="5"/>
      <c r="M124" s="387">
        <v>66</v>
      </c>
      <c r="N124" s="387">
        <v>552</v>
      </c>
      <c r="O124" s="387">
        <v>0</v>
      </c>
      <c r="P124" s="387">
        <v>0</v>
      </c>
      <c r="Q124" s="387">
        <v>0</v>
      </c>
      <c r="R124" s="387">
        <v>0</v>
      </c>
      <c r="S124" s="1174">
        <f>Locations[[#This Row],[Ind_Returnees]]+Locations[[#This Row],[Ind_Refugees]]+Locations[[#This Row],[Ind_IDPs]]</f>
        <v>552</v>
      </c>
    </row>
    <row r="125" spans="1:19" s="388" customFormat="1" x14ac:dyDescent="0.3">
      <c r="A125" s="5" t="s">
        <v>533</v>
      </c>
      <c r="B125" s="1430" t="s">
        <v>3449</v>
      </c>
      <c r="C125" s="398" t="s">
        <v>534</v>
      </c>
      <c r="D125" s="5" t="s">
        <v>31</v>
      </c>
      <c r="E125" s="5" t="s">
        <v>31</v>
      </c>
      <c r="F125" s="5" t="s">
        <v>549</v>
      </c>
      <c r="G125" s="5" t="s">
        <v>171</v>
      </c>
      <c r="H125" s="5" t="s">
        <v>171</v>
      </c>
      <c r="I125" s="5" t="s">
        <v>634</v>
      </c>
      <c r="J125" t="s">
        <v>861</v>
      </c>
      <c r="K125" s="5" t="s">
        <v>862</v>
      </c>
      <c r="L125" s="5"/>
      <c r="M125" s="387">
        <v>10</v>
      </c>
      <c r="N125" s="387">
        <v>69</v>
      </c>
      <c r="O125" s="387">
        <v>0</v>
      </c>
      <c r="P125" s="387">
        <v>0</v>
      </c>
      <c r="Q125" s="387">
        <v>0</v>
      </c>
      <c r="R125" s="387">
        <v>0</v>
      </c>
      <c r="S125" s="1174">
        <f>Locations[[#This Row],[Ind_Returnees]]+Locations[[#This Row],[Ind_Refugees]]+Locations[[#This Row],[Ind_IDPs]]</f>
        <v>69</v>
      </c>
    </row>
    <row r="126" spans="1:19" s="388" customFormat="1" x14ac:dyDescent="0.3">
      <c r="A126" s="5" t="s">
        <v>533</v>
      </c>
      <c r="B126" s="1430" t="s">
        <v>3449</v>
      </c>
      <c r="C126" s="1090" t="s">
        <v>534</v>
      </c>
      <c r="D126" s="5" t="s">
        <v>31</v>
      </c>
      <c r="E126" s="5" t="s">
        <v>31</v>
      </c>
      <c r="F126" s="5" t="s">
        <v>549</v>
      </c>
      <c r="G126" s="5" t="s">
        <v>171</v>
      </c>
      <c r="H126" s="5" t="s">
        <v>171</v>
      </c>
      <c r="I126" s="5" t="s">
        <v>634</v>
      </c>
      <c r="J126" t="s">
        <v>1997</v>
      </c>
      <c r="K126" s="5" t="s">
        <v>892</v>
      </c>
      <c r="L126" s="5"/>
      <c r="M126" s="387">
        <v>5</v>
      </c>
      <c r="N126" s="387">
        <v>31</v>
      </c>
      <c r="O126" s="387">
        <v>0</v>
      </c>
      <c r="P126" s="387">
        <v>0</v>
      </c>
      <c r="Q126" s="387">
        <v>0</v>
      </c>
      <c r="R126" s="387">
        <v>0</v>
      </c>
      <c r="S126" s="1174">
        <f>Locations[[#This Row],[Ind_Returnees]]+Locations[[#This Row],[Ind_Refugees]]+Locations[[#This Row],[Ind_IDPs]]</f>
        <v>31</v>
      </c>
    </row>
    <row r="127" spans="1:19" s="388" customFormat="1" x14ac:dyDescent="0.3">
      <c r="A127" s="5" t="s">
        <v>533</v>
      </c>
      <c r="B127" s="1430" t="s">
        <v>3449</v>
      </c>
      <c r="C127" s="1090" t="s">
        <v>534</v>
      </c>
      <c r="D127" s="5" t="s">
        <v>31</v>
      </c>
      <c r="E127" s="5" t="s">
        <v>31</v>
      </c>
      <c r="F127" s="5" t="s">
        <v>549</v>
      </c>
      <c r="G127" s="5" t="s">
        <v>171</v>
      </c>
      <c r="H127" s="5" t="s">
        <v>171</v>
      </c>
      <c r="I127" s="5" t="s">
        <v>634</v>
      </c>
      <c r="J127" t="s">
        <v>802</v>
      </c>
      <c r="K127" s="5" t="s">
        <v>1243</v>
      </c>
      <c r="L127" s="5"/>
      <c r="M127" s="387">
        <v>6</v>
      </c>
      <c r="N127" s="387">
        <v>31</v>
      </c>
      <c r="O127" s="387">
        <v>0</v>
      </c>
      <c r="P127" s="387">
        <v>0</v>
      </c>
      <c r="Q127" s="387">
        <v>0</v>
      </c>
      <c r="R127" s="387">
        <v>0</v>
      </c>
      <c r="S127" s="1174">
        <f>Locations[[#This Row],[Ind_Returnees]]+Locations[[#This Row],[Ind_Refugees]]+Locations[[#This Row],[Ind_IDPs]]</f>
        <v>31</v>
      </c>
    </row>
    <row r="128" spans="1:19" s="388" customFormat="1" x14ac:dyDescent="0.3">
      <c r="A128" s="5" t="s">
        <v>533</v>
      </c>
      <c r="B128" s="1430" t="s">
        <v>3449</v>
      </c>
      <c r="C128" s="1090" t="s">
        <v>534</v>
      </c>
      <c r="D128" s="5" t="s">
        <v>31</v>
      </c>
      <c r="E128" s="5" t="s">
        <v>31</v>
      </c>
      <c r="F128" s="5" t="s">
        <v>549</v>
      </c>
      <c r="G128" s="5" t="s">
        <v>171</v>
      </c>
      <c r="H128" s="5" t="s">
        <v>171</v>
      </c>
      <c r="I128" s="5" t="s">
        <v>634</v>
      </c>
      <c r="J128" t="s">
        <v>2809</v>
      </c>
      <c r="K128" s="5" t="s">
        <v>878</v>
      </c>
      <c r="L128" s="5"/>
      <c r="M128" s="387">
        <v>10</v>
      </c>
      <c r="N128" s="387">
        <v>96</v>
      </c>
      <c r="O128" s="387">
        <v>1</v>
      </c>
      <c r="P128" s="387">
        <v>6</v>
      </c>
      <c r="Q128" s="387">
        <v>0</v>
      </c>
      <c r="R128" s="387">
        <v>0</v>
      </c>
      <c r="S128" s="1174">
        <f>Locations[[#This Row],[Ind_Returnees]]+Locations[[#This Row],[Ind_Refugees]]+Locations[[#This Row],[Ind_IDPs]]</f>
        <v>102</v>
      </c>
    </row>
    <row r="129" spans="1:19" s="388" customFormat="1" x14ac:dyDescent="0.3">
      <c r="A129" s="5" t="s">
        <v>533</v>
      </c>
      <c r="B129" s="1430" t="s">
        <v>3449</v>
      </c>
      <c r="C129" s="398" t="s">
        <v>534</v>
      </c>
      <c r="D129" s="5" t="s">
        <v>31</v>
      </c>
      <c r="E129" s="5" t="s">
        <v>31</v>
      </c>
      <c r="F129" s="5" t="s">
        <v>549</v>
      </c>
      <c r="G129" s="5" t="s">
        <v>171</v>
      </c>
      <c r="H129" s="5" t="s">
        <v>171</v>
      </c>
      <c r="I129" s="5" t="s">
        <v>634</v>
      </c>
      <c r="J129" t="s">
        <v>1716</v>
      </c>
      <c r="K129" s="5" t="s">
        <v>2213</v>
      </c>
      <c r="L129" s="5"/>
      <c r="M129" s="387">
        <v>0</v>
      </c>
      <c r="N129" s="387">
        <v>0</v>
      </c>
      <c r="O129" s="387">
        <v>22</v>
      </c>
      <c r="P129" s="387">
        <v>180</v>
      </c>
      <c r="Q129" s="387">
        <v>0</v>
      </c>
      <c r="R129" s="387">
        <v>0</v>
      </c>
      <c r="S129" s="1174">
        <f>Locations[[#This Row],[Ind_Returnees]]+Locations[[#This Row],[Ind_Refugees]]+Locations[[#This Row],[Ind_IDPs]]</f>
        <v>180</v>
      </c>
    </row>
    <row r="130" spans="1:19" s="388" customFormat="1" x14ac:dyDescent="0.3">
      <c r="A130" s="5" t="s">
        <v>533</v>
      </c>
      <c r="B130" s="1430" t="s">
        <v>3449</v>
      </c>
      <c r="C130" s="1090" t="s">
        <v>534</v>
      </c>
      <c r="D130" s="5" t="s">
        <v>34</v>
      </c>
      <c r="E130" s="5" t="s">
        <v>34</v>
      </c>
      <c r="F130" s="5" t="s">
        <v>539</v>
      </c>
      <c r="G130" s="5" t="s">
        <v>188</v>
      </c>
      <c r="H130" s="5" t="s">
        <v>188</v>
      </c>
      <c r="I130" s="5" t="s">
        <v>546</v>
      </c>
      <c r="J130" t="s">
        <v>1683</v>
      </c>
      <c r="K130" s="5" t="s">
        <v>1684</v>
      </c>
      <c r="L130" s="5"/>
      <c r="M130" s="387">
        <v>285</v>
      </c>
      <c r="N130" s="387">
        <v>1444</v>
      </c>
      <c r="O130" s="387">
        <v>0</v>
      </c>
      <c r="P130" s="387">
        <v>0</v>
      </c>
      <c r="Q130" s="387">
        <v>0</v>
      </c>
      <c r="R130" s="387">
        <v>0</v>
      </c>
      <c r="S130" s="1174">
        <f>Locations[[#This Row],[Ind_Returnees]]+Locations[[#This Row],[Ind_Refugees]]+Locations[[#This Row],[Ind_IDPs]]</f>
        <v>1444</v>
      </c>
    </row>
    <row r="131" spans="1:19" s="388" customFormat="1" x14ac:dyDescent="0.3">
      <c r="A131" s="5" t="s">
        <v>533</v>
      </c>
      <c r="B131" s="1430" t="s">
        <v>3449</v>
      </c>
      <c r="C131" s="398" t="s">
        <v>534</v>
      </c>
      <c r="D131" s="5" t="s">
        <v>31</v>
      </c>
      <c r="E131" s="5" t="s">
        <v>31</v>
      </c>
      <c r="F131" s="5" t="s">
        <v>549</v>
      </c>
      <c r="G131" s="5" t="s">
        <v>171</v>
      </c>
      <c r="H131" s="5" t="s">
        <v>171</v>
      </c>
      <c r="I131" s="5" t="s">
        <v>634</v>
      </c>
      <c r="J131" t="s">
        <v>2810</v>
      </c>
      <c r="K131" s="5" t="s">
        <v>2013</v>
      </c>
      <c r="L131" s="5"/>
      <c r="M131" s="387">
        <v>9</v>
      </c>
      <c r="N131" s="387">
        <v>43</v>
      </c>
      <c r="O131" s="387">
        <v>0</v>
      </c>
      <c r="P131" s="387">
        <v>0</v>
      </c>
      <c r="Q131" s="387">
        <v>0</v>
      </c>
      <c r="R131" s="387">
        <v>0</v>
      </c>
      <c r="S131" s="1174">
        <f>Locations[[#This Row],[Ind_Returnees]]+Locations[[#This Row],[Ind_Refugees]]+Locations[[#This Row],[Ind_IDPs]]</f>
        <v>43</v>
      </c>
    </row>
    <row r="132" spans="1:19" s="388" customFormat="1" x14ac:dyDescent="0.3">
      <c r="A132" s="5" t="s">
        <v>533</v>
      </c>
      <c r="B132" s="1430" t="s">
        <v>3449</v>
      </c>
      <c r="C132" s="398" t="s">
        <v>534</v>
      </c>
      <c r="D132" s="5" t="s">
        <v>31</v>
      </c>
      <c r="E132" s="5" t="s">
        <v>31</v>
      </c>
      <c r="F132" s="5" t="s">
        <v>549</v>
      </c>
      <c r="G132" s="5" t="s">
        <v>166</v>
      </c>
      <c r="H132" s="5" t="s">
        <v>166</v>
      </c>
      <c r="I132" s="5" t="s">
        <v>844</v>
      </c>
      <c r="J132" t="s">
        <v>1224</v>
      </c>
      <c r="K132" s="5" t="s">
        <v>1225</v>
      </c>
      <c r="L132" s="5"/>
      <c r="M132" s="387">
        <v>22</v>
      </c>
      <c r="N132" s="387">
        <v>158</v>
      </c>
      <c r="O132" s="387">
        <v>24</v>
      </c>
      <c r="P132" s="387">
        <v>160</v>
      </c>
      <c r="Q132" s="387">
        <v>73</v>
      </c>
      <c r="R132" s="387">
        <v>565</v>
      </c>
      <c r="S132" s="1174">
        <f>Locations[[#This Row],[Ind_Returnees]]+Locations[[#This Row],[Ind_Refugees]]+Locations[[#This Row],[Ind_IDPs]]</f>
        <v>883</v>
      </c>
    </row>
    <row r="133" spans="1:19" s="388" customFormat="1" x14ac:dyDescent="0.3">
      <c r="A133" s="5" t="s">
        <v>533</v>
      </c>
      <c r="B133" s="1430" t="s">
        <v>3449</v>
      </c>
      <c r="C133" s="398" t="s">
        <v>534</v>
      </c>
      <c r="D133" s="5" t="s">
        <v>31</v>
      </c>
      <c r="E133" s="5" t="s">
        <v>31</v>
      </c>
      <c r="F133" s="5" t="s">
        <v>549</v>
      </c>
      <c r="G133" s="5" t="s">
        <v>171</v>
      </c>
      <c r="H133" s="5" t="s">
        <v>171</v>
      </c>
      <c r="I133" s="5" t="s">
        <v>634</v>
      </c>
      <c r="J133" t="s">
        <v>1155</v>
      </c>
      <c r="K133" s="5" t="s">
        <v>1156</v>
      </c>
      <c r="L133" s="5"/>
      <c r="M133" s="387">
        <v>5</v>
      </c>
      <c r="N133" s="387">
        <v>22</v>
      </c>
      <c r="O133" s="387">
        <v>10</v>
      </c>
      <c r="P133" s="387">
        <v>40</v>
      </c>
      <c r="Q133" s="387">
        <v>0</v>
      </c>
      <c r="R133" s="387">
        <v>0</v>
      </c>
      <c r="S133" s="1174">
        <f>Locations[[#This Row],[Ind_Returnees]]+Locations[[#This Row],[Ind_Refugees]]+Locations[[#This Row],[Ind_IDPs]]</f>
        <v>62</v>
      </c>
    </row>
    <row r="134" spans="1:19" s="388" customFormat="1" x14ac:dyDescent="0.3">
      <c r="A134" s="5" t="s">
        <v>533</v>
      </c>
      <c r="B134" s="1430" t="s">
        <v>3449</v>
      </c>
      <c r="C134" s="1090" t="s">
        <v>534</v>
      </c>
      <c r="D134" s="5" t="s">
        <v>31</v>
      </c>
      <c r="E134" s="5" t="s">
        <v>31</v>
      </c>
      <c r="F134" s="5" t="s">
        <v>549</v>
      </c>
      <c r="G134" s="5" t="s">
        <v>164</v>
      </c>
      <c r="H134" s="5" t="s">
        <v>164</v>
      </c>
      <c r="I134" s="5" t="s">
        <v>748</v>
      </c>
      <c r="J134" t="s">
        <v>909</v>
      </c>
      <c r="K134" s="5" t="s">
        <v>910</v>
      </c>
      <c r="L134" s="5"/>
      <c r="M134" s="387">
        <v>14</v>
      </c>
      <c r="N134" s="387">
        <v>38</v>
      </c>
      <c r="O134" s="387">
        <v>1</v>
      </c>
      <c r="P134" s="387">
        <v>4</v>
      </c>
      <c r="Q134" s="387">
        <v>0</v>
      </c>
      <c r="R134" s="387">
        <v>0</v>
      </c>
      <c r="S134" s="1174">
        <f>Locations[[#This Row],[Ind_Returnees]]+Locations[[#This Row],[Ind_Refugees]]+Locations[[#This Row],[Ind_IDPs]]</f>
        <v>42</v>
      </c>
    </row>
    <row r="135" spans="1:19" s="388" customFormat="1" x14ac:dyDescent="0.3">
      <c r="A135" s="5" t="s">
        <v>533</v>
      </c>
      <c r="B135" s="1430" t="s">
        <v>3449</v>
      </c>
      <c r="C135" s="398" t="s">
        <v>534</v>
      </c>
      <c r="D135" s="5" t="s">
        <v>31</v>
      </c>
      <c r="E135" s="5" t="s">
        <v>31</v>
      </c>
      <c r="F135" s="5" t="s">
        <v>549</v>
      </c>
      <c r="G135" s="5" t="s">
        <v>167</v>
      </c>
      <c r="H135" s="5" t="s">
        <v>167</v>
      </c>
      <c r="I135" s="5" t="s">
        <v>1113</v>
      </c>
      <c r="J135" t="s">
        <v>2121</v>
      </c>
      <c r="K135" s="5" t="s">
        <v>910</v>
      </c>
      <c r="L135" s="5"/>
      <c r="M135" s="387">
        <v>52</v>
      </c>
      <c r="N135" s="387">
        <v>300</v>
      </c>
      <c r="O135" s="387">
        <v>0</v>
      </c>
      <c r="P135" s="387">
        <v>0</v>
      </c>
      <c r="Q135" s="387">
        <v>20</v>
      </c>
      <c r="R135" s="387">
        <v>128</v>
      </c>
      <c r="S135" s="1174">
        <f>Locations[[#This Row],[Ind_Returnees]]+Locations[[#This Row],[Ind_Refugees]]+Locations[[#This Row],[Ind_IDPs]]</f>
        <v>428</v>
      </c>
    </row>
    <row r="136" spans="1:19" s="388" customFormat="1" x14ac:dyDescent="0.3">
      <c r="A136" s="5" t="s">
        <v>533</v>
      </c>
      <c r="B136" s="1430" t="s">
        <v>3449</v>
      </c>
      <c r="C136" s="398" t="s">
        <v>534</v>
      </c>
      <c r="D136" s="5" t="s">
        <v>31</v>
      </c>
      <c r="E136" s="5" t="s">
        <v>31</v>
      </c>
      <c r="F136" s="5" t="s">
        <v>549</v>
      </c>
      <c r="G136" s="5" t="s">
        <v>167</v>
      </c>
      <c r="H136" s="5" t="s">
        <v>167</v>
      </c>
      <c r="I136" s="5" t="s">
        <v>1113</v>
      </c>
      <c r="J136" t="s">
        <v>2970</v>
      </c>
      <c r="K136" s="5" t="s">
        <v>2058</v>
      </c>
      <c r="L136" s="5"/>
      <c r="M136" s="387">
        <v>1</v>
      </c>
      <c r="N136" s="387">
        <v>2</v>
      </c>
      <c r="O136" s="387">
        <v>0</v>
      </c>
      <c r="P136" s="387">
        <v>0</v>
      </c>
      <c r="Q136" s="387">
        <v>0</v>
      </c>
      <c r="R136" s="387">
        <v>0</v>
      </c>
      <c r="S136" s="1174">
        <f>Locations[[#This Row],[Ind_Returnees]]+Locations[[#This Row],[Ind_Refugees]]+Locations[[#This Row],[Ind_IDPs]]</f>
        <v>2</v>
      </c>
    </row>
    <row r="137" spans="1:19" s="388" customFormat="1" x14ac:dyDescent="0.3">
      <c r="A137" s="5" t="s">
        <v>533</v>
      </c>
      <c r="B137" s="1430" t="s">
        <v>3449</v>
      </c>
      <c r="C137" s="398" t="s">
        <v>534</v>
      </c>
      <c r="D137" s="5" t="s">
        <v>31</v>
      </c>
      <c r="E137" s="5" t="s">
        <v>31</v>
      </c>
      <c r="F137" s="5" t="s">
        <v>549</v>
      </c>
      <c r="G137" s="5" t="s">
        <v>169</v>
      </c>
      <c r="H137" s="5" t="s">
        <v>169</v>
      </c>
      <c r="I137" s="5" t="s">
        <v>673</v>
      </c>
      <c r="J137" t="s">
        <v>1093</v>
      </c>
      <c r="K137" s="5" t="s">
        <v>1504</v>
      </c>
      <c r="L137" s="5"/>
      <c r="M137" s="387">
        <v>0</v>
      </c>
      <c r="N137" s="387">
        <v>0</v>
      </c>
      <c r="O137" s="387">
        <v>0</v>
      </c>
      <c r="P137" s="387">
        <v>0</v>
      </c>
      <c r="Q137" s="387">
        <v>44</v>
      </c>
      <c r="R137" s="387">
        <v>321</v>
      </c>
      <c r="S137" s="1174">
        <f>Locations[[#This Row],[Ind_Returnees]]+Locations[[#This Row],[Ind_Refugees]]+Locations[[#This Row],[Ind_IDPs]]</f>
        <v>321</v>
      </c>
    </row>
    <row r="138" spans="1:19" s="388" customFormat="1" x14ac:dyDescent="0.3">
      <c r="A138" s="5" t="s">
        <v>533</v>
      </c>
      <c r="B138" s="1430" t="s">
        <v>3449</v>
      </c>
      <c r="C138" s="398" t="s">
        <v>534</v>
      </c>
      <c r="D138" s="5" t="s">
        <v>31</v>
      </c>
      <c r="E138" s="5" t="s">
        <v>31</v>
      </c>
      <c r="F138" s="5" t="s">
        <v>549</v>
      </c>
      <c r="G138" s="5" t="s">
        <v>172</v>
      </c>
      <c r="H138" s="5" t="s">
        <v>172</v>
      </c>
      <c r="I138" s="5" t="s">
        <v>706</v>
      </c>
      <c r="J138" t="s">
        <v>2812</v>
      </c>
      <c r="K138" s="5" t="s">
        <v>1865</v>
      </c>
      <c r="L138" s="5"/>
      <c r="M138" s="387">
        <v>17</v>
      </c>
      <c r="N138" s="387">
        <v>75</v>
      </c>
      <c r="O138" s="387">
        <v>9</v>
      </c>
      <c r="P138" s="387">
        <v>76</v>
      </c>
      <c r="Q138" s="387">
        <v>18</v>
      </c>
      <c r="R138" s="387">
        <v>166</v>
      </c>
      <c r="S138" s="1174">
        <f>Locations[[#This Row],[Ind_Returnees]]+Locations[[#This Row],[Ind_Refugees]]+Locations[[#This Row],[Ind_IDPs]]</f>
        <v>317</v>
      </c>
    </row>
    <row r="139" spans="1:19" s="388" customFormat="1" x14ac:dyDescent="0.3">
      <c r="A139" s="5" t="s">
        <v>533</v>
      </c>
      <c r="B139" s="1430" t="s">
        <v>3449</v>
      </c>
      <c r="C139" s="1090" t="s">
        <v>534</v>
      </c>
      <c r="D139" s="5" t="s">
        <v>31</v>
      </c>
      <c r="E139" s="5" t="s">
        <v>31</v>
      </c>
      <c r="F139" s="5" t="s">
        <v>549</v>
      </c>
      <c r="G139" s="1144" t="s">
        <v>167</v>
      </c>
      <c r="H139" s="1144" t="s">
        <v>167</v>
      </c>
      <c r="I139" s="5" t="s">
        <v>1113</v>
      </c>
      <c r="J139" t="s">
        <v>2279</v>
      </c>
      <c r="K139" s="5" t="s">
        <v>2186</v>
      </c>
      <c r="L139" s="5"/>
      <c r="M139" s="387">
        <v>10</v>
      </c>
      <c r="N139" s="387">
        <v>10</v>
      </c>
      <c r="O139" s="387">
        <v>0</v>
      </c>
      <c r="P139" s="387">
        <v>0</v>
      </c>
      <c r="Q139" s="387">
        <v>0</v>
      </c>
      <c r="R139" s="387">
        <v>0</v>
      </c>
      <c r="S139" s="1174">
        <f>Locations[[#This Row],[Ind_Returnees]]+Locations[[#This Row],[Ind_Refugees]]+Locations[[#This Row],[Ind_IDPs]]</f>
        <v>10</v>
      </c>
    </row>
    <row r="140" spans="1:19" s="388" customFormat="1" x14ac:dyDescent="0.3">
      <c r="A140" s="5" t="s">
        <v>533</v>
      </c>
      <c r="B140" s="1430" t="s">
        <v>3449</v>
      </c>
      <c r="C140" s="1090" t="s">
        <v>534</v>
      </c>
      <c r="D140" s="5" t="s">
        <v>31</v>
      </c>
      <c r="E140" s="5" t="s">
        <v>31</v>
      </c>
      <c r="F140" s="5" t="s">
        <v>549</v>
      </c>
      <c r="G140" s="5" t="s">
        <v>173</v>
      </c>
      <c r="H140" s="5" t="s">
        <v>173</v>
      </c>
      <c r="I140" s="5" t="s">
        <v>556</v>
      </c>
      <c r="J140" t="s">
        <v>2813</v>
      </c>
      <c r="K140" s="5" t="s">
        <v>1104</v>
      </c>
      <c r="L140" s="5"/>
      <c r="M140" s="387">
        <v>0</v>
      </c>
      <c r="N140" s="387">
        <v>0</v>
      </c>
      <c r="O140" s="387">
        <v>0</v>
      </c>
      <c r="P140" s="387">
        <v>0</v>
      </c>
      <c r="Q140" s="387">
        <v>0</v>
      </c>
      <c r="R140" s="387">
        <v>0</v>
      </c>
      <c r="S140" s="1174">
        <f>Locations[[#This Row],[Ind_Returnees]]+Locations[[#This Row],[Ind_Refugees]]+Locations[[#This Row],[Ind_IDPs]]</f>
        <v>0</v>
      </c>
    </row>
    <row r="141" spans="1:19" s="388" customFormat="1" x14ac:dyDescent="0.3">
      <c r="A141" s="5" t="s">
        <v>533</v>
      </c>
      <c r="B141" s="1430" t="s">
        <v>3449</v>
      </c>
      <c r="C141" s="398" t="s">
        <v>534</v>
      </c>
      <c r="D141" s="5" t="s">
        <v>31</v>
      </c>
      <c r="E141" s="5" t="s">
        <v>31</v>
      </c>
      <c r="F141" s="5" t="s">
        <v>549</v>
      </c>
      <c r="G141" s="5" t="s">
        <v>171</v>
      </c>
      <c r="H141" s="5" t="s">
        <v>171</v>
      </c>
      <c r="I141" s="5" t="s">
        <v>634</v>
      </c>
      <c r="J141" t="s">
        <v>2610</v>
      </c>
      <c r="K141" s="5" t="s">
        <v>1150</v>
      </c>
      <c r="L141" s="5"/>
      <c r="M141" s="387">
        <v>5</v>
      </c>
      <c r="N141" s="387">
        <v>15</v>
      </c>
      <c r="O141" s="387">
        <v>3</v>
      </c>
      <c r="P141" s="387">
        <v>11</v>
      </c>
      <c r="Q141" s="387">
        <v>0</v>
      </c>
      <c r="R141" s="387">
        <v>0</v>
      </c>
      <c r="S141" s="1174">
        <f>Locations[[#This Row],[Ind_Returnees]]+Locations[[#This Row],[Ind_Refugees]]+Locations[[#This Row],[Ind_IDPs]]</f>
        <v>26</v>
      </c>
    </row>
    <row r="142" spans="1:19" s="388" customFormat="1" x14ac:dyDescent="0.3">
      <c r="A142" s="5" t="s">
        <v>533</v>
      </c>
      <c r="B142" s="1430" t="s">
        <v>3449</v>
      </c>
      <c r="C142" s="398" t="s">
        <v>534</v>
      </c>
      <c r="D142" s="5" t="s">
        <v>31</v>
      </c>
      <c r="E142" s="5" t="s">
        <v>31</v>
      </c>
      <c r="F142" s="5" t="s">
        <v>549</v>
      </c>
      <c r="G142" s="5" t="s">
        <v>171</v>
      </c>
      <c r="H142" s="5" t="s">
        <v>171</v>
      </c>
      <c r="I142" s="5" t="s">
        <v>634</v>
      </c>
      <c r="J142" t="s">
        <v>923</v>
      </c>
      <c r="K142" s="5" t="s">
        <v>1962</v>
      </c>
      <c r="L142" s="5"/>
      <c r="M142" s="387">
        <v>8</v>
      </c>
      <c r="N142" s="387">
        <v>29</v>
      </c>
      <c r="O142" s="387">
        <v>3</v>
      </c>
      <c r="P142" s="387">
        <v>9</v>
      </c>
      <c r="Q142" s="387">
        <v>0</v>
      </c>
      <c r="R142" s="387">
        <v>0</v>
      </c>
      <c r="S142" s="1174">
        <f>Locations[[#This Row],[Ind_Returnees]]+Locations[[#This Row],[Ind_Refugees]]+Locations[[#This Row],[Ind_IDPs]]</f>
        <v>38</v>
      </c>
    </row>
    <row r="143" spans="1:19" s="388" customFormat="1" x14ac:dyDescent="0.3">
      <c r="A143" s="5" t="s">
        <v>533</v>
      </c>
      <c r="B143" s="1430" t="s">
        <v>3449</v>
      </c>
      <c r="C143" s="1090" t="s">
        <v>534</v>
      </c>
      <c r="D143" s="5" t="s">
        <v>31</v>
      </c>
      <c r="E143" s="5" t="s">
        <v>31</v>
      </c>
      <c r="F143" s="5" t="s">
        <v>549</v>
      </c>
      <c r="G143" s="5" t="s">
        <v>167</v>
      </c>
      <c r="H143" s="5" t="s">
        <v>167</v>
      </c>
      <c r="I143" s="5" t="s">
        <v>1113</v>
      </c>
      <c r="J143" t="s">
        <v>2145</v>
      </c>
      <c r="K143" s="5" t="s">
        <v>2116</v>
      </c>
      <c r="L143" s="5"/>
      <c r="M143" s="387">
        <v>7</v>
      </c>
      <c r="N143" s="387">
        <v>29</v>
      </c>
      <c r="O143" s="387">
        <v>0</v>
      </c>
      <c r="P143" s="387">
        <v>0</v>
      </c>
      <c r="Q143" s="387">
        <v>0</v>
      </c>
      <c r="R143" s="387">
        <v>0</v>
      </c>
      <c r="S143" s="1174">
        <f>Locations[[#This Row],[Ind_Returnees]]+Locations[[#This Row],[Ind_Refugees]]+Locations[[#This Row],[Ind_IDPs]]</f>
        <v>29</v>
      </c>
    </row>
    <row r="144" spans="1:19" s="388" customFormat="1" x14ac:dyDescent="0.3">
      <c r="A144" s="5" t="s">
        <v>533</v>
      </c>
      <c r="B144" s="1430" t="s">
        <v>3449</v>
      </c>
      <c r="C144" s="1090" t="s">
        <v>534</v>
      </c>
      <c r="D144" s="5" t="s">
        <v>31</v>
      </c>
      <c r="E144" s="5" t="s">
        <v>31</v>
      </c>
      <c r="F144" s="5" t="s">
        <v>549</v>
      </c>
      <c r="G144" s="5" t="s">
        <v>171</v>
      </c>
      <c r="H144" s="5" t="s">
        <v>171</v>
      </c>
      <c r="I144" s="5" t="s">
        <v>634</v>
      </c>
      <c r="J144" t="s">
        <v>2128</v>
      </c>
      <c r="K144" s="5" t="s">
        <v>2116</v>
      </c>
      <c r="L144" s="5"/>
      <c r="M144" s="387">
        <v>16</v>
      </c>
      <c r="N144" s="387">
        <v>113</v>
      </c>
      <c r="O144" s="387">
        <v>0</v>
      </c>
      <c r="P144" s="387">
        <v>0</v>
      </c>
      <c r="Q144" s="387">
        <v>0</v>
      </c>
      <c r="R144" s="387">
        <v>0</v>
      </c>
      <c r="S144" s="1174">
        <f>Locations[[#This Row],[Ind_Returnees]]+Locations[[#This Row],[Ind_Refugees]]+Locations[[#This Row],[Ind_IDPs]]</f>
        <v>113</v>
      </c>
    </row>
    <row r="145" spans="1:19" s="388" customFormat="1" x14ac:dyDescent="0.3">
      <c r="A145" s="5" t="s">
        <v>533</v>
      </c>
      <c r="B145" s="1430" t="s">
        <v>3449</v>
      </c>
      <c r="C145" s="1090" t="s">
        <v>534</v>
      </c>
      <c r="D145" s="5" t="s">
        <v>31</v>
      </c>
      <c r="E145" s="5" t="s">
        <v>31</v>
      </c>
      <c r="F145" s="5" t="s">
        <v>549</v>
      </c>
      <c r="G145" s="5" t="s">
        <v>166</v>
      </c>
      <c r="H145" s="5" t="s">
        <v>166</v>
      </c>
      <c r="I145" s="5" t="s">
        <v>844</v>
      </c>
      <c r="J145" t="s">
        <v>1419</v>
      </c>
      <c r="K145" s="5" t="s">
        <v>2116</v>
      </c>
      <c r="L145" s="5"/>
      <c r="M145" s="387">
        <v>0</v>
      </c>
      <c r="N145" s="387">
        <v>0</v>
      </c>
      <c r="O145" s="387">
        <v>0</v>
      </c>
      <c r="P145" s="387">
        <v>0</v>
      </c>
      <c r="Q145" s="387">
        <v>0</v>
      </c>
      <c r="R145" s="387">
        <v>0</v>
      </c>
      <c r="S145" s="1174">
        <f>Locations[[#This Row],[Ind_Returnees]]+Locations[[#This Row],[Ind_Refugees]]+Locations[[#This Row],[Ind_IDPs]]</f>
        <v>0</v>
      </c>
    </row>
    <row r="146" spans="1:19" s="388" customFormat="1" x14ac:dyDescent="0.3">
      <c r="A146" s="5" t="s">
        <v>533</v>
      </c>
      <c r="B146" s="1430" t="s">
        <v>3449</v>
      </c>
      <c r="C146" s="1090" t="s">
        <v>534</v>
      </c>
      <c r="D146" s="5" t="s">
        <v>31</v>
      </c>
      <c r="E146" s="5" t="s">
        <v>31</v>
      </c>
      <c r="F146" s="5" t="s">
        <v>549</v>
      </c>
      <c r="G146" s="5" t="s">
        <v>172</v>
      </c>
      <c r="H146" s="5" t="s">
        <v>172</v>
      </c>
      <c r="I146" s="5" t="s">
        <v>706</v>
      </c>
      <c r="J146" t="s">
        <v>2996</v>
      </c>
      <c r="K146" s="5" t="s">
        <v>1039</v>
      </c>
      <c r="L146" s="5"/>
      <c r="M146" s="387">
        <v>61</v>
      </c>
      <c r="N146" s="387">
        <v>212</v>
      </c>
      <c r="O146" s="387">
        <v>13</v>
      </c>
      <c r="P146" s="387">
        <v>59</v>
      </c>
      <c r="Q146" s="387">
        <v>20</v>
      </c>
      <c r="R146" s="387">
        <v>117</v>
      </c>
      <c r="S146" s="1174">
        <f>Locations[[#This Row],[Ind_Returnees]]+Locations[[#This Row],[Ind_Refugees]]+Locations[[#This Row],[Ind_IDPs]]</f>
        <v>388</v>
      </c>
    </row>
    <row r="147" spans="1:19" s="388" customFormat="1" x14ac:dyDescent="0.3">
      <c r="A147" s="5" t="s">
        <v>533</v>
      </c>
      <c r="B147" s="1430" t="s">
        <v>3449</v>
      </c>
      <c r="C147" s="398" t="s">
        <v>534</v>
      </c>
      <c r="D147" s="5" t="s">
        <v>31</v>
      </c>
      <c r="E147" s="5" t="s">
        <v>31</v>
      </c>
      <c r="F147" s="5" t="s">
        <v>549</v>
      </c>
      <c r="G147" s="5" t="s">
        <v>172</v>
      </c>
      <c r="H147" s="5" t="s">
        <v>172</v>
      </c>
      <c r="I147" s="5" t="s">
        <v>706</v>
      </c>
      <c r="J147" t="s">
        <v>1193</v>
      </c>
      <c r="K147" s="5" t="s">
        <v>1905</v>
      </c>
      <c r="L147" s="5"/>
      <c r="M147" s="387">
        <v>11</v>
      </c>
      <c r="N147" s="387">
        <v>66</v>
      </c>
      <c r="O147" s="387">
        <v>0</v>
      </c>
      <c r="P147" s="387">
        <v>0</v>
      </c>
      <c r="Q147" s="387">
        <v>0</v>
      </c>
      <c r="R147" s="387">
        <v>0</v>
      </c>
      <c r="S147" s="1174">
        <f>Locations[[#This Row],[Ind_Returnees]]+Locations[[#This Row],[Ind_Refugees]]+Locations[[#This Row],[Ind_IDPs]]</f>
        <v>66</v>
      </c>
    </row>
    <row r="148" spans="1:19" s="388" customFormat="1" x14ac:dyDescent="0.3">
      <c r="A148" s="5" t="s">
        <v>533</v>
      </c>
      <c r="B148" s="1430" t="s">
        <v>3449</v>
      </c>
      <c r="C148" s="1090" t="s">
        <v>534</v>
      </c>
      <c r="D148" s="5" t="s">
        <v>31</v>
      </c>
      <c r="E148" s="5" t="s">
        <v>31</v>
      </c>
      <c r="F148" s="5" t="s">
        <v>549</v>
      </c>
      <c r="G148" s="5" t="s">
        <v>170</v>
      </c>
      <c r="H148" s="5" t="s">
        <v>170</v>
      </c>
      <c r="I148" s="5" t="s">
        <v>866</v>
      </c>
      <c r="J148" t="s">
        <v>1109</v>
      </c>
      <c r="K148" s="5" t="s">
        <v>1117</v>
      </c>
      <c r="L148" s="5"/>
      <c r="M148" s="387">
        <v>5</v>
      </c>
      <c r="N148" s="387">
        <v>20</v>
      </c>
      <c r="O148" s="387">
        <v>1</v>
      </c>
      <c r="P148" s="387">
        <v>3</v>
      </c>
      <c r="Q148" s="387">
        <v>0</v>
      </c>
      <c r="R148" s="387">
        <v>0</v>
      </c>
      <c r="S148" s="1174">
        <f>Locations[[#This Row],[Ind_Returnees]]+Locations[[#This Row],[Ind_Refugees]]+Locations[[#This Row],[Ind_IDPs]]</f>
        <v>23</v>
      </c>
    </row>
    <row r="149" spans="1:19" s="388" customFormat="1" x14ac:dyDescent="0.3">
      <c r="A149" s="5" t="s">
        <v>533</v>
      </c>
      <c r="B149" s="1430" t="s">
        <v>3449</v>
      </c>
      <c r="C149" s="1090" t="s">
        <v>534</v>
      </c>
      <c r="D149" s="5" t="s">
        <v>31</v>
      </c>
      <c r="E149" s="5" t="s">
        <v>31</v>
      </c>
      <c r="F149" s="5" t="s">
        <v>549</v>
      </c>
      <c r="G149" s="5" t="s">
        <v>170</v>
      </c>
      <c r="H149" s="5" t="s">
        <v>170</v>
      </c>
      <c r="I149" s="5" t="s">
        <v>866</v>
      </c>
      <c r="J149" t="s">
        <v>1367</v>
      </c>
      <c r="K149" s="5" t="s">
        <v>1368</v>
      </c>
      <c r="L149" s="5"/>
      <c r="M149" s="387">
        <v>0</v>
      </c>
      <c r="N149" s="387">
        <v>0</v>
      </c>
      <c r="O149" s="387">
        <v>2</v>
      </c>
      <c r="P149" s="387">
        <v>10</v>
      </c>
      <c r="Q149" s="387">
        <v>3</v>
      </c>
      <c r="R149" s="387">
        <v>15</v>
      </c>
      <c r="S149" s="1174">
        <f>Locations[[#This Row],[Ind_Returnees]]+Locations[[#This Row],[Ind_Refugees]]+Locations[[#This Row],[Ind_IDPs]]</f>
        <v>25</v>
      </c>
    </row>
    <row r="150" spans="1:19" s="388" customFormat="1" x14ac:dyDescent="0.3">
      <c r="A150" s="5" t="s">
        <v>533</v>
      </c>
      <c r="B150" s="1430" t="s">
        <v>3449</v>
      </c>
      <c r="C150" s="1090" t="s">
        <v>534</v>
      </c>
      <c r="D150" s="5" t="s">
        <v>32</v>
      </c>
      <c r="E150" s="5" t="s">
        <v>32</v>
      </c>
      <c r="F150" s="5" t="s">
        <v>542</v>
      </c>
      <c r="G150" s="5" t="s">
        <v>178</v>
      </c>
      <c r="H150" s="5" t="s">
        <v>178</v>
      </c>
      <c r="I150" s="5" t="s">
        <v>543</v>
      </c>
      <c r="J150" t="s">
        <v>1015</v>
      </c>
      <c r="K150" s="5" t="s">
        <v>1016</v>
      </c>
      <c r="L150" s="5"/>
      <c r="M150" s="387">
        <v>10</v>
      </c>
      <c r="N150" s="387">
        <v>56</v>
      </c>
      <c r="O150" s="387">
        <v>0</v>
      </c>
      <c r="P150" s="387">
        <v>0</v>
      </c>
      <c r="Q150" s="387">
        <v>12</v>
      </c>
      <c r="R150" s="387">
        <v>100</v>
      </c>
      <c r="S150" s="1174">
        <f>Locations[[#This Row],[Ind_Returnees]]+Locations[[#This Row],[Ind_Refugees]]+Locations[[#This Row],[Ind_IDPs]]</f>
        <v>156</v>
      </c>
    </row>
    <row r="151" spans="1:19" s="388" customFormat="1" x14ac:dyDescent="0.3">
      <c r="A151" s="5" t="s">
        <v>533</v>
      </c>
      <c r="B151" s="1430" t="s">
        <v>3449</v>
      </c>
      <c r="C151" s="1090" t="s">
        <v>534</v>
      </c>
      <c r="D151" s="5" t="s">
        <v>31</v>
      </c>
      <c r="E151" s="5" t="s">
        <v>31</v>
      </c>
      <c r="F151" s="5" t="s">
        <v>549</v>
      </c>
      <c r="G151" s="5" t="s">
        <v>170</v>
      </c>
      <c r="H151" s="5" t="s">
        <v>170</v>
      </c>
      <c r="I151" s="5" t="s">
        <v>866</v>
      </c>
      <c r="J151" t="s">
        <v>955</v>
      </c>
      <c r="K151" s="5" t="s">
        <v>956</v>
      </c>
      <c r="L151" s="5"/>
      <c r="M151" s="387">
        <v>11</v>
      </c>
      <c r="N151" s="387">
        <v>35</v>
      </c>
      <c r="O151" s="387">
        <v>0</v>
      </c>
      <c r="P151" s="387">
        <v>0</v>
      </c>
      <c r="Q151" s="387">
        <v>107</v>
      </c>
      <c r="R151" s="387">
        <v>1022</v>
      </c>
      <c r="S151" s="1174">
        <f>Locations[[#This Row],[Ind_Returnees]]+Locations[[#This Row],[Ind_Refugees]]+Locations[[#This Row],[Ind_IDPs]]</f>
        <v>1057</v>
      </c>
    </row>
    <row r="152" spans="1:19" s="388" customFormat="1" x14ac:dyDescent="0.3">
      <c r="A152" s="5" t="s">
        <v>533</v>
      </c>
      <c r="B152" s="1430" t="s">
        <v>3449</v>
      </c>
      <c r="C152" s="1090" t="s">
        <v>534</v>
      </c>
      <c r="D152" s="5" t="s">
        <v>35</v>
      </c>
      <c r="E152" s="5" t="s">
        <v>35</v>
      </c>
      <c r="F152" s="5" t="s">
        <v>567</v>
      </c>
      <c r="G152" s="5" t="s">
        <v>193</v>
      </c>
      <c r="H152" s="5" t="s">
        <v>3983</v>
      </c>
      <c r="I152" s="5" t="s">
        <v>863</v>
      </c>
      <c r="J152" t="s">
        <v>2675</v>
      </c>
      <c r="K152" s="5" t="s">
        <v>2207</v>
      </c>
      <c r="L152" s="5"/>
      <c r="M152" s="387">
        <v>5</v>
      </c>
      <c r="N152" s="387">
        <v>35</v>
      </c>
      <c r="O152" s="387">
        <v>520</v>
      </c>
      <c r="P152" s="387">
        <v>3118</v>
      </c>
      <c r="Q152" s="387">
        <v>1021</v>
      </c>
      <c r="R152" s="387">
        <v>7942</v>
      </c>
      <c r="S152" s="1174">
        <f>Locations[[#This Row],[Ind_Returnees]]+Locations[[#This Row],[Ind_Refugees]]+Locations[[#This Row],[Ind_IDPs]]</f>
        <v>11095</v>
      </c>
    </row>
    <row r="153" spans="1:19" s="388" customFormat="1" x14ac:dyDescent="0.3">
      <c r="A153" s="5" t="s">
        <v>533</v>
      </c>
      <c r="B153" s="1430" t="s">
        <v>3449</v>
      </c>
      <c r="C153" s="398" t="s">
        <v>534</v>
      </c>
      <c r="D153" s="5" t="s">
        <v>31</v>
      </c>
      <c r="E153" s="5" t="s">
        <v>31</v>
      </c>
      <c r="F153" s="5" t="s">
        <v>549</v>
      </c>
      <c r="G153" s="5" t="s">
        <v>171</v>
      </c>
      <c r="H153" s="5" t="s">
        <v>171</v>
      </c>
      <c r="I153" s="5" t="s">
        <v>634</v>
      </c>
      <c r="J153" t="s">
        <v>1291</v>
      </c>
      <c r="K153" s="5" t="s">
        <v>2599</v>
      </c>
      <c r="L153" s="5"/>
      <c r="M153" s="387">
        <v>0</v>
      </c>
      <c r="N153" s="387">
        <v>0</v>
      </c>
      <c r="O153" s="387">
        <v>0</v>
      </c>
      <c r="P153" s="387">
        <v>0</v>
      </c>
      <c r="Q153" s="387">
        <v>0</v>
      </c>
      <c r="R153" s="387">
        <v>0</v>
      </c>
      <c r="S153" s="1174">
        <f>Locations[[#This Row],[Ind_Returnees]]+Locations[[#This Row],[Ind_Refugees]]+Locations[[#This Row],[Ind_IDPs]]</f>
        <v>0</v>
      </c>
    </row>
    <row r="154" spans="1:19" s="388" customFormat="1" x14ac:dyDescent="0.3">
      <c r="A154" s="5" t="s">
        <v>533</v>
      </c>
      <c r="B154" s="1430" t="s">
        <v>3449</v>
      </c>
      <c r="C154" s="398" t="s">
        <v>534</v>
      </c>
      <c r="D154" s="5" t="s">
        <v>31</v>
      </c>
      <c r="E154" s="5" t="s">
        <v>31</v>
      </c>
      <c r="F154" s="5" t="s">
        <v>549</v>
      </c>
      <c r="G154" s="5" t="s">
        <v>171</v>
      </c>
      <c r="H154" s="5" t="s">
        <v>171</v>
      </c>
      <c r="I154" s="5" t="s">
        <v>634</v>
      </c>
      <c r="J154" t="s">
        <v>1879</v>
      </c>
      <c r="K154" s="5" t="s">
        <v>1880</v>
      </c>
      <c r="L154" s="5"/>
      <c r="M154" s="387">
        <v>16</v>
      </c>
      <c r="N154" s="387">
        <v>109</v>
      </c>
      <c r="O154" s="387">
        <v>0</v>
      </c>
      <c r="P154" s="387">
        <v>0</v>
      </c>
      <c r="Q154" s="387">
        <v>0</v>
      </c>
      <c r="R154" s="387">
        <v>0</v>
      </c>
      <c r="S154" s="1174">
        <f>Locations[[#This Row],[Ind_Returnees]]+Locations[[#This Row],[Ind_Refugees]]+Locations[[#This Row],[Ind_IDPs]]</f>
        <v>109</v>
      </c>
    </row>
    <row r="155" spans="1:19" s="388" customFormat="1" x14ac:dyDescent="0.3">
      <c r="A155" s="5" t="s">
        <v>533</v>
      </c>
      <c r="B155" s="1430" t="s">
        <v>3449</v>
      </c>
      <c r="C155" s="398" t="s">
        <v>534</v>
      </c>
      <c r="D155" s="5" t="s">
        <v>34</v>
      </c>
      <c r="E155" s="5" t="s">
        <v>34</v>
      </c>
      <c r="F155" s="5" t="s">
        <v>539</v>
      </c>
      <c r="G155" s="5" t="s">
        <v>188</v>
      </c>
      <c r="H155" s="5" t="s">
        <v>188</v>
      </c>
      <c r="I155" s="5" t="s">
        <v>546</v>
      </c>
      <c r="J155" t="s">
        <v>1626</v>
      </c>
      <c r="K155" s="5" t="s">
        <v>2117</v>
      </c>
      <c r="L155" s="5"/>
      <c r="M155" s="387">
        <v>44</v>
      </c>
      <c r="N155" s="387">
        <v>205</v>
      </c>
      <c r="O155" s="387">
        <v>0</v>
      </c>
      <c r="P155" s="387">
        <v>0</v>
      </c>
      <c r="Q155" s="387">
        <v>0</v>
      </c>
      <c r="R155" s="387">
        <v>0</v>
      </c>
      <c r="S155" s="1174">
        <f>Locations[[#This Row],[Ind_Returnees]]+Locations[[#This Row],[Ind_Refugees]]+Locations[[#This Row],[Ind_IDPs]]</f>
        <v>205</v>
      </c>
    </row>
    <row r="156" spans="1:19" s="388" customFormat="1" x14ac:dyDescent="0.3">
      <c r="A156" s="5" t="s">
        <v>533</v>
      </c>
      <c r="B156" s="1430" t="s">
        <v>3449</v>
      </c>
      <c r="C156" s="398" t="s">
        <v>534</v>
      </c>
      <c r="D156" s="5" t="s">
        <v>31</v>
      </c>
      <c r="E156" s="5" t="s">
        <v>31</v>
      </c>
      <c r="F156" s="5" t="s">
        <v>549</v>
      </c>
      <c r="G156" s="5" t="s">
        <v>170</v>
      </c>
      <c r="H156" s="5" t="s">
        <v>170</v>
      </c>
      <c r="I156" s="5" t="s">
        <v>866</v>
      </c>
      <c r="J156" t="s">
        <v>1369</v>
      </c>
      <c r="K156" s="5" t="s">
        <v>1370</v>
      </c>
      <c r="L156" s="5"/>
      <c r="M156" s="387">
        <v>100</v>
      </c>
      <c r="N156" s="387">
        <v>355</v>
      </c>
      <c r="O156" s="387">
        <v>0</v>
      </c>
      <c r="P156" s="387">
        <v>0</v>
      </c>
      <c r="Q156" s="387">
        <v>0</v>
      </c>
      <c r="R156" s="387">
        <v>0</v>
      </c>
      <c r="S156" s="1174">
        <f>Locations[[#This Row],[Ind_Returnees]]+Locations[[#This Row],[Ind_Refugees]]+Locations[[#This Row],[Ind_IDPs]]</f>
        <v>355</v>
      </c>
    </row>
    <row r="157" spans="1:19" s="388" customFormat="1" x14ac:dyDescent="0.3">
      <c r="A157" s="5" t="s">
        <v>533</v>
      </c>
      <c r="B157" s="1430" t="s">
        <v>3449</v>
      </c>
      <c r="C157" s="1090" t="s">
        <v>534</v>
      </c>
      <c r="D157" s="5" t="s">
        <v>31</v>
      </c>
      <c r="E157" s="5" t="s">
        <v>31</v>
      </c>
      <c r="F157" s="5" t="s">
        <v>549</v>
      </c>
      <c r="G157" s="5" t="s">
        <v>171</v>
      </c>
      <c r="H157" s="5" t="s">
        <v>171</v>
      </c>
      <c r="I157" s="5" t="s">
        <v>634</v>
      </c>
      <c r="J157" t="s">
        <v>1248</v>
      </c>
      <c r="K157" s="5" t="s">
        <v>1793</v>
      </c>
      <c r="L157" s="5"/>
      <c r="M157" s="387">
        <v>13</v>
      </c>
      <c r="N157" s="387">
        <v>42</v>
      </c>
      <c r="O157" s="387">
        <v>0</v>
      </c>
      <c r="P157" s="387">
        <v>0</v>
      </c>
      <c r="Q157" s="387">
        <v>0</v>
      </c>
      <c r="R157" s="387">
        <v>0</v>
      </c>
      <c r="S157" s="1174">
        <f>Locations[[#This Row],[Ind_Returnees]]+Locations[[#This Row],[Ind_Refugees]]+Locations[[#This Row],[Ind_IDPs]]</f>
        <v>42</v>
      </c>
    </row>
    <row r="158" spans="1:19" s="388" customFormat="1" x14ac:dyDescent="0.3">
      <c r="A158" s="5" t="s">
        <v>533</v>
      </c>
      <c r="B158" s="1430" t="s">
        <v>3449</v>
      </c>
      <c r="C158" s="1090" t="s">
        <v>534</v>
      </c>
      <c r="D158" s="5" t="s">
        <v>33</v>
      </c>
      <c r="E158" s="5" t="s">
        <v>33</v>
      </c>
      <c r="F158" s="5" t="s">
        <v>561</v>
      </c>
      <c r="G158" s="5" t="s">
        <v>186</v>
      </c>
      <c r="H158" s="5" t="s">
        <v>186</v>
      </c>
      <c r="I158" s="5" t="s">
        <v>682</v>
      </c>
      <c r="J158" t="s">
        <v>711</v>
      </c>
      <c r="K158" s="5" t="s">
        <v>712</v>
      </c>
      <c r="L158" s="5"/>
      <c r="M158" s="387">
        <v>3</v>
      </c>
      <c r="N158" s="387">
        <v>18</v>
      </c>
      <c r="O158" s="387">
        <v>0</v>
      </c>
      <c r="P158" s="387">
        <v>0</v>
      </c>
      <c r="Q158" s="387">
        <v>0</v>
      </c>
      <c r="R158" s="387">
        <v>0</v>
      </c>
      <c r="S158" s="1174">
        <f>Locations[[#This Row],[Ind_Returnees]]+Locations[[#This Row],[Ind_Refugees]]+Locations[[#This Row],[Ind_IDPs]]</f>
        <v>18</v>
      </c>
    </row>
    <row r="159" spans="1:19" s="388" customFormat="1" x14ac:dyDescent="0.3">
      <c r="A159" s="5" t="s">
        <v>533</v>
      </c>
      <c r="B159" s="1430" t="s">
        <v>3449</v>
      </c>
      <c r="C159" s="1090" t="s">
        <v>534</v>
      </c>
      <c r="D159" s="5" t="s">
        <v>31</v>
      </c>
      <c r="E159" s="5" t="s">
        <v>31</v>
      </c>
      <c r="F159" s="5" t="s">
        <v>549</v>
      </c>
      <c r="G159" s="5" t="s">
        <v>171</v>
      </c>
      <c r="H159" s="5" t="s">
        <v>171</v>
      </c>
      <c r="I159" s="5" t="s">
        <v>634</v>
      </c>
      <c r="J159" t="s">
        <v>1898</v>
      </c>
      <c r="K159" s="5" t="s">
        <v>1899</v>
      </c>
      <c r="L159" s="5"/>
      <c r="M159" s="387">
        <v>8</v>
      </c>
      <c r="N159" s="387">
        <v>38</v>
      </c>
      <c r="O159" s="387">
        <v>8</v>
      </c>
      <c r="P159" s="387">
        <v>9</v>
      </c>
      <c r="Q159" s="387">
        <v>0</v>
      </c>
      <c r="R159" s="387">
        <v>0</v>
      </c>
      <c r="S159" s="1174">
        <f>Locations[[#This Row],[Ind_Returnees]]+Locations[[#This Row],[Ind_Refugees]]+Locations[[#This Row],[Ind_IDPs]]</f>
        <v>47</v>
      </c>
    </row>
    <row r="160" spans="1:19" s="388" customFormat="1" x14ac:dyDescent="0.3">
      <c r="A160" s="5" t="s">
        <v>533</v>
      </c>
      <c r="B160" s="1430" t="s">
        <v>3449</v>
      </c>
      <c r="C160" s="1090" t="s">
        <v>534</v>
      </c>
      <c r="D160" s="5" t="s">
        <v>32</v>
      </c>
      <c r="E160" s="5" t="s">
        <v>32</v>
      </c>
      <c r="F160" s="5" t="s">
        <v>542</v>
      </c>
      <c r="G160" s="5" t="s">
        <v>181</v>
      </c>
      <c r="H160" s="5" t="s">
        <v>181</v>
      </c>
      <c r="I160" s="5" t="s">
        <v>1661</v>
      </c>
      <c r="J160" t="s">
        <v>2320</v>
      </c>
      <c r="K160" s="5" t="s">
        <v>821</v>
      </c>
      <c r="L160" s="5"/>
      <c r="M160" s="387">
        <v>0</v>
      </c>
      <c r="N160" s="387">
        <v>0</v>
      </c>
      <c r="O160" s="387">
        <v>0</v>
      </c>
      <c r="P160" s="387">
        <v>0</v>
      </c>
      <c r="Q160" s="387">
        <v>5</v>
      </c>
      <c r="R160" s="387">
        <v>29</v>
      </c>
      <c r="S160" s="1174">
        <f>Locations[[#This Row],[Ind_Returnees]]+Locations[[#This Row],[Ind_Refugees]]+Locations[[#This Row],[Ind_IDPs]]</f>
        <v>29</v>
      </c>
    </row>
    <row r="161" spans="1:19" s="388" customFormat="1" x14ac:dyDescent="0.3">
      <c r="A161" s="5" t="s">
        <v>533</v>
      </c>
      <c r="B161" s="1430" t="s">
        <v>3449</v>
      </c>
      <c r="C161" s="1090" t="s">
        <v>534</v>
      </c>
      <c r="D161" s="5" t="s">
        <v>31</v>
      </c>
      <c r="E161" s="5" t="s">
        <v>31</v>
      </c>
      <c r="F161" s="5" t="s">
        <v>549</v>
      </c>
      <c r="G161" s="5" t="s">
        <v>171</v>
      </c>
      <c r="H161" s="5" t="s">
        <v>171</v>
      </c>
      <c r="I161" s="5" t="s">
        <v>634</v>
      </c>
      <c r="J161" t="s">
        <v>820</v>
      </c>
      <c r="K161" s="5" t="s">
        <v>821</v>
      </c>
      <c r="L161" s="5"/>
      <c r="M161" s="387">
        <v>4</v>
      </c>
      <c r="N161" s="387">
        <v>37</v>
      </c>
      <c r="O161" s="387">
        <v>0</v>
      </c>
      <c r="P161" s="387">
        <v>0</v>
      </c>
      <c r="Q161" s="387">
        <v>0</v>
      </c>
      <c r="R161" s="387">
        <v>0</v>
      </c>
      <c r="S161" s="1174">
        <f>Locations[[#This Row],[Ind_Returnees]]+Locations[[#This Row],[Ind_Refugees]]+Locations[[#This Row],[Ind_IDPs]]</f>
        <v>37</v>
      </c>
    </row>
    <row r="162" spans="1:19" s="388" customFormat="1" x14ac:dyDescent="0.3">
      <c r="A162" s="5" t="s">
        <v>533</v>
      </c>
      <c r="B162" s="1430" t="s">
        <v>3449</v>
      </c>
      <c r="C162" s="1090" t="s">
        <v>534</v>
      </c>
      <c r="D162" s="5" t="s">
        <v>34</v>
      </c>
      <c r="E162" s="5" t="s">
        <v>34</v>
      </c>
      <c r="F162" s="5" t="s">
        <v>539</v>
      </c>
      <c r="G162" s="5" t="s">
        <v>189</v>
      </c>
      <c r="H162" s="5" t="s">
        <v>189</v>
      </c>
      <c r="I162" s="5" t="s">
        <v>590</v>
      </c>
      <c r="J162" t="s">
        <v>1204</v>
      </c>
      <c r="K162" s="5" t="s">
        <v>1205</v>
      </c>
      <c r="L162" s="5"/>
      <c r="M162" s="387">
        <v>4</v>
      </c>
      <c r="N162" s="387">
        <v>50</v>
      </c>
      <c r="O162" s="387">
        <v>0</v>
      </c>
      <c r="P162" s="387">
        <v>0</v>
      </c>
      <c r="Q162" s="387">
        <v>0</v>
      </c>
      <c r="R162" s="387">
        <v>0</v>
      </c>
      <c r="S162" s="1174">
        <f>Locations[[#This Row],[Ind_Returnees]]+Locations[[#This Row],[Ind_Refugees]]+Locations[[#This Row],[Ind_IDPs]]</f>
        <v>50</v>
      </c>
    </row>
    <row r="163" spans="1:19" s="388" customFormat="1" x14ac:dyDescent="0.3">
      <c r="A163" s="5" t="s">
        <v>533</v>
      </c>
      <c r="B163" s="1430" t="s">
        <v>3449</v>
      </c>
      <c r="C163" s="398" t="s">
        <v>534</v>
      </c>
      <c r="D163" s="5" t="s">
        <v>34</v>
      </c>
      <c r="E163" s="5" t="s">
        <v>34</v>
      </c>
      <c r="F163" s="5" t="s">
        <v>539</v>
      </c>
      <c r="G163" s="5" t="s">
        <v>188</v>
      </c>
      <c r="H163" s="5" t="s">
        <v>188</v>
      </c>
      <c r="I163" s="5" t="s">
        <v>546</v>
      </c>
      <c r="J163" t="s">
        <v>1233</v>
      </c>
      <c r="K163" s="5" t="s">
        <v>1234</v>
      </c>
      <c r="L163" s="5"/>
      <c r="M163" s="387">
        <v>70</v>
      </c>
      <c r="N163" s="387">
        <v>368</v>
      </c>
      <c r="O163" s="387">
        <v>0</v>
      </c>
      <c r="P163" s="387">
        <v>0</v>
      </c>
      <c r="Q163" s="387">
        <v>0</v>
      </c>
      <c r="R163" s="387">
        <v>0</v>
      </c>
      <c r="S163" s="1174">
        <f>Locations[[#This Row],[Ind_Returnees]]+Locations[[#This Row],[Ind_Refugees]]+Locations[[#This Row],[Ind_IDPs]]</f>
        <v>368</v>
      </c>
    </row>
    <row r="164" spans="1:19" s="388" customFormat="1" x14ac:dyDescent="0.3">
      <c r="A164" s="5" t="s">
        <v>533</v>
      </c>
      <c r="B164" s="1430" t="s">
        <v>3449</v>
      </c>
      <c r="C164" s="1090" t="s">
        <v>534</v>
      </c>
      <c r="D164" s="5" t="s">
        <v>31</v>
      </c>
      <c r="E164" s="5" t="s">
        <v>31</v>
      </c>
      <c r="F164" s="5" t="s">
        <v>549</v>
      </c>
      <c r="G164" s="5" t="s">
        <v>173</v>
      </c>
      <c r="H164" s="5" t="s">
        <v>173</v>
      </c>
      <c r="I164" s="5" t="s">
        <v>556</v>
      </c>
      <c r="J164" t="s">
        <v>1103</v>
      </c>
      <c r="K164" s="5" t="s">
        <v>1435</v>
      </c>
      <c r="L164" s="5"/>
      <c r="M164" s="387">
        <v>2</v>
      </c>
      <c r="N164" s="387">
        <v>9</v>
      </c>
      <c r="O164" s="387">
        <v>0</v>
      </c>
      <c r="P164" s="387">
        <v>0</v>
      </c>
      <c r="Q164" s="387">
        <v>0</v>
      </c>
      <c r="R164" s="387">
        <v>0</v>
      </c>
      <c r="S164" s="1174">
        <f>Locations[[#This Row],[Ind_Returnees]]+Locations[[#This Row],[Ind_Refugees]]+Locations[[#This Row],[Ind_IDPs]]</f>
        <v>9</v>
      </c>
    </row>
    <row r="165" spans="1:19" s="388" customFormat="1" x14ac:dyDescent="0.3">
      <c r="A165" s="5" t="s">
        <v>533</v>
      </c>
      <c r="B165" s="1430" t="s">
        <v>3449</v>
      </c>
      <c r="C165" s="398" t="s">
        <v>534</v>
      </c>
      <c r="D165" s="5" t="s">
        <v>34</v>
      </c>
      <c r="E165" s="5" t="s">
        <v>34</v>
      </c>
      <c r="F165" s="5" t="s">
        <v>539</v>
      </c>
      <c r="G165" s="5" t="s">
        <v>187</v>
      </c>
      <c r="H165" s="5" t="s">
        <v>187</v>
      </c>
      <c r="I165" s="5" t="s">
        <v>951</v>
      </c>
      <c r="J165" t="s">
        <v>2544</v>
      </c>
      <c r="K165" s="5" t="s">
        <v>2545</v>
      </c>
      <c r="L165" s="5"/>
      <c r="M165" s="387">
        <v>0</v>
      </c>
      <c r="N165" s="387">
        <v>0</v>
      </c>
      <c r="O165" s="387">
        <v>0</v>
      </c>
      <c r="P165" s="387">
        <v>0</v>
      </c>
      <c r="Q165" s="387">
        <v>0</v>
      </c>
      <c r="R165" s="387">
        <v>0</v>
      </c>
      <c r="S165" s="1174">
        <f>Locations[[#This Row],[Ind_Returnees]]+Locations[[#This Row],[Ind_Refugees]]+Locations[[#This Row],[Ind_IDPs]]</f>
        <v>0</v>
      </c>
    </row>
    <row r="166" spans="1:19" s="388" customFormat="1" x14ac:dyDescent="0.3">
      <c r="A166" s="5" t="s">
        <v>533</v>
      </c>
      <c r="B166" s="1430" t="s">
        <v>3449</v>
      </c>
      <c r="C166" s="398" t="s">
        <v>534</v>
      </c>
      <c r="D166" s="5" t="s">
        <v>35</v>
      </c>
      <c r="E166" s="5" t="s">
        <v>35</v>
      </c>
      <c r="F166" s="5" t="s">
        <v>567</v>
      </c>
      <c r="G166" s="5" t="s">
        <v>191</v>
      </c>
      <c r="H166" s="5" t="s">
        <v>191</v>
      </c>
      <c r="I166" s="5" t="s">
        <v>659</v>
      </c>
      <c r="J166" t="s">
        <v>1462</v>
      </c>
      <c r="K166" s="5" t="s">
        <v>1463</v>
      </c>
      <c r="L166" s="5"/>
      <c r="M166" s="387">
        <v>15</v>
      </c>
      <c r="N166" s="387">
        <v>68</v>
      </c>
      <c r="O166" s="387">
        <v>0</v>
      </c>
      <c r="P166" s="387">
        <v>0</v>
      </c>
      <c r="Q166" s="387">
        <v>2</v>
      </c>
      <c r="R166" s="387">
        <v>12</v>
      </c>
      <c r="S166" s="1174">
        <f>Locations[[#This Row],[Ind_Returnees]]+Locations[[#This Row],[Ind_Refugees]]+Locations[[#This Row],[Ind_IDPs]]</f>
        <v>80</v>
      </c>
    </row>
    <row r="167" spans="1:19" s="388" customFormat="1" x14ac:dyDescent="0.3">
      <c r="A167" s="5" t="s">
        <v>533</v>
      </c>
      <c r="B167" s="1430" t="s">
        <v>3449</v>
      </c>
      <c r="C167" s="398" t="s">
        <v>534</v>
      </c>
      <c r="D167" s="5" t="s">
        <v>32</v>
      </c>
      <c r="E167" s="5" t="s">
        <v>32</v>
      </c>
      <c r="F167" s="5" t="s">
        <v>542</v>
      </c>
      <c r="G167" s="5" t="s">
        <v>174</v>
      </c>
      <c r="H167" s="5" t="s">
        <v>174</v>
      </c>
      <c r="I167" s="5" t="s">
        <v>1658</v>
      </c>
      <c r="J167" t="s">
        <v>1659</v>
      </c>
      <c r="K167" s="5" t="s">
        <v>1660</v>
      </c>
      <c r="L167" s="5"/>
      <c r="M167" s="387">
        <v>92</v>
      </c>
      <c r="N167" s="387">
        <v>378</v>
      </c>
      <c r="O167" s="387">
        <v>0</v>
      </c>
      <c r="P167" s="387">
        <v>0</v>
      </c>
      <c r="Q167" s="387">
        <v>12</v>
      </c>
      <c r="R167" s="387">
        <v>68</v>
      </c>
      <c r="S167" s="1174">
        <f>Locations[[#This Row],[Ind_Returnees]]+Locations[[#This Row],[Ind_Refugees]]+Locations[[#This Row],[Ind_IDPs]]</f>
        <v>446</v>
      </c>
    </row>
    <row r="168" spans="1:19" s="388" customFormat="1" x14ac:dyDescent="0.3">
      <c r="A168" s="5" t="s">
        <v>533</v>
      </c>
      <c r="B168" s="1430" t="s">
        <v>3449</v>
      </c>
      <c r="C168" s="1090" t="s">
        <v>534</v>
      </c>
      <c r="D168" s="5" t="s">
        <v>30</v>
      </c>
      <c r="E168" s="5" t="s">
        <v>3522</v>
      </c>
      <c r="F168" s="5" t="s">
        <v>535</v>
      </c>
      <c r="G168" s="5" t="s">
        <v>162</v>
      </c>
      <c r="H168" s="5" t="s">
        <v>3529</v>
      </c>
      <c r="I168" s="5" t="s">
        <v>536</v>
      </c>
      <c r="J168" t="s">
        <v>652</v>
      </c>
      <c r="K168" s="5" t="s">
        <v>655</v>
      </c>
      <c r="L168" s="5"/>
      <c r="M168" s="387">
        <v>5</v>
      </c>
      <c r="N168" s="387">
        <v>28</v>
      </c>
      <c r="O168" s="387">
        <v>0</v>
      </c>
      <c r="P168" s="387">
        <v>0</v>
      </c>
      <c r="Q168" s="387">
        <v>0</v>
      </c>
      <c r="R168" s="387">
        <v>0</v>
      </c>
      <c r="S168" s="1174">
        <f>Locations[[#This Row],[Ind_Returnees]]+Locations[[#This Row],[Ind_Refugees]]+Locations[[#This Row],[Ind_IDPs]]</f>
        <v>28</v>
      </c>
    </row>
    <row r="169" spans="1:19" s="388" customFormat="1" x14ac:dyDescent="0.3">
      <c r="A169" s="5" t="s">
        <v>533</v>
      </c>
      <c r="B169" s="1430" t="s">
        <v>3449</v>
      </c>
      <c r="C169" s="398" t="s">
        <v>534</v>
      </c>
      <c r="D169" s="5" t="s">
        <v>32</v>
      </c>
      <c r="E169" s="5" t="s">
        <v>32</v>
      </c>
      <c r="F169" s="5" t="s">
        <v>542</v>
      </c>
      <c r="G169" s="5" t="s">
        <v>177</v>
      </c>
      <c r="H169" s="5" t="s">
        <v>177</v>
      </c>
      <c r="I169" s="5" t="s">
        <v>777</v>
      </c>
      <c r="J169" t="s">
        <v>778</v>
      </c>
      <c r="K169" s="5" t="s">
        <v>779</v>
      </c>
      <c r="L169" s="5"/>
      <c r="M169" s="387">
        <v>35</v>
      </c>
      <c r="N169" s="387">
        <v>285</v>
      </c>
      <c r="O169" s="387">
        <v>0</v>
      </c>
      <c r="P169" s="387">
        <v>0</v>
      </c>
      <c r="Q169" s="387">
        <v>93</v>
      </c>
      <c r="R169" s="387">
        <v>920</v>
      </c>
      <c r="S169" s="1174">
        <f>Locations[[#This Row],[Ind_Returnees]]+Locations[[#This Row],[Ind_Refugees]]+Locations[[#This Row],[Ind_IDPs]]</f>
        <v>1205</v>
      </c>
    </row>
    <row r="170" spans="1:19" s="388" customFormat="1" x14ac:dyDescent="0.3">
      <c r="A170" s="5" t="s">
        <v>533</v>
      </c>
      <c r="B170" s="1430" t="s">
        <v>3449</v>
      </c>
      <c r="C170" s="398" t="s">
        <v>534</v>
      </c>
      <c r="D170" s="5" t="s">
        <v>35</v>
      </c>
      <c r="E170" s="5" t="s">
        <v>35</v>
      </c>
      <c r="F170" s="5" t="s">
        <v>567</v>
      </c>
      <c r="G170" s="5" t="s">
        <v>192</v>
      </c>
      <c r="H170" s="5" t="s">
        <v>192</v>
      </c>
      <c r="I170" s="5" t="s">
        <v>853</v>
      </c>
      <c r="J170" t="s">
        <v>1316</v>
      </c>
      <c r="K170" s="5" t="s">
        <v>901</v>
      </c>
      <c r="L170" s="5"/>
      <c r="M170" s="387">
        <v>30</v>
      </c>
      <c r="N170" s="387">
        <v>113</v>
      </c>
      <c r="O170" s="387">
        <v>0</v>
      </c>
      <c r="P170" s="387">
        <v>0</v>
      </c>
      <c r="Q170" s="387">
        <v>7</v>
      </c>
      <c r="R170" s="387">
        <v>37</v>
      </c>
      <c r="S170" s="1174">
        <f>Locations[[#This Row],[Ind_Returnees]]+Locations[[#This Row],[Ind_Refugees]]+Locations[[#This Row],[Ind_IDPs]]</f>
        <v>150</v>
      </c>
    </row>
    <row r="171" spans="1:19" s="388" customFormat="1" x14ac:dyDescent="0.3">
      <c r="A171" s="5" t="s">
        <v>533</v>
      </c>
      <c r="B171" s="1430" t="s">
        <v>3449</v>
      </c>
      <c r="C171" s="398" t="s">
        <v>534</v>
      </c>
      <c r="D171" s="5" t="s">
        <v>31</v>
      </c>
      <c r="E171" s="5" t="s">
        <v>31</v>
      </c>
      <c r="F171" s="5" t="s">
        <v>549</v>
      </c>
      <c r="G171" s="5" t="s">
        <v>169</v>
      </c>
      <c r="H171" s="5" t="s">
        <v>169</v>
      </c>
      <c r="I171" s="5" t="s">
        <v>673</v>
      </c>
      <c r="J171" t="s">
        <v>2815</v>
      </c>
      <c r="K171" s="5" t="s">
        <v>2347</v>
      </c>
      <c r="L171" s="5"/>
      <c r="M171" s="387">
        <v>0</v>
      </c>
      <c r="N171" s="387">
        <v>0</v>
      </c>
      <c r="O171" s="387">
        <v>0</v>
      </c>
      <c r="P171" s="387">
        <v>0</v>
      </c>
      <c r="Q171" s="387">
        <v>24</v>
      </c>
      <c r="R171" s="387">
        <v>104</v>
      </c>
      <c r="S171" s="1174">
        <f>Locations[[#This Row],[Ind_Returnees]]+Locations[[#This Row],[Ind_Refugees]]+Locations[[#This Row],[Ind_IDPs]]</f>
        <v>104</v>
      </c>
    </row>
    <row r="172" spans="1:19" s="388" customFormat="1" x14ac:dyDescent="0.3">
      <c r="A172" s="577" t="s">
        <v>533</v>
      </c>
      <c r="B172" s="1430" t="s">
        <v>3449</v>
      </c>
      <c r="C172" s="577" t="s">
        <v>534</v>
      </c>
      <c r="D172" s="577" t="s">
        <v>30</v>
      </c>
      <c r="E172" s="577" t="s">
        <v>3522</v>
      </c>
      <c r="F172" s="577" t="s">
        <v>535</v>
      </c>
      <c r="G172" s="577" t="s">
        <v>158</v>
      </c>
      <c r="H172" s="577" t="s">
        <v>158</v>
      </c>
      <c r="I172" s="577" t="s">
        <v>571</v>
      </c>
      <c r="J172" s="577" t="s">
        <v>2524</v>
      </c>
      <c r="K172" s="577" t="s">
        <v>2525</v>
      </c>
      <c r="L172" s="577"/>
      <c r="M172" s="387">
        <v>0</v>
      </c>
      <c r="N172" s="387">
        <v>0</v>
      </c>
      <c r="O172" s="387">
        <v>0</v>
      </c>
      <c r="P172" s="387">
        <v>0</v>
      </c>
      <c r="Q172" s="387">
        <v>0</v>
      </c>
      <c r="R172" s="387">
        <v>0</v>
      </c>
      <c r="S172" s="1174">
        <f>Locations[[#This Row],[Ind_Returnees]]+Locations[[#This Row],[Ind_Refugees]]+Locations[[#This Row],[Ind_IDPs]]</f>
        <v>0</v>
      </c>
    </row>
    <row r="173" spans="1:19" s="388" customFormat="1" x14ac:dyDescent="0.3">
      <c r="A173" s="5" t="s">
        <v>533</v>
      </c>
      <c r="B173" s="1430" t="s">
        <v>3449</v>
      </c>
      <c r="C173" s="1090" t="s">
        <v>534</v>
      </c>
      <c r="D173" s="5" t="s">
        <v>31</v>
      </c>
      <c r="E173" s="5" t="s">
        <v>31</v>
      </c>
      <c r="F173" s="5" t="s">
        <v>549</v>
      </c>
      <c r="G173" s="5" t="s">
        <v>169</v>
      </c>
      <c r="H173" s="5" t="s">
        <v>169</v>
      </c>
      <c r="I173" s="5" t="s">
        <v>673</v>
      </c>
      <c r="J173" t="s">
        <v>2870</v>
      </c>
      <c r="K173" s="5" t="s">
        <v>2346</v>
      </c>
      <c r="L173" s="5"/>
      <c r="M173" s="387">
        <v>0</v>
      </c>
      <c r="N173" s="387">
        <v>0</v>
      </c>
      <c r="O173" s="387">
        <v>0</v>
      </c>
      <c r="P173" s="387">
        <v>0</v>
      </c>
      <c r="Q173" s="387">
        <v>20</v>
      </c>
      <c r="R173" s="387">
        <v>65</v>
      </c>
      <c r="S173" s="1174">
        <f>Locations[[#This Row],[Ind_Returnees]]+Locations[[#This Row],[Ind_Refugees]]+Locations[[#This Row],[Ind_IDPs]]</f>
        <v>65</v>
      </c>
    </row>
    <row r="174" spans="1:19" s="388" customFormat="1" x14ac:dyDescent="0.3">
      <c r="A174" s="5" t="s">
        <v>533</v>
      </c>
      <c r="B174" s="1430" t="s">
        <v>3449</v>
      </c>
      <c r="C174" s="1090" t="s">
        <v>534</v>
      </c>
      <c r="D174" s="5" t="s">
        <v>35</v>
      </c>
      <c r="E174" s="5" t="s">
        <v>35</v>
      </c>
      <c r="F174" s="5" t="s">
        <v>567</v>
      </c>
      <c r="G174" s="5" t="s">
        <v>196</v>
      </c>
      <c r="H174" s="5" t="s">
        <v>3984</v>
      </c>
      <c r="I174" s="5" t="s">
        <v>568</v>
      </c>
      <c r="J174" t="s">
        <v>671</v>
      </c>
      <c r="K174" s="5" t="s">
        <v>2107</v>
      </c>
      <c r="L174" s="5"/>
      <c r="M174" s="387">
        <v>0</v>
      </c>
      <c r="N174" s="387">
        <v>0</v>
      </c>
      <c r="O174" s="387">
        <v>0</v>
      </c>
      <c r="P174" s="387">
        <v>0</v>
      </c>
      <c r="Q174" s="387">
        <v>2</v>
      </c>
      <c r="R174" s="387">
        <v>13</v>
      </c>
      <c r="S174" s="1174">
        <f>Locations[[#This Row],[Ind_Returnees]]+Locations[[#This Row],[Ind_Refugees]]+Locations[[#This Row],[Ind_IDPs]]</f>
        <v>13</v>
      </c>
    </row>
    <row r="175" spans="1:19" s="388" customFormat="1" x14ac:dyDescent="0.3">
      <c r="A175" s="5" t="s">
        <v>533</v>
      </c>
      <c r="B175" s="1430" t="s">
        <v>3449</v>
      </c>
      <c r="C175" s="1090" t="s">
        <v>534</v>
      </c>
      <c r="D175" s="5" t="s">
        <v>35</v>
      </c>
      <c r="E175" s="5" t="s">
        <v>35</v>
      </c>
      <c r="F175" s="5" t="s">
        <v>567</v>
      </c>
      <c r="G175" s="5" t="s">
        <v>196</v>
      </c>
      <c r="H175" s="5" t="s">
        <v>3984</v>
      </c>
      <c r="I175" s="5" t="s">
        <v>568</v>
      </c>
      <c r="J175" t="s">
        <v>2105</v>
      </c>
      <c r="K175" s="5" t="s">
        <v>2106</v>
      </c>
      <c r="L175" s="5"/>
      <c r="M175" s="387">
        <v>0</v>
      </c>
      <c r="N175" s="387">
        <v>0</v>
      </c>
      <c r="O175" s="387">
        <v>0</v>
      </c>
      <c r="P175" s="387">
        <v>0</v>
      </c>
      <c r="Q175" s="387">
        <v>0</v>
      </c>
      <c r="R175" s="387">
        <v>0</v>
      </c>
      <c r="S175" s="1174">
        <f>Locations[[#This Row],[Ind_Returnees]]+Locations[[#This Row],[Ind_Refugees]]+Locations[[#This Row],[Ind_IDPs]]</f>
        <v>0</v>
      </c>
    </row>
    <row r="176" spans="1:19" s="388" customFormat="1" x14ac:dyDescent="0.3">
      <c r="A176" s="5" t="s">
        <v>533</v>
      </c>
      <c r="B176" s="1430" t="s">
        <v>3449</v>
      </c>
      <c r="C176" s="398" t="s">
        <v>534</v>
      </c>
      <c r="D176" s="5" t="s">
        <v>31</v>
      </c>
      <c r="E176" s="5" t="s">
        <v>31</v>
      </c>
      <c r="F176" s="5" t="s">
        <v>549</v>
      </c>
      <c r="G176" s="5" t="s">
        <v>171</v>
      </c>
      <c r="H176" s="5" t="s">
        <v>171</v>
      </c>
      <c r="I176" s="5" t="s">
        <v>634</v>
      </c>
      <c r="J176" t="s">
        <v>1978</v>
      </c>
      <c r="K176" s="5" t="s">
        <v>1979</v>
      </c>
      <c r="L176" s="5"/>
      <c r="M176" s="387">
        <v>20</v>
      </c>
      <c r="N176" s="387">
        <v>123</v>
      </c>
      <c r="O176" s="387">
        <v>0</v>
      </c>
      <c r="P176" s="387">
        <v>0</v>
      </c>
      <c r="Q176" s="387">
        <v>0</v>
      </c>
      <c r="R176" s="387">
        <v>0</v>
      </c>
      <c r="S176" s="1174">
        <f>Locations[[#This Row],[Ind_Returnees]]+Locations[[#This Row],[Ind_Refugees]]+Locations[[#This Row],[Ind_IDPs]]</f>
        <v>123</v>
      </c>
    </row>
    <row r="177" spans="1:19" s="388" customFormat="1" x14ac:dyDescent="0.3">
      <c r="A177" s="5" t="s">
        <v>533</v>
      </c>
      <c r="B177" s="1430" t="s">
        <v>3449</v>
      </c>
      <c r="C177" s="1090" t="s">
        <v>534</v>
      </c>
      <c r="D177" s="5" t="s">
        <v>31</v>
      </c>
      <c r="E177" s="5" t="s">
        <v>31</v>
      </c>
      <c r="F177" s="5" t="s">
        <v>549</v>
      </c>
      <c r="G177" s="5" t="s">
        <v>169</v>
      </c>
      <c r="H177" s="5" t="s">
        <v>169</v>
      </c>
      <c r="I177" s="5" t="s">
        <v>673</v>
      </c>
      <c r="J177" t="s">
        <v>2840</v>
      </c>
      <c r="K177" s="5" t="s">
        <v>2386</v>
      </c>
      <c r="L177" s="5"/>
      <c r="M177" s="387">
        <v>0</v>
      </c>
      <c r="N177" s="387">
        <v>0</v>
      </c>
      <c r="O177" s="387">
        <v>5</v>
      </c>
      <c r="P177" s="387">
        <v>10</v>
      </c>
      <c r="Q177" s="387">
        <v>0</v>
      </c>
      <c r="R177" s="387">
        <v>0</v>
      </c>
      <c r="S177" s="1174">
        <f>Locations[[#This Row],[Ind_Returnees]]+Locations[[#This Row],[Ind_Refugees]]+Locations[[#This Row],[Ind_IDPs]]</f>
        <v>10</v>
      </c>
    </row>
    <row r="178" spans="1:19" s="388" customFormat="1" x14ac:dyDescent="0.3">
      <c r="A178" s="5" t="s">
        <v>533</v>
      </c>
      <c r="B178" s="1430" t="s">
        <v>3449</v>
      </c>
      <c r="C178" s="1090" t="s">
        <v>534</v>
      </c>
      <c r="D178" s="5" t="s">
        <v>31</v>
      </c>
      <c r="E178" s="5" t="s">
        <v>31</v>
      </c>
      <c r="F178" s="5" t="s">
        <v>549</v>
      </c>
      <c r="G178" s="5" t="s">
        <v>169</v>
      </c>
      <c r="H178" s="5" t="s">
        <v>169</v>
      </c>
      <c r="I178" s="5" t="s">
        <v>673</v>
      </c>
      <c r="J178" t="s">
        <v>2816</v>
      </c>
      <c r="K178" s="5" t="s">
        <v>2350</v>
      </c>
      <c r="L178" s="5"/>
      <c r="M178" s="387">
        <v>0</v>
      </c>
      <c r="N178" s="387">
        <v>0</v>
      </c>
      <c r="O178" s="387">
        <v>4</v>
      </c>
      <c r="P178" s="387">
        <v>9</v>
      </c>
      <c r="Q178" s="387">
        <v>0</v>
      </c>
      <c r="R178" s="387">
        <v>0</v>
      </c>
      <c r="S178" s="1174">
        <f>Locations[[#This Row],[Ind_Returnees]]+Locations[[#This Row],[Ind_Refugees]]+Locations[[#This Row],[Ind_IDPs]]</f>
        <v>9</v>
      </c>
    </row>
    <row r="179" spans="1:19" s="388" customFormat="1" x14ac:dyDescent="0.3">
      <c r="A179" s="5" t="s">
        <v>533</v>
      </c>
      <c r="B179" s="1430" t="s">
        <v>3449</v>
      </c>
      <c r="C179" s="398" t="s">
        <v>534</v>
      </c>
      <c r="D179" s="5" t="s">
        <v>31</v>
      </c>
      <c r="E179" s="5" t="s">
        <v>31</v>
      </c>
      <c r="F179" s="5" t="s">
        <v>549</v>
      </c>
      <c r="G179" s="5" t="s">
        <v>2797</v>
      </c>
      <c r="H179" s="5" t="s">
        <v>3898</v>
      </c>
      <c r="I179" s="5" t="s">
        <v>767</v>
      </c>
      <c r="J179" t="s">
        <v>1198</v>
      </c>
      <c r="K179" s="5" t="s">
        <v>1199</v>
      </c>
      <c r="L179" s="5"/>
      <c r="M179" s="387">
        <v>57</v>
      </c>
      <c r="N179" s="387">
        <v>420</v>
      </c>
      <c r="O179" s="387">
        <v>65</v>
      </c>
      <c r="P179" s="387">
        <v>544</v>
      </c>
      <c r="Q179" s="387">
        <v>60</v>
      </c>
      <c r="R179" s="387">
        <v>449</v>
      </c>
      <c r="S179" s="1174">
        <f>Locations[[#This Row],[Ind_Returnees]]+Locations[[#This Row],[Ind_Refugees]]+Locations[[#This Row],[Ind_IDPs]]</f>
        <v>1413</v>
      </c>
    </row>
    <row r="180" spans="1:19" s="388" customFormat="1" x14ac:dyDescent="0.3">
      <c r="A180" s="5" t="s">
        <v>533</v>
      </c>
      <c r="B180" s="1430" t="s">
        <v>3449</v>
      </c>
      <c r="C180" s="398" t="s">
        <v>534</v>
      </c>
      <c r="D180" s="5" t="s">
        <v>32</v>
      </c>
      <c r="E180" s="5" t="s">
        <v>32</v>
      </c>
      <c r="F180" s="5" t="s">
        <v>542</v>
      </c>
      <c r="G180" s="5" t="s">
        <v>176</v>
      </c>
      <c r="H180" s="5" t="s">
        <v>176</v>
      </c>
      <c r="I180" s="5" t="s">
        <v>772</v>
      </c>
      <c r="J180" t="s">
        <v>2233</v>
      </c>
      <c r="K180" s="5" t="s">
        <v>2234</v>
      </c>
      <c r="L180" s="5"/>
      <c r="M180" s="387">
        <v>0</v>
      </c>
      <c r="N180" s="387">
        <v>0</v>
      </c>
      <c r="O180" s="387">
        <v>0</v>
      </c>
      <c r="P180" s="387">
        <v>0</v>
      </c>
      <c r="Q180" s="387">
        <v>42</v>
      </c>
      <c r="R180" s="387">
        <v>340</v>
      </c>
      <c r="S180" s="1174">
        <f>Locations[[#This Row],[Ind_Returnees]]+Locations[[#This Row],[Ind_Refugees]]+Locations[[#This Row],[Ind_IDPs]]</f>
        <v>340</v>
      </c>
    </row>
    <row r="181" spans="1:19" s="388" customFormat="1" x14ac:dyDescent="0.3">
      <c r="A181" s="5" t="s">
        <v>533</v>
      </c>
      <c r="B181" s="1430" t="s">
        <v>3449</v>
      </c>
      <c r="C181" s="1090" t="s">
        <v>534</v>
      </c>
      <c r="D181" s="5" t="s">
        <v>33</v>
      </c>
      <c r="E181" s="5" t="s">
        <v>33</v>
      </c>
      <c r="F181" s="5" t="s">
        <v>561</v>
      </c>
      <c r="G181" s="5" t="s">
        <v>185</v>
      </c>
      <c r="H181" s="5" t="s">
        <v>185</v>
      </c>
      <c r="I181" s="5" t="s">
        <v>656</v>
      </c>
      <c r="J181" t="s">
        <v>1773</v>
      </c>
      <c r="K181" s="5" t="s">
        <v>1774</v>
      </c>
      <c r="L181" s="5"/>
      <c r="M181" s="387">
        <v>0</v>
      </c>
      <c r="N181" s="387">
        <v>0</v>
      </c>
      <c r="O181" s="387">
        <v>0</v>
      </c>
      <c r="P181" s="387">
        <v>0</v>
      </c>
      <c r="Q181" s="387">
        <v>0</v>
      </c>
      <c r="R181" s="387">
        <v>0</v>
      </c>
      <c r="S181" s="1174">
        <f>Locations[[#This Row],[Ind_Returnees]]+Locations[[#This Row],[Ind_Refugees]]+Locations[[#This Row],[Ind_IDPs]]</f>
        <v>0</v>
      </c>
    </row>
    <row r="182" spans="1:19" s="388" customFormat="1" x14ac:dyDescent="0.3">
      <c r="A182" s="577" t="s">
        <v>533</v>
      </c>
      <c r="B182" s="1430" t="s">
        <v>3449</v>
      </c>
      <c r="C182" s="577" t="s">
        <v>534</v>
      </c>
      <c r="D182" s="577" t="s">
        <v>32</v>
      </c>
      <c r="E182" s="577" t="s">
        <v>32</v>
      </c>
      <c r="F182" s="577" t="s">
        <v>542</v>
      </c>
      <c r="G182" s="577" t="s">
        <v>176</v>
      </c>
      <c r="H182" s="577" t="s">
        <v>176</v>
      </c>
      <c r="I182" s="577" t="s">
        <v>772</v>
      </c>
      <c r="J182" s="577" t="s">
        <v>1060</v>
      </c>
      <c r="K182" s="577" t="s">
        <v>1061</v>
      </c>
      <c r="L182" s="577"/>
      <c r="M182" s="387">
        <v>33</v>
      </c>
      <c r="N182" s="387">
        <v>217</v>
      </c>
      <c r="O182" s="387">
        <v>0</v>
      </c>
      <c r="P182" s="387">
        <v>0</v>
      </c>
      <c r="Q182" s="387">
        <v>45</v>
      </c>
      <c r="R182" s="387">
        <v>284</v>
      </c>
      <c r="S182" s="1174">
        <f>Locations[[#This Row],[Ind_Returnees]]+Locations[[#This Row],[Ind_Refugees]]+Locations[[#This Row],[Ind_IDPs]]</f>
        <v>501</v>
      </c>
    </row>
    <row r="183" spans="1:19" s="388" customFormat="1" x14ac:dyDescent="0.3">
      <c r="A183" s="5" t="s">
        <v>533</v>
      </c>
      <c r="B183" s="1430" t="s">
        <v>3449</v>
      </c>
      <c r="C183" s="1090" t="s">
        <v>534</v>
      </c>
      <c r="D183" s="5" t="s">
        <v>35</v>
      </c>
      <c r="E183" s="5" t="s">
        <v>35</v>
      </c>
      <c r="F183" s="5" t="s">
        <v>567</v>
      </c>
      <c r="G183" s="5" t="s">
        <v>191</v>
      </c>
      <c r="H183" s="5" t="s">
        <v>191</v>
      </c>
      <c r="I183" s="5" t="s">
        <v>659</v>
      </c>
      <c r="J183" t="s">
        <v>2067</v>
      </c>
      <c r="K183" s="5" t="s">
        <v>2068</v>
      </c>
      <c r="L183" s="5"/>
      <c r="M183" s="387">
        <v>20</v>
      </c>
      <c r="N183" s="387">
        <v>141</v>
      </c>
      <c r="O183" s="387">
        <v>0</v>
      </c>
      <c r="P183" s="387">
        <v>0</v>
      </c>
      <c r="Q183" s="387">
        <v>2</v>
      </c>
      <c r="R183" s="387">
        <v>31</v>
      </c>
      <c r="S183" s="1174">
        <f>Locations[[#This Row],[Ind_Returnees]]+Locations[[#This Row],[Ind_Refugees]]+Locations[[#This Row],[Ind_IDPs]]</f>
        <v>172</v>
      </c>
    </row>
    <row r="184" spans="1:19" s="388" customFormat="1" x14ac:dyDescent="0.3">
      <c r="A184" s="5" t="s">
        <v>533</v>
      </c>
      <c r="B184" s="1430" t="s">
        <v>3449</v>
      </c>
      <c r="C184" s="398" t="s">
        <v>534</v>
      </c>
      <c r="D184" s="5" t="s">
        <v>32</v>
      </c>
      <c r="E184" s="5" t="s">
        <v>32</v>
      </c>
      <c r="F184" s="5" t="s">
        <v>542</v>
      </c>
      <c r="G184" s="5" t="s">
        <v>175</v>
      </c>
      <c r="H184" s="5" t="s">
        <v>175</v>
      </c>
      <c r="I184" s="5" t="s">
        <v>1136</v>
      </c>
      <c r="J184" t="s">
        <v>1758</v>
      </c>
      <c r="K184" s="5" t="s">
        <v>1759</v>
      </c>
      <c r="L184" s="5"/>
      <c r="M184" s="387">
        <v>40</v>
      </c>
      <c r="N184" s="387">
        <v>305</v>
      </c>
      <c r="O184" s="387">
        <v>0</v>
      </c>
      <c r="P184" s="387">
        <v>0</v>
      </c>
      <c r="Q184" s="387">
        <v>75</v>
      </c>
      <c r="R184" s="387">
        <v>310</v>
      </c>
      <c r="S184" s="1174">
        <f>Locations[[#This Row],[Ind_Returnees]]+Locations[[#This Row],[Ind_Refugees]]+Locations[[#This Row],[Ind_IDPs]]</f>
        <v>615</v>
      </c>
    </row>
    <row r="185" spans="1:19" s="388" customFormat="1" x14ac:dyDescent="0.3">
      <c r="A185" s="5" t="s">
        <v>533</v>
      </c>
      <c r="B185" s="1430" t="s">
        <v>3449</v>
      </c>
      <c r="C185" s="398" t="s">
        <v>534</v>
      </c>
      <c r="D185" s="5" t="s">
        <v>31</v>
      </c>
      <c r="E185" s="5" t="s">
        <v>31</v>
      </c>
      <c r="F185" s="5" t="s">
        <v>549</v>
      </c>
      <c r="G185" s="5" t="s">
        <v>171</v>
      </c>
      <c r="H185" s="5" t="s">
        <v>171</v>
      </c>
      <c r="I185" s="5" t="s">
        <v>634</v>
      </c>
      <c r="J185" t="s">
        <v>2036</v>
      </c>
      <c r="K185" s="5" t="s">
        <v>2607</v>
      </c>
      <c r="L185" s="5"/>
      <c r="M185" s="387">
        <v>0</v>
      </c>
      <c r="N185" s="387">
        <v>0</v>
      </c>
      <c r="O185" s="387">
        <v>0</v>
      </c>
      <c r="P185" s="387">
        <v>0</v>
      </c>
      <c r="Q185" s="387">
        <v>0</v>
      </c>
      <c r="R185" s="387">
        <v>0</v>
      </c>
      <c r="S185" s="1174">
        <f>Locations[[#This Row],[Ind_Returnees]]+Locations[[#This Row],[Ind_Refugees]]+Locations[[#This Row],[Ind_IDPs]]</f>
        <v>0</v>
      </c>
    </row>
    <row r="186" spans="1:19" s="388" customFormat="1" x14ac:dyDescent="0.3">
      <c r="A186" s="5" t="s">
        <v>533</v>
      </c>
      <c r="B186" s="1430" t="s">
        <v>3449</v>
      </c>
      <c r="C186" s="398" t="s">
        <v>534</v>
      </c>
      <c r="D186" s="5" t="s">
        <v>31</v>
      </c>
      <c r="E186" s="5" t="s">
        <v>31</v>
      </c>
      <c r="F186" s="5" t="s">
        <v>549</v>
      </c>
      <c r="G186" s="5" t="s">
        <v>171</v>
      </c>
      <c r="H186" s="5" t="s">
        <v>171</v>
      </c>
      <c r="I186" s="5" t="s">
        <v>634</v>
      </c>
      <c r="J186" t="s">
        <v>2818</v>
      </c>
      <c r="K186" s="5" t="s">
        <v>2636</v>
      </c>
      <c r="L186" s="5"/>
      <c r="M186" s="387">
        <v>0</v>
      </c>
      <c r="N186" s="387">
        <v>0</v>
      </c>
      <c r="O186" s="387">
        <v>0</v>
      </c>
      <c r="P186" s="387">
        <v>0</v>
      </c>
      <c r="Q186" s="387">
        <v>0</v>
      </c>
      <c r="R186" s="387">
        <v>0</v>
      </c>
      <c r="S186" s="1174">
        <f>Locations[[#This Row],[Ind_Returnees]]+Locations[[#This Row],[Ind_Refugees]]+Locations[[#This Row],[Ind_IDPs]]</f>
        <v>0</v>
      </c>
    </row>
    <row r="187" spans="1:19" s="388" customFormat="1" x14ac:dyDescent="0.3">
      <c r="A187" s="5" t="s">
        <v>533</v>
      </c>
      <c r="B187" s="1430" t="s">
        <v>3449</v>
      </c>
      <c r="C187" s="398" t="s">
        <v>534</v>
      </c>
      <c r="D187" s="5" t="s">
        <v>32</v>
      </c>
      <c r="E187" s="5" t="s">
        <v>32</v>
      </c>
      <c r="F187" s="5" t="s">
        <v>542</v>
      </c>
      <c r="G187" s="5" t="s">
        <v>176</v>
      </c>
      <c r="H187" s="5" t="s">
        <v>176</v>
      </c>
      <c r="I187" s="5" t="s">
        <v>772</v>
      </c>
      <c r="J187" t="s">
        <v>2336</v>
      </c>
      <c r="K187" s="5" t="s">
        <v>2337</v>
      </c>
      <c r="L187" s="5"/>
      <c r="M187" s="387">
        <v>0</v>
      </c>
      <c r="N187" s="387">
        <v>0</v>
      </c>
      <c r="O187" s="387">
        <v>0</v>
      </c>
      <c r="P187" s="387">
        <v>0</v>
      </c>
      <c r="Q187" s="387">
        <v>417</v>
      </c>
      <c r="R187" s="387">
        <v>2140</v>
      </c>
      <c r="S187" s="1174">
        <f>Locations[[#This Row],[Ind_Returnees]]+Locations[[#This Row],[Ind_Refugees]]+Locations[[#This Row],[Ind_IDPs]]</f>
        <v>2140</v>
      </c>
    </row>
    <row r="188" spans="1:19" s="388" customFormat="1" x14ac:dyDescent="0.3">
      <c r="A188" s="5" t="s">
        <v>533</v>
      </c>
      <c r="B188" s="1430" t="s">
        <v>3449</v>
      </c>
      <c r="C188" s="398" t="s">
        <v>534</v>
      </c>
      <c r="D188" s="5" t="s">
        <v>31</v>
      </c>
      <c r="E188" s="5" t="s">
        <v>31</v>
      </c>
      <c r="F188" s="5" t="s">
        <v>549</v>
      </c>
      <c r="G188" s="5" t="s">
        <v>166</v>
      </c>
      <c r="H188" s="5" t="s">
        <v>166</v>
      </c>
      <c r="I188" s="5" t="s">
        <v>844</v>
      </c>
      <c r="J188" t="s">
        <v>2512</v>
      </c>
      <c r="K188" s="5" t="s">
        <v>966</v>
      </c>
      <c r="L188" s="5"/>
      <c r="M188" s="387">
        <v>67</v>
      </c>
      <c r="N188" s="387">
        <v>419</v>
      </c>
      <c r="O188" s="387">
        <v>0</v>
      </c>
      <c r="P188" s="387">
        <v>0</v>
      </c>
      <c r="Q188" s="387">
        <v>0</v>
      </c>
      <c r="R188" s="387">
        <v>0</v>
      </c>
      <c r="S188" s="1174">
        <f>Locations[[#This Row],[Ind_Returnees]]+Locations[[#This Row],[Ind_Refugees]]+Locations[[#This Row],[Ind_IDPs]]</f>
        <v>419</v>
      </c>
    </row>
    <row r="189" spans="1:19" s="388" customFormat="1" x14ac:dyDescent="0.3">
      <c r="A189" s="5" t="s">
        <v>533</v>
      </c>
      <c r="B189" s="1430" t="s">
        <v>3449</v>
      </c>
      <c r="C189" s="1090" t="s">
        <v>534</v>
      </c>
      <c r="D189" s="5" t="s">
        <v>35</v>
      </c>
      <c r="E189" s="5" t="s">
        <v>35</v>
      </c>
      <c r="F189" s="5" t="s">
        <v>567</v>
      </c>
      <c r="G189" s="5" t="s">
        <v>191</v>
      </c>
      <c r="H189" s="5" t="s">
        <v>191</v>
      </c>
      <c r="I189" s="5" t="s">
        <v>659</v>
      </c>
      <c r="J189" t="s">
        <v>1814</v>
      </c>
      <c r="K189" s="5" t="s">
        <v>1815</v>
      </c>
      <c r="L189" s="5"/>
      <c r="M189" s="387">
        <v>28</v>
      </c>
      <c r="N189" s="387">
        <v>122</v>
      </c>
      <c r="O189" s="387">
        <v>0</v>
      </c>
      <c r="P189" s="387">
        <v>0</v>
      </c>
      <c r="Q189" s="387">
        <v>3</v>
      </c>
      <c r="R189" s="387">
        <v>24</v>
      </c>
      <c r="S189" s="1174">
        <f>Locations[[#This Row],[Ind_Returnees]]+Locations[[#This Row],[Ind_Refugees]]+Locations[[#This Row],[Ind_IDPs]]</f>
        <v>146</v>
      </c>
    </row>
    <row r="190" spans="1:19" s="388" customFormat="1" x14ac:dyDescent="0.3">
      <c r="A190" s="5" t="s">
        <v>533</v>
      </c>
      <c r="B190" s="1430" t="s">
        <v>3449</v>
      </c>
      <c r="C190" s="398" t="s">
        <v>534</v>
      </c>
      <c r="D190" s="5" t="s">
        <v>31</v>
      </c>
      <c r="E190" s="5" t="s">
        <v>31</v>
      </c>
      <c r="F190" s="5" t="s">
        <v>549</v>
      </c>
      <c r="G190" s="5" t="s">
        <v>171</v>
      </c>
      <c r="H190" s="5" t="s">
        <v>171</v>
      </c>
      <c r="I190" s="5" t="s">
        <v>634</v>
      </c>
      <c r="J190" t="s">
        <v>1984</v>
      </c>
      <c r="K190" s="5" t="s">
        <v>858</v>
      </c>
      <c r="L190" s="5"/>
      <c r="M190" s="387">
        <v>6</v>
      </c>
      <c r="N190" s="387">
        <v>28</v>
      </c>
      <c r="O190" s="387">
        <v>9</v>
      </c>
      <c r="P190" s="387">
        <v>41</v>
      </c>
      <c r="Q190" s="387">
        <v>0</v>
      </c>
      <c r="R190" s="387">
        <v>0</v>
      </c>
      <c r="S190" s="1174">
        <f>Locations[[#This Row],[Ind_Returnees]]+Locations[[#This Row],[Ind_Refugees]]+Locations[[#This Row],[Ind_IDPs]]</f>
        <v>69</v>
      </c>
    </row>
    <row r="191" spans="1:19" s="388" customFormat="1" x14ac:dyDescent="0.3">
      <c r="A191" s="5" t="s">
        <v>533</v>
      </c>
      <c r="B191" s="1430" t="s">
        <v>3449</v>
      </c>
      <c r="C191" s="1090" t="s">
        <v>534</v>
      </c>
      <c r="D191" s="5" t="s">
        <v>34</v>
      </c>
      <c r="E191" s="5" t="s">
        <v>34</v>
      </c>
      <c r="F191" s="5" t="s">
        <v>539</v>
      </c>
      <c r="G191" s="5" t="s">
        <v>187</v>
      </c>
      <c r="H191" s="5" t="s">
        <v>187</v>
      </c>
      <c r="I191" s="5" t="s">
        <v>951</v>
      </c>
      <c r="J191" t="s">
        <v>2819</v>
      </c>
      <c r="K191" s="5" t="s">
        <v>2562</v>
      </c>
      <c r="L191" s="5"/>
      <c r="M191" s="387">
        <v>0</v>
      </c>
      <c r="N191" s="387">
        <v>0</v>
      </c>
      <c r="O191" s="387">
        <v>0</v>
      </c>
      <c r="P191" s="387">
        <v>0</v>
      </c>
      <c r="Q191" s="387">
        <v>0</v>
      </c>
      <c r="R191" s="387">
        <v>0</v>
      </c>
      <c r="S191" s="1174">
        <f>Locations[[#This Row],[Ind_Returnees]]+Locations[[#This Row],[Ind_Refugees]]+Locations[[#This Row],[Ind_IDPs]]</f>
        <v>0</v>
      </c>
    </row>
    <row r="192" spans="1:19" s="388" customFormat="1" x14ac:dyDescent="0.3">
      <c r="A192" s="5" t="s">
        <v>533</v>
      </c>
      <c r="B192" s="1430" t="s">
        <v>3449</v>
      </c>
      <c r="C192" s="398" t="s">
        <v>534</v>
      </c>
      <c r="D192" s="5" t="s">
        <v>31</v>
      </c>
      <c r="E192" s="5" t="s">
        <v>31</v>
      </c>
      <c r="F192" s="5" t="s">
        <v>549</v>
      </c>
      <c r="G192" s="5" t="s">
        <v>171</v>
      </c>
      <c r="H192" s="5" t="s">
        <v>171</v>
      </c>
      <c r="I192" s="5" t="s">
        <v>634</v>
      </c>
      <c r="J192" t="s">
        <v>1147</v>
      </c>
      <c r="K192" s="5" t="s">
        <v>1148</v>
      </c>
      <c r="L192" s="5"/>
      <c r="M192" s="387">
        <v>86</v>
      </c>
      <c r="N192" s="387">
        <v>300</v>
      </c>
      <c r="O192" s="387">
        <v>95</v>
      </c>
      <c r="P192" s="387">
        <v>845</v>
      </c>
      <c r="Q192" s="387">
        <v>6</v>
      </c>
      <c r="R192" s="387">
        <v>30</v>
      </c>
      <c r="S192" s="1174">
        <f>Locations[[#This Row],[Ind_Returnees]]+Locations[[#This Row],[Ind_Refugees]]+Locations[[#This Row],[Ind_IDPs]]</f>
        <v>1175</v>
      </c>
    </row>
    <row r="193" spans="1:19" s="388" customFormat="1" x14ac:dyDescent="0.3">
      <c r="A193" s="5" t="s">
        <v>533</v>
      </c>
      <c r="B193" s="1430" t="s">
        <v>3449</v>
      </c>
      <c r="C193" s="1090" t="s">
        <v>534</v>
      </c>
      <c r="D193" s="5" t="s">
        <v>31</v>
      </c>
      <c r="E193" s="5" t="s">
        <v>31</v>
      </c>
      <c r="F193" s="5" t="s">
        <v>549</v>
      </c>
      <c r="G193" s="5" t="s">
        <v>171</v>
      </c>
      <c r="H193" s="5" t="s">
        <v>171</v>
      </c>
      <c r="I193" s="5" t="s">
        <v>634</v>
      </c>
      <c r="J193" t="s">
        <v>2820</v>
      </c>
      <c r="K193" s="5" t="s">
        <v>1288</v>
      </c>
      <c r="L193" s="5"/>
      <c r="M193" s="387">
        <v>12</v>
      </c>
      <c r="N193" s="387">
        <v>89</v>
      </c>
      <c r="O193" s="387">
        <v>0</v>
      </c>
      <c r="P193" s="387">
        <v>0</v>
      </c>
      <c r="Q193" s="387">
        <v>0</v>
      </c>
      <c r="R193" s="387">
        <v>0</v>
      </c>
      <c r="S193" s="1174">
        <f>Locations[[#This Row],[Ind_Returnees]]+Locations[[#This Row],[Ind_Refugees]]+Locations[[#This Row],[Ind_IDPs]]</f>
        <v>89</v>
      </c>
    </row>
    <row r="194" spans="1:19" s="388" customFormat="1" x14ac:dyDescent="0.3">
      <c r="A194" s="577" t="s">
        <v>533</v>
      </c>
      <c r="B194" s="1430" t="s">
        <v>3449</v>
      </c>
      <c r="C194" s="577" t="s">
        <v>534</v>
      </c>
      <c r="D194" s="577" t="s">
        <v>31</v>
      </c>
      <c r="E194" s="577" t="s">
        <v>31</v>
      </c>
      <c r="F194" s="577" t="s">
        <v>549</v>
      </c>
      <c r="G194" s="577" t="s">
        <v>166</v>
      </c>
      <c r="H194" s="577" t="s">
        <v>166</v>
      </c>
      <c r="I194" s="577" t="s">
        <v>844</v>
      </c>
      <c r="J194" s="577" t="s">
        <v>1139</v>
      </c>
      <c r="K194" s="577" t="s">
        <v>925</v>
      </c>
      <c r="L194" s="577"/>
      <c r="M194" s="387">
        <v>38</v>
      </c>
      <c r="N194" s="387">
        <v>124</v>
      </c>
      <c r="O194" s="387">
        <v>0</v>
      </c>
      <c r="P194" s="387">
        <v>0</v>
      </c>
      <c r="Q194" s="387">
        <v>0</v>
      </c>
      <c r="R194" s="387">
        <v>0</v>
      </c>
      <c r="S194" s="1174">
        <f>Locations[[#This Row],[Ind_Returnees]]+Locations[[#This Row],[Ind_Refugees]]+Locations[[#This Row],[Ind_IDPs]]</f>
        <v>124</v>
      </c>
    </row>
    <row r="195" spans="1:19" s="388" customFormat="1" x14ac:dyDescent="0.3">
      <c r="A195" s="5" t="s">
        <v>533</v>
      </c>
      <c r="B195" s="1430" t="s">
        <v>3449</v>
      </c>
      <c r="C195" s="1090" t="s">
        <v>534</v>
      </c>
      <c r="D195" s="5" t="s">
        <v>31</v>
      </c>
      <c r="E195" s="5" t="s">
        <v>31</v>
      </c>
      <c r="F195" s="5" t="s">
        <v>549</v>
      </c>
      <c r="G195" s="5" t="s">
        <v>171</v>
      </c>
      <c r="H195" s="5" t="s">
        <v>171</v>
      </c>
      <c r="I195" s="5" t="s">
        <v>634</v>
      </c>
      <c r="J195" t="s">
        <v>889</v>
      </c>
      <c r="K195" s="5" t="s">
        <v>925</v>
      </c>
      <c r="L195" s="5"/>
      <c r="M195" s="387">
        <v>38</v>
      </c>
      <c r="N195" s="387">
        <v>135</v>
      </c>
      <c r="O195" s="387">
        <v>0</v>
      </c>
      <c r="P195" s="387">
        <v>0</v>
      </c>
      <c r="Q195" s="387">
        <v>0</v>
      </c>
      <c r="R195" s="387">
        <v>0</v>
      </c>
      <c r="S195" s="1174">
        <f>Locations[[#This Row],[Ind_Returnees]]+Locations[[#This Row],[Ind_Refugees]]+Locations[[#This Row],[Ind_IDPs]]</f>
        <v>135</v>
      </c>
    </row>
    <row r="196" spans="1:19" s="388" customFormat="1" x14ac:dyDescent="0.3">
      <c r="A196" s="5" t="s">
        <v>533</v>
      </c>
      <c r="B196" s="1430" t="s">
        <v>3449</v>
      </c>
      <c r="C196" s="1090" t="s">
        <v>534</v>
      </c>
      <c r="D196" s="5" t="s">
        <v>31</v>
      </c>
      <c r="E196" s="5" t="s">
        <v>31</v>
      </c>
      <c r="F196" s="5" t="s">
        <v>549</v>
      </c>
      <c r="G196" s="1090" t="s">
        <v>165</v>
      </c>
      <c r="H196" s="1090" t="s">
        <v>165</v>
      </c>
      <c r="I196" s="5" t="s">
        <v>881</v>
      </c>
      <c r="J196" t="s">
        <v>1840</v>
      </c>
      <c r="K196" s="5" t="s">
        <v>1841</v>
      </c>
      <c r="L196" s="5"/>
      <c r="M196" s="387">
        <v>0</v>
      </c>
      <c r="N196" s="387">
        <v>0</v>
      </c>
      <c r="O196" s="387">
        <v>0</v>
      </c>
      <c r="P196" s="387">
        <v>0</v>
      </c>
      <c r="Q196" s="387">
        <v>0</v>
      </c>
      <c r="R196" s="387">
        <v>0</v>
      </c>
      <c r="S196" s="1174">
        <f>Locations[[#This Row],[Ind_Returnees]]+Locations[[#This Row],[Ind_Refugees]]+Locations[[#This Row],[Ind_IDPs]]</f>
        <v>0</v>
      </c>
    </row>
    <row r="197" spans="1:19" s="388" customFormat="1" x14ac:dyDescent="0.3">
      <c r="A197" s="577" t="s">
        <v>533</v>
      </c>
      <c r="B197" s="1430" t="s">
        <v>3449</v>
      </c>
      <c r="C197" s="577" t="s">
        <v>534</v>
      </c>
      <c r="D197" s="577" t="s">
        <v>31</v>
      </c>
      <c r="E197" s="577" t="s">
        <v>31</v>
      </c>
      <c r="F197" s="577" t="s">
        <v>549</v>
      </c>
      <c r="G197" s="1090" t="s">
        <v>166</v>
      </c>
      <c r="H197" s="1090" t="s">
        <v>166</v>
      </c>
      <c r="I197" s="577" t="s">
        <v>844</v>
      </c>
      <c r="J197" s="577" t="s">
        <v>1118</v>
      </c>
      <c r="K197" s="577" t="s">
        <v>942</v>
      </c>
      <c r="L197" s="577"/>
      <c r="M197" s="387">
        <v>1</v>
      </c>
      <c r="N197" s="387">
        <v>8</v>
      </c>
      <c r="O197" s="387">
        <v>17</v>
      </c>
      <c r="P197" s="387">
        <v>93</v>
      </c>
      <c r="Q197" s="387">
        <v>0</v>
      </c>
      <c r="R197" s="387">
        <v>0</v>
      </c>
      <c r="S197" s="1174">
        <f>Locations[[#This Row],[Ind_Returnees]]+Locations[[#This Row],[Ind_Refugees]]+Locations[[#This Row],[Ind_IDPs]]</f>
        <v>101</v>
      </c>
    </row>
    <row r="198" spans="1:19" s="388" customFormat="1" x14ac:dyDescent="0.3">
      <c r="A198" s="5" t="s">
        <v>533</v>
      </c>
      <c r="B198" s="1430" t="s">
        <v>3449</v>
      </c>
      <c r="C198" s="398" t="s">
        <v>534</v>
      </c>
      <c r="D198" s="5" t="s">
        <v>31</v>
      </c>
      <c r="E198" s="5" t="s">
        <v>31</v>
      </c>
      <c r="F198" s="5" t="s">
        <v>549</v>
      </c>
      <c r="G198" s="1090" t="s">
        <v>172</v>
      </c>
      <c r="H198" s="1090" t="s">
        <v>172</v>
      </c>
      <c r="I198" s="5" t="s">
        <v>706</v>
      </c>
      <c r="J198" t="s">
        <v>2253</v>
      </c>
      <c r="K198" s="5" t="s">
        <v>2703</v>
      </c>
      <c r="L198" s="5"/>
      <c r="M198" s="387">
        <v>0</v>
      </c>
      <c r="N198" s="387">
        <v>0</v>
      </c>
      <c r="O198" s="387">
        <v>0</v>
      </c>
      <c r="P198" s="387">
        <v>0</v>
      </c>
      <c r="Q198" s="387">
        <v>0</v>
      </c>
      <c r="R198" s="387">
        <v>0</v>
      </c>
      <c r="S198" s="1174">
        <f>Locations[[#This Row],[Ind_Returnees]]+Locations[[#This Row],[Ind_Refugees]]+Locations[[#This Row],[Ind_IDPs]]</f>
        <v>0</v>
      </c>
    </row>
    <row r="199" spans="1:19" s="388" customFormat="1" x14ac:dyDescent="0.3">
      <c r="A199" s="5" t="s">
        <v>533</v>
      </c>
      <c r="B199" s="1430" t="s">
        <v>3449</v>
      </c>
      <c r="C199" s="398" t="s">
        <v>534</v>
      </c>
      <c r="D199" s="5" t="s">
        <v>31</v>
      </c>
      <c r="E199" s="5" t="s">
        <v>31</v>
      </c>
      <c r="F199" s="5" t="s">
        <v>549</v>
      </c>
      <c r="G199" s="1090" t="s">
        <v>172</v>
      </c>
      <c r="H199" s="1090" t="s">
        <v>172</v>
      </c>
      <c r="I199" s="5" t="s">
        <v>706</v>
      </c>
      <c r="J199" t="s">
        <v>2821</v>
      </c>
      <c r="K199" s="5" t="s">
        <v>2250</v>
      </c>
      <c r="L199" s="5"/>
      <c r="M199" s="387">
        <v>0</v>
      </c>
      <c r="N199" s="387">
        <v>0</v>
      </c>
      <c r="O199" s="387">
        <v>0</v>
      </c>
      <c r="P199" s="387">
        <v>0</v>
      </c>
      <c r="Q199" s="387">
        <v>0</v>
      </c>
      <c r="R199" s="387">
        <v>0</v>
      </c>
      <c r="S199" s="1174">
        <f>Locations[[#This Row],[Ind_Returnees]]+Locations[[#This Row],[Ind_Refugees]]+Locations[[#This Row],[Ind_IDPs]]</f>
        <v>0</v>
      </c>
    </row>
    <row r="200" spans="1:19" s="388" customFormat="1" x14ac:dyDescent="0.3">
      <c r="A200" s="5" t="s">
        <v>533</v>
      </c>
      <c r="B200" s="1430" t="s">
        <v>3449</v>
      </c>
      <c r="C200" s="1090" t="s">
        <v>534</v>
      </c>
      <c r="D200" s="5" t="s">
        <v>35</v>
      </c>
      <c r="E200" s="5" t="s">
        <v>35</v>
      </c>
      <c r="F200" s="5" t="s">
        <v>567</v>
      </c>
      <c r="G200" s="1090" t="s">
        <v>195</v>
      </c>
      <c r="H200" s="1090" t="s">
        <v>195</v>
      </c>
      <c r="I200" s="5" t="s">
        <v>733</v>
      </c>
      <c r="J200" t="s">
        <v>1622</v>
      </c>
      <c r="K200" s="5" t="s">
        <v>1942</v>
      </c>
      <c r="L200" s="5"/>
      <c r="M200" s="387">
        <v>29</v>
      </c>
      <c r="N200" s="387">
        <v>100</v>
      </c>
      <c r="O200" s="387">
        <v>1</v>
      </c>
      <c r="P200" s="387">
        <v>2</v>
      </c>
      <c r="Q200" s="387">
        <v>2</v>
      </c>
      <c r="R200" s="387">
        <v>18</v>
      </c>
      <c r="S200" s="1174">
        <f>Locations[[#This Row],[Ind_Returnees]]+Locations[[#This Row],[Ind_Refugees]]+Locations[[#This Row],[Ind_IDPs]]</f>
        <v>120</v>
      </c>
    </row>
    <row r="201" spans="1:19" s="388" customFormat="1" x14ac:dyDescent="0.3">
      <c r="A201" s="5" t="s">
        <v>533</v>
      </c>
      <c r="B201" s="1430" t="s">
        <v>3449</v>
      </c>
      <c r="C201" s="1090" t="s">
        <v>534</v>
      </c>
      <c r="D201" s="5" t="s">
        <v>34</v>
      </c>
      <c r="E201" s="5" t="s">
        <v>34</v>
      </c>
      <c r="F201" s="5" t="s">
        <v>539</v>
      </c>
      <c r="G201" s="1090" t="s">
        <v>188</v>
      </c>
      <c r="H201" s="1090" t="s">
        <v>188</v>
      </c>
      <c r="I201" s="5" t="s">
        <v>546</v>
      </c>
      <c r="J201" t="s">
        <v>1310</v>
      </c>
      <c r="K201" s="5" t="s">
        <v>1355</v>
      </c>
      <c r="L201" s="5"/>
      <c r="M201" s="387">
        <v>100</v>
      </c>
      <c r="N201" s="387">
        <v>725</v>
      </c>
      <c r="O201" s="387">
        <v>0</v>
      </c>
      <c r="P201" s="387">
        <v>0</v>
      </c>
      <c r="Q201" s="387">
        <v>0</v>
      </c>
      <c r="R201" s="387">
        <v>0</v>
      </c>
      <c r="S201" s="1174">
        <f>Locations[[#This Row],[Ind_Returnees]]+Locations[[#This Row],[Ind_Refugees]]+Locations[[#This Row],[Ind_IDPs]]</f>
        <v>725</v>
      </c>
    </row>
    <row r="202" spans="1:19" s="388" customFormat="1" x14ac:dyDescent="0.3">
      <c r="A202" s="5" t="s">
        <v>533</v>
      </c>
      <c r="B202" s="1430" t="s">
        <v>3449</v>
      </c>
      <c r="C202" s="1090" t="s">
        <v>534</v>
      </c>
      <c r="D202" s="5" t="s">
        <v>31</v>
      </c>
      <c r="E202" s="5" t="s">
        <v>31</v>
      </c>
      <c r="F202" s="5" t="s">
        <v>549</v>
      </c>
      <c r="G202" s="1090" t="s">
        <v>169</v>
      </c>
      <c r="H202" s="1090" t="s">
        <v>169</v>
      </c>
      <c r="I202" s="5" t="s">
        <v>673</v>
      </c>
      <c r="J202" t="s">
        <v>3024</v>
      </c>
      <c r="K202" s="5" t="s">
        <v>2327</v>
      </c>
      <c r="L202" s="5"/>
      <c r="M202" s="387">
        <v>0</v>
      </c>
      <c r="N202" s="387">
        <v>0</v>
      </c>
      <c r="O202" s="387">
        <v>0</v>
      </c>
      <c r="P202" s="387">
        <v>0</v>
      </c>
      <c r="Q202" s="387">
        <v>179</v>
      </c>
      <c r="R202" s="387">
        <v>1130</v>
      </c>
      <c r="S202" s="1174">
        <f>Locations[[#This Row],[Ind_Returnees]]+Locations[[#This Row],[Ind_Refugees]]+Locations[[#This Row],[Ind_IDPs]]</f>
        <v>1130</v>
      </c>
    </row>
    <row r="203" spans="1:19" s="388" customFormat="1" x14ac:dyDescent="0.3">
      <c r="A203" s="5" t="s">
        <v>533</v>
      </c>
      <c r="B203" s="1430" t="s">
        <v>3449</v>
      </c>
      <c r="C203" s="398" t="s">
        <v>534</v>
      </c>
      <c r="D203" s="5" t="s">
        <v>31</v>
      </c>
      <c r="E203" s="5" t="s">
        <v>31</v>
      </c>
      <c r="F203" s="5" t="s">
        <v>549</v>
      </c>
      <c r="G203" s="1090" t="s">
        <v>164</v>
      </c>
      <c r="H203" s="1090" t="s">
        <v>164</v>
      </c>
      <c r="I203" s="5" t="s">
        <v>748</v>
      </c>
      <c r="J203" t="s">
        <v>749</v>
      </c>
      <c r="K203" s="5" t="s">
        <v>750</v>
      </c>
      <c r="L203" s="5"/>
      <c r="M203" s="387">
        <v>7</v>
      </c>
      <c r="N203" s="387">
        <v>28</v>
      </c>
      <c r="O203" s="387">
        <v>2</v>
      </c>
      <c r="P203" s="387">
        <v>5</v>
      </c>
      <c r="Q203" s="387">
        <v>0</v>
      </c>
      <c r="R203" s="387">
        <v>0</v>
      </c>
      <c r="S203" s="1174">
        <f>Locations[[#This Row],[Ind_Returnees]]+Locations[[#This Row],[Ind_Refugees]]+Locations[[#This Row],[Ind_IDPs]]</f>
        <v>33</v>
      </c>
    </row>
    <row r="204" spans="1:19" s="388" customFormat="1" x14ac:dyDescent="0.3">
      <c r="A204" s="5" t="s">
        <v>533</v>
      </c>
      <c r="B204" s="1430" t="s">
        <v>3449</v>
      </c>
      <c r="C204" s="1090" t="s">
        <v>534</v>
      </c>
      <c r="D204" s="5" t="s">
        <v>31</v>
      </c>
      <c r="E204" s="5" t="s">
        <v>31</v>
      </c>
      <c r="F204" s="5" t="s">
        <v>549</v>
      </c>
      <c r="G204" s="1090" t="s">
        <v>171</v>
      </c>
      <c r="H204" s="1090" t="s">
        <v>171</v>
      </c>
      <c r="I204" s="5" t="s">
        <v>634</v>
      </c>
      <c r="J204" t="s">
        <v>2823</v>
      </c>
      <c r="K204" s="5" t="s">
        <v>1277</v>
      </c>
      <c r="L204" s="5"/>
      <c r="M204" s="387">
        <v>7</v>
      </c>
      <c r="N204" s="387">
        <v>20</v>
      </c>
      <c r="O204" s="387">
        <v>0</v>
      </c>
      <c r="P204" s="387">
        <v>0</v>
      </c>
      <c r="Q204" s="387">
        <v>0</v>
      </c>
      <c r="R204" s="387">
        <v>0</v>
      </c>
      <c r="S204" s="1174">
        <f>Locations[[#This Row],[Ind_Returnees]]+Locations[[#This Row],[Ind_Refugees]]+Locations[[#This Row],[Ind_IDPs]]</f>
        <v>20</v>
      </c>
    </row>
    <row r="205" spans="1:19" s="388" customFormat="1" x14ac:dyDescent="0.3">
      <c r="A205" s="5" t="s">
        <v>533</v>
      </c>
      <c r="B205" s="1430" t="s">
        <v>3449</v>
      </c>
      <c r="C205" s="1090" t="s">
        <v>534</v>
      </c>
      <c r="D205" s="5" t="s">
        <v>31</v>
      </c>
      <c r="E205" s="5" t="s">
        <v>31</v>
      </c>
      <c r="F205" s="5" t="s">
        <v>549</v>
      </c>
      <c r="G205" s="1090" t="s">
        <v>171</v>
      </c>
      <c r="H205" s="1090" t="s">
        <v>171</v>
      </c>
      <c r="I205" s="5" t="s">
        <v>634</v>
      </c>
      <c r="J205" t="s">
        <v>1276</v>
      </c>
      <c r="K205" s="5" t="s">
        <v>1897</v>
      </c>
      <c r="L205" s="5"/>
      <c r="M205" s="387">
        <v>14</v>
      </c>
      <c r="N205" s="387">
        <v>70</v>
      </c>
      <c r="O205" s="387">
        <v>51</v>
      </c>
      <c r="P205" s="387">
        <v>431</v>
      </c>
      <c r="Q205" s="387">
        <v>0</v>
      </c>
      <c r="R205" s="387">
        <v>0</v>
      </c>
      <c r="S205" s="1174">
        <f>Locations[[#This Row],[Ind_Returnees]]+Locations[[#This Row],[Ind_Refugees]]+Locations[[#This Row],[Ind_IDPs]]</f>
        <v>501</v>
      </c>
    </row>
    <row r="206" spans="1:19" s="388" customFormat="1" x14ac:dyDescent="0.3">
      <c r="A206" s="5" t="s">
        <v>533</v>
      </c>
      <c r="B206" s="1430" t="s">
        <v>3449</v>
      </c>
      <c r="C206" s="398" t="s">
        <v>534</v>
      </c>
      <c r="D206" s="5" t="s">
        <v>34</v>
      </c>
      <c r="E206" s="5" t="s">
        <v>34</v>
      </c>
      <c r="F206" s="5" t="s">
        <v>539</v>
      </c>
      <c r="G206" s="1090" t="s">
        <v>188</v>
      </c>
      <c r="H206" s="1090" t="s">
        <v>188</v>
      </c>
      <c r="I206" s="5" t="s">
        <v>546</v>
      </c>
      <c r="J206" t="s">
        <v>1145</v>
      </c>
      <c r="K206" s="5" t="s">
        <v>2667</v>
      </c>
      <c r="L206" s="5"/>
      <c r="M206" s="387">
        <v>0</v>
      </c>
      <c r="N206" s="387">
        <v>0</v>
      </c>
      <c r="O206" s="387">
        <v>0</v>
      </c>
      <c r="P206" s="387">
        <v>0</v>
      </c>
      <c r="Q206" s="387">
        <v>0</v>
      </c>
      <c r="R206" s="387">
        <v>0</v>
      </c>
      <c r="S206" s="1174">
        <f>Locations[[#This Row],[Ind_Returnees]]+Locations[[#This Row],[Ind_Refugees]]+Locations[[#This Row],[Ind_IDPs]]</f>
        <v>0</v>
      </c>
    </row>
    <row r="207" spans="1:19" s="388" customFormat="1" x14ac:dyDescent="0.3">
      <c r="A207" s="5" t="s">
        <v>533</v>
      </c>
      <c r="B207" s="1430" t="s">
        <v>3449</v>
      </c>
      <c r="C207" s="398" t="s">
        <v>534</v>
      </c>
      <c r="D207" s="5" t="s">
        <v>31</v>
      </c>
      <c r="E207" s="5" t="s">
        <v>31</v>
      </c>
      <c r="F207" s="5" t="s">
        <v>549</v>
      </c>
      <c r="G207" s="1090" t="s">
        <v>173</v>
      </c>
      <c r="H207" s="1090" t="s">
        <v>173</v>
      </c>
      <c r="I207" s="5" t="s">
        <v>556</v>
      </c>
      <c r="J207" t="s">
        <v>1432</v>
      </c>
      <c r="K207" s="5" t="s">
        <v>1537</v>
      </c>
      <c r="L207" s="5"/>
      <c r="M207" s="387">
        <v>0</v>
      </c>
      <c r="N207" s="387">
        <v>0</v>
      </c>
      <c r="O207" s="387">
        <v>0</v>
      </c>
      <c r="P207" s="387">
        <v>0</v>
      </c>
      <c r="Q207" s="387">
        <v>0</v>
      </c>
      <c r="R207" s="387">
        <v>0</v>
      </c>
      <c r="S207" s="1174">
        <f>Locations[[#This Row],[Ind_Returnees]]+Locations[[#This Row],[Ind_Refugees]]+Locations[[#This Row],[Ind_IDPs]]</f>
        <v>0</v>
      </c>
    </row>
    <row r="208" spans="1:19" s="388" customFormat="1" x14ac:dyDescent="0.3">
      <c r="A208" s="5" t="s">
        <v>533</v>
      </c>
      <c r="B208" s="1430" t="s">
        <v>3449</v>
      </c>
      <c r="C208" s="1090" t="s">
        <v>534</v>
      </c>
      <c r="D208" s="5" t="s">
        <v>32</v>
      </c>
      <c r="E208" s="5" t="s">
        <v>32</v>
      </c>
      <c r="F208" s="5" t="s">
        <v>542</v>
      </c>
      <c r="G208" s="1090" t="s">
        <v>178</v>
      </c>
      <c r="H208" s="1090" t="s">
        <v>178</v>
      </c>
      <c r="I208" s="5" t="s">
        <v>543</v>
      </c>
      <c r="J208" t="s">
        <v>3194</v>
      </c>
      <c r="K208" s="5" t="s">
        <v>2792</v>
      </c>
      <c r="L208" s="5"/>
      <c r="M208" s="387">
        <v>0</v>
      </c>
      <c r="N208" s="387">
        <v>0</v>
      </c>
      <c r="O208" s="387">
        <v>0</v>
      </c>
      <c r="P208" s="387">
        <v>0</v>
      </c>
      <c r="Q208" s="387">
        <v>160</v>
      </c>
      <c r="R208" s="387">
        <v>1200</v>
      </c>
      <c r="S208" s="1174">
        <f>Locations[[#This Row],[Ind_Returnees]]+Locations[[#This Row],[Ind_Refugees]]+Locations[[#This Row],[Ind_IDPs]]</f>
        <v>1200</v>
      </c>
    </row>
    <row r="209" spans="1:19" s="388" customFormat="1" x14ac:dyDescent="0.3">
      <c r="A209" s="5" t="s">
        <v>533</v>
      </c>
      <c r="B209" s="1430" t="s">
        <v>3449</v>
      </c>
      <c r="C209" s="398" t="s">
        <v>534</v>
      </c>
      <c r="D209" s="5" t="s">
        <v>31</v>
      </c>
      <c r="E209" s="5" t="s">
        <v>31</v>
      </c>
      <c r="F209" s="5" t="s">
        <v>549</v>
      </c>
      <c r="G209" s="1090" t="s">
        <v>166</v>
      </c>
      <c r="H209" s="1090" t="s">
        <v>166</v>
      </c>
      <c r="I209" s="5" t="s">
        <v>844</v>
      </c>
      <c r="J209" t="s">
        <v>2824</v>
      </c>
      <c r="K209" s="5" t="s">
        <v>1014</v>
      </c>
      <c r="L209" s="5"/>
      <c r="M209" s="387">
        <v>75</v>
      </c>
      <c r="N209" s="387">
        <v>428</v>
      </c>
      <c r="O209" s="387">
        <v>0</v>
      </c>
      <c r="P209" s="387">
        <v>0</v>
      </c>
      <c r="Q209" s="387">
        <v>0</v>
      </c>
      <c r="R209" s="387">
        <v>0</v>
      </c>
      <c r="S209" s="1174">
        <f>Locations[[#This Row],[Ind_Returnees]]+Locations[[#This Row],[Ind_Refugees]]+Locations[[#This Row],[Ind_IDPs]]</f>
        <v>428</v>
      </c>
    </row>
    <row r="210" spans="1:19" s="388" customFormat="1" x14ac:dyDescent="0.3">
      <c r="A210" s="5" t="s">
        <v>533</v>
      </c>
      <c r="B210" s="1430" t="s">
        <v>3449</v>
      </c>
      <c r="C210" s="398" t="s">
        <v>534</v>
      </c>
      <c r="D210" s="5" t="s">
        <v>31</v>
      </c>
      <c r="E210" s="5" t="s">
        <v>31</v>
      </c>
      <c r="F210" s="5" t="s">
        <v>549</v>
      </c>
      <c r="G210" s="1090" t="s">
        <v>164</v>
      </c>
      <c r="H210" s="1090" t="s">
        <v>164</v>
      </c>
      <c r="I210" s="5" t="s">
        <v>748</v>
      </c>
      <c r="J210" t="s">
        <v>2038</v>
      </c>
      <c r="K210" s="5" t="s">
        <v>2039</v>
      </c>
      <c r="L210" s="5"/>
      <c r="M210" s="387">
        <v>900</v>
      </c>
      <c r="N210" s="387">
        <v>5010</v>
      </c>
      <c r="O210" s="387">
        <v>152</v>
      </c>
      <c r="P210" s="387">
        <v>410</v>
      </c>
      <c r="Q210" s="387">
        <v>140</v>
      </c>
      <c r="R210" s="387">
        <v>500</v>
      </c>
      <c r="S210" s="1174">
        <f>Locations[[#This Row],[Ind_Returnees]]+Locations[[#This Row],[Ind_Refugees]]+Locations[[#This Row],[Ind_IDPs]]</f>
        <v>5920</v>
      </c>
    </row>
    <row r="211" spans="1:19" s="388" customFormat="1" x14ac:dyDescent="0.3">
      <c r="A211" s="5" t="s">
        <v>533</v>
      </c>
      <c r="B211" s="1430" t="s">
        <v>3449</v>
      </c>
      <c r="C211" s="1090" t="s">
        <v>534</v>
      </c>
      <c r="D211" s="5" t="s">
        <v>31</v>
      </c>
      <c r="E211" s="5" t="s">
        <v>31</v>
      </c>
      <c r="F211" s="5" t="s">
        <v>549</v>
      </c>
      <c r="G211" s="1090" t="s">
        <v>164</v>
      </c>
      <c r="H211" s="1090" t="s">
        <v>164</v>
      </c>
      <c r="I211" s="5" t="s">
        <v>748</v>
      </c>
      <c r="J211" t="s">
        <v>1189</v>
      </c>
      <c r="K211" s="5" t="s">
        <v>1190</v>
      </c>
      <c r="L211" s="5"/>
      <c r="M211" s="387">
        <v>6</v>
      </c>
      <c r="N211" s="387">
        <v>46</v>
      </c>
      <c r="O211" s="387">
        <v>0</v>
      </c>
      <c r="P211" s="387">
        <v>0</v>
      </c>
      <c r="Q211" s="387">
        <v>0</v>
      </c>
      <c r="R211" s="387">
        <v>0</v>
      </c>
      <c r="S211" s="1174">
        <f>Locations[[#This Row],[Ind_Returnees]]+Locations[[#This Row],[Ind_Refugees]]+Locations[[#This Row],[Ind_IDPs]]</f>
        <v>46</v>
      </c>
    </row>
    <row r="212" spans="1:19" s="388" customFormat="1" x14ac:dyDescent="0.3">
      <c r="A212" s="5" t="s">
        <v>533</v>
      </c>
      <c r="B212" s="1430" t="s">
        <v>3449</v>
      </c>
      <c r="C212" s="1090" t="s">
        <v>534</v>
      </c>
      <c r="D212" s="5" t="s">
        <v>31</v>
      </c>
      <c r="E212" s="5" t="s">
        <v>31</v>
      </c>
      <c r="F212" s="5" t="s">
        <v>549</v>
      </c>
      <c r="G212" s="1090" t="s">
        <v>164</v>
      </c>
      <c r="H212" s="1090" t="s">
        <v>164</v>
      </c>
      <c r="I212" s="5" t="s">
        <v>748</v>
      </c>
      <c r="J212" t="s">
        <v>2825</v>
      </c>
      <c r="K212" s="5" t="s">
        <v>2040</v>
      </c>
      <c r="L212" s="5"/>
      <c r="M212" s="387">
        <v>4</v>
      </c>
      <c r="N212" s="387">
        <v>28</v>
      </c>
      <c r="O212" s="387">
        <v>0</v>
      </c>
      <c r="P212" s="387">
        <v>0</v>
      </c>
      <c r="Q212" s="387">
        <v>0</v>
      </c>
      <c r="R212" s="387">
        <v>0</v>
      </c>
      <c r="S212" s="1174">
        <f>Locations[[#This Row],[Ind_Returnees]]+Locations[[#This Row],[Ind_Refugees]]+Locations[[#This Row],[Ind_IDPs]]</f>
        <v>28</v>
      </c>
    </row>
    <row r="213" spans="1:19" s="388" customFormat="1" x14ac:dyDescent="0.3">
      <c r="A213" s="5" t="s">
        <v>533</v>
      </c>
      <c r="B213" s="1430" t="s">
        <v>3449</v>
      </c>
      <c r="C213" s="398" t="s">
        <v>534</v>
      </c>
      <c r="D213" s="5" t="s">
        <v>31</v>
      </c>
      <c r="E213" s="5" t="s">
        <v>31</v>
      </c>
      <c r="F213" s="5" t="s">
        <v>549</v>
      </c>
      <c r="G213" s="1090" t="s">
        <v>171</v>
      </c>
      <c r="H213" s="1090" t="s">
        <v>171</v>
      </c>
      <c r="I213" s="5" t="s">
        <v>634</v>
      </c>
      <c r="J213" t="s">
        <v>2826</v>
      </c>
      <c r="K213" s="5" t="s">
        <v>2201</v>
      </c>
      <c r="L213" s="5"/>
      <c r="M213" s="387">
        <v>0</v>
      </c>
      <c r="N213" s="387">
        <v>0</v>
      </c>
      <c r="O213" s="387">
        <v>47</v>
      </c>
      <c r="P213" s="387">
        <v>422</v>
      </c>
      <c r="Q213" s="387">
        <v>0</v>
      </c>
      <c r="R213" s="387">
        <v>0</v>
      </c>
      <c r="S213" s="1174">
        <f>Locations[[#This Row],[Ind_Returnees]]+Locations[[#This Row],[Ind_Refugees]]+Locations[[#This Row],[Ind_IDPs]]</f>
        <v>422</v>
      </c>
    </row>
    <row r="214" spans="1:19" s="388" customFormat="1" x14ac:dyDescent="0.3">
      <c r="A214" s="5" t="s">
        <v>533</v>
      </c>
      <c r="B214" s="1430" t="s">
        <v>3449</v>
      </c>
      <c r="C214" s="398" t="s">
        <v>534</v>
      </c>
      <c r="D214" s="5" t="s">
        <v>31</v>
      </c>
      <c r="E214" s="5" t="s">
        <v>31</v>
      </c>
      <c r="F214" s="5" t="s">
        <v>549</v>
      </c>
      <c r="G214" s="1090" t="s">
        <v>171</v>
      </c>
      <c r="H214" s="1090" t="s">
        <v>171</v>
      </c>
      <c r="I214" s="5" t="s">
        <v>634</v>
      </c>
      <c r="J214" t="s">
        <v>1896</v>
      </c>
      <c r="K214" s="5" t="s">
        <v>1338</v>
      </c>
      <c r="L214" s="5"/>
      <c r="M214" s="387">
        <v>7</v>
      </c>
      <c r="N214" s="387">
        <v>30</v>
      </c>
      <c r="O214" s="387">
        <v>13</v>
      </c>
      <c r="P214" s="387">
        <v>68</v>
      </c>
      <c r="Q214" s="387">
        <v>0</v>
      </c>
      <c r="R214" s="387">
        <v>0</v>
      </c>
      <c r="S214" s="1174">
        <f>Locations[[#This Row],[Ind_Returnees]]+Locations[[#This Row],[Ind_Refugees]]+Locations[[#This Row],[Ind_IDPs]]</f>
        <v>98</v>
      </c>
    </row>
    <row r="215" spans="1:19" s="388" customFormat="1" x14ac:dyDescent="0.3">
      <c r="A215" s="5" t="s">
        <v>533</v>
      </c>
      <c r="B215" s="1430" t="s">
        <v>3449</v>
      </c>
      <c r="C215" s="398" t="s">
        <v>534</v>
      </c>
      <c r="D215" s="5" t="s">
        <v>31</v>
      </c>
      <c r="E215" s="5" t="s">
        <v>31</v>
      </c>
      <c r="F215" s="5" t="s">
        <v>549</v>
      </c>
      <c r="G215" s="1090" t="s">
        <v>171</v>
      </c>
      <c r="H215" s="1090" t="s">
        <v>171</v>
      </c>
      <c r="I215" s="5" t="s">
        <v>634</v>
      </c>
      <c r="J215" t="s">
        <v>1337</v>
      </c>
      <c r="K215" s="5" t="s">
        <v>1426</v>
      </c>
      <c r="L215" s="5"/>
      <c r="M215" s="387">
        <v>40</v>
      </c>
      <c r="N215" s="387">
        <v>301</v>
      </c>
      <c r="O215" s="387">
        <v>185</v>
      </c>
      <c r="P215" s="387">
        <v>1122</v>
      </c>
      <c r="Q215" s="387">
        <v>10</v>
      </c>
      <c r="R215" s="387">
        <v>51</v>
      </c>
      <c r="S215" s="1174">
        <f>Locations[[#This Row],[Ind_Returnees]]+Locations[[#This Row],[Ind_Refugees]]+Locations[[#This Row],[Ind_IDPs]]</f>
        <v>1474</v>
      </c>
    </row>
    <row r="216" spans="1:19" s="388" customFormat="1" x14ac:dyDescent="0.3">
      <c r="A216" s="5" t="s">
        <v>533</v>
      </c>
      <c r="B216" s="1430" t="s">
        <v>3449</v>
      </c>
      <c r="C216" s="398" t="s">
        <v>534</v>
      </c>
      <c r="D216" s="5" t="s">
        <v>30</v>
      </c>
      <c r="E216" s="5" t="s">
        <v>3522</v>
      </c>
      <c r="F216" s="5" t="s">
        <v>535</v>
      </c>
      <c r="G216" s="1090" t="s">
        <v>156</v>
      </c>
      <c r="H216" s="1090" t="s">
        <v>156</v>
      </c>
      <c r="I216" s="5" t="s">
        <v>697</v>
      </c>
      <c r="J216" t="s">
        <v>2827</v>
      </c>
      <c r="K216" s="5" t="s">
        <v>1573</v>
      </c>
      <c r="L216" s="5"/>
      <c r="M216" s="387">
        <v>8</v>
      </c>
      <c r="N216" s="387">
        <v>58</v>
      </c>
      <c r="O216" s="387">
        <v>0</v>
      </c>
      <c r="P216" s="387">
        <v>0</v>
      </c>
      <c r="Q216" s="387">
        <v>0</v>
      </c>
      <c r="R216" s="387">
        <v>0</v>
      </c>
      <c r="S216" s="1174">
        <f>Locations[[#This Row],[Ind_Returnees]]+Locations[[#This Row],[Ind_Refugees]]+Locations[[#This Row],[Ind_IDPs]]</f>
        <v>58</v>
      </c>
    </row>
    <row r="217" spans="1:19" s="388" customFormat="1" x14ac:dyDescent="0.3">
      <c r="A217" s="5" t="s">
        <v>533</v>
      </c>
      <c r="B217" s="1430" t="s">
        <v>3449</v>
      </c>
      <c r="C217" s="1090" t="s">
        <v>534</v>
      </c>
      <c r="D217" s="5" t="s">
        <v>31</v>
      </c>
      <c r="E217" s="5" t="s">
        <v>31</v>
      </c>
      <c r="F217" s="5" t="s">
        <v>549</v>
      </c>
      <c r="G217" s="5" t="s">
        <v>171</v>
      </c>
      <c r="H217" s="5" t="s">
        <v>171</v>
      </c>
      <c r="I217" s="5" t="s">
        <v>634</v>
      </c>
      <c r="J217" t="s">
        <v>2828</v>
      </c>
      <c r="K217" s="5" t="s">
        <v>1065</v>
      </c>
      <c r="L217" s="5"/>
      <c r="M217" s="387">
        <v>23</v>
      </c>
      <c r="N217" s="387">
        <v>312</v>
      </c>
      <c r="O217" s="387">
        <v>0</v>
      </c>
      <c r="P217" s="387">
        <v>0</v>
      </c>
      <c r="Q217" s="387">
        <v>0</v>
      </c>
      <c r="R217" s="387">
        <v>0</v>
      </c>
      <c r="S217" s="1174">
        <f>Locations[[#This Row],[Ind_Returnees]]+Locations[[#This Row],[Ind_Refugees]]+Locations[[#This Row],[Ind_IDPs]]</f>
        <v>312</v>
      </c>
    </row>
    <row r="218" spans="1:19" s="388" customFormat="1" x14ac:dyDescent="0.3">
      <c r="A218" s="5" t="s">
        <v>533</v>
      </c>
      <c r="B218" s="1430" t="s">
        <v>3449</v>
      </c>
      <c r="C218" s="1090" t="s">
        <v>534</v>
      </c>
      <c r="D218" s="5" t="s">
        <v>34</v>
      </c>
      <c r="E218" s="5" t="s">
        <v>34</v>
      </c>
      <c r="F218" s="5" t="s">
        <v>539</v>
      </c>
      <c r="G218" s="5" t="s">
        <v>188</v>
      </c>
      <c r="H218" s="5" t="s">
        <v>188</v>
      </c>
      <c r="I218" s="5" t="s">
        <v>546</v>
      </c>
      <c r="J218" t="s">
        <v>1495</v>
      </c>
      <c r="K218" s="5" t="s">
        <v>548</v>
      </c>
      <c r="L218" s="5"/>
      <c r="M218" s="387">
        <v>39</v>
      </c>
      <c r="N218" s="387">
        <v>296</v>
      </c>
      <c r="O218" s="387">
        <v>0</v>
      </c>
      <c r="P218" s="387">
        <v>0</v>
      </c>
      <c r="Q218" s="387">
        <v>0</v>
      </c>
      <c r="R218" s="387">
        <v>0</v>
      </c>
      <c r="S218" s="1174">
        <f>Locations[[#This Row],[Ind_Returnees]]+Locations[[#This Row],[Ind_Refugees]]+Locations[[#This Row],[Ind_IDPs]]</f>
        <v>296</v>
      </c>
    </row>
    <row r="219" spans="1:19" s="388" customFormat="1" x14ac:dyDescent="0.3">
      <c r="A219" s="5" t="s">
        <v>533</v>
      </c>
      <c r="B219" s="1430" t="s">
        <v>3449</v>
      </c>
      <c r="C219" s="1090" t="s">
        <v>534</v>
      </c>
      <c r="D219" s="5" t="s">
        <v>32</v>
      </c>
      <c r="E219" s="5" t="s">
        <v>32</v>
      </c>
      <c r="F219" s="5" t="s">
        <v>542</v>
      </c>
      <c r="G219" s="5" t="s">
        <v>180</v>
      </c>
      <c r="H219" s="5" t="s">
        <v>180</v>
      </c>
      <c r="I219" s="5" t="s">
        <v>1653</v>
      </c>
      <c r="J219" t="s">
        <v>1656</v>
      </c>
      <c r="K219" s="5" t="s">
        <v>1657</v>
      </c>
      <c r="L219" s="5"/>
      <c r="M219" s="387">
        <v>48</v>
      </c>
      <c r="N219" s="387">
        <v>245</v>
      </c>
      <c r="O219" s="387">
        <v>0</v>
      </c>
      <c r="P219" s="387">
        <v>0</v>
      </c>
      <c r="Q219" s="387">
        <v>50</v>
      </c>
      <c r="R219" s="387">
        <v>800</v>
      </c>
      <c r="S219" s="1174">
        <f>Locations[[#This Row],[Ind_Returnees]]+Locations[[#This Row],[Ind_Refugees]]+Locations[[#This Row],[Ind_IDPs]]</f>
        <v>1045</v>
      </c>
    </row>
    <row r="220" spans="1:19" s="388" customFormat="1" x14ac:dyDescent="0.3">
      <c r="A220" s="5" t="s">
        <v>533</v>
      </c>
      <c r="B220" s="1430" t="s">
        <v>3449</v>
      </c>
      <c r="C220" s="1090" t="s">
        <v>534</v>
      </c>
      <c r="D220" s="5" t="s">
        <v>31</v>
      </c>
      <c r="E220" s="5" t="s">
        <v>31</v>
      </c>
      <c r="F220" s="5" t="s">
        <v>549</v>
      </c>
      <c r="G220" s="5" t="s">
        <v>165</v>
      </c>
      <c r="H220" s="5" t="s">
        <v>165</v>
      </c>
      <c r="I220" s="5" t="s">
        <v>881</v>
      </c>
      <c r="J220" t="s">
        <v>1333</v>
      </c>
      <c r="K220" s="5" t="s">
        <v>2489</v>
      </c>
      <c r="L220" s="5"/>
      <c r="M220" s="387">
        <v>0</v>
      </c>
      <c r="N220" s="387">
        <v>0</v>
      </c>
      <c r="O220" s="387">
        <v>0</v>
      </c>
      <c r="P220" s="387">
        <v>0</v>
      </c>
      <c r="Q220" s="387">
        <v>0</v>
      </c>
      <c r="R220" s="387">
        <v>0</v>
      </c>
      <c r="S220" s="1174">
        <f>Locations[[#This Row],[Ind_Returnees]]+Locations[[#This Row],[Ind_Refugees]]+Locations[[#This Row],[Ind_IDPs]]</f>
        <v>0</v>
      </c>
    </row>
    <row r="221" spans="1:19" s="388" customFormat="1" x14ac:dyDescent="0.3">
      <c r="A221" s="5" t="s">
        <v>533</v>
      </c>
      <c r="B221" s="1430" t="s">
        <v>3449</v>
      </c>
      <c r="C221" s="1090" t="s">
        <v>534</v>
      </c>
      <c r="D221" s="5" t="s">
        <v>34</v>
      </c>
      <c r="E221" s="5" t="s">
        <v>34</v>
      </c>
      <c r="F221" s="5" t="s">
        <v>539</v>
      </c>
      <c r="G221" s="5" t="s">
        <v>188</v>
      </c>
      <c r="H221" s="5" t="s">
        <v>188</v>
      </c>
      <c r="I221" s="5" t="s">
        <v>546</v>
      </c>
      <c r="J221" t="s">
        <v>2829</v>
      </c>
      <c r="K221" s="5" t="s">
        <v>1354</v>
      </c>
      <c r="L221" s="5"/>
      <c r="M221" s="387">
        <v>3</v>
      </c>
      <c r="N221" s="387">
        <v>21</v>
      </c>
      <c r="O221" s="387">
        <v>0</v>
      </c>
      <c r="P221" s="387">
        <v>0</v>
      </c>
      <c r="Q221" s="387">
        <v>127</v>
      </c>
      <c r="R221" s="387">
        <v>849</v>
      </c>
      <c r="S221" s="1174">
        <f>Locations[[#This Row],[Ind_Returnees]]+Locations[[#This Row],[Ind_Refugees]]+Locations[[#This Row],[Ind_IDPs]]</f>
        <v>870</v>
      </c>
    </row>
    <row r="222" spans="1:19" s="388" customFormat="1" x14ac:dyDescent="0.3">
      <c r="A222" s="5" t="s">
        <v>533</v>
      </c>
      <c r="B222" s="1430" t="s">
        <v>3449</v>
      </c>
      <c r="C222" s="398" t="s">
        <v>534</v>
      </c>
      <c r="D222" s="5" t="s">
        <v>35</v>
      </c>
      <c r="E222" s="5" t="s">
        <v>35</v>
      </c>
      <c r="F222" s="5" t="s">
        <v>567</v>
      </c>
      <c r="G222" s="5" t="s">
        <v>190</v>
      </c>
      <c r="H222" s="5" t="s">
        <v>190</v>
      </c>
      <c r="I222" s="5" t="s">
        <v>800</v>
      </c>
      <c r="J222" t="s">
        <v>1810</v>
      </c>
      <c r="K222" s="5" t="s">
        <v>1811</v>
      </c>
      <c r="L222" s="5"/>
      <c r="M222" s="387">
        <v>10</v>
      </c>
      <c r="N222" s="387">
        <v>105</v>
      </c>
      <c r="O222" s="387">
        <v>0</v>
      </c>
      <c r="P222" s="387">
        <v>0</v>
      </c>
      <c r="Q222" s="387">
        <v>17</v>
      </c>
      <c r="R222" s="387">
        <v>111</v>
      </c>
      <c r="S222" s="1174">
        <f>Locations[[#This Row],[Ind_Returnees]]+Locations[[#This Row],[Ind_Refugees]]+Locations[[#This Row],[Ind_IDPs]]</f>
        <v>216</v>
      </c>
    </row>
    <row r="223" spans="1:19" s="388" customFormat="1" x14ac:dyDescent="0.3">
      <c r="A223" s="5" t="s">
        <v>533</v>
      </c>
      <c r="B223" s="1430" t="s">
        <v>3449</v>
      </c>
      <c r="C223" s="398" t="s">
        <v>534</v>
      </c>
      <c r="D223" s="5" t="s">
        <v>35</v>
      </c>
      <c r="E223" s="5" t="s">
        <v>35</v>
      </c>
      <c r="F223" s="5" t="s">
        <v>567</v>
      </c>
      <c r="G223" s="5" t="s">
        <v>195</v>
      </c>
      <c r="H223" s="5" t="s">
        <v>195</v>
      </c>
      <c r="I223" s="5" t="s">
        <v>733</v>
      </c>
      <c r="J223" t="s">
        <v>1836</v>
      </c>
      <c r="K223" s="5" t="s">
        <v>738</v>
      </c>
      <c r="L223" s="5"/>
      <c r="M223" s="387">
        <v>23</v>
      </c>
      <c r="N223" s="387">
        <v>145</v>
      </c>
      <c r="O223" s="387">
        <v>0</v>
      </c>
      <c r="P223" s="387">
        <v>0</v>
      </c>
      <c r="Q223" s="387">
        <v>0</v>
      </c>
      <c r="R223" s="387">
        <v>0</v>
      </c>
      <c r="S223" s="1174">
        <f>Locations[[#This Row],[Ind_Returnees]]+Locations[[#This Row],[Ind_Refugees]]+Locations[[#This Row],[Ind_IDPs]]</f>
        <v>145</v>
      </c>
    </row>
    <row r="224" spans="1:19" s="388" customFormat="1" x14ac:dyDescent="0.3">
      <c r="A224" s="5" t="s">
        <v>533</v>
      </c>
      <c r="B224" s="1430" t="s">
        <v>3449</v>
      </c>
      <c r="C224" s="1090" t="s">
        <v>534</v>
      </c>
      <c r="D224" s="5" t="s">
        <v>31</v>
      </c>
      <c r="E224" s="5" t="s">
        <v>31</v>
      </c>
      <c r="F224" s="5" t="s">
        <v>549</v>
      </c>
      <c r="G224" s="5" t="s">
        <v>169</v>
      </c>
      <c r="H224" s="5" t="s">
        <v>169</v>
      </c>
      <c r="I224" s="5" t="s">
        <v>673</v>
      </c>
      <c r="J224" t="s">
        <v>3195</v>
      </c>
      <c r="K224" s="5" t="s">
        <v>3077</v>
      </c>
      <c r="L224" s="5"/>
      <c r="M224" s="387">
        <v>0</v>
      </c>
      <c r="N224" s="387">
        <v>0</v>
      </c>
      <c r="O224" s="387">
        <v>0</v>
      </c>
      <c r="P224" s="387">
        <v>0</v>
      </c>
      <c r="Q224" s="387">
        <v>100</v>
      </c>
      <c r="R224" s="387">
        <v>1500</v>
      </c>
      <c r="S224" s="1174">
        <f>Locations[[#This Row],[Ind_Returnees]]+Locations[[#This Row],[Ind_Refugees]]+Locations[[#This Row],[Ind_IDPs]]</f>
        <v>1500</v>
      </c>
    </row>
    <row r="225" spans="1:19" s="388" customFormat="1" x14ac:dyDescent="0.3">
      <c r="A225" s="5" t="s">
        <v>533</v>
      </c>
      <c r="B225" s="1430" t="s">
        <v>3449</v>
      </c>
      <c r="C225" s="1090" t="s">
        <v>534</v>
      </c>
      <c r="D225" s="5" t="s">
        <v>34</v>
      </c>
      <c r="E225" s="5" t="s">
        <v>34</v>
      </c>
      <c r="F225" s="5" t="s">
        <v>539</v>
      </c>
      <c r="G225" s="5" t="s">
        <v>187</v>
      </c>
      <c r="H225" s="5" t="s">
        <v>187</v>
      </c>
      <c r="I225" s="5" t="s">
        <v>951</v>
      </c>
      <c r="J225" t="s">
        <v>2830</v>
      </c>
      <c r="K225" s="5" t="s">
        <v>2555</v>
      </c>
      <c r="L225" s="5"/>
      <c r="M225" s="387">
        <v>0</v>
      </c>
      <c r="N225" s="387">
        <v>0</v>
      </c>
      <c r="O225" s="387">
        <v>0</v>
      </c>
      <c r="P225" s="387">
        <v>0</v>
      </c>
      <c r="Q225" s="387">
        <v>0</v>
      </c>
      <c r="R225" s="387">
        <v>0</v>
      </c>
      <c r="S225" s="1174">
        <f>Locations[[#This Row],[Ind_Returnees]]+Locations[[#This Row],[Ind_Refugees]]+Locations[[#This Row],[Ind_IDPs]]</f>
        <v>0</v>
      </c>
    </row>
    <row r="226" spans="1:19" s="388" customFormat="1" x14ac:dyDescent="0.3">
      <c r="A226" s="5" t="s">
        <v>533</v>
      </c>
      <c r="B226" s="1430" t="s">
        <v>3449</v>
      </c>
      <c r="C226" s="398" t="s">
        <v>534</v>
      </c>
      <c r="D226" s="5" t="s">
        <v>31</v>
      </c>
      <c r="E226" s="5" t="s">
        <v>31</v>
      </c>
      <c r="F226" s="5" t="s">
        <v>549</v>
      </c>
      <c r="G226" s="5" t="s">
        <v>171</v>
      </c>
      <c r="H226" s="5" t="s">
        <v>171</v>
      </c>
      <c r="I226" s="5" t="s">
        <v>634</v>
      </c>
      <c r="J226" t="s">
        <v>2831</v>
      </c>
      <c r="K226" s="5" t="s">
        <v>2275</v>
      </c>
      <c r="L226" s="5"/>
      <c r="M226" s="387">
        <v>0</v>
      </c>
      <c r="N226" s="387">
        <v>0</v>
      </c>
      <c r="O226" s="387">
        <v>0</v>
      </c>
      <c r="P226" s="387">
        <v>0</v>
      </c>
      <c r="Q226" s="387">
        <v>117</v>
      </c>
      <c r="R226" s="387">
        <v>774</v>
      </c>
      <c r="S226" s="1174">
        <f>Locations[[#This Row],[Ind_Returnees]]+Locations[[#This Row],[Ind_Refugees]]+Locations[[#This Row],[Ind_IDPs]]</f>
        <v>774</v>
      </c>
    </row>
    <row r="227" spans="1:19" s="388" customFormat="1" x14ac:dyDescent="0.3">
      <c r="A227" s="5" t="s">
        <v>533</v>
      </c>
      <c r="B227" s="1430" t="s">
        <v>3449</v>
      </c>
      <c r="C227" s="398" t="s">
        <v>534</v>
      </c>
      <c r="D227" s="5" t="s">
        <v>35</v>
      </c>
      <c r="E227" s="5" t="s">
        <v>35</v>
      </c>
      <c r="F227" s="5" t="s">
        <v>567</v>
      </c>
      <c r="G227" s="5" t="s">
        <v>195</v>
      </c>
      <c r="H227" s="5" t="s">
        <v>195</v>
      </c>
      <c r="I227" s="5" t="s">
        <v>733</v>
      </c>
      <c r="J227" t="s">
        <v>1806</v>
      </c>
      <c r="K227" s="5" t="s">
        <v>1807</v>
      </c>
      <c r="L227" s="5"/>
      <c r="M227" s="387">
        <v>75</v>
      </c>
      <c r="N227" s="387">
        <v>491</v>
      </c>
      <c r="O227" s="387">
        <v>0</v>
      </c>
      <c r="P227" s="387">
        <v>0</v>
      </c>
      <c r="Q227" s="387">
        <v>156</v>
      </c>
      <c r="R227" s="387">
        <v>1236</v>
      </c>
      <c r="S227" s="1174">
        <f>Locations[[#This Row],[Ind_Returnees]]+Locations[[#This Row],[Ind_Refugees]]+Locations[[#This Row],[Ind_IDPs]]</f>
        <v>1727</v>
      </c>
    </row>
    <row r="228" spans="1:19" s="388" customFormat="1" x14ac:dyDescent="0.3">
      <c r="A228" s="5" t="s">
        <v>533</v>
      </c>
      <c r="B228" s="1430" t="s">
        <v>3449</v>
      </c>
      <c r="C228" s="398" t="s">
        <v>534</v>
      </c>
      <c r="D228" s="5" t="s">
        <v>31</v>
      </c>
      <c r="E228" s="5" t="s">
        <v>31</v>
      </c>
      <c r="F228" s="5" t="s">
        <v>549</v>
      </c>
      <c r="G228" s="5" t="s">
        <v>169</v>
      </c>
      <c r="H228" s="5" t="s">
        <v>169</v>
      </c>
      <c r="I228" s="5" t="s">
        <v>673</v>
      </c>
      <c r="J228" t="s">
        <v>1472</v>
      </c>
      <c r="K228" s="5" t="s">
        <v>2376</v>
      </c>
      <c r="L228" s="5"/>
      <c r="M228" s="387">
        <v>0</v>
      </c>
      <c r="N228" s="387">
        <v>0</v>
      </c>
      <c r="O228" s="387">
        <v>0</v>
      </c>
      <c r="P228" s="387">
        <v>0</v>
      </c>
      <c r="Q228" s="387">
        <v>204</v>
      </c>
      <c r="R228" s="387">
        <v>1510</v>
      </c>
      <c r="S228" s="1174">
        <f>Locations[[#This Row],[Ind_Returnees]]+Locations[[#This Row],[Ind_Refugees]]+Locations[[#This Row],[Ind_IDPs]]</f>
        <v>1510</v>
      </c>
    </row>
    <row r="229" spans="1:19" s="388" customFormat="1" x14ac:dyDescent="0.3">
      <c r="A229" s="5" t="s">
        <v>533</v>
      </c>
      <c r="B229" s="1430" t="s">
        <v>3449</v>
      </c>
      <c r="C229" s="398" t="s">
        <v>534</v>
      </c>
      <c r="D229" s="5" t="s">
        <v>33</v>
      </c>
      <c r="E229" s="5" t="s">
        <v>33</v>
      </c>
      <c r="F229" s="5" t="s">
        <v>561</v>
      </c>
      <c r="G229" s="5" t="s">
        <v>183</v>
      </c>
      <c r="H229" s="5" t="s">
        <v>183</v>
      </c>
      <c r="I229" s="5" t="s">
        <v>562</v>
      </c>
      <c r="J229" t="s">
        <v>2271</v>
      </c>
      <c r="K229" s="5" t="s">
        <v>2272</v>
      </c>
      <c r="L229" s="5"/>
      <c r="M229" s="387">
        <v>4</v>
      </c>
      <c r="N229" s="387">
        <v>30</v>
      </c>
      <c r="O229" s="387">
        <v>0</v>
      </c>
      <c r="P229" s="387">
        <v>0</v>
      </c>
      <c r="Q229" s="387">
        <v>2</v>
      </c>
      <c r="R229" s="387">
        <v>11</v>
      </c>
      <c r="S229" s="1174">
        <f>Locations[[#This Row],[Ind_Returnees]]+Locations[[#This Row],[Ind_Refugees]]+Locations[[#This Row],[Ind_IDPs]]</f>
        <v>41</v>
      </c>
    </row>
    <row r="230" spans="1:19" s="388" customFormat="1" x14ac:dyDescent="0.3">
      <c r="A230" s="5" t="s">
        <v>533</v>
      </c>
      <c r="B230" s="1430" t="s">
        <v>3449</v>
      </c>
      <c r="C230" s="1090" t="s">
        <v>534</v>
      </c>
      <c r="D230" s="5" t="s">
        <v>35</v>
      </c>
      <c r="E230" s="5" t="s">
        <v>35</v>
      </c>
      <c r="F230" s="5" t="s">
        <v>567</v>
      </c>
      <c r="G230" s="5" t="s">
        <v>190</v>
      </c>
      <c r="H230" s="5" t="s">
        <v>190</v>
      </c>
      <c r="I230" s="5" t="s">
        <v>800</v>
      </c>
      <c r="J230" t="s">
        <v>851</v>
      </c>
      <c r="K230" s="5" t="s">
        <v>852</v>
      </c>
      <c r="L230" s="5"/>
      <c r="M230" s="387">
        <v>23</v>
      </c>
      <c r="N230" s="387">
        <v>140</v>
      </c>
      <c r="O230" s="387">
        <v>23</v>
      </c>
      <c r="P230" s="387">
        <v>136</v>
      </c>
      <c r="Q230" s="387">
        <v>0</v>
      </c>
      <c r="R230" s="387">
        <v>0</v>
      </c>
      <c r="S230" s="1174">
        <f>Locations[[#This Row],[Ind_Returnees]]+Locations[[#This Row],[Ind_Refugees]]+Locations[[#This Row],[Ind_IDPs]]</f>
        <v>276</v>
      </c>
    </row>
    <row r="231" spans="1:19" s="388" customFormat="1" x14ac:dyDescent="0.3">
      <c r="A231" s="5" t="s">
        <v>533</v>
      </c>
      <c r="B231" s="1430" t="s">
        <v>3449</v>
      </c>
      <c r="C231" s="1090" t="s">
        <v>534</v>
      </c>
      <c r="D231" s="5" t="s">
        <v>31</v>
      </c>
      <c r="E231" s="5" t="s">
        <v>31</v>
      </c>
      <c r="F231" s="5" t="s">
        <v>549</v>
      </c>
      <c r="G231" s="5" t="s">
        <v>165</v>
      </c>
      <c r="H231" s="5" t="s">
        <v>165</v>
      </c>
      <c r="I231" s="5" t="s">
        <v>881</v>
      </c>
      <c r="J231" t="s">
        <v>1295</v>
      </c>
      <c r="K231" s="5" t="s">
        <v>1296</v>
      </c>
      <c r="L231" s="5"/>
      <c r="M231" s="387">
        <v>0</v>
      </c>
      <c r="N231" s="387">
        <v>0</v>
      </c>
      <c r="O231" s="387">
        <v>0</v>
      </c>
      <c r="P231" s="387">
        <v>0</v>
      </c>
      <c r="Q231" s="387">
        <v>0</v>
      </c>
      <c r="R231" s="387">
        <v>0</v>
      </c>
      <c r="S231" s="1174">
        <f>Locations[[#This Row],[Ind_Returnees]]+Locations[[#This Row],[Ind_Refugees]]+Locations[[#This Row],[Ind_IDPs]]</f>
        <v>0</v>
      </c>
    </row>
    <row r="232" spans="1:19" s="388" customFormat="1" x14ac:dyDescent="0.3">
      <c r="A232" s="5" t="s">
        <v>533</v>
      </c>
      <c r="B232" s="1430" t="s">
        <v>3449</v>
      </c>
      <c r="C232" s="398" t="s">
        <v>534</v>
      </c>
      <c r="D232" s="5" t="s">
        <v>31</v>
      </c>
      <c r="E232" s="5" t="s">
        <v>31</v>
      </c>
      <c r="F232" s="5" t="s">
        <v>549</v>
      </c>
      <c r="G232" s="5" t="s">
        <v>167</v>
      </c>
      <c r="H232" s="5" t="s">
        <v>167</v>
      </c>
      <c r="I232" s="5" t="s">
        <v>1113</v>
      </c>
      <c r="J232" t="s">
        <v>2079</v>
      </c>
      <c r="K232" s="5" t="s">
        <v>2086</v>
      </c>
      <c r="L232" s="5"/>
      <c r="M232" s="387">
        <v>18</v>
      </c>
      <c r="N232" s="387">
        <v>50</v>
      </c>
      <c r="O232" s="387">
        <v>0</v>
      </c>
      <c r="P232" s="387">
        <v>0</v>
      </c>
      <c r="Q232" s="387">
        <v>0</v>
      </c>
      <c r="R232" s="387">
        <v>0</v>
      </c>
      <c r="S232" s="1174">
        <f>Locations[[#This Row],[Ind_Returnees]]+Locations[[#This Row],[Ind_Refugees]]+Locations[[#This Row],[Ind_IDPs]]</f>
        <v>50</v>
      </c>
    </row>
    <row r="233" spans="1:19" s="388" customFormat="1" x14ac:dyDescent="0.3">
      <c r="A233" s="5" t="s">
        <v>533</v>
      </c>
      <c r="B233" s="1430" t="s">
        <v>3449</v>
      </c>
      <c r="C233" s="1090" t="s">
        <v>534</v>
      </c>
      <c r="D233" s="5" t="s">
        <v>30</v>
      </c>
      <c r="E233" s="5" t="s">
        <v>3522</v>
      </c>
      <c r="F233" s="5" t="s">
        <v>535</v>
      </c>
      <c r="G233" s="5" t="s">
        <v>158</v>
      </c>
      <c r="H233" s="5" t="s">
        <v>158</v>
      </c>
      <c r="I233" s="5" t="s">
        <v>571</v>
      </c>
      <c r="J233" t="s">
        <v>602</v>
      </c>
      <c r="K233" s="5" t="s">
        <v>603</v>
      </c>
      <c r="L233" s="5"/>
      <c r="M233" s="387">
        <v>3</v>
      </c>
      <c r="N233" s="387">
        <v>10</v>
      </c>
      <c r="O233" s="387">
        <v>0</v>
      </c>
      <c r="P233" s="387">
        <v>0</v>
      </c>
      <c r="Q233" s="387">
        <v>0</v>
      </c>
      <c r="R233" s="387">
        <v>0</v>
      </c>
      <c r="S233" s="1174">
        <f>Locations[[#This Row],[Ind_Returnees]]+Locations[[#This Row],[Ind_Refugees]]+Locations[[#This Row],[Ind_IDPs]]</f>
        <v>10</v>
      </c>
    </row>
    <row r="234" spans="1:19" s="388" customFormat="1" x14ac:dyDescent="0.3">
      <c r="A234" s="5" t="s">
        <v>533</v>
      </c>
      <c r="B234" s="1430" t="s">
        <v>3449</v>
      </c>
      <c r="C234" s="398" t="s">
        <v>534</v>
      </c>
      <c r="D234" s="5" t="s">
        <v>30</v>
      </c>
      <c r="E234" s="5" t="s">
        <v>3522</v>
      </c>
      <c r="F234" s="5" t="s">
        <v>535</v>
      </c>
      <c r="G234" s="5" t="s">
        <v>160</v>
      </c>
      <c r="H234" s="5" t="s">
        <v>3528</v>
      </c>
      <c r="I234" s="5" t="s">
        <v>555</v>
      </c>
      <c r="J234" t="s">
        <v>701</v>
      </c>
      <c r="K234" s="5" t="s">
        <v>702</v>
      </c>
      <c r="L234" s="5"/>
      <c r="M234" s="387">
        <v>12</v>
      </c>
      <c r="N234" s="387">
        <v>58</v>
      </c>
      <c r="O234" s="387">
        <v>0</v>
      </c>
      <c r="P234" s="387">
        <v>0</v>
      </c>
      <c r="Q234" s="387">
        <v>0</v>
      </c>
      <c r="R234" s="387">
        <v>0</v>
      </c>
      <c r="S234" s="1174">
        <f>Locations[[#This Row],[Ind_Returnees]]+Locations[[#This Row],[Ind_Refugees]]+Locations[[#This Row],[Ind_IDPs]]</f>
        <v>58</v>
      </c>
    </row>
    <row r="235" spans="1:19" s="388" customFormat="1" x14ac:dyDescent="0.3">
      <c r="A235" s="5" t="s">
        <v>533</v>
      </c>
      <c r="B235" s="1430" t="s">
        <v>3449</v>
      </c>
      <c r="C235" s="398" t="s">
        <v>534</v>
      </c>
      <c r="D235" s="5" t="s">
        <v>31</v>
      </c>
      <c r="E235" s="5" t="s">
        <v>31</v>
      </c>
      <c r="F235" s="5" t="s">
        <v>549</v>
      </c>
      <c r="G235" s="5" t="s">
        <v>171</v>
      </c>
      <c r="H235" s="5" t="s">
        <v>171</v>
      </c>
      <c r="I235" s="5" t="s">
        <v>634</v>
      </c>
      <c r="J235" t="s">
        <v>1425</v>
      </c>
      <c r="K235" s="5" t="s">
        <v>1801</v>
      </c>
      <c r="L235" s="5"/>
      <c r="M235" s="387">
        <v>13</v>
      </c>
      <c r="N235" s="387">
        <v>39</v>
      </c>
      <c r="O235" s="387">
        <v>0</v>
      </c>
      <c r="P235" s="387">
        <v>0</v>
      </c>
      <c r="Q235" s="387">
        <v>0</v>
      </c>
      <c r="R235" s="387">
        <v>0</v>
      </c>
      <c r="S235" s="1174">
        <f>Locations[[#This Row],[Ind_Returnees]]+Locations[[#This Row],[Ind_Refugees]]+Locations[[#This Row],[Ind_IDPs]]</f>
        <v>39</v>
      </c>
    </row>
    <row r="236" spans="1:19" s="388" customFormat="1" x14ac:dyDescent="0.3">
      <c r="A236" s="5" t="s">
        <v>533</v>
      </c>
      <c r="B236" s="1430" t="s">
        <v>3449</v>
      </c>
      <c r="C236" s="398" t="s">
        <v>534</v>
      </c>
      <c r="D236" s="5" t="s">
        <v>31</v>
      </c>
      <c r="E236" s="5" t="s">
        <v>31</v>
      </c>
      <c r="F236" s="5" t="s">
        <v>549</v>
      </c>
      <c r="G236" s="5" t="s">
        <v>171</v>
      </c>
      <c r="H236" s="5" t="s">
        <v>171</v>
      </c>
      <c r="I236" s="5" t="s">
        <v>634</v>
      </c>
      <c r="J236" t="s">
        <v>1800</v>
      </c>
      <c r="K236" s="5" t="s">
        <v>2023</v>
      </c>
      <c r="L236" s="5"/>
      <c r="M236" s="387">
        <v>9</v>
      </c>
      <c r="N236" s="387">
        <v>37</v>
      </c>
      <c r="O236" s="387">
        <v>0</v>
      </c>
      <c r="P236" s="387">
        <v>0</v>
      </c>
      <c r="Q236" s="387">
        <v>0</v>
      </c>
      <c r="R236" s="387">
        <v>0</v>
      </c>
      <c r="S236" s="1174">
        <f>Locations[[#This Row],[Ind_Returnees]]+Locations[[#This Row],[Ind_Refugees]]+Locations[[#This Row],[Ind_IDPs]]</f>
        <v>37</v>
      </c>
    </row>
    <row r="237" spans="1:19" s="388" customFormat="1" x14ac:dyDescent="0.3">
      <c r="A237" s="5" t="s">
        <v>533</v>
      </c>
      <c r="B237" s="1430" t="s">
        <v>3449</v>
      </c>
      <c r="C237" s="1090" t="s">
        <v>534</v>
      </c>
      <c r="D237" s="5" t="s">
        <v>31</v>
      </c>
      <c r="E237" s="5" t="s">
        <v>31</v>
      </c>
      <c r="F237" s="5" t="s">
        <v>549</v>
      </c>
      <c r="G237" s="5" t="s">
        <v>171</v>
      </c>
      <c r="H237" s="5" t="s">
        <v>171</v>
      </c>
      <c r="I237" s="5" t="s">
        <v>634</v>
      </c>
      <c r="J237" t="s">
        <v>1287</v>
      </c>
      <c r="K237" s="5" t="s">
        <v>1356</v>
      </c>
      <c r="L237" s="5"/>
      <c r="M237" s="387">
        <v>89</v>
      </c>
      <c r="N237" s="387">
        <v>404</v>
      </c>
      <c r="O237" s="387">
        <v>0</v>
      </c>
      <c r="P237" s="387">
        <v>0</v>
      </c>
      <c r="Q237" s="387">
        <v>0</v>
      </c>
      <c r="R237" s="387">
        <v>0</v>
      </c>
      <c r="S237" s="1174">
        <f>Locations[[#This Row],[Ind_Returnees]]+Locations[[#This Row],[Ind_Refugees]]+Locations[[#This Row],[Ind_IDPs]]</f>
        <v>404</v>
      </c>
    </row>
    <row r="238" spans="1:19" s="388" customFormat="1" x14ac:dyDescent="0.3">
      <c r="A238" s="5" t="s">
        <v>533</v>
      </c>
      <c r="B238" s="1430" t="s">
        <v>3449</v>
      </c>
      <c r="C238" s="1090" t="s">
        <v>534</v>
      </c>
      <c r="D238" s="5" t="s">
        <v>31</v>
      </c>
      <c r="E238" s="5" t="s">
        <v>31</v>
      </c>
      <c r="F238" s="5" t="s">
        <v>549</v>
      </c>
      <c r="G238" s="5" t="s">
        <v>171</v>
      </c>
      <c r="H238" s="5" t="s">
        <v>171</v>
      </c>
      <c r="I238" s="5" t="s">
        <v>634</v>
      </c>
      <c r="J238" t="s">
        <v>1101</v>
      </c>
      <c r="K238" s="5" t="s">
        <v>1284</v>
      </c>
      <c r="L238" s="5"/>
      <c r="M238" s="387">
        <v>18</v>
      </c>
      <c r="N238" s="387">
        <v>98</v>
      </c>
      <c r="O238" s="387">
        <v>0</v>
      </c>
      <c r="P238" s="387">
        <v>0</v>
      </c>
      <c r="Q238" s="387">
        <v>0</v>
      </c>
      <c r="R238" s="387">
        <v>0</v>
      </c>
      <c r="S238" s="1174">
        <f>Locations[[#This Row],[Ind_Returnees]]+Locations[[#This Row],[Ind_Refugees]]+Locations[[#This Row],[Ind_IDPs]]</f>
        <v>98</v>
      </c>
    </row>
    <row r="239" spans="1:19" s="388" customFormat="1" x14ac:dyDescent="0.3">
      <c r="A239" s="5" t="s">
        <v>533</v>
      </c>
      <c r="B239" s="1430" t="s">
        <v>3449</v>
      </c>
      <c r="C239" s="398" t="s">
        <v>534</v>
      </c>
      <c r="D239" s="5" t="s">
        <v>31</v>
      </c>
      <c r="E239" s="5" t="s">
        <v>31</v>
      </c>
      <c r="F239" s="5" t="s">
        <v>549</v>
      </c>
      <c r="G239" s="5" t="s">
        <v>171</v>
      </c>
      <c r="H239" s="5" t="s">
        <v>171</v>
      </c>
      <c r="I239" s="5" t="s">
        <v>634</v>
      </c>
      <c r="J239" t="s">
        <v>2022</v>
      </c>
      <c r="K239" s="5" t="s">
        <v>1752</v>
      </c>
      <c r="L239" s="5"/>
      <c r="M239" s="387">
        <v>50</v>
      </c>
      <c r="N239" s="387">
        <v>369</v>
      </c>
      <c r="O239" s="387">
        <v>5</v>
      </c>
      <c r="P239" s="387">
        <v>27</v>
      </c>
      <c r="Q239" s="387">
        <v>35</v>
      </c>
      <c r="R239" s="387">
        <v>220</v>
      </c>
      <c r="S239" s="1174">
        <f>Locations[[#This Row],[Ind_Returnees]]+Locations[[#This Row],[Ind_Refugees]]+Locations[[#This Row],[Ind_IDPs]]</f>
        <v>616</v>
      </c>
    </row>
    <row r="240" spans="1:19" s="388" customFormat="1" x14ac:dyDescent="0.3">
      <c r="A240" s="5" t="s">
        <v>533</v>
      </c>
      <c r="B240" s="1430" t="s">
        <v>3449</v>
      </c>
      <c r="C240" s="1090" t="s">
        <v>534</v>
      </c>
      <c r="D240" s="5" t="s">
        <v>31</v>
      </c>
      <c r="E240" s="5" t="s">
        <v>31</v>
      </c>
      <c r="F240" s="5" t="s">
        <v>549</v>
      </c>
      <c r="G240" s="5" t="s">
        <v>169</v>
      </c>
      <c r="H240" s="5" t="s">
        <v>169</v>
      </c>
      <c r="I240" s="5" t="s">
        <v>673</v>
      </c>
      <c r="J240" t="s">
        <v>2847</v>
      </c>
      <c r="K240" s="5" t="s">
        <v>2352</v>
      </c>
      <c r="L240" s="5"/>
      <c r="M240" s="387">
        <v>0</v>
      </c>
      <c r="N240" s="387">
        <v>0</v>
      </c>
      <c r="O240" s="387">
        <v>0</v>
      </c>
      <c r="P240" s="387">
        <v>0</v>
      </c>
      <c r="Q240" s="387">
        <v>84</v>
      </c>
      <c r="R240" s="387">
        <v>613</v>
      </c>
      <c r="S240" s="1174">
        <f>Locations[[#This Row],[Ind_Returnees]]+Locations[[#This Row],[Ind_Refugees]]+Locations[[#This Row],[Ind_IDPs]]</f>
        <v>613</v>
      </c>
    </row>
    <row r="241" spans="1:19" s="388" customFormat="1" x14ac:dyDescent="0.3">
      <c r="A241" s="5" t="s">
        <v>533</v>
      </c>
      <c r="B241" s="1430" t="s">
        <v>3449</v>
      </c>
      <c r="C241" s="398" t="s">
        <v>534</v>
      </c>
      <c r="D241" s="5" t="s">
        <v>31</v>
      </c>
      <c r="E241" s="5" t="s">
        <v>31</v>
      </c>
      <c r="F241" s="5" t="s">
        <v>549</v>
      </c>
      <c r="G241" s="5" t="s">
        <v>172</v>
      </c>
      <c r="H241" s="5" t="s">
        <v>172</v>
      </c>
      <c r="I241" s="5" t="s">
        <v>706</v>
      </c>
      <c r="J241" t="s">
        <v>967</v>
      </c>
      <c r="K241" s="5" t="s">
        <v>2132</v>
      </c>
      <c r="L241" s="5"/>
      <c r="M241" s="387">
        <v>39</v>
      </c>
      <c r="N241" s="387">
        <v>351</v>
      </c>
      <c r="O241" s="387">
        <v>32</v>
      </c>
      <c r="P241" s="387">
        <v>153</v>
      </c>
      <c r="Q241" s="387">
        <v>0</v>
      </c>
      <c r="R241" s="387">
        <v>0</v>
      </c>
      <c r="S241" s="1174">
        <f>Locations[[#This Row],[Ind_Returnees]]+Locations[[#This Row],[Ind_Refugees]]+Locations[[#This Row],[Ind_IDPs]]</f>
        <v>504</v>
      </c>
    </row>
    <row r="242" spans="1:19" s="388" customFormat="1" x14ac:dyDescent="0.3">
      <c r="A242" s="5" t="s">
        <v>533</v>
      </c>
      <c r="B242" s="1430" t="s">
        <v>3449</v>
      </c>
      <c r="C242" s="1090" t="s">
        <v>534</v>
      </c>
      <c r="D242" s="5" t="s">
        <v>31</v>
      </c>
      <c r="E242" s="5" t="s">
        <v>31</v>
      </c>
      <c r="F242" s="5" t="s">
        <v>549</v>
      </c>
      <c r="G242" s="5" t="s">
        <v>164</v>
      </c>
      <c r="H242" s="5" t="s">
        <v>164</v>
      </c>
      <c r="I242" s="5" t="s">
        <v>748</v>
      </c>
      <c r="J242" t="s">
        <v>1968</v>
      </c>
      <c r="K242" s="5" t="s">
        <v>1969</v>
      </c>
      <c r="L242" s="5"/>
      <c r="M242" s="387">
        <v>22</v>
      </c>
      <c r="N242" s="387">
        <v>39</v>
      </c>
      <c r="O242" s="387">
        <v>0</v>
      </c>
      <c r="P242" s="387">
        <v>0</v>
      </c>
      <c r="Q242" s="387">
        <v>0</v>
      </c>
      <c r="R242" s="387">
        <v>0</v>
      </c>
      <c r="S242" s="1174">
        <f>Locations[[#This Row],[Ind_Returnees]]+Locations[[#This Row],[Ind_Refugees]]+Locations[[#This Row],[Ind_IDPs]]</f>
        <v>39</v>
      </c>
    </row>
    <row r="243" spans="1:19" s="388" customFormat="1" x14ac:dyDescent="0.3">
      <c r="A243" s="5" t="s">
        <v>533</v>
      </c>
      <c r="B243" s="1430" t="s">
        <v>3449</v>
      </c>
      <c r="C243" s="1090" t="s">
        <v>534</v>
      </c>
      <c r="D243" s="5" t="s">
        <v>34</v>
      </c>
      <c r="E243" s="5" t="s">
        <v>34</v>
      </c>
      <c r="F243" s="5" t="s">
        <v>539</v>
      </c>
      <c r="G243" s="5" t="s">
        <v>187</v>
      </c>
      <c r="H243" s="5" t="s">
        <v>187</v>
      </c>
      <c r="I243" s="5" t="s">
        <v>951</v>
      </c>
      <c r="J243" t="s">
        <v>2834</v>
      </c>
      <c r="K243" s="5" t="s">
        <v>2235</v>
      </c>
      <c r="L243" s="5"/>
      <c r="M243" s="387">
        <v>0</v>
      </c>
      <c r="N243" s="387">
        <v>0</v>
      </c>
      <c r="O243" s="387">
        <v>0</v>
      </c>
      <c r="P243" s="387">
        <v>0</v>
      </c>
      <c r="Q243" s="387">
        <v>0</v>
      </c>
      <c r="R243" s="387">
        <v>0</v>
      </c>
      <c r="S243" s="1174">
        <f>Locations[[#This Row],[Ind_Returnees]]+Locations[[#This Row],[Ind_Refugees]]+Locations[[#This Row],[Ind_IDPs]]</f>
        <v>0</v>
      </c>
    </row>
    <row r="244" spans="1:19" s="388" customFormat="1" x14ac:dyDescent="0.3">
      <c r="A244" s="5" t="s">
        <v>533</v>
      </c>
      <c r="B244" s="1430" t="s">
        <v>3449</v>
      </c>
      <c r="C244" s="1090" t="s">
        <v>534</v>
      </c>
      <c r="D244" s="5" t="s">
        <v>31</v>
      </c>
      <c r="E244" s="5" t="s">
        <v>31</v>
      </c>
      <c r="F244" s="5" t="s">
        <v>549</v>
      </c>
      <c r="G244" s="5" t="s">
        <v>171</v>
      </c>
      <c r="H244" s="5" t="s">
        <v>171</v>
      </c>
      <c r="I244" s="5" t="s">
        <v>634</v>
      </c>
      <c r="J244" t="s">
        <v>2612</v>
      </c>
      <c r="K244" s="5" t="s">
        <v>1987</v>
      </c>
      <c r="L244" s="5"/>
      <c r="M244" s="387">
        <v>29</v>
      </c>
      <c r="N244" s="387">
        <v>102</v>
      </c>
      <c r="O244" s="387">
        <v>0</v>
      </c>
      <c r="P244" s="387">
        <v>0</v>
      </c>
      <c r="Q244" s="387">
        <v>0</v>
      </c>
      <c r="R244" s="387">
        <v>0</v>
      </c>
      <c r="S244" s="1174">
        <f>Locations[[#This Row],[Ind_Returnees]]+Locations[[#This Row],[Ind_Refugees]]+Locations[[#This Row],[Ind_IDPs]]</f>
        <v>102</v>
      </c>
    </row>
    <row r="245" spans="1:19" s="388" customFormat="1" x14ac:dyDescent="0.3">
      <c r="A245" s="5" t="s">
        <v>533</v>
      </c>
      <c r="B245" s="1430" t="s">
        <v>3449</v>
      </c>
      <c r="C245" s="1090" t="s">
        <v>534</v>
      </c>
      <c r="D245" s="5" t="s">
        <v>31</v>
      </c>
      <c r="E245" s="5" t="s">
        <v>31</v>
      </c>
      <c r="F245" s="5" t="s">
        <v>549</v>
      </c>
      <c r="G245" s="5" t="s">
        <v>166</v>
      </c>
      <c r="H245" s="5" t="s">
        <v>166</v>
      </c>
      <c r="I245" s="5" t="s">
        <v>844</v>
      </c>
      <c r="J245" t="s">
        <v>2509</v>
      </c>
      <c r="K245" s="5" t="s">
        <v>846</v>
      </c>
      <c r="L245" s="5"/>
      <c r="M245" s="387">
        <v>10</v>
      </c>
      <c r="N245" s="387">
        <v>70</v>
      </c>
      <c r="O245" s="387">
        <v>6</v>
      </c>
      <c r="P245" s="387">
        <v>56</v>
      </c>
      <c r="Q245" s="387">
        <v>0</v>
      </c>
      <c r="R245" s="387">
        <v>0</v>
      </c>
      <c r="S245" s="1174">
        <f>Locations[[#This Row],[Ind_Returnees]]+Locations[[#This Row],[Ind_Refugees]]+Locations[[#This Row],[Ind_IDPs]]</f>
        <v>126</v>
      </c>
    </row>
    <row r="246" spans="1:19" s="388" customFormat="1" x14ac:dyDescent="0.3">
      <c r="A246" s="5" t="s">
        <v>533</v>
      </c>
      <c r="B246" s="1430" t="s">
        <v>3449</v>
      </c>
      <c r="C246" s="1090" t="s">
        <v>534</v>
      </c>
      <c r="D246" s="5" t="s">
        <v>31</v>
      </c>
      <c r="E246" s="5" t="s">
        <v>31</v>
      </c>
      <c r="F246" s="5" t="s">
        <v>549</v>
      </c>
      <c r="G246" s="5" t="s">
        <v>171</v>
      </c>
      <c r="H246" s="5" t="s">
        <v>171</v>
      </c>
      <c r="I246" s="5" t="s">
        <v>634</v>
      </c>
      <c r="J246" t="s">
        <v>2606</v>
      </c>
      <c r="K246" s="5" t="s">
        <v>2169</v>
      </c>
      <c r="L246" s="5"/>
      <c r="M246" s="387">
        <v>11</v>
      </c>
      <c r="N246" s="387">
        <v>50</v>
      </c>
      <c r="O246" s="387">
        <v>9</v>
      </c>
      <c r="P246" s="387">
        <v>12</v>
      </c>
      <c r="Q246" s="387">
        <v>7</v>
      </c>
      <c r="R246" s="387">
        <v>20</v>
      </c>
      <c r="S246" s="1174">
        <f>Locations[[#This Row],[Ind_Returnees]]+Locations[[#This Row],[Ind_Refugees]]+Locations[[#This Row],[Ind_IDPs]]</f>
        <v>82</v>
      </c>
    </row>
    <row r="247" spans="1:19" s="388" customFormat="1" x14ac:dyDescent="0.3">
      <c r="A247" s="5" t="s">
        <v>533</v>
      </c>
      <c r="B247" s="1430" t="s">
        <v>3449</v>
      </c>
      <c r="C247" s="398" t="s">
        <v>534</v>
      </c>
      <c r="D247" s="5" t="s">
        <v>31</v>
      </c>
      <c r="E247" s="5" t="s">
        <v>31</v>
      </c>
      <c r="F247" s="5" t="s">
        <v>549</v>
      </c>
      <c r="G247" s="5" t="s">
        <v>171</v>
      </c>
      <c r="H247" s="5" t="s">
        <v>171</v>
      </c>
      <c r="I247" s="5" t="s">
        <v>634</v>
      </c>
      <c r="J247" t="s">
        <v>2835</v>
      </c>
      <c r="K247" s="5" t="s">
        <v>2180</v>
      </c>
      <c r="L247" s="5"/>
      <c r="M247" s="387">
        <v>10</v>
      </c>
      <c r="N247" s="387">
        <v>29</v>
      </c>
      <c r="O247" s="387">
        <v>5</v>
      </c>
      <c r="P247" s="387">
        <v>11</v>
      </c>
      <c r="Q247" s="387">
        <v>0</v>
      </c>
      <c r="R247" s="387">
        <v>0</v>
      </c>
      <c r="S247" s="1174">
        <f>Locations[[#This Row],[Ind_Returnees]]+Locations[[#This Row],[Ind_Refugees]]+Locations[[#This Row],[Ind_IDPs]]</f>
        <v>40</v>
      </c>
    </row>
    <row r="248" spans="1:19" s="388" customFormat="1" x14ac:dyDescent="0.3">
      <c r="A248" s="5" t="s">
        <v>533</v>
      </c>
      <c r="B248" s="1430" t="s">
        <v>3449</v>
      </c>
      <c r="C248" s="398" t="s">
        <v>534</v>
      </c>
      <c r="D248" s="5" t="s">
        <v>32</v>
      </c>
      <c r="E248" s="5" t="s">
        <v>32</v>
      </c>
      <c r="F248" s="5" t="s">
        <v>542</v>
      </c>
      <c r="G248" s="5" t="s">
        <v>175</v>
      </c>
      <c r="H248" s="5" t="s">
        <v>175</v>
      </c>
      <c r="I248" s="5" t="s">
        <v>1136</v>
      </c>
      <c r="J248" t="s">
        <v>1137</v>
      </c>
      <c r="K248" s="5" t="s">
        <v>1138</v>
      </c>
      <c r="L248" s="5"/>
      <c r="M248" s="387">
        <v>38</v>
      </c>
      <c r="N248" s="387">
        <v>220</v>
      </c>
      <c r="O248" s="387">
        <v>0</v>
      </c>
      <c r="P248" s="387">
        <v>0</v>
      </c>
      <c r="Q248" s="387">
        <v>550</v>
      </c>
      <c r="R248" s="387">
        <v>3200</v>
      </c>
      <c r="S248" s="1174">
        <f>Locations[[#This Row],[Ind_Returnees]]+Locations[[#This Row],[Ind_Refugees]]+Locations[[#This Row],[Ind_IDPs]]</f>
        <v>3420</v>
      </c>
    </row>
    <row r="249" spans="1:19" s="388" customFormat="1" x14ac:dyDescent="0.3">
      <c r="A249" s="5" t="s">
        <v>533</v>
      </c>
      <c r="B249" s="1430" t="s">
        <v>3449</v>
      </c>
      <c r="C249" s="1090" t="s">
        <v>534</v>
      </c>
      <c r="D249" s="5" t="s">
        <v>31</v>
      </c>
      <c r="E249" s="5" t="s">
        <v>31</v>
      </c>
      <c r="F249" s="5" t="s">
        <v>549</v>
      </c>
      <c r="G249" s="5" t="s">
        <v>169</v>
      </c>
      <c r="H249" s="5" t="s">
        <v>169</v>
      </c>
      <c r="I249" s="5" t="s">
        <v>673</v>
      </c>
      <c r="J249" t="s">
        <v>1129</v>
      </c>
      <c r="K249" s="5" t="s">
        <v>1561</v>
      </c>
      <c r="L249" s="5"/>
      <c r="M249" s="387">
        <v>81</v>
      </c>
      <c r="N249" s="387">
        <v>635</v>
      </c>
      <c r="O249" s="387">
        <v>0</v>
      </c>
      <c r="P249" s="387">
        <v>0</v>
      </c>
      <c r="Q249" s="387">
        <v>0</v>
      </c>
      <c r="R249" s="387">
        <v>0</v>
      </c>
      <c r="S249" s="1174">
        <f>Locations[[#This Row],[Ind_Returnees]]+Locations[[#This Row],[Ind_Refugees]]+Locations[[#This Row],[Ind_IDPs]]</f>
        <v>635</v>
      </c>
    </row>
    <row r="250" spans="1:19" s="388" customFormat="1" x14ac:dyDescent="0.3">
      <c r="A250" s="5" t="s">
        <v>533</v>
      </c>
      <c r="B250" s="1430" t="s">
        <v>3449</v>
      </c>
      <c r="C250" s="398" t="s">
        <v>534</v>
      </c>
      <c r="D250" s="5" t="s">
        <v>31</v>
      </c>
      <c r="E250" s="5" t="s">
        <v>31</v>
      </c>
      <c r="F250" s="5" t="s">
        <v>549</v>
      </c>
      <c r="G250" s="5" t="s">
        <v>169</v>
      </c>
      <c r="H250" s="5" t="s">
        <v>169</v>
      </c>
      <c r="I250" s="5" t="s">
        <v>673</v>
      </c>
      <c r="J250" t="s">
        <v>2577</v>
      </c>
      <c r="K250" s="5" t="s">
        <v>1560</v>
      </c>
      <c r="L250" s="5"/>
      <c r="M250" s="387">
        <v>25</v>
      </c>
      <c r="N250" s="387">
        <v>215</v>
      </c>
      <c r="O250" s="387">
        <v>0</v>
      </c>
      <c r="P250" s="387">
        <v>0</v>
      </c>
      <c r="Q250" s="387">
        <v>0</v>
      </c>
      <c r="R250" s="387">
        <v>0</v>
      </c>
      <c r="S250" s="1174">
        <f>Locations[[#This Row],[Ind_Returnees]]+Locations[[#This Row],[Ind_Refugees]]+Locations[[#This Row],[Ind_IDPs]]</f>
        <v>215</v>
      </c>
    </row>
    <row r="251" spans="1:19" s="388" customFormat="1" x14ac:dyDescent="0.3">
      <c r="A251" s="5" t="s">
        <v>533</v>
      </c>
      <c r="B251" s="1430" t="s">
        <v>3449</v>
      </c>
      <c r="C251" s="1090" t="s">
        <v>534</v>
      </c>
      <c r="D251" s="5" t="s">
        <v>31</v>
      </c>
      <c r="E251" s="5" t="s">
        <v>31</v>
      </c>
      <c r="F251" s="5" t="s">
        <v>549</v>
      </c>
      <c r="G251" s="5" t="s">
        <v>169</v>
      </c>
      <c r="H251" s="5" t="s">
        <v>169</v>
      </c>
      <c r="I251" s="5" t="s">
        <v>673</v>
      </c>
      <c r="J251" t="s">
        <v>1646</v>
      </c>
      <c r="K251" s="5" t="s">
        <v>2377</v>
      </c>
      <c r="L251" s="5"/>
      <c r="M251" s="387">
        <v>0</v>
      </c>
      <c r="N251" s="387">
        <v>0</v>
      </c>
      <c r="O251" s="387">
        <v>0</v>
      </c>
      <c r="P251" s="387">
        <v>0</v>
      </c>
      <c r="Q251" s="387">
        <v>56</v>
      </c>
      <c r="R251" s="387">
        <v>370</v>
      </c>
      <c r="S251" s="1174">
        <f>Locations[[#This Row],[Ind_Returnees]]+Locations[[#This Row],[Ind_Refugees]]+Locations[[#This Row],[Ind_IDPs]]</f>
        <v>370</v>
      </c>
    </row>
    <row r="252" spans="1:19" s="388" customFormat="1" x14ac:dyDescent="0.3">
      <c r="A252" s="5" t="s">
        <v>533</v>
      </c>
      <c r="B252" s="1430" t="s">
        <v>3449</v>
      </c>
      <c r="C252" s="1090" t="s">
        <v>534</v>
      </c>
      <c r="D252" s="5" t="s">
        <v>31</v>
      </c>
      <c r="E252" s="5" t="s">
        <v>31</v>
      </c>
      <c r="F252" s="5" t="s">
        <v>549</v>
      </c>
      <c r="G252" s="5" t="s">
        <v>169</v>
      </c>
      <c r="H252" s="5" t="s">
        <v>169</v>
      </c>
      <c r="I252" s="5" t="s">
        <v>673</v>
      </c>
      <c r="J252" t="s">
        <v>1468</v>
      </c>
      <c r="K252" s="5" t="s">
        <v>1470</v>
      </c>
      <c r="L252" s="5"/>
      <c r="M252" s="387">
        <v>3</v>
      </c>
      <c r="N252" s="387">
        <v>18</v>
      </c>
      <c r="O252" s="387">
        <v>0</v>
      </c>
      <c r="P252" s="387">
        <v>0</v>
      </c>
      <c r="Q252" s="387">
        <v>0</v>
      </c>
      <c r="R252" s="387">
        <v>0</v>
      </c>
      <c r="S252" s="1174">
        <f>Locations[[#This Row],[Ind_Returnees]]+Locations[[#This Row],[Ind_Refugees]]+Locations[[#This Row],[Ind_IDPs]]</f>
        <v>18</v>
      </c>
    </row>
    <row r="253" spans="1:19" s="388" customFormat="1" x14ac:dyDescent="0.3">
      <c r="A253" s="5" t="s">
        <v>533</v>
      </c>
      <c r="B253" s="1430" t="s">
        <v>3449</v>
      </c>
      <c r="C253" s="1090" t="s">
        <v>534</v>
      </c>
      <c r="D253" s="5" t="s">
        <v>31</v>
      </c>
      <c r="E253" s="5" t="s">
        <v>31</v>
      </c>
      <c r="F253" s="5" t="s">
        <v>549</v>
      </c>
      <c r="G253" s="5" t="s">
        <v>169</v>
      </c>
      <c r="H253" s="5" t="s">
        <v>169</v>
      </c>
      <c r="I253" s="5" t="s">
        <v>673</v>
      </c>
      <c r="J253" t="s">
        <v>1135</v>
      </c>
      <c r="K253" s="5" t="s">
        <v>1471</v>
      </c>
      <c r="L253" s="5"/>
      <c r="M253" s="387">
        <v>30</v>
      </c>
      <c r="N253" s="387">
        <v>183</v>
      </c>
      <c r="O253" s="387">
        <v>0</v>
      </c>
      <c r="P253" s="387">
        <v>0</v>
      </c>
      <c r="Q253" s="387">
        <v>0</v>
      </c>
      <c r="R253" s="387">
        <v>0</v>
      </c>
      <c r="S253" s="1174">
        <f>Locations[[#This Row],[Ind_Returnees]]+Locations[[#This Row],[Ind_Refugees]]+Locations[[#This Row],[Ind_IDPs]]</f>
        <v>183</v>
      </c>
    </row>
    <row r="254" spans="1:19" s="388" customFormat="1" x14ac:dyDescent="0.3">
      <c r="A254" s="5" t="s">
        <v>533</v>
      </c>
      <c r="B254" s="1430" t="s">
        <v>3449</v>
      </c>
      <c r="C254" s="398" t="s">
        <v>534</v>
      </c>
      <c r="D254" s="5" t="s">
        <v>31</v>
      </c>
      <c r="E254" s="5" t="s">
        <v>31</v>
      </c>
      <c r="F254" s="5" t="s">
        <v>549</v>
      </c>
      <c r="G254" s="5" t="s">
        <v>165</v>
      </c>
      <c r="H254" s="5" t="s">
        <v>165</v>
      </c>
      <c r="I254" s="5" t="s">
        <v>881</v>
      </c>
      <c r="J254" t="s">
        <v>1842</v>
      </c>
      <c r="K254" s="5" t="s">
        <v>1694</v>
      </c>
      <c r="L254" s="5"/>
      <c r="M254" s="387">
        <v>0</v>
      </c>
      <c r="N254" s="387">
        <v>0</v>
      </c>
      <c r="O254" s="387">
        <v>0</v>
      </c>
      <c r="P254" s="387">
        <v>0</v>
      </c>
      <c r="Q254" s="387">
        <v>0</v>
      </c>
      <c r="R254" s="387">
        <v>0</v>
      </c>
      <c r="S254" s="1174">
        <f>Locations[[#This Row],[Ind_Returnees]]+Locations[[#This Row],[Ind_Refugees]]+Locations[[#This Row],[Ind_IDPs]]</f>
        <v>0</v>
      </c>
    </row>
    <row r="255" spans="1:19" s="388" customFormat="1" x14ac:dyDescent="0.3">
      <c r="A255" s="5" t="s">
        <v>533</v>
      </c>
      <c r="B255" s="1430" t="s">
        <v>3449</v>
      </c>
      <c r="C255" s="398" t="s">
        <v>534</v>
      </c>
      <c r="D255" s="5" t="s">
        <v>31</v>
      </c>
      <c r="E255" s="5" t="s">
        <v>31</v>
      </c>
      <c r="F255" s="5" t="s">
        <v>549</v>
      </c>
      <c r="G255" s="5" t="s">
        <v>169</v>
      </c>
      <c r="H255" s="5" t="s">
        <v>169</v>
      </c>
      <c r="I255" s="5" t="s">
        <v>673</v>
      </c>
      <c r="J255" t="s">
        <v>2836</v>
      </c>
      <c r="K255" s="5" t="s">
        <v>2315</v>
      </c>
      <c r="L255" s="5"/>
      <c r="M255" s="387">
        <v>0</v>
      </c>
      <c r="N255" s="387">
        <v>0</v>
      </c>
      <c r="O255" s="387">
        <v>0</v>
      </c>
      <c r="P255" s="387">
        <v>0</v>
      </c>
      <c r="Q255" s="387">
        <v>0</v>
      </c>
      <c r="R255" s="387">
        <v>0</v>
      </c>
      <c r="S255" s="1174">
        <f>Locations[[#This Row],[Ind_Returnees]]+Locations[[#This Row],[Ind_Refugees]]+Locations[[#This Row],[Ind_IDPs]]</f>
        <v>0</v>
      </c>
    </row>
    <row r="256" spans="1:19" s="388" customFormat="1" x14ac:dyDescent="0.3">
      <c r="A256" s="5" t="s">
        <v>533</v>
      </c>
      <c r="B256" s="1430" t="s">
        <v>3449</v>
      </c>
      <c r="C256" s="398" t="s">
        <v>534</v>
      </c>
      <c r="D256" s="5" t="s">
        <v>31</v>
      </c>
      <c r="E256" s="5" t="s">
        <v>31</v>
      </c>
      <c r="F256" s="5" t="s">
        <v>549</v>
      </c>
      <c r="G256" s="5" t="s">
        <v>171</v>
      </c>
      <c r="H256" s="5" t="s">
        <v>171</v>
      </c>
      <c r="I256" s="5" t="s">
        <v>634</v>
      </c>
      <c r="J256" t="s">
        <v>2837</v>
      </c>
      <c r="K256" s="5" t="s">
        <v>1078</v>
      </c>
      <c r="L256" s="5"/>
      <c r="M256" s="387">
        <v>48</v>
      </c>
      <c r="N256" s="387">
        <v>308</v>
      </c>
      <c r="O256" s="387">
        <v>37</v>
      </c>
      <c r="P256" s="387">
        <v>207</v>
      </c>
      <c r="Q256" s="387">
        <v>0</v>
      </c>
      <c r="R256" s="387">
        <v>0</v>
      </c>
      <c r="S256" s="1174">
        <f>Locations[[#This Row],[Ind_Returnees]]+Locations[[#This Row],[Ind_Refugees]]+Locations[[#This Row],[Ind_IDPs]]</f>
        <v>515</v>
      </c>
    </row>
    <row r="257" spans="1:19" s="388" customFormat="1" x14ac:dyDescent="0.3">
      <c r="A257" s="5" t="s">
        <v>533</v>
      </c>
      <c r="B257" s="1430" t="s">
        <v>3449</v>
      </c>
      <c r="C257" s="398" t="s">
        <v>534</v>
      </c>
      <c r="D257" s="5" t="s">
        <v>31</v>
      </c>
      <c r="E257" s="5" t="s">
        <v>31</v>
      </c>
      <c r="F257" s="5" t="s">
        <v>549</v>
      </c>
      <c r="G257" s="5" t="s">
        <v>171</v>
      </c>
      <c r="H257" s="5" t="s">
        <v>171</v>
      </c>
      <c r="I257" s="5" t="s">
        <v>634</v>
      </c>
      <c r="J257" t="s">
        <v>1345</v>
      </c>
      <c r="K257" s="5" t="s">
        <v>1775</v>
      </c>
      <c r="L257" s="5"/>
      <c r="M257" s="387">
        <v>0</v>
      </c>
      <c r="N257" s="387">
        <v>0</v>
      </c>
      <c r="O257" s="387">
        <v>0</v>
      </c>
      <c r="P257" s="387">
        <v>0</v>
      </c>
      <c r="Q257" s="387">
        <v>0</v>
      </c>
      <c r="R257" s="387">
        <v>0</v>
      </c>
      <c r="S257" s="1174">
        <f>Locations[[#This Row],[Ind_Returnees]]+Locations[[#This Row],[Ind_Refugees]]+Locations[[#This Row],[Ind_IDPs]]</f>
        <v>0</v>
      </c>
    </row>
    <row r="258" spans="1:19" s="388" customFormat="1" x14ac:dyDescent="0.3">
      <c r="A258" s="5" t="s">
        <v>533</v>
      </c>
      <c r="B258" s="1430" t="s">
        <v>3449</v>
      </c>
      <c r="C258" s="1090" t="s">
        <v>534</v>
      </c>
      <c r="D258" s="5" t="s">
        <v>32</v>
      </c>
      <c r="E258" s="5" t="s">
        <v>32</v>
      </c>
      <c r="F258" s="5" t="s">
        <v>542</v>
      </c>
      <c r="G258" s="5" t="s">
        <v>179</v>
      </c>
      <c r="H258" s="5" t="s">
        <v>179</v>
      </c>
      <c r="I258" s="5" t="s">
        <v>1666</v>
      </c>
      <c r="J258" t="s">
        <v>2316</v>
      </c>
      <c r="K258" s="5" t="s">
        <v>2317</v>
      </c>
      <c r="L258" s="5"/>
      <c r="M258" s="387">
        <v>0</v>
      </c>
      <c r="N258" s="387">
        <v>0</v>
      </c>
      <c r="O258" s="387">
        <v>0</v>
      </c>
      <c r="P258" s="387">
        <v>0</v>
      </c>
      <c r="Q258" s="387">
        <v>50</v>
      </c>
      <c r="R258" s="387">
        <v>260</v>
      </c>
      <c r="S258" s="1174">
        <f>Locations[[#This Row],[Ind_Returnees]]+Locations[[#This Row],[Ind_Refugees]]+Locations[[#This Row],[Ind_IDPs]]</f>
        <v>260</v>
      </c>
    </row>
    <row r="259" spans="1:19" s="388" customFormat="1" x14ac:dyDescent="0.3">
      <c r="A259" s="5" t="s">
        <v>533</v>
      </c>
      <c r="B259" s="1430" t="s">
        <v>3449</v>
      </c>
      <c r="C259" s="1090" t="s">
        <v>534</v>
      </c>
      <c r="D259" s="5" t="s">
        <v>34</v>
      </c>
      <c r="E259" s="5" t="s">
        <v>34</v>
      </c>
      <c r="F259" s="5" t="s">
        <v>539</v>
      </c>
      <c r="G259" s="5" t="s">
        <v>189</v>
      </c>
      <c r="H259" s="5" t="s">
        <v>189</v>
      </c>
      <c r="I259" s="5" t="s">
        <v>590</v>
      </c>
      <c r="J259" t="s">
        <v>1206</v>
      </c>
      <c r="K259" s="5" t="s">
        <v>1207</v>
      </c>
      <c r="L259" s="5"/>
      <c r="M259" s="387">
        <v>1</v>
      </c>
      <c r="N259" s="387">
        <v>61</v>
      </c>
      <c r="O259" s="387">
        <v>0</v>
      </c>
      <c r="P259" s="387">
        <v>0</v>
      </c>
      <c r="Q259" s="387">
        <v>0</v>
      </c>
      <c r="R259" s="387">
        <v>0</v>
      </c>
      <c r="S259" s="1174">
        <f>Locations[[#This Row],[Ind_Returnees]]+Locations[[#This Row],[Ind_Refugees]]+Locations[[#This Row],[Ind_IDPs]]</f>
        <v>61</v>
      </c>
    </row>
    <row r="260" spans="1:19" s="388" customFormat="1" x14ac:dyDescent="0.3">
      <c r="A260" s="5" t="s">
        <v>533</v>
      </c>
      <c r="B260" s="1430" t="s">
        <v>3449</v>
      </c>
      <c r="C260" s="398" t="s">
        <v>534</v>
      </c>
      <c r="D260" s="5" t="s">
        <v>31</v>
      </c>
      <c r="E260" s="5" t="s">
        <v>31</v>
      </c>
      <c r="F260" s="5" t="s">
        <v>549</v>
      </c>
      <c r="G260" s="5" t="s">
        <v>167</v>
      </c>
      <c r="H260" s="5" t="s">
        <v>167</v>
      </c>
      <c r="I260" s="5" t="s">
        <v>1113</v>
      </c>
      <c r="J260" t="s">
        <v>1989</v>
      </c>
      <c r="K260" s="5" t="s">
        <v>1990</v>
      </c>
      <c r="L260" s="5"/>
      <c r="M260" s="387">
        <v>0</v>
      </c>
      <c r="N260" s="387">
        <v>0</v>
      </c>
      <c r="O260" s="387">
        <v>0</v>
      </c>
      <c r="P260" s="387">
        <v>0</v>
      </c>
      <c r="Q260" s="387">
        <v>0</v>
      </c>
      <c r="R260" s="387">
        <v>0</v>
      </c>
      <c r="S260" s="1174">
        <f>Locations[[#This Row],[Ind_Returnees]]+Locations[[#This Row],[Ind_Refugees]]+Locations[[#This Row],[Ind_IDPs]]</f>
        <v>0</v>
      </c>
    </row>
    <row r="261" spans="1:19" s="388" customFormat="1" x14ac:dyDescent="0.3">
      <c r="A261" s="5" t="s">
        <v>533</v>
      </c>
      <c r="B261" s="1430" t="s">
        <v>3449</v>
      </c>
      <c r="C261" s="1090" t="s">
        <v>534</v>
      </c>
      <c r="D261" s="5" t="s">
        <v>32</v>
      </c>
      <c r="E261" s="5" t="s">
        <v>32</v>
      </c>
      <c r="F261" s="5" t="s">
        <v>542</v>
      </c>
      <c r="G261" s="5" t="s">
        <v>176</v>
      </c>
      <c r="H261" s="5" t="s">
        <v>176</v>
      </c>
      <c r="I261" s="5" t="s">
        <v>772</v>
      </c>
      <c r="J261" t="s">
        <v>3196</v>
      </c>
      <c r="K261" s="5" t="s">
        <v>2783</v>
      </c>
      <c r="L261" s="5"/>
      <c r="M261" s="387">
        <v>17</v>
      </c>
      <c r="N261" s="387">
        <v>56</v>
      </c>
      <c r="O261" s="387">
        <v>0</v>
      </c>
      <c r="P261" s="387">
        <v>0</v>
      </c>
      <c r="Q261" s="387">
        <v>0</v>
      </c>
      <c r="R261" s="387">
        <v>0</v>
      </c>
      <c r="S261" s="1174">
        <f>Locations[[#This Row],[Ind_Returnees]]+Locations[[#This Row],[Ind_Refugees]]+Locations[[#This Row],[Ind_IDPs]]</f>
        <v>56</v>
      </c>
    </row>
    <row r="262" spans="1:19" s="388" customFormat="1" x14ac:dyDescent="0.3">
      <c r="A262" s="5" t="s">
        <v>533</v>
      </c>
      <c r="B262" s="1430" t="s">
        <v>3449</v>
      </c>
      <c r="C262" s="398" t="s">
        <v>534</v>
      </c>
      <c r="D262" s="5" t="s">
        <v>32</v>
      </c>
      <c r="E262" s="5" t="s">
        <v>32</v>
      </c>
      <c r="F262" s="5" t="s">
        <v>542</v>
      </c>
      <c r="G262" s="5" t="s">
        <v>176</v>
      </c>
      <c r="H262" s="5" t="s">
        <v>176</v>
      </c>
      <c r="I262" s="5" t="s">
        <v>772</v>
      </c>
      <c r="J262" t="s">
        <v>2267</v>
      </c>
      <c r="K262" s="5" t="s">
        <v>2268</v>
      </c>
      <c r="L262" s="5"/>
      <c r="M262" s="387">
        <v>0</v>
      </c>
      <c r="N262" s="387">
        <v>0</v>
      </c>
      <c r="O262" s="387">
        <v>0</v>
      </c>
      <c r="P262" s="387">
        <v>0</v>
      </c>
      <c r="Q262" s="387">
        <v>9</v>
      </c>
      <c r="R262" s="387">
        <v>97</v>
      </c>
      <c r="S262" s="1174">
        <f>Locations[[#This Row],[Ind_Returnees]]+Locations[[#This Row],[Ind_Refugees]]+Locations[[#This Row],[Ind_IDPs]]</f>
        <v>97</v>
      </c>
    </row>
    <row r="263" spans="1:19" s="388" customFormat="1" x14ac:dyDescent="0.3">
      <c r="A263" s="5" t="s">
        <v>533</v>
      </c>
      <c r="B263" s="1430" t="s">
        <v>3449</v>
      </c>
      <c r="C263" s="398" t="s">
        <v>534</v>
      </c>
      <c r="D263" s="5" t="s">
        <v>31</v>
      </c>
      <c r="E263" s="5" t="s">
        <v>31</v>
      </c>
      <c r="F263" s="5" t="s">
        <v>549</v>
      </c>
      <c r="G263" s="5" t="s">
        <v>171</v>
      </c>
      <c r="H263" s="5" t="s">
        <v>171</v>
      </c>
      <c r="I263" s="5" t="s">
        <v>634</v>
      </c>
      <c r="J263" t="s">
        <v>1751</v>
      </c>
      <c r="K263" s="5" t="s">
        <v>860</v>
      </c>
      <c r="L263" s="5"/>
      <c r="M263" s="387">
        <v>6</v>
      </c>
      <c r="N263" s="387">
        <v>50</v>
      </c>
      <c r="O263" s="387">
        <v>0</v>
      </c>
      <c r="P263" s="387">
        <v>0</v>
      </c>
      <c r="Q263" s="387">
        <v>0</v>
      </c>
      <c r="R263" s="387">
        <v>0</v>
      </c>
      <c r="S263" s="1174">
        <f>Locations[[#This Row],[Ind_Returnees]]+Locations[[#This Row],[Ind_Refugees]]+Locations[[#This Row],[Ind_IDPs]]</f>
        <v>50</v>
      </c>
    </row>
    <row r="264" spans="1:19" s="388" customFormat="1" x14ac:dyDescent="0.3">
      <c r="A264" s="5" t="s">
        <v>533</v>
      </c>
      <c r="B264" s="1430" t="s">
        <v>3449</v>
      </c>
      <c r="C264" s="398" t="s">
        <v>534</v>
      </c>
      <c r="D264" s="5" t="s">
        <v>31</v>
      </c>
      <c r="E264" s="5" t="s">
        <v>31</v>
      </c>
      <c r="F264" s="5" t="s">
        <v>549</v>
      </c>
      <c r="G264" s="5" t="s">
        <v>169</v>
      </c>
      <c r="H264" s="5" t="s">
        <v>169</v>
      </c>
      <c r="I264" s="5" t="s">
        <v>673</v>
      </c>
      <c r="J264" t="s">
        <v>2838</v>
      </c>
      <c r="K264" s="5" t="s">
        <v>1124</v>
      </c>
      <c r="L264" s="5"/>
      <c r="M264" s="387">
        <v>6</v>
      </c>
      <c r="N264" s="387">
        <v>40</v>
      </c>
      <c r="O264" s="387">
        <v>0</v>
      </c>
      <c r="P264" s="387">
        <v>0</v>
      </c>
      <c r="Q264" s="387">
        <v>0</v>
      </c>
      <c r="R264" s="387">
        <v>0</v>
      </c>
      <c r="S264" s="1174">
        <f>Locations[[#This Row],[Ind_Returnees]]+Locations[[#This Row],[Ind_Refugees]]+Locations[[#This Row],[Ind_IDPs]]</f>
        <v>40</v>
      </c>
    </row>
    <row r="265" spans="1:19" s="388" customFormat="1" x14ac:dyDescent="0.3">
      <c r="A265" s="5" t="s">
        <v>533</v>
      </c>
      <c r="B265" s="1430" t="s">
        <v>3449</v>
      </c>
      <c r="C265" s="1090" t="s">
        <v>534</v>
      </c>
      <c r="D265" s="5" t="s">
        <v>31</v>
      </c>
      <c r="E265" s="5" t="s">
        <v>31</v>
      </c>
      <c r="F265" s="5" t="s">
        <v>549</v>
      </c>
      <c r="G265" s="5" t="s">
        <v>166</v>
      </c>
      <c r="H265" s="5" t="s">
        <v>166</v>
      </c>
      <c r="I265" s="5" t="s">
        <v>844</v>
      </c>
      <c r="J265" t="s">
        <v>2839</v>
      </c>
      <c r="K265" s="5" t="s">
        <v>2494</v>
      </c>
      <c r="L265" s="5"/>
      <c r="M265" s="387">
        <v>0</v>
      </c>
      <c r="N265" s="387">
        <v>0</v>
      </c>
      <c r="O265" s="387">
        <v>0</v>
      </c>
      <c r="P265" s="387">
        <v>0</v>
      </c>
      <c r="Q265" s="387">
        <v>0</v>
      </c>
      <c r="R265" s="387">
        <v>0</v>
      </c>
      <c r="S265" s="1174">
        <f>Locations[[#This Row],[Ind_Returnees]]+Locations[[#This Row],[Ind_Refugees]]+Locations[[#This Row],[Ind_IDPs]]</f>
        <v>0</v>
      </c>
    </row>
    <row r="266" spans="1:19" s="388" customFormat="1" x14ac:dyDescent="0.3">
      <c r="A266" s="5" t="s">
        <v>533</v>
      </c>
      <c r="B266" s="1430" t="s">
        <v>3449</v>
      </c>
      <c r="C266" s="1090" t="s">
        <v>534</v>
      </c>
      <c r="D266" s="5" t="s">
        <v>31</v>
      </c>
      <c r="E266" s="5" t="s">
        <v>31</v>
      </c>
      <c r="F266" s="5" t="s">
        <v>549</v>
      </c>
      <c r="G266" s="5" t="s">
        <v>169</v>
      </c>
      <c r="H266" s="5" t="s">
        <v>169</v>
      </c>
      <c r="I266" s="5" t="s">
        <v>673</v>
      </c>
      <c r="J266" t="s">
        <v>2841</v>
      </c>
      <c r="K266" s="5" t="s">
        <v>2349</v>
      </c>
      <c r="L266" s="5"/>
      <c r="M266" s="387">
        <v>0</v>
      </c>
      <c r="N266" s="387">
        <v>0</v>
      </c>
      <c r="O266" s="387">
        <v>0</v>
      </c>
      <c r="P266" s="387">
        <v>0</v>
      </c>
      <c r="Q266" s="387">
        <v>27</v>
      </c>
      <c r="R266" s="387">
        <v>210</v>
      </c>
      <c r="S266" s="1174">
        <f>Locations[[#This Row],[Ind_Returnees]]+Locations[[#This Row],[Ind_Refugees]]+Locations[[#This Row],[Ind_IDPs]]</f>
        <v>210</v>
      </c>
    </row>
    <row r="267" spans="1:19" s="388" customFormat="1" x14ac:dyDescent="0.3">
      <c r="A267" s="5" t="s">
        <v>533</v>
      </c>
      <c r="B267" s="1430" t="s">
        <v>3449</v>
      </c>
      <c r="C267" s="398" t="s">
        <v>534</v>
      </c>
      <c r="D267" s="5" t="s">
        <v>31</v>
      </c>
      <c r="E267" s="5" t="s">
        <v>31</v>
      </c>
      <c r="F267" s="5" t="s">
        <v>549</v>
      </c>
      <c r="G267" s="5" t="s">
        <v>169</v>
      </c>
      <c r="H267" s="5" t="s">
        <v>169</v>
      </c>
      <c r="I267" s="5" t="s">
        <v>673</v>
      </c>
      <c r="J267" t="s">
        <v>2814</v>
      </c>
      <c r="K267" s="5" t="s">
        <v>2348</v>
      </c>
      <c r="L267" s="5"/>
      <c r="M267" s="387">
        <v>0</v>
      </c>
      <c r="N267" s="387">
        <v>0</v>
      </c>
      <c r="O267" s="387">
        <v>0</v>
      </c>
      <c r="P267" s="387">
        <v>0</v>
      </c>
      <c r="Q267" s="387">
        <v>33</v>
      </c>
      <c r="R267" s="387">
        <v>391</v>
      </c>
      <c r="S267" s="1174">
        <f>Locations[[#This Row],[Ind_Returnees]]+Locations[[#This Row],[Ind_Refugees]]+Locations[[#This Row],[Ind_IDPs]]</f>
        <v>391</v>
      </c>
    </row>
    <row r="268" spans="1:19" s="388" customFormat="1" x14ac:dyDescent="0.3">
      <c r="A268" s="5" t="s">
        <v>533</v>
      </c>
      <c r="B268" s="1430" t="s">
        <v>3449</v>
      </c>
      <c r="C268" s="398" t="s">
        <v>534</v>
      </c>
      <c r="D268" s="5" t="s">
        <v>31</v>
      </c>
      <c r="E268" s="5" t="s">
        <v>31</v>
      </c>
      <c r="F268" s="5" t="s">
        <v>549</v>
      </c>
      <c r="G268" s="5" t="s">
        <v>169</v>
      </c>
      <c r="H268" s="5" t="s">
        <v>169</v>
      </c>
      <c r="I268" s="5" t="s">
        <v>673</v>
      </c>
      <c r="J268" t="s">
        <v>2976</v>
      </c>
      <c r="K268" s="5" t="s">
        <v>2335</v>
      </c>
      <c r="L268" s="5"/>
      <c r="M268" s="387">
        <v>0</v>
      </c>
      <c r="N268" s="387">
        <v>0</v>
      </c>
      <c r="O268" s="387">
        <v>0</v>
      </c>
      <c r="P268" s="387">
        <v>0</v>
      </c>
      <c r="Q268" s="387">
        <v>52</v>
      </c>
      <c r="R268" s="387">
        <v>264</v>
      </c>
      <c r="S268" s="1174">
        <f>Locations[[#This Row],[Ind_Returnees]]+Locations[[#This Row],[Ind_Refugees]]+Locations[[#This Row],[Ind_IDPs]]</f>
        <v>264</v>
      </c>
    </row>
    <row r="269" spans="1:19" s="388" customFormat="1" x14ac:dyDescent="0.3">
      <c r="A269" s="5" t="s">
        <v>533</v>
      </c>
      <c r="B269" s="1430" t="s">
        <v>3449</v>
      </c>
      <c r="C269" s="1090" t="s">
        <v>534</v>
      </c>
      <c r="D269" s="5" t="s">
        <v>32</v>
      </c>
      <c r="E269" s="5" t="s">
        <v>32</v>
      </c>
      <c r="F269" s="5" t="s">
        <v>542</v>
      </c>
      <c r="G269" s="1090" t="s">
        <v>181</v>
      </c>
      <c r="H269" s="1090" t="s">
        <v>181</v>
      </c>
      <c r="I269" s="5" t="s">
        <v>1661</v>
      </c>
      <c r="J269" t="s">
        <v>1662</v>
      </c>
      <c r="K269" s="5" t="s">
        <v>1663</v>
      </c>
      <c r="L269" s="5"/>
      <c r="M269" s="387">
        <v>18</v>
      </c>
      <c r="N269" s="387">
        <v>131</v>
      </c>
      <c r="O269" s="387">
        <v>0</v>
      </c>
      <c r="P269" s="387">
        <v>0</v>
      </c>
      <c r="Q269" s="387">
        <v>0</v>
      </c>
      <c r="R269" s="387">
        <v>0</v>
      </c>
      <c r="S269" s="1174">
        <f>Locations[[#This Row],[Ind_Returnees]]+Locations[[#This Row],[Ind_Refugees]]+Locations[[#This Row],[Ind_IDPs]]</f>
        <v>131</v>
      </c>
    </row>
    <row r="270" spans="1:19" s="388" customFormat="1" x14ac:dyDescent="0.3">
      <c r="A270" s="5" t="s">
        <v>533</v>
      </c>
      <c r="B270" s="1430" t="s">
        <v>3449</v>
      </c>
      <c r="C270" s="398" t="s">
        <v>534</v>
      </c>
      <c r="D270" s="5" t="s">
        <v>32</v>
      </c>
      <c r="E270" s="5" t="s">
        <v>32</v>
      </c>
      <c r="F270" s="5" t="s">
        <v>542</v>
      </c>
      <c r="G270" s="5" t="s">
        <v>181</v>
      </c>
      <c r="H270" s="5" t="s">
        <v>181</v>
      </c>
      <c r="I270" s="5" t="s">
        <v>1661</v>
      </c>
      <c r="J270" t="s">
        <v>1664</v>
      </c>
      <c r="K270" s="5" t="s">
        <v>1665</v>
      </c>
      <c r="L270" s="5"/>
      <c r="M270" s="387">
        <v>66</v>
      </c>
      <c r="N270" s="387">
        <v>412</v>
      </c>
      <c r="O270" s="387">
        <v>0</v>
      </c>
      <c r="P270" s="387">
        <v>0</v>
      </c>
      <c r="Q270" s="387">
        <v>172</v>
      </c>
      <c r="R270" s="387">
        <v>860</v>
      </c>
      <c r="S270" s="1174">
        <f>Locations[[#This Row],[Ind_Returnees]]+Locations[[#This Row],[Ind_Refugees]]+Locations[[#This Row],[Ind_IDPs]]</f>
        <v>1272</v>
      </c>
    </row>
    <row r="271" spans="1:19" s="388" customFormat="1" x14ac:dyDescent="0.3">
      <c r="A271" s="5" t="s">
        <v>533</v>
      </c>
      <c r="B271" s="1430" t="s">
        <v>3449</v>
      </c>
      <c r="C271" s="1090" t="s">
        <v>534</v>
      </c>
      <c r="D271" s="5" t="s">
        <v>32</v>
      </c>
      <c r="E271" s="5" t="s">
        <v>32</v>
      </c>
      <c r="F271" s="5" t="s">
        <v>542</v>
      </c>
      <c r="G271" s="5" t="s">
        <v>179</v>
      </c>
      <c r="H271" s="5" t="s">
        <v>179</v>
      </c>
      <c r="I271" s="5" t="s">
        <v>1666</v>
      </c>
      <c r="J271" t="s">
        <v>2318</v>
      </c>
      <c r="K271" s="5" t="s">
        <v>2319</v>
      </c>
      <c r="L271" s="5"/>
      <c r="M271" s="387">
        <v>0</v>
      </c>
      <c r="N271" s="387">
        <v>0</v>
      </c>
      <c r="O271" s="387">
        <v>0</v>
      </c>
      <c r="P271" s="387">
        <v>0</v>
      </c>
      <c r="Q271" s="387">
        <v>15</v>
      </c>
      <c r="R271" s="387">
        <v>102</v>
      </c>
      <c r="S271" s="1174">
        <f>Locations[[#This Row],[Ind_Returnees]]+Locations[[#This Row],[Ind_Refugees]]+Locations[[#This Row],[Ind_IDPs]]</f>
        <v>102</v>
      </c>
    </row>
    <row r="272" spans="1:19" s="388" customFormat="1" x14ac:dyDescent="0.3">
      <c r="A272" s="5" t="s">
        <v>533</v>
      </c>
      <c r="B272" s="1430" t="s">
        <v>3449</v>
      </c>
      <c r="C272" s="1090" t="s">
        <v>534</v>
      </c>
      <c r="D272" s="5" t="s">
        <v>33</v>
      </c>
      <c r="E272" s="5" t="s">
        <v>33</v>
      </c>
      <c r="F272" s="5" t="s">
        <v>561</v>
      </c>
      <c r="G272" s="5" t="s">
        <v>185</v>
      </c>
      <c r="H272" s="5" t="s">
        <v>185</v>
      </c>
      <c r="I272" s="5" t="s">
        <v>656</v>
      </c>
      <c r="J272" t="s">
        <v>1097</v>
      </c>
      <c r="K272" s="5" t="s">
        <v>1098</v>
      </c>
      <c r="L272" s="5"/>
      <c r="M272" s="387">
        <v>0</v>
      </c>
      <c r="N272" s="387">
        <v>0</v>
      </c>
      <c r="O272" s="387">
        <v>0</v>
      </c>
      <c r="P272" s="387">
        <v>0</v>
      </c>
      <c r="Q272" s="387">
        <v>0</v>
      </c>
      <c r="R272" s="387">
        <v>0</v>
      </c>
      <c r="S272" s="1174">
        <f>Locations[[#This Row],[Ind_Returnees]]+Locations[[#This Row],[Ind_Refugees]]+Locations[[#This Row],[Ind_IDPs]]</f>
        <v>0</v>
      </c>
    </row>
    <row r="273" spans="1:19" s="388" customFormat="1" x14ac:dyDescent="0.3">
      <c r="A273" s="5" t="s">
        <v>533</v>
      </c>
      <c r="B273" s="1430" t="s">
        <v>3449</v>
      </c>
      <c r="C273" s="398" t="s">
        <v>534</v>
      </c>
      <c r="D273" s="5" t="s">
        <v>31</v>
      </c>
      <c r="E273" s="5" t="s">
        <v>31</v>
      </c>
      <c r="F273" s="5" t="s">
        <v>549</v>
      </c>
      <c r="G273" s="5" t="s">
        <v>165</v>
      </c>
      <c r="H273" s="5" t="s">
        <v>165</v>
      </c>
      <c r="I273" s="5" t="s">
        <v>881</v>
      </c>
      <c r="J273" t="s">
        <v>2032</v>
      </c>
      <c r="K273" s="5" t="s">
        <v>2033</v>
      </c>
      <c r="L273" s="5"/>
      <c r="M273" s="387">
        <v>80</v>
      </c>
      <c r="N273" s="387">
        <v>572</v>
      </c>
      <c r="O273" s="387">
        <v>0</v>
      </c>
      <c r="P273" s="387">
        <v>0</v>
      </c>
      <c r="Q273" s="387">
        <v>0</v>
      </c>
      <c r="R273" s="387">
        <v>0</v>
      </c>
      <c r="S273" s="1174">
        <f>Locations[[#This Row],[Ind_Returnees]]+Locations[[#This Row],[Ind_Refugees]]+Locations[[#This Row],[Ind_IDPs]]</f>
        <v>572</v>
      </c>
    </row>
    <row r="274" spans="1:19" s="388" customFormat="1" x14ac:dyDescent="0.3">
      <c r="A274" s="5" t="s">
        <v>533</v>
      </c>
      <c r="B274" s="1430" t="s">
        <v>3449</v>
      </c>
      <c r="C274" s="398" t="s">
        <v>534</v>
      </c>
      <c r="D274" s="5" t="s">
        <v>30</v>
      </c>
      <c r="E274" s="5" t="s">
        <v>3522</v>
      </c>
      <c r="F274" s="5" t="s">
        <v>535</v>
      </c>
      <c r="G274" s="1144" t="s">
        <v>157</v>
      </c>
      <c r="H274" s="1144" t="s">
        <v>157</v>
      </c>
      <c r="I274" s="5" t="s">
        <v>2236</v>
      </c>
      <c r="J274" t="s">
        <v>2243</v>
      </c>
      <c r="K274" s="5" t="s">
        <v>2244</v>
      </c>
      <c r="L274" s="5"/>
      <c r="M274" s="387">
        <v>0</v>
      </c>
      <c r="N274" s="387">
        <v>0</v>
      </c>
      <c r="O274" s="387">
        <v>0</v>
      </c>
      <c r="P274" s="387">
        <v>0</v>
      </c>
      <c r="Q274" s="387">
        <v>2</v>
      </c>
      <c r="R274" s="387">
        <v>16</v>
      </c>
      <c r="S274" s="1174">
        <f>Locations[[#This Row],[Ind_Returnees]]+Locations[[#This Row],[Ind_Refugees]]+Locations[[#This Row],[Ind_IDPs]]</f>
        <v>16</v>
      </c>
    </row>
    <row r="275" spans="1:19" s="388" customFormat="1" x14ac:dyDescent="0.3">
      <c r="A275" s="5" t="s">
        <v>533</v>
      </c>
      <c r="B275" s="1430" t="s">
        <v>3449</v>
      </c>
      <c r="C275" s="398" t="s">
        <v>534</v>
      </c>
      <c r="D275" s="5" t="s">
        <v>31</v>
      </c>
      <c r="E275" s="5" t="s">
        <v>31</v>
      </c>
      <c r="F275" s="5" t="s">
        <v>549</v>
      </c>
      <c r="G275" s="5" t="s">
        <v>171</v>
      </c>
      <c r="H275" s="5" t="s">
        <v>171</v>
      </c>
      <c r="I275" s="5" t="s">
        <v>634</v>
      </c>
      <c r="J275" t="s">
        <v>1028</v>
      </c>
      <c r="K275" s="5" t="s">
        <v>2055</v>
      </c>
      <c r="L275" s="5"/>
      <c r="M275" s="387">
        <v>11</v>
      </c>
      <c r="N275" s="387">
        <v>65</v>
      </c>
      <c r="O275" s="387">
        <v>0</v>
      </c>
      <c r="P275" s="387">
        <v>0</v>
      </c>
      <c r="Q275" s="387">
        <v>0</v>
      </c>
      <c r="R275" s="387">
        <v>0</v>
      </c>
      <c r="S275" s="1174">
        <f>Locations[[#This Row],[Ind_Returnees]]+Locations[[#This Row],[Ind_Refugees]]+Locations[[#This Row],[Ind_IDPs]]</f>
        <v>65</v>
      </c>
    </row>
    <row r="276" spans="1:19" s="388" customFormat="1" x14ac:dyDescent="0.3">
      <c r="A276" s="5" t="s">
        <v>533</v>
      </c>
      <c r="B276" s="1430" t="s">
        <v>3449</v>
      </c>
      <c r="C276" s="1090" t="s">
        <v>534</v>
      </c>
      <c r="D276" s="5" t="s">
        <v>31</v>
      </c>
      <c r="E276" s="5" t="s">
        <v>31</v>
      </c>
      <c r="F276" s="5" t="s">
        <v>549</v>
      </c>
      <c r="G276" s="5" t="s">
        <v>169</v>
      </c>
      <c r="H276" s="5" t="s">
        <v>169</v>
      </c>
      <c r="I276" s="5" t="s">
        <v>673</v>
      </c>
      <c r="J276" t="s">
        <v>2844</v>
      </c>
      <c r="K276" s="5" t="s">
        <v>2055</v>
      </c>
      <c r="L276" s="5"/>
      <c r="M276" s="387">
        <v>0</v>
      </c>
      <c r="N276" s="387">
        <v>0</v>
      </c>
      <c r="O276" s="387">
        <v>0</v>
      </c>
      <c r="P276" s="387">
        <v>0</v>
      </c>
      <c r="Q276" s="387">
        <v>250</v>
      </c>
      <c r="R276" s="387">
        <v>2000</v>
      </c>
      <c r="S276" s="1174">
        <f>Locations[[#This Row],[Ind_Returnees]]+Locations[[#This Row],[Ind_Refugees]]+Locations[[#This Row],[Ind_IDPs]]</f>
        <v>2000</v>
      </c>
    </row>
    <row r="277" spans="1:19" s="388" customFormat="1" x14ac:dyDescent="0.3">
      <c r="A277" s="5" t="s">
        <v>533</v>
      </c>
      <c r="B277" s="1430" t="s">
        <v>3449</v>
      </c>
      <c r="C277" s="1090" t="s">
        <v>534</v>
      </c>
      <c r="D277" s="5" t="s">
        <v>31</v>
      </c>
      <c r="E277" s="5" t="s">
        <v>31</v>
      </c>
      <c r="F277" s="5" t="s">
        <v>549</v>
      </c>
      <c r="G277" s="5" t="s">
        <v>173</v>
      </c>
      <c r="H277" s="5" t="s">
        <v>173</v>
      </c>
      <c r="I277" s="5" t="s">
        <v>556</v>
      </c>
      <c r="J277" t="s">
        <v>2263</v>
      </c>
      <c r="K277" s="5" t="s">
        <v>560</v>
      </c>
      <c r="L277" s="5"/>
      <c r="M277" s="387">
        <v>0</v>
      </c>
      <c r="N277" s="387">
        <v>0</v>
      </c>
      <c r="O277" s="387">
        <v>0</v>
      </c>
      <c r="P277" s="387">
        <v>0</v>
      </c>
      <c r="Q277" s="387">
        <v>0</v>
      </c>
      <c r="R277" s="387">
        <v>0</v>
      </c>
      <c r="S277" s="1174">
        <f>Locations[[#This Row],[Ind_Returnees]]+Locations[[#This Row],[Ind_Refugees]]+Locations[[#This Row],[Ind_IDPs]]</f>
        <v>0</v>
      </c>
    </row>
    <row r="278" spans="1:19" s="388" customFormat="1" x14ac:dyDescent="0.3">
      <c r="A278" s="5" t="s">
        <v>533</v>
      </c>
      <c r="B278" s="1430" t="s">
        <v>3449</v>
      </c>
      <c r="C278" s="398" t="s">
        <v>534</v>
      </c>
      <c r="D278" s="5" t="s">
        <v>35</v>
      </c>
      <c r="E278" s="5" t="s">
        <v>35</v>
      </c>
      <c r="F278" s="5" t="s">
        <v>567</v>
      </c>
      <c r="G278" s="5" t="s">
        <v>195</v>
      </c>
      <c r="H278" s="5" t="s">
        <v>195</v>
      </c>
      <c r="I278" s="5" t="s">
        <v>733</v>
      </c>
      <c r="J278" t="s">
        <v>2312</v>
      </c>
      <c r="K278" s="5" t="s">
        <v>2313</v>
      </c>
      <c r="L278" s="5"/>
      <c r="M278" s="387">
        <v>1</v>
      </c>
      <c r="N278" s="387">
        <v>10</v>
      </c>
      <c r="O278" s="387">
        <v>0</v>
      </c>
      <c r="P278" s="387">
        <v>0</v>
      </c>
      <c r="Q278" s="387">
        <v>0</v>
      </c>
      <c r="R278" s="387">
        <v>0</v>
      </c>
      <c r="S278" s="1174">
        <f>Locations[[#This Row],[Ind_Returnees]]+Locations[[#This Row],[Ind_Refugees]]+Locations[[#This Row],[Ind_IDPs]]</f>
        <v>10</v>
      </c>
    </row>
    <row r="279" spans="1:19" s="388" customFormat="1" x14ac:dyDescent="0.3">
      <c r="A279" s="5" t="s">
        <v>533</v>
      </c>
      <c r="B279" s="1430" t="s">
        <v>3449</v>
      </c>
      <c r="C279" s="1090" t="s">
        <v>534</v>
      </c>
      <c r="D279" s="5" t="s">
        <v>31</v>
      </c>
      <c r="E279" s="5" t="s">
        <v>31</v>
      </c>
      <c r="F279" s="5" t="s">
        <v>549</v>
      </c>
      <c r="G279" s="5" t="s">
        <v>166</v>
      </c>
      <c r="H279" s="5" t="s">
        <v>166</v>
      </c>
      <c r="I279" s="5" t="s">
        <v>844</v>
      </c>
      <c r="J279" t="s">
        <v>2507</v>
      </c>
      <c r="K279" s="5" t="s">
        <v>2515</v>
      </c>
      <c r="L279" s="5"/>
      <c r="M279" s="387">
        <v>0</v>
      </c>
      <c r="N279" s="387">
        <v>0</v>
      </c>
      <c r="O279" s="387">
        <v>0</v>
      </c>
      <c r="P279" s="387">
        <v>0</v>
      </c>
      <c r="Q279" s="387">
        <v>0</v>
      </c>
      <c r="R279" s="387">
        <v>0</v>
      </c>
      <c r="S279" s="1174">
        <f>Locations[[#This Row],[Ind_Returnees]]+Locations[[#This Row],[Ind_Refugees]]+Locations[[#This Row],[Ind_IDPs]]</f>
        <v>0</v>
      </c>
    </row>
    <row r="280" spans="1:19" s="388" customFormat="1" x14ac:dyDescent="0.3">
      <c r="A280" s="577" t="s">
        <v>533</v>
      </c>
      <c r="B280" s="1430" t="s">
        <v>3449</v>
      </c>
      <c r="C280" s="577" t="s">
        <v>534</v>
      </c>
      <c r="D280" s="577" t="s">
        <v>31</v>
      </c>
      <c r="E280" s="577" t="s">
        <v>31</v>
      </c>
      <c r="F280" s="577" t="s">
        <v>549</v>
      </c>
      <c r="G280" s="577" t="s">
        <v>169</v>
      </c>
      <c r="H280" s="577" t="s">
        <v>169</v>
      </c>
      <c r="I280" s="577" t="s">
        <v>673</v>
      </c>
      <c r="J280" s="577" t="s">
        <v>816</v>
      </c>
      <c r="K280" s="577" t="s">
        <v>1645</v>
      </c>
      <c r="L280" s="577"/>
      <c r="M280" s="387">
        <v>0</v>
      </c>
      <c r="N280" s="387">
        <v>0</v>
      </c>
      <c r="O280" s="387">
        <v>0</v>
      </c>
      <c r="P280" s="387">
        <v>0</v>
      </c>
      <c r="Q280" s="387">
        <v>0</v>
      </c>
      <c r="R280" s="387">
        <v>0</v>
      </c>
      <c r="S280" s="1174">
        <f>Locations[[#This Row],[Ind_Returnees]]+Locations[[#This Row],[Ind_Refugees]]+Locations[[#This Row],[Ind_IDPs]]</f>
        <v>0</v>
      </c>
    </row>
    <row r="281" spans="1:19" s="388" customFormat="1" x14ac:dyDescent="0.3">
      <c r="A281" s="5" t="s">
        <v>533</v>
      </c>
      <c r="B281" s="1430" t="s">
        <v>3449</v>
      </c>
      <c r="C281" s="398" t="s">
        <v>534</v>
      </c>
      <c r="D281" s="5" t="s">
        <v>35</v>
      </c>
      <c r="E281" s="5" t="s">
        <v>35</v>
      </c>
      <c r="F281" s="5" t="s">
        <v>567</v>
      </c>
      <c r="G281" s="5" t="s">
        <v>193</v>
      </c>
      <c r="H281" s="5" t="s">
        <v>3983</v>
      </c>
      <c r="I281" s="5" t="s">
        <v>863</v>
      </c>
      <c r="J281" t="s">
        <v>1566</v>
      </c>
      <c r="K281" s="5" t="s">
        <v>1123</v>
      </c>
      <c r="L281" s="5"/>
      <c r="M281" s="387">
        <v>108</v>
      </c>
      <c r="N281" s="387">
        <v>500</v>
      </c>
      <c r="O281" s="387">
        <v>20</v>
      </c>
      <c r="P281" s="387">
        <v>102</v>
      </c>
      <c r="Q281" s="387">
        <v>4</v>
      </c>
      <c r="R281" s="387">
        <v>4</v>
      </c>
      <c r="S281" s="1174">
        <f>Locations[[#This Row],[Ind_Returnees]]+Locations[[#This Row],[Ind_Refugees]]+Locations[[#This Row],[Ind_IDPs]]</f>
        <v>606</v>
      </c>
    </row>
    <row r="282" spans="1:19" s="388" customFormat="1" x14ac:dyDescent="0.3">
      <c r="A282" s="5" t="s">
        <v>533</v>
      </c>
      <c r="B282" s="1430" t="s">
        <v>3449</v>
      </c>
      <c r="C282" s="398" t="s">
        <v>534</v>
      </c>
      <c r="D282" s="5" t="s">
        <v>35</v>
      </c>
      <c r="E282" s="5" t="s">
        <v>35</v>
      </c>
      <c r="F282" s="5" t="s">
        <v>567</v>
      </c>
      <c r="G282" s="5" t="s">
        <v>193</v>
      </c>
      <c r="H282" s="5" t="s">
        <v>3983</v>
      </c>
      <c r="I282" s="5" t="s">
        <v>863</v>
      </c>
      <c r="J282" t="s">
        <v>2678</v>
      </c>
      <c r="K282" s="5" t="s">
        <v>2682</v>
      </c>
      <c r="L282" s="5"/>
      <c r="M282" s="387">
        <v>0</v>
      </c>
      <c r="N282" s="387">
        <v>0</v>
      </c>
      <c r="O282" s="387">
        <v>0</v>
      </c>
      <c r="P282" s="387">
        <v>0</v>
      </c>
      <c r="Q282" s="387">
        <v>0</v>
      </c>
      <c r="R282" s="387">
        <v>0</v>
      </c>
      <c r="S282" s="1174">
        <f>Locations[[#This Row],[Ind_Returnees]]+Locations[[#This Row],[Ind_Refugees]]+Locations[[#This Row],[Ind_IDPs]]</f>
        <v>0</v>
      </c>
    </row>
    <row r="283" spans="1:19" s="388" customFormat="1" x14ac:dyDescent="0.3">
      <c r="A283" s="577" t="s">
        <v>533</v>
      </c>
      <c r="B283" s="1430" t="s">
        <v>3449</v>
      </c>
      <c r="C283" s="577" t="s">
        <v>534</v>
      </c>
      <c r="D283" s="577" t="s">
        <v>31</v>
      </c>
      <c r="E283" s="577" t="s">
        <v>31</v>
      </c>
      <c r="F283" s="577" t="s">
        <v>549</v>
      </c>
      <c r="G283" s="577" t="s">
        <v>171</v>
      </c>
      <c r="H283" s="577" t="s">
        <v>171</v>
      </c>
      <c r="I283" s="577" t="s">
        <v>634</v>
      </c>
      <c r="J283" s="577" t="s">
        <v>2845</v>
      </c>
      <c r="K283" s="577" t="s">
        <v>791</v>
      </c>
      <c r="L283" s="577"/>
      <c r="M283" s="387">
        <v>27</v>
      </c>
      <c r="N283" s="387">
        <v>180</v>
      </c>
      <c r="O283" s="387">
        <v>16</v>
      </c>
      <c r="P283" s="387">
        <v>93</v>
      </c>
      <c r="Q283" s="387">
        <v>0</v>
      </c>
      <c r="R283" s="387">
        <v>0</v>
      </c>
      <c r="S283" s="1174">
        <f>Locations[[#This Row],[Ind_Returnees]]+Locations[[#This Row],[Ind_Refugees]]+Locations[[#This Row],[Ind_IDPs]]</f>
        <v>273</v>
      </c>
    </row>
    <row r="284" spans="1:19" s="388" customFormat="1" x14ac:dyDescent="0.3">
      <c r="A284" s="5" t="s">
        <v>533</v>
      </c>
      <c r="B284" s="1430" t="s">
        <v>3449</v>
      </c>
      <c r="C284" s="1090" t="s">
        <v>534</v>
      </c>
      <c r="D284" s="5" t="s">
        <v>31</v>
      </c>
      <c r="E284" s="5" t="s">
        <v>31</v>
      </c>
      <c r="F284" s="5" t="s">
        <v>549</v>
      </c>
      <c r="G284" s="5" t="s">
        <v>171</v>
      </c>
      <c r="H284" s="5" t="s">
        <v>171</v>
      </c>
      <c r="I284" s="5" t="s">
        <v>634</v>
      </c>
      <c r="J284" t="s">
        <v>2614</v>
      </c>
      <c r="K284" s="5" t="s">
        <v>797</v>
      </c>
      <c r="L284" s="5"/>
      <c r="M284" s="387">
        <v>23</v>
      </c>
      <c r="N284" s="387">
        <v>173</v>
      </c>
      <c r="O284" s="387">
        <v>0</v>
      </c>
      <c r="P284" s="387">
        <v>0</v>
      </c>
      <c r="Q284" s="387">
        <v>0</v>
      </c>
      <c r="R284" s="387">
        <v>0</v>
      </c>
      <c r="S284" s="1174">
        <f>Locations[[#This Row],[Ind_Returnees]]+Locations[[#This Row],[Ind_Refugees]]+Locations[[#This Row],[Ind_IDPs]]</f>
        <v>173</v>
      </c>
    </row>
    <row r="285" spans="1:19" s="388" customFormat="1" x14ac:dyDescent="0.3">
      <c r="A285" s="5" t="s">
        <v>533</v>
      </c>
      <c r="B285" s="1430" t="s">
        <v>3449</v>
      </c>
      <c r="C285" s="1090" t="s">
        <v>534</v>
      </c>
      <c r="D285" s="5" t="s">
        <v>32</v>
      </c>
      <c r="E285" s="5" t="s">
        <v>32</v>
      </c>
      <c r="F285" s="5" t="s">
        <v>542</v>
      </c>
      <c r="G285" s="5" t="s">
        <v>178</v>
      </c>
      <c r="H285" s="5" t="s">
        <v>178</v>
      </c>
      <c r="I285" s="5" t="s">
        <v>543</v>
      </c>
      <c r="J285" t="s">
        <v>3197</v>
      </c>
      <c r="K285" s="5" t="s">
        <v>2784</v>
      </c>
      <c r="L285" s="5"/>
      <c r="M285" s="387">
        <v>0</v>
      </c>
      <c r="N285" s="387">
        <v>0</v>
      </c>
      <c r="O285" s="387">
        <v>0</v>
      </c>
      <c r="P285" s="387">
        <v>0</v>
      </c>
      <c r="Q285" s="387">
        <v>45</v>
      </c>
      <c r="R285" s="387">
        <v>240</v>
      </c>
      <c r="S285" s="1174">
        <f>Locations[[#This Row],[Ind_Returnees]]+Locations[[#This Row],[Ind_Refugees]]+Locations[[#This Row],[Ind_IDPs]]</f>
        <v>240</v>
      </c>
    </row>
    <row r="286" spans="1:19" s="388" customFormat="1" x14ac:dyDescent="0.3">
      <c r="A286" s="5" t="s">
        <v>533</v>
      </c>
      <c r="B286" s="1430" t="s">
        <v>3449</v>
      </c>
      <c r="C286" s="1090" t="s">
        <v>534</v>
      </c>
      <c r="D286" s="5" t="s">
        <v>31</v>
      </c>
      <c r="E286" s="5" t="s">
        <v>31</v>
      </c>
      <c r="F286" s="5" t="s">
        <v>549</v>
      </c>
      <c r="G286" s="5" t="s">
        <v>171</v>
      </c>
      <c r="H286" s="5" t="s">
        <v>171</v>
      </c>
      <c r="I286" s="5" t="s">
        <v>634</v>
      </c>
      <c r="J286" t="s">
        <v>1363</v>
      </c>
      <c r="K286" s="5" t="s">
        <v>1781</v>
      </c>
      <c r="L286" s="5"/>
      <c r="M286" s="387">
        <v>8</v>
      </c>
      <c r="N286" s="387">
        <v>65</v>
      </c>
      <c r="O286" s="387">
        <v>12</v>
      </c>
      <c r="P286" s="387">
        <v>120</v>
      </c>
      <c r="Q286" s="387">
        <v>0</v>
      </c>
      <c r="R286" s="387">
        <v>0</v>
      </c>
      <c r="S286" s="1174">
        <f>Locations[[#This Row],[Ind_Returnees]]+Locations[[#This Row],[Ind_Refugees]]+Locations[[#This Row],[Ind_IDPs]]</f>
        <v>185</v>
      </c>
    </row>
    <row r="287" spans="1:19" s="388" customFormat="1" x14ac:dyDescent="0.3">
      <c r="A287" s="5" t="s">
        <v>533</v>
      </c>
      <c r="B287" s="1430" t="s">
        <v>3449</v>
      </c>
      <c r="C287" s="1090" t="s">
        <v>534</v>
      </c>
      <c r="D287" s="5" t="s">
        <v>31</v>
      </c>
      <c r="E287" s="5" t="s">
        <v>31</v>
      </c>
      <c r="F287" s="5" t="s">
        <v>549</v>
      </c>
      <c r="G287" s="5" t="s">
        <v>171</v>
      </c>
      <c r="H287" s="5" t="s">
        <v>171</v>
      </c>
      <c r="I287" s="5" t="s">
        <v>634</v>
      </c>
      <c r="J287" t="s">
        <v>1798</v>
      </c>
      <c r="K287" s="5" t="s">
        <v>2593</v>
      </c>
      <c r="L287" s="5"/>
      <c r="M287" s="387">
        <v>0</v>
      </c>
      <c r="N287" s="387">
        <v>0</v>
      </c>
      <c r="O287" s="387">
        <v>0</v>
      </c>
      <c r="P287" s="387">
        <v>0</v>
      </c>
      <c r="Q287" s="387">
        <v>0</v>
      </c>
      <c r="R287" s="387">
        <v>0</v>
      </c>
      <c r="S287" s="1174">
        <f>Locations[[#This Row],[Ind_Returnees]]+Locations[[#This Row],[Ind_Refugees]]+Locations[[#This Row],[Ind_IDPs]]</f>
        <v>0</v>
      </c>
    </row>
    <row r="288" spans="1:19" s="388" customFormat="1" x14ac:dyDescent="0.3">
      <c r="A288" s="5" t="s">
        <v>533</v>
      </c>
      <c r="B288" s="1430" t="s">
        <v>3449</v>
      </c>
      <c r="C288" s="398" t="s">
        <v>534</v>
      </c>
      <c r="D288" s="5" t="s">
        <v>30</v>
      </c>
      <c r="E288" s="5" t="s">
        <v>3522</v>
      </c>
      <c r="F288" s="5" t="s">
        <v>535</v>
      </c>
      <c r="G288" s="5" t="s">
        <v>159</v>
      </c>
      <c r="H288" s="5" t="s">
        <v>159</v>
      </c>
      <c r="I288" s="5" t="s">
        <v>574</v>
      </c>
      <c r="J288" t="s">
        <v>581</v>
      </c>
      <c r="K288" s="5" t="s">
        <v>582</v>
      </c>
      <c r="L288" s="5"/>
      <c r="M288" s="387">
        <v>8</v>
      </c>
      <c r="N288" s="387">
        <v>44</v>
      </c>
      <c r="O288" s="387">
        <v>0</v>
      </c>
      <c r="P288" s="387">
        <v>0</v>
      </c>
      <c r="Q288" s="387">
        <v>0</v>
      </c>
      <c r="R288" s="387">
        <v>0</v>
      </c>
      <c r="S288" s="1174">
        <f>Locations[[#This Row],[Ind_Returnees]]+Locations[[#This Row],[Ind_Refugees]]+Locations[[#This Row],[Ind_IDPs]]</f>
        <v>44</v>
      </c>
    </row>
    <row r="289" spans="1:19" s="388" customFormat="1" x14ac:dyDescent="0.3">
      <c r="A289" s="5" t="s">
        <v>533</v>
      </c>
      <c r="B289" s="1430" t="s">
        <v>3449</v>
      </c>
      <c r="C289" s="1090" t="s">
        <v>534</v>
      </c>
      <c r="D289" s="5" t="s">
        <v>31</v>
      </c>
      <c r="E289" s="5" t="s">
        <v>31</v>
      </c>
      <c r="F289" s="5" t="s">
        <v>549</v>
      </c>
      <c r="G289" s="5" t="s">
        <v>171</v>
      </c>
      <c r="H289" s="5" t="s">
        <v>171</v>
      </c>
      <c r="I289" s="5" t="s">
        <v>634</v>
      </c>
      <c r="J289" t="s">
        <v>2616</v>
      </c>
      <c r="K289" s="5" t="s">
        <v>1878</v>
      </c>
      <c r="L289" s="5"/>
      <c r="M289" s="387">
        <v>3</v>
      </c>
      <c r="N289" s="387">
        <v>51</v>
      </c>
      <c r="O289" s="387">
        <v>0</v>
      </c>
      <c r="P289" s="387">
        <v>0</v>
      </c>
      <c r="Q289" s="387">
        <v>0</v>
      </c>
      <c r="R289" s="387">
        <v>0</v>
      </c>
      <c r="S289" s="1174">
        <f>Locations[[#This Row],[Ind_Returnees]]+Locations[[#This Row],[Ind_Refugees]]+Locations[[#This Row],[Ind_IDPs]]</f>
        <v>51</v>
      </c>
    </row>
    <row r="290" spans="1:19" s="388" customFormat="1" x14ac:dyDescent="0.3">
      <c r="A290" s="5" t="s">
        <v>533</v>
      </c>
      <c r="B290" s="1430" t="s">
        <v>3449</v>
      </c>
      <c r="C290" s="398" t="s">
        <v>534</v>
      </c>
      <c r="D290" s="5" t="s">
        <v>31</v>
      </c>
      <c r="E290" s="5" t="s">
        <v>31</v>
      </c>
      <c r="F290" s="5" t="s">
        <v>549</v>
      </c>
      <c r="G290" s="5" t="s">
        <v>169</v>
      </c>
      <c r="H290" s="5" t="s">
        <v>169</v>
      </c>
      <c r="I290" s="5" t="s">
        <v>673</v>
      </c>
      <c r="J290" t="s">
        <v>2846</v>
      </c>
      <c r="K290" s="5" t="s">
        <v>2262</v>
      </c>
      <c r="L290" s="5"/>
      <c r="M290" s="387">
        <v>0</v>
      </c>
      <c r="N290" s="387">
        <v>0</v>
      </c>
      <c r="O290" s="387">
        <v>0</v>
      </c>
      <c r="P290" s="387">
        <v>0</v>
      </c>
      <c r="Q290" s="387">
        <v>66</v>
      </c>
      <c r="R290" s="387">
        <v>154</v>
      </c>
      <c r="S290" s="1174">
        <f>Locations[[#This Row],[Ind_Returnees]]+Locations[[#This Row],[Ind_Refugees]]+Locations[[#This Row],[Ind_IDPs]]</f>
        <v>154</v>
      </c>
    </row>
    <row r="291" spans="1:19" s="388" customFormat="1" x14ac:dyDescent="0.3">
      <c r="A291" s="5" t="s">
        <v>533</v>
      </c>
      <c r="B291" s="1430" t="s">
        <v>3449</v>
      </c>
      <c r="C291" s="1090" t="s">
        <v>534</v>
      </c>
      <c r="D291" s="5" t="s">
        <v>31</v>
      </c>
      <c r="E291" s="5" t="s">
        <v>31</v>
      </c>
      <c r="F291" s="5" t="s">
        <v>549</v>
      </c>
      <c r="G291" s="5" t="s">
        <v>169</v>
      </c>
      <c r="H291" s="5" t="s">
        <v>169</v>
      </c>
      <c r="I291" s="5" t="s">
        <v>673</v>
      </c>
      <c r="J291" t="s">
        <v>3198</v>
      </c>
      <c r="K291" s="5" t="s">
        <v>3075</v>
      </c>
      <c r="L291" s="5"/>
      <c r="M291" s="387">
        <v>0</v>
      </c>
      <c r="N291" s="387">
        <v>0</v>
      </c>
      <c r="O291" s="387">
        <v>0</v>
      </c>
      <c r="P291" s="387">
        <v>0</v>
      </c>
      <c r="Q291" s="387">
        <v>21</v>
      </c>
      <c r="R291" s="387">
        <v>66</v>
      </c>
      <c r="S291" s="1174">
        <f>Locations[[#This Row],[Ind_Returnees]]+Locations[[#This Row],[Ind_Refugees]]+Locations[[#This Row],[Ind_IDPs]]</f>
        <v>66</v>
      </c>
    </row>
    <row r="292" spans="1:19" s="388" customFormat="1" x14ac:dyDescent="0.3">
      <c r="A292" s="5" t="s">
        <v>533</v>
      </c>
      <c r="B292" s="1430" t="s">
        <v>3449</v>
      </c>
      <c r="C292" s="398" t="s">
        <v>534</v>
      </c>
      <c r="D292" s="5" t="s">
        <v>31</v>
      </c>
      <c r="E292" s="5" t="s">
        <v>31</v>
      </c>
      <c r="F292" s="5" t="s">
        <v>549</v>
      </c>
      <c r="G292" s="1090" t="s">
        <v>169</v>
      </c>
      <c r="H292" s="1090" t="s">
        <v>169</v>
      </c>
      <c r="I292" s="5" t="s">
        <v>673</v>
      </c>
      <c r="J292" t="s">
        <v>3199</v>
      </c>
      <c r="K292" s="5" t="s">
        <v>3074</v>
      </c>
      <c r="L292" s="5"/>
      <c r="M292" s="387">
        <v>0</v>
      </c>
      <c r="N292" s="387">
        <v>0</v>
      </c>
      <c r="O292" s="387">
        <v>0</v>
      </c>
      <c r="P292" s="387">
        <v>0</v>
      </c>
      <c r="Q292" s="387">
        <v>0</v>
      </c>
      <c r="R292" s="387">
        <v>0</v>
      </c>
      <c r="S292" s="1174">
        <f>Locations[[#This Row],[Ind_Returnees]]+Locations[[#This Row],[Ind_Refugees]]+Locations[[#This Row],[Ind_IDPs]]</f>
        <v>0</v>
      </c>
    </row>
    <row r="293" spans="1:19" s="388" customFormat="1" x14ac:dyDescent="0.3">
      <c r="A293" s="5" t="s">
        <v>533</v>
      </c>
      <c r="B293" s="1430" t="s">
        <v>3449</v>
      </c>
      <c r="C293" s="1090" t="s">
        <v>534</v>
      </c>
      <c r="D293" s="5" t="s">
        <v>31</v>
      </c>
      <c r="E293" s="5" t="s">
        <v>31</v>
      </c>
      <c r="F293" s="5" t="s">
        <v>549</v>
      </c>
      <c r="G293" s="5" t="s">
        <v>169</v>
      </c>
      <c r="H293" s="5" t="s">
        <v>169</v>
      </c>
      <c r="I293" s="5" t="s">
        <v>673</v>
      </c>
      <c r="J293" t="s">
        <v>2817</v>
      </c>
      <c r="K293" s="5" t="s">
        <v>2351</v>
      </c>
      <c r="L293" s="5"/>
      <c r="M293" s="387">
        <v>0</v>
      </c>
      <c r="N293" s="387">
        <v>0</v>
      </c>
      <c r="O293" s="387">
        <v>0</v>
      </c>
      <c r="P293" s="387">
        <v>0</v>
      </c>
      <c r="Q293" s="387">
        <v>16</v>
      </c>
      <c r="R293" s="387">
        <v>200</v>
      </c>
      <c r="S293" s="1174">
        <f>Locations[[#This Row],[Ind_Returnees]]+Locations[[#This Row],[Ind_Refugees]]+Locations[[#This Row],[Ind_IDPs]]</f>
        <v>200</v>
      </c>
    </row>
    <row r="294" spans="1:19" s="388" customFormat="1" x14ac:dyDescent="0.3">
      <c r="A294" s="5" t="s">
        <v>533</v>
      </c>
      <c r="B294" s="1430" t="s">
        <v>3449</v>
      </c>
      <c r="C294" s="1090" t="s">
        <v>534</v>
      </c>
      <c r="D294" s="5" t="s">
        <v>31</v>
      </c>
      <c r="E294" s="5" t="s">
        <v>31</v>
      </c>
      <c r="F294" s="5" t="s">
        <v>549</v>
      </c>
      <c r="G294" s="5" t="s">
        <v>169</v>
      </c>
      <c r="H294" s="5" t="s">
        <v>169</v>
      </c>
      <c r="I294" s="5" t="s">
        <v>673</v>
      </c>
      <c r="J294" t="s">
        <v>2941</v>
      </c>
      <c r="K294" s="5" t="s">
        <v>2344</v>
      </c>
      <c r="L294" s="5"/>
      <c r="M294" s="387">
        <v>3</v>
      </c>
      <c r="N294" s="387">
        <v>9</v>
      </c>
      <c r="O294" s="387">
        <v>0</v>
      </c>
      <c r="P294" s="387">
        <v>0</v>
      </c>
      <c r="Q294" s="387">
        <v>0</v>
      </c>
      <c r="R294" s="387">
        <v>0</v>
      </c>
      <c r="S294" s="1174">
        <f>Locations[[#This Row],[Ind_Returnees]]+Locations[[#This Row],[Ind_Refugees]]+Locations[[#This Row],[Ind_IDPs]]</f>
        <v>9</v>
      </c>
    </row>
    <row r="295" spans="1:19" s="388" customFormat="1" x14ac:dyDescent="0.3">
      <c r="A295" s="5" t="s">
        <v>533</v>
      </c>
      <c r="B295" s="1430" t="s">
        <v>3449</v>
      </c>
      <c r="C295" s="398" t="s">
        <v>534</v>
      </c>
      <c r="D295" s="5" t="s">
        <v>35</v>
      </c>
      <c r="E295" s="5" t="s">
        <v>35</v>
      </c>
      <c r="F295" s="5" t="s">
        <v>567</v>
      </c>
      <c r="G295" s="5" t="s">
        <v>195</v>
      </c>
      <c r="H295" s="5" t="s">
        <v>195</v>
      </c>
      <c r="I295" s="5" t="s">
        <v>733</v>
      </c>
      <c r="J295" t="s">
        <v>2303</v>
      </c>
      <c r="K295" s="5" t="s">
        <v>1768</v>
      </c>
      <c r="L295" s="5"/>
      <c r="M295" s="387">
        <v>46</v>
      </c>
      <c r="N295" s="387">
        <v>301</v>
      </c>
      <c r="O295" s="387">
        <v>0</v>
      </c>
      <c r="P295" s="387">
        <v>0</v>
      </c>
      <c r="Q295" s="387">
        <v>0</v>
      </c>
      <c r="R295" s="387">
        <v>0</v>
      </c>
      <c r="S295" s="1174">
        <f>Locations[[#This Row],[Ind_Returnees]]+Locations[[#This Row],[Ind_Refugees]]+Locations[[#This Row],[Ind_IDPs]]</f>
        <v>301</v>
      </c>
    </row>
    <row r="296" spans="1:19" s="388" customFormat="1" x14ac:dyDescent="0.3">
      <c r="A296" s="5" t="s">
        <v>533</v>
      </c>
      <c r="B296" s="1430" t="s">
        <v>3449</v>
      </c>
      <c r="C296" s="1090" t="s">
        <v>534</v>
      </c>
      <c r="D296" s="5" t="s">
        <v>31</v>
      </c>
      <c r="E296" s="5" t="s">
        <v>31</v>
      </c>
      <c r="F296" s="5" t="s">
        <v>549</v>
      </c>
      <c r="G296" s="5" t="s">
        <v>171</v>
      </c>
      <c r="H296" s="5" t="s">
        <v>171</v>
      </c>
      <c r="I296" s="5" t="s">
        <v>634</v>
      </c>
      <c r="J296" t="s">
        <v>1780</v>
      </c>
      <c r="K296" s="5" t="s">
        <v>1717</v>
      </c>
      <c r="L296" s="5"/>
      <c r="M296" s="387">
        <v>55</v>
      </c>
      <c r="N296" s="387">
        <v>265</v>
      </c>
      <c r="O296" s="387">
        <v>5</v>
      </c>
      <c r="P296" s="387">
        <v>37</v>
      </c>
      <c r="Q296" s="387">
        <v>0</v>
      </c>
      <c r="R296" s="387">
        <v>0</v>
      </c>
      <c r="S296" s="1174">
        <f>Locations[[#This Row],[Ind_Returnees]]+Locations[[#This Row],[Ind_Refugees]]+Locations[[#This Row],[Ind_IDPs]]</f>
        <v>302</v>
      </c>
    </row>
    <row r="297" spans="1:19" s="388" customFormat="1" x14ac:dyDescent="0.3">
      <c r="A297" s="5" t="s">
        <v>533</v>
      </c>
      <c r="B297" s="1430" t="s">
        <v>3449</v>
      </c>
      <c r="C297" s="398" t="s">
        <v>534</v>
      </c>
      <c r="D297" s="5" t="s">
        <v>30</v>
      </c>
      <c r="E297" s="5" t="s">
        <v>3522</v>
      </c>
      <c r="F297" s="5" t="s">
        <v>535</v>
      </c>
      <c r="G297" s="1144" t="s">
        <v>162</v>
      </c>
      <c r="H297" s="1144" t="s">
        <v>3529</v>
      </c>
      <c r="I297" s="5" t="s">
        <v>536</v>
      </c>
      <c r="J297" t="s">
        <v>540</v>
      </c>
      <c r="K297" s="5" t="s">
        <v>541</v>
      </c>
      <c r="L297" s="5"/>
      <c r="M297" s="387">
        <v>15</v>
      </c>
      <c r="N297" s="387">
        <v>158</v>
      </c>
      <c r="O297" s="387">
        <v>0</v>
      </c>
      <c r="P297" s="387">
        <v>0</v>
      </c>
      <c r="Q297" s="387">
        <v>0</v>
      </c>
      <c r="R297" s="387">
        <v>0</v>
      </c>
      <c r="S297" s="1174">
        <f>Locations[[#This Row],[Ind_Returnees]]+Locations[[#This Row],[Ind_Refugees]]+Locations[[#This Row],[Ind_IDPs]]</f>
        <v>158</v>
      </c>
    </row>
    <row r="298" spans="1:19" s="388" customFormat="1" x14ac:dyDescent="0.3">
      <c r="A298" s="577" t="s">
        <v>533</v>
      </c>
      <c r="B298" s="1430" t="s">
        <v>3449</v>
      </c>
      <c r="C298" s="577" t="s">
        <v>534</v>
      </c>
      <c r="D298" s="577" t="s">
        <v>34</v>
      </c>
      <c r="E298" s="577" t="s">
        <v>34</v>
      </c>
      <c r="F298" s="577" t="s">
        <v>539</v>
      </c>
      <c r="G298" s="577" t="s">
        <v>188</v>
      </c>
      <c r="H298" s="577" t="s">
        <v>188</v>
      </c>
      <c r="I298" s="577" t="s">
        <v>546</v>
      </c>
      <c r="J298" s="577" t="s">
        <v>2849</v>
      </c>
      <c r="K298" s="577" t="s">
        <v>1498</v>
      </c>
      <c r="L298" s="577"/>
      <c r="M298" s="387">
        <v>136</v>
      </c>
      <c r="N298" s="387">
        <v>680</v>
      </c>
      <c r="O298" s="387">
        <v>1</v>
      </c>
      <c r="P298" s="387">
        <v>10</v>
      </c>
      <c r="Q298" s="387">
        <v>473</v>
      </c>
      <c r="R298" s="387">
        <v>2863</v>
      </c>
      <c r="S298" s="1174">
        <f>Locations[[#This Row],[Ind_Returnees]]+Locations[[#This Row],[Ind_Refugees]]+Locations[[#This Row],[Ind_IDPs]]</f>
        <v>3553</v>
      </c>
    </row>
    <row r="299" spans="1:19" s="388" customFormat="1" x14ac:dyDescent="0.3">
      <c r="A299" s="5" t="s">
        <v>533</v>
      </c>
      <c r="B299" s="1430" t="s">
        <v>3449</v>
      </c>
      <c r="C299" s="1090" t="s">
        <v>534</v>
      </c>
      <c r="D299" s="5" t="s">
        <v>31</v>
      </c>
      <c r="E299" s="5" t="s">
        <v>31</v>
      </c>
      <c r="F299" s="5" t="s">
        <v>549</v>
      </c>
      <c r="G299" s="5" t="s">
        <v>171</v>
      </c>
      <c r="H299" s="5" t="s">
        <v>171</v>
      </c>
      <c r="I299" s="5" t="s">
        <v>634</v>
      </c>
      <c r="J299" t="s">
        <v>2618</v>
      </c>
      <c r="K299" s="5" t="s">
        <v>1213</v>
      </c>
      <c r="L299" s="5"/>
      <c r="M299" s="387">
        <v>10</v>
      </c>
      <c r="N299" s="387">
        <v>75</v>
      </c>
      <c r="O299" s="387">
        <v>0</v>
      </c>
      <c r="P299" s="387">
        <v>0</v>
      </c>
      <c r="Q299" s="387">
        <v>0</v>
      </c>
      <c r="R299" s="387">
        <v>0</v>
      </c>
      <c r="S299" s="1174">
        <f>Locations[[#This Row],[Ind_Returnees]]+Locations[[#This Row],[Ind_Refugees]]+Locations[[#This Row],[Ind_IDPs]]</f>
        <v>75</v>
      </c>
    </row>
    <row r="300" spans="1:19" s="388" customFormat="1" x14ac:dyDescent="0.3">
      <c r="A300" s="5" t="s">
        <v>533</v>
      </c>
      <c r="B300" s="1430" t="s">
        <v>3449</v>
      </c>
      <c r="C300" s="398" t="s">
        <v>534</v>
      </c>
      <c r="D300" s="5" t="s">
        <v>34</v>
      </c>
      <c r="E300" s="5" t="s">
        <v>34</v>
      </c>
      <c r="F300" s="5" t="s">
        <v>539</v>
      </c>
      <c r="G300" s="5" t="s">
        <v>188</v>
      </c>
      <c r="H300" s="5" t="s">
        <v>188</v>
      </c>
      <c r="I300" s="5" t="s">
        <v>546</v>
      </c>
      <c r="J300" t="s">
        <v>1329</v>
      </c>
      <c r="K300" s="5" t="s">
        <v>1555</v>
      </c>
      <c r="L300" s="5"/>
      <c r="M300" s="387">
        <v>11</v>
      </c>
      <c r="N300" s="387">
        <v>70</v>
      </c>
      <c r="O300" s="387">
        <v>87</v>
      </c>
      <c r="P300" s="387">
        <v>254</v>
      </c>
      <c r="Q300" s="387">
        <v>3</v>
      </c>
      <c r="R300" s="387">
        <v>14</v>
      </c>
      <c r="S300" s="1174">
        <f>Locations[[#This Row],[Ind_Returnees]]+Locations[[#This Row],[Ind_Refugees]]+Locations[[#This Row],[Ind_IDPs]]</f>
        <v>338</v>
      </c>
    </row>
    <row r="301" spans="1:19" s="388" customFormat="1" x14ac:dyDescent="0.3">
      <c r="A301" s="5" t="s">
        <v>533</v>
      </c>
      <c r="B301" s="1430" t="s">
        <v>3449</v>
      </c>
      <c r="C301" s="1090" t="s">
        <v>534</v>
      </c>
      <c r="D301" s="5" t="s">
        <v>35</v>
      </c>
      <c r="E301" s="5" t="s">
        <v>35</v>
      </c>
      <c r="F301" s="5" t="s">
        <v>567</v>
      </c>
      <c r="G301" s="5" t="s">
        <v>195</v>
      </c>
      <c r="H301" s="5" t="s">
        <v>195</v>
      </c>
      <c r="I301" s="5" t="s">
        <v>733</v>
      </c>
      <c r="J301" t="s">
        <v>2364</v>
      </c>
      <c r="K301" s="5" t="s">
        <v>2365</v>
      </c>
      <c r="L301" s="5"/>
      <c r="M301" s="387">
        <v>3</v>
      </c>
      <c r="N301" s="387">
        <v>17</v>
      </c>
      <c r="O301" s="387">
        <v>0</v>
      </c>
      <c r="P301" s="387">
        <v>0</v>
      </c>
      <c r="Q301" s="387">
        <v>5</v>
      </c>
      <c r="R301" s="387">
        <v>24</v>
      </c>
      <c r="S301" s="1174">
        <f>Locations[[#This Row],[Ind_Returnees]]+Locations[[#This Row],[Ind_Refugees]]+Locations[[#This Row],[Ind_IDPs]]</f>
        <v>41</v>
      </c>
    </row>
    <row r="302" spans="1:19" s="388" customFormat="1" x14ac:dyDescent="0.3">
      <c r="A302" s="5" t="s">
        <v>533</v>
      </c>
      <c r="B302" s="1430" t="s">
        <v>3449</v>
      </c>
      <c r="C302" s="1090" t="s">
        <v>534</v>
      </c>
      <c r="D302" s="5" t="s">
        <v>31</v>
      </c>
      <c r="E302" s="5" t="s">
        <v>31</v>
      </c>
      <c r="F302" s="5" t="s">
        <v>549</v>
      </c>
      <c r="G302" s="5" t="s">
        <v>170</v>
      </c>
      <c r="H302" s="5" t="s">
        <v>170</v>
      </c>
      <c r="I302" s="5" t="s">
        <v>866</v>
      </c>
      <c r="J302" t="s">
        <v>2850</v>
      </c>
      <c r="K302" s="5" t="s">
        <v>1636</v>
      </c>
      <c r="L302" s="5"/>
      <c r="M302" s="387">
        <v>100</v>
      </c>
      <c r="N302" s="387">
        <v>900</v>
      </c>
      <c r="O302" s="387">
        <v>0</v>
      </c>
      <c r="P302" s="387">
        <v>0</v>
      </c>
      <c r="Q302" s="387">
        <v>0</v>
      </c>
      <c r="R302" s="387">
        <v>0</v>
      </c>
      <c r="S302" s="1174">
        <f>Locations[[#This Row],[Ind_Returnees]]+Locations[[#This Row],[Ind_Refugees]]+Locations[[#This Row],[Ind_IDPs]]</f>
        <v>900</v>
      </c>
    </row>
    <row r="303" spans="1:19" s="388" customFormat="1" x14ac:dyDescent="0.3">
      <c r="A303" s="5" t="s">
        <v>533</v>
      </c>
      <c r="B303" s="1430" t="s">
        <v>3449</v>
      </c>
      <c r="C303" s="398" t="s">
        <v>534</v>
      </c>
      <c r="D303" s="5" t="s">
        <v>31</v>
      </c>
      <c r="E303" s="5" t="s">
        <v>31</v>
      </c>
      <c r="F303" s="5" t="s">
        <v>549</v>
      </c>
      <c r="G303" s="5" t="s">
        <v>171</v>
      </c>
      <c r="H303" s="5" t="s">
        <v>171</v>
      </c>
      <c r="I303" s="5" t="s">
        <v>634</v>
      </c>
      <c r="J303" t="s">
        <v>2851</v>
      </c>
      <c r="K303" s="5" t="s">
        <v>1754</v>
      </c>
      <c r="L303" s="5"/>
      <c r="M303" s="387">
        <v>2</v>
      </c>
      <c r="N303" s="387">
        <v>8</v>
      </c>
      <c r="O303" s="387">
        <v>0</v>
      </c>
      <c r="P303" s="387">
        <v>0</v>
      </c>
      <c r="Q303" s="387">
        <v>0</v>
      </c>
      <c r="R303" s="387">
        <v>0</v>
      </c>
      <c r="S303" s="1174">
        <f>Locations[[#This Row],[Ind_Returnees]]+Locations[[#This Row],[Ind_Refugees]]+Locations[[#This Row],[Ind_IDPs]]</f>
        <v>8</v>
      </c>
    </row>
    <row r="304" spans="1:19" s="388" customFormat="1" x14ac:dyDescent="0.3">
      <c r="A304" s="5" t="s">
        <v>533</v>
      </c>
      <c r="B304" s="1430" t="s">
        <v>3449</v>
      </c>
      <c r="C304" s="398" t="s">
        <v>534</v>
      </c>
      <c r="D304" s="5" t="s">
        <v>34</v>
      </c>
      <c r="E304" s="5" t="s">
        <v>34</v>
      </c>
      <c r="F304" s="5" t="s">
        <v>539</v>
      </c>
      <c r="G304" s="5" t="s">
        <v>188</v>
      </c>
      <c r="H304" s="5" t="s">
        <v>188</v>
      </c>
      <c r="I304" s="5" t="s">
        <v>546</v>
      </c>
      <c r="J304" t="s">
        <v>763</v>
      </c>
      <c r="K304" s="5" t="s">
        <v>1382</v>
      </c>
      <c r="L304" s="5"/>
      <c r="M304" s="387">
        <v>59</v>
      </c>
      <c r="N304" s="387">
        <v>293</v>
      </c>
      <c r="O304" s="387">
        <v>15</v>
      </c>
      <c r="P304" s="387">
        <v>63</v>
      </c>
      <c r="Q304" s="387">
        <v>0</v>
      </c>
      <c r="R304" s="387">
        <v>0</v>
      </c>
      <c r="S304" s="1174">
        <f>Locations[[#This Row],[Ind_Returnees]]+Locations[[#This Row],[Ind_Refugees]]+Locations[[#This Row],[Ind_IDPs]]</f>
        <v>356</v>
      </c>
    </row>
    <row r="305" spans="1:19" s="388" customFormat="1" x14ac:dyDescent="0.3">
      <c r="A305" s="5" t="s">
        <v>533</v>
      </c>
      <c r="B305" s="1430" t="s">
        <v>3449</v>
      </c>
      <c r="C305" s="1090" t="s">
        <v>534</v>
      </c>
      <c r="D305" s="5" t="s">
        <v>33</v>
      </c>
      <c r="E305" s="5" t="s">
        <v>33</v>
      </c>
      <c r="F305" s="5" t="s">
        <v>561</v>
      </c>
      <c r="G305" s="5" t="s">
        <v>182</v>
      </c>
      <c r="H305" s="5" t="s">
        <v>182</v>
      </c>
      <c r="I305" s="5" t="s">
        <v>647</v>
      </c>
      <c r="J305" t="s">
        <v>648</v>
      </c>
      <c r="K305" s="5" t="s">
        <v>649</v>
      </c>
      <c r="L305" s="5"/>
      <c r="M305" s="387">
        <v>1</v>
      </c>
      <c r="N305" s="387">
        <v>4</v>
      </c>
      <c r="O305" s="387">
        <v>0</v>
      </c>
      <c r="P305" s="387">
        <v>0</v>
      </c>
      <c r="Q305" s="387">
        <v>2</v>
      </c>
      <c r="R305" s="387">
        <v>6</v>
      </c>
      <c r="S305" s="1174">
        <f>Locations[[#This Row],[Ind_Returnees]]+Locations[[#This Row],[Ind_Refugees]]+Locations[[#This Row],[Ind_IDPs]]</f>
        <v>10</v>
      </c>
    </row>
    <row r="306" spans="1:19" s="388" customFormat="1" x14ac:dyDescent="0.3">
      <c r="A306" s="5" t="s">
        <v>533</v>
      </c>
      <c r="B306" s="1430" t="s">
        <v>3449</v>
      </c>
      <c r="C306" s="398" t="s">
        <v>534</v>
      </c>
      <c r="D306" s="5" t="s">
        <v>30</v>
      </c>
      <c r="E306" s="5" t="s">
        <v>3522</v>
      </c>
      <c r="F306" s="5" t="s">
        <v>535</v>
      </c>
      <c r="G306" s="5" t="s">
        <v>162</v>
      </c>
      <c r="H306" s="5" t="s">
        <v>3529</v>
      </c>
      <c r="I306" s="5" t="s">
        <v>536</v>
      </c>
      <c r="J306" t="s">
        <v>537</v>
      </c>
      <c r="K306" s="5" t="s">
        <v>538</v>
      </c>
      <c r="L306" s="5"/>
      <c r="M306" s="387">
        <v>135</v>
      </c>
      <c r="N306" s="387">
        <v>725</v>
      </c>
      <c r="O306" s="387">
        <v>0</v>
      </c>
      <c r="P306" s="387">
        <v>0</v>
      </c>
      <c r="Q306" s="387">
        <v>0</v>
      </c>
      <c r="R306" s="387">
        <v>0</v>
      </c>
      <c r="S306" s="1174">
        <f>Locations[[#This Row],[Ind_Returnees]]+Locations[[#This Row],[Ind_Refugees]]+Locations[[#This Row],[Ind_IDPs]]</f>
        <v>725</v>
      </c>
    </row>
    <row r="307" spans="1:19" s="388" customFormat="1" x14ac:dyDescent="0.3">
      <c r="A307" s="5" t="s">
        <v>533</v>
      </c>
      <c r="B307" s="1430" t="s">
        <v>3449</v>
      </c>
      <c r="C307" s="1090" t="s">
        <v>534</v>
      </c>
      <c r="D307" s="5" t="s">
        <v>34</v>
      </c>
      <c r="E307" s="5" t="s">
        <v>34</v>
      </c>
      <c r="F307" s="5" t="s">
        <v>539</v>
      </c>
      <c r="G307" s="5" t="s">
        <v>188</v>
      </c>
      <c r="H307" s="5" t="s">
        <v>188</v>
      </c>
      <c r="I307" s="5" t="s">
        <v>546</v>
      </c>
      <c r="J307" t="s">
        <v>2852</v>
      </c>
      <c r="K307" s="5" t="s">
        <v>1489</v>
      </c>
      <c r="L307" s="5"/>
      <c r="M307" s="387">
        <v>98</v>
      </c>
      <c r="N307" s="387">
        <v>794</v>
      </c>
      <c r="O307" s="387">
        <v>0</v>
      </c>
      <c r="P307" s="387">
        <v>0</v>
      </c>
      <c r="Q307" s="387">
        <v>0</v>
      </c>
      <c r="R307" s="387">
        <v>0</v>
      </c>
      <c r="S307" s="1174">
        <f>Locations[[#This Row],[Ind_Returnees]]+Locations[[#This Row],[Ind_Refugees]]+Locations[[#This Row],[Ind_IDPs]]</f>
        <v>794</v>
      </c>
    </row>
    <row r="308" spans="1:19" s="388" customFormat="1" x14ac:dyDescent="0.3">
      <c r="A308" s="5" t="s">
        <v>533</v>
      </c>
      <c r="B308" s="1430" t="s">
        <v>3449</v>
      </c>
      <c r="C308" s="1090" t="s">
        <v>534</v>
      </c>
      <c r="D308" s="5" t="s">
        <v>35</v>
      </c>
      <c r="E308" s="5" t="s">
        <v>35</v>
      </c>
      <c r="F308" s="5" t="s">
        <v>567</v>
      </c>
      <c r="G308" s="5" t="s">
        <v>190</v>
      </c>
      <c r="H308" s="5" t="s">
        <v>190</v>
      </c>
      <c r="I308" s="5" t="s">
        <v>800</v>
      </c>
      <c r="J308" t="s">
        <v>2853</v>
      </c>
      <c r="K308" s="5" t="s">
        <v>801</v>
      </c>
      <c r="L308" s="5"/>
      <c r="M308" s="387">
        <v>26</v>
      </c>
      <c r="N308" s="387">
        <v>158</v>
      </c>
      <c r="O308" s="387">
        <v>1</v>
      </c>
      <c r="P308" s="387">
        <v>39</v>
      </c>
      <c r="Q308" s="387">
        <v>2</v>
      </c>
      <c r="R308" s="387">
        <v>8</v>
      </c>
      <c r="S308" s="1174">
        <f>Locations[[#This Row],[Ind_Returnees]]+Locations[[#This Row],[Ind_Refugees]]+Locations[[#This Row],[Ind_IDPs]]</f>
        <v>205</v>
      </c>
    </row>
    <row r="309" spans="1:19" s="388" customFormat="1" x14ac:dyDescent="0.3">
      <c r="A309" s="5" t="s">
        <v>533</v>
      </c>
      <c r="B309" s="1430" t="s">
        <v>3449</v>
      </c>
      <c r="C309" s="398" t="s">
        <v>534</v>
      </c>
      <c r="D309" s="5" t="s">
        <v>32</v>
      </c>
      <c r="E309" s="5" t="s">
        <v>32</v>
      </c>
      <c r="F309" s="5" t="s">
        <v>542</v>
      </c>
      <c r="G309" s="5" t="s">
        <v>175</v>
      </c>
      <c r="H309" s="5" t="s">
        <v>175</v>
      </c>
      <c r="I309" s="5" t="s">
        <v>1136</v>
      </c>
      <c r="J309" t="s">
        <v>1760</v>
      </c>
      <c r="K309" s="5" t="s">
        <v>1761</v>
      </c>
      <c r="L309" s="5"/>
      <c r="M309" s="387">
        <v>22</v>
      </c>
      <c r="N309" s="387">
        <v>123</v>
      </c>
      <c r="O309" s="387">
        <v>3</v>
      </c>
      <c r="P309" s="387">
        <v>13</v>
      </c>
      <c r="Q309" s="387">
        <v>0</v>
      </c>
      <c r="R309" s="387">
        <v>0</v>
      </c>
      <c r="S309" s="1174">
        <f>Locations[[#This Row],[Ind_Returnees]]+Locations[[#This Row],[Ind_Refugees]]+Locations[[#This Row],[Ind_IDPs]]</f>
        <v>136</v>
      </c>
    </row>
    <row r="310" spans="1:19" s="388" customFormat="1" x14ac:dyDescent="0.3">
      <c r="A310" s="5" t="s">
        <v>533</v>
      </c>
      <c r="B310" s="1430" t="s">
        <v>3449</v>
      </c>
      <c r="C310" s="398" t="s">
        <v>534</v>
      </c>
      <c r="D310" s="5" t="s">
        <v>35</v>
      </c>
      <c r="E310" s="5" t="s">
        <v>35</v>
      </c>
      <c r="F310" s="5" t="s">
        <v>567</v>
      </c>
      <c r="G310" s="5" t="s">
        <v>192</v>
      </c>
      <c r="H310" s="5" t="s">
        <v>192</v>
      </c>
      <c r="I310" s="5" t="s">
        <v>853</v>
      </c>
      <c r="J310" t="s">
        <v>2854</v>
      </c>
      <c r="K310" s="5" t="s">
        <v>1399</v>
      </c>
      <c r="L310" s="5"/>
      <c r="M310" s="387">
        <v>56</v>
      </c>
      <c r="N310" s="387">
        <v>299</v>
      </c>
      <c r="O310" s="387">
        <v>0</v>
      </c>
      <c r="P310" s="387">
        <v>0</v>
      </c>
      <c r="Q310" s="387">
        <v>0</v>
      </c>
      <c r="R310" s="387">
        <v>0</v>
      </c>
      <c r="S310" s="1174">
        <f>Locations[[#This Row],[Ind_Returnees]]+Locations[[#This Row],[Ind_Refugees]]+Locations[[#This Row],[Ind_IDPs]]</f>
        <v>299</v>
      </c>
    </row>
    <row r="311" spans="1:19" s="388" customFormat="1" x14ac:dyDescent="0.3">
      <c r="A311" s="5" t="s">
        <v>533</v>
      </c>
      <c r="B311" s="1430" t="s">
        <v>3449</v>
      </c>
      <c r="C311" s="1090" t="s">
        <v>534</v>
      </c>
      <c r="D311" s="5" t="s">
        <v>34</v>
      </c>
      <c r="E311" s="5" t="s">
        <v>34</v>
      </c>
      <c r="F311" s="5" t="s">
        <v>539</v>
      </c>
      <c r="G311" s="5" t="s">
        <v>189</v>
      </c>
      <c r="H311" s="5" t="s">
        <v>189</v>
      </c>
      <c r="I311" s="5" t="s">
        <v>590</v>
      </c>
      <c r="J311" t="s">
        <v>2691</v>
      </c>
      <c r="K311" s="5" t="s">
        <v>2692</v>
      </c>
      <c r="L311" s="5"/>
      <c r="M311" s="387">
        <v>0</v>
      </c>
      <c r="N311" s="387">
        <v>0</v>
      </c>
      <c r="O311" s="387">
        <v>0</v>
      </c>
      <c r="P311" s="387">
        <v>0</v>
      </c>
      <c r="Q311" s="387">
        <v>0</v>
      </c>
      <c r="R311" s="387">
        <v>0</v>
      </c>
      <c r="S311" s="1174">
        <f>Locations[[#This Row],[Ind_Returnees]]+Locations[[#This Row],[Ind_Refugees]]+Locations[[#This Row],[Ind_IDPs]]</f>
        <v>0</v>
      </c>
    </row>
    <row r="312" spans="1:19" s="388" customFormat="1" x14ac:dyDescent="0.3">
      <c r="A312" s="5" t="s">
        <v>533</v>
      </c>
      <c r="B312" s="1430" t="s">
        <v>3449</v>
      </c>
      <c r="C312" s="398" t="s">
        <v>534</v>
      </c>
      <c r="D312" s="5" t="s">
        <v>31</v>
      </c>
      <c r="E312" s="5" t="s">
        <v>31</v>
      </c>
      <c r="F312" s="5" t="s">
        <v>549</v>
      </c>
      <c r="G312" s="5" t="s">
        <v>2797</v>
      </c>
      <c r="H312" s="5" t="s">
        <v>3898</v>
      </c>
      <c r="I312" s="5" t="s">
        <v>767</v>
      </c>
      <c r="J312" t="s">
        <v>2536</v>
      </c>
      <c r="K312" s="5" t="s">
        <v>2537</v>
      </c>
      <c r="L312" s="5"/>
      <c r="M312" s="387">
        <v>0</v>
      </c>
      <c r="N312" s="387">
        <v>0</v>
      </c>
      <c r="O312" s="387">
        <v>0</v>
      </c>
      <c r="P312" s="387">
        <v>0</v>
      </c>
      <c r="Q312" s="387">
        <v>0</v>
      </c>
      <c r="R312" s="387">
        <v>0</v>
      </c>
      <c r="S312" s="1174">
        <f>Locations[[#This Row],[Ind_Returnees]]+Locations[[#This Row],[Ind_Refugees]]+Locations[[#This Row],[Ind_IDPs]]</f>
        <v>0</v>
      </c>
    </row>
    <row r="313" spans="1:19" s="388" customFormat="1" x14ac:dyDescent="0.3">
      <c r="A313" s="5" t="s">
        <v>533</v>
      </c>
      <c r="B313" s="1430" t="s">
        <v>3449</v>
      </c>
      <c r="C313" s="398" t="s">
        <v>534</v>
      </c>
      <c r="D313" s="5" t="s">
        <v>35</v>
      </c>
      <c r="E313" s="5" t="s">
        <v>35</v>
      </c>
      <c r="F313" s="5" t="s">
        <v>567</v>
      </c>
      <c r="G313" s="5" t="s">
        <v>193</v>
      </c>
      <c r="H313" s="5" t="s">
        <v>3983</v>
      </c>
      <c r="I313" s="5" t="s">
        <v>863</v>
      </c>
      <c r="J313" t="s">
        <v>2855</v>
      </c>
      <c r="K313" s="5" t="s">
        <v>2278</v>
      </c>
      <c r="L313" s="5"/>
      <c r="M313" s="387">
        <v>90</v>
      </c>
      <c r="N313" s="387">
        <v>544</v>
      </c>
      <c r="O313" s="387">
        <v>0</v>
      </c>
      <c r="P313" s="387">
        <v>0</v>
      </c>
      <c r="Q313" s="387">
        <v>0</v>
      </c>
      <c r="R313" s="387">
        <v>0</v>
      </c>
      <c r="S313" s="1174">
        <f>Locations[[#This Row],[Ind_Returnees]]+Locations[[#This Row],[Ind_Refugees]]+Locations[[#This Row],[Ind_IDPs]]</f>
        <v>544</v>
      </c>
    </row>
    <row r="314" spans="1:19" s="388" customFormat="1" x14ac:dyDescent="0.3">
      <c r="A314" s="5" t="s">
        <v>533</v>
      </c>
      <c r="B314" s="1430" t="s">
        <v>3449</v>
      </c>
      <c r="C314" s="398" t="s">
        <v>534</v>
      </c>
      <c r="D314" s="5" t="s">
        <v>31</v>
      </c>
      <c r="E314" s="5" t="s">
        <v>31</v>
      </c>
      <c r="F314" s="5" t="s">
        <v>549</v>
      </c>
      <c r="G314" s="5" t="s">
        <v>169</v>
      </c>
      <c r="H314" s="5" t="s">
        <v>169</v>
      </c>
      <c r="I314" s="5" t="s">
        <v>673</v>
      </c>
      <c r="J314" t="s">
        <v>3200</v>
      </c>
      <c r="K314" s="5" t="s">
        <v>3088</v>
      </c>
      <c r="L314" s="5"/>
      <c r="M314" s="387">
        <v>0</v>
      </c>
      <c r="N314" s="387">
        <v>0</v>
      </c>
      <c r="O314" s="387">
        <v>0</v>
      </c>
      <c r="P314" s="387">
        <v>0</v>
      </c>
      <c r="Q314" s="387">
        <v>18</v>
      </c>
      <c r="R314" s="387">
        <v>40</v>
      </c>
      <c r="S314" s="1174">
        <f>Locations[[#This Row],[Ind_Returnees]]+Locations[[#This Row],[Ind_Refugees]]+Locations[[#This Row],[Ind_IDPs]]</f>
        <v>40</v>
      </c>
    </row>
    <row r="315" spans="1:19" s="388" customFormat="1" x14ac:dyDescent="0.3">
      <c r="A315" s="5" t="s">
        <v>533</v>
      </c>
      <c r="B315" s="1430" t="s">
        <v>3449</v>
      </c>
      <c r="C315" s="1090" t="s">
        <v>534</v>
      </c>
      <c r="D315" s="5" t="s">
        <v>31</v>
      </c>
      <c r="E315" s="5" t="s">
        <v>31</v>
      </c>
      <c r="F315" s="5" t="s">
        <v>549</v>
      </c>
      <c r="G315" s="5" t="s">
        <v>171</v>
      </c>
      <c r="H315" s="5" t="s">
        <v>171</v>
      </c>
      <c r="I315" s="5" t="s">
        <v>634</v>
      </c>
      <c r="J315" t="s">
        <v>2592</v>
      </c>
      <c r="K315" s="5" t="s">
        <v>1964</v>
      </c>
      <c r="L315" s="5"/>
      <c r="M315" s="387">
        <v>9</v>
      </c>
      <c r="N315" s="387">
        <v>71</v>
      </c>
      <c r="O315" s="387">
        <v>0</v>
      </c>
      <c r="P315" s="387">
        <v>0</v>
      </c>
      <c r="Q315" s="387">
        <v>0</v>
      </c>
      <c r="R315" s="387">
        <v>0</v>
      </c>
      <c r="S315" s="1174">
        <f>Locations[[#This Row],[Ind_Returnees]]+Locations[[#This Row],[Ind_Refugees]]+Locations[[#This Row],[Ind_IDPs]]</f>
        <v>71</v>
      </c>
    </row>
    <row r="316" spans="1:19" s="388" customFormat="1" x14ac:dyDescent="0.3">
      <c r="A316" s="5" t="s">
        <v>533</v>
      </c>
      <c r="B316" s="1430" t="s">
        <v>3449</v>
      </c>
      <c r="C316" s="1090" t="s">
        <v>534</v>
      </c>
      <c r="D316" s="5" t="s">
        <v>33</v>
      </c>
      <c r="E316" s="5" t="s">
        <v>33</v>
      </c>
      <c r="F316" s="5" t="s">
        <v>561</v>
      </c>
      <c r="G316" s="5" t="s">
        <v>183</v>
      </c>
      <c r="H316" s="5" t="s">
        <v>183</v>
      </c>
      <c r="I316" s="5" t="s">
        <v>562</v>
      </c>
      <c r="J316" t="s">
        <v>563</v>
      </c>
      <c r="K316" s="5" t="s">
        <v>564</v>
      </c>
      <c r="L316" s="5"/>
      <c r="M316" s="387">
        <v>0</v>
      </c>
      <c r="N316" s="387">
        <v>0</v>
      </c>
      <c r="O316" s="387">
        <v>0</v>
      </c>
      <c r="P316" s="387">
        <v>0</v>
      </c>
      <c r="Q316" s="387">
        <v>3</v>
      </c>
      <c r="R316" s="387">
        <v>21</v>
      </c>
      <c r="S316" s="1174">
        <f>Locations[[#This Row],[Ind_Returnees]]+Locations[[#This Row],[Ind_Refugees]]+Locations[[#This Row],[Ind_IDPs]]</f>
        <v>21</v>
      </c>
    </row>
    <row r="317" spans="1:19" s="388" customFormat="1" x14ac:dyDescent="0.3">
      <c r="A317" s="5" t="s">
        <v>533</v>
      </c>
      <c r="B317" s="1430" t="s">
        <v>3449</v>
      </c>
      <c r="C317" s="398" t="s">
        <v>534</v>
      </c>
      <c r="D317" s="5" t="s">
        <v>35</v>
      </c>
      <c r="E317" s="5" t="s">
        <v>35</v>
      </c>
      <c r="F317" s="5" t="s">
        <v>567</v>
      </c>
      <c r="G317" s="5" t="s">
        <v>195</v>
      </c>
      <c r="H317" s="5" t="s">
        <v>195</v>
      </c>
      <c r="I317" s="5" t="s">
        <v>733</v>
      </c>
      <c r="J317" t="s">
        <v>1749</v>
      </c>
      <c r="K317" s="5" t="s">
        <v>1750</v>
      </c>
      <c r="L317" s="5"/>
      <c r="M317" s="387">
        <v>46</v>
      </c>
      <c r="N317" s="387">
        <v>342</v>
      </c>
      <c r="O317" s="387">
        <v>0</v>
      </c>
      <c r="P317" s="387">
        <v>0</v>
      </c>
      <c r="Q317" s="387">
        <v>6</v>
      </c>
      <c r="R317" s="387">
        <v>36</v>
      </c>
      <c r="S317" s="1174">
        <f>Locations[[#This Row],[Ind_Returnees]]+Locations[[#This Row],[Ind_Refugees]]+Locations[[#This Row],[Ind_IDPs]]</f>
        <v>378</v>
      </c>
    </row>
    <row r="318" spans="1:19" s="388" customFormat="1" x14ac:dyDescent="0.3">
      <c r="A318" s="5" t="s">
        <v>533</v>
      </c>
      <c r="B318" s="1430" t="s">
        <v>3449</v>
      </c>
      <c r="C318" s="1090" t="s">
        <v>534</v>
      </c>
      <c r="D318" s="5" t="s">
        <v>35</v>
      </c>
      <c r="E318" s="5" t="s">
        <v>35</v>
      </c>
      <c r="F318" s="5" t="s">
        <v>567</v>
      </c>
      <c r="G318" s="5" t="s">
        <v>190</v>
      </c>
      <c r="H318" s="5" t="s">
        <v>190</v>
      </c>
      <c r="I318" s="5" t="s">
        <v>800</v>
      </c>
      <c r="J318" t="s">
        <v>2181</v>
      </c>
      <c r="K318" s="5" t="s">
        <v>2182</v>
      </c>
      <c r="L318" s="5"/>
      <c r="M318" s="387">
        <v>0</v>
      </c>
      <c r="N318" s="387">
        <v>0</v>
      </c>
      <c r="O318" s="387">
        <v>5</v>
      </c>
      <c r="P318" s="387">
        <v>24</v>
      </c>
      <c r="Q318" s="387">
        <v>6</v>
      </c>
      <c r="R318" s="387">
        <v>25</v>
      </c>
      <c r="S318" s="1174">
        <f>Locations[[#This Row],[Ind_Returnees]]+Locations[[#This Row],[Ind_Refugees]]+Locations[[#This Row],[Ind_IDPs]]</f>
        <v>49</v>
      </c>
    </row>
    <row r="319" spans="1:19" s="388" customFormat="1" x14ac:dyDescent="0.3">
      <c r="A319" s="5" t="s">
        <v>533</v>
      </c>
      <c r="B319" s="1430" t="s">
        <v>3449</v>
      </c>
      <c r="C319" s="1090" t="s">
        <v>534</v>
      </c>
      <c r="D319" s="5" t="s">
        <v>31</v>
      </c>
      <c r="E319" s="5" t="s">
        <v>31</v>
      </c>
      <c r="F319" s="5" t="s">
        <v>549</v>
      </c>
      <c r="G319" s="5" t="s">
        <v>171</v>
      </c>
      <c r="H319" s="5" t="s">
        <v>171</v>
      </c>
      <c r="I319" s="5" t="s">
        <v>634</v>
      </c>
      <c r="J319" t="s">
        <v>2856</v>
      </c>
      <c r="K319" s="5" t="s">
        <v>1340</v>
      </c>
      <c r="L319" s="5"/>
      <c r="M319" s="387">
        <v>15</v>
      </c>
      <c r="N319" s="387">
        <v>87</v>
      </c>
      <c r="O319" s="387">
        <v>10</v>
      </c>
      <c r="P319" s="387">
        <v>45</v>
      </c>
      <c r="Q319" s="387">
        <v>0</v>
      </c>
      <c r="R319" s="387">
        <v>0</v>
      </c>
      <c r="S319" s="1174">
        <f>Locations[[#This Row],[Ind_Returnees]]+Locations[[#This Row],[Ind_Refugees]]+Locations[[#This Row],[Ind_IDPs]]</f>
        <v>132</v>
      </c>
    </row>
    <row r="320" spans="1:19" s="388" customFormat="1" x14ac:dyDescent="0.3">
      <c r="A320" s="5" t="s">
        <v>533</v>
      </c>
      <c r="B320" s="1430" t="s">
        <v>3449</v>
      </c>
      <c r="C320" s="1090" t="s">
        <v>534</v>
      </c>
      <c r="D320" s="5" t="s">
        <v>31</v>
      </c>
      <c r="E320" s="5" t="s">
        <v>31</v>
      </c>
      <c r="F320" s="5" t="s">
        <v>549</v>
      </c>
      <c r="G320" s="5" t="s">
        <v>167</v>
      </c>
      <c r="H320" s="5" t="s">
        <v>167</v>
      </c>
      <c r="I320" s="5" t="s">
        <v>1113</v>
      </c>
      <c r="J320" t="s">
        <v>3093</v>
      </c>
      <c r="K320" s="5" t="s">
        <v>2378</v>
      </c>
      <c r="L320" s="5"/>
      <c r="M320" s="387">
        <v>0</v>
      </c>
      <c r="N320" s="387">
        <v>0</v>
      </c>
      <c r="O320" s="387">
        <v>0</v>
      </c>
      <c r="P320" s="387">
        <v>0</v>
      </c>
      <c r="Q320" s="387">
        <v>0</v>
      </c>
      <c r="R320" s="387">
        <v>0</v>
      </c>
      <c r="S320" s="1174">
        <f>Locations[[#This Row],[Ind_Returnees]]+Locations[[#This Row],[Ind_Refugees]]+Locations[[#This Row],[Ind_IDPs]]</f>
        <v>0</v>
      </c>
    </row>
    <row r="321" spans="1:19" s="388" customFormat="1" x14ac:dyDescent="0.3">
      <c r="A321" s="5" t="s">
        <v>533</v>
      </c>
      <c r="B321" s="1430" t="s">
        <v>3449</v>
      </c>
      <c r="C321" s="1090" t="s">
        <v>534</v>
      </c>
      <c r="D321" s="5" t="s">
        <v>35</v>
      </c>
      <c r="E321" s="5" t="s">
        <v>35</v>
      </c>
      <c r="F321" s="5" t="s">
        <v>567</v>
      </c>
      <c r="G321" s="5" t="s">
        <v>192</v>
      </c>
      <c r="H321" s="5" t="s">
        <v>192</v>
      </c>
      <c r="I321" s="5" t="s">
        <v>853</v>
      </c>
      <c r="J321" t="s">
        <v>1398</v>
      </c>
      <c r="K321" s="5" t="s">
        <v>1506</v>
      </c>
      <c r="L321" s="5"/>
      <c r="M321" s="387">
        <v>344</v>
      </c>
      <c r="N321" s="387">
        <v>1904</v>
      </c>
      <c r="O321" s="387">
        <v>0</v>
      </c>
      <c r="P321" s="387">
        <v>0</v>
      </c>
      <c r="Q321" s="387">
        <v>27</v>
      </c>
      <c r="R321" s="387">
        <v>158</v>
      </c>
      <c r="S321" s="1174">
        <f>Locations[[#This Row],[Ind_Returnees]]+Locations[[#This Row],[Ind_Refugees]]+Locations[[#This Row],[Ind_IDPs]]</f>
        <v>2062</v>
      </c>
    </row>
    <row r="322" spans="1:19" s="388" customFormat="1" x14ac:dyDescent="0.3">
      <c r="A322" s="5" t="s">
        <v>533</v>
      </c>
      <c r="B322" s="1430" t="s">
        <v>3449</v>
      </c>
      <c r="C322" s="398" t="s">
        <v>534</v>
      </c>
      <c r="D322" s="5" t="s">
        <v>35</v>
      </c>
      <c r="E322" s="5" t="s">
        <v>35</v>
      </c>
      <c r="F322" s="5" t="s">
        <v>567</v>
      </c>
      <c r="G322" s="5" t="s">
        <v>192</v>
      </c>
      <c r="H322" s="5" t="s">
        <v>192</v>
      </c>
      <c r="I322" s="5" t="s">
        <v>853</v>
      </c>
      <c r="J322" t="s">
        <v>1505</v>
      </c>
      <c r="K322" s="5" t="s">
        <v>1169</v>
      </c>
      <c r="L322" s="5"/>
      <c r="M322" s="387">
        <v>49</v>
      </c>
      <c r="N322" s="387">
        <v>350</v>
      </c>
      <c r="O322" s="387">
        <v>0</v>
      </c>
      <c r="P322" s="387">
        <v>0</v>
      </c>
      <c r="Q322" s="387">
        <v>11</v>
      </c>
      <c r="R322" s="387">
        <v>87</v>
      </c>
      <c r="S322" s="1174">
        <f>Locations[[#This Row],[Ind_Returnees]]+Locations[[#This Row],[Ind_Refugees]]+Locations[[#This Row],[Ind_IDPs]]</f>
        <v>437</v>
      </c>
    </row>
    <row r="323" spans="1:19" s="388" customFormat="1" x14ac:dyDescent="0.3">
      <c r="A323" s="5" t="s">
        <v>533</v>
      </c>
      <c r="B323" s="1430" t="s">
        <v>3449</v>
      </c>
      <c r="C323" s="1090" t="s">
        <v>534</v>
      </c>
      <c r="D323" s="5" t="s">
        <v>31</v>
      </c>
      <c r="E323" s="5" t="s">
        <v>31</v>
      </c>
      <c r="F323" s="5" t="s">
        <v>549</v>
      </c>
      <c r="G323" s="1144" t="s">
        <v>172</v>
      </c>
      <c r="H323" s="1144" t="s">
        <v>172</v>
      </c>
      <c r="I323" s="5" t="s">
        <v>706</v>
      </c>
      <c r="J323" t="s">
        <v>2131</v>
      </c>
      <c r="K323" s="5" t="s">
        <v>1161</v>
      </c>
      <c r="L323" s="5"/>
      <c r="M323" s="387">
        <v>40</v>
      </c>
      <c r="N323" s="387">
        <v>340</v>
      </c>
      <c r="O323" s="387">
        <v>47</v>
      </c>
      <c r="P323" s="387">
        <v>250</v>
      </c>
      <c r="Q323" s="387">
        <v>0</v>
      </c>
      <c r="R323" s="387">
        <v>0</v>
      </c>
      <c r="S323" s="1174">
        <f>Locations[[#This Row],[Ind_Returnees]]+Locations[[#This Row],[Ind_Refugees]]+Locations[[#This Row],[Ind_IDPs]]</f>
        <v>590</v>
      </c>
    </row>
    <row r="324" spans="1:19" s="388" customFormat="1" x14ac:dyDescent="0.3">
      <c r="A324" s="5" t="s">
        <v>533</v>
      </c>
      <c r="B324" s="1430" t="s">
        <v>3449</v>
      </c>
      <c r="C324" s="398" t="s">
        <v>534</v>
      </c>
      <c r="D324" s="5" t="s">
        <v>31</v>
      </c>
      <c r="E324" s="5" t="s">
        <v>31</v>
      </c>
      <c r="F324" s="5" t="s">
        <v>549</v>
      </c>
      <c r="G324" s="1144" t="s">
        <v>165</v>
      </c>
      <c r="H324" s="1144" t="s">
        <v>165</v>
      </c>
      <c r="I324" s="5" t="s">
        <v>881</v>
      </c>
      <c r="J324" t="s">
        <v>3201</v>
      </c>
      <c r="K324" s="5" t="s">
        <v>2031</v>
      </c>
      <c r="L324" s="5"/>
      <c r="M324" s="387">
        <v>0</v>
      </c>
      <c r="N324" s="387">
        <v>0</v>
      </c>
      <c r="O324" s="387">
        <v>0</v>
      </c>
      <c r="P324" s="387">
        <v>0</v>
      </c>
      <c r="Q324" s="387">
        <v>0</v>
      </c>
      <c r="R324" s="387">
        <v>0</v>
      </c>
      <c r="S324" s="1174">
        <f>Locations[[#This Row],[Ind_Returnees]]+Locations[[#This Row],[Ind_Refugees]]+Locations[[#This Row],[Ind_IDPs]]</f>
        <v>0</v>
      </c>
    </row>
    <row r="325" spans="1:19" s="388" customFormat="1" x14ac:dyDescent="0.3">
      <c r="A325" s="5" t="s">
        <v>533</v>
      </c>
      <c r="B325" s="1430" t="s">
        <v>3449</v>
      </c>
      <c r="C325" s="1090" t="s">
        <v>534</v>
      </c>
      <c r="D325" s="5" t="s">
        <v>30</v>
      </c>
      <c r="E325" s="5" t="s">
        <v>3522</v>
      </c>
      <c r="F325" s="5" t="s">
        <v>535</v>
      </c>
      <c r="G325" s="5" t="s">
        <v>157</v>
      </c>
      <c r="H325" s="5" t="s">
        <v>157</v>
      </c>
      <c r="I325" s="5" t="s">
        <v>2236</v>
      </c>
      <c r="J325" t="s">
        <v>2360</v>
      </c>
      <c r="K325" s="5" t="s">
        <v>2361</v>
      </c>
      <c r="L325" s="5"/>
      <c r="M325" s="387">
        <v>0</v>
      </c>
      <c r="N325" s="387">
        <v>0</v>
      </c>
      <c r="O325" s="387">
        <v>0</v>
      </c>
      <c r="P325" s="387">
        <v>0</v>
      </c>
      <c r="Q325" s="387">
        <v>3</v>
      </c>
      <c r="R325" s="387">
        <v>45</v>
      </c>
      <c r="S325" s="1174">
        <f>Locations[[#This Row],[Ind_Returnees]]+Locations[[#This Row],[Ind_Refugees]]+Locations[[#This Row],[Ind_IDPs]]</f>
        <v>45</v>
      </c>
    </row>
    <row r="326" spans="1:19" s="388" customFormat="1" x14ac:dyDescent="0.3">
      <c r="A326" s="5" t="s">
        <v>533</v>
      </c>
      <c r="B326" s="1430" t="s">
        <v>3449</v>
      </c>
      <c r="C326" s="1090" t="s">
        <v>534</v>
      </c>
      <c r="D326" s="5" t="s">
        <v>32</v>
      </c>
      <c r="E326" s="5" t="s">
        <v>32</v>
      </c>
      <c r="F326" s="5" t="s">
        <v>542</v>
      </c>
      <c r="G326" s="5" t="s">
        <v>180</v>
      </c>
      <c r="H326" s="5" t="s">
        <v>180</v>
      </c>
      <c r="I326" s="5" t="s">
        <v>1653</v>
      </c>
      <c r="J326" t="s">
        <v>1654</v>
      </c>
      <c r="K326" s="5" t="s">
        <v>1655</v>
      </c>
      <c r="L326" s="5"/>
      <c r="M326" s="387">
        <v>51</v>
      </c>
      <c r="N326" s="387">
        <v>307</v>
      </c>
      <c r="O326" s="387">
        <v>0</v>
      </c>
      <c r="P326" s="387">
        <v>0</v>
      </c>
      <c r="Q326" s="387">
        <v>0</v>
      </c>
      <c r="R326" s="387">
        <v>0</v>
      </c>
      <c r="S326" s="1174">
        <f>Locations[[#This Row],[Ind_Returnees]]+Locations[[#This Row],[Ind_Refugees]]+Locations[[#This Row],[Ind_IDPs]]</f>
        <v>307</v>
      </c>
    </row>
    <row r="327" spans="1:19" s="388" customFormat="1" x14ac:dyDescent="0.3">
      <c r="A327" s="5" t="s">
        <v>533</v>
      </c>
      <c r="B327" s="1430" t="s">
        <v>3449</v>
      </c>
      <c r="C327" s="398" t="s">
        <v>534</v>
      </c>
      <c r="D327" s="5" t="s">
        <v>32</v>
      </c>
      <c r="E327" s="5" t="s">
        <v>32</v>
      </c>
      <c r="F327" s="5" t="s">
        <v>542</v>
      </c>
      <c r="G327" s="5" t="s">
        <v>179</v>
      </c>
      <c r="H327" s="5" t="s">
        <v>179</v>
      </c>
      <c r="I327" s="5" t="s">
        <v>1666</v>
      </c>
      <c r="J327" t="s">
        <v>2321</v>
      </c>
      <c r="K327" s="5" t="s">
        <v>2322</v>
      </c>
      <c r="L327" s="5"/>
      <c r="M327" s="387">
        <v>0</v>
      </c>
      <c r="N327" s="387">
        <v>0</v>
      </c>
      <c r="O327" s="387">
        <v>0</v>
      </c>
      <c r="P327" s="387">
        <v>0</v>
      </c>
      <c r="Q327" s="387">
        <v>76</v>
      </c>
      <c r="R327" s="387">
        <v>480</v>
      </c>
      <c r="S327" s="1174">
        <f>Locations[[#This Row],[Ind_Returnees]]+Locations[[#This Row],[Ind_Refugees]]+Locations[[#This Row],[Ind_IDPs]]</f>
        <v>480</v>
      </c>
    </row>
    <row r="328" spans="1:19" s="388" customFormat="1" x14ac:dyDescent="0.3">
      <c r="A328" s="5" t="s">
        <v>533</v>
      </c>
      <c r="B328" s="1430" t="s">
        <v>3449</v>
      </c>
      <c r="C328" s="1090" t="s">
        <v>534</v>
      </c>
      <c r="D328" s="5" t="s">
        <v>34</v>
      </c>
      <c r="E328" s="5" t="s">
        <v>34</v>
      </c>
      <c r="F328" s="5" t="s">
        <v>539</v>
      </c>
      <c r="G328" s="5" t="s">
        <v>188</v>
      </c>
      <c r="H328" s="5" t="s">
        <v>188</v>
      </c>
      <c r="I328" s="5" t="s">
        <v>546</v>
      </c>
      <c r="J328" t="s">
        <v>2857</v>
      </c>
      <c r="K328" s="5" t="s">
        <v>1530</v>
      </c>
      <c r="L328" s="5"/>
      <c r="M328" s="387">
        <v>444</v>
      </c>
      <c r="N328" s="387">
        <v>1181</v>
      </c>
      <c r="O328" s="387">
        <v>6</v>
      </c>
      <c r="P328" s="387">
        <v>62</v>
      </c>
      <c r="Q328" s="387">
        <v>0</v>
      </c>
      <c r="R328" s="387">
        <v>0</v>
      </c>
      <c r="S328" s="1174">
        <f>Locations[[#This Row],[Ind_Returnees]]+Locations[[#This Row],[Ind_Refugees]]+Locations[[#This Row],[Ind_IDPs]]</f>
        <v>1243</v>
      </c>
    </row>
    <row r="329" spans="1:19" s="388" customFormat="1" x14ac:dyDescent="0.3">
      <c r="A329" s="5" t="s">
        <v>533</v>
      </c>
      <c r="B329" s="1430" t="s">
        <v>3449</v>
      </c>
      <c r="C329" s="398" t="s">
        <v>534</v>
      </c>
      <c r="D329" s="5" t="s">
        <v>30</v>
      </c>
      <c r="E329" s="5" t="s">
        <v>3522</v>
      </c>
      <c r="F329" s="5" t="s">
        <v>535</v>
      </c>
      <c r="G329" s="5" t="s">
        <v>162</v>
      </c>
      <c r="H329" s="5" t="s">
        <v>3529</v>
      </c>
      <c r="I329" s="5" t="s">
        <v>536</v>
      </c>
      <c r="J329" t="s">
        <v>616</v>
      </c>
      <c r="K329" s="5" t="s">
        <v>617</v>
      </c>
      <c r="L329" s="5"/>
      <c r="M329" s="387">
        <v>3</v>
      </c>
      <c r="N329" s="387">
        <v>17</v>
      </c>
      <c r="O329" s="387">
        <v>0</v>
      </c>
      <c r="P329" s="387">
        <v>0</v>
      </c>
      <c r="Q329" s="387">
        <v>3</v>
      </c>
      <c r="R329" s="387">
        <v>10</v>
      </c>
      <c r="S329" s="1174">
        <f>Locations[[#This Row],[Ind_Returnees]]+Locations[[#This Row],[Ind_Refugees]]+Locations[[#This Row],[Ind_IDPs]]</f>
        <v>27</v>
      </c>
    </row>
    <row r="330" spans="1:19" s="388" customFormat="1" x14ac:dyDescent="0.3">
      <c r="A330" s="5" t="s">
        <v>533</v>
      </c>
      <c r="B330" s="1430" t="s">
        <v>3449</v>
      </c>
      <c r="C330" s="1090" t="s">
        <v>534</v>
      </c>
      <c r="D330" s="5" t="s">
        <v>31</v>
      </c>
      <c r="E330" s="5" t="s">
        <v>31</v>
      </c>
      <c r="F330" s="5" t="s">
        <v>549</v>
      </c>
      <c r="G330" s="5" t="s">
        <v>169</v>
      </c>
      <c r="H330" s="5" t="s">
        <v>169</v>
      </c>
      <c r="I330" s="5" t="s">
        <v>673</v>
      </c>
      <c r="J330" t="s">
        <v>2858</v>
      </c>
      <c r="K330" s="5" t="s">
        <v>2276</v>
      </c>
      <c r="L330" s="5"/>
      <c r="M330" s="387">
        <v>0</v>
      </c>
      <c r="N330" s="387">
        <v>0</v>
      </c>
      <c r="O330" s="387">
        <v>0</v>
      </c>
      <c r="P330" s="387">
        <v>0</v>
      </c>
      <c r="Q330" s="387">
        <v>146</v>
      </c>
      <c r="R330" s="387">
        <v>800</v>
      </c>
      <c r="S330" s="1174">
        <f>Locations[[#This Row],[Ind_Returnees]]+Locations[[#This Row],[Ind_Refugees]]+Locations[[#This Row],[Ind_IDPs]]</f>
        <v>800</v>
      </c>
    </row>
    <row r="331" spans="1:19" s="388" customFormat="1" x14ac:dyDescent="0.3">
      <c r="A331" s="5" t="s">
        <v>533</v>
      </c>
      <c r="B331" s="1430" t="s">
        <v>3449</v>
      </c>
      <c r="C331" s="398" t="s">
        <v>534</v>
      </c>
      <c r="D331" s="5" t="s">
        <v>30</v>
      </c>
      <c r="E331" s="5" t="s">
        <v>3522</v>
      </c>
      <c r="F331" s="5" t="s">
        <v>535</v>
      </c>
      <c r="G331" s="5" t="s">
        <v>163</v>
      </c>
      <c r="H331" s="5" t="s">
        <v>3566</v>
      </c>
      <c r="I331" s="5" t="s">
        <v>713</v>
      </c>
      <c r="J331" t="s">
        <v>716</v>
      </c>
      <c r="K331" s="5" t="s">
        <v>717</v>
      </c>
      <c r="L331" s="5"/>
      <c r="M331" s="387">
        <v>3</v>
      </c>
      <c r="N331" s="387">
        <v>23</v>
      </c>
      <c r="O331" s="387">
        <v>0</v>
      </c>
      <c r="P331" s="387">
        <v>0</v>
      </c>
      <c r="Q331" s="387">
        <v>0</v>
      </c>
      <c r="R331" s="387">
        <v>0</v>
      </c>
      <c r="S331" s="1174">
        <f>Locations[[#This Row],[Ind_Returnees]]+Locations[[#This Row],[Ind_Refugees]]+Locations[[#This Row],[Ind_IDPs]]</f>
        <v>23</v>
      </c>
    </row>
    <row r="332" spans="1:19" s="388" customFormat="1" x14ac:dyDescent="0.3">
      <c r="A332" s="5" t="s">
        <v>533</v>
      </c>
      <c r="B332" s="1430" t="s">
        <v>3449</v>
      </c>
      <c r="C332" s="398" t="s">
        <v>534</v>
      </c>
      <c r="D332" s="5" t="s">
        <v>30</v>
      </c>
      <c r="E332" s="5" t="s">
        <v>3522</v>
      </c>
      <c r="F332" s="5" t="s">
        <v>535</v>
      </c>
      <c r="G332" s="5" t="s">
        <v>163</v>
      </c>
      <c r="H332" s="5" t="s">
        <v>3566</v>
      </c>
      <c r="I332" s="5" t="s">
        <v>713</v>
      </c>
      <c r="J332" t="s">
        <v>714</v>
      </c>
      <c r="K332" s="5" t="s">
        <v>715</v>
      </c>
      <c r="L332" s="5"/>
      <c r="M332" s="387">
        <v>8</v>
      </c>
      <c r="N332" s="387">
        <v>79</v>
      </c>
      <c r="O332" s="387">
        <v>0</v>
      </c>
      <c r="P332" s="387">
        <v>0</v>
      </c>
      <c r="Q332" s="387">
        <v>0</v>
      </c>
      <c r="R332" s="387">
        <v>0</v>
      </c>
      <c r="S332" s="1174">
        <f>Locations[[#This Row],[Ind_Returnees]]+Locations[[#This Row],[Ind_Refugees]]+Locations[[#This Row],[Ind_IDPs]]</f>
        <v>79</v>
      </c>
    </row>
    <row r="333" spans="1:19" s="388" customFormat="1" x14ac:dyDescent="0.3">
      <c r="A333" s="5" t="s">
        <v>533</v>
      </c>
      <c r="B333" s="1430" t="s">
        <v>3449</v>
      </c>
      <c r="C333" s="398" t="s">
        <v>534</v>
      </c>
      <c r="D333" s="5" t="s">
        <v>31</v>
      </c>
      <c r="E333" s="5" t="s">
        <v>31</v>
      </c>
      <c r="F333" s="5" t="s">
        <v>549</v>
      </c>
      <c r="G333" s="5" t="s">
        <v>169</v>
      </c>
      <c r="H333" s="5" t="s">
        <v>169</v>
      </c>
      <c r="I333" s="5" t="s">
        <v>673</v>
      </c>
      <c r="J333" t="s">
        <v>2971</v>
      </c>
      <c r="K333" s="5" t="s">
        <v>2359</v>
      </c>
      <c r="L333" s="5"/>
      <c r="M333" s="387">
        <v>0</v>
      </c>
      <c r="N333" s="387">
        <v>0</v>
      </c>
      <c r="O333" s="387">
        <v>0</v>
      </c>
      <c r="P333" s="387">
        <v>0</v>
      </c>
      <c r="Q333" s="387">
        <v>66</v>
      </c>
      <c r="R333" s="387">
        <v>127</v>
      </c>
      <c r="S333" s="1174">
        <f>Locations[[#This Row],[Ind_Returnees]]+Locations[[#This Row],[Ind_Refugees]]+Locations[[#This Row],[Ind_IDPs]]</f>
        <v>127</v>
      </c>
    </row>
    <row r="334" spans="1:19" s="388" customFormat="1" x14ac:dyDescent="0.3">
      <c r="A334" s="5" t="s">
        <v>533</v>
      </c>
      <c r="B334" s="1430" t="s">
        <v>3449</v>
      </c>
      <c r="C334" s="1090" t="s">
        <v>534</v>
      </c>
      <c r="D334" s="5" t="s">
        <v>31</v>
      </c>
      <c r="E334" s="5" t="s">
        <v>31</v>
      </c>
      <c r="F334" s="5" t="s">
        <v>549</v>
      </c>
      <c r="G334" s="5" t="s">
        <v>169</v>
      </c>
      <c r="H334" s="5" t="s">
        <v>169</v>
      </c>
      <c r="I334" s="5" t="s">
        <v>673</v>
      </c>
      <c r="J334" t="s">
        <v>1641</v>
      </c>
      <c r="K334" s="5" t="s">
        <v>1130</v>
      </c>
      <c r="L334" s="5"/>
      <c r="M334" s="387">
        <v>8</v>
      </c>
      <c r="N334" s="387">
        <v>53</v>
      </c>
      <c r="O334" s="387">
        <v>6</v>
      </c>
      <c r="P334" s="387">
        <v>29</v>
      </c>
      <c r="Q334" s="387">
        <v>0</v>
      </c>
      <c r="R334" s="387">
        <v>0</v>
      </c>
      <c r="S334" s="1174">
        <f>Locations[[#This Row],[Ind_Returnees]]+Locations[[#This Row],[Ind_Refugees]]+Locations[[#This Row],[Ind_IDPs]]</f>
        <v>82</v>
      </c>
    </row>
    <row r="335" spans="1:19" s="388" customFormat="1" x14ac:dyDescent="0.3">
      <c r="A335" s="5" t="s">
        <v>533</v>
      </c>
      <c r="B335" s="1430" t="s">
        <v>3449</v>
      </c>
      <c r="C335" s="398" t="s">
        <v>534</v>
      </c>
      <c r="D335" s="5" t="s">
        <v>31</v>
      </c>
      <c r="E335" s="5" t="s">
        <v>31</v>
      </c>
      <c r="F335" s="5" t="s">
        <v>549</v>
      </c>
      <c r="G335" s="5" t="s">
        <v>169</v>
      </c>
      <c r="H335" s="5" t="s">
        <v>169</v>
      </c>
      <c r="I335" s="5" t="s">
        <v>673</v>
      </c>
      <c r="J335" t="s">
        <v>3202</v>
      </c>
      <c r="K335" s="5" t="s">
        <v>3065</v>
      </c>
      <c r="L335" s="5"/>
      <c r="M335" s="387">
        <v>0</v>
      </c>
      <c r="N335" s="387">
        <v>0</v>
      </c>
      <c r="O335" s="387">
        <v>0</v>
      </c>
      <c r="P335" s="387">
        <v>0</v>
      </c>
      <c r="Q335" s="387">
        <v>64</v>
      </c>
      <c r="R335" s="387">
        <v>500</v>
      </c>
      <c r="S335" s="1174">
        <f>Locations[[#This Row],[Ind_Returnees]]+Locations[[#This Row],[Ind_Refugees]]+Locations[[#This Row],[Ind_IDPs]]</f>
        <v>500</v>
      </c>
    </row>
    <row r="336" spans="1:19" s="388" customFormat="1" x14ac:dyDescent="0.3">
      <c r="A336" s="5" t="s">
        <v>533</v>
      </c>
      <c r="B336" s="1430" t="s">
        <v>3449</v>
      </c>
      <c r="C336" s="1090" t="s">
        <v>534</v>
      </c>
      <c r="D336" s="5" t="s">
        <v>31</v>
      </c>
      <c r="E336" s="5" t="s">
        <v>31</v>
      </c>
      <c r="F336" s="5" t="s">
        <v>549</v>
      </c>
      <c r="G336" s="5" t="s">
        <v>169</v>
      </c>
      <c r="H336" s="5" t="s">
        <v>169</v>
      </c>
      <c r="I336" s="5" t="s">
        <v>673</v>
      </c>
      <c r="J336" t="s">
        <v>2991</v>
      </c>
      <c r="K336" s="5" t="s">
        <v>2357</v>
      </c>
      <c r="L336" s="5"/>
      <c r="M336" s="387">
        <v>0</v>
      </c>
      <c r="N336" s="387">
        <v>0</v>
      </c>
      <c r="O336" s="387">
        <v>0</v>
      </c>
      <c r="P336" s="387">
        <v>0</v>
      </c>
      <c r="Q336" s="387">
        <v>0</v>
      </c>
      <c r="R336" s="387">
        <v>0</v>
      </c>
      <c r="S336" s="1174">
        <f>Locations[[#This Row],[Ind_Returnees]]+Locations[[#This Row],[Ind_Refugees]]+Locations[[#This Row],[Ind_IDPs]]</f>
        <v>0</v>
      </c>
    </row>
    <row r="337" spans="1:19" s="388" customFormat="1" x14ac:dyDescent="0.3">
      <c r="A337" s="5" t="s">
        <v>533</v>
      </c>
      <c r="B337" s="1430" t="s">
        <v>3449</v>
      </c>
      <c r="C337" s="1090" t="s">
        <v>534</v>
      </c>
      <c r="D337" s="5" t="s">
        <v>31</v>
      </c>
      <c r="E337" s="5" t="s">
        <v>31</v>
      </c>
      <c r="F337" s="5" t="s">
        <v>549</v>
      </c>
      <c r="G337" s="5" t="s">
        <v>2797</v>
      </c>
      <c r="H337" s="5" t="s">
        <v>3898</v>
      </c>
      <c r="I337" s="5" t="s">
        <v>767</v>
      </c>
      <c r="J337" t="s">
        <v>1527</v>
      </c>
      <c r="K337" s="5" t="s">
        <v>1424</v>
      </c>
      <c r="L337" s="5"/>
      <c r="M337" s="387">
        <v>90</v>
      </c>
      <c r="N337" s="387">
        <v>558</v>
      </c>
      <c r="O337" s="387">
        <v>5</v>
      </c>
      <c r="P337" s="387">
        <v>18</v>
      </c>
      <c r="Q337" s="387">
        <v>0</v>
      </c>
      <c r="R337" s="387">
        <v>0</v>
      </c>
      <c r="S337" s="1174">
        <f>Locations[[#This Row],[Ind_Returnees]]+Locations[[#This Row],[Ind_Refugees]]+Locations[[#This Row],[Ind_IDPs]]</f>
        <v>576</v>
      </c>
    </row>
    <row r="338" spans="1:19" s="388" customFormat="1" x14ac:dyDescent="0.3">
      <c r="A338" s="5" t="s">
        <v>533</v>
      </c>
      <c r="B338" s="1430" t="s">
        <v>3449</v>
      </c>
      <c r="C338" s="398" t="s">
        <v>534</v>
      </c>
      <c r="D338" s="5" t="s">
        <v>31</v>
      </c>
      <c r="E338" s="5" t="s">
        <v>31</v>
      </c>
      <c r="F338" s="5" t="s">
        <v>549</v>
      </c>
      <c r="G338" s="1090" t="s">
        <v>165</v>
      </c>
      <c r="H338" s="1090" t="s">
        <v>165</v>
      </c>
      <c r="I338" s="5" t="s">
        <v>881</v>
      </c>
      <c r="J338" t="s">
        <v>2030</v>
      </c>
      <c r="K338" s="5" t="s">
        <v>2035</v>
      </c>
      <c r="L338" s="5"/>
      <c r="M338" s="387">
        <v>0</v>
      </c>
      <c r="N338" s="387">
        <v>0</v>
      </c>
      <c r="O338" s="387">
        <v>0</v>
      </c>
      <c r="P338" s="387">
        <v>0</v>
      </c>
      <c r="Q338" s="387">
        <v>0</v>
      </c>
      <c r="R338" s="387">
        <v>0</v>
      </c>
      <c r="S338" s="1174">
        <f>Locations[[#This Row],[Ind_Returnees]]+Locations[[#This Row],[Ind_Refugees]]+Locations[[#This Row],[Ind_IDPs]]</f>
        <v>0</v>
      </c>
    </row>
    <row r="339" spans="1:19" s="388" customFormat="1" x14ac:dyDescent="0.3">
      <c r="A339" s="5" t="s">
        <v>533</v>
      </c>
      <c r="B339" s="1430" t="s">
        <v>3449</v>
      </c>
      <c r="C339" s="398" t="s">
        <v>534</v>
      </c>
      <c r="D339" s="5" t="s">
        <v>31</v>
      </c>
      <c r="E339" s="5" t="s">
        <v>31</v>
      </c>
      <c r="F339" s="5" t="s">
        <v>549</v>
      </c>
      <c r="G339" s="1144" t="s">
        <v>171</v>
      </c>
      <c r="H339" s="1144" t="s">
        <v>171</v>
      </c>
      <c r="I339" s="5" t="s">
        <v>634</v>
      </c>
      <c r="J339" t="s">
        <v>1753</v>
      </c>
      <c r="K339" s="5" t="s">
        <v>1300</v>
      </c>
      <c r="L339" s="5"/>
      <c r="M339" s="387">
        <v>9</v>
      </c>
      <c r="N339" s="387">
        <v>79</v>
      </c>
      <c r="O339" s="387">
        <v>0</v>
      </c>
      <c r="P339" s="387">
        <v>0</v>
      </c>
      <c r="Q339" s="387">
        <v>0</v>
      </c>
      <c r="R339" s="387">
        <v>0</v>
      </c>
      <c r="S339" s="1174">
        <f>Locations[[#This Row],[Ind_Returnees]]+Locations[[#This Row],[Ind_Refugees]]+Locations[[#This Row],[Ind_IDPs]]</f>
        <v>79</v>
      </c>
    </row>
    <row r="340" spans="1:19" s="388" customFormat="1" x14ac:dyDescent="0.3">
      <c r="A340" s="5" t="s">
        <v>533</v>
      </c>
      <c r="B340" s="1430" t="s">
        <v>3449</v>
      </c>
      <c r="C340" s="1090" t="s">
        <v>534</v>
      </c>
      <c r="D340" s="5" t="s">
        <v>31</v>
      </c>
      <c r="E340" s="5" t="s">
        <v>31</v>
      </c>
      <c r="F340" s="5" t="s">
        <v>549</v>
      </c>
      <c r="G340" s="5" t="s">
        <v>171</v>
      </c>
      <c r="H340" s="5" t="s">
        <v>171</v>
      </c>
      <c r="I340" s="5" t="s">
        <v>634</v>
      </c>
      <c r="J340" t="s">
        <v>1963</v>
      </c>
      <c r="K340" s="5" t="s">
        <v>975</v>
      </c>
      <c r="L340" s="5"/>
      <c r="M340" s="387">
        <v>56</v>
      </c>
      <c r="N340" s="387">
        <v>200</v>
      </c>
      <c r="O340" s="387">
        <v>0</v>
      </c>
      <c r="P340" s="387">
        <v>0</v>
      </c>
      <c r="Q340" s="387">
        <v>0</v>
      </c>
      <c r="R340" s="387">
        <v>0</v>
      </c>
      <c r="S340" s="1174">
        <f>Locations[[#This Row],[Ind_Returnees]]+Locations[[#This Row],[Ind_Refugees]]+Locations[[#This Row],[Ind_IDPs]]</f>
        <v>200</v>
      </c>
    </row>
    <row r="341" spans="1:19" s="388" customFormat="1" x14ac:dyDescent="0.3">
      <c r="A341" s="5" t="s">
        <v>533</v>
      </c>
      <c r="B341" s="1430" t="s">
        <v>3449</v>
      </c>
      <c r="C341" s="398" t="s">
        <v>534</v>
      </c>
      <c r="D341" s="5" t="s">
        <v>30</v>
      </c>
      <c r="E341" s="5" t="s">
        <v>3522</v>
      </c>
      <c r="F341" s="5" t="s">
        <v>535</v>
      </c>
      <c r="G341" s="5" t="s">
        <v>159</v>
      </c>
      <c r="H341" s="5" t="s">
        <v>159</v>
      </c>
      <c r="I341" s="5" t="s">
        <v>574</v>
      </c>
      <c r="J341" t="s">
        <v>594</v>
      </c>
      <c r="K341" s="5" t="s">
        <v>595</v>
      </c>
      <c r="L341" s="5"/>
      <c r="M341" s="387">
        <v>0</v>
      </c>
      <c r="N341" s="387">
        <v>0</v>
      </c>
      <c r="O341" s="387">
        <v>0</v>
      </c>
      <c r="P341" s="387">
        <v>0</v>
      </c>
      <c r="Q341" s="387">
        <v>0</v>
      </c>
      <c r="R341" s="387">
        <v>0</v>
      </c>
      <c r="S341" s="1174">
        <f>Locations[[#This Row],[Ind_Returnees]]+Locations[[#This Row],[Ind_Refugees]]+Locations[[#This Row],[Ind_IDPs]]</f>
        <v>0</v>
      </c>
    </row>
    <row r="342" spans="1:19" s="388" customFormat="1" x14ac:dyDescent="0.3">
      <c r="A342" s="5" t="s">
        <v>533</v>
      </c>
      <c r="B342" s="1430" t="s">
        <v>3449</v>
      </c>
      <c r="C342" s="398" t="s">
        <v>534</v>
      </c>
      <c r="D342" s="5" t="s">
        <v>30</v>
      </c>
      <c r="E342" s="5" t="s">
        <v>3522</v>
      </c>
      <c r="F342" s="5" t="s">
        <v>535</v>
      </c>
      <c r="G342" s="5" t="s">
        <v>159</v>
      </c>
      <c r="H342" s="5" t="s">
        <v>159</v>
      </c>
      <c r="I342" s="5" t="s">
        <v>574</v>
      </c>
      <c r="J342" t="s">
        <v>592</v>
      </c>
      <c r="K342" s="5" t="s">
        <v>593</v>
      </c>
      <c r="L342" s="5"/>
      <c r="M342" s="387">
        <v>2</v>
      </c>
      <c r="N342" s="387">
        <v>11</v>
      </c>
      <c r="O342" s="387">
        <v>0</v>
      </c>
      <c r="P342" s="387">
        <v>0</v>
      </c>
      <c r="Q342" s="387">
        <v>0</v>
      </c>
      <c r="R342" s="387">
        <v>0</v>
      </c>
      <c r="S342" s="1174">
        <f>Locations[[#This Row],[Ind_Returnees]]+Locations[[#This Row],[Ind_Refugees]]+Locations[[#This Row],[Ind_IDPs]]</f>
        <v>11</v>
      </c>
    </row>
    <row r="343" spans="1:19" s="388" customFormat="1" x14ac:dyDescent="0.3">
      <c r="A343" s="5" t="s">
        <v>533</v>
      </c>
      <c r="B343" s="1430" t="s">
        <v>3449</v>
      </c>
      <c r="C343" s="398" t="s">
        <v>534</v>
      </c>
      <c r="D343" s="5" t="s">
        <v>30</v>
      </c>
      <c r="E343" s="5" t="s">
        <v>3522</v>
      </c>
      <c r="F343" s="5" t="s">
        <v>535</v>
      </c>
      <c r="G343" s="5" t="s">
        <v>159</v>
      </c>
      <c r="H343" s="5" t="s">
        <v>159</v>
      </c>
      <c r="I343" s="5" t="s">
        <v>574</v>
      </c>
      <c r="J343" t="s">
        <v>822</v>
      </c>
      <c r="K343" s="5" t="s">
        <v>823</v>
      </c>
      <c r="L343" s="5"/>
      <c r="M343" s="387">
        <v>31</v>
      </c>
      <c r="N343" s="387">
        <v>166</v>
      </c>
      <c r="O343" s="387">
        <v>0</v>
      </c>
      <c r="P343" s="387">
        <v>0</v>
      </c>
      <c r="Q343" s="387">
        <v>0</v>
      </c>
      <c r="R343" s="387">
        <v>0</v>
      </c>
      <c r="S343" s="1174">
        <f>Locations[[#This Row],[Ind_Returnees]]+Locations[[#This Row],[Ind_Refugees]]+Locations[[#This Row],[Ind_IDPs]]</f>
        <v>166</v>
      </c>
    </row>
    <row r="344" spans="1:19" s="388" customFormat="1" x14ac:dyDescent="0.3">
      <c r="A344" s="5" t="s">
        <v>533</v>
      </c>
      <c r="B344" s="1430" t="s">
        <v>3449</v>
      </c>
      <c r="C344" s="398" t="s">
        <v>534</v>
      </c>
      <c r="D344" s="5" t="s">
        <v>32</v>
      </c>
      <c r="E344" s="5" t="s">
        <v>32</v>
      </c>
      <c r="F344" s="5" t="s">
        <v>542</v>
      </c>
      <c r="G344" s="5" t="s">
        <v>181</v>
      </c>
      <c r="H344" s="5" t="s">
        <v>181</v>
      </c>
      <c r="I344" s="5" t="s">
        <v>1661</v>
      </c>
      <c r="J344" t="s">
        <v>1669</v>
      </c>
      <c r="K344" s="5" t="s">
        <v>1670</v>
      </c>
      <c r="L344" s="5"/>
      <c r="M344" s="387">
        <v>32</v>
      </c>
      <c r="N344" s="387">
        <v>165</v>
      </c>
      <c r="O344" s="387">
        <v>0</v>
      </c>
      <c r="P344" s="387">
        <v>0</v>
      </c>
      <c r="Q344" s="387">
        <v>94</v>
      </c>
      <c r="R344" s="387">
        <v>465</v>
      </c>
      <c r="S344" s="1174">
        <f>Locations[[#This Row],[Ind_Returnees]]+Locations[[#This Row],[Ind_Refugees]]+Locations[[#This Row],[Ind_IDPs]]</f>
        <v>630</v>
      </c>
    </row>
    <row r="345" spans="1:19" s="388" customFormat="1" x14ac:dyDescent="0.3">
      <c r="A345" s="5" t="s">
        <v>533</v>
      </c>
      <c r="B345" s="1430" t="s">
        <v>3449</v>
      </c>
      <c r="C345" s="1090" t="s">
        <v>534</v>
      </c>
      <c r="D345" s="5" t="s">
        <v>31</v>
      </c>
      <c r="E345" s="5" t="s">
        <v>31</v>
      </c>
      <c r="F345" s="5" t="s">
        <v>549</v>
      </c>
      <c r="G345" s="5" t="s">
        <v>171</v>
      </c>
      <c r="H345" s="5" t="s">
        <v>171</v>
      </c>
      <c r="I345" s="5" t="s">
        <v>634</v>
      </c>
      <c r="J345" t="s">
        <v>859</v>
      </c>
      <c r="K345" s="5" t="s">
        <v>1799</v>
      </c>
      <c r="L345" s="5"/>
      <c r="M345" s="387">
        <v>27</v>
      </c>
      <c r="N345" s="387">
        <v>90</v>
      </c>
      <c r="O345" s="387">
        <v>0</v>
      </c>
      <c r="P345" s="387">
        <v>0</v>
      </c>
      <c r="Q345" s="387">
        <v>0</v>
      </c>
      <c r="R345" s="387">
        <v>0</v>
      </c>
      <c r="S345" s="1174">
        <f>Locations[[#This Row],[Ind_Returnees]]+Locations[[#This Row],[Ind_Refugees]]+Locations[[#This Row],[Ind_IDPs]]</f>
        <v>90</v>
      </c>
    </row>
    <row r="346" spans="1:19" s="388" customFormat="1" x14ac:dyDescent="0.3">
      <c r="A346" s="5" t="s">
        <v>533</v>
      </c>
      <c r="B346" s="1430" t="s">
        <v>3449</v>
      </c>
      <c r="C346" s="398" t="s">
        <v>534</v>
      </c>
      <c r="D346" s="5" t="s">
        <v>31</v>
      </c>
      <c r="E346" s="5" t="s">
        <v>31</v>
      </c>
      <c r="F346" s="5" t="s">
        <v>549</v>
      </c>
      <c r="G346" s="5" t="s">
        <v>164</v>
      </c>
      <c r="H346" s="5" t="s">
        <v>164</v>
      </c>
      <c r="I346" s="5" t="s">
        <v>748</v>
      </c>
      <c r="J346" t="s">
        <v>907</v>
      </c>
      <c r="K346" s="5" t="s">
        <v>908</v>
      </c>
      <c r="L346" s="5"/>
      <c r="M346" s="387">
        <v>7</v>
      </c>
      <c r="N346" s="387">
        <v>35</v>
      </c>
      <c r="O346" s="387">
        <v>2</v>
      </c>
      <c r="P346" s="387">
        <v>8</v>
      </c>
      <c r="Q346" s="387">
        <v>0</v>
      </c>
      <c r="R346" s="387">
        <v>0</v>
      </c>
      <c r="S346" s="1174">
        <f>Locations[[#This Row],[Ind_Returnees]]+Locations[[#This Row],[Ind_Refugees]]+Locations[[#This Row],[Ind_IDPs]]</f>
        <v>43</v>
      </c>
    </row>
    <row r="347" spans="1:19" s="388" customFormat="1" x14ac:dyDescent="0.3">
      <c r="A347" s="5" t="s">
        <v>533</v>
      </c>
      <c r="B347" s="1430" t="s">
        <v>3449</v>
      </c>
      <c r="C347" s="1090" t="s">
        <v>534</v>
      </c>
      <c r="D347" s="5" t="s">
        <v>31</v>
      </c>
      <c r="E347" s="5" t="s">
        <v>31</v>
      </c>
      <c r="F347" s="5" t="s">
        <v>549</v>
      </c>
      <c r="G347" s="5" t="s">
        <v>165</v>
      </c>
      <c r="H347" s="5" t="s">
        <v>165</v>
      </c>
      <c r="I347" s="5" t="s">
        <v>881</v>
      </c>
      <c r="J347" t="s">
        <v>2024</v>
      </c>
      <c r="K347" s="5" t="s">
        <v>1334</v>
      </c>
      <c r="L347" s="5"/>
      <c r="M347" s="387">
        <v>0</v>
      </c>
      <c r="N347" s="387">
        <v>0</v>
      </c>
      <c r="O347" s="387">
        <v>0</v>
      </c>
      <c r="P347" s="387">
        <v>0</v>
      </c>
      <c r="Q347" s="387">
        <v>30</v>
      </c>
      <c r="R347" s="387">
        <v>70</v>
      </c>
      <c r="S347" s="1174">
        <f>Locations[[#This Row],[Ind_Returnees]]+Locations[[#This Row],[Ind_Refugees]]+Locations[[#This Row],[Ind_IDPs]]</f>
        <v>70</v>
      </c>
    </row>
    <row r="348" spans="1:19" s="388" customFormat="1" x14ac:dyDescent="0.3">
      <c r="A348" s="5" t="s">
        <v>533</v>
      </c>
      <c r="B348" s="1430" t="s">
        <v>3449</v>
      </c>
      <c r="C348" s="1090" t="s">
        <v>534</v>
      </c>
      <c r="D348" s="5" t="s">
        <v>31</v>
      </c>
      <c r="E348" s="5" t="s">
        <v>31</v>
      </c>
      <c r="F348" s="5" t="s">
        <v>549</v>
      </c>
      <c r="G348" s="1144" t="s">
        <v>171</v>
      </c>
      <c r="H348" s="1144" t="s">
        <v>171</v>
      </c>
      <c r="I348" s="5" t="s">
        <v>634</v>
      </c>
      <c r="J348" t="s">
        <v>1339</v>
      </c>
      <c r="K348" s="5" t="s">
        <v>848</v>
      </c>
      <c r="L348" s="5"/>
      <c r="M348" s="387">
        <v>27</v>
      </c>
      <c r="N348" s="387">
        <v>123</v>
      </c>
      <c r="O348" s="387">
        <v>3</v>
      </c>
      <c r="P348" s="387">
        <v>21</v>
      </c>
      <c r="Q348" s="387">
        <v>0</v>
      </c>
      <c r="R348" s="387">
        <v>0</v>
      </c>
      <c r="S348" s="1174">
        <f>Locations[[#This Row],[Ind_Returnees]]+Locations[[#This Row],[Ind_Refugees]]+Locations[[#This Row],[Ind_IDPs]]</f>
        <v>144</v>
      </c>
    </row>
    <row r="349" spans="1:19" s="388" customFormat="1" x14ac:dyDescent="0.3">
      <c r="A349" s="5" t="s">
        <v>533</v>
      </c>
      <c r="B349" s="1430" t="s">
        <v>3449</v>
      </c>
      <c r="C349" s="398" t="s">
        <v>534</v>
      </c>
      <c r="D349" s="5" t="s">
        <v>30</v>
      </c>
      <c r="E349" s="5" t="s">
        <v>3522</v>
      </c>
      <c r="F349" s="5" t="s">
        <v>535</v>
      </c>
      <c r="G349" s="5" t="s">
        <v>160</v>
      </c>
      <c r="H349" s="5" t="s">
        <v>3528</v>
      </c>
      <c r="I349" s="5" t="s">
        <v>555</v>
      </c>
      <c r="J349" t="s">
        <v>630</v>
      </c>
      <c r="K349" s="5" t="s">
        <v>631</v>
      </c>
      <c r="L349" s="5"/>
      <c r="M349" s="387">
        <v>44</v>
      </c>
      <c r="N349" s="387">
        <v>374</v>
      </c>
      <c r="O349" s="387">
        <v>0</v>
      </c>
      <c r="P349" s="387">
        <v>0</v>
      </c>
      <c r="Q349" s="387">
        <v>0</v>
      </c>
      <c r="R349" s="387">
        <v>0</v>
      </c>
      <c r="S349" s="1174">
        <f>Locations[[#This Row],[Ind_Returnees]]+Locations[[#This Row],[Ind_Refugees]]+Locations[[#This Row],[Ind_IDPs]]</f>
        <v>374</v>
      </c>
    </row>
    <row r="350" spans="1:19" s="388" customFormat="1" x14ac:dyDescent="0.3">
      <c r="A350" s="5" t="s">
        <v>533</v>
      </c>
      <c r="B350" s="1430" t="s">
        <v>3449</v>
      </c>
      <c r="C350" s="398" t="s">
        <v>534</v>
      </c>
      <c r="D350" s="5" t="s">
        <v>30</v>
      </c>
      <c r="E350" s="5" t="s">
        <v>3522</v>
      </c>
      <c r="F350" s="5" t="s">
        <v>535</v>
      </c>
      <c r="G350" s="5" t="s">
        <v>160</v>
      </c>
      <c r="H350" s="5" t="s">
        <v>3528</v>
      </c>
      <c r="I350" s="5" t="s">
        <v>555</v>
      </c>
      <c r="J350" t="s">
        <v>632</v>
      </c>
      <c r="K350" s="5" t="s">
        <v>633</v>
      </c>
      <c r="L350" s="5"/>
      <c r="M350" s="387">
        <v>119</v>
      </c>
      <c r="N350" s="387">
        <v>831</v>
      </c>
      <c r="O350" s="387">
        <v>0</v>
      </c>
      <c r="P350" s="387">
        <v>0</v>
      </c>
      <c r="Q350" s="387">
        <v>0</v>
      </c>
      <c r="R350" s="387">
        <v>0</v>
      </c>
      <c r="S350" s="1174">
        <f>Locations[[#This Row],[Ind_Returnees]]+Locations[[#This Row],[Ind_Refugees]]+Locations[[#This Row],[Ind_IDPs]]</f>
        <v>831</v>
      </c>
    </row>
    <row r="351" spans="1:19" s="388" customFormat="1" x14ac:dyDescent="0.3">
      <c r="A351" s="5" t="s">
        <v>533</v>
      </c>
      <c r="B351" s="1430" t="s">
        <v>3449</v>
      </c>
      <c r="C351" s="1090" t="s">
        <v>534</v>
      </c>
      <c r="D351" s="5" t="s">
        <v>30</v>
      </c>
      <c r="E351" s="5" t="s">
        <v>3522</v>
      </c>
      <c r="F351" s="5" t="s">
        <v>535</v>
      </c>
      <c r="G351" s="5" t="s">
        <v>160</v>
      </c>
      <c r="H351" s="5" t="s">
        <v>3528</v>
      </c>
      <c r="I351" s="5" t="s">
        <v>555</v>
      </c>
      <c r="J351" t="s">
        <v>639</v>
      </c>
      <c r="K351" s="5" t="s">
        <v>690</v>
      </c>
      <c r="L351" s="5"/>
      <c r="M351" s="387">
        <v>20</v>
      </c>
      <c r="N351" s="387">
        <v>252</v>
      </c>
      <c r="O351" s="387">
        <v>0</v>
      </c>
      <c r="P351" s="387">
        <v>0</v>
      </c>
      <c r="Q351" s="387">
        <v>0</v>
      </c>
      <c r="R351" s="387">
        <v>0</v>
      </c>
      <c r="S351" s="1174">
        <f>Locations[[#This Row],[Ind_Returnees]]+Locations[[#This Row],[Ind_Refugees]]+Locations[[#This Row],[Ind_IDPs]]</f>
        <v>252</v>
      </c>
    </row>
    <row r="352" spans="1:19" s="388" customFormat="1" x14ac:dyDescent="0.3">
      <c r="A352" s="5" t="s">
        <v>533</v>
      </c>
      <c r="B352" s="1430" t="s">
        <v>3449</v>
      </c>
      <c r="C352" s="1090" t="s">
        <v>534</v>
      </c>
      <c r="D352" s="5" t="s">
        <v>32</v>
      </c>
      <c r="E352" s="5" t="s">
        <v>32</v>
      </c>
      <c r="F352" s="5" t="s">
        <v>542</v>
      </c>
      <c r="G352" s="5" t="s">
        <v>177</v>
      </c>
      <c r="H352" s="5" t="s">
        <v>177</v>
      </c>
      <c r="I352" s="5" t="s">
        <v>777</v>
      </c>
      <c r="J352" t="s">
        <v>1040</v>
      </c>
      <c r="K352" s="5" t="s">
        <v>2287</v>
      </c>
      <c r="L352" s="5"/>
      <c r="M352" s="387">
        <v>0</v>
      </c>
      <c r="N352" s="387">
        <v>0</v>
      </c>
      <c r="O352" s="387">
        <v>0</v>
      </c>
      <c r="P352" s="387">
        <v>0</v>
      </c>
      <c r="Q352" s="387">
        <v>59</v>
      </c>
      <c r="R352" s="387">
        <v>185</v>
      </c>
      <c r="S352" s="1174">
        <f>Locations[[#This Row],[Ind_Returnees]]+Locations[[#This Row],[Ind_Refugees]]+Locations[[#This Row],[Ind_IDPs]]</f>
        <v>185</v>
      </c>
    </row>
    <row r="353" spans="1:19" s="388" customFormat="1" x14ac:dyDescent="0.3">
      <c r="A353" s="5" t="s">
        <v>533</v>
      </c>
      <c r="B353" s="1430" t="s">
        <v>3449</v>
      </c>
      <c r="C353" s="398" t="s">
        <v>534</v>
      </c>
      <c r="D353" s="5" t="s">
        <v>31</v>
      </c>
      <c r="E353" s="5" t="s">
        <v>31</v>
      </c>
      <c r="F353" s="5" t="s">
        <v>549</v>
      </c>
      <c r="G353" s="5" t="s">
        <v>171</v>
      </c>
      <c r="H353" s="5" t="s">
        <v>171</v>
      </c>
      <c r="I353" s="5" t="s">
        <v>634</v>
      </c>
      <c r="J353" t="s">
        <v>1299</v>
      </c>
      <c r="K353" s="5" t="s">
        <v>1975</v>
      </c>
      <c r="L353" s="5"/>
      <c r="M353" s="387">
        <v>29</v>
      </c>
      <c r="N353" s="387">
        <v>85</v>
      </c>
      <c r="O353" s="387">
        <v>0</v>
      </c>
      <c r="P353" s="387">
        <v>0</v>
      </c>
      <c r="Q353" s="387">
        <v>0</v>
      </c>
      <c r="R353" s="387">
        <v>0</v>
      </c>
      <c r="S353" s="1174">
        <f>Locations[[#This Row],[Ind_Returnees]]+Locations[[#This Row],[Ind_Refugees]]+Locations[[#This Row],[Ind_IDPs]]</f>
        <v>85</v>
      </c>
    </row>
    <row r="354" spans="1:19" s="388" customFormat="1" x14ac:dyDescent="0.3">
      <c r="A354" s="5" t="s">
        <v>533</v>
      </c>
      <c r="B354" s="1430" t="s">
        <v>3449</v>
      </c>
      <c r="C354" s="398" t="s">
        <v>534</v>
      </c>
      <c r="D354" s="5" t="s">
        <v>34</v>
      </c>
      <c r="E354" s="5" t="s">
        <v>34</v>
      </c>
      <c r="F354" s="5" t="s">
        <v>539</v>
      </c>
      <c r="G354" s="5" t="s">
        <v>188</v>
      </c>
      <c r="H354" s="5" t="s">
        <v>188</v>
      </c>
      <c r="I354" s="5" t="s">
        <v>546</v>
      </c>
      <c r="J354" t="s">
        <v>1497</v>
      </c>
      <c r="K354" s="5" t="s">
        <v>1508</v>
      </c>
      <c r="L354" s="5"/>
      <c r="M354" s="387">
        <v>302</v>
      </c>
      <c r="N354" s="387">
        <v>1799</v>
      </c>
      <c r="O354" s="387">
        <v>0</v>
      </c>
      <c r="P354" s="387">
        <v>0</v>
      </c>
      <c r="Q354" s="387">
        <v>113</v>
      </c>
      <c r="R354" s="387">
        <v>995</v>
      </c>
      <c r="S354" s="1174">
        <f>Locations[[#This Row],[Ind_Returnees]]+Locations[[#This Row],[Ind_Refugees]]+Locations[[#This Row],[Ind_IDPs]]</f>
        <v>2794</v>
      </c>
    </row>
    <row r="355" spans="1:19" s="388" customFormat="1" x14ac:dyDescent="0.3">
      <c r="A355" s="5" t="s">
        <v>533</v>
      </c>
      <c r="B355" s="1430" t="s">
        <v>3449</v>
      </c>
      <c r="C355" s="398" t="s">
        <v>534</v>
      </c>
      <c r="D355" s="5" t="s">
        <v>31</v>
      </c>
      <c r="E355" s="5" t="s">
        <v>31</v>
      </c>
      <c r="F355" s="5" t="s">
        <v>549</v>
      </c>
      <c r="G355" s="5" t="s">
        <v>171</v>
      </c>
      <c r="H355" s="5" t="s">
        <v>171</v>
      </c>
      <c r="I355" s="5" t="s">
        <v>634</v>
      </c>
      <c r="J355" t="s">
        <v>926</v>
      </c>
      <c r="K355" s="5" t="s">
        <v>919</v>
      </c>
      <c r="L355" s="5"/>
      <c r="M355" s="387">
        <v>0</v>
      </c>
      <c r="N355" s="387">
        <v>0</v>
      </c>
      <c r="O355" s="387">
        <v>0</v>
      </c>
      <c r="P355" s="387">
        <v>0</v>
      </c>
      <c r="Q355" s="387">
        <v>0</v>
      </c>
      <c r="R355" s="387">
        <v>0</v>
      </c>
      <c r="S355" s="1174">
        <f>Locations[[#This Row],[Ind_Returnees]]+Locations[[#This Row],[Ind_Refugees]]+Locations[[#This Row],[Ind_IDPs]]</f>
        <v>0</v>
      </c>
    </row>
    <row r="356" spans="1:19" s="388" customFormat="1" x14ac:dyDescent="0.3">
      <c r="A356" s="5" t="s">
        <v>533</v>
      </c>
      <c r="B356" s="1430" t="s">
        <v>3449</v>
      </c>
      <c r="C356" s="1090" t="s">
        <v>534</v>
      </c>
      <c r="D356" s="5" t="s">
        <v>30</v>
      </c>
      <c r="E356" s="5" t="s">
        <v>3522</v>
      </c>
      <c r="F356" s="5" t="s">
        <v>535</v>
      </c>
      <c r="G356" s="5" t="s">
        <v>161</v>
      </c>
      <c r="H356" s="5" t="s">
        <v>3523</v>
      </c>
      <c r="I356" s="5" t="s">
        <v>587</v>
      </c>
      <c r="J356" t="s">
        <v>628</v>
      </c>
      <c r="K356" s="5" t="s">
        <v>629</v>
      </c>
      <c r="L356" s="5"/>
      <c r="M356" s="387">
        <v>75</v>
      </c>
      <c r="N356" s="387">
        <v>440</v>
      </c>
      <c r="O356" s="387">
        <v>0</v>
      </c>
      <c r="P356" s="387">
        <v>0</v>
      </c>
      <c r="Q356" s="387">
        <v>0</v>
      </c>
      <c r="R356" s="387">
        <v>0</v>
      </c>
      <c r="S356" s="1174">
        <f>Locations[[#This Row],[Ind_Returnees]]+Locations[[#This Row],[Ind_Refugees]]+Locations[[#This Row],[Ind_IDPs]]</f>
        <v>440</v>
      </c>
    </row>
    <row r="357" spans="1:19" s="388" customFormat="1" x14ac:dyDescent="0.3">
      <c r="A357" s="5" t="s">
        <v>533</v>
      </c>
      <c r="B357" s="1430" t="s">
        <v>3449</v>
      </c>
      <c r="C357" s="398" t="s">
        <v>534</v>
      </c>
      <c r="D357" s="5" t="s">
        <v>31</v>
      </c>
      <c r="E357" s="5" t="s">
        <v>31</v>
      </c>
      <c r="F357" s="5" t="s">
        <v>549</v>
      </c>
      <c r="G357" s="5" t="s">
        <v>171</v>
      </c>
      <c r="H357" s="5" t="s">
        <v>171</v>
      </c>
      <c r="I357" s="5" t="s">
        <v>634</v>
      </c>
      <c r="J357" t="s">
        <v>2620</v>
      </c>
      <c r="K357" s="5" t="s">
        <v>2203</v>
      </c>
      <c r="L357" s="5"/>
      <c r="M357" s="387">
        <v>6</v>
      </c>
      <c r="N357" s="387">
        <v>38</v>
      </c>
      <c r="O357" s="387">
        <v>0</v>
      </c>
      <c r="P357" s="387">
        <v>0</v>
      </c>
      <c r="Q357" s="387">
        <v>0</v>
      </c>
      <c r="R357" s="387">
        <v>0</v>
      </c>
      <c r="S357" s="1174">
        <f>Locations[[#This Row],[Ind_Returnees]]+Locations[[#This Row],[Ind_Refugees]]+Locations[[#This Row],[Ind_IDPs]]</f>
        <v>38</v>
      </c>
    </row>
    <row r="358" spans="1:19" s="388" customFormat="1" x14ac:dyDescent="0.3">
      <c r="A358" s="5" t="s">
        <v>533</v>
      </c>
      <c r="B358" s="1430" t="s">
        <v>3449</v>
      </c>
      <c r="C358" s="398" t="s">
        <v>534</v>
      </c>
      <c r="D358" s="5" t="s">
        <v>31</v>
      </c>
      <c r="E358" s="5" t="s">
        <v>31</v>
      </c>
      <c r="F358" s="5" t="s">
        <v>549</v>
      </c>
      <c r="G358" s="5" t="s">
        <v>164</v>
      </c>
      <c r="H358" s="5" t="s">
        <v>164</v>
      </c>
      <c r="I358" s="5" t="s">
        <v>748</v>
      </c>
      <c r="J358" t="s">
        <v>1347</v>
      </c>
      <c r="K358" s="5" t="s">
        <v>1348</v>
      </c>
      <c r="L358" s="5"/>
      <c r="M358" s="387">
        <v>20</v>
      </c>
      <c r="N358" s="387">
        <v>35</v>
      </c>
      <c r="O358" s="387">
        <v>10</v>
      </c>
      <c r="P358" s="387">
        <v>120</v>
      </c>
      <c r="Q358" s="387">
        <v>35</v>
      </c>
      <c r="R358" s="387">
        <v>40</v>
      </c>
      <c r="S358" s="1174">
        <f>Locations[[#This Row],[Ind_Returnees]]+Locations[[#This Row],[Ind_Refugees]]+Locations[[#This Row],[Ind_IDPs]]</f>
        <v>195</v>
      </c>
    </row>
    <row r="359" spans="1:19" s="388" customFormat="1" x14ac:dyDescent="0.3">
      <c r="A359" s="5" t="s">
        <v>533</v>
      </c>
      <c r="B359" s="1430" t="s">
        <v>3449</v>
      </c>
      <c r="C359" s="398" t="s">
        <v>534</v>
      </c>
      <c r="D359" s="5" t="s">
        <v>31</v>
      </c>
      <c r="E359" s="5" t="s">
        <v>31</v>
      </c>
      <c r="F359" s="5" t="s">
        <v>549</v>
      </c>
      <c r="G359" s="5" t="s">
        <v>169</v>
      </c>
      <c r="H359" s="5" t="s">
        <v>169</v>
      </c>
      <c r="I359" s="5" t="s">
        <v>673</v>
      </c>
      <c r="J359" t="s">
        <v>1562</v>
      </c>
      <c r="K359" s="5" t="s">
        <v>2571</v>
      </c>
      <c r="L359" s="5"/>
      <c r="M359" s="387">
        <v>29</v>
      </c>
      <c r="N359" s="387">
        <v>137</v>
      </c>
      <c r="O359" s="387">
        <v>0</v>
      </c>
      <c r="P359" s="387">
        <v>0</v>
      </c>
      <c r="Q359" s="387">
        <v>32</v>
      </c>
      <c r="R359" s="387">
        <v>315</v>
      </c>
      <c r="S359" s="1174">
        <f>Locations[[#This Row],[Ind_Returnees]]+Locations[[#This Row],[Ind_Refugees]]+Locations[[#This Row],[Ind_IDPs]]</f>
        <v>452</v>
      </c>
    </row>
    <row r="360" spans="1:19" s="388" customFormat="1" x14ac:dyDescent="0.3">
      <c r="A360" s="5" t="s">
        <v>533</v>
      </c>
      <c r="B360" s="1430" t="s">
        <v>3449</v>
      </c>
      <c r="C360" s="398" t="s">
        <v>534</v>
      </c>
      <c r="D360" s="5" t="s">
        <v>31</v>
      </c>
      <c r="E360" s="5" t="s">
        <v>31</v>
      </c>
      <c r="F360" s="5" t="s">
        <v>549</v>
      </c>
      <c r="G360" s="5" t="s">
        <v>171</v>
      </c>
      <c r="H360" s="5" t="s">
        <v>171</v>
      </c>
      <c r="I360" s="5" t="s">
        <v>634</v>
      </c>
      <c r="J360" t="s">
        <v>1365</v>
      </c>
      <c r="K360" s="5" t="s">
        <v>1715</v>
      </c>
      <c r="L360" s="5"/>
      <c r="M360" s="387">
        <v>24</v>
      </c>
      <c r="N360" s="387">
        <v>167</v>
      </c>
      <c r="O360" s="387">
        <v>0</v>
      </c>
      <c r="P360" s="387">
        <v>0</v>
      </c>
      <c r="Q360" s="387">
        <v>0</v>
      </c>
      <c r="R360" s="387">
        <v>0</v>
      </c>
      <c r="S360" s="1174">
        <f>Locations[[#This Row],[Ind_Returnees]]+Locations[[#This Row],[Ind_Refugees]]+Locations[[#This Row],[Ind_IDPs]]</f>
        <v>167</v>
      </c>
    </row>
    <row r="361" spans="1:19" s="388" customFormat="1" x14ac:dyDescent="0.3">
      <c r="A361" s="5" t="s">
        <v>533</v>
      </c>
      <c r="B361" s="1430" t="s">
        <v>3449</v>
      </c>
      <c r="C361" s="1090" t="s">
        <v>534</v>
      </c>
      <c r="D361" s="5" t="s">
        <v>31</v>
      </c>
      <c r="E361" s="5" t="s">
        <v>31</v>
      </c>
      <c r="F361" s="5" t="s">
        <v>549</v>
      </c>
      <c r="G361" s="5" t="s">
        <v>2797</v>
      </c>
      <c r="H361" s="5" t="s">
        <v>3898</v>
      </c>
      <c r="I361" s="5" t="s">
        <v>767</v>
      </c>
      <c r="J361" t="s">
        <v>1484</v>
      </c>
      <c r="K361" s="5" t="s">
        <v>785</v>
      </c>
      <c r="L361" s="5"/>
      <c r="M361" s="387">
        <v>31</v>
      </c>
      <c r="N361" s="387">
        <v>234</v>
      </c>
      <c r="O361" s="387">
        <v>3</v>
      </c>
      <c r="P361" s="387">
        <v>11</v>
      </c>
      <c r="Q361" s="387">
        <v>0</v>
      </c>
      <c r="R361" s="387">
        <v>0</v>
      </c>
      <c r="S361" s="1174">
        <f>Locations[[#This Row],[Ind_Returnees]]+Locations[[#This Row],[Ind_Refugees]]+Locations[[#This Row],[Ind_IDPs]]</f>
        <v>245</v>
      </c>
    </row>
    <row r="362" spans="1:19" s="388" customFormat="1" x14ac:dyDescent="0.3">
      <c r="A362" s="5" t="s">
        <v>533</v>
      </c>
      <c r="B362" s="1430" t="s">
        <v>3449</v>
      </c>
      <c r="C362" s="398" t="s">
        <v>534</v>
      </c>
      <c r="D362" s="5" t="s">
        <v>31</v>
      </c>
      <c r="E362" s="5" t="s">
        <v>31</v>
      </c>
      <c r="F362" s="5" t="s">
        <v>549</v>
      </c>
      <c r="G362" s="5" t="s">
        <v>2797</v>
      </c>
      <c r="H362" s="5" t="s">
        <v>3898</v>
      </c>
      <c r="I362" s="5" t="s">
        <v>767</v>
      </c>
      <c r="J362" t="s">
        <v>2540</v>
      </c>
      <c r="K362" s="5" t="s">
        <v>787</v>
      </c>
      <c r="L362" s="5"/>
      <c r="M362" s="387">
        <v>29</v>
      </c>
      <c r="N362" s="387">
        <v>194</v>
      </c>
      <c r="O362" s="387">
        <v>7</v>
      </c>
      <c r="P362" s="387">
        <v>49</v>
      </c>
      <c r="Q362" s="387">
        <v>0</v>
      </c>
      <c r="R362" s="387">
        <v>0</v>
      </c>
      <c r="S362" s="1174">
        <f>Locations[[#This Row],[Ind_Returnees]]+Locations[[#This Row],[Ind_Refugees]]+Locations[[#This Row],[Ind_IDPs]]</f>
        <v>243</v>
      </c>
    </row>
    <row r="363" spans="1:19" s="388" customFormat="1" x14ac:dyDescent="0.3">
      <c r="A363" s="5" t="s">
        <v>533</v>
      </c>
      <c r="B363" s="1430" t="s">
        <v>3449</v>
      </c>
      <c r="C363" s="398" t="s">
        <v>534</v>
      </c>
      <c r="D363" s="5" t="s">
        <v>32</v>
      </c>
      <c r="E363" s="5" t="s">
        <v>32</v>
      </c>
      <c r="F363" s="5" t="s">
        <v>542</v>
      </c>
      <c r="G363" s="5" t="s">
        <v>176</v>
      </c>
      <c r="H363" s="5" t="s">
        <v>176</v>
      </c>
      <c r="I363" s="5" t="s">
        <v>772</v>
      </c>
      <c r="J363" t="s">
        <v>1535</v>
      </c>
      <c r="K363" s="5" t="s">
        <v>1536</v>
      </c>
      <c r="L363" s="5"/>
      <c r="M363" s="387">
        <v>27</v>
      </c>
      <c r="N363" s="387">
        <v>210</v>
      </c>
      <c r="O363" s="387">
        <v>0</v>
      </c>
      <c r="P363" s="387">
        <v>0</v>
      </c>
      <c r="Q363" s="387">
        <v>11</v>
      </c>
      <c r="R363" s="387">
        <v>129</v>
      </c>
      <c r="S363" s="1174">
        <f>Locations[[#This Row],[Ind_Returnees]]+Locations[[#This Row],[Ind_Refugees]]+Locations[[#This Row],[Ind_IDPs]]</f>
        <v>339</v>
      </c>
    </row>
    <row r="364" spans="1:19" s="388" customFormat="1" x14ac:dyDescent="0.3">
      <c r="A364" s="5" t="s">
        <v>533</v>
      </c>
      <c r="B364" s="1430" t="s">
        <v>3449</v>
      </c>
      <c r="C364" s="1090" t="s">
        <v>534</v>
      </c>
      <c r="D364" s="5" t="s">
        <v>34</v>
      </c>
      <c r="E364" s="5" t="s">
        <v>34</v>
      </c>
      <c r="F364" s="5" t="s">
        <v>539</v>
      </c>
      <c r="G364" s="5" t="s">
        <v>187</v>
      </c>
      <c r="H364" s="5" t="s">
        <v>187</v>
      </c>
      <c r="I364" s="5" t="s">
        <v>951</v>
      </c>
      <c r="J364" t="s">
        <v>2863</v>
      </c>
      <c r="K364" s="5" t="s">
        <v>2560</v>
      </c>
      <c r="L364" s="5"/>
      <c r="M364" s="387">
        <v>0</v>
      </c>
      <c r="N364" s="387">
        <v>0</v>
      </c>
      <c r="O364" s="387">
        <v>0</v>
      </c>
      <c r="P364" s="387">
        <v>0</v>
      </c>
      <c r="Q364" s="387">
        <v>0</v>
      </c>
      <c r="R364" s="387">
        <v>0</v>
      </c>
      <c r="S364" s="1174">
        <f>Locations[[#This Row],[Ind_Returnees]]+Locations[[#This Row],[Ind_Refugees]]+Locations[[#This Row],[Ind_IDPs]]</f>
        <v>0</v>
      </c>
    </row>
    <row r="365" spans="1:19" s="388" customFormat="1" x14ac:dyDescent="0.3">
      <c r="A365" s="5" t="s">
        <v>533</v>
      </c>
      <c r="B365" s="1430" t="s">
        <v>3449</v>
      </c>
      <c r="C365" s="398" t="s">
        <v>534</v>
      </c>
      <c r="D365" s="5" t="s">
        <v>34</v>
      </c>
      <c r="E365" s="5" t="s">
        <v>34</v>
      </c>
      <c r="F365" s="5" t="s">
        <v>539</v>
      </c>
      <c r="G365" s="5" t="s">
        <v>188</v>
      </c>
      <c r="H365" s="5" t="s">
        <v>188</v>
      </c>
      <c r="I365" s="5" t="s">
        <v>546</v>
      </c>
      <c r="J365" t="s">
        <v>1529</v>
      </c>
      <c r="K365" s="5" t="s">
        <v>1182</v>
      </c>
      <c r="L365" s="5"/>
      <c r="M365" s="387">
        <v>539</v>
      </c>
      <c r="N365" s="387">
        <v>2465</v>
      </c>
      <c r="O365" s="387">
        <v>1</v>
      </c>
      <c r="P365" s="387">
        <v>3</v>
      </c>
      <c r="Q365" s="387">
        <v>466</v>
      </c>
      <c r="R365" s="387">
        <v>2758</v>
      </c>
      <c r="S365" s="1174">
        <f>Locations[[#This Row],[Ind_Returnees]]+Locations[[#This Row],[Ind_Refugees]]+Locations[[#This Row],[Ind_IDPs]]</f>
        <v>5226</v>
      </c>
    </row>
    <row r="366" spans="1:19" s="388" customFormat="1" x14ac:dyDescent="0.3">
      <c r="A366" s="5" t="s">
        <v>533</v>
      </c>
      <c r="B366" s="1430" t="s">
        <v>3449</v>
      </c>
      <c r="C366" s="1090" t="s">
        <v>534</v>
      </c>
      <c r="D366" s="5" t="s">
        <v>35</v>
      </c>
      <c r="E366" s="5" t="s">
        <v>35</v>
      </c>
      <c r="F366" s="5" t="s">
        <v>567</v>
      </c>
      <c r="G366" s="5" t="s">
        <v>192</v>
      </c>
      <c r="H366" s="5" t="s">
        <v>192</v>
      </c>
      <c r="I366" s="5" t="s">
        <v>853</v>
      </c>
      <c r="J366" t="s">
        <v>1168</v>
      </c>
      <c r="K366" s="5" t="s">
        <v>1413</v>
      </c>
      <c r="L366" s="5"/>
      <c r="M366" s="387">
        <v>168</v>
      </c>
      <c r="N366" s="387">
        <v>715</v>
      </c>
      <c r="O366" s="387">
        <v>0</v>
      </c>
      <c r="P366" s="387">
        <v>0</v>
      </c>
      <c r="Q366" s="387">
        <v>2</v>
      </c>
      <c r="R366" s="387">
        <v>19</v>
      </c>
      <c r="S366" s="1174">
        <f>Locations[[#This Row],[Ind_Returnees]]+Locations[[#This Row],[Ind_Refugees]]+Locations[[#This Row],[Ind_IDPs]]</f>
        <v>734</v>
      </c>
    </row>
    <row r="367" spans="1:19" s="388" customFormat="1" x14ac:dyDescent="0.3">
      <c r="A367" s="5" t="s">
        <v>533</v>
      </c>
      <c r="B367" s="1430" t="s">
        <v>3449</v>
      </c>
      <c r="C367" s="398" t="s">
        <v>534</v>
      </c>
      <c r="D367" s="5" t="s">
        <v>35</v>
      </c>
      <c r="E367" s="5" t="s">
        <v>35</v>
      </c>
      <c r="F367" s="5" t="s">
        <v>567</v>
      </c>
      <c r="G367" s="5" t="s">
        <v>196</v>
      </c>
      <c r="H367" s="5" t="s">
        <v>3984</v>
      </c>
      <c r="I367" s="5" t="s">
        <v>568</v>
      </c>
      <c r="J367" t="s">
        <v>2689</v>
      </c>
      <c r="K367" s="5" t="s">
        <v>672</v>
      </c>
      <c r="L367" s="5"/>
      <c r="M367" s="387">
        <v>76</v>
      </c>
      <c r="N367" s="387">
        <v>327</v>
      </c>
      <c r="O367" s="387">
        <v>0</v>
      </c>
      <c r="P367" s="387">
        <v>0</v>
      </c>
      <c r="Q367" s="387">
        <v>17</v>
      </c>
      <c r="R367" s="387">
        <v>89</v>
      </c>
      <c r="S367" s="1174">
        <f>Locations[[#This Row],[Ind_Returnees]]+Locations[[#This Row],[Ind_Refugees]]+Locations[[#This Row],[Ind_IDPs]]</f>
        <v>416</v>
      </c>
    </row>
    <row r="368" spans="1:19" s="388" customFormat="1" x14ac:dyDescent="0.3">
      <c r="A368" s="5" t="s">
        <v>533</v>
      </c>
      <c r="B368" s="1430" t="s">
        <v>3449</v>
      </c>
      <c r="C368" s="398" t="s">
        <v>534</v>
      </c>
      <c r="D368" s="5" t="s">
        <v>33</v>
      </c>
      <c r="E368" s="5" t="s">
        <v>33</v>
      </c>
      <c r="F368" s="5" t="s">
        <v>561</v>
      </c>
      <c r="G368" s="5" t="s">
        <v>183</v>
      </c>
      <c r="H368" s="5" t="s">
        <v>183</v>
      </c>
      <c r="I368" s="5" t="s">
        <v>562</v>
      </c>
      <c r="J368" t="s">
        <v>726</v>
      </c>
      <c r="K368" s="5" t="s">
        <v>727</v>
      </c>
      <c r="L368" s="5"/>
      <c r="M368" s="387">
        <v>17</v>
      </c>
      <c r="N368" s="387">
        <v>119</v>
      </c>
      <c r="O368" s="387">
        <v>35</v>
      </c>
      <c r="P368" s="387">
        <v>163</v>
      </c>
      <c r="Q368" s="387">
        <v>2</v>
      </c>
      <c r="R368" s="387">
        <v>9</v>
      </c>
      <c r="S368" s="1174">
        <f>Locations[[#This Row],[Ind_Returnees]]+Locations[[#This Row],[Ind_Refugees]]+Locations[[#This Row],[Ind_IDPs]]</f>
        <v>291</v>
      </c>
    </row>
    <row r="369" spans="1:19" s="388" customFormat="1" x14ac:dyDescent="0.3">
      <c r="A369" s="5" t="s">
        <v>533</v>
      </c>
      <c r="B369" s="1430" t="s">
        <v>3449</v>
      </c>
      <c r="C369" s="398" t="s">
        <v>534</v>
      </c>
      <c r="D369" s="5" t="s">
        <v>30</v>
      </c>
      <c r="E369" s="5" t="s">
        <v>3522</v>
      </c>
      <c r="F369" s="5" t="s">
        <v>535</v>
      </c>
      <c r="G369" s="5" t="s">
        <v>161</v>
      </c>
      <c r="H369" s="5" t="s">
        <v>3523</v>
      </c>
      <c r="I369" s="5" t="s">
        <v>587</v>
      </c>
      <c r="J369" t="s">
        <v>626</v>
      </c>
      <c r="K369" s="5" t="s">
        <v>627</v>
      </c>
      <c r="L369" s="5"/>
      <c r="M369" s="387">
        <v>111</v>
      </c>
      <c r="N369" s="387">
        <v>580</v>
      </c>
      <c r="O369" s="387">
        <v>0</v>
      </c>
      <c r="P369" s="387">
        <v>0</v>
      </c>
      <c r="Q369" s="387">
        <v>0</v>
      </c>
      <c r="R369" s="387">
        <v>0</v>
      </c>
      <c r="S369" s="1174">
        <f>Locations[[#This Row],[Ind_Returnees]]+Locations[[#This Row],[Ind_Refugees]]+Locations[[#This Row],[Ind_IDPs]]</f>
        <v>580</v>
      </c>
    </row>
    <row r="370" spans="1:19" s="388" customFormat="1" x14ac:dyDescent="0.3">
      <c r="A370" s="5" t="s">
        <v>533</v>
      </c>
      <c r="B370" s="1430" t="s">
        <v>3449</v>
      </c>
      <c r="C370" s="398" t="s">
        <v>534</v>
      </c>
      <c r="D370" s="5" t="s">
        <v>35</v>
      </c>
      <c r="E370" s="5" t="s">
        <v>35</v>
      </c>
      <c r="F370" s="5" t="s">
        <v>567</v>
      </c>
      <c r="G370" s="5" t="s">
        <v>192</v>
      </c>
      <c r="H370" s="5" t="s">
        <v>192</v>
      </c>
      <c r="I370" s="5" t="s">
        <v>853</v>
      </c>
      <c r="J370" t="s">
        <v>1412</v>
      </c>
      <c r="K370" s="5" t="s">
        <v>1411</v>
      </c>
      <c r="L370" s="5"/>
      <c r="M370" s="387">
        <v>127</v>
      </c>
      <c r="N370" s="387">
        <v>455</v>
      </c>
      <c r="O370" s="387">
        <v>0</v>
      </c>
      <c r="P370" s="387">
        <v>0</v>
      </c>
      <c r="Q370" s="387">
        <v>0</v>
      </c>
      <c r="R370" s="387">
        <v>0</v>
      </c>
      <c r="S370" s="1174">
        <f>Locations[[#This Row],[Ind_Returnees]]+Locations[[#This Row],[Ind_Refugees]]+Locations[[#This Row],[Ind_IDPs]]</f>
        <v>455</v>
      </c>
    </row>
    <row r="371" spans="1:19" s="388" customFormat="1" x14ac:dyDescent="0.3">
      <c r="A371" s="5" t="s">
        <v>533</v>
      </c>
      <c r="B371" s="1430" t="s">
        <v>3449</v>
      </c>
      <c r="C371" s="1090" t="s">
        <v>534</v>
      </c>
      <c r="D371" s="5" t="s">
        <v>30</v>
      </c>
      <c r="E371" s="5" t="s">
        <v>3522</v>
      </c>
      <c r="F371" s="5" t="s">
        <v>535</v>
      </c>
      <c r="G371" s="5" t="s">
        <v>162</v>
      </c>
      <c r="H371" s="5" t="s">
        <v>3529</v>
      </c>
      <c r="I371" s="5" t="s">
        <v>536</v>
      </c>
      <c r="J371" t="s">
        <v>618</v>
      </c>
      <c r="K371" s="5" t="s">
        <v>619</v>
      </c>
      <c r="L371" s="5"/>
      <c r="M371" s="387">
        <v>11</v>
      </c>
      <c r="N371" s="387">
        <v>66</v>
      </c>
      <c r="O371" s="387">
        <v>0</v>
      </c>
      <c r="P371" s="387">
        <v>0</v>
      </c>
      <c r="Q371" s="387">
        <v>0</v>
      </c>
      <c r="R371" s="387">
        <v>0</v>
      </c>
      <c r="S371" s="1174">
        <f>Locations[[#This Row],[Ind_Returnees]]+Locations[[#This Row],[Ind_Refugees]]+Locations[[#This Row],[Ind_IDPs]]</f>
        <v>66</v>
      </c>
    </row>
    <row r="372" spans="1:19" s="388" customFormat="1" x14ac:dyDescent="0.3">
      <c r="A372" s="5" t="s">
        <v>533</v>
      </c>
      <c r="B372" s="1430" t="s">
        <v>3449</v>
      </c>
      <c r="C372" s="398" t="s">
        <v>534</v>
      </c>
      <c r="D372" s="5" t="s">
        <v>31</v>
      </c>
      <c r="E372" s="5" t="s">
        <v>31</v>
      </c>
      <c r="F372" s="5" t="s">
        <v>549</v>
      </c>
      <c r="G372" s="5" t="s">
        <v>172</v>
      </c>
      <c r="H372" s="5" t="s">
        <v>172</v>
      </c>
      <c r="I372" s="5" t="s">
        <v>706</v>
      </c>
      <c r="J372" t="s">
        <v>2864</v>
      </c>
      <c r="K372" s="5" t="s">
        <v>2704</v>
      </c>
      <c r="L372" s="5"/>
      <c r="M372" s="387">
        <v>0</v>
      </c>
      <c r="N372" s="387">
        <v>0</v>
      </c>
      <c r="O372" s="387">
        <v>0</v>
      </c>
      <c r="P372" s="387">
        <v>0</v>
      </c>
      <c r="Q372" s="387">
        <v>0</v>
      </c>
      <c r="R372" s="387">
        <v>0</v>
      </c>
      <c r="S372" s="1174">
        <f>Locations[[#This Row],[Ind_Returnees]]+Locations[[#This Row],[Ind_Refugees]]+Locations[[#This Row],[Ind_IDPs]]</f>
        <v>0</v>
      </c>
    </row>
    <row r="373" spans="1:19" s="388" customFormat="1" x14ac:dyDescent="0.3">
      <c r="A373" s="5" t="s">
        <v>533</v>
      </c>
      <c r="B373" s="1430" t="s">
        <v>3449</v>
      </c>
      <c r="C373" s="1090" t="s">
        <v>534</v>
      </c>
      <c r="D373" s="5" t="s">
        <v>35</v>
      </c>
      <c r="E373" s="5" t="s">
        <v>35</v>
      </c>
      <c r="F373" s="5" t="s">
        <v>567</v>
      </c>
      <c r="G373" s="5" t="s">
        <v>193</v>
      </c>
      <c r="H373" s="5" t="s">
        <v>3983</v>
      </c>
      <c r="I373" s="5" t="s">
        <v>863</v>
      </c>
      <c r="J373" t="s">
        <v>2673</v>
      </c>
      <c r="K373" s="5" t="s">
        <v>1599</v>
      </c>
      <c r="L373" s="5"/>
      <c r="M373" s="387">
        <v>0</v>
      </c>
      <c r="N373" s="387">
        <v>0</v>
      </c>
      <c r="O373" s="387">
        <v>0</v>
      </c>
      <c r="P373" s="387">
        <v>0</v>
      </c>
      <c r="Q373" s="387">
        <v>0</v>
      </c>
      <c r="R373" s="387">
        <v>0</v>
      </c>
      <c r="S373" s="1174">
        <f>Locations[[#This Row],[Ind_Returnees]]+Locations[[#This Row],[Ind_Refugees]]+Locations[[#This Row],[Ind_IDPs]]</f>
        <v>0</v>
      </c>
    </row>
    <row r="374" spans="1:19" s="388" customFormat="1" x14ac:dyDescent="0.3">
      <c r="A374" s="5" t="s">
        <v>533</v>
      </c>
      <c r="B374" s="1430" t="s">
        <v>3449</v>
      </c>
      <c r="C374" s="398" t="s">
        <v>534</v>
      </c>
      <c r="D374" s="5" t="s">
        <v>30</v>
      </c>
      <c r="E374" s="5" t="s">
        <v>3522</v>
      </c>
      <c r="F374" s="5" t="s">
        <v>535</v>
      </c>
      <c r="G374" s="5" t="s">
        <v>162</v>
      </c>
      <c r="H374" s="5" t="s">
        <v>3529</v>
      </c>
      <c r="I374" s="5" t="s">
        <v>536</v>
      </c>
      <c r="J374" t="s">
        <v>2683</v>
      </c>
      <c r="K374" s="5" t="s">
        <v>2684</v>
      </c>
      <c r="L374" s="5"/>
      <c r="M374" s="387">
        <v>0</v>
      </c>
      <c r="N374" s="387">
        <v>0</v>
      </c>
      <c r="O374" s="387">
        <v>0</v>
      </c>
      <c r="P374" s="387">
        <v>0</v>
      </c>
      <c r="Q374" s="387">
        <v>0</v>
      </c>
      <c r="R374" s="387">
        <v>0</v>
      </c>
      <c r="S374" s="1174">
        <f>Locations[[#This Row],[Ind_Returnees]]+Locations[[#This Row],[Ind_Refugees]]+Locations[[#This Row],[Ind_IDPs]]</f>
        <v>0</v>
      </c>
    </row>
    <row r="375" spans="1:19" s="388" customFormat="1" x14ac:dyDescent="0.3">
      <c r="A375" s="5" t="s">
        <v>533</v>
      </c>
      <c r="B375" s="1430" t="s">
        <v>3449</v>
      </c>
      <c r="C375" s="1090" t="s">
        <v>534</v>
      </c>
      <c r="D375" s="5" t="s">
        <v>30</v>
      </c>
      <c r="E375" s="5" t="s">
        <v>3522</v>
      </c>
      <c r="F375" s="5" t="s">
        <v>535</v>
      </c>
      <c r="G375" s="5" t="s">
        <v>162</v>
      </c>
      <c r="H375" s="5" t="s">
        <v>3529</v>
      </c>
      <c r="I375" s="5" t="s">
        <v>536</v>
      </c>
      <c r="J375" t="s">
        <v>641</v>
      </c>
      <c r="K375" s="5" t="s">
        <v>642</v>
      </c>
      <c r="L375" s="5"/>
      <c r="M375" s="387">
        <v>3</v>
      </c>
      <c r="N375" s="387">
        <v>31</v>
      </c>
      <c r="O375" s="387">
        <v>0</v>
      </c>
      <c r="P375" s="387">
        <v>0</v>
      </c>
      <c r="Q375" s="387">
        <v>0</v>
      </c>
      <c r="R375" s="387">
        <v>0</v>
      </c>
      <c r="S375" s="1174">
        <f>Locations[[#This Row],[Ind_Returnees]]+Locations[[#This Row],[Ind_Refugees]]+Locations[[#This Row],[Ind_IDPs]]</f>
        <v>31</v>
      </c>
    </row>
    <row r="376" spans="1:19" s="388" customFormat="1" x14ac:dyDescent="0.3">
      <c r="A376" s="5" t="s">
        <v>533</v>
      </c>
      <c r="B376" s="1430" t="s">
        <v>3449</v>
      </c>
      <c r="C376" s="398" t="s">
        <v>534</v>
      </c>
      <c r="D376" s="5" t="s">
        <v>31</v>
      </c>
      <c r="E376" s="5" t="s">
        <v>31</v>
      </c>
      <c r="F376" s="5" t="s">
        <v>549</v>
      </c>
      <c r="G376" s="5" t="s">
        <v>2797</v>
      </c>
      <c r="H376" s="5" t="s">
        <v>3898</v>
      </c>
      <c r="I376" s="5" t="s">
        <v>767</v>
      </c>
      <c r="J376" t="s">
        <v>1231</v>
      </c>
      <c r="K376" s="5" t="s">
        <v>788</v>
      </c>
      <c r="L376" s="5"/>
      <c r="M376" s="387">
        <v>11</v>
      </c>
      <c r="N376" s="387">
        <v>77</v>
      </c>
      <c r="O376" s="387">
        <v>4</v>
      </c>
      <c r="P376" s="387">
        <v>40</v>
      </c>
      <c r="Q376" s="387">
        <v>0</v>
      </c>
      <c r="R376" s="387">
        <v>0</v>
      </c>
      <c r="S376" s="1174">
        <f>Locations[[#This Row],[Ind_Returnees]]+Locations[[#This Row],[Ind_Refugees]]+Locations[[#This Row],[Ind_IDPs]]</f>
        <v>117</v>
      </c>
    </row>
    <row r="377" spans="1:19" s="388" customFormat="1" x14ac:dyDescent="0.3">
      <c r="A377" s="5" t="s">
        <v>533</v>
      </c>
      <c r="B377" s="1430" t="s">
        <v>3449</v>
      </c>
      <c r="C377" s="398" t="s">
        <v>534</v>
      </c>
      <c r="D377" s="5" t="s">
        <v>31</v>
      </c>
      <c r="E377" s="5" t="s">
        <v>31</v>
      </c>
      <c r="F377" s="5" t="s">
        <v>549</v>
      </c>
      <c r="G377" s="5" t="s">
        <v>167</v>
      </c>
      <c r="H377" s="5" t="s">
        <v>167</v>
      </c>
      <c r="I377" s="5" t="s">
        <v>1113</v>
      </c>
      <c r="J377" t="s">
        <v>1946</v>
      </c>
      <c r="K377" s="5" t="s">
        <v>1090</v>
      </c>
      <c r="L377" s="5"/>
      <c r="M377" s="387">
        <v>67</v>
      </c>
      <c r="N377" s="387">
        <v>232</v>
      </c>
      <c r="O377" s="387">
        <v>0</v>
      </c>
      <c r="P377" s="387">
        <v>0</v>
      </c>
      <c r="Q377" s="387">
        <v>56</v>
      </c>
      <c r="R377" s="387">
        <v>204</v>
      </c>
      <c r="S377" s="1174">
        <f>Locations[[#This Row],[Ind_Returnees]]+Locations[[#This Row],[Ind_Refugees]]+Locations[[#This Row],[Ind_IDPs]]</f>
        <v>436</v>
      </c>
    </row>
    <row r="378" spans="1:19" s="388" customFormat="1" x14ac:dyDescent="0.3">
      <c r="A378" s="5" t="s">
        <v>533</v>
      </c>
      <c r="B378" s="1430" t="s">
        <v>3449</v>
      </c>
      <c r="C378" s="398" t="s">
        <v>534</v>
      </c>
      <c r="D378" s="5" t="s">
        <v>31</v>
      </c>
      <c r="E378" s="5" t="s">
        <v>31</v>
      </c>
      <c r="F378" s="5" t="s">
        <v>549</v>
      </c>
      <c r="G378" s="5" t="s">
        <v>171</v>
      </c>
      <c r="H378" s="5" t="s">
        <v>171</v>
      </c>
      <c r="I378" s="5" t="s">
        <v>634</v>
      </c>
      <c r="J378" t="s">
        <v>1281</v>
      </c>
      <c r="K378" s="5" t="s">
        <v>1090</v>
      </c>
      <c r="L378" s="5"/>
      <c r="M378" s="387">
        <v>15</v>
      </c>
      <c r="N378" s="387">
        <v>85</v>
      </c>
      <c r="O378" s="387">
        <v>12</v>
      </c>
      <c r="P378" s="387">
        <v>74</v>
      </c>
      <c r="Q378" s="387">
        <v>0</v>
      </c>
      <c r="R378" s="387">
        <v>0</v>
      </c>
      <c r="S378" s="1174">
        <f>Locations[[#This Row],[Ind_Returnees]]+Locations[[#This Row],[Ind_Refugees]]+Locations[[#This Row],[Ind_IDPs]]</f>
        <v>159</v>
      </c>
    </row>
    <row r="379" spans="1:19" s="388" customFormat="1" x14ac:dyDescent="0.3">
      <c r="A379" s="5" t="s">
        <v>533</v>
      </c>
      <c r="B379" s="1430" t="s">
        <v>3449</v>
      </c>
      <c r="C379" s="398" t="s">
        <v>534</v>
      </c>
      <c r="D379" s="5" t="s">
        <v>31</v>
      </c>
      <c r="E379" s="5" t="s">
        <v>31</v>
      </c>
      <c r="F379" s="5" t="s">
        <v>549</v>
      </c>
      <c r="G379" s="5" t="s">
        <v>169</v>
      </c>
      <c r="H379" s="5" t="s">
        <v>169</v>
      </c>
      <c r="I379" s="5" t="s">
        <v>673</v>
      </c>
      <c r="J379" t="s">
        <v>3203</v>
      </c>
      <c r="K379" s="5" t="s">
        <v>3072</v>
      </c>
      <c r="L379" s="5"/>
      <c r="M379" s="387">
        <v>0</v>
      </c>
      <c r="N379" s="387">
        <v>0</v>
      </c>
      <c r="O379" s="387">
        <v>0</v>
      </c>
      <c r="P379" s="387">
        <v>0</v>
      </c>
      <c r="Q379" s="387">
        <v>46</v>
      </c>
      <c r="R379" s="387">
        <v>300</v>
      </c>
      <c r="S379" s="1174">
        <f>Locations[[#This Row],[Ind_Returnees]]+Locations[[#This Row],[Ind_Refugees]]+Locations[[#This Row],[Ind_IDPs]]</f>
        <v>300</v>
      </c>
    </row>
    <row r="380" spans="1:19" s="388" customFormat="1" x14ac:dyDescent="0.3">
      <c r="A380" s="5" t="s">
        <v>533</v>
      </c>
      <c r="B380" s="1430" t="s">
        <v>3449</v>
      </c>
      <c r="C380" s="398" t="s">
        <v>534</v>
      </c>
      <c r="D380" s="5" t="s">
        <v>31</v>
      </c>
      <c r="E380" s="5" t="s">
        <v>31</v>
      </c>
      <c r="F380" s="5" t="s">
        <v>549</v>
      </c>
      <c r="G380" s="5" t="s">
        <v>171</v>
      </c>
      <c r="H380" s="5" t="s">
        <v>171</v>
      </c>
      <c r="I380" s="5" t="s">
        <v>634</v>
      </c>
      <c r="J380" t="s">
        <v>2631</v>
      </c>
      <c r="K380" s="5" t="s">
        <v>2009</v>
      </c>
      <c r="L380" s="5"/>
      <c r="M380" s="387">
        <v>17</v>
      </c>
      <c r="N380" s="387">
        <v>67</v>
      </c>
      <c r="O380" s="387">
        <v>0</v>
      </c>
      <c r="P380" s="387">
        <v>0</v>
      </c>
      <c r="Q380" s="387">
        <v>0</v>
      </c>
      <c r="R380" s="387">
        <v>0</v>
      </c>
      <c r="S380" s="1174">
        <f>Locations[[#This Row],[Ind_Returnees]]+Locations[[#This Row],[Ind_Refugees]]+Locations[[#This Row],[Ind_IDPs]]</f>
        <v>67</v>
      </c>
    </row>
    <row r="381" spans="1:19" s="388" customFormat="1" x14ac:dyDescent="0.3">
      <c r="A381" s="5" t="s">
        <v>533</v>
      </c>
      <c r="B381" s="1430" t="s">
        <v>3449</v>
      </c>
      <c r="C381" s="398" t="s">
        <v>534</v>
      </c>
      <c r="D381" s="5" t="s">
        <v>31</v>
      </c>
      <c r="E381" s="5" t="s">
        <v>31</v>
      </c>
      <c r="F381" s="5" t="s">
        <v>549</v>
      </c>
      <c r="G381" s="5" t="s">
        <v>171</v>
      </c>
      <c r="H381" s="5" t="s">
        <v>171</v>
      </c>
      <c r="I381" s="5" t="s">
        <v>634</v>
      </c>
      <c r="J381" t="s">
        <v>1959</v>
      </c>
      <c r="K381" s="5" t="s">
        <v>1923</v>
      </c>
      <c r="L381" s="5"/>
      <c r="M381" s="387">
        <v>13</v>
      </c>
      <c r="N381" s="387">
        <v>90</v>
      </c>
      <c r="O381" s="387">
        <v>0</v>
      </c>
      <c r="P381" s="387">
        <v>0</v>
      </c>
      <c r="Q381" s="387">
        <v>0</v>
      </c>
      <c r="R381" s="387">
        <v>0</v>
      </c>
      <c r="S381" s="1174">
        <f>Locations[[#This Row],[Ind_Returnees]]+Locations[[#This Row],[Ind_Refugees]]+Locations[[#This Row],[Ind_IDPs]]</f>
        <v>90</v>
      </c>
    </row>
    <row r="382" spans="1:19" s="388" customFormat="1" x14ac:dyDescent="0.3">
      <c r="A382" s="5" t="s">
        <v>533</v>
      </c>
      <c r="B382" s="1430" t="s">
        <v>3449</v>
      </c>
      <c r="C382" s="1090" t="s">
        <v>534</v>
      </c>
      <c r="D382" s="5" t="s">
        <v>31</v>
      </c>
      <c r="E382" s="5" t="s">
        <v>31</v>
      </c>
      <c r="F382" s="5" t="s">
        <v>549</v>
      </c>
      <c r="G382" s="5" t="s">
        <v>166</v>
      </c>
      <c r="H382" s="5" t="s">
        <v>166</v>
      </c>
      <c r="I382" s="5" t="s">
        <v>844</v>
      </c>
      <c r="J382" t="s">
        <v>1013</v>
      </c>
      <c r="K382" s="5" t="s">
        <v>2496</v>
      </c>
      <c r="L382" s="5"/>
      <c r="M382" s="387">
        <v>0</v>
      </c>
      <c r="N382" s="387">
        <v>0</v>
      </c>
      <c r="O382" s="387">
        <v>0</v>
      </c>
      <c r="P382" s="387">
        <v>0</v>
      </c>
      <c r="Q382" s="387">
        <v>0</v>
      </c>
      <c r="R382" s="387">
        <v>0</v>
      </c>
      <c r="S382" s="1174">
        <f>Locations[[#This Row],[Ind_Returnees]]+Locations[[#This Row],[Ind_Refugees]]+Locations[[#This Row],[Ind_IDPs]]</f>
        <v>0</v>
      </c>
    </row>
    <row r="383" spans="1:19" s="388" customFormat="1" x14ac:dyDescent="0.3">
      <c r="A383" s="5" t="s">
        <v>533</v>
      </c>
      <c r="B383" s="1430" t="s">
        <v>3449</v>
      </c>
      <c r="C383" s="398" t="s">
        <v>534</v>
      </c>
      <c r="D383" s="5" t="s">
        <v>31</v>
      </c>
      <c r="E383" s="5" t="s">
        <v>31</v>
      </c>
      <c r="F383" s="5" t="s">
        <v>549</v>
      </c>
      <c r="G383" s="5" t="s">
        <v>167</v>
      </c>
      <c r="H383" s="5" t="s">
        <v>167</v>
      </c>
      <c r="I383" s="5" t="s">
        <v>1113</v>
      </c>
      <c r="J383" t="s">
        <v>1901</v>
      </c>
      <c r="K383" s="5" t="s">
        <v>2082</v>
      </c>
      <c r="L383" s="5"/>
      <c r="M383" s="387">
        <v>0</v>
      </c>
      <c r="N383" s="387">
        <v>0</v>
      </c>
      <c r="O383" s="387">
        <v>0</v>
      </c>
      <c r="P383" s="387">
        <v>0</v>
      </c>
      <c r="Q383" s="387">
        <v>0</v>
      </c>
      <c r="R383" s="387">
        <v>0</v>
      </c>
      <c r="S383" s="1174">
        <f>Locations[[#This Row],[Ind_Returnees]]+Locations[[#This Row],[Ind_Refugees]]+Locations[[#This Row],[Ind_IDPs]]</f>
        <v>0</v>
      </c>
    </row>
    <row r="384" spans="1:19" s="388" customFormat="1" x14ac:dyDescent="0.3">
      <c r="A384" s="5" t="s">
        <v>533</v>
      </c>
      <c r="B384" s="1430" t="s">
        <v>3449</v>
      </c>
      <c r="C384" s="1090" t="s">
        <v>534</v>
      </c>
      <c r="D384" s="5" t="s">
        <v>31</v>
      </c>
      <c r="E384" s="5" t="s">
        <v>31</v>
      </c>
      <c r="F384" s="5" t="s">
        <v>549</v>
      </c>
      <c r="G384" s="5" t="s">
        <v>171</v>
      </c>
      <c r="H384" s="5" t="s">
        <v>171</v>
      </c>
      <c r="I384" s="5" t="s">
        <v>634</v>
      </c>
      <c r="J384" t="s">
        <v>1714</v>
      </c>
      <c r="K384" s="5" t="s">
        <v>2611</v>
      </c>
      <c r="L384" s="5"/>
      <c r="M384" s="387">
        <v>0</v>
      </c>
      <c r="N384" s="387">
        <v>0</v>
      </c>
      <c r="O384" s="387">
        <v>0</v>
      </c>
      <c r="P384" s="387">
        <v>0</v>
      </c>
      <c r="Q384" s="387">
        <v>0</v>
      </c>
      <c r="R384" s="387">
        <v>0</v>
      </c>
      <c r="S384" s="1174">
        <f>Locations[[#This Row],[Ind_Returnees]]+Locations[[#This Row],[Ind_Refugees]]+Locations[[#This Row],[Ind_IDPs]]</f>
        <v>0</v>
      </c>
    </row>
    <row r="385" spans="1:19" s="388" customFormat="1" x14ac:dyDescent="0.3">
      <c r="A385" s="5" t="s">
        <v>533</v>
      </c>
      <c r="B385" s="1430" t="s">
        <v>3449</v>
      </c>
      <c r="C385" s="398" t="s">
        <v>534</v>
      </c>
      <c r="D385" s="5" t="s">
        <v>31</v>
      </c>
      <c r="E385" s="5" t="s">
        <v>31</v>
      </c>
      <c r="F385" s="5" t="s">
        <v>549</v>
      </c>
      <c r="G385" s="5" t="s">
        <v>2797</v>
      </c>
      <c r="H385" s="5" t="s">
        <v>3898</v>
      </c>
      <c r="I385" s="5" t="s">
        <v>767</v>
      </c>
      <c r="J385" t="s">
        <v>1200</v>
      </c>
      <c r="K385" s="5" t="s">
        <v>2214</v>
      </c>
      <c r="L385" s="5"/>
      <c r="M385" s="387">
        <v>51</v>
      </c>
      <c r="N385" s="387">
        <v>308</v>
      </c>
      <c r="O385" s="387">
        <v>7</v>
      </c>
      <c r="P385" s="387">
        <v>41</v>
      </c>
      <c r="Q385" s="387">
        <v>0</v>
      </c>
      <c r="R385" s="387">
        <v>0</v>
      </c>
      <c r="S385" s="1174">
        <f>Locations[[#This Row],[Ind_Returnees]]+Locations[[#This Row],[Ind_Refugees]]+Locations[[#This Row],[Ind_IDPs]]</f>
        <v>349</v>
      </c>
    </row>
    <row r="386" spans="1:19" s="388" customFormat="1" x14ac:dyDescent="0.3">
      <c r="A386" s="5" t="s">
        <v>533</v>
      </c>
      <c r="B386" s="1430" t="s">
        <v>3449</v>
      </c>
      <c r="C386" s="398" t="s">
        <v>534</v>
      </c>
      <c r="D386" s="5" t="s">
        <v>31</v>
      </c>
      <c r="E386" s="5" t="s">
        <v>31</v>
      </c>
      <c r="F386" s="5" t="s">
        <v>549</v>
      </c>
      <c r="G386" s="5" t="s">
        <v>171</v>
      </c>
      <c r="H386" s="5" t="s">
        <v>171</v>
      </c>
      <c r="I386" s="5" t="s">
        <v>634</v>
      </c>
      <c r="J386" t="s">
        <v>974</v>
      </c>
      <c r="K386" s="5" t="s">
        <v>843</v>
      </c>
      <c r="L386" s="5"/>
      <c r="M386" s="387">
        <v>12</v>
      </c>
      <c r="N386" s="387">
        <v>157</v>
      </c>
      <c r="O386" s="387">
        <v>0</v>
      </c>
      <c r="P386" s="387">
        <v>0</v>
      </c>
      <c r="Q386" s="387">
        <v>0</v>
      </c>
      <c r="R386" s="387">
        <v>0</v>
      </c>
      <c r="S386" s="1174">
        <f>Locations[[#This Row],[Ind_Returnees]]+Locations[[#This Row],[Ind_Refugees]]+Locations[[#This Row],[Ind_IDPs]]</f>
        <v>157</v>
      </c>
    </row>
    <row r="387" spans="1:19" s="388" customFormat="1" x14ac:dyDescent="0.3">
      <c r="A387" s="5" t="s">
        <v>533</v>
      </c>
      <c r="B387" s="1430" t="s">
        <v>3449</v>
      </c>
      <c r="C387" s="398" t="s">
        <v>534</v>
      </c>
      <c r="D387" s="5" t="s">
        <v>31</v>
      </c>
      <c r="E387" s="5" t="s">
        <v>31</v>
      </c>
      <c r="F387" s="5" t="s">
        <v>549</v>
      </c>
      <c r="G387" s="5" t="s">
        <v>171</v>
      </c>
      <c r="H387" s="5" t="s">
        <v>171</v>
      </c>
      <c r="I387" s="5" t="s">
        <v>634</v>
      </c>
      <c r="J387" t="s">
        <v>847</v>
      </c>
      <c r="K387" s="5" t="s">
        <v>2595</v>
      </c>
      <c r="L387" s="5"/>
      <c r="M387" s="387">
        <v>0</v>
      </c>
      <c r="N387" s="387">
        <v>0</v>
      </c>
      <c r="O387" s="387">
        <v>0</v>
      </c>
      <c r="P387" s="387">
        <v>0</v>
      </c>
      <c r="Q387" s="387">
        <v>0</v>
      </c>
      <c r="R387" s="387">
        <v>0</v>
      </c>
      <c r="S387" s="1174">
        <f>Locations[[#This Row],[Ind_Returnees]]+Locations[[#This Row],[Ind_Refugees]]+Locations[[#This Row],[Ind_IDPs]]</f>
        <v>0</v>
      </c>
    </row>
    <row r="388" spans="1:19" s="388" customFormat="1" x14ac:dyDescent="0.3">
      <c r="A388" s="5" t="s">
        <v>533</v>
      </c>
      <c r="B388" s="1430" t="s">
        <v>3449</v>
      </c>
      <c r="C388" s="1090" t="s">
        <v>534</v>
      </c>
      <c r="D388" s="5" t="s">
        <v>31</v>
      </c>
      <c r="E388" s="5" t="s">
        <v>31</v>
      </c>
      <c r="F388" s="5" t="s">
        <v>549</v>
      </c>
      <c r="G388" s="5" t="s">
        <v>171</v>
      </c>
      <c r="H388" s="5" t="s">
        <v>171</v>
      </c>
      <c r="I388" s="5" t="s">
        <v>634</v>
      </c>
      <c r="J388" t="s">
        <v>1976</v>
      </c>
      <c r="K388" s="5" t="s">
        <v>803</v>
      </c>
      <c r="L388" s="5"/>
      <c r="M388" s="387">
        <v>17</v>
      </c>
      <c r="N388" s="387">
        <v>102</v>
      </c>
      <c r="O388" s="387">
        <v>42</v>
      </c>
      <c r="P388" s="387">
        <v>262</v>
      </c>
      <c r="Q388" s="387">
        <v>0</v>
      </c>
      <c r="R388" s="387">
        <v>0</v>
      </c>
      <c r="S388" s="1174">
        <f>Locations[[#This Row],[Ind_Returnees]]+Locations[[#This Row],[Ind_Refugees]]+Locations[[#This Row],[Ind_IDPs]]</f>
        <v>364</v>
      </c>
    </row>
    <row r="389" spans="1:19" s="388" customFormat="1" x14ac:dyDescent="0.3">
      <c r="A389" s="5" t="s">
        <v>533</v>
      </c>
      <c r="B389" s="1430" t="s">
        <v>3449</v>
      </c>
      <c r="C389" s="1090" t="s">
        <v>534</v>
      </c>
      <c r="D389" s="5" t="s">
        <v>34</v>
      </c>
      <c r="E389" s="5" t="s">
        <v>34</v>
      </c>
      <c r="F389" s="5" t="s">
        <v>539</v>
      </c>
      <c r="G389" s="5" t="s">
        <v>188</v>
      </c>
      <c r="H389" s="5" t="s">
        <v>188</v>
      </c>
      <c r="I389" s="5" t="s">
        <v>546</v>
      </c>
      <c r="J389" t="s">
        <v>1181</v>
      </c>
      <c r="K389" s="5" t="s">
        <v>758</v>
      </c>
      <c r="L389" s="5"/>
      <c r="M389" s="387">
        <v>247</v>
      </c>
      <c r="N389" s="387">
        <v>1257</v>
      </c>
      <c r="O389" s="387">
        <v>0</v>
      </c>
      <c r="P389" s="387">
        <v>0</v>
      </c>
      <c r="Q389" s="387">
        <v>5</v>
      </c>
      <c r="R389" s="387">
        <v>20</v>
      </c>
      <c r="S389" s="1174">
        <f>Locations[[#This Row],[Ind_Returnees]]+Locations[[#This Row],[Ind_Refugees]]+Locations[[#This Row],[Ind_IDPs]]</f>
        <v>1277</v>
      </c>
    </row>
    <row r="390" spans="1:19" s="388" customFormat="1" x14ac:dyDescent="0.3">
      <c r="A390" s="5" t="s">
        <v>533</v>
      </c>
      <c r="B390" s="1430" t="s">
        <v>3449</v>
      </c>
      <c r="C390" s="398" t="s">
        <v>534</v>
      </c>
      <c r="D390" s="5" t="s">
        <v>34</v>
      </c>
      <c r="E390" s="5" t="s">
        <v>34</v>
      </c>
      <c r="F390" s="5" t="s">
        <v>539</v>
      </c>
      <c r="G390" s="5" t="s">
        <v>188</v>
      </c>
      <c r="H390" s="5" t="s">
        <v>188</v>
      </c>
      <c r="I390" s="5" t="s">
        <v>546</v>
      </c>
      <c r="J390" t="s">
        <v>757</v>
      </c>
      <c r="K390" s="5" t="s">
        <v>805</v>
      </c>
      <c r="L390" s="5"/>
      <c r="M390" s="387">
        <v>160</v>
      </c>
      <c r="N390" s="387">
        <v>732</v>
      </c>
      <c r="O390" s="387">
        <v>0</v>
      </c>
      <c r="P390" s="387">
        <v>0</v>
      </c>
      <c r="Q390" s="387">
        <v>0</v>
      </c>
      <c r="R390" s="387">
        <v>0</v>
      </c>
      <c r="S390" s="1174">
        <f>Locations[[#This Row],[Ind_Returnees]]+Locations[[#This Row],[Ind_Refugees]]+Locations[[#This Row],[Ind_IDPs]]</f>
        <v>732</v>
      </c>
    </row>
    <row r="391" spans="1:19" s="388" customFormat="1" x14ac:dyDescent="0.3">
      <c r="A391" s="5" t="s">
        <v>533</v>
      </c>
      <c r="B391" s="1430" t="s">
        <v>3449</v>
      </c>
      <c r="C391" s="398" t="s">
        <v>534</v>
      </c>
      <c r="D391" s="5" t="s">
        <v>31</v>
      </c>
      <c r="E391" s="5" t="s">
        <v>31</v>
      </c>
      <c r="F391" s="5" t="s">
        <v>549</v>
      </c>
      <c r="G391" s="5" t="s">
        <v>166</v>
      </c>
      <c r="H391" s="5" t="s">
        <v>166</v>
      </c>
      <c r="I391" s="5" t="s">
        <v>844</v>
      </c>
      <c r="J391" t="s">
        <v>2865</v>
      </c>
      <c r="K391" s="5" t="s">
        <v>2498</v>
      </c>
      <c r="L391" s="5"/>
      <c r="M391" s="387">
        <v>0</v>
      </c>
      <c r="N391" s="387">
        <v>0</v>
      </c>
      <c r="O391" s="387">
        <v>0</v>
      </c>
      <c r="P391" s="387">
        <v>0</v>
      </c>
      <c r="Q391" s="387">
        <v>0</v>
      </c>
      <c r="R391" s="387">
        <v>0</v>
      </c>
      <c r="S391" s="1174">
        <f>Locations[[#This Row],[Ind_Returnees]]+Locations[[#This Row],[Ind_Refugees]]+Locations[[#This Row],[Ind_IDPs]]</f>
        <v>0</v>
      </c>
    </row>
    <row r="392" spans="1:19" s="388" customFormat="1" x14ac:dyDescent="0.3">
      <c r="A392" s="5" t="s">
        <v>533</v>
      </c>
      <c r="B392" s="1430" t="s">
        <v>3449</v>
      </c>
      <c r="C392" s="1090" t="s">
        <v>534</v>
      </c>
      <c r="D392" s="5" t="s">
        <v>31</v>
      </c>
      <c r="E392" s="5" t="s">
        <v>31</v>
      </c>
      <c r="F392" s="5" t="s">
        <v>549</v>
      </c>
      <c r="G392" s="5" t="s">
        <v>169</v>
      </c>
      <c r="H392" s="5" t="s">
        <v>169</v>
      </c>
      <c r="I392" s="5" t="s">
        <v>673</v>
      </c>
      <c r="J392" t="s">
        <v>3029</v>
      </c>
      <c r="K392" s="5" t="s">
        <v>2341</v>
      </c>
      <c r="L392" s="5"/>
      <c r="M392" s="387">
        <v>0</v>
      </c>
      <c r="N392" s="387">
        <v>0</v>
      </c>
      <c r="O392" s="387">
        <v>0</v>
      </c>
      <c r="P392" s="387">
        <v>0</v>
      </c>
      <c r="Q392" s="387">
        <v>5</v>
      </c>
      <c r="R392" s="387">
        <v>20</v>
      </c>
      <c r="S392" s="1174">
        <f>Locations[[#This Row],[Ind_Returnees]]+Locations[[#This Row],[Ind_Refugees]]+Locations[[#This Row],[Ind_IDPs]]</f>
        <v>20</v>
      </c>
    </row>
    <row r="393" spans="1:19" s="388" customFormat="1" x14ac:dyDescent="0.3">
      <c r="A393" s="5" t="s">
        <v>533</v>
      </c>
      <c r="B393" s="1430" t="s">
        <v>3449</v>
      </c>
      <c r="C393" s="398" t="s">
        <v>534</v>
      </c>
      <c r="D393" s="5" t="s">
        <v>35</v>
      </c>
      <c r="E393" s="5" t="s">
        <v>35</v>
      </c>
      <c r="F393" s="5" t="s">
        <v>567</v>
      </c>
      <c r="G393" s="5" t="s">
        <v>196</v>
      </c>
      <c r="H393" s="5" t="s">
        <v>3984</v>
      </c>
      <c r="I393" s="5" t="s">
        <v>568</v>
      </c>
      <c r="J393" t="s">
        <v>2110</v>
      </c>
      <c r="K393" s="5" t="s">
        <v>2111</v>
      </c>
      <c r="L393" s="5"/>
      <c r="M393" s="387">
        <v>0</v>
      </c>
      <c r="N393" s="387">
        <v>0</v>
      </c>
      <c r="O393" s="387">
        <v>0</v>
      </c>
      <c r="P393" s="387">
        <v>0</v>
      </c>
      <c r="Q393" s="387">
        <v>5</v>
      </c>
      <c r="R393" s="387">
        <v>28</v>
      </c>
      <c r="S393" s="1174">
        <f>Locations[[#This Row],[Ind_Returnees]]+Locations[[#This Row],[Ind_Refugees]]+Locations[[#This Row],[Ind_IDPs]]</f>
        <v>28</v>
      </c>
    </row>
    <row r="394" spans="1:19" s="388" customFormat="1" x14ac:dyDescent="0.3">
      <c r="A394" s="5" t="s">
        <v>533</v>
      </c>
      <c r="B394" s="1430" t="s">
        <v>3449</v>
      </c>
      <c r="C394" s="1090" t="s">
        <v>534</v>
      </c>
      <c r="D394" s="5" t="s">
        <v>31</v>
      </c>
      <c r="E394" s="5" t="s">
        <v>31</v>
      </c>
      <c r="F394" s="5" t="s">
        <v>549</v>
      </c>
      <c r="G394" s="5" t="s">
        <v>166</v>
      </c>
      <c r="H394" s="5" t="s">
        <v>166</v>
      </c>
      <c r="I394" s="5" t="s">
        <v>844</v>
      </c>
      <c r="J394" t="s">
        <v>2493</v>
      </c>
      <c r="K394" s="5" t="s">
        <v>1559</v>
      </c>
      <c r="L394" s="5"/>
      <c r="M394" s="387">
        <v>2394</v>
      </c>
      <c r="N394" s="387">
        <v>12380</v>
      </c>
      <c r="O394" s="387">
        <v>680</v>
      </c>
      <c r="P394" s="387">
        <v>3808</v>
      </c>
      <c r="Q394" s="387">
        <v>1386</v>
      </c>
      <c r="R394" s="387">
        <v>10504</v>
      </c>
      <c r="S394" s="1174">
        <f>Locations[[#This Row],[Ind_Returnees]]+Locations[[#This Row],[Ind_Refugees]]+Locations[[#This Row],[Ind_IDPs]]</f>
        <v>26692</v>
      </c>
    </row>
    <row r="395" spans="1:19" s="388" customFormat="1" x14ac:dyDescent="0.3">
      <c r="A395" s="5" t="s">
        <v>533</v>
      </c>
      <c r="B395" s="1430" t="s">
        <v>3449</v>
      </c>
      <c r="C395" s="1090" t="s">
        <v>534</v>
      </c>
      <c r="D395" s="5" t="s">
        <v>31</v>
      </c>
      <c r="E395" s="5" t="s">
        <v>31</v>
      </c>
      <c r="F395" s="5" t="s">
        <v>549</v>
      </c>
      <c r="G395" s="5" t="s">
        <v>171</v>
      </c>
      <c r="H395" s="5" t="s">
        <v>171</v>
      </c>
      <c r="I395" s="5" t="s">
        <v>634</v>
      </c>
      <c r="J395" t="s">
        <v>1741</v>
      </c>
      <c r="K395" s="5" t="s">
        <v>1932</v>
      </c>
      <c r="L395" s="5"/>
      <c r="M395" s="387">
        <v>3</v>
      </c>
      <c r="N395" s="387">
        <v>30</v>
      </c>
      <c r="O395" s="387">
        <v>0</v>
      </c>
      <c r="P395" s="387">
        <v>0</v>
      </c>
      <c r="Q395" s="387">
        <v>0</v>
      </c>
      <c r="R395" s="387">
        <v>0</v>
      </c>
      <c r="S395" s="1174">
        <f>Locations[[#This Row],[Ind_Returnees]]+Locations[[#This Row],[Ind_Refugees]]+Locations[[#This Row],[Ind_IDPs]]</f>
        <v>30</v>
      </c>
    </row>
    <row r="396" spans="1:19" s="388" customFormat="1" x14ac:dyDescent="0.3">
      <c r="A396" s="5" t="s">
        <v>533</v>
      </c>
      <c r="B396" s="1430" t="s">
        <v>3449</v>
      </c>
      <c r="C396" s="398" t="s">
        <v>534</v>
      </c>
      <c r="D396" s="5" t="s">
        <v>32</v>
      </c>
      <c r="E396" s="5" t="s">
        <v>32</v>
      </c>
      <c r="F396" s="5" t="s">
        <v>542</v>
      </c>
      <c r="G396" s="5" t="s">
        <v>177</v>
      </c>
      <c r="H396" s="5" t="s">
        <v>177</v>
      </c>
      <c r="I396" s="5" t="s">
        <v>777</v>
      </c>
      <c r="J396" t="s">
        <v>2286</v>
      </c>
      <c r="K396" s="5" t="s">
        <v>1652</v>
      </c>
      <c r="L396" s="5"/>
      <c r="M396" s="387">
        <v>159</v>
      </c>
      <c r="N396" s="387">
        <v>536</v>
      </c>
      <c r="O396" s="387">
        <v>0</v>
      </c>
      <c r="P396" s="387">
        <v>0</v>
      </c>
      <c r="Q396" s="387">
        <v>0</v>
      </c>
      <c r="R396" s="387">
        <v>0</v>
      </c>
      <c r="S396" s="1174">
        <f>Locations[[#This Row],[Ind_Returnees]]+Locations[[#This Row],[Ind_Refugees]]+Locations[[#This Row],[Ind_IDPs]]</f>
        <v>536</v>
      </c>
    </row>
    <row r="397" spans="1:19" s="388" customFormat="1" x14ac:dyDescent="0.3">
      <c r="A397" s="5" t="s">
        <v>533</v>
      </c>
      <c r="B397" s="1430" t="s">
        <v>3449</v>
      </c>
      <c r="C397" s="1090" t="s">
        <v>534</v>
      </c>
      <c r="D397" s="5" t="s">
        <v>32</v>
      </c>
      <c r="E397" s="5" t="s">
        <v>32</v>
      </c>
      <c r="F397" s="5" t="s">
        <v>542</v>
      </c>
      <c r="G397" s="5" t="s">
        <v>177</v>
      </c>
      <c r="H397" s="5" t="s">
        <v>177</v>
      </c>
      <c r="I397" s="5" t="s">
        <v>777</v>
      </c>
      <c r="J397" t="s">
        <v>1651</v>
      </c>
      <c r="K397" s="5" t="s">
        <v>1650</v>
      </c>
      <c r="L397" s="5"/>
      <c r="M397" s="387">
        <v>160</v>
      </c>
      <c r="N397" s="387">
        <v>515</v>
      </c>
      <c r="O397" s="387">
        <v>0</v>
      </c>
      <c r="P397" s="387">
        <v>0</v>
      </c>
      <c r="Q397" s="387">
        <v>45</v>
      </c>
      <c r="R397" s="387">
        <v>295</v>
      </c>
      <c r="S397" s="1174">
        <f>Locations[[#This Row],[Ind_Returnees]]+Locations[[#This Row],[Ind_Refugees]]+Locations[[#This Row],[Ind_IDPs]]</f>
        <v>810</v>
      </c>
    </row>
    <row r="398" spans="1:19" s="388" customFormat="1" x14ac:dyDescent="0.3">
      <c r="A398" s="5" t="s">
        <v>533</v>
      </c>
      <c r="B398" s="1430" t="s">
        <v>3449</v>
      </c>
      <c r="C398" s="1090" t="s">
        <v>534</v>
      </c>
      <c r="D398" s="5" t="s">
        <v>35</v>
      </c>
      <c r="E398" s="5" t="s">
        <v>35</v>
      </c>
      <c r="F398" s="5" t="s">
        <v>567</v>
      </c>
      <c r="G398" s="5" t="s">
        <v>192</v>
      </c>
      <c r="H398" s="5" t="s">
        <v>192</v>
      </c>
      <c r="I398" s="5" t="s">
        <v>853</v>
      </c>
      <c r="J398" t="s">
        <v>1410</v>
      </c>
      <c r="K398" s="5" t="s">
        <v>1407</v>
      </c>
      <c r="L398" s="5"/>
      <c r="M398" s="387">
        <v>92</v>
      </c>
      <c r="N398" s="387">
        <v>645</v>
      </c>
      <c r="O398" s="387">
        <v>0</v>
      </c>
      <c r="P398" s="387">
        <v>0</v>
      </c>
      <c r="Q398" s="387">
        <v>0</v>
      </c>
      <c r="R398" s="387">
        <v>0</v>
      </c>
      <c r="S398" s="1174">
        <f>Locations[[#This Row],[Ind_Returnees]]+Locations[[#This Row],[Ind_Refugees]]+Locations[[#This Row],[Ind_IDPs]]</f>
        <v>645</v>
      </c>
    </row>
    <row r="399" spans="1:19" s="388" customFormat="1" x14ac:dyDescent="0.3">
      <c r="A399" s="5" t="s">
        <v>533</v>
      </c>
      <c r="B399" s="1430" t="s">
        <v>3449</v>
      </c>
      <c r="C399" s="1090" t="s">
        <v>534</v>
      </c>
      <c r="D399" s="5" t="s">
        <v>35</v>
      </c>
      <c r="E399" s="5" t="s">
        <v>35</v>
      </c>
      <c r="F399" s="5" t="s">
        <v>567</v>
      </c>
      <c r="G399" s="5" t="s">
        <v>192</v>
      </c>
      <c r="H399" s="5" t="s">
        <v>192</v>
      </c>
      <c r="I399" s="5" t="s">
        <v>853</v>
      </c>
      <c r="J399" t="s">
        <v>1406</v>
      </c>
      <c r="K399" s="5" t="s">
        <v>1401</v>
      </c>
      <c r="L399" s="5"/>
      <c r="M399" s="387">
        <v>272</v>
      </c>
      <c r="N399" s="387">
        <v>1547</v>
      </c>
      <c r="O399" s="387">
        <v>0</v>
      </c>
      <c r="P399" s="387">
        <v>0</v>
      </c>
      <c r="Q399" s="387">
        <v>0</v>
      </c>
      <c r="R399" s="387">
        <v>0</v>
      </c>
      <c r="S399" s="1174">
        <f>Locations[[#This Row],[Ind_Returnees]]+Locations[[#This Row],[Ind_Refugees]]+Locations[[#This Row],[Ind_IDPs]]</f>
        <v>1547</v>
      </c>
    </row>
    <row r="400" spans="1:19" s="388" customFormat="1" x14ac:dyDescent="0.3">
      <c r="A400" s="5" t="s">
        <v>533</v>
      </c>
      <c r="B400" s="1430" t="s">
        <v>3449</v>
      </c>
      <c r="C400" s="1090" t="s">
        <v>534</v>
      </c>
      <c r="D400" s="5" t="s">
        <v>35</v>
      </c>
      <c r="E400" s="5" t="s">
        <v>35</v>
      </c>
      <c r="F400" s="5" t="s">
        <v>567</v>
      </c>
      <c r="G400" s="5" t="s">
        <v>192</v>
      </c>
      <c r="H400" s="5" t="s">
        <v>192</v>
      </c>
      <c r="I400" s="5" t="s">
        <v>853</v>
      </c>
      <c r="J400" t="s">
        <v>2867</v>
      </c>
      <c r="K400" s="5" t="s">
        <v>944</v>
      </c>
      <c r="L400" s="5"/>
      <c r="M400" s="387">
        <v>95</v>
      </c>
      <c r="N400" s="387">
        <v>443</v>
      </c>
      <c r="O400" s="387">
        <v>0</v>
      </c>
      <c r="P400" s="387">
        <v>0</v>
      </c>
      <c r="Q400" s="387">
        <v>6</v>
      </c>
      <c r="R400" s="387">
        <v>40</v>
      </c>
      <c r="S400" s="1174">
        <f>Locations[[#This Row],[Ind_Returnees]]+Locations[[#This Row],[Ind_Refugees]]+Locations[[#This Row],[Ind_IDPs]]</f>
        <v>483</v>
      </c>
    </row>
    <row r="401" spans="1:19" s="388" customFormat="1" x14ac:dyDescent="0.3">
      <c r="A401" s="5" t="s">
        <v>533</v>
      </c>
      <c r="B401" s="1430" t="s">
        <v>3449</v>
      </c>
      <c r="C401" s="398" t="s">
        <v>534</v>
      </c>
      <c r="D401" s="5" t="s">
        <v>32</v>
      </c>
      <c r="E401" s="5" t="s">
        <v>32</v>
      </c>
      <c r="F401" s="5" t="s">
        <v>542</v>
      </c>
      <c r="G401" s="5" t="s">
        <v>176</v>
      </c>
      <c r="H401" s="5" t="s">
        <v>176</v>
      </c>
      <c r="I401" s="5" t="s">
        <v>772</v>
      </c>
      <c r="J401" t="s">
        <v>2308</v>
      </c>
      <c r="K401" s="5" t="s">
        <v>2309</v>
      </c>
      <c r="L401" s="5"/>
      <c r="M401" s="387">
        <v>0</v>
      </c>
      <c r="N401" s="387">
        <v>0</v>
      </c>
      <c r="O401" s="387">
        <v>0</v>
      </c>
      <c r="P401" s="387">
        <v>0</v>
      </c>
      <c r="Q401" s="387">
        <v>13</v>
      </c>
      <c r="R401" s="387">
        <v>118</v>
      </c>
      <c r="S401" s="1174">
        <f>Locations[[#This Row],[Ind_Returnees]]+Locations[[#This Row],[Ind_Refugees]]+Locations[[#This Row],[Ind_IDPs]]</f>
        <v>118</v>
      </c>
    </row>
    <row r="402" spans="1:19" s="388" customFormat="1" x14ac:dyDescent="0.3">
      <c r="A402" s="5" t="s">
        <v>533</v>
      </c>
      <c r="B402" s="1430" t="s">
        <v>3449</v>
      </c>
      <c r="C402" s="1090" t="s">
        <v>534</v>
      </c>
      <c r="D402" s="5" t="s">
        <v>31</v>
      </c>
      <c r="E402" s="5" t="s">
        <v>31</v>
      </c>
      <c r="F402" s="5" t="s">
        <v>549</v>
      </c>
      <c r="G402" s="5" t="s">
        <v>169</v>
      </c>
      <c r="H402" s="5" t="s">
        <v>169</v>
      </c>
      <c r="I402" s="5" t="s">
        <v>673</v>
      </c>
      <c r="J402" t="s">
        <v>2868</v>
      </c>
      <c r="K402" s="5" t="s">
        <v>1132</v>
      </c>
      <c r="L402" s="5"/>
      <c r="M402" s="387">
        <v>65</v>
      </c>
      <c r="N402" s="387">
        <v>276</v>
      </c>
      <c r="O402" s="387">
        <v>0</v>
      </c>
      <c r="P402" s="387">
        <v>0</v>
      </c>
      <c r="Q402" s="387">
        <v>0</v>
      </c>
      <c r="R402" s="387">
        <v>0</v>
      </c>
      <c r="S402" s="1174">
        <f>Locations[[#This Row],[Ind_Returnees]]+Locations[[#This Row],[Ind_Refugees]]+Locations[[#This Row],[Ind_IDPs]]</f>
        <v>276</v>
      </c>
    </row>
    <row r="403" spans="1:19" s="388" customFormat="1" x14ac:dyDescent="0.3">
      <c r="A403" s="5" t="s">
        <v>533</v>
      </c>
      <c r="B403" s="1430" t="s">
        <v>3449</v>
      </c>
      <c r="C403" s="1090" t="s">
        <v>534</v>
      </c>
      <c r="D403" s="5" t="s">
        <v>34</v>
      </c>
      <c r="E403" s="5" t="s">
        <v>34</v>
      </c>
      <c r="F403" s="5" t="s">
        <v>539</v>
      </c>
      <c r="G403" s="5" t="s">
        <v>189</v>
      </c>
      <c r="H403" s="5" t="s">
        <v>189</v>
      </c>
      <c r="I403" s="5" t="s">
        <v>590</v>
      </c>
      <c r="J403" t="s">
        <v>2693</v>
      </c>
      <c r="K403" s="5" t="s">
        <v>2694</v>
      </c>
      <c r="L403" s="5"/>
      <c r="M403" s="387">
        <v>0</v>
      </c>
      <c r="N403" s="387">
        <v>0</v>
      </c>
      <c r="O403" s="387">
        <v>0</v>
      </c>
      <c r="P403" s="387">
        <v>0</v>
      </c>
      <c r="Q403" s="387">
        <v>0</v>
      </c>
      <c r="R403" s="387">
        <v>0</v>
      </c>
      <c r="S403" s="1174">
        <f>Locations[[#This Row],[Ind_Returnees]]+Locations[[#This Row],[Ind_Refugees]]+Locations[[#This Row],[Ind_IDPs]]</f>
        <v>0</v>
      </c>
    </row>
    <row r="404" spans="1:19" s="388" customFormat="1" x14ac:dyDescent="0.3">
      <c r="A404" s="5" t="s">
        <v>533</v>
      </c>
      <c r="B404" s="1430" t="s">
        <v>3449</v>
      </c>
      <c r="C404" s="398" t="s">
        <v>534</v>
      </c>
      <c r="D404" s="5" t="s">
        <v>31</v>
      </c>
      <c r="E404" s="5" t="s">
        <v>31</v>
      </c>
      <c r="F404" s="5" t="s">
        <v>549</v>
      </c>
      <c r="G404" s="5" t="s">
        <v>166</v>
      </c>
      <c r="H404" s="5" t="s">
        <v>166</v>
      </c>
      <c r="I404" s="5" t="s">
        <v>844</v>
      </c>
      <c r="J404" t="s">
        <v>965</v>
      </c>
      <c r="K404" s="5" t="s">
        <v>1701</v>
      </c>
      <c r="L404" s="5"/>
      <c r="M404" s="387">
        <v>115</v>
      </c>
      <c r="N404" s="387">
        <v>545</v>
      </c>
      <c r="O404" s="387">
        <v>0</v>
      </c>
      <c r="P404" s="387">
        <v>0</v>
      </c>
      <c r="Q404" s="387">
        <v>0</v>
      </c>
      <c r="R404" s="387">
        <v>0</v>
      </c>
      <c r="S404" s="1174">
        <f>Locations[[#This Row],[Ind_Returnees]]+Locations[[#This Row],[Ind_Refugees]]+Locations[[#This Row],[Ind_IDPs]]</f>
        <v>545</v>
      </c>
    </row>
    <row r="405" spans="1:19" s="388" customFormat="1" x14ac:dyDescent="0.3">
      <c r="A405" s="5" t="s">
        <v>533</v>
      </c>
      <c r="B405" s="1430" t="s">
        <v>3449</v>
      </c>
      <c r="C405" s="398" t="s">
        <v>534</v>
      </c>
      <c r="D405" s="5" t="s">
        <v>30</v>
      </c>
      <c r="E405" s="5" t="s">
        <v>3522</v>
      </c>
      <c r="F405" s="5" t="s">
        <v>535</v>
      </c>
      <c r="G405" s="5" t="s">
        <v>160</v>
      </c>
      <c r="H405" s="5" t="s">
        <v>3528</v>
      </c>
      <c r="I405" s="5" t="s">
        <v>555</v>
      </c>
      <c r="J405" t="s">
        <v>2869</v>
      </c>
      <c r="K405" s="5" t="s">
        <v>700</v>
      </c>
      <c r="L405" s="5"/>
      <c r="M405" s="387">
        <v>12</v>
      </c>
      <c r="N405" s="387">
        <v>203</v>
      </c>
      <c r="O405" s="387">
        <v>0</v>
      </c>
      <c r="P405" s="387">
        <v>0</v>
      </c>
      <c r="Q405" s="387">
        <v>0</v>
      </c>
      <c r="R405" s="387">
        <v>0</v>
      </c>
      <c r="S405" s="1174">
        <f>Locations[[#This Row],[Ind_Returnees]]+Locations[[#This Row],[Ind_Refugees]]+Locations[[#This Row],[Ind_IDPs]]</f>
        <v>203</v>
      </c>
    </row>
    <row r="406" spans="1:19" s="388" customFormat="1" x14ac:dyDescent="0.3">
      <c r="A406" s="5" t="s">
        <v>533</v>
      </c>
      <c r="B406" s="1430" t="s">
        <v>3449</v>
      </c>
      <c r="C406" s="1090" t="s">
        <v>534</v>
      </c>
      <c r="D406" s="5" t="s">
        <v>31</v>
      </c>
      <c r="E406" s="5" t="s">
        <v>31</v>
      </c>
      <c r="F406" s="5" t="s">
        <v>549</v>
      </c>
      <c r="G406" s="5" t="s">
        <v>169</v>
      </c>
      <c r="H406" s="5" t="s">
        <v>169</v>
      </c>
      <c r="I406" s="5" t="s">
        <v>673</v>
      </c>
      <c r="J406" t="s">
        <v>2848</v>
      </c>
      <c r="K406" s="5" t="s">
        <v>2345</v>
      </c>
      <c r="L406" s="5"/>
      <c r="M406" s="387">
        <v>0</v>
      </c>
      <c r="N406" s="387">
        <v>0</v>
      </c>
      <c r="O406" s="387">
        <v>0</v>
      </c>
      <c r="P406" s="387">
        <v>0</v>
      </c>
      <c r="Q406" s="387">
        <v>28</v>
      </c>
      <c r="R406" s="387">
        <v>107</v>
      </c>
      <c r="S406" s="1174">
        <f>Locations[[#This Row],[Ind_Returnees]]+Locations[[#This Row],[Ind_Refugees]]+Locations[[#This Row],[Ind_IDPs]]</f>
        <v>107</v>
      </c>
    </row>
    <row r="407" spans="1:19" s="388" customFormat="1" x14ac:dyDescent="0.3">
      <c r="A407" s="5" t="s">
        <v>533</v>
      </c>
      <c r="B407" s="1430" t="s">
        <v>3449</v>
      </c>
      <c r="C407" s="398" t="s">
        <v>534</v>
      </c>
      <c r="D407" s="5" t="s">
        <v>35</v>
      </c>
      <c r="E407" s="5" t="s">
        <v>35</v>
      </c>
      <c r="F407" s="5" t="s">
        <v>567</v>
      </c>
      <c r="G407" s="5" t="s">
        <v>192</v>
      </c>
      <c r="H407" s="5" t="s">
        <v>192</v>
      </c>
      <c r="I407" s="5" t="s">
        <v>853</v>
      </c>
      <c r="J407" t="s">
        <v>1400</v>
      </c>
      <c r="K407" s="5" t="s">
        <v>1455</v>
      </c>
      <c r="L407" s="5"/>
      <c r="M407" s="387">
        <v>83</v>
      </c>
      <c r="N407" s="387">
        <v>427</v>
      </c>
      <c r="O407" s="387">
        <v>0</v>
      </c>
      <c r="P407" s="387">
        <v>0</v>
      </c>
      <c r="Q407" s="387">
        <v>22</v>
      </c>
      <c r="R407" s="387">
        <v>86</v>
      </c>
      <c r="S407" s="1174">
        <f>Locations[[#This Row],[Ind_Returnees]]+Locations[[#This Row],[Ind_Refugees]]+Locations[[#This Row],[Ind_IDPs]]</f>
        <v>513</v>
      </c>
    </row>
    <row r="408" spans="1:19" s="388" customFormat="1" x14ac:dyDescent="0.3">
      <c r="A408" s="5" t="s">
        <v>533</v>
      </c>
      <c r="B408" s="1430" t="s">
        <v>3449</v>
      </c>
      <c r="C408" s="398" t="s">
        <v>534</v>
      </c>
      <c r="D408" s="5" t="s">
        <v>34</v>
      </c>
      <c r="E408" s="5" t="s">
        <v>34</v>
      </c>
      <c r="F408" s="5" t="s">
        <v>539</v>
      </c>
      <c r="G408" s="5" t="s">
        <v>187</v>
      </c>
      <c r="H408" s="5" t="s">
        <v>187</v>
      </c>
      <c r="I408" s="5" t="s">
        <v>951</v>
      </c>
      <c r="J408" t="s">
        <v>2871</v>
      </c>
      <c r="K408" s="5" t="s">
        <v>2283</v>
      </c>
      <c r="L408" s="5"/>
      <c r="M408" s="387">
        <v>0</v>
      </c>
      <c r="N408" s="387">
        <v>0</v>
      </c>
      <c r="O408" s="387">
        <v>0</v>
      </c>
      <c r="P408" s="387">
        <v>0</v>
      </c>
      <c r="Q408" s="387">
        <v>0</v>
      </c>
      <c r="R408" s="387">
        <v>0</v>
      </c>
      <c r="S408" s="1174">
        <f>Locations[[#This Row],[Ind_Returnees]]+Locations[[#This Row],[Ind_Refugees]]+Locations[[#This Row],[Ind_IDPs]]</f>
        <v>0</v>
      </c>
    </row>
    <row r="409" spans="1:19" s="388" customFormat="1" x14ac:dyDescent="0.3">
      <c r="A409" s="5" t="s">
        <v>533</v>
      </c>
      <c r="B409" s="1430" t="s">
        <v>3449</v>
      </c>
      <c r="C409" s="398" t="s">
        <v>534</v>
      </c>
      <c r="D409" s="5" t="s">
        <v>31</v>
      </c>
      <c r="E409" s="5" t="s">
        <v>31</v>
      </c>
      <c r="F409" s="5" t="s">
        <v>549</v>
      </c>
      <c r="G409" s="5" t="s">
        <v>173</v>
      </c>
      <c r="H409" s="5" t="s">
        <v>173</v>
      </c>
      <c r="I409" s="5" t="s">
        <v>556</v>
      </c>
      <c r="J409" t="s">
        <v>1434</v>
      </c>
      <c r="K409" s="5" t="s">
        <v>834</v>
      </c>
      <c r="L409" s="5"/>
      <c r="M409" s="387">
        <v>0</v>
      </c>
      <c r="N409" s="387">
        <v>0</v>
      </c>
      <c r="O409" s="387">
        <v>0</v>
      </c>
      <c r="P409" s="387">
        <v>0</v>
      </c>
      <c r="Q409" s="387">
        <v>0</v>
      </c>
      <c r="R409" s="387">
        <v>0</v>
      </c>
      <c r="S409" s="1174">
        <f>Locations[[#This Row],[Ind_Returnees]]+Locations[[#This Row],[Ind_Refugees]]+Locations[[#This Row],[Ind_IDPs]]</f>
        <v>0</v>
      </c>
    </row>
    <row r="410" spans="1:19" s="388" customFormat="1" x14ac:dyDescent="0.3">
      <c r="A410" s="5" t="s">
        <v>533</v>
      </c>
      <c r="B410" s="1430" t="s">
        <v>3449</v>
      </c>
      <c r="C410" s="1090" t="s">
        <v>534</v>
      </c>
      <c r="D410" s="5" t="s">
        <v>31</v>
      </c>
      <c r="E410" s="5" t="s">
        <v>31</v>
      </c>
      <c r="F410" s="5" t="s">
        <v>549</v>
      </c>
      <c r="G410" s="5" t="s">
        <v>173</v>
      </c>
      <c r="H410" s="5" t="s">
        <v>173</v>
      </c>
      <c r="I410" s="5" t="s">
        <v>556</v>
      </c>
      <c r="J410" t="s">
        <v>831</v>
      </c>
      <c r="K410" s="5" t="s">
        <v>825</v>
      </c>
      <c r="L410" s="5"/>
      <c r="M410" s="387">
        <v>0</v>
      </c>
      <c r="N410" s="387">
        <v>0</v>
      </c>
      <c r="O410" s="387">
        <v>0</v>
      </c>
      <c r="P410" s="387">
        <v>0</v>
      </c>
      <c r="Q410" s="387">
        <v>0</v>
      </c>
      <c r="R410" s="387">
        <v>0</v>
      </c>
      <c r="S410" s="1174">
        <f>Locations[[#This Row],[Ind_Returnees]]+Locations[[#This Row],[Ind_Refugees]]+Locations[[#This Row],[Ind_IDPs]]</f>
        <v>0</v>
      </c>
    </row>
    <row r="411" spans="1:19" s="388" customFormat="1" x14ac:dyDescent="0.3">
      <c r="A411" s="5" t="s">
        <v>533</v>
      </c>
      <c r="B411" s="1430" t="s">
        <v>3449</v>
      </c>
      <c r="C411" s="1090" t="s">
        <v>534</v>
      </c>
      <c r="D411" s="5" t="s">
        <v>35</v>
      </c>
      <c r="E411" s="5" t="s">
        <v>35</v>
      </c>
      <c r="F411" s="5" t="s">
        <v>567</v>
      </c>
      <c r="G411" s="5" t="s">
        <v>192</v>
      </c>
      <c r="H411" s="5" t="s">
        <v>192</v>
      </c>
      <c r="I411" s="5" t="s">
        <v>853</v>
      </c>
      <c r="J411" t="s">
        <v>1454</v>
      </c>
      <c r="K411" s="5" t="s">
        <v>1457</v>
      </c>
      <c r="L411" s="5"/>
      <c r="M411" s="387">
        <v>202</v>
      </c>
      <c r="N411" s="387">
        <v>1169</v>
      </c>
      <c r="O411" s="387">
        <v>0</v>
      </c>
      <c r="P411" s="387">
        <v>0</v>
      </c>
      <c r="Q411" s="387">
        <v>0</v>
      </c>
      <c r="R411" s="387">
        <v>0</v>
      </c>
      <c r="S411" s="1174">
        <f>Locations[[#This Row],[Ind_Returnees]]+Locations[[#This Row],[Ind_Refugees]]+Locations[[#This Row],[Ind_IDPs]]</f>
        <v>1169</v>
      </c>
    </row>
    <row r="412" spans="1:19" s="388" customFormat="1" x14ac:dyDescent="0.3">
      <c r="A412" s="5" t="s">
        <v>533</v>
      </c>
      <c r="B412" s="1430" t="s">
        <v>3449</v>
      </c>
      <c r="C412" s="398" t="s">
        <v>534</v>
      </c>
      <c r="D412" s="5" t="s">
        <v>31</v>
      </c>
      <c r="E412" s="5" t="s">
        <v>31</v>
      </c>
      <c r="F412" s="5" t="s">
        <v>549</v>
      </c>
      <c r="G412" s="5" t="s">
        <v>171</v>
      </c>
      <c r="H412" s="5" t="s">
        <v>171</v>
      </c>
      <c r="I412" s="5" t="s">
        <v>634</v>
      </c>
      <c r="J412" t="s">
        <v>1743</v>
      </c>
      <c r="K412" s="5" t="s">
        <v>924</v>
      </c>
      <c r="L412" s="5"/>
      <c r="M412" s="387">
        <v>7</v>
      </c>
      <c r="N412" s="387">
        <v>107</v>
      </c>
      <c r="O412" s="387">
        <v>24</v>
      </c>
      <c r="P412" s="387">
        <v>142</v>
      </c>
      <c r="Q412" s="387">
        <v>0</v>
      </c>
      <c r="R412" s="387">
        <v>0</v>
      </c>
      <c r="S412" s="1174">
        <f>Locations[[#This Row],[Ind_Returnees]]+Locations[[#This Row],[Ind_Refugees]]+Locations[[#This Row],[Ind_IDPs]]</f>
        <v>249</v>
      </c>
    </row>
    <row r="413" spans="1:19" s="388" customFormat="1" x14ac:dyDescent="0.3">
      <c r="A413" s="5" t="s">
        <v>533</v>
      </c>
      <c r="B413" s="1430" t="s">
        <v>3449</v>
      </c>
      <c r="C413" s="1090" t="s">
        <v>534</v>
      </c>
      <c r="D413" s="5" t="s">
        <v>31</v>
      </c>
      <c r="E413" s="5" t="s">
        <v>31</v>
      </c>
      <c r="F413" s="5" t="s">
        <v>549</v>
      </c>
      <c r="G413" s="5" t="s">
        <v>169</v>
      </c>
      <c r="H413" s="5" t="s">
        <v>169</v>
      </c>
      <c r="I413" s="5" t="s">
        <v>673</v>
      </c>
      <c r="J413" t="s">
        <v>1081</v>
      </c>
      <c r="K413" s="5" t="s">
        <v>1551</v>
      </c>
      <c r="L413" s="5"/>
      <c r="M413" s="387">
        <v>87</v>
      </c>
      <c r="N413" s="387">
        <v>429</v>
      </c>
      <c r="O413" s="387">
        <v>2</v>
      </c>
      <c r="P413" s="387">
        <v>12</v>
      </c>
      <c r="Q413" s="387">
        <v>0</v>
      </c>
      <c r="R413" s="387">
        <v>0</v>
      </c>
      <c r="S413" s="1174">
        <f>Locations[[#This Row],[Ind_Returnees]]+Locations[[#This Row],[Ind_Refugees]]+Locations[[#This Row],[Ind_IDPs]]</f>
        <v>441</v>
      </c>
    </row>
    <row r="414" spans="1:19" s="388" customFormat="1" x14ac:dyDescent="0.3">
      <c r="A414" s="5" t="s">
        <v>533</v>
      </c>
      <c r="B414" s="1430" t="s">
        <v>3449</v>
      </c>
      <c r="C414" s="1090" t="s">
        <v>534</v>
      </c>
      <c r="D414" s="5" t="s">
        <v>30</v>
      </c>
      <c r="E414" s="5" t="s">
        <v>3522</v>
      </c>
      <c r="F414" s="5" t="s">
        <v>535</v>
      </c>
      <c r="G414" s="1144" t="s">
        <v>158</v>
      </c>
      <c r="H414" s="1144" t="s">
        <v>158</v>
      </c>
      <c r="I414" s="5" t="s">
        <v>571</v>
      </c>
      <c r="J414" t="s">
        <v>572</v>
      </c>
      <c r="K414" s="5" t="s">
        <v>573</v>
      </c>
      <c r="L414" s="5"/>
      <c r="M414" s="387">
        <v>8</v>
      </c>
      <c r="N414" s="387">
        <v>62</v>
      </c>
      <c r="O414" s="387">
        <v>0</v>
      </c>
      <c r="P414" s="387">
        <v>0</v>
      </c>
      <c r="Q414" s="387">
        <v>0</v>
      </c>
      <c r="R414" s="387">
        <v>0</v>
      </c>
      <c r="S414" s="1174">
        <f>Locations[[#This Row],[Ind_Returnees]]+Locations[[#This Row],[Ind_Refugees]]+Locations[[#This Row],[Ind_IDPs]]</f>
        <v>62</v>
      </c>
    </row>
    <row r="415" spans="1:19" s="388" customFormat="1" x14ac:dyDescent="0.3">
      <c r="A415" s="5" t="s">
        <v>533</v>
      </c>
      <c r="B415" s="1430" t="s">
        <v>3449</v>
      </c>
      <c r="C415" s="1090" t="s">
        <v>534</v>
      </c>
      <c r="D415" s="5" t="s">
        <v>31</v>
      </c>
      <c r="E415" s="5" t="s">
        <v>31</v>
      </c>
      <c r="F415" s="5" t="s">
        <v>549</v>
      </c>
      <c r="G415" s="5" t="s">
        <v>171</v>
      </c>
      <c r="H415" s="5" t="s">
        <v>171</v>
      </c>
      <c r="I415" s="5" t="s">
        <v>634</v>
      </c>
      <c r="J415" t="s">
        <v>1974</v>
      </c>
      <c r="K415" s="5" t="s">
        <v>1817</v>
      </c>
      <c r="L415" s="5"/>
      <c r="M415" s="387">
        <v>14</v>
      </c>
      <c r="N415" s="387">
        <v>68</v>
      </c>
      <c r="O415" s="387">
        <v>10</v>
      </c>
      <c r="P415" s="387">
        <v>36</v>
      </c>
      <c r="Q415" s="387">
        <v>0</v>
      </c>
      <c r="R415" s="387">
        <v>0</v>
      </c>
      <c r="S415" s="1174">
        <f>Locations[[#This Row],[Ind_Returnees]]+Locations[[#This Row],[Ind_Refugees]]+Locations[[#This Row],[Ind_IDPs]]</f>
        <v>104</v>
      </c>
    </row>
    <row r="416" spans="1:19" s="388" customFormat="1" x14ac:dyDescent="0.3">
      <c r="A416" s="5" t="s">
        <v>533</v>
      </c>
      <c r="B416" s="1430" t="s">
        <v>3449</v>
      </c>
      <c r="C416" s="398" t="s">
        <v>534</v>
      </c>
      <c r="D416" s="5" t="s">
        <v>31</v>
      </c>
      <c r="E416" s="5" t="s">
        <v>31</v>
      </c>
      <c r="F416" s="5" t="s">
        <v>549</v>
      </c>
      <c r="G416" s="5" t="s">
        <v>169</v>
      </c>
      <c r="H416" s="5" t="s">
        <v>169</v>
      </c>
      <c r="I416" s="5" t="s">
        <v>673</v>
      </c>
      <c r="J416" t="s">
        <v>2872</v>
      </c>
      <c r="K416" s="5" t="s">
        <v>2261</v>
      </c>
      <c r="L416" s="5"/>
      <c r="M416" s="387">
        <v>0</v>
      </c>
      <c r="N416" s="387">
        <v>0</v>
      </c>
      <c r="O416" s="387">
        <v>0</v>
      </c>
      <c r="P416" s="387">
        <v>0</v>
      </c>
      <c r="Q416" s="387">
        <v>64</v>
      </c>
      <c r="R416" s="387">
        <v>500</v>
      </c>
      <c r="S416" s="1174">
        <f>Locations[[#This Row],[Ind_Returnees]]+Locations[[#This Row],[Ind_Refugees]]+Locations[[#This Row],[Ind_IDPs]]</f>
        <v>500</v>
      </c>
    </row>
    <row r="417" spans="1:19" s="388" customFormat="1" x14ac:dyDescent="0.3">
      <c r="A417" s="5" t="s">
        <v>533</v>
      </c>
      <c r="B417" s="1430" t="s">
        <v>3449</v>
      </c>
      <c r="C417" s="398" t="s">
        <v>534</v>
      </c>
      <c r="D417" s="5" t="s">
        <v>31</v>
      </c>
      <c r="E417" s="5" t="s">
        <v>31</v>
      </c>
      <c r="F417" s="5" t="s">
        <v>549</v>
      </c>
      <c r="G417" s="1144" t="s">
        <v>169</v>
      </c>
      <c r="H417" s="1144" t="s">
        <v>169</v>
      </c>
      <c r="I417" s="5" t="s">
        <v>673</v>
      </c>
      <c r="J417" t="s">
        <v>3204</v>
      </c>
      <c r="K417" s="5" t="s">
        <v>3076</v>
      </c>
      <c r="L417" s="5"/>
      <c r="M417" s="387">
        <v>0</v>
      </c>
      <c r="N417" s="387">
        <v>0</v>
      </c>
      <c r="O417" s="387">
        <v>0</v>
      </c>
      <c r="P417" s="387">
        <v>0</v>
      </c>
      <c r="Q417" s="387">
        <v>71</v>
      </c>
      <c r="R417" s="387">
        <v>406</v>
      </c>
      <c r="S417" s="1174">
        <f>Locations[[#This Row],[Ind_Returnees]]+Locations[[#This Row],[Ind_Refugees]]+Locations[[#This Row],[Ind_IDPs]]</f>
        <v>406</v>
      </c>
    </row>
    <row r="418" spans="1:19" s="388" customFormat="1" x14ac:dyDescent="0.3">
      <c r="A418" s="5" t="s">
        <v>533</v>
      </c>
      <c r="B418" s="1430" t="s">
        <v>3449</v>
      </c>
      <c r="C418" s="1090" t="s">
        <v>534</v>
      </c>
      <c r="D418" s="5" t="s">
        <v>35</v>
      </c>
      <c r="E418" s="5" t="s">
        <v>35</v>
      </c>
      <c r="F418" s="5" t="s">
        <v>567</v>
      </c>
      <c r="G418" s="5" t="s">
        <v>190</v>
      </c>
      <c r="H418" s="5" t="s">
        <v>190</v>
      </c>
      <c r="I418" s="5" t="s">
        <v>800</v>
      </c>
      <c r="J418" t="s">
        <v>2183</v>
      </c>
      <c r="K418" s="5" t="s">
        <v>2184</v>
      </c>
      <c r="L418" s="5"/>
      <c r="M418" s="387">
        <v>2</v>
      </c>
      <c r="N418" s="387">
        <v>7</v>
      </c>
      <c r="O418" s="387">
        <v>14</v>
      </c>
      <c r="P418" s="387">
        <v>51</v>
      </c>
      <c r="Q418" s="387">
        <v>6</v>
      </c>
      <c r="R418" s="387">
        <v>20</v>
      </c>
      <c r="S418" s="1174">
        <f>Locations[[#This Row],[Ind_Returnees]]+Locations[[#This Row],[Ind_Refugees]]+Locations[[#This Row],[Ind_IDPs]]</f>
        <v>78</v>
      </c>
    </row>
    <row r="419" spans="1:19" s="388" customFormat="1" x14ac:dyDescent="0.3">
      <c r="A419" s="5" t="s">
        <v>533</v>
      </c>
      <c r="B419" s="1430" t="s">
        <v>3449</v>
      </c>
      <c r="C419" s="1090" t="s">
        <v>534</v>
      </c>
      <c r="D419" s="5" t="s">
        <v>35</v>
      </c>
      <c r="E419" s="5" t="s">
        <v>35</v>
      </c>
      <c r="F419" s="5" t="s">
        <v>567</v>
      </c>
      <c r="G419" s="5" t="s">
        <v>191</v>
      </c>
      <c r="H419" s="5" t="s">
        <v>191</v>
      </c>
      <c r="I419" s="5" t="s">
        <v>659</v>
      </c>
      <c r="J419" t="s">
        <v>741</v>
      </c>
      <c r="K419" s="5" t="s">
        <v>742</v>
      </c>
      <c r="L419" s="5"/>
      <c r="M419" s="387">
        <v>2</v>
      </c>
      <c r="N419" s="387">
        <v>25</v>
      </c>
      <c r="O419" s="387">
        <v>4</v>
      </c>
      <c r="P419" s="387">
        <v>22</v>
      </c>
      <c r="Q419" s="387">
        <v>2</v>
      </c>
      <c r="R419" s="387">
        <v>14</v>
      </c>
      <c r="S419" s="1174">
        <f>Locations[[#This Row],[Ind_Returnees]]+Locations[[#This Row],[Ind_Refugees]]+Locations[[#This Row],[Ind_IDPs]]</f>
        <v>61</v>
      </c>
    </row>
    <row r="420" spans="1:19" s="388" customFormat="1" x14ac:dyDescent="0.3">
      <c r="A420" s="5" t="s">
        <v>533</v>
      </c>
      <c r="B420" s="1430" t="s">
        <v>3449</v>
      </c>
      <c r="C420" s="1090" t="s">
        <v>534</v>
      </c>
      <c r="D420" s="5" t="s">
        <v>34</v>
      </c>
      <c r="E420" s="5" t="s">
        <v>34</v>
      </c>
      <c r="F420" s="5" t="s">
        <v>539</v>
      </c>
      <c r="G420" s="5" t="s">
        <v>187</v>
      </c>
      <c r="H420" s="5" t="s">
        <v>187</v>
      </c>
      <c r="I420" s="5" t="s">
        <v>951</v>
      </c>
      <c r="J420" t="s">
        <v>2548</v>
      </c>
      <c r="K420" s="5" t="s">
        <v>953</v>
      </c>
      <c r="L420" s="5"/>
      <c r="M420" s="387">
        <v>1952</v>
      </c>
      <c r="N420" s="387">
        <v>12466</v>
      </c>
      <c r="O420" s="387">
        <v>0</v>
      </c>
      <c r="P420" s="387">
        <v>0</v>
      </c>
      <c r="Q420" s="387">
        <v>8</v>
      </c>
      <c r="R420" s="387">
        <v>99</v>
      </c>
      <c r="S420" s="1174">
        <f>Locations[[#This Row],[Ind_Returnees]]+Locations[[#This Row],[Ind_Refugees]]+Locations[[#This Row],[Ind_IDPs]]</f>
        <v>12565</v>
      </c>
    </row>
    <row r="421" spans="1:19" s="388" customFormat="1" x14ac:dyDescent="0.3">
      <c r="A421" s="5" t="s">
        <v>533</v>
      </c>
      <c r="B421" s="1430" t="s">
        <v>3449</v>
      </c>
      <c r="C421" s="1090" t="s">
        <v>534</v>
      </c>
      <c r="D421" s="5" t="s">
        <v>31</v>
      </c>
      <c r="E421" s="5" t="s">
        <v>31</v>
      </c>
      <c r="F421" s="5" t="s">
        <v>549</v>
      </c>
      <c r="G421" s="5" t="s">
        <v>171</v>
      </c>
      <c r="H421" s="5" t="s">
        <v>171</v>
      </c>
      <c r="I421" s="5" t="s">
        <v>634</v>
      </c>
      <c r="J421" t="s">
        <v>1283</v>
      </c>
      <c r="K421" s="5" t="s">
        <v>2635</v>
      </c>
      <c r="L421" s="5"/>
      <c r="M421" s="387">
        <v>0</v>
      </c>
      <c r="N421" s="387">
        <v>0</v>
      </c>
      <c r="O421" s="387">
        <v>0</v>
      </c>
      <c r="P421" s="387">
        <v>0</v>
      </c>
      <c r="Q421" s="387">
        <v>0</v>
      </c>
      <c r="R421" s="387">
        <v>0</v>
      </c>
      <c r="S421" s="1174">
        <f>Locations[[#This Row],[Ind_Returnees]]+Locations[[#This Row],[Ind_Refugees]]+Locations[[#This Row],[Ind_IDPs]]</f>
        <v>0</v>
      </c>
    </row>
    <row r="422" spans="1:19" s="388" customFormat="1" x14ac:dyDescent="0.3">
      <c r="A422" s="5" t="s">
        <v>533</v>
      </c>
      <c r="B422" s="1430" t="s">
        <v>3449</v>
      </c>
      <c r="C422" s="1090" t="s">
        <v>534</v>
      </c>
      <c r="D422" s="5" t="s">
        <v>30</v>
      </c>
      <c r="E422" s="5" t="s">
        <v>3522</v>
      </c>
      <c r="F422" s="5" t="s">
        <v>535</v>
      </c>
      <c r="G422" s="5" t="s">
        <v>162</v>
      </c>
      <c r="H422" s="5" t="s">
        <v>3529</v>
      </c>
      <c r="I422" s="5" t="s">
        <v>536</v>
      </c>
      <c r="J422" t="s">
        <v>2873</v>
      </c>
      <c r="K422" s="5" t="s">
        <v>705</v>
      </c>
      <c r="L422" s="5"/>
      <c r="M422" s="387">
        <v>5</v>
      </c>
      <c r="N422" s="387">
        <v>30</v>
      </c>
      <c r="O422" s="387">
        <v>0</v>
      </c>
      <c r="P422" s="387">
        <v>0</v>
      </c>
      <c r="Q422" s="387">
        <v>0</v>
      </c>
      <c r="R422" s="387">
        <v>0</v>
      </c>
      <c r="S422" s="1174">
        <f>Locations[[#This Row],[Ind_Returnees]]+Locations[[#This Row],[Ind_Refugees]]+Locations[[#This Row],[Ind_IDPs]]</f>
        <v>30</v>
      </c>
    </row>
    <row r="423" spans="1:19" s="388" customFormat="1" x14ac:dyDescent="0.3">
      <c r="A423" s="5" t="s">
        <v>533</v>
      </c>
      <c r="B423" s="1430" t="s">
        <v>3449</v>
      </c>
      <c r="C423" s="398" t="s">
        <v>534</v>
      </c>
      <c r="D423" s="5" t="s">
        <v>32</v>
      </c>
      <c r="E423" s="5" t="s">
        <v>32</v>
      </c>
      <c r="F423" s="5" t="s">
        <v>542</v>
      </c>
      <c r="G423" s="5" t="s">
        <v>177</v>
      </c>
      <c r="H423" s="5" t="s">
        <v>177</v>
      </c>
      <c r="I423" s="5" t="s">
        <v>777</v>
      </c>
      <c r="J423" t="s">
        <v>2247</v>
      </c>
      <c r="K423" s="5" t="s">
        <v>2775</v>
      </c>
      <c r="L423" s="5"/>
      <c r="M423" s="387">
        <v>0</v>
      </c>
      <c r="N423" s="387">
        <v>0</v>
      </c>
      <c r="O423" s="387">
        <v>0</v>
      </c>
      <c r="P423" s="387">
        <v>0</v>
      </c>
      <c r="Q423" s="387">
        <v>180</v>
      </c>
      <c r="R423" s="387">
        <v>961</v>
      </c>
      <c r="S423" s="1174">
        <f>Locations[[#This Row],[Ind_Returnees]]+Locations[[#This Row],[Ind_Refugees]]+Locations[[#This Row],[Ind_IDPs]]</f>
        <v>961</v>
      </c>
    </row>
    <row r="424" spans="1:19" s="388" customFormat="1" x14ac:dyDescent="0.3">
      <c r="A424" s="5" t="s">
        <v>533</v>
      </c>
      <c r="B424" s="1430" t="s">
        <v>3449</v>
      </c>
      <c r="C424" s="1090" t="s">
        <v>534</v>
      </c>
      <c r="D424" s="5" t="s">
        <v>34</v>
      </c>
      <c r="E424" s="5" t="s">
        <v>34</v>
      </c>
      <c r="F424" s="5" t="s">
        <v>539</v>
      </c>
      <c r="G424" s="5" t="s">
        <v>187</v>
      </c>
      <c r="H424" s="5" t="s">
        <v>187</v>
      </c>
      <c r="I424" s="5" t="s">
        <v>951</v>
      </c>
      <c r="J424" t="s">
        <v>2874</v>
      </c>
      <c r="K424" s="5" t="s">
        <v>2553</v>
      </c>
      <c r="L424" s="5"/>
      <c r="M424" s="387">
        <v>0</v>
      </c>
      <c r="N424" s="387">
        <v>0</v>
      </c>
      <c r="O424" s="387">
        <v>0</v>
      </c>
      <c r="P424" s="387">
        <v>0</v>
      </c>
      <c r="Q424" s="387">
        <v>0</v>
      </c>
      <c r="R424" s="387">
        <v>0</v>
      </c>
      <c r="S424" s="1174">
        <f>Locations[[#This Row],[Ind_Returnees]]+Locations[[#This Row],[Ind_Refugees]]+Locations[[#This Row],[Ind_IDPs]]</f>
        <v>0</v>
      </c>
    </row>
    <row r="425" spans="1:19" s="388" customFormat="1" x14ac:dyDescent="0.3">
      <c r="A425" s="5" t="s">
        <v>533</v>
      </c>
      <c r="B425" s="1430" t="s">
        <v>3449</v>
      </c>
      <c r="C425" s="1090" t="s">
        <v>534</v>
      </c>
      <c r="D425" s="5" t="s">
        <v>31</v>
      </c>
      <c r="E425" s="5" t="s">
        <v>31</v>
      </c>
      <c r="F425" s="5" t="s">
        <v>549</v>
      </c>
      <c r="G425" s="5" t="s">
        <v>170</v>
      </c>
      <c r="H425" s="5" t="s">
        <v>170</v>
      </c>
      <c r="I425" s="5" t="s">
        <v>866</v>
      </c>
      <c r="J425" t="s">
        <v>1635</v>
      </c>
      <c r="K425" s="5" t="s">
        <v>1579</v>
      </c>
      <c r="L425" s="5"/>
      <c r="M425" s="387">
        <v>4</v>
      </c>
      <c r="N425" s="387">
        <v>25</v>
      </c>
      <c r="O425" s="387">
        <v>0</v>
      </c>
      <c r="P425" s="387">
        <v>0</v>
      </c>
      <c r="Q425" s="387">
        <v>0</v>
      </c>
      <c r="R425" s="387">
        <v>0</v>
      </c>
      <c r="S425" s="1174">
        <f>Locations[[#This Row],[Ind_Returnees]]+Locations[[#This Row],[Ind_Refugees]]+Locations[[#This Row],[Ind_IDPs]]</f>
        <v>25</v>
      </c>
    </row>
    <row r="426" spans="1:19" s="388" customFormat="1" x14ac:dyDescent="0.3">
      <c r="A426" s="5" t="s">
        <v>533</v>
      </c>
      <c r="B426" s="1430" t="s">
        <v>3449</v>
      </c>
      <c r="C426" s="1090" t="s">
        <v>534</v>
      </c>
      <c r="D426" s="5" t="s">
        <v>33</v>
      </c>
      <c r="E426" s="5" t="s">
        <v>33</v>
      </c>
      <c r="F426" s="5" t="s">
        <v>561</v>
      </c>
      <c r="G426" s="5" t="s">
        <v>182</v>
      </c>
      <c r="H426" s="5" t="s">
        <v>182</v>
      </c>
      <c r="I426" s="5" t="s">
        <v>647</v>
      </c>
      <c r="J426" t="s">
        <v>2292</v>
      </c>
      <c r="K426" s="5" t="s">
        <v>2293</v>
      </c>
      <c r="L426" s="5"/>
      <c r="M426" s="387">
        <v>0</v>
      </c>
      <c r="N426" s="387">
        <v>0</v>
      </c>
      <c r="O426" s="387">
        <v>0</v>
      </c>
      <c r="P426" s="387">
        <v>0</v>
      </c>
      <c r="Q426" s="387">
        <v>0</v>
      </c>
      <c r="R426" s="387">
        <v>0</v>
      </c>
      <c r="S426" s="1174">
        <f>Locations[[#This Row],[Ind_Returnees]]+Locations[[#This Row],[Ind_Refugees]]+Locations[[#This Row],[Ind_IDPs]]</f>
        <v>0</v>
      </c>
    </row>
    <row r="427" spans="1:19" s="388" customFormat="1" x14ac:dyDescent="0.3">
      <c r="A427" s="5" t="s">
        <v>533</v>
      </c>
      <c r="B427" s="1430" t="s">
        <v>3449</v>
      </c>
      <c r="C427" s="398" t="s">
        <v>534</v>
      </c>
      <c r="D427" s="5" t="s">
        <v>35</v>
      </c>
      <c r="E427" s="5" t="s">
        <v>35</v>
      </c>
      <c r="F427" s="5" t="s">
        <v>567</v>
      </c>
      <c r="G427" s="5" t="s">
        <v>195</v>
      </c>
      <c r="H427" s="5" t="s">
        <v>195</v>
      </c>
      <c r="I427" s="5" t="s">
        <v>733</v>
      </c>
      <c r="J427" t="s">
        <v>2140</v>
      </c>
      <c r="K427" s="5" t="s">
        <v>2141</v>
      </c>
      <c r="L427" s="5"/>
      <c r="M427" s="387">
        <v>67</v>
      </c>
      <c r="N427" s="387">
        <v>318</v>
      </c>
      <c r="O427" s="387">
        <v>24</v>
      </c>
      <c r="P427" s="387">
        <v>124</v>
      </c>
      <c r="Q427" s="387">
        <v>24</v>
      </c>
      <c r="R427" s="387">
        <v>124</v>
      </c>
      <c r="S427" s="1174">
        <f>Locations[[#This Row],[Ind_Returnees]]+Locations[[#This Row],[Ind_Refugees]]+Locations[[#This Row],[Ind_IDPs]]</f>
        <v>566</v>
      </c>
    </row>
    <row r="428" spans="1:19" s="388" customFormat="1" x14ac:dyDescent="0.3">
      <c r="A428" s="5" t="s">
        <v>533</v>
      </c>
      <c r="B428" s="1430" t="s">
        <v>3449</v>
      </c>
      <c r="C428" s="1090" t="s">
        <v>534</v>
      </c>
      <c r="D428" s="5" t="s">
        <v>31</v>
      </c>
      <c r="E428" s="5" t="s">
        <v>31</v>
      </c>
      <c r="F428" s="5" t="s">
        <v>549</v>
      </c>
      <c r="G428" s="5" t="s">
        <v>171</v>
      </c>
      <c r="H428" s="5" t="s">
        <v>171</v>
      </c>
      <c r="I428" s="5" t="s">
        <v>634</v>
      </c>
      <c r="J428" t="s">
        <v>2621</v>
      </c>
      <c r="K428" s="5" t="s">
        <v>1785</v>
      </c>
      <c r="L428" s="5"/>
      <c r="M428" s="387">
        <v>8</v>
      </c>
      <c r="N428" s="387">
        <v>74</v>
      </c>
      <c r="O428" s="387">
        <v>0</v>
      </c>
      <c r="P428" s="387">
        <v>0</v>
      </c>
      <c r="Q428" s="387">
        <v>0</v>
      </c>
      <c r="R428" s="387">
        <v>0</v>
      </c>
      <c r="S428" s="1174">
        <f>Locations[[#This Row],[Ind_Returnees]]+Locations[[#This Row],[Ind_Refugees]]+Locations[[#This Row],[Ind_IDPs]]</f>
        <v>74</v>
      </c>
    </row>
    <row r="429" spans="1:19" s="388" customFormat="1" x14ac:dyDescent="0.3">
      <c r="A429" s="5" t="s">
        <v>533</v>
      </c>
      <c r="B429" s="1430" t="s">
        <v>3449</v>
      </c>
      <c r="C429" s="398" t="s">
        <v>534</v>
      </c>
      <c r="D429" s="5" t="s">
        <v>31</v>
      </c>
      <c r="E429" s="5" t="s">
        <v>31</v>
      </c>
      <c r="F429" s="5" t="s">
        <v>549</v>
      </c>
      <c r="G429" s="5" t="s">
        <v>169</v>
      </c>
      <c r="H429" s="5" t="s">
        <v>169</v>
      </c>
      <c r="I429" s="5" t="s">
        <v>673</v>
      </c>
      <c r="J429" t="s">
        <v>2875</v>
      </c>
      <c r="K429" s="5" t="s">
        <v>888</v>
      </c>
      <c r="L429" s="5"/>
      <c r="M429" s="387">
        <v>5</v>
      </c>
      <c r="N429" s="387">
        <v>21</v>
      </c>
      <c r="O429" s="387">
        <v>0</v>
      </c>
      <c r="P429" s="387">
        <v>0</v>
      </c>
      <c r="Q429" s="387">
        <v>15</v>
      </c>
      <c r="R429" s="387">
        <v>65</v>
      </c>
      <c r="S429" s="1174">
        <f>Locations[[#This Row],[Ind_Returnees]]+Locations[[#This Row],[Ind_Refugees]]+Locations[[#This Row],[Ind_IDPs]]</f>
        <v>86</v>
      </c>
    </row>
    <row r="430" spans="1:19" s="388" customFormat="1" x14ac:dyDescent="0.3">
      <c r="A430" s="5" t="s">
        <v>533</v>
      </c>
      <c r="B430" s="1430" t="s">
        <v>3449</v>
      </c>
      <c r="C430" s="1090" t="s">
        <v>534</v>
      </c>
      <c r="D430" s="5" t="s">
        <v>32</v>
      </c>
      <c r="E430" s="5" t="s">
        <v>32</v>
      </c>
      <c r="F430" s="5" t="s">
        <v>542</v>
      </c>
      <c r="G430" s="5" t="s">
        <v>178</v>
      </c>
      <c r="H430" s="5" t="s">
        <v>178</v>
      </c>
      <c r="I430" s="5" t="s">
        <v>543</v>
      </c>
      <c r="J430" t="s">
        <v>2257</v>
      </c>
      <c r="K430" s="5" t="s">
        <v>2258</v>
      </c>
      <c r="L430" s="5"/>
      <c r="M430" s="387">
        <v>0</v>
      </c>
      <c r="N430" s="387">
        <v>0</v>
      </c>
      <c r="O430" s="387">
        <v>0</v>
      </c>
      <c r="P430" s="387">
        <v>0</v>
      </c>
      <c r="Q430" s="387">
        <v>29</v>
      </c>
      <c r="R430" s="387">
        <v>295</v>
      </c>
      <c r="S430" s="1174">
        <f>Locations[[#This Row],[Ind_Returnees]]+Locations[[#This Row],[Ind_Refugees]]+Locations[[#This Row],[Ind_IDPs]]</f>
        <v>295</v>
      </c>
    </row>
    <row r="431" spans="1:19" s="388" customFormat="1" x14ac:dyDescent="0.3">
      <c r="A431" s="5" t="s">
        <v>533</v>
      </c>
      <c r="B431" s="1430" t="s">
        <v>3449</v>
      </c>
      <c r="C431" s="398" t="s">
        <v>534</v>
      </c>
      <c r="D431" s="5" t="s">
        <v>32</v>
      </c>
      <c r="E431" s="5" t="s">
        <v>32</v>
      </c>
      <c r="F431" s="5" t="s">
        <v>542</v>
      </c>
      <c r="G431" s="5" t="s">
        <v>178</v>
      </c>
      <c r="H431" s="5" t="s">
        <v>178</v>
      </c>
      <c r="I431" s="5" t="s">
        <v>543</v>
      </c>
      <c r="J431" t="s">
        <v>930</v>
      </c>
      <c r="K431" s="5" t="s">
        <v>931</v>
      </c>
      <c r="L431" s="5"/>
      <c r="M431" s="387">
        <v>49</v>
      </c>
      <c r="N431" s="387">
        <v>324</v>
      </c>
      <c r="O431" s="387">
        <v>0</v>
      </c>
      <c r="P431" s="387">
        <v>0</v>
      </c>
      <c r="Q431" s="387">
        <v>0</v>
      </c>
      <c r="R431" s="387">
        <v>0</v>
      </c>
      <c r="S431" s="1174">
        <f>Locations[[#This Row],[Ind_Returnees]]+Locations[[#This Row],[Ind_Refugees]]+Locations[[#This Row],[Ind_IDPs]]</f>
        <v>324</v>
      </c>
    </row>
    <row r="432" spans="1:19" s="388" customFormat="1" x14ac:dyDescent="0.3">
      <c r="A432" s="5" t="s">
        <v>533</v>
      </c>
      <c r="B432" s="1430" t="s">
        <v>3449</v>
      </c>
      <c r="C432" s="1090" t="s">
        <v>534</v>
      </c>
      <c r="D432" s="5" t="s">
        <v>33</v>
      </c>
      <c r="E432" s="5" t="s">
        <v>33</v>
      </c>
      <c r="F432" s="5" t="s">
        <v>561</v>
      </c>
      <c r="G432" s="5" t="s">
        <v>183</v>
      </c>
      <c r="H432" s="5" t="s">
        <v>183</v>
      </c>
      <c r="I432" s="5" t="s">
        <v>562</v>
      </c>
      <c r="J432" t="s">
        <v>2194</v>
      </c>
      <c r="K432" s="5" t="s">
        <v>2195</v>
      </c>
      <c r="L432" s="5"/>
      <c r="M432" s="387">
        <v>0</v>
      </c>
      <c r="N432" s="387">
        <v>0</v>
      </c>
      <c r="O432" s="387">
        <v>0</v>
      </c>
      <c r="P432" s="387">
        <v>0</v>
      </c>
      <c r="Q432" s="387">
        <v>2</v>
      </c>
      <c r="R432" s="387">
        <v>27</v>
      </c>
      <c r="S432" s="1174">
        <f>Locations[[#This Row],[Ind_Returnees]]+Locations[[#This Row],[Ind_Refugees]]+Locations[[#This Row],[Ind_IDPs]]</f>
        <v>27</v>
      </c>
    </row>
    <row r="433" spans="1:19" s="388" customFormat="1" x14ac:dyDescent="0.3">
      <c r="A433" s="5" t="s">
        <v>533</v>
      </c>
      <c r="B433" s="1430" t="s">
        <v>3449</v>
      </c>
      <c r="C433" s="398" t="s">
        <v>534</v>
      </c>
      <c r="D433" s="5" t="s">
        <v>31</v>
      </c>
      <c r="E433" s="5" t="s">
        <v>31</v>
      </c>
      <c r="F433" s="5" t="s">
        <v>549</v>
      </c>
      <c r="G433" s="5" t="s">
        <v>171</v>
      </c>
      <c r="H433" s="5" t="s">
        <v>171</v>
      </c>
      <c r="I433" s="5" t="s">
        <v>634</v>
      </c>
      <c r="J433" t="s">
        <v>2054</v>
      </c>
      <c r="K433" s="5" t="s">
        <v>2204</v>
      </c>
      <c r="L433" s="5"/>
      <c r="M433" s="387">
        <v>0</v>
      </c>
      <c r="N433" s="387">
        <v>0</v>
      </c>
      <c r="O433" s="387">
        <v>0</v>
      </c>
      <c r="P433" s="387">
        <v>0</v>
      </c>
      <c r="Q433" s="387">
        <v>0</v>
      </c>
      <c r="R433" s="387">
        <v>0</v>
      </c>
      <c r="S433" s="1174">
        <f>Locations[[#This Row],[Ind_Returnees]]+Locations[[#This Row],[Ind_Refugees]]+Locations[[#This Row],[Ind_IDPs]]</f>
        <v>0</v>
      </c>
    </row>
    <row r="434" spans="1:19" s="388" customFormat="1" x14ac:dyDescent="0.3">
      <c r="A434" s="5" t="s">
        <v>533</v>
      </c>
      <c r="B434" s="1430" t="s">
        <v>3449</v>
      </c>
      <c r="C434" s="398" t="s">
        <v>534</v>
      </c>
      <c r="D434" s="5" t="s">
        <v>31</v>
      </c>
      <c r="E434" s="5" t="s">
        <v>31</v>
      </c>
      <c r="F434" s="5" t="s">
        <v>549</v>
      </c>
      <c r="G434" s="5" t="s">
        <v>171</v>
      </c>
      <c r="H434" s="5" t="s">
        <v>171</v>
      </c>
      <c r="I434" s="5" t="s">
        <v>634</v>
      </c>
      <c r="J434" t="s">
        <v>2876</v>
      </c>
      <c r="K434" s="5" t="s">
        <v>1876</v>
      </c>
      <c r="L434" s="5"/>
      <c r="M434" s="387">
        <v>2</v>
      </c>
      <c r="N434" s="387">
        <v>15</v>
      </c>
      <c r="O434" s="387">
        <v>9</v>
      </c>
      <c r="P434" s="387">
        <v>82</v>
      </c>
      <c r="Q434" s="387">
        <v>0</v>
      </c>
      <c r="R434" s="387">
        <v>0</v>
      </c>
      <c r="S434" s="1174">
        <f>Locations[[#This Row],[Ind_Returnees]]+Locations[[#This Row],[Ind_Refugees]]+Locations[[#This Row],[Ind_IDPs]]</f>
        <v>97</v>
      </c>
    </row>
    <row r="435" spans="1:19" s="388" customFormat="1" x14ac:dyDescent="0.3">
      <c r="A435" s="5" t="s">
        <v>533</v>
      </c>
      <c r="B435" s="1430" t="s">
        <v>3449</v>
      </c>
      <c r="C435" s="398" t="s">
        <v>534</v>
      </c>
      <c r="D435" s="5" t="s">
        <v>31</v>
      </c>
      <c r="E435" s="5" t="s">
        <v>31</v>
      </c>
      <c r="F435" s="5" t="s">
        <v>549</v>
      </c>
      <c r="G435" s="5" t="s">
        <v>171</v>
      </c>
      <c r="H435" s="5" t="s">
        <v>171</v>
      </c>
      <c r="I435" s="5" t="s">
        <v>634</v>
      </c>
      <c r="J435" t="s">
        <v>790</v>
      </c>
      <c r="K435" s="5" t="s">
        <v>1023</v>
      </c>
      <c r="L435" s="5"/>
      <c r="M435" s="387">
        <v>10</v>
      </c>
      <c r="N435" s="387">
        <v>62</v>
      </c>
      <c r="O435" s="387">
        <v>0</v>
      </c>
      <c r="P435" s="387">
        <v>0</v>
      </c>
      <c r="Q435" s="387">
        <v>0</v>
      </c>
      <c r="R435" s="387">
        <v>0</v>
      </c>
      <c r="S435" s="1174">
        <f>Locations[[#This Row],[Ind_Returnees]]+Locations[[#This Row],[Ind_Refugees]]+Locations[[#This Row],[Ind_IDPs]]</f>
        <v>62</v>
      </c>
    </row>
    <row r="436" spans="1:19" s="388" customFormat="1" x14ac:dyDescent="0.3">
      <c r="A436" s="5" t="s">
        <v>533</v>
      </c>
      <c r="B436" s="1430" t="s">
        <v>3449</v>
      </c>
      <c r="C436" s="1090" t="s">
        <v>534</v>
      </c>
      <c r="D436" s="5" t="s">
        <v>31</v>
      </c>
      <c r="E436" s="5" t="s">
        <v>31</v>
      </c>
      <c r="F436" s="5" t="s">
        <v>549</v>
      </c>
      <c r="G436" s="5" t="s">
        <v>171</v>
      </c>
      <c r="H436" s="5" t="s">
        <v>171</v>
      </c>
      <c r="I436" s="5" t="s">
        <v>634</v>
      </c>
      <c r="J436" t="s">
        <v>796</v>
      </c>
      <c r="K436" s="5" t="s">
        <v>1025</v>
      </c>
      <c r="L436" s="5"/>
      <c r="M436" s="387">
        <v>4</v>
      </c>
      <c r="N436" s="387">
        <v>79</v>
      </c>
      <c r="O436" s="387">
        <v>0</v>
      </c>
      <c r="P436" s="387">
        <v>0</v>
      </c>
      <c r="Q436" s="387">
        <v>0</v>
      </c>
      <c r="R436" s="387">
        <v>0</v>
      </c>
      <c r="S436" s="1174">
        <f>Locations[[#This Row],[Ind_Returnees]]+Locations[[#This Row],[Ind_Refugees]]+Locations[[#This Row],[Ind_IDPs]]</f>
        <v>79</v>
      </c>
    </row>
    <row r="437" spans="1:19" s="388" customFormat="1" x14ac:dyDescent="0.3">
      <c r="A437" s="5" t="s">
        <v>533</v>
      </c>
      <c r="B437" s="1430" t="s">
        <v>3449</v>
      </c>
      <c r="C437" s="1090" t="s">
        <v>534</v>
      </c>
      <c r="D437" s="5" t="s">
        <v>31</v>
      </c>
      <c r="E437" s="5" t="s">
        <v>31</v>
      </c>
      <c r="F437" s="5" t="s">
        <v>549</v>
      </c>
      <c r="G437" s="5" t="s">
        <v>171</v>
      </c>
      <c r="H437" s="5" t="s">
        <v>171</v>
      </c>
      <c r="I437" s="5" t="s">
        <v>634</v>
      </c>
      <c r="J437" t="s">
        <v>2877</v>
      </c>
      <c r="K437" s="5" t="s">
        <v>1292</v>
      </c>
      <c r="L437" s="5"/>
      <c r="M437" s="387">
        <v>19</v>
      </c>
      <c r="N437" s="387">
        <v>107</v>
      </c>
      <c r="O437" s="387">
        <v>0</v>
      </c>
      <c r="P437" s="387">
        <v>0</v>
      </c>
      <c r="Q437" s="387">
        <v>0</v>
      </c>
      <c r="R437" s="387">
        <v>0</v>
      </c>
      <c r="S437" s="1174">
        <f>Locations[[#This Row],[Ind_Returnees]]+Locations[[#This Row],[Ind_Refugees]]+Locations[[#This Row],[Ind_IDPs]]</f>
        <v>107</v>
      </c>
    </row>
    <row r="438" spans="1:19" s="388" customFormat="1" x14ac:dyDescent="0.3">
      <c r="A438" s="5" t="s">
        <v>533</v>
      </c>
      <c r="B438" s="1430" t="s">
        <v>3449</v>
      </c>
      <c r="C438" s="398" t="s">
        <v>534</v>
      </c>
      <c r="D438" s="5" t="s">
        <v>31</v>
      </c>
      <c r="E438" s="5" t="s">
        <v>31</v>
      </c>
      <c r="F438" s="5" t="s">
        <v>549</v>
      </c>
      <c r="G438" s="5" t="s">
        <v>169</v>
      </c>
      <c r="H438" s="5" t="s">
        <v>169</v>
      </c>
      <c r="I438" s="5" t="s">
        <v>673</v>
      </c>
      <c r="J438" t="s">
        <v>3205</v>
      </c>
      <c r="K438" s="5" t="s">
        <v>3087</v>
      </c>
      <c r="L438" s="5"/>
      <c r="M438" s="387">
        <v>0</v>
      </c>
      <c r="N438" s="387">
        <v>0</v>
      </c>
      <c r="O438" s="387">
        <v>0</v>
      </c>
      <c r="P438" s="387">
        <v>0</v>
      </c>
      <c r="Q438" s="387">
        <v>28</v>
      </c>
      <c r="R438" s="387">
        <v>208</v>
      </c>
      <c r="S438" s="1174">
        <f>Locations[[#This Row],[Ind_Returnees]]+Locations[[#This Row],[Ind_Refugees]]+Locations[[#This Row],[Ind_IDPs]]</f>
        <v>208</v>
      </c>
    </row>
    <row r="439" spans="1:19" s="388" customFormat="1" x14ac:dyDescent="0.3">
      <c r="A439" s="5" t="s">
        <v>533</v>
      </c>
      <c r="B439" s="1430" t="s">
        <v>3449</v>
      </c>
      <c r="C439" s="398" t="s">
        <v>534</v>
      </c>
      <c r="D439" s="5" t="s">
        <v>32</v>
      </c>
      <c r="E439" s="5" t="s">
        <v>32</v>
      </c>
      <c r="F439" s="5" t="s">
        <v>542</v>
      </c>
      <c r="G439" s="5" t="s">
        <v>175</v>
      </c>
      <c r="H439" s="5" t="s">
        <v>175</v>
      </c>
      <c r="I439" s="5" t="s">
        <v>1136</v>
      </c>
      <c r="J439" t="s">
        <v>2231</v>
      </c>
      <c r="K439" s="5" t="s">
        <v>2232</v>
      </c>
      <c r="L439" s="5"/>
      <c r="M439" s="387">
        <v>0</v>
      </c>
      <c r="N439" s="387">
        <v>0</v>
      </c>
      <c r="O439" s="387">
        <v>23</v>
      </c>
      <c r="P439" s="387">
        <v>115</v>
      </c>
      <c r="Q439" s="387">
        <v>0</v>
      </c>
      <c r="R439" s="387">
        <v>0</v>
      </c>
      <c r="S439" s="1174">
        <f>Locations[[#This Row],[Ind_Returnees]]+Locations[[#This Row],[Ind_Refugees]]+Locations[[#This Row],[Ind_IDPs]]</f>
        <v>115</v>
      </c>
    </row>
    <row r="440" spans="1:19" s="388" customFormat="1" x14ac:dyDescent="0.3">
      <c r="A440" s="5" t="s">
        <v>533</v>
      </c>
      <c r="B440" s="1430" t="s">
        <v>3449</v>
      </c>
      <c r="C440" s="398" t="s">
        <v>534</v>
      </c>
      <c r="D440" s="5" t="s">
        <v>34</v>
      </c>
      <c r="E440" s="5" t="s">
        <v>34</v>
      </c>
      <c r="F440" s="5" t="s">
        <v>539</v>
      </c>
      <c r="G440" s="5" t="s">
        <v>188</v>
      </c>
      <c r="H440" s="5" t="s">
        <v>188</v>
      </c>
      <c r="I440" s="5" t="s">
        <v>546</v>
      </c>
      <c r="J440" t="s">
        <v>804</v>
      </c>
      <c r="K440" s="5" t="s">
        <v>1236</v>
      </c>
      <c r="L440" s="5"/>
      <c r="M440" s="387">
        <v>164</v>
      </c>
      <c r="N440" s="387">
        <v>843</v>
      </c>
      <c r="O440" s="387">
        <v>0</v>
      </c>
      <c r="P440" s="387">
        <v>0</v>
      </c>
      <c r="Q440" s="387">
        <v>0</v>
      </c>
      <c r="R440" s="387">
        <v>0</v>
      </c>
      <c r="S440" s="1174">
        <f>Locations[[#This Row],[Ind_Returnees]]+Locations[[#This Row],[Ind_Refugees]]+Locations[[#This Row],[Ind_IDPs]]</f>
        <v>843</v>
      </c>
    </row>
    <row r="441" spans="1:19" s="388" customFormat="1" x14ac:dyDescent="0.3">
      <c r="A441" s="5" t="s">
        <v>533</v>
      </c>
      <c r="B441" s="1430" t="s">
        <v>3449</v>
      </c>
      <c r="C441" s="398" t="s">
        <v>534</v>
      </c>
      <c r="D441" s="5" t="s">
        <v>35</v>
      </c>
      <c r="E441" s="5" t="s">
        <v>35</v>
      </c>
      <c r="F441" s="5" t="s">
        <v>567</v>
      </c>
      <c r="G441" s="5" t="s">
        <v>193</v>
      </c>
      <c r="H441" s="5" t="s">
        <v>3983</v>
      </c>
      <c r="I441" s="5" t="s">
        <v>863</v>
      </c>
      <c r="J441" t="s">
        <v>994</v>
      </c>
      <c r="K441" s="5" t="s">
        <v>1608</v>
      </c>
      <c r="L441" s="5"/>
      <c r="M441" s="387">
        <v>62</v>
      </c>
      <c r="N441" s="387">
        <v>361</v>
      </c>
      <c r="O441" s="387">
        <v>0</v>
      </c>
      <c r="P441" s="387">
        <v>0</v>
      </c>
      <c r="Q441" s="387">
        <v>20</v>
      </c>
      <c r="R441" s="387">
        <v>135</v>
      </c>
      <c r="S441" s="1174">
        <f>Locations[[#This Row],[Ind_Returnees]]+Locations[[#This Row],[Ind_Refugees]]+Locations[[#This Row],[Ind_IDPs]]</f>
        <v>496</v>
      </c>
    </row>
    <row r="442" spans="1:19" s="388" customFormat="1" x14ac:dyDescent="0.3">
      <c r="A442" s="5" t="s">
        <v>533</v>
      </c>
      <c r="B442" s="1430" t="s">
        <v>3449</v>
      </c>
      <c r="C442" s="1090" t="s">
        <v>534</v>
      </c>
      <c r="D442" s="5" t="s">
        <v>34</v>
      </c>
      <c r="E442" s="5" t="s">
        <v>34</v>
      </c>
      <c r="F442" s="5" t="s">
        <v>539</v>
      </c>
      <c r="G442" s="5" t="s">
        <v>188</v>
      </c>
      <c r="H442" s="5" t="s">
        <v>188</v>
      </c>
      <c r="I442" s="5" t="s">
        <v>546</v>
      </c>
      <c r="J442" t="s">
        <v>1162</v>
      </c>
      <c r="K442" s="5" t="s">
        <v>2665</v>
      </c>
      <c r="L442" s="5"/>
      <c r="M442" s="387">
        <v>0</v>
      </c>
      <c r="N442" s="387">
        <v>0</v>
      </c>
      <c r="O442" s="387">
        <v>0</v>
      </c>
      <c r="P442" s="387">
        <v>0</v>
      </c>
      <c r="Q442" s="387">
        <v>0</v>
      </c>
      <c r="R442" s="387">
        <v>0</v>
      </c>
      <c r="S442" s="1174">
        <f>Locations[[#This Row],[Ind_Returnees]]+Locations[[#This Row],[Ind_Refugees]]+Locations[[#This Row],[Ind_IDPs]]</f>
        <v>0</v>
      </c>
    </row>
    <row r="443" spans="1:19" s="388" customFormat="1" x14ac:dyDescent="0.3">
      <c r="A443" s="5" t="s">
        <v>533</v>
      </c>
      <c r="B443" s="1430" t="s">
        <v>3449</v>
      </c>
      <c r="C443" s="1090" t="s">
        <v>534</v>
      </c>
      <c r="D443" s="5" t="s">
        <v>35</v>
      </c>
      <c r="E443" s="5" t="s">
        <v>35</v>
      </c>
      <c r="F443" s="5" t="s">
        <v>567</v>
      </c>
      <c r="G443" s="5" t="s">
        <v>193</v>
      </c>
      <c r="H443" s="5" t="s">
        <v>3983</v>
      </c>
      <c r="I443" s="5" t="s">
        <v>863</v>
      </c>
      <c r="J443" t="s">
        <v>1571</v>
      </c>
      <c r="K443" s="5" t="s">
        <v>1572</v>
      </c>
      <c r="L443" s="5"/>
      <c r="M443" s="387">
        <v>116</v>
      </c>
      <c r="N443" s="387">
        <v>559</v>
      </c>
      <c r="O443" s="387">
        <v>0</v>
      </c>
      <c r="P443" s="387">
        <v>0</v>
      </c>
      <c r="Q443" s="387">
        <v>66</v>
      </c>
      <c r="R443" s="387">
        <v>367</v>
      </c>
      <c r="S443" s="1174">
        <f>Locations[[#This Row],[Ind_Returnees]]+Locations[[#This Row],[Ind_Refugees]]+Locations[[#This Row],[Ind_IDPs]]</f>
        <v>926</v>
      </c>
    </row>
    <row r="444" spans="1:19" s="388" customFormat="1" x14ac:dyDescent="0.3">
      <c r="A444" s="5" t="s">
        <v>533</v>
      </c>
      <c r="B444" s="1430" t="s">
        <v>3449</v>
      </c>
      <c r="C444" s="1090" t="s">
        <v>534</v>
      </c>
      <c r="D444" s="5" t="s">
        <v>31</v>
      </c>
      <c r="E444" s="5" t="s">
        <v>31</v>
      </c>
      <c r="F444" s="5" t="s">
        <v>549</v>
      </c>
      <c r="G444" s="5" t="s">
        <v>171</v>
      </c>
      <c r="H444" s="5" t="s">
        <v>171</v>
      </c>
      <c r="I444" s="5" t="s">
        <v>634</v>
      </c>
      <c r="J444" t="s">
        <v>842</v>
      </c>
      <c r="K444" s="5" t="s">
        <v>1255</v>
      </c>
      <c r="L444" s="5"/>
      <c r="M444" s="387">
        <v>39</v>
      </c>
      <c r="N444" s="387">
        <v>247</v>
      </c>
      <c r="O444" s="387">
        <v>0</v>
      </c>
      <c r="P444" s="387">
        <v>0</v>
      </c>
      <c r="Q444" s="387">
        <v>0</v>
      </c>
      <c r="R444" s="387">
        <v>0</v>
      </c>
      <c r="S444" s="1174">
        <f>Locations[[#This Row],[Ind_Returnees]]+Locations[[#This Row],[Ind_Refugees]]+Locations[[#This Row],[Ind_IDPs]]</f>
        <v>247</v>
      </c>
    </row>
    <row r="445" spans="1:19" s="388" customFormat="1" x14ac:dyDescent="0.3">
      <c r="A445" s="5" t="s">
        <v>533</v>
      </c>
      <c r="B445" s="1430" t="s">
        <v>3449</v>
      </c>
      <c r="C445" s="1090" t="s">
        <v>534</v>
      </c>
      <c r="D445" s="5" t="s">
        <v>35</v>
      </c>
      <c r="E445" s="5" t="s">
        <v>35</v>
      </c>
      <c r="F445" s="5" t="s">
        <v>567</v>
      </c>
      <c r="G445" s="5" t="s">
        <v>193</v>
      </c>
      <c r="H445" s="5" t="s">
        <v>3983</v>
      </c>
      <c r="I445" s="5" t="s">
        <v>863</v>
      </c>
      <c r="J445" t="s">
        <v>2677</v>
      </c>
      <c r="K445" s="5" t="s">
        <v>1585</v>
      </c>
      <c r="L445" s="5"/>
      <c r="M445" s="387">
        <v>74</v>
      </c>
      <c r="N445" s="387">
        <v>300</v>
      </c>
      <c r="O445" s="387">
        <v>2</v>
      </c>
      <c r="P445" s="387">
        <v>5</v>
      </c>
      <c r="Q445" s="387">
        <v>64</v>
      </c>
      <c r="R445" s="387">
        <v>329</v>
      </c>
      <c r="S445" s="1174">
        <f>Locations[[#This Row],[Ind_Returnees]]+Locations[[#This Row],[Ind_Refugees]]+Locations[[#This Row],[Ind_IDPs]]</f>
        <v>634</v>
      </c>
    </row>
    <row r="446" spans="1:19" s="388" customFormat="1" x14ac:dyDescent="0.3">
      <c r="A446" s="5" t="s">
        <v>533</v>
      </c>
      <c r="B446" s="1430" t="s">
        <v>3449</v>
      </c>
      <c r="C446" s="1090" t="s">
        <v>534</v>
      </c>
      <c r="D446" s="5" t="s">
        <v>35</v>
      </c>
      <c r="E446" s="5" t="s">
        <v>35</v>
      </c>
      <c r="F446" s="5" t="s">
        <v>567</v>
      </c>
      <c r="G446" s="5" t="s">
        <v>195</v>
      </c>
      <c r="H446" s="5" t="s">
        <v>195</v>
      </c>
      <c r="I446" s="5" t="s">
        <v>733</v>
      </c>
      <c r="J446" t="s">
        <v>959</v>
      </c>
      <c r="K446" s="5" t="s">
        <v>960</v>
      </c>
      <c r="L446" s="5"/>
      <c r="M446" s="387">
        <v>30</v>
      </c>
      <c r="N446" s="387">
        <v>136</v>
      </c>
      <c r="O446" s="387">
        <v>0</v>
      </c>
      <c r="P446" s="387">
        <v>0</v>
      </c>
      <c r="Q446" s="387">
        <v>0</v>
      </c>
      <c r="R446" s="387">
        <v>0</v>
      </c>
      <c r="S446" s="1174">
        <f>Locations[[#This Row],[Ind_Returnees]]+Locations[[#This Row],[Ind_Refugees]]+Locations[[#This Row],[Ind_IDPs]]</f>
        <v>136</v>
      </c>
    </row>
    <row r="447" spans="1:19" s="388" customFormat="1" x14ac:dyDescent="0.3">
      <c r="A447" s="5" t="s">
        <v>533</v>
      </c>
      <c r="B447" s="1430" t="s">
        <v>3449</v>
      </c>
      <c r="C447" s="398" t="s">
        <v>534</v>
      </c>
      <c r="D447" s="5" t="s">
        <v>31</v>
      </c>
      <c r="E447" s="5" t="s">
        <v>31</v>
      </c>
      <c r="F447" s="5" t="s">
        <v>549</v>
      </c>
      <c r="G447" s="5" t="s">
        <v>171</v>
      </c>
      <c r="H447" s="5" t="s">
        <v>171</v>
      </c>
      <c r="I447" s="5" t="s">
        <v>634</v>
      </c>
      <c r="J447" t="s">
        <v>1697</v>
      </c>
      <c r="K447" s="5" t="s">
        <v>1067</v>
      </c>
      <c r="L447" s="5"/>
      <c r="M447" s="387">
        <v>0</v>
      </c>
      <c r="N447" s="387">
        <v>0</v>
      </c>
      <c r="O447" s="387">
        <v>0</v>
      </c>
      <c r="P447" s="387">
        <v>0</v>
      </c>
      <c r="Q447" s="387">
        <v>0</v>
      </c>
      <c r="R447" s="387">
        <v>0</v>
      </c>
      <c r="S447" s="1174">
        <f>Locations[[#This Row],[Ind_Returnees]]+Locations[[#This Row],[Ind_Refugees]]+Locations[[#This Row],[Ind_IDPs]]</f>
        <v>0</v>
      </c>
    </row>
    <row r="448" spans="1:19" s="388" customFormat="1" x14ac:dyDescent="0.3">
      <c r="A448" s="5" t="s">
        <v>533</v>
      </c>
      <c r="B448" s="1430" t="s">
        <v>3449</v>
      </c>
      <c r="C448" s="398" t="s">
        <v>534</v>
      </c>
      <c r="D448" s="5" t="s">
        <v>35</v>
      </c>
      <c r="E448" s="5" t="s">
        <v>35</v>
      </c>
      <c r="F448" s="5" t="s">
        <v>567</v>
      </c>
      <c r="G448" s="5" t="s">
        <v>196</v>
      </c>
      <c r="H448" s="5" t="s">
        <v>3984</v>
      </c>
      <c r="I448" s="5" t="s">
        <v>568</v>
      </c>
      <c r="J448" t="s">
        <v>2108</v>
      </c>
      <c r="K448" s="5" t="s">
        <v>2109</v>
      </c>
      <c r="L448" s="5"/>
      <c r="M448" s="387">
        <v>0</v>
      </c>
      <c r="N448" s="387">
        <v>0</v>
      </c>
      <c r="O448" s="387">
        <v>0</v>
      </c>
      <c r="P448" s="387">
        <v>0</v>
      </c>
      <c r="Q448" s="387">
        <v>15</v>
      </c>
      <c r="R448" s="387">
        <v>46</v>
      </c>
      <c r="S448" s="1174">
        <f>Locations[[#This Row],[Ind_Returnees]]+Locations[[#This Row],[Ind_Refugees]]+Locations[[#This Row],[Ind_IDPs]]</f>
        <v>46</v>
      </c>
    </row>
    <row r="449" spans="1:19" s="388" customFormat="1" x14ac:dyDescent="0.3">
      <c r="A449" s="5" t="s">
        <v>533</v>
      </c>
      <c r="B449" s="1430" t="s">
        <v>3449</v>
      </c>
      <c r="C449" s="398" t="s">
        <v>534</v>
      </c>
      <c r="D449" s="5" t="s">
        <v>35</v>
      </c>
      <c r="E449" s="5" t="s">
        <v>35</v>
      </c>
      <c r="F449" s="5" t="s">
        <v>567</v>
      </c>
      <c r="G449" s="5" t="s">
        <v>193</v>
      </c>
      <c r="H449" s="5" t="s">
        <v>3983</v>
      </c>
      <c r="I449" s="5" t="s">
        <v>863</v>
      </c>
      <c r="J449" t="s">
        <v>2671</v>
      </c>
      <c r="K449" s="5" t="s">
        <v>2672</v>
      </c>
      <c r="L449" s="5"/>
      <c r="M449" s="387">
        <v>0</v>
      </c>
      <c r="N449" s="387">
        <v>0</v>
      </c>
      <c r="O449" s="387">
        <v>0</v>
      </c>
      <c r="P449" s="387">
        <v>0</v>
      </c>
      <c r="Q449" s="387">
        <v>0</v>
      </c>
      <c r="R449" s="387">
        <v>0</v>
      </c>
      <c r="S449" s="1174">
        <f>Locations[[#This Row],[Ind_Returnees]]+Locations[[#This Row],[Ind_Refugees]]+Locations[[#This Row],[Ind_IDPs]]</f>
        <v>0</v>
      </c>
    </row>
    <row r="450" spans="1:19" s="388" customFormat="1" x14ac:dyDescent="0.3">
      <c r="A450" s="5" t="s">
        <v>533</v>
      </c>
      <c r="B450" s="1430" t="s">
        <v>3449</v>
      </c>
      <c r="C450" s="1090" t="s">
        <v>534</v>
      </c>
      <c r="D450" s="5" t="s">
        <v>31</v>
      </c>
      <c r="E450" s="5" t="s">
        <v>31</v>
      </c>
      <c r="F450" s="5" t="s">
        <v>549</v>
      </c>
      <c r="G450" s="5" t="s">
        <v>166</v>
      </c>
      <c r="H450" s="5" t="s">
        <v>166</v>
      </c>
      <c r="I450" s="5" t="s">
        <v>844</v>
      </c>
      <c r="J450" t="s">
        <v>2878</v>
      </c>
      <c r="K450" s="5" t="s">
        <v>1140</v>
      </c>
      <c r="L450" s="5"/>
      <c r="M450" s="387">
        <v>10</v>
      </c>
      <c r="N450" s="387">
        <v>99</v>
      </c>
      <c r="O450" s="387">
        <v>0</v>
      </c>
      <c r="P450" s="387">
        <v>0</v>
      </c>
      <c r="Q450" s="387">
        <v>0</v>
      </c>
      <c r="R450" s="387">
        <v>0</v>
      </c>
      <c r="S450" s="1174">
        <f>Locations[[#This Row],[Ind_Returnees]]+Locations[[#This Row],[Ind_Refugees]]+Locations[[#This Row],[Ind_IDPs]]</f>
        <v>99</v>
      </c>
    </row>
    <row r="451" spans="1:19" s="388" customFormat="1" x14ac:dyDescent="0.3">
      <c r="A451" s="5" t="s">
        <v>533</v>
      </c>
      <c r="B451" s="1430" t="s">
        <v>3449</v>
      </c>
      <c r="C451" s="398" t="s">
        <v>534</v>
      </c>
      <c r="D451" s="5" t="s">
        <v>31</v>
      </c>
      <c r="E451" s="5" t="s">
        <v>31</v>
      </c>
      <c r="F451" s="5" t="s">
        <v>549</v>
      </c>
      <c r="G451" s="5" t="s">
        <v>166</v>
      </c>
      <c r="H451" s="5" t="s">
        <v>166</v>
      </c>
      <c r="I451" s="5" t="s">
        <v>844</v>
      </c>
      <c r="J451" t="s">
        <v>2879</v>
      </c>
      <c r="K451" s="5" t="s">
        <v>1420</v>
      </c>
      <c r="L451" s="5"/>
      <c r="M451" s="387">
        <v>15</v>
      </c>
      <c r="N451" s="387">
        <v>42</v>
      </c>
      <c r="O451" s="387">
        <v>53</v>
      </c>
      <c r="P451" s="387">
        <v>268</v>
      </c>
      <c r="Q451" s="387">
        <v>0</v>
      </c>
      <c r="R451" s="387">
        <v>0</v>
      </c>
      <c r="S451" s="1174">
        <f>Locations[[#This Row],[Ind_Returnees]]+Locations[[#This Row],[Ind_Refugees]]+Locations[[#This Row],[Ind_IDPs]]</f>
        <v>310</v>
      </c>
    </row>
    <row r="452" spans="1:19" s="388" customFormat="1" x14ac:dyDescent="0.3">
      <c r="A452" s="5" t="s">
        <v>533</v>
      </c>
      <c r="B452" s="1430" t="s">
        <v>3449</v>
      </c>
      <c r="C452" s="398" t="s">
        <v>534</v>
      </c>
      <c r="D452" s="5" t="s">
        <v>31</v>
      </c>
      <c r="E452" s="5" t="s">
        <v>31</v>
      </c>
      <c r="F452" s="5" t="s">
        <v>549</v>
      </c>
      <c r="G452" s="5" t="s">
        <v>2797</v>
      </c>
      <c r="H452" s="5" t="s">
        <v>3898</v>
      </c>
      <c r="I452" s="5" t="s">
        <v>767</v>
      </c>
      <c r="J452" t="s">
        <v>1227</v>
      </c>
      <c r="K452" s="5" t="s">
        <v>789</v>
      </c>
      <c r="L452" s="5"/>
      <c r="M452" s="387">
        <v>42</v>
      </c>
      <c r="N452" s="387">
        <v>272</v>
      </c>
      <c r="O452" s="387">
        <v>4</v>
      </c>
      <c r="P452" s="387">
        <v>31</v>
      </c>
      <c r="Q452" s="387">
        <v>0</v>
      </c>
      <c r="R452" s="387">
        <v>0</v>
      </c>
      <c r="S452" s="1174">
        <f>Locations[[#This Row],[Ind_Returnees]]+Locations[[#This Row],[Ind_Refugees]]+Locations[[#This Row],[Ind_IDPs]]</f>
        <v>303</v>
      </c>
    </row>
    <row r="453" spans="1:19" s="388" customFormat="1" x14ac:dyDescent="0.3">
      <c r="A453" s="5" t="s">
        <v>533</v>
      </c>
      <c r="B453" s="1430" t="s">
        <v>3449</v>
      </c>
      <c r="C453" s="1090" t="s">
        <v>534</v>
      </c>
      <c r="D453" s="5" t="s">
        <v>31</v>
      </c>
      <c r="E453" s="5" t="s">
        <v>31</v>
      </c>
      <c r="F453" s="5" t="s">
        <v>549</v>
      </c>
      <c r="G453" s="5" t="s">
        <v>164</v>
      </c>
      <c r="H453" s="5" t="s">
        <v>164</v>
      </c>
      <c r="I453" s="5" t="s">
        <v>748</v>
      </c>
      <c r="J453" t="s">
        <v>806</v>
      </c>
      <c r="K453" s="5" t="s">
        <v>807</v>
      </c>
      <c r="L453" s="5"/>
      <c r="M453" s="387">
        <v>1</v>
      </c>
      <c r="N453" s="387">
        <v>4</v>
      </c>
      <c r="O453" s="387">
        <v>0</v>
      </c>
      <c r="P453" s="387">
        <v>0</v>
      </c>
      <c r="Q453" s="387">
        <v>0</v>
      </c>
      <c r="R453" s="387">
        <v>0</v>
      </c>
      <c r="S453" s="1174">
        <f>Locations[[#This Row],[Ind_Returnees]]+Locations[[#This Row],[Ind_Refugees]]+Locations[[#This Row],[Ind_IDPs]]</f>
        <v>4</v>
      </c>
    </row>
    <row r="454" spans="1:19" s="388" customFormat="1" x14ac:dyDescent="0.3">
      <c r="A454" s="5" t="s">
        <v>533</v>
      </c>
      <c r="B454" s="1430" t="s">
        <v>3449</v>
      </c>
      <c r="C454" s="1090" t="s">
        <v>534</v>
      </c>
      <c r="D454" s="5" t="s">
        <v>31</v>
      </c>
      <c r="E454" s="5" t="s">
        <v>31</v>
      </c>
      <c r="F454" s="5" t="s">
        <v>549</v>
      </c>
      <c r="G454" s="5" t="s">
        <v>165</v>
      </c>
      <c r="H454" s="5" t="s">
        <v>165</v>
      </c>
      <c r="I454" s="5" t="s">
        <v>881</v>
      </c>
      <c r="J454" t="s">
        <v>2034</v>
      </c>
      <c r="K454" s="5" t="s">
        <v>1188</v>
      </c>
      <c r="L454" s="5"/>
      <c r="M454" s="387">
        <v>0</v>
      </c>
      <c r="N454" s="387">
        <v>0</v>
      </c>
      <c r="O454" s="387">
        <v>0</v>
      </c>
      <c r="P454" s="387">
        <v>0</v>
      </c>
      <c r="Q454" s="387">
        <v>0</v>
      </c>
      <c r="R454" s="387">
        <v>0</v>
      </c>
      <c r="S454" s="1174">
        <f>Locations[[#This Row],[Ind_Returnees]]+Locations[[#This Row],[Ind_Refugees]]+Locations[[#This Row],[Ind_IDPs]]</f>
        <v>0</v>
      </c>
    </row>
    <row r="455" spans="1:19" s="388" customFormat="1" x14ac:dyDescent="0.3">
      <c r="A455" s="5" t="s">
        <v>533</v>
      </c>
      <c r="B455" s="1430" t="s">
        <v>3449</v>
      </c>
      <c r="C455" s="398" t="s">
        <v>534</v>
      </c>
      <c r="D455" s="5" t="s">
        <v>31</v>
      </c>
      <c r="E455" s="5" t="s">
        <v>31</v>
      </c>
      <c r="F455" s="5" t="s">
        <v>549</v>
      </c>
      <c r="G455" s="5" t="s">
        <v>2797</v>
      </c>
      <c r="H455" s="5" t="s">
        <v>3898</v>
      </c>
      <c r="I455" s="5" t="s">
        <v>767</v>
      </c>
      <c r="J455" t="s">
        <v>2880</v>
      </c>
      <c r="K455" s="5" t="s">
        <v>1449</v>
      </c>
      <c r="L455" s="5"/>
      <c r="M455" s="387">
        <v>21</v>
      </c>
      <c r="N455" s="387">
        <v>157</v>
      </c>
      <c r="O455" s="387">
        <v>41</v>
      </c>
      <c r="P455" s="387">
        <v>342</v>
      </c>
      <c r="Q455" s="387">
        <v>144</v>
      </c>
      <c r="R455" s="387">
        <v>1159</v>
      </c>
      <c r="S455" s="1174">
        <f>Locations[[#This Row],[Ind_Returnees]]+Locations[[#This Row],[Ind_Refugees]]+Locations[[#This Row],[Ind_IDPs]]</f>
        <v>1658</v>
      </c>
    </row>
    <row r="456" spans="1:19" s="388" customFormat="1" x14ac:dyDescent="0.3">
      <c r="A456" s="5" t="s">
        <v>533</v>
      </c>
      <c r="B456" s="1430" t="s">
        <v>3449</v>
      </c>
      <c r="C456" s="1090" t="s">
        <v>534</v>
      </c>
      <c r="D456" s="5" t="s">
        <v>35</v>
      </c>
      <c r="E456" s="5" t="s">
        <v>35</v>
      </c>
      <c r="F456" s="5" t="s">
        <v>567</v>
      </c>
      <c r="G456" s="5" t="s">
        <v>195</v>
      </c>
      <c r="H456" s="5" t="s">
        <v>195</v>
      </c>
      <c r="I456" s="5" t="s">
        <v>733</v>
      </c>
      <c r="J456" t="s">
        <v>1796</v>
      </c>
      <c r="K456" s="5" t="s">
        <v>2647</v>
      </c>
      <c r="L456" s="5"/>
      <c r="M456" s="387">
        <v>0</v>
      </c>
      <c r="N456" s="387">
        <v>0</v>
      </c>
      <c r="O456" s="387">
        <v>0</v>
      </c>
      <c r="P456" s="387">
        <v>0</v>
      </c>
      <c r="Q456" s="387">
        <v>0</v>
      </c>
      <c r="R456" s="387">
        <v>0</v>
      </c>
      <c r="S456" s="1174">
        <f>Locations[[#This Row],[Ind_Returnees]]+Locations[[#This Row],[Ind_Refugees]]+Locations[[#This Row],[Ind_IDPs]]</f>
        <v>0</v>
      </c>
    </row>
    <row r="457" spans="1:19" s="388" customFormat="1" x14ac:dyDescent="0.3">
      <c r="A457" s="5" t="s">
        <v>533</v>
      </c>
      <c r="B457" s="1430" t="s">
        <v>3449</v>
      </c>
      <c r="C457" s="1090" t="s">
        <v>534</v>
      </c>
      <c r="D457" s="5" t="s">
        <v>31</v>
      </c>
      <c r="E457" s="5" t="s">
        <v>31</v>
      </c>
      <c r="F457" s="5" t="s">
        <v>549</v>
      </c>
      <c r="G457" s="5" t="s">
        <v>171</v>
      </c>
      <c r="H457" s="5" t="s">
        <v>171</v>
      </c>
      <c r="I457" s="5" t="s">
        <v>634</v>
      </c>
      <c r="J457" t="s">
        <v>2594</v>
      </c>
      <c r="K457" s="5" t="s">
        <v>1832</v>
      </c>
      <c r="L457" s="5"/>
      <c r="M457" s="387">
        <v>10</v>
      </c>
      <c r="N457" s="387">
        <v>82</v>
      </c>
      <c r="O457" s="387">
        <v>12</v>
      </c>
      <c r="P457" s="387">
        <v>59</v>
      </c>
      <c r="Q457" s="387">
        <v>0</v>
      </c>
      <c r="R457" s="387">
        <v>0</v>
      </c>
      <c r="S457" s="1174">
        <f>Locations[[#This Row],[Ind_Returnees]]+Locations[[#This Row],[Ind_Refugees]]+Locations[[#This Row],[Ind_IDPs]]</f>
        <v>141</v>
      </c>
    </row>
    <row r="458" spans="1:19" s="388" customFormat="1" x14ac:dyDescent="0.3">
      <c r="A458" s="5" t="s">
        <v>533</v>
      </c>
      <c r="B458" s="1430" t="s">
        <v>3449</v>
      </c>
      <c r="C458" s="1090" t="s">
        <v>534</v>
      </c>
      <c r="D458" s="5" t="s">
        <v>33</v>
      </c>
      <c r="E458" s="5" t="s">
        <v>33</v>
      </c>
      <c r="F458" s="5" t="s">
        <v>561</v>
      </c>
      <c r="G458" s="5" t="s">
        <v>183</v>
      </c>
      <c r="H458" s="5" t="s">
        <v>183</v>
      </c>
      <c r="I458" s="5" t="s">
        <v>562</v>
      </c>
      <c r="J458" t="s">
        <v>664</v>
      </c>
      <c r="K458" s="5" t="s">
        <v>665</v>
      </c>
      <c r="L458" s="5"/>
      <c r="M458" s="387">
        <v>3</v>
      </c>
      <c r="N458" s="387">
        <v>8</v>
      </c>
      <c r="O458" s="387">
        <v>0</v>
      </c>
      <c r="P458" s="387">
        <v>0</v>
      </c>
      <c r="Q458" s="387">
        <v>0</v>
      </c>
      <c r="R458" s="387">
        <v>0</v>
      </c>
      <c r="S458" s="1174">
        <f>Locations[[#This Row],[Ind_Returnees]]+Locations[[#This Row],[Ind_Refugees]]+Locations[[#This Row],[Ind_IDPs]]</f>
        <v>8</v>
      </c>
    </row>
    <row r="459" spans="1:19" s="388" customFormat="1" x14ac:dyDescent="0.3">
      <c r="A459" s="5" t="s">
        <v>533</v>
      </c>
      <c r="B459" s="1430" t="s">
        <v>3449</v>
      </c>
      <c r="C459" s="1090" t="s">
        <v>534</v>
      </c>
      <c r="D459" s="5" t="s">
        <v>34</v>
      </c>
      <c r="E459" s="5" t="s">
        <v>34</v>
      </c>
      <c r="F459" s="5" t="s">
        <v>539</v>
      </c>
      <c r="G459" s="5" t="s">
        <v>188</v>
      </c>
      <c r="H459" s="5" t="s">
        <v>188</v>
      </c>
      <c r="I459" s="5" t="s">
        <v>546</v>
      </c>
      <c r="J459" t="s">
        <v>1488</v>
      </c>
      <c r="K459" s="5" t="s">
        <v>1514</v>
      </c>
      <c r="L459" s="5"/>
      <c r="M459" s="387">
        <v>74</v>
      </c>
      <c r="N459" s="387">
        <v>366</v>
      </c>
      <c r="O459" s="387">
        <v>3</v>
      </c>
      <c r="P459" s="387">
        <v>12</v>
      </c>
      <c r="Q459" s="387">
        <v>35</v>
      </c>
      <c r="R459" s="387">
        <v>153</v>
      </c>
      <c r="S459" s="1174">
        <f>Locations[[#This Row],[Ind_Returnees]]+Locations[[#This Row],[Ind_Refugees]]+Locations[[#This Row],[Ind_IDPs]]</f>
        <v>531</v>
      </c>
    </row>
    <row r="460" spans="1:19" s="388" customFormat="1" x14ac:dyDescent="0.3">
      <c r="A460" s="5" t="s">
        <v>533</v>
      </c>
      <c r="B460" s="1430" t="s">
        <v>3449</v>
      </c>
      <c r="C460" s="398" t="s">
        <v>534</v>
      </c>
      <c r="D460" s="5" t="s">
        <v>31</v>
      </c>
      <c r="E460" s="5" t="s">
        <v>31</v>
      </c>
      <c r="F460" s="5" t="s">
        <v>549</v>
      </c>
      <c r="G460" s="5" t="s">
        <v>169</v>
      </c>
      <c r="H460" s="5" t="s">
        <v>169</v>
      </c>
      <c r="I460" s="5" t="s">
        <v>673</v>
      </c>
      <c r="J460" t="s">
        <v>2881</v>
      </c>
      <c r="K460" s="5" t="s">
        <v>2314</v>
      </c>
      <c r="L460" s="5"/>
      <c r="M460" s="387">
        <v>0</v>
      </c>
      <c r="N460" s="387">
        <v>0</v>
      </c>
      <c r="O460" s="387">
        <v>0</v>
      </c>
      <c r="P460" s="387">
        <v>0</v>
      </c>
      <c r="Q460" s="387">
        <v>37</v>
      </c>
      <c r="R460" s="387">
        <v>189</v>
      </c>
      <c r="S460" s="1174">
        <f>Locations[[#This Row],[Ind_Returnees]]+Locations[[#This Row],[Ind_Refugees]]+Locations[[#This Row],[Ind_IDPs]]</f>
        <v>189</v>
      </c>
    </row>
    <row r="461" spans="1:19" s="388" customFormat="1" x14ac:dyDescent="0.3">
      <c r="A461" s="5" t="s">
        <v>533</v>
      </c>
      <c r="B461" s="1430" t="s">
        <v>3449</v>
      </c>
      <c r="C461" s="398" t="s">
        <v>534</v>
      </c>
      <c r="D461" s="5" t="s">
        <v>30</v>
      </c>
      <c r="E461" s="5" t="s">
        <v>3522</v>
      </c>
      <c r="F461" s="5" t="s">
        <v>535</v>
      </c>
      <c r="G461" s="5" t="s">
        <v>158</v>
      </c>
      <c r="H461" s="5" t="s">
        <v>158</v>
      </c>
      <c r="I461" s="5" t="s">
        <v>571</v>
      </c>
      <c r="J461" t="s">
        <v>604</v>
      </c>
      <c r="K461" s="5" t="s">
        <v>605</v>
      </c>
      <c r="L461" s="5"/>
      <c r="M461" s="387">
        <v>2</v>
      </c>
      <c r="N461" s="387">
        <v>23</v>
      </c>
      <c r="O461" s="387">
        <v>0</v>
      </c>
      <c r="P461" s="387">
        <v>0</v>
      </c>
      <c r="Q461" s="387">
        <v>0</v>
      </c>
      <c r="R461" s="387">
        <v>0</v>
      </c>
      <c r="S461" s="1174">
        <f>Locations[[#This Row],[Ind_Returnees]]+Locations[[#This Row],[Ind_Refugees]]+Locations[[#This Row],[Ind_IDPs]]</f>
        <v>23</v>
      </c>
    </row>
    <row r="462" spans="1:19" s="388" customFormat="1" x14ac:dyDescent="0.3">
      <c r="A462" s="5" t="s">
        <v>533</v>
      </c>
      <c r="B462" s="1430" t="s">
        <v>3449</v>
      </c>
      <c r="C462" s="1090" t="s">
        <v>534</v>
      </c>
      <c r="D462" s="5" t="s">
        <v>31</v>
      </c>
      <c r="E462" s="5" t="s">
        <v>31</v>
      </c>
      <c r="F462" s="5" t="s">
        <v>549</v>
      </c>
      <c r="G462" s="5" t="s">
        <v>167</v>
      </c>
      <c r="H462" s="5" t="s">
        <v>167</v>
      </c>
      <c r="I462" s="5" t="s">
        <v>1113</v>
      </c>
      <c r="J462" t="s">
        <v>1778</v>
      </c>
      <c r="K462" s="5" t="s">
        <v>1779</v>
      </c>
      <c r="L462" s="5"/>
      <c r="M462" s="387">
        <v>61</v>
      </c>
      <c r="N462" s="387">
        <v>369</v>
      </c>
      <c r="O462" s="387">
        <v>0</v>
      </c>
      <c r="P462" s="387">
        <v>0</v>
      </c>
      <c r="Q462" s="387">
        <v>0</v>
      </c>
      <c r="R462" s="387">
        <v>0</v>
      </c>
      <c r="S462" s="1174">
        <f>Locations[[#This Row],[Ind_Returnees]]+Locations[[#This Row],[Ind_Refugees]]+Locations[[#This Row],[Ind_IDPs]]</f>
        <v>369</v>
      </c>
    </row>
    <row r="463" spans="1:19" s="388" customFormat="1" x14ac:dyDescent="0.3">
      <c r="A463" s="5" t="s">
        <v>533</v>
      </c>
      <c r="B463" s="1430" t="s">
        <v>3449</v>
      </c>
      <c r="C463" s="1090" t="s">
        <v>534</v>
      </c>
      <c r="D463" s="5" t="s">
        <v>31</v>
      </c>
      <c r="E463" s="5" t="s">
        <v>31</v>
      </c>
      <c r="F463" s="5" t="s">
        <v>549</v>
      </c>
      <c r="G463" s="5" t="s">
        <v>167</v>
      </c>
      <c r="H463" s="5" t="s">
        <v>167</v>
      </c>
      <c r="I463" s="5" t="s">
        <v>1113</v>
      </c>
      <c r="J463" t="s">
        <v>2073</v>
      </c>
      <c r="K463" s="5" t="s">
        <v>2074</v>
      </c>
      <c r="L463" s="5"/>
      <c r="M463" s="387">
        <v>68</v>
      </c>
      <c r="N463" s="387">
        <v>270</v>
      </c>
      <c r="O463" s="387">
        <v>0</v>
      </c>
      <c r="P463" s="387">
        <v>0</v>
      </c>
      <c r="Q463" s="387">
        <v>0</v>
      </c>
      <c r="R463" s="387">
        <v>0</v>
      </c>
      <c r="S463" s="1174">
        <f>Locations[[#This Row],[Ind_Returnees]]+Locations[[#This Row],[Ind_Refugees]]+Locations[[#This Row],[Ind_IDPs]]</f>
        <v>270</v>
      </c>
    </row>
    <row r="464" spans="1:19" s="388" customFormat="1" x14ac:dyDescent="0.3">
      <c r="A464" s="5" t="s">
        <v>533</v>
      </c>
      <c r="B464" s="1430" t="s">
        <v>3449</v>
      </c>
      <c r="C464" s="1090" t="s">
        <v>534</v>
      </c>
      <c r="D464" s="5" t="s">
        <v>31</v>
      </c>
      <c r="E464" s="5" t="s">
        <v>31</v>
      </c>
      <c r="F464" s="5" t="s">
        <v>549</v>
      </c>
      <c r="G464" s="5" t="s">
        <v>172</v>
      </c>
      <c r="H464" s="5" t="s">
        <v>172</v>
      </c>
      <c r="I464" s="5" t="s">
        <v>706</v>
      </c>
      <c r="J464" t="s">
        <v>2882</v>
      </c>
      <c r="K464" s="5" t="s">
        <v>2699</v>
      </c>
      <c r="L464" s="5"/>
      <c r="M464" s="387">
        <v>0</v>
      </c>
      <c r="N464" s="387">
        <v>0</v>
      </c>
      <c r="O464" s="387">
        <v>0</v>
      </c>
      <c r="P464" s="387">
        <v>0</v>
      </c>
      <c r="Q464" s="387">
        <v>0</v>
      </c>
      <c r="R464" s="387">
        <v>0</v>
      </c>
      <c r="S464" s="1174">
        <f>Locations[[#This Row],[Ind_Returnees]]+Locations[[#This Row],[Ind_Refugees]]+Locations[[#This Row],[Ind_IDPs]]</f>
        <v>0</v>
      </c>
    </row>
    <row r="465" spans="1:19" s="388" customFormat="1" x14ac:dyDescent="0.3">
      <c r="A465" s="5" t="s">
        <v>533</v>
      </c>
      <c r="B465" s="1430" t="s">
        <v>3449</v>
      </c>
      <c r="C465" s="1090" t="s">
        <v>534</v>
      </c>
      <c r="D465" s="5" t="s">
        <v>31</v>
      </c>
      <c r="E465" s="5" t="s">
        <v>31</v>
      </c>
      <c r="F465" s="5" t="s">
        <v>549</v>
      </c>
      <c r="G465" s="5" t="s">
        <v>171</v>
      </c>
      <c r="H465" s="5" t="s">
        <v>171</v>
      </c>
      <c r="I465" s="5" t="s">
        <v>634</v>
      </c>
      <c r="J465" t="s">
        <v>1995</v>
      </c>
      <c r="K465" s="5" t="s">
        <v>1102</v>
      </c>
      <c r="L465" s="5"/>
      <c r="M465" s="387">
        <v>11</v>
      </c>
      <c r="N465" s="387">
        <v>112</v>
      </c>
      <c r="O465" s="387">
        <v>21</v>
      </c>
      <c r="P465" s="387">
        <v>135</v>
      </c>
      <c r="Q465" s="387">
        <v>0</v>
      </c>
      <c r="R465" s="387">
        <v>0</v>
      </c>
      <c r="S465" s="1174">
        <f>Locations[[#This Row],[Ind_Returnees]]+Locations[[#This Row],[Ind_Refugees]]+Locations[[#This Row],[Ind_IDPs]]</f>
        <v>247</v>
      </c>
    </row>
    <row r="466" spans="1:19" s="388" customFormat="1" x14ac:dyDescent="0.3">
      <c r="A466" s="5" t="s">
        <v>533</v>
      </c>
      <c r="B466" s="1430" t="s">
        <v>3449</v>
      </c>
      <c r="C466" s="1090" t="s">
        <v>534</v>
      </c>
      <c r="D466" s="5" t="s">
        <v>31</v>
      </c>
      <c r="E466" s="5" t="s">
        <v>31</v>
      </c>
      <c r="F466" s="5" t="s">
        <v>549</v>
      </c>
      <c r="G466" s="5" t="s">
        <v>172</v>
      </c>
      <c r="H466" s="5" t="s">
        <v>172</v>
      </c>
      <c r="I466" s="5" t="s">
        <v>706</v>
      </c>
      <c r="J466" t="s">
        <v>2883</v>
      </c>
      <c r="K466" s="5" t="s">
        <v>2162</v>
      </c>
      <c r="L466" s="5"/>
      <c r="M466" s="387">
        <v>40</v>
      </c>
      <c r="N466" s="387">
        <v>200</v>
      </c>
      <c r="O466" s="387">
        <v>5</v>
      </c>
      <c r="P466" s="387">
        <v>43</v>
      </c>
      <c r="Q466" s="387">
        <v>3</v>
      </c>
      <c r="R466" s="387">
        <v>24</v>
      </c>
      <c r="S466" s="1174">
        <f>Locations[[#This Row],[Ind_Returnees]]+Locations[[#This Row],[Ind_Refugees]]+Locations[[#This Row],[Ind_IDPs]]</f>
        <v>267</v>
      </c>
    </row>
    <row r="467" spans="1:19" s="388" customFormat="1" x14ac:dyDescent="0.3">
      <c r="A467" s="5" t="s">
        <v>533</v>
      </c>
      <c r="B467" s="1430" t="s">
        <v>3449</v>
      </c>
      <c r="C467" s="398" t="s">
        <v>534</v>
      </c>
      <c r="D467" s="5" t="s">
        <v>31</v>
      </c>
      <c r="E467" s="5" t="s">
        <v>31</v>
      </c>
      <c r="F467" s="5" t="s">
        <v>549</v>
      </c>
      <c r="G467" s="5" t="s">
        <v>167</v>
      </c>
      <c r="H467" s="5" t="s">
        <v>167</v>
      </c>
      <c r="I467" s="5" t="s">
        <v>1113</v>
      </c>
      <c r="J467" t="s">
        <v>1900</v>
      </c>
      <c r="K467" s="5" t="s">
        <v>2080</v>
      </c>
      <c r="L467" s="5"/>
      <c r="M467" s="387">
        <v>3</v>
      </c>
      <c r="N467" s="387">
        <v>12</v>
      </c>
      <c r="O467" s="387">
        <v>0</v>
      </c>
      <c r="P467" s="387">
        <v>0</v>
      </c>
      <c r="Q467" s="387">
        <v>0</v>
      </c>
      <c r="R467" s="387">
        <v>0</v>
      </c>
      <c r="S467" s="1174">
        <f>Locations[[#This Row],[Ind_Returnees]]+Locations[[#This Row],[Ind_Refugees]]+Locations[[#This Row],[Ind_IDPs]]</f>
        <v>12</v>
      </c>
    </row>
    <row r="468" spans="1:19" s="388" customFormat="1" x14ac:dyDescent="0.3">
      <c r="A468" s="5" t="s">
        <v>533</v>
      </c>
      <c r="B468" s="1430" t="s">
        <v>3449</v>
      </c>
      <c r="C468" s="1090" t="s">
        <v>534</v>
      </c>
      <c r="D468" s="5" t="s">
        <v>31</v>
      </c>
      <c r="E468" s="5" t="s">
        <v>31</v>
      </c>
      <c r="F468" s="5" t="s">
        <v>549</v>
      </c>
      <c r="G468" s="5" t="s">
        <v>171</v>
      </c>
      <c r="H468" s="5" t="s">
        <v>171</v>
      </c>
      <c r="I468" s="5" t="s">
        <v>634</v>
      </c>
      <c r="J468" t="s">
        <v>1816</v>
      </c>
      <c r="K468" s="5" t="s">
        <v>2597</v>
      </c>
      <c r="L468" s="5"/>
      <c r="M468" s="387">
        <v>0</v>
      </c>
      <c r="N468" s="387">
        <v>0</v>
      </c>
      <c r="O468" s="387">
        <v>20</v>
      </c>
      <c r="P468" s="387">
        <v>140</v>
      </c>
      <c r="Q468" s="387">
        <v>0</v>
      </c>
      <c r="R468" s="387">
        <v>0</v>
      </c>
      <c r="S468" s="1174">
        <f>Locations[[#This Row],[Ind_Returnees]]+Locations[[#This Row],[Ind_Refugees]]+Locations[[#This Row],[Ind_IDPs]]</f>
        <v>140</v>
      </c>
    </row>
    <row r="469" spans="1:19" s="388" customFormat="1" x14ac:dyDescent="0.3">
      <c r="A469" s="5" t="s">
        <v>533</v>
      </c>
      <c r="B469" s="1430" t="s">
        <v>3449</v>
      </c>
      <c r="C469" s="1090" t="s">
        <v>534</v>
      </c>
      <c r="D469" s="5" t="s">
        <v>31</v>
      </c>
      <c r="E469" s="5" t="s">
        <v>31</v>
      </c>
      <c r="F469" s="5" t="s">
        <v>549</v>
      </c>
      <c r="G469" s="5" t="s">
        <v>171</v>
      </c>
      <c r="H469" s="5" t="s">
        <v>171</v>
      </c>
      <c r="I469" s="5" t="s">
        <v>634</v>
      </c>
      <c r="J469" t="s">
        <v>849</v>
      </c>
      <c r="K469" s="5" t="s">
        <v>1159</v>
      </c>
      <c r="L469" s="5"/>
      <c r="M469" s="387">
        <v>21</v>
      </c>
      <c r="N469" s="387">
        <v>119</v>
      </c>
      <c r="O469" s="387">
        <v>2</v>
      </c>
      <c r="P469" s="387">
        <v>11</v>
      </c>
      <c r="Q469" s="387">
        <v>0</v>
      </c>
      <c r="R469" s="387">
        <v>0</v>
      </c>
      <c r="S469" s="1174">
        <f>Locations[[#This Row],[Ind_Returnees]]+Locations[[#This Row],[Ind_Refugees]]+Locations[[#This Row],[Ind_IDPs]]</f>
        <v>130</v>
      </c>
    </row>
    <row r="470" spans="1:19" s="388" customFormat="1" x14ac:dyDescent="0.3">
      <c r="A470" s="5" t="s">
        <v>533</v>
      </c>
      <c r="B470" s="1430" t="s">
        <v>3449</v>
      </c>
      <c r="C470" s="398" t="s">
        <v>534</v>
      </c>
      <c r="D470" s="5" t="s">
        <v>31</v>
      </c>
      <c r="E470" s="5" t="s">
        <v>31</v>
      </c>
      <c r="F470" s="5" t="s">
        <v>549</v>
      </c>
      <c r="G470" s="5" t="s">
        <v>171</v>
      </c>
      <c r="H470" s="5" t="s">
        <v>171</v>
      </c>
      <c r="I470" s="5" t="s">
        <v>634</v>
      </c>
      <c r="J470" t="s">
        <v>1922</v>
      </c>
      <c r="K470" s="5" t="s">
        <v>2187</v>
      </c>
      <c r="L470" s="5"/>
      <c r="M470" s="387">
        <v>2</v>
      </c>
      <c r="N470" s="387">
        <v>10</v>
      </c>
      <c r="O470" s="387">
        <v>2</v>
      </c>
      <c r="P470" s="387">
        <v>12</v>
      </c>
      <c r="Q470" s="387">
        <v>0</v>
      </c>
      <c r="R470" s="387">
        <v>0</v>
      </c>
      <c r="S470" s="1174">
        <f>Locations[[#This Row],[Ind_Returnees]]+Locations[[#This Row],[Ind_Refugees]]+Locations[[#This Row],[Ind_IDPs]]</f>
        <v>22</v>
      </c>
    </row>
    <row r="471" spans="1:19" s="388" customFormat="1" x14ac:dyDescent="0.3">
      <c r="A471" s="5" t="s">
        <v>533</v>
      </c>
      <c r="B471" s="1430" t="s">
        <v>3449</v>
      </c>
      <c r="C471" s="398" t="s">
        <v>534</v>
      </c>
      <c r="D471" s="5" t="s">
        <v>31</v>
      </c>
      <c r="E471" s="5" t="s">
        <v>31</v>
      </c>
      <c r="F471" s="5" t="s">
        <v>549</v>
      </c>
      <c r="G471" s="5" t="s">
        <v>171</v>
      </c>
      <c r="H471" s="5" t="s">
        <v>171</v>
      </c>
      <c r="I471" s="5" t="s">
        <v>634</v>
      </c>
      <c r="J471" t="s">
        <v>1784</v>
      </c>
      <c r="K471" s="5" t="s">
        <v>1157</v>
      </c>
      <c r="L471" s="5"/>
      <c r="M471" s="387">
        <v>2</v>
      </c>
      <c r="N471" s="387">
        <v>19</v>
      </c>
      <c r="O471" s="387">
        <v>0</v>
      </c>
      <c r="P471" s="387">
        <v>0</v>
      </c>
      <c r="Q471" s="387">
        <v>0</v>
      </c>
      <c r="R471" s="387">
        <v>0</v>
      </c>
      <c r="S471" s="1174">
        <f>Locations[[#This Row],[Ind_Returnees]]+Locations[[#This Row],[Ind_Refugees]]+Locations[[#This Row],[Ind_IDPs]]</f>
        <v>19</v>
      </c>
    </row>
    <row r="472" spans="1:19" s="388" customFormat="1" x14ac:dyDescent="0.3">
      <c r="A472" s="5" t="s">
        <v>533</v>
      </c>
      <c r="B472" s="1430" t="s">
        <v>3449</v>
      </c>
      <c r="C472" s="1090" t="s">
        <v>534</v>
      </c>
      <c r="D472" s="5" t="s">
        <v>31</v>
      </c>
      <c r="E472" s="5" t="s">
        <v>31</v>
      </c>
      <c r="F472" s="5" t="s">
        <v>549</v>
      </c>
      <c r="G472" s="5" t="s">
        <v>171</v>
      </c>
      <c r="H472" s="5" t="s">
        <v>171</v>
      </c>
      <c r="I472" s="5" t="s">
        <v>634</v>
      </c>
      <c r="J472" t="s">
        <v>1875</v>
      </c>
      <c r="K472" s="5" t="s">
        <v>2021</v>
      </c>
      <c r="L472" s="5"/>
      <c r="M472" s="387">
        <v>20</v>
      </c>
      <c r="N472" s="387">
        <v>115</v>
      </c>
      <c r="O472" s="387">
        <v>12</v>
      </c>
      <c r="P472" s="387">
        <v>59</v>
      </c>
      <c r="Q472" s="387">
        <v>0</v>
      </c>
      <c r="R472" s="387">
        <v>0</v>
      </c>
      <c r="S472" s="1174">
        <f>Locations[[#This Row],[Ind_Returnees]]+Locations[[#This Row],[Ind_Refugees]]+Locations[[#This Row],[Ind_IDPs]]</f>
        <v>174</v>
      </c>
    </row>
    <row r="473" spans="1:19" s="388" customFormat="1" x14ac:dyDescent="0.3">
      <c r="A473" s="5" t="s">
        <v>533</v>
      </c>
      <c r="B473" s="1430" t="s">
        <v>3449</v>
      </c>
      <c r="C473" s="398" t="s">
        <v>534</v>
      </c>
      <c r="D473" s="5" t="s">
        <v>35</v>
      </c>
      <c r="E473" s="5" t="s">
        <v>35</v>
      </c>
      <c r="F473" s="5" t="s">
        <v>567</v>
      </c>
      <c r="G473" s="5" t="s">
        <v>194</v>
      </c>
      <c r="H473" s="5" t="s">
        <v>194</v>
      </c>
      <c r="I473" s="5" t="s">
        <v>2150</v>
      </c>
      <c r="J473" t="s">
        <v>2208</v>
      </c>
      <c r="K473" s="5" t="s">
        <v>2209</v>
      </c>
      <c r="L473" s="5"/>
      <c r="M473" s="387">
        <v>0</v>
      </c>
      <c r="N473" s="387">
        <v>0</v>
      </c>
      <c r="O473" s="387">
        <v>3</v>
      </c>
      <c r="P473" s="387">
        <v>25</v>
      </c>
      <c r="Q473" s="387">
        <v>3</v>
      </c>
      <c r="R473" s="387">
        <v>15</v>
      </c>
      <c r="S473" s="1174">
        <f>Locations[[#This Row],[Ind_Returnees]]+Locations[[#This Row],[Ind_Refugees]]+Locations[[#This Row],[Ind_IDPs]]</f>
        <v>40</v>
      </c>
    </row>
    <row r="474" spans="1:19" s="388" customFormat="1" x14ac:dyDescent="0.3">
      <c r="A474" s="5" t="s">
        <v>533</v>
      </c>
      <c r="B474" s="1430" t="s">
        <v>3449</v>
      </c>
      <c r="C474" s="398" t="s">
        <v>534</v>
      </c>
      <c r="D474" s="5" t="s">
        <v>30</v>
      </c>
      <c r="E474" s="5" t="s">
        <v>3522</v>
      </c>
      <c r="F474" s="5" t="s">
        <v>535</v>
      </c>
      <c r="G474" s="1144" t="s">
        <v>156</v>
      </c>
      <c r="H474" s="1144" t="s">
        <v>156</v>
      </c>
      <c r="I474" s="5" t="s">
        <v>697</v>
      </c>
      <c r="J474" t="s">
        <v>2884</v>
      </c>
      <c r="K474" s="5" t="s">
        <v>2379</v>
      </c>
      <c r="L474" s="5"/>
      <c r="M474" s="387">
        <v>0</v>
      </c>
      <c r="N474" s="387">
        <v>0</v>
      </c>
      <c r="O474" s="387">
        <v>0</v>
      </c>
      <c r="P474" s="387">
        <v>0</v>
      </c>
      <c r="Q474" s="387">
        <v>0</v>
      </c>
      <c r="R474" s="387">
        <v>0</v>
      </c>
      <c r="S474" s="1174">
        <f>Locations[[#This Row],[Ind_Returnees]]+Locations[[#This Row],[Ind_Refugees]]+Locations[[#This Row],[Ind_IDPs]]</f>
        <v>0</v>
      </c>
    </row>
    <row r="475" spans="1:19" s="388" customFormat="1" x14ac:dyDescent="0.3">
      <c r="A475" s="5" t="s">
        <v>533</v>
      </c>
      <c r="B475" s="1430" t="s">
        <v>3449</v>
      </c>
      <c r="C475" s="398" t="s">
        <v>534</v>
      </c>
      <c r="D475" s="5" t="s">
        <v>31</v>
      </c>
      <c r="E475" s="5" t="s">
        <v>31</v>
      </c>
      <c r="F475" s="5" t="s">
        <v>549</v>
      </c>
      <c r="G475" s="1144" t="s">
        <v>169</v>
      </c>
      <c r="H475" s="1144" t="s">
        <v>169</v>
      </c>
      <c r="I475" s="5" t="s">
        <v>673</v>
      </c>
      <c r="J475" t="s">
        <v>2885</v>
      </c>
      <c r="K475" s="5" t="s">
        <v>1565</v>
      </c>
      <c r="L475" s="5"/>
      <c r="M475" s="387">
        <v>0</v>
      </c>
      <c r="N475" s="387">
        <v>0</v>
      </c>
      <c r="O475" s="387">
        <v>0</v>
      </c>
      <c r="P475" s="387">
        <v>0</v>
      </c>
      <c r="Q475" s="387">
        <v>0</v>
      </c>
      <c r="R475" s="387">
        <v>0</v>
      </c>
      <c r="S475" s="1174">
        <f>Locations[[#This Row],[Ind_Returnees]]+Locations[[#This Row],[Ind_Refugees]]+Locations[[#This Row],[Ind_IDPs]]</f>
        <v>0</v>
      </c>
    </row>
    <row r="476" spans="1:19" s="388" customFormat="1" x14ac:dyDescent="0.3">
      <c r="A476" s="5" t="s">
        <v>533</v>
      </c>
      <c r="B476" s="1430" t="s">
        <v>3449</v>
      </c>
      <c r="C476" s="1090" t="s">
        <v>534</v>
      </c>
      <c r="D476" s="5" t="s">
        <v>31</v>
      </c>
      <c r="E476" s="5" t="s">
        <v>31</v>
      </c>
      <c r="F476" s="5" t="s">
        <v>549</v>
      </c>
      <c r="G476" s="5" t="s">
        <v>171</v>
      </c>
      <c r="H476" s="5" t="s">
        <v>171</v>
      </c>
      <c r="I476" s="5" t="s">
        <v>634</v>
      </c>
      <c r="J476" t="s">
        <v>2886</v>
      </c>
      <c r="K476" s="5" t="s">
        <v>1029</v>
      </c>
      <c r="L476" s="5"/>
      <c r="M476" s="387">
        <v>4</v>
      </c>
      <c r="N476" s="387">
        <v>46</v>
      </c>
      <c r="O476" s="387">
        <v>0</v>
      </c>
      <c r="P476" s="387">
        <v>0</v>
      </c>
      <c r="Q476" s="387">
        <v>0</v>
      </c>
      <c r="R476" s="387">
        <v>0</v>
      </c>
      <c r="S476" s="1174">
        <f>Locations[[#This Row],[Ind_Returnees]]+Locations[[#This Row],[Ind_Refugees]]+Locations[[#This Row],[Ind_IDPs]]</f>
        <v>46</v>
      </c>
    </row>
    <row r="477" spans="1:19" s="388" customFormat="1" x14ac:dyDescent="0.3">
      <c r="A477" s="5" t="s">
        <v>533</v>
      </c>
      <c r="B477" s="1430" t="s">
        <v>3449</v>
      </c>
      <c r="C477" s="398" t="s">
        <v>534</v>
      </c>
      <c r="D477" s="5" t="s">
        <v>35</v>
      </c>
      <c r="E477" s="5" t="s">
        <v>35</v>
      </c>
      <c r="F477" s="5" t="s">
        <v>567</v>
      </c>
      <c r="G477" s="5" t="s">
        <v>192</v>
      </c>
      <c r="H477" s="5" t="s">
        <v>192</v>
      </c>
      <c r="I477" s="5" t="s">
        <v>853</v>
      </c>
      <c r="J477" t="s">
        <v>961</v>
      </c>
      <c r="K477" s="5" t="s">
        <v>1526</v>
      </c>
      <c r="L477" s="5"/>
      <c r="M477" s="387">
        <v>62</v>
      </c>
      <c r="N477" s="387">
        <v>338</v>
      </c>
      <c r="O477" s="387">
        <v>0</v>
      </c>
      <c r="P477" s="387">
        <v>0</v>
      </c>
      <c r="Q477" s="387">
        <v>0</v>
      </c>
      <c r="R477" s="387">
        <v>0</v>
      </c>
      <c r="S477" s="1174">
        <f>Locations[[#This Row],[Ind_Returnees]]+Locations[[#This Row],[Ind_Refugees]]+Locations[[#This Row],[Ind_IDPs]]</f>
        <v>338</v>
      </c>
    </row>
    <row r="478" spans="1:19" s="388" customFormat="1" x14ac:dyDescent="0.3">
      <c r="A478" s="5" t="s">
        <v>533</v>
      </c>
      <c r="B478" s="1430" t="s">
        <v>3449</v>
      </c>
      <c r="C478" s="1090" t="s">
        <v>534</v>
      </c>
      <c r="D478" s="5" t="s">
        <v>35</v>
      </c>
      <c r="E478" s="5" t="s">
        <v>35</v>
      </c>
      <c r="F478" s="5" t="s">
        <v>567</v>
      </c>
      <c r="G478" s="5" t="s">
        <v>192</v>
      </c>
      <c r="H478" s="5" t="s">
        <v>192</v>
      </c>
      <c r="I478" s="5" t="s">
        <v>853</v>
      </c>
      <c r="J478" t="s">
        <v>1456</v>
      </c>
      <c r="K478" s="5" t="s">
        <v>1167</v>
      </c>
      <c r="L478" s="5"/>
      <c r="M478" s="387">
        <v>40</v>
      </c>
      <c r="N478" s="387">
        <v>268</v>
      </c>
      <c r="O478" s="387">
        <v>0</v>
      </c>
      <c r="P478" s="387">
        <v>0</v>
      </c>
      <c r="Q478" s="387">
        <v>8</v>
      </c>
      <c r="R478" s="387">
        <v>19</v>
      </c>
      <c r="S478" s="1174">
        <f>Locations[[#This Row],[Ind_Returnees]]+Locations[[#This Row],[Ind_Refugees]]+Locations[[#This Row],[Ind_IDPs]]</f>
        <v>287</v>
      </c>
    </row>
    <row r="479" spans="1:19" s="388" customFormat="1" x14ac:dyDescent="0.3">
      <c r="A479" s="5" t="s">
        <v>533</v>
      </c>
      <c r="B479" s="1430" t="s">
        <v>3449</v>
      </c>
      <c r="C479" s="398" t="s">
        <v>534</v>
      </c>
      <c r="D479" s="5" t="s">
        <v>35</v>
      </c>
      <c r="E479" s="5" t="s">
        <v>35</v>
      </c>
      <c r="F479" s="5" t="s">
        <v>567</v>
      </c>
      <c r="G479" s="5" t="s">
        <v>192</v>
      </c>
      <c r="H479" s="5" t="s">
        <v>192</v>
      </c>
      <c r="I479" s="5" t="s">
        <v>853</v>
      </c>
      <c r="J479" t="s">
        <v>1166</v>
      </c>
      <c r="K479" s="5" t="s">
        <v>855</v>
      </c>
      <c r="L479" s="5"/>
      <c r="M479" s="387">
        <v>945</v>
      </c>
      <c r="N479" s="387">
        <v>5688</v>
      </c>
      <c r="O479" s="387">
        <v>0</v>
      </c>
      <c r="P479" s="387">
        <v>0</v>
      </c>
      <c r="Q479" s="387">
        <v>84</v>
      </c>
      <c r="R479" s="387">
        <v>457</v>
      </c>
      <c r="S479" s="1174">
        <f>Locations[[#This Row],[Ind_Returnees]]+Locations[[#This Row],[Ind_Refugees]]+Locations[[#This Row],[Ind_IDPs]]</f>
        <v>6145</v>
      </c>
    </row>
    <row r="480" spans="1:19" s="388" customFormat="1" x14ac:dyDescent="0.3">
      <c r="A480" s="5" t="s">
        <v>533</v>
      </c>
      <c r="B480" s="1430" t="s">
        <v>3449</v>
      </c>
      <c r="C480" s="398" t="s">
        <v>534</v>
      </c>
      <c r="D480" s="5" t="s">
        <v>34</v>
      </c>
      <c r="E480" s="5" t="s">
        <v>34</v>
      </c>
      <c r="F480" s="5" t="s">
        <v>539</v>
      </c>
      <c r="G480" s="1144" t="s">
        <v>187</v>
      </c>
      <c r="H480" s="1144" t="s">
        <v>187</v>
      </c>
      <c r="I480" s="5" t="s">
        <v>951</v>
      </c>
      <c r="J480" t="s">
        <v>2550</v>
      </c>
      <c r="K480" s="5" t="s">
        <v>1596</v>
      </c>
      <c r="L480" s="5"/>
      <c r="M480" s="387">
        <v>50</v>
      </c>
      <c r="N480" s="387">
        <v>513</v>
      </c>
      <c r="O480" s="387">
        <v>0</v>
      </c>
      <c r="P480" s="387">
        <v>0</v>
      </c>
      <c r="Q480" s="387">
        <v>0</v>
      </c>
      <c r="R480" s="387">
        <v>0</v>
      </c>
      <c r="S480" s="1174">
        <f>Locations[[#This Row],[Ind_Returnees]]+Locations[[#This Row],[Ind_Refugees]]+Locations[[#This Row],[Ind_IDPs]]</f>
        <v>513</v>
      </c>
    </row>
    <row r="481" spans="1:19" s="388" customFormat="1" x14ac:dyDescent="0.3">
      <c r="A481" s="5" t="s">
        <v>533</v>
      </c>
      <c r="B481" s="1430" t="s">
        <v>3449</v>
      </c>
      <c r="C481" s="1090" t="s">
        <v>534</v>
      </c>
      <c r="D481" s="5" t="s">
        <v>31</v>
      </c>
      <c r="E481" s="5" t="s">
        <v>31</v>
      </c>
      <c r="F481" s="5" t="s">
        <v>549</v>
      </c>
      <c r="G481" s="5" t="s">
        <v>172</v>
      </c>
      <c r="H481" s="5" t="s">
        <v>172</v>
      </c>
      <c r="I481" s="5" t="s">
        <v>706</v>
      </c>
      <c r="J481" t="s">
        <v>2887</v>
      </c>
      <c r="K481" s="5" t="s">
        <v>1165</v>
      </c>
      <c r="L481" s="5"/>
      <c r="M481" s="387">
        <v>19</v>
      </c>
      <c r="N481" s="387">
        <v>76</v>
      </c>
      <c r="O481" s="387">
        <v>22</v>
      </c>
      <c r="P481" s="387">
        <v>82</v>
      </c>
      <c r="Q481" s="387">
        <v>17</v>
      </c>
      <c r="R481" s="387">
        <v>98</v>
      </c>
      <c r="S481" s="1174">
        <f>Locations[[#This Row],[Ind_Returnees]]+Locations[[#This Row],[Ind_Refugees]]+Locations[[#This Row],[Ind_IDPs]]</f>
        <v>256</v>
      </c>
    </row>
    <row r="482" spans="1:19" s="388" customFormat="1" x14ac:dyDescent="0.3">
      <c r="A482" s="5" t="s">
        <v>533</v>
      </c>
      <c r="B482" s="1430" t="s">
        <v>3449</v>
      </c>
      <c r="C482" s="1090" t="s">
        <v>534</v>
      </c>
      <c r="D482" s="5" t="s">
        <v>31</v>
      </c>
      <c r="E482" s="5" t="s">
        <v>31</v>
      </c>
      <c r="F482" s="5" t="s">
        <v>549</v>
      </c>
      <c r="G482" s="5" t="s">
        <v>171</v>
      </c>
      <c r="H482" s="5" t="s">
        <v>171</v>
      </c>
      <c r="I482" s="5" t="s">
        <v>634</v>
      </c>
      <c r="J482" t="s">
        <v>2888</v>
      </c>
      <c r="K482" s="5" t="s">
        <v>1960</v>
      </c>
      <c r="L482" s="5"/>
      <c r="M482" s="387">
        <v>13</v>
      </c>
      <c r="N482" s="387">
        <v>127</v>
      </c>
      <c r="O482" s="387">
        <v>2</v>
      </c>
      <c r="P482" s="387">
        <v>10</v>
      </c>
      <c r="Q482" s="387">
        <v>0</v>
      </c>
      <c r="R482" s="387">
        <v>0</v>
      </c>
      <c r="S482" s="1174">
        <f>Locations[[#This Row],[Ind_Returnees]]+Locations[[#This Row],[Ind_Refugees]]+Locations[[#This Row],[Ind_IDPs]]</f>
        <v>137</v>
      </c>
    </row>
    <row r="483" spans="1:19" s="388" customFormat="1" x14ac:dyDescent="0.3">
      <c r="A483" s="5" t="s">
        <v>533</v>
      </c>
      <c r="B483" s="1430" t="s">
        <v>3449</v>
      </c>
      <c r="C483" s="1090" t="s">
        <v>534</v>
      </c>
      <c r="D483" s="5" t="s">
        <v>30</v>
      </c>
      <c r="E483" s="5" t="s">
        <v>3522</v>
      </c>
      <c r="F483" s="5" t="s">
        <v>535</v>
      </c>
      <c r="G483" s="5" t="s">
        <v>158</v>
      </c>
      <c r="H483" s="5" t="s">
        <v>158</v>
      </c>
      <c r="I483" s="5" t="s">
        <v>571</v>
      </c>
      <c r="J483" t="s">
        <v>2526</v>
      </c>
      <c r="K483" s="5" t="s">
        <v>2527</v>
      </c>
      <c r="L483" s="5"/>
      <c r="M483" s="387">
        <v>0</v>
      </c>
      <c r="N483" s="387">
        <v>0</v>
      </c>
      <c r="O483" s="387">
        <v>0</v>
      </c>
      <c r="P483" s="387">
        <v>0</v>
      </c>
      <c r="Q483" s="387">
        <v>0</v>
      </c>
      <c r="R483" s="387">
        <v>0</v>
      </c>
      <c r="S483" s="1174">
        <f>Locations[[#This Row],[Ind_Returnees]]+Locations[[#This Row],[Ind_Refugees]]+Locations[[#This Row],[Ind_IDPs]]</f>
        <v>0</v>
      </c>
    </row>
    <row r="484" spans="1:19" s="388" customFormat="1" x14ac:dyDescent="0.3">
      <c r="A484" s="5" t="s">
        <v>533</v>
      </c>
      <c r="B484" s="1430" t="s">
        <v>3449</v>
      </c>
      <c r="C484" s="398" t="s">
        <v>534</v>
      </c>
      <c r="D484" s="5" t="s">
        <v>32</v>
      </c>
      <c r="E484" s="5" t="s">
        <v>32</v>
      </c>
      <c r="F484" s="5" t="s">
        <v>542</v>
      </c>
      <c r="G484" s="5" t="s">
        <v>178</v>
      </c>
      <c r="H484" s="5" t="s">
        <v>178</v>
      </c>
      <c r="I484" s="5" t="s">
        <v>543</v>
      </c>
      <c r="J484" t="s">
        <v>1260</v>
      </c>
      <c r="K484" s="5" t="s">
        <v>1261</v>
      </c>
      <c r="L484" s="5"/>
      <c r="M484" s="387">
        <v>12</v>
      </c>
      <c r="N484" s="387">
        <v>148</v>
      </c>
      <c r="O484" s="387">
        <v>0</v>
      </c>
      <c r="P484" s="387">
        <v>0</v>
      </c>
      <c r="Q484" s="387">
        <v>0</v>
      </c>
      <c r="R484" s="387">
        <v>0</v>
      </c>
      <c r="S484" s="1174">
        <f>Locations[[#This Row],[Ind_Returnees]]+Locations[[#This Row],[Ind_Refugees]]+Locations[[#This Row],[Ind_IDPs]]</f>
        <v>148</v>
      </c>
    </row>
    <row r="485" spans="1:19" s="388" customFormat="1" x14ac:dyDescent="0.3">
      <c r="A485" s="5" t="s">
        <v>533</v>
      </c>
      <c r="B485" s="1430" t="s">
        <v>3449</v>
      </c>
      <c r="C485" s="398" t="s">
        <v>534</v>
      </c>
      <c r="D485" s="5" t="s">
        <v>34</v>
      </c>
      <c r="E485" s="5" t="s">
        <v>34</v>
      </c>
      <c r="F485" s="5" t="s">
        <v>539</v>
      </c>
      <c r="G485" s="5" t="s">
        <v>187</v>
      </c>
      <c r="H485" s="5" t="s">
        <v>187</v>
      </c>
      <c r="I485" s="5" t="s">
        <v>951</v>
      </c>
      <c r="J485" t="s">
        <v>2889</v>
      </c>
      <c r="K485" s="5" t="s">
        <v>2563</v>
      </c>
      <c r="L485" s="5"/>
      <c r="M485" s="387">
        <v>0</v>
      </c>
      <c r="N485" s="387">
        <v>0</v>
      </c>
      <c r="O485" s="387">
        <v>0</v>
      </c>
      <c r="P485" s="387">
        <v>0</v>
      </c>
      <c r="Q485" s="387">
        <v>0</v>
      </c>
      <c r="R485" s="387">
        <v>0</v>
      </c>
      <c r="S485" s="1174">
        <f>Locations[[#This Row],[Ind_Returnees]]+Locations[[#This Row],[Ind_Refugees]]+Locations[[#This Row],[Ind_IDPs]]</f>
        <v>0</v>
      </c>
    </row>
    <row r="486" spans="1:19" s="388" customFormat="1" x14ac:dyDescent="0.3">
      <c r="A486" s="5" t="s">
        <v>533</v>
      </c>
      <c r="B486" s="1430" t="s">
        <v>3449</v>
      </c>
      <c r="C486" s="398" t="s">
        <v>534</v>
      </c>
      <c r="D486" s="5" t="s">
        <v>31</v>
      </c>
      <c r="E486" s="5" t="s">
        <v>31</v>
      </c>
      <c r="F486" s="5" t="s">
        <v>549</v>
      </c>
      <c r="G486" s="5" t="s">
        <v>166</v>
      </c>
      <c r="H486" s="5" t="s">
        <v>166</v>
      </c>
      <c r="I486" s="5" t="s">
        <v>844</v>
      </c>
      <c r="J486" t="s">
        <v>1256</v>
      </c>
      <c r="K486" s="5" t="s">
        <v>1197</v>
      </c>
      <c r="L486" s="5"/>
      <c r="M486" s="387">
        <v>38</v>
      </c>
      <c r="N486" s="387">
        <v>124</v>
      </c>
      <c r="O486" s="387">
        <v>12</v>
      </c>
      <c r="P486" s="387">
        <v>90</v>
      </c>
      <c r="Q486" s="387">
        <v>0</v>
      </c>
      <c r="R486" s="387">
        <v>0</v>
      </c>
      <c r="S486" s="1174">
        <f>Locations[[#This Row],[Ind_Returnees]]+Locations[[#This Row],[Ind_Refugees]]+Locations[[#This Row],[Ind_IDPs]]</f>
        <v>214</v>
      </c>
    </row>
    <row r="487" spans="1:19" s="388" customFormat="1" x14ac:dyDescent="0.3">
      <c r="A487" s="5" t="s">
        <v>533</v>
      </c>
      <c r="B487" s="1430" t="s">
        <v>3449</v>
      </c>
      <c r="C487" s="1090" t="s">
        <v>534</v>
      </c>
      <c r="D487" s="5" t="s">
        <v>31</v>
      </c>
      <c r="E487" s="5" t="s">
        <v>31</v>
      </c>
      <c r="F487" s="5" t="s">
        <v>549</v>
      </c>
      <c r="G487" s="5" t="s">
        <v>171</v>
      </c>
      <c r="H487" s="5" t="s">
        <v>171</v>
      </c>
      <c r="I487" s="5" t="s">
        <v>634</v>
      </c>
      <c r="J487" t="s">
        <v>2890</v>
      </c>
      <c r="K487" s="5" t="s">
        <v>1346</v>
      </c>
      <c r="L487" s="5"/>
      <c r="M487" s="387">
        <v>13</v>
      </c>
      <c r="N487" s="387">
        <v>86</v>
      </c>
      <c r="O487" s="387">
        <v>15</v>
      </c>
      <c r="P487" s="387">
        <v>115</v>
      </c>
      <c r="Q487" s="387">
        <v>0</v>
      </c>
      <c r="R487" s="387">
        <v>0</v>
      </c>
      <c r="S487" s="1174">
        <f>Locations[[#This Row],[Ind_Returnees]]+Locations[[#This Row],[Ind_Refugees]]+Locations[[#This Row],[Ind_IDPs]]</f>
        <v>201</v>
      </c>
    </row>
    <row r="488" spans="1:19" s="388" customFormat="1" x14ac:dyDescent="0.3">
      <c r="A488" s="5" t="s">
        <v>533</v>
      </c>
      <c r="B488" s="1430" t="s">
        <v>3449</v>
      </c>
      <c r="C488" s="398" t="s">
        <v>534</v>
      </c>
      <c r="D488" s="5" t="s">
        <v>32</v>
      </c>
      <c r="E488" s="5" t="s">
        <v>32</v>
      </c>
      <c r="F488" s="5" t="s">
        <v>542</v>
      </c>
      <c r="G488" s="5" t="s">
        <v>177</v>
      </c>
      <c r="H488" s="5" t="s">
        <v>177</v>
      </c>
      <c r="I488" s="5" t="s">
        <v>777</v>
      </c>
      <c r="J488" t="s">
        <v>3206</v>
      </c>
      <c r="K488" s="5" t="s">
        <v>1696</v>
      </c>
      <c r="L488" s="5"/>
      <c r="M488" s="387">
        <v>41</v>
      </c>
      <c r="N488" s="387">
        <v>454</v>
      </c>
      <c r="O488" s="387">
        <v>0</v>
      </c>
      <c r="P488" s="387">
        <v>0</v>
      </c>
      <c r="Q488" s="387">
        <v>34</v>
      </c>
      <c r="R488" s="387">
        <v>183</v>
      </c>
      <c r="S488" s="1174">
        <f>Locations[[#This Row],[Ind_Returnees]]+Locations[[#This Row],[Ind_Refugees]]+Locations[[#This Row],[Ind_IDPs]]</f>
        <v>637</v>
      </c>
    </row>
    <row r="489" spans="1:19" s="388" customFormat="1" x14ac:dyDescent="0.3">
      <c r="A489" s="5" t="s">
        <v>533</v>
      </c>
      <c r="B489" s="1430" t="s">
        <v>3449</v>
      </c>
      <c r="C489" s="1090" t="s">
        <v>534</v>
      </c>
      <c r="D489" s="5" t="s">
        <v>31</v>
      </c>
      <c r="E489" s="5" t="s">
        <v>31</v>
      </c>
      <c r="F489" s="5" t="s">
        <v>549</v>
      </c>
      <c r="G489" s="5" t="s">
        <v>170</v>
      </c>
      <c r="H489" s="5" t="s">
        <v>170</v>
      </c>
      <c r="I489" s="5" t="s">
        <v>866</v>
      </c>
      <c r="J489" t="s">
        <v>2891</v>
      </c>
      <c r="K489" s="5" t="s">
        <v>2017</v>
      </c>
      <c r="L489" s="5"/>
      <c r="M489" s="387">
        <v>0</v>
      </c>
      <c r="N489" s="387">
        <v>0</v>
      </c>
      <c r="O489" s="387">
        <v>0</v>
      </c>
      <c r="P489" s="387">
        <v>0</v>
      </c>
      <c r="Q489" s="387">
        <v>0</v>
      </c>
      <c r="R489" s="387">
        <v>0</v>
      </c>
      <c r="S489" s="1174">
        <f>Locations[[#This Row],[Ind_Returnees]]+Locations[[#This Row],[Ind_Refugees]]+Locations[[#This Row],[Ind_IDPs]]</f>
        <v>0</v>
      </c>
    </row>
    <row r="490" spans="1:19" s="388" customFormat="1" x14ac:dyDescent="0.3">
      <c r="A490" s="5" t="s">
        <v>533</v>
      </c>
      <c r="B490" s="1430" t="s">
        <v>3449</v>
      </c>
      <c r="C490" s="398" t="s">
        <v>534</v>
      </c>
      <c r="D490" s="5" t="s">
        <v>31</v>
      </c>
      <c r="E490" s="5" t="s">
        <v>31</v>
      </c>
      <c r="F490" s="5" t="s">
        <v>549</v>
      </c>
      <c r="G490" s="5" t="s">
        <v>169</v>
      </c>
      <c r="H490" s="5" t="s">
        <v>169</v>
      </c>
      <c r="I490" s="5" t="s">
        <v>673</v>
      </c>
      <c r="J490" t="s">
        <v>1095</v>
      </c>
      <c r="K490" s="5" t="s">
        <v>2573</v>
      </c>
      <c r="L490" s="5"/>
      <c r="M490" s="387">
        <v>17</v>
      </c>
      <c r="N490" s="387">
        <v>107</v>
      </c>
      <c r="O490" s="387">
        <v>0</v>
      </c>
      <c r="P490" s="387">
        <v>0</v>
      </c>
      <c r="Q490" s="387">
        <v>11</v>
      </c>
      <c r="R490" s="387">
        <v>88</v>
      </c>
      <c r="S490" s="1174">
        <f>Locations[[#This Row],[Ind_Returnees]]+Locations[[#This Row],[Ind_Refugees]]+Locations[[#This Row],[Ind_IDPs]]</f>
        <v>195</v>
      </c>
    </row>
    <row r="491" spans="1:19" s="388" customFormat="1" x14ac:dyDescent="0.3">
      <c r="A491" s="5" t="s">
        <v>533</v>
      </c>
      <c r="B491" s="1430" t="s">
        <v>3449</v>
      </c>
      <c r="C491" s="1090" t="s">
        <v>534</v>
      </c>
      <c r="D491" s="5" t="s">
        <v>35</v>
      </c>
      <c r="E491" s="5" t="s">
        <v>35</v>
      </c>
      <c r="F491" s="5" t="s">
        <v>567</v>
      </c>
      <c r="G491" s="5" t="s">
        <v>192</v>
      </c>
      <c r="H491" s="5" t="s">
        <v>192</v>
      </c>
      <c r="I491" s="5" t="s">
        <v>853</v>
      </c>
      <c r="J491" t="s">
        <v>854</v>
      </c>
      <c r="K491" s="5" t="s">
        <v>1953</v>
      </c>
      <c r="L491" s="5"/>
      <c r="M491" s="387">
        <v>196</v>
      </c>
      <c r="N491" s="387">
        <v>1141</v>
      </c>
      <c r="O491" s="387">
        <v>0</v>
      </c>
      <c r="P491" s="387">
        <v>0</v>
      </c>
      <c r="Q491" s="387">
        <v>0</v>
      </c>
      <c r="R491" s="387">
        <v>0</v>
      </c>
      <c r="S491" s="1174">
        <f>Locations[[#This Row],[Ind_Returnees]]+Locations[[#This Row],[Ind_Refugees]]+Locations[[#This Row],[Ind_IDPs]]</f>
        <v>1141</v>
      </c>
    </row>
    <row r="492" spans="1:19" s="388" customFormat="1" x14ac:dyDescent="0.3">
      <c r="A492" s="5" t="s">
        <v>533</v>
      </c>
      <c r="B492" s="1430" t="s">
        <v>3449</v>
      </c>
      <c r="C492" s="1090" t="s">
        <v>534</v>
      </c>
      <c r="D492" s="5" t="s">
        <v>33</v>
      </c>
      <c r="E492" s="5" t="s">
        <v>33</v>
      </c>
      <c r="F492" s="5" t="s">
        <v>561</v>
      </c>
      <c r="G492" s="5" t="s">
        <v>183</v>
      </c>
      <c r="H492" s="5" t="s">
        <v>183</v>
      </c>
      <c r="I492" s="5" t="s">
        <v>562</v>
      </c>
      <c r="J492" t="s">
        <v>724</v>
      </c>
      <c r="K492" s="5" t="s">
        <v>725</v>
      </c>
      <c r="L492" s="5"/>
      <c r="M492" s="387">
        <v>6</v>
      </c>
      <c r="N492" s="387">
        <v>42</v>
      </c>
      <c r="O492" s="387">
        <v>4</v>
      </c>
      <c r="P492" s="387">
        <v>28</v>
      </c>
      <c r="Q492" s="387">
        <v>0</v>
      </c>
      <c r="R492" s="387">
        <v>0</v>
      </c>
      <c r="S492" s="1174">
        <f>Locations[[#This Row],[Ind_Returnees]]+Locations[[#This Row],[Ind_Refugees]]+Locations[[#This Row],[Ind_IDPs]]</f>
        <v>70</v>
      </c>
    </row>
    <row r="493" spans="1:19" s="388" customFormat="1" x14ac:dyDescent="0.3">
      <c r="A493" s="5" t="s">
        <v>533</v>
      </c>
      <c r="B493" s="1430" t="s">
        <v>3449</v>
      </c>
      <c r="C493" s="398" t="s">
        <v>534</v>
      </c>
      <c r="D493" s="5" t="s">
        <v>34</v>
      </c>
      <c r="E493" s="5" t="s">
        <v>34</v>
      </c>
      <c r="F493" s="5" t="s">
        <v>539</v>
      </c>
      <c r="G493" s="5" t="s">
        <v>188</v>
      </c>
      <c r="H493" s="5" t="s">
        <v>188</v>
      </c>
      <c r="I493" s="5" t="s">
        <v>546</v>
      </c>
      <c r="J493" t="s">
        <v>3207</v>
      </c>
      <c r="K493" s="5" t="s">
        <v>2774</v>
      </c>
      <c r="L493" s="5"/>
      <c r="M493" s="387">
        <v>0</v>
      </c>
      <c r="N493" s="387">
        <v>0</v>
      </c>
      <c r="O493" s="387">
        <v>0</v>
      </c>
      <c r="P493" s="387">
        <v>0</v>
      </c>
      <c r="Q493" s="387">
        <v>35</v>
      </c>
      <c r="R493" s="387">
        <v>241</v>
      </c>
      <c r="S493" s="1174">
        <f>Locations[[#This Row],[Ind_Returnees]]+Locations[[#This Row],[Ind_Refugees]]+Locations[[#This Row],[Ind_IDPs]]</f>
        <v>241</v>
      </c>
    </row>
    <row r="494" spans="1:19" s="388" customFormat="1" x14ac:dyDescent="0.3">
      <c r="A494" s="5" t="s">
        <v>533</v>
      </c>
      <c r="B494" s="1430" t="s">
        <v>3449</v>
      </c>
      <c r="C494" s="398" t="s">
        <v>534</v>
      </c>
      <c r="D494" s="5" t="s">
        <v>35</v>
      </c>
      <c r="E494" s="5" t="s">
        <v>35</v>
      </c>
      <c r="F494" s="5" t="s">
        <v>567</v>
      </c>
      <c r="G494" s="5" t="s">
        <v>192</v>
      </c>
      <c r="H494" s="5" t="s">
        <v>192</v>
      </c>
      <c r="I494" s="5" t="s">
        <v>853</v>
      </c>
      <c r="J494" t="s">
        <v>1952</v>
      </c>
      <c r="K494" s="5" t="s">
        <v>1533</v>
      </c>
      <c r="L494" s="5"/>
      <c r="M494" s="387">
        <v>340</v>
      </c>
      <c r="N494" s="387">
        <v>2165</v>
      </c>
      <c r="O494" s="387">
        <v>0</v>
      </c>
      <c r="P494" s="387">
        <v>0</v>
      </c>
      <c r="Q494" s="387">
        <v>32</v>
      </c>
      <c r="R494" s="387">
        <v>208</v>
      </c>
      <c r="S494" s="1174">
        <f>Locations[[#This Row],[Ind_Returnees]]+Locations[[#This Row],[Ind_Refugees]]+Locations[[#This Row],[Ind_IDPs]]</f>
        <v>2373</v>
      </c>
    </row>
    <row r="495" spans="1:19" s="388" customFormat="1" x14ac:dyDescent="0.3">
      <c r="A495" s="5" t="s">
        <v>533</v>
      </c>
      <c r="B495" s="1430" t="s">
        <v>3449</v>
      </c>
      <c r="C495" s="1090" t="s">
        <v>534</v>
      </c>
      <c r="D495" s="5" t="s">
        <v>35</v>
      </c>
      <c r="E495" s="5" t="s">
        <v>35</v>
      </c>
      <c r="F495" s="5" t="s">
        <v>567</v>
      </c>
      <c r="G495" s="5" t="s">
        <v>192</v>
      </c>
      <c r="H495" s="5" t="s">
        <v>192</v>
      </c>
      <c r="I495" s="5" t="s">
        <v>853</v>
      </c>
      <c r="J495" t="s">
        <v>3208</v>
      </c>
      <c r="K495" s="5" t="s">
        <v>2794</v>
      </c>
      <c r="L495" s="5"/>
      <c r="M495" s="387">
        <v>25</v>
      </c>
      <c r="N495" s="387">
        <v>163</v>
      </c>
      <c r="O495" s="387">
        <v>0</v>
      </c>
      <c r="P495" s="387">
        <v>0</v>
      </c>
      <c r="Q495" s="387">
        <v>2</v>
      </c>
      <c r="R495" s="387">
        <v>16</v>
      </c>
      <c r="S495" s="1174">
        <f>Locations[[#This Row],[Ind_Returnees]]+Locations[[#This Row],[Ind_Refugees]]+Locations[[#This Row],[Ind_IDPs]]</f>
        <v>179</v>
      </c>
    </row>
    <row r="496" spans="1:19" s="388" customFormat="1" x14ac:dyDescent="0.3">
      <c r="A496" s="5" t="s">
        <v>533</v>
      </c>
      <c r="B496" s="1430" t="s">
        <v>3449</v>
      </c>
      <c r="C496" s="1090" t="s">
        <v>534</v>
      </c>
      <c r="D496" s="5" t="s">
        <v>35</v>
      </c>
      <c r="E496" s="5" t="s">
        <v>35</v>
      </c>
      <c r="F496" s="5" t="s">
        <v>567</v>
      </c>
      <c r="G496" s="5" t="s">
        <v>192</v>
      </c>
      <c r="H496" s="5" t="s">
        <v>192</v>
      </c>
      <c r="I496" s="5" t="s">
        <v>853</v>
      </c>
      <c r="J496" t="s">
        <v>1408</v>
      </c>
      <c r="K496" s="5" t="s">
        <v>1637</v>
      </c>
      <c r="L496" s="5"/>
      <c r="M496" s="387">
        <v>21</v>
      </c>
      <c r="N496" s="387">
        <v>149</v>
      </c>
      <c r="O496" s="387">
        <v>0</v>
      </c>
      <c r="P496" s="387">
        <v>0</v>
      </c>
      <c r="Q496" s="387">
        <v>10</v>
      </c>
      <c r="R496" s="387">
        <v>47</v>
      </c>
      <c r="S496" s="1174">
        <f>Locations[[#This Row],[Ind_Returnees]]+Locations[[#This Row],[Ind_Refugees]]+Locations[[#This Row],[Ind_IDPs]]</f>
        <v>196</v>
      </c>
    </row>
    <row r="497" spans="1:19" s="388" customFormat="1" x14ac:dyDescent="0.3">
      <c r="A497" s="5" t="s">
        <v>533</v>
      </c>
      <c r="B497" s="1430" t="s">
        <v>3449</v>
      </c>
      <c r="C497" s="398" t="s">
        <v>534</v>
      </c>
      <c r="D497" s="5" t="s">
        <v>35</v>
      </c>
      <c r="E497" s="5" t="s">
        <v>35</v>
      </c>
      <c r="F497" s="5" t="s">
        <v>567</v>
      </c>
      <c r="G497" s="5" t="s">
        <v>190</v>
      </c>
      <c r="H497" s="5" t="s">
        <v>190</v>
      </c>
      <c r="I497" s="5" t="s">
        <v>800</v>
      </c>
      <c r="J497" t="s">
        <v>2273</v>
      </c>
      <c r="K497" s="5" t="s">
        <v>2274</v>
      </c>
      <c r="L497" s="5"/>
      <c r="M497" s="387">
        <v>0</v>
      </c>
      <c r="N497" s="387">
        <v>0</v>
      </c>
      <c r="O497" s="387">
        <v>0</v>
      </c>
      <c r="P497" s="387">
        <v>0</v>
      </c>
      <c r="Q497" s="387">
        <v>153</v>
      </c>
      <c r="R497" s="387">
        <v>832</v>
      </c>
      <c r="S497" s="1174">
        <f>Locations[[#This Row],[Ind_Returnees]]+Locations[[#This Row],[Ind_Refugees]]+Locations[[#This Row],[Ind_IDPs]]</f>
        <v>832</v>
      </c>
    </row>
    <row r="498" spans="1:19" s="388" customFormat="1" x14ac:dyDescent="0.3">
      <c r="A498" s="5" t="s">
        <v>533</v>
      </c>
      <c r="B498" s="1430" t="s">
        <v>3449</v>
      </c>
      <c r="C498" s="398" t="s">
        <v>534</v>
      </c>
      <c r="D498" s="5" t="s">
        <v>32</v>
      </c>
      <c r="E498" s="5" t="s">
        <v>32</v>
      </c>
      <c r="F498" s="5" t="s">
        <v>542</v>
      </c>
      <c r="G498" s="5" t="s">
        <v>178</v>
      </c>
      <c r="H498" s="5" t="s">
        <v>178</v>
      </c>
      <c r="I498" s="5" t="s">
        <v>543</v>
      </c>
      <c r="J498" t="s">
        <v>544</v>
      </c>
      <c r="K498" s="5" t="s">
        <v>545</v>
      </c>
      <c r="L498" s="5"/>
      <c r="M498" s="387">
        <v>60</v>
      </c>
      <c r="N498" s="387">
        <v>560</v>
      </c>
      <c r="O498" s="387">
        <v>0</v>
      </c>
      <c r="P498" s="387">
        <v>0</v>
      </c>
      <c r="Q498" s="387">
        <v>38</v>
      </c>
      <c r="R498" s="387">
        <v>252</v>
      </c>
      <c r="S498" s="1174">
        <f>Locations[[#This Row],[Ind_Returnees]]+Locations[[#This Row],[Ind_Refugees]]+Locations[[#This Row],[Ind_IDPs]]</f>
        <v>812</v>
      </c>
    </row>
    <row r="499" spans="1:19" s="388" customFormat="1" x14ac:dyDescent="0.3">
      <c r="A499" s="5" t="s">
        <v>533</v>
      </c>
      <c r="B499" s="1430" t="s">
        <v>3449</v>
      </c>
      <c r="C499" s="1090" t="s">
        <v>534</v>
      </c>
      <c r="D499" s="5" t="s">
        <v>31</v>
      </c>
      <c r="E499" s="5" t="s">
        <v>31</v>
      </c>
      <c r="F499" s="5" t="s">
        <v>549</v>
      </c>
      <c r="G499" s="5" t="s">
        <v>171</v>
      </c>
      <c r="H499" s="5" t="s">
        <v>171</v>
      </c>
      <c r="I499" s="5" t="s">
        <v>634</v>
      </c>
      <c r="J499" t="s">
        <v>1285</v>
      </c>
      <c r="K499" s="5" t="s">
        <v>1790</v>
      </c>
      <c r="L499" s="5"/>
      <c r="M499" s="387">
        <v>2</v>
      </c>
      <c r="N499" s="387">
        <v>8</v>
      </c>
      <c r="O499" s="387">
        <v>0</v>
      </c>
      <c r="P499" s="387">
        <v>0</v>
      </c>
      <c r="Q499" s="387">
        <v>0</v>
      </c>
      <c r="R499" s="387">
        <v>0</v>
      </c>
      <c r="S499" s="1174">
        <f>Locations[[#This Row],[Ind_Returnees]]+Locations[[#This Row],[Ind_Refugees]]+Locations[[#This Row],[Ind_IDPs]]</f>
        <v>8</v>
      </c>
    </row>
    <row r="500" spans="1:19" s="388" customFormat="1" x14ac:dyDescent="0.3">
      <c r="A500" s="5" t="s">
        <v>533</v>
      </c>
      <c r="B500" s="1430" t="s">
        <v>3449</v>
      </c>
      <c r="C500" s="1090" t="s">
        <v>534</v>
      </c>
      <c r="D500" s="5" t="s">
        <v>31</v>
      </c>
      <c r="E500" s="5" t="s">
        <v>31</v>
      </c>
      <c r="F500" s="5" t="s">
        <v>549</v>
      </c>
      <c r="G500" s="5" t="s">
        <v>167</v>
      </c>
      <c r="H500" s="5" t="s">
        <v>167</v>
      </c>
      <c r="I500" s="5" t="s">
        <v>1113</v>
      </c>
      <c r="J500" t="s">
        <v>2043</v>
      </c>
      <c r="K500" s="5" t="s">
        <v>1790</v>
      </c>
      <c r="L500" s="5"/>
      <c r="M500" s="387">
        <v>55</v>
      </c>
      <c r="N500" s="387">
        <v>55</v>
      </c>
      <c r="O500" s="387">
        <v>0</v>
      </c>
      <c r="P500" s="387">
        <v>0</v>
      </c>
      <c r="Q500" s="387">
        <v>0</v>
      </c>
      <c r="R500" s="387">
        <v>0</v>
      </c>
      <c r="S500" s="1174">
        <f>Locations[[#This Row],[Ind_Returnees]]+Locations[[#This Row],[Ind_Refugees]]+Locations[[#This Row],[Ind_IDPs]]</f>
        <v>55</v>
      </c>
    </row>
    <row r="501" spans="1:19" s="388" customFormat="1" x14ac:dyDescent="0.3">
      <c r="A501" s="5" t="s">
        <v>533</v>
      </c>
      <c r="B501" s="1430" t="s">
        <v>3449</v>
      </c>
      <c r="C501" s="398" t="s">
        <v>534</v>
      </c>
      <c r="D501" s="5" t="s">
        <v>31</v>
      </c>
      <c r="E501" s="5" t="s">
        <v>31</v>
      </c>
      <c r="F501" s="5" t="s">
        <v>549</v>
      </c>
      <c r="G501" s="5" t="s">
        <v>171</v>
      </c>
      <c r="H501" s="5" t="s">
        <v>171</v>
      </c>
      <c r="I501" s="5" t="s">
        <v>634</v>
      </c>
      <c r="J501" t="s">
        <v>2892</v>
      </c>
      <c r="K501" s="5" t="s">
        <v>2622</v>
      </c>
      <c r="L501" s="5"/>
      <c r="M501" s="387">
        <v>0</v>
      </c>
      <c r="N501" s="387">
        <v>0</v>
      </c>
      <c r="O501" s="387">
        <v>0</v>
      </c>
      <c r="P501" s="387">
        <v>0</v>
      </c>
      <c r="Q501" s="387">
        <v>0</v>
      </c>
      <c r="R501" s="387">
        <v>0</v>
      </c>
      <c r="S501" s="1174">
        <f>Locations[[#This Row],[Ind_Returnees]]+Locations[[#This Row],[Ind_Refugees]]+Locations[[#This Row],[Ind_IDPs]]</f>
        <v>0</v>
      </c>
    </row>
    <row r="502" spans="1:19" s="388" customFormat="1" x14ac:dyDescent="0.3">
      <c r="A502" s="5" t="s">
        <v>533</v>
      </c>
      <c r="B502" s="1430" t="s">
        <v>3449</v>
      </c>
      <c r="C502" s="398" t="s">
        <v>534</v>
      </c>
      <c r="D502" s="5" t="s">
        <v>31</v>
      </c>
      <c r="E502" s="5" t="s">
        <v>31</v>
      </c>
      <c r="F502" s="5" t="s">
        <v>549</v>
      </c>
      <c r="G502" s="5" t="s">
        <v>166</v>
      </c>
      <c r="H502" s="5" t="s">
        <v>166</v>
      </c>
      <c r="I502" s="5" t="s">
        <v>844</v>
      </c>
      <c r="J502" t="s">
        <v>2518</v>
      </c>
      <c r="K502" s="5" t="s">
        <v>1301</v>
      </c>
      <c r="L502" s="5"/>
      <c r="M502" s="387">
        <v>35</v>
      </c>
      <c r="N502" s="387">
        <v>251</v>
      </c>
      <c r="O502" s="387">
        <v>0</v>
      </c>
      <c r="P502" s="387">
        <v>0</v>
      </c>
      <c r="Q502" s="387">
        <v>0</v>
      </c>
      <c r="R502" s="387">
        <v>0</v>
      </c>
      <c r="S502" s="1174">
        <f>Locations[[#This Row],[Ind_Returnees]]+Locations[[#This Row],[Ind_Refugees]]+Locations[[#This Row],[Ind_IDPs]]</f>
        <v>251</v>
      </c>
    </row>
    <row r="503" spans="1:19" s="388" customFormat="1" x14ac:dyDescent="0.3">
      <c r="A503" s="5" t="s">
        <v>533</v>
      </c>
      <c r="B503" s="1430" t="s">
        <v>3449</v>
      </c>
      <c r="C503" s="398" t="s">
        <v>534</v>
      </c>
      <c r="D503" s="5" t="s">
        <v>31</v>
      </c>
      <c r="E503" s="5" t="s">
        <v>31</v>
      </c>
      <c r="F503" s="5" t="s">
        <v>549</v>
      </c>
      <c r="G503" s="5" t="s">
        <v>173</v>
      </c>
      <c r="H503" s="5" t="s">
        <v>173</v>
      </c>
      <c r="I503" s="5" t="s">
        <v>556</v>
      </c>
      <c r="J503" t="s">
        <v>559</v>
      </c>
      <c r="K503" s="5" t="s">
        <v>1442</v>
      </c>
      <c r="L503" s="5"/>
      <c r="M503" s="387">
        <v>0</v>
      </c>
      <c r="N503" s="387">
        <v>0</v>
      </c>
      <c r="O503" s="387">
        <v>0</v>
      </c>
      <c r="P503" s="387">
        <v>0</v>
      </c>
      <c r="Q503" s="387">
        <v>4</v>
      </c>
      <c r="R503" s="387">
        <v>28</v>
      </c>
      <c r="S503" s="1174">
        <f>Locations[[#This Row],[Ind_Returnees]]+Locations[[#This Row],[Ind_Refugees]]+Locations[[#This Row],[Ind_IDPs]]</f>
        <v>28</v>
      </c>
    </row>
    <row r="504" spans="1:19" s="388" customFormat="1" x14ac:dyDescent="0.3">
      <c r="A504" s="5" t="s">
        <v>533</v>
      </c>
      <c r="B504" s="1430" t="s">
        <v>3449</v>
      </c>
      <c r="C504" s="1090" t="s">
        <v>534</v>
      </c>
      <c r="D504" s="5" t="s">
        <v>35</v>
      </c>
      <c r="E504" s="5" t="s">
        <v>35</v>
      </c>
      <c r="F504" s="5" t="s">
        <v>567</v>
      </c>
      <c r="G504" s="5" t="s">
        <v>192</v>
      </c>
      <c r="H504" s="5" t="s">
        <v>192</v>
      </c>
      <c r="I504" s="5" t="s">
        <v>853</v>
      </c>
      <c r="J504" t="s">
        <v>1532</v>
      </c>
      <c r="K504" s="5" t="s">
        <v>1611</v>
      </c>
      <c r="L504" s="5"/>
      <c r="M504" s="387">
        <v>277</v>
      </c>
      <c r="N504" s="387">
        <v>1863</v>
      </c>
      <c r="O504" s="387">
        <v>0</v>
      </c>
      <c r="P504" s="387">
        <v>0</v>
      </c>
      <c r="Q504" s="387">
        <v>164</v>
      </c>
      <c r="R504" s="387">
        <v>728</v>
      </c>
      <c r="S504" s="1174">
        <f>Locations[[#This Row],[Ind_Returnees]]+Locations[[#This Row],[Ind_Refugees]]+Locations[[#This Row],[Ind_IDPs]]</f>
        <v>2591</v>
      </c>
    </row>
    <row r="505" spans="1:19" s="388" customFormat="1" x14ac:dyDescent="0.3">
      <c r="A505" s="5" t="s">
        <v>533</v>
      </c>
      <c r="B505" s="1430" t="s">
        <v>3449</v>
      </c>
      <c r="C505" s="1090" t="s">
        <v>534</v>
      </c>
      <c r="D505" s="5" t="s">
        <v>30</v>
      </c>
      <c r="E505" s="5" t="s">
        <v>3522</v>
      </c>
      <c r="F505" s="5" t="s">
        <v>535</v>
      </c>
      <c r="G505" s="5" t="s">
        <v>162</v>
      </c>
      <c r="H505" s="5" t="s">
        <v>3529</v>
      </c>
      <c r="I505" s="5" t="s">
        <v>536</v>
      </c>
      <c r="J505" t="s">
        <v>2685</v>
      </c>
      <c r="K505" s="5" t="s">
        <v>2686</v>
      </c>
      <c r="L505" s="5"/>
      <c r="M505" s="387">
        <v>0</v>
      </c>
      <c r="N505" s="387">
        <v>0</v>
      </c>
      <c r="O505" s="387">
        <v>0</v>
      </c>
      <c r="P505" s="387">
        <v>0</v>
      </c>
      <c r="Q505" s="387">
        <v>0</v>
      </c>
      <c r="R505" s="387">
        <v>0</v>
      </c>
      <c r="S505" s="1174">
        <f>Locations[[#This Row],[Ind_Returnees]]+Locations[[#This Row],[Ind_Refugees]]+Locations[[#This Row],[Ind_IDPs]]</f>
        <v>0</v>
      </c>
    </row>
    <row r="506" spans="1:19" s="388" customFormat="1" x14ac:dyDescent="0.3">
      <c r="A506" s="5" t="s">
        <v>533</v>
      </c>
      <c r="B506" s="1430" t="s">
        <v>3449</v>
      </c>
      <c r="C506" s="1090" t="s">
        <v>534</v>
      </c>
      <c r="D506" s="5" t="s">
        <v>31</v>
      </c>
      <c r="E506" s="5" t="s">
        <v>31</v>
      </c>
      <c r="F506" s="5" t="s">
        <v>549</v>
      </c>
      <c r="G506" s="5" t="s">
        <v>170</v>
      </c>
      <c r="H506" s="5" t="s">
        <v>170</v>
      </c>
      <c r="I506" s="5" t="s">
        <v>866</v>
      </c>
      <c r="J506" t="s">
        <v>1578</v>
      </c>
      <c r="K506" s="5" t="s">
        <v>1020</v>
      </c>
      <c r="L506" s="5"/>
      <c r="M506" s="387">
        <v>122</v>
      </c>
      <c r="N506" s="387">
        <v>638</v>
      </c>
      <c r="O506" s="387">
        <v>0</v>
      </c>
      <c r="P506" s="387">
        <v>0</v>
      </c>
      <c r="Q506" s="387">
        <v>0</v>
      </c>
      <c r="R506" s="387">
        <v>0</v>
      </c>
      <c r="S506" s="1174">
        <f>Locations[[#This Row],[Ind_Returnees]]+Locations[[#This Row],[Ind_Refugees]]+Locations[[#This Row],[Ind_IDPs]]</f>
        <v>638</v>
      </c>
    </row>
    <row r="507" spans="1:19" s="388" customFormat="1" x14ac:dyDescent="0.3">
      <c r="A507" s="5" t="s">
        <v>533</v>
      </c>
      <c r="B507" s="1430" t="s">
        <v>3449</v>
      </c>
      <c r="C507" s="398" t="s">
        <v>534</v>
      </c>
      <c r="D507" s="5" t="s">
        <v>31</v>
      </c>
      <c r="E507" s="5" t="s">
        <v>31</v>
      </c>
      <c r="F507" s="5" t="s">
        <v>549</v>
      </c>
      <c r="G507" s="5" t="s">
        <v>171</v>
      </c>
      <c r="H507" s="5" t="s">
        <v>171</v>
      </c>
      <c r="I507" s="5" t="s">
        <v>634</v>
      </c>
      <c r="J507" t="s">
        <v>1542</v>
      </c>
      <c r="K507" s="5" t="s">
        <v>1012</v>
      </c>
      <c r="L507" s="5"/>
      <c r="M507" s="387">
        <v>12</v>
      </c>
      <c r="N507" s="387">
        <v>87</v>
      </c>
      <c r="O507" s="387">
        <v>5</v>
      </c>
      <c r="P507" s="387">
        <v>47</v>
      </c>
      <c r="Q507" s="387">
        <v>21</v>
      </c>
      <c r="R507" s="387">
        <v>257</v>
      </c>
      <c r="S507" s="1174">
        <f>Locations[[#This Row],[Ind_Returnees]]+Locations[[#This Row],[Ind_Refugees]]+Locations[[#This Row],[Ind_IDPs]]</f>
        <v>391</v>
      </c>
    </row>
    <row r="508" spans="1:19" s="388" customFormat="1" x14ac:dyDescent="0.3">
      <c r="A508" s="5" t="s">
        <v>533</v>
      </c>
      <c r="B508" s="1430" t="s">
        <v>3449</v>
      </c>
      <c r="C508" s="1090" t="s">
        <v>534</v>
      </c>
      <c r="D508" s="5" t="s">
        <v>31</v>
      </c>
      <c r="E508" s="5" t="s">
        <v>31</v>
      </c>
      <c r="F508" s="5" t="s">
        <v>549</v>
      </c>
      <c r="G508" s="5" t="s">
        <v>171</v>
      </c>
      <c r="H508" s="5" t="s">
        <v>171</v>
      </c>
      <c r="I508" s="5" t="s">
        <v>634</v>
      </c>
      <c r="J508" t="s">
        <v>1254</v>
      </c>
      <c r="K508" s="5" t="s">
        <v>2088</v>
      </c>
      <c r="L508" s="5"/>
      <c r="M508" s="387">
        <v>19</v>
      </c>
      <c r="N508" s="387">
        <v>171</v>
      </c>
      <c r="O508" s="387">
        <v>0</v>
      </c>
      <c r="P508" s="387">
        <v>0</v>
      </c>
      <c r="Q508" s="387">
        <v>0</v>
      </c>
      <c r="R508" s="387">
        <v>0</v>
      </c>
      <c r="S508" s="1174">
        <f>Locations[[#This Row],[Ind_Returnees]]+Locations[[#This Row],[Ind_Refugees]]+Locations[[#This Row],[Ind_IDPs]]</f>
        <v>171</v>
      </c>
    </row>
    <row r="509" spans="1:19" s="388" customFormat="1" x14ac:dyDescent="0.3">
      <c r="A509" s="5" t="s">
        <v>533</v>
      </c>
      <c r="B509" s="1430" t="s">
        <v>3449</v>
      </c>
      <c r="C509" s="1090" t="s">
        <v>534</v>
      </c>
      <c r="D509" s="5" t="s">
        <v>31</v>
      </c>
      <c r="E509" s="5" t="s">
        <v>31</v>
      </c>
      <c r="F509" s="5" t="s">
        <v>549</v>
      </c>
      <c r="G509" s="5" t="s">
        <v>171</v>
      </c>
      <c r="H509" s="5" t="s">
        <v>171</v>
      </c>
      <c r="I509" s="5" t="s">
        <v>634</v>
      </c>
      <c r="J509" t="s">
        <v>1024</v>
      </c>
      <c r="K509" s="5" t="s">
        <v>1273</v>
      </c>
      <c r="L509" s="5"/>
      <c r="M509" s="387">
        <v>7</v>
      </c>
      <c r="N509" s="387">
        <v>74</v>
      </c>
      <c r="O509" s="387">
        <v>11</v>
      </c>
      <c r="P509" s="387">
        <v>93</v>
      </c>
      <c r="Q509" s="387">
        <v>0</v>
      </c>
      <c r="R509" s="387">
        <v>0</v>
      </c>
      <c r="S509" s="1174">
        <f>Locations[[#This Row],[Ind_Returnees]]+Locations[[#This Row],[Ind_Refugees]]+Locations[[#This Row],[Ind_IDPs]]</f>
        <v>167</v>
      </c>
    </row>
    <row r="510" spans="1:19" s="388" customFormat="1" x14ac:dyDescent="0.3">
      <c r="A510" s="5" t="s">
        <v>533</v>
      </c>
      <c r="B510" s="1430" t="s">
        <v>3449</v>
      </c>
      <c r="C510" s="1090" t="s">
        <v>534</v>
      </c>
      <c r="D510" s="5" t="s">
        <v>31</v>
      </c>
      <c r="E510" s="5" t="s">
        <v>31</v>
      </c>
      <c r="F510" s="5" t="s">
        <v>549</v>
      </c>
      <c r="G510" s="5" t="s">
        <v>171</v>
      </c>
      <c r="H510" s="5" t="s">
        <v>171</v>
      </c>
      <c r="I510" s="5" t="s">
        <v>634</v>
      </c>
      <c r="J510" t="s">
        <v>2893</v>
      </c>
      <c r="K510" s="5" t="s">
        <v>1895</v>
      </c>
      <c r="L510" s="5"/>
      <c r="M510" s="387">
        <v>30</v>
      </c>
      <c r="N510" s="387">
        <v>82</v>
      </c>
      <c r="O510" s="387">
        <v>0</v>
      </c>
      <c r="P510" s="387">
        <v>0</v>
      </c>
      <c r="Q510" s="387">
        <v>0</v>
      </c>
      <c r="R510" s="387">
        <v>0</v>
      </c>
      <c r="S510" s="1174">
        <f>Locations[[#This Row],[Ind_Returnees]]+Locations[[#This Row],[Ind_Refugees]]+Locations[[#This Row],[Ind_IDPs]]</f>
        <v>82</v>
      </c>
    </row>
    <row r="511" spans="1:19" s="388" customFormat="1" x14ac:dyDescent="0.3">
      <c r="A511" s="5" t="s">
        <v>533</v>
      </c>
      <c r="B511" s="1430" t="s">
        <v>3449</v>
      </c>
      <c r="C511" s="398" t="s">
        <v>534</v>
      </c>
      <c r="D511" s="5" t="s">
        <v>31</v>
      </c>
      <c r="E511" s="5" t="s">
        <v>31</v>
      </c>
      <c r="F511" s="5" t="s">
        <v>549</v>
      </c>
      <c r="G511" s="5" t="s">
        <v>165</v>
      </c>
      <c r="H511" s="5" t="s">
        <v>165</v>
      </c>
      <c r="I511" s="5" t="s">
        <v>881</v>
      </c>
      <c r="J511" t="s">
        <v>2137</v>
      </c>
      <c r="K511" s="5" t="s">
        <v>1843</v>
      </c>
      <c r="L511" s="5"/>
      <c r="M511" s="387">
        <v>0</v>
      </c>
      <c r="N511" s="387">
        <v>0</v>
      </c>
      <c r="O511" s="387">
        <v>0</v>
      </c>
      <c r="P511" s="387">
        <v>0</v>
      </c>
      <c r="Q511" s="387">
        <v>0</v>
      </c>
      <c r="R511" s="387">
        <v>0</v>
      </c>
      <c r="S511" s="1174">
        <f>Locations[[#This Row],[Ind_Returnees]]+Locations[[#This Row],[Ind_Refugees]]+Locations[[#This Row],[Ind_IDPs]]</f>
        <v>0</v>
      </c>
    </row>
    <row r="512" spans="1:19" s="388" customFormat="1" x14ac:dyDescent="0.3">
      <c r="A512" s="5" t="s">
        <v>533</v>
      </c>
      <c r="B512" s="1430" t="s">
        <v>3449</v>
      </c>
      <c r="C512" s="398" t="s">
        <v>534</v>
      </c>
      <c r="D512" s="5" t="s">
        <v>31</v>
      </c>
      <c r="E512" s="5" t="s">
        <v>31</v>
      </c>
      <c r="F512" s="5" t="s">
        <v>549</v>
      </c>
      <c r="G512" s="5" t="s">
        <v>169</v>
      </c>
      <c r="H512" s="5" t="s">
        <v>169</v>
      </c>
      <c r="I512" s="5" t="s">
        <v>673</v>
      </c>
      <c r="J512" t="s">
        <v>2866</v>
      </c>
      <c r="K512" s="5" t="s">
        <v>2342</v>
      </c>
      <c r="L512" s="5"/>
      <c r="M512" s="387">
        <v>25</v>
      </c>
      <c r="N512" s="387">
        <v>250</v>
      </c>
      <c r="O512" s="387">
        <v>0</v>
      </c>
      <c r="P512" s="387">
        <v>0</v>
      </c>
      <c r="Q512" s="387">
        <v>5</v>
      </c>
      <c r="R512" s="387">
        <v>30</v>
      </c>
      <c r="S512" s="1174">
        <f>Locations[[#This Row],[Ind_Returnees]]+Locations[[#This Row],[Ind_Refugees]]+Locations[[#This Row],[Ind_IDPs]]</f>
        <v>280</v>
      </c>
    </row>
    <row r="513" spans="1:19" s="388" customFormat="1" x14ac:dyDescent="0.3">
      <c r="A513" s="5" t="s">
        <v>533</v>
      </c>
      <c r="B513" s="1430" t="s">
        <v>3449</v>
      </c>
      <c r="C513" s="1090" t="s">
        <v>534</v>
      </c>
      <c r="D513" s="5" t="s">
        <v>35</v>
      </c>
      <c r="E513" s="5" t="s">
        <v>35</v>
      </c>
      <c r="F513" s="5" t="s">
        <v>567</v>
      </c>
      <c r="G513" s="5" t="s">
        <v>195</v>
      </c>
      <c r="H513" s="5" t="s">
        <v>195</v>
      </c>
      <c r="I513" s="5" t="s">
        <v>733</v>
      </c>
      <c r="J513" t="s">
        <v>2895</v>
      </c>
      <c r="K513" s="5" t="s">
        <v>2645</v>
      </c>
      <c r="L513" s="5"/>
      <c r="M513" s="387">
        <v>0</v>
      </c>
      <c r="N513" s="387">
        <v>0</v>
      </c>
      <c r="O513" s="387">
        <v>0</v>
      </c>
      <c r="P513" s="387">
        <v>0</v>
      </c>
      <c r="Q513" s="387">
        <v>0</v>
      </c>
      <c r="R513" s="387">
        <v>0</v>
      </c>
      <c r="S513" s="1174">
        <f>Locations[[#This Row],[Ind_Returnees]]+Locations[[#This Row],[Ind_Refugees]]+Locations[[#This Row],[Ind_IDPs]]</f>
        <v>0</v>
      </c>
    </row>
    <row r="514" spans="1:19" s="388" customFormat="1" x14ac:dyDescent="0.3">
      <c r="A514" s="5" t="s">
        <v>533</v>
      </c>
      <c r="B514" s="1430" t="s">
        <v>3449</v>
      </c>
      <c r="C514" s="398" t="s">
        <v>534</v>
      </c>
      <c r="D514" s="5" t="s">
        <v>31</v>
      </c>
      <c r="E514" s="5" t="s">
        <v>31</v>
      </c>
      <c r="F514" s="5" t="s">
        <v>549</v>
      </c>
      <c r="G514" s="5" t="s">
        <v>2797</v>
      </c>
      <c r="H514" s="5" t="s">
        <v>3898</v>
      </c>
      <c r="I514" s="5" t="s">
        <v>767</v>
      </c>
      <c r="J514" t="s">
        <v>1448</v>
      </c>
      <c r="K514" s="5" t="s">
        <v>783</v>
      </c>
      <c r="L514" s="5"/>
      <c r="M514" s="387">
        <v>448</v>
      </c>
      <c r="N514" s="387">
        <v>3304</v>
      </c>
      <c r="O514" s="387">
        <v>0</v>
      </c>
      <c r="P514" s="387">
        <v>0</v>
      </c>
      <c r="Q514" s="387">
        <v>0</v>
      </c>
      <c r="R514" s="387">
        <v>0</v>
      </c>
      <c r="S514" s="1174">
        <f>Locations[[#This Row],[Ind_Returnees]]+Locations[[#This Row],[Ind_Refugees]]+Locations[[#This Row],[Ind_IDPs]]</f>
        <v>3304</v>
      </c>
    </row>
    <row r="515" spans="1:19" s="388" customFormat="1" x14ac:dyDescent="0.3">
      <c r="A515" s="5" t="s">
        <v>533</v>
      </c>
      <c r="B515" s="1430" t="s">
        <v>3449</v>
      </c>
      <c r="C515" s="398" t="s">
        <v>534</v>
      </c>
      <c r="D515" s="5" t="s">
        <v>31</v>
      </c>
      <c r="E515" s="5" t="s">
        <v>31</v>
      </c>
      <c r="F515" s="5" t="s">
        <v>549</v>
      </c>
      <c r="G515" s="5" t="s">
        <v>2797</v>
      </c>
      <c r="H515" s="5" t="s">
        <v>3898</v>
      </c>
      <c r="I515" s="5" t="s">
        <v>767</v>
      </c>
      <c r="J515" t="s">
        <v>2896</v>
      </c>
      <c r="K515" s="5" t="s">
        <v>1230</v>
      </c>
      <c r="L515" s="5"/>
      <c r="M515" s="387">
        <v>823</v>
      </c>
      <c r="N515" s="387">
        <v>5044</v>
      </c>
      <c r="O515" s="387">
        <v>15</v>
      </c>
      <c r="P515" s="387">
        <v>100</v>
      </c>
      <c r="Q515" s="387">
        <v>0</v>
      </c>
      <c r="R515" s="387">
        <v>0</v>
      </c>
      <c r="S515" s="1174">
        <f>Locations[[#This Row],[Ind_Returnees]]+Locations[[#This Row],[Ind_Refugees]]+Locations[[#This Row],[Ind_IDPs]]</f>
        <v>5144</v>
      </c>
    </row>
    <row r="516" spans="1:19" s="388" customFormat="1" x14ac:dyDescent="0.3">
      <c r="A516" s="5" t="s">
        <v>533</v>
      </c>
      <c r="B516" s="1430" t="s">
        <v>3449</v>
      </c>
      <c r="C516" s="1090" t="s">
        <v>534</v>
      </c>
      <c r="D516" s="5" t="s">
        <v>31</v>
      </c>
      <c r="E516" s="5" t="s">
        <v>31</v>
      </c>
      <c r="F516" s="5" t="s">
        <v>549</v>
      </c>
      <c r="G516" s="5" t="s">
        <v>170</v>
      </c>
      <c r="H516" s="5" t="s">
        <v>170</v>
      </c>
      <c r="I516" s="5" t="s">
        <v>866</v>
      </c>
      <c r="J516" t="s">
        <v>2016</v>
      </c>
      <c r="K516" s="5" t="s">
        <v>2015</v>
      </c>
      <c r="L516" s="5"/>
      <c r="M516" s="387">
        <v>68</v>
      </c>
      <c r="N516" s="387">
        <v>359</v>
      </c>
      <c r="O516" s="387">
        <v>0</v>
      </c>
      <c r="P516" s="387">
        <v>0</v>
      </c>
      <c r="Q516" s="387">
        <v>0</v>
      </c>
      <c r="R516" s="387">
        <v>0</v>
      </c>
      <c r="S516" s="1174">
        <f>Locations[[#This Row],[Ind_Returnees]]+Locations[[#This Row],[Ind_Refugees]]+Locations[[#This Row],[Ind_IDPs]]</f>
        <v>359</v>
      </c>
    </row>
    <row r="517" spans="1:19" s="388" customFormat="1" x14ac:dyDescent="0.3">
      <c r="A517" s="5" t="s">
        <v>533</v>
      </c>
      <c r="B517" s="1430" t="s">
        <v>3449</v>
      </c>
      <c r="C517" s="1090" t="s">
        <v>534</v>
      </c>
      <c r="D517" s="5" t="s">
        <v>31</v>
      </c>
      <c r="E517" s="5" t="s">
        <v>31</v>
      </c>
      <c r="F517" s="5" t="s">
        <v>549</v>
      </c>
      <c r="G517" s="5" t="s">
        <v>169</v>
      </c>
      <c r="H517" s="5" t="s">
        <v>169</v>
      </c>
      <c r="I517" s="5" t="s">
        <v>673</v>
      </c>
      <c r="J517" t="s">
        <v>2897</v>
      </c>
      <c r="K517" s="5" t="s">
        <v>1280</v>
      </c>
      <c r="L517" s="5"/>
      <c r="M517" s="387">
        <v>10</v>
      </c>
      <c r="N517" s="387">
        <v>50</v>
      </c>
      <c r="O517" s="387">
        <v>0</v>
      </c>
      <c r="P517" s="387">
        <v>0</v>
      </c>
      <c r="Q517" s="387">
        <v>0</v>
      </c>
      <c r="R517" s="387">
        <v>0</v>
      </c>
      <c r="S517" s="1174">
        <f>Locations[[#This Row],[Ind_Returnees]]+Locations[[#This Row],[Ind_Refugees]]+Locations[[#This Row],[Ind_IDPs]]</f>
        <v>50</v>
      </c>
    </row>
    <row r="518" spans="1:19" s="388" customFormat="1" x14ac:dyDescent="0.3">
      <c r="A518" s="5" t="s">
        <v>533</v>
      </c>
      <c r="B518" s="1430" t="s">
        <v>3449</v>
      </c>
      <c r="C518" s="1090" t="s">
        <v>534</v>
      </c>
      <c r="D518" s="5" t="s">
        <v>31</v>
      </c>
      <c r="E518" s="5" t="s">
        <v>31</v>
      </c>
      <c r="F518" s="5" t="s">
        <v>549</v>
      </c>
      <c r="G518" s="5" t="s">
        <v>169</v>
      </c>
      <c r="H518" s="5" t="s">
        <v>169</v>
      </c>
      <c r="I518" s="5" t="s">
        <v>673</v>
      </c>
      <c r="J518" t="s">
        <v>2898</v>
      </c>
      <c r="K518" s="5" t="s">
        <v>2380</v>
      </c>
      <c r="L518" s="5"/>
      <c r="M518" s="387">
        <v>0</v>
      </c>
      <c r="N518" s="387">
        <v>0</v>
      </c>
      <c r="O518" s="387">
        <v>0</v>
      </c>
      <c r="P518" s="387">
        <v>0</v>
      </c>
      <c r="Q518" s="387">
        <v>0</v>
      </c>
      <c r="R518" s="387">
        <v>0</v>
      </c>
      <c r="S518" s="1174">
        <f>Locations[[#This Row],[Ind_Returnees]]+Locations[[#This Row],[Ind_Refugees]]+Locations[[#This Row],[Ind_IDPs]]</f>
        <v>0</v>
      </c>
    </row>
    <row r="519" spans="1:19" s="388" customFormat="1" x14ac:dyDescent="0.3">
      <c r="A519" s="5" t="s">
        <v>533</v>
      </c>
      <c r="B519" s="1430" t="s">
        <v>3449</v>
      </c>
      <c r="C519" s="1090" t="s">
        <v>534</v>
      </c>
      <c r="D519" s="5" t="s">
        <v>31</v>
      </c>
      <c r="E519" s="5" t="s">
        <v>31</v>
      </c>
      <c r="F519" s="5" t="s">
        <v>549</v>
      </c>
      <c r="G519" s="5" t="s">
        <v>167</v>
      </c>
      <c r="H519" s="5" t="s">
        <v>167</v>
      </c>
      <c r="I519" s="5" t="s">
        <v>1113</v>
      </c>
      <c r="J519" t="s">
        <v>2297</v>
      </c>
      <c r="K519" s="5" t="s">
        <v>2127</v>
      </c>
      <c r="L519" s="5"/>
      <c r="M519" s="387">
        <v>10</v>
      </c>
      <c r="N519" s="387">
        <v>40</v>
      </c>
      <c r="O519" s="387">
        <v>0</v>
      </c>
      <c r="P519" s="387">
        <v>0</v>
      </c>
      <c r="Q519" s="387">
        <v>15</v>
      </c>
      <c r="R519" s="387">
        <v>70</v>
      </c>
      <c r="S519" s="1174">
        <f>Locations[[#This Row],[Ind_Returnees]]+Locations[[#This Row],[Ind_Refugees]]+Locations[[#This Row],[Ind_IDPs]]</f>
        <v>110</v>
      </c>
    </row>
    <row r="520" spans="1:19" s="388" customFormat="1" x14ac:dyDescent="0.3">
      <c r="A520" s="5" t="s">
        <v>533</v>
      </c>
      <c r="B520" s="1430" t="s">
        <v>3449</v>
      </c>
      <c r="C520" s="1090" t="s">
        <v>534</v>
      </c>
      <c r="D520" s="5" t="s">
        <v>31</v>
      </c>
      <c r="E520" s="5" t="s">
        <v>31</v>
      </c>
      <c r="F520" s="5" t="s">
        <v>549</v>
      </c>
      <c r="G520" s="5" t="s">
        <v>2797</v>
      </c>
      <c r="H520" s="5" t="s">
        <v>3898</v>
      </c>
      <c r="I520" s="5" t="s">
        <v>767</v>
      </c>
      <c r="J520" t="s">
        <v>2900</v>
      </c>
      <c r="K520" s="5" t="s">
        <v>2541</v>
      </c>
      <c r="L520" s="5"/>
      <c r="M520" s="387">
        <v>0</v>
      </c>
      <c r="N520" s="387">
        <v>0</v>
      </c>
      <c r="O520" s="387">
        <v>0</v>
      </c>
      <c r="P520" s="387">
        <v>0</v>
      </c>
      <c r="Q520" s="387">
        <v>0</v>
      </c>
      <c r="R520" s="387">
        <v>0</v>
      </c>
      <c r="S520" s="1174">
        <f>Locations[[#This Row],[Ind_Returnees]]+Locations[[#This Row],[Ind_Refugees]]+Locations[[#This Row],[Ind_IDPs]]</f>
        <v>0</v>
      </c>
    </row>
    <row r="521" spans="1:19" s="388" customFormat="1" x14ac:dyDescent="0.3">
      <c r="A521" s="5" t="s">
        <v>533</v>
      </c>
      <c r="B521" s="1430" t="s">
        <v>3449</v>
      </c>
      <c r="C521" s="398" t="s">
        <v>534</v>
      </c>
      <c r="D521" s="5" t="s">
        <v>31</v>
      </c>
      <c r="E521" s="5" t="s">
        <v>31</v>
      </c>
      <c r="F521" s="5" t="s">
        <v>549</v>
      </c>
      <c r="G521" s="1144" t="s">
        <v>167</v>
      </c>
      <c r="H521" s="1144" t="s">
        <v>167</v>
      </c>
      <c r="I521" s="5" t="s">
        <v>1113</v>
      </c>
      <c r="J521" t="s">
        <v>2901</v>
      </c>
      <c r="K521" s="5" t="s">
        <v>2046</v>
      </c>
      <c r="L521" s="5"/>
      <c r="M521" s="387">
        <v>0</v>
      </c>
      <c r="N521" s="387">
        <v>0</v>
      </c>
      <c r="O521" s="387">
        <v>0</v>
      </c>
      <c r="P521" s="387">
        <v>0</v>
      </c>
      <c r="Q521" s="387">
        <v>0</v>
      </c>
      <c r="R521" s="387">
        <v>0</v>
      </c>
      <c r="S521" s="1174">
        <f>Locations[[#This Row],[Ind_Returnees]]+Locations[[#This Row],[Ind_Refugees]]+Locations[[#This Row],[Ind_IDPs]]</f>
        <v>0</v>
      </c>
    </row>
    <row r="522" spans="1:19" s="388" customFormat="1" x14ac:dyDescent="0.3">
      <c r="A522" s="5" t="s">
        <v>533</v>
      </c>
      <c r="B522" s="1430" t="s">
        <v>3449</v>
      </c>
      <c r="C522" s="398" t="s">
        <v>534</v>
      </c>
      <c r="D522" s="5" t="s">
        <v>31</v>
      </c>
      <c r="E522" s="5" t="s">
        <v>31</v>
      </c>
      <c r="F522" s="5" t="s">
        <v>549</v>
      </c>
      <c r="G522" s="5" t="s">
        <v>167</v>
      </c>
      <c r="H522" s="5" t="s">
        <v>167</v>
      </c>
      <c r="I522" s="5" t="s">
        <v>1113</v>
      </c>
      <c r="J522" t="s">
        <v>2811</v>
      </c>
      <c r="K522" s="5" t="s">
        <v>2795</v>
      </c>
      <c r="L522" s="5"/>
      <c r="M522" s="387">
        <v>0</v>
      </c>
      <c r="N522" s="387">
        <v>0</v>
      </c>
      <c r="O522" s="387">
        <v>0</v>
      </c>
      <c r="P522" s="387">
        <v>0</v>
      </c>
      <c r="Q522" s="387">
        <v>0</v>
      </c>
      <c r="R522" s="387">
        <v>0</v>
      </c>
      <c r="S522" s="1174">
        <f>Locations[[#This Row],[Ind_Returnees]]+Locations[[#This Row],[Ind_Refugees]]+Locations[[#This Row],[Ind_IDPs]]</f>
        <v>0</v>
      </c>
    </row>
    <row r="523" spans="1:19" s="388" customFormat="1" x14ac:dyDescent="0.3">
      <c r="A523" s="5" t="s">
        <v>533</v>
      </c>
      <c r="B523" s="1430" t="s">
        <v>3449</v>
      </c>
      <c r="C523" s="1090" t="s">
        <v>534</v>
      </c>
      <c r="D523" s="5" t="s">
        <v>35</v>
      </c>
      <c r="E523" s="5" t="s">
        <v>35</v>
      </c>
      <c r="F523" s="5" t="s">
        <v>567</v>
      </c>
      <c r="G523" s="5" t="s">
        <v>191</v>
      </c>
      <c r="H523" s="5" t="s">
        <v>191</v>
      </c>
      <c r="I523" s="5" t="s">
        <v>659</v>
      </c>
      <c r="J523" t="s">
        <v>660</v>
      </c>
      <c r="K523" s="5" t="s">
        <v>661</v>
      </c>
      <c r="L523" s="5"/>
      <c r="M523" s="387">
        <v>43</v>
      </c>
      <c r="N523" s="387">
        <v>264</v>
      </c>
      <c r="O523" s="387">
        <v>0</v>
      </c>
      <c r="P523" s="387">
        <v>0</v>
      </c>
      <c r="Q523" s="387">
        <v>4</v>
      </c>
      <c r="R523" s="387">
        <v>33</v>
      </c>
      <c r="S523" s="1174">
        <f>Locations[[#This Row],[Ind_Returnees]]+Locations[[#This Row],[Ind_Refugees]]+Locations[[#This Row],[Ind_IDPs]]</f>
        <v>297</v>
      </c>
    </row>
    <row r="524" spans="1:19" s="388" customFormat="1" x14ac:dyDescent="0.3">
      <c r="A524" s="5" t="s">
        <v>533</v>
      </c>
      <c r="B524" s="1430" t="s">
        <v>3449</v>
      </c>
      <c r="C524" s="1090" t="s">
        <v>534</v>
      </c>
      <c r="D524" s="5" t="s">
        <v>35</v>
      </c>
      <c r="E524" s="5" t="s">
        <v>35</v>
      </c>
      <c r="F524" s="5" t="s">
        <v>567</v>
      </c>
      <c r="G524" s="5" t="s">
        <v>191</v>
      </c>
      <c r="H524" s="5" t="s">
        <v>191</v>
      </c>
      <c r="I524" s="5" t="s">
        <v>659</v>
      </c>
      <c r="J524" t="s">
        <v>2101</v>
      </c>
      <c r="K524" s="5" t="s">
        <v>2102</v>
      </c>
      <c r="L524" s="5"/>
      <c r="M524" s="387">
        <v>16</v>
      </c>
      <c r="N524" s="387">
        <v>46</v>
      </c>
      <c r="O524" s="387">
        <v>0</v>
      </c>
      <c r="P524" s="387">
        <v>0</v>
      </c>
      <c r="Q524" s="387">
        <v>3</v>
      </c>
      <c r="R524" s="387">
        <v>29</v>
      </c>
      <c r="S524" s="1174">
        <f>Locations[[#This Row],[Ind_Returnees]]+Locations[[#This Row],[Ind_Refugees]]+Locations[[#This Row],[Ind_IDPs]]</f>
        <v>75</v>
      </c>
    </row>
    <row r="525" spans="1:19" s="388" customFormat="1" x14ac:dyDescent="0.3">
      <c r="A525" s="5" t="s">
        <v>533</v>
      </c>
      <c r="B525" s="1430" t="s">
        <v>3449</v>
      </c>
      <c r="C525" s="1090" t="s">
        <v>534</v>
      </c>
      <c r="D525" s="5" t="s">
        <v>31</v>
      </c>
      <c r="E525" s="5" t="s">
        <v>31</v>
      </c>
      <c r="F525" s="5" t="s">
        <v>549</v>
      </c>
      <c r="G525" s="5" t="s">
        <v>169</v>
      </c>
      <c r="H525" s="5" t="s">
        <v>169</v>
      </c>
      <c r="I525" s="5" t="s">
        <v>673</v>
      </c>
      <c r="J525" t="s">
        <v>1079</v>
      </c>
      <c r="K525" s="5" t="s">
        <v>1521</v>
      </c>
      <c r="L525" s="5"/>
      <c r="M525" s="387">
        <v>33</v>
      </c>
      <c r="N525" s="387">
        <v>209</v>
      </c>
      <c r="O525" s="387">
        <v>0</v>
      </c>
      <c r="P525" s="387">
        <v>0</v>
      </c>
      <c r="Q525" s="387">
        <v>0</v>
      </c>
      <c r="R525" s="387">
        <v>0</v>
      </c>
      <c r="S525" s="1174">
        <f>Locations[[#This Row],[Ind_Returnees]]+Locations[[#This Row],[Ind_Refugees]]+Locations[[#This Row],[Ind_IDPs]]</f>
        <v>209</v>
      </c>
    </row>
    <row r="526" spans="1:19" s="388" customFormat="1" x14ac:dyDescent="0.3">
      <c r="A526" s="5" t="s">
        <v>533</v>
      </c>
      <c r="B526" s="1430" t="s">
        <v>3449</v>
      </c>
      <c r="C526" s="1090" t="s">
        <v>534</v>
      </c>
      <c r="D526" s="5" t="s">
        <v>35</v>
      </c>
      <c r="E526" s="5" t="s">
        <v>35</v>
      </c>
      <c r="F526" s="5" t="s">
        <v>567</v>
      </c>
      <c r="G526" s="5" t="s">
        <v>192</v>
      </c>
      <c r="H526" s="5" t="s">
        <v>192</v>
      </c>
      <c r="I526" s="5" t="s">
        <v>853</v>
      </c>
      <c r="J526" t="s">
        <v>1610</v>
      </c>
      <c r="K526" s="5" t="s">
        <v>946</v>
      </c>
      <c r="L526" s="5"/>
      <c r="M526" s="387">
        <v>170</v>
      </c>
      <c r="N526" s="387">
        <v>1214</v>
      </c>
      <c r="O526" s="387">
        <v>0</v>
      </c>
      <c r="P526" s="387">
        <v>0</v>
      </c>
      <c r="Q526" s="387">
        <v>8</v>
      </c>
      <c r="R526" s="387">
        <v>24</v>
      </c>
      <c r="S526" s="1174">
        <f>Locations[[#This Row],[Ind_Returnees]]+Locations[[#This Row],[Ind_Refugees]]+Locations[[#This Row],[Ind_IDPs]]</f>
        <v>1238</v>
      </c>
    </row>
    <row r="527" spans="1:19" s="388" customFormat="1" x14ac:dyDescent="0.3">
      <c r="A527" s="577" t="s">
        <v>533</v>
      </c>
      <c r="B527" s="1430" t="s">
        <v>3449</v>
      </c>
      <c r="C527" s="577" t="s">
        <v>534</v>
      </c>
      <c r="D527" s="577" t="s">
        <v>31</v>
      </c>
      <c r="E527" s="577" t="s">
        <v>31</v>
      </c>
      <c r="F527" s="577" t="s">
        <v>549</v>
      </c>
      <c r="G527" s="577" t="s">
        <v>171</v>
      </c>
      <c r="H527" s="577" t="s">
        <v>171</v>
      </c>
      <c r="I527" s="577" t="s">
        <v>634</v>
      </c>
      <c r="J527" s="577" t="s">
        <v>1831</v>
      </c>
      <c r="K527" s="577" t="s">
        <v>1397</v>
      </c>
      <c r="L527" s="577"/>
      <c r="M527" s="387">
        <v>11</v>
      </c>
      <c r="N527" s="387">
        <v>60</v>
      </c>
      <c r="O527" s="387">
        <v>0</v>
      </c>
      <c r="P527" s="387">
        <v>0</v>
      </c>
      <c r="Q527" s="387">
        <v>0</v>
      </c>
      <c r="R527" s="387">
        <v>0</v>
      </c>
      <c r="S527" s="1174">
        <f>Locations[[#This Row],[Ind_Returnees]]+Locations[[#This Row],[Ind_Refugees]]+Locations[[#This Row],[Ind_IDPs]]</f>
        <v>60</v>
      </c>
    </row>
    <row r="528" spans="1:19" s="388" customFormat="1" x14ac:dyDescent="0.3">
      <c r="A528" s="5" t="s">
        <v>533</v>
      </c>
      <c r="B528" s="1430" t="s">
        <v>3449</v>
      </c>
      <c r="C528" s="398" t="s">
        <v>534</v>
      </c>
      <c r="D528" s="5" t="s">
        <v>35</v>
      </c>
      <c r="E528" s="5" t="s">
        <v>35</v>
      </c>
      <c r="F528" s="5" t="s">
        <v>567</v>
      </c>
      <c r="G528" s="5" t="s">
        <v>193</v>
      </c>
      <c r="H528" s="5" t="s">
        <v>3983</v>
      </c>
      <c r="I528" s="5" t="s">
        <v>863</v>
      </c>
      <c r="J528" t="s">
        <v>1598</v>
      </c>
      <c r="K528" s="5" t="s">
        <v>1581</v>
      </c>
      <c r="L528" s="5"/>
      <c r="M528" s="387">
        <v>0</v>
      </c>
      <c r="N528" s="387">
        <v>0</v>
      </c>
      <c r="O528" s="387">
        <v>0</v>
      </c>
      <c r="P528" s="387">
        <v>0</v>
      </c>
      <c r="Q528" s="387">
        <v>0</v>
      </c>
      <c r="R528" s="387">
        <v>0</v>
      </c>
      <c r="S528" s="1174">
        <f>Locations[[#This Row],[Ind_Returnees]]+Locations[[#This Row],[Ind_Refugees]]+Locations[[#This Row],[Ind_IDPs]]</f>
        <v>0</v>
      </c>
    </row>
    <row r="529" spans="1:19" s="388" customFormat="1" x14ac:dyDescent="0.3">
      <c r="A529" s="5" t="s">
        <v>533</v>
      </c>
      <c r="B529" s="1430" t="s">
        <v>3449</v>
      </c>
      <c r="C529" s="398" t="s">
        <v>534</v>
      </c>
      <c r="D529" s="5" t="s">
        <v>30</v>
      </c>
      <c r="E529" s="5" t="s">
        <v>3522</v>
      </c>
      <c r="F529" s="5" t="s">
        <v>535</v>
      </c>
      <c r="G529" s="5" t="s">
        <v>162</v>
      </c>
      <c r="H529" s="5" t="s">
        <v>3529</v>
      </c>
      <c r="I529" s="5" t="s">
        <v>536</v>
      </c>
      <c r="J529" t="s">
        <v>577</v>
      </c>
      <c r="K529" s="5" t="s">
        <v>578</v>
      </c>
      <c r="L529" s="5"/>
      <c r="M529" s="387">
        <v>5</v>
      </c>
      <c r="N529" s="387">
        <v>36</v>
      </c>
      <c r="O529" s="387">
        <v>0</v>
      </c>
      <c r="P529" s="387">
        <v>0</v>
      </c>
      <c r="Q529" s="387">
        <v>0</v>
      </c>
      <c r="R529" s="387">
        <v>0</v>
      </c>
      <c r="S529" s="1174">
        <f>Locations[[#This Row],[Ind_Returnees]]+Locations[[#This Row],[Ind_Refugees]]+Locations[[#This Row],[Ind_IDPs]]</f>
        <v>36</v>
      </c>
    </row>
    <row r="530" spans="1:19" s="388" customFormat="1" x14ac:dyDescent="0.3">
      <c r="A530" s="5" t="s">
        <v>533</v>
      </c>
      <c r="B530" s="1430" t="s">
        <v>3449</v>
      </c>
      <c r="C530" s="1090" t="s">
        <v>534</v>
      </c>
      <c r="D530" s="5" t="s">
        <v>31</v>
      </c>
      <c r="E530" s="5" t="s">
        <v>31</v>
      </c>
      <c r="F530" s="5" t="s">
        <v>549</v>
      </c>
      <c r="G530" s="5" t="s">
        <v>171</v>
      </c>
      <c r="H530" s="5" t="s">
        <v>171</v>
      </c>
      <c r="I530" s="5" t="s">
        <v>634</v>
      </c>
      <c r="J530" t="s">
        <v>2608</v>
      </c>
      <c r="K530" s="5" t="s">
        <v>2613</v>
      </c>
      <c r="L530" s="5"/>
      <c r="M530" s="387">
        <v>0</v>
      </c>
      <c r="N530" s="387">
        <v>0</v>
      </c>
      <c r="O530" s="387">
        <v>0</v>
      </c>
      <c r="P530" s="387">
        <v>0</v>
      </c>
      <c r="Q530" s="387">
        <v>0</v>
      </c>
      <c r="R530" s="387">
        <v>0</v>
      </c>
      <c r="S530" s="1174">
        <f>Locations[[#This Row],[Ind_Returnees]]+Locations[[#This Row],[Ind_Refugees]]+Locations[[#This Row],[Ind_IDPs]]</f>
        <v>0</v>
      </c>
    </row>
    <row r="531" spans="1:19" s="388" customFormat="1" x14ac:dyDescent="0.3">
      <c r="A531" s="577" t="s">
        <v>533</v>
      </c>
      <c r="B531" s="1430" t="s">
        <v>3449</v>
      </c>
      <c r="C531" s="577" t="s">
        <v>534</v>
      </c>
      <c r="D531" s="577" t="s">
        <v>32</v>
      </c>
      <c r="E531" s="577" t="s">
        <v>32</v>
      </c>
      <c r="F531" s="577" t="s">
        <v>542</v>
      </c>
      <c r="G531" s="577" t="s">
        <v>179</v>
      </c>
      <c r="H531" s="577" t="s">
        <v>179</v>
      </c>
      <c r="I531" s="577" t="s">
        <v>1666</v>
      </c>
      <c r="J531" s="577" t="s">
        <v>2323</v>
      </c>
      <c r="K531" s="577" t="s">
        <v>2324</v>
      </c>
      <c r="L531" s="577"/>
      <c r="M531" s="387">
        <v>0</v>
      </c>
      <c r="N531" s="387">
        <v>0</v>
      </c>
      <c r="O531" s="387">
        <v>0</v>
      </c>
      <c r="P531" s="387">
        <v>0</v>
      </c>
      <c r="Q531" s="387">
        <v>50</v>
      </c>
      <c r="R531" s="387">
        <v>475</v>
      </c>
      <c r="S531" s="1174">
        <f>Locations[[#This Row],[Ind_Returnees]]+Locations[[#This Row],[Ind_Refugees]]+Locations[[#This Row],[Ind_IDPs]]</f>
        <v>475</v>
      </c>
    </row>
    <row r="532" spans="1:19" s="388" customFormat="1" x14ac:dyDescent="0.3">
      <c r="A532" s="5" t="s">
        <v>533</v>
      </c>
      <c r="B532" s="1430" t="s">
        <v>3449</v>
      </c>
      <c r="C532" s="398" t="s">
        <v>534</v>
      </c>
      <c r="D532" s="5" t="s">
        <v>35</v>
      </c>
      <c r="E532" s="5" t="s">
        <v>35</v>
      </c>
      <c r="F532" s="5" t="s">
        <v>567</v>
      </c>
      <c r="G532" s="5" t="s">
        <v>193</v>
      </c>
      <c r="H532" s="5" t="s">
        <v>3983</v>
      </c>
      <c r="I532" s="5" t="s">
        <v>863</v>
      </c>
      <c r="J532" t="s">
        <v>2902</v>
      </c>
      <c r="K532" s="5" t="s">
        <v>1643</v>
      </c>
      <c r="L532" s="5"/>
      <c r="M532" s="387">
        <v>19</v>
      </c>
      <c r="N532" s="387">
        <v>129</v>
      </c>
      <c r="O532" s="387">
        <v>0</v>
      </c>
      <c r="P532" s="387">
        <v>0</v>
      </c>
      <c r="Q532" s="387">
        <v>16</v>
      </c>
      <c r="R532" s="387">
        <v>126</v>
      </c>
      <c r="S532" s="1174">
        <f>Locations[[#This Row],[Ind_Returnees]]+Locations[[#This Row],[Ind_Refugees]]+Locations[[#This Row],[Ind_IDPs]]</f>
        <v>255</v>
      </c>
    </row>
    <row r="533" spans="1:19" s="388" customFormat="1" x14ac:dyDescent="0.3">
      <c r="A533" s="577" t="s">
        <v>533</v>
      </c>
      <c r="B533" s="1430" t="s">
        <v>3449</v>
      </c>
      <c r="C533" s="577" t="s">
        <v>534</v>
      </c>
      <c r="D533" s="577" t="s">
        <v>31</v>
      </c>
      <c r="E533" s="577" t="s">
        <v>31</v>
      </c>
      <c r="F533" s="577" t="s">
        <v>549</v>
      </c>
      <c r="G533" s="577" t="s">
        <v>169</v>
      </c>
      <c r="H533" s="577" t="s">
        <v>169</v>
      </c>
      <c r="I533" s="577" t="s">
        <v>673</v>
      </c>
      <c r="J533" s="577" t="s">
        <v>2903</v>
      </c>
      <c r="K533" s="577" t="s">
        <v>1465</v>
      </c>
      <c r="L533" s="577"/>
      <c r="M533" s="387">
        <v>30</v>
      </c>
      <c r="N533" s="387">
        <v>150</v>
      </c>
      <c r="O533" s="387">
        <v>0</v>
      </c>
      <c r="P533" s="387">
        <v>0</v>
      </c>
      <c r="Q533" s="387">
        <v>0</v>
      </c>
      <c r="R533" s="387">
        <v>0</v>
      </c>
      <c r="S533" s="1174">
        <f>Locations[[#This Row],[Ind_Returnees]]+Locations[[#This Row],[Ind_Refugees]]+Locations[[#This Row],[Ind_IDPs]]</f>
        <v>150</v>
      </c>
    </row>
    <row r="534" spans="1:19" s="388" customFormat="1" x14ac:dyDescent="0.3">
      <c r="A534" s="577" t="s">
        <v>533</v>
      </c>
      <c r="B534" s="1430" t="s">
        <v>3449</v>
      </c>
      <c r="C534" s="577" t="s">
        <v>534</v>
      </c>
      <c r="D534" s="577" t="s">
        <v>31</v>
      </c>
      <c r="E534" s="577" t="s">
        <v>31</v>
      </c>
      <c r="F534" s="577" t="s">
        <v>549</v>
      </c>
      <c r="G534" s="577" t="s">
        <v>169</v>
      </c>
      <c r="H534" s="577" t="s">
        <v>169</v>
      </c>
      <c r="I534" s="577" t="s">
        <v>673</v>
      </c>
      <c r="J534" s="577" t="s">
        <v>2568</v>
      </c>
      <c r="K534" s="577" t="s">
        <v>1523</v>
      </c>
      <c r="L534" s="577"/>
      <c r="M534" s="387">
        <v>34</v>
      </c>
      <c r="N534" s="387">
        <v>139</v>
      </c>
      <c r="O534" s="387">
        <v>0</v>
      </c>
      <c r="P534" s="387">
        <v>0</v>
      </c>
      <c r="Q534" s="387">
        <v>0</v>
      </c>
      <c r="R534" s="387">
        <v>0</v>
      </c>
      <c r="S534" s="1174">
        <f>Locations[[#This Row],[Ind_Returnees]]+Locations[[#This Row],[Ind_Refugees]]+Locations[[#This Row],[Ind_IDPs]]</f>
        <v>139</v>
      </c>
    </row>
    <row r="535" spans="1:19" s="388" customFormat="1" x14ac:dyDescent="0.3">
      <c r="A535" s="5" t="s">
        <v>533</v>
      </c>
      <c r="B535" s="1430" t="s">
        <v>3449</v>
      </c>
      <c r="C535" s="398" t="s">
        <v>534</v>
      </c>
      <c r="D535" s="5" t="s">
        <v>31</v>
      </c>
      <c r="E535" s="5" t="s">
        <v>31</v>
      </c>
      <c r="F535" s="5" t="s">
        <v>549</v>
      </c>
      <c r="G535" s="5" t="s">
        <v>169</v>
      </c>
      <c r="H535" s="5" t="s">
        <v>169</v>
      </c>
      <c r="I535" s="5" t="s">
        <v>673</v>
      </c>
      <c r="J535" t="s">
        <v>1552</v>
      </c>
      <c r="K535" s="5" t="s">
        <v>1642</v>
      </c>
      <c r="L535" s="5"/>
      <c r="M535" s="387">
        <v>85</v>
      </c>
      <c r="N535" s="387">
        <v>354</v>
      </c>
      <c r="O535" s="387">
        <v>0</v>
      </c>
      <c r="P535" s="387">
        <v>0</v>
      </c>
      <c r="Q535" s="387">
        <v>75</v>
      </c>
      <c r="R535" s="387">
        <v>395</v>
      </c>
      <c r="S535" s="1174">
        <f>Locations[[#This Row],[Ind_Returnees]]+Locations[[#This Row],[Ind_Refugees]]+Locations[[#This Row],[Ind_IDPs]]</f>
        <v>749</v>
      </c>
    </row>
    <row r="536" spans="1:19" s="388" customFormat="1" x14ac:dyDescent="0.3">
      <c r="A536" s="5" t="s">
        <v>533</v>
      </c>
      <c r="B536" s="1430" t="s">
        <v>3449</v>
      </c>
      <c r="C536" s="1090" t="s">
        <v>534</v>
      </c>
      <c r="D536" s="5" t="s">
        <v>31</v>
      </c>
      <c r="E536" s="5" t="s">
        <v>31</v>
      </c>
      <c r="F536" s="5" t="s">
        <v>549</v>
      </c>
      <c r="G536" s="5" t="s">
        <v>171</v>
      </c>
      <c r="H536" s="5" t="s">
        <v>171</v>
      </c>
      <c r="I536" s="5" t="s">
        <v>634</v>
      </c>
      <c r="J536" t="s">
        <v>869</v>
      </c>
      <c r="K536" s="5" t="s">
        <v>1223</v>
      </c>
      <c r="L536" s="5"/>
      <c r="M536" s="387">
        <v>15</v>
      </c>
      <c r="N536" s="387">
        <v>80</v>
      </c>
      <c r="O536" s="387">
        <v>0</v>
      </c>
      <c r="P536" s="387">
        <v>0</v>
      </c>
      <c r="Q536" s="387">
        <v>0</v>
      </c>
      <c r="R536" s="387">
        <v>0</v>
      </c>
      <c r="S536" s="1174">
        <f>Locations[[#This Row],[Ind_Returnees]]+Locations[[#This Row],[Ind_Refugees]]+Locations[[#This Row],[Ind_IDPs]]</f>
        <v>80</v>
      </c>
    </row>
    <row r="537" spans="1:19" s="388" customFormat="1" x14ac:dyDescent="0.3">
      <c r="A537" s="577" t="s">
        <v>533</v>
      </c>
      <c r="B537" s="1430" t="s">
        <v>3449</v>
      </c>
      <c r="C537" s="577" t="s">
        <v>534</v>
      </c>
      <c r="D537" s="577" t="s">
        <v>35</v>
      </c>
      <c r="E537" s="577" t="s">
        <v>35</v>
      </c>
      <c r="F537" s="577" t="s">
        <v>567</v>
      </c>
      <c r="G537" s="577" t="s">
        <v>192</v>
      </c>
      <c r="H537" s="577" t="s">
        <v>192</v>
      </c>
      <c r="I537" s="577" t="s">
        <v>853</v>
      </c>
      <c r="J537" s="577" t="s">
        <v>1388</v>
      </c>
      <c r="K537" s="577" t="s">
        <v>1892</v>
      </c>
      <c r="L537" s="577"/>
      <c r="M537" s="387">
        <v>80</v>
      </c>
      <c r="N537" s="387">
        <v>455</v>
      </c>
      <c r="O537" s="387">
        <v>0</v>
      </c>
      <c r="P537" s="387">
        <v>0</v>
      </c>
      <c r="Q537" s="387">
        <v>0</v>
      </c>
      <c r="R537" s="387">
        <v>0</v>
      </c>
      <c r="S537" s="1174">
        <f>Locations[[#This Row],[Ind_Returnees]]+Locations[[#This Row],[Ind_Refugees]]+Locations[[#This Row],[Ind_IDPs]]</f>
        <v>455</v>
      </c>
    </row>
    <row r="538" spans="1:19" s="388" customFormat="1" x14ac:dyDescent="0.3">
      <c r="A538" s="5" t="s">
        <v>533</v>
      </c>
      <c r="B538" s="1430" t="s">
        <v>3449</v>
      </c>
      <c r="C538" s="1090" t="s">
        <v>534</v>
      </c>
      <c r="D538" s="5" t="s">
        <v>31</v>
      </c>
      <c r="E538" s="5" t="s">
        <v>31</v>
      </c>
      <c r="F538" s="5" t="s">
        <v>549</v>
      </c>
      <c r="G538" s="5" t="s">
        <v>170</v>
      </c>
      <c r="H538" s="5" t="s">
        <v>170</v>
      </c>
      <c r="I538" s="5" t="s">
        <v>866</v>
      </c>
      <c r="J538" t="s">
        <v>1019</v>
      </c>
      <c r="K538" s="5" t="s">
        <v>1855</v>
      </c>
      <c r="L538" s="5"/>
      <c r="M538" s="387">
        <v>10</v>
      </c>
      <c r="N538" s="387">
        <v>30</v>
      </c>
      <c r="O538" s="387">
        <v>0</v>
      </c>
      <c r="P538" s="387">
        <v>0</v>
      </c>
      <c r="Q538" s="387">
        <v>30</v>
      </c>
      <c r="R538" s="387">
        <v>150</v>
      </c>
      <c r="S538" s="1174">
        <f>Locations[[#This Row],[Ind_Returnees]]+Locations[[#This Row],[Ind_Refugees]]+Locations[[#This Row],[Ind_IDPs]]</f>
        <v>180</v>
      </c>
    </row>
    <row r="539" spans="1:19" s="388" customFormat="1" x14ac:dyDescent="0.3">
      <c r="A539" s="577" t="s">
        <v>533</v>
      </c>
      <c r="B539" s="1430" t="s">
        <v>3449</v>
      </c>
      <c r="C539" s="577" t="s">
        <v>534</v>
      </c>
      <c r="D539" s="577" t="s">
        <v>34</v>
      </c>
      <c r="E539" s="577" t="s">
        <v>34</v>
      </c>
      <c r="F539" s="577" t="s">
        <v>539</v>
      </c>
      <c r="G539" s="577" t="s">
        <v>188</v>
      </c>
      <c r="H539" s="577" t="s">
        <v>188</v>
      </c>
      <c r="I539" s="577" t="s">
        <v>546</v>
      </c>
      <c r="J539" s="577" t="s">
        <v>798</v>
      </c>
      <c r="K539" s="577" t="s">
        <v>1686</v>
      </c>
      <c r="L539" s="577"/>
      <c r="M539" s="387">
        <v>215</v>
      </c>
      <c r="N539" s="387">
        <v>1035</v>
      </c>
      <c r="O539" s="387">
        <v>0</v>
      </c>
      <c r="P539" s="387">
        <v>0</v>
      </c>
      <c r="Q539" s="387">
        <v>0</v>
      </c>
      <c r="R539" s="387">
        <v>0</v>
      </c>
      <c r="S539" s="1174">
        <f>Locations[[#This Row],[Ind_Returnees]]+Locations[[#This Row],[Ind_Refugees]]+Locations[[#This Row],[Ind_IDPs]]</f>
        <v>1035</v>
      </c>
    </row>
    <row r="540" spans="1:19" s="388" customFormat="1" x14ac:dyDescent="0.3">
      <c r="A540" s="5" t="s">
        <v>533</v>
      </c>
      <c r="B540" s="1430" t="s">
        <v>3449</v>
      </c>
      <c r="C540" s="398" t="s">
        <v>534</v>
      </c>
      <c r="D540" s="5" t="s">
        <v>34</v>
      </c>
      <c r="E540" s="5" t="s">
        <v>34</v>
      </c>
      <c r="F540" s="5" t="s">
        <v>539</v>
      </c>
      <c r="G540" s="5" t="s">
        <v>188</v>
      </c>
      <c r="H540" s="5" t="s">
        <v>188</v>
      </c>
      <c r="I540" s="5" t="s">
        <v>546</v>
      </c>
      <c r="J540" t="s">
        <v>1235</v>
      </c>
      <c r="K540" s="5" t="s">
        <v>799</v>
      </c>
      <c r="L540" s="5"/>
      <c r="M540" s="387">
        <v>102</v>
      </c>
      <c r="N540" s="387">
        <v>526</v>
      </c>
      <c r="O540" s="387">
        <v>0</v>
      </c>
      <c r="P540" s="387">
        <v>0</v>
      </c>
      <c r="Q540" s="387">
        <v>0</v>
      </c>
      <c r="R540" s="387">
        <v>0</v>
      </c>
      <c r="S540" s="1174">
        <f>Locations[[#This Row],[Ind_Returnees]]+Locations[[#This Row],[Ind_Refugees]]+Locations[[#This Row],[Ind_IDPs]]</f>
        <v>526</v>
      </c>
    </row>
    <row r="541" spans="1:19" s="388" customFormat="1" x14ac:dyDescent="0.3">
      <c r="A541" s="577" t="s">
        <v>533</v>
      </c>
      <c r="B541" s="1430" t="s">
        <v>3449</v>
      </c>
      <c r="C541" s="577" t="s">
        <v>534</v>
      </c>
      <c r="D541" s="577" t="s">
        <v>34</v>
      </c>
      <c r="E541" s="577" t="s">
        <v>34</v>
      </c>
      <c r="F541" s="577" t="s">
        <v>539</v>
      </c>
      <c r="G541" s="577" t="s">
        <v>188</v>
      </c>
      <c r="H541" s="577" t="s">
        <v>188</v>
      </c>
      <c r="I541" s="577" t="s">
        <v>546</v>
      </c>
      <c r="J541" s="577" t="s">
        <v>1353</v>
      </c>
      <c r="K541" s="577" t="s">
        <v>2657</v>
      </c>
      <c r="L541" s="577"/>
      <c r="M541" s="387">
        <v>0</v>
      </c>
      <c r="N541" s="387">
        <v>0</v>
      </c>
      <c r="O541" s="387">
        <v>0</v>
      </c>
      <c r="P541" s="387">
        <v>0</v>
      </c>
      <c r="Q541" s="387">
        <v>0</v>
      </c>
      <c r="R541" s="387">
        <v>0</v>
      </c>
      <c r="S541" s="1174">
        <f>Locations[[#This Row],[Ind_Returnees]]+Locations[[#This Row],[Ind_Refugees]]+Locations[[#This Row],[Ind_IDPs]]</f>
        <v>0</v>
      </c>
    </row>
    <row r="542" spans="1:19" s="388" customFormat="1" x14ac:dyDescent="0.3">
      <c r="A542" s="5" t="s">
        <v>533</v>
      </c>
      <c r="B542" s="1430" t="s">
        <v>3449</v>
      </c>
      <c r="C542" s="398" t="s">
        <v>534</v>
      </c>
      <c r="D542" s="5" t="s">
        <v>30</v>
      </c>
      <c r="E542" s="5" t="s">
        <v>3522</v>
      </c>
      <c r="F542" s="5" t="s">
        <v>535</v>
      </c>
      <c r="G542" s="5" t="s">
        <v>158</v>
      </c>
      <c r="H542" s="5" t="s">
        <v>158</v>
      </c>
      <c r="I542" s="5" t="s">
        <v>571</v>
      </c>
      <c r="J542" t="s">
        <v>637</v>
      </c>
      <c r="K542" s="5" t="s">
        <v>638</v>
      </c>
      <c r="L542" s="5"/>
      <c r="M542" s="387">
        <v>4</v>
      </c>
      <c r="N542" s="387">
        <v>11</v>
      </c>
      <c r="O542" s="387">
        <v>0</v>
      </c>
      <c r="P542" s="387">
        <v>0</v>
      </c>
      <c r="Q542" s="387">
        <v>0</v>
      </c>
      <c r="R542" s="387">
        <v>0</v>
      </c>
      <c r="S542" s="1174">
        <f>Locations[[#This Row],[Ind_Returnees]]+Locations[[#This Row],[Ind_Refugees]]+Locations[[#This Row],[Ind_IDPs]]</f>
        <v>11</v>
      </c>
    </row>
    <row r="543" spans="1:19" s="388" customFormat="1" x14ac:dyDescent="0.3">
      <c r="A543" s="5" t="s">
        <v>533</v>
      </c>
      <c r="B543" s="1430" t="s">
        <v>3449</v>
      </c>
      <c r="C543" s="1090" t="s">
        <v>534</v>
      </c>
      <c r="D543" s="5" t="s">
        <v>35</v>
      </c>
      <c r="E543" s="5" t="s">
        <v>35</v>
      </c>
      <c r="F543" s="5" t="s">
        <v>567</v>
      </c>
      <c r="G543" s="5" t="s">
        <v>195</v>
      </c>
      <c r="H543" s="5" t="s">
        <v>195</v>
      </c>
      <c r="I543" s="5" t="s">
        <v>733</v>
      </c>
      <c r="J543" t="s">
        <v>2095</v>
      </c>
      <c r="K543" s="5" t="s">
        <v>1615</v>
      </c>
      <c r="L543" s="5"/>
      <c r="M543" s="387">
        <v>0</v>
      </c>
      <c r="N543" s="387">
        <v>0</v>
      </c>
      <c r="O543" s="387">
        <v>0</v>
      </c>
      <c r="P543" s="387">
        <v>0</v>
      </c>
      <c r="Q543" s="387">
        <v>0</v>
      </c>
      <c r="R543" s="387">
        <v>0</v>
      </c>
      <c r="S543" s="1174">
        <f>Locations[[#This Row],[Ind_Returnees]]+Locations[[#This Row],[Ind_Refugees]]+Locations[[#This Row],[Ind_IDPs]]</f>
        <v>0</v>
      </c>
    </row>
    <row r="544" spans="1:19" s="388" customFormat="1" x14ac:dyDescent="0.3">
      <c r="A544" s="5" t="s">
        <v>533</v>
      </c>
      <c r="B544" s="1430" t="s">
        <v>3449</v>
      </c>
      <c r="C544" s="1090" t="s">
        <v>534</v>
      </c>
      <c r="D544" s="5" t="s">
        <v>34</v>
      </c>
      <c r="E544" s="5" t="s">
        <v>34</v>
      </c>
      <c r="F544" s="5" t="s">
        <v>539</v>
      </c>
      <c r="G544" s="5" t="s">
        <v>188</v>
      </c>
      <c r="H544" s="5" t="s">
        <v>188</v>
      </c>
      <c r="I544" s="5" t="s">
        <v>546</v>
      </c>
      <c r="J544" t="s">
        <v>753</v>
      </c>
      <c r="K544" s="5" t="s">
        <v>1682</v>
      </c>
      <c r="L544" s="5"/>
      <c r="M544" s="387">
        <v>308</v>
      </c>
      <c r="N544" s="387">
        <v>696</v>
      </c>
      <c r="O544" s="387">
        <v>0</v>
      </c>
      <c r="P544" s="387">
        <v>0</v>
      </c>
      <c r="Q544" s="387">
        <v>0</v>
      </c>
      <c r="R544" s="387">
        <v>0</v>
      </c>
      <c r="S544" s="1174">
        <f>Locations[[#This Row],[Ind_Returnees]]+Locations[[#This Row],[Ind_Refugees]]+Locations[[#This Row],[Ind_IDPs]]</f>
        <v>696</v>
      </c>
    </row>
    <row r="545" spans="1:19" s="388" customFormat="1" x14ac:dyDescent="0.3">
      <c r="A545" s="5" t="s">
        <v>533</v>
      </c>
      <c r="B545" s="1430" t="s">
        <v>3449</v>
      </c>
      <c r="C545" s="1090" t="s">
        <v>534</v>
      </c>
      <c r="D545" s="5" t="s">
        <v>34</v>
      </c>
      <c r="E545" s="5" t="s">
        <v>34</v>
      </c>
      <c r="F545" s="5" t="s">
        <v>539</v>
      </c>
      <c r="G545" s="5" t="s">
        <v>188</v>
      </c>
      <c r="H545" s="5" t="s">
        <v>188</v>
      </c>
      <c r="I545" s="5" t="s">
        <v>546</v>
      </c>
      <c r="J545" t="s">
        <v>982</v>
      </c>
      <c r="K545" s="5" t="s">
        <v>1422</v>
      </c>
      <c r="L545" s="5"/>
      <c r="M545" s="387">
        <v>8</v>
      </c>
      <c r="N545" s="387">
        <v>109</v>
      </c>
      <c r="O545" s="387">
        <v>0</v>
      </c>
      <c r="P545" s="387">
        <v>0</v>
      </c>
      <c r="Q545" s="387">
        <v>0</v>
      </c>
      <c r="R545" s="387">
        <v>0</v>
      </c>
      <c r="S545" s="1174">
        <f>Locations[[#This Row],[Ind_Returnees]]+Locations[[#This Row],[Ind_Refugees]]+Locations[[#This Row],[Ind_IDPs]]</f>
        <v>109</v>
      </c>
    </row>
    <row r="546" spans="1:19" s="388" customFormat="1" x14ac:dyDescent="0.3">
      <c r="A546" s="5" t="s">
        <v>533</v>
      </c>
      <c r="B546" s="1430" t="s">
        <v>3449</v>
      </c>
      <c r="C546" s="398" t="s">
        <v>534</v>
      </c>
      <c r="D546" s="5" t="s">
        <v>31</v>
      </c>
      <c r="E546" s="5" t="s">
        <v>31</v>
      </c>
      <c r="F546" s="5" t="s">
        <v>549</v>
      </c>
      <c r="G546" s="5" t="s">
        <v>172</v>
      </c>
      <c r="H546" s="5" t="s">
        <v>172</v>
      </c>
      <c r="I546" s="5" t="s">
        <v>706</v>
      </c>
      <c r="J546" t="s">
        <v>1164</v>
      </c>
      <c r="K546" s="5" t="s">
        <v>1869</v>
      </c>
      <c r="L546" s="5"/>
      <c r="M546" s="387">
        <v>20</v>
      </c>
      <c r="N546" s="387">
        <v>55</v>
      </c>
      <c r="O546" s="387">
        <v>6</v>
      </c>
      <c r="P546" s="387">
        <v>22</v>
      </c>
      <c r="Q546" s="387">
        <v>62</v>
      </c>
      <c r="R546" s="387">
        <v>360</v>
      </c>
      <c r="S546" s="1174">
        <f>Locations[[#This Row],[Ind_Returnees]]+Locations[[#This Row],[Ind_Refugees]]+Locations[[#This Row],[Ind_IDPs]]</f>
        <v>437</v>
      </c>
    </row>
    <row r="547" spans="1:19" s="388" customFormat="1" x14ac:dyDescent="0.3">
      <c r="A547" s="577" t="s">
        <v>533</v>
      </c>
      <c r="B547" s="1430" t="s">
        <v>3449</v>
      </c>
      <c r="C547" s="577" t="s">
        <v>534</v>
      </c>
      <c r="D547" s="577" t="s">
        <v>31</v>
      </c>
      <c r="E547" s="577" t="s">
        <v>31</v>
      </c>
      <c r="F547" s="577" t="s">
        <v>549</v>
      </c>
      <c r="G547" s="577" t="s">
        <v>172</v>
      </c>
      <c r="H547" s="577" t="s">
        <v>172</v>
      </c>
      <c r="I547" s="577" t="s">
        <v>706</v>
      </c>
      <c r="J547" s="577" t="s">
        <v>1868</v>
      </c>
      <c r="K547" s="577" t="s">
        <v>1031</v>
      </c>
      <c r="L547" s="577"/>
      <c r="M547" s="387">
        <v>14</v>
      </c>
      <c r="N547" s="387">
        <v>54</v>
      </c>
      <c r="O547" s="387">
        <v>17</v>
      </c>
      <c r="P547" s="387">
        <v>64</v>
      </c>
      <c r="Q547" s="387">
        <v>40</v>
      </c>
      <c r="R547" s="387">
        <v>206</v>
      </c>
      <c r="S547" s="1174">
        <f>Locations[[#This Row],[Ind_Returnees]]+Locations[[#This Row],[Ind_Refugees]]+Locations[[#This Row],[Ind_IDPs]]</f>
        <v>324</v>
      </c>
    </row>
    <row r="548" spans="1:19" s="388" customFormat="1" x14ac:dyDescent="0.3">
      <c r="A548" s="5" t="s">
        <v>533</v>
      </c>
      <c r="B548" s="1430" t="s">
        <v>3449</v>
      </c>
      <c r="C548" s="398" t="s">
        <v>534</v>
      </c>
      <c r="D548" s="5" t="s">
        <v>31</v>
      </c>
      <c r="E548" s="5" t="s">
        <v>31</v>
      </c>
      <c r="F548" s="5" t="s">
        <v>549</v>
      </c>
      <c r="G548" s="5" t="s">
        <v>169</v>
      </c>
      <c r="H548" s="5" t="s">
        <v>169</v>
      </c>
      <c r="I548" s="5" t="s">
        <v>673</v>
      </c>
      <c r="J548" t="s">
        <v>2977</v>
      </c>
      <c r="K548" s="5" t="s">
        <v>2332</v>
      </c>
      <c r="L548" s="5"/>
      <c r="M548" s="387">
        <v>0</v>
      </c>
      <c r="N548" s="387">
        <v>0</v>
      </c>
      <c r="O548" s="387">
        <v>200</v>
      </c>
      <c r="P548" s="387">
        <v>1050</v>
      </c>
      <c r="Q548" s="387">
        <v>0</v>
      </c>
      <c r="R548" s="387">
        <v>0</v>
      </c>
      <c r="S548" s="1174">
        <f>Locations[[#This Row],[Ind_Returnees]]+Locations[[#This Row],[Ind_Refugees]]+Locations[[#This Row],[Ind_IDPs]]</f>
        <v>1050</v>
      </c>
    </row>
    <row r="549" spans="1:19" s="388" customFormat="1" x14ac:dyDescent="0.3">
      <c r="A549" s="577" t="s">
        <v>533</v>
      </c>
      <c r="B549" s="1430" t="s">
        <v>3449</v>
      </c>
      <c r="C549" s="577" t="s">
        <v>534</v>
      </c>
      <c r="D549" s="577" t="s">
        <v>31</v>
      </c>
      <c r="E549" s="577" t="s">
        <v>31</v>
      </c>
      <c r="F549" s="577" t="s">
        <v>549</v>
      </c>
      <c r="G549" s="577" t="s">
        <v>169</v>
      </c>
      <c r="H549" s="577" t="s">
        <v>169</v>
      </c>
      <c r="I549" s="577" t="s">
        <v>673</v>
      </c>
      <c r="J549" s="577" t="s">
        <v>2905</v>
      </c>
      <c r="K549" s="577" t="s">
        <v>1134</v>
      </c>
      <c r="L549" s="577"/>
      <c r="M549" s="387">
        <v>116</v>
      </c>
      <c r="N549" s="387">
        <v>778</v>
      </c>
      <c r="O549" s="387">
        <v>57</v>
      </c>
      <c r="P549" s="387">
        <v>349</v>
      </c>
      <c r="Q549" s="387">
        <v>0</v>
      </c>
      <c r="R549" s="387">
        <v>0</v>
      </c>
      <c r="S549" s="1174">
        <f>Locations[[#This Row],[Ind_Returnees]]+Locations[[#This Row],[Ind_Refugees]]+Locations[[#This Row],[Ind_IDPs]]</f>
        <v>1127</v>
      </c>
    </row>
    <row r="550" spans="1:19" s="388" customFormat="1" x14ac:dyDescent="0.3">
      <c r="A550" s="5" t="s">
        <v>533</v>
      </c>
      <c r="B550" s="1430" t="s">
        <v>3449</v>
      </c>
      <c r="C550" s="398" t="s">
        <v>534</v>
      </c>
      <c r="D550" s="5" t="s">
        <v>31</v>
      </c>
      <c r="E550" s="5" t="s">
        <v>31</v>
      </c>
      <c r="F550" s="5" t="s">
        <v>549</v>
      </c>
      <c r="G550" s="5" t="s">
        <v>165</v>
      </c>
      <c r="H550" s="5" t="s">
        <v>165</v>
      </c>
      <c r="I550" s="5" t="s">
        <v>881</v>
      </c>
      <c r="J550" t="s">
        <v>884</v>
      </c>
      <c r="K550" s="5" t="s">
        <v>2138</v>
      </c>
      <c r="L550" s="5"/>
      <c r="M550" s="387">
        <v>16</v>
      </c>
      <c r="N550" s="387">
        <v>92</v>
      </c>
      <c r="O550" s="387">
        <v>20</v>
      </c>
      <c r="P550" s="387">
        <v>90</v>
      </c>
      <c r="Q550" s="387">
        <v>0</v>
      </c>
      <c r="R550" s="387">
        <v>0</v>
      </c>
      <c r="S550" s="1174">
        <f>Locations[[#This Row],[Ind_Returnees]]+Locations[[#This Row],[Ind_Refugees]]+Locations[[#This Row],[Ind_IDPs]]</f>
        <v>182</v>
      </c>
    </row>
    <row r="551" spans="1:19" s="388" customFormat="1" x14ac:dyDescent="0.3">
      <c r="A551" s="577" t="s">
        <v>533</v>
      </c>
      <c r="B551" s="1430" t="s">
        <v>3449</v>
      </c>
      <c r="C551" s="577" t="s">
        <v>534</v>
      </c>
      <c r="D551" s="577" t="s">
        <v>33</v>
      </c>
      <c r="E551" s="577" t="s">
        <v>33</v>
      </c>
      <c r="F551" s="577" t="s">
        <v>561</v>
      </c>
      <c r="G551" s="577" t="s">
        <v>183</v>
      </c>
      <c r="H551" s="577" t="s">
        <v>183</v>
      </c>
      <c r="I551" s="577" t="s">
        <v>562</v>
      </c>
      <c r="J551" s="577" t="s">
        <v>565</v>
      </c>
      <c r="K551" s="577" t="s">
        <v>566</v>
      </c>
      <c r="L551" s="577"/>
      <c r="M551" s="387">
        <v>2</v>
      </c>
      <c r="N551" s="387">
        <v>9</v>
      </c>
      <c r="O551" s="387">
        <v>0</v>
      </c>
      <c r="P551" s="387">
        <v>0</v>
      </c>
      <c r="Q551" s="387">
        <v>0</v>
      </c>
      <c r="R551" s="387">
        <v>0</v>
      </c>
      <c r="S551" s="1174">
        <f>Locations[[#This Row],[Ind_Returnees]]+Locations[[#This Row],[Ind_Refugees]]+Locations[[#This Row],[Ind_IDPs]]</f>
        <v>9</v>
      </c>
    </row>
    <row r="552" spans="1:19" s="388" customFormat="1" x14ac:dyDescent="0.3">
      <c r="A552" s="577" t="s">
        <v>533</v>
      </c>
      <c r="B552" s="1430" t="s">
        <v>3449</v>
      </c>
      <c r="C552" s="577" t="s">
        <v>534</v>
      </c>
      <c r="D552" s="577" t="s">
        <v>32</v>
      </c>
      <c r="E552" s="577" t="s">
        <v>32</v>
      </c>
      <c r="F552" s="577" t="s">
        <v>542</v>
      </c>
      <c r="G552" s="577" t="s">
        <v>176</v>
      </c>
      <c r="H552" s="577" t="s">
        <v>176</v>
      </c>
      <c r="I552" s="577" t="s">
        <v>772</v>
      </c>
      <c r="J552" s="577" t="s">
        <v>1739</v>
      </c>
      <c r="K552" s="577" t="s">
        <v>1740</v>
      </c>
      <c r="L552" s="577"/>
      <c r="M552" s="387">
        <v>55</v>
      </c>
      <c r="N552" s="387">
        <v>349</v>
      </c>
      <c r="O552" s="387">
        <v>0</v>
      </c>
      <c r="P552" s="387">
        <v>0</v>
      </c>
      <c r="Q552" s="387">
        <v>548</v>
      </c>
      <c r="R552" s="387">
        <v>4338</v>
      </c>
      <c r="S552" s="1174">
        <f>Locations[[#This Row],[Ind_Returnees]]+Locations[[#This Row],[Ind_Refugees]]+Locations[[#This Row],[Ind_IDPs]]</f>
        <v>4687</v>
      </c>
    </row>
    <row r="553" spans="1:19" s="388" customFormat="1" x14ac:dyDescent="0.3">
      <c r="A553" s="5" t="s">
        <v>533</v>
      </c>
      <c r="B553" s="1430" t="s">
        <v>3449</v>
      </c>
      <c r="C553" s="398" t="s">
        <v>534</v>
      </c>
      <c r="D553" s="5" t="s">
        <v>31</v>
      </c>
      <c r="E553" s="5" t="s">
        <v>31</v>
      </c>
      <c r="F553" s="5" t="s">
        <v>549</v>
      </c>
      <c r="G553" s="5" t="s">
        <v>169</v>
      </c>
      <c r="H553" s="5" t="s">
        <v>169</v>
      </c>
      <c r="I553" s="5" t="s">
        <v>673</v>
      </c>
      <c r="J553" t="s">
        <v>1450</v>
      </c>
      <c r="K553" s="5" t="s">
        <v>1648</v>
      </c>
      <c r="L553" s="5"/>
      <c r="M553" s="387">
        <v>210</v>
      </c>
      <c r="N553" s="387">
        <v>1087</v>
      </c>
      <c r="O553" s="387">
        <v>0</v>
      </c>
      <c r="P553" s="387">
        <v>0</v>
      </c>
      <c r="Q553" s="387">
        <v>0</v>
      </c>
      <c r="R553" s="387">
        <v>0</v>
      </c>
      <c r="S553" s="1174">
        <f>Locations[[#This Row],[Ind_Returnees]]+Locations[[#This Row],[Ind_Refugees]]+Locations[[#This Row],[Ind_IDPs]]</f>
        <v>1087</v>
      </c>
    </row>
    <row r="554" spans="1:19" s="388" customFormat="1" x14ac:dyDescent="0.3">
      <c r="A554" s="5" t="s">
        <v>533</v>
      </c>
      <c r="B554" s="1430" t="s">
        <v>3449</v>
      </c>
      <c r="C554" s="1090" t="s">
        <v>534</v>
      </c>
      <c r="D554" s="5" t="s">
        <v>30</v>
      </c>
      <c r="E554" s="5" t="s">
        <v>3522</v>
      </c>
      <c r="F554" s="5" t="s">
        <v>535</v>
      </c>
      <c r="G554" s="5" t="s">
        <v>157</v>
      </c>
      <c r="H554" s="5" t="s">
        <v>157</v>
      </c>
      <c r="I554" s="5" t="s">
        <v>2236</v>
      </c>
      <c r="J554" t="s">
        <v>2362</v>
      </c>
      <c r="K554" s="5" t="s">
        <v>2363</v>
      </c>
      <c r="L554" s="5"/>
      <c r="M554" s="387">
        <v>0</v>
      </c>
      <c r="N554" s="387">
        <v>0</v>
      </c>
      <c r="O554" s="387">
        <v>0</v>
      </c>
      <c r="P554" s="387">
        <v>0</v>
      </c>
      <c r="Q554" s="387">
        <v>11</v>
      </c>
      <c r="R554" s="387">
        <v>135</v>
      </c>
      <c r="S554" s="1174">
        <f>Locations[[#This Row],[Ind_Returnees]]+Locations[[#This Row],[Ind_Refugees]]+Locations[[#This Row],[Ind_IDPs]]</f>
        <v>135</v>
      </c>
    </row>
    <row r="555" spans="1:19" s="388" customFormat="1" x14ac:dyDescent="0.3">
      <c r="A555" s="5" t="s">
        <v>533</v>
      </c>
      <c r="B555" s="1430" t="s">
        <v>3449</v>
      </c>
      <c r="C555" s="1090" t="s">
        <v>534</v>
      </c>
      <c r="D555" s="5" t="s">
        <v>34</v>
      </c>
      <c r="E555" s="5" t="s">
        <v>34</v>
      </c>
      <c r="F555" s="5" t="s">
        <v>539</v>
      </c>
      <c r="G555" s="5" t="s">
        <v>188</v>
      </c>
      <c r="H555" s="5" t="s">
        <v>188</v>
      </c>
      <c r="I555" s="5" t="s">
        <v>546</v>
      </c>
      <c r="J555" t="s">
        <v>1513</v>
      </c>
      <c r="K555" s="5" t="s">
        <v>1074</v>
      </c>
      <c r="L555" s="5"/>
      <c r="M555" s="387">
        <v>15</v>
      </c>
      <c r="N555" s="387">
        <v>93</v>
      </c>
      <c r="O555" s="387">
        <v>31</v>
      </c>
      <c r="P555" s="387">
        <v>222</v>
      </c>
      <c r="Q555" s="387">
        <v>2</v>
      </c>
      <c r="R555" s="387">
        <v>8</v>
      </c>
      <c r="S555" s="1174">
        <f>Locations[[#This Row],[Ind_Returnees]]+Locations[[#This Row],[Ind_Refugees]]+Locations[[#This Row],[Ind_IDPs]]</f>
        <v>323</v>
      </c>
    </row>
    <row r="556" spans="1:19" s="388" customFormat="1" x14ac:dyDescent="0.3">
      <c r="A556" s="5" t="s">
        <v>533</v>
      </c>
      <c r="B556" s="1430" t="s">
        <v>3449</v>
      </c>
      <c r="C556" s="1090" t="s">
        <v>534</v>
      </c>
      <c r="D556" s="5" t="s">
        <v>31</v>
      </c>
      <c r="E556" s="5" t="s">
        <v>31</v>
      </c>
      <c r="F556" s="5" t="s">
        <v>549</v>
      </c>
      <c r="G556" s="5" t="s">
        <v>169</v>
      </c>
      <c r="H556" s="5" t="s">
        <v>169</v>
      </c>
      <c r="I556" s="5" t="s">
        <v>673</v>
      </c>
      <c r="J556" t="s">
        <v>3209</v>
      </c>
      <c r="K556" s="5" t="s">
        <v>3085</v>
      </c>
      <c r="L556" s="5"/>
      <c r="M556" s="387">
        <v>0</v>
      </c>
      <c r="N556" s="387">
        <v>0</v>
      </c>
      <c r="O556" s="387">
        <v>0</v>
      </c>
      <c r="P556" s="387">
        <v>0</v>
      </c>
      <c r="Q556" s="387">
        <v>47</v>
      </c>
      <c r="R556" s="387">
        <v>211</v>
      </c>
      <c r="S556" s="1174">
        <f>Locations[[#This Row],[Ind_Returnees]]+Locations[[#This Row],[Ind_Refugees]]+Locations[[#This Row],[Ind_IDPs]]</f>
        <v>211</v>
      </c>
    </row>
    <row r="557" spans="1:19" s="388" customFormat="1" x14ac:dyDescent="0.3">
      <c r="A557" s="577" t="s">
        <v>533</v>
      </c>
      <c r="B557" s="1430" t="s">
        <v>3449</v>
      </c>
      <c r="C557" s="577" t="s">
        <v>534</v>
      </c>
      <c r="D557" s="577" t="s">
        <v>31</v>
      </c>
      <c r="E557" s="577" t="s">
        <v>31</v>
      </c>
      <c r="F557" s="577" t="s">
        <v>549</v>
      </c>
      <c r="G557" s="577" t="s">
        <v>169</v>
      </c>
      <c r="H557" s="577" t="s">
        <v>169</v>
      </c>
      <c r="I557" s="577" t="s">
        <v>673</v>
      </c>
      <c r="J557" s="577" t="s">
        <v>3210</v>
      </c>
      <c r="K557" s="577" t="s">
        <v>3086</v>
      </c>
      <c r="L557" s="577"/>
      <c r="M557" s="387">
        <v>0</v>
      </c>
      <c r="N557" s="387">
        <v>0</v>
      </c>
      <c r="O557" s="387">
        <v>0</v>
      </c>
      <c r="P557" s="387">
        <v>0</v>
      </c>
      <c r="Q557" s="387">
        <v>46</v>
      </c>
      <c r="R557" s="387">
        <v>206</v>
      </c>
      <c r="S557" s="1174">
        <f>Locations[[#This Row],[Ind_Returnees]]+Locations[[#This Row],[Ind_Refugees]]+Locations[[#This Row],[Ind_IDPs]]</f>
        <v>206</v>
      </c>
    </row>
    <row r="558" spans="1:19" s="388" customFormat="1" x14ac:dyDescent="0.3">
      <c r="A558" s="5" t="s">
        <v>533</v>
      </c>
      <c r="B558" s="1430" t="s">
        <v>3449</v>
      </c>
      <c r="C558" s="398" t="s">
        <v>534</v>
      </c>
      <c r="D558" s="5" t="s">
        <v>31</v>
      </c>
      <c r="E558" s="5" t="s">
        <v>31</v>
      </c>
      <c r="F558" s="5" t="s">
        <v>549</v>
      </c>
      <c r="G558" s="5" t="s">
        <v>169</v>
      </c>
      <c r="H558" s="5" t="s">
        <v>169</v>
      </c>
      <c r="I558" s="5" t="s">
        <v>673</v>
      </c>
      <c r="J558" t="s">
        <v>1133</v>
      </c>
      <c r="K558" s="5" t="s">
        <v>1451</v>
      </c>
      <c r="L558" s="5"/>
      <c r="M558" s="387">
        <v>18</v>
      </c>
      <c r="N558" s="387">
        <v>100</v>
      </c>
      <c r="O558" s="387">
        <v>0</v>
      </c>
      <c r="P558" s="387">
        <v>0</v>
      </c>
      <c r="Q558" s="387">
        <v>0</v>
      </c>
      <c r="R558" s="387">
        <v>0</v>
      </c>
      <c r="S558" s="1174">
        <f>Locations[[#This Row],[Ind_Returnees]]+Locations[[#This Row],[Ind_Refugees]]+Locations[[#This Row],[Ind_IDPs]]</f>
        <v>100</v>
      </c>
    </row>
    <row r="559" spans="1:19" s="388" customFormat="1" x14ac:dyDescent="0.3">
      <c r="A559" s="5" t="s">
        <v>533</v>
      </c>
      <c r="B559" s="1430" t="s">
        <v>3449</v>
      </c>
      <c r="C559" s="1090" t="s">
        <v>534</v>
      </c>
      <c r="D559" s="5" t="s">
        <v>31</v>
      </c>
      <c r="E559" s="5" t="s">
        <v>31</v>
      </c>
      <c r="F559" s="5" t="s">
        <v>549</v>
      </c>
      <c r="G559" s="5" t="s">
        <v>166</v>
      </c>
      <c r="H559" s="5" t="s">
        <v>166</v>
      </c>
      <c r="I559" s="5" t="s">
        <v>844</v>
      </c>
      <c r="J559" t="s">
        <v>2495</v>
      </c>
      <c r="K559" s="5" t="s">
        <v>2171</v>
      </c>
      <c r="L559" s="5"/>
      <c r="M559" s="387">
        <v>10</v>
      </c>
      <c r="N559" s="387">
        <v>59</v>
      </c>
      <c r="O559" s="387">
        <v>2</v>
      </c>
      <c r="P559" s="387">
        <v>18</v>
      </c>
      <c r="Q559" s="387">
        <v>0</v>
      </c>
      <c r="R559" s="387">
        <v>0</v>
      </c>
      <c r="S559" s="1174">
        <f>Locations[[#This Row],[Ind_Returnees]]+Locations[[#This Row],[Ind_Refugees]]+Locations[[#This Row],[Ind_IDPs]]</f>
        <v>77</v>
      </c>
    </row>
    <row r="560" spans="1:19" s="388" customFormat="1" x14ac:dyDescent="0.3">
      <c r="A560" s="5" t="s">
        <v>533</v>
      </c>
      <c r="B560" s="1430" t="s">
        <v>3449</v>
      </c>
      <c r="C560" s="398" t="s">
        <v>534</v>
      </c>
      <c r="D560" s="5" t="s">
        <v>31</v>
      </c>
      <c r="E560" s="5" t="s">
        <v>31</v>
      </c>
      <c r="F560" s="5" t="s">
        <v>549</v>
      </c>
      <c r="G560" s="5" t="s">
        <v>2797</v>
      </c>
      <c r="H560" s="5" t="s">
        <v>3898</v>
      </c>
      <c r="I560" s="5" t="s">
        <v>767</v>
      </c>
      <c r="J560" t="s">
        <v>782</v>
      </c>
      <c r="K560" s="5" t="s">
        <v>2539</v>
      </c>
      <c r="L560" s="5"/>
      <c r="M560" s="387">
        <v>0</v>
      </c>
      <c r="N560" s="387">
        <v>0</v>
      </c>
      <c r="O560" s="387">
        <v>0</v>
      </c>
      <c r="P560" s="387">
        <v>0</v>
      </c>
      <c r="Q560" s="387">
        <v>0</v>
      </c>
      <c r="R560" s="387">
        <v>0</v>
      </c>
      <c r="S560" s="1174">
        <f>Locations[[#This Row],[Ind_Returnees]]+Locations[[#This Row],[Ind_Refugees]]+Locations[[#This Row],[Ind_IDPs]]</f>
        <v>0</v>
      </c>
    </row>
    <row r="561" spans="1:19" s="388" customFormat="1" x14ac:dyDescent="0.3">
      <c r="A561" s="5" t="s">
        <v>533</v>
      </c>
      <c r="B561" s="1430" t="s">
        <v>3449</v>
      </c>
      <c r="C561" s="398" t="s">
        <v>534</v>
      </c>
      <c r="D561" s="5" t="s">
        <v>34</v>
      </c>
      <c r="E561" s="5" t="s">
        <v>34</v>
      </c>
      <c r="F561" s="5" t="s">
        <v>539</v>
      </c>
      <c r="G561" s="5" t="s">
        <v>188</v>
      </c>
      <c r="H561" s="5" t="s">
        <v>188</v>
      </c>
      <c r="I561" s="5" t="s">
        <v>546</v>
      </c>
      <c r="J561" t="s">
        <v>2907</v>
      </c>
      <c r="K561" s="5" t="s">
        <v>985</v>
      </c>
      <c r="L561" s="5"/>
      <c r="M561" s="387">
        <v>43</v>
      </c>
      <c r="N561" s="387">
        <v>287</v>
      </c>
      <c r="O561" s="387">
        <v>0</v>
      </c>
      <c r="P561" s="387">
        <v>0</v>
      </c>
      <c r="Q561" s="387">
        <v>0</v>
      </c>
      <c r="R561" s="387">
        <v>0</v>
      </c>
      <c r="S561" s="1174">
        <f>Locations[[#This Row],[Ind_Returnees]]+Locations[[#This Row],[Ind_Refugees]]+Locations[[#This Row],[Ind_IDPs]]</f>
        <v>287</v>
      </c>
    </row>
    <row r="562" spans="1:19" s="388" customFormat="1" x14ac:dyDescent="0.3">
      <c r="A562" s="5" t="s">
        <v>533</v>
      </c>
      <c r="B562" s="1430" t="s">
        <v>3449</v>
      </c>
      <c r="C562" s="1090" t="s">
        <v>534</v>
      </c>
      <c r="D562" s="5" t="s">
        <v>31</v>
      </c>
      <c r="E562" s="5" t="s">
        <v>31</v>
      </c>
      <c r="F562" s="5" t="s">
        <v>549</v>
      </c>
      <c r="G562" s="5" t="s">
        <v>171</v>
      </c>
      <c r="H562" s="5" t="s">
        <v>171</v>
      </c>
      <c r="I562" s="5" t="s">
        <v>634</v>
      </c>
      <c r="J562" t="s">
        <v>2596</v>
      </c>
      <c r="K562" s="5" t="s">
        <v>1915</v>
      </c>
      <c r="L562" s="5"/>
      <c r="M562" s="387">
        <v>20</v>
      </c>
      <c r="N562" s="387">
        <v>121</v>
      </c>
      <c r="O562" s="387">
        <v>0</v>
      </c>
      <c r="P562" s="387">
        <v>0</v>
      </c>
      <c r="Q562" s="387">
        <v>0</v>
      </c>
      <c r="R562" s="387">
        <v>0</v>
      </c>
      <c r="S562" s="1174">
        <f>Locations[[#This Row],[Ind_Returnees]]+Locations[[#This Row],[Ind_Refugees]]+Locations[[#This Row],[Ind_IDPs]]</f>
        <v>121</v>
      </c>
    </row>
    <row r="563" spans="1:19" s="388" customFormat="1" x14ac:dyDescent="0.3">
      <c r="A563" s="5" t="s">
        <v>533</v>
      </c>
      <c r="B563" s="1430" t="s">
        <v>3449</v>
      </c>
      <c r="C563" s="398" t="s">
        <v>534</v>
      </c>
      <c r="D563" s="5" t="s">
        <v>31</v>
      </c>
      <c r="E563" s="5" t="s">
        <v>31</v>
      </c>
      <c r="F563" s="5" t="s">
        <v>549</v>
      </c>
      <c r="G563" s="5" t="s">
        <v>169</v>
      </c>
      <c r="H563" s="5" t="s">
        <v>169</v>
      </c>
      <c r="I563" s="5" t="s">
        <v>673</v>
      </c>
      <c r="J563" t="s">
        <v>2908</v>
      </c>
      <c r="K563" s="5" t="s">
        <v>1180</v>
      </c>
      <c r="L563" s="5"/>
      <c r="M563" s="387">
        <v>10</v>
      </c>
      <c r="N563" s="387">
        <v>73</v>
      </c>
      <c r="O563" s="387">
        <v>0</v>
      </c>
      <c r="P563" s="387">
        <v>0</v>
      </c>
      <c r="Q563" s="387">
        <v>0</v>
      </c>
      <c r="R563" s="387">
        <v>0</v>
      </c>
      <c r="S563" s="1174">
        <f>Locations[[#This Row],[Ind_Returnees]]+Locations[[#This Row],[Ind_Refugees]]+Locations[[#This Row],[Ind_IDPs]]</f>
        <v>73</v>
      </c>
    </row>
    <row r="564" spans="1:19" s="388" customFormat="1" x14ac:dyDescent="0.3">
      <c r="A564" s="5" t="s">
        <v>533</v>
      </c>
      <c r="B564" s="1430" t="s">
        <v>3449</v>
      </c>
      <c r="C564" s="398" t="s">
        <v>534</v>
      </c>
      <c r="D564" s="5" t="s">
        <v>30</v>
      </c>
      <c r="E564" s="5" t="s">
        <v>3522</v>
      </c>
      <c r="F564" s="5" t="s">
        <v>535</v>
      </c>
      <c r="G564" s="5" t="s">
        <v>162</v>
      </c>
      <c r="H564" s="5" t="s">
        <v>3529</v>
      </c>
      <c r="I564" s="5" t="s">
        <v>536</v>
      </c>
      <c r="J564" t="s">
        <v>693</v>
      </c>
      <c r="K564" s="5" t="s">
        <v>694</v>
      </c>
      <c r="L564" s="5"/>
      <c r="M564" s="387">
        <v>5</v>
      </c>
      <c r="N564" s="387">
        <v>44</v>
      </c>
      <c r="O564" s="387">
        <v>0</v>
      </c>
      <c r="P564" s="387">
        <v>0</v>
      </c>
      <c r="Q564" s="387">
        <v>0</v>
      </c>
      <c r="R564" s="387">
        <v>0</v>
      </c>
      <c r="S564" s="1174">
        <f>Locations[[#This Row],[Ind_Returnees]]+Locations[[#This Row],[Ind_Refugees]]+Locations[[#This Row],[Ind_IDPs]]</f>
        <v>44</v>
      </c>
    </row>
    <row r="565" spans="1:19" s="388" customFormat="1" x14ac:dyDescent="0.3">
      <c r="A565" s="5" t="s">
        <v>533</v>
      </c>
      <c r="B565" s="1430" t="s">
        <v>3449</v>
      </c>
      <c r="C565" s="398" t="s">
        <v>534</v>
      </c>
      <c r="D565" s="5" t="s">
        <v>30</v>
      </c>
      <c r="E565" s="5" t="s">
        <v>3522</v>
      </c>
      <c r="F565" s="5" t="s">
        <v>535</v>
      </c>
      <c r="G565" s="5" t="s">
        <v>162</v>
      </c>
      <c r="H565" s="5" t="s">
        <v>3529</v>
      </c>
      <c r="I565" s="5" t="s">
        <v>536</v>
      </c>
      <c r="J565" t="s">
        <v>579</v>
      </c>
      <c r="K565" s="5" t="s">
        <v>580</v>
      </c>
      <c r="L565" s="5"/>
      <c r="M565" s="387">
        <v>10</v>
      </c>
      <c r="N565" s="387">
        <v>50</v>
      </c>
      <c r="O565" s="387">
        <v>0</v>
      </c>
      <c r="P565" s="387">
        <v>0</v>
      </c>
      <c r="Q565" s="387">
        <v>0</v>
      </c>
      <c r="R565" s="387">
        <v>0</v>
      </c>
      <c r="S565" s="1174">
        <f>Locations[[#This Row],[Ind_Returnees]]+Locations[[#This Row],[Ind_Refugees]]+Locations[[#This Row],[Ind_IDPs]]</f>
        <v>50</v>
      </c>
    </row>
    <row r="566" spans="1:19" s="388" customFormat="1" x14ac:dyDescent="0.3">
      <c r="A566" s="5" t="s">
        <v>533</v>
      </c>
      <c r="B566" s="1430" t="s">
        <v>3449</v>
      </c>
      <c r="C566" s="398" t="s">
        <v>534</v>
      </c>
      <c r="D566" s="5" t="s">
        <v>32</v>
      </c>
      <c r="E566" s="5" t="s">
        <v>32</v>
      </c>
      <c r="F566" s="5" t="s">
        <v>542</v>
      </c>
      <c r="G566" s="5" t="s">
        <v>175</v>
      </c>
      <c r="H566" s="5" t="s">
        <v>175</v>
      </c>
      <c r="I566" s="5" t="s">
        <v>1136</v>
      </c>
      <c r="J566" t="s">
        <v>1769</v>
      </c>
      <c r="K566" s="5" t="s">
        <v>1770</v>
      </c>
      <c r="L566" s="5"/>
      <c r="M566" s="387">
        <v>30</v>
      </c>
      <c r="N566" s="387">
        <v>204</v>
      </c>
      <c r="O566" s="387">
        <v>40</v>
      </c>
      <c r="P566" s="387">
        <v>150</v>
      </c>
      <c r="Q566" s="387">
        <v>390</v>
      </c>
      <c r="R566" s="387">
        <v>2800</v>
      </c>
      <c r="S566" s="1174">
        <f>Locations[[#This Row],[Ind_Returnees]]+Locations[[#This Row],[Ind_Refugees]]+Locations[[#This Row],[Ind_IDPs]]</f>
        <v>3154</v>
      </c>
    </row>
    <row r="567" spans="1:19" s="388" customFormat="1" x14ac:dyDescent="0.3">
      <c r="A567" s="5" t="s">
        <v>533</v>
      </c>
      <c r="B567" s="1430" t="s">
        <v>3449</v>
      </c>
      <c r="C567" s="1090" t="s">
        <v>534</v>
      </c>
      <c r="D567" s="5" t="s">
        <v>32</v>
      </c>
      <c r="E567" s="5" t="s">
        <v>32</v>
      </c>
      <c r="F567" s="5" t="s">
        <v>542</v>
      </c>
      <c r="G567" s="5" t="s">
        <v>175</v>
      </c>
      <c r="H567" s="5" t="s">
        <v>175</v>
      </c>
      <c r="I567" s="5" t="s">
        <v>1136</v>
      </c>
      <c r="J567" t="s">
        <v>1762</v>
      </c>
      <c r="K567" s="5" t="s">
        <v>1763</v>
      </c>
      <c r="L567" s="5"/>
      <c r="M567" s="387">
        <v>45</v>
      </c>
      <c r="N567" s="387">
        <v>270</v>
      </c>
      <c r="O567" s="387">
        <v>0</v>
      </c>
      <c r="P567" s="387">
        <v>0</v>
      </c>
      <c r="Q567" s="387">
        <v>360</v>
      </c>
      <c r="R567" s="387">
        <v>1900</v>
      </c>
      <c r="S567" s="1174">
        <f>Locations[[#This Row],[Ind_Returnees]]+Locations[[#This Row],[Ind_Refugees]]+Locations[[#This Row],[Ind_IDPs]]</f>
        <v>2170</v>
      </c>
    </row>
    <row r="568" spans="1:19" s="388" customFormat="1" x14ac:dyDescent="0.3">
      <c r="A568" s="577" t="s">
        <v>533</v>
      </c>
      <c r="B568" s="1430" t="s">
        <v>3449</v>
      </c>
      <c r="C568" s="577" t="s">
        <v>534</v>
      </c>
      <c r="D568" s="577" t="s">
        <v>31</v>
      </c>
      <c r="E568" s="577" t="s">
        <v>31</v>
      </c>
      <c r="F568" s="577" t="s">
        <v>549</v>
      </c>
      <c r="G568" s="577" t="s">
        <v>165</v>
      </c>
      <c r="H568" s="577" t="s">
        <v>165</v>
      </c>
      <c r="I568" s="577" t="s">
        <v>881</v>
      </c>
      <c r="J568" s="577" t="s">
        <v>1850</v>
      </c>
      <c r="K568" s="577" t="s">
        <v>2027</v>
      </c>
      <c r="L568" s="577"/>
      <c r="M568" s="387">
        <v>70</v>
      </c>
      <c r="N568" s="387">
        <v>350</v>
      </c>
      <c r="O568" s="387">
        <v>0</v>
      </c>
      <c r="P568" s="387">
        <v>0</v>
      </c>
      <c r="Q568" s="387">
        <v>0</v>
      </c>
      <c r="R568" s="387">
        <v>0</v>
      </c>
      <c r="S568" s="1174">
        <f>Locations[[#This Row],[Ind_Returnees]]+Locations[[#This Row],[Ind_Refugees]]+Locations[[#This Row],[Ind_IDPs]]</f>
        <v>350</v>
      </c>
    </row>
    <row r="569" spans="1:19" s="388" customFormat="1" x14ac:dyDescent="0.3">
      <c r="A569" s="5" t="s">
        <v>533</v>
      </c>
      <c r="B569" s="1430" t="s">
        <v>3449</v>
      </c>
      <c r="C569" s="398" t="s">
        <v>534</v>
      </c>
      <c r="D569" s="5" t="s">
        <v>35</v>
      </c>
      <c r="E569" s="5" t="s">
        <v>35</v>
      </c>
      <c r="F569" s="5" t="s">
        <v>567</v>
      </c>
      <c r="G569" s="5" t="s">
        <v>194</v>
      </c>
      <c r="H569" s="5" t="s">
        <v>194</v>
      </c>
      <c r="I569" s="5" t="s">
        <v>2150</v>
      </c>
      <c r="J569" t="s">
        <v>2151</v>
      </c>
      <c r="K569" s="5" t="s">
        <v>2152</v>
      </c>
      <c r="L569" s="5"/>
      <c r="M569" s="387">
        <v>0</v>
      </c>
      <c r="N569" s="387">
        <v>0</v>
      </c>
      <c r="O569" s="387">
        <v>18</v>
      </c>
      <c r="P569" s="387">
        <v>97</v>
      </c>
      <c r="Q569" s="387">
        <v>12</v>
      </c>
      <c r="R569" s="387">
        <v>83</v>
      </c>
      <c r="S569" s="1174">
        <f>Locations[[#This Row],[Ind_Returnees]]+Locations[[#This Row],[Ind_Refugees]]+Locations[[#This Row],[Ind_IDPs]]</f>
        <v>180</v>
      </c>
    </row>
    <row r="570" spans="1:19" s="388" customFormat="1" x14ac:dyDescent="0.3">
      <c r="A570" s="5" t="s">
        <v>533</v>
      </c>
      <c r="B570" s="1430" t="s">
        <v>3449</v>
      </c>
      <c r="C570" s="1090" t="s">
        <v>534</v>
      </c>
      <c r="D570" s="5" t="s">
        <v>35</v>
      </c>
      <c r="E570" s="5" t="s">
        <v>35</v>
      </c>
      <c r="F570" s="5" t="s">
        <v>567</v>
      </c>
      <c r="G570" s="5" t="s">
        <v>193</v>
      </c>
      <c r="H570" s="5" t="s">
        <v>3983</v>
      </c>
      <c r="I570" s="5" t="s">
        <v>863</v>
      </c>
      <c r="J570" t="s">
        <v>1630</v>
      </c>
      <c r="K570" s="5" t="s">
        <v>1631</v>
      </c>
      <c r="L570" s="5"/>
      <c r="M570" s="387">
        <v>115</v>
      </c>
      <c r="N570" s="387">
        <v>485</v>
      </c>
      <c r="O570" s="387">
        <v>0</v>
      </c>
      <c r="P570" s="387">
        <v>0</v>
      </c>
      <c r="Q570" s="387">
        <v>13</v>
      </c>
      <c r="R570" s="387">
        <v>68</v>
      </c>
      <c r="S570" s="1174">
        <f>Locations[[#This Row],[Ind_Returnees]]+Locations[[#This Row],[Ind_Refugees]]+Locations[[#This Row],[Ind_IDPs]]</f>
        <v>553</v>
      </c>
    </row>
    <row r="571" spans="1:19" s="388" customFormat="1" x14ac:dyDescent="0.3">
      <c r="A571" s="5" t="s">
        <v>533</v>
      </c>
      <c r="B571" s="1430" t="s">
        <v>3449</v>
      </c>
      <c r="C571" s="1090" t="s">
        <v>534</v>
      </c>
      <c r="D571" s="5" t="s">
        <v>31</v>
      </c>
      <c r="E571" s="5" t="s">
        <v>31</v>
      </c>
      <c r="F571" s="5" t="s">
        <v>549</v>
      </c>
      <c r="G571" s="5" t="s">
        <v>165</v>
      </c>
      <c r="H571" s="5" t="s">
        <v>165</v>
      </c>
      <c r="I571" s="5" t="s">
        <v>881</v>
      </c>
      <c r="J571" t="s">
        <v>2026</v>
      </c>
      <c r="K571" s="5" t="s">
        <v>1294</v>
      </c>
      <c r="L571" s="5"/>
      <c r="M571" s="387">
        <v>743</v>
      </c>
      <c r="N571" s="387">
        <v>3499</v>
      </c>
      <c r="O571" s="387">
        <v>0</v>
      </c>
      <c r="P571" s="387">
        <v>0</v>
      </c>
      <c r="Q571" s="387">
        <v>0</v>
      </c>
      <c r="R571" s="387">
        <v>0</v>
      </c>
      <c r="S571" s="1174">
        <f>Locations[[#This Row],[Ind_Returnees]]+Locations[[#This Row],[Ind_Refugees]]+Locations[[#This Row],[Ind_IDPs]]</f>
        <v>3499</v>
      </c>
    </row>
    <row r="572" spans="1:19" s="388" customFormat="1" x14ac:dyDescent="0.3">
      <c r="A572" s="5" t="s">
        <v>533</v>
      </c>
      <c r="B572" s="1430" t="s">
        <v>3449</v>
      </c>
      <c r="C572" s="398" t="s">
        <v>534</v>
      </c>
      <c r="D572" s="5" t="s">
        <v>31</v>
      </c>
      <c r="E572" s="5" t="s">
        <v>31</v>
      </c>
      <c r="F572" s="5" t="s">
        <v>549</v>
      </c>
      <c r="G572" s="5" t="s">
        <v>171</v>
      </c>
      <c r="H572" s="5" t="s">
        <v>171</v>
      </c>
      <c r="I572" s="5" t="s">
        <v>634</v>
      </c>
      <c r="J572" t="s">
        <v>1272</v>
      </c>
      <c r="K572" s="5" t="s">
        <v>1294</v>
      </c>
      <c r="L572" s="5"/>
      <c r="M572" s="387">
        <v>6</v>
      </c>
      <c r="N572" s="387">
        <v>23</v>
      </c>
      <c r="O572" s="387">
        <v>0</v>
      </c>
      <c r="P572" s="387">
        <v>0</v>
      </c>
      <c r="Q572" s="387">
        <v>0</v>
      </c>
      <c r="R572" s="387">
        <v>0</v>
      </c>
      <c r="S572" s="1174">
        <f>Locations[[#This Row],[Ind_Returnees]]+Locations[[#This Row],[Ind_Refugees]]+Locations[[#This Row],[Ind_IDPs]]</f>
        <v>23</v>
      </c>
    </row>
    <row r="573" spans="1:19" s="388" customFormat="1" x14ac:dyDescent="0.3">
      <c r="A573" s="5" t="s">
        <v>533</v>
      </c>
      <c r="B573" s="1430" t="s">
        <v>3449</v>
      </c>
      <c r="C573" s="398" t="s">
        <v>534</v>
      </c>
      <c r="D573" s="5" t="s">
        <v>31</v>
      </c>
      <c r="E573" s="5" t="s">
        <v>31</v>
      </c>
      <c r="F573" s="5" t="s">
        <v>549</v>
      </c>
      <c r="G573" s="5" t="s">
        <v>171</v>
      </c>
      <c r="H573" s="5" t="s">
        <v>171</v>
      </c>
      <c r="I573" s="5" t="s">
        <v>634</v>
      </c>
      <c r="J573" t="s">
        <v>2020</v>
      </c>
      <c r="K573" s="5" t="s">
        <v>1919</v>
      </c>
      <c r="L573" s="5"/>
      <c r="M573" s="387">
        <v>5</v>
      </c>
      <c r="N573" s="387">
        <v>32</v>
      </c>
      <c r="O573" s="387">
        <v>0</v>
      </c>
      <c r="P573" s="387">
        <v>0</v>
      </c>
      <c r="Q573" s="387">
        <v>0</v>
      </c>
      <c r="R573" s="387">
        <v>0</v>
      </c>
      <c r="S573" s="1174">
        <f>Locations[[#This Row],[Ind_Returnees]]+Locations[[#This Row],[Ind_Refugees]]+Locations[[#This Row],[Ind_IDPs]]</f>
        <v>32</v>
      </c>
    </row>
    <row r="574" spans="1:19" s="388" customFormat="1" x14ac:dyDescent="0.3">
      <c r="A574" s="5" t="s">
        <v>533</v>
      </c>
      <c r="B574" s="1430" t="s">
        <v>3449</v>
      </c>
      <c r="C574" s="398" t="s">
        <v>534</v>
      </c>
      <c r="D574" s="5" t="s">
        <v>32</v>
      </c>
      <c r="E574" s="5" t="s">
        <v>32</v>
      </c>
      <c r="F574" s="5" t="s">
        <v>542</v>
      </c>
      <c r="G574" s="5" t="s">
        <v>177</v>
      </c>
      <c r="H574" s="5" t="s">
        <v>177</v>
      </c>
      <c r="I574" s="5" t="s">
        <v>777</v>
      </c>
      <c r="J574" t="s">
        <v>1695</v>
      </c>
      <c r="K574" s="5" t="s">
        <v>1259</v>
      </c>
      <c r="L574" s="5"/>
      <c r="M574" s="387">
        <v>56</v>
      </c>
      <c r="N574" s="387">
        <v>380</v>
      </c>
      <c r="O574" s="387">
        <v>0</v>
      </c>
      <c r="P574" s="387">
        <v>0</v>
      </c>
      <c r="Q574" s="387">
        <v>62</v>
      </c>
      <c r="R574" s="387">
        <v>646</v>
      </c>
      <c r="S574" s="1174">
        <f>Locations[[#This Row],[Ind_Returnees]]+Locations[[#This Row],[Ind_Refugees]]+Locations[[#This Row],[Ind_IDPs]]</f>
        <v>1026</v>
      </c>
    </row>
    <row r="575" spans="1:19" s="388" customFormat="1" x14ac:dyDescent="0.3">
      <c r="A575" s="5" t="s">
        <v>533</v>
      </c>
      <c r="B575" s="1430" t="s">
        <v>3449</v>
      </c>
      <c r="C575" s="398" t="s">
        <v>534</v>
      </c>
      <c r="D575" s="5" t="s">
        <v>31</v>
      </c>
      <c r="E575" s="5" t="s">
        <v>31</v>
      </c>
      <c r="F575" s="5" t="s">
        <v>549</v>
      </c>
      <c r="G575" s="5" t="s">
        <v>169</v>
      </c>
      <c r="H575" s="5" t="s">
        <v>169</v>
      </c>
      <c r="I575" s="5" t="s">
        <v>673</v>
      </c>
      <c r="J575" t="s">
        <v>2909</v>
      </c>
      <c r="K575" s="5" t="s">
        <v>826</v>
      </c>
      <c r="L575" s="5"/>
      <c r="M575" s="387">
        <v>25</v>
      </c>
      <c r="N575" s="387">
        <v>135</v>
      </c>
      <c r="O575" s="387">
        <v>0</v>
      </c>
      <c r="P575" s="387">
        <v>0</v>
      </c>
      <c r="Q575" s="387">
        <v>0</v>
      </c>
      <c r="R575" s="387">
        <v>0</v>
      </c>
      <c r="S575" s="1174">
        <f>Locations[[#This Row],[Ind_Returnees]]+Locations[[#This Row],[Ind_Refugees]]+Locations[[#This Row],[Ind_IDPs]]</f>
        <v>135</v>
      </c>
    </row>
    <row r="576" spans="1:19" s="388" customFormat="1" x14ac:dyDescent="0.3">
      <c r="A576" s="5" t="s">
        <v>533</v>
      </c>
      <c r="B576" s="1430" t="s">
        <v>3449</v>
      </c>
      <c r="C576" s="1090" t="s">
        <v>534</v>
      </c>
      <c r="D576" s="5" t="s">
        <v>33</v>
      </c>
      <c r="E576" s="5" t="s">
        <v>33</v>
      </c>
      <c r="F576" s="5" t="s">
        <v>561</v>
      </c>
      <c r="G576" s="5" t="s">
        <v>183</v>
      </c>
      <c r="H576" s="5" t="s">
        <v>183</v>
      </c>
      <c r="I576" s="5" t="s">
        <v>562</v>
      </c>
      <c r="J576" t="s">
        <v>2196</v>
      </c>
      <c r="K576" s="5" t="s">
        <v>2197</v>
      </c>
      <c r="L576" s="5"/>
      <c r="M576" s="387">
        <v>40</v>
      </c>
      <c r="N576" s="387">
        <v>98</v>
      </c>
      <c r="O576" s="387">
        <v>0</v>
      </c>
      <c r="P576" s="387">
        <v>0</v>
      </c>
      <c r="Q576" s="387">
        <v>0</v>
      </c>
      <c r="R576" s="387">
        <v>0</v>
      </c>
      <c r="S576" s="1174">
        <f>Locations[[#This Row],[Ind_Returnees]]+Locations[[#This Row],[Ind_Refugees]]+Locations[[#This Row],[Ind_IDPs]]</f>
        <v>98</v>
      </c>
    </row>
    <row r="577" spans="1:19" s="388" customFormat="1" x14ac:dyDescent="0.3">
      <c r="A577" s="5" t="s">
        <v>533</v>
      </c>
      <c r="B577" s="1430" t="s">
        <v>3449</v>
      </c>
      <c r="C577" s="1090" t="s">
        <v>534</v>
      </c>
      <c r="D577" s="5" t="s">
        <v>31</v>
      </c>
      <c r="E577" s="5" t="s">
        <v>31</v>
      </c>
      <c r="F577" s="5" t="s">
        <v>549</v>
      </c>
      <c r="G577" s="5" t="s">
        <v>171</v>
      </c>
      <c r="H577" s="5" t="s">
        <v>171</v>
      </c>
      <c r="I577" s="5" t="s">
        <v>634</v>
      </c>
      <c r="J577" t="s">
        <v>2598</v>
      </c>
      <c r="K577" s="5" t="s">
        <v>1049</v>
      </c>
      <c r="L577" s="5"/>
      <c r="M577" s="387">
        <v>27</v>
      </c>
      <c r="N577" s="387">
        <v>245</v>
      </c>
      <c r="O577" s="387">
        <v>0</v>
      </c>
      <c r="P577" s="387">
        <v>0</v>
      </c>
      <c r="Q577" s="387">
        <v>0</v>
      </c>
      <c r="R577" s="387">
        <v>0</v>
      </c>
      <c r="S577" s="1174">
        <f>Locations[[#This Row],[Ind_Returnees]]+Locations[[#This Row],[Ind_Refugees]]+Locations[[#This Row],[Ind_IDPs]]</f>
        <v>245</v>
      </c>
    </row>
    <row r="578" spans="1:19" s="388" customFormat="1" x14ac:dyDescent="0.3">
      <c r="A578" s="5" t="s">
        <v>533</v>
      </c>
      <c r="B578" s="1430" t="s">
        <v>3449</v>
      </c>
      <c r="C578" s="1090" t="s">
        <v>534</v>
      </c>
      <c r="D578" s="5" t="s">
        <v>31</v>
      </c>
      <c r="E578" s="5" t="s">
        <v>31</v>
      </c>
      <c r="F578" s="5" t="s">
        <v>549</v>
      </c>
      <c r="G578" s="5" t="s">
        <v>165</v>
      </c>
      <c r="H578" s="5" t="s">
        <v>165</v>
      </c>
      <c r="I578" s="5" t="s">
        <v>881</v>
      </c>
      <c r="J578" t="s">
        <v>1293</v>
      </c>
      <c r="K578" s="5" t="s">
        <v>2029</v>
      </c>
      <c r="L578" s="5"/>
      <c r="M578" s="387">
        <v>0</v>
      </c>
      <c r="N578" s="387">
        <v>0</v>
      </c>
      <c r="O578" s="387">
        <v>0</v>
      </c>
      <c r="P578" s="387">
        <v>0</v>
      </c>
      <c r="Q578" s="387">
        <v>25</v>
      </c>
      <c r="R578" s="387">
        <v>70</v>
      </c>
      <c r="S578" s="1174">
        <f>Locations[[#This Row],[Ind_Returnees]]+Locations[[#This Row],[Ind_Refugees]]+Locations[[#This Row],[Ind_IDPs]]</f>
        <v>70</v>
      </c>
    </row>
    <row r="579" spans="1:19" s="388" customFormat="1" x14ac:dyDescent="0.3">
      <c r="A579" s="5" t="s">
        <v>533</v>
      </c>
      <c r="B579" s="1430" t="s">
        <v>3449</v>
      </c>
      <c r="C579" s="1090" t="s">
        <v>534</v>
      </c>
      <c r="D579" s="5" t="s">
        <v>31</v>
      </c>
      <c r="E579" s="5" t="s">
        <v>31</v>
      </c>
      <c r="F579" s="5" t="s">
        <v>549</v>
      </c>
      <c r="G579" s="5" t="s">
        <v>165</v>
      </c>
      <c r="H579" s="5" t="s">
        <v>165</v>
      </c>
      <c r="I579" s="5" t="s">
        <v>881</v>
      </c>
      <c r="J579" t="s">
        <v>2488</v>
      </c>
      <c r="K579" s="5" t="s">
        <v>1849</v>
      </c>
      <c r="L579" s="5"/>
      <c r="M579" s="387">
        <v>0</v>
      </c>
      <c r="N579" s="387">
        <v>0</v>
      </c>
      <c r="O579" s="387">
        <v>0</v>
      </c>
      <c r="P579" s="387">
        <v>0</v>
      </c>
      <c r="Q579" s="387">
        <v>0</v>
      </c>
      <c r="R579" s="387">
        <v>0</v>
      </c>
      <c r="S579" s="1174">
        <f>Locations[[#This Row],[Ind_Returnees]]+Locations[[#This Row],[Ind_Refugees]]+Locations[[#This Row],[Ind_IDPs]]</f>
        <v>0</v>
      </c>
    </row>
    <row r="580" spans="1:19" s="388" customFormat="1" x14ac:dyDescent="0.3">
      <c r="A580" s="5" t="s">
        <v>533</v>
      </c>
      <c r="B580" s="1430" t="s">
        <v>3449</v>
      </c>
      <c r="C580" s="398" t="s">
        <v>534</v>
      </c>
      <c r="D580" s="5" t="s">
        <v>30</v>
      </c>
      <c r="E580" s="5" t="s">
        <v>3522</v>
      </c>
      <c r="F580" s="5" t="s">
        <v>535</v>
      </c>
      <c r="G580" s="5" t="s">
        <v>158</v>
      </c>
      <c r="H580" s="5" t="s">
        <v>158</v>
      </c>
      <c r="I580" s="5" t="s">
        <v>571</v>
      </c>
      <c r="J580" t="s">
        <v>600</v>
      </c>
      <c r="K580" s="5" t="s">
        <v>601</v>
      </c>
      <c r="L580" s="5"/>
      <c r="M580" s="387">
        <v>23</v>
      </c>
      <c r="N580" s="387">
        <v>151</v>
      </c>
      <c r="O580" s="387">
        <v>0</v>
      </c>
      <c r="P580" s="387">
        <v>0</v>
      </c>
      <c r="Q580" s="387">
        <v>0</v>
      </c>
      <c r="R580" s="387">
        <v>0</v>
      </c>
      <c r="S580" s="1174">
        <f>Locations[[#This Row],[Ind_Returnees]]+Locations[[#This Row],[Ind_Refugees]]+Locations[[#This Row],[Ind_IDPs]]</f>
        <v>151</v>
      </c>
    </row>
    <row r="581" spans="1:19" s="388" customFormat="1" x14ac:dyDescent="0.3">
      <c r="A581" s="5" t="s">
        <v>533</v>
      </c>
      <c r="B581" s="1430" t="s">
        <v>3449</v>
      </c>
      <c r="C581" s="1090" t="s">
        <v>534</v>
      </c>
      <c r="D581" s="5" t="s">
        <v>31</v>
      </c>
      <c r="E581" s="5" t="s">
        <v>31</v>
      </c>
      <c r="F581" s="5" t="s">
        <v>549</v>
      </c>
      <c r="G581" s="5" t="s">
        <v>170</v>
      </c>
      <c r="H581" s="5" t="s">
        <v>170</v>
      </c>
      <c r="I581" s="5" t="s">
        <v>866</v>
      </c>
      <c r="J581" t="s">
        <v>2097</v>
      </c>
      <c r="K581" s="5" t="s">
        <v>1557</v>
      </c>
      <c r="L581" s="5"/>
      <c r="M581" s="387">
        <v>4</v>
      </c>
      <c r="N581" s="387">
        <v>25</v>
      </c>
      <c r="O581" s="387">
        <v>87</v>
      </c>
      <c r="P581" s="387">
        <v>420</v>
      </c>
      <c r="Q581" s="387">
        <v>60</v>
      </c>
      <c r="R581" s="387">
        <v>400</v>
      </c>
      <c r="S581" s="1174">
        <f>Locations[[#This Row],[Ind_Returnees]]+Locations[[#This Row],[Ind_Refugees]]+Locations[[#This Row],[Ind_IDPs]]</f>
        <v>845</v>
      </c>
    </row>
    <row r="582" spans="1:19" s="388" customFormat="1" x14ac:dyDescent="0.3">
      <c r="A582" s="5" t="s">
        <v>533</v>
      </c>
      <c r="B582" s="1430" t="s">
        <v>3449</v>
      </c>
      <c r="C582" s="398" t="s">
        <v>534</v>
      </c>
      <c r="D582" s="5" t="s">
        <v>31</v>
      </c>
      <c r="E582" s="5" t="s">
        <v>31</v>
      </c>
      <c r="F582" s="5" t="s">
        <v>549</v>
      </c>
      <c r="G582" s="5" t="s">
        <v>170</v>
      </c>
      <c r="H582" s="5" t="s">
        <v>170</v>
      </c>
      <c r="I582" s="5" t="s">
        <v>866</v>
      </c>
      <c r="J582" t="s">
        <v>1955</v>
      </c>
      <c r="K582" s="5" t="s">
        <v>1577</v>
      </c>
      <c r="L582" s="5"/>
      <c r="M582" s="387">
        <v>11</v>
      </c>
      <c r="N582" s="387">
        <v>80</v>
      </c>
      <c r="O582" s="387">
        <v>23</v>
      </c>
      <c r="P582" s="387">
        <v>200</v>
      </c>
      <c r="Q582" s="387">
        <v>60</v>
      </c>
      <c r="R582" s="387">
        <v>500</v>
      </c>
      <c r="S582" s="1174">
        <f>Locations[[#This Row],[Ind_Returnees]]+Locations[[#This Row],[Ind_Refugees]]+Locations[[#This Row],[Ind_IDPs]]</f>
        <v>780</v>
      </c>
    </row>
    <row r="583" spans="1:19" s="388" customFormat="1" x14ac:dyDescent="0.3">
      <c r="A583" s="5" t="s">
        <v>533</v>
      </c>
      <c r="B583" s="1430" t="s">
        <v>3449</v>
      </c>
      <c r="C583" s="1090" t="s">
        <v>534</v>
      </c>
      <c r="D583" s="5" t="s">
        <v>35</v>
      </c>
      <c r="E583" s="5" t="s">
        <v>35</v>
      </c>
      <c r="F583" s="5" t="s">
        <v>567</v>
      </c>
      <c r="G583" s="5" t="s">
        <v>192</v>
      </c>
      <c r="H583" s="5" t="s">
        <v>192</v>
      </c>
      <c r="I583" s="5" t="s">
        <v>853</v>
      </c>
      <c r="J583" t="s">
        <v>1170</v>
      </c>
      <c r="K583" s="5" t="s">
        <v>1315</v>
      </c>
      <c r="L583" s="5"/>
      <c r="M583" s="387">
        <v>26</v>
      </c>
      <c r="N583" s="387">
        <v>146</v>
      </c>
      <c r="O583" s="387">
        <v>0</v>
      </c>
      <c r="P583" s="387">
        <v>0</v>
      </c>
      <c r="Q583" s="387">
        <v>0</v>
      </c>
      <c r="R583" s="387">
        <v>0</v>
      </c>
      <c r="S583" s="1174">
        <f>Locations[[#This Row],[Ind_Returnees]]+Locations[[#This Row],[Ind_Refugees]]+Locations[[#This Row],[Ind_IDPs]]</f>
        <v>146</v>
      </c>
    </row>
    <row r="584" spans="1:19" s="388" customFormat="1" x14ac:dyDescent="0.3">
      <c r="A584" s="5" t="s">
        <v>533</v>
      </c>
      <c r="B584" s="1430" t="s">
        <v>3449</v>
      </c>
      <c r="C584" s="1090" t="s">
        <v>534</v>
      </c>
      <c r="D584" s="5" t="s">
        <v>35</v>
      </c>
      <c r="E584" s="5" t="s">
        <v>35</v>
      </c>
      <c r="F584" s="5" t="s">
        <v>567</v>
      </c>
      <c r="G584" s="5" t="s">
        <v>192</v>
      </c>
      <c r="H584" s="5" t="s">
        <v>192</v>
      </c>
      <c r="I584" s="5" t="s">
        <v>853</v>
      </c>
      <c r="J584" t="s">
        <v>945</v>
      </c>
      <c r="K584" s="5" t="s">
        <v>1005</v>
      </c>
      <c r="L584" s="5"/>
      <c r="M584" s="387">
        <v>161</v>
      </c>
      <c r="N584" s="387">
        <v>928</v>
      </c>
      <c r="O584" s="387">
        <v>0</v>
      </c>
      <c r="P584" s="387">
        <v>0</v>
      </c>
      <c r="Q584" s="387">
        <v>9</v>
      </c>
      <c r="R584" s="387">
        <v>24</v>
      </c>
      <c r="S584" s="1174">
        <f>Locations[[#This Row],[Ind_Returnees]]+Locations[[#This Row],[Ind_Refugees]]+Locations[[#This Row],[Ind_IDPs]]</f>
        <v>952</v>
      </c>
    </row>
    <row r="585" spans="1:19" s="388" customFormat="1" x14ac:dyDescent="0.3">
      <c r="A585" s="5" t="s">
        <v>533</v>
      </c>
      <c r="B585" s="1430" t="s">
        <v>3449</v>
      </c>
      <c r="C585" s="1090" t="s">
        <v>534</v>
      </c>
      <c r="D585" s="5" t="s">
        <v>35</v>
      </c>
      <c r="E585" s="5" t="s">
        <v>35</v>
      </c>
      <c r="F585" s="5" t="s">
        <v>567</v>
      </c>
      <c r="G585" s="5" t="s">
        <v>193</v>
      </c>
      <c r="H585" s="5" t="s">
        <v>3983</v>
      </c>
      <c r="I585" s="5" t="s">
        <v>863</v>
      </c>
      <c r="J585" t="s">
        <v>1600</v>
      </c>
      <c r="K585" s="5" t="s">
        <v>1601</v>
      </c>
      <c r="L585" s="5"/>
      <c r="M585" s="387">
        <v>60</v>
      </c>
      <c r="N585" s="387">
        <v>286</v>
      </c>
      <c r="O585" s="387">
        <v>5</v>
      </c>
      <c r="P585" s="387">
        <v>63</v>
      </c>
      <c r="Q585" s="387">
        <v>27</v>
      </c>
      <c r="R585" s="387">
        <v>123</v>
      </c>
      <c r="S585" s="1174">
        <f>Locations[[#This Row],[Ind_Returnees]]+Locations[[#This Row],[Ind_Refugees]]+Locations[[#This Row],[Ind_IDPs]]</f>
        <v>472</v>
      </c>
    </row>
    <row r="586" spans="1:19" s="388" customFormat="1" x14ac:dyDescent="0.3">
      <c r="A586" s="5" t="s">
        <v>533</v>
      </c>
      <c r="B586" s="1430" t="s">
        <v>3449</v>
      </c>
      <c r="C586" s="398" t="s">
        <v>534</v>
      </c>
      <c r="D586" s="5" t="s">
        <v>32</v>
      </c>
      <c r="E586" s="5" t="s">
        <v>32</v>
      </c>
      <c r="F586" s="5" t="s">
        <v>542</v>
      </c>
      <c r="G586" s="5" t="s">
        <v>176</v>
      </c>
      <c r="H586" s="5" t="s">
        <v>176</v>
      </c>
      <c r="I586" s="5" t="s">
        <v>772</v>
      </c>
      <c r="J586" t="s">
        <v>2299</v>
      </c>
      <c r="K586" s="5" t="s">
        <v>2300</v>
      </c>
      <c r="L586" s="5"/>
      <c r="M586" s="387">
        <v>0</v>
      </c>
      <c r="N586" s="387">
        <v>0</v>
      </c>
      <c r="O586" s="387">
        <v>0</v>
      </c>
      <c r="P586" s="387">
        <v>0</v>
      </c>
      <c r="Q586" s="387">
        <v>33</v>
      </c>
      <c r="R586" s="387">
        <v>257</v>
      </c>
      <c r="S586" s="1174">
        <f>Locations[[#This Row],[Ind_Returnees]]+Locations[[#This Row],[Ind_Refugees]]+Locations[[#This Row],[Ind_IDPs]]</f>
        <v>257</v>
      </c>
    </row>
    <row r="587" spans="1:19" s="388" customFormat="1" x14ac:dyDescent="0.3">
      <c r="A587" s="5" t="s">
        <v>533</v>
      </c>
      <c r="B587" s="1430" t="s">
        <v>3449</v>
      </c>
      <c r="C587" s="398" t="s">
        <v>534</v>
      </c>
      <c r="D587" s="5" t="s">
        <v>33</v>
      </c>
      <c r="E587" s="5" t="s">
        <v>33</v>
      </c>
      <c r="F587" s="5" t="s">
        <v>561</v>
      </c>
      <c r="G587" s="5" t="s">
        <v>183</v>
      </c>
      <c r="H587" s="5" t="s">
        <v>183</v>
      </c>
      <c r="I587" s="5" t="s">
        <v>562</v>
      </c>
      <c r="J587" t="s">
        <v>624</v>
      </c>
      <c r="K587" s="5" t="s">
        <v>625</v>
      </c>
      <c r="L587" s="5"/>
      <c r="M587" s="387">
        <v>15</v>
      </c>
      <c r="N587" s="387">
        <v>129</v>
      </c>
      <c r="O587" s="387">
        <v>1</v>
      </c>
      <c r="P587" s="387">
        <v>12</v>
      </c>
      <c r="Q587" s="387">
        <v>0</v>
      </c>
      <c r="R587" s="387">
        <v>0</v>
      </c>
      <c r="S587" s="1174">
        <f>Locations[[#This Row],[Ind_Returnees]]+Locations[[#This Row],[Ind_Refugees]]+Locations[[#This Row],[Ind_IDPs]]</f>
        <v>141</v>
      </c>
    </row>
    <row r="588" spans="1:19" s="388" customFormat="1" x14ac:dyDescent="0.3">
      <c r="A588" s="5" t="s">
        <v>533</v>
      </c>
      <c r="B588" s="1430" t="s">
        <v>3449</v>
      </c>
      <c r="C588" s="398" t="s">
        <v>534</v>
      </c>
      <c r="D588" s="5" t="s">
        <v>34</v>
      </c>
      <c r="E588" s="5" t="s">
        <v>34</v>
      </c>
      <c r="F588" s="5" t="s">
        <v>539</v>
      </c>
      <c r="G588" s="5" t="s">
        <v>187</v>
      </c>
      <c r="H588" s="5" t="s">
        <v>187</v>
      </c>
      <c r="I588" s="5" t="s">
        <v>951</v>
      </c>
      <c r="J588" t="s">
        <v>2546</v>
      </c>
      <c r="K588" s="5" t="s">
        <v>1594</v>
      </c>
      <c r="L588" s="5"/>
      <c r="M588" s="387">
        <v>803</v>
      </c>
      <c r="N588" s="387">
        <v>6046</v>
      </c>
      <c r="O588" s="387">
        <v>0</v>
      </c>
      <c r="P588" s="387">
        <v>0</v>
      </c>
      <c r="Q588" s="387">
        <v>0</v>
      </c>
      <c r="R588" s="387">
        <v>0</v>
      </c>
      <c r="S588" s="1174">
        <f>Locations[[#This Row],[Ind_Returnees]]+Locations[[#This Row],[Ind_Refugees]]+Locations[[#This Row],[Ind_IDPs]]</f>
        <v>6046</v>
      </c>
    </row>
    <row r="589" spans="1:19" s="388" customFormat="1" x14ac:dyDescent="0.3">
      <c r="A589" s="5" t="s">
        <v>533</v>
      </c>
      <c r="B589" s="1430" t="s">
        <v>3449</v>
      </c>
      <c r="C589" s="398" t="s">
        <v>534</v>
      </c>
      <c r="D589" s="5" t="s">
        <v>31</v>
      </c>
      <c r="E589" s="5" t="s">
        <v>31</v>
      </c>
      <c r="F589" s="5" t="s">
        <v>549</v>
      </c>
      <c r="G589" s="5" t="s">
        <v>171</v>
      </c>
      <c r="H589" s="5" t="s">
        <v>171</v>
      </c>
      <c r="I589" s="5" t="s">
        <v>634</v>
      </c>
      <c r="J589" t="s">
        <v>2087</v>
      </c>
      <c r="K589" s="5" t="s">
        <v>1746</v>
      </c>
      <c r="L589" s="5"/>
      <c r="M589" s="387">
        <v>21</v>
      </c>
      <c r="N589" s="387">
        <v>175</v>
      </c>
      <c r="O589" s="387">
        <v>15</v>
      </c>
      <c r="P589" s="387">
        <v>139</v>
      </c>
      <c r="Q589" s="387">
        <v>0</v>
      </c>
      <c r="R589" s="387">
        <v>0</v>
      </c>
      <c r="S589" s="1174">
        <f>Locations[[#This Row],[Ind_Returnees]]+Locations[[#This Row],[Ind_Refugees]]+Locations[[#This Row],[Ind_IDPs]]</f>
        <v>314</v>
      </c>
    </row>
    <row r="590" spans="1:19" s="388" customFormat="1" x14ac:dyDescent="0.3">
      <c r="A590" s="5" t="s">
        <v>533</v>
      </c>
      <c r="B590" s="1430" t="s">
        <v>3449</v>
      </c>
      <c r="C590" s="1090" t="s">
        <v>534</v>
      </c>
      <c r="D590" s="5" t="s">
        <v>34</v>
      </c>
      <c r="E590" s="5" t="s">
        <v>34</v>
      </c>
      <c r="F590" s="5" t="s">
        <v>539</v>
      </c>
      <c r="G590" s="5" t="s">
        <v>188</v>
      </c>
      <c r="H590" s="5" t="s">
        <v>188</v>
      </c>
      <c r="I590" s="5" t="s">
        <v>546</v>
      </c>
      <c r="J590" t="s">
        <v>2911</v>
      </c>
      <c r="K590" s="5" t="s">
        <v>1267</v>
      </c>
      <c r="L590" s="5"/>
      <c r="M590" s="387">
        <v>3</v>
      </c>
      <c r="N590" s="387">
        <v>31</v>
      </c>
      <c r="O590" s="387">
        <v>30</v>
      </c>
      <c r="P590" s="387">
        <v>150</v>
      </c>
      <c r="Q590" s="387">
        <v>5</v>
      </c>
      <c r="R590" s="387">
        <v>35</v>
      </c>
      <c r="S590" s="1174">
        <f>Locations[[#This Row],[Ind_Returnees]]+Locations[[#This Row],[Ind_Refugees]]+Locations[[#This Row],[Ind_IDPs]]</f>
        <v>216</v>
      </c>
    </row>
    <row r="591" spans="1:19" s="388" customFormat="1" x14ac:dyDescent="0.3">
      <c r="A591" s="5" t="s">
        <v>533</v>
      </c>
      <c r="B591" s="1430" t="s">
        <v>3449</v>
      </c>
      <c r="C591" s="1090" t="s">
        <v>534</v>
      </c>
      <c r="D591" s="5" t="s">
        <v>31</v>
      </c>
      <c r="E591" s="5" t="s">
        <v>31</v>
      </c>
      <c r="F591" s="5" t="s">
        <v>549</v>
      </c>
      <c r="G591" s="5" t="s">
        <v>171</v>
      </c>
      <c r="H591" s="5" t="s">
        <v>171</v>
      </c>
      <c r="I591" s="5" t="s">
        <v>634</v>
      </c>
      <c r="J591" t="s">
        <v>1916</v>
      </c>
      <c r="K591" s="5" t="s">
        <v>1744</v>
      </c>
      <c r="L591" s="5"/>
      <c r="M591" s="387">
        <v>165</v>
      </c>
      <c r="N591" s="387">
        <v>1229</v>
      </c>
      <c r="O591" s="387">
        <v>49</v>
      </c>
      <c r="P591" s="387">
        <v>341</v>
      </c>
      <c r="Q591" s="387">
        <v>0</v>
      </c>
      <c r="R591" s="387">
        <v>0</v>
      </c>
      <c r="S591" s="1174">
        <f>Locations[[#This Row],[Ind_Returnees]]+Locations[[#This Row],[Ind_Refugees]]+Locations[[#This Row],[Ind_IDPs]]</f>
        <v>1570</v>
      </c>
    </row>
    <row r="592" spans="1:19" s="388" customFormat="1" x14ac:dyDescent="0.3">
      <c r="A592" s="5" t="s">
        <v>533</v>
      </c>
      <c r="B592" s="1430" t="s">
        <v>3449</v>
      </c>
      <c r="C592" s="1090" t="s">
        <v>534</v>
      </c>
      <c r="D592" s="5" t="s">
        <v>31</v>
      </c>
      <c r="E592" s="5" t="s">
        <v>31</v>
      </c>
      <c r="F592" s="5" t="s">
        <v>549</v>
      </c>
      <c r="G592" s="5" t="s">
        <v>169</v>
      </c>
      <c r="H592" s="5" t="s">
        <v>169</v>
      </c>
      <c r="I592" s="5" t="s">
        <v>673</v>
      </c>
      <c r="J592" t="s">
        <v>2912</v>
      </c>
      <c r="K592" s="5" t="s">
        <v>2277</v>
      </c>
      <c r="L592" s="5"/>
      <c r="M592" s="387">
        <v>0</v>
      </c>
      <c r="N592" s="387">
        <v>0</v>
      </c>
      <c r="O592" s="387">
        <v>0</v>
      </c>
      <c r="P592" s="387">
        <v>0</v>
      </c>
      <c r="Q592" s="387">
        <v>500</v>
      </c>
      <c r="R592" s="387">
        <v>3500</v>
      </c>
      <c r="S592" s="1174">
        <f>Locations[[#This Row],[Ind_Returnees]]+Locations[[#This Row],[Ind_Refugees]]+Locations[[#This Row],[Ind_IDPs]]</f>
        <v>3500</v>
      </c>
    </row>
    <row r="593" spans="1:19" s="388" customFormat="1" x14ac:dyDescent="0.3">
      <c r="A593" s="5" t="s">
        <v>533</v>
      </c>
      <c r="B593" s="1430" t="s">
        <v>3449</v>
      </c>
      <c r="C593" s="1090" t="s">
        <v>534</v>
      </c>
      <c r="D593" s="5" t="s">
        <v>35</v>
      </c>
      <c r="E593" s="5" t="s">
        <v>35</v>
      </c>
      <c r="F593" s="5" t="s">
        <v>567</v>
      </c>
      <c r="G593" s="5" t="s">
        <v>194</v>
      </c>
      <c r="H593" s="5" t="s">
        <v>194</v>
      </c>
      <c r="I593" s="5" t="s">
        <v>2150</v>
      </c>
      <c r="J593" t="s">
        <v>2198</v>
      </c>
      <c r="K593" s="5" t="s">
        <v>2199</v>
      </c>
      <c r="L593" s="5"/>
      <c r="M593" s="387">
        <v>0</v>
      </c>
      <c r="N593" s="387">
        <v>0</v>
      </c>
      <c r="O593" s="387">
        <v>5</v>
      </c>
      <c r="P593" s="387">
        <v>28</v>
      </c>
      <c r="Q593" s="387">
        <v>12</v>
      </c>
      <c r="R593" s="387">
        <v>56</v>
      </c>
      <c r="S593" s="1174">
        <f>Locations[[#This Row],[Ind_Returnees]]+Locations[[#This Row],[Ind_Refugees]]+Locations[[#This Row],[Ind_IDPs]]</f>
        <v>84</v>
      </c>
    </row>
    <row r="594" spans="1:19" s="388" customFormat="1" x14ac:dyDescent="0.3">
      <c r="A594" s="5" t="s">
        <v>533</v>
      </c>
      <c r="B594" s="1430" t="s">
        <v>3449</v>
      </c>
      <c r="C594" s="398" t="s">
        <v>534</v>
      </c>
      <c r="D594" s="5" t="s">
        <v>35</v>
      </c>
      <c r="E594" s="5" t="s">
        <v>35</v>
      </c>
      <c r="F594" s="5" t="s">
        <v>567</v>
      </c>
      <c r="G594" s="5" t="s">
        <v>192</v>
      </c>
      <c r="H594" s="5" t="s">
        <v>192</v>
      </c>
      <c r="I594" s="5" t="s">
        <v>853</v>
      </c>
      <c r="J594" t="s">
        <v>1004</v>
      </c>
      <c r="K594" s="5" t="s">
        <v>903</v>
      </c>
      <c r="L594" s="5"/>
      <c r="M594" s="387">
        <v>77</v>
      </c>
      <c r="N594" s="387">
        <v>565</v>
      </c>
      <c r="O594" s="387">
        <v>0</v>
      </c>
      <c r="P594" s="387">
        <v>0</v>
      </c>
      <c r="Q594" s="387">
        <v>12</v>
      </c>
      <c r="R594" s="387">
        <v>60</v>
      </c>
      <c r="S594" s="1174">
        <f>Locations[[#This Row],[Ind_Returnees]]+Locations[[#This Row],[Ind_Refugees]]+Locations[[#This Row],[Ind_IDPs]]</f>
        <v>625</v>
      </c>
    </row>
    <row r="595" spans="1:19" s="388" customFormat="1" x14ac:dyDescent="0.3">
      <c r="A595" s="5" t="s">
        <v>533</v>
      </c>
      <c r="B595" s="1430" t="s">
        <v>3449</v>
      </c>
      <c r="C595" s="1090" t="s">
        <v>534</v>
      </c>
      <c r="D595" s="5" t="s">
        <v>31</v>
      </c>
      <c r="E595" s="5" t="s">
        <v>31</v>
      </c>
      <c r="F595" s="5" t="s">
        <v>549</v>
      </c>
      <c r="G595" s="5" t="s">
        <v>164</v>
      </c>
      <c r="H595" s="5" t="s">
        <v>164</v>
      </c>
      <c r="I595" s="5" t="s">
        <v>748</v>
      </c>
      <c r="J595" t="s">
        <v>1881</v>
      </c>
      <c r="K595" s="5" t="s">
        <v>1882</v>
      </c>
      <c r="L595" s="5"/>
      <c r="M595" s="387">
        <v>16</v>
      </c>
      <c r="N595" s="387">
        <v>108</v>
      </c>
      <c r="O595" s="387">
        <v>0</v>
      </c>
      <c r="P595" s="387">
        <v>0</v>
      </c>
      <c r="Q595" s="387">
        <v>0</v>
      </c>
      <c r="R595" s="387">
        <v>0</v>
      </c>
      <c r="S595" s="1174">
        <f>Locations[[#This Row],[Ind_Returnees]]+Locations[[#This Row],[Ind_Refugees]]+Locations[[#This Row],[Ind_IDPs]]</f>
        <v>108</v>
      </c>
    </row>
    <row r="596" spans="1:19" s="388" customFormat="1" x14ac:dyDescent="0.3">
      <c r="A596" s="5" t="s">
        <v>533</v>
      </c>
      <c r="B596" s="1430" t="s">
        <v>3449</v>
      </c>
      <c r="C596" s="398" t="s">
        <v>534</v>
      </c>
      <c r="D596" s="5" t="s">
        <v>31</v>
      </c>
      <c r="E596" s="5" t="s">
        <v>31</v>
      </c>
      <c r="F596" s="5" t="s">
        <v>549</v>
      </c>
      <c r="G596" s="5" t="s">
        <v>171</v>
      </c>
      <c r="H596" s="5" t="s">
        <v>171</v>
      </c>
      <c r="I596" s="5" t="s">
        <v>634</v>
      </c>
      <c r="J596" t="s">
        <v>2913</v>
      </c>
      <c r="K596" s="5" t="s">
        <v>1824</v>
      </c>
      <c r="L596" s="5"/>
      <c r="M596" s="387">
        <v>0</v>
      </c>
      <c r="N596" s="387">
        <v>0</v>
      </c>
      <c r="O596" s="387">
        <v>0</v>
      </c>
      <c r="P596" s="387">
        <v>0</v>
      </c>
      <c r="Q596" s="387">
        <v>0</v>
      </c>
      <c r="R596" s="387">
        <v>0</v>
      </c>
      <c r="S596" s="1174">
        <f>Locations[[#This Row],[Ind_Returnees]]+Locations[[#This Row],[Ind_Refugees]]+Locations[[#This Row],[Ind_IDPs]]</f>
        <v>0</v>
      </c>
    </row>
    <row r="597" spans="1:19" s="388" customFormat="1" x14ac:dyDescent="0.3">
      <c r="A597" s="5" t="s">
        <v>533</v>
      </c>
      <c r="B597" s="1430" t="s">
        <v>3449</v>
      </c>
      <c r="C597" s="398" t="s">
        <v>534</v>
      </c>
      <c r="D597" s="5" t="s">
        <v>30</v>
      </c>
      <c r="E597" s="5" t="s">
        <v>3522</v>
      </c>
      <c r="F597" s="5" t="s">
        <v>535</v>
      </c>
      <c r="G597" s="5" t="s">
        <v>162</v>
      </c>
      <c r="H597" s="5" t="s">
        <v>3529</v>
      </c>
      <c r="I597" s="5" t="s">
        <v>536</v>
      </c>
      <c r="J597" t="s">
        <v>583</v>
      </c>
      <c r="K597" s="5" t="s">
        <v>584</v>
      </c>
      <c r="L597" s="5"/>
      <c r="M597" s="387">
        <v>22</v>
      </c>
      <c r="N597" s="387">
        <v>84</v>
      </c>
      <c r="O597" s="387">
        <v>1</v>
      </c>
      <c r="P597" s="387">
        <v>5</v>
      </c>
      <c r="Q597" s="387">
        <v>2</v>
      </c>
      <c r="R597" s="387">
        <v>7</v>
      </c>
      <c r="S597" s="1174">
        <f>Locations[[#This Row],[Ind_Returnees]]+Locations[[#This Row],[Ind_Refugees]]+Locations[[#This Row],[Ind_IDPs]]</f>
        <v>96</v>
      </c>
    </row>
    <row r="598" spans="1:19" s="388" customFormat="1" x14ac:dyDescent="0.3">
      <c r="A598" s="5" t="s">
        <v>533</v>
      </c>
      <c r="B598" s="1430" t="s">
        <v>3449</v>
      </c>
      <c r="C598" s="1090" t="s">
        <v>534</v>
      </c>
      <c r="D598" s="5" t="s">
        <v>31</v>
      </c>
      <c r="E598" s="5" t="s">
        <v>31</v>
      </c>
      <c r="F598" s="5" t="s">
        <v>549</v>
      </c>
      <c r="G598" s="5" t="s">
        <v>164</v>
      </c>
      <c r="H598" s="5" t="s">
        <v>164</v>
      </c>
      <c r="I598" s="5" t="s">
        <v>748</v>
      </c>
      <c r="J598" t="s">
        <v>1088</v>
      </c>
      <c r="K598" s="5" t="s">
        <v>1089</v>
      </c>
      <c r="L598" s="5"/>
      <c r="M598" s="387">
        <v>7</v>
      </c>
      <c r="N598" s="387">
        <v>48</v>
      </c>
      <c r="O598" s="387">
        <v>2</v>
      </c>
      <c r="P598" s="387">
        <v>8</v>
      </c>
      <c r="Q598" s="387">
        <v>2</v>
      </c>
      <c r="R598" s="387">
        <v>7</v>
      </c>
      <c r="S598" s="1174">
        <f>Locations[[#This Row],[Ind_Returnees]]+Locations[[#This Row],[Ind_Refugees]]+Locations[[#This Row],[Ind_IDPs]]</f>
        <v>63</v>
      </c>
    </row>
    <row r="599" spans="1:19" s="388" customFormat="1" x14ac:dyDescent="0.3">
      <c r="A599" s="5" t="s">
        <v>533</v>
      </c>
      <c r="B599" s="1430" t="s">
        <v>3449</v>
      </c>
      <c r="C599" s="1090" t="s">
        <v>534</v>
      </c>
      <c r="D599" s="5" t="s">
        <v>31</v>
      </c>
      <c r="E599" s="5" t="s">
        <v>31</v>
      </c>
      <c r="F599" s="5" t="s">
        <v>549</v>
      </c>
      <c r="G599" s="5" t="s">
        <v>170</v>
      </c>
      <c r="H599" s="5" t="s">
        <v>170</v>
      </c>
      <c r="I599" s="5" t="s">
        <v>866</v>
      </c>
      <c r="J599" t="s">
        <v>2014</v>
      </c>
      <c r="K599" s="5" t="s">
        <v>1707</v>
      </c>
      <c r="L599" s="5"/>
      <c r="M599" s="387">
        <v>2</v>
      </c>
      <c r="N599" s="387">
        <v>15</v>
      </c>
      <c r="O599" s="387">
        <v>0</v>
      </c>
      <c r="P599" s="387">
        <v>0</v>
      </c>
      <c r="Q599" s="387">
        <v>0</v>
      </c>
      <c r="R599" s="387">
        <v>0</v>
      </c>
      <c r="S599" s="1174">
        <f>Locations[[#This Row],[Ind_Returnees]]+Locations[[#This Row],[Ind_Refugees]]+Locations[[#This Row],[Ind_IDPs]]</f>
        <v>15</v>
      </c>
    </row>
    <row r="600" spans="1:19" s="388" customFormat="1" x14ac:dyDescent="0.3">
      <c r="A600" s="5" t="s">
        <v>533</v>
      </c>
      <c r="B600" s="1430" t="s">
        <v>3449</v>
      </c>
      <c r="C600" s="1090" t="s">
        <v>534</v>
      </c>
      <c r="D600" s="5" t="s">
        <v>31</v>
      </c>
      <c r="E600" s="5" t="s">
        <v>31</v>
      </c>
      <c r="F600" s="5" t="s">
        <v>549</v>
      </c>
      <c r="G600" s="5" t="s">
        <v>164</v>
      </c>
      <c r="H600" s="5" t="s">
        <v>164</v>
      </c>
      <c r="I600" s="5" t="s">
        <v>748</v>
      </c>
      <c r="J600" t="s">
        <v>1818</v>
      </c>
      <c r="K600" s="5" t="s">
        <v>1819</v>
      </c>
      <c r="L600" s="5"/>
      <c r="M600" s="387">
        <v>300</v>
      </c>
      <c r="N600" s="387">
        <v>1209</v>
      </c>
      <c r="O600" s="387">
        <v>61</v>
      </c>
      <c r="P600" s="387">
        <v>208</v>
      </c>
      <c r="Q600" s="387">
        <v>25</v>
      </c>
      <c r="R600" s="387">
        <v>110</v>
      </c>
      <c r="S600" s="1174">
        <f>Locations[[#This Row],[Ind_Returnees]]+Locations[[#This Row],[Ind_Refugees]]+Locations[[#This Row],[Ind_IDPs]]</f>
        <v>1527</v>
      </c>
    </row>
    <row r="601" spans="1:19" s="388" customFormat="1" x14ac:dyDescent="0.3">
      <c r="A601" s="5" t="s">
        <v>533</v>
      </c>
      <c r="B601" s="1430" t="s">
        <v>3449</v>
      </c>
      <c r="C601" s="1090" t="s">
        <v>534</v>
      </c>
      <c r="D601" s="5" t="s">
        <v>31</v>
      </c>
      <c r="E601" s="5" t="s">
        <v>31</v>
      </c>
      <c r="F601" s="5" t="s">
        <v>549</v>
      </c>
      <c r="G601" s="5" t="s">
        <v>164</v>
      </c>
      <c r="H601" s="5" t="s">
        <v>164</v>
      </c>
      <c r="I601" s="5" t="s">
        <v>748</v>
      </c>
      <c r="J601" t="s">
        <v>1083</v>
      </c>
      <c r="K601" s="5" t="s">
        <v>1084</v>
      </c>
      <c r="L601" s="5"/>
      <c r="M601" s="387">
        <v>18</v>
      </c>
      <c r="N601" s="387">
        <v>126</v>
      </c>
      <c r="O601" s="387">
        <v>0</v>
      </c>
      <c r="P601" s="387">
        <v>0</v>
      </c>
      <c r="Q601" s="387">
        <v>0</v>
      </c>
      <c r="R601" s="387">
        <v>0</v>
      </c>
      <c r="S601" s="1174">
        <f>Locations[[#This Row],[Ind_Returnees]]+Locations[[#This Row],[Ind_Refugees]]+Locations[[#This Row],[Ind_IDPs]]</f>
        <v>126</v>
      </c>
    </row>
    <row r="602" spans="1:19" s="388" customFormat="1" x14ac:dyDescent="0.3">
      <c r="A602" s="5" t="s">
        <v>533</v>
      </c>
      <c r="B602" s="1430" t="s">
        <v>3449</v>
      </c>
      <c r="C602" s="1090" t="s">
        <v>534</v>
      </c>
      <c r="D602" s="5" t="s">
        <v>31</v>
      </c>
      <c r="E602" s="5" t="s">
        <v>31</v>
      </c>
      <c r="F602" s="5" t="s">
        <v>549</v>
      </c>
      <c r="G602" s="5" t="s">
        <v>171</v>
      </c>
      <c r="H602" s="5" t="s">
        <v>171</v>
      </c>
      <c r="I602" s="5" t="s">
        <v>634</v>
      </c>
      <c r="J602" t="s">
        <v>1396</v>
      </c>
      <c r="K602" s="5" t="s">
        <v>1940</v>
      </c>
      <c r="L602" s="5"/>
      <c r="M602" s="387">
        <v>27</v>
      </c>
      <c r="N602" s="387">
        <v>145</v>
      </c>
      <c r="O602" s="387">
        <v>17</v>
      </c>
      <c r="P602" s="387">
        <v>87</v>
      </c>
      <c r="Q602" s="387">
        <v>0</v>
      </c>
      <c r="R602" s="387">
        <v>0</v>
      </c>
      <c r="S602" s="1174">
        <f>Locations[[#This Row],[Ind_Returnees]]+Locations[[#This Row],[Ind_Refugees]]+Locations[[#This Row],[Ind_IDPs]]</f>
        <v>232</v>
      </c>
    </row>
    <row r="603" spans="1:19" s="388" customFormat="1" x14ac:dyDescent="0.3">
      <c r="A603" s="5" t="s">
        <v>533</v>
      </c>
      <c r="B603" s="1430" t="s">
        <v>3449</v>
      </c>
      <c r="C603" s="1090" t="s">
        <v>534</v>
      </c>
      <c r="D603" s="5" t="s">
        <v>31</v>
      </c>
      <c r="E603" s="5" t="s">
        <v>31</v>
      </c>
      <c r="F603" s="5" t="s">
        <v>549</v>
      </c>
      <c r="G603" s="5" t="s">
        <v>171</v>
      </c>
      <c r="H603" s="5" t="s">
        <v>171</v>
      </c>
      <c r="I603" s="5" t="s">
        <v>634</v>
      </c>
      <c r="J603" t="s">
        <v>1343</v>
      </c>
      <c r="K603" s="5" t="s">
        <v>1828</v>
      </c>
      <c r="L603" s="5"/>
      <c r="M603" s="387">
        <v>6</v>
      </c>
      <c r="N603" s="387">
        <v>43</v>
      </c>
      <c r="O603" s="387">
        <v>3</v>
      </c>
      <c r="P603" s="387">
        <v>28</v>
      </c>
      <c r="Q603" s="387">
        <v>0</v>
      </c>
      <c r="R603" s="387">
        <v>0</v>
      </c>
      <c r="S603" s="1174">
        <f>Locations[[#This Row],[Ind_Returnees]]+Locations[[#This Row],[Ind_Refugees]]+Locations[[#This Row],[Ind_IDPs]]</f>
        <v>71</v>
      </c>
    </row>
    <row r="604" spans="1:19" s="388" customFormat="1" x14ac:dyDescent="0.3">
      <c r="A604" s="5" t="s">
        <v>533</v>
      </c>
      <c r="B604" s="1430" t="s">
        <v>3449</v>
      </c>
      <c r="C604" s="398" t="s">
        <v>534</v>
      </c>
      <c r="D604" s="5" t="s">
        <v>34</v>
      </c>
      <c r="E604" s="5" t="s">
        <v>34</v>
      </c>
      <c r="F604" s="5" t="s">
        <v>539</v>
      </c>
      <c r="G604" s="5" t="s">
        <v>187</v>
      </c>
      <c r="H604" s="5" t="s">
        <v>187</v>
      </c>
      <c r="I604" s="5" t="s">
        <v>951</v>
      </c>
      <c r="J604" t="s">
        <v>2914</v>
      </c>
      <c r="K604" s="5" t="s">
        <v>1618</v>
      </c>
      <c r="L604" s="5"/>
      <c r="M604" s="387">
        <v>363</v>
      </c>
      <c r="N604" s="387">
        <v>2002</v>
      </c>
      <c r="O604" s="387">
        <v>0</v>
      </c>
      <c r="P604" s="387">
        <v>0</v>
      </c>
      <c r="Q604" s="387">
        <v>239</v>
      </c>
      <c r="R604" s="387">
        <v>1223</v>
      </c>
      <c r="S604" s="1174">
        <f>Locations[[#This Row],[Ind_Returnees]]+Locations[[#This Row],[Ind_Refugees]]+Locations[[#This Row],[Ind_IDPs]]</f>
        <v>3225</v>
      </c>
    </row>
    <row r="605" spans="1:19" s="388" customFormat="1" x14ac:dyDescent="0.3">
      <c r="A605" s="5" t="s">
        <v>533</v>
      </c>
      <c r="B605" s="1430" t="s">
        <v>3449</v>
      </c>
      <c r="C605" s="1090" t="s">
        <v>534</v>
      </c>
      <c r="D605" s="5" t="s">
        <v>34</v>
      </c>
      <c r="E605" s="5" t="s">
        <v>34</v>
      </c>
      <c r="F605" s="5" t="s">
        <v>539</v>
      </c>
      <c r="G605" s="5" t="s">
        <v>187</v>
      </c>
      <c r="H605" s="5" t="s">
        <v>187</v>
      </c>
      <c r="I605" s="5" t="s">
        <v>951</v>
      </c>
      <c r="J605" t="s">
        <v>2915</v>
      </c>
      <c r="K605" s="5" t="s">
        <v>2561</v>
      </c>
      <c r="L605" s="5"/>
      <c r="M605" s="387">
        <v>0</v>
      </c>
      <c r="N605" s="387">
        <v>0</v>
      </c>
      <c r="O605" s="387">
        <v>0</v>
      </c>
      <c r="P605" s="387">
        <v>0</v>
      </c>
      <c r="Q605" s="387">
        <v>0</v>
      </c>
      <c r="R605" s="387">
        <v>0</v>
      </c>
      <c r="S605" s="1174">
        <f>Locations[[#This Row],[Ind_Returnees]]+Locations[[#This Row],[Ind_Refugees]]+Locations[[#This Row],[Ind_IDPs]]</f>
        <v>0</v>
      </c>
    </row>
    <row r="606" spans="1:19" s="388" customFormat="1" x14ac:dyDescent="0.3">
      <c r="A606" s="5" t="s">
        <v>533</v>
      </c>
      <c r="B606" s="1430" t="s">
        <v>3449</v>
      </c>
      <c r="C606" s="398" t="s">
        <v>534</v>
      </c>
      <c r="D606" s="5" t="s">
        <v>34</v>
      </c>
      <c r="E606" s="5" t="s">
        <v>34</v>
      </c>
      <c r="F606" s="5" t="s">
        <v>539</v>
      </c>
      <c r="G606" s="5" t="s">
        <v>187</v>
      </c>
      <c r="H606" s="5" t="s">
        <v>187</v>
      </c>
      <c r="I606" s="5" t="s">
        <v>951</v>
      </c>
      <c r="J606" t="s">
        <v>2554</v>
      </c>
      <c r="K606" s="5" t="s">
        <v>1724</v>
      </c>
      <c r="L606" s="5"/>
      <c r="M606" s="387">
        <v>0</v>
      </c>
      <c r="N606" s="387">
        <v>0</v>
      </c>
      <c r="O606" s="387">
        <v>0</v>
      </c>
      <c r="P606" s="387">
        <v>0</v>
      </c>
      <c r="Q606" s="387">
        <v>0</v>
      </c>
      <c r="R606" s="387">
        <v>0</v>
      </c>
      <c r="S606" s="1174">
        <f>Locations[[#This Row],[Ind_Returnees]]+Locations[[#This Row],[Ind_Refugees]]+Locations[[#This Row],[Ind_IDPs]]</f>
        <v>0</v>
      </c>
    </row>
    <row r="607" spans="1:19" s="388" customFormat="1" x14ac:dyDescent="0.3">
      <c r="A607" s="5" t="s">
        <v>533</v>
      </c>
      <c r="B607" s="1430" t="s">
        <v>3449</v>
      </c>
      <c r="C607" s="1090" t="s">
        <v>534</v>
      </c>
      <c r="D607" s="5" t="s">
        <v>32</v>
      </c>
      <c r="E607" s="5" t="s">
        <v>32</v>
      </c>
      <c r="F607" s="5" t="s">
        <v>542</v>
      </c>
      <c r="G607" s="5" t="s">
        <v>176</v>
      </c>
      <c r="H607" s="5" t="s">
        <v>176</v>
      </c>
      <c r="I607" s="5" t="s">
        <v>772</v>
      </c>
      <c r="J607" t="s">
        <v>2269</v>
      </c>
      <c r="K607" s="5" t="s">
        <v>2270</v>
      </c>
      <c r="L607" s="5"/>
      <c r="M607" s="387">
        <v>0</v>
      </c>
      <c r="N607" s="387">
        <v>0</v>
      </c>
      <c r="O607" s="387">
        <v>0</v>
      </c>
      <c r="P607" s="387">
        <v>0</v>
      </c>
      <c r="Q607" s="387">
        <v>45</v>
      </c>
      <c r="R607" s="387">
        <v>278</v>
      </c>
      <c r="S607" s="1174">
        <f>Locations[[#This Row],[Ind_Returnees]]+Locations[[#This Row],[Ind_Refugees]]+Locations[[#This Row],[Ind_IDPs]]</f>
        <v>278</v>
      </c>
    </row>
    <row r="608" spans="1:19" s="388" customFormat="1" x14ac:dyDescent="0.3">
      <c r="A608" s="5" t="s">
        <v>533</v>
      </c>
      <c r="B608" s="1430" t="s">
        <v>3449</v>
      </c>
      <c r="C608" s="1090" t="s">
        <v>534</v>
      </c>
      <c r="D608" s="5" t="s">
        <v>30</v>
      </c>
      <c r="E608" s="5" t="s">
        <v>3522</v>
      </c>
      <c r="F608" s="5" t="s">
        <v>535</v>
      </c>
      <c r="G608" s="5" t="s">
        <v>162</v>
      </c>
      <c r="H608" s="5" t="s">
        <v>3529</v>
      </c>
      <c r="I608" s="5" t="s">
        <v>536</v>
      </c>
      <c r="J608" t="s">
        <v>2772</v>
      </c>
      <c r="K608" s="5" t="s">
        <v>732</v>
      </c>
      <c r="L608" s="5"/>
      <c r="M608" s="387">
        <v>40</v>
      </c>
      <c r="N608" s="387">
        <v>223</v>
      </c>
      <c r="O608" s="387">
        <v>0</v>
      </c>
      <c r="P608" s="387">
        <v>0</v>
      </c>
      <c r="Q608" s="387">
        <v>0</v>
      </c>
      <c r="R608" s="387">
        <v>0</v>
      </c>
      <c r="S608" s="1174">
        <f>Locations[[#This Row],[Ind_Returnees]]+Locations[[#This Row],[Ind_Refugees]]+Locations[[#This Row],[Ind_IDPs]]</f>
        <v>223</v>
      </c>
    </row>
    <row r="609" spans="1:19" s="388" customFormat="1" x14ac:dyDescent="0.3">
      <c r="A609" s="5" t="s">
        <v>533</v>
      </c>
      <c r="B609" s="1430" t="s">
        <v>3449</v>
      </c>
      <c r="C609" s="398" t="s">
        <v>534</v>
      </c>
      <c r="D609" s="5" t="s">
        <v>30</v>
      </c>
      <c r="E609" s="5" t="s">
        <v>3522</v>
      </c>
      <c r="F609" s="5" t="s">
        <v>535</v>
      </c>
      <c r="G609" s="5" t="s">
        <v>162</v>
      </c>
      <c r="H609" s="5" t="s">
        <v>3529</v>
      </c>
      <c r="I609" s="5" t="s">
        <v>536</v>
      </c>
      <c r="J609" t="s">
        <v>2190</v>
      </c>
      <c r="K609" s="5" t="s">
        <v>551</v>
      </c>
      <c r="L609" s="5"/>
      <c r="M609" s="387">
        <v>6</v>
      </c>
      <c r="N609" s="387">
        <v>20</v>
      </c>
      <c r="O609" s="387">
        <v>0</v>
      </c>
      <c r="P609" s="387">
        <v>0</v>
      </c>
      <c r="Q609" s="387">
        <v>0</v>
      </c>
      <c r="R609" s="387">
        <v>0</v>
      </c>
      <c r="S609" s="1174">
        <f>Locations[[#This Row],[Ind_Returnees]]+Locations[[#This Row],[Ind_Refugees]]+Locations[[#This Row],[Ind_IDPs]]</f>
        <v>20</v>
      </c>
    </row>
    <row r="610" spans="1:19" s="388" customFormat="1" x14ac:dyDescent="0.3">
      <c r="A610" s="5" t="s">
        <v>533</v>
      </c>
      <c r="B610" s="1430" t="s">
        <v>3449</v>
      </c>
      <c r="C610" s="398" t="s">
        <v>534</v>
      </c>
      <c r="D610" s="5" t="s">
        <v>30</v>
      </c>
      <c r="E610" s="5" t="s">
        <v>3522</v>
      </c>
      <c r="F610" s="5" t="s">
        <v>535</v>
      </c>
      <c r="G610" s="5" t="s">
        <v>161</v>
      </c>
      <c r="H610" s="5" t="s">
        <v>3523</v>
      </c>
      <c r="I610" s="5" t="s">
        <v>587</v>
      </c>
      <c r="J610" t="s">
        <v>691</v>
      </c>
      <c r="K610" s="5" t="s">
        <v>692</v>
      </c>
      <c r="L610" s="5"/>
      <c r="M610" s="387">
        <v>6</v>
      </c>
      <c r="N610" s="387">
        <v>52</v>
      </c>
      <c r="O610" s="387">
        <v>0</v>
      </c>
      <c r="P610" s="387">
        <v>0</v>
      </c>
      <c r="Q610" s="387">
        <v>0</v>
      </c>
      <c r="R610" s="387">
        <v>0</v>
      </c>
      <c r="S610" s="1174">
        <f>Locations[[#This Row],[Ind_Returnees]]+Locations[[#This Row],[Ind_Refugees]]+Locations[[#This Row],[Ind_IDPs]]</f>
        <v>52</v>
      </c>
    </row>
    <row r="611" spans="1:19" s="388" customFormat="1" x14ac:dyDescent="0.3">
      <c r="A611" s="5" t="s">
        <v>533</v>
      </c>
      <c r="B611" s="1430" t="s">
        <v>3449</v>
      </c>
      <c r="C611" s="1090" t="s">
        <v>534</v>
      </c>
      <c r="D611" s="5" t="s">
        <v>30</v>
      </c>
      <c r="E611" s="5" t="s">
        <v>3522</v>
      </c>
      <c r="F611" s="5" t="s">
        <v>535</v>
      </c>
      <c r="G611" s="5" t="s">
        <v>161</v>
      </c>
      <c r="H611" s="5" t="s">
        <v>3523</v>
      </c>
      <c r="I611" s="5" t="s">
        <v>587</v>
      </c>
      <c r="J611" t="s">
        <v>608</v>
      </c>
      <c r="K611" s="5" t="s">
        <v>609</v>
      </c>
      <c r="L611" s="5"/>
      <c r="M611" s="387">
        <v>20</v>
      </c>
      <c r="N611" s="387">
        <v>220</v>
      </c>
      <c r="O611" s="387">
        <v>0</v>
      </c>
      <c r="P611" s="387">
        <v>0</v>
      </c>
      <c r="Q611" s="387">
        <v>0</v>
      </c>
      <c r="R611" s="387">
        <v>0</v>
      </c>
      <c r="S611" s="1174">
        <f>Locations[[#This Row],[Ind_Returnees]]+Locations[[#This Row],[Ind_Refugees]]+Locations[[#This Row],[Ind_IDPs]]</f>
        <v>220</v>
      </c>
    </row>
    <row r="612" spans="1:19" s="388" customFormat="1" x14ac:dyDescent="0.3">
      <c r="A612" s="5" t="s">
        <v>533</v>
      </c>
      <c r="B612" s="1430" t="s">
        <v>3449</v>
      </c>
      <c r="C612" s="1090" t="s">
        <v>534</v>
      </c>
      <c r="D612" s="5" t="s">
        <v>34</v>
      </c>
      <c r="E612" s="5" t="s">
        <v>34</v>
      </c>
      <c r="F612" s="5" t="s">
        <v>539</v>
      </c>
      <c r="G612" s="5" t="s">
        <v>187</v>
      </c>
      <c r="H612" s="5" t="s">
        <v>187</v>
      </c>
      <c r="I612" s="5" t="s">
        <v>951</v>
      </c>
      <c r="J612" t="s">
        <v>2916</v>
      </c>
      <c r="K612" s="5" t="s">
        <v>2564</v>
      </c>
      <c r="L612" s="5"/>
      <c r="M612" s="387">
        <v>0</v>
      </c>
      <c r="N612" s="387">
        <v>0</v>
      </c>
      <c r="O612" s="387">
        <v>0</v>
      </c>
      <c r="P612" s="387">
        <v>0</v>
      </c>
      <c r="Q612" s="387">
        <v>0</v>
      </c>
      <c r="R612" s="387">
        <v>0</v>
      </c>
      <c r="S612" s="1174">
        <f>Locations[[#This Row],[Ind_Returnees]]+Locations[[#This Row],[Ind_Refugees]]+Locations[[#This Row],[Ind_IDPs]]</f>
        <v>0</v>
      </c>
    </row>
    <row r="613" spans="1:19" s="388" customFormat="1" x14ac:dyDescent="0.3">
      <c r="A613" s="5" t="s">
        <v>533</v>
      </c>
      <c r="B613" s="1430" t="s">
        <v>3449</v>
      </c>
      <c r="C613" s="398" t="s">
        <v>534</v>
      </c>
      <c r="D613" s="5" t="s">
        <v>35</v>
      </c>
      <c r="E613" s="5" t="s">
        <v>35</v>
      </c>
      <c r="F613" s="5" t="s">
        <v>567</v>
      </c>
      <c r="G613" s="5" t="s">
        <v>193</v>
      </c>
      <c r="H613" s="5" t="s">
        <v>3983</v>
      </c>
      <c r="I613" s="5" t="s">
        <v>863</v>
      </c>
      <c r="J613" t="s">
        <v>1569</v>
      </c>
      <c r="K613" s="5" t="s">
        <v>1570</v>
      </c>
      <c r="L613" s="5"/>
      <c r="M613" s="387">
        <v>101</v>
      </c>
      <c r="N613" s="387">
        <v>482</v>
      </c>
      <c r="O613" s="387">
        <v>16</v>
      </c>
      <c r="P613" s="387">
        <v>73</v>
      </c>
      <c r="Q613" s="387">
        <v>29</v>
      </c>
      <c r="R613" s="387">
        <v>143</v>
      </c>
      <c r="S613" s="1174">
        <f>Locations[[#This Row],[Ind_Returnees]]+Locations[[#This Row],[Ind_Refugees]]+Locations[[#This Row],[Ind_IDPs]]</f>
        <v>698</v>
      </c>
    </row>
    <row r="614" spans="1:19" s="388" customFormat="1" x14ac:dyDescent="0.3">
      <c r="A614" s="5" t="s">
        <v>533</v>
      </c>
      <c r="B614" s="1430" t="s">
        <v>3449</v>
      </c>
      <c r="C614" s="398" t="s">
        <v>534</v>
      </c>
      <c r="D614" s="5" t="s">
        <v>35</v>
      </c>
      <c r="E614" s="5" t="s">
        <v>35</v>
      </c>
      <c r="F614" s="5" t="s">
        <v>567</v>
      </c>
      <c r="G614" s="5" t="s">
        <v>194</v>
      </c>
      <c r="H614" s="5" t="s">
        <v>194</v>
      </c>
      <c r="I614" s="5" t="s">
        <v>2150</v>
      </c>
      <c r="J614" t="s">
        <v>2917</v>
      </c>
      <c r="K614" s="5" t="s">
        <v>2205</v>
      </c>
      <c r="L614" s="5"/>
      <c r="M614" s="387">
        <v>0</v>
      </c>
      <c r="N614" s="387">
        <v>0</v>
      </c>
      <c r="O614" s="387">
        <v>3</v>
      </c>
      <c r="P614" s="387">
        <v>14</v>
      </c>
      <c r="Q614" s="387">
        <v>11</v>
      </c>
      <c r="R614" s="387">
        <v>49</v>
      </c>
      <c r="S614" s="1174">
        <f>Locations[[#This Row],[Ind_Returnees]]+Locations[[#This Row],[Ind_Refugees]]+Locations[[#This Row],[Ind_IDPs]]</f>
        <v>63</v>
      </c>
    </row>
    <row r="615" spans="1:19" s="388" customFormat="1" x14ac:dyDescent="0.3">
      <c r="A615" s="5" t="s">
        <v>533</v>
      </c>
      <c r="B615" s="1430" t="s">
        <v>3449</v>
      </c>
      <c r="C615" s="398" t="s">
        <v>534</v>
      </c>
      <c r="D615" s="5" t="s">
        <v>34</v>
      </c>
      <c r="E615" s="5" t="s">
        <v>34</v>
      </c>
      <c r="F615" s="5" t="s">
        <v>539</v>
      </c>
      <c r="G615" s="5" t="s">
        <v>188</v>
      </c>
      <c r="H615" s="5" t="s">
        <v>188</v>
      </c>
      <c r="I615" s="5" t="s">
        <v>546</v>
      </c>
      <c r="J615" t="s">
        <v>1681</v>
      </c>
      <c r="K615" s="5" t="s">
        <v>1792</v>
      </c>
      <c r="L615" s="5"/>
      <c r="M615" s="387">
        <v>612</v>
      </c>
      <c r="N615" s="387">
        <v>2937</v>
      </c>
      <c r="O615" s="387">
        <v>608</v>
      </c>
      <c r="P615" s="387">
        <v>3096</v>
      </c>
      <c r="Q615" s="387">
        <v>180</v>
      </c>
      <c r="R615" s="387">
        <v>1304</v>
      </c>
      <c r="S615" s="1174">
        <f>Locations[[#This Row],[Ind_Returnees]]+Locations[[#This Row],[Ind_Refugees]]+Locations[[#This Row],[Ind_IDPs]]</f>
        <v>7337</v>
      </c>
    </row>
    <row r="616" spans="1:19" s="388" customFormat="1" x14ac:dyDescent="0.3">
      <c r="A616" s="5" t="s">
        <v>533</v>
      </c>
      <c r="B616" s="1430" t="s">
        <v>3449</v>
      </c>
      <c r="C616" s="398" t="s">
        <v>534</v>
      </c>
      <c r="D616" s="5" t="s">
        <v>35</v>
      </c>
      <c r="E616" s="5" t="s">
        <v>35</v>
      </c>
      <c r="F616" s="5" t="s">
        <v>567</v>
      </c>
      <c r="G616" s="5" t="s">
        <v>195</v>
      </c>
      <c r="H616" s="5" t="s">
        <v>195</v>
      </c>
      <c r="I616" s="5" t="s">
        <v>733</v>
      </c>
      <c r="J616" t="s">
        <v>1037</v>
      </c>
      <c r="K616" s="5" t="s">
        <v>1038</v>
      </c>
      <c r="L616" s="5"/>
      <c r="M616" s="387">
        <v>200</v>
      </c>
      <c r="N616" s="387">
        <v>1400</v>
      </c>
      <c r="O616" s="387">
        <v>150</v>
      </c>
      <c r="P616" s="387">
        <v>485</v>
      </c>
      <c r="Q616" s="387">
        <v>0</v>
      </c>
      <c r="R616" s="387">
        <v>0</v>
      </c>
      <c r="S616" s="1174">
        <f>Locations[[#This Row],[Ind_Returnees]]+Locations[[#This Row],[Ind_Refugees]]+Locations[[#This Row],[Ind_IDPs]]</f>
        <v>1885</v>
      </c>
    </row>
    <row r="617" spans="1:19" s="388" customFormat="1" x14ac:dyDescent="0.3">
      <c r="A617" s="5" t="s">
        <v>533</v>
      </c>
      <c r="B617" s="1430" t="s">
        <v>3449</v>
      </c>
      <c r="C617" s="1090" t="s">
        <v>534</v>
      </c>
      <c r="D617" s="5" t="s">
        <v>34</v>
      </c>
      <c r="E617" s="5" t="s">
        <v>34</v>
      </c>
      <c r="F617" s="5" t="s">
        <v>539</v>
      </c>
      <c r="G617" s="5" t="s">
        <v>188</v>
      </c>
      <c r="H617" s="5" t="s">
        <v>188</v>
      </c>
      <c r="I617" s="5" t="s">
        <v>546</v>
      </c>
      <c r="J617" t="s">
        <v>1042</v>
      </c>
      <c r="K617" s="5" t="s">
        <v>1627</v>
      </c>
      <c r="L617" s="5"/>
      <c r="M617" s="387">
        <v>44</v>
      </c>
      <c r="N617" s="387">
        <v>252</v>
      </c>
      <c r="O617" s="387">
        <v>3</v>
      </c>
      <c r="P617" s="387">
        <v>19</v>
      </c>
      <c r="Q617" s="387">
        <v>5</v>
      </c>
      <c r="R617" s="387">
        <v>36</v>
      </c>
      <c r="S617" s="1174">
        <f>Locations[[#This Row],[Ind_Returnees]]+Locations[[#This Row],[Ind_Refugees]]+Locations[[#This Row],[Ind_IDPs]]</f>
        <v>307</v>
      </c>
    </row>
    <row r="618" spans="1:19" s="388" customFormat="1" x14ac:dyDescent="0.3">
      <c r="A618" s="5" t="s">
        <v>533</v>
      </c>
      <c r="B618" s="1430" t="s">
        <v>3449</v>
      </c>
      <c r="C618" s="1090" t="s">
        <v>534</v>
      </c>
      <c r="D618" s="5" t="s">
        <v>34</v>
      </c>
      <c r="E618" s="5" t="s">
        <v>34</v>
      </c>
      <c r="F618" s="5" t="s">
        <v>539</v>
      </c>
      <c r="G618" s="5" t="s">
        <v>189</v>
      </c>
      <c r="H618" s="5" t="s">
        <v>189</v>
      </c>
      <c r="I618" s="5" t="s">
        <v>590</v>
      </c>
      <c r="J618" t="s">
        <v>1377</v>
      </c>
      <c r="K618" s="5" t="s">
        <v>1378</v>
      </c>
      <c r="L618" s="5"/>
      <c r="M618" s="387">
        <v>27</v>
      </c>
      <c r="N618" s="387">
        <v>250</v>
      </c>
      <c r="O618" s="387">
        <v>0</v>
      </c>
      <c r="P618" s="387">
        <v>0</v>
      </c>
      <c r="Q618" s="387">
        <v>0</v>
      </c>
      <c r="R618" s="387">
        <v>0</v>
      </c>
      <c r="S618" s="1174">
        <f>Locations[[#This Row],[Ind_Returnees]]+Locations[[#This Row],[Ind_Refugees]]+Locations[[#This Row],[Ind_IDPs]]</f>
        <v>250</v>
      </c>
    </row>
    <row r="619" spans="1:19" s="388" customFormat="1" x14ac:dyDescent="0.3">
      <c r="A619" s="5" t="s">
        <v>533</v>
      </c>
      <c r="B619" s="1430" t="s">
        <v>3449</v>
      </c>
      <c r="C619" s="398" t="s">
        <v>534</v>
      </c>
      <c r="D619" s="5" t="s">
        <v>31</v>
      </c>
      <c r="E619" s="5" t="s">
        <v>31</v>
      </c>
      <c r="F619" s="5" t="s">
        <v>549</v>
      </c>
      <c r="G619" s="5" t="s">
        <v>166</v>
      </c>
      <c r="H619" s="5" t="s">
        <v>166</v>
      </c>
      <c r="I619" s="5" t="s">
        <v>844</v>
      </c>
      <c r="J619" t="s">
        <v>2497</v>
      </c>
      <c r="K619" s="5" t="s">
        <v>2500</v>
      </c>
      <c r="L619" s="5"/>
      <c r="M619" s="387">
        <v>0</v>
      </c>
      <c r="N619" s="387">
        <v>0</v>
      </c>
      <c r="O619" s="387">
        <v>0</v>
      </c>
      <c r="P619" s="387">
        <v>0</v>
      </c>
      <c r="Q619" s="387">
        <v>0</v>
      </c>
      <c r="R619" s="387">
        <v>0</v>
      </c>
      <c r="S619" s="1174">
        <f>Locations[[#This Row],[Ind_Returnees]]+Locations[[#This Row],[Ind_Refugees]]+Locations[[#This Row],[Ind_IDPs]]</f>
        <v>0</v>
      </c>
    </row>
    <row r="620" spans="1:19" s="388" customFormat="1" x14ac:dyDescent="0.3">
      <c r="A620" s="5" t="s">
        <v>533</v>
      </c>
      <c r="B620" s="1430" t="s">
        <v>3449</v>
      </c>
      <c r="C620" s="398" t="s">
        <v>534</v>
      </c>
      <c r="D620" s="5" t="s">
        <v>35</v>
      </c>
      <c r="E620" s="5" t="s">
        <v>35</v>
      </c>
      <c r="F620" s="5" t="s">
        <v>567</v>
      </c>
      <c r="G620" s="5" t="s">
        <v>194</v>
      </c>
      <c r="H620" s="5" t="s">
        <v>194</v>
      </c>
      <c r="I620" s="5" t="s">
        <v>2150</v>
      </c>
      <c r="J620" t="s">
        <v>2188</v>
      </c>
      <c r="K620" s="5" t="s">
        <v>2189</v>
      </c>
      <c r="L620" s="5"/>
      <c r="M620" s="387">
        <v>0</v>
      </c>
      <c r="N620" s="387">
        <v>0</v>
      </c>
      <c r="O620" s="387">
        <v>8</v>
      </c>
      <c r="P620" s="387">
        <v>47</v>
      </c>
      <c r="Q620" s="387">
        <v>0</v>
      </c>
      <c r="R620" s="387">
        <v>0</v>
      </c>
      <c r="S620" s="1174">
        <f>Locations[[#This Row],[Ind_Returnees]]+Locations[[#This Row],[Ind_Refugees]]+Locations[[#This Row],[Ind_IDPs]]</f>
        <v>47</v>
      </c>
    </row>
    <row r="621" spans="1:19" s="388" customFormat="1" x14ac:dyDescent="0.3">
      <c r="A621" s="5" t="s">
        <v>533</v>
      </c>
      <c r="B621" s="1430" t="s">
        <v>3449</v>
      </c>
      <c r="C621" s="398" t="s">
        <v>534</v>
      </c>
      <c r="D621" s="5" t="s">
        <v>31</v>
      </c>
      <c r="E621" s="5" t="s">
        <v>31</v>
      </c>
      <c r="F621" s="5" t="s">
        <v>549</v>
      </c>
      <c r="G621" s="5" t="s">
        <v>164</v>
      </c>
      <c r="H621" s="5" t="s">
        <v>164</v>
      </c>
      <c r="I621" s="5" t="s">
        <v>748</v>
      </c>
      <c r="J621" t="s">
        <v>920</v>
      </c>
      <c r="K621" s="5" t="s">
        <v>921</v>
      </c>
      <c r="L621" s="5"/>
      <c r="M621" s="387">
        <v>89</v>
      </c>
      <c r="N621" s="387">
        <v>287</v>
      </c>
      <c r="O621" s="387">
        <v>0</v>
      </c>
      <c r="P621" s="387">
        <v>0</v>
      </c>
      <c r="Q621" s="387">
        <v>0</v>
      </c>
      <c r="R621" s="387">
        <v>0</v>
      </c>
      <c r="S621" s="1174">
        <f>Locations[[#This Row],[Ind_Returnees]]+Locations[[#This Row],[Ind_Refugees]]+Locations[[#This Row],[Ind_IDPs]]</f>
        <v>287</v>
      </c>
    </row>
    <row r="622" spans="1:19" s="388" customFormat="1" x14ac:dyDescent="0.3">
      <c r="A622" s="5" t="s">
        <v>533</v>
      </c>
      <c r="B622" s="1430" t="s">
        <v>3449</v>
      </c>
      <c r="C622" s="398" t="s">
        <v>534</v>
      </c>
      <c r="D622" s="5" t="s">
        <v>31</v>
      </c>
      <c r="E622" s="5" t="s">
        <v>31</v>
      </c>
      <c r="F622" s="5" t="s">
        <v>549</v>
      </c>
      <c r="G622" s="5" t="s">
        <v>172</v>
      </c>
      <c r="H622" s="5" t="s">
        <v>172</v>
      </c>
      <c r="I622" s="5" t="s">
        <v>706</v>
      </c>
      <c r="J622" t="s">
        <v>1125</v>
      </c>
      <c r="K622" s="5" t="s">
        <v>2705</v>
      </c>
      <c r="L622" s="5"/>
      <c r="M622" s="387">
        <v>0</v>
      </c>
      <c r="N622" s="387">
        <v>0</v>
      </c>
      <c r="O622" s="387">
        <v>0</v>
      </c>
      <c r="P622" s="387">
        <v>0</v>
      </c>
      <c r="Q622" s="387">
        <v>0</v>
      </c>
      <c r="R622" s="387">
        <v>0</v>
      </c>
      <c r="S622" s="1174">
        <f>Locations[[#This Row],[Ind_Returnees]]+Locations[[#This Row],[Ind_Refugees]]+Locations[[#This Row],[Ind_IDPs]]</f>
        <v>0</v>
      </c>
    </row>
    <row r="623" spans="1:19" s="388" customFormat="1" x14ac:dyDescent="0.3">
      <c r="A623" s="5" t="s">
        <v>533</v>
      </c>
      <c r="B623" s="1430" t="s">
        <v>3449</v>
      </c>
      <c r="C623" s="1090" t="s">
        <v>534</v>
      </c>
      <c r="D623" s="5" t="s">
        <v>31</v>
      </c>
      <c r="E623" s="5" t="s">
        <v>31</v>
      </c>
      <c r="F623" s="5" t="s">
        <v>549</v>
      </c>
      <c r="G623" s="5" t="s">
        <v>170</v>
      </c>
      <c r="H623" s="5" t="s">
        <v>170</v>
      </c>
      <c r="I623" s="5" t="s">
        <v>866</v>
      </c>
      <c r="J623" t="s">
        <v>1854</v>
      </c>
      <c r="K623" s="5" t="s">
        <v>1108</v>
      </c>
      <c r="L623" s="5"/>
      <c r="M623" s="387">
        <v>60</v>
      </c>
      <c r="N623" s="387">
        <v>255</v>
      </c>
      <c r="O623" s="387">
        <v>0</v>
      </c>
      <c r="P623" s="387">
        <v>0</v>
      </c>
      <c r="Q623" s="387">
        <v>0</v>
      </c>
      <c r="R623" s="387">
        <v>0</v>
      </c>
      <c r="S623" s="1174">
        <f>Locations[[#This Row],[Ind_Returnees]]+Locations[[#This Row],[Ind_Refugees]]+Locations[[#This Row],[Ind_IDPs]]</f>
        <v>255</v>
      </c>
    </row>
    <row r="624" spans="1:19" s="388" customFormat="1" x14ac:dyDescent="0.3">
      <c r="A624" s="5" t="s">
        <v>533</v>
      </c>
      <c r="B624" s="1430" t="s">
        <v>3449</v>
      </c>
      <c r="C624" s="1090" t="s">
        <v>534</v>
      </c>
      <c r="D624" s="5" t="s">
        <v>31</v>
      </c>
      <c r="E624" s="5" t="s">
        <v>31</v>
      </c>
      <c r="F624" s="5" t="s">
        <v>549</v>
      </c>
      <c r="G624" s="5" t="s">
        <v>170</v>
      </c>
      <c r="H624" s="5" t="s">
        <v>170</v>
      </c>
      <c r="I624" s="5" t="s">
        <v>866</v>
      </c>
      <c r="J624" t="s">
        <v>1706</v>
      </c>
      <c r="K624" s="5" t="s">
        <v>2100</v>
      </c>
      <c r="L624" s="5"/>
      <c r="M624" s="387">
        <v>0</v>
      </c>
      <c r="N624" s="387">
        <v>0</v>
      </c>
      <c r="O624" s="387">
        <v>7</v>
      </c>
      <c r="P624" s="387">
        <v>30</v>
      </c>
      <c r="Q624" s="387">
        <v>0</v>
      </c>
      <c r="R624" s="387">
        <v>0</v>
      </c>
      <c r="S624" s="1174">
        <f>Locations[[#This Row],[Ind_Returnees]]+Locations[[#This Row],[Ind_Refugees]]+Locations[[#This Row],[Ind_IDPs]]</f>
        <v>30</v>
      </c>
    </row>
    <row r="625" spans="1:19" s="388" customFormat="1" x14ac:dyDescent="0.3">
      <c r="A625" s="5" t="s">
        <v>533</v>
      </c>
      <c r="B625" s="1430" t="s">
        <v>3449</v>
      </c>
      <c r="C625" s="398" t="s">
        <v>534</v>
      </c>
      <c r="D625" s="5" t="s">
        <v>31</v>
      </c>
      <c r="E625" s="5" t="s">
        <v>31</v>
      </c>
      <c r="F625" s="5" t="s">
        <v>549</v>
      </c>
      <c r="G625" s="5" t="s">
        <v>171</v>
      </c>
      <c r="H625" s="5" t="s">
        <v>171</v>
      </c>
      <c r="I625" s="5" t="s">
        <v>634</v>
      </c>
      <c r="J625" t="s">
        <v>1823</v>
      </c>
      <c r="K625" s="5" t="s">
        <v>1698</v>
      </c>
      <c r="L625" s="5"/>
      <c r="M625" s="387">
        <v>21</v>
      </c>
      <c r="N625" s="387">
        <v>77</v>
      </c>
      <c r="O625" s="387">
        <v>0</v>
      </c>
      <c r="P625" s="387">
        <v>0</v>
      </c>
      <c r="Q625" s="387">
        <v>0</v>
      </c>
      <c r="R625" s="387">
        <v>0</v>
      </c>
      <c r="S625" s="1174">
        <f>Locations[[#This Row],[Ind_Returnees]]+Locations[[#This Row],[Ind_Refugees]]+Locations[[#This Row],[Ind_IDPs]]</f>
        <v>77</v>
      </c>
    </row>
    <row r="626" spans="1:19" s="388" customFormat="1" x14ac:dyDescent="0.3">
      <c r="A626" s="5" t="s">
        <v>533</v>
      </c>
      <c r="B626" s="1430" t="s">
        <v>3449</v>
      </c>
      <c r="C626" s="1090" t="s">
        <v>534</v>
      </c>
      <c r="D626" s="5" t="s">
        <v>31</v>
      </c>
      <c r="E626" s="5" t="s">
        <v>31</v>
      </c>
      <c r="F626" s="5" t="s">
        <v>549</v>
      </c>
      <c r="G626" s="5" t="s">
        <v>171</v>
      </c>
      <c r="H626" s="5" t="s">
        <v>171</v>
      </c>
      <c r="I626" s="5" t="s">
        <v>634</v>
      </c>
      <c r="J626" t="s">
        <v>1877</v>
      </c>
      <c r="K626" s="5" t="s">
        <v>2624</v>
      </c>
      <c r="L626" s="5"/>
      <c r="M626" s="387">
        <v>0</v>
      </c>
      <c r="N626" s="387">
        <v>0</v>
      </c>
      <c r="O626" s="387">
        <v>0</v>
      </c>
      <c r="P626" s="387">
        <v>0</v>
      </c>
      <c r="Q626" s="387">
        <v>0</v>
      </c>
      <c r="R626" s="387">
        <v>0</v>
      </c>
      <c r="S626" s="1174">
        <f>Locations[[#This Row],[Ind_Returnees]]+Locations[[#This Row],[Ind_Refugees]]+Locations[[#This Row],[Ind_IDPs]]</f>
        <v>0</v>
      </c>
    </row>
    <row r="627" spans="1:19" s="388" customFormat="1" x14ac:dyDescent="0.3">
      <c r="A627" s="5" t="s">
        <v>533</v>
      </c>
      <c r="B627" s="1430" t="s">
        <v>3449</v>
      </c>
      <c r="C627" s="1090" t="s">
        <v>534</v>
      </c>
      <c r="D627" s="5" t="s">
        <v>31</v>
      </c>
      <c r="E627" s="5" t="s">
        <v>31</v>
      </c>
      <c r="F627" s="5" t="s">
        <v>549</v>
      </c>
      <c r="G627" s="5" t="s">
        <v>165</v>
      </c>
      <c r="H627" s="5" t="s">
        <v>165</v>
      </c>
      <c r="I627" s="5" t="s">
        <v>881</v>
      </c>
      <c r="J627" t="s">
        <v>2028</v>
      </c>
      <c r="K627" s="5" t="s">
        <v>1336</v>
      </c>
      <c r="L627" s="5"/>
      <c r="M627" s="387">
        <v>0</v>
      </c>
      <c r="N627" s="387">
        <v>0</v>
      </c>
      <c r="O627" s="387">
        <v>0</v>
      </c>
      <c r="P627" s="387">
        <v>0</v>
      </c>
      <c r="Q627" s="387">
        <v>0</v>
      </c>
      <c r="R627" s="387">
        <v>0</v>
      </c>
      <c r="S627" s="1174">
        <f>Locations[[#This Row],[Ind_Returnees]]+Locations[[#This Row],[Ind_Refugees]]+Locations[[#This Row],[Ind_IDPs]]</f>
        <v>0</v>
      </c>
    </row>
    <row r="628" spans="1:19" s="388" customFormat="1" x14ac:dyDescent="0.3">
      <c r="A628" s="5" t="s">
        <v>533</v>
      </c>
      <c r="B628" s="1430" t="s">
        <v>3449</v>
      </c>
      <c r="C628" s="398" t="s">
        <v>534</v>
      </c>
      <c r="D628" s="5" t="s">
        <v>32</v>
      </c>
      <c r="E628" s="5" t="s">
        <v>32</v>
      </c>
      <c r="F628" s="5" t="s">
        <v>542</v>
      </c>
      <c r="G628" s="5" t="s">
        <v>176</v>
      </c>
      <c r="H628" s="5" t="s">
        <v>176</v>
      </c>
      <c r="I628" s="5" t="s">
        <v>772</v>
      </c>
      <c r="J628" t="s">
        <v>2310</v>
      </c>
      <c r="K628" s="5" t="s">
        <v>2311</v>
      </c>
      <c r="L628" s="5"/>
      <c r="M628" s="387">
        <v>0</v>
      </c>
      <c r="N628" s="387">
        <v>0</v>
      </c>
      <c r="O628" s="387">
        <v>0</v>
      </c>
      <c r="P628" s="387">
        <v>0</v>
      </c>
      <c r="Q628" s="387">
        <v>23</v>
      </c>
      <c r="R628" s="387">
        <v>167</v>
      </c>
      <c r="S628" s="1174">
        <f>Locations[[#This Row],[Ind_Returnees]]+Locations[[#This Row],[Ind_Refugees]]+Locations[[#This Row],[Ind_IDPs]]</f>
        <v>167</v>
      </c>
    </row>
    <row r="629" spans="1:19" s="388" customFormat="1" x14ac:dyDescent="0.3">
      <c r="A629" s="5" t="s">
        <v>533</v>
      </c>
      <c r="B629" s="1430" t="s">
        <v>3449</v>
      </c>
      <c r="C629" s="1090" t="s">
        <v>534</v>
      </c>
      <c r="D629" s="5" t="s">
        <v>34</v>
      </c>
      <c r="E629" s="5" t="s">
        <v>34</v>
      </c>
      <c r="F629" s="5" t="s">
        <v>539</v>
      </c>
      <c r="G629" s="5" t="s">
        <v>188</v>
      </c>
      <c r="H629" s="5" t="s">
        <v>188</v>
      </c>
      <c r="I629" s="5" t="s">
        <v>546</v>
      </c>
      <c r="J629" t="s">
        <v>1685</v>
      </c>
      <c r="K629" s="5" t="s">
        <v>1071</v>
      </c>
      <c r="L629" s="5"/>
      <c r="M629" s="387">
        <v>639</v>
      </c>
      <c r="N629" s="387">
        <v>3481</v>
      </c>
      <c r="O629" s="387">
        <v>0</v>
      </c>
      <c r="P629" s="387">
        <v>0</v>
      </c>
      <c r="Q629" s="387">
        <v>0</v>
      </c>
      <c r="R629" s="387">
        <v>0</v>
      </c>
      <c r="S629" s="1174">
        <f>Locations[[#This Row],[Ind_Returnees]]+Locations[[#This Row],[Ind_Refugees]]+Locations[[#This Row],[Ind_IDPs]]</f>
        <v>3481</v>
      </c>
    </row>
    <row r="630" spans="1:19" s="388" customFormat="1" x14ac:dyDescent="0.3">
      <c r="A630" s="5" t="s">
        <v>533</v>
      </c>
      <c r="B630" s="1430" t="s">
        <v>3449</v>
      </c>
      <c r="C630" s="1090" t="s">
        <v>534</v>
      </c>
      <c r="D630" s="5" t="s">
        <v>30</v>
      </c>
      <c r="E630" s="5" t="s">
        <v>3522</v>
      </c>
      <c r="F630" s="5" t="s">
        <v>535</v>
      </c>
      <c r="G630" s="5" t="s">
        <v>162</v>
      </c>
      <c r="H630" s="5" t="s">
        <v>3529</v>
      </c>
      <c r="I630" s="5" t="s">
        <v>536</v>
      </c>
      <c r="J630" t="s">
        <v>1727</v>
      </c>
      <c r="K630" s="5" t="s">
        <v>1728</v>
      </c>
      <c r="L630" s="5"/>
      <c r="M630" s="387">
        <v>4</v>
      </c>
      <c r="N630" s="387">
        <v>21</v>
      </c>
      <c r="O630" s="387">
        <v>0</v>
      </c>
      <c r="P630" s="387">
        <v>0</v>
      </c>
      <c r="Q630" s="387">
        <v>0</v>
      </c>
      <c r="R630" s="387">
        <v>0</v>
      </c>
      <c r="S630" s="1174">
        <f>Locations[[#This Row],[Ind_Returnees]]+Locations[[#This Row],[Ind_Refugees]]+Locations[[#This Row],[Ind_IDPs]]</f>
        <v>21</v>
      </c>
    </row>
    <row r="631" spans="1:19" s="388" customFormat="1" x14ac:dyDescent="0.3">
      <c r="A631" s="5" t="s">
        <v>533</v>
      </c>
      <c r="B631" s="1430" t="s">
        <v>3449</v>
      </c>
      <c r="C631" s="398" t="s">
        <v>534</v>
      </c>
      <c r="D631" s="5" t="s">
        <v>30</v>
      </c>
      <c r="E631" s="5" t="s">
        <v>3522</v>
      </c>
      <c r="F631" s="5" t="s">
        <v>535</v>
      </c>
      <c r="G631" s="1090" t="s">
        <v>162</v>
      </c>
      <c r="H631" s="1090" t="s">
        <v>3529</v>
      </c>
      <c r="I631" s="5" t="s">
        <v>536</v>
      </c>
      <c r="J631" t="s">
        <v>775</v>
      </c>
      <c r="K631" s="5" t="s">
        <v>776</v>
      </c>
      <c r="L631" s="5"/>
      <c r="M631" s="387">
        <v>1</v>
      </c>
      <c r="N631" s="387">
        <v>8</v>
      </c>
      <c r="O631" s="387">
        <v>0</v>
      </c>
      <c r="P631" s="387">
        <v>0</v>
      </c>
      <c r="Q631" s="387">
        <v>0</v>
      </c>
      <c r="R631" s="387">
        <v>0</v>
      </c>
      <c r="S631" s="1174">
        <f>Locations[[#This Row],[Ind_Returnees]]+Locations[[#This Row],[Ind_Refugees]]+Locations[[#This Row],[Ind_IDPs]]</f>
        <v>8</v>
      </c>
    </row>
    <row r="632" spans="1:19" s="388" customFormat="1" x14ac:dyDescent="0.3">
      <c r="A632" s="5" t="s">
        <v>533</v>
      </c>
      <c r="B632" s="1430" t="s">
        <v>3449</v>
      </c>
      <c r="C632" s="1090" t="s">
        <v>534</v>
      </c>
      <c r="D632" s="5" t="s">
        <v>30</v>
      </c>
      <c r="E632" s="5" t="s">
        <v>3522</v>
      </c>
      <c r="F632" s="5" t="s">
        <v>535</v>
      </c>
      <c r="G632" s="5" t="s">
        <v>162</v>
      </c>
      <c r="H632" s="5" t="s">
        <v>3529</v>
      </c>
      <c r="I632" s="5" t="s">
        <v>536</v>
      </c>
      <c r="J632" t="s">
        <v>720</v>
      </c>
      <c r="K632" s="5" t="s">
        <v>721</v>
      </c>
      <c r="L632" s="5"/>
      <c r="M632" s="387">
        <v>4</v>
      </c>
      <c r="N632" s="387">
        <v>36</v>
      </c>
      <c r="O632" s="387">
        <v>0</v>
      </c>
      <c r="P632" s="387">
        <v>0</v>
      </c>
      <c r="Q632" s="387">
        <v>4</v>
      </c>
      <c r="R632" s="387">
        <v>22</v>
      </c>
      <c r="S632" s="1174">
        <f>Locations[[#This Row],[Ind_Returnees]]+Locations[[#This Row],[Ind_Refugees]]+Locations[[#This Row],[Ind_IDPs]]</f>
        <v>58</v>
      </c>
    </row>
    <row r="633" spans="1:19" s="388" customFormat="1" x14ac:dyDescent="0.3">
      <c r="A633" s="5" t="s">
        <v>533</v>
      </c>
      <c r="B633" s="1430" t="s">
        <v>3449</v>
      </c>
      <c r="C633" s="398" t="s">
        <v>534</v>
      </c>
      <c r="D633" s="5" t="s">
        <v>31</v>
      </c>
      <c r="E633" s="5" t="s">
        <v>31</v>
      </c>
      <c r="F633" s="5" t="s">
        <v>549</v>
      </c>
      <c r="G633" s="5" t="s">
        <v>164</v>
      </c>
      <c r="H633" s="5" t="s">
        <v>164</v>
      </c>
      <c r="I633" s="5" t="s">
        <v>748</v>
      </c>
      <c r="J633" t="s">
        <v>808</v>
      </c>
      <c r="K633" s="5" t="s">
        <v>809</v>
      </c>
      <c r="L633" s="5"/>
      <c r="M633" s="387">
        <v>34</v>
      </c>
      <c r="N633" s="387">
        <v>350</v>
      </c>
      <c r="O633" s="387">
        <v>7</v>
      </c>
      <c r="P633" s="387">
        <v>64</v>
      </c>
      <c r="Q633" s="387">
        <v>6</v>
      </c>
      <c r="R633" s="387">
        <v>46</v>
      </c>
      <c r="S633" s="1174">
        <f>Locations[[#This Row],[Ind_Returnees]]+Locations[[#This Row],[Ind_Refugees]]+Locations[[#This Row],[Ind_IDPs]]</f>
        <v>460</v>
      </c>
    </row>
    <row r="634" spans="1:19" s="388" customFormat="1" x14ac:dyDescent="0.3">
      <c r="A634" s="5" t="s">
        <v>533</v>
      </c>
      <c r="B634" s="1430" t="s">
        <v>3449</v>
      </c>
      <c r="C634" s="1090" t="s">
        <v>534</v>
      </c>
      <c r="D634" s="5" t="s">
        <v>34</v>
      </c>
      <c r="E634" s="5" t="s">
        <v>34</v>
      </c>
      <c r="F634" s="5" t="s">
        <v>539</v>
      </c>
      <c r="G634" s="5" t="s">
        <v>187</v>
      </c>
      <c r="H634" s="5" t="s">
        <v>187</v>
      </c>
      <c r="I634" s="5" t="s">
        <v>951</v>
      </c>
      <c r="J634" t="s">
        <v>2919</v>
      </c>
      <c r="K634" s="5" t="s">
        <v>1575</v>
      </c>
      <c r="L634" s="5"/>
      <c r="M634" s="387">
        <v>832</v>
      </c>
      <c r="N634" s="387">
        <v>6588</v>
      </c>
      <c r="O634" s="387">
        <v>0</v>
      </c>
      <c r="P634" s="387">
        <v>0</v>
      </c>
      <c r="Q634" s="387">
        <v>52</v>
      </c>
      <c r="R634" s="387">
        <v>375</v>
      </c>
      <c r="S634" s="1174">
        <f>Locations[[#This Row],[Ind_Returnees]]+Locations[[#This Row],[Ind_Refugees]]+Locations[[#This Row],[Ind_IDPs]]</f>
        <v>6963</v>
      </c>
    </row>
    <row r="635" spans="1:19" s="388" customFormat="1" x14ac:dyDescent="0.3">
      <c r="A635" s="5" t="s">
        <v>533</v>
      </c>
      <c r="B635" s="1430" t="s">
        <v>3449</v>
      </c>
      <c r="C635" s="1090" t="s">
        <v>534</v>
      </c>
      <c r="D635" s="5" t="s">
        <v>35</v>
      </c>
      <c r="E635" s="5" t="s">
        <v>35</v>
      </c>
      <c r="F635" s="5" t="s">
        <v>567</v>
      </c>
      <c r="G635" s="5" t="s">
        <v>193</v>
      </c>
      <c r="H635" s="5" t="s">
        <v>3983</v>
      </c>
      <c r="I635" s="5" t="s">
        <v>863</v>
      </c>
      <c r="J635" t="s">
        <v>2910</v>
      </c>
      <c r="K635" s="5" t="s">
        <v>3091</v>
      </c>
      <c r="L635" s="5"/>
      <c r="M635" s="387">
        <v>121</v>
      </c>
      <c r="N635" s="387">
        <v>527</v>
      </c>
      <c r="O635" s="387">
        <v>15</v>
      </c>
      <c r="P635" s="387">
        <v>76</v>
      </c>
      <c r="Q635" s="387">
        <v>33</v>
      </c>
      <c r="R635" s="387">
        <v>185</v>
      </c>
      <c r="S635" s="1174">
        <f>Locations[[#This Row],[Ind_Returnees]]+Locations[[#This Row],[Ind_Refugees]]+Locations[[#This Row],[Ind_IDPs]]</f>
        <v>788</v>
      </c>
    </row>
    <row r="636" spans="1:19" s="388" customFormat="1" x14ac:dyDescent="0.3">
      <c r="A636" s="5" t="s">
        <v>533</v>
      </c>
      <c r="B636" s="1430" t="s">
        <v>3449</v>
      </c>
      <c r="C636" s="398" t="s">
        <v>534</v>
      </c>
      <c r="D636" s="5" t="s">
        <v>31</v>
      </c>
      <c r="E636" s="5" t="s">
        <v>31</v>
      </c>
      <c r="F636" s="5" t="s">
        <v>549</v>
      </c>
      <c r="G636" s="5" t="s">
        <v>171</v>
      </c>
      <c r="H636" s="5" t="s">
        <v>171</v>
      </c>
      <c r="I636" s="5" t="s">
        <v>634</v>
      </c>
      <c r="J636" t="s">
        <v>1982</v>
      </c>
      <c r="K636" s="5" t="s">
        <v>841</v>
      </c>
      <c r="L636" s="5"/>
      <c r="M636" s="387">
        <v>27</v>
      </c>
      <c r="N636" s="387">
        <v>208</v>
      </c>
      <c r="O636" s="387">
        <v>0</v>
      </c>
      <c r="P636" s="387">
        <v>0</v>
      </c>
      <c r="Q636" s="387">
        <v>0</v>
      </c>
      <c r="R636" s="387">
        <v>0</v>
      </c>
      <c r="S636" s="1174">
        <f>Locations[[#This Row],[Ind_Returnees]]+Locations[[#This Row],[Ind_Refugees]]+Locations[[#This Row],[Ind_IDPs]]</f>
        <v>208</v>
      </c>
    </row>
    <row r="637" spans="1:19" s="388" customFormat="1" x14ac:dyDescent="0.3">
      <c r="A637" s="5" t="s">
        <v>533</v>
      </c>
      <c r="B637" s="1430" t="s">
        <v>3449</v>
      </c>
      <c r="C637" s="1090" t="s">
        <v>534</v>
      </c>
      <c r="D637" s="5" t="s">
        <v>31</v>
      </c>
      <c r="E637" s="5" t="s">
        <v>31</v>
      </c>
      <c r="F637" s="5" t="s">
        <v>549</v>
      </c>
      <c r="G637" s="5" t="s">
        <v>169</v>
      </c>
      <c r="H637" s="5" t="s">
        <v>169</v>
      </c>
      <c r="I637" s="5" t="s">
        <v>673</v>
      </c>
      <c r="J637" t="s">
        <v>1639</v>
      </c>
      <c r="K637" s="5" t="s">
        <v>841</v>
      </c>
      <c r="L637" s="5"/>
      <c r="M637" s="387">
        <v>22</v>
      </c>
      <c r="N637" s="387">
        <v>90</v>
      </c>
      <c r="O637" s="387">
        <v>30</v>
      </c>
      <c r="P637" s="387">
        <v>100</v>
      </c>
      <c r="Q637" s="387">
        <v>0</v>
      </c>
      <c r="R637" s="387">
        <v>0</v>
      </c>
      <c r="S637" s="1174">
        <f>Locations[[#This Row],[Ind_Returnees]]+Locations[[#This Row],[Ind_Refugees]]+Locations[[#This Row],[Ind_IDPs]]</f>
        <v>190</v>
      </c>
    </row>
    <row r="638" spans="1:19" s="388" customFormat="1" x14ac:dyDescent="0.3">
      <c r="A638" s="5" t="s">
        <v>533</v>
      </c>
      <c r="B638" s="1430" t="s">
        <v>3449</v>
      </c>
      <c r="C638" s="1090" t="s">
        <v>534</v>
      </c>
      <c r="D638" s="5" t="s">
        <v>31</v>
      </c>
      <c r="E638" s="5" t="s">
        <v>31</v>
      </c>
      <c r="F638" s="5" t="s">
        <v>549</v>
      </c>
      <c r="G638" s="5" t="s">
        <v>171</v>
      </c>
      <c r="H638" s="5" t="s">
        <v>171</v>
      </c>
      <c r="I638" s="5" t="s">
        <v>634</v>
      </c>
      <c r="J638" t="s">
        <v>1914</v>
      </c>
      <c r="K638" s="5" t="s">
        <v>1263</v>
      </c>
      <c r="L638" s="5"/>
      <c r="M638" s="387">
        <v>27</v>
      </c>
      <c r="N638" s="387">
        <v>164</v>
      </c>
      <c r="O638" s="387">
        <v>0</v>
      </c>
      <c r="P638" s="387">
        <v>0</v>
      </c>
      <c r="Q638" s="387">
        <v>0</v>
      </c>
      <c r="R638" s="387">
        <v>0</v>
      </c>
      <c r="S638" s="1174">
        <f>Locations[[#This Row],[Ind_Returnees]]+Locations[[#This Row],[Ind_Refugees]]+Locations[[#This Row],[Ind_IDPs]]</f>
        <v>164</v>
      </c>
    </row>
    <row r="639" spans="1:19" s="388" customFormat="1" x14ac:dyDescent="0.3">
      <c r="A639" s="5" t="s">
        <v>533</v>
      </c>
      <c r="B639" s="1430" t="s">
        <v>3449</v>
      </c>
      <c r="C639" s="398" t="s">
        <v>534</v>
      </c>
      <c r="D639" s="5" t="s">
        <v>31</v>
      </c>
      <c r="E639" s="5" t="s">
        <v>31</v>
      </c>
      <c r="F639" s="5" t="s">
        <v>549</v>
      </c>
      <c r="G639" s="5" t="s">
        <v>170</v>
      </c>
      <c r="H639" s="5" t="s">
        <v>170</v>
      </c>
      <c r="I639" s="5" t="s">
        <v>866</v>
      </c>
      <c r="J639" t="s">
        <v>1107</v>
      </c>
      <c r="K639" s="5" t="s">
        <v>2113</v>
      </c>
      <c r="L639" s="5"/>
      <c r="M639" s="387">
        <v>0</v>
      </c>
      <c r="N639" s="387">
        <v>0</v>
      </c>
      <c r="O639" s="387">
        <v>0</v>
      </c>
      <c r="P639" s="387">
        <v>0</v>
      </c>
      <c r="Q639" s="387">
        <v>0</v>
      </c>
      <c r="R639" s="387">
        <v>0</v>
      </c>
      <c r="S639" s="1174">
        <f>Locations[[#This Row],[Ind_Returnees]]+Locations[[#This Row],[Ind_Refugees]]+Locations[[#This Row],[Ind_IDPs]]</f>
        <v>0</v>
      </c>
    </row>
    <row r="640" spans="1:19" s="388" customFormat="1" x14ac:dyDescent="0.3">
      <c r="A640" s="5" t="s">
        <v>533</v>
      </c>
      <c r="B640" s="1430" t="s">
        <v>3449</v>
      </c>
      <c r="C640" s="398" t="s">
        <v>534</v>
      </c>
      <c r="D640" s="5" t="s">
        <v>31</v>
      </c>
      <c r="E640" s="5" t="s">
        <v>31</v>
      </c>
      <c r="F640" s="5" t="s">
        <v>549</v>
      </c>
      <c r="G640" s="5" t="s">
        <v>170</v>
      </c>
      <c r="H640" s="5" t="s">
        <v>170</v>
      </c>
      <c r="I640" s="5" t="s">
        <v>866</v>
      </c>
      <c r="J640" t="s">
        <v>2099</v>
      </c>
      <c r="K640" s="5" t="s">
        <v>2090</v>
      </c>
      <c r="L640" s="5"/>
      <c r="M640" s="387">
        <v>0</v>
      </c>
      <c r="N640" s="387">
        <v>0</v>
      </c>
      <c r="O640" s="387">
        <v>0</v>
      </c>
      <c r="P640" s="387">
        <v>0</v>
      </c>
      <c r="Q640" s="387">
        <v>10</v>
      </c>
      <c r="R640" s="387">
        <v>56</v>
      </c>
      <c r="S640" s="1174">
        <f>Locations[[#This Row],[Ind_Returnees]]+Locations[[#This Row],[Ind_Refugees]]+Locations[[#This Row],[Ind_IDPs]]</f>
        <v>56</v>
      </c>
    </row>
    <row r="641" spans="1:19" s="388" customFormat="1" x14ac:dyDescent="0.3">
      <c r="A641" s="5" t="s">
        <v>533</v>
      </c>
      <c r="B641" s="1430" t="s">
        <v>3449</v>
      </c>
      <c r="C641" s="1090" t="s">
        <v>534</v>
      </c>
      <c r="D641" s="5" t="s">
        <v>31</v>
      </c>
      <c r="E641" s="5" t="s">
        <v>31</v>
      </c>
      <c r="F641" s="5" t="s">
        <v>549</v>
      </c>
      <c r="G641" s="5" t="s">
        <v>167</v>
      </c>
      <c r="H641" s="5" t="s">
        <v>167</v>
      </c>
      <c r="I641" s="5" t="s">
        <v>1113</v>
      </c>
      <c r="J641" t="s">
        <v>2083</v>
      </c>
      <c r="K641" s="5" t="s">
        <v>1469</v>
      </c>
      <c r="L641" s="5"/>
      <c r="M641" s="387">
        <v>4</v>
      </c>
      <c r="N641" s="387">
        <v>29</v>
      </c>
      <c r="O641" s="387">
        <v>0</v>
      </c>
      <c r="P641" s="387">
        <v>0</v>
      </c>
      <c r="Q641" s="387">
        <v>0</v>
      </c>
      <c r="R641" s="387">
        <v>0</v>
      </c>
      <c r="S641" s="1174">
        <f>Locations[[#This Row],[Ind_Returnees]]+Locations[[#This Row],[Ind_Refugees]]+Locations[[#This Row],[Ind_IDPs]]</f>
        <v>29</v>
      </c>
    </row>
    <row r="642" spans="1:19" s="388" customFormat="1" x14ac:dyDescent="0.3">
      <c r="A642" s="5" t="s">
        <v>533</v>
      </c>
      <c r="B642" s="1430" t="s">
        <v>3449</v>
      </c>
      <c r="C642" s="398" t="s">
        <v>534</v>
      </c>
      <c r="D642" s="5" t="s">
        <v>31</v>
      </c>
      <c r="E642" s="5" t="s">
        <v>31</v>
      </c>
      <c r="F642" s="5" t="s">
        <v>549</v>
      </c>
      <c r="G642" s="5" t="s">
        <v>169</v>
      </c>
      <c r="H642" s="5" t="s">
        <v>169</v>
      </c>
      <c r="I642" s="5" t="s">
        <v>673</v>
      </c>
      <c r="J642" t="s">
        <v>1446</v>
      </c>
      <c r="K642" s="5" t="s">
        <v>1469</v>
      </c>
      <c r="L642" s="5"/>
      <c r="M642" s="387">
        <v>35</v>
      </c>
      <c r="N642" s="387">
        <v>370</v>
      </c>
      <c r="O642" s="387">
        <v>0</v>
      </c>
      <c r="P642" s="387">
        <v>0</v>
      </c>
      <c r="Q642" s="387">
        <v>5</v>
      </c>
      <c r="R642" s="387">
        <v>20</v>
      </c>
      <c r="S642" s="1174">
        <f>Locations[[#This Row],[Ind_Returnees]]+Locations[[#This Row],[Ind_Refugees]]+Locations[[#This Row],[Ind_IDPs]]</f>
        <v>390</v>
      </c>
    </row>
    <row r="643" spans="1:19" s="388" customFormat="1" x14ac:dyDescent="0.3">
      <c r="A643" s="5" t="s">
        <v>533</v>
      </c>
      <c r="B643" s="1430" t="s">
        <v>3449</v>
      </c>
      <c r="C643" s="1090" t="s">
        <v>534</v>
      </c>
      <c r="D643" s="5" t="s">
        <v>31</v>
      </c>
      <c r="E643" s="5" t="s">
        <v>31</v>
      </c>
      <c r="F643" s="5" t="s">
        <v>549</v>
      </c>
      <c r="G643" s="5" t="s">
        <v>171</v>
      </c>
      <c r="H643" s="5" t="s">
        <v>171</v>
      </c>
      <c r="I643" s="5" t="s">
        <v>634</v>
      </c>
      <c r="J643" t="s">
        <v>891</v>
      </c>
      <c r="K643" s="5" t="s">
        <v>1469</v>
      </c>
      <c r="L643" s="5"/>
      <c r="M643" s="387">
        <v>5</v>
      </c>
      <c r="N643" s="387">
        <v>20</v>
      </c>
      <c r="O643" s="387">
        <v>15</v>
      </c>
      <c r="P643" s="387">
        <v>50</v>
      </c>
      <c r="Q643" s="387">
        <v>0</v>
      </c>
      <c r="R643" s="387">
        <v>0</v>
      </c>
      <c r="S643" s="1174">
        <f>Locations[[#This Row],[Ind_Returnees]]+Locations[[#This Row],[Ind_Refugees]]+Locations[[#This Row],[Ind_IDPs]]</f>
        <v>70</v>
      </c>
    </row>
    <row r="644" spans="1:19" s="388" customFormat="1" x14ac:dyDescent="0.3">
      <c r="A644" s="5" t="s">
        <v>533</v>
      </c>
      <c r="B644" s="1430" t="s">
        <v>3449</v>
      </c>
      <c r="C644" s="1090" t="s">
        <v>534</v>
      </c>
      <c r="D644" s="5" t="s">
        <v>31</v>
      </c>
      <c r="E644" s="5" t="s">
        <v>31</v>
      </c>
      <c r="F644" s="5" t="s">
        <v>549</v>
      </c>
      <c r="G644" s="5" t="s">
        <v>171</v>
      </c>
      <c r="H644" s="5" t="s">
        <v>171</v>
      </c>
      <c r="I644" s="5" t="s">
        <v>634</v>
      </c>
      <c r="J644" t="s">
        <v>1066</v>
      </c>
      <c r="K644" s="5" t="s">
        <v>1757</v>
      </c>
      <c r="L644" s="5"/>
      <c r="M644" s="387">
        <v>110</v>
      </c>
      <c r="N644" s="387">
        <v>1000</v>
      </c>
      <c r="O644" s="387">
        <v>0</v>
      </c>
      <c r="P644" s="387">
        <v>0</v>
      </c>
      <c r="Q644" s="387">
        <v>0</v>
      </c>
      <c r="R644" s="387">
        <v>0</v>
      </c>
      <c r="S644" s="1174">
        <f>Locations[[#This Row],[Ind_Returnees]]+Locations[[#This Row],[Ind_Refugees]]+Locations[[#This Row],[Ind_IDPs]]</f>
        <v>1000</v>
      </c>
    </row>
    <row r="645" spans="1:19" s="388" customFormat="1" x14ac:dyDescent="0.3">
      <c r="A645" s="5" t="s">
        <v>533</v>
      </c>
      <c r="B645" s="1430" t="s">
        <v>3449</v>
      </c>
      <c r="C645" s="398" t="s">
        <v>534</v>
      </c>
      <c r="D645" s="5" t="s">
        <v>31</v>
      </c>
      <c r="E645" s="5" t="s">
        <v>31</v>
      </c>
      <c r="F645" s="5" t="s">
        <v>549</v>
      </c>
      <c r="G645" s="5" t="s">
        <v>170</v>
      </c>
      <c r="H645" s="5" t="s">
        <v>170</v>
      </c>
      <c r="I645" s="5" t="s">
        <v>866</v>
      </c>
      <c r="J645" t="s">
        <v>2112</v>
      </c>
      <c r="K645" s="5" t="s">
        <v>868</v>
      </c>
      <c r="L645" s="5"/>
      <c r="M645" s="387">
        <v>0</v>
      </c>
      <c r="N645" s="387">
        <v>0</v>
      </c>
      <c r="O645" s="387">
        <v>6</v>
      </c>
      <c r="P645" s="387">
        <v>50</v>
      </c>
      <c r="Q645" s="387">
        <v>0</v>
      </c>
      <c r="R645" s="387">
        <v>0</v>
      </c>
      <c r="S645" s="1174">
        <f>Locations[[#This Row],[Ind_Returnees]]+Locations[[#This Row],[Ind_Refugees]]+Locations[[#This Row],[Ind_IDPs]]</f>
        <v>50</v>
      </c>
    </row>
    <row r="646" spans="1:19" s="388" customFormat="1" x14ac:dyDescent="0.3">
      <c r="A646" s="5" t="s">
        <v>533</v>
      </c>
      <c r="B646" s="1430" t="s">
        <v>3449</v>
      </c>
      <c r="C646" s="1090" t="s">
        <v>534</v>
      </c>
      <c r="D646" s="5" t="s">
        <v>31</v>
      </c>
      <c r="E646" s="5" t="s">
        <v>31</v>
      </c>
      <c r="F646" s="5" t="s">
        <v>549</v>
      </c>
      <c r="G646" s="5" t="s">
        <v>171</v>
      </c>
      <c r="H646" s="5" t="s">
        <v>171</v>
      </c>
      <c r="I646" s="5" t="s">
        <v>634</v>
      </c>
      <c r="J646" t="s">
        <v>1918</v>
      </c>
      <c r="K646" s="5" t="s">
        <v>1994</v>
      </c>
      <c r="L646" s="5"/>
      <c r="M646" s="387">
        <v>19</v>
      </c>
      <c r="N646" s="387">
        <v>98</v>
      </c>
      <c r="O646" s="387">
        <v>0</v>
      </c>
      <c r="P646" s="387">
        <v>0</v>
      </c>
      <c r="Q646" s="387">
        <v>0</v>
      </c>
      <c r="R646" s="387">
        <v>0</v>
      </c>
      <c r="S646" s="1174">
        <f>Locations[[#This Row],[Ind_Returnees]]+Locations[[#This Row],[Ind_Refugees]]+Locations[[#This Row],[Ind_IDPs]]</f>
        <v>98</v>
      </c>
    </row>
    <row r="647" spans="1:19" s="388" customFormat="1" x14ac:dyDescent="0.3">
      <c r="A647" s="5" t="s">
        <v>533</v>
      </c>
      <c r="B647" s="1430" t="s">
        <v>3449</v>
      </c>
      <c r="C647" s="1090" t="s">
        <v>534</v>
      </c>
      <c r="D647" s="5" t="s">
        <v>31</v>
      </c>
      <c r="E647" s="5" t="s">
        <v>31</v>
      </c>
      <c r="F647" s="5" t="s">
        <v>549</v>
      </c>
      <c r="G647" s="5" t="s">
        <v>173</v>
      </c>
      <c r="H647" s="5" t="s">
        <v>173</v>
      </c>
      <c r="I647" s="5" t="s">
        <v>556</v>
      </c>
      <c r="J647" t="s">
        <v>1441</v>
      </c>
      <c r="K647" s="5" t="s">
        <v>1590</v>
      </c>
      <c r="L647" s="5"/>
      <c r="M647" s="387">
        <v>4</v>
      </c>
      <c r="N647" s="387">
        <v>30</v>
      </c>
      <c r="O647" s="387">
        <v>0</v>
      </c>
      <c r="P647" s="387">
        <v>0</v>
      </c>
      <c r="Q647" s="387">
        <v>0</v>
      </c>
      <c r="R647" s="387">
        <v>0</v>
      </c>
      <c r="S647" s="1174">
        <f>Locations[[#This Row],[Ind_Returnees]]+Locations[[#This Row],[Ind_Refugees]]+Locations[[#This Row],[Ind_IDPs]]</f>
        <v>30</v>
      </c>
    </row>
    <row r="648" spans="1:19" s="388" customFormat="1" x14ac:dyDescent="0.3">
      <c r="A648" s="5" t="s">
        <v>533</v>
      </c>
      <c r="B648" s="1430" t="s">
        <v>3449</v>
      </c>
      <c r="C648" s="398" t="s">
        <v>534</v>
      </c>
      <c r="D648" s="5" t="s">
        <v>35</v>
      </c>
      <c r="E648" s="5" t="s">
        <v>35</v>
      </c>
      <c r="F648" s="5" t="s">
        <v>567</v>
      </c>
      <c r="G648" s="5" t="s">
        <v>195</v>
      </c>
      <c r="H648" s="5" t="s">
        <v>195</v>
      </c>
      <c r="I648" s="5" t="s">
        <v>733</v>
      </c>
      <c r="J648" t="s">
        <v>1747</v>
      </c>
      <c r="K648" s="5" t="s">
        <v>1748</v>
      </c>
      <c r="L648" s="5"/>
      <c r="M648" s="387">
        <v>4</v>
      </c>
      <c r="N648" s="387">
        <v>11</v>
      </c>
      <c r="O648" s="387">
        <v>0</v>
      </c>
      <c r="P648" s="387">
        <v>0</v>
      </c>
      <c r="Q648" s="387">
        <v>8</v>
      </c>
      <c r="R648" s="387">
        <v>50</v>
      </c>
      <c r="S648" s="1174">
        <f>Locations[[#This Row],[Ind_Returnees]]+Locations[[#This Row],[Ind_Refugees]]+Locations[[#This Row],[Ind_IDPs]]</f>
        <v>61</v>
      </c>
    </row>
    <row r="649" spans="1:19" s="388" customFormat="1" x14ac:dyDescent="0.3">
      <c r="A649" s="5" t="s">
        <v>533</v>
      </c>
      <c r="B649" s="1430" t="s">
        <v>3449</v>
      </c>
      <c r="C649" s="1090" t="s">
        <v>534</v>
      </c>
      <c r="D649" s="5" t="s">
        <v>31</v>
      </c>
      <c r="E649" s="5" t="s">
        <v>31</v>
      </c>
      <c r="F649" s="5" t="s">
        <v>549</v>
      </c>
      <c r="G649" s="5" t="s">
        <v>170</v>
      </c>
      <c r="H649" s="5" t="s">
        <v>170</v>
      </c>
      <c r="I649" s="5" t="s">
        <v>866</v>
      </c>
      <c r="J649" t="s">
        <v>1116</v>
      </c>
      <c r="K649" s="5" t="s">
        <v>2123</v>
      </c>
      <c r="L649" s="5"/>
      <c r="M649" s="387">
        <v>32</v>
      </c>
      <c r="N649" s="387">
        <v>167</v>
      </c>
      <c r="O649" s="387">
        <v>0</v>
      </c>
      <c r="P649" s="387">
        <v>0</v>
      </c>
      <c r="Q649" s="387">
        <v>0</v>
      </c>
      <c r="R649" s="387">
        <v>0</v>
      </c>
      <c r="S649" s="1174">
        <f>Locations[[#This Row],[Ind_Returnees]]+Locations[[#This Row],[Ind_Refugees]]+Locations[[#This Row],[Ind_IDPs]]</f>
        <v>167</v>
      </c>
    </row>
    <row r="650" spans="1:19" s="388" customFormat="1" x14ac:dyDescent="0.3">
      <c r="A650" s="5" t="s">
        <v>533</v>
      </c>
      <c r="B650" s="1430" t="s">
        <v>3449</v>
      </c>
      <c r="C650" s="398" t="s">
        <v>534</v>
      </c>
      <c r="D650" s="5" t="s">
        <v>31</v>
      </c>
      <c r="E650" s="5" t="s">
        <v>31</v>
      </c>
      <c r="F650" s="5" t="s">
        <v>549</v>
      </c>
      <c r="G650" s="5" t="s">
        <v>170</v>
      </c>
      <c r="H650" s="5" t="s">
        <v>170</v>
      </c>
      <c r="I650" s="5" t="s">
        <v>866</v>
      </c>
      <c r="J650" t="s">
        <v>1954</v>
      </c>
      <c r="K650" s="5" t="s">
        <v>2122</v>
      </c>
      <c r="L650" s="5"/>
      <c r="M650" s="387">
        <v>5</v>
      </c>
      <c r="N650" s="387">
        <v>32</v>
      </c>
      <c r="O650" s="387">
        <v>0</v>
      </c>
      <c r="P650" s="387">
        <v>0</v>
      </c>
      <c r="Q650" s="387">
        <v>0</v>
      </c>
      <c r="R650" s="387">
        <v>0</v>
      </c>
      <c r="S650" s="1174">
        <f>Locations[[#This Row],[Ind_Returnees]]+Locations[[#This Row],[Ind_Refugees]]+Locations[[#This Row],[Ind_IDPs]]</f>
        <v>32</v>
      </c>
    </row>
    <row r="651" spans="1:19" s="388" customFormat="1" x14ac:dyDescent="0.3">
      <c r="A651" s="5" t="s">
        <v>533</v>
      </c>
      <c r="B651" s="1430" t="s">
        <v>3449</v>
      </c>
      <c r="C651" s="398" t="s">
        <v>534</v>
      </c>
      <c r="D651" s="5" t="s">
        <v>31</v>
      </c>
      <c r="E651" s="5" t="s">
        <v>31</v>
      </c>
      <c r="F651" s="5" t="s">
        <v>549</v>
      </c>
      <c r="G651" s="5" t="s">
        <v>170</v>
      </c>
      <c r="H651" s="5" t="s">
        <v>170</v>
      </c>
      <c r="I651" s="5" t="s">
        <v>866</v>
      </c>
      <c r="J651" t="s">
        <v>1349</v>
      </c>
      <c r="K651" s="5" t="s">
        <v>2124</v>
      </c>
      <c r="L651" s="5"/>
      <c r="M651" s="387">
        <v>7</v>
      </c>
      <c r="N651" s="387">
        <v>48</v>
      </c>
      <c r="O651" s="387">
        <v>0</v>
      </c>
      <c r="P651" s="387">
        <v>0</v>
      </c>
      <c r="Q651" s="387">
        <v>0</v>
      </c>
      <c r="R651" s="387">
        <v>0</v>
      </c>
      <c r="S651" s="1174">
        <f>Locations[[#This Row],[Ind_Returnees]]+Locations[[#This Row],[Ind_Refugees]]+Locations[[#This Row],[Ind_IDPs]]</f>
        <v>48</v>
      </c>
    </row>
    <row r="652" spans="1:19" s="388" customFormat="1" x14ac:dyDescent="0.3">
      <c r="A652" s="5" t="s">
        <v>533</v>
      </c>
      <c r="B652" s="1430" t="s">
        <v>3449</v>
      </c>
      <c r="C652" s="1090" t="s">
        <v>534</v>
      </c>
      <c r="D652" s="5" t="s">
        <v>34</v>
      </c>
      <c r="E652" s="5" t="s">
        <v>34</v>
      </c>
      <c r="F652" s="5" t="s">
        <v>539</v>
      </c>
      <c r="G652" s="5" t="s">
        <v>189</v>
      </c>
      <c r="H652" s="5" t="s">
        <v>189</v>
      </c>
      <c r="I652" s="5" t="s">
        <v>590</v>
      </c>
      <c r="J652" t="s">
        <v>755</v>
      </c>
      <c r="K652" s="5" t="s">
        <v>756</v>
      </c>
      <c r="L652" s="5"/>
      <c r="M652" s="387">
        <v>10</v>
      </c>
      <c r="N652" s="387">
        <v>144</v>
      </c>
      <c r="O652" s="387">
        <v>2</v>
      </c>
      <c r="P652" s="387">
        <v>45</v>
      </c>
      <c r="Q652" s="387">
        <v>0</v>
      </c>
      <c r="R652" s="387">
        <v>0</v>
      </c>
      <c r="S652" s="1174">
        <f>Locations[[#This Row],[Ind_Returnees]]+Locations[[#This Row],[Ind_Refugees]]+Locations[[#This Row],[Ind_IDPs]]</f>
        <v>189</v>
      </c>
    </row>
    <row r="653" spans="1:19" s="388" customFormat="1" x14ac:dyDescent="0.3">
      <c r="A653" s="5" t="s">
        <v>533</v>
      </c>
      <c r="B653" s="1430" t="s">
        <v>3449</v>
      </c>
      <c r="C653" s="1090" t="s">
        <v>534</v>
      </c>
      <c r="D653" s="5" t="s">
        <v>35</v>
      </c>
      <c r="E653" s="5" t="s">
        <v>35</v>
      </c>
      <c r="F653" s="5" t="s">
        <v>567</v>
      </c>
      <c r="G653" s="5" t="s">
        <v>192</v>
      </c>
      <c r="H653" s="5" t="s">
        <v>192</v>
      </c>
      <c r="I653" s="5" t="s">
        <v>853</v>
      </c>
      <c r="J653" t="s">
        <v>2920</v>
      </c>
      <c r="K653" s="5" t="s">
        <v>1534</v>
      </c>
      <c r="L653" s="5"/>
      <c r="M653" s="387">
        <v>373</v>
      </c>
      <c r="N653" s="387">
        <v>2350</v>
      </c>
      <c r="O653" s="387">
        <v>0</v>
      </c>
      <c r="P653" s="387">
        <v>0</v>
      </c>
      <c r="Q653" s="387">
        <v>0</v>
      </c>
      <c r="R653" s="387">
        <v>0</v>
      </c>
      <c r="S653" s="1174">
        <f>Locations[[#This Row],[Ind_Returnees]]+Locations[[#This Row],[Ind_Refugees]]+Locations[[#This Row],[Ind_IDPs]]</f>
        <v>2350</v>
      </c>
    </row>
    <row r="654" spans="1:19" s="388" customFormat="1" x14ac:dyDescent="0.3">
      <c r="A654" s="5" t="s">
        <v>533</v>
      </c>
      <c r="B654" s="1430" t="s">
        <v>3449</v>
      </c>
      <c r="C654" s="1090" t="s">
        <v>534</v>
      </c>
      <c r="D654" s="5" t="s">
        <v>35</v>
      </c>
      <c r="E654" s="5" t="s">
        <v>35</v>
      </c>
      <c r="F654" s="5" t="s">
        <v>567</v>
      </c>
      <c r="G654" s="5" t="s">
        <v>195</v>
      </c>
      <c r="H654" s="5" t="s">
        <v>195</v>
      </c>
      <c r="I654" s="5" t="s">
        <v>733</v>
      </c>
      <c r="J654" t="s">
        <v>1764</v>
      </c>
      <c r="K654" s="5" t="s">
        <v>1534</v>
      </c>
      <c r="L654" s="5"/>
      <c r="M654" s="387">
        <v>173</v>
      </c>
      <c r="N654" s="387">
        <v>1145</v>
      </c>
      <c r="O654" s="387">
        <v>0</v>
      </c>
      <c r="P654" s="387">
        <v>0</v>
      </c>
      <c r="Q654" s="387">
        <v>0</v>
      </c>
      <c r="R654" s="387">
        <v>0</v>
      </c>
      <c r="S654" s="1174">
        <f>Locations[[#This Row],[Ind_Returnees]]+Locations[[#This Row],[Ind_Refugees]]+Locations[[#This Row],[Ind_IDPs]]</f>
        <v>1145</v>
      </c>
    </row>
    <row r="655" spans="1:19" s="388" customFormat="1" x14ac:dyDescent="0.3">
      <c r="A655" s="5" t="s">
        <v>533</v>
      </c>
      <c r="B655" s="1430" t="s">
        <v>3449</v>
      </c>
      <c r="C655" s="398" t="s">
        <v>534</v>
      </c>
      <c r="D655" s="5" t="s">
        <v>33</v>
      </c>
      <c r="E655" s="5" t="s">
        <v>33</v>
      </c>
      <c r="F655" s="5" t="s">
        <v>561</v>
      </c>
      <c r="G655" s="5" t="s">
        <v>183</v>
      </c>
      <c r="H655" s="5" t="s">
        <v>183</v>
      </c>
      <c r="I655" s="5" t="s">
        <v>562</v>
      </c>
      <c r="J655" t="s">
        <v>598</v>
      </c>
      <c r="K655" s="5" t="s">
        <v>599</v>
      </c>
      <c r="L655" s="5"/>
      <c r="M655" s="387">
        <v>4</v>
      </c>
      <c r="N655" s="387">
        <v>26</v>
      </c>
      <c r="O655" s="387">
        <v>0</v>
      </c>
      <c r="P655" s="387">
        <v>0</v>
      </c>
      <c r="Q655" s="387">
        <v>0</v>
      </c>
      <c r="R655" s="387">
        <v>0</v>
      </c>
      <c r="S655" s="1174">
        <f>Locations[[#This Row],[Ind_Returnees]]+Locations[[#This Row],[Ind_Refugees]]+Locations[[#This Row],[Ind_IDPs]]</f>
        <v>26</v>
      </c>
    </row>
    <row r="656" spans="1:19" s="388" customFormat="1" x14ac:dyDescent="0.3">
      <c r="A656" s="5" t="s">
        <v>533</v>
      </c>
      <c r="B656" s="1430" t="s">
        <v>3449</v>
      </c>
      <c r="C656" s="1090" t="s">
        <v>534</v>
      </c>
      <c r="D656" s="5" t="s">
        <v>33</v>
      </c>
      <c r="E656" s="5" t="s">
        <v>33</v>
      </c>
      <c r="F656" s="5" t="s">
        <v>561</v>
      </c>
      <c r="G656" s="5" t="s">
        <v>182</v>
      </c>
      <c r="H656" s="5" t="s">
        <v>182</v>
      </c>
      <c r="I656" s="5" t="s">
        <v>647</v>
      </c>
      <c r="J656" t="s">
        <v>2290</v>
      </c>
      <c r="K656" s="5" t="s">
        <v>2291</v>
      </c>
      <c r="L656" s="5"/>
      <c r="M656" s="387">
        <v>0</v>
      </c>
      <c r="N656" s="387">
        <v>0</v>
      </c>
      <c r="O656" s="387">
        <v>2</v>
      </c>
      <c r="P656" s="387">
        <v>30</v>
      </c>
      <c r="Q656" s="387">
        <v>0</v>
      </c>
      <c r="R656" s="387">
        <v>0</v>
      </c>
      <c r="S656" s="1174">
        <f>Locations[[#This Row],[Ind_Returnees]]+Locations[[#This Row],[Ind_Refugees]]+Locations[[#This Row],[Ind_IDPs]]</f>
        <v>30</v>
      </c>
    </row>
    <row r="657" spans="1:19" s="388" customFormat="1" x14ac:dyDescent="0.3">
      <c r="A657" s="5" t="s">
        <v>533</v>
      </c>
      <c r="B657" s="1430" t="s">
        <v>3449</v>
      </c>
      <c r="C657" s="398" t="s">
        <v>534</v>
      </c>
      <c r="D657" s="5" t="s">
        <v>35</v>
      </c>
      <c r="E657" s="5" t="s">
        <v>35</v>
      </c>
      <c r="F657" s="5" t="s">
        <v>567</v>
      </c>
      <c r="G657" s="5" t="s">
        <v>192</v>
      </c>
      <c r="H657" s="5" t="s">
        <v>192</v>
      </c>
      <c r="I657" s="5" t="s">
        <v>853</v>
      </c>
      <c r="J657" t="s">
        <v>1525</v>
      </c>
      <c r="K657" s="5" t="s">
        <v>1317</v>
      </c>
      <c r="L657" s="5"/>
      <c r="M657" s="387">
        <v>129</v>
      </c>
      <c r="N657" s="387">
        <v>667</v>
      </c>
      <c r="O657" s="387">
        <v>0</v>
      </c>
      <c r="P657" s="387">
        <v>0</v>
      </c>
      <c r="Q657" s="387">
        <v>10</v>
      </c>
      <c r="R657" s="387">
        <v>101</v>
      </c>
      <c r="S657" s="1174">
        <f>Locations[[#This Row],[Ind_Returnees]]+Locations[[#This Row],[Ind_Refugees]]+Locations[[#This Row],[Ind_IDPs]]</f>
        <v>768</v>
      </c>
    </row>
    <row r="658" spans="1:19" s="388" customFormat="1" x14ac:dyDescent="0.3">
      <c r="A658" s="5" t="s">
        <v>533</v>
      </c>
      <c r="B658" s="1430" t="s">
        <v>3449</v>
      </c>
      <c r="C658" s="1090" t="s">
        <v>534</v>
      </c>
      <c r="D658" s="5" t="s">
        <v>35</v>
      </c>
      <c r="E658" s="5" t="s">
        <v>35</v>
      </c>
      <c r="F658" s="5" t="s">
        <v>567</v>
      </c>
      <c r="G658" s="1144" t="s">
        <v>195</v>
      </c>
      <c r="H658" s="1144" t="s">
        <v>195</v>
      </c>
      <c r="I658" s="5" t="s">
        <v>733</v>
      </c>
      <c r="J658" t="s">
        <v>1767</v>
      </c>
      <c r="K658" s="5" t="s">
        <v>1483</v>
      </c>
      <c r="L658" s="5"/>
      <c r="M658" s="387">
        <v>0</v>
      </c>
      <c r="N658" s="387">
        <v>0</v>
      </c>
      <c r="O658" s="387">
        <v>0</v>
      </c>
      <c r="P658" s="387">
        <v>0</v>
      </c>
      <c r="Q658" s="387">
        <v>0</v>
      </c>
      <c r="R658" s="387">
        <v>0</v>
      </c>
      <c r="S658" s="1174">
        <f>Locations[[#This Row],[Ind_Returnees]]+Locations[[#This Row],[Ind_Refugees]]+Locations[[#This Row],[Ind_IDPs]]</f>
        <v>0</v>
      </c>
    </row>
    <row r="659" spans="1:19" s="388" customFormat="1" x14ac:dyDescent="0.3">
      <c r="A659" s="5" t="s">
        <v>533</v>
      </c>
      <c r="B659" s="1430" t="s">
        <v>3449</v>
      </c>
      <c r="C659" s="398" t="s">
        <v>534</v>
      </c>
      <c r="D659" s="5" t="s">
        <v>35</v>
      </c>
      <c r="E659" s="5" t="s">
        <v>35</v>
      </c>
      <c r="F659" s="5" t="s">
        <v>567</v>
      </c>
      <c r="G659" s="5" t="s">
        <v>195</v>
      </c>
      <c r="H659" s="5" t="s">
        <v>195</v>
      </c>
      <c r="I659" s="5" t="s">
        <v>733</v>
      </c>
      <c r="J659" t="s">
        <v>1620</v>
      </c>
      <c r="K659" s="5" t="s">
        <v>2096</v>
      </c>
      <c r="L659" s="5"/>
      <c r="M659" s="387">
        <v>296</v>
      </c>
      <c r="N659" s="387">
        <v>2009</v>
      </c>
      <c r="O659" s="387">
        <v>86</v>
      </c>
      <c r="P659" s="387">
        <v>564</v>
      </c>
      <c r="Q659" s="387">
        <v>70</v>
      </c>
      <c r="R659" s="387">
        <v>356</v>
      </c>
      <c r="S659" s="1174">
        <f>Locations[[#This Row],[Ind_Returnees]]+Locations[[#This Row],[Ind_Refugees]]+Locations[[#This Row],[Ind_IDPs]]</f>
        <v>2929</v>
      </c>
    </row>
    <row r="660" spans="1:19" s="388" customFormat="1" x14ac:dyDescent="0.3">
      <c r="A660" s="5" t="s">
        <v>533</v>
      </c>
      <c r="B660" s="1430" t="s">
        <v>3449</v>
      </c>
      <c r="C660" s="1090" t="s">
        <v>534</v>
      </c>
      <c r="D660" s="5" t="s">
        <v>35</v>
      </c>
      <c r="E660" s="5" t="s">
        <v>35</v>
      </c>
      <c r="F660" s="5" t="s">
        <v>567</v>
      </c>
      <c r="G660" s="5" t="s">
        <v>195</v>
      </c>
      <c r="H660" s="5" t="s">
        <v>195</v>
      </c>
      <c r="I660" s="5" t="s">
        <v>733</v>
      </c>
      <c r="J660" t="s">
        <v>913</v>
      </c>
      <c r="K660" s="5" t="s">
        <v>1690</v>
      </c>
      <c r="L660" s="5"/>
      <c r="M660" s="387">
        <v>40</v>
      </c>
      <c r="N660" s="387">
        <v>293</v>
      </c>
      <c r="O660" s="387">
        <v>0</v>
      </c>
      <c r="P660" s="387">
        <v>0</v>
      </c>
      <c r="Q660" s="387">
        <v>0</v>
      </c>
      <c r="R660" s="387">
        <v>0</v>
      </c>
      <c r="S660" s="1174">
        <f>Locations[[#This Row],[Ind_Returnees]]+Locations[[#This Row],[Ind_Refugees]]+Locations[[#This Row],[Ind_IDPs]]</f>
        <v>293</v>
      </c>
    </row>
    <row r="661" spans="1:19" s="388" customFormat="1" x14ac:dyDescent="0.3">
      <c r="A661" s="5" t="s">
        <v>533</v>
      </c>
      <c r="B661" s="1430" t="s">
        <v>3449</v>
      </c>
      <c r="C661" s="1090" t="s">
        <v>534</v>
      </c>
      <c r="D661" s="5" t="s">
        <v>35</v>
      </c>
      <c r="E661" s="5" t="s">
        <v>35</v>
      </c>
      <c r="F661" s="5" t="s">
        <v>567</v>
      </c>
      <c r="G661" s="5" t="s">
        <v>193</v>
      </c>
      <c r="H661" s="5" t="s">
        <v>3983</v>
      </c>
      <c r="I661" s="5" t="s">
        <v>863</v>
      </c>
      <c r="J661" t="s">
        <v>3211</v>
      </c>
      <c r="K661" s="5" t="s">
        <v>3078</v>
      </c>
      <c r="L661" s="5"/>
      <c r="M661" s="387">
        <v>0</v>
      </c>
      <c r="N661" s="387">
        <v>0</v>
      </c>
      <c r="O661" s="387">
        <v>0</v>
      </c>
      <c r="P661" s="387">
        <v>0</v>
      </c>
      <c r="Q661" s="387">
        <v>0</v>
      </c>
      <c r="R661" s="387">
        <v>0</v>
      </c>
      <c r="S661" s="1174">
        <f>Locations[[#This Row],[Ind_Returnees]]+Locations[[#This Row],[Ind_Refugees]]+Locations[[#This Row],[Ind_IDPs]]</f>
        <v>0</v>
      </c>
    </row>
    <row r="662" spans="1:19" s="388" customFormat="1" x14ac:dyDescent="0.3">
      <c r="A662" s="5" t="s">
        <v>533</v>
      </c>
      <c r="B662" s="1430" t="s">
        <v>3449</v>
      </c>
      <c r="C662" s="398" t="s">
        <v>534</v>
      </c>
      <c r="D662" s="5" t="s">
        <v>35</v>
      </c>
      <c r="E662" s="5" t="s">
        <v>35</v>
      </c>
      <c r="F662" s="5" t="s">
        <v>567</v>
      </c>
      <c r="G662" s="5" t="s">
        <v>195</v>
      </c>
      <c r="H662" s="5" t="s">
        <v>195</v>
      </c>
      <c r="I662" s="5" t="s">
        <v>733</v>
      </c>
      <c r="J662" t="s">
        <v>2921</v>
      </c>
      <c r="K662" s="5" t="s">
        <v>2094</v>
      </c>
      <c r="L662" s="5"/>
      <c r="M662" s="387">
        <v>65</v>
      </c>
      <c r="N662" s="387">
        <v>246</v>
      </c>
      <c r="O662" s="387">
        <v>86</v>
      </c>
      <c r="P662" s="387">
        <v>564</v>
      </c>
      <c r="Q662" s="387">
        <v>70</v>
      </c>
      <c r="R662" s="387">
        <v>356</v>
      </c>
      <c r="S662" s="1174">
        <f>Locations[[#This Row],[Ind_Returnees]]+Locations[[#This Row],[Ind_Refugees]]+Locations[[#This Row],[Ind_IDPs]]</f>
        <v>1166</v>
      </c>
    </row>
    <row r="663" spans="1:19" s="388" customFormat="1" x14ac:dyDescent="0.3">
      <c r="A663" s="5" t="s">
        <v>533</v>
      </c>
      <c r="B663" s="1430" t="s">
        <v>3449</v>
      </c>
      <c r="C663" s="398" t="s">
        <v>534</v>
      </c>
      <c r="D663" s="5" t="s">
        <v>31</v>
      </c>
      <c r="E663" s="5" t="s">
        <v>31</v>
      </c>
      <c r="F663" s="5" t="s">
        <v>549</v>
      </c>
      <c r="G663" s="5" t="s">
        <v>166</v>
      </c>
      <c r="H663" s="5" t="s">
        <v>166</v>
      </c>
      <c r="I663" s="5" t="s">
        <v>844</v>
      </c>
      <c r="J663" t="s">
        <v>1558</v>
      </c>
      <c r="K663" s="5" t="s">
        <v>2502</v>
      </c>
      <c r="L663" s="5"/>
      <c r="M663" s="387">
        <v>0</v>
      </c>
      <c r="N663" s="387">
        <v>0</v>
      </c>
      <c r="O663" s="387">
        <v>0</v>
      </c>
      <c r="P663" s="387">
        <v>0</v>
      </c>
      <c r="Q663" s="387">
        <v>0</v>
      </c>
      <c r="R663" s="387">
        <v>0</v>
      </c>
      <c r="S663" s="1174">
        <f>Locations[[#This Row],[Ind_Returnees]]+Locations[[#This Row],[Ind_Refugees]]+Locations[[#This Row],[Ind_IDPs]]</f>
        <v>0</v>
      </c>
    </row>
    <row r="664" spans="1:19" s="388" customFormat="1" x14ac:dyDescent="0.3">
      <c r="A664" s="5" t="s">
        <v>533</v>
      </c>
      <c r="B664" s="1430" t="s">
        <v>3449</v>
      </c>
      <c r="C664" s="398" t="s">
        <v>534</v>
      </c>
      <c r="D664" s="5" t="s">
        <v>31</v>
      </c>
      <c r="E664" s="5" t="s">
        <v>31</v>
      </c>
      <c r="F664" s="5" t="s">
        <v>549</v>
      </c>
      <c r="G664" s="5" t="s">
        <v>169</v>
      </c>
      <c r="H664" s="5" t="s">
        <v>169</v>
      </c>
      <c r="I664" s="5" t="s">
        <v>673</v>
      </c>
      <c r="J664" t="s">
        <v>3212</v>
      </c>
      <c r="K664" s="5" t="s">
        <v>3079</v>
      </c>
      <c r="L664" s="5"/>
      <c r="M664" s="387">
        <v>0</v>
      </c>
      <c r="N664" s="387">
        <v>0</v>
      </c>
      <c r="O664" s="387">
        <v>0</v>
      </c>
      <c r="P664" s="387">
        <v>0</v>
      </c>
      <c r="Q664" s="387">
        <v>0</v>
      </c>
      <c r="R664" s="387">
        <v>0</v>
      </c>
      <c r="S664" s="1174">
        <f>Locations[[#This Row],[Ind_Returnees]]+Locations[[#This Row],[Ind_Refugees]]+Locations[[#This Row],[Ind_IDPs]]</f>
        <v>0</v>
      </c>
    </row>
    <row r="665" spans="1:19" s="388" customFormat="1" x14ac:dyDescent="0.3">
      <c r="A665" s="5" t="s">
        <v>533</v>
      </c>
      <c r="B665" s="1430" t="s">
        <v>3449</v>
      </c>
      <c r="C665" s="1090" t="s">
        <v>534</v>
      </c>
      <c r="D665" s="5" t="s">
        <v>34</v>
      </c>
      <c r="E665" s="5" t="s">
        <v>34</v>
      </c>
      <c r="F665" s="5" t="s">
        <v>539</v>
      </c>
      <c r="G665" s="5" t="s">
        <v>188</v>
      </c>
      <c r="H665" s="5" t="s">
        <v>188</v>
      </c>
      <c r="I665" s="5" t="s">
        <v>546</v>
      </c>
      <c r="J665" t="s">
        <v>1675</v>
      </c>
      <c r="K665" s="5" t="s">
        <v>1500</v>
      </c>
      <c r="L665" s="5"/>
      <c r="M665" s="387">
        <v>62</v>
      </c>
      <c r="N665" s="387">
        <v>377</v>
      </c>
      <c r="O665" s="387">
        <v>2</v>
      </c>
      <c r="P665" s="387">
        <v>9</v>
      </c>
      <c r="Q665" s="387">
        <v>425</v>
      </c>
      <c r="R665" s="387">
        <v>2669</v>
      </c>
      <c r="S665" s="1174">
        <f>Locations[[#This Row],[Ind_Returnees]]+Locations[[#This Row],[Ind_Refugees]]+Locations[[#This Row],[Ind_IDPs]]</f>
        <v>3055</v>
      </c>
    </row>
    <row r="666" spans="1:19" s="388" customFormat="1" x14ac:dyDescent="0.3">
      <c r="A666" s="5" t="s">
        <v>533</v>
      </c>
      <c r="B666" s="1430" t="s">
        <v>3449</v>
      </c>
      <c r="C666" s="1090" t="s">
        <v>534</v>
      </c>
      <c r="D666" s="5" t="s">
        <v>31</v>
      </c>
      <c r="E666" s="5" t="s">
        <v>31</v>
      </c>
      <c r="F666" s="5" t="s">
        <v>549</v>
      </c>
      <c r="G666" s="5" t="s">
        <v>166</v>
      </c>
      <c r="H666" s="5" t="s">
        <v>166</v>
      </c>
      <c r="I666" s="5" t="s">
        <v>844</v>
      </c>
      <c r="J666" t="s">
        <v>2170</v>
      </c>
      <c r="K666" s="5" t="s">
        <v>2504</v>
      </c>
      <c r="L666" s="5"/>
      <c r="M666" s="387">
        <v>0</v>
      </c>
      <c r="N666" s="387">
        <v>0</v>
      </c>
      <c r="O666" s="387">
        <v>0</v>
      </c>
      <c r="P666" s="387">
        <v>0</v>
      </c>
      <c r="Q666" s="387">
        <v>0</v>
      </c>
      <c r="R666" s="387">
        <v>0</v>
      </c>
      <c r="S666" s="1174">
        <f>Locations[[#This Row],[Ind_Returnees]]+Locations[[#This Row],[Ind_Refugees]]+Locations[[#This Row],[Ind_IDPs]]</f>
        <v>0</v>
      </c>
    </row>
    <row r="667" spans="1:19" s="388" customFormat="1" x14ac:dyDescent="0.3">
      <c r="A667" s="5" t="s">
        <v>533</v>
      </c>
      <c r="B667" s="1430" t="s">
        <v>3449</v>
      </c>
      <c r="C667" s="1090" t="s">
        <v>534</v>
      </c>
      <c r="D667" s="5" t="s">
        <v>31</v>
      </c>
      <c r="E667" s="5" t="s">
        <v>31</v>
      </c>
      <c r="F667" s="5" t="s">
        <v>549</v>
      </c>
      <c r="G667" s="5" t="s">
        <v>169</v>
      </c>
      <c r="H667" s="5" t="s">
        <v>169</v>
      </c>
      <c r="I667" s="5" t="s">
        <v>673</v>
      </c>
      <c r="J667" t="s">
        <v>2923</v>
      </c>
      <c r="K667" s="5" t="s">
        <v>1008</v>
      </c>
      <c r="L667" s="5"/>
      <c r="M667" s="387">
        <v>35</v>
      </c>
      <c r="N667" s="387">
        <v>100</v>
      </c>
      <c r="O667" s="387">
        <v>10</v>
      </c>
      <c r="P667" s="387">
        <v>80</v>
      </c>
      <c r="Q667" s="387">
        <v>35</v>
      </c>
      <c r="R667" s="387">
        <v>170</v>
      </c>
      <c r="S667" s="1174">
        <f>Locations[[#This Row],[Ind_Returnees]]+Locations[[#This Row],[Ind_Refugees]]+Locations[[#This Row],[Ind_IDPs]]</f>
        <v>350</v>
      </c>
    </row>
    <row r="668" spans="1:19" s="388" customFormat="1" x14ac:dyDescent="0.3">
      <c r="A668" s="5" t="s">
        <v>533</v>
      </c>
      <c r="B668" s="1430" t="s">
        <v>3449</v>
      </c>
      <c r="C668" s="398" t="s">
        <v>534</v>
      </c>
      <c r="D668" s="5" t="s">
        <v>30</v>
      </c>
      <c r="E668" s="5" t="s">
        <v>3522</v>
      </c>
      <c r="F668" s="5" t="s">
        <v>535</v>
      </c>
      <c r="G668" s="5" t="s">
        <v>158</v>
      </c>
      <c r="H668" s="5" t="s">
        <v>158</v>
      </c>
      <c r="I668" s="5" t="s">
        <v>571</v>
      </c>
      <c r="J668" t="s">
        <v>1725</v>
      </c>
      <c r="K668" s="5" t="s">
        <v>1726</v>
      </c>
      <c r="L668" s="5"/>
      <c r="M668" s="387">
        <v>2</v>
      </c>
      <c r="N668" s="387">
        <v>12</v>
      </c>
      <c r="O668" s="387">
        <v>0</v>
      </c>
      <c r="P668" s="387">
        <v>0</v>
      </c>
      <c r="Q668" s="387">
        <v>0</v>
      </c>
      <c r="R668" s="387">
        <v>0</v>
      </c>
      <c r="S668" s="1174">
        <f>Locations[[#This Row],[Ind_Returnees]]+Locations[[#This Row],[Ind_Refugees]]+Locations[[#This Row],[Ind_IDPs]]</f>
        <v>12</v>
      </c>
    </row>
    <row r="669" spans="1:19" s="388" customFormat="1" x14ac:dyDescent="0.3">
      <c r="A669" s="5" t="s">
        <v>533</v>
      </c>
      <c r="B669" s="1430" t="s">
        <v>3449</v>
      </c>
      <c r="C669" s="1090" t="s">
        <v>534</v>
      </c>
      <c r="D669" s="5" t="s">
        <v>33</v>
      </c>
      <c r="E669" s="5" t="s">
        <v>33</v>
      </c>
      <c r="F669" s="5" t="s">
        <v>561</v>
      </c>
      <c r="G669" s="5" t="s">
        <v>185</v>
      </c>
      <c r="H669" s="5" t="s">
        <v>185</v>
      </c>
      <c r="I669" s="5" t="s">
        <v>656</v>
      </c>
      <c r="J669" t="s">
        <v>2924</v>
      </c>
      <c r="K669" s="5" t="s">
        <v>736</v>
      </c>
      <c r="L669" s="5"/>
      <c r="M669" s="387">
        <v>1</v>
      </c>
      <c r="N669" s="387">
        <v>11</v>
      </c>
      <c r="O669" s="387">
        <v>0</v>
      </c>
      <c r="P669" s="387">
        <v>0</v>
      </c>
      <c r="Q669" s="387">
        <v>4</v>
      </c>
      <c r="R669" s="387">
        <v>20</v>
      </c>
      <c r="S669" s="1174">
        <f>Locations[[#This Row],[Ind_Returnees]]+Locations[[#This Row],[Ind_Refugees]]+Locations[[#This Row],[Ind_IDPs]]</f>
        <v>31</v>
      </c>
    </row>
    <row r="670" spans="1:19" s="388" customFormat="1" x14ac:dyDescent="0.3">
      <c r="A670" s="5" t="s">
        <v>533</v>
      </c>
      <c r="B670" s="1430" t="s">
        <v>3449</v>
      </c>
      <c r="C670" s="398" t="s">
        <v>534</v>
      </c>
      <c r="D670" s="5" t="s">
        <v>30</v>
      </c>
      <c r="E670" s="5" t="s">
        <v>3522</v>
      </c>
      <c r="F670" s="5" t="s">
        <v>535</v>
      </c>
      <c r="G670" s="5" t="s">
        <v>162</v>
      </c>
      <c r="H670" s="5" t="s">
        <v>3529</v>
      </c>
      <c r="I670" s="5" t="s">
        <v>536</v>
      </c>
      <c r="J670" t="s">
        <v>695</v>
      </c>
      <c r="K670" s="5" t="s">
        <v>696</v>
      </c>
      <c r="L670" s="5"/>
      <c r="M670" s="387">
        <v>20</v>
      </c>
      <c r="N670" s="387">
        <v>228</v>
      </c>
      <c r="O670" s="387">
        <v>2</v>
      </c>
      <c r="P670" s="387">
        <v>10</v>
      </c>
      <c r="Q670" s="387">
        <v>0</v>
      </c>
      <c r="R670" s="387">
        <v>0</v>
      </c>
      <c r="S670" s="1174">
        <f>Locations[[#This Row],[Ind_Returnees]]+Locations[[#This Row],[Ind_Refugees]]+Locations[[#This Row],[Ind_IDPs]]</f>
        <v>238</v>
      </c>
    </row>
    <row r="671" spans="1:19" s="388" customFormat="1" x14ac:dyDescent="0.3">
      <c r="A671" s="5" t="s">
        <v>533</v>
      </c>
      <c r="B671" s="1430" t="s">
        <v>3449</v>
      </c>
      <c r="C671" s="398" t="s">
        <v>534</v>
      </c>
      <c r="D671" s="5" t="s">
        <v>30</v>
      </c>
      <c r="E671" s="5" t="s">
        <v>3522</v>
      </c>
      <c r="F671" s="5" t="s">
        <v>535</v>
      </c>
      <c r="G671" s="1144" t="s">
        <v>161</v>
      </c>
      <c r="H671" s="1144" t="s">
        <v>3523</v>
      </c>
      <c r="I671" s="5" t="s">
        <v>587</v>
      </c>
      <c r="J671" t="s">
        <v>588</v>
      </c>
      <c r="K671" s="5" t="s">
        <v>589</v>
      </c>
      <c r="L671" s="5"/>
      <c r="M671" s="387">
        <v>184</v>
      </c>
      <c r="N671" s="387">
        <v>1078</v>
      </c>
      <c r="O671" s="387">
        <v>0</v>
      </c>
      <c r="P671" s="387">
        <v>0</v>
      </c>
      <c r="Q671" s="387">
        <v>0</v>
      </c>
      <c r="R671" s="387">
        <v>0</v>
      </c>
      <c r="S671" s="1174">
        <f>Locations[[#This Row],[Ind_Returnees]]+Locations[[#This Row],[Ind_Refugees]]+Locations[[#This Row],[Ind_IDPs]]</f>
        <v>1078</v>
      </c>
    </row>
    <row r="672" spans="1:19" s="388" customFormat="1" x14ac:dyDescent="0.3">
      <c r="A672" s="5" t="s">
        <v>533</v>
      </c>
      <c r="B672" s="1430" t="s">
        <v>3449</v>
      </c>
      <c r="C672" s="1090" t="s">
        <v>534</v>
      </c>
      <c r="D672" s="5" t="s">
        <v>32</v>
      </c>
      <c r="E672" s="5" t="s">
        <v>32</v>
      </c>
      <c r="F672" s="5" t="s">
        <v>542</v>
      </c>
      <c r="G672" s="1144" t="s">
        <v>176</v>
      </c>
      <c r="H672" s="1144" t="s">
        <v>176</v>
      </c>
      <c r="I672" s="5" t="s">
        <v>772</v>
      </c>
      <c r="J672" t="s">
        <v>773</v>
      </c>
      <c r="K672" s="5" t="s">
        <v>774</v>
      </c>
      <c r="L672" s="5"/>
      <c r="M672" s="387">
        <v>230</v>
      </c>
      <c r="N672" s="387">
        <v>2506</v>
      </c>
      <c r="O672" s="387">
        <v>5</v>
      </c>
      <c r="P672" s="387">
        <v>18</v>
      </c>
      <c r="Q672" s="387">
        <v>0</v>
      </c>
      <c r="R672" s="387">
        <v>0</v>
      </c>
      <c r="S672" s="1174">
        <f>Locations[[#This Row],[Ind_Returnees]]+Locations[[#This Row],[Ind_Refugees]]+Locations[[#This Row],[Ind_IDPs]]</f>
        <v>2524</v>
      </c>
    </row>
    <row r="673" spans="1:19" s="388" customFormat="1" x14ac:dyDescent="0.3">
      <c r="A673" s="5" t="s">
        <v>533</v>
      </c>
      <c r="B673" s="1430" t="s">
        <v>3449</v>
      </c>
      <c r="C673" s="1090" t="s">
        <v>534</v>
      </c>
      <c r="D673" s="5" t="s">
        <v>32</v>
      </c>
      <c r="E673" s="5" t="s">
        <v>32</v>
      </c>
      <c r="F673" s="5" t="s">
        <v>542</v>
      </c>
      <c r="G673" s="1144" t="s">
        <v>176</v>
      </c>
      <c r="H673" s="1144" t="s">
        <v>176</v>
      </c>
      <c r="I673" s="5" t="s">
        <v>772</v>
      </c>
      <c r="J673" t="s">
        <v>2255</v>
      </c>
      <c r="K673" s="5" t="s">
        <v>2256</v>
      </c>
      <c r="L673" s="5"/>
      <c r="M673" s="387">
        <v>0</v>
      </c>
      <c r="N673" s="387">
        <v>0</v>
      </c>
      <c r="O673" s="387">
        <v>0</v>
      </c>
      <c r="P673" s="387">
        <v>0</v>
      </c>
      <c r="Q673" s="387">
        <v>45</v>
      </c>
      <c r="R673" s="387">
        <v>306</v>
      </c>
      <c r="S673" s="1174">
        <f>Locations[[#This Row],[Ind_Returnees]]+Locations[[#This Row],[Ind_Refugees]]+Locations[[#This Row],[Ind_IDPs]]</f>
        <v>306</v>
      </c>
    </row>
    <row r="674" spans="1:19" s="388" customFormat="1" x14ac:dyDescent="0.3">
      <c r="A674" s="5" t="s">
        <v>533</v>
      </c>
      <c r="B674" s="1430" t="s">
        <v>3449</v>
      </c>
      <c r="C674" s="1090" t="s">
        <v>534</v>
      </c>
      <c r="D674" s="5" t="s">
        <v>35</v>
      </c>
      <c r="E674" s="5" t="s">
        <v>35</v>
      </c>
      <c r="F674" s="5" t="s">
        <v>567</v>
      </c>
      <c r="G674" s="5" t="s">
        <v>195</v>
      </c>
      <c r="H674" s="5" t="s">
        <v>195</v>
      </c>
      <c r="I674" s="5" t="s">
        <v>733</v>
      </c>
      <c r="J674" t="s">
        <v>3213</v>
      </c>
      <c r="K674" s="5" t="s">
        <v>3070</v>
      </c>
      <c r="L674" s="5"/>
      <c r="M674" s="387">
        <v>172</v>
      </c>
      <c r="N674" s="387">
        <v>630</v>
      </c>
      <c r="O674" s="387">
        <v>7</v>
      </c>
      <c r="P674" s="387">
        <v>51</v>
      </c>
      <c r="Q674" s="387">
        <v>20</v>
      </c>
      <c r="R674" s="387">
        <v>90</v>
      </c>
      <c r="S674" s="1174">
        <f>Locations[[#This Row],[Ind_Returnees]]+Locations[[#This Row],[Ind_Refugees]]+Locations[[#This Row],[Ind_IDPs]]</f>
        <v>771</v>
      </c>
    </row>
    <row r="675" spans="1:19" s="388" customFormat="1" x14ac:dyDescent="0.3">
      <c r="A675" s="5" t="s">
        <v>533</v>
      </c>
      <c r="B675" s="1430" t="s">
        <v>3449</v>
      </c>
      <c r="C675" s="398" t="s">
        <v>534</v>
      </c>
      <c r="D675" s="5" t="s">
        <v>31</v>
      </c>
      <c r="E675" s="5" t="s">
        <v>31</v>
      </c>
      <c r="F675" s="5" t="s">
        <v>549</v>
      </c>
      <c r="G675" s="5" t="s">
        <v>169</v>
      </c>
      <c r="H675" s="5" t="s">
        <v>169</v>
      </c>
      <c r="I675" s="5" t="s">
        <v>673</v>
      </c>
      <c r="J675" t="s">
        <v>1644</v>
      </c>
      <c r="K675" s="5" t="s">
        <v>1640</v>
      </c>
      <c r="L675" s="5"/>
      <c r="M675" s="387">
        <v>9</v>
      </c>
      <c r="N675" s="387">
        <v>61</v>
      </c>
      <c r="O675" s="387">
        <v>0</v>
      </c>
      <c r="P675" s="387">
        <v>0</v>
      </c>
      <c r="Q675" s="387">
        <v>60</v>
      </c>
      <c r="R675" s="387">
        <v>352</v>
      </c>
      <c r="S675" s="1174">
        <f>Locations[[#This Row],[Ind_Returnees]]+Locations[[#This Row],[Ind_Refugees]]+Locations[[#This Row],[Ind_IDPs]]</f>
        <v>413</v>
      </c>
    </row>
    <row r="676" spans="1:19" s="388" customFormat="1" x14ac:dyDescent="0.3">
      <c r="A676" s="5" t="s">
        <v>533</v>
      </c>
      <c r="B676" s="1430" t="s">
        <v>3449</v>
      </c>
      <c r="C676" s="398" t="s">
        <v>534</v>
      </c>
      <c r="D676" s="5" t="s">
        <v>33</v>
      </c>
      <c r="E676" s="5" t="s">
        <v>33</v>
      </c>
      <c r="F676" s="5" t="s">
        <v>561</v>
      </c>
      <c r="G676" s="5" t="s">
        <v>183</v>
      </c>
      <c r="H676" s="5" t="s">
        <v>183</v>
      </c>
      <c r="I676" s="5" t="s">
        <v>562</v>
      </c>
      <c r="J676" t="s">
        <v>744</v>
      </c>
      <c r="K676" s="5" t="s">
        <v>745</v>
      </c>
      <c r="L676" s="5"/>
      <c r="M676" s="387">
        <v>82</v>
      </c>
      <c r="N676" s="387">
        <v>637</v>
      </c>
      <c r="O676" s="387">
        <v>12</v>
      </c>
      <c r="P676" s="387">
        <v>75</v>
      </c>
      <c r="Q676" s="387">
        <v>0</v>
      </c>
      <c r="R676" s="387">
        <v>0</v>
      </c>
      <c r="S676" s="1174">
        <f>Locations[[#This Row],[Ind_Returnees]]+Locations[[#This Row],[Ind_Refugees]]+Locations[[#This Row],[Ind_IDPs]]</f>
        <v>712</v>
      </c>
    </row>
    <row r="677" spans="1:19" s="388" customFormat="1" x14ac:dyDescent="0.3">
      <c r="A677" s="5" t="s">
        <v>533</v>
      </c>
      <c r="B677" s="1430" t="s">
        <v>3449</v>
      </c>
      <c r="C677" s="1090" t="s">
        <v>534</v>
      </c>
      <c r="D677" s="5" t="s">
        <v>31</v>
      </c>
      <c r="E677" s="5" t="s">
        <v>31</v>
      </c>
      <c r="F677" s="5" t="s">
        <v>549</v>
      </c>
      <c r="G677" s="5" t="s">
        <v>171</v>
      </c>
      <c r="H677" s="5" t="s">
        <v>171</v>
      </c>
      <c r="I677" s="5" t="s">
        <v>634</v>
      </c>
      <c r="J677" t="s">
        <v>1048</v>
      </c>
      <c r="K677" s="5" t="s">
        <v>745</v>
      </c>
      <c r="L677" s="5"/>
      <c r="M677" s="387">
        <v>211</v>
      </c>
      <c r="N677" s="387">
        <v>847</v>
      </c>
      <c r="O677" s="387">
        <v>0</v>
      </c>
      <c r="P677" s="387">
        <v>0</v>
      </c>
      <c r="Q677" s="387">
        <v>0</v>
      </c>
      <c r="R677" s="387">
        <v>0</v>
      </c>
      <c r="S677" s="1174">
        <f>Locations[[#This Row],[Ind_Returnees]]+Locations[[#This Row],[Ind_Refugees]]+Locations[[#This Row],[Ind_IDPs]]</f>
        <v>847</v>
      </c>
    </row>
    <row r="678" spans="1:19" s="388" customFormat="1" x14ac:dyDescent="0.3">
      <c r="A678" s="5" t="s">
        <v>533</v>
      </c>
      <c r="B678" s="1430" t="s">
        <v>3449</v>
      </c>
      <c r="C678" s="398" t="s">
        <v>534</v>
      </c>
      <c r="D678" s="5" t="s">
        <v>31</v>
      </c>
      <c r="E678" s="5" t="s">
        <v>31</v>
      </c>
      <c r="F678" s="5" t="s">
        <v>549</v>
      </c>
      <c r="G678" s="5" t="s">
        <v>172</v>
      </c>
      <c r="H678" s="5" t="s">
        <v>172</v>
      </c>
      <c r="I678" s="5" t="s">
        <v>706</v>
      </c>
      <c r="J678" t="s">
        <v>1030</v>
      </c>
      <c r="K678" s="5" t="s">
        <v>1069</v>
      </c>
      <c r="L678" s="5"/>
      <c r="M678" s="387">
        <v>20</v>
      </c>
      <c r="N678" s="387">
        <v>99</v>
      </c>
      <c r="O678" s="387">
        <v>40</v>
      </c>
      <c r="P678" s="387">
        <v>190</v>
      </c>
      <c r="Q678" s="387">
        <v>100</v>
      </c>
      <c r="R678" s="387">
        <v>524</v>
      </c>
      <c r="S678" s="1174">
        <f>Locations[[#This Row],[Ind_Returnees]]+Locations[[#This Row],[Ind_Refugees]]+Locations[[#This Row],[Ind_IDPs]]</f>
        <v>813</v>
      </c>
    </row>
    <row r="679" spans="1:19" s="388" customFormat="1" x14ac:dyDescent="0.3">
      <c r="A679" s="5" t="s">
        <v>533</v>
      </c>
      <c r="B679" s="1430" t="s">
        <v>3449</v>
      </c>
      <c r="C679" s="1090" t="s">
        <v>534</v>
      </c>
      <c r="D679" s="5" t="s">
        <v>31</v>
      </c>
      <c r="E679" s="5" t="s">
        <v>31</v>
      </c>
      <c r="F679" s="5" t="s">
        <v>549</v>
      </c>
      <c r="G679" s="5" t="s">
        <v>172</v>
      </c>
      <c r="H679" s="5" t="s">
        <v>172</v>
      </c>
      <c r="I679" s="5" t="s">
        <v>706</v>
      </c>
      <c r="J679" t="s">
        <v>1957</v>
      </c>
      <c r="K679" s="5" t="s">
        <v>2382</v>
      </c>
      <c r="L679" s="5"/>
      <c r="M679" s="387">
        <v>0</v>
      </c>
      <c r="N679" s="387">
        <v>0</v>
      </c>
      <c r="O679" s="387">
        <v>0</v>
      </c>
      <c r="P679" s="387">
        <v>0</v>
      </c>
      <c r="Q679" s="387">
        <v>0</v>
      </c>
      <c r="R679" s="387">
        <v>0</v>
      </c>
      <c r="S679" s="1174">
        <f>Locations[[#This Row],[Ind_Returnees]]+Locations[[#This Row],[Ind_Refugees]]+Locations[[#This Row],[Ind_IDPs]]</f>
        <v>0</v>
      </c>
    </row>
    <row r="680" spans="1:19" s="388" customFormat="1" x14ac:dyDescent="0.3">
      <c r="A680" s="5" t="s">
        <v>533</v>
      </c>
      <c r="B680" s="1430" t="s">
        <v>3449</v>
      </c>
      <c r="C680" s="1090" t="s">
        <v>534</v>
      </c>
      <c r="D680" s="5" t="s">
        <v>34</v>
      </c>
      <c r="E680" s="5" t="s">
        <v>34</v>
      </c>
      <c r="F680" s="5" t="s">
        <v>539</v>
      </c>
      <c r="G680" s="5" t="s">
        <v>189</v>
      </c>
      <c r="H680" s="5" t="s">
        <v>189</v>
      </c>
      <c r="I680" s="5" t="s">
        <v>590</v>
      </c>
      <c r="J680" t="s">
        <v>1324</v>
      </c>
      <c r="K680" s="5" t="s">
        <v>1325</v>
      </c>
      <c r="L680" s="5"/>
      <c r="M680" s="387">
        <v>138</v>
      </c>
      <c r="N680" s="387">
        <v>374</v>
      </c>
      <c r="O680" s="387">
        <v>0</v>
      </c>
      <c r="P680" s="387">
        <v>0</v>
      </c>
      <c r="Q680" s="387">
        <v>0</v>
      </c>
      <c r="R680" s="387">
        <v>0</v>
      </c>
      <c r="S680" s="1174">
        <f>Locations[[#This Row],[Ind_Returnees]]+Locations[[#This Row],[Ind_Refugees]]+Locations[[#This Row],[Ind_IDPs]]</f>
        <v>374</v>
      </c>
    </row>
    <row r="681" spans="1:19" s="388" customFormat="1" x14ac:dyDescent="0.3">
      <c r="A681" s="5" t="s">
        <v>533</v>
      </c>
      <c r="B681" s="1430" t="s">
        <v>3449</v>
      </c>
      <c r="C681" s="398" t="s">
        <v>534</v>
      </c>
      <c r="D681" s="5" t="s">
        <v>31</v>
      </c>
      <c r="E681" s="5" t="s">
        <v>31</v>
      </c>
      <c r="F681" s="5" t="s">
        <v>549</v>
      </c>
      <c r="G681" s="5" t="s">
        <v>164</v>
      </c>
      <c r="H681" s="5" t="s">
        <v>164</v>
      </c>
      <c r="I681" s="5" t="s">
        <v>748</v>
      </c>
      <c r="J681" t="s">
        <v>2480</v>
      </c>
      <c r="K681" s="5" t="s">
        <v>2481</v>
      </c>
      <c r="L681" s="5"/>
      <c r="M681" s="387">
        <v>0</v>
      </c>
      <c r="N681" s="387">
        <v>0</v>
      </c>
      <c r="O681" s="387">
        <v>0</v>
      </c>
      <c r="P681" s="387">
        <v>0</v>
      </c>
      <c r="Q681" s="387">
        <v>0</v>
      </c>
      <c r="R681" s="387">
        <v>0</v>
      </c>
      <c r="S681" s="1174">
        <f>Locations[[#This Row],[Ind_Returnees]]+Locations[[#This Row],[Ind_Refugees]]+Locations[[#This Row],[Ind_IDPs]]</f>
        <v>0</v>
      </c>
    </row>
    <row r="682" spans="1:19" s="388" customFormat="1" x14ac:dyDescent="0.3">
      <c r="A682" s="577" t="s">
        <v>533</v>
      </c>
      <c r="B682" s="1430" t="s">
        <v>3449</v>
      </c>
      <c r="C682" s="577" t="s">
        <v>534</v>
      </c>
      <c r="D682" s="577" t="s">
        <v>31</v>
      </c>
      <c r="E682" s="577" t="s">
        <v>31</v>
      </c>
      <c r="F682" s="577" t="s">
        <v>549</v>
      </c>
      <c r="G682" s="577" t="s">
        <v>170</v>
      </c>
      <c r="H682" s="577" t="s">
        <v>170</v>
      </c>
      <c r="I682" s="577" t="s">
        <v>866</v>
      </c>
      <c r="J682" s="577" t="s">
        <v>2089</v>
      </c>
      <c r="K682" s="577" t="s">
        <v>1703</v>
      </c>
      <c r="L682" s="577"/>
      <c r="M682" s="387">
        <v>105</v>
      </c>
      <c r="N682" s="387">
        <v>301</v>
      </c>
      <c r="O682" s="387">
        <v>0</v>
      </c>
      <c r="P682" s="387">
        <v>0</v>
      </c>
      <c r="Q682" s="387">
        <v>0</v>
      </c>
      <c r="R682" s="387">
        <v>0</v>
      </c>
      <c r="S682" s="1174">
        <f>Locations[[#This Row],[Ind_Returnees]]+Locations[[#This Row],[Ind_Refugees]]+Locations[[#This Row],[Ind_IDPs]]</f>
        <v>301</v>
      </c>
    </row>
    <row r="683" spans="1:19" s="388" customFormat="1" x14ac:dyDescent="0.3">
      <c r="A683" s="5" t="s">
        <v>533</v>
      </c>
      <c r="B683" s="1430" t="s">
        <v>3449</v>
      </c>
      <c r="C683" s="1090" t="s">
        <v>534</v>
      </c>
      <c r="D683" s="5" t="s">
        <v>31</v>
      </c>
      <c r="E683" s="5" t="s">
        <v>31</v>
      </c>
      <c r="F683" s="5" t="s">
        <v>549</v>
      </c>
      <c r="G683" s="5" t="s">
        <v>170</v>
      </c>
      <c r="H683" s="5" t="s">
        <v>170</v>
      </c>
      <c r="I683" s="5" t="s">
        <v>866</v>
      </c>
      <c r="J683" t="s">
        <v>867</v>
      </c>
      <c r="K683" s="5" t="s">
        <v>2008</v>
      </c>
      <c r="L683" s="5"/>
      <c r="M683" s="387">
        <v>0</v>
      </c>
      <c r="N683" s="387">
        <v>0</v>
      </c>
      <c r="O683" s="387">
        <v>0</v>
      </c>
      <c r="P683" s="387">
        <v>0</v>
      </c>
      <c r="Q683" s="387">
        <v>0</v>
      </c>
      <c r="R683" s="387">
        <v>0</v>
      </c>
      <c r="S683" s="1174">
        <f>Locations[[#This Row],[Ind_Returnees]]+Locations[[#This Row],[Ind_Refugees]]+Locations[[#This Row],[Ind_IDPs]]</f>
        <v>0</v>
      </c>
    </row>
    <row r="684" spans="1:19" s="388" customFormat="1" x14ac:dyDescent="0.3">
      <c r="A684" s="577" t="s">
        <v>533</v>
      </c>
      <c r="B684" s="1430" t="s">
        <v>3449</v>
      </c>
      <c r="C684" s="577" t="s">
        <v>534</v>
      </c>
      <c r="D684" s="577" t="s">
        <v>31</v>
      </c>
      <c r="E684" s="577" t="s">
        <v>31</v>
      </c>
      <c r="F684" s="577" t="s">
        <v>549</v>
      </c>
      <c r="G684" s="577" t="s">
        <v>164</v>
      </c>
      <c r="H684" s="577" t="s">
        <v>164</v>
      </c>
      <c r="I684" s="577" t="s">
        <v>748</v>
      </c>
      <c r="J684" s="577" t="s">
        <v>818</v>
      </c>
      <c r="K684" s="577" t="s">
        <v>819</v>
      </c>
      <c r="L684" s="577"/>
      <c r="M684" s="387">
        <v>15</v>
      </c>
      <c r="N684" s="387">
        <v>120</v>
      </c>
      <c r="O684" s="387">
        <v>0</v>
      </c>
      <c r="P684" s="387">
        <v>0</v>
      </c>
      <c r="Q684" s="387">
        <v>0</v>
      </c>
      <c r="R684" s="387">
        <v>0</v>
      </c>
      <c r="S684" s="1174">
        <f>Locations[[#This Row],[Ind_Returnees]]+Locations[[#This Row],[Ind_Refugees]]+Locations[[#This Row],[Ind_IDPs]]</f>
        <v>120</v>
      </c>
    </row>
    <row r="685" spans="1:19" s="388" customFormat="1" x14ac:dyDescent="0.3">
      <c r="A685" s="577" t="s">
        <v>533</v>
      </c>
      <c r="B685" s="1430" t="s">
        <v>3449</v>
      </c>
      <c r="C685" s="577" t="s">
        <v>534</v>
      </c>
      <c r="D685" s="577" t="s">
        <v>35</v>
      </c>
      <c r="E685" s="577" t="s">
        <v>35</v>
      </c>
      <c r="F685" s="577" t="s">
        <v>567</v>
      </c>
      <c r="G685" s="577" t="s">
        <v>193</v>
      </c>
      <c r="H685" s="577" t="s">
        <v>3983</v>
      </c>
      <c r="I685" s="577" t="s">
        <v>863</v>
      </c>
      <c r="J685" s="577" t="s">
        <v>1613</v>
      </c>
      <c r="K685" s="577" t="s">
        <v>1638</v>
      </c>
      <c r="L685" s="577"/>
      <c r="M685" s="387">
        <v>0</v>
      </c>
      <c r="N685" s="387">
        <v>0</v>
      </c>
      <c r="O685" s="387">
        <v>0</v>
      </c>
      <c r="P685" s="387">
        <v>0</v>
      </c>
      <c r="Q685" s="387">
        <v>0</v>
      </c>
      <c r="R685" s="387">
        <v>0</v>
      </c>
      <c r="S685" s="1174">
        <f>Locations[[#This Row],[Ind_Returnees]]+Locations[[#This Row],[Ind_Refugees]]+Locations[[#This Row],[Ind_IDPs]]</f>
        <v>0</v>
      </c>
    </row>
    <row r="686" spans="1:19" s="388" customFormat="1" x14ac:dyDescent="0.3">
      <c r="A686" s="577" t="s">
        <v>533</v>
      </c>
      <c r="B686" s="1430" t="s">
        <v>3449</v>
      </c>
      <c r="C686" s="577" t="s">
        <v>534</v>
      </c>
      <c r="D686" s="577" t="s">
        <v>35</v>
      </c>
      <c r="E686" s="577" t="s">
        <v>35</v>
      </c>
      <c r="F686" s="577" t="s">
        <v>567</v>
      </c>
      <c r="G686" s="577" t="s">
        <v>192</v>
      </c>
      <c r="H686" s="577" t="s">
        <v>192</v>
      </c>
      <c r="I686" s="577" t="s">
        <v>853</v>
      </c>
      <c r="J686" s="577" t="s">
        <v>897</v>
      </c>
      <c r="K686" s="577" t="s">
        <v>1638</v>
      </c>
      <c r="L686" s="577"/>
      <c r="M686" s="387">
        <v>57</v>
      </c>
      <c r="N686" s="387">
        <v>739</v>
      </c>
      <c r="O686" s="387">
        <v>0</v>
      </c>
      <c r="P686" s="387">
        <v>0</v>
      </c>
      <c r="Q686" s="387">
        <v>7</v>
      </c>
      <c r="R686" s="387">
        <v>31</v>
      </c>
      <c r="S686" s="1174">
        <f>Locations[[#This Row],[Ind_Returnees]]+Locations[[#This Row],[Ind_Refugees]]+Locations[[#This Row],[Ind_IDPs]]</f>
        <v>770</v>
      </c>
    </row>
    <row r="687" spans="1:19" s="388" customFormat="1" x14ac:dyDescent="0.3">
      <c r="A687" s="577" t="s">
        <v>533</v>
      </c>
      <c r="B687" s="1430" t="s">
        <v>3449</v>
      </c>
      <c r="C687" s="577" t="s">
        <v>534</v>
      </c>
      <c r="D687" s="577" t="s">
        <v>31</v>
      </c>
      <c r="E687" s="577" t="s">
        <v>31</v>
      </c>
      <c r="F687" s="577" t="s">
        <v>549</v>
      </c>
      <c r="G687" s="577" t="s">
        <v>170</v>
      </c>
      <c r="H687" s="577" t="s">
        <v>170</v>
      </c>
      <c r="I687" s="577" t="s">
        <v>866</v>
      </c>
      <c r="J687" s="577" t="s">
        <v>1702</v>
      </c>
      <c r="K687" s="577" t="s">
        <v>874</v>
      </c>
      <c r="L687" s="577"/>
      <c r="M687" s="387">
        <v>0</v>
      </c>
      <c r="N687" s="387">
        <v>0</v>
      </c>
      <c r="O687" s="387">
        <v>45</v>
      </c>
      <c r="P687" s="387">
        <v>150</v>
      </c>
      <c r="Q687" s="387">
        <v>15</v>
      </c>
      <c r="R687" s="387">
        <v>34</v>
      </c>
      <c r="S687" s="1174">
        <f>Locations[[#This Row],[Ind_Returnees]]+Locations[[#This Row],[Ind_Refugees]]+Locations[[#This Row],[Ind_IDPs]]</f>
        <v>184</v>
      </c>
    </row>
    <row r="688" spans="1:19" s="388" customFormat="1" x14ac:dyDescent="0.3">
      <c r="A688" s="577" t="s">
        <v>533</v>
      </c>
      <c r="B688" s="1430" t="s">
        <v>3449</v>
      </c>
      <c r="C688" s="577" t="s">
        <v>534</v>
      </c>
      <c r="D688" s="577" t="s">
        <v>31</v>
      </c>
      <c r="E688" s="577" t="s">
        <v>31</v>
      </c>
      <c r="F688" s="577" t="s">
        <v>549</v>
      </c>
      <c r="G688" s="577" t="s">
        <v>170</v>
      </c>
      <c r="H688" s="577" t="s">
        <v>170</v>
      </c>
      <c r="I688" s="577" t="s">
        <v>866</v>
      </c>
      <c r="J688" s="577" t="s">
        <v>2007</v>
      </c>
      <c r="K688" s="577" t="s">
        <v>880</v>
      </c>
      <c r="L688" s="577"/>
      <c r="M688" s="387">
        <v>0</v>
      </c>
      <c r="N688" s="387">
        <v>0</v>
      </c>
      <c r="O688" s="387">
        <v>44</v>
      </c>
      <c r="P688" s="387">
        <v>150</v>
      </c>
      <c r="Q688" s="387">
        <v>60</v>
      </c>
      <c r="R688" s="387">
        <v>300</v>
      </c>
      <c r="S688" s="1174">
        <f>Locations[[#This Row],[Ind_Returnees]]+Locations[[#This Row],[Ind_Refugees]]+Locations[[#This Row],[Ind_IDPs]]</f>
        <v>450</v>
      </c>
    </row>
    <row r="689" spans="1:19" s="388" customFormat="1" x14ac:dyDescent="0.3">
      <c r="A689" s="577" t="s">
        <v>533</v>
      </c>
      <c r="B689" s="1430" t="s">
        <v>3449</v>
      </c>
      <c r="C689" s="577" t="s">
        <v>534</v>
      </c>
      <c r="D689" s="577" t="s">
        <v>31</v>
      </c>
      <c r="E689" s="577" t="s">
        <v>31</v>
      </c>
      <c r="F689" s="577" t="s">
        <v>549</v>
      </c>
      <c r="G689" s="577" t="s">
        <v>172</v>
      </c>
      <c r="H689" s="577" t="s">
        <v>172</v>
      </c>
      <c r="I689" s="577" t="s">
        <v>706</v>
      </c>
      <c r="J689" s="577" t="s">
        <v>2925</v>
      </c>
      <c r="K689" s="577" t="s">
        <v>2701</v>
      </c>
      <c r="L689" s="577"/>
      <c r="M689" s="387">
        <v>0</v>
      </c>
      <c r="N689" s="387">
        <v>0</v>
      </c>
      <c r="O689" s="387">
        <v>0</v>
      </c>
      <c r="P689" s="387">
        <v>0</v>
      </c>
      <c r="Q689" s="387">
        <v>0</v>
      </c>
      <c r="R689" s="387">
        <v>0</v>
      </c>
      <c r="S689" s="1174">
        <f>Locations[[#This Row],[Ind_Returnees]]+Locations[[#This Row],[Ind_Refugees]]+Locations[[#This Row],[Ind_IDPs]]</f>
        <v>0</v>
      </c>
    </row>
    <row r="690" spans="1:19" s="388" customFormat="1" x14ac:dyDescent="0.3">
      <c r="A690" s="5" t="s">
        <v>533</v>
      </c>
      <c r="B690" s="1430" t="s">
        <v>3449</v>
      </c>
      <c r="C690" s="398" t="s">
        <v>534</v>
      </c>
      <c r="D690" s="5" t="s">
        <v>31</v>
      </c>
      <c r="E690" s="5" t="s">
        <v>31</v>
      </c>
      <c r="F690" s="5" t="s">
        <v>549</v>
      </c>
      <c r="G690" s="5" t="s">
        <v>169</v>
      </c>
      <c r="H690" s="5" t="s">
        <v>169</v>
      </c>
      <c r="I690" s="5" t="s">
        <v>673</v>
      </c>
      <c r="J690" t="s">
        <v>2570</v>
      </c>
      <c r="K690" s="5" t="s">
        <v>1447</v>
      </c>
      <c r="L690" s="5"/>
      <c r="M690" s="387">
        <v>35</v>
      </c>
      <c r="N690" s="387">
        <v>114</v>
      </c>
      <c r="O690" s="387">
        <v>0</v>
      </c>
      <c r="P690" s="387">
        <v>0</v>
      </c>
      <c r="Q690" s="387">
        <v>0</v>
      </c>
      <c r="R690" s="387">
        <v>0</v>
      </c>
      <c r="S690" s="1174">
        <f>Locations[[#This Row],[Ind_Returnees]]+Locations[[#This Row],[Ind_Refugees]]+Locations[[#This Row],[Ind_IDPs]]</f>
        <v>114</v>
      </c>
    </row>
    <row r="691" spans="1:19" s="388" customFormat="1" x14ac:dyDescent="0.3">
      <c r="A691" s="577" t="s">
        <v>533</v>
      </c>
      <c r="B691" s="1430" t="s">
        <v>3449</v>
      </c>
      <c r="C691" s="577" t="s">
        <v>534</v>
      </c>
      <c r="D691" s="577" t="s">
        <v>31</v>
      </c>
      <c r="E691" s="577" t="s">
        <v>31</v>
      </c>
      <c r="F691" s="577" t="s">
        <v>549</v>
      </c>
      <c r="G691" s="1144" t="s">
        <v>171</v>
      </c>
      <c r="H691" s="1144" t="s">
        <v>171</v>
      </c>
      <c r="I691" s="577" t="s">
        <v>634</v>
      </c>
      <c r="J691" s="577" t="s">
        <v>1920</v>
      </c>
      <c r="K691" s="577" t="s">
        <v>1323</v>
      </c>
      <c r="L691" s="577"/>
      <c r="M691" s="387">
        <v>22</v>
      </c>
      <c r="N691" s="387">
        <v>170</v>
      </c>
      <c r="O691" s="387">
        <v>0</v>
      </c>
      <c r="P691" s="387">
        <v>0</v>
      </c>
      <c r="Q691" s="387">
        <v>10</v>
      </c>
      <c r="R691" s="387">
        <v>45</v>
      </c>
      <c r="S691" s="1174">
        <f>Locations[[#This Row],[Ind_Returnees]]+Locations[[#This Row],[Ind_Refugees]]+Locations[[#This Row],[Ind_IDPs]]</f>
        <v>215</v>
      </c>
    </row>
    <row r="692" spans="1:19" s="388" customFormat="1" x14ac:dyDescent="0.3">
      <c r="A692" s="5" t="s">
        <v>533</v>
      </c>
      <c r="B692" s="1430" t="s">
        <v>3449</v>
      </c>
      <c r="C692" s="398" t="s">
        <v>534</v>
      </c>
      <c r="D692" s="5" t="s">
        <v>35</v>
      </c>
      <c r="E692" s="5" t="s">
        <v>35</v>
      </c>
      <c r="F692" s="5" t="s">
        <v>567</v>
      </c>
      <c r="G692" s="5" t="s">
        <v>191</v>
      </c>
      <c r="H692" s="5" t="s">
        <v>191</v>
      </c>
      <c r="I692" s="5" t="s">
        <v>659</v>
      </c>
      <c r="J692" t="s">
        <v>662</v>
      </c>
      <c r="K692" s="5" t="s">
        <v>663</v>
      </c>
      <c r="L692" s="5"/>
      <c r="M692" s="387">
        <v>12</v>
      </c>
      <c r="N692" s="387">
        <v>83</v>
      </c>
      <c r="O692" s="387">
        <v>2</v>
      </c>
      <c r="P692" s="387">
        <v>13</v>
      </c>
      <c r="Q692" s="387">
        <v>3</v>
      </c>
      <c r="R692" s="387">
        <v>34</v>
      </c>
      <c r="S692" s="1174">
        <f>Locations[[#This Row],[Ind_Returnees]]+Locations[[#This Row],[Ind_Refugees]]+Locations[[#This Row],[Ind_IDPs]]</f>
        <v>130</v>
      </c>
    </row>
    <row r="693" spans="1:19" s="388" customFormat="1" x14ac:dyDescent="0.3">
      <c r="A693" s="577" t="s">
        <v>533</v>
      </c>
      <c r="B693" s="1430" t="s">
        <v>3449</v>
      </c>
      <c r="C693" s="577" t="s">
        <v>534</v>
      </c>
      <c r="D693" s="577" t="s">
        <v>31</v>
      </c>
      <c r="E693" s="577" t="s">
        <v>31</v>
      </c>
      <c r="F693" s="577" t="s">
        <v>549</v>
      </c>
      <c r="G693" s="577" t="s">
        <v>2797</v>
      </c>
      <c r="H693" s="577" t="s">
        <v>3898</v>
      </c>
      <c r="I693" s="577" t="s">
        <v>767</v>
      </c>
      <c r="J693" s="577" t="s">
        <v>1087</v>
      </c>
      <c r="K693" s="577" t="s">
        <v>663</v>
      </c>
      <c r="L693" s="577"/>
      <c r="M693" s="387">
        <v>129</v>
      </c>
      <c r="N693" s="387">
        <v>900</v>
      </c>
      <c r="O693" s="387">
        <v>0</v>
      </c>
      <c r="P693" s="387">
        <v>0</v>
      </c>
      <c r="Q693" s="387">
        <v>0</v>
      </c>
      <c r="R693" s="387">
        <v>0</v>
      </c>
      <c r="S693" s="1174">
        <f>Locations[[#This Row],[Ind_Returnees]]+Locations[[#This Row],[Ind_Refugees]]+Locations[[#This Row],[Ind_IDPs]]</f>
        <v>900</v>
      </c>
    </row>
    <row r="694" spans="1:19" s="388" customFormat="1" x14ac:dyDescent="0.3">
      <c r="A694" s="5" t="s">
        <v>533</v>
      </c>
      <c r="B694" s="1430" t="s">
        <v>3449</v>
      </c>
      <c r="C694" s="1090" t="s">
        <v>534</v>
      </c>
      <c r="D694" s="5" t="s">
        <v>31</v>
      </c>
      <c r="E694" s="5" t="s">
        <v>31</v>
      </c>
      <c r="F694" s="5" t="s">
        <v>549</v>
      </c>
      <c r="G694" s="5" t="s">
        <v>166</v>
      </c>
      <c r="H694" s="5" t="s">
        <v>166</v>
      </c>
      <c r="I694" s="5" t="s">
        <v>844</v>
      </c>
      <c r="J694" t="s">
        <v>2926</v>
      </c>
      <c r="K694" s="5" t="s">
        <v>663</v>
      </c>
      <c r="L694" s="5"/>
      <c r="M694" s="387">
        <v>42</v>
      </c>
      <c r="N694" s="387">
        <v>255</v>
      </c>
      <c r="O694" s="387">
        <v>0</v>
      </c>
      <c r="P694" s="387">
        <v>0</v>
      </c>
      <c r="Q694" s="387">
        <v>0</v>
      </c>
      <c r="R694" s="387">
        <v>0</v>
      </c>
      <c r="S694" s="1174">
        <f>Locations[[#This Row],[Ind_Returnees]]+Locations[[#This Row],[Ind_Refugees]]+Locations[[#This Row],[Ind_IDPs]]</f>
        <v>255</v>
      </c>
    </row>
    <row r="695" spans="1:19" s="388" customFormat="1" x14ac:dyDescent="0.3">
      <c r="A695" s="5" t="s">
        <v>533</v>
      </c>
      <c r="B695" s="1430" t="s">
        <v>3449</v>
      </c>
      <c r="C695" s="1090" t="s">
        <v>534</v>
      </c>
      <c r="D695" s="5" t="s">
        <v>31</v>
      </c>
      <c r="E695" s="5" t="s">
        <v>31</v>
      </c>
      <c r="F695" s="5" t="s">
        <v>549</v>
      </c>
      <c r="G695" s="5" t="s">
        <v>167</v>
      </c>
      <c r="H695" s="5" t="s">
        <v>167</v>
      </c>
      <c r="I695" s="5" t="s">
        <v>1113</v>
      </c>
      <c r="J695" t="s">
        <v>1944</v>
      </c>
      <c r="K695" s="5" t="s">
        <v>663</v>
      </c>
      <c r="L695" s="5"/>
      <c r="M695" s="387">
        <v>3</v>
      </c>
      <c r="N695" s="387">
        <v>19</v>
      </c>
      <c r="O695" s="387">
        <v>0</v>
      </c>
      <c r="P695" s="387">
        <v>0</v>
      </c>
      <c r="Q695" s="387">
        <v>0</v>
      </c>
      <c r="R695" s="387">
        <v>0</v>
      </c>
      <c r="S695" s="1174">
        <f>Locations[[#This Row],[Ind_Returnees]]+Locations[[#This Row],[Ind_Refugees]]+Locations[[#This Row],[Ind_IDPs]]</f>
        <v>19</v>
      </c>
    </row>
    <row r="696" spans="1:19" s="388" customFormat="1" x14ac:dyDescent="0.3">
      <c r="A696" s="5" t="s">
        <v>533</v>
      </c>
      <c r="B696" s="1430" t="s">
        <v>3449</v>
      </c>
      <c r="C696" s="398" t="s">
        <v>534</v>
      </c>
      <c r="D696" s="5" t="s">
        <v>31</v>
      </c>
      <c r="E696" s="5" t="s">
        <v>31</v>
      </c>
      <c r="F696" s="5" t="s">
        <v>549</v>
      </c>
      <c r="G696" s="5" t="s">
        <v>171</v>
      </c>
      <c r="H696" s="5" t="s">
        <v>171</v>
      </c>
      <c r="I696" s="5" t="s">
        <v>634</v>
      </c>
      <c r="J696" t="s">
        <v>1745</v>
      </c>
      <c r="K696" s="5" t="s">
        <v>933</v>
      </c>
      <c r="L696" s="5"/>
      <c r="M696" s="387">
        <v>4</v>
      </c>
      <c r="N696" s="387">
        <v>15</v>
      </c>
      <c r="O696" s="387">
        <v>0</v>
      </c>
      <c r="P696" s="387">
        <v>0</v>
      </c>
      <c r="Q696" s="387">
        <v>0</v>
      </c>
      <c r="R696" s="387">
        <v>0</v>
      </c>
      <c r="S696" s="1174">
        <f>Locations[[#This Row],[Ind_Returnees]]+Locations[[#This Row],[Ind_Refugees]]+Locations[[#This Row],[Ind_IDPs]]</f>
        <v>15</v>
      </c>
    </row>
    <row r="697" spans="1:19" s="388" customFormat="1" x14ac:dyDescent="0.3">
      <c r="A697" s="577" t="s">
        <v>533</v>
      </c>
      <c r="B697" s="1430" t="s">
        <v>3449</v>
      </c>
      <c r="C697" s="577" t="s">
        <v>534</v>
      </c>
      <c r="D697" s="577" t="s">
        <v>31</v>
      </c>
      <c r="E697" s="577" t="s">
        <v>31</v>
      </c>
      <c r="F697" s="577" t="s">
        <v>549</v>
      </c>
      <c r="G697" s="577" t="s">
        <v>171</v>
      </c>
      <c r="H697" s="577" t="s">
        <v>171</v>
      </c>
      <c r="I697" s="577" t="s">
        <v>634</v>
      </c>
      <c r="J697" s="577" t="s">
        <v>1939</v>
      </c>
      <c r="K697" s="577" t="s">
        <v>935</v>
      </c>
      <c r="L697" s="577"/>
      <c r="M697" s="387">
        <v>10</v>
      </c>
      <c r="N697" s="387">
        <v>56</v>
      </c>
      <c r="O697" s="387">
        <v>0</v>
      </c>
      <c r="P697" s="387">
        <v>0</v>
      </c>
      <c r="Q697" s="387">
        <v>0</v>
      </c>
      <c r="R697" s="387">
        <v>0</v>
      </c>
      <c r="S697" s="1174">
        <f>Locations[[#This Row],[Ind_Returnees]]+Locations[[#This Row],[Ind_Refugees]]+Locations[[#This Row],[Ind_IDPs]]</f>
        <v>56</v>
      </c>
    </row>
    <row r="698" spans="1:19" s="388" customFormat="1" x14ac:dyDescent="0.3">
      <c r="A698" s="5" t="s">
        <v>533</v>
      </c>
      <c r="B698" s="1430" t="s">
        <v>3449</v>
      </c>
      <c r="C698" s="1090" t="s">
        <v>534</v>
      </c>
      <c r="D698" s="5" t="s">
        <v>34</v>
      </c>
      <c r="E698" s="5" t="s">
        <v>34</v>
      </c>
      <c r="F698" s="5" t="s">
        <v>539</v>
      </c>
      <c r="G698" s="5" t="s">
        <v>188</v>
      </c>
      <c r="H698" s="5" t="s">
        <v>188</v>
      </c>
      <c r="I698" s="5" t="s">
        <v>546</v>
      </c>
      <c r="J698" t="s">
        <v>1499</v>
      </c>
      <c r="K698" s="5" t="s">
        <v>1076</v>
      </c>
      <c r="L698" s="5"/>
      <c r="M698" s="387">
        <v>56</v>
      </c>
      <c r="N698" s="387">
        <v>244</v>
      </c>
      <c r="O698" s="387">
        <v>35</v>
      </c>
      <c r="P698" s="387">
        <v>152</v>
      </c>
      <c r="Q698" s="387">
        <v>8</v>
      </c>
      <c r="R698" s="387">
        <v>58</v>
      </c>
      <c r="S698" s="1174">
        <f>Locations[[#This Row],[Ind_Returnees]]+Locations[[#This Row],[Ind_Refugees]]+Locations[[#This Row],[Ind_IDPs]]</f>
        <v>454</v>
      </c>
    </row>
    <row r="699" spans="1:19" s="388" customFormat="1" x14ac:dyDescent="0.3">
      <c r="A699" s="5" t="s">
        <v>533</v>
      </c>
      <c r="B699" s="1430" t="s">
        <v>3449</v>
      </c>
      <c r="C699" s="1090" t="s">
        <v>534</v>
      </c>
      <c r="D699" s="5" t="s">
        <v>35</v>
      </c>
      <c r="E699" s="5" t="s">
        <v>35</v>
      </c>
      <c r="F699" s="5" t="s">
        <v>567</v>
      </c>
      <c r="G699" s="5" t="s">
        <v>196</v>
      </c>
      <c r="H699" s="5" t="s">
        <v>3984</v>
      </c>
      <c r="I699" s="5" t="s">
        <v>568</v>
      </c>
      <c r="J699" t="s">
        <v>569</v>
      </c>
      <c r="K699" s="5" t="s">
        <v>570</v>
      </c>
      <c r="L699" s="5"/>
      <c r="M699" s="387">
        <v>5</v>
      </c>
      <c r="N699" s="387">
        <v>24</v>
      </c>
      <c r="O699" s="387">
        <v>0</v>
      </c>
      <c r="P699" s="387">
        <v>0</v>
      </c>
      <c r="Q699" s="387">
        <v>1</v>
      </c>
      <c r="R699" s="387">
        <v>3</v>
      </c>
      <c r="S699" s="1174">
        <f>Locations[[#This Row],[Ind_Returnees]]+Locations[[#This Row],[Ind_Refugees]]+Locations[[#This Row],[Ind_IDPs]]</f>
        <v>27</v>
      </c>
    </row>
    <row r="700" spans="1:19" s="388" customFormat="1" x14ac:dyDescent="0.3">
      <c r="A700" s="577" t="s">
        <v>533</v>
      </c>
      <c r="B700" s="1430" t="s">
        <v>3449</v>
      </c>
      <c r="C700" s="577" t="s">
        <v>534</v>
      </c>
      <c r="D700" s="577" t="s">
        <v>34</v>
      </c>
      <c r="E700" s="577" t="s">
        <v>34</v>
      </c>
      <c r="F700" s="577" t="s">
        <v>539</v>
      </c>
      <c r="G700" s="577" t="s">
        <v>189</v>
      </c>
      <c r="H700" s="577" t="s">
        <v>189</v>
      </c>
      <c r="I700" s="577" t="s">
        <v>590</v>
      </c>
      <c r="J700" s="577" t="s">
        <v>1002</v>
      </c>
      <c r="K700" s="577" t="s">
        <v>1003</v>
      </c>
      <c r="L700" s="577"/>
      <c r="M700" s="387">
        <v>41</v>
      </c>
      <c r="N700" s="387">
        <v>589</v>
      </c>
      <c r="O700" s="387">
        <v>0</v>
      </c>
      <c r="P700" s="387">
        <v>0</v>
      </c>
      <c r="Q700" s="387">
        <v>0</v>
      </c>
      <c r="R700" s="387">
        <v>0</v>
      </c>
      <c r="S700" s="1174">
        <f>Locations[[#This Row],[Ind_Returnees]]+Locations[[#This Row],[Ind_Refugees]]+Locations[[#This Row],[Ind_IDPs]]</f>
        <v>589</v>
      </c>
    </row>
    <row r="701" spans="1:19" s="388" customFormat="1" x14ac:dyDescent="0.3">
      <c r="A701" s="5" t="s">
        <v>533</v>
      </c>
      <c r="B701" s="1430" t="s">
        <v>3449</v>
      </c>
      <c r="C701" s="1090" t="s">
        <v>534</v>
      </c>
      <c r="D701" s="5" t="s">
        <v>31</v>
      </c>
      <c r="E701" s="5" t="s">
        <v>31</v>
      </c>
      <c r="F701" s="5" t="s">
        <v>549</v>
      </c>
      <c r="G701" s="5" t="s">
        <v>171</v>
      </c>
      <c r="H701" s="5" t="s">
        <v>171</v>
      </c>
      <c r="I701" s="5" t="s">
        <v>634</v>
      </c>
      <c r="J701" t="s">
        <v>2927</v>
      </c>
      <c r="K701" s="5" t="s">
        <v>1853</v>
      </c>
      <c r="L701" s="5"/>
      <c r="M701" s="387">
        <v>20</v>
      </c>
      <c r="N701" s="387">
        <v>56</v>
      </c>
      <c r="O701" s="387">
        <v>0</v>
      </c>
      <c r="P701" s="387">
        <v>0</v>
      </c>
      <c r="Q701" s="387">
        <v>0</v>
      </c>
      <c r="R701" s="387">
        <v>0</v>
      </c>
      <c r="S701" s="1174">
        <f>Locations[[#This Row],[Ind_Returnees]]+Locations[[#This Row],[Ind_Refugees]]+Locations[[#This Row],[Ind_IDPs]]</f>
        <v>56</v>
      </c>
    </row>
    <row r="702" spans="1:19" s="388" customFormat="1" x14ac:dyDescent="0.3">
      <c r="A702" s="577" t="s">
        <v>533</v>
      </c>
      <c r="B702" s="1430" t="s">
        <v>3449</v>
      </c>
      <c r="C702" s="577" t="s">
        <v>534</v>
      </c>
      <c r="D702" s="577" t="s">
        <v>31</v>
      </c>
      <c r="E702" s="577" t="s">
        <v>31</v>
      </c>
      <c r="F702" s="577" t="s">
        <v>549</v>
      </c>
      <c r="G702" s="577" t="s">
        <v>167</v>
      </c>
      <c r="H702" s="577" t="s">
        <v>167</v>
      </c>
      <c r="I702" s="577" t="s">
        <v>1113</v>
      </c>
      <c r="J702" s="577" t="s">
        <v>2045</v>
      </c>
      <c r="K702" s="577" t="s">
        <v>2060</v>
      </c>
      <c r="L702" s="577"/>
      <c r="M702" s="387">
        <v>20</v>
      </c>
      <c r="N702" s="387">
        <v>119</v>
      </c>
      <c r="O702" s="387">
        <v>0</v>
      </c>
      <c r="P702" s="387">
        <v>0</v>
      </c>
      <c r="Q702" s="387">
        <v>0</v>
      </c>
      <c r="R702" s="387">
        <v>0</v>
      </c>
      <c r="S702" s="1174">
        <f>Locations[[#This Row],[Ind_Returnees]]+Locations[[#This Row],[Ind_Refugees]]+Locations[[#This Row],[Ind_IDPs]]</f>
        <v>119</v>
      </c>
    </row>
    <row r="703" spans="1:19" s="388" customFormat="1" x14ac:dyDescent="0.3">
      <c r="A703" s="577" t="s">
        <v>533</v>
      </c>
      <c r="B703" s="1430" t="s">
        <v>3449</v>
      </c>
      <c r="C703" s="577" t="s">
        <v>534</v>
      </c>
      <c r="D703" s="577" t="s">
        <v>34</v>
      </c>
      <c r="E703" s="577" t="s">
        <v>34</v>
      </c>
      <c r="F703" s="577" t="s">
        <v>539</v>
      </c>
      <c r="G703" s="577" t="s">
        <v>188</v>
      </c>
      <c r="H703" s="577" t="s">
        <v>188</v>
      </c>
      <c r="I703" s="577" t="s">
        <v>546</v>
      </c>
      <c r="J703" s="577" t="s">
        <v>1073</v>
      </c>
      <c r="K703" s="577" t="s">
        <v>2659</v>
      </c>
      <c r="L703" s="577"/>
      <c r="M703" s="387">
        <v>0</v>
      </c>
      <c r="N703" s="387">
        <v>0</v>
      </c>
      <c r="O703" s="387">
        <v>0</v>
      </c>
      <c r="P703" s="387">
        <v>0</v>
      </c>
      <c r="Q703" s="387">
        <v>0</v>
      </c>
      <c r="R703" s="387">
        <v>0</v>
      </c>
      <c r="S703" s="1174">
        <f>Locations[[#This Row],[Ind_Returnees]]+Locations[[#This Row],[Ind_Refugees]]+Locations[[#This Row],[Ind_IDPs]]</f>
        <v>0</v>
      </c>
    </row>
    <row r="704" spans="1:19" s="388" customFormat="1" x14ac:dyDescent="0.3">
      <c r="A704" s="5" t="s">
        <v>533</v>
      </c>
      <c r="B704" s="1430" t="s">
        <v>3449</v>
      </c>
      <c r="C704" s="398" t="s">
        <v>534</v>
      </c>
      <c r="D704" s="5" t="s">
        <v>31</v>
      </c>
      <c r="E704" s="5" t="s">
        <v>31</v>
      </c>
      <c r="F704" s="5" t="s">
        <v>549</v>
      </c>
      <c r="G704" s="5" t="s">
        <v>171</v>
      </c>
      <c r="H704" s="5" t="s">
        <v>171</v>
      </c>
      <c r="I704" s="5" t="s">
        <v>634</v>
      </c>
      <c r="J704" t="s">
        <v>1262</v>
      </c>
      <c r="K704" s="5" t="s">
        <v>2601</v>
      </c>
      <c r="L704" s="5"/>
      <c r="M704" s="387">
        <v>0</v>
      </c>
      <c r="N704" s="387">
        <v>0</v>
      </c>
      <c r="O704" s="387">
        <v>0</v>
      </c>
      <c r="P704" s="387">
        <v>0</v>
      </c>
      <c r="Q704" s="387">
        <v>0</v>
      </c>
      <c r="R704" s="387">
        <v>0</v>
      </c>
      <c r="S704" s="1174">
        <f>Locations[[#This Row],[Ind_Returnees]]+Locations[[#This Row],[Ind_Refugees]]+Locations[[#This Row],[Ind_IDPs]]</f>
        <v>0</v>
      </c>
    </row>
    <row r="705" spans="1:19" s="388" customFormat="1" x14ac:dyDescent="0.3">
      <c r="A705" s="577" t="s">
        <v>533</v>
      </c>
      <c r="B705" s="1430" t="s">
        <v>3449</v>
      </c>
      <c r="C705" s="577" t="s">
        <v>534</v>
      </c>
      <c r="D705" s="577" t="s">
        <v>31</v>
      </c>
      <c r="E705" s="577" t="s">
        <v>31</v>
      </c>
      <c r="F705" s="577" t="s">
        <v>549</v>
      </c>
      <c r="G705" s="577" t="s">
        <v>2797</v>
      </c>
      <c r="H705" s="577" t="s">
        <v>3898</v>
      </c>
      <c r="I705" s="577" t="s">
        <v>767</v>
      </c>
      <c r="J705" s="577" t="s">
        <v>2929</v>
      </c>
      <c r="K705" s="577" t="s">
        <v>1201</v>
      </c>
      <c r="L705" s="577"/>
      <c r="M705" s="387">
        <v>80</v>
      </c>
      <c r="N705" s="387">
        <v>534</v>
      </c>
      <c r="O705" s="387">
        <v>4</v>
      </c>
      <c r="P705" s="387">
        <v>40</v>
      </c>
      <c r="Q705" s="387">
        <v>0</v>
      </c>
      <c r="R705" s="387">
        <v>0</v>
      </c>
      <c r="S705" s="1174">
        <f>Locations[[#This Row],[Ind_Returnees]]+Locations[[#This Row],[Ind_Refugees]]+Locations[[#This Row],[Ind_IDPs]]</f>
        <v>574</v>
      </c>
    </row>
    <row r="706" spans="1:19" s="388" customFormat="1" x14ac:dyDescent="0.3">
      <c r="A706" s="5" t="s">
        <v>533</v>
      </c>
      <c r="B706" s="1430" t="s">
        <v>3449</v>
      </c>
      <c r="C706" s="398" t="s">
        <v>534</v>
      </c>
      <c r="D706" s="5" t="s">
        <v>31</v>
      </c>
      <c r="E706" s="5" t="s">
        <v>31</v>
      </c>
      <c r="F706" s="5" t="s">
        <v>549</v>
      </c>
      <c r="G706" s="5" t="s">
        <v>2797</v>
      </c>
      <c r="H706" s="5" t="s">
        <v>3898</v>
      </c>
      <c r="I706" s="5" t="s">
        <v>767</v>
      </c>
      <c r="J706" t="s">
        <v>1423</v>
      </c>
      <c r="K706" s="5" t="s">
        <v>1232</v>
      </c>
      <c r="L706" s="5"/>
      <c r="M706" s="387">
        <v>29</v>
      </c>
      <c r="N706" s="387">
        <v>211</v>
      </c>
      <c r="O706" s="387">
        <v>0</v>
      </c>
      <c r="P706" s="387">
        <v>0</v>
      </c>
      <c r="Q706" s="387">
        <v>0</v>
      </c>
      <c r="R706" s="387">
        <v>0</v>
      </c>
      <c r="S706" s="1174">
        <f>Locations[[#This Row],[Ind_Returnees]]+Locations[[#This Row],[Ind_Refugees]]+Locations[[#This Row],[Ind_IDPs]]</f>
        <v>211</v>
      </c>
    </row>
    <row r="707" spans="1:19" s="388" customFormat="1" x14ac:dyDescent="0.3">
      <c r="A707" s="5" t="s">
        <v>533</v>
      </c>
      <c r="B707" s="1430" t="s">
        <v>3449</v>
      </c>
      <c r="C707" s="398" t="s">
        <v>534</v>
      </c>
      <c r="D707" s="5" t="s">
        <v>31</v>
      </c>
      <c r="E707" s="5" t="s">
        <v>31</v>
      </c>
      <c r="F707" s="5" t="s">
        <v>549</v>
      </c>
      <c r="G707" s="5" t="s">
        <v>2797</v>
      </c>
      <c r="H707" s="5" t="s">
        <v>3898</v>
      </c>
      <c r="I707" s="5" t="s">
        <v>767</v>
      </c>
      <c r="J707" t="s">
        <v>784</v>
      </c>
      <c r="K707" s="5" t="s">
        <v>1228</v>
      </c>
      <c r="L707" s="5"/>
      <c r="M707" s="387">
        <v>51</v>
      </c>
      <c r="N707" s="387">
        <v>330</v>
      </c>
      <c r="O707" s="387">
        <v>0</v>
      </c>
      <c r="P707" s="387">
        <v>0</v>
      </c>
      <c r="Q707" s="387">
        <v>0</v>
      </c>
      <c r="R707" s="387">
        <v>0</v>
      </c>
      <c r="S707" s="1174">
        <f>Locations[[#This Row],[Ind_Returnees]]+Locations[[#This Row],[Ind_Refugees]]+Locations[[#This Row],[Ind_IDPs]]</f>
        <v>330</v>
      </c>
    </row>
    <row r="708" spans="1:19" s="388" customFormat="1" x14ac:dyDescent="0.3">
      <c r="A708" s="577" t="s">
        <v>533</v>
      </c>
      <c r="B708" s="1430" t="s">
        <v>3449</v>
      </c>
      <c r="C708" s="577" t="s">
        <v>534</v>
      </c>
      <c r="D708" s="577" t="s">
        <v>32</v>
      </c>
      <c r="E708" s="577" t="s">
        <v>32</v>
      </c>
      <c r="F708" s="577" t="s">
        <v>542</v>
      </c>
      <c r="G708" s="577" t="s">
        <v>178</v>
      </c>
      <c r="H708" s="577" t="s">
        <v>178</v>
      </c>
      <c r="I708" s="577" t="s">
        <v>543</v>
      </c>
      <c r="J708" s="577" t="s">
        <v>3214</v>
      </c>
      <c r="K708" s="577" t="s">
        <v>2780</v>
      </c>
      <c r="L708" s="577"/>
      <c r="M708" s="387">
        <v>0</v>
      </c>
      <c r="N708" s="387">
        <v>0</v>
      </c>
      <c r="O708" s="387">
        <v>0</v>
      </c>
      <c r="P708" s="387">
        <v>0</v>
      </c>
      <c r="Q708" s="387">
        <v>12</v>
      </c>
      <c r="R708" s="387">
        <v>123</v>
      </c>
      <c r="S708" s="1174">
        <f>Locations[[#This Row],[Ind_Returnees]]+Locations[[#This Row],[Ind_Refugees]]+Locations[[#This Row],[Ind_IDPs]]</f>
        <v>123</v>
      </c>
    </row>
    <row r="709" spans="1:19" s="388" customFormat="1" x14ac:dyDescent="0.3">
      <c r="A709" s="5" t="s">
        <v>533</v>
      </c>
      <c r="B709" s="1430" t="s">
        <v>3449</v>
      </c>
      <c r="C709" s="1090" t="s">
        <v>534</v>
      </c>
      <c r="D709" s="5" t="s">
        <v>31</v>
      </c>
      <c r="E709" s="5" t="s">
        <v>31</v>
      </c>
      <c r="F709" s="5" t="s">
        <v>549</v>
      </c>
      <c r="G709" s="5" t="s">
        <v>166</v>
      </c>
      <c r="H709" s="5" t="s">
        <v>166</v>
      </c>
      <c r="I709" s="5" t="s">
        <v>844</v>
      </c>
      <c r="J709" t="s">
        <v>969</v>
      </c>
      <c r="K709" s="5" t="s">
        <v>954</v>
      </c>
      <c r="L709" s="5"/>
      <c r="M709" s="387">
        <v>39</v>
      </c>
      <c r="N709" s="387">
        <v>321</v>
      </c>
      <c r="O709" s="387">
        <v>0</v>
      </c>
      <c r="P709" s="387">
        <v>0</v>
      </c>
      <c r="Q709" s="387">
        <v>0</v>
      </c>
      <c r="R709" s="387">
        <v>0</v>
      </c>
      <c r="S709" s="1174">
        <f>Locations[[#This Row],[Ind_Returnees]]+Locations[[#This Row],[Ind_Refugees]]+Locations[[#This Row],[Ind_IDPs]]</f>
        <v>321</v>
      </c>
    </row>
    <row r="710" spans="1:19" s="388" customFormat="1" x14ac:dyDescent="0.3">
      <c r="A710" s="577" t="s">
        <v>533</v>
      </c>
      <c r="B710" s="1430" t="s">
        <v>3449</v>
      </c>
      <c r="C710" s="577" t="s">
        <v>534</v>
      </c>
      <c r="D710" s="577" t="s">
        <v>31</v>
      </c>
      <c r="E710" s="577" t="s">
        <v>31</v>
      </c>
      <c r="F710" s="577" t="s">
        <v>549</v>
      </c>
      <c r="G710" s="577" t="s">
        <v>166</v>
      </c>
      <c r="H710" s="577" t="s">
        <v>166</v>
      </c>
      <c r="I710" s="577" t="s">
        <v>844</v>
      </c>
      <c r="J710" s="577" t="s">
        <v>845</v>
      </c>
      <c r="K710" s="577" t="s">
        <v>1588</v>
      </c>
      <c r="L710" s="577"/>
      <c r="M710" s="387">
        <v>18</v>
      </c>
      <c r="N710" s="387">
        <v>150</v>
      </c>
      <c r="O710" s="387">
        <v>0</v>
      </c>
      <c r="P710" s="387">
        <v>0</v>
      </c>
      <c r="Q710" s="387">
        <v>0</v>
      </c>
      <c r="R710" s="387">
        <v>0</v>
      </c>
      <c r="S710" s="1174">
        <f>Locations[[#This Row],[Ind_Returnees]]+Locations[[#This Row],[Ind_Refugees]]+Locations[[#This Row],[Ind_IDPs]]</f>
        <v>150</v>
      </c>
    </row>
    <row r="711" spans="1:19" s="388" customFormat="1" x14ac:dyDescent="0.3">
      <c r="A711" s="5" t="s">
        <v>533</v>
      </c>
      <c r="B711" s="1430" t="s">
        <v>3449</v>
      </c>
      <c r="C711" s="1090" t="s">
        <v>534</v>
      </c>
      <c r="D711" s="5" t="s">
        <v>31</v>
      </c>
      <c r="E711" s="5" t="s">
        <v>31</v>
      </c>
      <c r="F711" s="5" t="s">
        <v>549</v>
      </c>
      <c r="G711" s="5" t="s">
        <v>165</v>
      </c>
      <c r="H711" s="5" t="s">
        <v>165</v>
      </c>
      <c r="I711" s="5" t="s">
        <v>881</v>
      </c>
      <c r="J711" t="s">
        <v>1335</v>
      </c>
      <c r="K711" s="5" t="s">
        <v>1845</v>
      </c>
      <c r="L711" s="5"/>
      <c r="M711" s="387">
        <v>0</v>
      </c>
      <c r="N711" s="387">
        <v>0</v>
      </c>
      <c r="O711" s="387">
        <v>0</v>
      </c>
      <c r="P711" s="387">
        <v>0</v>
      </c>
      <c r="Q711" s="387">
        <v>0</v>
      </c>
      <c r="R711" s="387">
        <v>0</v>
      </c>
      <c r="S711" s="1174">
        <f>Locations[[#This Row],[Ind_Returnees]]+Locations[[#This Row],[Ind_Refugees]]+Locations[[#This Row],[Ind_IDPs]]</f>
        <v>0</v>
      </c>
    </row>
    <row r="712" spans="1:19" s="388" customFormat="1" x14ac:dyDescent="0.3">
      <c r="A712" s="5" t="s">
        <v>533</v>
      </c>
      <c r="B712" s="1430" t="s">
        <v>3449</v>
      </c>
      <c r="C712" s="1090" t="s">
        <v>534</v>
      </c>
      <c r="D712" s="5" t="s">
        <v>31</v>
      </c>
      <c r="E712" s="5" t="s">
        <v>31</v>
      </c>
      <c r="F712" s="5" t="s">
        <v>549</v>
      </c>
      <c r="G712" s="5" t="s">
        <v>165</v>
      </c>
      <c r="H712" s="5" t="s">
        <v>165</v>
      </c>
      <c r="I712" s="5" t="s">
        <v>881</v>
      </c>
      <c r="J712" t="s">
        <v>1844</v>
      </c>
      <c r="K712" s="5" t="s">
        <v>1692</v>
      </c>
      <c r="L712" s="5"/>
      <c r="M712" s="387">
        <v>0</v>
      </c>
      <c r="N712" s="387">
        <v>0</v>
      </c>
      <c r="O712" s="387">
        <v>0</v>
      </c>
      <c r="P712" s="387">
        <v>0</v>
      </c>
      <c r="Q712" s="387">
        <v>0</v>
      </c>
      <c r="R712" s="387">
        <v>0</v>
      </c>
      <c r="S712" s="1174">
        <f>Locations[[#This Row],[Ind_Returnees]]+Locations[[#This Row],[Ind_Refugees]]+Locations[[#This Row],[Ind_IDPs]]</f>
        <v>0</v>
      </c>
    </row>
    <row r="713" spans="1:19" s="388" customFormat="1" x14ac:dyDescent="0.3">
      <c r="A713" s="5" t="s">
        <v>533</v>
      </c>
      <c r="B713" s="1430" t="s">
        <v>3449</v>
      </c>
      <c r="C713" s="398" t="s">
        <v>534</v>
      </c>
      <c r="D713" s="5" t="s">
        <v>31</v>
      </c>
      <c r="E713" s="5" t="s">
        <v>31</v>
      </c>
      <c r="F713" s="5" t="s">
        <v>549</v>
      </c>
      <c r="G713" s="5" t="s">
        <v>165</v>
      </c>
      <c r="H713" s="5" t="s">
        <v>165</v>
      </c>
      <c r="I713" s="5" t="s">
        <v>881</v>
      </c>
      <c r="J713" t="s">
        <v>1691</v>
      </c>
      <c r="K713" s="5" t="s">
        <v>2136</v>
      </c>
      <c r="L713" s="5"/>
      <c r="M713" s="387">
        <v>10</v>
      </c>
      <c r="N713" s="387">
        <v>33</v>
      </c>
      <c r="O713" s="387">
        <v>5</v>
      </c>
      <c r="P713" s="387">
        <v>25</v>
      </c>
      <c r="Q713" s="387">
        <v>0</v>
      </c>
      <c r="R713" s="387">
        <v>0</v>
      </c>
      <c r="S713" s="1174">
        <f>Locations[[#This Row],[Ind_Returnees]]+Locations[[#This Row],[Ind_Refugees]]+Locations[[#This Row],[Ind_IDPs]]</f>
        <v>58</v>
      </c>
    </row>
    <row r="714" spans="1:19" s="388" customFormat="1" x14ac:dyDescent="0.3">
      <c r="A714" s="5" t="s">
        <v>533</v>
      </c>
      <c r="B714" s="1430" t="s">
        <v>3449</v>
      </c>
      <c r="C714" s="398" t="s">
        <v>534</v>
      </c>
      <c r="D714" s="5" t="s">
        <v>31</v>
      </c>
      <c r="E714" s="5" t="s">
        <v>31</v>
      </c>
      <c r="F714" s="5" t="s">
        <v>549</v>
      </c>
      <c r="G714" s="5" t="s">
        <v>166</v>
      </c>
      <c r="H714" s="5" t="s">
        <v>166</v>
      </c>
      <c r="I714" s="5" t="s">
        <v>844</v>
      </c>
      <c r="J714" t="s">
        <v>2499</v>
      </c>
      <c r="K714" s="5" t="s">
        <v>2506</v>
      </c>
      <c r="L714" s="5"/>
      <c r="M714" s="387">
        <v>0</v>
      </c>
      <c r="N714" s="387">
        <v>0</v>
      </c>
      <c r="O714" s="387">
        <v>0</v>
      </c>
      <c r="P714" s="387">
        <v>0</v>
      </c>
      <c r="Q714" s="387">
        <v>0</v>
      </c>
      <c r="R714" s="387">
        <v>0</v>
      </c>
      <c r="S714" s="1174">
        <f>Locations[[#This Row],[Ind_Returnees]]+Locations[[#This Row],[Ind_Refugees]]+Locations[[#This Row],[Ind_IDPs]]</f>
        <v>0</v>
      </c>
    </row>
    <row r="715" spans="1:19" s="388" customFormat="1" x14ac:dyDescent="0.3">
      <c r="A715" s="5" t="s">
        <v>533</v>
      </c>
      <c r="B715" s="1430" t="s">
        <v>3449</v>
      </c>
      <c r="C715" s="1090" t="s">
        <v>534</v>
      </c>
      <c r="D715" s="5" t="s">
        <v>32</v>
      </c>
      <c r="E715" s="5" t="s">
        <v>32</v>
      </c>
      <c r="F715" s="5" t="s">
        <v>542</v>
      </c>
      <c r="G715" s="5" t="s">
        <v>176</v>
      </c>
      <c r="H715" s="5" t="s">
        <v>176</v>
      </c>
      <c r="I715" s="5" t="s">
        <v>772</v>
      </c>
      <c r="J715" t="s">
        <v>1056</v>
      </c>
      <c r="K715" s="5" t="s">
        <v>1057</v>
      </c>
      <c r="L715" s="5"/>
      <c r="M715" s="387">
        <v>53</v>
      </c>
      <c r="N715" s="387">
        <v>379</v>
      </c>
      <c r="O715" s="387">
        <v>0</v>
      </c>
      <c r="P715" s="387">
        <v>0</v>
      </c>
      <c r="Q715" s="387">
        <v>0</v>
      </c>
      <c r="R715" s="387">
        <v>0</v>
      </c>
      <c r="S715" s="1174">
        <f>Locations[[#This Row],[Ind_Returnees]]+Locations[[#This Row],[Ind_Refugees]]+Locations[[#This Row],[Ind_IDPs]]</f>
        <v>379</v>
      </c>
    </row>
    <row r="716" spans="1:19" s="388" customFormat="1" x14ac:dyDescent="0.3">
      <c r="A716" s="5" t="s">
        <v>533</v>
      </c>
      <c r="B716" s="1430" t="s">
        <v>3449</v>
      </c>
      <c r="C716" s="398" t="s">
        <v>534</v>
      </c>
      <c r="D716" s="5" t="s">
        <v>34</v>
      </c>
      <c r="E716" s="5" t="s">
        <v>34</v>
      </c>
      <c r="F716" s="5" t="s">
        <v>539</v>
      </c>
      <c r="G716" s="5" t="s">
        <v>188</v>
      </c>
      <c r="H716" s="5" t="s">
        <v>188</v>
      </c>
      <c r="I716" s="5" t="s">
        <v>546</v>
      </c>
      <c r="J716" t="s">
        <v>2930</v>
      </c>
      <c r="K716" s="5" t="s">
        <v>1330</v>
      </c>
      <c r="L716" s="5"/>
      <c r="M716" s="387">
        <v>151</v>
      </c>
      <c r="N716" s="387">
        <v>745</v>
      </c>
      <c r="O716" s="387">
        <v>0</v>
      </c>
      <c r="P716" s="387">
        <v>0</v>
      </c>
      <c r="Q716" s="387">
        <v>0</v>
      </c>
      <c r="R716" s="387">
        <v>0</v>
      </c>
      <c r="S716" s="1174">
        <f>Locations[[#This Row],[Ind_Returnees]]+Locations[[#This Row],[Ind_Refugees]]+Locations[[#This Row],[Ind_IDPs]]</f>
        <v>745</v>
      </c>
    </row>
    <row r="717" spans="1:19" s="388" customFormat="1" x14ac:dyDescent="0.3">
      <c r="A717" s="577" t="s">
        <v>533</v>
      </c>
      <c r="B717" s="1430" t="s">
        <v>3449</v>
      </c>
      <c r="C717" s="577" t="s">
        <v>534</v>
      </c>
      <c r="D717" s="577" t="s">
        <v>31</v>
      </c>
      <c r="E717" s="577" t="s">
        <v>31</v>
      </c>
      <c r="F717" s="577" t="s">
        <v>549</v>
      </c>
      <c r="G717" s="577" t="s">
        <v>169</v>
      </c>
      <c r="H717" s="577" t="s">
        <v>169</v>
      </c>
      <c r="I717" s="577" t="s">
        <v>673</v>
      </c>
      <c r="J717" s="577" t="s">
        <v>3094</v>
      </c>
      <c r="K717" s="577" t="s">
        <v>1009</v>
      </c>
      <c r="L717" s="577"/>
      <c r="M717" s="387">
        <v>25</v>
      </c>
      <c r="N717" s="387">
        <v>53</v>
      </c>
      <c r="O717" s="387">
        <v>1</v>
      </c>
      <c r="P717" s="387">
        <v>7</v>
      </c>
      <c r="Q717" s="387">
        <v>0</v>
      </c>
      <c r="R717" s="387">
        <v>0</v>
      </c>
      <c r="S717" s="1174">
        <f>Locations[[#This Row],[Ind_Returnees]]+Locations[[#This Row],[Ind_Refugees]]+Locations[[#This Row],[Ind_IDPs]]</f>
        <v>60</v>
      </c>
    </row>
    <row r="718" spans="1:19" s="388" customFormat="1" x14ac:dyDescent="0.3">
      <c r="A718" s="5" t="s">
        <v>533</v>
      </c>
      <c r="B718" s="1430" t="s">
        <v>3449</v>
      </c>
      <c r="C718" s="1090" t="s">
        <v>534</v>
      </c>
      <c r="D718" s="5" t="s">
        <v>35</v>
      </c>
      <c r="E718" s="5" t="s">
        <v>35</v>
      </c>
      <c r="F718" s="5" t="s">
        <v>567</v>
      </c>
      <c r="G718" s="5" t="s">
        <v>195</v>
      </c>
      <c r="H718" s="5" t="s">
        <v>195</v>
      </c>
      <c r="I718" s="5" t="s">
        <v>733</v>
      </c>
      <c r="J718" t="s">
        <v>2932</v>
      </c>
      <c r="K718" s="5" t="s">
        <v>2004</v>
      </c>
      <c r="L718" s="5"/>
      <c r="M718" s="387">
        <v>284</v>
      </c>
      <c r="N718" s="387">
        <v>1465</v>
      </c>
      <c r="O718" s="387">
        <v>36</v>
      </c>
      <c r="P718" s="387">
        <v>195</v>
      </c>
      <c r="Q718" s="387">
        <v>0</v>
      </c>
      <c r="R718" s="387">
        <v>0</v>
      </c>
      <c r="S718" s="1174">
        <f>Locations[[#This Row],[Ind_Returnees]]+Locations[[#This Row],[Ind_Refugees]]+Locations[[#This Row],[Ind_IDPs]]</f>
        <v>1660</v>
      </c>
    </row>
    <row r="719" spans="1:19" s="388" customFormat="1" x14ac:dyDescent="0.3">
      <c r="A719" s="5" t="s">
        <v>533</v>
      </c>
      <c r="B719" s="1430" t="s">
        <v>3449</v>
      </c>
      <c r="C719" s="1090" t="s">
        <v>534</v>
      </c>
      <c r="D719" s="5" t="s">
        <v>31</v>
      </c>
      <c r="E719" s="5" t="s">
        <v>31</v>
      </c>
      <c r="F719" s="5" t="s">
        <v>549</v>
      </c>
      <c r="G719" s="5" t="s">
        <v>167</v>
      </c>
      <c r="H719" s="5" t="s">
        <v>167</v>
      </c>
      <c r="I719" s="5" t="s">
        <v>1113</v>
      </c>
      <c r="J719" t="s">
        <v>2059</v>
      </c>
      <c r="K719" s="5" t="s">
        <v>2076</v>
      </c>
      <c r="L719" s="5"/>
      <c r="M719" s="387">
        <v>60</v>
      </c>
      <c r="N719" s="387">
        <v>60</v>
      </c>
      <c r="O719" s="387">
        <v>0</v>
      </c>
      <c r="P719" s="387">
        <v>0</v>
      </c>
      <c r="Q719" s="387">
        <v>0</v>
      </c>
      <c r="R719" s="387">
        <v>0</v>
      </c>
      <c r="S719" s="1174">
        <f>Locations[[#This Row],[Ind_Returnees]]+Locations[[#This Row],[Ind_Refugees]]+Locations[[#This Row],[Ind_IDPs]]</f>
        <v>60</v>
      </c>
    </row>
    <row r="720" spans="1:19" s="388" customFormat="1" x14ac:dyDescent="0.3">
      <c r="A720" s="5" t="s">
        <v>533</v>
      </c>
      <c r="B720" s="1430" t="s">
        <v>3449</v>
      </c>
      <c r="C720" s="398" t="s">
        <v>534</v>
      </c>
      <c r="D720" s="5" t="s">
        <v>31</v>
      </c>
      <c r="E720" s="5" t="s">
        <v>31</v>
      </c>
      <c r="F720" s="5" t="s">
        <v>549</v>
      </c>
      <c r="G720" s="5" t="s">
        <v>169</v>
      </c>
      <c r="H720" s="5" t="s">
        <v>169</v>
      </c>
      <c r="I720" s="5" t="s">
        <v>673</v>
      </c>
      <c r="J720" t="s">
        <v>2931</v>
      </c>
      <c r="K720" s="5" t="s">
        <v>2223</v>
      </c>
      <c r="L720" s="5"/>
      <c r="M720" s="387">
        <v>0</v>
      </c>
      <c r="N720" s="387">
        <v>0</v>
      </c>
      <c r="O720" s="387">
        <v>2</v>
      </c>
      <c r="P720" s="387">
        <v>2</v>
      </c>
      <c r="Q720" s="387">
        <v>100</v>
      </c>
      <c r="R720" s="387">
        <v>877</v>
      </c>
      <c r="S720" s="1174">
        <f>Locations[[#This Row],[Ind_Returnees]]+Locations[[#This Row],[Ind_Refugees]]+Locations[[#This Row],[Ind_IDPs]]</f>
        <v>879</v>
      </c>
    </row>
    <row r="721" spans="1:19" s="388" customFormat="1" x14ac:dyDescent="0.3">
      <c r="A721" s="5" t="s">
        <v>533</v>
      </c>
      <c r="B721" s="1430" t="s">
        <v>3449</v>
      </c>
      <c r="C721" s="398" t="s">
        <v>534</v>
      </c>
      <c r="D721" s="5" t="s">
        <v>31</v>
      </c>
      <c r="E721" s="5" t="s">
        <v>31</v>
      </c>
      <c r="F721" s="5" t="s">
        <v>549</v>
      </c>
      <c r="G721" s="5" t="s">
        <v>169</v>
      </c>
      <c r="H721" s="5" t="s">
        <v>169</v>
      </c>
      <c r="I721" s="5" t="s">
        <v>673</v>
      </c>
      <c r="J721" t="s">
        <v>1550</v>
      </c>
      <c r="K721" s="5" t="s">
        <v>828</v>
      </c>
      <c r="L721" s="5"/>
      <c r="M721" s="387">
        <v>22</v>
      </c>
      <c r="N721" s="387">
        <v>148</v>
      </c>
      <c r="O721" s="387">
        <v>0</v>
      </c>
      <c r="P721" s="387">
        <v>0</v>
      </c>
      <c r="Q721" s="387">
        <v>65</v>
      </c>
      <c r="R721" s="387">
        <v>400</v>
      </c>
      <c r="S721" s="1174">
        <f>Locations[[#This Row],[Ind_Returnees]]+Locations[[#This Row],[Ind_Refugees]]+Locations[[#This Row],[Ind_IDPs]]</f>
        <v>548</v>
      </c>
    </row>
    <row r="722" spans="1:19" s="388" customFormat="1" x14ac:dyDescent="0.3">
      <c r="A722" s="5" t="s">
        <v>533</v>
      </c>
      <c r="B722" s="1430" t="s">
        <v>3449</v>
      </c>
      <c r="C722" s="1090" t="s">
        <v>534</v>
      </c>
      <c r="D722" s="5" t="s">
        <v>32</v>
      </c>
      <c r="E722" s="5" t="s">
        <v>32</v>
      </c>
      <c r="F722" s="5" t="s">
        <v>542</v>
      </c>
      <c r="G722" s="5" t="s">
        <v>178</v>
      </c>
      <c r="H722" s="5" t="s">
        <v>178</v>
      </c>
      <c r="I722" s="5" t="s">
        <v>543</v>
      </c>
      <c r="J722" t="s">
        <v>3215</v>
      </c>
      <c r="K722" s="5" t="s">
        <v>2785</v>
      </c>
      <c r="L722" s="5"/>
      <c r="M722" s="387">
        <v>0</v>
      </c>
      <c r="N722" s="387">
        <v>0</v>
      </c>
      <c r="O722" s="387">
        <v>0</v>
      </c>
      <c r="P722" s="387">
        <v>0</v>
      </c>
      <c r="Q722" s="387">
        <v>20</v>
      </c>
      <c r="R722" s="387">
        <v>100</v>
      </c>
      <c r="S722" s="1174">
        <f>Locations[[#This Row],[Ind_Returnees]]+Locations[[#This Row],[Ind_Refugees]]+Locations[[#This Row],[Ind_IDPs]]</f>
        <v>100</v>
      </c>
    </row>
    <row r="723" spans="1:19" s="388" customFormat="1" x14ac:dyDescent="0.3">
      <c r="A723" s="5" t="s">
        <v>533</v>
      </c>
      <c r="B723" s="1430" t="s">
        <v>3449</v>
      </c>
      <c r="C723" s="398" t="s">
        <v>534</v>
      </c>
      <c r="D723" s="5" t="s">
        <v>34</v>
      </c>
      <c r="E723" s="5" t="s">
        <v>34</v>
      </c>
      <c r="F723" s="5" t="s">
        <v>539</v>
      </c>
      <c r="G723" s="5" t="s">
        <v>188</v>
      </c>
      <c r="H723" s="5" t="s">
        <v>188</v>
      </c>
      <c r="I723" s="5" t="s">
        <v>546</v>
      </c>
      <c r="J723" t="s">
        <v>1070</v>
      </c>
      <c r="K723" s="5" t="s">
        <v>1178</v>
      </c>
      <c r="L723" s="5"/>
      <c r="M723" s="387">
        <v>83</v>
      </c>
      <c r="N723" s="387">
        <v>476</v>
      </c>
      <c r="O723" s="387">
        <v>0</v>
      </c>
      <c r="P723" s="387">
        <v>0</v>
      </c>
      <c r="Q723" s="387">
        <v>8</v>
      </c>
      <c r="R723" s="387">
        <v>73</v>
      </c>
      <c r="S723" s="1174">
        <f>Locations[[#This Row],[Ind_Returnees]]+Locations[[#This Row],[Ind_Refugees]]+Locations[[#This Row],[Ind_IDPs]]</f>
        <v>549</v>
      </c>
    </row>
    <row r="724" spans="1:19" s="388" customFormat="1" x14ac:dyDescent="0.3">
      <c r="A724" s="5" t="s">
        <v>533</v>
      </c>
      <c r="B724" s="1430" t="s">
        <v>3449</v>
      </c>
      <c r="C724" s="398" t="s">
        <v>534</v>
      </c>
      <c r="D724" s="5" t="s">
        <v>31</v>
      </c>
      <c r="E724" s="5" t="s">
        <v>31</v>
      </c>
      <c r="F724" s="5" t="s">
        <v>549</v>
      </c>
      <c r="G724" s="5" t="s">
        <v>170</v>
      </c>
      <c r="H724" s="5" t="s">
        <v>170</v>
      </c>
      <c r="I724" s="5" t="s">
        <v>866</v>
      </c>
      <c r="J724" t="s">
        <v>873</v>
      </c>
      <c r="K724" s="5" t="s">
        <v>1502</v>
      </c>
      <c r="L724" s="5"/>
      <c r="M724" s="387">
        <v>50</v>
      </c>
      <c r="N724" s="387">
        <v>205</v>
      </c>
      <c r="O724" s="387">
        <v>0</v>
      </c>
      <c r="P724" s="387">
        <v>0</v>
      </c>
      <c r="Q724" s="387">
        <v>100</v>
      </c>
      <c r="R724" s="387">
        <v>445</v>
      </c>
      <c r="S724" s="1174">
        <f>Locations[[#This Row],[Ind_Returnees]]+Locations[[#This Row],[Ind_Refugees]]+Locations[[#This Row],[Ind_IDPs]]</f>
        <v>650</v>
      </c>
    </row>
    <row r="725" spans="1:19" s="388" customFormat="1" x14ac:dyDescent="0.3">
      <c r="A725" s="5" t="s">
        <v>533</v>
      </c>
      <c r="B725" s="1430" t="s">
        <v>3449</v>
      </c>
      <c r="C725" s="398" t="s">
        <v>534</v>
      </c>
      <c r="D725" s="5" t="s">
        <v>34</v>
      </c>
      <c r="E725" s="5" t="s">
        <v>34</v>
      </c>
      <c r="F725" s="5" t="s">
        <v>539</v>
      </c>
      <c r="G725" s="5" t="s">
        <v>187</v>
      </c>
      <c r="H725" s="5" t="s">
        <v>187</v>
      </c>
      <c r="I725" s="5" t="s">
        <v>951</v>
      </c>
      <c r="J725" t="s">
        <v>2934</v>
      </c>
      <c r="K725" s="5" t="s">
        <v>2565</v>
      </c>
      <c r="L725" s="5"/>
      <c r="M725" s="387">
        <v>0</v>
      </c>
      <c r="N725" s="387">
        <v>0</v>
      </c>
      <c r="O725" s="387">
        <v>0</v>
      </c>
      <c r="P725" s="387">
        <v>0</v>
      </c>
      <c r="Q725" s="387">
        <v>0</v>
      </c>
      <c r="R725" s="387">
        <v>0</v>
      </c>
      <c r="S725" s="1174">
        <f>Locations[[#This Row],[Ind_Returnees]]+Locations[[#This Row],[Ind_Refugees]]+Locations[[#This Row],[Ind_IDPs]]</f>
        <v>0</v>
      </c>
    </row>
    <row r="726" spans="1:19" s="388" customFormat="1" x14ac:dyDescent="0.3">
      <c r="A726" s="5" t="s">
        <v>533</v>
      </c>
      <c r="B726" s="1430" t="s">
        <v>3449</v>
      </c>
      <c r="C726" s="398" t="s">
        <v>534</v>
      </c>
      <c r="D726" s="5" t="s">
        <v>31</v>
      </c>
      <c r="E726" s="5" t="s">
        <v>31</v>
      </c>
      <c r="F726" s="5" t="s">
        <v>549</v>
      </c>
      <c r="G726" s="5" t="s">
        <v>2797</v>
      </c>
      <c r="H726" s="5" t="s">
        <v>3898</v>
      </c>
      <c r="I726" s="5" t="s">
        <v>767</v>
      </c>
      <c r="J726" t="s">
        <v>928</v>
      </c>
      <c r="K726" s="5" t="s">
        <v>1863</v>
      </c>
      <c r="L726" s="5"/>
      <c r="M726" s="387">
        <v>70</v>
      </c>
      <c r="N726" s="387">
        <v>489</v>
      </c>
      <c r="O726" s="387">
        <v>0</v>
      </c>
      <c r="P726" s="387">
        <v>0</v>
      </c>
      <c r="Q726" s="387">
        <v>0</v>
      </c>
      <c r="R726" s="387">
        <v>0</v>
      </c>
      <c r="S726" s="1174">
        <f>Locations[[#This Row],[Ind_Returnees]]+Locations[[#This Row],[Ind_Refugees]]+Locations[[#This Row],[Ind_IDPs]]</f>
        <v>489</v>
      </c>
    </row>
    <row r="727" spans="1:19" s="388" customFormat="1" x14ac:dyDescent="0.3">
      <c r="A727" s="5" t="s">
        <v>533</v>
      </c>
      <c r="B727" s="1430" t="s">
        <v>3449</v>
      </c>
      <c r="C727" s="1090" t="s">
        <v>534</v>
      </c>
      <c r="D727" s="5" t="s">
        <v>31</v>
      </c>
      <c r="E727" s="5" t="s">
        <v>31</v>
      </c>
      <c r="F727" s="5" t="s">
        <v>549</v>
      </c>
      <c r="G727" s="5" t="s">
        <v>166</v>
      </c>
      <c r="H727" s="5" t="s">
        <v>166</v>
      </c>
      <c r="I727" s="5" t="s">
        <v>844</v>
      </c>
      <c r="J727" t="s">
        <v>2935</v>
      </c>
      <c r="K727" s="5" t="s">
        <v>1517</v>
      </c>
      <c r="L727" s="5"/>
      <c r="M727" s="387">
        <v>13</v>
      </c>
      <c r="N727" s="387">
        <v>112</v>
      </c>
      <c r="O727" s="387">
        <v>0</v>
      </c>
      <c r="P727" s="387">
        <v>0</v>
      </c>
      <c r="Q727" s="387">
        <v>0</v>
      </c>
      <c r="R727" s="387">
        <v>0</v>
      </c>
      <c r="S727" s="1174">
        <f>Locations[[#This Row],[Ind_Returnees]]+Locations[[#This Row],[Ind_Refugees]]+Locations[[#This Row],[Ind_IDPs]]</f>
        <v>112</v>
      </c>
    </row>
    <row r="728" spans="1:19" s="388" customFormat="1" x14ac:dyDescent="0.3">
      <c r="A728" s="5" t="s">
        <v>533</v>
      </c>
      <c r="B728" s="1430" t="s">
        <v>3449</v>
      </c>
      <c r="C728" s="1090" t="s">
        <v>534</v>
      </c>
      <c r="D728" s="5" t="s">
        <v>31</v>
      </c>
      <c r="E728" s="5" t="s">
        <v>31</v>
      </c>
      <c r="F728" s="5" t="s">
        <v>549</v>
      </c>
      <c r="G728" s="5" t="s">
        <v>171</v>
      </c>
      <c r="H728" s="5" t="s">
        <v>171</v>
      </c>
      <c r="I728" s="5" t="s">
        <v>634</v>
      </c>
      <c r="J728" t="s">
        <v>1993</v>
      </c>
      <c r="K728" s="5" t="s">
        <v>3089</v>
      </c>
      <c r="L728" s="5"/>
      <c r="M728" s="387">
        <v>5869</v>
      </c>
      <c r="N728" s="387">
        <v>16341</v>
      </c>
      <c r="O728" s="387">
        <v>0</v>
      </c>
      <c r="P728" s="387">
        <v>0</v>
      </c>
      <c r="Q728" s="387">
        <v>0</v>
      </c>
      <c r="R728" s="387">
        <v>0</v>
      </c>
      <c r="S728" s="1174">
        <f>Locations[[#This Row],[Ind_Returnees]]+Locations[[#This Row],[Ind_Refugees]]+Locations[[#This Row],[Ind_IDPs]]</f>
        <v>16341</v>
      </c>
    </row>
    <row r="729" spans="1:19" s="388" customFormat="1" x14ac:dyDescent="0.3">
      <c r="A729" s="5" t="s">
        <v>533</v>
      </c>
      <c r="B729" s="1430" t="s">
        <v>3449</v>
      </c>
      <c r="C729" s="398" t="s">
        <v>534</v>
      </c>
      <c r="D729" s="5" t="s">
        <v>34</v>
      </c>
      <c r="E729" s="5" t="s">
        <v>34</v>
      </c>
      <c r="F729" s="5" t="s">
        <v>539</v>
      </c>
      <c r="G729" s="5" t="s">
        <v>189</v>
      </c>
      <c r="H729" s="5" t="s">
        <v>189</v>
      </c>
      <c r="I729" s="5" t="s">
        <v>590</v>
      </c>
      <c r="J729" t="s">
        <v>1050</v>
      </c>
      <c r="K729" s="5" t="s">
        <v>1051</v>
      </c>
      <c r="L729" s="5"/>
      <c r="M729" s="387">
        <v>10</v>
      </c>
      <c r="N729" s="387">
        <v>203</v>
      </c>
      <c r="O729" s="387">
        <v>0</v>
      </c>
      <c r="P729" s="387">
        <v>0</v>
      </c>
      <c r="Q729" s="387">
        <v>0</v>
      </c>
      <c r="R729" s="387">
        <v>0</v>
      </c>
      <c r="S729" s="1174">
        <f>Locations[[#This Row],[Ind_Returnees]]+Locations[[#This Row],[Ind_Refugees]]+Locations[[#This Row],[Ind_IDPs]]</f>
        <v>203</v>
      </c>
    </row>
    <row r="730" spans="1:19" s="388" customFormat="1" x14ac:dyDescent="0.3">
      <c r="A730" s="5" t="s">
        <v>533</v>
      </c>
      <c r="B730" s="1430" t="s">
        <v>3449</v>
      </c>
      <c r="C730" s="398" t="s">
        <v>534</v>
      </c>
      <c r="D730" s="5" t="s">
        <v>31</v>
      </c>
      <c r="E730" s="5" t="s">
        <v>31</v>
      </c>
      <c r="F730" s="5" t="s">
        <v>549</v>
      </c>
      <c r="G730" s="5" t="s">
        <v>167</v>
      </c>
      <c r="H730" s="5" t="s">
        <v>167</v>
      </c>
      <c r="I730" s="5" t="s">
        <v>1113</v>
      </c>
      <c r="J730" t="s">
        <v>2936</v>
      </c>
      <c r="K730" s="5" t="s">
        <v>1951</v>
      </c>
      <c r="L730" s="5"/>
      <c r="M730" s="387">
        <v>30</v>
      </c>
      <c r="N730" s="387">
        <v>30</v>
      </c>
      <c r="O730" s="387">
        <v>0</v>
      </c>
      <c r="P730" s="387">
        <v>0</v>
      </c>
      <c r="Q730" s="387">
        <v>0</v>
      </c>
      <c r="R730" s="387">
        <v>0</v>
      </c>
      <c r="S730" s="1174">
        <f>Locations[[#This Row],[Ind_Returnees]]+Locations[[#This Row],[Ind_Refugees]]+Locations[[#This Row],[Ind_IDPs]]</f>
        <v>30</v>
      </c>
    </row>
    <row r="731" spans="1:19" s="388" customFormat="1" x14ac:dyDescent="0.3">
      <c r="A731" s="5" t="s">
        <v>533</v>
      </c>
      <c r="B731" s="1430" t="s">
        <v>3449</v>
      </c>
      <c r="C731" s="398" t="s">
        <v>534</v>
      </c>
      <c r="D731" s="5" t="s">
        <v>31</v>
      </c>
      <c r="E731" s="5" t="s">
        <v>31</v>
      </c>
      <c r="F731" s="5" t="s">
        <v>549</v>
      </c>
      <c r="G731" s="5" t="s">
        <v>170</v>
      </c>
      <c r="H731" s="5" t="s">
        <v>170</v>
      </c>
      <c r="I731" s="5" t="s">
        <v>866</v>
      </c>
      <c r="J731" t="s">
        <v>879</v>
      </c>
      <c r="K731" s="5" t="s">
        <v>958</v>
      </c>
      <c r="L731" s="5"/>
      <c r="M731" s="387">
        <v>4</v>
      </c>
      <c r="N731" s="387">
        <v>15</v>
      </c>
      <c r="O731" s="387">
        <v>0</v>
      </c>
      <c r="P731" s="387">
        <v>0</v>
      </c>
      <c r="Q731" s="387">
        <v>2</v>
      </c>
      <c r="R731" s="387">
        <v>15</v>
      </c>
      <c r="S731" s="1174">
        <f>Locations[[#This Row],[Ind_Returnees]]+Locations[[#This Row],[Ind_Refugees]]+Locations[[#This Row],[Ind_IDPs]]</f>
        <v>30</v>
      </c>
    </row>
    <row r="732" spans="1:19" s="388" customFormat="1" x14ac:dyDescent="0.3">
      <c r="A732" s="577" t="s">
        <v>533</v>
      </c>
      <c r="B732" s="1430" t="s">
        <v>3449</v>
      </c>
      <c r="C732" s="577" t="s">
        <v>534</v>
      </c>
      <c r="D732" s="577" t="s">
        <v>31</v>
      </c>
      <c r="E732" s="577" t="s">
        <v>31</v>
      </c>
      <c r="F732" s="577" t="s">
        <v>549</v>
      </c>
      <c r="G732" s="577" t="s">
        <v>171</v>
      </c>
      <c r="H732" s="577" t="s">
        <v>171</v>
      </c>
      <c r="I732" s="577" t="s">
        <v>634</v>
      </c>
      <c r="J732" s="577" t="s">
        <v>922</v>
      </c>
      <c r="K732" s="577" t="s">
        <v>1253</v>
      </c>
      <c r="L732" s="577"/>
      <c r="M732" s="387">
        <v>32</v>
      </c>
      <c r="N732" s="387">
        <v>169</v>
      </c>
      <c r="O732" s="387">
        <v>2</v>
      </c>
      <c r="P732" s="387">
        <v>5</v>
      </c>
      <c r="Q732" s="387">
        <v>0</v>
      </c>
      <c r="R732" s="387">
        <v>0</v>
      </c>
      <c r="S732" s="1174">
        <f>Locations[[#This Row],[Ind_Returnees]]+Locations[[#This Row],[Ind_Refugees]]+Locations[[#This Row],[Ind_IDPs]]</f>
        <v>174</v>
      </c>
    </row>
    <row r="733" spans="1:19" s="388" customFormat="1" x14ac:dyDescent="0.3">
      <c r="A733" s="5" t="s">
        <v>533</v>
      </c>
      <c r="B733" s="1430" t="s">
        <v>3449</v>
      </c>
      <c r="C733" s="398" t="s">
        <v>534</v>
      </c>
      <c r="D733" s="5" t="s">
        <v>31</v>
      </c>
      <c r="E733" s="5" t="s">
        <v>31</v>
      </c>
      <c r="F733" s="5" t="s">
        <v>549</v>
      </c>
      <c r="G733" s="5" t="s">
        <v>173</v>
      </c>
      <c r="H733" s="5" t="s">
        <v>173</v>
      </c>
      <c r="I733" s="5" t="s">
        <v>556</v>
      </c>
      <c r="J733" t="s">
        <v>833</v>
      </c>
      <c r="K733" s="5" t="s">
        <v>1142</v>
      </c>
      <c r="L733" s="5"/>
      <c r="M733" s="387">
        <v>0</v>
      </c>
      <c r="N733" s="387">
        <v>0</v>
      </c>
      <c r="O733" s="387">
        <v>0</v>
      </c>
      <c r="P733" s="387">
        <v>0</v>
      </c>
      <c r="Q733" s="387">
        <v>0</v>
      </c>
      <c r="R733" s="387">
        <v>0</v>
      </c>
      <c r="S733" s="1174">
        <f>Locations[[#This Row],[Ind_Returnees]]+Locations[[#This Row],[Ind_Refugees]]+Locations[[#This Row],[Ind_IDPs]]</f>
        <v>0</v>
      </c>
    </row>
    <row r="734" spans="1:19" s="388" customFormat="1" x14ac:dyDescent="0.3">
      <c r="A734" s="5" t="s">
        <v>533</v>
      </c>
      <c r="B734" s="1430" t="s">
        <v>3449</v>
      </c>
      <c r="C734" s="1090" t="s">
        <v>534</v>
      </c>
      <c r="D734" s="5" t="s">
        <v>31</v>
      </c>
      <c r="E734" s="5" t="s">
        <v>31</v>
      </c>
      <c r="F734" s="5" t="s">
        <v>549</v>
      </c>
      <c r="G734" s="5" t="s">
        <v>171</v>
      </c>
      <c r="H734" s="5" t="s">
        <v>171</v>
      </c>
      <c r="I734" s="5" t="s">
        <v>634</v>
      </c>
      <c r="J734" t="s">
        <v>932</v>
      </c>
      <c r="K734" s="5" t="s">
        <v>2603</v>
      </c>
      <c r="L734" s="5"/>
      <c r="M734" s="387">
        <v>0</v>
      </c>
      <c r="N734" s="387">
        <v>0</v>
      </c>
      <c r="O734" s="387">
        <v>0</v>
      </c>
      <c r="P734" s="387">
        <v>0</v>
      </c>
      <c r="Q734" s="387">
        <v>0</v>
      </c>
      <c r="R734" s="387">
        <v>0</v>
      </c>
      <c r="S734" s="1174">
        <f>Locations[[#This Row],[Ind_Returnees]]+Locations[[#This Row],[Ind_Refugees]]+Locations[[#This Row],[Ind_IDPs]]</f>
        <v>0</v>
      </c>
    </row>
    <row r="735" spans="1:19" s="388" customFormat="1" x14ac:dyDescent="0.3">
      <c r="A735" s="5" t="s">
        <v>533</v>
      </c>
      <c r="B735" s="1430" t="s">
        <v>3449</v>
      </c>
      <c r="C735" s="1090" t="s">
        <v>534</v>
      </c>
      <c r="D735" s="5" t="s">
        <v>34</v>
      </c>
      <c r="E735" s="5" t="s">
        <v>34</v>
      </c>
      <c r="F735" s="5" t="s">
        <v>539</v>
      </c>
      <c r="G735" s="5" t="s">
        <v>187</v>
      </c>
      <c r="H735" s="5" t="s">
        <v>187</v>
      </c>
      <c r="I735" s="5" t="s">
        <v>951</v>
      </c>
      <c r="J735" t="s">
        <v>2552</v>
      </c>
      <c r="K735" s="5" t="s">
        <v>2559</v>
      </c>
      <c r="L735" s="5"/>
      <c r="M735" s="387">
        <v>0</v>
      </c>
      <c r="N735" s="387">
        <v>0</v>
      </c>
      <c r="O735" s="387">
        <v>0</v>
      </c>
      <c r="P735" s="387">
        <v>0</v>
      </c>
      <c r="Q735" s="387">
        <v>0</v>
      </c>
      <c r="R735" s="387">
        <v>0</v>
      </c>
      <c r="S735" s="1174">
        <f>Locations[[#This Row],[Ind_Returnees]]+Locations[[#This Row],[Ind_Refugees]]+Locations[[#This Row],[Ind_IDPs]]</f>
        <v>0</v>
      </c>
    </row>
    <row r="736" spans="1:19" s="388" customFormat="1" x14ac:dyDescent="0.3">
      <c r="A736" s="577" t="s">
        <v>533</v>
      </c>
      <c r="B736" s="1430" t="s">
        <v>3449</v>
      </c>
      <c r="C736" s="577" t="s">
        <v>534</v>
      </c>
      <c r="D736" s="577" t="s">
        <v>31</v>
      </c>
      <c r="E736" s="577" t="s">
        <v>31</v>
      </c>
      <c r="F736" s="577" t="s">
        <v>549</v>
      </c>
      <c r="G736" s="577" t="s">
        <v>166</v>
      </c>
      <c r="H736" s="577" t="s">
        <v>166</v>
      </c>
      <c r="I736" s="577" t="s">
        <v>844</v>
      </c>
      <c r="J736" s="577" t="s">
        <v>2937</v>
      </c>
      <c r="K736" s="577" t="s">
        <v>2517</v>
      </c>
      <c r="L736" s="577"/>
      <c r="M736" s="387">
        <v>0</v>
      </c>
      <c r="N736" s="387">
        <v>0</v>
      </c>
      <c r="O736" s="387">
        <v>0</v>
      </c>
      <c r="P736" s="387">
        <v>0</v>
      </c>
      <c r="Q736" s="387">
        <v>0</v>
      </c>
      <c r="R736" s="387">
        <v>0</v>
      </c>
      <c r="S736" s="1174">
        <f>Locations[[#This Row],[Ind_Returnees]]+Locations[[#This Row],[Ind_Refugees]]+Locations[[#This Row],[Ind_IDPs]]</f>
        <v>0</v>
      </c>
    </row>
    <row r="737" spans="1:19" s="388" customFormat="1" x14ac:dyDescent="0.3">
      <c r="A737" s="5" t="s">
        <v>533</v>
      </c>
      <c r="B737" s="1430" t="s">
        <v>3449</v>
      </c>
      <c r="C737" s="1090" t="s">
        <v>534</v>
      </c>
      <c r="D737" s="5" t="s">
        <v>31</v>
      </c>
      <c r="E737" s="5" t="s">
        <v>31</v>
      </c>
      <c r="F737" s="5" t="s">
        <v>549</v>
      </c>
      <c r="G737" s="5" t="s">
        <v>171</v>
      </c>
      <c r="H737" s="5" t="s">
        <v>171</v>
      </c>
      <c r="I737" s="5" t="s">
        <v>634</v>
      </c>
      <c r="J737" t="s">
        <v>934</v>
      </c>
      <c r="K737" s="5" t="s">
        <v>2064</v>
      </c>
      <c r="L737" s="5"/>
      <c r="M737" s="387">
        <v>40</v>
      </c>
      <c r="N737" s="387">
        <v>670</v>
      </c>
      <c r="O737" s="387">
        <v>5</v>
      </c>
      <c r="P737" s="387">
        <v>58</v>
      </c>
      <c r="Q737" s="387">
        <v>20</v>
      </c>
      <c r="R737" s="387">
        <v>102</v>
      </c>
      <c r="S737" s="1174">
        <f>Locations[[#This Row],[Ind_Returnees]]+Locations[[#This Row],[Ind_Refugees]]+Locations[[#This Row],[Ind_IDPs]]</f>
        <v>830</v>
      </c>
    </row>
    <row r="738" spans="1:19" s="388" customFormat="1" x14ac:dyDescent="0.3">
      <c r="A738" s="5" t="s">
        <v>533</v>
      </c>
      <c r="B738" s="1430" t="s">
        <v>3449</v>
      </c>
      <c r="C738" s="398" t="s">
        <v>534</v>
      </c>
      <c r="D738" s="5" t="s">
        <v>31</v>
      </c>
      <c r="E738" s="5" t="s">
        <v>31</v>
      </c>
      <c r="F738" s="5" t="s">
        <v>549</v>
      </c>
      <c r="G738" s="5" t="s">
        <v>171</v>
      </c>
      <c r="H738" s="5" t="s">
        <v>171</v>
      </c>
      <c r="I738" s="5" t="s">
        <v>634</v>
      </c>
      <c r="J738" t="s">
        <v>2938</v>
      </c>
      <c r="K738" s="5" t="s">
        <v>1893</v>
      </c>
      <c r="L738" s="5"/>
      <c r="M738" s="387">
        <v>20</v>
      </c>
      <c r="N738" s="387">
        <v>202</v>
      </c>
      <c r="O738" s="387">
        <v>0</v>
      </c>
      <c r="P738" s="387">
        <v>0</v>
      </c>
      <c r="Q738" s="387">
        <v>0</v>
      </c>
      <c r="R738" s="387">
        <v>0</v>
      </c>
      <c r="S738" s="1174">
        <f>Locations[[#This Row],[Ind_Returnees]]+Locations[[#This Row],[Ind_Refugees]]+Locations[[#This Row],[Ind_IDPs]]</f>
        <v>202</v>
      </c>
    </row>
    <row r="739" spans="1:19" s="388" customFormat="1" x14ac:dyDescent="0.3">
      <c r="A739" s="5" t="s">
        <v>533</v>
      </c>
      <c r="B739" s="1430" t="s">
        <v>3449</v>
      </c>
      <c r="C739" s="1090" t="s">
        <v>534</v>
      </c>
      <c r="D739" s="5" t="s">
        <v>31</v>
      </c>
      <c r="E739" s="5" t="s">
        <v>31</v>
      </c>
      <c r="F739" s="5" t="s">
        <v>549</v>
      </c>
      <c r="G739" s="5" t="s">
        <v>171</v>
      </c>
      <c r="H739" s="5" t="s">
        <v>171</v>
      </c>
      <c r="I739" s="5" t="s">
        <v>634</v>
      </c>
      <c r="J739" t="s">
        <v>2625</v>
      </c>
      <c r="K739" s="5" t="s">
        <v>1822</v>
      </c>
      <c r="L739" s="5"/>
      <c r="M739" s="387">
        <v>60</v>
      </c>
      <c r="N739" s="387">
        <v>462</v>
      </c>
      <c r="O739" s="387">
        <v>0</v>
      </c>
      <c r="P739" s="387">
        <v>0</v>
      </c>
      <c r="Q739" s="387">
        <v>0</v>
      </c>
      <c r="R739" s="387">
        <v>0</v>
      </c>
      <c r="S739" s="1174">
        <f>Locations[[#This Row],[Ind_Returnees]]+Locations[[#This Row],[Ind_Refugees]]+Locations[[#This Row],[Ind_IDPs]]</f>
        <v>462</v>
      </c>
    </row>
    <row r="740" spans="1:19" s="388" customFormat="1" x14ac:dyDescent="0.3">
      <c r="A740" s="5" t="s">
        <v>533</v>
      </c>
      <c r="B740" s="1430" t="s">
        <v>3449</v>
      </c>
      <c r="C740" s="398" t="s">
        <v>534</v>
      </c>
      <c r="D740" s="5" t="s">
        <v>31</v>
      </c>
      <c r="E740" s="5" t="s">
        <v>31</v>
      </c>
      <c r="F740" s="5" t="s">
        <v>549</v>
      </c>
      <c r="G740" s="5" t="s">
        <v>167</v>
      </c>
      <c r="H740" s="5" t="s">
        <v>167</v>
      </c>
      <c r="I740" s="5" t="s">
        <v>1113</v>
      </c>
      <c r="J740" t="s">
        <v>2075</v>
      </c>
      <c r="K740" s="5" t="s">
        <v>2120</v>
      </c>
      <c r="L740" s="5"/>
      <c r="M740" s="387">
        <v>2</v>
      </c>
      <c r="N740" s="387">
        <v>4</v>
      </c>
      <c r="O740" s="387">
        <v>0</v>
      </c>
      <c r="P740" s="387">
        <v>0</v>
      </c>
      <c r="Q740" s="387">
        <v>0</v>
      </c>
      <c r="R740" s="387">
        <v>0</v>
      </c>
      <c r="S740" s="1174">
        <f>Locations[[#This Row],[Ind_Returnees]]+Locations[[#This Row],[Ind_Refugees]]+Locations[[#This Row],[Ind_IDPs]]</f>
        <v>4</v>
      </c>
    </row>
    <row r="741" spans="1:19" s="388" customFormat="1" x14ac:dyDescent="0.3">
      <c r="A741" s="5" t="s">
        <v>533</v>
      </c>
      <c r="B741" s="1430" t="s">
        <v>3449</v>
      </c>
      <c r="C741" s="1090" t="s">
        <v>534</v>
      </c>
      <c r="D741" s="5" t="s">
        <v>35</v>
      </c>
      <c r="E741" s="5" t="s">
        <v>35</v>
      </c>
      <c r="F741" s="5" t="s">
        <v>567</v>
      </c>
      <c r="G741" s="5" t="s">
        <v>192</v>
      </c>
      <c r="H741" s="5" t="s">
        <v>192</v>
      </c>
      <c r="I741" s="5" t="s">
        <v>853</v>
      </c>
      <c r="J741" t="s">
        <v>902</v>
      </c>
      <c r="K741" s="5" t="s">
        <v>1391</v>
      </c>
      <c r="L741" s="5"/>
      <c r="M741" s="387">
        <v>133</v>
      </c>
      <c r="N741" s="387">
        <v>640</v>
      </c>
      <c r="O741" s="387">
        <v>0</v>
      </c>
      <c r="P741" s="387">
        <v>0</v>
      </c>
      <c r="Q741" s="387">
        <v>4</v>
      </c>
      <c r="R741" s="387">
        <v>20</v>
      </c>
      <c r="S741" s="1174">
        <f>Locations[[#This Row],[Ind_Returnees]]+Locations[[#This Row],[Ind_Refugees]]+Locations[[#This Row],[Ind_IDPs]]</f>
        <v>660</v>
      </c>
    </row>
    <row r="742" spans="1:19" s="388" customFormat="1" x14ac:dyDescent="0.3">
      <c r="A742" s="5" t="s">
        <v>533</v>
      </c>
      <c r="B742" s="1430" t="s">
        <v>3449</v>
      </c>
      <c r="C742" s="398" t="s">
        <v>534</v>
      </c>
      <c r="D742" s="5" t="s">
        <v>31</v>
      </c>
      <c r="E742" s="5" t="s">
        <v>31</v>
      </c>
      <c r="F742" s="5" t="s">
        <v>549</v>
      </c>
      <c r="G742" s="5" t="s">
        <v>169</v>
      </c>
      <c r="H742" s="5" t="s">
        <v>169</v>
      </c>
      <c r="I742" s="5" t="s">
        <v>673</v>
      </c>
      <c r="J742" t="s">
        <v>2933</v>
      </c>
      <c r="K742" s="5" t="s">
        <v>2305</v>
      </c>
      <c r="L742" s="5"/>
      <c r="M742" s="387">
        <v>0</v>
      </c>
      <c r="N742" s="387">
        <v>0</v>
      </c>
      <c r="O742" s="387">
        <v>0</v>
      </c>
      <c r="P742" s="387">
        <v>0</v>
      </c>
      <c r="Q742" s="387">
        <v>0</v>
      </c>
      <c r="R742" s="387">
        <v>0</v>
      </c>
      <c r="S742" s="1174">
        <f>Locations[[#This Row],[Ind_Returnees]]+Locations[[#This Row],[Ind_Refugees]]+Locations[[#This Row],[Ind_IDPs]]</f>
        <v>0</v>
      </c>
    </row>
    <row r="743" spans="1:19" s="388" customFormat="1" x14ac:dyDescent="0.3">
      <c r="A743" s="5" t="s">
        <v>533</v>
      </c>
      <c r="B743" s="1430" t="s">
        <v>3449</v>
      </c>
      <c r="C743" s="398" t="s">
        <v>534</v>
      </c>
      <c r="D743" s="5" t="s">
        <v>31</v>
      </c>
      <c r="E743" s="5" t="s">
        <v>31</v>
      </c>
      <c r="F743" s="5" t="s">
        <v>549</v>
      </c>
      <c r="G743" s="5" t="s">
        <v>171</v>
      </c>
      <c r="H743" s="5" t="s">
        <v>171</v>
      </c>
      <c r="I743" s="5" t="s">
        <v>634</v>
      </c>
      <c r="J743" t="s">
        <v>1852</v>
      </c>
      <c r="K743" s="5" t="s">
        <v>1047</v>
      </c>
      <c r="L743" s="5"/>
      <c r="M743" s="387">
        <v>24</v>
      </c>
      <c r="N743" s="387">
        <v>347</v>
      </c>
      <c r="O743" s="387">
        <v>0</v>
      </c>
      <c r="P743" s="387">
        <v>0</v>
      </c>
      <c r="Q743" s="387">
        <v>0</v>
      </c>
      <c r="R743" s="387">
        <v>0</v>
      </c>
      <c r="S743" s="1174">
        <f>Locations[[#This Row],[Ind_Returnees]]+Locations[[#This Row],[Ind_Refugees]]+Locations[[#This Row],[Ind_IDPs]]</f>
        <v>347</v>
      </c>
    </row>
    <row r="744" spans="1:19" s="388" customFormat="1" x14ac:dyDescent="0.3">
      <c r="A744" s="5" t="s">
        <v>533</v>
      </c>
      <c r="B744" s="1430" t="s">
        <v>3449</v>
      </c>
      <c r="C744" s="398" t="s">
        <v>534</v>
      </c>
      <c r="D744" s="5" t="s">
        <v>31</v>
      </c>
      <c r="E744" s="5" t="s">
        <v>31</v>
      </c>
      <c r="F744" s="5" t="s">
        <v>549</v>
      </c>
      <c r="G744" s="5" t="s">
        <v>171</v>
      </c>
      <c r="H744" s="5" t="s">
        <v>171</v>
      </c>
      <c r="I744" s="5" t="s">
        <v>634</v>
      </c>
      <c r="J744" t="s">
        <v>2600</v>
      </c>
      <c r="K744" s="5" t="s">
        <v>1803</v>
      </c>
      <c r="L744" s="5"/>
      <c r="M744" s="387">
        <v>16</v>
      </c>
      <c r="N744" s="387">
        <v>120</v>
      </c>
      <c r="O744" s="387">
        <v>0</v>
      </c>
      <c r="P744" s="387">
        <v>0</v>
      </c>
      <c r="Q744" s="387">
        <v>1</v>
      </c>
      <c r="R744" s="387">
        <v>3</v>
      </c>
      <c r="S744" s="1174">
        <f>Locations[[#This Row],[Ind_Returnees]]+Locations[[#This Row],[Ind_Refugees]]+Locations[[#This Row],[Ind_IDPs]]</f>
        <v>123</v>
      </c>
    </row>
    <row r="745" spans="1:19" s="388" customFormat="1" x14ac:dyDescent="0.3">
      <c r="A745" s="5" t="s">
        <v>533</v>
      </c>
      <c r="B745" s="1430" t="s">
        <v>3449</v>
      </c>
      <c r="C745" s="398" t="s">
        <v>534</v>
      </c>
      <c r="D745" s="5" t="s">
        <v>35</v>
      </c>
      <c r="E745" s="5" t="s">
        <v>35</v>
      </c>
      <c r="F745" s="5" t="s">
        <v>567</v>
      </c>
      <c r="G745" s="5" t="s">
        <v>195</v>
      </c>
      <c r="H745" s="5" t="s">
        <v>195</v>
      </c>
      <c r="I745" s="5" t="s">
        <v>733</v>
      </c>
      <c r="J745" t="s">
        <v>737</v>
      </c>
      <c r="K745" s="5" t="s">
        <v>1459</v>
      </c>
      <c r="L745" s="5"/>
      <c r="M745" s="387">
        <v>3</v>
      </c>
      <c r="N745" s="387">
        <v>12</v>
      </c>
      <c r="O745" s="387">
        <v>0</v>
      </c>
      <c r="P745" s="387">
        <v>0</v>
      </c>
      <c r="Q745" s="387">
        <v>0</v>
      </c>
      <c r="R745" s="387">
        <v>0</v>
      </c>
      <c r="S745" s="1174">
        <f>Locations[[#This Row],[Ind_Returnees]]+Locations[[#This Row],[Ind_Refugees]]+Locations[[#This Row],[Ind_IDPs]]</f>
        <v>12</v>
      </c>
    </row>
    <row r="746" spans="1:19" s="388" customFormat="1" x14ac:dyDescent="0.3">
      <c r="A746" s="5" t="s">
        <v>533</v>
      </c>
      <c r="B746" s="1430" t="s">
        <v>3449</v>
      </c>
      <c r="C746" s="398" t="s">
        <v>534</v>
      </c>
      <c r="D746" s="5" t="s">
        <v>34</v>
      </c>
      <c r="E746" s="5" t="s">
        <v>34</v>
      </c>
      <c r="F746" s="5" t="s">
        <v>539</v>
      </c>
      <c r="G746" s="5" t="s">
        <v>188</v>
      </c>
      <c r="H746" s="5" t="s">
        <v>188</v>
      </c>
      <c r="I746" s="5" t="s">
        <v>546</v>
      </c>
      <c r="J746" t="s">
        <v>2658</v>
      </c>
      <c r="K746" s="5" t="s">
        <v>1510</v>
      </c>
      <c r="L746" s="5"/>
      <c r="M746" s="387">
        <v>56</v>
      </c>
      <c r="N746" s="387">
        <v>354</v>
      </c>
      <c r="O746" s="387">
        <v>0</v>
      </c>
      <c r="P746" s="387">
        <v>0</v>
      </c>
      <c r="Q746" s="387">
        <v>0</v>
      </c>
      <c r="R746" s="387">
        <v>0</v>
      </c>
      <c r="S746" s="1174">
        <f>Locations[[#This Row],[Ind_Returnees]]+Locations[[#This Row],[Ind_Refugees]]+Locations[[#This Row],[Ind_IDPs]]</f>
        <v>354</v>
      </c>
    </row>
    <row r="747" spans="1:19" s="388" customFormat="1" x14ac:dyDescent="0.3">
      <c r="A747" s="5" t="s">
        <v>533</v>
      </c>
      <c r="B747" s="1430" t="s">
        <v>3449</v>
      </c>
      <c r="C747" s="398" t="s">
        <v>534</v>
      </c>
      <c r="D747" s="5" t="s">
        <v>31</v>
      </c>
      <c r="E747" s="5" t="s">
        <v>31</v>
      </c>
      <c r="F747" s="5" t="s">
        <v>549</v>
      </c>
      <c r="G747" s="5" t="s">
        <v>173</v>
      </c>
      <c r="H747" s="5" t="s">
        <v>173</v>
      </c>
      <c r="I747" s="5" t="s">
        <v>556</v>
      </c>
      <c r="J747" t="s">
        <v>1105</v>
      </c>
      <c r="K747" s="5" t="s">
        <v>832</v>
      </c>
      <c r="L747" s="5"/>
      <c r="M747" s="387">
        <v>0</v>
      </c>
      <c r="N747" s="387">
        <v>0</v>
      </c>
      <c r="O747" s="387">
        <v>0</v>
      </c>
      <c r="P747" s="387">
        <v>0</v>
      </c>
      <c r="Q747" s="387">
        <v>20</v>
      </c>
      <c r="R747" s="387">
        <v>100</v>
      </c>
      <c r="S747" s="1174">
        <f>Locations[[#This Row],[Ind_Returnees]]+Locations[[#This Row],[Ind_Refugees]]+Locations[[#This Row],[Ind_IDPs]]</f>
        <v>100</v>
      </c>
    </row>
    <row r="748" spans="1:19" s="388" customFormat="1" x14ac:dyDescent="0.3">
      <c r="A748" s="577" t="s">
        <v>533</v>
      </c>
      <c r="B748" s="1430" t="s">
        <v>3449</v>
      </c>
      <c r="C748" s="577" t="s">
        <v>534</v>
      </c>
      <c r="D748" s="577" t="s">
        <v>35</v>
      </c>
      <c r="E748" s="577" t="s">
        <v>35</v>
      </c>
      <c r="F748" s="577" t="s">
        <v>567</v>
      </c>
      <c r="G748" s="577" t="s">
        <v>193</v>
      </c>
      <c r="H748" s="577" t="s">
        <v>3983</v>
      </c>
      <c r="I748" s="577" t="s">
        <v>863</v>
      </c>
      <c r="J748" s="577" t="s">
        <v>1586</v>
      </c>
      <c r="K748" s="577" t="s">
        <v>876</v>
      </c>
      <c r="L748" s="577"/>
      <c r="M748" s="387">
        <v>13</v>
      </c>
      <c r="N748" s="387">
        <v>176</v>
      </c>
      <c r="O748" s="387">
        <v>17</v>
      </c>
      <c r="P748" s="387">
        <v>85</v>
      </c>
      <c r="Q748" s="387">
        <v>21</v>
      </c>
      <c r="R748" s="387">
        <v>104</v>
      </c>
      <c r="S748" s="1174">
        <f>Locations[[#This Row],[Ind_Returnees]]+Locations[[#This Row],[Ind_Refugees]]+Locations[[#This Row],[Ind_IDPs]]</f>
        <v>365</v>
      </c>
    </row>
    <row r="749" spans="1:19" s="388" customFormat="1" x14ac:dyDescent="0.3">
      <c r="A749" s="5" t="s">
        <v>533</v>
      </c>
      <c r="B749" s="1430" t="s">
        <v>3449</v>
      </c>
      <c r="C749" s="1090" t="s">
        <v>534</v>
      </c>
      <c r="D749" s="5" t="s">
        <v>30</v>
      </c>
      <c r="E749" s="5" t="s">
        <v>3522</v>
      </c>
      <c r="F749" s="5" t="s">
        <v>535</v>
      </c>
      <c r="G749" s="5" t="s">
        <v>163</v>
      </c>
      <c r="H749" s="5" t="s">
        <v>3566</v>
      </c>
      <c r="I749" s="5" t="s">
        <v>713</v>
      </c>
      <c r="J749" t="s">
        <v>2637</v>
      </c>
      <c r="K749" s="5" t="s">
        <v>2638</v>
      </c>
      <c r="L749" s="5"/>
      <c r="M749" s="387">
        <v>0</v>
      </c>
      <c r="N749" s="387">
        <v>0</v>
      </c>
      <c r="O749" s="387">
        <v>0</v>
      </c>
      <c r="P749" s="387">
        <v>0</v>
      </c>
      <c r="Q749" s="387">
        <v>0</v>
      </c>
      <c r="R749" s="387">
        <v>0</v>
      </c>
      <c r="S749" s="1174">
        <f>Locations[[#This Row],[Ind_Returnees]]+Locations[[#This Row],[Ind_Refugees]]+Locations[[#This Row],[Ind_IDPs]]</f>
        <v>0</v>
      </c>
    </row>
    <row r="750" spans="1:19" s="388" customFormat="1" x14ac:dyDescent="0.3">
      <c r="A750" s="5" t="s">
        <v>533</v>
      </c>
      <c r="B750" s="1430" t="s">
        <v>3449</v>
      </c>
      <c r="C750" s="1090" t="s">
        <v>534</v>
      </c>
      <c r="D750" s="5" t="s">
        <v>34</v>
      </c>
      <c r="E750" s="5" t="s">
        <v>34</v>
      </c>
      <c r="F750" s="5" t="s">
        <v>539</v>
      </c>
      <c r="G750" s="5" t="s">
        <v>188</v>
      </c>
      <c r="H750" s="5" t="s">
        <v>188</v>
      </c>
      <c r="I750" s="5" t="s">
        <v>546</v>
      </c>
      <c r="J750" t="s">
        <v>984</v>
      </c>
      <c r="K750" s="5" t="s">
        <v>1311</v>
      </c>
      <c r="L750" s="5"/>
      <c r="M750" s="387">
        <v>36</v>
      </c>
      <c r="N750" s="387">
        <v>164</v>
      </c>
      <c r="O750" s="387">
        <v>2</v>
      </c>
      <c r="P750" s="387">
        <v>12</v>
      </c>
      <c r="Q750" s="387">
        <v>0</v>
      </c>
      <c r="R750" s="387">
        <v>0</v>
      </c>
      <c r="S750" s="1174">
        <f>Locations[[#This Row],[Ind_Returnees]]+Locations[[#This Row],[Ind_Refugees]]+Locations[[#This Row],[Ind_IDPs]]</f>
        <v>176</v>
      </c>
    </row>
    <row r="751" spans="1:19" s="388" customFormat="1" x14ac:dyDescent="0.3">
      <c r="A751" s="5" t="s">
        <v>533</v>
      </c>
      <c r="B751" s="1430" t="s">
        <v>3449</v>
      </c>
      <c r="C751" s="398" t="s">
        <v>534</v>
      </c>
      <c r="D751" s="5" t="s">
        <v>34</v>
      </c>
      <c r="E751" s="5" t="s">
        <v>34</v>
      </c>
      <c r="F751" s="5" t="s">
        <v>539</v>
      </c>
      <c r="G751" s="5" t="s">
        <v>188</v>
      </c>
      <c r="H751" s="5" t="s">
        <v>188</v>
      </c>
      <c r="I751" s="5" t="s">
        <v>546</v>
      </c>
      <c r="J751" t="s">
        <v>1266</v>
      </c>
      <c r="K751" s="5" t="s">
        <v>977</v>
      </c>
      <c r="L751" s="5"/>
      <c r="M751" s="387">
        <v>41</v>
      </c>
      <c r="N751" s="387">
        <v>363</v>
      </c>
      <c r="O751" s="387">
        <v>0</v>
      </c>
      <c r="P751" s="387">
        <v>0</v>
      </c>
      <c r="Q751" s="387">
        <v>0</v>
      </c>
      <c r="R751" s="387">
        <v>0</v>
      </c>
      <c r="S751" s="1174">
        <f>Locations[[#This Row],[Ind_Returnees]]+Locations[[#This Row],[Ind_Refugees]]+Locations[[#This Row],[Ind_IDPs]]</f>
        <v>363</v>
      </c>
    </row>
    <row r="752" spans="1:19" s="388" customFormat="1" x14ac:dyDescent="0.3">
      <c r="A752" s="5" t="s">
        <v>533</v>
      </c>
      <c r="B752" s="1430" t="s">
        <v>3449</v>
      </c>
      <c r="C752" s="1090" t="s">
        <v>534</v>
      </c>
      <c r="D752" s="5" t="s">
        <v>34</v>
      </c>
      <c r="E752" s="5" t="s">
        <v>34</v>
      </c>
      <c r="F752" s="5" t="s">
        <v>539</v>
      </c>
      <c r="G752" s="5" t="s">
        <v>188</v>
      </c>
      <c r="H752" s="5" t="s">
        <v>188</v>
      </c>
      <c r="I752" s="5" t="s">
        <v>546</v>
      </c>
      <c r="J752" t="s">
        <v>2656</v>
      </c>
      <c r="K752" s="5" t="s">
        <v>979</v>
      </c>
      <c r="L752" s="5"/>
      <c r="M752" s="387">
        <v>45</v>
      </c>
      <c r="N752" s="387">
        <v>216</v>
      </c>
      <c r="O752" s="387">
        <v>0</v>
      </c>
      <c r="P752" s="387">
        <v>0</v>
      </c>
      <c r="Q752" s="387">
        <v>0</v>
      </c>
      <c r="R752" s="387">
        <v>0</v>
      </c>
      <c r="S752" s="1174">
        <f>Locations[[#This Row],[Ind_Returnees]]+Locations[[#This Row],[Ind_Refugees]]+Locations[[#This Row],[Ind_IDPs]]</f>
        <v>216</v>
      </c>
    </row>
    <row r="753" spans="1:19" s="388" customFormat="1" x14ac:dyDescent="0.3">
      <c r="A753" s="5" t="s">
        <v>533</v>
      </c>
      <c r="B753" s="1430" t="s">
        <v>3449</v>
      </c>
      <c r="C753" s="1090" t="s">
        <v>534</v>
      </c>
      <c r="D753" s="5" t="s">
        <v>31</v>
      </c>
      <c r="E753" s="5" t="s">
        <v>31</v>
      </c>
      <c r="F753" s="5" t="s">
        <v>549</v>
      </c>
      <c r="G753" s="5" t="s">
        <v>171</v>
      </c>
      <c r="H753" s="5" t="s">
        <v>171</v>
      </c>
      <c r="I753" s="5" t="s">
        <v>634</v>
      </c>
      <c r="J753" t="s">
        <v>1538</v>
      </c>
      <c r="K753" s="5" t="s">
        <v>2615</v>
      </c>
      <c r="L753" s="5"/>
      <c r="M753" s="387">
        <v>0</v>
      </c>
      <c r="N753" s="387">
        <v>0</v>
      </c>
      <c r="O753" s="387">
        <v>0</v>
      </c>
      <c r="P753" s="387">
        <v>0</v>
      </c>
      <c r="Q753" s="387">
        <v>0</v>
      </c>
      <c r="R753" s="387">
        <v>0</v>
      </c>
      <c r="S753" s="1174">
        <f>Locations[[#This Row],[Ind_Returnees]]+Locations[[#This Row],[Ind_Refugees]]+Locations[[#This Row],[Ind_IDPs]]</f>
        <v>0</v>
      </c>
    </row>
    <row r="754" spans="1:19" s="388" customFormat="1" x14ac:dyDescent="0.3">
      <c r="A754" s="5" t="s">
        <v>533</v>
      </c>
      <c r="B754" s="1430" t="s">
        <v>3449</v>
      </c>
      <c r="C754" s="398" t="s">
        <v>534</v>
      </c>
      <c r="D754" s="5" t="s">
        <v>31</v>
      </c>
      <c r="E754" s="5" t="s">
        <v>31</v>
      </c>
      <c r="F754" s="5" t="s">
        <v>549</v>
      </c>
      <c r="G754" s="5" t="s">
        <v>173</v>
      </c>
      <c r="H754" s="5" t="s">
        <v>173</v>
      </c>
      <c r="I754" s="5" t="s">
        <v>556</v>
      </c>
      <c r="J754" t="s">
        <v>1141</v>
      </c>
      <c r="K754" s="5" t="s">
        <v>2712</v>
      </c>
      <c r="L754" s="5"/>
      <c r="M754" s="387">
        <v>0</v>
      </c>
      <c r="N754" s="387">
        <v>0</v>
      </c>
      <c r="O754" s="387">
        <v>0</v>
      </c>
      <c r="P754" s="387">
        <v>0</v>
      </c>
      <c r="Q754" s="387">
        <v>0</v>
      </c>
      <c r="R754" s="387">
        <v>0</v>
      </c>
      <c r="S754" s="1174">
        <f>Locations[[#This Row],[Ind_Returnees]]+Locations[[#This Row],[Ind_Refugees]]+Locations[[#This Row],[Ind_IDPs]]</f>
        <v>0</v>
      </c>
    </row>
    <row r="755" spans="1:19" s="388" customFormat="1" x14ac:dyDescent="0.3">
      <c r="A755" s="5" t="s">
        <v>533</v>
      </c>
      <c r="B755" s="1430" t="s">
        <v>3449</v>
      </c>
      <c r="C755" s="398" t="s">
        <v>534</v>
      </c>
      <c r="D755" s="5" t="s">
        <v>31</v>
      </c>
      <c r="E755" s="5" t="s">
        <v>31</v>
      </c>
      <c r="F755" s="5" t="s">
        <v>549</v>
      </c>
      <c r="G755" s="5" t="s">
        <v>169</v>
      </c>
      <c r="H755" s="5" t="s">
        <v>169</v>
      </c>
      <c r="I755" s="5" t="s">
        <v>673</v>
      </c>
      <c r="J755" t="s">
        <v>675</v>
      </c>
      <c r="K755" s="5" t="s">
        <v>1269</v>
      </c>
      <c r="L755" s="5"/>
      <c r="M755" s="387">
        <v>39</v>
      </c>
      <c r="N755" s="387">
        <v>307</v>
      </c>
      <c r="O755" s="387">
        <v>0</v>
      </c>
      <c r="P755" s="387">
        <v>0</v>
      </c>
      <c r="Q755" s="387">
        <v>0</v>
      </c>
      <c r="R755" s="387">
        <v>0</v>
      </c>
      <c r="S755" s="1174">
        <f>Locations[[#This Row],[Ind_Returnees]]+Locations[[#This Row],[Ind_Refugees]]+Locations[[#This Row],[Ind_IDPs]]</f>
        <v>307</v>
      </c>
    </row>
    <row r="756" spans="1:19" s="388" customFormat="1" x14ac:dyDescent="0.3">
      <c r="A756" s="5" t="s">
        <v>533</v>
      </c>
      <c r="B756" s="1430" t="s">
        <v>3449</v>
      </c>
      <c r="C756" s="398" t="s">
        <v>534</v>
      </c>
      <c r="D756" s="5" t="s">
        <v>32</v>
      </c>
      <c r="E756" s="5" t="s">
        <v>32</v>
      </c>
      <c r="F756" s="5" t="s">
        <v>542</v>
      </c>
      <c r="G756" s="5" t="s">
        <v>178</v>
      </c>
      <c r="H756" s="5" t="s">
        <v>178</v>
      </c>
      <c r="I756" s="5" t="s">
        <v>543</v>
      </c>
      <c r="J756" t="s">
        <v>3216</v>
      </c>
      <c r="K756" s="5" t="s">
        <v>2776</v>
      </c>
      <c r="L756" s="5"/>
      <c r="M756" s="387">
        <v>0</v>
      </c>
      <c r="N756" s="387">
        <v>0</v>
      </c>
      <c r="O756" s="387">
        <v>0</v>
      </c>
      <c r="P756" s="387">
        <v>0</v>
      </c>
      <c r="Q756" s="387">
        <v>3</v>
      </c>
      <c r="R756" s="387">
        <v>18</v>
      </c>
      <c r="S756" s="1174">
        <f>Locations[[#This Row],[Ind_Returnees]]+Locations[[#This Row],[Ind_Refugees]]+Locations[[#This Row],[Ind_IDPs]]</f>
        <v>18</v>
      </c>
    </row>
    <row r="757" spans="1:19" s="388" customFormat="1" x14ac:dyDescent="0.3">
      <c r="A757" s="5" t="s">
        <v>533</v>
      </c>
      <c r="B757" s="1430" t="s">
        <v>3449</v>
      </c>
      <c r="C757" s="398" t="s">
        <v>534</v>
      </c>
      <c r="D757" s="5" t="s">
        <v>31</v>
      </c>
      <c r="E757" s="5" t="s">
        <v>31</v>
      </c>
      <c r="F757" s="5" t="s">
        <v>549</v>
      </c>
      <c r="G757" s="5" t="s">
        <v>167</v>
      </c>
      <c r="H757" s="5" t="s">
        <v>167</v>
      </c>
      <c r="I757" s="5" t="s">
        <v>1113</v>
      </c>
      <c r="J757" t="s">
        <v>2119</v>
      </c>
      <c r="K757" s="5" t="s">
        <v>1871</v>
      </c>
      <c r="L757" s="5"/>
      <c r="M757" s="387">
        <v>12</v>
      </c>
      <c r="N757" s="387">
        <v>72</v>
      </c>
      <c r="O757" s="387">
        <v>0</v>
      </c>
      <c r="P757" s="387">
        <v>0</v>
      </c>
      <c r="Q757" s="387">
        <v>0</v>
      </c>
      <c r="R757" s="387">
        <v>0</v>
      </c>
      <c r="S757" s="1174">
        <f>Locations[[#This Row],[Ind_Returnees]]+Locations[[#This Row],[Ind_Refugees]]+Locations[[#This Row],[Ind_IDPs]]</f>
        <v>72</v>
      </c>
    </row>
    <row r="758" spans="1:19" s="388" customFormat="1" x14ac:dyDescent="0.3">
      <c r="A758" s="5" t="s">
        <v>533</v>
      </c>
      <c r="B758" s="1430" t="s">
        <v>3449</v>
      </c>
      <c r="C758" s="398" t="s">
        <v>534</v>
      </c>
      <c r="D758" s="5" t="s">
        <v>31</v>
      </c>
      <c r="E758" s="5" t="s">
        <v>31</v>
      </c>
      <c r="F758" s="5" t="s">
        <v>549</v>
      </c>
      <c r="G758" s="5" t="s">
        <v>167</v>
      </c>
      <c r="H758" s="5" t="s">
        <v>167</v>
      </c>
      <c r="I758" s="5" t="s">
        <v>1113</v>
      </c>
      <c r="J758" t="s">
        <v>1870</v>
      </c>
      <c r="K758" s="5" t="s">
        <v>1826</v>
      </c>
      <c r="L758" s="5"/>
      <c r="M758" s="387">
        <v>12</v>
      </c>
      <c r="N758" s="387">
        <v>81</v>
      </c>
      <c r="O758" s="387">
        <v>0</v>
      </c>
      <c r="P758" s="387">
        <v>0</v>
      </c>
      <c r="Q758" s="387">
        <v>0</v>
      </c>
      <c r="R758" s="387">
        <v>0</v>
      </c>
      <c r="S758" s="1174">
        <f>Locations[[#This Row],[Ind_Returnees]]+Locations[[#This Row],[Ind_Refugees]]+Locations[[#This Row],[Ind_IDPs]]</f>
        <v>81</v>
      </c>
    </row>
    <row r="759" spans="1:19" s="388" customFormat="1" x14ac:dyDescent="0.3">
      <c r="A759" s="5" t="s">
        <v>533</v>
      </c>
      <c r="B759" s="1430" t="s">
        <v>3449</v>
      </c>
      <c r="C759" s="398" t="s">
        <v>534</v>
      </c>
      <c r="D759" s="5" t="s">
        <v>31</v>
      </c>
      <c r="E759" s="5" t="s">
        <v>31</v>
      </c>
      <c r="F759" s="5" t="s">
        <v>549</v>
      </c>
      <c r="G759" s="5" t="s">
        <v>167</v>
      </c>
      <c r="H759" s="5" t="s">
        <v>167</v>
      </c>
      <c r="I759" s="5" t="s">
        <v>1113</v>
      </c>
      <c r="J759" t="s">
        <v>2940</v>
      </c>
      <c r="K759" s="5" t="s">
        <v>1888</v>
      </c>
      <c r="L759" s="5"/>
      <c r="M759" s="387">
        <v>3</v>
      </c>
      <c r="N759" s="387">
        <v>15</v>
      </c>
      <c r="O759" s="387">
        <v>0</v>
      </c>
      <c r="P759" s="387">
        <v>0</v>
      </c>
      <c r="Q759" s="387">
        <v>0</v>
      </c>
      <c r="R759" s="387">
        <v>0</v>
      </c>
      <c r="S759" s="1174">
        <f>Locations[[#This Row],[Ind_Returnees]]+Locations[[#This Row],[Ind_Refugees]]+Locations[[#This Row],[Ind_IDPs]]</f>
        <v>15</v>
      </c>
    </row>
    <row r="760" spans="1:19" s="388" customFormat="1" x14ac:dyDescent="0.3">
      <c r="A760" s="5" t="s">
        <v>533</v>
      </c>
      <c r="B760" s="1430" t="s">
        <v>3449</v>
      </c>
      <c r="C760" s="1090" t="s">
        <v>534</v>
      </c>
      <c r="D760" s="5" t="s">
        <v>31</v>
      </c>
      <c r="E760" s="5" t="s">
        <v>31</v>
      </c>
      <c r="F760" s="5" t="s">
        <v>549</v>
      </c>
      <c r="G760" s="5" t="s">
        <v>166</v>
      </c>
      <c r="H760" s="5" t="s">
        <v>166</v>
      </c>
      <c r="I760" s="5" t="s">
        <v>844</v>
      </c>
      <c r="J760" t="s">
        <v>2501</v>
      </c>
      <c r="K760" s="5" t="s">
        <v>2508</v>
      </c>
      <c r="L760" s="5"/>
      <c r="M760" s="387">
        <v>29</v>
      </c>
      <c r="N760" s="387">
        <v>159</v>
      </c>
      <c r="O760" s="387">
        <v>0</v>
      </c>
      <c r="P760" s="387">
        <v>0</v>
      </c>
      <c r="Q760" s="387">
        <v>0</v>
      </c>
      <c r="R760" s="387">
        <v>0</v>
      </c>
      <c r="S760" s="1174">
        <f>Locations[[#This Row],[Ind_Returnees]]+Locations[[#This Row],[Ind_Refugees]]+Locations[[#This Row],[Ind_IDPs]]</f>
        <v>159</v>
      </c>
    </row>
    <row r="761" spans="1:19" s="388" customFormat="1" x14ac:dyDescent="0.3">
      <c r="A761" s="5" t="s">
        <v>533</v>
      </c>
      <c r="B761" s="1430" t="s">
        <v>3449</v>
      </c>
      <c r="C761" s="1090" t="s">
        <v>534</v>
      </c>
      <c r="D761" s="5" t="s">
        <v>31</v>
      </c>
      <c r="E761" s="5" t="s">
        <v>31</v>
      </c>
      <c r="F761" s="5" t="s">
        <v>549</v>
      </c>
      <c r="G761" s="5" t="s">
        <v>173</v>
      </c>
      <c r="H761" s="5" t="s">
        <v>173</v>
      </c>
      <c r="I761" s="5" t="s">
        <v>556</v>
      </c>
      <c r="J761" t="s">
        <v>2711</v>
      </c>
      <c r="K761" s="5" t="s">
        <v>1440</v>
      </c>
      <c r="L761" s="5"/>
      <c r="M761" s="387">
        <v>4</v>
      </c>
      <c r="N761" s="387">
        <v>40</v>
      </c>
      <c r="O761" s="387">
        <v>0</v>
      </c>
      <c r="P761" s="387">
        <v>0</v>
      </c>
      <c r="Q761" s="387">
        <v>0</v>
      </c>
      <c r="R761" s="387">
        <v>0</v>
      </c>
      <c r="S761" s="1174">
        <f>Locations[[#This Row],[Ind_Returnees]]+Locations[[#This Row],[Ind_Refugees]]+Locations[[#This Row],[Ind_IDPs]]</f>
        <v>40</v>
      </c>
    </row>
    <row r="762" spans="1:19" s="388" customFormat="1" x14ac:dyDescent="0.3">
      <c r="A762" s="5" t="s">
        <v>533</v>
      </c>
      <c r="B762" s="1430" t="s">
        <v>3449</v>
      </c>
      <c r="C762" s="398" t="s">
        <v>534</v>
      </c>
      <c r="D762" s="5" t="s">
        <v>31</v>
      </c>
      <c r="E762" s="5" t="s">
        <v>31</v>
      </c>
      <c r="F762" s="5" t="s">
        <v>549</v>
      </c>
      <c r="G762" s="5" t="s">
        <v>171</v>
      </c>
      <c r="H762" s="5" t="s">
        <v>171</v>
      </c>
      <c r="I762" s="5" t="s">
        <v>634</v>
      </c>
      <c r="J762" t="s">
        <v>917</v>
      </c>
      <c r="K762" s="5" t="s">
        <v>1921</v>
      </c>
      <c r="L762" s="5"/>
      <c r="M762" s="387">
        <v>23</v>
      </c>
      <c r="N762" s="387">
        <v>231</v>
      </c>
      <c r="O762" s="387">
        <v>0</v>
      </c>
      <c r="P762" s="387">
        <v>0</v>
      </c>
      <c r="Q762" s="387">
        <v>0</v>
      </c>
      <c r="R762" s="387">
        <v>0</v>
      </c>
      <c r="S762" s="1174">
        <f>Locations[[#This Row],[Ind_Returnees]]+Locations[[#This Row],[Ind_Refugees]]+Locations[[#This Row],[Ind_IDPs]]</f>
        <v>231</v>
      </c>
    </row>
    <row r="763" spans="1:19" s="388" customFormat="1" x14ac:dyDescent="0.3">
      <c r="A763" s="5" t="s">
        <v>533</v>
      </c>
      <c r="B763" s="1430" t="s">
        <v>3449</v>
      </c>
      <c r="C763" s="1090" t="s">
        <v>534</v>
      </c>
      <c r="D763" s="5" t="s">
        <v>31</v>
      </c>
      <c r="E763" s="5" t="s">
        <v>31</v>
      </c>
      <c r="F763" s="5" t="s">
        <v>549</v>
      </c>
      <c r="G763" s="5" t="s">
        <v>169</v>
      </c>
      <c r="H763" s="5" t="s">
        <v>169</v>
      </c>
      <c r="I763" s="5" t="s">
        <v>673</v>
      </c>
      <c r="J763" t="s">
        <v>2894</v>
      </c>
      <c r="K763" s="5" t="s">
        <v>2343</v>
      </c>
      <c r="L763" s="5"/>
      <c r="M763" s="387">
        <v>0</v>
      </c>
      <c r="N763" s="387">
        <v>0</v>
      </c>
      <c r="O763" s="387">
        <v>17</v>
      </c>
      <c r="P763" s="387">
        <v>72</v>
      </c>
      <c r="Q763" s="387">
        <v>89</v>
      </c>
      <c r="R763" s="387">
        <v>567</v>
      </c>
      <c r="S763" s="1174">
        <f>Locations[[#This Row],[Ind_Returnees]]+Locations[[#This Row],[Ind_Refugees]]+Locations[[#This Row],[Ind_IDPs]]</f>
        <v>639</v>
      </c>
    </row>
    <row r="764" spans="1:19" s="388" customFormat="1" x14ac:dyDescent="0.3">
      <c r="A764" s="5" t="s">
        <v>533</v>
      </c>
      <c r="B764" s="1430" t="s">
        <v>3449</v>
      </c>
      <c r="C764" s="1090" t="s">
        <v>534</v>
      </c>
      <c r="D764" s="5" t="s">
        <v>31</v>
      </c>
      <c r="E764" s="5" t="s">
        <v>31</v>
      </c>
      <c r="F764" s="5" t="s">
        <v>549</v>
      </c>
      <c r="G764" s="5" t="s">
        <v>169</v>
      </c>
      <c r="H764" s="5" t="s">
        <v>169</v>
      </c>
      <c r="I764" s="5" t="s">
        <v>673</v>
      </c>
      <c r="J764" t="s">
        <v>3217</v>
      </c>
      <c r="K764" s="5" t="s">
        <v>3073</v>
      </c>
      <c r="L764" s="5"/>
      <c r="M764" s="387">
        <v>0</v>
      </c>
      <c r="N764" s="387">
        <v>0</v>
      </c>
      <c r="O764" s="387">
        <v>0</v>
      </c>
      <c r="P764" s="387">
        <v>0</v>
      </c>
      <c r="Q764" s="387">
        <v>19</v>
      </c>
      <c r="R764" s="387">
        <v>100</v>
      </c>
      <c r="S764" s="1174">
        <f>Locations[[#This Row],[Ind_Returnees]]+Locations[[#This Row],[Ind_Refugees]]+Locations[[#This Row],[Ind_IDPs]]</f>
        <v>100</v>
      </c>
    </row>
    <row r="765" spans="1:19" s="388" customFormat="1" x14ac:dyDescent="0.3">
      <c r="A765" s="5" t="s">
        <v>533</v>
      </c>
      <c r="B765" s="1430" t="s">
        <v>3449</v>
      </c>
      <c r="C765" s="1090" t="s">
        <v>534</v>
      </c>
      <c r="D765" s="5" t="s">
        <v>31</v>
      </c>
      <c r="E765" s="5" t="s">
        <v>31</v>
      </c>
      <c r="F765" s="5" t="s">
        <v>549</v>
      </c>
      <c r="G765" s="5" t="s">
        <v>169</v>
      </c>
      <c r="H765" s="5" t="s">
        <v>169</v>
      </c>
      <c r="I765" s="5" t="s">
        <v>673</v>
      </c>
      <c r="J765" t="s">
        <v>2939</v>
      </c>
      <c r="K765" s="5" t="s">
        <v>2296</v>
      </c>
      <c r="L765" s="5"/>
      <c r="M765" s="387">
        <v>0</v>
      </c>
      <c r="N765" s="387">
        <v>0</v>
      </c>
      <c r="O765" s="387">
        <v>0</v>
      </c>
      <c r="P765" s="387">
        <v>0</v>
      </c>
      <c r="Q765" s="387">
        <v>56</v>
      </c>
      <c r="R765" s="387">
        <v>247</v>
      </c>
      <c r="S765" s="1174">
        <f>Locations[[#This Row],[Ind_Returnees]]+Locations[[#This Row],[Ind_Refugees]]+Locations[[#This Row],[Ind_IDPs]]</f>
        <v>247</v>
      </c>
    </row>
    <row r="766" spans="1:19" s="388" customFormat="1" x14ac:dyDescent="0.3">
      <c r="A766" s="5" t="s">
        <v>533</v>
      </c>
      <c r="B766" s="1430" t="s">
        <v>3449</v>
      </c>
      <c r="C766" s="398" t="s">
        <v>534</v>
      </c>
      <c r="D766" s="5" t="s">
        <v>31</v>
      </c>
      <c r="E766" s="5" t="s">
        <v>31</v>
      </c>
      <c r="F766" s="5" t="s">
        <v>549</v>
      </c>
      <c r="G766" s="5" t="s">
        <v>173</v>
      </c>
      <c r="H766" s="5" t="s">
        <v>173</v>
      </c>
      <c r="I766" s="5" t="s">
        <v>556</v>
      </c>
      <c r="J766" t="s">
        <v>1439</v>
      </c>
      <c r="K766" s="5" t="s">
        <v>1144</v>
      </c>
      <c r="L766" s="5"/>
      <c r="M766" s="387">
        <v>10</v>
      </c>
      <c r="N766" s="387">
        <v>78</v>
      </c>
      <c r="O766" s="387">
        <v>0</v>
      </c>
      <c r="P766" s="387">
        <v>0</v>
      </c>
      <c r="Q766" s="387">
        <v>0</v>
      </c>
      <c r="R766" s="387">
        <v>0</v>
      </c>
      <c r="S766" s="1174">
        <f>Locations[[#This Row],[Ind_Returnees]]+Locations[[#This Row],[Ind_Refugees]]+Locations[[#This Row],[Ind_IDPs]]</f>
        <v>78</v>
      </c>
    </row>
    <row r="767" spans="1:19" s="388" customFormat="1" x14ac:dyDescent="0.3">
      <c r="A767" s="5" t="s">
        <v>533</v>
      </c>
      <c r="B767" s="1430" t="s">
        <v>3449</v>
      </c>
      <c r="C767" s="1090" t="s">
        <v>534</v>
      </c>
      <c r="D767" s="5" t="s">
        <v>32</v>
      </c>
      <c r="E767" s="5" t="s">
        <v>32</v>
      </c>
      <c r="F767" s="5" t="s">
        <v>542</v>
      </c>
      <c r="G767" s="5" t="s">
        <v>175</v>
      </c>
      <c r="H767" s="5" t="s">
        <v>175</v>
      </c>
      <c r="I767" s="5" t="s">
        <v>1136</v>
      </c>
      <c r="J767" t="s">
        <v>1476</v>
      </c>
      <c r="K767" s="5" t="s">
        <v>1477</v>
      </c>
      <c r="L767" s="5"/>
      <c r="M767" s="387">
        <v>21</v>
      </c>
      <c r="N767" s="387">
        <v>155</v>
      </c>
      <c r="O767" s="387">
        <v>0</v>
      </c>
      <c r="P767" s="387">
        <v>0</v>
      </c>
      <c r="Q767" s="387">
        <v>90</v>
      </c>
      <c r="R767" s="387">
        <v>600</v>
      </c>
      <c r="S767" s="1174">
        <f>Locations[[#This Row],[Ind_Returnees]]+Locations[[#This Row],[Ind_Refugees]]+Locations[[#This Row],[Ind_IDPs]]</f>
        <v>755</v>
      </c>
    </row>
    <row r="768" spans="1:19" s="388" customFormat="1" x14ac:dyDescent="0.3">
      <c r="A768" s="577" t="s">
        <v>533</v>
      </c>
      <c r="B768" s="1430" t="s">
        <v>3449</v>
      </c>
      <c r="C768" s="577" t="s">
        <v>534</v>
      </c>
      <c r="D768" s="577" t="s">
        <v>32</v>
      </c>
      <c r="E768" s="577" t="s">
        <v>32</v>
      </c>
      <c r="F768" s="577" t="s">
        <v>542</v>
      </c>
      <c r="G768" s="577" t="s">
        <v>175</v>
      </c>
      <c r="H768" s="577" t="s">
        <v>175</v>
      </c>
      <c r="I768" s="577" t="s">
        <v>1136</v>
      </c>
      <c r="J768" s="577" t="s">
        <v>1478</v>
      </c>
      <c r="K768" s="577" t="s">
        <v>1479</v>
      </c>
      <c r="L768" s="577"/>
      <c r="M768" s="387">
        <v>31</v>
      </c>
      <c r="N768" s="387">
        <v>195</v>
      </c>
      <c r="O768" s="387">
        <v>0</v>
      </c>
      <c r="P768" s="387">
        <v>0</v>
      </c>
      <c r="Q768" s="387">
        <v>65</v>
      </c>
      <c r="R768" s="387">
        <v>405</v>
      </c>
      <c r="S768" s="1174">
        <f>Locations[[#This Row],[Ind_Returnees]]+Locations[[#This Row],[Ind_Refugees]]+Locations[[#This Row],[Ind_IDPs]]</f>
        <v>600</v>
      </c>
    </row>
    <row r="769" spans="1:19" s="388" customFormat="1" x14ac:dyDescent="0.3">
      <c r="A769" s="5" t="s">
        <v>533</v>
      </c>
      <c r="B769" s="1430" t="s">
        <v>3449</v>
      </c>
      <c r="C769" s="1090" t="s">
        <v>534</v>
      </c>
      <c r="D769" s="5" t="s">
        <v>31</v>
      </c>
      <c r="E769" s="5" t="s">
        <v>31</v>
      </c>
      <c r="F769" s="5" t="s">
        <v>549</v>
      </c>
      <c r="G769" s="5" t="s">
        <v>170</v>
      </c>
      <c r="H769" s="5" t="s">
        <v>170</v>
      </c>
      <c r="I769" s="5" t="s">
        <v>866</v>
      </c>
      <c r="J769" t="s">
        <v>940</v>
      </c>
      <c r="K769" s="5" t="s">
        <v>795</v>
      </c>
      <c r="L769" s="5"/>
      <c r="M769" s="387">
        <v>32</v>
      </c>
      <c r="N769" s="387">
        <v>290</v>
      </c>
      <c r="O769" s="387">
        <v>0</v>
      </c>
      <c r="P769" s="387">
        <v>0</v>
      </c>
      <c r="Q769" s="387">
        <v>0</v>
      </c>
      <c r="R769" s="387">
        <v>0</v>
      </c>
      <c r="S769" s="1174">
        <f>Locations[[#This Row],[Ind_Returnees]]+Locations[[#This Row],[Ind_Refugees]]+Locations[[#This Row],[Ind_IDPs]]</f>
        <v>290</v>
      </c>
    </row>
    <row r="770" spans="1:19" s="388" customFormat="1" x14ac:dyDescent="0.3">
      <c r="A770" s="5" t="s">
        <v>533</v>
      </c>
      <c r="B770" s="1430" t="s">
        <v>3449</v>
      </c>
      <c r="C770" s="1090" t="s">
        <v>534</v>
      </c>
      <c r="D770" s="5" t="s">
        <v>34</v>
      </c>
      <c r="E770" s="5" t="s">
        <v>34</v>
      </c>
      <c r="F770" s="5" t="s">
        <v>539</v>
      </c>
      <c r="G770" s="5" t="s">
        <v>188</v>
      </c>
      <c r="H770" s="5" t="s">
        <v>188</v>
      </c>
      <c r="I770" s="5" t="s">
        <v>546</v>
      </c>
      <c r="J770" t="s">
        <v>1177</v>
      </c>
      <c r="K770" s="5" t="s">
        <v>1487</v>
      </c>
      <c r="L770" s="5"/>
      <c r="M770" s="387">
        <v>159</v>
      </c>
      <c r="N770" s="387">
        <v>626</v>
      </c>
      <c r="O770" s="387">
        <v>0</v>
      </c>
      <c r="P770" s="387">
        <v>0</v>
      </c>
      <c r="Q770" s="387">
        <v>0</v>
      </c>
      <c r="R770" s="387">
        <v>0</v>
      </c>
      <c r="S770" s="1174">
        <f>Locations[[#This Row],[Ind_Returnees]]+Locations[[#This Row],[Ind_Refugees]]+Locations[[#This Row],[Ind_IDPs]]</f>
        <v>626</v>
      </c>
    </row>
    <row r="771" spans="1:19" s="388" customFormat="1" x14ac:dyDescent="0.3">
      <c r="A771" s="5" t="s">
        <v>533</v>
      </c>
      <c r="B771" s="1430" t="s">
        <v>3449</v>
      </c>
      <c r="C771" s="398" t="s">
        <v>534</v>
      </c>
      <c r="D771" s="5" t="s">
        <v>34</v>
      </c>
      <c r="E771" s="5" t="s">
        <v>34</v>
      </c>
      <c r="F771" s="5" t="s">
        <v>539</v>
      </c>
      <c r="G771" s="5" t="s">
        <v>188</v>
      </c>
      <c r="H771" s="5" t="s">
        <v>188</v>
      </c>
      <c r="I771" s="5" t="s">
        <v>546</v>
      </c>
      <c r="J771" t="s">
        <v>1677</v>
      </c>
      <c r="K771" s="5" t="s">
        <v>1496</v>
      </c>
      <c r="L771" s="5"/>
      <c r="M771" s="387">
        <v>197</v>
      </c>
      <c r="N771" s="387">
        <v>740</v>
      </c>
      <c r="O771" s="387">
        <v>0</v>
      </c>
      <c r="P771" s="387">
        <v>0</v>
      </c>
      <c r="Q771" s="387">
        <v>0</v>
      </c>
      <c r="R771" s="387">
        <v>0</v>
      </c>
      <c r="S771" s="1174">
        <f>Locations[[#This Row],[Ind_Returnees]]+Locations[[#This Row],[Ind_Refugees]]+Locations[[#This Row],[Ind_IDPs]]</f>
        <v>740</v>
      </c>
    </row>
    <row r="772" spans="1:19" s="388" customFormat="1" x14ac:dyDescent="0.3">
      <c r="A772" s="577" t="s">
        <v>533</v>
      </c>
      <c r="B772" s="1430" t="s">
        <v>3449</v>
      </c>
      <c r="C772" s="577" t="s">
        <v>534</v>
      </c>
      <c r="D772" s="577" t="s">
        <v>31</v>
      </c>
      <c r="E772" s="577" t="s">
        <v>31</v>
      </c>
      <c r="F772" s="577" t="s">
        <v>549</v>
      </c>
      <c r="G772" s="577" t="s">
        <v>170</v>
      </c>
      <c r="H772" s="577" t="s">
        <v>170</v>
      </c>
      <c r="I772" s="577" t="s">
        <v>866</v>
      </c>
      <c r="J772" s="577" t="s">
        <v>957</v>
      </c>
      <c r="K772" s="577" t="s">
        <v>2006</v>
      </c>
      <c r="L772" s="577"/>
      <c r="M772" s="387">
        <v>10</v>
      </c>
      <c r="N772" s="387">
        <v>100</v>
      </c>
      <c r="O772" s="387">
        <v>0</v>
      </c>
      <c r="P772" s="387">
        <v>0</v>
      </c>
      <c r="Q772" s="387">
        <v>4</v>
      </c>
      <c r="R772" s="387">
        <v>30</v>
      </c>
      <c r="S772" s="1174">
        <f>Locations[[#This Row],[Ind_Returnees]]+Locations[[#This Row],[Ind_Refugees]]+Locations[[#This Row],[Ind_IDPs]]</f>
        <v>130</v>
      </c>
    </row>
    <row r="773" spans="1:19" s="388" customFormat="1" x14ac:dyDescent="0.3">
      <c r="A773" s="5" t="s">
        <v>533</v>
      </c>
      <c r="B773" s="1430" t="s">
        <v>3449</v>
      </c>
      <c r="C773" s="1090" t="s">
        <v>534</v>
      </c>
      <c r="D773" s="5" t="s">
        <v>31</v>
      </c>
      <c r="E773" s="5" t="s">
        <v>31</v>
      </c>
      <c r="F773" s="5" t="s">
        <v>549</v>
      </c>
      <c r="G773" s="5" t="s">
        <v>171</v>
      </c>
      <c r="H773" s="5" t="s">
        <v>171</v>
      </c>
      <c r="I773" s="5" t="s">
        <v>634</v>
      </c>
      <c r="J773" t="s">
        <v>1252</v>
      </c>
      <c r="K773" s="5" t="s">
        <v>2019</v>
      </c>
      <c r="L773" s="5"/>
      <c r="M773" s="387">
        <v>47</v>
      </c>
      <c r="N773" s="387">
        <v>440</v>
      </c>
      <c r="O773" s="387">
        <v>0</v>
      </c>
      <c r="P773" s="387">
        <v>0</v>
      </c>
      <c r="Q773" s="387">
        <v>0</v>
      </c>
      <c r="R773" s="387">
        <v>0</v>
      </c>
      <c r="S773" s="1174">
        <f>Locations[[#This Row],[Ind_Returnees]]+Locations[[#This Row],[Ind_Refugees]]+Locations[[#This Row],[Ind_IDPs]]</f>
        <v>440</v>
      </c>
    </row>
    <row r="774" spans="1:19" s="388" customFormat="1" x14ac:dyDescent="0.3">
      <c r="A774" s="5" t="s">
        <v>533</v>
      </c>
      <c r="B774" s="1430" t="s">
        <v>3449</v>
      </c>
      <c r="C774" s="1090" t="s">
        <v>534</v>
      </c>
      <c r="D774" s="5" t="s">
        <v>31</v>
      </c>
      <c r="E774" s="5" t="s">
        <v>31</v>
      </c>
      <c r="F774" s="5" t="s">
        <v>549</v>
      </c>
      <c r="G774" s="5" t="s">
        <v>172</v>
      </c>
      <c r="H774" s="5" t="s">
        <v>172</v>
      </c>
      <c r="I774" s="5" t="s">
        <v>706</v>
      </c>
      <c r="J774" t="s">
        <v>2698</v>
      </c>
      <c r="K774" s="5" t="s">
        <v>981</v>
      </c>
      <c r="L774" s="5"/>
      <c r="M774" s="387">
        <v>47</v>
      </c>
      <c r="N774" s="387">
        <v>269</v>
      </c>
      <c r="O774" s="387">
        <v>0</v>
      </c>
      <c r="P774" s="387">
        <v>0</v>
      </c>
      <c r="Q774" s="387">
        <v>0</v>
      </c>
      <c r="R774" s="387">
        <v>0</v>
      </c>
      <c r="S774" s="1174">
        <f>Locations[[#This Row],[Ind_Returnees]]+Locations[[#This Row],[Ind_Refugees]]+Locations[[#This Row],[Ind_IDPs]]</f>
        <v>269</v>
      </c>
    </row>
    <row r="775" spans="1:19" s="388" customFormat="1" x14ac:dyDescent="0.3">
      <c r="A775" s="5" t="s">
        <v>533</v>
      </c>
      <c r="B775" s="1430" t="s">
        <v>3449</v>
      </c>
      <c r="C775" s="398" t="s">
        <v>534</v>
      </c>
      <c r="D775" s="5" t="s">
        <v>35</v>
      </c>
      <c r="E775" s="5" t="s">
        <v>35</v>
      </c>
      <c r="F775" s="5" t="s">
        <v>567</v>
      </c>
      <c r="G775" s="5" t="s">
        <v>192</v>
      </c>
      <c r="H775" s="5" t="s">
        <v>192</v>
      </c>
      <c r="I775" s="5" t="s">
        <v>853</v>
      </c>
      <c r="J775" t="s">
        <v>949</v>
      </c>
      <c r="K775" s="5" t="s">
        <v>1171</v>
      </c>
      <c r="L775" s="5"/>
      <c r="M775" s="387">
        <v>50</v>
      </c>
      <c r="N775" s="387">
        <v>266</v>
      </c>
      <c r="O775" s="387">
        <v>0</v>
      </c>
      <c r="P775" s="387">
        <v>0</v>
      </c>
      <c r="Q775" s="387">
        <v>12</v>
      </c>
      <c r="R775" s="387">
        <v>55</v>
      </c>
      <c r="S775" s="1174">
        <f>Locations[[#This Row],[Ind_Returnees]]+Locations[[#This Row],[Ind_Refugees]]+Locations[[#This Row],[Ind_IDPs]]</f>
        <v>321</v>
      </c>
    </row>
    <row r="776" spans="1:19" s="388" customFormat="1" x14ac:dyDescent="0.3">
      <c r="A776" s="5" t="s">
        <v>533</v>
      </c>
      <c r="B776" s="1430" t="s">
        <v>3449</v>
      </c>
      <c r="C776" s="1090" t="s">
        <v>534</v>
      </c>
      <c r="D776" s="5" t="s">
        <v>31</v>
      </c>
      <c r="E776" s="5" t="s">
        <v>31</v>
      </c>
      <c r="F776" s="5" t="s">
        <v>549</v>
      </c>
      <c r="G776" s="5" t="s">
        <v>172</v>
      </c>
      <c r="H776" s="5" t="s">
        <v>172</v>
      </c>
      <c r="I776" s="5" t="s">
        <v>706</v>
      </c>
      <c r="J776" t="s">
        <v>2943</v>
      </c>
      <c r="K776" s="5" t="s">
        <v>1176</v>
      </c>
      <c r="L776" s="5"/>
      <c r="M776" s="387">
        <v>17</v>
      </c>
      <c r="N776" s="387">
        <v>193</v>
      </c>
      <c r="O776" s="387">
        <v>15</v>
      </c>
      <c r="P776" s="387">
        <v>81</v>
      </c>
      <c r="Q776" s="387">
        <v>2</v>
      </c>
      <c r="R776" s="387">
        <v>12</v>
      </c>
      <c r="S776" s="1174">
        <f>Locations[[#This Row],[Ind_Returnees]]+Locations[[#This Row],[Ind_Refugees]]+Locations[[#This Row],[Ind_IDPs]]</f>
        <v>286</v>
      </c>
    </row>
    <row r="777" spans="1:19" s="388" customFormat="1" x14ac:dyDescent="0.3">
      <c r="A777" s="577" t="s">
        <v>533</v>
      </c>
      <c r="B777" s="1430" t="s">
        <v>3449</v>
      </c>
      <c r="C777" s="577" t="s">
        <v>534</v>
      </c>
      <c r="D777" s="577" t="s">
        <v>31</v>
      </c>
      <c r="E777" s="577" t="s">
        <v>31</v>
      </c>
      <c r="F777" s="577" t="s">
        <v>549</v>
      </c>
      <c r="G777" s="577" t="s">
        <v>172</v>
      </c>
      <c r="H777" s="577" t="s">
        <v>172</v>
      </c>
      <c r="I777" s="577" t="s">
        <v>706</v>
      </c>
      <c r="J777" s="577" t="s">
        <v>986</v>
      </c>
      <c r="K777" s="577" t="s">
        <v>2254</v>
      </c>
      <c r="L777" s="577"/>
      <c r="M777" s="387">
        <v>4</v>
      </c>
      <c r="N777" s="387">
        <v>22</v>
      </c>
      <c r="O777" s="387">
        <v>0</v>
      </c>
      <c r="P777" s="387">
        <v>0</v>
      </c>
      <c r="Q777" s="387">
        <v>17</v>
      </c>
      <c r="R777" s="387">
        <v>85</v>
      </c>
      <c r="S777" s="1174">
        <f>Locations[[#This Row],[Ind_Returnees]]+Locations[[#This Row],[Ind_Refugees]]+Locations[[#This Row],[Ind_IDPs]]</f>
        <v>107</v>
      </c>
    </row>
    <row r="778" spans="1:19" s="388" customFormat="1" x14ac:dyDescent="0.3">
      <c r="A778" s="5" t="s">
        <v>533</v>
      </c>
      <c r="B778" s="1430" t="s">
        <v>3449</v>
      </c>
      <c r="C778" s="398" t="s">
        <v>534</v>
      </c>
      <c r="D778" s="5" t="s">
        <v>31</v>
      </c>
      <c r="E778" s="5" t="s">
        <v>31</v>
      </c>
      <c r="F778" s="5" t="s">
        <v>549</v>
      </c>
      <c r="G778" s="5" t="s">
        <v>171</v>
      </c>
      <c r="H778" s="5" t="s">
        <v>171</v>
      </c>
      <c r="I778" s="5" t="s">
        <v>634</v>
      </c>
      <c r="J778" t="s">
        <v>1827</v>
      </c>
      <c r="K778" s="5" t="s">
        <v>2617</v>
      </c>
      <c r="L778" s="5"/>
      <c r="M778" s="387">
        <v>0</v>
      </c>
      <c r="N778" s="387">
        <v>0</v>
      </c>
      <c r="O778" s="387">
        <v>0</v>
      </c>
      <c r="P778" s="387">
        <v>0</v>
      </c>
      <c r="Q778" s="387">
        <v>0</v>
      </c>
      <c r="R778" s="387">
        <v>0</v>
      </c>
      <c r="S778" s="1174">
        <f>Locations[[#This Row],[Ind_Returnees]]+Locations[[#This Row],[Ind_Refugees]]+Locations[[#This Row],[Ind_IDPs]]</f>
        <v>0</v>
      </c>
    </row>
    <row r="779" spans="1:19" s="388" customFormat="1" x14ac:dyDescent="0.3">
      <c r="A779" s="5" t="s">
        <v>533</v>
      </c>
      <c r="B779" s="1430" t="s">
        <v>3449</v>
      </c>
      <c r="C779" s="1090" t="s">
        <v>534</v>
      </c>
      <c r="D779" s="5" t="s">
        <v>31</v>
      </c>
      <c r="E779" s="5" t="s">
        <v>31</v>
      </c>
      <c r="F779" s="5" t="s">
        <v>549</v>
      </c>
      <c r="G779" s="5" t="s">
        <v>171</v>
      </c>
      <c r="H779" s="5" t="s">
        <v>171</v>
      </c>
      <c r="I779" s="5" t="s">
        <v>634</v>
      </c>
      <c r="J779" t="s">
        <v>2944</v>
      </c>
      <c r="K779" s="5" t="s">
        <v>2619</v>
      </c>
      <c r="L779" s="5"/>
      <c r="M779" s="387">
        <v>0</v>
      </c>
      <c r="N779" s="387">
        <v>0</v>
      </c>
      <c r="O779" s="387">
        <v>0</v>
      </c>
      <c r="P779" s="387">
        <v>0</v>
      </c>
      <c r="Q779" s="387">
        <v>0</v>
      </c>
      <c r="R779" s="387">
        <v>0</v>
      </c>
      <c r="S779" s="1174">
        <f>Locations[[#This Row],[Ind_Returnees]]+Locations[[#This Row],[Ind_Refugees]]+Locations[[#This Row],[Ind_IDPs]]</f>
        <v>0</v>
      </c>
    </row>
    <row r="780" spans="1:19" s="388" customFormat="1" x14ac:dyDescent="0.3">
      <c r="A780" s="5" t="s">
        <v>533</v>
      </c>
      <c r="B780" s="1430" t="s">
        <v>3449</v>
      </c>
      <c r="C780" s="1090" t="s">
        <v>534</v>
      </c>
      <c r="D780" s="5" t="s">
        <v>35</v>
      </c>
      <c r="E780" s="5" t="s">
        <v>35</v>
      </c>
      <c r="F780" s="5" t="s">
        <v>567</v>
      </c>
      <c r="G780" s="5" t="s">
        <v>192</v>
      </c>
      <c r="H780" s="5" t="s">
        <v>192</v>
      </c>
      <c r="I780" s="5" t="s">
        <v>853</v>
      </c>
      <c r="J780" t="s">
        <v>1515</v>
      </c>
      <c r="K780" s="5" t="s">
        <v>1034</v>
      </c>
      <c r="L780" s="5"/>
      <c r="M780" s="387">
        <v>115</v>
      </c>
      <c r="N780" s="387">
        <v>636</v>
      </c>
      <c r="O780" s="387">
        <v>0</v>
      </c>
      <c r="P780" s="387">
        <v>0</v>
      </c>
      <c r="Q780" s="387">
        <v>0</v>
      </c>
      <c r="R780" s="387">
        <v>0</v>
      </c>
      <c r="S780" s="1174">
        <f>Locations[[#This Row],[Ind_Returnees]]+Locations[[#This Row],[Ind_Refugees]]+Locations[[#This Row],[Ind_IDPs]]</f>
        <v>636</v>
      </c>
    </row>
    <row r="781" spans="1:19" s="388" customFormat="1" x14ac:dyDescent="0.3">
      <c r="A781" s="5" t="s">
        <v>533</v>
      </c>
      <c r="B781" s="1430" t="s">
        <v>3449</v>
      </c>
      <c r="C781" s="398" t="s">
        <v>534</v>
      </c>
      <c r="D781" s="5" t="s">
        <v>35</v>
      </c>
      <c r="E781" s="5" t="s">
        <v>35</v>
      </c>
      <c r="F781" s="5" t="s">
        <v>567</v>
      </c>
      <c r="G781" s="5" t="s">
        <v>195</v>
      </c>
      <c r="H781" s="5" t="s">
        <v>195</v>
      </c>
      <c r="I781" s="5" t="s">
        <v>733</v>
      </c>
      <c r="J781" t="s">
        <v>1794</v>
      </c>
      <c r="K781" s="5" t="s">
        <v>1034</v>
      </c>
      <c r="L781" s="5"/>
      <c r="M781" s="387">
        <v>70</v>
      </c>
      <c r="N781" s="387">
        <v>462</v>
      </c>
      <c r="O781" s="387">
        <v>0</v>
      </c>
      <c r="P781" s="387">
        <v>0</v>
      </c>
      <c r="Q781" s="387">
        <v>0</v>
      </c>
      <c r="R781" s="387">
        <v>0</v>
      </c>
      <c r="S781" s="1174">
        <f>Locations[[#This Row],[Ind_Returnees]]+Locations[[#This Row],[Ind_Refugees]]+Locations[[#This Row],[Ind_IDPs]]</f>
        <v>462</v>
      </c>
    </row>
    <row r="782" spans="1:19" s="388" customFormat="1" x14ac:dyDescent="0.3">
      <c r="A782" s="5" t="s">
        <v>533</v>
      </c>
      <c r="B782" s="1430" t="s">
        <v>3449</v>
      </c>
      <c r="C782" s="398" t="s">
        <v>534</v>
      </c>
      <c r="D782" s="5" t="s">
        <v>35</v>
      </c>
      <c r="E782" s="5" t="s">
        <v>35</v>
      </c>
      <c r="F782" s="5" t="s">
        <v>567</v>
      </c>
      <c r="G782" s="5" t="s">
        <v>192</v>
      </c>
      <c r="H782" s="5" t="s">
        <v>192</v>
      </c>
      <c r="I782" s="5" t="s">
        <v>853</v>
      </c>
      <c r="J782" t="s">
        <v>943</v>
      </c>
      <c r="K782" s="5" t="s">
        <v>989</v>
      </c>
      <c r="L782" s="5"/>
      <c r="M782" s="387">
        <v>161</v>
      </c>
      <c r="N782" s="387">
        <v>1177</v>
      </c>
      <c r="O782" s="387">
        <v>0</v>
      </c>
      <c r="P782" s="387">
        <v>0</v>
      </c>
      <c r="Q782" s="387">
        <v>3</v>
      </c>
      <c r="R782" s="387">
        <v>12</v>
      </c>
      <c r="S782" s="1174">
        <f>Locations[[#This Row],[Ind_Returnees]]+Locations[[#This Row],[Ind_Refugees]]+Locations[[#This Row],[Ind_IDPs]]</f>
        <v>1189</v>
      </c>
    </row>
    <row r="783" spans="1:19" s="388" customFormat="1" x14ac:dyDescent="0.3">
      <c r="A783" s="5" t="s">
        <v>533</v>
      </c>
      <c r="B783" s="1430" t="s">
        <v>3449</v>
      </c>
      <c r="C783" s="1090" t="s">
        <v>534</v>
      </c>
      <c r="D783" s="5" t="s">
        <v>35</v>
      </c>
      <c r="E783" s="5" t="s">
        <v>35</v>
      </c>
      <c r="F783" s="5" t="s">
        <v>567</v>
      </c>
      <c r="G783" s="5" t="s">
        <v>193</v>
      </c>
      <c r="H783" s="5" t="s">
        <v>3983</v>
      </c>
      <c r="I783" s="5" t="s">
        <v>863</v>
      </c>
      <c r="J783" t="s">
        <v>2680</v>
      </c>
      <c r="K783" s="5" t="s">
        <v>989</v>
      </c>
      <c r="L783" s="5"/>
      <c r="M783" s="387">
        <v>109</v>
      </c>
      <c r="N783" s="387">
        <v>859</v>
      </c>
      <c r="O783" s="387">
        <v>0</v>
      </c>
      <c r="P783" s="387">
        <v>0</v>
      </c>
      <c r="Q783" s="387">
        <v>6</v>
      </c>
      <c r="R783" s="387">
        <v>32</v>
      </c>
      <c r="S783" s="1174">
        <f>Locations[[#This Row],[Ind_Returnees]]+Locations[[#This Row],[Ind_Refugees]]+Locations[[#This Row],[Ind_IDPs]]</f>
        <v>891</v>
      </c>
    </row>
    <row r="784" spans="1:19" s="388" customFormat="1" x14ac:dyDescent="0.3">
      <c r="A784" s="5" t="s">
        <v>533</v>
      </c>
      <c r="B784" s="1430" t="s">
        <v>3449</v>
      </c>
      <c r="C784" s="1090" t="s">
        <v>534</v>
      </c>
      <c r="D784" s="5" t="s">
        <v>31</v>
      </c>
      <c r="E784" s="5" t="s">
        <v>31</v>
      </c>
      <c r="F784" s="5" t="s">
        <v>549</v>
      </c>
      <c r="G784" s="5" t="s">
        <v>170</v>
      </c>
      <c r="H784" s="5" t="s">
        <v>170</v>
      </c>
      <c r="I784" s="5" t="s">
        <v>866</v>
      </c>
      <c r="J784" t="s">
        <v>1860</v>
      </c>
      <c r="K784" s="5" t="s">
        <v>1857</v>
      </c>
      <c r="L784" s="5"/>
      <c r="M784" s="387">
        <v>67</v>
      </c>
      <c r="N784" s="387">
        <v>422</v>
      </c>
      <c r="O784" s="387">
        <v>0</v>
      </c>
      <c r="P784" s="387">
        <v>0</v>
      </c>
      <c r="Q784" s="387">
        <v>0</v>
      </c>
      <c r="R784" s="387">
        <v>0</v>
      </c>
      <c r="S784" s="1174">
        <f>Locations[[#This Row],[Ind_Returnees]]+Locations[[#This Row],[Ind_Refugees]]+Locations[[#This Row],[Ind_IDPs]]</f>
        <v>422</v>
      </c>
    </row>
    <row r="785" spans="1:19" s="388" customFormat="1" x14ac:dyDescent="0.3">
      <c r="A785" s="5" t="s">
        <v>533</v>
      </c>
      <c r="B785" s="1430" t="s">
        <v>3449</v>
      </c>
      <c r="C785" s="398" t="s">
        <v>534</v>
      </c>
      <c r="D785" s="5" t="s">
        <v>35</v>
      </c>
      <c r="E785" s="5" t="s">
        <v>35</v>
      </c>
      <c r="F785" s="5" t="s">
        <v>567</v>
      </c>
      <c r="G785" s="5" t="s">
        <v>195</v>
      </c>
      <c r="H785" s="5" t="s">
        <v>195</v>
      </c>
      <c r="I785" s="5" t="s">
        <v>733</v>
      </c>
      <c r="J785" t="s">
        <v>2146</v>
      </c>
      <c r="K785" s="5" t="s">
        <v>1036</v>
      </c>
      <c r="L785" s="5"/>
      <c r="M785" s="387">
        <v>195</v>
      </c>
      <c r="N785" s="387">
        <v>806</v>
      </c>
      <c r="O785" s="387">
        <v>0</v>
      </c>
      <c r="P785" s="387">
        <v>0</v>
      </c>
      <c r="Q785" s="387">
        <v>0</v>
      </c>
      <c r="R785" s="387">
        <v>0</v>
      </c>
      <c r="S785" s="1174">
        <f>Locations[[#This Row],[Ind_Returnees]]+Locations[[#This Row],[Ind_Refugees]]+Locations[[#This Row],[Ind_IDPs]]</f>
        <v>806</v>
      </c>
    </row>
    <row r="786" spans="1:19" s="388" customFormat="1" x14ac:dyDescent="0.3">
      <c r="A786" s="5" t="s">
        <v>533</v>
      </c>
      <c r="B786" s="1430" t="s">
        <v>3449</v>
      </c>
      <c r="C786" s="1090" t="s">
        <v>534</v>
      </c>
      <c r="D786" s="5" t="s">
        <v>31</v>
      </c>
      <c r="E786" s="5" t="s">
        <v>31</v>
      </c>
      <c r="F786" s="5" t="s">
        <v>549</v>
      </c>
      <c r="G786" s="5" t="s">
        <v>167</v>
      </c>
      <c r="H786" s="5" t="s">
        <v>167</v>
      </c>
      <c r="I786" s="5" t="s">
        <v>1113</v>
      </c>
      <c r="J786" t="s">
        <v>1825</v>
      </c>
      <c r="K786" s="5" t="s">
        <v>1930</v>
      </c>
      <c r="L786" s="5"/>
      <c r="M786" s="387">
        <v>30</v>
      </c>
      <c r="N786" s="387">
        <v>30</v>
      </c>
      <c r="O786" s="387">
        <v>0</v>
      </c>
      <c r="P786" s="387">
        <v>0</v>
      </c>
      <c r="Q786" s="387">
        <v>0</v>
      </c>
      <c r="R786" s="387">
        <v>0</v>
      </c>
      <c r="S786" s="1174">
        <f>Locations[[#This Row],[Ind_Returnees]]+Locations[[#This Row],[Ind_Refugees]]+Locations[[#This Row],[Ind_IDPs]]</f>
        <v>30</v>
      </c>
    </row>
    <row r="787" spans="1:19" s="388" customFormat="1" x14ac:dyDescent="0.3">
      <c r="A787" s="5" t="s">
        <v>533</v>
      </c>
      <c r="B787" s="1430" t="s">
        <v>3449</v>
      </c>
      <c r="C787" s="1090" t="s">
        <v>534</v>
      </c>
      <c r="D787" s="5" t="s">
        <v>31</v>
      </c>
      <c r="E787" s="5" t="s">
        <v>31</v>
      </c>
      <c r="F787" s="5" t="s">
        <v>549</v>
      </c>
      <c r="G787" s="5" t="s">
        <v>167</v>
      </c>
      <c r="H787" s="5" t="s">
        <v>167</v>
      </c>
      <c r="I787" s="5" t="s">
        <v>1113</v>
      </c>
      <c r="J787" t="s">
        <v>1114</v>
      </c>
      <c r="K787" s="5" t="s">
        <v>2051</v>
      </c>
      <c r="L787" s="5"/>
      <c r="M787" s="387">
        <v>70</v>
      </c>
      <c r="N787" s="387">
        <v>70</v>
      </c>
      <c r="O787" s="387">
        <v>0</v>
      </c>
      <c r="P787" s="387">
        <v>0</v>
      </c>
      <c r="Q787" s="387">
        <v>0</v>
      </c>
      <c r="R787" s="387">
        <v>0</v>
      </c>
      <c r="S787" s="1174">
        <f>Locations[[#This Row],[Ind_Returnees]]+Locations[[#This Row],[Ind_Refugees]]+Locations[[#This Row],[Ind_IDPs]]</f>
        <v>70</v>
      </c>
    </row>
    <row r="788" spans="1:19" s="388" customFormat="1" x14ac:dyDescent="0.3">
      <c r="A788" s="5" t="s">
        <v>533</v>
      </c>
      <c r="B788" s="1430" t="s">
        <v>3449</v>
      </c>
      <c r="C788" s="398" t="s">
        <v>534</v>
      </c>
      <c r="D788" s="5" t="s">
        <v>30</v>
      </c>
      <c r="E788" s="5" t="s">
        <v>3522</v>
      </c>
      <c r="F788" s="5" t="s">
        <v>535</v>
      </c>
      <c r="G788" s="5" t="s">
        <v>161</v>
      </c>
      <c r="H788" s="5" t="s">
        <v>3523</v>
      </c>
      <c r="I788" s="5" t="s">
        <v>587</v>
      </c>
      <c r="J788" t="s">
        <v>2945</v>
      </c>
      <c r="K788" s="5" t="s">
        <v>597</v>
      </c>
      <c r="L788" s="5"/>
      <c r="M788" s="387">
        <v>78</v>
      </c>
      <c r="N788" s="387">
        <v>687</v>
      </c>
      <c r="O788" s="387">
        <v>0</v>
      </c>
      <c r="P788" s="387">
        <v>0</v>
      </c>
      <c r="Q788" s="387">
        <v>0</v>
      </c>
      <c r="R788" s="387">
        <v>0</v>
      </c>
      <c r="S788" s="1174">
        <f>Locations[[#This Row],[Ind_Returnees]]+Locations[[#This Row],[Ind_Refugees]]+Locations[[#This Row],[Ind_IDPs]]</f>
        <v>687</v>
      </c>
    </row>
    <row r="789" spans="1:19" s="388" customFormat="1" x14ac:dyDescent="0.3">
      <c r="A789" s="5" t="s">
        <v>533</v>
      </c>
      <c r="B789" s="1430" t="s">
        <v>3449</v>
      </c>
      <c r="C789" s="1090" t="s">
        <v>534</v>
      </c>
      <c r="D789" s="5" t="s">
        <v>35</v>
      </c>
      <c r="E789" s="5" t="s">
        <v>35</v>
      </c>
      <c r="F789" s="5" t="s">
        <v>567</v>
      </c>
      <c r="G789" s="5" t="s">
        <v>195</v>
      </c>
      <c r="H789" s="5" t="s">
        <v>195</v>
      </c>
      <c r="I789" s="5" t="s">
        <v>733</v>
      </c>
      <c r="J789" t="s">
        <v>2946</v>
      </c>
      <c r="K789" s="5" t="s">
        <v>840</v>
      </c>
      <c r="L789" s="5"/>
      <c r="M789" s="387">
        <v>66</v>
      </c>
      <c r="N789" s="387">
        <v>469</v>
      </c>
      <c r="O789" s="387">
        <v>0</v>
      </c>
      <c r="P789" s="387">
        <v>0</v>
      </c>
      <c r="Q789" s="387">
        <v>0</v>
      </c>
      <c r="R789" s="387">
        <v>0</v>
      </c>
      <c r="S789" s="1174">
        <f>Locations[[#This Row],[Ind_Returnees]]+Locations[[#This Row],[Ind_Refugees]]+Locations[[#This Row],[Ind_IDPs]]</f>
        <v>469</v>
      </c>
    </row>
    <row r="790" spans="1:19" s="388" customFormat="1" x14ac:dyDescent="0.3">
      <c r="A790" s="5" t="s">
        <v>533</v>
      </c>
      <c r="B790" s="1430" t="s">
        <v>3449</v>
      </c>
      <c r="C790" s="398" t="s">
        <v>534</v>
      </c>
      <c r="D790" s="5" t="s">
        <v>34</v>
      </c>
      <c r="E790" s="5" t="s">
        <v>34</v>
      </c>
      <c r="F790" s="5" t="s">
        <v>539</v>
      </c>
      <c r="G790" s="5" t="s">
        <v>189</v>
      </c>
      <c r="H790" s="5" t="s">
        <v>189</v>
      </c>
      <c r="I790" s="5" t="s">
        <v>590</v>
      </c>
      <c r="J790" t="s">
        <v>1202</v>
      </c>
      <c r="K790" s="5" t="s">
        <v>1203</v>
      </c>
      <c r="L790" s="5"/>
      <c r="M790" s="387">
        <v>37</v>
      </c>
      <c r="N790" s="387">
        <v>318</v>
      </c>
      <c r="O790" s="387">
        <v>0</v>
      </c>
      <c r="P790" s="387">
        <v>0</v>
      </c>
      <c r="Q790" s="387">
        <v>0</v>
      </c>
      <c r="R790" s="387">
        <v>0</v>
      </c>
      <c r="S790" s="1174">
        <f>Locations[[#This Row],[Ind_Returnees]]+Locations[[#This Row],[Ind_Refugees]]+Locations[[#This Row],[Ind_IDPs]]</f>
        <v>318</v>
      </c>
    </row>
    <row r="791" spans="1:19" s="388" customFormat="1" x14ac:dyDescent="0.3">
      <c r="A791" s="5" t="s">
        <v>533</v>
      </c>
      <c r="B791" s="1430" t="s">
        <v>3449</v>
      </c>
      <c r="C791" s="398" t="s">
        <v>534</v>
      </c>
      <c r="D791" s="5" t="s">
        <v>35</v>
      </c>
      <c r="E791" s="5" t="s">
        <v>35</v>
      </c>
      <c r="F791" s="5" t="s">
        <v>567</v>
      </c>
      <c r="G791" s="5" t="s">
        <v>192</v>
      </c>
      <c r="H791" s="5" t="s">
        <v>192</v>
      </c>
      <c r="I791" s="5" t="s">
        <v>853</v>
      </c>
      <c r="J791" t="s">
        <v>2947</v>
      </c>
      <c r="K791" s="5" t="s">
        <v>900</v>
      </c>
      <c r="L791" s="5"/>
      <c r="M791" s="387">
        <v>162</v>
      </c>
      <c r="N791" s="387">
        <v>1069</v>
      </c>
      <c r="O791" s="387">
        <v>0</v>
      </c>
      <c r="P791" s="387">
        <v>0</v>
      </c>
      <c r="Q791" s="387">
        <v>3</v>
      </c>
      <c r="R791" s="387">
        <v>25</v>
      </c>
      <c r="S791" s="1174">
        <f>Locations[[#This Row],[Ind_Returnees]]+Locations[[#This Row],[Ind_Refugees]]+Locations[[#This Row],[Ind_IDPs]]</f>
        <v>1094</v>
      </c>
    </row>
    <row r="792" spans="1:19" s="388" customFormat="1" x14ac:dyDescent="0.3">
      <c r="A792" s="5" t="s">
        <v>533</v>
      </c>
      <c r="B792" s="1430" t="s">
        <v>3449</v>
      </c>
      <c r="C792" s="398" t="s">
        <v>534</v>
      </c>
      <c r="D792" s="5" t="s">
        <v>31</v>
      </c>
      <c r="E792" s="5" t="s">
        <v>31</v>
      </c>
      <c r="F792" s="5" t="s">
        <v>549</v>
      </c>
      <c r="G792" s="5" t="s">
        <v>169</v>
      </c>
      <c r="H792" s="5" t="s">
        <v>169</v>
      </c>
      <c r="I792" s="5" t="s">
        <v>673</v>
      </c>
      <c r="J792" t="s">
        <v>2942</v>
      </c>
      <c r="K792" s="5" t="s">
        <v>830</v>
      </c>
      <c r="L792" s="5"/>
      <c r="M792" s="387">
        <v>35</v>
      </c>
      <c r="N792" s="387">
        <v>80</v>
      </c>
      <c r="O792" s="387">
        <v>5</v>
      </c>
      <c r="P792" s="387">
        <v>35</v>
      </c>
      <c r="Q792" s="387">
        <v>10</v>
      </c>
      <c r="R792" s="387">
        <v>54</v>
      </c>
      <c r="S792" s="1174">
        <f>Locations[[#This Row],[Ind_Returnees]]+Locations[[#This Row],[Ind_Refugees]]+Locations[[#This Row],[Ind_IDPs]]</f>
        <v>169</v>
      </c>
    </row>
    <row r="793" spans="1:19" s="388" customFormat="1" x14ac:dyDescent="0.3">
      <c r="A793" s="5" t="s">
        <v>533</v>
      </c>
      <c r="B793" s="1430" t="s">
        <v>3449</v>
      </c>
      <c r="C793" s="1090" t="s">
        <v>534</v>
      </c>
      <c r="D793" s="5" t="s">
        <v>35</v>
      </c>
      <c r="E793" s="5" t="s">
        <v>35</v>
      </c>
      <c r="F793" s="5" t="s">
        <v>567</v>
      </c>
      <c r="G793" s="5" t="s">
        <v>192</v>
      </c>
      <c r="H793" s="5" t="s">
        <v>192</v>
      </c>
      <c r="I793" s="5" t="s">
        <v>853</v>
      </c>
      <c r="J793" t="s">
        <v>1390</v>
      </c>
      <c r="K793" s="5" t="s">
        <v>1453</v>
      </c>
      <c r="L793" s="5"/>
      <c r="M793" s="387">
        <v>77</v>
      </c>
      <c r="N793" s="387">
        <v>437</v>
      </c>
      <c r="O793" s="387">
        <v>0</v>
      </c>
      <c r="P793" s="387">
        <v>0</v>
      </c>
      <c r="Q793" s="387">
        <v>43</v>
      </c>
      <c r="R793" s="387">
        <v>292</v>
      </c>
      <c r="S793" s="1174">
        <f>Locations[[#This Row],[Ind_Returnees]]+Locations[[#This Row],[Ind_Refugees]]+Locations[[#This Row],[Ind_IDPs]]</f>
        <v>729</v>
      </c>
    </row>
    <row r="794" spans="1:19" s="388" customFormat="1" x14ac:dyDescent="0.3">
      <c r="A794" s="5" t="s">
        <v>533</v>
      </c>
      <c r="B794" s="1430" t="s">
        <v>3449</v>
      </c>
      <c r="C794" s="1090" t="s">
        <v>534</v>
      </c>
      <c r="D794" s="5" t="s">
        <v>32</v>
      </c>
      <c r="E794" s="5" t="s">
        <v>32</v>
      </c>
      <c r="F794" s="5" t="s">
        <v>542</v>
      </c>
      <c r="G794" s="5" t="s">
        <v>178</v>
      </c>
      <c r="H794" s="5" t="s">
        <v>178</v>
      </c>
      <c r="I794" s="5" t="s">
        <v>543</v>
      </c>
      <c r="J794" t="s">
        <v>3219</v>
      </c>
      <c r="K794" s="5" t="s">
        <v>2787</v>
      </c>
      <c r="L794" s="5"/>
      <c r="M794" s="387">
        <v>0</v>
      </c>
      <c r="N794" s="387">
        <v>0</v>
      </c>
      <c r="O794" s="387">
        <v>0</v>
      </c>
      <c r="P794" s="387">
        <v>0</v>
      </c>
      <c r="Q794" s="387">
        <v>42</v>
      </c>
      <c r="R794" s="387">
        <v>130</v>
      </c>
      <c r="S794" s="1174">
        <f>Locations[[#This Row],[Ind_Returnees]]+Locations[[#This Row],[Ind_Refugees]]+Locations[[#This Row],[Ind_IDPs]]</f>
        <v>130</v>
      </c>
    </row>
    <row r="795" spans="1:19" s="388" customFormat="1" x14ac:dyDescent="0.3">
      <c r="A795" s="5" t="s">
        <v>533</v>
      </c>
      <c r="B795" s="1430" t="s">
        <v>3449</v>
      </c>
      <c r="C795" s="1090" t="s">
        <v>534</v>
      </c>
      <c r="D795" s="5" t="s">
        <v>34</v>
      </c>
      <c r="E795" s="5" t="s">
        <v>34</v>
      </c>
      <c r="F795" s="5" t="s">
        <v>539</v>
      </c>
      <c r="G795" s="5" t="s">
        <v>188</v>
      </c>
      <c r="H795" s="5" t="s">
        <v>188</v>
      </c>
      <c r="I795" s="5" t="s">
        <v>546</v>
      </c>
      <c r="J795" t="s">
        <v>2949</v>
      </c>
      <c r="K795" s="5" t="s">
        <v>1384</v>
      </c>
      <c r="L795" s="5"/>
      <c r="M795" s="387">
        <v>86</v>
      </c>
      <c r="N795" s="387">
        <v>403</v>
      </c>
      <c r="O795" s="387">
        <v>0</v>
      </c>
      <c r="P795" s="387">
        <v>0</v>
      </c>
      <c r="Q795" s="387">
        <v>0</v>
      </c>
      <c r="R795" s="387">
        <v>0</v>
      </c>
      <c r="S795" s="1174">
        <f>Locations[[#This Row],[Ind_Returnees]]+Locations[[#This Row],[Ind_Refugees]]+Locations[[#This Row],[Ind_IDPs]]</f>
        <v>403</v>
      </c>
    </row>
    <row r="796" spans="1:19" s="388" customFormat="1" x14ac:dyDescent="0.3">
      <c r="A796" s="5" t="s">
        <v>533</v>
      </c>
      <c r="B796" s="1430" t="s">
        <v>3449</v>
      </c>
      <c r="C796" s="398" t="s">
        <v>534</v>
      </c>
      <c r="D796" s="5" t="s">
        <v>31</v>
      </c>
      <c r="E796" s="5" t="s">
        <v>31</v>
      </c>
      <c r="F796" s="5" t="s">
        <v>549</v>
      </c>
      <c r="G796" s="5" t="s">
        <v>171</v>
      </c>
      <c r="H796" s="5" t="s">
        <v>171</v>
      </c>
      <c r="I796" s="5" t="s">
        <v>634</v>
      </c>
      <c r="J796" t="s">
        <v>1278</v>
      </c>
      <c r="K796" s="5" t="s">
        <v>1543</v>
      </c>
      <c r="L796" s="5"/>
      <c r="M796" s="387">
        <v>24</v>
      </c>
      <c r="N796" s="387">
        <v>182</v>
      </c>
      <c r="O796" s="387">
        <v>16</v>
      </c>
      <c r="P796" s="387">
        <v>83</v>
      </c>
      <c r="Q796" s="387">
        <v>30</v>
      </c>
      <c r="R796" s="387">
        <v>158</v>
      </c>
      <c r="S796" s="1174">
        <f>Locations[[#This Row],[Ind_Returnees]]+Locations[[#This Row],[Ind_Refugees]]+Locations[[#This Row],[Ind_IDPs]]</f>
        <v>423</v>
      </c>
    </row>
    <row r="797" spans="1:19" s="388" customFormat="1" x14ac:dyDescent="0.3">
      <c r="A797" s="5" t="s">
        <v>533</v>
      </c>
      <c r="B797" s="1430" t="s">
        <v>3449</v>
      </c>
      <c r="C797" s="1090" t="s">
        <v>534</v>
      </c>
      <c r="D797" s="5" t="s">
        <v>31</v>
      </c>
      <c r="E797" s="5" t="s">
        <v>31</v>
      </c>
      <c r="F797" s="5" t="s">
        <v>549</v>
      </c>
      <c r="G797" s="5" t="s">
        <v>171</v>
      </c>
      <c r="H797" s="5" t="s">
        <v>171</v>
      </c>
      <c r="I797" s="5" t="s">
        <v>634</v>
      </c>
      <c r="J797" t="s">
        <v>2602</v>
      </c>
      <c r="K797" s="5" t="s">
        <v>2230</v>
      </c>
      <c r="L797" s="5"/>
      <c r="M797" s="387">
        <v>0</v>
      </c>
      <c r="N797" s="387">
        <v>0</v>
      </c>
      <c r="O797" s="387">
        <v>0</v>
      </c>
      <c r="P797" s="387">
        <v>0</v>
      </c>
      <c r="Q797" s="387">
        <v>0</v>
      </c>
      <c r="R797" s="387">
        <v>0</v>
      </c>
      <c r="S797" s="1174">
        <f>Locations[[#This Row],[Ind_Returnees]]+Locations[[#This Row],[Ind_Refugees]]+Locations[[#This Row],[Ind_IDPs]]</f>
        <v>0</v>
      </c>
    </row>
    <row r="798" spans="1:19" s="388" customFormat="1" x14ac:dyDescent="0.3">
      <c r="A798" s="5" t="s">
        <v>533</v>
      </c>
      <c r="B798" s="1430" t="s">
        <v>3449</v>
      </c>
      <c r="C798" s="1090" t="s">
        <v>534</v>
      </c>
      <c r="D798" s="5" t="s">
        <v>35</v>
      </c>
      <c r="E798" s="5" t="s">
        <v>35</v>
      </c>
      <c r="F798" s="5" t="s">
        <v>567</v>
      </c>
      <c r="G798" s="5" t="s">
        <v>195</v>
      </c>
      <c r="H798" s="5" t="s">
        <v>195</v>
      </c>
      <c r="I798" s="5" t="s">
        <v>733</v>
      </c>
      <c r="J798" t="s">
        <v>2950</v>
      </c>
      <c r="K798" s="5" t="s">
        <v>2066</v>
      </c>
      <c r="L798" s="5"/>
      <c r="M798" s="387">
        <v>81</v>
      </c>
      <c r="N798" s="387">
        <v>377</v>
      </c>
      <c r="O798" s="387">
        <v>0</v>
      </c>
      <c r="P798" s="387">
        <v>0</v>
      </c>
      <c r="Q798" s="387">
        <v>102</v>
      </c>
      <c r="R798" s="387">
        <v>154</v>
      </c>
      <c r="S798" s="1174">
        <f>Locations[[#This Row],[Ind_Returnees]]+Locations[[#This Row],[Ind_Refugees]]+Locations[[#This Row],[Ind_IDPs]]</f>
        <v>531</v>
      </c>
    </row>
    <row r="799" spans="1:19" s="388" customFormat="1" x14ac:dyDescent="0.3">
      <c r="A799" s="5" t="s">
        <v>533</v>
      </c>
      <c r="B799" s="1430" t="s">
        <v>3449</v>
      </c>
      <c r="C799" s="398" t="s">
        <v>534</v>
      </c>
      <c r="D799" s="5" t="s">
        <v>32</v>
      </c>
      <c r="E799" s="5" t="s">
        <v>32</v>
      </c>
      <c r="F799" s="5" t="s">
        <v>542</v>
      </c>
      <c r="G799" s="5" t="s">
        <v>176</v>
      </c>
      <c r="H799" s="5" t="s">
        <v>176</v>
      </c>
      <c r="I799" s="5" t="s">
        <v>772</v>
      </c>
      <c r="J799" t="s">
        <v>1210</v>
      </c>
      <c r="K799" s="5" t="s">
        <v>1211</v>
      </c>
      <c r="L799" s="5"/>
      <c r="M799" s="387">
        <v>6</v>
      </c>
      <c r="N799" s="387">
        <v>51</v>
      </c>
      <c r="O799" s="387">
        <v>0</v>
      </c>
      <c r="P799" s="387">
        <v>0</v>
      </c>
      <c r="Q799" s="387">
        <v>16</v>
      </c>
      <c r="R799" s="387">
        <v>128</v>
      </c>
      <c r="S799" s="1174">
        <f>Locations[[#This Row],[Ind_Returnees]]+Locations[[#This Row],[Ind_Refugees]]+Locations[[#This Row],[Ind_IDPs]]</f>
        <v>179</v>
      </c>
    </row>
    <row r="800" spans="1:19" s="388" customFormat="1" x14ac:dyDescent="0.3">
      <c r="A800" s="5" t="s">
        <v>533</v>
      </c>
      <c r="B800" s="1430" t="s">
        <v>3449</v>
      </c>
      <c r="C800" s="398" t="s">
        <v>534</v>
      </c>
      <c r="D800" s="5" t="s">
        <v>31</v>
      </c>
      <c r="E800" s="5" t="s">
        <v>31</v>
      </c>
      <c r="F800" s="5" t="s">
        <v>549</v>
      </c>
      <c r="G800" s="5" t="s">
        <v>169</v>
      </c>
      <c r="H800" s="5" t="s">
        <v>169</v>
      </c>
      <c r="I800" s="5" t="s">
        <v>673</v>
      </c>
      <c r="J800" t="s">
        <v>2948</v>
      </c>
      <c r="K800" s="5" t="s">
        <v>1524</v>
      </c>
      <c r="L800" s="5"/>
      <c r="M800" s="387">
        <v>10</v>
      </c>
      <c r="N800" s="387">
        <v>55</v>
      </c>
      <c r="O800" s="387">
        <v>0</v>
      </c>
      <c r="P800" s="387">
        <v>0</v>
      </c>
      <c r="Q800" s="387">
        <v>4</v>
      </c>
      <c r="R800" s="387">
        <v>10</v>
      </c>
      <c r="S800" s="1174">
        <f>Locations[[#This Row],[Ind_Returnees]]+Locations[[#This Row],[Ind_Refugees]]+Locations[[#This Row],[Ind_IDPs]]</f>
        <v>65</v>
      </c>
    </row>
    <row r="801" spans="1:19" s="388" customFormat="1" x14ac:dyDescent="0.3">
      <c r="A801" s="5" t="s">
        <v>533</v>
      </c>
      <c r="B801" s="1430" t="s">
        <v>3449</v>
      </c>
      <c r="C801" s="398" t="s">
        <v>534</v>
      </c>
      <c r="D801" s="5" t="s">
        <v>34</v>
      </c>
      <c r="E801" s="5" t="s">
        <v>34</v>
      </c>
      <c r="F801" s="5" t="s">
        <v>539</v>
      </c>
      <c r="G801" s="5" t="s">
        <v>189</v>
      </c>
      <c r="H801" s="5" t="s">
        <v>189</v>
      </c>
      <c r="I801" s="5" t="s">
        <v>590</v>
      </c>
      <c r="J801" t="s">
        <v>1326</v>
      </c>
      <c r="K801" s="5" t="s">
        <v>1327</v>
      </c>
      <c r="L801" s="5"/>
      <c r="M801" s="387">
        <v>14</v>
      </c>
      <c r="N801" s="387">
        <v>232</v>
      </c>
      <c r="O801" s="387">
        <v>0</v>
      </c>
      <c r="P801" s="387">
        <v>0</v>
      </c>
      <c r="Q801" s="387">
        <v>0</v>
      </c>
      <c r="R801" s="387">
        <v>0</v>
      </c>
      <c r="S801" s="1174">
        <f>Locations[[#This Row],[Ind_Returnees]]+Locations[[#This Row],[Ind_Refugees]]+Locations[[#This Row],[Ind_IDPs]]</f>
        <v>232</v>
      </c>
    </row>
    <row r="802" spans="1:19" s="388" customFormat="1" x14ac:dyDescent="0.3">
      <c r="A802" s="5" t="s">
        <v>533</v>
      </c>
      <c r="B802" s="1430" t="s">
        <v>3449</v>
      </c>
      <c r="C802" s="398" t="s">
        <v>534</v>
      </c>
      <c r="D802" s="5" t="s">
        <v>35</v>
      </c>
      <c r="E802" s="5" t="s">
        <v>35</v>
      </c>
      <c r="F802" s="5" t="s">
        <v>567</v>
      </c>
      <c r="G802" s="5" t="s">
        <v>193</v>
      </c>
      <c r="H802" s="5" t="s">
        <v>3983</v>
      </c>
      <c r="I802" s="5" t="s">
        <v>863</v>
      </c>
      <c r="J802" t="s">
        <v>2952</v>
      </c>
      <c r="K802" s="5" t="s">
        <v>865</v>
      </c>
      <c r="L802" s="5"/>
      <c r="M802" s="387">
        <v>99</v>
      </c>
      <c r="N802" s="387">
        <v>545</v>
      </c>
      <c r="O802" s="387">
        <v>1</v>
      </c>
      <c r="P802" s="387">
        <v>3</v>
      </c>
      <c r="Q802" s="387">
        <v>5</v>
      </c>
      <c r="R802" s="387">
        <v>10</v>
      </c>
      <c r="S802" s="1174">
        <f>Locations[[#This Row],[Ind_Returnees]]+Locations[[#This Row],[Ind_Refugees]]+Locations[[#This Row],[Ind_IDPs]]</f>
        <v>558</v>
      </c>
    </row>
    <row r="803" spans="1:19" s="388" customFormat="1" x14ac:dyDescent="0.3">
      <c r="A803" s="5" t="s">
        <v>533</v>
      </c>
      <c r="B803" s="1430" t="s">
        <v>3449</v>
      </c>
      <c r="C803" s="1090" t="s">
        <v>534</v>
      </c>
      <c r="D803" s="5" t="s">
        <v>31</v>
      </c>
      <c r="E803" s="5" t="s">
        <v>31</v>
      </c>
      <c r="F803" s="5" t="s">
        <v>549</v>
      </c>
      <c r="G803" s="5" t="s">
        <v>171</v>
      </c>
      <c r="H803" s="5" t="s">
        <v>171</v>
      </c>
      <c r="I803" s="5" t="s">
        <v>634</v>
      </c>
      <c r="J803" t="s">
        <v>2063</v>
      </c>
      <c r="K803" s="5" t="s">
        <v>937</v>
      </c>
      <c r="L803" s="5"/>
      <c r="M803" s="387">
        <v>4</v>
      </c>
      <c r="N803" s="387">
        <v>20</v>
      </c>
      <c r="O803" s="387">
        <v>1</v>
      </c>
      <c r="P803" s="387">
        <v>6</v>
      </c>
      <c r="Q803" s="387">
        <v>0</v>
      </c>
      <c r="R803" s="387">
        <v>0</v>
      </c>
      <c r="S803" s="1174">
        <f>Locations[[#This Row],[Ind_Returnees]]+Locations[[#This Row],[Ind_Refugees]]+Locations[[#This Row],[Ind_IDPs]]</f>
        <v>26</v>
      </c>
    </row>
    <row r="804" spans="1:19" s="388" customFormat="1" x14ac:dyDescent="0.3">
      <c r="A804" s="5" t="s">
        <v>533</v>
      </c>
      <c r="B804" s="1430" t="s">
        <v>3449</v>
      </c>
      <c r="C804" s="1090" t="s">
        <v>534</v>
      </c>
      <c r="D804" s="5" t="s">
        <v>34</v>
      </c>
      <c r="E804" s="5" t="s">
        <v>34</v>
      </c>
      <c r="F804" s="5" t="s">
        <v>539</v>
      </c>
      <c r="G804" s="5" t="s">
        <v>188</v>
      </c>
      <c r="H804" s="5" t="s">
        <v>188</v>
      </c>
      <c r="I804" s="5" t="s">
        <v>546</v>
      </c>
      <c r="J804" t="s">
        <v>976</v>
      </c>
      <c r="K804" s="5" t="s">
        <v>1045</v>
      </c>
      <c r="L804" s="5"/>
      <c r="M804" s="387">
        <v>109</v>
      </c>
      <c r="N804" s="387">
        <v>494</v>
      </c>
      <c r="O804" s="387">
        <v>0</v>
      </c>
      <c r="P804" s="387">
        <v>0</v>
      </c>
      <c r="Q804" s="387">
        <v>0</v>
      </c>
      <c r="R804" s="387">
        <v>0</v>
      </c>
      <c r="S804" s="1174">
        <f>Locations[[#This Row],[Ind_Returnees]]+Locations[[#This Row],[Ind_Refugees]]+Locations[[#This Row],[Ind_IDPs]]</f>
        <v>494</v>
      </c>
    </row>
    <row r="805" spans="1:19" s="388" customFormat="1" x14ac:dyDescent="0.3">
      <c r="A805" s="5" t="s">
        <v>533</v>
      </c>
      <c r="B805" s="1430" t="s">
        <v>3449</v>
      </c>
      <c r="C805" s="1090" t="s">
        <v>534</v>
      </c>
      <c r="D805" s="5" t="s">
        <v>31</v>
      </c>
      <c r="E805" s="5" t="s">
        <v>31</v>
      </c>
      <c r="F805" s="5" t="s">
        <v>549</v>
      </c>
      <c r="G805" s="5" t="s">
        <v>166</v>
      </c>
      <c r="H805" s="5" t="s">
        <v>166</v>
      </c>
      <c r="I805" s="5" t="s">
        <v>844</v>
      </c>
      <c r="J805" t="s">
        <v>2953</v>
      </c>
      <c r="K805" s="5" t="s">
        <v>2519</v>
      </c>
      <c r="L805" s="5"/>
      <c r="M805" s="387">
        <v>0</v>
      </c>
      <c r="N805" s="387">
        <v>0</v>
      </c>
      <c r="O805" s="387">
        <v>0</v>
      </c>
      <c r="P805" s="387">
        <v>0</v>
      </c>
      <c r="Q805" s="387">
        <v>0</v>
      </c>
      <c r="R805" s="387">
        <v>0</v>
      </c>
      <c r="S805" s="1174">
        <f>Locations[[#This Row],[Ind_Returnees]]+Locations[[#This Row],[Ind_Refugees]]+Locations[[#This Row],[Ind_IDPs]]</f>
        <v>0</v>
      </c>
    </row>
    <row r="806" spans="1:19" s="388" customFormat="1" x14ac:dyDescent="0.3">
      <c r="A806" s="5" t="s">
        <v>533</v>
      </c>
      <c r="B806" s="1430" t="s">
        <v>3449</v>
      </c>
      <c r="C806" s="1090" t="s">
        <v>534</v>
      </c>
      <c r="D806" s="5" t="s">
        <v>31</v>
      </c>
      <c r="E806" s="5" t="s">
        <v>31</v>
      </c>
      <c r="F806" s="5" t="s">
        <v>549</v>
      </c>
      <c r="G806" s="5" t="s">
        <v>171</v>
      </c>
      <c r="H806" s="5" t="s">
        <v>171</v>
      </c>
      <c r="I806" s="5" t="s">
        <v>634</v>
      </c>
      <c r="J806" t="s">
        <v>1046</v>
      </c>
      <c r="K806" s="5" t="s">
        <v>1215</v>
      </c>
      <c r="L806" s="5"/>
      <c r="M806" s="387">
        <v>12</v>
      </c>
      <c r="N806" s="387">
        <v>74</v>
      </c>
      <c r="O806" s="387">
        <v>13</v>
      </c>
      <c r="P806" s="387">
        <v>77</v>
      </c>
      <c r="Q806" s="387">
        <v>16</v>
      </c>
      <c r="R806" s="387">
        <v>88</v>
      </c>
      <c r="S806" s="1174">
        <f>Locations[[#This Row],[Ind_Returnees]]+Locations[[#This Row],[Ind_Refugees]]+Locations[[#This Row],[Ind_IDPs]]</f>
        <v>239</v>
      </c>
    </row>
    <row r="807" spans="1:19" s="388" customFormat="1" x14ac:dyDescent="0.3">
      <c r="A807" s="5" t="s">
        <v>533</v>
      </c>
      <c r="B807" s="1430" t="s">
        <v>3449</v>
      </c>
      <c r="C807" s="398" t="s">
        <v>534</v>
      </c>
      <c r="D807" s="5" t="s">
        <v>31</v>
      </c>
      <c r="E807" s="5" t="s">
        <v>31</v>
      </c>
      <c r="F807" s="5" t="s">
        <v>549</v>
      </c>
      <c r="G807" s="5" t="s">
        <v>169</v>
      </c>
      <c r="H807" s="5" t="s">
        <v>169</v>
      </c>
      <c r="I807" s="5" t="s">
        <v>673</v>
      </c>
      <c r="J807" t="s">
        <v>1131</v>
      </c>
      <c r="K807" s="5" t="s">
        <v>1475</v>
      </c>
      <c r="L807" s="5"/>
      <c r="M807" s="387">
        <v>18</v>
      </c>
      <c r="N807" s="387">
        <v>138</v>
      </c>
      <c r="O807" s="387">
        <v>0</v>
      </c>
      <c r="P807" s="387">
        <v>0</v>
      </c>
      <c r="Q807" s="387">
        <v>0</v>
      </c>
      <c r="R807" s="387">
        <v>0</v>
      </c>
      <c r="S807" s="1174">
        <f>Locations[[#This Row],[Ind_Returnees]]+Locations[[#This Row],[Ind_Refugees]]+Locations[[#This Row],[Ind_IDPs]]</f>
        <v>138</v>
      </c>
    </row>
    <row r="808" spans="1:19" s="388" customFormat="1" x14ac:dyDescent="0.3">
      <c r="A808" s="5" t="s">
        <v>533</v>
      </c>
      <c r="B808" s="1430" t="s">
        <v>3449</v>
      </c>
      <c r="C808" s="1090" t="s">
        <v>534</v>
      </c>
      <c r="D808" s="5" t="s">
        <v>31</v>
      </c>
      <c r="E808" s="5" t="s">
        <v>31</v>
      </c>
      <c r="F808" s="5" t="s">
        <v>549</v>
      </c>
      <c r="G808" s="5" t="s">
        <v>171</v>
      </c>
      <c r="H808" s="5" t="s">
        <v>171</v>
      </c>
      <c r="I808" s="5" t="s">
        <v>634</v>
      </c>
      <c r="J808" t="s">
        <v>2954</v>
      </c>
      <c r="K808" s="5" t="s">
        <v>1783</v>
      </c>
      <c r="L808" s="5"/>
      <c r="M808" s="387">
        <v>0</v>
      </c>
      <c r="N808" s="387">
        <v>0</v>
      </c>
      <c r="O808" s="387">
        <v>0</v>
      </c>
      <c r="P808" s="387">
        <v>0</v>
      </c>
      <c r="Q808" s="387">
        <v>0</v>
      </c>
      <c r="R808" s="387">
        <v>0</v>
      </c>
      <c r="S808" s="1174">
        <f>Locations[[#This Row],[Ind_Returnees]]+Locations[[#This Row],[Ind_Refugees]]+Locations[[#This Row],[Ind_IDPs]]</f>
        <v>0</v>
      </c>
    </row>
    <row r="809" spans="1:19" s="388" customFormat="1" x14ac:dyDescent="0.3">
      <c r="A809" s="5" t="s">
        <v>533</v>
      </c>
      <c r="B809" s="1430" t="s">
        <v>3449</v>
      </c>
      <c r="C809" s="1090" t="s">
        <v>534</v>
      </c>
      <c r="D809" s="5" t="s">
        <v>32</v>
      </c>
      <c r="E809" s="5" t="s">
        <v>32</v>
      </c>
      <c r="F809" s="5" t="s">
        <v>542</v>
      </c>
      <c r="G809" s="5" t="s">
        <v>178</v>
      </c>
      <c r="H809" s="5" t="s">
        <v>178</v>
      </c>
      <c r="I809" s="5" t="s">
        <v>543</v>
      </c>
      <c r="J809" t="s">
        <v>3220</v>
      </c>
      <c r="K809" s="5" t="s">
        <v>2789</v>
      </c>
      <c r="L809" s="5"/>
      <c r="M809" s="387">
        <v>0</v>
      </c>
      <c r="N809" s="387">
        <v>0</v>
      </c>
      <c r="O809" s="387">
        <v>0</v>
      </c>
      <c r="P809" s="387">
        <v>0</v>
      </c>
      <c r="Q809" s="387">
        <v>160</v>
      </c>
      <c r="R809" s="387">
        <v>1500</v>
      </c>
      <c r="S809" s="1174">
        <f>Locations[[#This Row],[Ind_Returnees]]+Locations[[#This Row],[Ind_Refugees]]+Locations[[#This Row],[Ind_IDPs]]</f>
        <v>1500</v>
      </c>
    </row>
    <row r="810" spans="1:19" s="388" customFormat="1" x14ac:dyDescent="0.3">
      <c r="A810" s="5" t="s">
        <v>533</v>
      </c>
      <c r="B810" s="1430" t="s">
        <v>3449</v>
      </c>
      <c r="C810" s="1090" t="s">
        <v>534</v>
      </c>
      <c r="D810" s="5" t="s">
        <v>34</v>
      </c>
      <c r="E810" s="5" t="s">
        <v>34</v>
      </c>
      <c r="F810" s="5" t="s">
        <v>539</v>
      </c>
      <c r="G810" s="5" t="s">
        <v>188</v>
      </c>
      <c r="H810" s="5" t="s">
        <v>188</v>
      </c>
      <c r="I810" s="5" t="s">
        <v>546</v>
      </c>
      <c r="J810" t="s">
        <v>1486</v>
      </c>
      <c r="K810" s="5" t="s">
        <v>1184</v>
      </c>
      <c r="L810" s="5"/>
      <c r="M810" s="387">
        <v>920</v>
      </c>
      <c r="N810" s="387">
        <v>11394</v>
      </c>
      <c r="O810" s="387">
        <v>0</v>
      </c>
      <c r="P810" s="387">
        <v>0</v>
      </c>
      <c r="Q810" s="387">
        <v>0</v>
      </c>
      <c r="R810" s="387">
        <v>0</v>
      </c>
      <c r="S810" s="1174">
        <f>Locations[[#This Row],[Ind_Returnees]]+Locations[[#This Row],[Ind_Refugees]]+Locations[[#This Row],[Ind_IDPs]]</f>
        <v>11394</v>
      </c>
    </row>
    <row r="811" spans="1:19" s="388" customFormat="1" x14ac:dyDescent="0.3">
      <c r="A811" s="5" t="s">
        <v>533</v>
      </c>
      <c r="B811" s="1430" t="s">
        <v>3449</v>
      </c>
      <c r="C811" s="398" t="s">
        <v>534</v>
      </c>
      <c r="D811" s="5" t="s">
        <v>33</v>
      </c>
      <c r="E811" s="5" t="s">
        <v>33</v>
      </c>
      <c r="F811" s="5" t="s">
        <v>561</v>
      </c>
      <c r="G811" s="5" t="s">
        <v>182</v>
      </c>
      <c r="H811" s="5" t="s">
        <v>182</v>
      </c>
      <c r="I811" s="5" t="s">
        <v>647</v>
      </c>
      <c r="J811" t="s">
        <v>2288</v>
      </c>
      <c r="K811" s="5" t="s">
        <v>2289</v>
      </c>
      <c r="L811" s="5"/>
      <c r="M811" s="387">
        <v>0</v>
      </c>
      <c r="N811" s="387">
        <v>0</v>
      </c>
      <c r="O811" s="387">
        <v>0</v>
      </c>
      <c r="P811" s="387">
        <v>0</v>
      </c>
      <c r="Q811" s="387">
        <v>1</v>
      </c>
      <c r="R811" s="387">
        <v>6</v>
      </c>
      <c r="S811" s="1174">
        <f>Locations[[#This Row],[Ind_Returnees]]+Locations[[#This Row],[Ind_Refugees]]+Locations[[#This Row],[Ind_IDPs]]</f>
        <v>6</v>
      </c>
    </row>
    <row r="812" spans="1:19" s="388" customFormat="1" x14ac:dyDescent="0.3">
      <c r="A812" s="5" t="s">
        <v>533</v>
      </c>
      <c r="B812" s="1430" t="s">
        <v>3449</v>
      </c>
      <c r="C812" s="398" t="s">
        <v>534</v>
      </c>
      <c r="D812" s="5" t="s">
        <v>35</v>
      </c>
      <c r="E812" s="5" t="s">
        <v>35</v>
      </c>
      <c r="F812" s="5" t="s">
        <v>567</v>
      </c>
      <c r="G812" s="5" t="s">
        <v>195</v>
      </c>
      <c r="H812" s="5" t="s">
        <v>195</v>
      </c>
      <c r="I812" s="5" t="s">
        <v>733</v>
      </c>
      <c r="J812" t="s">
        <v>2003</v>
      </c>
      <c r="K812" s="5" t="s">
        <v>3221</v>
      </c>
      <c r="L812" s="5"/>
      <c r="M812" s="387">
        <v>20</v>
      </c>
      <c r="N812" s="387">
        <v>119</v>
      </c>
      <c r="O812" s="387">
        <v>0</v>
      </c>
      <c r="P812" s="387">
        <v>0</v>
      </c>
      <c r="Q812" s="387">
        <v>0</v>
      </c>
      <c r="R812" s="387">
        <v>0</v>
      </c>
      <c r="S812" s="1174">
        <f>Locations[[#This Row],[Ind_Returnees]]+Locations[[#This Row],[Ind_Refugees]]+Locations[[#This Row],[Ind_IDPs]]</f>
        <v>119</v>
      </c>
    </row>
    <row r="813" spans="1:19" s="388" customFormat="1" x14ac:dyDescent="0.3">
      <c r="A813" s="5" t="s">
        <v>533</v>
      </c>
      <c r="B813" s="1430" t="s">
        <v>3449</v>
      </c>
      <c r="C813" s="1090" t="s">
        <v>534</v>
      </c>
      <c r="D813" s="5" t="s">
        <v>31</v>
      </c>
      <c r="E813" s="5" t="s">
        <v>31</v>
      </c>
      <c r="F813" s="5" t="s">
        <v>549</v>
      </c>
      <c r="G813" s="5" t="s">
        <v>171</v>
      </c>
      <c r="H813" s="5" t="s">
        <v>171</v>
      </c>
      <c r="I813" s="5" t="s">
        <v>634</v>
      </c>
      <c r="J813" t="s">
        <v>1099</v>
      </c>
      <c r="K813" s="5" t="s">
        <v>1985</v>
      </c>
      <c r="L813" s="5"/>
      <c r="M813" s="387">
        <v>55</v>
      </c>
      <c r="N813" s="387">
        <v>233</v>
      </c>
      <c r="O813" s="387">
        <v>0</v>
      </c>
      <c r="P813" s="387">
        <v>0</v>
      </c>
      <c r="Q813" s="387">
        <v>0</v>
      </c>
      <c r="R813" s="387">
        <v>0</v>
      </c>
      <c r="S813" s="1174">
        <f>Locations[[#This Row],[Ind_Returnees]]+Locations[[#This Row],[Ind_Refugees]]+Locations[[#This Row],[Ind_IDPs]]</f>
        <v>233</v>
      </c>
    </row>
    <row r="814" spans="1:19" s="388" customFormat="1" x14ac:dyDescent="0.3">
      <c r="A814" s="5" t="s">
        <v>533</v>
      </c>
      <c r="B814" s="1430" t="s">
        <v>3449</v>
      </c>
      <c r="C814" s="398" t="s">
        <v>534</v>
      </c>
      <c r="D814" s="5" t="s">
        <v>32</v>
      </c>
      <c r="E814" s="5" t="s">
        <v>32</v>
      </c>
      <c r="F814" s="5" t="s">
        <v>542</v>
      </c>
      <c r="G814" s="5" t="s">
        <v>177</v>
      </c>
      <c r="H814" s="5" t="s">
        <v>177</v>
      </c>
      <c r="I814" s="5" t="s">
        <v>777</v>
      </c>
      <c r="J814" t="s">
        <v>1649</v>
      </c>
      <c r="K814" s="5" t="s">
        <v>2285</v>
      </c>
      <c r="L814" s="5"/>
      <c r="M814" s="387">
        <v>0</v>
      </c>
      <c r="N814" s="387">
        <v>0</v>
      </c>
      <c r="O814" s="387">
        <v>0</v>
      </c>
      <c r="P814" s="387">
        <v>0</v>
      </c>
      <c r="Q814" s="387">
        <v>122</v>
      </c>
      <c r="R814" s="387">
        <v>642</v>
      </c>
      <c r="S814" s="1174">
        <f>Locations[[#This Row],[Ind_Returnees]]+Locations[[#This Row],[Ind_Refugees]]+Locations[[#This Row],[Ind_IDPs]]</f>
        <v>642</v>
      </c>
    </row>
    <row r="815" spans="1:19" s="388" customFormat="1" x14ac:dyDescent="0.3">
      <c r="A815" s="5" t="s">
        <v>533</v>
      </c>
      <c r="B815" s="1430" t="s">
        <v>3449</v>
      </c>
      <c r="C815" s="398" t="s">
        <v>534</v>
      </c>
      <c r="D815" s="5" t="s">
        <v>31</v>
      </c>
      <c r="E815" s="5" t="s">
        <v>31</v>
      </c>
      <c r="F815" s="5" t="s">
        <v>549</v>
      </c>
      <c r="G815" s="5" t="s">
        <v>171</v>
      </c>
      <c r="H815" s="5" t="s">
        <v>171</v>
      </c>
      <c r="I815" s="5" t="s">
        <v>634</v>
      </c>
      <c r="J815" t="s">
        <v>1218</v>
      </c>
      <c r="K815" s="5" t="s">
        <v>1344</v>
      </c>
      <c r="L815" s="5"/>
      <c r="M815" s="387">
        <v>14</v>
      </c>
      <c r="N815" s="387">
        <v>94</v>
      </c>
      <c r="O815" s="387">
        <v>16</v>
      </c>
      <c r="P815" s="387">
        <v>94</v>
      </c>
      <c r="Q815" s="387">
        <v>0</v>
      </c>
      <c r="R815" s="387">
        <v>0</v>
      </c>
      <c r="S815" s="1174">
        <f>Locations[[#This Row],[Ind_Returnees]]+Locations[[#This Row],[Ind_Refugees]]+Locations[[#This Row],[Ind_IDPs]]</f>
        <v>188</v>
      </c>
    </row>
    <row r="816" spans="1:19" s="388" customFormat="1" x14ac:dyDescent="0.3">
      <c r="A816" s="5" t="s">
        <v>533</v>
      </c>
      <c r="B816" s="1430" t="s">
        <v>3449</v>
      </c>
      <c r="C816" s="398" t="s">
        <v>534</v>
      </c>
      <c r="D816" s="5" t="s">
        <v>33</v>
      </c>
      <c r="E816" s="5" t="s">
        <v>33</v>
      </c>
      <c r="F816" s="5" t="s">
        <v>561</v>
      </c>
      <c r="G816" s="5" t="s">
        <v>185</v>
      </c>
      <c r="H816" s="5" t="s">
        <v>185</v>
      </c>
      <c r="I816" s="5" t="s">
        <v>656</v>
      </c>
      <c r="J816" t="s">
        <v>1274</v>
      </c>
      <c r="K816" s="5" t="s">
        <v>1275</v>
      </c>
      <c r="L816" s="5"/>
      <c r="M816" s="387">
        <v>0</v>
      </c>
      <c r="N816" s="387">
        <v>0</v>
      </c>
      <c r="O816" s="387">
        <v>0</v>
      </c>
      <c r="P816" s="387">
        <v>0</v>
      </c>
      <c r="Q816" s="387">
        <v>0</v>
      </c>
      <c r="R816" s="387">
        <v>0</v>
      </c>
      <c r="S816" s="1174">
        <f>Locations[[#This Row],[Ind_Returnees]]+Locations[[#This Row],[Ind_Refugees]]+Locations[[#This Row],[Ind_IDPs]]</f>
        <v>0</v>
      </c>
    </row>
    <row r="817" spans="1:19" s="388" customFormat="1" x14ac:dyDescent="0.3">
      <c r="A817" s="5" t="s">
        <v>533</v>
      </c>
      <c r="B817" s="1430" t="s">
        <v>3449</v>
      </c>
      <c r="C817" s="1090" t="s">
        <v>534</v>
      </c>
      <c r="D817" s="5" t="s">
        <v>31</v>
      </c>
      <c r="E817" s="5" t="s">
        <v>31</v>
      </c>
      <c r="F817" s="5" t="s">
        <v>549</v>
      </c>
      <c r="G817" s="5" t="s">
        <v>172</v>
      </c>
      <c r="H817" s="5" t="s">
        <v>172</v>
      </c>
      <c r="I817" s="5" t="s">
        <v>706</v>
      </c>
      <c r="J817" t="s">
        <v>2957</v>
      </c>
      <c r="K817" s="5" t="s">
        <v>1909</v>
      </c>
      <c r="L817" s="5"/>
      <c r="M817" s="387">
        <v>8</v>
      </c>
      <c r="N817" s="387">
        <v>64</v>
      </c>
      <c r="O817" s="387">
        <v>0</v>
      </c>
      <c r="P817" s="387">
        <v>0</v>
      </c>
      <c r="Q817" s="387">
        <v>44</v>
      </c>
      <c r="R817" s="387">
        <v>266</v>
      </c>
      <c r="S817" s="1174">
        <f>Locations[[#This Row],[Ind_Returnees]]+Locations[[#This Row],[Ind_Refugees]]+Locations[[#This Row],[Ind_IDPs]]</f>
        <v>330</v>
      </c>
    </row>
    <row r="818" spans="1:19" s="388" customFormat="1" x14ac:dyDescent="0.3">
      <c r="A818" s="5" t="s">
        <v>533</v>
      </c>
      <c r="B818" s="1430" t="s">
        <v>3449</v>
      </c>
      <c r="C818" s="398" t="s">
        <v>534</v>
      </c>
      <c r="D818" s="5" t="s">
        <v>31</v>
      </c>
      <c r="E818" s="5" t="s">
        <v>31</v>
      </c>
      <c r="F818" s="5" t="s">
        <v>549</v>
      </c>
      <c r="G818" s="5" t="s">
        <v>167</v>
      </c>
      <c r="H818" s="5" t="s">
        <v>167</v>
      </c>
      <c r="I818" s="5" t="s">
        <v>1113</v>
      </c>
      <c r="J818" t="s">
        <v>2958</v>
      </c>
      <c r="K818" s="5" t="s">
        <v>1945</v>
      </c>
      <c r="L818" s="5"/>
      <c r="M818" s="387">
        <v>0</v>
      </c>
      <c r="N818" s="387">
        <v>0</v>
      </c>
      <c r="O818" s="387">
        <v>4</v>
      </c>
      <c r="P818" s="387">
        <v>23</v>
      </c>
      <c r="Q818" s="387">
        <v>0</v>
      </c>
      <c r="R818" s="387">
        <v>0</v>
      </c>
      <c r="S818" s="1174">
        <f>Locations[[#This Row],[Ind_Returnees]]+Locations[[#This Row],[Ind_Refugees]]+Locations[[#This Row],[Ind_IDPs]]</f>
        <v>23</v>
      </c>
    </row>
    <row r="819" spans="1:19" s="388" customFormat="1" x14ac:dyDescent="0.3">
      <c r="A819" s="5" t="s">
        <v>533</v>
      </c>
      <c r="B819" s="1430" t="s">
        <v>3449</v>
      </c>
      <c r="C819" s="398" t="s">
        <v>534</v>
      </c>
      <c r="D819" s="5" t="s">
        <v>31</v>
      </c>
      <c r="E819" s="5" t="s">
        <v>31</v>
      </c>
      <c r="F819" s="5" t="s">
        <v>549</v>
      </c>
      <c r="G819" s="5" t="s">
        <v>169</v>
      </c>
      <c r="H819" s="5" t="s">
        <v>169</v>
      </c>
      <c r="I819" s="5" t="s">
        <v>673</v>
      </c>
      <c r="J819" t="s">
        <v>2998</v>
      </c>
      <c r="K819" s="5" t="s">
        <v>2339</v>
      </c>
      <c r="L819" s="5"/>
      <c r="M819" s="387">
        <v>0</v>
      </c>
      <c r="N819" s="387">
        <v>0</v>
      </c>
      <c r="O819" s="387">
        <v>0</v>
      </c>
      <c r="P819" s="387">
        <v>0</v>
      </c>
      <c r="Q819" s="387">
        <v>126</v>
      </c>
      <c r="R819" s="387">
        <v>402</v>
      </c>
      <c r="S819" s="1174">
        <f>Locations[[#This Row],[Ind_Returnees]]+Locations[[#This Row],[Ind_Refugees]]+Locations[[#This Row],[Ind_IDPs]]</f>
        <v>402</v>
      </c>
    </row>
    <row r="820" spans="1:19" s="388" customFormat="1" x14ac:dyDescent="0.3">
      <c r="A820" s="5" t="s">
        <v>533</v>
      </c>
      <c r="B820" s="1430" t="s">
        <v>3449</v>
      </c>
      <c r="C820" s="1090" t="s">
        <v>534</v>
      </c>
      <c r="D820" s="5" t="s">
        <v>31</v>
      </c>
      <c r="E820" s="5" t="s">
        <v>31</v>
      </c>
      <c r="F820" s="5" t="s">
        <v>549</v>
      </c>
      <c r="G820" s="5" t="s">
        <v>171</v>
      </c>
      <c r="H820" s="5" t="s">
        <v>171</v>
      </c>
      <c r="I820" s="5" t="s">
        <v>634</v>
      </c>
      <c r="J820" t="s">
        <v>905</v>
      </c>
      <c r="K820" s="5" t="s">
        <v>2609</v>
      </c>
      <c r="L820" s="5"/>
      <c r="M820" s="387">
        <v>0</v>
      </c>
      <c r="N820" s="387">
        <v>0</v>
      </c>
      <c r="O820" s="387">
        <v>0</v>
      </c>
      <c r="P820" s="387">
        <v>0</v>
      </c>
      <c r="Q820" s="387">
        <v>0</v>
      </c>
      <c r="R820" s="387">
        <v>0</v>
      </c>
      <c r="S820" s="1174">
        <f>Locations[[#This Row],[Ind_Returnees]]+Locations[[#This Row],[Ind_Refugees]]+Locations[[#This Row],[Ind_IDPs]]</f>
        <v>0</v>
      </c>
    </row>
    <row r="821" spans="1:19" s="388" customFormat="1" x14ac:dyDescent="0.3">
      <c r="A821" s="5" t="s">
        <v>533</v>
      </c>
      <c r="B821" s="1430" t="s">
        <v>3449</v>
      </c>
      <c r="C821" s="398" t="s">
        <v>534</v>
      </c>
      <c r="D821" s="5" t="s">
        <v>31</v>
      </c>
      <c r="E821" s="5" t="s">
        <v>31</v>
      </c>
      <c r="F821" s="5" t="s">
        <v>549</v>
      </c>
      <c r="G821" s="5" t="s">
        <v>167</v>
      </c>
      <c r="H821" s="5" t="s">
        <v>167</v>
      </c>
      <c r="I821" s="5" t="s">
        <v>1113</v>
      </c>
      <c r="J821" t="s">
        <v>1929</v>
      </c>
      <c r="K821" s="5" t="s">
        <v>2529</v>
      </c>
      <c r="L821" s="5"/>
      <c r="M821" s="387">
        <v>6</v>
      </c>
      <c r="N821" s="387">
        <v>30</v>
      </c>
      <c r="O821" s="387">
        <v>1</v>
      </c>
      <c r="P821" s="387">
        <v>4</v>
      </c>
      <c r="Q821" s="387">
        <v>0</v>
      </c>
      <c r="R821" s="387">
        <v>0</v>
      </c>
      <c r="S821" s="1174">
        <f>Locations[[#This Row],[Ind_Returnees]]+Locations[[#This Row],[Ind_Refugees]]+Locations[[#This Row],[Ind_IDPs]]</f>
        <v>34</v>
      </c>
    </row>
    <row r="822" spans="1:19" s="388" customFormat="1" x14ac:dyDescent="0.3">
      <c r="A822" s="5" t="s">
        <v>533</v>
      </c>
      <c r="B822" s="1430" t="s">
        <v>3449</v>
      </c>
      <c r="C822" s="398" t="s">
        <v>534</v>
      </c>
      <c r="D822" s="5" t="s">
        <v>31</v>
      </c>
      <c r="E822" s="5" t="s">
        <v>31</v>
      </c>
      <c r="F822" s="5" t="s">
        <v>549</v>
      </c>
      <c r="G822" s="5" t="s">
        <v>171</v>
      </c>
      <c r="H822" s="5" t="s">
        <v>171</v>
      </c>
      <c r="I822" s="5" t="s">
        <v>634</v>
      </c>
      <c r="J822" t="s">
        <v>1782</v>
      </c>
      <c r="K822" s="5" t="s">
        <v>1965</v>
      </c>
      <c r="L822" s="5"/>
      <c r="M822" s="387">
        <v>1</v>
      </c>
      <c r="N822" s="387">
        <v>4</v>
      </c>
      <c r="O822" s="387">
        <v>0</v>
      </c>
      <c r="P822" s="387">
        <v>0</v>
      </c>
      <c r="Q822" s="387">
        <v>0</v>
      </c>
      <c r="R822" s="387">
        <v>0</v>
      </c>
      <c r="S822" s="1174">
        <f>Locations[[#This Row],[Ind_Returnees]]+Locations[[#This Row],[Ind_Refugees]]+Locations[[#This Row],[Ind_IDPs]]</f>
        <v>4</v>
      </c>
    </row>
    <row r="823" spans="1:19" s="388" customFormat="1" x14ac:dyDescent="0.3">
      <c r="A823" s="5" t="s">
        <v>533</v>
      </c>
      <c r="B823" s="1430" t="s">
        <v>3449</v>
      </c>
      <c r="C823" s="398" t="s">
        <v>534</v>
      </c>
      <c r="D823" s="5" t="s">
        <v>32</v>
      </c>
      <c r="E823" s="5" t="s">
        <v>32</v>
      </c>
      <c r="F823" s="5" t="s">
        <v>542</v>
      </c>
      <c r="G823" s="5" t="s">
        <v>178</v>
      </c>
      <c r="H823" s="5" t="s">
        <v>178</v>
      </c>
      <c r="I823" s="5" t="s">
        <v>543</v>
      </c>
      <c r="J823" t="s">
        <v>2578</v>
      </c>
      <c r="K823" s="5" t="s">
        <v>2579</v>
      </c>
      <c r="L823" s="5"/>
      <c r="M823" s="387">
        <v>0</v>
      </c>
      <c r="N823" s="387">
        <v>0</v>
      </c>
      <c r="O823" s="387">
        <v>0</v>
      </c>
      <c r="P823" s="387">
        <v>0</v>
      </c>
      <c r="Q823" s="387">
        <v>0</v>
      </c>
      <c r="R823" s="387">
        <v>0</v>
      </c>
      <c r="S823" s="1174">
        <f>Locations[[#This Row],[Ind_Returnees]]+Locations[[#This Row],[Ind_Refugees]]+Locations[[#This Row],[Ind_IDPs]]</f>
        <v>0</v>
      </c>
    </row>
    <row r="824" spans="1:19" s="388" customFormat="1" x14ac:dyDescent="0.3">
      <c r="A824" s="5" t="s">
        <v>533</v>
      </c>
      <c r="B824" s="1430" t="s">
        <v>3449</v>
      </c>
      <c r="C824" s="398" t="s">
        <v>534</v>
      </c>
      <c r="D824" s="5" t="s">
        <v>31</v>
      </c>
      <c r="E824" s="5" t="s">
        <v>31</v>
      </c>
      <c r="F824" s="5" t="s">
        <v>549</v>
      </c>
      <c r="G824" s="5" t="s">
        <v>166</v>
      </c>
      <c r="H824" s="5" t="s">
        <v>166</v>
      </c>
      <c r="I824" s="5" t="s">
        <v>844</v>
      </c>
      <c r="J824" t="s">
        <v>2960</v>
      </c>
      <c r="K824" s="5" t="s">
        <v>2523</v>
      </c>
      <c r="L824" s="5"/>
      <c r="M824" s="387">
        <v>0</v>
      </c>
      <c r="N824" s="387">
        <v>0</v>
      </c>
      <c r="O824" s="387">
        <v>0</v>
      </c>
      <c r="P824" s="387">
        <v>0</v>
      </c>
      <c r="Q824" s="387">
        <v>0</v>
      </c>
      <c r="R824" s="387">
        <v>0</v>
      </c>
      <c r="S824" s="1174">
        <f>Locations[[#This Row],[Ind_Returnees]]+Locations[[#This Row],[Ind_Refugees]]+Locations[[#This Row],[Ind_IDPs]]</f>
        <v>0</v>
      </c>
    </row>
    <row r="825" spans="1:19" s="388" customFormat="1" x14ac:dyDescent="0.3">
      <c r="A825" s="5" t="s">
        <v>533</v>
      </c>
      <c r="B825" s="1430" t="s">
        <v>3449</v>
      </c>
      <c r="C825" s="1090" t="s">
        <v>534</v>
      </c>
      <c r="D825" s="5" t="s">
        <v>31</v>
      </c>
      <c r="E825" s="5" t="s">
        <v>31</v>
      </c>
      <c r="F825" s="5" t="s">
        <v>549</v>
      </c>
      <c r="G825" s="5" t="s">
        <v>171</v>
      </c>
      <c r="H825" s="5" t="s">
        <v>171</v>
      </c>
      <c r="I825" s="5" t="s">
        <v>634</v>
      </c>
      <c r="J825" t="s">
        <v>1246</v>
      </c>
      <c r="K825" s="5" t="s">
        <v>894</v>
      </c>
      <c r="L825" s="5"/>
      <c r="M825" s="387">
        <v>6</v>
      </c>
      <c r="N825" s="387">
        <v>51</v>
      </c>
      <c r="O825" s="387">
        <v>0</v>
      </c>
      <c r="P825" s="387">
        <v>0</v>
      </c>
      <c r="Q825" s="387">
        <v>0</v>
      </c>
      <c r="R825" s="387">
        <v>0</v>
      </c>
      <c r="S825" s="1174">
        <f>Locations[[#This Row],[Ind_Returnees]]+Locations[[#This Row],[Ind_Refugees]]+Locations[[#This Row],[Ind_IDPs]]</f>
        <v>51</v>
      </c>
    </row>
    <row r="826" spans="1:19" s="388" customFormat="1" x14ac:dyDescent="0.3">
      <c r="A826" s="5" t="s">
        <v>533</v>
      </c>
      <c r="B826" s="1430" t="s">
        <v>3449</v>
      </c>
      <c r="C826" s="1090" t="s">
        <v>534</v>
      </c>
      <c r="D826" s="5" t="s">
        <v>33</v>
      </c>
      <c r="E826" s="5" t="s">
        <v>33</v>
      </c>
      <c r="F826" s="5" t="s">
        <v>561</v>
      </c>
      <c r="G826" s="5" t="s">
        <v>184</v>
      </c>
      <c r="H826" s="5" t="s">
        <v>184</v>
      </c>
      <c r="I826" s="5" t="s">
        <v>2225</v>
      </c>
      <c r="J826" t="s">
        <v>2961</v>
      </c>
      <c r="K826" s="5" t="s">
        <v>2226</v>
      </c>
      <c r="L826" s="5"/>
      <c r="M826" s="387">
        <v>11</v>
      </c>
      <c r="N826" s="387">
        <v>48</v>
      </c>
      <c r="O826" s="387">
        <v>0</v>
      </c>
      <c r="P826" s="387">
        <v>0</v>
      </c>
      <c r="Q826" s="387">
        <v>0</v>
      </c>
      <c r="R826" s="387">
        <v>0</v>
      </c>
      <c r="S826" s="1174">
        <f>Locations[[#This Row],[Ind_Returnees]]+Locations[[#This Row],[Ind_Refugees]]+Locations[[#This Row],[Ind_IDPs]]</f>
        <v>48</v>
      </c>
    </row>
    <row r="827" spans="1:19" s="388" customFormat="1" x14ac:dyDescent="0.3">
      <c r="A827" s="5" t="s">
        <v>533</v>
      </c>
      <c r="B827" s="1430" t="s">
        <v>3449</v>
      </c>
      <c r="C827" s="398" t="s">
        <v>534</v>
      </c>
      <c r="D827" s="5" t="s">
        <v>31</v>
      </c>
      <c r="E827" s="5" t="s">
        <v>31</v>
      </c>
      <c r="F827" s="5" t="s">
        <v>549</v>
      </c>
      <c r="G827" s="5" t="s">
        <v>171</v>
      </c>
      <c r="H827" s="5" t="s">
        <v>171</v>
      </c>
      <c r="I827" s="5" t="s">
        <v>634</v>
      </c>
      <c r="J827" t="s">
        <v>1394</v>
      </c>
      <c r="K827" s="5" t="s">
        <v>1927</v>
      </c>
      <c r="L827" s="5"/>
      <c r="M827" s="387">
        <v>18</v>
      </c>
      <c r="N827" s="387">
        <v>89</v>
      </c>
      <c r="O827" s="387">
        <v>0</v>
      </c>
      <c r="P827" s="387">
        <v>0</v>
      </c>
      <c r="Q827" s="387">
        <v>0</v>
      </c>
      <c r="R827" s="387">
        <v>0</v>
      </c>
      <c r="S827" s="1174">
        <f>Locations[[#This Row],[Ind_Returnees]]+Locations[[#This Row],[Ind_Refugees]]+Locations[[#This Row],[Ind_IDPs]]</f>
        <v>89</v>
      </c>
    </row>
    <row r="828" spans="1:19" s="388" customFormat="1" x14ac:dyDescent="0.3">
      <c r="A828" s="5" t="s">
        <v>533</v>
      </c>
      <c r="B828" s="1430" t="s">
        <v>3449</v>
      </c>
      <c r="C828" s="1090" t="s">
        <v>534</v>
      </c>
      <c r="D828" s="5" t="s">
        <v>31</v>
      </c>
      <c r="E828" s="5" t="s">
        <v>31</v>
      </c>
      <c r="F828" s="5" t="s">
        <v>549</v>
      </c>
      <c r="G828" s="5" t="s">
        <v>169</v>
      </c>
      <c r="H828" s="5" t="s">
        <v>169</v>
      </c>
      <c r="I828" s="5" t="s">
        <v>673</v>
      </c>
      <c r="J828" t="s">
        <v>3222</v>
      </c>
      <c r="K828" s="5" t="s">
        <v>3067</v>
      </c>
      <c r="L828" s="5"/>
      <c r="M828" s="387">
        <v>0</v>
      </c>
      <c r="N828" s="387">
        <v>0</v>
      </c>
      <c r="O828" s="387">
        <v>0</v>
      </c>
      <c r="P828" s="387">
        <v>0</v>
      </c>
      <c r="Q828" s="387">
        <v>35</v>
      </c>
      <c r="R828" s="387">
        <v>360</v>
      </c>
      <c r="S828" s="1174">
        <f>Locations[[#This Row],[Ind_Returnees]]+Locations[[#This Row],[Ind_Refugees]]+Locations[[#This Row],[Ind_IDPs]]</f>
        <v>360</v>
      </c>
    </row>
    <row r="829" spans="1:19" s="388" customFormat="1" x14ac:dyDescent="0.3">
      <c r="A829" s="5" t="s">
        <v>533</v>
      </c>
      <c r="B829" s="1430" t="s">
        <v>3449</v>
      </c>
      <c r="C829" s="398" t="s">
        <v>534</v>
      </c>
      <c r="D829" s="5" t="s">
        <v>31</v>
      </c>
      <c r="E829" s="5" t="s">
        <v>31</v>
      </c>
      <c r="F829" s="5" t="s">
        <v>549</v>
      </c>
      <c r="G829" s="5" t="s">
        <v>171</v>
      </c>
      <c r="H829" s="5" t="s">
        <v>171</v>
      </c>
      <c r="I829" s="5" t="s">
        <v>634</v>
      </c>
      <c r="J829" t="s">
        <v>1802</v>
      </c>
      <c r="K829" s="5" t="s">
        <v>1027</v>
      </c>
      <c r="L829" s="5"/>
      <c r="M829" s="387">
        <v>15</v>
      </c>
      <c r="N829" s="387">
        <v>98</v>
      </c>
      <c r="O829" s="387">
        <v>0</v>
      </c>
      <c r="P829" s="387">
        <v>0</v>
      </c>
      <c r="Q829" s="387">
        <v>0</v>
      </c>
      <c r="R829" s="387">
        <v>0</v>
      </c>
      <c r="S829" s="1174">
        <f>Locations[[#This Row],[Ind_Returnees]]+Locations[[#This Row],[Ind_Refugees]]+Locations[[#This Row],[Ind_IDPs]]</f>
        <v>98</v>
      </c>
    </row>
    <row r="830" spans="1:19" s="388" customFormat="1" x14ac:dyDescent="0.3">
      <c r="A830" s="5" t="s">
        <v>533</v>
      </c>
      <c r="B830" s="1430" t="s">
        <v>3449</v>
      </c>
      <c r="C830" s="1090" t="s">
        <v>534</v>
      </c>
      <c r="D830" s="5" t="s">
        <v>30</v>
      </c>
      <c r="E830" s="5" t="s">
        <v>3522</v>
      </c>
      <c r="F830" s="5" t="s">
        <v>535</v>
      </c>
      <c r="G830" s="5" t="s">
        <v>160</v>
      </c>
      <c r="H830" s="5" t="s">
        <v>3528</v>
      </c>
      <c r="I830" s="5" t="s">
        <v>555</v>
      </c>
      <c r="J830" t="s">
        <v>689</v>
      </c>
      <c r="K830" s="5" t="s">
        <v>596</v>
      </c>
      <c r="L830" s="5"/>
      <c r="M830" s="387">
        <v>21</v>
      </c>
      <c r="N830" s="387">
        <v>136</v>
      </c>
      <c r="O830" s="387">
        <v>0</v>
      </c>
      <c r="P830" s="387">
        <v>0</v>
      </c>
      <c r="Q830" s="387">
        <v>0</v>
      </c>
      <c r="R830" s="387">
        <v>0</v>
      </c>
      <c r="S830" s="1174">
        <f>Locations[[#This Row],[Ind_Returnees]]+Locations[[#This Row],[Ind_Refugees]]+Locations[[#This Row],[Ind_IDPs]]</f>
        <v>136</v>
      </c>
    </row>
    <row r="831" spans="1:19" s="388" customFormat="1" x14ac:dyDescent="0.3">
      <c r="A831" s="5" t="s">
        <v>533</v>
      </c>
      <c r="B831" s="1430" t="s">
        <v>3449</v>
      </c>
      <c r="C831" s="1090" t="s">
        <v>534</v>
      </c>
      <c r="D831" s="5" t="s">
        <v>35</v>
      </c>
      <c r="E831" s="5" t="s">
        <v>35</v>
      </c>
      <c r="F831" s="5" t="s">
        <v>567</v>
      </c>
      <c r="G831" s="5" t="s">
        <v>195</v>
      </c>
      <c r="H831" s="5" t="s">
        <v>195</v>
      </c>
      <c r="I831" s="5" t="s">
        <v>733</v>
      </c>
      <c r="J831" t="s">
        <v>839</v>
      </c>
      <c r="K831" s="5" t="s">
        <v>2649</v>
      </c>
      <c r="L831" s="5"/>
      <c r="M831" s="387">
        <v>0</v>
      </c>
      <c r="N831" s="387">
        <v>0</v>
      </c>
      <c r="O831" s="387">
        <v>0</v>
      </c>
      <c r="P831" s="387">
        <v>0</v>
      </c>
      <c r="Q831" s="387">
        <v>0</v>
      </c>
      <c r="R831" s="387">
        <v>0</v>
      </c>
      <c r="S831" s="1174">
        <f>Locations[[#This Row],[Ind_Returnees]]+Locations[[#This Row],[Ind_Refugees]]+Locations[[#This Row],[Ind_IDPs]]</f>
        <v>0</v>
      </c>
    </row>
    <row r="832" spans="1:19" s="388" customFormat="1" x14ac:dyDescent="0.3">
      <c r="A832" s="5" t="s">
        <v>533</v>
      </c>
      <c r="B832" s="1430" t="s">
        <v>3449</v>
      </c>
      <c r="C832" s="398" t="s">
        <v>534</v>
      </c>
      <c r="D832" s="5" t="s">
        <v>31</v>
      </c>
      <c r="E832" s="5" t="s">
        <v>31</v>
      </c>
      <c r="F832" s="5" t="s">
        <v>549</v>
      </c>
      <c r="G832" s="5" t="s">
        <v>172</v>
      </c>
      <c r="H832" s="5" t="s">
        <v>172</v>
      </c>
      <c r="I832" s="5" t="s">
        <v>706</v>
      </c>
      <c r="J832" t="s">
        <v>2161</v>
      </c>
      <c r="K832" s="5" t="s">
        <v>2706</v>
      </c>
      <c r="L832" s="5"/>
      <c r="M832" s="387">
        <v>0</v>
      </c>
      <c r="N832" s="387">
        <v>0</v>
      </c>
      <c r="O832" s="387">
        <v>0</v>
      </c>
      <c r="P832" s="387">
        <v>0</v>
      </c>
      <c r="Q832" s="387">
        <v>0</v>
      </c>
      <c r="R832" s="387">
        <v>0</v>
      </c>
      <c r="S832" s="1174">
        <f>Locations[[#This Row],[Ind_Returnees]]+Locations[[#This Row],[Ind_Refugees]]+Locations[[#This Row],[Ind_IDPs]]</f>
        <v>0</v>
      </c>
    </row>
    <row r="833" spans="1:19" s="388" customFormat="1" x14ac:dyDescent="0.3">
      <c r="A833" s="5" t="s">
        <v>533</v>
      </c>
      <c r="B833" s="1430" t="s">
        <v>3449</v>
      </c>
      <c r="C833" s="1090" t="s">
        <v>534</v>
      </c>
      <c r="D833" s="5" t="s">
        <v>35</v>
      </c>
      <c r="E833" s="5" t="s">
        <v>35</v>
      </c>
      <c r="F833" s="5" t="s">
        <v>567</v>
      </c>
      <c r="G833" s="5" t="s">
        <v>192</v>
      </c>
      <c r="H833" s="5" t="s">
        <v>192</v>
      </c>
      <c r="I833" s="5" t="s">
        <v>853</v>
      </c>
      <c r="J833" t="s">
        <v>2962</v>
      </c>
      <c r="K833" s="5" t="s">
        <v>1313</v>
      </c>
      <c r="L833" s="5"/>
      <c r="M833" s="387">
        <v>243</v>
      </c>
      <c r="N833" s="387">
        <v>1151</v>
      </c>
      <c r="O833" s="387">
        <v>0</v>
      </c>
      <c r="P833" s="387">
        <v>0</v>
      </c>
      <c r="Q833" s="387">
        <v>16</v>
      </c>
      <c r="R833" s="387">
        <v>87</v>
      </c>
      <c r="S833" s="1174">
        <f>Locations[[#This Row],[Ind_Returnees]]+Locations[[#This Row],[Ind_Refugees]]+Locations[[#This Row],[Ind_IDPs]]</f>
        <v>1238</v>
      </c>
    </row>
    <row r="834" spans="1:19" s="388" customFormat="1" x14ac:dyDescent="0.3">
      <c r="A834" s="5" t="s">
        <v>533</v>
      </c>
      <c r="B834" s="1430" t="s">
        <v>3449</v>
      </c>
      <c r="C834" s="398" t="s">
        <v>534</v>
      </c>
      <c r="D834" s="5" t="s">
        <v>31</v>
      </c>
      <c r="E834" s="5" t="s">
        <v>31</v>
      </c>
      <c r="F834" s="5" t="s">
        <v>549</v>
      </c>
      <c r="G834" s="5" t="s">
        <v>171</v>
      </c>
      <c r="H834" s="5" t="s">
        <v>171</v>
      </c>
      <c r="I834" s="5" t="s">
        <v>634</v>
      </c>
      <c r="J834" t="s">
        <v>877</v>
      </c>
      <c r="K834" s="5" t="s">
        <v>2634</v>
      </c>
      <c r="L834" s="5"/>
      <c r="M834" s="387">
        <v>0</v>
      </c>
      <c r="N834" s="387">
        <v>0</v>
      </c>
      <c r="O834" s="387">
        <v>0</v>
      </c>
      <c r="P834" s="387">
        <v>0</v>
      </c>
      <c r="Q834" s="387">
        <v>0</v>
      </c>
      <c r="R834" s="387">
        <v>0</v>
      </c>
      <c r="S834" s="1174">
        <f>Locations[[#This Row],[Ind_Returnees]]+Locations[[#This Row],[Ind_Refugees]]+Locations[[#This Row],[Ind_IDPs]]</f>
        <v>0</v>
      </c>
    </row>
    <row r="835" spans="1:19" s="388" customFormat="1" x14ac:dyDescent="0.3">
      <c r="A835" s="5" t="s">
        <v>533</v>
      </c>
      <c r="B835" s="1430" t="s">
        <v>3449</v>
      </c>
      <c r="C835" s="398" t="s">
        <v>534</v>
      </c>
      <c r="D835" s="5" t="s">
        <v>35</v>
      </c>
      <c r="E835" s="5" t="s">
        <v>35</v>
      </c>
      <c r="F835" s="5" t="s">
        <v>567</v>
      </c>
      <c r="G835" s="5" t="s">
        <v>194</v>
      </c>
      <c r="H835" s="5" t="s">
        <v>194</v>
      </c>
      <c r="I835" s="5" t="s">
        <v>2150</v>
      </c>
      <c r="J835" t="s">
        <v>2192</v>
      </c>
      <c r="K835" s="5" t="s">
        <v>2193</v>
      </c>
      <c r="L835" s="5"/>
      <c r="M835" s="387">
        <v>0</v>
      </c>
      <c r="N835" s="387">
        <v>0</v>
      </c>
      <c r="O835" s="387">
        <v>13</v>
      </c>
      <c r="P835" s="387">
        <v>144</v>
      </c>
      <c r="Q835" s="387">
        <v>47</v>
      </c>
      <c r="R835" s="387">
        <v>294</v>
      </c>
      <c r="S835" s="1174">
        <f>Locations[[#This Row],[Ind_Returnees]]+Locations[[#This Row],[Ind_Refugees]]+Locations[[#This Row],[Ind_IDPs]]</f>
        <v>438</v>
      </c>
    </row>
    <row r="836" spans="1:19" s="388" customFormat="1" x14ac:dyDescent="0.3">
      <c r="A836" s="5" t="s">
        <v>533</v>
      </c>
      <c r="B836" s="1430" t="s">
        <v>3449</v>
      </c>
      <c r="C836" s="1090" t="s">
        <v>534</v>
      </c>
      <c r="D836" s="5" t="s">
        <v>33</v>
      </c>
      <c r="E836" s="5" t="s">
        <v>33</v>
      </c>
      <c r="F836" s="5" t="s">
        <v>561</v>
      </c>
      <c r="G836" s="5" t="s">
        <v>184</v>
      </c>
      <c r="H836" s="5" t="s">
        <v>184</v>
      </c>
      <c r="I836" s="5" t="s">
        <v>2225</v>
      </c>
      <c r="J836" t="s">
        <v>2963</v>
      </c>
      <c r="K836" s="5" t="s">
        <v>2228</v>
      </c>
      <c r="L836" s="5"/>
      <c r="M836" s="387">
        <v>0</v>
      </c>
      <c r="N836" s="387">
        <v>0</v>
      </c>
      <c r="O836" s="387">
        <v>3</v>
      </c>
      <c r="P836" s="387">
        <v>9</v>
      </c>
      <c r="Q836" s="387">
        <v>3</v>
      </c>
      <c r="R836" s="387">
        <v>6</v>
      </c>
      <c r="S836" s="1174">
        <f>Locations[[#This Row],[Ind_Returnees]]+Locations[[#This Row],[Ind_Refugees]]+Locations[[#This Row],[Ind_IDPs]]</f>
        <v>15</v>
      </c>
    </row>
    <row r="837" spans="1:19" s="388" customFormat="1" x14ac:dyDescent="0.3">
      <c r="A837" s="5" t="s">
        <v>533</v>
      </c>
      <c r="B837" s="1430" t="s">
        <v>3449</v>
      </c>
      <c r="C837" s="1090" t="s">
        <v>534</v>
      </c>
      <c r="D837" s="5" t="s">
        <v>34</v>
      </c>
      <c r="E837" s="5" t="s">
        <v>34</v>
      </c>
      <c r="F837" s="5" t="s">
        <v>539</v>
      </c>
      <c r="G837" s="5" t="s">
        <v>188</v>
      </c>
      <c r="H837" s="5" t="s">
        <v>188</v>
      </c>
      <c r="I837" s="5" t="s">
        <v>546</v>
      </c>
      <c r="J837" t="s">
        <v>1006</v>
      </c>
      <c r="K837" s="5" t="s">
        <v>781</v>
      </c>
      <c r="L837" s="5"/>
      <c r="M837" s="387">
        <v>49</v>
      </c>
      <c r="N837" s="387">
        <v>315</v>
      </c>
      <c r="O837" s="387">
        <v>0</v>
      </c>
      <c r="P837" s="387">
        <v>0</v>
      </c>
      <c r="Q837" s="387">
        <v>0</v>
      </c>
      <c r="R837" s="387">
        <v>0</v>
      </c>
      <c r="S837" s="1174">
        <f>Locations[[#This Row],[Ind_Returnees]]+Locations[[#This Row],[Ind_Refugees]]+Locations[[#This Row],[Ind_IDPs]]</f>
        <v>315</v>
      </c>
    </row>
    <row r="838" spans="1:19" s="388" customFormat="1" x14ac:dyDescent="0.3">
      <c r="A838" s="5" t="s">
        <v>533</v>
      </c>
      <c r="B838" s="1430" t="s">
        <v>3449</v>
      </c>
      <c r="C838" s="1090" t="s">
        <v>534</v>
      </c>
      <c r="D838" s="5" t="s">
        <v>35</v>
      </c>
      <c r="E838" s="5" t="s">
        <v>35</v>
      </c>
      <c r="F838" s="5" t="s">
        <v>567</v>
      </c>
      <c r="G838" s="5" t="s">
        <v>195</v>
      </c>
      <c r="H838" s="5" t="s">
        <v>195</v>
      </c>
      <c r="I838" s="5" t="s">
        <v>733</v>
      </c>
      <c r="J838" t="s">
        <v>1460</v>
      </c>
      <c r="K838" s="5" t="s">
        <v>1795</v>
      </c>
      <c r="L838" s="5"/>
      <c r="M838" s="387">
        <v>51</v>
      </c>
      <c r="N838" s="387">
        <v>270</v>
      </c>
      <c r="O838" s="387">
        <v>0</v>
      </c>
      <c r="P838" s="387">
        <v>0</v>
      </c>
      <c r="Q838" s="387">
        <v>0</v>
      </c>
      <c r="R838" s="387">
        <v>0</v>
      </c>
      <c r="S838" s="1174">
        <f>Locations[[#This Row],[Ind_Returnees]]+Locations[[#This Row],[Ind_Refugees]]+Locations[[#This Row],[Ind_IDPs]]</f>
        <v>270</v>
      </c>
    </row>
    <row r="839" spans="1:19" s="388" customFormat="1" x14ac:dyDescent="0.3">
      <c r="A839" s="5" t="s">
        <v>533</v>
      </c>
      <c r="B839" s="1430" t="s">
        <v>3449</v>
      </c>
      <c r="C839" s="1090" t="s">
        <v>534</v>
      </c>
      <c r="D839" s="5" t="s">
        <v>35</v>
      </c>
      <c r="E839" s="5" t="s">
        <v>35</v>
      </c>
      <c r="F839" s="5" t="s">
        <v>567</v>
      </c>
      <c r="G839" s="5" t="s">
        <v>195</v>
      </c>
      <c r="H839" s="5" t="s">
        <v>195</v>
      </c>
      <c r="I839" s="5" t="s">
        <v>733</v>
      </c>
      <c r="J839" t="s">
        <v>1035</v>
      </c>
      <c r="K839" s="5" t="s">
        <v>735</v>
      </c>
      <c r="L839" s="5"/>
      <c r="M839" s="387">
        <v>13</v>
      </c>
      <c r="N839" s="387">
        <v>77</v>
      </c>
      <c r="O839" s="387">
        <v>0</v>
      </c>
      <c r="P839" s="387">
        <v>0</v>
      </c>
      <c r="Q839" s="387">
        <v>0</v>
      </c>
      <c r="R839" s="387">
        <v>0</v>
      </c>
      <c r="S839" s="1174">
        <f>Locations[[#This Row],[Ind_Returnees]]+Locations[[#This Row],[Ind_Refugees]]+Locations[[#This Row],[Ind_IDPs]]</f>
        <v>77</v>
      </c>
    </row>
    <row r="840" spans="1:19" s="388" customFormat="1" x14ac:dyDescent="0.3">
      <c r="A840" s="5" t="s">
        <v>533</v>
      </c>
      <c r="B840" s="1430" t="s">
        <v>3449</v>
      </c>
      <c r="C840" s="398" t="s">
        <v>534</v>
      </c>
      <c r="D840" s="5" t="s">
        <v>31</v>
      </c>
      <c r="E840" s="5" t="s">
        <v>31</v>
      </c>
      <c r="F840" s="5" t="s">
        <v>549</v>
      </c>
      <c r="G840" s="5" t="s">
        <v>167</v>
      </c>
      <c r="H840" s="5" t="s">
        <v>167</v>
      </c>
      <c r="I840" s="5" t="s">
        <v>1113</v>
      </c>
      <c r="J840" t="s">
        <v>2528</v>
      </c>
      <c r="K840" s="5" t="s">
        <v>2062</v>
      </c>
      <c r="L840" s="5"/>
      <c r="M840" s="387">
        <v>16</v>
      </c>
      <c r="N840" s="387">
        <v>106</v>
      </c>
      <c r="O840" s="387">
        <v>0</v>
      </c>
      <c r="P840" s="387">
        <v>0</v>
      </c>
      <c r="Q840" s="387">
        <v>0</v>
      </c>
      <c r="R840" s="387">
        <v>0</v>
      </c>
      <c r="S840" s="1174">
        <f>Locations[[#This Row],[Ind_Returnees]]+Locations[[#This Row],[Ind_Refugees]]+Locations[[#This Row],[Ind_IDPs]]</f>
        <v>106</v>
      </c>
    </row>
    <row r="841" spans="1:19" s="388" customFormat="1" x14ac:dyDescent="0.3">
      <c r="A841" s="5" t="s">
        <v>533</v>
      </c>
      <c r="B841" s="1430" t="s">
        <v>3449</v>
      </c>
      <c r="C841" s="398" t="s">
        <v>534</v>
      </c>
      <c r="D841" s="5" t="s">
        <v>31</v>
      </c>
      <c r="E841" s="5" t="s">
        <v>31</v>
      </c>
      <c r="F841" s="5" t="s">
        <v>549</v>
      </c>
      <c r="G841" s="5" t="s">
        <v>171</v>
      </c>
      <c r="H841" s="5" t="s">
        <v>171</v>
      </c>
      <c r="I841" s="5" t="s">
        <v>634</v>
      </c>
      <c r="J841" t="s">
        <v>1894</v>
      </c>
      <c r="K841" s="5" t="s">
        <v>1100</v>
      </c>
      <c r="L841" s="5"/>
      <c r="M841" s="387">
        <v>35</v>
      </c>
      <c r="N841" s="387">
        <v>330</v>
      </c>
      <c r="O841" s="387">
        <v>0</v>
      </c>
      <c r="P841" s="387">
        <v>0</v>
      </c>
      <c r="Q841" s="387">
        <v>0</v>
      </c>
      <c r="R841" s="387">
        <v>0</v>
      </c>
      <c r="S841" s="1174">
        <f>Locations[[#This Row],[Ind_Returnees]]+Locations[[#This Row],[Ind_Refugees]]+Locations[[#This Row],[Ind_IDPs]]</f>
        <v>330</v>
      </c>
    </row>
    <row r="842" spans="1:19" s="388" customFormat="1" x14ac:dyDescent="0.3">
      <c r="A842" s="5" t="s">
        <v>533</v>
      </c>
      <c r="B842" s="1430" t="s">
        <v>3449</v>
      </c>
      <c r="C842" s="1090" t="s">
        <v>534</v>
      </c>
      <c r="D842" s="5" t="s">
        <v>34</v>
      </c>
      <c r="E842" s="5" t="s">
        <v>34</v>
      </c>
      <c r="F842" s="5" t="s">
        <v>539</v>
      </c>
      <c r="G842" s="5" t="s">
        <v>188</v>
      </c>
      <c r="H842" s="5" t="s">
        <v>188</v>
      </c>
      <c r="I842" s="5" t="s">
        <v>546</v>
      </c>
      <c r="J842" t="s">
        <v>1383</v>
      </c>
      <c r="K842" s="5" t="s">
        <v>1688</v>
      </c>
      <c r="L842" s="5"/>
      <c r="M842" s="387">
        <v>125</v>
      </c>
      <c r="N842" s="387">
        <v>648</v>
      </c>
      <c r="O842" s="387">
        <v>0</v>
      </c>
      <c r="P842" s="387">
        <v>0</v>
      </c>
      <c r="Q842" s="387">
        <v>0</v>
      </c>
      <c r="R842" s="387">
        <v>0</v>
      </c>
      <c r="S842" s="1174">
        <f>Locations[[#This Row],[Ind_Returnees]]+Locations[[#This Row],[Ind_Refugees]]+Locations[[#This Row],[Ind_IDPs]]</f>
        <v>648</v>
      </c>
    </row>
    <row r="843" spans="1:19" s="388" customFormat="1" x14ac:dyDescent="0.3">
      <c r="A843" s="5" t="s">
        <v>533</v>
      </c>
      <c r="B843" s="1430" t="s">
        <v>3449</v>
      </c>
      <c r="C843" s="1090" t="s">
        <v>534</v>
      </c>
      <c r="D843" s="5" t="s">
        <v>35</v>
      </c>
      <c r="E843" s="5" t="s">
        <v>35</v>
      </c>
      <c r="F843" s="5" t="s">
        <v>567</v>
      </c>
      <c r="G843" s="5" t="s">
        <v>192</v>
      </c>
      <c r="H843" s="5" t="s">
        <v>192</v>
      </c>
      <c r="I843" s="5" t="s">
        <v>853</v>
      </c>
      <c r="J843" t="s">
        <v>899</v>
      </c>
      <c r="K843" s="5" t="s">
        <v>1405</v>
      </c>
      <c r="L843" s="5"/>
      <c r="M843" s="387">
        <v>289</v>
      </c>
      <c r="N843" s="387">
        <v>1766</v>
      </c>
      <c r="O843" s="387">
        <v>0</v>
      </c>
      <c r="P843" s="387">
        <v>0</v>
      </c>
      <c r="Q843" s="387">
        <v>0</v>
      </c>
      <c r="R843" s="387">
        <v>0</v>
      </c>
      <c r="S843" s="1174">
        <f>Locations[[#This Row],[Ind_Returnees]]+Locations[[#This Row],[Ind_Refugees]]+Locations[[#This Row],[Ind_IDPs]]</f>
        <v>1766</v>
      </c>
    </row>
    <row r="844" spans="1:19" s="388" customFormat="1" x14ac:dyDescent="0.3">
      <c r="A844" s="5" t="s">
        <v>533</v>
      </c>
      <c r="B844" s="1430" t="s">
        <v>3449</v>
      </c>
      <c r="C844" s="398" t="s">
        <v>534</v>
      </c>
      <c r="D844" s="5" t="s">
        <v>30</v>
      </c>
      <c r="E844" s="5" t="s">
        <v>3522</v>
      </c>
      <c r="F844" s="5" t="s">
        <v>535</v>
      </c>
      <c r="G844" s="5" t="s">
        <v>156</v>
      </c>
      <c r="H844" s="5" t="s">
        <v>156</v>
      </c>
      <c r="I844" s="5" t="s">
        <v>697</v>
      </c>
      <c r="J844" t="s">
        <v>2964</v>
      </c>
      <c r="K844" s="5" t="s">
        <v>2383</v>
      </c>
      <c r="L844" s="5"/>
      <c r="M844" s="387">
        <v>0</v>
      </c>
      <c r="N844" s="387">
        <v>0</v>
      </c>
      <c r="O844" s="387">
        <v>0</v>
      </c>
      <c r="P844" s="387">
        <v>0</v>
      </c>
      <c r="Q844" s="387">
        <v>0</v>
      </c>
      <c r="R844" s="387">
        <v>0</v>
      </c>
      <c r="S844" s="1174">
        <f>Locations[[#This Row],[Ind_Returnees]]+Locations[[#This Row],[Ind_Refugees]]+Locations[[#This Row],[Ind_IDPs]]</f>
        <v>0</v>
      </c>
    </row>
    <row r="845" spans="1:19" s="388" customFormat="1" x14ac:dyDescent="0.3">
      <c r="A845" s="5" t="s">
        <v>533</v>
      </c>
      <c r="B845" s="1430" t="s">
        <v>3449</v>
      </c>
      <c r="C845" s="398" t="s">
        <v>534</v>
      </c>
      <c r="D845" s="5" t="s">
        <v>35</v>
      </c>
      <c r="E845" s="5" t="s">
        <v>35</v>
      </c>
      <c r="F845" s="5" t="s">
        <v>567</v>
      </c>
      <c r="G845" s="5" t="s">
        <v>193</v>
      </c>
      <c r="H845" s="5" t="s">
        <v>3983</v>
      </c>
      <c r="I845" s="5" t="s">
        <v>863</v>
      </c>
      <c r="J845" t="s">
        <v>864</v>
      </c>
      <c r="K845" s="5" t="s">
        <v>1567</v>
      </c>
      <c r="L845" s="5"/>
      <c r="M845" s="387">
        <v>935</v>
      </c>
      <c r="N845" s="387">
        <v>4908</v>
      </c>
      <c r="O845" s="387">
        <v>0</v>
      </c>
      <c r="P845" s="387">
        <v>0</v>
      </c>
      <c r="Q845" s="387">
        <v>186</v>
      </c>
      <c r="R845" s="387">
        <v>914</v>
      </c>
      <c r="S845" s="1174">
        <f>Locations[[#This Row],[Ind_Returnees]]+Locations[[#This Row],[Ind_Refugees]]+Locations[[#This Row],[Ind_IDPs]]</f>
        <v>5822</v>
      </c>
    </row>
    <row r="846" spans="1:19" s="388" customFormat="1" x14ac:dyDescent="0.3">
      <c r="A846" s="5" t="s">
        <v>533</v>
      </c>
      <c r="B846" s="1430" t="s">
        <v>3449</v>
      </c>
      <c r="C846" s="1090" t="s">
        <v>534</v>
      </c>
      <c r="D846" s="5" t="s">
        <v>33</v>
      </c>
      <c r="E846" s="5" t="s">
        <v>33</v>
      </c>
      <c r="F846" s="5" t="s">
        <v>561</v>
      </c>
      <c r="G846" s="5" t="s">
        <v>186</v>
      </c>
      <c r="H846" s="5" t="s">
        <v>186</v>
      </c>
      <c r="I846" s="5" t="s">
        <v>682</v>
      </c>
      <c r="J846" t="s">
        <v>709</v>
      </c>
      <c r="K846" s="5" t="s">
        <v>710</v>
      </c>
      <c r="L846" s="5"/>
      <c r="M846" s="387">
        <v>13</v>
      </c>
      <c r="N846" s="387">
        <v>67</v>
      </c>
      <c r="O846" s="387">
        <v>0</v>
      </c>
      <c r="P846" s="387">
        <v>0</v>
      </c>
      <c r="Q846" s="387">
        <v>0</v>
      </c>
      <c r="R846" s="387">
        <v>0</v>
      </c>
      <c r="S846" s="1174">
        <f>Locations[[#This Row],[Ind_Returnees]]+Locations[[#This Row],[Ind_Refugees]]+Locations[[#This Row],[Ind_IDPs]]</f>
        <v>67</v>
      </c>
    </row>
    <row r="847" spans="1:19" s="388" customFormat="1" x14ac:dyDescent="0.3">
      <c r="A847" s="5" t="s">
        <v>533</v>
      </c>
      <c r="B847" s="1430" t="s">
        <v>3449</v>
      </c>
      <c r="C847" s="398" t="s">
        <v>534</v>
      </c>
      <c r="D847" s="5" t="s">
        <v>31</v>
      </c>
      <c r="E847" s="5" t="s">
        <v>31</v>
      </c>
      <c r="F847" s="5" t="s">
        <v>549</v>
      </c>
      <c r="G847" s="5" t="s">
        <v>167</v>
      </c>
      <c r="H847" s="5" t="s">
        <v>167</v>
      </c>
      <c r="I847" s="5" t="s">
        <v>1113</v>
      </c>
      <c r="J847" t="s">
        <v>2061</v>
      </c>
      <c r="K847" s="5" t="s">
        <v>1873</v>
      </c>
      <c r="L847" s="5"/>
      <c r="M847" s="387">
        <v>21</v>
      </c>
      <c r="N847" s="387">
        <v>112</v>
      </c>
      <c r="O847" s="387">
        <v>0</v>
      </c>
      <c r="P847" s="387">
        <v>0</v>
      </c>
      <c r="Q847" s="387">
        <v>0</v>
      </c>
      <c r="R847" s="387">
        <v>0</v>
      </c>
      <c r="S847" s="1174">
        <f>Locations[[#This Row],[Ind_Returnees]]+Locations[[#This Row],[Ind_Refugees]]+Locations[[#This Row],[Ind_IDPs]]</f>
        <v>112</v>
      </c>
    </row>
    <row r="848" spans="1:19" s="388" customFormat="1" x14ac:dyDescent="0.3">
      <c r="A848" s="5" t="s">
        <v>533</v>
      </c>
      <c r="B848" s="1430" t="s">
        <v>3449</v>
      </c>
      <c r="C848" s="1090" t="s">
        <v>534</v>
      </c>
      <c r="D848" s="5" t="s">
        <v>31</v>
      </c>
      <c r="E848" s="5" t="s">
        <v>31</v>
      </c>
      <c r="F848" s="5" t="s">
        <v>549</v>
      </c>
      <c r="G848" s="5" t="s">
        <v>171</v>
      </c>
      <c r="H848" s="5" t="s">
        <v>171</v>
      </c>
      <c r="I848" s="5" t="s">
        <v>634</v>
      </c>
      <c r="J848" t="s">
        <v>1720</v>
      </c>
      <c r="K848" s="5" t="s">
        <v>2011</v>
      </c>
      <c r="L848" s="5"/>
      <c r="M848" s="387">
        <v>8</v>
      </c>
      <c r="N848" s="387">
        <v>39</v>
      </c>
      <c r="O848" s="387">
        <v>0</v>
      </c>
      <c r="P848" s="387">
        <v>0</v>
      </c>
      <c r="Q848" s="387">
        <v>0</v>
      </c>
      <c r="R848" s="387">
        <v>0</v>
      </c>
      <c r="S848" s="1174">
        <f>Locations[[#This Row],[Ind_Returnees]]+Locations[[#This Row],[Ind_Refugees]]+Locations[[#This Row],[Ind_IDPs]]</f>
        <v>39</v>
      </c>
    </row>
    <row r="849" spans="1:19" s="388" customFormat="1" x14ac:dyDescent="0.3">
      <c r="A849" s="5" t="s">
        <v>533</v>
      </c>
      <c r="B849" s="1430" t="s">
        <v>3449</v>
      </c>
      <c r="C849" s="398" t="s">
        <v>534</v>
      </c>
      <c r="D849" s="5" t="s">
        <v>32</v>
      </c>
      <c r="E849" s="5" t="s">
        <v>32</v>
      </c>
      <c r="F849" s="5" t="s">
        <v>542</v>
      </c>
      <c r="G849" s="5" t="s">
        <v>179</v>
      </c>
      <c r="H849" s="5" t="s">
        <v>179</v>
      </c>
      <c r="I849" s="5" t="s">
        <v>1666</v>
      </c>
      <c r="J849" t="s">
        <v>1667</v>
      </c>
      <c r="K849" s="5" t="s">
        <v>1668</v>
      </c>
      <c r="L849" s="5"/>
      <c r="M849" s="387">
        <v>7</v>
      </c>
      <c r="N849" s="387">
        <v>49</v>
      </c>
      <c r="O849" s="387">
        <v>0</v>
      </c>
      <c r="P849" s="387">
        <v>0</v>
      </c>
      <c r="Q849" s="387">
        <v>18</v>
      </c>
      <c r="R849" s="387">
        <v>250</v>
      </c>
      <c r="S849" s="1174">
        <f>Locations[[#This Row],[Ind_Returnees]]+Locations[[#This Row],[Ind_Refugees]]+Locations[[#This Row],[Ind_IDPs]]</f>
        <v>299</v>
      </c>
    </row>
    <row r="850" spans="1:19" s="388" customFormat="1" x14ac:dyDescent="0.3">
      <c r="A850" s="5" t="s">
        <v>533</v>
      </c>
      <c r="B850" s="1430" t="s">
        <v>3449</v>
      </c>
      <c r="C850" s="1090" t="s">
        <v>534</v>
      </c>
      <c r="D850" s="5" t="s">
        <v>31</v>
      </c>
      <c r="E850" s="5" t="s">
        <v>31</v>
      </c>
      <c r="F850" s="5" t="s">
        <v>549</v>
      </c>
      <c r="G850" s="5" t="s">
        <v>169</v>
      </c>
      <c r="H850" s="5" t="s">
        <v>169</v>
      </c>
      <c r="I850" s="5" t="s">
        <v>673</v>
      </c>
      <c r="J850" t="s">
        <v>2967</v>
      </c>
      <c r="K850" s="5" t="s">
        <v>815</v>
      </c>
      <c r="L850" s="5"/>
      <c r="M850" s="387">
        <v>7</v>
      </c>
      <c r="N850" s="387">
        <v>72</v>
      </c>
      <c r="O850" s="387">
        <v>0</v>
      </c>
      <c r="P850" s="387">
        <v>0</v>
      </c>
      <c r="Q850" s="387">
        <v>0</v>
      </c>
      <c r="R850" s="387">
        <v>0</v>
      </c>
      <c r="S850" s="1174">
        <f>Locations[[#This Row],[Ind_Returnees]]+Locations[[#This Row],[Ind_Refugees]]+Locations[[#This Row],[Ind_IDPs]]</f>
        <v>72</v>
      </c>
    </row>
    <row r="851" spans="1:19" s="388" customFormat="1" x14ac:dyDescent="0.3">
      <c r="A851" s="5" t="s">
        <v>533</v>
      </c>
      <c r="B851" s="1430" t="s">
        <v>3449</v>
      </c>
      <c r="C851" s="1090" t="s">
        <v>534</v>
      </c>
      <c r="D851" s="5" t="s">
        <v>31</v>
      </c>
      <c r="E851" s="5" t="s">
        <v>31</v>
      </c>
      <c r="F851" s="5" t="s">
        <v>549</v>
      </c>
      <c r="G851" s="5" t="s">
        <v>169</v>
      </c>
      <c r="H851" s="5" t="s">
        <v>169</v>
      </c>
      <c r="I851" s="5" t="s">
        <v>673</v>
      </c>
      <c r="J851" t="s">
        <v>2968</v>
      </c>
      <c r="K851" s="5" t="s">
        <v>1094</v>
      </c>
      <c r="L851" s="5"/>
      <c r="M851" s="387">
        <v>14</v>
      </c>
      <c r="N851" s="387">
        <v>85</v>
      </c>
      <c r="O851" s="387">
        <v>44</v>
      </c>
      <c r="P851" s="387">
        <v>244</v>
      </c>
      <c r="Q851" s="387">
        <v>0</v>
      </c>
      <c r="R851" s="387">
        <v>0</v>
      </c>
      <c r="S851" s="1174">
        <f>Locations[[#This Row],[Ind_Returnees]]+Locations[[#This Row],[Ind_Refugees]]+Locations[[#This Row],[Ind_IDPs]]</f>
        <v>329</v>
      </c>
    </row>
    <row r="852" spans="1:19" s="388" customFormat="1" x14ac:dyDescent="0.3">
      <c r="A852" s="5" t="s">
        <v>533</v>
      </c>
      <c r="B852" s="1430" t="s">
        <v>3449</v>
      </c>
      <c r="C852" s="398" t="s">
        <v>534</v>
      </c>
      <c r="D852" s="5" t="s">
        <v>31</v>
      </c>
      <c r="E852" s="5" t="s">
        <v>31</v>
      </c>
      <c r="F852" s="5" t="s">
        <v>549</v>
      </c>
      <c r="G852" s="5" t="s">
        <v>167</v>
      </c>
      <c r="H852" s="5" t="s">
        <v>167</v>
      </c>
      <c r="I852" s="5" t="s">
        <v>1113</v>
      </c>
      <c r="J852" t="s">
        <v>1872</v>
      </c>
      <c r="K852" s="5" t="s">
        <v>2050</v>
      </c>
      <c r="L852" s="5"/>
      <c r="M852" s="387">
        <v>0</v>
      </c>
      <c r="N852" s="387">
        <v>0</v>
      </c>
      <c r="O852" s="387">
        <v>0</v>
      </c>
      <c r="P852" s="387">
        <v>0</v>
      </c>
      <c r="Q852" s="387">
        <v>0</v>
      </c>
      <c r="R852" s="387">
        <v>0</v>
      </c>
      <c r="S852" s="1174">
        <f>Locations[[#This Row],[Ind_Returnees]]+Locations[[#This Row],[Ind_Refugees]]+Locations[[#This Row],[Ind_IDPs]]</f>
        <v>0</v>
      </c>
    </row>
    <row r="853" spans="1:19" s="388" customFormat="1" x14ac:dyDescent="0.3">
      <c r="A853" s="5" t="s">
        <v>533</v>
      </c>
      <c r="B853" s="1430" t="s">
        <v>3449</v>
      </c>
      <c r="C853" s="398" t="s">
        <v>534</v>
      </c>
      <c r="D853" s="5" t="s">
        <v>31</v>
      </c>
      <c r="E853" s="5" t="s">
        <v>31</v>
      </c>
      <c r="F853" s="5" t="s">
        <v>549</v>
      </c>
      <c r="G853" s="5" t="s">
        <v>169</v>
      </c>
      <c r="H853" s="5" t="s">
        <v>169</v>
      </c>
      <c r="I853" s="5" t="s">
        <v>673</v>
      </c>
      <c r="J853" t="s">
        <v>2808</v>
      </c>
      <c r="K853" s="5" t="s">
        <v>2354</v>
      </c>
      <c r="L853" s="5"/>
      <c r="M853" s="387">
        <v>0</v>
      </c>
      <c r="N853" s="387">
        <v>0</v>
      </c>
      <c r="O853" s="387">
        <v>10</v>
      </c>
      <c r="P853" s="387">
        <v>36</v>
      </c>
      <c r="Q853" s="387">
        <v>61</v>
      </c>
      <c r="R853" s="387">
        <v>240</v>
      </c>
      <c r="S853" s="1174">
        <f>Locations[[#This Row],[Ind_Returnees]]+Locations[[#This Row],[Ind_Refugees]]+Locations[[#This Row],[Ind_IDPs]]</f>
        <v>276</v>
      </c>
    </row>
    <row r="854" spans="1:19" s="388" customFormat="1" x14ac:dyDescent="0.3">
      <c r="A854" s="5" t="s">
        <v>533</v>
      </c>
      <c r="B854" s="1430" t="s">
        <v>3449</v>
      </c>
      <c r="C854" s="398" t="s">
        <v>534</v>
      </c>
      <c r="D854" s="5" t="s">
        <v>33</v>
      </c>
      <c r="E854" s="5" t="s">
        <v>33</v>
      </c>
      <c r="F854" s="5" t="s">
        <v>561</v>
      </c>
      <c r="G854" s="5" t="s">
        <v>185</v>
      </c>
      <c r="H854" s="5" t="s">
        <v>185</v>
      </c>
      <c r="I854" s="5" t="s">
        <v>656</v>
      </c>
      <c r="J854" t="s">
        <v>739</v>
      </c>
      <c r="K854" s="5" t="s">
        <v>740</v>
      </c>
      <c r="L854" s="5"/>
      <c r="M854" s="387">
        <v>0</v>
      </c>
      <c r="N854" s="387">
        <v>0</v>
      </c>
      <c r="O854" s="387">
        <v>0</v>
      </c>
      <c r="P854" s="387">
        <v>0</v>
      </c>
      <c r="Q854" s="387">
        <v>0</v>
      </c>
      <c r="R854" s="387">
        <v>0</v>
      </c>
      <c r="S854" s="1174">
        <f>Locations[[#This Row],[Ind_Returnees]]+Locations[[#This Row],[Ind_Refugees]]+Locations[[#This Row],[Ind_IDPs]]</f>
        <v>0</v>
      </c>
    </row>
    <row r="855" spans="1:19" s="388" customFormat="1" x14ac:dyDescent="0.3">
      <c r="A855" s="5" t="s">
        <v>533</v>
      </c>
      <c r="B855" s="1430" t="s">
        <v>3449</v>
      </c>
      <c r="C855" s="1090" t="s">
        <v>534</v>
      </c>
      <c r="D855" s="5" t="s">
        <v>35</v>
      </c>
      <c r="E855" s="5" t="s">
        <v>35</v>
      </c>
      <c r="F855" s="5" t="s">
        <v>567</v>
      </c>
      <c r="G855" s="5" t="s">
        <v>193</v>
      </c>
      <c r="H855" s="5" t="s">
        <v>3983</v>
      </c>
      <c r="I855" s="5" t="s">
        <v>863</v>
      </c>
      <c r="J855" t="s">
        <v>1628</v>
      </c>
      <c r="K855" s="5" t="s">
        <v>1309</v>
      </c>
      <c r="L855" s="5"/>
      <c r="M855" s="387">
        <v>9</v>
      </c>
      <c r="N855" s="387">
        <v>41</v>
      </c>
      <c r="O855" s="387">
        <v>71</v>
      </c>
      <c r="P855" s="387">
        <v>350</v>
      </c>
      <c r="Q855" s="387">
        <v>101</v>
      </c>
      <c r="R855" s="387">
        <v>905</v>
      </c>
      <c r="S855" s="1174">
        <f>Locations[[#This Row],[Ind_Returnees]]+Locations[[#This Row],[Ind_Refugees]]+Locations[[#This Row],[Ind_IDPs]]</f>
        <v>1296</v>
      </c>
    </row>
    <row r="856" spans="1:19" s="388" customFormat="1" x14ac:dyDescent="0.3">
      <c r="A856" s="5" t="s">
        <v>533</v>
      </c>
      <c r="B856" s="1430" t="s">
        <v>3449</v>
      </c>
      <c r="C856" s="1090" t="s">
        <v>534</v>
      </c>
      <c r="D856" s="5" t="s">
        <v>31</v>
      </c>
      <c r="E856" s="5" t="s">
        <v>31</v>
      </c>
      <c r="F856" s="5" t="s">
        <v>549</v>
      </c>
      <c r="G856" s="5" t="s">
        <v>169</v>
      </c>
      <c r="H856" s="5" t="s">
        <v>169</v>
      </c>
      <c r="I856" s="5" t="s">
        <v>673</v>
      </c>
      <c r="J856" t="s">
        <v>3223</v>
      </c>
      <c r="K856" s="5" t="s">
        <v>3066</v>
      </c>
      <c r="L856" s="5"/>
      <c r="M856" s="387">
        <v>0</v>
      </c>
      <c r="N856" s="387">
        <v>0</v>
      </c>
      <c r="O856" s="387">
        <v>0</v>
      </c>
      <c r="P856" s="387">
        <v>0</v>
      </c>
      <c r="Q856" s="387">
        <v>0</v>
      </c>
      <c r="R856" s="387">
        <v>0</v>
      </c>
      <c r="S856" s="1174">
        <f>Locations[[#This Row],[Ind_Returnees]]+Locations[[#This Row],[Ind_Refugees]]+Locations[[#This Row],[Ind_IDPs]]</f>
        <v>0</v>
      </c>
    </row>
    <row r="857" spans="1:19" s="388" customFormat="1" x14ac:dyDescent="0.3">
      <c r="A857" s="5" t="s">
        <v>533</v>
      </c>
      <c r="B857" s="1430" t="s">
        <v>3449</v>
      </c>
      <c r="C857" s="1090" t="s">
        <v>534</v>
      </c>
      <c r="D857" s="5" t="s">
        <v>31</v>
      </c>
      <c r="E857" s="5" t="s">
        <v>31</v>
      </c>
      <c r="F857" s="5" t="s">
        <v>549</v>
      </c>
      <c r="G857" s="5" t="s">
        <v>167</v>
      </c>
      <c r="H857" s="5" t="s">
        <v>167</v>
      </c>
      <c r="I857" s="5" t="s">
        <v>1113</v>
      </c>
      <c r="J857" t="s">
        <v>2807</v>
      </c>
      <c r="K857" s="5" t="s">
        <v>1973</v>
      </c>
      <c r="L857" s="5"/>
      <c r="M857" s="387">
        <v>0</v>
      </c>
      <c r="N857" s="387">
        <v>0</v>
      </c>
      <c r="O857" s="387">
        <v>0</v>
      </c>
      <c r="P857" s="387">
        <v>0</v>
      </c>
      <c r="Q857" s="387">
        <v>0</v>
      </c>
      <c r="R857" s="387">
        <v>0</v>
      </c>
      <c r="S857" s="1174">
        <f>Locations[[#This Row],[Ind_Returnees]]+Locations[[#This Row],[Ind_Refugees]]+Locations[[#This Row],[Ind_IDPs]]</f>
        <v>0</v>
      </c>
    </row>
    <row r="858" spans="1:19" s="388" customFormat="1" x14ac:dyDescent="0.3">
      <c r="A858" s="5" t="s">
        <v>533</v>
      </c>
      <c r="B858" s="1430" t="s">
        <v>3449</v>
      </c>
      <c r="C858" s="398" t="s">
        <v>534</v>
      </c>
      <c r="D858" s="5" t="s">
        <v>31</v>
      </c>
      <c r="E858" s="5" t="s">
        <v>31</v>
      </c>
      <c r="F858" s="5" t="s">
        <v>549</v>
      </c>
      <c r="G858" s="5" t="s">
        <v>167</v>
      </c>
      <c r="H858" s="5" t="s">
        <v>167</v>
      </c>
      <c r="I858" s="5" t="s">
        <v>1113</v>
      </c>
      <c r="J858" t="s">
        <v>1991</v>
      </c>
      <c r="K858" s="5" t="s">
        <v>2280</v>
      </c>
      <c r="L858" s="5"/>
      <c r="M858" s="387">
        <v>8</v>
      </c>
      <c r="N858" s="387">
        <v>16</v>
      </c>
      <c r="O858" s="387">
        <v>0</v>
      </c>
      <c r="P858" s="387">
        <v>0</v>
      </c>
      <c r="Q858" s="387">
        <v>0</v>
      </c>
      <c r="R858" s="387">
        <v>0</v>
      </c>
      <c r="S858" s="1174">
        <f>Locations[[#This Row],[Ind_Returnees]]+Locations[[#This Row],[Ind_Refugees]]+Locations[[#This Row],[Ind_IDPs]]</f>
        <v>16</v>
      </c>
    </row>
    <row r="859" spans="1:19" s="388" customFormat="1" x14ac:dyDescent="0.3">
      <c r="A859" s="5" t="s">
        <v>533</v>
      </c>
      <c r="B859" s="1430" t="s">
        <v>3449</v>
      </c>
      <c r="C859" s="1090" t="s">
        <v>534</v>
      </c>
      <c r="D859" s="5" t="s">
        <v>30</v>
      </c>
      <c r="E859" s="5" t="s">
        <v>3522</v>
      </c>
      <c r="F859" s="5" t="s">
        <v>535</v>
      </c>
      <c r="G859" s="5" t="s">
        <v>162</v>
      </c>
      <c r="H859" s="5" t="s">
        <v>3529</v>
      </c>
      <c r="I859" s="5" t="s">
        <v>536</v>
      </c>
      <c r="J859" t="s">
        <v>687</v>
      </c>
      <c r="K859" s="5" t="s">
        <v>688</v>
      </c>
      <c r="L859" s="5"/>
      <c r="M859" s="387">
        <v>9</v>
      </c>
      <c r="N859" s="387">
        <v>98</v>
      </c>
      <c r="O859" s="387">
        <v>2</v>
      </c>
      <c r="P859" s="387">
        <v>16</v>
      </c>
      <c r="Q859" s="387">
        <v>0</v>
      </c>
      <c r="R859" s="387">
        <v>0</v>
      </c>
      <c r="S859" s="1174">
        <f>Locations[[#This Row],[Ind_Returnees]]+Locations[[#This Row],[Ind_Refugees]]+Locations[[#This Row],[Ind_IDPs]]</f>
        <v>114</v>
      </c>
    </row>
    <row r="860" spans="1:19" s="388" customFormat="1" x14ac:dyDescent="0.3">
      <c r="A860" s="5" t="s">
        <v>533</v>
      </c>
      <c r="B860" s="1430" t="s">
        <v>3449</v>
      </c>
      <c r="C860" s="398" t="s">
        <v>534</v>
      </c>
      <c r="D860" s="5" t="s">
        <v>32</v>
      </c>
      <c r="E860" s="5" t="s">
        <v>32</v>
      </c>
      <c r="F860" s="5" t="s">
        <v>542</v>
      </c>
      <c r="G860" s="5" t="s">
        <v>181</v>
      </c>
      <c r="H860" s="5" t="s">
        <v>181</v>
      </c>
      <c r="I860" s="5" t="s">
        <v>1661</v>
      </c>
      <c r="J860" t="s">
        <v>1671</v>
      </c>
      <c r="K860" s="5" t="s">
        <v>1672</v>
      </c>
      <c r="L860" s="5"/>
      <c r="M860" s="387">
        <v>15</v>
      </c>
      <c r="N860" s="387">
        <v>83</v>
      </c>
      <c r="O860" s="387">
        <v>0</v>
      </c>
      <c r="P860" s="387">
        <v>0</v>
      </c>
      <c r="Q860" s="387">
        <v>72</v>
      </c>
      <c r="R860" s="387">
        <v>364</v>
      </c>
      <c r="S860" s="1174">
        <f>Locations[[#This Row],[Ind_Returnees]]+Locations[[#This Row],[Ind_Refugees]]+Locations[[#This Row],[Ind_IDPs]]</f>
        <v>447</v>
      </c>
    </row>
    <row r="861" spans="1:19" s="388" customFormat="1" x14ac:dyDescent="0.3">
      <c r="A861" s="5" t="s">
        <v>533</v>
      </c>
      <c r="B861" s="1430" t="s">
        <v>3449</v>
      </c>
      <c r="C861" s="398" t="s">
        <v>534</v>
      </c>
      <c r="D861" s="5" t="s">
        <v>32</v>
      </c>
      <c r="E861" s="5" t="s">
        <v>32</v>
      </c>
      <c r="F861" s="5" t="s">
        <v>542</v>
      </c>
      <c r="G861" s="5" t="s">
        <v>178</v>
      </c>
      <c r="H861" s="5" t="s">
        <v>178</v>
      </c>
      <c r="I861" s="5" t="s">
        <v>543</v>
      </c>
      <c r="J861" t="s">
        <v>2580</v>
      </c>
      <c r="K861" s="5" t="s">
        <v>2581</v>
      </c>
      <c r="L861" s="5"/>
      <c r="M861" s="387">
        <v>0</v>
      </c>
      <c r="N861" s="387">
        <v>0</v>
      </c>
      <c r="O861" s="387">
        <v>0</v>
      </c>
      <c r="P861" s="387">
        <v>0</v>
      </c>
      <c r="Q861" s="387">
        <v>0</v>
      </c>
      <c r="R861" s="387">
        <v>0</v>
      </c>
      <c r="S861" s="1174">
        <f>Locations[[#This Row],[Ind_Returnees]]+Locations[[#This Row],[Ind_Refugees]]+Locations[[#This Row],[Ind_IDPs]]</f>
        <v>0</v>
      </c>
    </row>
    <row r="862" spans="1:19" s="388" customFormat="1" x14ac:dyDescent="0.3">
      <c r="A862" s="5" t="s">
        <v>533</v>
      </c>
      <c r="B862" s="1430" t="s">
        <v>3449</v>
      </c>
      <c r="C862" s="1090" t="s">
        <v>534</v>
      </c>
      <c r="D862" s="5" t="s">
        <v>33</v>
      </c>
      <c r="E862" s="5" t="s">
        <v>33</v>
      </c>
      <c r="F862" s="5" t="s">
        <v>561</v>
      </c>
      <c r="G862" s="5" t="s">
        <v>186</v>
      </c>
      <c r="H862" s="5" t="s">
        <v>186</v>
      </c>
      <c r="I862" s="5" t="s">
        <v>682</v>
      </c>
      <c r="J862" t="s">
        <v>683</v>
      </c>
      <c r="K862" s="5" t="s">
        <v>684</v>
      </c>
      <c r="L862" s="5"/>
      <c r="M862" s="387">
        <v>7</v>
      </c>
      <c r="N862" s="387">
        <v>47</v>
      </c>
      <c r="O862" s="387">
        <v>0</v>
      </c>
      <c r="P862" s="387">
        <v>0</v>
      </c>
      <c r="Q862" s="387">
        <v>0</v>
      </c>
      <c r="R862" s="387">
        <v>0</v>
      </c>
      <c r="S862" s="1174">
        <f>Locations[[#This Row],[Ind_Returnees]]+Locations[[#This Row],[Ind_Refugees]]+Locations[[#This Row],[Ind_IDPs]]</f>
        <v>47</v>
      </c>
    </row>
    <row r="863" spans="1:19" s="388" customFormat="1" x14ac:dyDescent="0.3">
      <c r="A863" s="5" t="s">
        <v>533</v>
      </c>
      <c r="B863" s="1430" t="s">
        <v>3449</v>
      </c>
      <c r="C863" s="1090" t="s">
        <v>534</v>
      </c>
      <c r="D863" s="5" t="s">
        <v>32</v>
      </c>
      <c r="E863" s="5" t="s">
        <v>32</v>
      </c>
      <c r="F863" s="5" t="s">
        <v>542</v>
      </c>
      <c r="G863" s="5" t="s">
        <v>178</v>
      </c>
      <c r="H863" s="5" t="s">
        <v>178</v>
      </c>
      <c r="I863" s="5" t="s">
        <v>543</v>
      </c>
      <c r="J863" t="s">
        <v>3224</v>
      </c>
      <c r="K863" s="5" t="s">
        <v>2779</v>
      </c>
      <c r="L863" s="5"/>
      <c r="M863" s="387">
        <v>0</v>
      </c>
      <c r="N863" s="387">
        <v>0</v>
      </c>
      <c r="O863" s="387">
        <v>0</v>
      </c>
      <c r="P863" s="387">
        <v>0</v>
      </c>
      <c r="Q863" s="387">
        <v>13</v>
      </c>
      <c r="R863" s="387">
        <v>83</v>
      </c>
      <c r="S863" s="1174">
        <f>Locations[[#This Row],[Ind_Returnees]]+Locations[[#This Row],[Ind_Refugees]]+Locations[[#This Row],[Ind_IDPs]]</f>
        <v>83</v>
      </c>
    </row>
    <row r="864" spans="1:19" s="388" customFormat="1" x14ac:dyDescent="0.3">
      <c r="A864" s="5" t="s">
        <v>533</v>
      </c>
      <c r="B864" s="1430" t="s">
        <v>3449</v>
      </c>
      <c r="C864" s="398" t="s">
        <v>534</v>
      </c>
      <c r="D864" s="5" t="s">
        <v>35</v>
      </c>
      <c r="E864" s="5" t="s">
        <v>35</v>
      </c>
      <c r="F864" s="5" t="s">
        <v>567</v>
      </c>
      <c r="G864" s="5" t="s">
        <v>195</v>
      </c>
      <c r="H864" s="5" t="s">
        <v>195</v>
      </c>
      <c r="I864" s="5" t="s">
        <v>733</v>
      </c>
      <c r="J864" t="s">
        <v>3225</v>
      </c>
      <c r="K864" s="5" t="s">
        <v>3068</v>
      </c>
      <c r="L864" s="5"/>
      <c r="M864" s="387">
        <v>0</v>
      </c>
      <c r="N864" s="387">
        <v>0</v>
      </c>
      <c r="O864" s="387">
        <v>0</v>
      </c>
      <c r="P864" s="387">
        <v>0</v>
      </c>
      <c r="Q864" s="387">
        <v>0</v>
      </c>
      <c r="R864" s="387">
        <v>0</v>
      </c>
      <c r="S864" s="1174">
        <f>Locations[[#This Row],[Ind_Returnees]]+Locations[[#This Row],[Ind_Refugees]]+Locations[[#This Row],[Ind_IDPs]]</f>
        <v>0</v>
      </c>
    </row>
    <row r="865" spans="1:19" s="388" customFormat="1" x14ac:dyDescent="0.3">
      <c r="A865" s="5" t="s">
        <v>533</v>
      </c>
      <c r="B865" s="1430" t="s">
        <v>3449</v>
      </c>
      <c r="C865" s="398" t="s">
        <v>534</v>
      </c>
      <c r="D865" s="5" t="s">
        <v>33</v>
      </c>
      <c r="E865" s="5" t="s">
        <v>33</v>
      </c>
      <c r="F865" s="5" t="s">
        <v>561</v>
      </c>
      <c r="G865" s="5" t="s">
        <v>186</v>
      </c>
      <c r="H865" s="5" t="s">
        <v>186</v>
      </c>
      <c r="I865" s="5" t="s">
        <v>682</v>
      </c>
      <c r="J865" t="s">
        <v>685</v>
      </c>
      <c r="K865" s="5" t="s">
        <v>686</v>
      </c>
      <c r="L865" s="5"/>
      <c r="M865" s="387">
        <v>5</v>
      </c>
      <c r="N865" s="387">
        <v>28</v>
      </c>
      <c r="O865" s="387">
        <v>0</v>
      </c>
      <c r="P865" s="387">
        <v>0</v>
      </c>
      <c r="Q865" s="387">
        <v>2</v>
      </c>
      <c r="R865" s="387">
        <v>9</v>
      </c>
      <c r="S865" s="1174">
        <f>Locations[[#This Row],[Ind_Returnees]]+Locations[[#This Row],[Ind_Refugees]]+Locations[[#This Row],[Ind_IDPs]]</f>
        <v>37</v>
      </c>
    </row>
    <row r="866" spans="1:19" s="388" customFormat="1" x14ac:dyDescent="0.3">
      <c r="A866" s="5" t="s">
        <v>533</v>
      </c>
      <c r="B866" s="1430" t="s">
        <v>3449</v>
      </c>
      <c r="C866" s="398" t="s">
        <v>534</v>
      </c>
      <c r="D866" s="5" t="s">
        <v>35</v>
      </c>
      <c r="E866" s="5" t="s">
        <v>35</v>
      </c>
      <c r="F866" s="5" t="s">
        <v>567</v>
      </c>
      <c r="G866" s="5" t="s">
        <v>192</v>
      </c>
      <c r="H866" s="5" t="s">
        <v>192</v>
      </c>
      <c r="I866" s="5" t="s">
        <v>853</v>
      </c>
      <c r="J866" t="s">
        <v>1314</v>
      </c>
      <c r="K866" s="5" t="s">
        <v>898</v>
      </c>
      <c r="L866" s="5"/>
      <c r="M866" s="387">
        <v>0</v>
      </c>
      <c r="N866" s="387">
        <v>0</v>
      </c>
      <c r="O866" s="387">
        <v>0</v>
      </c>
      <c r="P866" s="387">
        <v>0</v>
      </c>
      <c r="Q866" s="387">
        <v>0</v>
      </c>
      <c r="R866" s="387">
        <v>0</v>
      </c>
      <c r="S866" s="1174">
        <f>Locations[[#This Row],[Ind_Returnees]]+Locations[[#This Row],[Ind_Refugees]]+Locations[[#This Row],[Ind_IDPs]]</f>
        <v>0</v>
      </c>
    </row>
    <row r="867" spans="1:19" s="388" customFormat="1" x14ac:dyDescent="0.3">
      <c r="A867" s="5" t="s">
        <v>533</v>
      </c>
      <c r="B867" s="1430" t="s">
        <v>3449</v>
      </c>
      <c r="C867" s="398" t="s">
        <v>534</v>
      </c>
      <c r="D867" s="5" t="s">
        <v>35</v>
      </c>
      <c r="E867" s="5" t="s">
        <v>35</v>
      </c>
      <c r="F867" s="5" t="s">
        <v>567</v>
      </c>
      <c r="G867" s="5" t="s">
        <v>193</v>
      </c>
      <c r="H867" s="5" t="s">
        <v>3983</v>
      </c>
      <c r="I867" s="5" t="s">
        <v>863</v>
      </c>
      <c r="J867" t="s">
        <v>1122</v>
      </c>
      <c r="K867" s="5" t="s">
        <v>991</v>
      </c>
      <c r="L867" s="5"/>
      <c r="M867" s="387">
        <v>218</v>
      </c>
      <c r="N867" s="387">
        <v>1272</v>
      </c>
      <c r="O867" s="387">
        <v>2</v>
      </c>
      <c r="P867" s="387">
        <v>16</v>
      </c>
      <c r="Q867" s="387">
        <v>84</v>
      </c>
      <c r="R867" s="387">
        <v>466</v>
      </c>
      <c r="S867" s="1174">
        <f>Locations[[#This Row],[Ind_Returnees]]+Locations[[#This Row],[Ind_Refugees]]+Locations[[#This Row],[Ind_IDPs]]</f>
        <v>1754</v>
      </c>
    </row>
    <row r="868" spans="1:19" s="388" customFormat="1" x14ac:dyDescent="0.3">
      <c r="A868" s="5" t="s">
        <v>533</v>
      </c>
      <c r="B868" s="1430" t="s">
        <v>3449</v>
      </c>
      <c r="C868" s="398" t="s">
        <v>534</v>
      </c>
      <c r="D868" s="5" t="s">
        <v>35</v>
      </c>
      <c r="E868" s="5" t="s">
        <v>35</v>
      </c>
      <c r="F868" s="5" t="s">
        <v>567</v>
      </c>
      <c r="G868" s="5" t="s">
        <v>193</v>
      </c>
      <c r="H868" s="5" t="s">
        <v>3983</v>
      </c>
      <c r="I868" s="5" t="s">
        <v>863</v>
      </c>
      <c r="J868" t="s">
        <v>990</v>
      </c>
      <c r="K868" s="5" t="s">
        <v>1583</v>
      </c>
      <c r="L868" s="5"/>
      <c r="M868" s="387">
        <v>141</v>
      </c>
      <c r="N868" s="387">
        <v>828</v>
      </c>
      <c r="O868" s="387">
        <v>0</v>
      </c>
      <c r="P868" s="387">
        <v>0</v>
      </c>
      <c r="Q868" s="387">
        <v>95</v>
      </c>
      <c r="R868" s="387">
        <v>490</v>
      </c>
      <c r="S868" s="1174">
        <f>Locations[[#This Row],[Ind_Returnees]]+Locations[[#This Row],[Ind_Refugees]]+Locations[[#This Row],[Ind_IDPs]]</f>
        <v>1318</v>
      </c>
    </row>
    <row r="869" spans="1:19" s="388" customFormat="1" x14ac:dyDescent="0.3">
      <c r="A869" s="5" t="s">
        <v>533</v>
      </c>
      <c r="B869" s="1430" t="s">
        <v>3449</v>
      </c>
      <c r="C869" s="1090" t="s">
        <v>534</v>
      </c>
      <c r="D869" s="5" t="s">
        <v>35</v>
      </c>
      <c r="E869" s="5" t="s">
        <v>35</v>
      </c>
      <c r="F869" s="5" t="s">
        <v>567</v>
      </c>
      <c r="G869" s="5" t="s">
        <v>193</v>
      </c>
      <c r="H869" s="5" t="s">
        <v>3983</v>
      </c>
      <c r="I869" s="5" t="s">
        <v>863</v>
      </c>
      <c r="J869" t="s">
        <v>1582</v>
      </c>
      <c r="K869" s="5" t="s">
        <v>1092</v>
      </c>
      <c r="L869" s="5"/>
      <c r="M869" s="387">
        <v>53</v>
      </c>
      <c r="N869" s="387">
        <v>282</v>
      </c>
      <c r="O869" s="387">
        <v>3</v>
      </c>
      <c r="P869" s="387">
        <v>3</v>
      </c>
      <c r="Q869" s="387">
        <v>106</v>
      </c>
      <c r="R869" s="387">
        <v>540</v>
      </c>
      <c r="S869" s="1174">
        <f>Locations[[#This Row],[Ind_Returnees]]+Locations[[#This Row],[Ind_Refugees]]+Locations[[#This Row],[Ind_IDPs]]</f>
        <v>825</v>
      </c>
    </row>
    <row r="870" spans="1:19" s="388" customFormat="1" x14ac:dyDescent="0.3">
      <c r="A870" s="5" t="s">
        <v>533</v>
      </c>
      <c r="B870" s="1430" t="s">
        <v>3449</v>
      </c>
      <c r="C870" s="1090" t="s">
        <v>534</v>
      </c>
      <c r="D870" s="5" t="s">
        <v>31</v>
      </c>
      <c r="E870" s="5" t="s">
        <v>31</v>
      </c>
      <c r="F870" s="5" t="s">
        <v>549</v>
      </c>
      <c r="G870" s="5" t="s">
        <v>169</v>
      </c>
      <c r="H870" s="5" t="s">
        <v>169</v>
      </c>
      <c r="I870" s="5" t="s">
        <v>673</v>
      </c>
      <c r="J870" t="s">
        <v>2803</v>
      </c>
      <c r="K870" s="5" t="s">
        <v>3090</v>
      </c>
      <c r="L870" s="5"/>
      <c r="M870" s="387">
        <v>0</v>
      </c>
      <c r="N870" s="387">
        <v>0</v>
      </c>
      <c r="O870" s="387">
        <v>0</v>
      </c>
      <c r="P870" s="387">
        <v>0</v>
      </c>
      <c r="Q870" s="387">
        <v>1</v>
      </c>
      <c r="R870" s="387">
        <v>3</v>
      </c>
      <c r="S870" s="1174">
        <f>Locations[[#This Row],[Ind_Returnees]]+Locations[[#This Row],[Ind_Refugees]]+Locations[[#This Row],[Ind_IDPs]]</f>
        <v>3</v>
      </c>
    </row>
    <row r="871" spans="1:19" s="388" customFormat="1" x14ac:dyDescent="0.3">
      <c r="A871" s="5" t="s">
        <v>533</v>
      </c>
      <c r="B871" s="1430" t="s">
        <v>3449</v>
      </c>
      <c r="C871" s="1090" t="s">
        <v>534</v>
      </c>
      <c r="D871" s="5" t="s">
        <v>31</v>
      </c>
      <c r="E871" s="5" t="s">
        <v>31</v>
      </c>
      <c r="F871" s="5" t="s">
        <v>549</v>
      </c>
      <c r="G871" s="5" t="s">
        <v>167</v>
      </c>
      <c r="H871" s="5" t="s">
        <v>167</v>
      </c>
      <c r="I871" s="5" t="s">
        <v>1113</v>
      </c>
      <c r="J871" t="s">
        <v>2081</v>
      </c>
      <c r="K871" s="5" t="s">
        <v>1992</v>
      </c>
      <c r="L871" s="5"/>
      <c r="M871" s="387">
        <v>22</v>
      </c>
      <c r="N871" s="387">
        <v>185</v>
      </c>
      <c r="O871" s="387">
        <v>0</v>
      </c>
      <c r="P871" s="387">
        <v>0</v>
      </c>
      <c r="Q871" s="387">
        <v>0</v>
      </c>
      <c r="R871" s="387">
        <v>0</v>
      </c>
      <c r="S871" s="1174">
        <f>Locations[[#This Row],[Ind_Returnees]]+Locations[[#This Row],[Ind_Refugees]]+Locations[[#This Row],[Ind_IDPs]]</f>
        <v>185</v>
      </c>
    </row>
    <row r="872" spans="1:19" s="388" customFormat="1" x14ac:dyDescent="0.3">
      <c r="A872" s="5" t="s">
        <v>533</v>
      </c>
      <c r="B872" s="1430" t="s">
        <v>3449</v>
      </c>
      <c r="C872" s="1090" t="s">
        <v>534</v>
      </c>
      <c r="D872" s="5" t="s">
        <v>31</v>
      </c>
      <c r="E872" s="5" t="s">
        <v>31</v>
      </c>
      <c r="F872" s="5" t="s">
        <v>549</v>
      </c>
      <c r="G872" s="5" t="s">
        <v>170</v>
      </c>
      <c r="H872" s="5" t="s">
        <v>170</v>
      </c>
      <c r="I872" s="5" t="s">
        <v>866</v>
      </c>
      <c r="J872" t="s">
        <v>2972</v>
      </c>
      <c r="K872" s="5" t="s">
        <v>2174</v>
      </c>
      <c r="L872" s="5"/>
      <c r="M872" s="387">
        <v>8</v>
      </c>
      <c r="N872" s="387">
        <v>45</v>
      </c>
      <c r="O872" s="387">
        <v>0</v>
      </c>
      <c r="P872" s="387">
        <v>0</v>
      </c>
      <c r="Q872" s="387">
        <v>0</v>
      </c>
      <c r="R872" s="387">
        <v>0</v>
      </c>
      <c r="S872" s="1174">
        <f>Locations[[#This Row],[Ind_Returnees]]+Locations[[#This Row],[Ind_Refugees]]+Locations[[#This Row],[Ind_IDPs]]</f>
        <v>45</v>
      </c>
    </row>
    <row r="873" spans="1:19" s="388" customFormat="1" x14ac:dyDescent="0.3">
      <c r="A873" s="5" t="s">
        <v>533</v>
      </c>
      <c r="B873" s="1430" t="s">
        <v>3449</v>
      </c>
      <c r="C873" s="1090" t="s">
        <v>534</v>
      </c>
      <c r="D873" s="5" t="s">
        <v>31</v>
      </c>
      <c r="E873" s="5" t="s">
        <v>31</v>
      </c>
      <c r="F873" s="5" t="s">
        <v>549</v>
      </c>
      <c r="G873" s="5" t="s">
        <v>165</v>
      </c>
      <c r="H873" s="5" t="s">
        <v>165</v>
      </c>
      <c r="I873" s="5" t="s">
        <v>881</v>
      </c>
      <c r="J873" t="s">
        <v>2135</v>
      </c>
      <c r="K873" s="5" t="s">
        <v>997</v>
      </c>
      <c r="L873" s="5"/>
      <c r="M873" s="387">
        <v>0</v>
      </c>
      <c r="N873" s="387">
        <v>0</v>
      </c>
      <c r="O873" s="387">
        <v>0</v>
      </c>
      <c r="P873" s="387">
        <v>0</v>
      </c>
      <c r="Q873" s="387">
        <v>50</v>
      </c>
      <c r="R873" s="387">
        <v>315</v>
      </c>
      <c r="S873" s="1174">
        <f>Locations[[#This Row],[Ind_Returnees]]+Locations[[#This Row],[Ind_Refugees]]+Locations[[#This Row],[Ind_IDPs]]</f>
        <v>315</v>
      </c>
    </row>
    <row r="874" spans="1:19" s="388" customFormat="1" x14ac:dyDescent="0.3">
      <c r="A874" s="5" t="s">
        <v>533</v>
      </c>
      <c r="B874" s="1430" t="s">
        <v>3449</v>
      </c>
      <c r="C874" s="398" t="s">
        <v>534</v>
      </c>
      <c r="D874" s="5" t="s">
        <v>31</v>
      </c>
      <c r="E874" s="5" t="s">
        <v>31</v>
      </c>
      <c r="F874" s="5" t="s">
        <v>549</v>
      </c>
      <c r="G874" s="5" t="s">
        <v>167</v>
      </c>
      <c r="H874" s="5" t="s">
        <v>167</v>
      </c>
      <c r="I874" s="5" t="s">
        <v>1113</v>
      </c>
      <c r="J874" t="s">
        <v>2047</v>
      </c>
      <c r="K874" s="5" t="s">
        <v>1947</v>
      </c>
      <c r="L874" s="5"/>
      <c r="M874" s="387">
        <v>20</v>
      </c>
      <c r="N874" s="387">
        <v>49</v>
      </c>
      <c r="O874" s="387">
        <v>0</v>
      </c>
      <c r="P874" s="387">
        <v>0</v>
      </c>
      <c r="Q874" s="387">
        <v>0</v>
      </c>
      <c r="R874" s="387">
        <v>0</v>
      </c>
      <c r="S874" s="1174">
        <f>Locations[[#This Row],[Ind_Returnees]]+Locations[[#This Row],[Ind_Refugees]]+Locations[[#This Row],[Ind_IDPs]]</f>
        <v>49</v>
      </c>
    </row>
    <row r="875" spans="1:19" s="388" customFormat="1" x14ac:dyDescent="0.3">
      <c r="A875" s="5" t="s">
        <v>533</v>
      </c>
      <c r="B875" s="1430" t="s">
        <v>3449</v>
      </c>
      <c r="C875" s="1090" t="s">
        <v>534</v>
      </c>
      <c r="D875" s="5" t="s">
        <v>31</v>
      </c>
      <c r="E875" s="5" t="s">
        <v>31</v>
      </c>
      <c r="F875" s="5" t="s">
        <v>549</v>
      </c>
      <c r="G875" s="5" t="s">
        <v>171</v>
      </c>
      <c r="H875" s="5" t="s">
        <v>171</v>
      </c>
      <c r="I875" s="5" t="s">
        <v>634</v>
      </c>
      <c r="J875" t="s">
        <v>635</v>
      </c>
      <c r="K875" s="5" t="s">
        <v>2129</v>
      </c>
      <c r="L875" s="5"/>
      <c r="M875" s="387">
        <v>29</v>
      </c>
      <c r="N875" s="387">
        <v>165</v>
      </c>
      <c r="O875" s="387">
        <v>0</v>
      </c>
      <c r="P875" s="387">
        <v>0</v>
      </c>
      <c r="Q875" s="387">
        <v>0</v>
      </c>
      <c r="R875" s="387">
        <v>0</v>
      </c>
      <c r="S875" s="1174">
        <f>Locations[[#This Row],[Ind_Returnees]]+Locations[[#This Row],[Ind_Refugees]]+Locations[[#This Row],[Ind_IDPs]]</f>
        <v>165</v>
      </c>
    </row>
    <row r="876" spans="1:19" s="388" customFormat="1" x14ac:dyDescent="0.3">
      <c r="A876" s="5" t="s">
        <v>533</v>
      </c>
      <c r="B876" s="1430" t="s">
        <v>3449</v>
      </c>
      <c r="C876" s="398" t="s">
        <v>534</v>
      </c>
      <c r="D876" s="5" t="s">
        <v>31</v>
      </c>
      <c r="E876" s="5" t="s">
        <v>31</v>
      </c>
      <c r="F876" s="5" t="s">
        <v>549</v>
      </c>
      <c r="G876" s="5" t="s">
        <v>171</v>
      </c>
      <c r="H876" s="5" t="s">
        <v>171</v>
      </c>
      <c r="I876" s="5" t="s">
        <v>634</v>
      </c>
      <c r="J876" t="s">
        <v>1443</v>
      </c>
      <c r="K876" s="5" t="s">
        <v>1862</v>
      </c>
      <c r="L876" s="5"/>
      <c r="M876" s="387">
        <v>10</v>
      </c>
      <c r="N876" s="387">
        <v>25</v>
      </c>
      <c r="O876" s="387">
        <v>0</v>
      </c>
      <c r="P876" s="387">
        <v>0</v>
      </c>
      <c r="Q876" s="387">
        <v>0</v>
      </c>
      <c r="R876" s="387">
        <v>0</v>
      </c>
      <c r="S876" s="1174">
        <f>Locations[[#This Row],[Ind_Returnees]]+Locations[[#This Row],[Ind_Refugees]]+Locations[[#This Row],[Ind_IDPs]]</f>
        <v>25</v>
      </c>
    </row>
    <row r="877" spans="1:19" s="388" customFormat="1" x14ac:dyDescent="0.3">
      <c r="A877" s="5" t="s">
        <v>533</v>
      </c>
      <c r="B877" s="1430" t="s">
        <v>3449</v>
      </c>
      <c r="C877" s="1090" t="s">
        <v>534</v>
      </c>
      <c r="D877" s="5" t="s">
        <v>31</v>
      </c>
      <c r="E877" s="5" t="s">
        <v>31</v>
      </c>
      <c r="F877" s="5" t="s">
        <v>549</v>
      </c>
      <c r="G877" s="5" t="s">
        <v>171</v>
      </c>
      <c r="H877" s="5" t="s">
        <v>171</v>
      </c>
      <c r="I877" s="5" t="s">
        <v>634</v>
      </c>
      <c r="J877" t="s">
        <v>2018</v>
      </c>
      <c r="K877" s="5" t="s">
        <v>1342</v>
      </c>
      <c r="L877" s="5"/>
      <c r="M877" s="387">
        <v>6</v>
      </c>
      <c r="N877" s="387">
        <v>34</v>
      </c>
      <c r="O877" s="387">
        <v>6</v>
      </c>
      <c r="P877" s="387">
        <v>21</v>
      </c>
      <c r="Q877" s="387">
        <v>8</v>
      </c>
      <c r="R877" s="387">
        <v>42</v>
      </c>
      <c r="S877" s="1174">
        <f>Locations[[#This Row],[Ind_Returnees]]+Locations[[#This Row],[Ind_Refugees]]+Locations[[#This Row],[Ind_IDPs]]</f>
        <v>97</v>
      </c>
    </row>
    <row r="878" spans="1:19" s="388" customFormat="1" x14ac:dyDescent="0.3">
      <c r="A878" s="5" t="s">
        <v>533</v>
      </c>
      <c r="B878" s="1430" t="s">
        <v>3449</v>
      </c>
      <c r="C878" s="1090" t="s">
        <v>534</v>
      </c>
      <c r="D878" s="5" t="s">
        <v>35</v>
      </c>
      <c r="E878" s="5" t="s">
        <v>35</v>
      </c>
      <c r="F878" s="5" t="s">
        <v>567</v>
      </c>
      <c r="G878" s="5" t="s">
        <v>195</v>
      </c>
      <c r="H878" s="5" t="s">
        <v>195</v>
      </c>
      <c r="I878" s="5" t="s">
        <v>733</v>
      </c>
      <c r="J878" t="s">
        <v>1689</v>
      </c>
      <c r="K878" s="5" t="s">
        <v>1021</v>
      </c>
      <c r="L878" s="5"/>
      <c r="M878" s="387">
        <v>37</v>
      </c>
      <c r="N878" s="387">
        <v>185</v>
      </c>
      <c r="O878" s="387">
        <v>0</v>
      </c>
      <c r="P878" s="387">
        <v>0</v>
      </c>
      <c r="Q878" s="387">
        <v>0</v>
      </c>
      <c r="R878" s="387">
        <v>0</v>
      </c>
      <c r="S878" s="1174">
        <f>Locations[[#This Row],[Ind_Returnees]]+Locations[[#This Row],[Ind_Refugees]]+Locations[[#This Row],[Ind_IDPs]]</f>
        <v>185</v>
      </c>
    </row>
    <row r="879" spans="1:19" s="388" customFormat="1" x14ac:dyDescent="0.3">
      <c r="A879" s="577" t="s">
        <v>533</v>
      </c>
      <c r="B879" s="1430" t="s">
        <v>3449</v>
      </c>
      <c r="C879" s="577" t="s">
        <v>534</v>
      </c>
      <c r="D879" s="577" t="s">
        <v>35</v>
      </c>
      <c r="E879" s="577" t="s">
        <v>35</v>
      </c>
      <c r="F879" s="577" t="s">
        <v>567</v>
      </c>
      <c r="G879" s="577" t="s">
        <v>195</v>
      </c>
      <c r="H879" s="577" t="s">
        <v>195</v>
      </c>
      <c r="I879" s="577" t="s">
        <v>733</v>
      </c>
      <c r="J879" s="577" t="s">
        <v>2065</v>
      </c>
      <c r="K879" s="577" t="s">
        <v>2641</v>
      </c>
      <c r="L879" s="577"/>
      <c r="M879" s="387">
        <v>25</v>
      </c>
      <c r="N879" s="387">
        <v>152</v>
      </c>
      <c r="O879" s="387">
        <v>0</v>
      </c>
      <c r="P879" s="387">
        <v>0</v>
      </c>
      <c r="Q879" s="387">
        <v>0</v>
      </c>
      <c r="R879" s="387">
        <v>0</v>
      </c>
      <c r="S879" s="1174">
        <f>Locations[[#This Row],[Ind_Returnees]]+Locations[[#This Row],[Ind_Refugees]]+Locations[[#This Row],[Ind_IDPs]]</f>
        <v>152</v>
      </c>
    </row>
    <row r="880" spans="1:19" s="388" customFormat="1" x14ac:dyDescent="0.3">
      <c r="A880" s="5" t="s">
        <v>533</v>
      </c>
      <c r="B880" s="1430" t="s">
        <v>3449</v>
      </c>
      <c r="C880" s="398" t="s">
        <v>534</v>
      </c>
      <c r="D880" s="5" t="s">
        <v>35</v>
      </c>
      <c r="E880" s="5" t="s">
        <v>35</v>
      </c>
      <c r="F880" s="5" t="s">
        <v>567</v>
      </c>
      <c r="G880" s="5" t="s">
        <v>195</v>
      </c>
      <c r="H880" s="5" t="s">
        <v>195</v>
      </c>
      <c r="I880" s="5" t="s">
        <v>733</v>
      </c>
      <c r="J880" t="s">
        <v>2973</v>
      </c>
      <c r="K880" s="5" t="s">
        <v>2643</v>
      </c>
      <c r="L880" s="5"/>
      <c r="M880" s="387">
        <v>25</v>
      </c>
      <c r="N880" s="387">
        <v>152</v>
      </c>
      <c r="O880" s="387">
        <v>0</v>
      </c>
      <c r="P880" s="387">
        <v>0</v>
      </c>
      <c r="Q880" s="387">
        <v>0</v>
      </c>
      <c r="R880" s="387">
        <v>0</v>
      </c>
      <c r="S880" s="1174">
        <f>Locations[[#This Row],[Ind_Returnees]]+Locations[[#This Row],[Ind_Refugees]]+Locations[[#This Row],[Ind_IDPs]]</f>
        <v>152</v>
      </c>
    </row>
    <row r="881" spans="1:19" s="388" customFormat="1" x14ac:dyDescent="0.3">
      <c r="A881" s="5" t="s">
        <v>533</v>
      </c>
      <c r="B881" s="1430" t="s">
        <v>3449</v>
      </c>
      <c r="C881" s="398" t="s">
        <v>534</v>
      </c>
      <c r="D881" s="5" t="s">
        <v>32</v>
      </c>
      <c r="E881" s="5" t="s">
        <v>32</v>
      </c>
      <c r="F881" s="5" t="s">
        <v>542</v>
      </c>
      <c r="G881" s="5" t="s">
        <v>175</v>
      </c>
      <c r="H881" s="5" t="s">
        <v>175</v>
      </c>
      <c r="I881" s="5" t="s">
        <v>1136</v>
      </c>
      <c r="J881" t="s">
        <v>1771</v>
      </c>
      <c r="K881" s="5" t="s">
        <v>1772</v>
      </c>
      <c r="L881" s="5"/>
      <c r="M881" s="387">
        <v>20</v>
      </c>
      <c r="N881" s="387">
        <v>115</v>
      </c>
      <c r="O881" s="387">
        <v>0</v>
      </c>
      <c r="P881" s="387">
        <v>0</v>
      </c>
      <c r="Q881" s="387">
        <v>121</v>
      </c>
      <c r="R881" s="387">
        <v>1350</v>
      </c>
      <c r="S881" s="1174">
        <f>Locations[[#This Row],[Ind_Returnees]]+Locations[[#This Row],[Ind_Refugees]]+Locations[[#This Row],[Ind_IDPs]]</f>
        <v>1465</v>
      </c>
    </row>
    <row r="882" spans="1:19" s="388" customFormat="1" x14ac:dyDescent="0.3">
      <c r="A882" s="5" t="s">
        <v>533</v>
      </c>
      <c r="B882" s="1430" t="s">
        <v>3449</v>
      </c>
      <c r="C882" s="1090" t="s">
        <v>534</v>
      </c>
      <c r="D882" s="5" t="s">
        <v>31</v>
      </c>
      <c r="E882" s="5" t="s">
        <v>31</v>
      </c>
      <c r="F882" s="5" t="s">
        <v>549</v>
      </c>
      <c r="G882" s="5" t="s">
        <v>171</v>
      </c>
      <c r="H882" s="5" t="s">
        <v>171</v>
      </c>
      <c r="I882" s="5" t="s">
        <v>634</v>
      </c>
      <c r="J882" t="s">
        <v>2974</v>
      </c>
      <c r="K882" s="5" t="s">
        <v>636</v>
      </c>
      <c r="L882" s="5"/>
      <c r="M882" s="387">
        <v>14</v>
      </c>
      <c r="N882" s="387">
        <v>128</v>
      </c>
      <c r="O882" s="387">
        <v>0</v>
      </c>
      <c r="P882" s="387">
        <v>0</v>
      </c>
      <c r="Q882" s="387">
        <v>0</v>
      </c>
      <c r="R882" s="387">
        <v>0</v>
      </c>
      <c r="S882" s="1174">
        <f>Locations[[#This Row],[Ind_Returnees]]+Locations[[#This Row],[Ind_Refugees]]+Locations[[#This Row],[Ind_IDPs]]</f>
        <v>128</v>
      </c>
    </row>
    <row r="883" spans="1:19" s="388" customFormat="1" x14ac:dyDescent="0.3">
      <c r="A883" s="5" t="s">
        <v>533</v>
      </c>
      <c r="B883" s="1430" t="s">
        <v>3449</v>
      </c>
      <c r="C883" s="398" t="s">
        <v>534</v>
      </c>
      <c r="D883" s="5" t="s">
        <v>31</v>
      </c>
      <c r="E883" s="5" t="s">
        <v>31</v>
      </c>
      <c r="F883" s="5" t="s">
        <v>549</v>
      </c>
      <c r="G883" s="5" t="s">
        <v>171</v>
      </c>
      <c r="H883" s="5" t="s">
        <v>171</v>
      </c>
      <c r="I883" s="5" t="s">
        <v>634</v>
      </c>
      <c r="J883" t="s">
        <v>2229</v>
      </c>
      <c r="K883" s="5" t="s">
        <v>1967</v>
      </c>
      <c r="L883" s="5"/>
      <c r="M883" s="387">
        <v>33</v>
      </c>
      <c r="N883" s="387">
        <v>178</v>
      </c>
      <c r="O883" s="387">
        <v>0</v>
      </c>
      <c r="P883" s="387">
        <v>0</v>
      </c>
      <c r="Q883" s="387">
        <v>0</v>
      </c>
      <c r="R883" s="387">
        <v>0</v>
      </c>
      <c r="S883" s="1174">
        <f>Locations[[#This Row],[Ind_Returnees]]+Locations[[#This Row],[Ind_Refugees]]+Locations[[#This Row],[Ind_IDPs]]</f>
        <v>178</v>
      </c>
    </row>
    <row r="884" spans="1:19" s="388" customFormat="1" x14ac:dyDescent="0.3">
      <c r="A884" s="5" t="s">
        <v>533</v>
      </c>
      <c r="B884" s="1430" t="s">
        <v>3449</v>
      </c>
      <c r="C884" s="398" t="s">
        <v>534</v>
      </c>
      <c r="D884" s="5" t="s">
        <v>31</v>
      </c>
      <c r="E884" s="5" t="s">
        <v>31</v>
      </c>
      <c r="F884" s="5" t="s">
        <v>549</v>
      </c>
      <c r="G884" s="5" t="s">
        <v>171</v>
      </c>
      <c r="H884" s="5" t="s">
        <v>171</v>
      </c>
      <c r="I884" s="5" t="s">
        <v>634</v>
      </c>
      <c r="J884" t="s">
        <v>936</v>
      </c>
      <c r="K884" s="5" t="s">
        <v>912</v>
      </c>
      <c r="L884" s="5"/>
      <c r="M884" s="387">
        <v>32</v>
      </c>
      <c r="N884" s="387">
        <v>280</v>
      </c>
      <c r="O884" s="387">
        <v>0</v>
      </c>
      <c r="P884" s="387">
        <v>0</v>
      </c>
      <c r="Q884" s="387">
        <v>0</v>
      </c>
      <c r="R884" s="387">
        <v>0</v>
      </c>
      <c r="S884" s="1174">
        <f>Locations[[#This Row],[Ind_Returnees]]+Locations[[#This Row],[Ind_Refugees]]+Locations[[#This Row],[Ind_IDPs]]</f>
        <v>280</v>
      </c>
    </row>
    <row r="885" spans="1:19" s="388" customFormat="1" x14ac:dyDescent="0.3">
      <c r="A885" s="5" t="s">
        <v>533</v>
      </c>
      <c r="B885" s="1430" t="s">
        <v>3449</v>
      </c>
      <c r="C885" s="398" t="s">
        <v>534</v>
      </c>
      <c r="D885" s="5" t="s">
        <v>31</v>
      </c>
      <c r="E885" s="5" t="s">
        <v>31</v>
      </c>
      <c r="F885" s="5" t="s">
        <v>549</v>
      </c>
      <c r="G885" s="5" t="s">
        <v>164</v>
      </c>
      <c r="H885" s="5" t="s">
        <v>164</v>
      </c>
      <c r="I885" s="5" t="s">
        <v>748</v>
      </c>
      <c r="J885" t="s">
        <v>1970</v>
      </c>
      <c r="K885" s="5" t="s">
        <v>1971</v>
      </c>
      <c r="L885" s="5"/>
      <c r="M885" s="387">
        <v>16</v>
      </c>
      <c r="N885" s="387">
        <v>51</v>
      </c>
      <c r="O885" s="387">
        <v>0</v>
      </c>
      <c r="P885" s="387">
        <v>0</v>
      </c>
      <c r="Q885" s="387">
        <v>7</v>
      </c>
      <c r="R885" s="387">
        <v>27</v>
      </c>
      <c r="S885" s="1174">
        <f>Locations[[#This Row],[Ind_Returnees]]+Locations[[#This Row],[Ind_Refugees]]+Locations[[#This Row],[Ind_IDPs]]</f>
        <v>78</v>
      </c>
    </row>
    <row r="886" spans="1:19" s="388" customFormat="1" x14ac:dyDescent="0.3">
      <c r="A886" s="577" t="s">
        <v>533</v>
      </c>
      <c r="B886" s="1430" t="s">
        <v>3449</v>
      </c>
      <c r="C886" s="577" t="s">
        <v>534</v>
      </c>
      <c r="D886" s="577" t="s">
        <v>31</v>
      </c>
      <c r="E886" s="577" t="s">
        <v>31</v>
      </c>
      <c r="F886" s="577" t="s">
        <v>549</v>
      </c>
      <c r="G886" s="577" t="s">
        <v>171</v>
      </c>
      <c r="H886" s="577" t="s">
        <v>171</v>
      </c>
      <c r="I886" s="577" t="s">
        <v>634</v>
      </c>
      <c r="J886" s="577" t="s">
        <v>2148</v>
      </c>
      <c r="K886" s="577" t="s">
        <v>1247</v>
      </c>
      <c r="L886" s="577"/>
      <c r="M886" s="387">
        <v>28</v>
      </c>
      <c r="N886" s="387">
        <v>158</v>
      </c>
      <c r="O886" s="387">
        <v>0</v>
      </c>
      <c r="P886" s="387">
        <v>0</v>
      </c>
      <c r="Q886" s="387">
        <v>0</v>
      </c>
      <c r="R886" s="387">
        <v>0</v>
      </c>
      <c r="S886" s="1174">
        <f>Locations[[#This Row],[Ind_Returnees]]+Locations[[#This Row],[Ind_Refugees]]+Locations[[#This Row],[Ind_IDPs]]</f>
        <v>158</v>
      </c>
    </row>
    <row r="887" spans="1:19" s="388" customFormat="1" x14ac:dyDescent="0.3">
      <c r="A887" s="5" t="s">
        <v>533</v>
      </c>
      <c r="B887" s="1430" t="s">
        <v>3449</v>
      </c>
      <c r="C887" s="1090" t="s">
        <v>534</v>
      </c>
      <c r="D887" s="5" t="s">
        <v>31</v>
      </c>
      <c r="E887" s="5" t="s">
        <v>31</v>
      </c>
      <c r="F887" s="5" t="s">
        <v>549</v>
      </c>
      <c r="G887" s="5" t="s">
        <v>171</v>
      </c>
      <c r="H887" s="5" t="s">
        <v>171</v>
      </c>
      <c r="I887" s="5" t="s">
        <v>634</v>
      </c>
      <c r="J887" t="s">
        <v>1214</v>
      </c>
      <c r="K887" s="5" t="s">
        <v>1809</v>
      </c>
      <c r="L887" s="5"/>
      <c r="M887" s="387">
        <v>31</v>
      </c>
      <c r="N887" s="387">
        <v>135</v>
      </c>
      <c r="O887" s="387">
        <v>0</v>
      </c>
      <c r="P887" s="387">
        <v>0</v>
      </c>
      <c r="Q887" s="387">
        <v>0</v>
      </c>
      <c r="R887" s="387">
        <v>0</v>
      </c>
      <c r="S887" s="1174">
        <f>Locations[[#This Row],[Ind_Returnees]]+Locations[[#This Row],[Ind_Refugees]]+Locations[[#This Row],[Ind_IDPs]]</f>
        <v>135</v>
      </c>
    </row>
    <row r="888" spans="1:19" s="388" customFormat="1" x14ac:dyDescent="0.3">
      <c r="A888" s="5" t="s">
        <v>533</v>
      </c>
      <c r="B888" s="1430" t="s">
        <v>3449</v>
      </c>
      <c r="C888" s="1090" t="s">
        <v>534</v>
      </c>
      <c r="D888" s="5" t="s">
        <v>31</v>
      </c>
      <c r="E888" s="5" t="s">
        <v>31</v>
      </c>
      <c r="F888" s="5" t="s">
        <v>549</v>
      </c>
      <c r="G888" s="5" t="s">
        <v>171</v>
      </c>
      <c r="H888" s="5" t="s">
        <v>171</v>
      </c>
      <c r="I888" s="5" t="s">
        <v>634</v>
      </c>
      <c r="J888" t="s">
        <v>1026</v>
      </c>
      <c r="K888" s="5" t="s">
        <v>1813</v>
      </c>
      <c r="L888" s="5"/>
      <c r="M888" s="387">
        <v>23</v>
      </c>
      <c r="N888" s="387">
        <v>154</v>
      </c>
      <c r="O888" s="387">
        <v>0</v>
      </c>
      <c r="P888" s="387">
        <v>0</v>
      </c>
      <c r="Q888" s="387">
        <v>0</v>
      </c>
      <c r="R888" s="387">
        <v>0</v>
      </c>
      <c r="S888" s="1174">
        <f>Locations[[#This Row],[Ind_Returnees]]+Locations[[#This Row],[Ind_Refugees]]+Locations[[#This Row],[Ind_IDPs]]</f>
        <v>154</v>
      </c>
    </row>
    <row r="889" spans="1:19" s="388" customFormat="1" x14ac:dyDescent="0.3">
      <c r="A889" s="5" t="s">
        <v>533</v>
      </c>
      <c r="B889" s="1430" t="s">
        <v>3449</v>
      </c>
      <c r="C889" s="398" t="s">
        <v>534</v>
      </c>
      <c r="D889" s="5" t="s">
        <v>31</v>
      </c>
      <c r="E889" s="5" t="s">
        <v>31</v>
      </c>
      <c r="F889" s="5" t="s">
        <v>549</v>
      </c>
      <c r="G889" s="5" t="s">
        <v>171</v>
      </c>
      <c r="H889" s="5" t="s">
        <v>171</v>
      </c>
      <c r="I889" s="5" t="s">
        <v>634</v>
      </c>
      <c r="J889" t="s">
        <v>2975</v>
      </c>
      <c r="K889" s="5" t="s">
        <v>2134</v>
      </c>
      <c r="L889" s="5"/>
      <c r="M889" s="387">
        <v>22</v>
      </c>
      <c r="N889" s="387">
        <v>86</v>
      </c>
      <c r="O889" s="387">
        <v>0</v>
      </c>
      <c r="P889" s="387">
        <v>0</v>
      </c>
      <c r="Q889" s="387">
        <v>0</v>
      </c>
      <c r="R889" s="387">
        <v>0</v>
      </c>
      <c r="S889" s="1174">
        <f>Locations[[#This Row],[Ind_Returnees]]+Locations[[#This Row],[Ind_Refugees]]+Locations[[#This Row],[Ind_IDPs]]</f>
        <v>86</v>
      </c>
    </row>
    <row r="890" spans="1:19" s="388" customFormat="1" x14ac:dyDescent="0.3">
      <c r="A890" s="5" t="s">
        <v>533</v>
      </c>
      <c r="B890" s="1430" t="s">
        <v>3449</v>
      </c>
      <c r="C890" s="398" t="s">
        <v>534</v>
      </c>
      <c r="D890" s="5" t="s">
        <v>31</v>
      </c>
      <c r="E890" s="5" t="s">
        <v>31</v>
      </c>
      <c r="F890" s="5" t="s">
        <v>549</v>
      </c>
      <c r="G890" s="5" t="s">
        <v>171</v>
      </c>
      <c r="H890" s="5" t="s">
        <v>171</v>
      </c>
      <c r="I890" s="5" t="s">
        <v>634</v>
      </c>
      <c r="J890" t="s">
        <v>1322</v>
      </c>
      <c r="K890" s="5" t="s">
        <v>2002</v>
      </c>
      <c r="L890" s="5"/>
      <c r="M890" s="387">
        <v>39</v>
      </c>
      <c r="N890" s="387">
        <v>250</v>
      </c>
      <c r="O890" s="387">
        <v>0</v>
      </c>
      <c r="P890" s="387">
        <v>0</v>
      </c>
      <c r="Q890" s="387">
        <v>0</v>
      </c>
      <c r="R890" s="387">
        <v>0</v>
      </c>
      <c r="S890" s="1174">
        <f>Locations[[#This Row],[Ind_Returnees]]+Locations[[#This Row],[Ind_Refugees]]+Locations[[#This Row],[Ind_IDPs]]</f>
        <v>250</v>
      </c>
    </row>
    <row r="891" spans="1:19" s="388" customFormat="1" x14ac:dyDescent="0.3">
      <c r="A891" s="5" t="s">
        <v>533</v>
      </c>
      <c r="B891" s="1430" t="s">
        <v>3449</v>
      </c>
      <c r="C891" s="1090" t="s">
        <v>534</v>
      </c>
      <c r="D891" s="5" t="s">
        <v>30</v>
      </c>
      <c r="E891" s="5" t="s">
        <v>3522</v>
      </c>
      <c r="F891" s="5" t="s">
        <v>535</v>
      </c>
      <c r="G891" s="5" t="s">
        <v>162</v>
      </c>
      <c r="H891" s="5" t="s">
        <v>3529</v>
      </c>
      <c r="I891" s="5" t="s">
        <v>536</v>
      </c>
      <c r="J891" t="s">
        <v>612</v>
      </c>
      <c r="K891" s="5" t="s">
        <v>613</v>
      </c>
      <c r="L891" s="5"/>
      <c r="M891" s="387">
        <v>3</v>
      </c>
      <c r="N891" s="387">
        <v>23</v>
      </c>
      <c r="O891" s="387">
        <v>0</v>
      </c>
      <c r="P891" s="387">
        <v>0</v>
      </c>
      <c r="Q891" s="387">
        <v>0</v>
      </c>
      <c r="R891" s="387">
        <v>0</v>
      </c>
      <c r="S891" s="1174">
        <f>Locations[[#This Row],[Ind_Returnees]]+Locations[[#This Row],[Ind_Refugees]]+Locations[[#This Row],[Ind_IDPs]]</f>
        <v>23</v>
      </c>
    </row>
    <row r="892" spans="1:19" s="388" customFormat="1" x14ac:dyDescent="0.3">
      <c r="A892" s="5" t="s">
        <v>533</v>
      </c>
      <c r="B892" s="1430" t="s">
        <v>3449</v>
      </c>
      <c r="C892" s="1090" t="s">
        <v>534</v>
      </c>
      <c r="D892" s="5" t="s">
        <v>31</v>
      </c>
      <c r="E892" s="5" t="s">
        <v>31</v>
      </c>
      <c r="F892" s="5" t="s">
        <v>549</v>
      </c>
      <c r="G892" s="5" t="s">
        <v>170</v>
      </c>
      <c r="H892" s="5" t="s">
        <v>170</v>
      </c>
      <c r="I892" s="5" t="s">
        <v>866</v>
      </c>
      <c r="J892" t="s">
        <v>1556</v>
      </c>
      <c r="K892" s="5" t="s">
        <v>613</v>
      </c>
      <c r="L892" s="5"/>
      <c r="M892" s="387">
        <v>23</v>
      </c>
      <c r="N892" s="387">
        <v>204</v>
      </c>
      <c r="O892" s="387">
        <v>0</v>
      </c>
      <c r="P892" s="387">
        <v>0</v>
      </c>
      <c r="Q892" s="387">
        <v>0</v>
      </c>
      <c r="R892" s="387">
        <v>0</v>
      </c>
      <c r="S892" s="1174">
        <f>Locations[[#This Row],[Ind_Returnees]]+Locations[[#This Row],[Ind_Refugees]]+Locations[[#This Row],[Ind_IDPs]]</f>
        <v>204</v>
      </c>
    </row>
    <row r="893" spans="1:19" s="388" customFormat="1" x14ac:dyDescent="0.3">
      <c r="A893" s="5" t="s">
        <v>533</v>
      </c>
      <c r="B893" s="1430" t="s">
        <v>3449</v>
      </c>
      <c r="C893" s="1090" t="s">
        <v>534</v>
      </c>
      <c r="D893" s="5" t="s">
        <v>31</v>
      </c>
      <c r="E893" s="5" t="s">
        <v>31</v>
      </c>
      <c r="F893" s="5" t="s">
        <v>549</v>
      </c>
      <c r="G893" s="5" t="s">
        <v>169</v>
      </c>
      <c r="H893" s="5" t="s">
        <v>169</v>
      </c>
      <c r="I893" s="5" t="s">
        <v>673</v>
      </c>
      <c r="J893" t="s">
        <v>2574</v>
      </c>
      <c r="K893" s="5" t="s">
        <v>613</v>
      </c>
      <c r="L893" s="5"/>
      <c r="M893" s="387">
        <v>8</v>
      </c>
      <c r="N893" s="387">
        <v>39</v>
      </c>
      <c r="O893" s="387">
        <v>22</v>
      </c>
      <c r="P893" s="387">
        <v>113</v>
      </c>
      <c r="Q893" s="387">
        <v>49</v>
      </c>
      <c r="R893" s="387">
        <v>450</v>
      </c>
      <c r="S893" s="1174">
        <f>Locations[[#This Row],[Ind_Returnees]]+Locations[[#This Row],[Ind_Refugees]]+Locations[[#This Row],[Ind_IDPs]]</f>
        <v>602</v>
      </c>
    </row>
    <row r="894" spans="1:19" s="388" customFormat="1" x14ac:dyDescent="0.3">
      <c r="A894" s="5" t="s">
        <v>533</v>
      </c>
      <c r="B894" s="1430" t="s">
        <v>3449</v>
      </c>
      <c r="C894" s="1090" t="s">
        <v>534</v>
      </c>
      <c r="D894" s="5" t="s">
        <v>31</v>
      </c>
      <c r="E894" s="5" t="s">
        <v>31</v>
      </c>
      <c r="F894" s="5" t="s">
        <v>549</v>
      </c>
      <c r="G894" s="5" t="s">
        <v>171</v>
      </c>
      <c r="H894" s="5" t="s">
        <v>171</v>
      </c>
      <c r="I894" s="5" t="s">
        <v>634</v>
      </c>
      <c r="J894" t="s">
        <v>1341</v>
      </c>
      <c r="K894" s="5" t="s">
        <v>1756</v>
      </c>
      <c r="L894" s="5"/>
      <c r="M894" s="387">
        <v>18</v>
      </c>
      <c r="N894" s="387">
        <v>109</v>
      </c>
      <c r="O894" s="387">
        <v>6</v>
      </c>
      <c r="P894" s="387">
        <v>9</v>
      </c>
      <c r="Q894" s="387">
        <v>0</v>
      </c>
      <c r="R894" s="387">
        <v>0</v>
      </c>
      <c r="S894" s="1174">
        <f>Locations[[#This Row],[Ind_Returnees]]+Locations[[#This Row],[Ind_Refugees]]+Locations[[#This Row],[Ind_IDPs]]</f>
        <v>118</v>
      </c>
    </row>
    <row r="895" spans="1:19" s="388" customFormat="1" x14ac:dyDescent="0.3">
      <c r="A895" s="5" t="s">
        <v>533</v>
      </c>
      <c r="B895" s="1430" t="s">
        <v>3449</v>
      </c>
      <c r="C895" s="398" t="s">
        <v>534</v>
      </c>
      <c r="D895" s="5" t="s">
        <v>31</v>
      </c>
      <c r="E895" s="5" t="s">
        <v>31</v>
      </c>
      <c r="F895" s="5" t="s">
        <v>549</v>
      </c>
      <c r="G895" s="5" t="s">
        <v>169</v>
      </c>
      <c r="H895" s="5" t="s">
        <v>169</v>
      </c>
      <c r="I895" s="5" t="s">
        <v>673</v>
      </c>
      <c r="J895" t="s">
        <v>3226</v>
      </c>
      <c r="K895" s="5" t="s">
        <v>3071</v>
      </c>
      <c r="L895" s="5"/>
      <c r="M895" s="387">
        <v>0</v>
      </c>
      <c r="N895" s="387">
        <v>0</v>
      </c>
      <c r="O895" s="387">
        <v>0</v>
      </c>
      <c r="P895" s="387">
        <v>0</v>
      </c>
      <c r="Q895" s="387">
        <v>46</v>
      </c>
      <c r="R895" s="387">
        <v>360</v>
      </c>
      <c r="S895" s="1174">
        <f>Locations[[#This Row],[Ind_Returnees]]+Locations[[#This Row],[Ind_Refugees]]+Locations[[#This Row],[Ind_IDPs]]</f>
        <v>360</v>
      </c>
    </row>
    <row r="896" spans="1:19" s="388" customFormat="1" x14ac:dyDescent="0.3">
      <c r="A896" s="5" t="s">
        <v>533</v>
      </c>
      <c r="B896" s="1430" t="s">
        <v>3449</v>
      </c>
      <c r="C896" s="1090" t="s">
        <v>534</v>
      </c>
      <c r="D896" s="5" t="s">
        <v>31</v>
      </c>
      <c r="E896" s="5" t="s">
        <v>31</v>
      </c>
      <c r="F896" s="5" t="s">
        <v>549</v>
      </c>
      <c r="G896" s="5" t="s">
        <v>171</v>
      </c>
      <c r="H896" s="5" t="s">
        <v>171</v>
      </c>
      <c r="I896" s="5" t="s">
        <v>634</v>
      </c>
      <c r="J896" t="s">
        <v>893</v>
      </c>
      <c r="K896" s="5" t="s">
        <v>2167</v>
      </c>
      <c r="L896" s="5"/>
      <c r="M896" s="387">
        <v>0</v>
      </c>
      <c r="N896" s="387">
        <v>0</v>
      </c>
      <c r="O896" s="387">
        <v>15</v>
      </c>
      <c r="P896" s="387">
        <v>78</v>
      </c>
      <c r="Q896" s="387">
        <v>0</v>
      </c>
      <c r="R896" s="387">
        <v>0</v>
      </c>
      <c r="S896" s="1174">
        <f>Locations[[#This Row],[Ind_Returnees]]+Locations[[#This Row],[Ind_Refugees]]+Locations[[#This Row],[Ind_IDPs]]</f>
        <v>78</v>
      </c>
    </row>
    <row r="897" spans="1:19" s="388" customFormat="1" x14ac:dyDescent="0.3">
      <c r="A897" s="5" t="s">
        <v>533</v>
      </c>
      <c r="B897" s="1430" t="s">
        <v>3449</v>
      </c>
      <c r="C897" s="398" t="s">
        <v>534</v>
      </c>
      <c r="D897" s="5" t="s">
        <v>31</v>
      </c>
      <c r="E897" s="5" t="s">
        <v>31</v>
      </c>
      <c r="F897" s="5" t="s">
        <v>549</v>
      </c>
      <c r="G897" s="5" t="s">
        <v>169</v>
      </c>
      <c r="H897" s="5" t="s">
        <v>169</v>
      </c>
      <c r="I897" s="5" t="s">
        <v>673</v>
      </c>
      <c r="J897" t="s">
        <v>3002</v>
      </c>
      <c r="K897" s="5" t="s">
        <v>2334</v>
      </c>
      <c r="L897" s="5"/>
      <c r="M897" s="387">
        <v>0</v>
      </c>
      <c r="N897" s="387">
        <v>0</v>
      </c>
      <c r="O897" s="387">
        <v>0</v>
      </c>
      <c r="P897" s="387">
        <v>0</v>
      </c>
      <c r="Q897" s="387">
        <v>127</v>
      </c>
      <c r="R897" s="387">
        <v>255</v>
      </c>
      <c r="S897" s="1174">
        <f>Locations[[#This Row],[Ind_Returnees]]+Locations[[#This Row],[Ind_Refugees]]+Locations[[#This Row],[Ind_IDPs]]</f>
        <v>255</v>
      </c>
    </row>
    <row r="898" spans="1:19" s="388" customFormat="1" x14ac:dyDescent="0.3">
      <c r="A898" s="5" t="s">
        <v>533</v>
      </c>
      <c r="B898" s="1430" t="s">
        <v>3449</v>
      </c>
      <c r="C898" s="398" t="s">
        <v>534</v>
      </c>
      <c r="D898" s="5" t="s">
        <v>31</v>
      </c>
      <c r="E898" s="5" t="s">
        <v>31</v>
      </c>
      <c r="F898" s="5" t="s">
        <v>549</v>
      </c>
      <c r="G898" s="5" t="s">
        <v>164</v>
      </c>
      <c r="H898" s="5" t="s">
        <v>164</v>
      </c>
      <c r="I898" s="5" t="s">
        <v>748</v>
      </c>
      <c r="J898" t="s">
        <v>1786</v>
      </c>
      <c r="K898" s="5" t="s">
        <v>1787</v>
      </c>
      <c r="L898" s="5"/>
      <c r="M898" s="387">
        <v>7</v>
      </c>
      <c r="N898" s="387">
        <v>38</v>
      </c>
      <c r="O898" s="387">
        <v>0</v>
      </c>
      <c r="P898" s="387">
        <v>0</v>
      </c>
      <c r="Q898" s="387">
        <v>0</v>
      </c>
      <c r="R898" s="387">
        <v>0</v>
      </c>
      <c r="S898" s="1174">
        <f>Locations[[#This Row],[Ind_Returnees]]+Locations[[#This Row],[Ind_Refugees]]+Locations[[#This Row],[Ind_IDPs]]</f>
        <v>38</v>
      </c>
    </row>
    <row r="899" spans="1:19" s="388" customFormat="1" x14ac:dyDescent="0.3">
      <c r="A899" s="5" t="s">
        <v>533</v>
      </c>
      <c r="B899" s="1430" t="s">
        <v>3449</v>
      </c>
      <c r="C899" s="1090" t="s">
        <v>534</v>
      </c>
      <c r="D899" s="5" t="s">
        <v>31</v>
      </c>
      <c r="E899" s="5" t="s">
        <v>31</v>
      </c>
      <c r="F899" s="5" t="s">
        <v>549</v>
      </c>
      <c r="G899" s="5" t="s">
        <v>165</v>
      </c>
      <c r="H899" s="5" t="s">
        <v>165</v>
      </c>
      <c r="I899" s="5" t="s">
        <v>881</v>
      </c>
      <c r="J899" t="s">
        <v>1693</v>
      </c>
      <c r="K899" s="5" t="s">
        <v>2491</v>
      </c>
      <c r="L899" s="5"/>
      <c r="M899" s="387">
        <v>7</v>
      </c>
      <c r="N899" s="387">
        <v>40</v>
      </c>
      <c r="O899" s="387">
        <v>0</v>
      </c>
      <c r="P899" s="387">
        <v>0</v>
      </c>
      <c r="Q899" s="387">
        <v>0</v>
      </c>
      <c r="R899" s="387">
        <v>0</v>
      </c>
      <c r="S899" s="1174">
        <f>Locations[[#This Row],[Ind_Returnees]]+Locations[[#This Row],[Ind_Refugees]]+Locations[[#This Row],[Ind_IDPs]]</f>
        <v>40</v>
      </c>
    </row>
    <row r="900" spans="1:19" s="388" customFormat="1" x14ac:dyDescent="0.3">
      <c r="A900" s="5" t="s">
        <v>533</v>
      </c>
      <c r="B900" s="1430" t="s">
        <v>3449</v>
      </c>
      <c r="C900" s="398" t="s">
        <v>534</v>
      </c>
      <c r="D900" s="5" t="s">
        <v>31</v>
      </c>
      <c r="E900" s="5" t="s">
        <v>31</v>
      </c>
      <c r="F900" s="5" t="s">
        <v>549</v>
      </c>
      <c r="G900" s="5" t="s">
        <v>171</v>
      </c>
      <c r="H900" s="5" t="s">
        <v>171</v>
      </c>
      <c r="I900" s="5" t="s">
        <v>634</v>
      </c>
      <c r="J900" t="s">
        <v>1966</v>
      </c>
      <c r="K900" s="5" t="s">
        <v>1830</v>
      </c>
      <c r="L900" s="5"/>
      <c r="M900" s="387">
        <v>7</v>
      </c>
      <c r="N900" s="387">
        <v>41</v>
      </c>
      <c r="O900" s="387">
        <v>9</v>
      </c>
      <c r="P900" s="387">
        <v>36</v>
      </c>
      <c r="Q900" s="387">
        <v>0</v>
      </c>
      <c r="R900" s="387">
        <v>0</v>
      </c>
      <c r="S900" s="1174">
        <f>Locations[[#This Row],[Ind_Returnees]]+Locations[[#This Row],[Ind_Refugees]]+Locations[[#This Row],[Ind_IDPs]]</f>
        <v>77</v>
      </c>
    </row>
    <row r="901" spans="1:19" s="388" customFormat="1" x14ac:dyDescent="0.3">
      <c r="A901" s="5" t="s">
        <v>533</v>
      </c>
      <c r="B901" s="1430" t="s">
        <v>3449</v>
      </c>
      <c r="C901" s="398" t="s">
        <v>534</v>
      </c>
      <c r="D901" s="5" t="s">
        <v>31</v>
      </c>
      <c r="E901" s="5" t="s">
        <v>31</v>
      </c>
      <c r="F901" s="5" t="s">
        <v>549</v>
      </c>
      <c r="G901" s="5" t="s">
        <v>171</v>
      </c>
      <c r="H901" s="5" t="s">
        <v>171</v>
      </c>
      <c r="I901" s="5" t="s">
        <v>634</v>
      </c>
      <c r="J901" t="s">
        <v>911</v>
      </c>
      <c r="K901" s="5" t="s">
        <v>2605</v>
      </c>
      <c r="L901" s="5"/>
      <c r="M901" s="387">
        <v>14</v>
      </c>
      <c r="N901" s="387">
        <v>104</v>
      </c>
      <c r="O901" s="387">
        <v>4</v>
      </c>
      <c r="P901" s="387">
        <v>27</v>
      </c>
      <c r="Q901" s="387">
        <v>0</v>
      </c>
      <c r="R901" s="387">
        <v>0</v>
      </c>
      <c r="S901" s="1174">
        <f>Locations[[#This Row],[Ind_Returnees]]+Locations[[#This Row],[Ind_Refugees]]+Locations[[#This Row],[Ind_IDPs]]</f>
        <v>131</v>
      </c>
    </row>
    <row r="902" spans="1:19" s="388" customFormat="1" x14ac:dyDescent="0.3">
      <c r="A902" s="5" t="s">
        <v>533</v>
      </c>
      <c r="B902" s="1430" t="s">
        <v>3449</v>
      </c>
      <c r="C902" s="398" t="s">
        <v>534</v>
      </c>
      <c r="D902" s="5" t="s">
        <v>31</v>
      </c>
      <c r="E902" s="5" t="s">
        <v>31</v>
      </c>
      <c r="F902" s="5" t="s">
        <v>549</v>
      </c>
      <c r="G902" s="5" t="s">
        <v>171</v>
      </c>
      <c r="H902" s="5" t="s">
        <v>171</v>
      </c>
      <c r="I902" s="5" t="s">
        <v>634</v>
      </c>
      <c r="J902" t="s">
        <v>1808</v>
      </c>
      <c r="K902" s="5" t="s">
        <v>1821</v>
      </c>
      <c r="L902" s="5"/>
      <c r="M902" s="387">
        <v>10</v>
      </c>
      <c r="N902" s="387">
        <v>62</v>
      </c>
      <c r="O902" s="387">
        <v>4</v>
      </c>
      <c r="P902" s="387">
        <v>29</v>
      </c>
      <c r="Q902" s="387">
        <v>0</v>
      </c>
      <c r="R902" s="387">
        <v>0</v>
      </c>
      <c r="S902" s="1174">
        <f>Locations[[#This Row],[Ind_Returnees]]+Locations[[#This Row],[Ind_Refugees]]+Locations[[#This Row],[Ind_IDPs]]</f>
        <v>91</v>
      </c>
    </row>
    <row r="903" spans="1:19" s="388" customFormat="1" x14ac:dyDescent="0.3">
      <c r="A903" s="5" t="s">
        <v>533</v>
      </c>
      <c r="B903" s="1430" t="s">
        <v>3449</v>
      </c>
      <c r="C903" s="1090" t="s">
        <v>534</v>
      </c>
      <c r="D903" s="5" t="s">
        <v>31</v>
      </c>
      <c r="E903" s="5" t="s">
        <v>31</v>
      </c>
      <c r="F903" s="5" t="s">
        <v>549</v>
      </c>
      <c r="G903" s="5" t="s">
        <v>169</v>
      </c>
      <c r="H903" s="5" t="s">
        <v>169</v>
      </c>
      <c r="I903" s="5" t="s">
        <v>673</v>
      </c>
      <c r="J903" t="s">
        <v>2572</v>
      </c>
      <c r="K903" s="5" t="s">
        <v>1271</v>
      </c>
      <c r="L903" s="5"/>
      <c r="M903" s="387">
        <v>16</v>
      </c>
      <c r="N903" s="387">
        <v>117</v>
      </c>
      <c r="O903" s="387">
        <v>18</v>
      </c>
      <c r="P903" s="387">
        <v>205</v>
      </c>
      <c r="Q903" s="387">
        <v>0</v>
      </c>
      <c r="R903" s="387">
        <v>0</v>
      </c>
      <c r="S903" s="1174">
        <f>Locations[[#This Row],[Ind_Returnees]]+Locations[[#This Row],[Ind_Refugees]]+Locations[[#This Row],[Ind_IDPs]]</f>
        <v>322</v>
      </c>
    </row>
    <row r="904" spans="1:19" s="388" customFormat="1" x14ac:dyDescent="0.3">
      <c r="A904" s="5" t="s">
        <v>533</v>
      </c>
      <c r="B904" s="1430" t="s">
        <v>3449</v>
      </c>
      <c r="C904" s="1090" t="s">
        <v>534</v>
      </c>
      <c r="D904" s="5" t="s">
        <v>31</v>
      </c>
      <c r="E904" s="5" t="s">
        <v>31</v>
      </c>
      <c r="F904" s="5" t="s">
        <v>549</v>
      </c>
      <c r="G904" s="5" t="s">
        <v>169</v>
      </c>
      <c r="H904" s="5" t="s">
        <v>169</v>
      </c>
      <c r="I904" s="5" t="s">
        <v>673</v>
      </c>
      <c r="J904" t="s">
        <v>2990</v>
      </c>
      <c r="K904" s="5" t="s">
        <v>2331</v>
      </c>
      <c r="L904" s="5"/>
      <c r="M904" s="387">
        <v>15</v>
      </c>
      <c r="N904" s="387">
        <v>20</v>
      </c>
      <c r="O904" s="387">
        <v>0</v>
      </c>
      <c r="P904" s="387">
        <v>0</v>
      </c>
      <c r="Q904" s="387">
        <v>15</v>
      </c>
      <c r="R904" s="387">
        <v>107</v>
      </c>
      <c r="S904" s="1174">
        <f>Locations[[#This Row],[Ind_Returnees]]+Locations[[#This Row],[Ind_Refugees]]+Locations[[#This Row],[Ind_IDPs]]</f>
        <v>127</v>
      </c>
    </row>
    <row r="905" spans="1:19" s="388" customFormat="1" x14ac:dyDescent="0.3">
      <c r="A905" s="5" t="s">
        <v>533</v>
      </c>
      <c r="B905" s="1430" t="s">
        <v>3449</v>
      </c>
      <c r="C905" s="1090" t="s">
        <v>534</v>
      </c>
      <c r="D905" s="5" t="s">
        <v>35</v>
      </c>
      <c r="E905" s="5" t="s">
        <v>35</v>
      </c>
      <c r="F905" s="5" t="s">
        <v>567</v>
      </c>
      <c r="G905" s="5" t="s">
        <v>192</v>
      </c>
      <c r="H905" s="5" t="s">
        <v>192</v>
      </c>
      <c r="I905" s="5" t="s">
        <v>853</v>
      </c>
      <c r="J905" t="s">
        <v>3227</v>
      </c>
      <c r="K905" s="5" t="s">
        <v>2793</v>
      </c>
      <c r="L905" s="5"/>
      <c r="M905" s="387">
        <v>25</v>
      </c>
      <c r="N905" s="387">
        <v>139</v>
      </c>
      <c r="O905" s="387">
        <v>0</v>
      </c>
      <c r="P905" s="387">
        <v>0</v>
      </c>
      <c r="Q905" s="387">
        <v>0</v>
      </c>
      <c r="R905" s="387">
        <v>0</v>
      </c>
      <c r="S905" s="1174">
        <f>Locations[[#This Row],[Ind_Returnees]]+Locations[[#This Row],[Ind_Refugees]]+Locations[[#This Row],[Ind_IDPs]]</f>
        <v>139</v>
      </c>
    </row>
    <row r="906" spans="1:19" s="388" customFormat="1" x14ac:dyDescent="0.3">
      <c r="A906" s="5" t="s">
        <v>533</v>
      </c>
      <c r="B906" s="1430" t="s">
        <v>3449</v>
      </c>
      <c r="C906" s="398" t="s">
        <v>534</v>
      </c>
      <c r="D906" s="5" t="s">
        <v>30</v>
      </c>
      <c r="E906" s="5" t="s">
        <v>3522</v>
      </c>
      <c r="F906" s="5" t="s">
        <v>535</v>
      </c>
      <c r="G906" s="5" t="s">
        <v>156</v>
      </c>
      <c r="H906" s="5" t="s">
        <v>156</v>
      </c>
      <c r="I906" s="5" t="s">
        <v>697</v>
      </c>
      <c r="J906" t="s">
        <v>2978</v>
      </c>
      <c r="K906" s="5" t="s">
        <v>2384</v>
      </c>
      <c r="L906" s="5"/>
      <c r="M906" s="387">
        <v>0</v>
      </c>
      <c r="N906" s="387">
        <v>0</v>
      </c>
      <c r="O906" s="387">
        <v>0</v>
      </c>
      <c r="P906" s="387">
        <v>0</v>
      </c>
      <c r="Q906" s="387">
        <v>0</v>
      </c>
      <c r="R906" s="387">
        <v>0</v>
      </c>
      <c r="S906" s="1174">
        <f>Locations[[#This Row],[Ind_Returnees]]+Locations[[#This Row],[Ind_Refugees]]+Locations[[#This Row],[Ind_IDPs]]</f>
        <v>0</v>
      </c>
    </row>
    <row r="907" spans="1:19" s="388" customFormat="1" x14ac:dyDescent="0.3">
      <c r="A907" s="5" t="s">
        <v>533</v>
      </c>
      <c r="B907" s="1430" t="s">
        <v>3449</v>
      </c>
      <c r="C907" s="1090" t="s">
        <v>534</v>
      </c>
      <c r="D907" s="5" t="s">
        <v>31</v>
      </c>
      <c r="E907" s="5" t="s">
        <v>31</v>
      </c>
      <c r="F907" s="5" t="s">
        <v>549</v>
      </c>
      <c r="G907" s="5" t="s">
        <v>169</v>
      </c>
      <c r="H907" s="5" t="s">
        <v>169</v>
      </c>
      <c r="I907" s="5" t="s">
        <v>673</v>
      </c>
      <c r="J907" t="s">
        <v>2566</v>
      </c>
      <c r="K907" s="5" t="s">
        <v>1563</v>
      </c>
      <c r="L907" s="5"/>
      <c r="M907" s="387">
        <v>59</v>
      </c>
      <c r="N907" s="387">
        <v>309</v>
      </c>
      <c r="O907" s="387">
        <v>50</v>
      </c>
      <c r="P907" s="387">
        <v>198</v>
      </c>
      <c r="Q907" s="387">
        <v>58</v>
      </c>
      <c r="R907" s="387">
        <v>581</v>
      </c>
      <c r="S907" s="1174">
        <f>Locations[[#This Row],[Ind_Returnees]]+Locations[[#This Row],[Ind_Refugees]]+Locations[[#This Row],[Ind_IDPs]]</f>
        <v>1088</v>
      </c>
    </row>
    <row r="908" spans="1:19" s="388" customFormat="1" x14ac:dyDescent="0.3">
      <c r="A908" s="577" t="s">
        <v>533</v>
      </c>
      <c r="B908" s="1430" t="s">
        <v>3449</v>
      </c>
      <c r="C908" s="577" t="s">
        <v>534</v>
      </c>
      <c r="D908" s="577" t="s">
        <v>31</v>
      </c>
      <c r="E908" s="577" t="s">
        <v>31</v>
      </c>
      <c r="F908" s="577" t="s">
        <v>549</v>
      </c>
      <c r="G908" s="577" t="s">
        <v>171</v>
      </c>
      <c r="H908" s="577" t="s">
        <v>171</v>
      </c>
      <c r="I908" s="577" t="s">
        <v>634</v>
      </c>
      <c r="J908" s="577" t="s">
        <v>1151</v>
      </c>
      <c r="K908" s="577" t="s">
        <v>1395</v>
      </c>
      <c r="L908" s="577"/>
      <c r="M908" s="387">
        <v>30</v>
      </c>
      <c r="N908" s="387">
        <v>107</v>
      </c>
      <c r="O908" s="387">
        <v>0</v>
      </c>
      <c r="P908" s="387">
        <v>0</v>
      </c>
      <c r="Q908" s="387">
        <v>0</v>
      </c>
      <c r="R908" s="387">
        <v>0</v>
      </c>
      <c r="S908" s="1174">
        <f>Locations[[#This Row],[Ind_Returnees]]+Locations[[#This Row],[Ind_Refugees]]+Locations[[#This Row],[Ind_IDPs]]</f>
        <v>107</v>
      </c>
    </row>
    <row r="909" spans="1:19" s="388" customFormat="1" x14ac:dyDescent="0.3">
      <c r="A909" s="5" t="s">
        <v>533</v>
      </c>
      <c r="B909" s="1430" t="s">
        <v>3449</v>
      </c>
      <c r="C909" s="1090" t="s">
        <v>534</v>
      </c>
      <c r="D909" s="5" t="s">
        <v>31</v>
      </c>
      <c r="E909" s="5" t="s">
        <v>31</v>
      </c>
      <c r="F909" s="5" t="s">
        <v>549</v>
      </c>
      <c r="G909" s="5" t="s">
        <v>170</v>
      </c>
      <c r="H909" s="5" t="s">
        <v>170</v>
      </c>
      <c r="I909" s="5" t="s">
        <v>866</v>
      </c>
      <c r="J909" t="s">
        <v>2005</v>
      </c>
      <c r="K909" s="5" t="s">
        <v>1913</v>
      </c>
      <c r="L909" s="5"/>
      <c r="M909" s="387">
        <v>10</v>
      </c>
      <c r="N909" s="387">
        <v>120</v>
      </c>
      <c r="O909" s="387">
        <v>7</v>
      </c>
      <c r="P909" s="387">
        <v>80</v>
      </c>
      <c r="Q909" s="387">
        <v>0</v>
      </c>
      <c r="R909" s="387">
        <v>0</v>
      </c>
      <c r="S909" s="1174">
        <f>Locations[[#This Row],[Ind_Returnees]]+Locations[[#This Row],[Ind_Refugees]]+Locations[[#This Row],[Ind_IDPs]]</f>
        <v>200</v>
      </c>
    </row>
    <row r="910" spans="1:19" s="388" customFormat="1" x14ac:dyDescent="0.3">
      <c r="A910" s="5" t="s">
        <v>533</v>
      </c>
      <c r="B910" s="1430" t="s">
        <v>3449</v>
      </c>
      <c r="C910" s="398" t="s">
        <v>534</v>
      </c>
      <c r="D910" s="5" t="s">
        <v>31</v>
      </c>
      <c r="E910" s="5" t="s">
        <v>31</v>
      </c>
      <c r="F910" s="5" t="s">
        <v>549</v>
      </c>
      <c r="G910" s="5" t="s">
        <v>171</v>
      </c>
      <c r="H910" s="5" t="s">
        <v>171</v>
      </c>
      <c r="I910" s="5" t="s">
        <v>634</v>
      </c>
      <c r="J910" t="s">
        <v>1220</v>
      </c>
      <c r="K910" s="5" t="s">
        <v>811</v>
      </c>
      <c r="L910" s="5"/>
      <c r="M910" s="387">
        <v>43</v>
      </c>
      <c r="N910" s="387">
        <v>231</v>
      </c>
      <c r="O910" s="387">
        <v>0</v>
      </c>
      <c r="P910" s="387">
        <v>0</v>
      </c>
      <c r="Q910" s="387">
        <v>0</v>
      </c>
      <c r="R910" s="387">
        <v>0</v>
      </c>
      <c r="S910" s="1174">
        <f>Locations[[#This Row],[Ind_Returnees]]+Locations[[#This Row],[Ind_Refugees]]+Locations[[#This Row],[Ind_IDPs]]</f>
        <v>231</v>
      </c>
    </row>
    <row r="911" spans="1:19" s="388" customFormat="1" x14ac:dyDescent="0.3">
      <c r="A911" s="5" t="s">
        <v>533</v>
      </c>
      <c r="B911" s="1430" t="s">
        <v>3449</v>
      </c>
      <c r="C911" s="1090" t="s">
        <v>534</v>
      </c>
      <c r="D911" s="5" t="s">
        <v>31</v>
      </c>
      <c r="E911" s="5" t="s">
        <v>31</v>
      </c>
      <c r="F911" s="5" t="s">
        <v>549</v>
      </c>
      <c r="G911" s="5" t="s">
        <v>172</v>
      </c>
      <c r="H911" s="5" t="s">
        <v>172</v>
      </c>
      <c r="I911" s="5" t="s">
        <v>706</v>
      </c>
      <c r="J911" t="s">
        <v>1307</v>
      </c>
      <c r="K911" s="5" t="s">
        <v>2707</v>
      </c>
      <c r="L911" s="5"/>
      <c r="M911" s="387">
        <v>0</v>
      </c>
      <c r="N911" s="387">
        <v>0</v>
      </c>
      <c r="O911" s="387">
        <v>0</v>
      </c>
      <c r="P911" s="387">
        <v>0</v>
      </c>
      <c r="Q911" s="387">
        <v>0</v>
      </c>
      <c r="R911" s="387">
        <v>0</v>
      </c>
      <c r="S911" s="1174">
        <f>Locations[[#This Row],[Ind_Returnees]]+Locations[[#This Row],[Ind_Refugees]]+Locations[[#This Row],[Ind_IDPs]]</f>
        <v>0</v>
      </c>
    </row>
    <row r="912" spans="1:19" s="388" customFormat="1" x14ac:dyDescent="0.3">
      <c r="A912" s="5" t="s">
        <v>533</v>
      </c>
      <c r="B912" s="1430" t="s">
        <v>3449</v>
      </c>
      <c r="C912" s="1090" t="s">
        <v>534</v>
      </c>
      <c r="D912" s="5" t="s">
        <v>31</v>
      </c>
      <c r="E912" s="5" t="s">
        <v>31</v>
      </c>
      <c r="F912" s="5" t="s">
        <v>549</v>
      </c>
      <c r="G912" s="5" t="s">
        <v>172</v>
      </c>
      <c r="H912" s="5" t="s">
        <v>172</v>
      </c>
      <c r="I912" s="5" t="s">
        <v>706</v>
      </c>
      <c r="J912" t="s">
        <v>980</v>
      </c>
      <c r="K912" s="5" t="s">
        <v>2708</v>
      </c>
      <c r="L912" s="5"/>
      <c r="M912" s="387">
        <v>0</v>
      </c>
      <c r="N912" s="387">
        <v>0</v>
      </c>
      <c r="O912" s="387">
        <v>0</v>
      </c>
      <c r="P912" s="387">
        <v>0</v>
      </c>
      <c r="Q912" s="387">
        <v>0</v>
      </c>
      <c r="R912" s="387">
        <v>0</v>
      </c>
      <c r="S912" s="1174">
        <f>Locations[[#This Row],[Ind_Returnees]]+Locations[[#This Row],[Ind_Refugees]]+Locations[[#This Row],[Ind_IDPs]]</f>
        <v>0</v>
      </c>
    </row>
    <row r="913" spans="1:19" s="388" customFormat="1" x14ac:dyDescent="0.3">
      <c r="A913" s="5" t="s">
        <v>533</v>
      </c>
      <c r="B913" s="1430" t="s">
        <v>3449</v>
      </c>
      <c r="C913" s="398" t="s">
        <v>534</v>
      </c>
      <c r="D913" s="5" t="s">
        <v>31</v>
      </c>
      <c r="E913" s="5" t="s">
        <v>31</v>
      </c>
      <c r="F913" s="5" t="s">
        <v>549</v>
      </c>
      <c r="G913" s="5" t="s">
        <v>166</v>
      </c>
      <c r="H913" s="5" t="s">
        <v>166</v>
      </c>
      <c r="I913" s="5" t="s">
        <v>844</v>
      </c>
      <c r="J913" t="s">
        <v>2979</v>
      </c>
      <c r="K913" s="5" t="s">
        <v>1179</v>
      </c>
      <c r="L913" s="5"/>
      <c r="M913" s="387">
        <v>7</v>
      </c>
      <c r="N913" s="387">
        <v>50</v>
      </c>
      <c r="O913" s="387">
        <v>0</v>
      </c>
      <c r="P913" s="387">
        <v>0</v>
      </c>
      <c r="Q913" s="387">
        <v>0</v>
      </c>
      <c r="R913" s="387">
        <v>0</v>
      </c>
      <c r="S913" s="1174">
        <f>Locations[[#This Row],[Ind_Returnees]]+Locations[[#This Row],[Ind_Refugees]]+Locations[[#This Row],[Ind_IDPs]]</f>
        <v>50</v>
      </c>
    </row>
    <row r="914" spans="1:19" s="388" customFormat="1" x14ac:dyDescent="0.3">
      <c r="A914" s="5" t="s">
        <v>533</v>
      </c>
      <c r="B914" s="1430" t="s">
        <v>3449</v>
      </c>
      <c r="C914" s="398" t="s">
        <v>534</v>
      </c>
      <c r="D914" s="5" t="s">
        <v>31</v>
      </c>
      <c r="E914" s="5" t="s">
        <v>31</v>
      </c>
      <c r="F914" s="5" t="s">
        <v>549</v>
      </c>
      <c r="G914" s="5" t="s">
        <v>171</v>
      </c>
      <c r="H914" s="5" t="s">
        <v>171</v>
      </c>
      <c r="I914" s="5" t="s">
        <v>634</v>
      </c>
      <c r="J914" t="s">
        <v>2133</v>
      </c>
      <c r="K914" s="5" t="s">
        <v>1709</v>
      </c>
      <c r="L914" s="5"/>
      <c r="M914" s="387">
        <v>37</v>
      </c>
      <c r="N914" s="387">
        <v>339</v>
      </c>
      <c r="O914" s="387">
        <v>0</v>
      </c>
      <c r="P914" s="387">
        <v>0</v>
      </c>
      <c r="Q914" s="387">
        <v>0</v>
      </c>
      <c r="R914" s="387">
        <v>0</v>
      </c>
      <c r="S914" s="1174">
        <f>Locations[[#This Row],[Ind_Returnees]]+Locations[[#This Row],[Ind_Refugees]]+Locations[[#This Row],[Ind_IDPs]]</f>
        <v>339</v>
      </c>
    </row>
    <row r="915" spans="1:19" s="388" customFormat="1" x14ac:dyDescent="0.3">
      <c r="A915" s="5" t="s">
        <v>533</v>
      </c>
      <c r="B915" s="1430" t="s">
        <v>3449</v>
      </c>
      <c r="C915" s="1090" t="s">
        <v>534</v>
      </c>
      <c r="D915" s="5" t="s">
        <v>31</v>
      </c>
      <c r="E915" s="5" t="s">
        <v>31</v>
      </c>
      <c r="F915" s="5" t="s">
        <v>549</v>
      </c>
      <c r="G915" s="5" t="s">
        <v>171</v>
      </c>
      <c r="H915" s="5" t="s">
        <v>171</v>
      </c>
      <c r="I915" s="5" t="s">
        <v>634</v>
      </c>
      <c r="J915" t="s">
        <v>1812</v>
      </c>
      <c r="K915" s="5" t="s">
        <v>2160</v>
      </c>
      <c r="L915" s="5"/>
      <c r="M915" s="387">
        <v>0</v>
      </c>
      <c r="N915" s="387">
        <v>0</v>
      </c>
      <c r="O915" s="387">
        <v>10</v>
      </c>
      <c r="P915" s="387">
        <v>79</v>
      </c>
      <c r="Q915" s="387">
        <v>0</v>
      </c>
      <c r="R915" s="387">
        <v>0</v>
      </c>
      <c r="S915" s="1174">
        <f>Locations[[#This Row],[Ind_Returnees]]+Locations[[#This Row],[Ind_Refugees]]+Locations[[#This Row],[Ind_IDPs]]</f>
        <v>79</v>
      </c>
    </row>
    <row r="916" spans="1:19" s="388" customFormat="1" x14ac:dyDescent="0.3">
      <c r="A916" s="5" t="s">
        <v>533</v>
      </c>
      <c r="B916" s="1430" t="s">
        <v>3449</v>
      </c>
      <c r="C916" s="398" t="s">
        <v>534</v>
      </c>
      <c r="D916" s="5" t="s">
        <v>31</v>
      </c>
      <c r="E916" s="5" t="s">
        <v>31</v>
      </c>
      <c r="F916" s="5" t="s">
        <v>549</v>
      </c>
      <c r="G916" s="5" t="s">
        <v>170</v>
      </c>
      <c r="H916" s="5" t="s">
        <v>170</v>
      </c>
      <c r="I916" s="5" t="s">
        <v>866</v>
      </c>
      <c r="J916" t="s">
        <v>1856</v>
      </c>
      <c r="K916" s="5" t="s">
        <v>2042</v>
      </c>
      <c r="L916" s="5"/>
      <c r="M916" s="387">
        <v>0</v>
      </c>
      <c r="N916" s="387">
        <v>0</v>
      </c>
      <c r="O916" s="387">
        <v>0</v>
      </c>
      <c r="P916" s="387">
        <v>0</v>
      </c>
      <c r="Q916" s="387">
        <v>0</v>
      </c>
      <c r="R916" s="387">
        <v>0</v>
      </c>
      <c r="S916" s="1174">
        <f>Locations[[#This Row],[Ind_Returnees]]+Locations[[#This Row],[Ind_Refugees]]+Locations[[#This Row],[Ind_IDPs]]</f>
        <v>0</v>
      </c>
    </row>
    <row r="917" spans="1:19" s="388" customFormat="1" x14ac:dyDescent="0.3">
      <c r="A917" s="5" t="s">
        <v>533</v>
      </c>
      <c r="B917" s="1430" t="s">
        <v>3449</v>
      </c>
      <c r="C917" s="1090" t="s">
        <v>534</v>
      </c>
      <c r="D917" s="5" t="s">
        <v>31</v>
      </c>
      <c r="E917" s="5" t="s">
        <v>31</v>
      </c>
      <c r="F917" s="5" t="s">
        <v>549</v>
      </c>
      <c r="G917" s="5" t="s">
        <v>171</v>
      </c>
      <c r="H917" s="5" t="s">
        <v>171</v>
      </c>
      <c r="I917" s="5" t="s">
        <v>634</v>
      </c>
      <c r="J917" t="s">
        <v>2001</v>
      </c>
      <c r="K917" s="5" t="s">
        <v>1981</v>
      </c>
      <c r="L917" s="5"/>
      <c r="M917" s="387">
        <v>20</v>
      </c>
      <c r="N917" s="387">
        <v>189</v>
      </c>
      <c r="O917" s="387">
        <v>0</v>
      </c>
      <c r="P917" s="387">
        <v>0</v>
      </c>
      <c r="Q917" s="387">
        <v>0</v>
      </c>
      <c r="R917" s="387">
        <v>0</v>
      </c>
      <c r="S917" s="1174">
        <f>Locations[[#This Row],[Ind_Returnees]]+Locations[[#This Row],[Ind_Refugees]]+Locations[[#This Row],[Ind_IDPs]]</f>
        <v>189</v>
      </c>
    </row>
    <row r="918" spans="1:19" s="388" customFormat="1" x14ac:dyDescent="0.3">
      <c r="A918" s="5" t="s">
        <v>533</v>
      </c>
      <c r="B918" s="1430" t="s">
        <v>3449</v>
      </c>
      <c r="C918" s="398" t="s">
        <v>534</v>
      </c>
      <c r="D918" s="5" t="s">
        <v>31</v>
      </c>
      <c r="E918" s="5" t="s">
        <v>31</v>
      </c>
      <c r="F918" s="5" t="s">
        <v>549</v>
      </c>
      <c r="G918" s="5" t="s">
        <v>173</v>
      </c>
      <c r="H918" s="5" t="s">
        <v>173</v>
      </c>
      <c r="I918" s="5" t="s">
        <v>556</v>
      </c>
      <c r="J918" t="s">
        <v>1143</v>
      </c>
      <c r="K918" s="5" t="s">
        <v>1605</v>
      </c>
      <c r="L918" s="5"/>
      <c r="M918" s="387">
        <v>0</v>
      </c>
      <c r="N918" s="387">
        <v>0</v>
      </c>
      <c r="O918" s="387">
        <v>0</v>
      </c>
      <c r="P918" s="387">
        <v>0</v>
      </c>
      <c r="Q918" s="387">
        <v>0</v>
      </c>
      <c r="R918" s="387">
        <v>0</v>
      </c>
      <c r="S918" s="1174">
        <f>Locations[[#This Row],[Ind_Returnees]]+Locations[[#This Row],[Ind_Refugees]]+Locations[[#This Row],[Ind_IDPs]]</f>
        <v>0</v>
      </c>
    </row>
    <row r="919" spans="1:19" s="388" customFormat="1" x14ac:dyDescent="0.3">
      <c r="A919" s="5" t="s">
        <v>533</v>
      </c>
      <c r="B919" s="1430" t="s">
        <v>3449</v>
      </c>
      <c r="C919" s="1090" t="s">
        <v>534</v>
      </c>
      <c r="D919" s="5" t="s">
        <v>31</v>
      </c>
      <c r="E919" s="5" t="s">
        <v>31</v>
      </c>
      <c r="F919" s="5" t="s">
        <v>549</v>
      </c>
      <c r="G919" s="5" t="s">
        <v>171</v>
      </c>
      <c r="H919" s="5" t="s">
        <v>171</v>
      </c>
      <c r="I919" s="5" t="s">
        <v>634</v>
      </c>
      <c r="J919" t="s">
        <v>1755</v>
      </c>
      <c r="K919" s="5" t="s">
        <v>1387</v>
      </c>
      <c r="L919" s="5"/>
      <c r="M919" s="387">
        <v>1</v>
      </c>
      <c r="N919" s="387">
        <v>9</v>
      </c>
      <c r="O919" s="387">
        <v>0</v>
      </c>
      <c r="P919" s="387">
        <v>0</v>
      </c>
      <c r="Q919" s="387">
        <v>0</v>
      </c>
      <c r="R919" s="387">
        <v>0</v>
      </c>
      <c r="S919" s="1174">
        <f>Locations[[#This Row],[Ind_Returnees]]+Locations[[#This Row],[Ind_Refugees]]+Locations[[#This Row],[Ind_IDPs]]</f>
        <v>9</v>
      </c>
    </row>
    <row r="920" spans="1:19" s="388" customFormat="1" x14ac:dyDescent="0.3">
      <c r="A920" s="5" t="s">
        <v>533</v>
      </c>
      <c r="B920" s="1430" t="s">
        <v>3449</v>
      </c>
      <c r="C920" s="398" t="s">
        <v>534</v>
      </c>
      <c r="D920" s="5" t="s">
        <v>31</v>
      </c>
      <c r="E920" s="5" t="s">
        <v>31</v>
      </c>
      <c r="F920" s="5" t="s">
        <v>549</v>
      </c>
      <c r="G920" s="5" t="s">
        <v>171</v>
      </c>
      <c r="H920" s="5" t="s">
        <v>171</v>
      </c>
      <c r="I920" s="5" t="s">
        <v>634</v>
      </c>
      <c r="J920" t="s">
        <v>1153</v>
      </c>
      <c r="K920" s="5" t="s">
        <v>1721</v>
      </c>
      <c r="L920" s="5"/>
      <c r="M920" s="387">
        <v>3</v>
      </c>
      <c r="N920" s="387">
        <v>47</v>
      </c>
      <c r="O920" s="387">
        <v>0</v>
      </c>
      <c r="P920" s="387">
        <v>0</v>
      </c>
      <c r="Q920" s="387">
        <v>0</v>
      </c>
      <c r="R920" s="387">
        <v>0</v>
      </c>
      <c r="S920" s="1174">
        <f>Locations[[#This Row],[Ind_Returnees]]+Locations[[#This Row],[Ind_Refugees]]+Locations[[#This Row],[Ind_IDPs]]</f>
        <v>47</v>
      </c>
    </row>
    <row r="921" spans="1:19" s="388" customFormat="1" x14ac:dyDescent="0.3">
      <c r="A921" s="5" t="s">
        <v>533</v>
      </c>
      <c r="B921" s="1430" t="s">
        <v>3449</v>
      </c>
      <c r="C921" s="1090" t="s">
        <v>534</v>
      </c>
      <c r="D921" s="5" t="s">
        <v>31</v>
      </c>
      <c r="E921" s="5" t="s">
        <v>31</v>
      </c>
      <c r="F921" s="5" t="s">
        <v>549</v>
      </c>
      <c r="G921" s="5" t="s">
        <v>171</v>
      </c>
      <c r="H921" s="5" t="s">
        <v>171</v>
      </c>
      <c r="I921" s="5" t="s">
        <v>634</v>
      </c>
      <c r="J921" t="s">
        <v>2980</v>
      </c>
      <c r="K921" s="5" t="s">
        <v>927</v>
      </c>
      <c r="L921" s="5"/>
      <c r="M921" s="387">
        <v>14</v>
      </c>
      <c r="N921" s="387">
        <v>110</v>
      </c>
      <c r="O921" s="387">
        <v>19</v>
      </c>
      <c r="P921" s="387">
        <v>154</v>
      </c>
      <c r="Q921" s="387">
        <v>0</v>
      </c>
      <c r="R921" s="387">
        <v>0</v>
      </c>
      <c r="S921" s="1174">
        <f>Locations[[#This Row],[Ind_Returnees]]+Locations[[#This Row],[Ind_Refugees]]+Locations[[#This Row],[Ind_IDPs]]</f>
        <v>264</v>
      </c>
    </row>
    <row r="922" spans="1:19" s="388" customFormat="1" x14ac:dyDescent="0.3">
      <c r="A922" s="5" t="s">
        <v>533</v>
      </c>
      <c r="B922" s="1430" t="s">
        <v>3449</v>
      </c>
      <c r="C922" s="1090" t="s">
        <v>534</v>
      </c>
      <c r="D922" s="5" t="s">
        <v>31</v>
      </c>
      <c r="E922" s="5" t="s">
        <v>31</v>
      </c>
      <c r="F922" s="5" t="s">
        <v>549</v>
      </c>
      <c r="G922" s="5" t="s">
        <v>169</v>
      </c>
      <c r="H922" s="5" t="s">
        <v>169</v>
      </c>
      <c r="I922" s="5" t="s">
        <v>673</v>
      </c>
      <c r="J922" t="s">
        <v>2951</v>
      </c>
      <c r="K922" s="5" t="s">
        <v>829</v>
      </c>
      <c r="L922" s="5"/>
      <c r="M922" s="387">
        <v>20</v>
      </c>
      <c r="N922" s="387">
        <v>75</v>
      </c>
      <c r="O922" s="387">
        <v>4</v>
      </c>
      <c r="P922" s="387">
        <v>16</v>
      </c>
      <c r="Q922" s="387">
        <v>29</v>
      </c>
      <c r="R922" s="387">
        <v>123</v>
      </c>
      <c r="S922" s="1174">
        <f>Locations[[#This Row],[Ind_Returnees]]+Locations[[#This Row],[Ind_Refugees]]+Locations[[#This Row],[Ind_IDPs]]</f>
        <v>214</v>
      </c>
    </row>
    <row r="923" spans="1:19" s="388" customFormat="1" x14ac:dyDescent="0.3">
      <c r="A923" s="5" t="s">
        <v>533</v>
      </c>
      <c r="B923" s="1430" t="s">
        <v>3449</v>
      </c>
      <c r="C923" s="398" t="s">
        <v>534</v>
      </c>
      <c r="D923" s="5" t="s">
        <v>31</v>
      </c>
      <c r="E923" s="5" t="s">
        <v>31</v>
      </c>
      <c r="F923" s="5" t="s">
        <v>549</v>
      </c>
      <c r="G923" s="5" t="s">
        <v>167</v>
      </c>
      <c r="H923" s="5" t="s">
        <v>167</v>
      </c>
      <c r="I923" s="5" t="s">
        <v>1113</v>
      </c>
      <c r="J923" t="s">
        <v>1887</v>
      </c>
      <c r="K923" s="5" t="s">
        <v>2326</v>
      </c>
      <c r="L923" s="5"/>
      <c r="M923" s="387">
        <v>15</v>
      </c>
      <c r="N923" s="387">
        <v>60</v>
      </c>
      <c r="O923" s="387">
        <v>0</v>
      </c>
      <c r="P923" s="387">
        <v>0</v>
      </c>
      <c r="Q923" s="387">
        <v>0</v>
      </c>
      <c r="R923" s="387">
        <v>0</v>
      </c>
      <c r="S923" s="1174">
        <f>Locations[[#This Row],[Ind_Returnees]]+Locations[[#This Row],[Ind_Refugees]]+Locations[[#This Row],[Ind_IDPs]]</f>
        <v>60</v>
      </c>
    </row>
    <row r="924" spans="1:19" s="388" customFormat="1" x14ac:dyDescent="0.3">
      <c r="A924" s="5" t="s">
        <v>533</v>
      </c>
      <c r="B924" s="1430" t="s">
        <v>3449</v>
      </c>
      <c r="C924" s="1090" t="s">
        <v>534</v>
      </c>
      <c r="D924" s="5" t="s">
        <v>31</v>
      </c>
      <c r="E924" s="5" t="s">
        <v>31</v>
      </c>
      <c r="F924" s="5" t="s">
        <v>549</v>
      </c>
      <c r="G924" s="5" t="s">
        <v>171</v>
      </c>
      <c r="H924" s="5" t="s">
        <v>171</v>
      </c>
      <c r="I924" s="5" t="s">
        <v>634</v>
      </c>
      <c r="J924" t="s">
        <v>1829</v>
      </c>
      <c r="K924" s="5" t="s">
        <v>1358</v>
      </c>
      <c r="L924" s="5"/>
      <c r="M924" s="387">
        <v>401</v>
      </c>
      <c r="N924" s="387">
        <v>1173</v>
      </c>
      <c r="O924" s="387">
        <v>18</v>
      </c>
      <c r="P924" s="387">
        <v>96</v>
      </c>
      <c r="Q924" s="387">
        <v>18</v>
      </c>
      <c r="R924" s="387">
        <v>96</v>
      </c>
      <c r="S924" s="1174">
        <f>Locations[[#This Row],[Ind_Returnees]]+Locations[[#This Row],[Ind_Refugees]]+Locations[[#This Row],[Ind_IDPs]]</f>
        <v>1365</v>
      </c>
    </row>
    <row r="925" spans="1:19" s="388" customFormat="1" x14ac:dyDescent="0.3">
      <c r="A925" s="5" t="s">
        <v>533</v>
      </c>
      <c r="B925" s="1430" t="s">
        <v>3449</v>
      </c>
      <c r="C925" s="1090" t="s">
        <v>534</v>
      </c>
      <c r="D925" s="5" t="s">
        <v>34</v>
      </c>
      <c r="E925" s="5" t="s">
        <v>34</v>
      </c>
      <c r="F925" s="5" t="s">
        <v>539</v>
      </c>
      <c r="G925" s="5" t="s">
        <v>188</v>
      </c>
      <c r="H925" s="5" t="s">
        <v>188</v>
      </c>
      <c r="I925" s="5" t="s">
        <v>546</v>
      </c>
      <c r="J925" t="s">
        <v>667</v>
      </c>
      <c r="K925" s="5" t="s">
        <v>2661</v>
      </c>
      <c r="L925" s="5"/>
      <c r="M925" s="387">
        <v>0</v>
      </c>
      <c r="N925" s="387">
        <v>0</v>
      </c>
      <c r="O925" s="387">
        <v>0</v>
      </c>
      <c r="P925" s="387">
        <v>0</v>
      </c>
      <c r="Q925" s="387">
        <v>0</v>
      </c>
      <c r="R925" s="387">
        <v>0</v>
      </c>
      <c r="S925" s="1174">
        <f>Locations[[#This Row],[Ind_Returnees]]+Locations[[#This Row],[Ind_Refugees]]+Locations[[#This Row],[Ind_IDPs]]</f>
        <v>0</v>
      </c>
    </row>
    <row r="926" spans="1:19" s="388" customFormat="1" x14ac:dyDescent="0.3">
      <c r="A926" s="5" t="s">
        <v>533</v>
      </c>
      <c r="B926" s="1430" t="s">
        <v>3449</v>
      </c>
      <c r="C926" s="1090" t="s">
        <v>534</v>
      </c>
      <c r="D926" s="5" t="s">
        <v>31</v>
      </c>
      <c r="E926" s="5" t="s">
        <v>31</v>
      </c>
      <c r="F926" s="5" t="s">
        <v>549</v>
      </c>
      <c r="G926" s="5" t="s">
        <v>171</v>
      </c>
      <c r="H926" s="5" t="s">
        <v>171</v>
      </c>
      <c r="I926" s="5" t="s">
        <v>634</v>
      </c>
      <c r="J926" t="s">
        <v>1392</v>
      </c>
      <c r="K926" s="5" t="s">
        <v>1539</v>
      </c>
      <c r="L926" s="5"/>
      <c r="M926" s="387">
        <v>130</v>
      </c>
      <c r="N926" s="387">
        <v>246</v>
      </c>
      <c r="O926" s="387">
        <v>42</v>
      </c>
      <c r="P926" s="387">
        <v>152</v>
      </c>
      <c r="Q926" s="387">
        <v>12</v>
      </c>
      <c r="R926" s="387">
        <v>60</v>
      </c>
      <c r="S926" s="1174">
        <f>Locations[[#This Row],[Ind_Returnees]]+Locations[[#This Row],[Ind_Refugees]]+Locations[[#This Row],[Ind_IDPs]]</f>
        <v>458</v>
      </c>
    </row>
    <row r="927" spans="1:19" s="388" customFormat="1" x14ac:dyDescent="0.3">
      <c r="A927" s="5" t="s">
        <v>533</v>
      </c>
      <c r="B927" s="1430" t="s">
        <v>3449</v>
      </c>
      <c r="C927" s="1090" t="s">
        <v>534</v>
      </c>
      <c r="D927" s="5" t="s">
        <v>31</v>
      </c>
      <c r="E927" s="5" t="s">
        <v>31</v>
      </c>
      <c r="F927" s="5" t="s">
        <v>549</v>
      </c>
      <c r="G927" s="5" t="s">
        <v>171</v>
      </c>
      <c r="H927" s="5" t="s">
        <v>171</v>
      </c>
      <c r="I927" s="5" t="s">
        <v>634</v>
      </c>
      <c r="J927" t="s">
        <v>2069</v>
      </c>
      <c r="K927" s="5" t="s">
        <v>890</v>
      </c>
      <c r="L927" s="5"/>
      <c r="M927" s="387">
        <v>6</v>
      </c>
      <c r="N927" s="387">
        <v>30</v>
      </c>
      <c r="O927" s="387">
        <v>0</v>
      </c>
      <c r="P927" s="387">
        <v>0</v>
      </c>
      <c r="Q927" s="387">
        <v>0</v>
      </c>
      <c r="R927" s="387">
        <v>0</v>
      </c>
      <c r="S927" s="1174">
        <f>Locations[[#This Row],[Ind_Returnees]]+Locations[[#This Row],[Ind_Refugees]]+Locations[[#This Row],[Ind_IDPs]]</f>
        <v>30</v>
      </c>
    </row>
    <row r="928" spans="1:19" s="388" customFormat="1" x14ac:dyDescent="0.3">
      <c r="A928" s="5" t="s">
        <v>533</v>
      </c>
      <c r="B928" s="1430" t="s">
        <v>3449</v>
      </c>
      <c r="C928" s="1090" t="s">
        <v>534</v>
      </c>
      <c r="D928" s="5" t="s">
        <v>31</v>
      </c>
      <c r="E928" s="5" t="s">
        <v>31</v>
      </c>
      <c r="F928" s="5" t="s">
        <v>549</v>
      </c>
      <c r="G928" s="5" t="s">
        <v>171</v>
      </c>
      <c r="H928" s="5" t="s">
        <v>171</v>
      </c>
      <c r="I928" s="5" t="s">
        <v>634</v>
      </c>
      <c r="J928" t="s">
        <v>2212</v>
      </c>
      <c r="K928" s="5" t="s">
        <v>1221</v>
      </c>
      <c r="L928" s="5"/>
      <c r="M928" s="387">
        <v>29</v>
      </c>
      <c r="N928" s="387">
        <v>199</v>
      </c>
      <c r="O928" s="387">
        <v>0</v>
      </c>
      <c r="P928" s="387">
        <v>0</v>
      </c>
      <c r="Q928" s="387">
        <v>0</v>
      </c>
      <c r="R928" s="387">
        <v>0</v>
      </c>
      <c r="S928" s="1174">
        <f>Locations[[#This Row],[Ind_Returnees]]+Locations[[#This Row],[Ind_Refugees]]+Locations[[#This Row],[Ind_IDPs]]</f>
        <v>199</v>
      </c>
    </row>
    <row r="929" spans="1:19" s="388" customFormat="1" x14ac:dyDescent="0.3">
      <c r="A929" s="5" t="s">
        <v>533</v>
      </c>
      <c r="B929" s="1430" t="s">
        <v>3449</v>
      </c>
      <c r="C929" s="398" t="s">
        <v>534</v>
      </c>
      <c r="D929" s="5" t="s">
        <v>31</v>
      </c>
      <c r="E929" s="5" t="s">
        <v>31</v>
      </c>
      <c r="F929" s="5" t="s">
        <v>549</v>
      </c>
      <c r="G929" s="5" t="s">
        <v>171</v>
      </c>
      <c r="H929" s="5" t="s">
        <v>171</v>
      </c>
      <c r="I929" s="5" t="s">
        <v>634</v>
      </c>
      <c r="J929" t="s">
        <v>1158</v>
      </c>
      <c r="K929" s="5" t="s">
        <v>1928</v>
      </c>
      <c r="L929" s="5"/>
      <c r="M929" s="387">
        <v>65</v>
      </c>
      <c r="N929" s="387">
        <v>105</v>
      </c>
      <c r="O929" s="387">
        <v>0</v>
      </c>
      <c r="P929" s="387">
        <v>0</v>
      </c>
      <c r="Q929" s="387">
        <v>0</v>
      </c>
      <c r="R929" s="387">
        <v>0</v>
      </c>
      <c r="S929" s="1174">
        <f>Locations[[#This Row],[Ind_Returnees]]+Locations[[#This Row],[Ind_Refugees]]+Locations[[#This Row],[Ind_IDPs]]</f>
        <v>105</v>
      </c>
    </row>
    <row r="930" spans="1:19" s="388" customFormat="1" x14ac:dyDescent="0.3">
      <c r="A930" s="5" t="s">
        <v>533</v>
      </c>
      <c r="B930" s="1430" t="s">
        <v>3449</v>
      </c>
      <c r="C930" s="398" t="s">
        <v>534</v>
      </c>
      <c r="D930" s="5" t="s">
        <v>31</v>
      </c>
      <c r="E930" s="5" t="s">
        <v>31</v>
      </c>
      <c r="F930" s="5" t="s">
        <v>549</v>
      </c>
      <c r="G930" s="5" t="s">
        <v>171</v>
      </c>
      <c r="H930" s="5" t="s">
        <v>171</v>
      </c>
      <c r="I930" s="5" t="s">
        <v>634</v>
      </c>
      <c r="J930" t="s">
        <v>1804</v>
      </c>
      <c r="K930" s="5" t="s">
        <v>1988</v>
      </c>
      <c r="L930" s="5"/>
      <c r="M930" s="387">
        <v>18</v>
      </c>
      <c r="N930" s="387">
        <v>141</v>
      </c>
      <c r="O930" s="387">
        <v>0</v>
      </c>
      <c r="P930" s="387">
        <v>0</v>
      </c>
      <c r="Q930" s="387">
        <v>0</v>
      </c>
      <c r="R930" s="387">
        <v>0</v>
      </c>
      <c r="S930" s="1174">
        <f>Locations[[#This Row],[Ind_Returnees]]+Locations[[#This Row],[Ind_Refugees]]+Locations[[#This Row],[Ind_IDPs]]</f>
        <v>141</v>
      </c>
    </row>
    <row r="931" spans="1:19" s="388" customFormat="1" x14ac:dyDescent="0.3">
      <c r="A931" s="5" t="s">
        <v>533</v>
      </c>
      <c r="B931" s="1430" t="s">
        <v>3449</v>
      </c>
      <c r="C931" s="1090" t="s">
        <v>534</v>
      </c>
      <c r="D931" s="5" t="s">
        <v>31</v>
      </c>
      <c r="E931" s="5" t="s">
        <v>31</v>
      </c>
      <c r="F931" s="5" t="s">
        <v>549</v>
      </c>
      <c r="G931" s="5" t="s">
        <v>169</v>
      </c>
      <c r="H931" s="5" t="s">
        <v>169</v>
      </c>
      <c r="I931" s="5" t="s">
        <v>673</v>
      </c>
      <c r="J931" t="s">
        <v>1520</v>
      </c>
      <c r="K931" s="5" t="s">
        <v>1128</v>
      </c>
      <c r="L931" s="5"/>
      <c r="M931" s="387">
        <v>15</v>
      </c>
      <c r="N931" s="387">
        <v>31</v>
      </c>
      <c r="O931" s="387">
        <v>20</v>
      </c>
      <c r="P931" s="387">
        <v>130</v>
      </c>
      <c r="Q931" s="387">
        <v>0</v>
      </c>
      <c r="R931" s="387">
        <v>0</v>
      </c>
      <c r="S931" s="1174">
        <f>Locations[[#This Row],[Ind_Returnees]]+Locations[[#This Row],[Ind_Refugees]]+Locations[[#This Row],[Ind_IDPs]]</f>
        <v>161</v>
      </c>
    </row>
    <row r="932" spans="1:19" s="388" customFormat="1" x14ac:dyDescent="0.3">
      <c r="A932" s="5" t="s">
        <v>533</v>
      </c>
      <c r="B932" s="1430" t="s">
        <v>3449</v>
      </c>
      <c r="C932" s="1090" t="s">
        <v>534</v>
      </c>
      <c r="D932" s="5" t="s">
        <v>31</v>
      </c>
      <c r="E932" s="5" t="s">
        <v>31</v>
      </c>
      <c r="F932" s="5" t="s">
        <v>549</v>
      </c>
      <c r="G932" s="5" t="s">
        <v>167</v>
      </c>
      <c r="H932" s="5" t="s">
        <v>167</v>
      </c>
      <c r="I932" s="5" t="s">
        <v>1113</v>
      </c>
      <c r="J932" t="s">
        <v>2049</v>
      </c>
      <c r="K932" s="5" t="s">
        <v>1934</v>
      </c>
      <c r="L932" s="5"/>
      <c r="M932" s="387">
        <v>60</v>
      </c>
      <c r="N932" s="387">
        <v>750</v>
      </c>
      <c r="O932" s="387">
        <v>0</v>
      </c>
      <c r="P932" s="387">
        <v>0</v>
      </c>
      <c r="Q932" s="387">
        <v>0</v>
      </c>
      <c r="R932" s="387">
        <v>0</v>
      </c>
      <c r="S932" s="1174">
        <f>Locations[[#This Row],[Ind_Returnees]]+Locations[[#This Row],[Ind_Refugees]]+Locations[[#This Row],[Ind_IDPs]]</f>
        <v>750</v>
      </c>
    </row>
    <row r="933" spans="1:19" s="388" customFormat="1" x14ac:dyDescent="0.3">
      <c r="A933" s="5" t="s">
        <v>533</v>
      </c>
      <c r="B933" s="1430" t="s">
        <v>3449</v>
      </c>
      <c r="C933" s="398" t="s">
        <v>534</v>
      </c>
      <c r="D933" s="5" t="s">
        <v>31</v>
      </c>
      <c r="E933" s="5" t="s">
        <v>31</v>
      </c>
      <c r="F933" s="5" t="s">
        <v>549</v>
      </c>
      <c r="G933" s="5" t="s">
        <v>171</v>
      </c>
      <c r="H933" s="5" t="s">
        <v>171</v>
      </c>
      <c r="I933" s="5" t="s">
        <v>634</v>
      </c>
      <c r="J933" t="s">
        <v>2604</v>
      </c>
      <c r="K933" s="5" t="s">
        <v>1217</v>
      </c>
      <c r="L933" s="5"/>
      <c r="M933" s="387">
        <v>35</v>
      </c>
      <c r="N933" s="387">
        <v>308</v>
      </c>
      <c r="O933" s="387">
        <v>0</v>
      </c>
      <c r="P933" s="387">
        <v>0</v>
      </c>
      <c r="Q933" s="387">
        <v>0</v>
      </c>
      <c r="R933" s="387">
        <v>0</v>
      </c>
      <c r="S933" s="1174">
        <f>Locations[[#This Row],[Ind_Returnees]]+Locations[[#This Row],[Ind_Refugees]]+Locations[[#This Row],[Ind_IDPs]]</f>
        <v>308</v>
      </c>
    </row>
    <row r="934" spans="1:19" x14ac:dyDescent="0.3">
      <c r="A934" s="577" t="s">
        <v>533</v>
      </c>
      <c r="B934" s="1430" t="s">
        <v>3449</v>
      </c>
      <c r="C934" s="577" t="s">
        <v>534</v>
      </c>
      <c r="D934" s="577" t="s">
        <v>31</v>
      </c>
      <c r="E934" s="577" t="s">
        <v>31</v>
      </c>
      <c r="F934" s="577" t="s">
        <v>549</v>
      </c>
      <c r="G934" s="577" t="s">
        <v>171</v>
      </c>
      <c r="H934" s="577" t="s">
        <v>171</v>
      </c>
      <c r="I934" s="577" t="s">
        <v>634</v>
      </c>
      <c r="J934" s="577" t="s">
        <v>1820</v>
      </c>
      <c r="K934" s="577" t="s">
        <v>1219</v>
      </c>
      <c r="L934" s="577"/>
      <c r="M934" s="387">
        <v>51</v>
      </c>
      <c r="N934" s="387">
        <v>280</v>
      </c>
      <c r="O934" s="387">
        <v>0</v>
      </c>
      <c r="P934" s="387">
        <v>0</v>
      </c>
      <c r="Q934" s="387">
        <v>0</v>
      </c>
      <c r="R934" s="387">
        <v>0</v>
      </c>
      <c r="S934" s="1174">
        <f>Locations[[#This Row],[Ind_Returnees]]+Locations[[#This Row],[Ind_Refugees]]+Locations[[#This Row],[Ind_IDPs]]</f>
        <v>280</v>
      </c>
    </row>
    <row r="935" spans="1:19" x14ac:dyDescent="0.3">
      <c r="A935" s="5" t="s">
        <v>533</v>
      </c>
      <c r="B935" s="1430" t="s">
        <v>3449</v>
      </c>
      <c r="C935" s="398" t="s">
        <v>534</v>
      </c>
      <c r="D935" s="5" t="s">
        <v>35</v>
      </c>
      <c r="E935" s="5" t="s">
        <v>35</v>
      </c>
      <c r="F935" s="5" t="s">
        <v>567</v>
      </c>
      <c r="G935" s="5" t="s">
        <v>193</v>
      </c>
      <c r="H935" s="5" t="s">
        <v>3983</v>
      </c>
      <c r="I935" s="5" t="s">
        <v>863</v>
      </c>
      <c r="J935" t="s">
        <v>1091</v>
      </c>
      <c r="K935" s="5" t="s">
        <v>1587</v>
      </c>
      <c r="L935" s="5"/>
      <c r="M935" s="387">
        <v>108</v>
      </c>
      <c r="N935" s="387">
        <v>668</v>
      </c>
      <c r="O935" s="387">
        <v>0</v>
      </c>
      <c r="P935" s="387">
        <v>0</v>
      </c>
      <c r="Q935" s="387">
        <v>0</v>
      </c>
      <c r="R935" s="387">
        <v>0</v>
      </c>
      <c r="S935" s="1174">
        <f>Locations[[#This Row],[Ind_Returnees]]+Locations[[#This Row],[Ind_Refugees]]+Locations[[#This Row],[Ind_IDPs]]</f>
        <v>668</v>
      </c>
    </row>
    <row r="936" spans="1:19" x14ac:dyDescent="0.3">
      <c r="A936" s="5" t="s">
        <v>533</v>
      </c>
      <c r="B936" s="1430" t="s">
        <v>3449</v>
      </c>
      <c r="C936" s="1090" t="s">
        <v>534</v>
      </c>
      <c r="D936" s="5" t="s">
        <v>31</v>
      </c>
      <c r="E936" s="5" t="s">
        <v>31</v>
      </c>
      <c r="F936" s="5" t="s">
        <v>549</v>
      </c>
      <c r="G936" s="5" t="s">
        <v>165</v>
      </c>
      <c r="H936" s="5" t="s">
        <v>165</v>
      </c>
      <c r="I936" s="5" t="s">
        <v>881</v>
      </c>
      <c r="J936" t="s">
        <v>996</v>
      </c>
      <c r="K936" s="5" t="s">
        <v>883</v>
      </c>
      <c r="L936" s="5"/>
      <c r="M936" s="387">
        <v>0</v>
      </c>
      <c r="N936" s="387">
        <v>0</v>
      </c>
      <c r="O936" s="387">
        <v>0</v>
      </c>
      <c r="P936" s="387">
        <v>0</v>
      </c>
      <c r="Q936" s="387">
        <v>0</v>
      </c>
      <c r="R936" s="387">
        <v>0</v>
      </c>
      <c r="S936" s="1174">
        <f>Locations[[#This Row],[Ind_Returnees]]+Locations[[#This Row],[Ind_Refugees]]+Locations[[#This Row],[Ind_IDPs]]</f>
        <v>0</v>
      </c>
    </row>
    <row r="937" spans="1:19" x14ac:dyDescent="0.3">
      <c r="A937" s="5" t="s">
        <v>533</v>
      </c>
      <c r="B937" s="1430" t="s">
        <v>3449</v>
      </c>
      <c r="C937" s="398" t="s">
        <v>534</v>
      </c>
      <c r="D937" s="5" t="s">
        <v>31</v>
      </c>
      <c r="E937" s="5" t="s">
        <v>31</v>
      </c>
      <c r="F937" s="5" t="s">
        <v>549</v>
      </c>
      <c r="G937" s="5" t="s">
        <v>165</v>
      </c>
      <c r="H937" s="5" t="s">
        <v>165</v>
      </c>
      <c r="I937" s="5" t="s">
        <v>881</v>
      </c>
      <c r="J937" t="s">
        <v>1848</v>
      </c>
      <c r="K937" s="5" t="s">
        <v>885</v>
      </c>
      <c r="L937" s="5"/>
      <c r="M937" s="387">
        <v>0</v>
      </c>
      <c r="N937" s="387">
        <v>0</v>
      </c>
      <c r="O937" s="387">
        <v>0</v>
      </c>
      <c r="P937" s="387">
        <v>0</v>
      </c>
      <c r="Q937" s="387">
        <v>0</v>
      </c>
      <c r="R937" s="387">
        <v>0</v>
      </c>
      <c r="S937" s="1174">
        <f>Locations[[#This Row],[Ind_Returnees]]+Locations[[#This Row],[Ind_Refugees]]+Locations[[#This Row],[Ind_IDPs]]</f>
        <v>0</v>
      </c>
    </row>
    <row r="938" spans="1:19" x14ac:dyDescent="0.3">
      <c r="A938" s="5" t="s">
        <v>533</v>
      </c>
      <c r="B938" s="1430" t="s">
        <v>3449</v>
      </c>
      <c r="C938" s="398" t="s">
        <v>534</v>
      </c>
      <c r="D938" s="5" t="s">
        <v>31</v>
      </c>
      <c r="E938" s="5" t="s">
        <v>31</v>
      </c>
      <c r="F938" s="5" t="s">
        <v>549</v>
      </c>
      <c r="G938" s="5" t="s">
        <v>170</v>
      </c>
      <c r="H938" s="5" t="s">
        <v>170</v>
      </c>
      <c r="I938" s="5" t="s">
        <v>866</v>
      </c>
      <c r="J938" t="s">
        <v>2985</v>
      </c>
      <c r="K938" s="5" t="s">
        <v>2125</v>
      </c>
      <c r="L938" s="5"/>
      <c r="M938" s="387">
        <v>4</v>
      </c>
      <c r="N938" s="387">
        <v>20</v>
      </c>
      <c r="O938" s="387">
        <v>0</v>
      </c>
      <c r="P938" s="387">
        <v>0</v>
      </c>
      <c r="Q938" s="387">
        <v>0</v>
      </c>
      <c r="R938" s="387">
        <v>0</v>
      </c>
      <c r="S938" s="1174">
        <f>Locations[[#This Row],[Ind_Returnees]]+Locations[[#This Row],[Ind_Refugees]]+Locations[[#This Row],[Ind_IDPs]]</f>
        <v>20</v>
      </c>
    </row>
    <row r="939" spans="1:19" x14ac:dyDescent="0.3">
      <c r="A939" s="5" t="s">
        <v>533</v>
      </c>
      <c r="B939" s="1430" t="s">
        <v>3449</v>
      </c>
      <c r="C939" s="1090" t="s">
        <v>534</v>
      </c>
      <c r="D939" s="5" t="s">
        <v>31</v>
      </c>
      <c r="E939" s="5" t="s">
        <v>31</v>
      </c>
      <c r="F939" s="5" t="s">
        <v>549</v>
      </c>
      <c r="G939" s="5" t="s">
        <v>171</v>
      </c>
      <c r="H939" s="5" t="s">
        <v>171</v>
      </c>
      <c r="I939" s="5" t="s">
        <v>634</v>
      </c>
      <c r="J939" t="s">
        <v>2983</v>
      </c>
      <c r="K939" s="5" t="s">
        <v>2125</v>
      </c>
      <c r="L939" s="5"/>
      <c r="M939" s="387">
        <v>0</v>
      </c>
      <c r="N939" s="387">
        <v>0</v>
      </c>
      <c r="O939" s="387">
        <v>0</v>
      </c>
      <c r="P939" s="387">
        <v>0</v>
      </c>
      <c r="Q939" s="387">
        <v>0</v>
      </c>
      <c r="R939" s="387">
        <v>0</v>
      </c>
      <c r="S939" s="1174">
        <f>Locations[[#This Row],[Ind_Returnees]]+Locations[[#This Row],[Ind_Refugees]]+Locations[[#This Row],[Ind_IDPs]]</f>
        <v>0</v>
      </c>
    </row>
    <row r="940" spans="1:19" x14ac:dyDescent="0.3">
      <c r="A940" s="5" t="s">
        <v>533</v>
      </c>
      <c r="B940" s="1430" t="s">
        <v>3449</v>
      </c>
      <c r="C940" s="398" t="s">
        <v>534</v>
      </c>
      <c r="D940" s="5" t="s">
        <v>31</v>
      </c>
      <c r="E940" s="5" t="s">
        <v>31</v>
      </c>
      <c r="F940" s="5" t="s">
        <v>549</v>
      </c>
      <c r="G940" s="5" t="s">
        <v>166</v>
      </c>
      <c r="H940" s="5" t="s">
        <v>166</v>
      </c>
      <c r="I940" s="5" t="s">
        <v>844</v>
      </c>
      <c r="J940" t="s">
        <v>2984</v>
      </c>
      <c r="K940" s="5" t="s">
        <v>2125</v>
      </c>
      <c r="L940" s="5"/>
      <c r="M940" s="387">
        <v>150</v>
      </c>
      <c r="N940" s="387">
        <v>450</v>
      </c>
      <c r="O940" s="387">
        <v>0</v>
      </c>
      <c r="P940" s="387">
        <v>0</v>
      </c>
      <c r="Q940" s="387">
        <v>0</v>
      </c>
      <c r="R940" s="387">
        <v>0</v>
      </c>
      <c r="S940" s="1174">
        <f>Locations[[#This Row],[Ind_Returnees]]+Locations[[#This Row],[Ind_Refugees]]+Locations[[#This Row],[Ind_IDPs]]</f>
        <v>450</v>
      </c>
    </row>
    <row r="941" spans="1:19" x14ac:dyDescent="0.3">
      <c r="A941" s="5" t="s">
        <v>533</v>
      </c>
      <c r="B941" s="1430" t="s">
        <v>3449</v>
      </c>
      <c r="C941" s="398" t="s">
        <v>534</v>
      </c>
      <c r="D941" s="5" t="s">
        <v>31</v>
      </c>
      <c r="E941" s="5" t="s">
        <v>31</v>
      </c>
      <c r="F941" s="5" t="s">
        <v>549</v>
      </c>
      <c r="G941" s="5" t="s">
        <v>167</v>
      </c>
      <c r="H941" s="5" t="s">
        <v>167</v>
      </c>
      <c r="I941" s="5" t="s">
        <v>1113</v>
      </c>
      <c r="J941" t="s">
        <v>1933</v>
      </c>
      <c r="K941" s="5" t="s">
        <v>1834</v>
      </c>
      <c r="L941" s="5"/>
      <c r="M941" s="387">
        <v>2</v>
      </c>
      <c r="N941" s="387">
        <v>17</v>
      </c>
      <c r="O941" s="387">
        <v>0</v>
      </c>
      <c r="P941" s="387">
        <v>0</v>
      </c>
      <c r="Q941" s="387">
        <v>0</v>
      </c>
      <c r="R941" s="387">
        <v>0</v>
      </c>
      <c r="S941" s="1174">
        <f>Locations[[#This Row],[Ind_Returnees]]+Locations[[#This Row],[Ind_Refugees]]+Locations[[#This Row],[Ind_IDPs]]</f>
        <v>17</v>
      </c>
    </row>
    <row r="942" spans="1:19" x14ac:dyDescent="0.3">
      <c r="A942" s="5" t="s">
        <v>533</v>
      </c>
      <c r="B942" s="1430" t="s">
        <v>3449</v>
      </c>
      <c r="C942" s="398" t="s">
        <v>534</v>
      </c>
      <c r="D942" s="5" t="s">
        <v>30</v>
      </c>
      <c r="E942" s="5" t="s">
        <v>3522</v>
      </c>
      <c r="F942" s="5" t="s">
        <v>535</v>
      </c>
      <c r="G942" s="5" t="s">
        <v>162</v>
      </c>
      <c r="H942" s="5" t="s">
        <v>3529</v>
      </c>
      <c r="I942" s="5" t="s">
        <v>536</v>
      </c>
      <c r="J942" t="s">
        <v>915</v>
      </c>
      <c r="K942" s="5" t="s">
        <v>916</v>
      </c>
      <c r="L942" s="5"/>
      <c r="M942" s="387">
        <v>6</v>
      </c>
      <c r="N942" s="387">
        <v>44</v>
      </c>
      <c r="O942" s="387">
        <v>0</v>
      </c>
      <c r="P942" s="387">
        <v>0</v>
      </c>
      <c r="Q942" s="387">
        <v>0</v>
      </c>
      <c r="R942" s="387">
        <v>0</v>
      </c>
      <c r="S942" s="1174">
        <f>Locations[[#This Row],[Ind_Returnees]]+Locations[[#This Row],[Ind_Refugees]]+Locations[[#This Row],[Ind_IDPs]]</f>
        <v>44</v>
      </c>
    </row>
    <row r="943" spans="1:19" x14ac:dyDescent="0.3">
      <c r="A943" s="5" t="s">
        <v>533</v>
      </c>
      <c r="B943" s="1430" t="s">
        <v>3449</v>
      </c>
      <c r="C943" s="1090" t="s">
        <v>534</v>
      </c>
      <c r="D943" s="5" t="s">
        <v>31</v>
      </c>
      <c r="E943" s="5" t="s">
        <v>31</v>
      </c>
      <c r="F943" s="5" t="s">
        <v>549</v>
      </c>
      <c r="G943" s="5" t="s">
        <v>171</v>
      </c>
      <c r="H943" s="5" t="s">
        <v>171</v>
      </c>
      <c r="I943" s="5" t="s">
        <v>634</v>
      </c>
      <c r="J943" t="s">
        <v>2986</v>
      </c>
      <c r="K943" s="5" t="s">
        <v>2224</v>
      </c>
      <c r="L943" s="5"/>
      <c r="M943" s="387">
        <v>0</v>
      </c>
      <c r="N943" s="387">
        <v>0</v>
      </c>
      <c r="O943" s="387">
        <v>7</v>
      </c>
      <c r="P943" s="387">
        <v>30</v>
      </c>
      <c r="Q943" s="387">
        <v>0</v>
      </c>
      <c r="R943" s="387">
        <v>0</v>
      </c>
      <c r="S943" s="1174">
        <f>Locations[[#This Row],[Ind_Returnees]]+Locations[[#This Row],[Ind_Refugees]]+Locations[[#This Row],[Ind_IDPs]]</f>
        <v>30</v>
      </c>
    </row>
    <row r="944" spans="1:19" x14ac:dyDescent="0.3">
      <c r="A944" s="5" t="s">
        <v>533</v>
      </c>
      <c r="B944" s="1430" t="s">
        <v>3449</v>
      </c>
      <c r="C944" s="398" t="s">
        <v>534</v>
      </c>
      <c r="D944" s="5" t="s">
        <v>35</v>
      </c>
      <c r="E944" s="5" t="s">
        <v>35</v>
      </c>
      <c r="F944" s="5" t="s">
        <v>567</v>
      </c>
      <c r="G944" s="5" t="s">
        <v>194</v>
      </c>
      <c r="H944" s="5" t="s">
        <v>194</v>
      </c>
      <c r="I944" s="5" t="s">
        <v>2150</v>
      </c>
      <c r="J944" t="s">
        <v>2215</v>
      </c>
      <c r="K944" s="5" t="s">
        <v>2216</v>
      </c>
      <c r="L944" s="5"/>
      <c r="M944" s="387">
        <v>0</v>
      </c>
      <c r="N944" s="387">
        <v>0</v>
      </c>
      <c r="O944" s="387">
        <v>6</v>
      </c>
      <c r="P944" s="387">
        <v>33</v>
      </c>
      <c r="Q944" s="387">
        <v>15</v>
      </c>
      <c r="R944" s="387">
        <v>44</v>
      </c>
      <c r="S944" s="1174">
        <f>Locations[[#This Row],[Ind_Returnees]]+Locations[[#This Row],[Ind_Refugees]]+Locations[[#This Row],[Ind_IDPs]]</f>
        <v>77</v>
      </c>
    </row>
    <row r="945" spans="1:19" x14ac:dyDescent="0.3">
      <c r="A945" s="5" t="s">
        <v>533</v>
      </c>
      <c r="B945" s="1430" t="s">
        <v>3449</v>
      </c>
      <c r="C945" s="398" t="s">
        <v>534</v>
      </c>
      <c r="D945" s="5" t="s">
        <v>35</v>
      </c>
      <c r="E945" s="5" t="s">
        <v>35</v>
      </c>
      <c r="F945" s="5" t="s">
        <v>567</v>
      </c>
      <c r="G945" s="5" t="s">
        <v>194</v>
      </c>
      <c r="H945" s="5" t="s">
        <v>194</v>
      </c>
      <c r="I945" s="5" t="s">
        <v>2150</v>
      </c>
      <c r="J945" t="s">
        <v>2175</v>
      </c>
      <c r="K945" s="5" t="s">
        <v>2176</v>
      </c>
      <c r="L945" s="5"/>
      <c r="M945" s="387">
        <v>0</v>
      </c>
      <c r="N945" s="387">
        <v>0</v>
      </c>
      <c r="O945" s="387">
        <v>13</v>
      </c>
      <c r="P945" s="387">
        <v>98</v>
      </c>
      <c r="Q945" s="387">
        <v>28</v>
      </c>
      <c r="R945" s="387">
        <v>116</v>
      </c>
      <c r="S945" s="1174">
        <f>Locations[[#This Row],[Ind_Returnees]]+Locations[[#This Row],[Ind_Refugees]]+Locations[[#This Row],[Ind_IDPs]]</f>
        <v>214</v>
      </c>
    </row>
    <row r="946" spans="1:19" x14ac:dyDescent="0.3">
      <c r="A946" s="5" t="s">
        <v>533</v>
      </c>
      <c r="B946" s="1430" t="s">
        <v>3449</v>
      </c>
      <c r="C946" s="398" t="s">
        <v>534</v>
      </c>
      <c r="D946" s="5" t="s">
        <v>34</v>
      </c>
      <c r="E946" s="5" t="s">
        <v>34</v>
      </c>
      <c r="F946" s="5" t="s">
        <v>539</v>
      </c>
      <c r="G946" s="5" t="s">
        <v>188</v>
      </c>
      <c r="H946" s="5" t="s">
        <v>188</v>
      </c>
      <c r="I946" s="5" t="s">
        <v>546</v>
      </c>
      <c r="J946" t="s">
        <v>1183</v>
      </c>
      <c r="K946" s="5" t="s">
        <v>1512</v>
      </c>
      <c r="L946" s="5"/>
      <c r="M946" s="387">
        <v>135</v>
      </c>
      <c r="N946" s="387">
        <v>682</v>
      </c>
      <c r="O946" s="387">
        <v>0</v>
      </c>
      <c r="P946" s="387">
        <v>0</v>
      </c>
      <c r="Q946" s="387">
        <v>90</v>
      </c>
      <c r="R946" s="387">
        <v>377</v>
      </c>
      <c r="S946" s="1174">
        <f>Locations[[#This Row],[Ind_Returnees]]+Locations[[#This Row],[Ind_Refugees]]+Locations[[#This Row],[Ind_IDPs]]</f>
        <v>1059</v>
      </c>
    </row>
    <row r="947" spans="1:19" x14ac:dyDescent="0.3">
      <c r="A947" s="5" t="s">
        <v>533</v>
      </c>
      <c r="B947" s="1430" t="s">
        <v>3449</v>
      </c>
      <c r="C947" s="1090" t="s">
        <v>534</v>
      </c>
      <c r="D947" s="5" t="s">
        <v>35</v>
      </c>
      <c r="E947" s="5" t="s">
        <v>35</v>
      </c>
      <c r="F947" s="5" t="s">
        <v>567</v>
      </c>
      <c r="G947" s="5" t="s">
        <v>196</v>
      </c>
      <c r="H947" s="5" t="s">
        <v>3984</v>
      </c>
      <c r="I947" s="5" t="s">
        <v>568</v>
      </c>
      <c r="J947" t="s">
        <v>2987</v>
      </c>
      <c r="K947" s="5" t="s">
        <v>2690</v>
      </c>
      <c r="L947" s="5"/>
      <c r="M947" s="387">
        <v>3</v>
      </c>
      <c r="N947" s="387">
        <v>23</v>
      </c>
      <c r="O947" s="387">
        <v>0</v>
      </c>
      <c r="P947" s="387">
        <v>0</v>
      </c>
      <c r="Q947" s="387">
        <v>5</v>
      </c>
      <c r="R947" s="387">
        <v>37</v>
      </c>
      <c r="S947" s="1174">
        <f>Locations[[#This Row],[Ind_Returnees]]+Locations[[#This Row],[Ind_Refugees]]+Locations[[#This Row],[Ind_IDPs]]</f>
        <v>60</v>
      </c>
    </row>
    <row r="948" spans="1:19" x14ac:dyDescent="0.3">
      <c r="A948" s="5" t="s">
        <v>533</v>
      </c>
      <c r="B948" s="1430" t="s">
        <v>3449</v>
      </c>
      <c r="C948" s="1090" t="s">
        <v>534</v>
      </c>
      <c r="D948" s="5" t="s">
        <v>34</v>
      </c>
      <c r="E948" s="5" t="s">
        <v>34</v>
      </c>
      <c r="F948" s="5" t="s">
        <v>539</v>
      </c>
      <c r="G948" s="5" t="s">
        <v>189</v>
      </c>
      <c r="H948" s="5" t="s">
        <v>189</v>
      </c>
      <c r="I948" s="5" t="s">
        <v>590</v>
      </c>
      <c r="J948" t="s">
        <v>1493</v>
      </c>
      <c r="K948" s="5" t="s">
        <v>1494</v>
      </c>
      <c r="L948" s="5"/>
      <c r="M948" s="387">
        <v>12</v>
      </c>
      <c r="N948" s="387">
        <v>133</v>
      </c>
      <c r="O948" s="387">
        <v>0</v>
      </c>
      <c r="P948" s="387">
        <v>0</v>
      </c>
      <c r="Q948" s="387">
        <v>0</v>
      </c>
      <c r="R948" s="387">
        <v>0</v>
      </c>
      <c r="S948" s="1174">
        <f>Locations[[#This Row],[Ind_Returnees]]+Locations[[#This Row],[Ind_Refugees]]+Locations[[#This Row],[Ind_IDPs]]</f>
        <v>133</v>
      </c>
    </row>
    <row r="949" spans="1:19" x14ac:dyDescent="0.3">
      <c r="A949" s="5" t="s">
        <v>533</v>
      </c>
      <c r="B949" s="1430" t="s">
        <v>3449</v>
      </c>
      <c r="C949" s="1090" t="s">
        <v>534</v>
      </c>
      <c r="D949" s="5" t="s">
        <v>31</v>
      </c>
      <c r="E949" s="5" t="s">
        <v>31</v>
      </c>
      <c r="F949" s="5" t="s">
        <v>549</v>
      </c>
      <c r="G949" s="5" t="s">
        <v>169</v>
      </c>
      <c r="H949" s="5" t="s">
        <v>169</v>
      </c>
      <c r="I949" s="5" t="s">
        <v>673</v>
      </c>
      <c r="J949" t="s">
        <v>2822</v>
      </c>
      <c r="K949" s="5" t="s">
        <v>2328</v>
      </c>
      <c r="L949" s="5"/>
      <c r="M949" s="387">
        <v>0</v>
      </c>
      <c r="N949" s="387">
        <v>0</v>
      </c>
      <c r="O949" s="387">
        <v>0</v>
      </c>
      <c r="P949" s="387">
        <v>0</v>
      </c>
      <c r="Q949" s="387">
        <v>0</v>
      </c>
      <c r="R949" s="387">
        <v>0</v>
      </c>
      <c r="S949" s="1174">
        <f>Locations[[#This Row],[Ind_Returnees]]+Locations[[#This Row],[Ind_Refugees]]+Locations[[#This Row],[Ind_IDPs]]</f>
        <v>0</v>
      </c>
    </row>
    <row r="950" spans="1:19" x14ac:dyDescent="0.3">
      <c r="A950" s="5" t="s">
        <v>533</v>
      </c>
      <c r="B950" s="1430" t="s">
        <v>3449</v>
      </c>
      <c r="C950" s="1090" t="s">
        <v>534</v>
      </c>
      <c r="D950" s="5" t="s">
        <v>31</v>
      </c>
      <c r="E950" s="5" t="s">
        <v>31</v>
      </c>
      <c r="F950" s="5" t="s">
        <v>549</v>
      </c>
      <c r="G950" s="5" t="s">
        <v>169</v>
      </c>
      <c r="H950" s="5" t="s">
        <v>169</v>
      </c>
      <c r="I950" s="5" t="s">
        <v>673</v>
      </c>
      <c r="J950" t="s">
        <v>2969</v>
      </c>
      <c r="K950" s="5" t="s">
        <v>2355</v>
      </c>
      <c r="L950" s="5"/>
      <c r="M950" s="387">
        <v>0</v>
      </c>
      <c r="N950" s="387">
        <v>0</v>
      </c>
      <c r="O950" s="387">
        <v>0</v>
      </c>
      <c r="P950" s="387">
        <v>0</v>
      </c>
      <c r="Q950" s="387">
        <v>51</v>
      </c>
      <c r="R950" s="387">
        <v>310</v>
      </c>
      <c r="S950" s="1174">
        <f>Locations[[#This Row],[Ind_Returnees]]+Locations[[#This Row],[Ind_Refugees]]+Locations[[#This Row],[Ind_IDPs]]</f>
        <v>310</v>
      </c>
    </row>
    <row r="951" spans="1:19" x14ac:dyDescent="0.3">
      <c r="A951" s="5" t="s">
        <v>533</v>
      </c>
      <c r="B951" s="1430" t="s">
        <v>3449</v>
      </c>
      <c r="C951" s="1090" t="s">
        <v>534</v>
      </c>
      <c r="D951" s="5" t="s">
        <v>31</v>
      </c>
      <c r="E951" s="5" t="s">
        <v>31</v>
      </c>
      <c r="F951" s="5" t="s">
        <v>549</v>
      </c>
      <c r="G951" s="5" t="s">
        <v>169</v>
      </c>
      <c r="H951" s="5" t="s">
        <v>169</v>
      </c>
      <c r="I951" s="5" t="s">
        <v>673</v>
      </c>
      <c r="J951" t="s">
        <v>2992</v>
      </c>
      <c r="K951" s="5" t="s">
        <v>2330</v>
      </c>
      <c r="L951" s="5"/>
      <c r="M951" s="387">
        <v>0</v>
      </c>
      <c r="N951" s="387">
        <v>0</v>
      </c>
      <c r="O951" s="387">
        <v>0</v>
      </c>
      <c r="P951" s="387">
        <v>0</v>
      </c>
      <c r="Q951" s="387">
        <v>43</v>
      </c>
      <c r="R951" s="387">
        <v>336</v>
      </c>
      <c r="S951" s="1174">
        <f>Locations[[#This Row],[Ind_Returnees]]+Locations[[#This Row],[Ind_Refugees]]+Locations[[#This Row],[Ind_IDPs]]</f>
        <v>336</v>
      </c>
    </row>
    <row r="952" spans="1:19" x14ac:dyDescent="0.3">
      <c r="A952" s="5" t="s">
        <v>533</v>
      </c>
      <c r="B952" s="1430" t="s">
        <v>3449</v>
      </c>
      <c r="C952" s="1090" t="s">
        <v>534</v>
      </c>
      <c r="D952" s="5" t="s">
        <v>31</v>
      </c>
      <c r="E952" s="5" t="s">
        <v>31</v>
      </c>
      <c r="F952" s="5" t="s">
        <v>549</v>
      </c>
      <c r="G952" s="5" t="s">
        <v>169</v>
      </c>
      <c r="H952" s="5" t="s">
        <v>169</v>
      </c>
      <c r="I952" s="5" t="s">
        <v>673</v>
      </c>
      <c r="J952" t="s">
        <v>2989</v>
      </c>
      <c r="K952" s="5" t="s">
        <v>2356</v>
      </c>
      <c r="L952" s="5"/>
      <c r="M952" s="387">
        <v>0</v>
      </c>
      <c r="N952" s="387">
        <v>0</v>
      </c>
      <c r="O952" s="387">
        <v>0</v>
      </c>
      <c r="P952" s="387">
        <v>0</v>
      </c>
      <c r="Q952" s="387">
        <v>99</v>
      </c>
      <c r="R952" s="387">
        <v>620</v>
      </c>
      <c r="S952" s="1174">
        <f>Locations[[#This Row],[Ind_Returnees]]+Locations[[#This Row],[Ind_Refugees]]+Locations[[#This Row],[Ind_IDPs]]</f>
        <v>620</v>
      </c>
    </row>
    <row r="953" spans="1:19" x14ac:dyDescent="0.3">
      <c r="A953" s="577" t="s">
        <v>533</v>
      </c>
      <c r="B953" s="1430" t="s">
        <v>3449</v>
      </c>
      <c r="C953" s="577" t="s">
        <v>534</v>
      </c>
      <c r="D953" s="577" t="s">
        <v>31</v>
      </c>
      <c r="E953" s="577" t="s">
        <v>31</v>
      </c>
      <c r="F953" s="577" t="s">
        <v>549</v>
      </c>
      <c r="G953" s="577" t="s">
        <v>169</v>
      </c>
      <c r="H953" s="577" t="s">
        <v>169</v>
      </c>
      <c r="I953" s="577" t="s">
        <v>673</v>
      </c>
      <c r="J953" s="577" t="s">
        <v>2988</v>
      </c>
      <c r="K953" s="577" t="s">
        <v>2329</v>
      </c>
      <c r="L953" s="577"/>
      <c r="M953" s="387">
        <v>0</v>
      </c>
      <c r="N953" s="387">
        <v>0</v>
      </c>
      <c r="O953" s="387">
        <v>0</v>
      </c>
      <c r="P953" s="387">
        <v>0</v>
      </c>
      <c r="Q953" s="387">
        <v>0</v>
      </c>
      <c r="R953" s="387">
        <v>0</v>
      </c>
      <c r="S953" s="1174">
        <f>Locations[[#This Row],[Ind_Returnees]]+Locations[[#This Row],[Ind_Refugees]]+Locations[[#This Row],[Ind_IDPs]]</f>
        <v>0</v>
      </c>
    </row>
    <row r="954" spans="1:19" x14ac:dyDescent="0.3">
      <c r="A954" s="577" t="s">
        <v>533</v>
      </c>
      <c r="B954" s="1430" t="s">
        <v>3449</v>
      </c>
      <c r="C954" s="577" t="s">
        <v>534</v>
      </c>
      <c r="D954" s="577" t="s">
        <v>34</v>
      </c>
      <c r="E954" s="577" t="s">
        <v>34</v>
      </c>
      <c r="F954" s="577" t="s">
        <v>539</v>
      </c>
      <c r="G954" s="577" t="s">
        <v>188</v>
      </c>
      <c r="H954" s="577" t="s">
        <v>188</v>
      </c>
      <c r="I954" s="577" t="s">
        <v>546</v>
      </c>
      <c r="J954" s="577" t="s">
        <v>2664</v>
      </c>
      <c r="K954" s="577" t="s">
        <v>999</v>
      </c>
      <c r="L954" s="577"/>
      <c r="M954" s="387">
        <v>197</v>
      </c>
      <c r="N954" s="387">
        <v>1306</v>
      </c>
      <c r="O954" s="387">
        <v>0</v>
      </c>
      <c r="P954" s="387">
        <v>0</v>
      </c>
      <c r="Q954" s="387">
        <v>0</v>
      </c>
      <c r="R954" s="387">
        <v>0</v>
      </c>
      <c r="S954" s="1174">
        <f>Locations[[#This Row],[Ind_Returnees]]+Locations[[#This Row],[Ind_Refugees]]+Locations[[#This Row],[Ind_IDPs]]</f>
        <v>1306</v>
      </c>
    </row>
    <row r="955" spans="1:19" x14ac:dyDescent="0.3">
      <c r="A955" s="5" t="s">
        <v>533</v>
      </c>
      <c r="B955" s="1430" t="s">
        <v>3449</v>
      </c>
      <c r="C955" s="398" t="s">
        <v>534</v>
      </c>
      <c r="D955" s="5" t="s">
        <v>32</v>
      </c>
      <c r="E955" s="5" t="s">
        <v>32</v>
      </c>
      <c r="F955" s="5" t="s">
        <v>542</v>
      </c>
      <c r="G955" s="5" t="s">
        <v>178</v>
      </c>
      <c r="H955" s="5" t="s">
        <v>178</v>
      </c>
      <c r="I955" s="5" t="s">
        <v>543</v>
      </c>
      <c r="J955" t="s">
        <v>3228</v>
      </c>
      <c r="K955" s="5" t="s">
        <v>2777</v>
      </c>
      <c r="L955" s="5"/>
      <c r="M955" s="387">
        <v>0</v>
      </c>
      <c r="N955" s="387">
        <v>0</v>
      </c>
      <c r="O955" s="387">
        <v>0</v>
      </c>
      <c r="P955" s="387">
        <v>0</v>
      </c>
      <c r="Q955" s="387">
        <v>21</v>
      </c>
      <c r="R955" s="387">
        <v>127</v>
      </c>
      <c r="S955" s="1174">
        <f>Locations[[#This Row],[Ind_Returnees]]+Locations[[#This Row],[Ind_Refugees]]+Locations[[#This Row],[Ind_IDPs]]</f>
        <v>127</v>
      </c>
    </row>
    <row r="956" spans="1:19" x14ac:dyDescent="0.3">
      <c r="A956" s="5" t="s">
        <v>533</v>
      </c>
      <c r="B956" s="1430" t="s">
        <v>3449</v>
      </c>
      <c r="C956" s="398" t="s">
        <v>534</v>
      </c>
      <c r="D956" s="5" t="s">
        <v>32</v>
      </c>
      <c r="E956" s="5" t="s">
        <v>32</v>
      </c>
      <c r="F956" s="5" t="s">
        <v>542</v>
      </c>
      <c r="G956" s="5" t="s">
        <v>178</v>
      </c>
      <c r="H956" s="5" t="s">
        <v>178</v>
      </c>
      <c r="I956" s="5" t="s">
        <v>543</v>
      </c>
      <c r="J956" t="s">
        <v>3229</v>
      </c>
      <c r="K956" s="5" t="s">
        <v>2781</v>
      </c>
      <c r="L956" s="5"/>
      <c r="M956" s="387">
        <v>0</v>
      </c>
      <c r="N956" s="387">
        <v>0</v>
      </c>
      <c r="O956" s="387">
        <v>0</v>
      </c>
      <c r="P956" s="387">
        <v>0</v>
      </c>
      <c r="Q956" s="387">
        <v>20</v>
      </c>
      <c r="R956" s="387">
        <v>119</v>
      </c>
      <c r="S956" s="1174">
        <f>Locations[[#This Row],[Ind_Returnees]]+Locations[[#This Row],[Ind_Refugees]]+Locations[[#This Row],[Ind_IDPs]]</f>
        <v>119</v>
      </c>
    </row>
    <row r="957" spans="1:19" x14ac:dyDescent="0.3">
      <c r="A957" s="5" t="s">
        <v>533</v>
      </c>
      <c r="B957" s="1430" t="s">
        <v>3449</v>
      </c>
      <c r="C957" s="398" t="s">
        <v>534</v>
      </c>
      <c r="D957" s="5" t="s">
        <v>33</v>
      </c>
      <c r="E957" s="5" t="s">
        <v>33</v>
      </c>
      <c r="F957" s="5" t="s">
        <v>561</v>
      </c>
      <c r="G957" s="5" t="s">
        <v>185</v>
      </c>
      <c r="H957" s="5" t="s">
        <v>185</v>
      </c>
      <c r="I957" s="5" t="s">
        <v>656</v>
      </c>
      <c r="J957" t="s">
        <v>2652</v>
      </c>
      <c r="K957" s="5" t="s">
        <v>2653</v>
      </c>
      <c r="L957" s="5"/>
      <c r="M957" s="387">
        <v>0</v>
      </c>
      <c r="N957" s="387">
        <v>0</v>
      </c>
      <c r="O957" s="387">
        <v>0</v>
      </c>
      <c r="P957" s="387">
        <v>0</v>
      </c>
      <c r="Q957" s="387">
        <v>0</v>
      </c>
      <c r="R957" s="387">
        <v>0</v>
      </c>
      <c r="S957" s="1174">
        <f>Locations[[#This Row],[Ind_Returnees]]+Locations[[#This Row],[Ind_Refugees]]+Locations[[#This Row],[Ind_IDPs]]</f>
        <v>0</v>
      </c>
    </row>
    <row r="958" spans="1:19" x14ac:dyDescent="0.3">
      <c r="A958" s="577" t="s">
        <v>533</v>
      </c>
      <c r="B958" s="1430" t="s">
        <v>3449</v>
      </c>
      <c r="C958" s="577" t="s">
        <v>534</v>
      </c>
      <c r="D958" s="577" t="s">
        <v>34</v>
      </c>
      <c r="E958" s="577" t="s">
        <v>34</v>
      </c>
      <c r="F958" s="577" t="s">
        <v>539</v>
      </c>
      <c r="G958" s="577" t="s">
        <v>188</v>
      </c>
      <c r="H958" s="577" t="s">
        <v>188</v>
      </c>
      <c r="I958" s="577" t="s">
        <v>546</v>
      </c>
      <c r="J958" s="577" t="s">
        <v>998</v>
      </c>
      <c r="K958" s="577" t="s">
        <v>2118</v>
      </c>
      <c r="L958" s="577"/>
      <c r="M958" s="387">
        <v>42</v>
      </c>
      <c r="N958" s="387">
        <v>227</v>
      </c>
      <c r="O958" s="387">
        <v>0</v>
      </c>
      <c r="P958" s="387">
        <v>0</v>
      </c>
      <c r="Q958" s="387">
        <v>0</v>
      </c>
      <c r="R958" s="387">
        <v>0</v>
      </c>
      <c r="S958" s="1174">
        <f>Locations[[#This Row],[Ind_Returnees]]+Locations[[#This Row],[Ind_Refugees]]+Locations[[#This Row],[Ind_IDPs]]</f>
        <v>227</v>
      </c>
    </row>
    <row r="959" spans="1:19" x14ac:dyDescent="0.3">
      <c r="A959" s="5" t="s">
        <v>533</v>
      </c>
      <c r="B959" s="1430" t="s">
        <v>3449</v>
      </c>
      <c r="C959" s="398" t="s">
        <v>534</v>
      </c>
      <c r="D959" s="5" t="s">
        <v>35</v>
      </c>
      <c r="E959" s="5" t="s">
        <v>35</v>
      </c>
      <c r="F959" s="5" t="s">
        <v>567</v>
      </c>
      <c r="G959" s="5" t="s">
        <v>195</v>
      </c>
      <c r="H959" s="5" t="s">
        <v>195</v>
      </c>
      <c r="I959" s="5" t="s">
        <v>733</v>
      </c>
      <c r="J959" t="s">
        <v>734</v>
      </c>
      <c r="K959" s="5" t="s">
        <v>1907</v>
      </c>
      <c r="L959" s="5"/>
      <c r="M959" s="387">
        <v>152</v>
      </c>
      <c r="N959" s="387">
        <v>600</v>
      </c>
      <c r="O959" s="387">
        <v>0</v>
      </c>
      <c r="P959" s="387">
        <v>0</v>
      </c>
      <c r="Q959" s="387">
        <v>0</v>
      </c>
      <c r="R959" s="387">
        <v>0</v>
      </c>
      <c r="S959" s="1174">
        <f>Locations[[#This Row],[Ind_Returnees]]+Locations[[#This Row],[Ind_Refugees]]+Locations[[#This Row],[Ind_IDPs]]</f>
        <v>600</v>
      </c>
    </row>
    <row r="960" spans="1:19" x14ac:dyDescent="0.3">
      <c r="A960" s="5" t="s">
        <v>533</v>
      </c>
      <c r="B960" s="1430" t="s">
        <v>3449</v>
      </c>
      <c r="C960" s="1090" t="s">
        <v>534</v>
      </c>
      <c r="D960" s="5" t="s">
        <v>35</v>
      </c>
      <c r="E960" s="5" t="s">
        <v>35</v>
      </c>
      <c r="F960" s="5" t="s">
        <v>567</v>
      </c>
      <c r="G960" s="5" t="s">
        <v>195</v>
      </c>
      <c r="H960" s="5" t="s">
        <v>195</v>
      </c>
      <c r="I960" s="5" t="s">
        <v>733</v>
      </c>
      <c r="J960" t="s">
        <v>2640</v>
      </c>
      <c r="K960" s="5" t="s">
        <v>2115</v>
      </c>
      <c r="L960" s="5"/>
      <c r="M960" s="387">
        <v>0</v>
      </c>
      <c r="N960" s="387">
        <v>0</v>
      </c>
      <c r="O960" s="387">
        <v>0</v>
      </c>
      <c r="P960" s="387">
        <v>0</v>
      </c>
      <c r="Q960" s="387">
        <v>0</v>
      </c>
      <c r="R960" s="387">
        <v>0</v>
      </c>
      <c r="S960" s="1174">
        <f>Locations[[#This Row],[Ind_Returnees]]+Locations[[#This Row],[Ind_Refugees]]+Locations[[#This Row],[Ind_IDPs]]</f>
        <v>0</v>
      </c>
    </row>
    <row r="961" spans="1:19" x14ac:dyDescent="0.3">
      <c r="A961" s="5" t="s">
        <v>533</v>
      </c>
      <c r="B961" s="1430" t="s">
        <v>3449</v>
      </c>
      <c r="C961" s="398" t="s">
        <v>534</v>
      </c>
      <c r="D961" s="5" t="s">
        <v>32</v>
      </c>
      <c r="E961" s="5" t="s">
        <v>32</v>
      </c>
      <c r="F961" s="5" t="s">
        <v>542</v>
      </c>
      <c r="G961" s="5" t="s">
        <v>178</v>
      </c>
      <c r="H961" s="5" t="s">
        <v>178</v>
      </c>
      <c r="I961" s="5" t="s">
        <v>543</v>
      </c>
      <c r="J961" t="s">
        <v>3230</v>
      </c>
      <c r="K961" s="5" t="s">
        <v>2790</v>
      </c>
      <c r="L961" s="5"/>
      <c r="M961" s="387">
        <v>0</v>
      </c>
      <c r="N961" s="387">
        <v>0</v>
      </c>
      <c r="O961" s="387">
        <v>0</v>
      </c>
      <c r="P961" s="387">
        <v>0</v>
      </c>
      <c r="Q961" s="387">
        <v>32</v>
      </c>
      <c r="R961" s="387">
        <v>215</v>
      </c>
      <c r="S961" s="1174">
        <f>Locations[[#This Row],[Ind_Returnees]]+Locations[[#This Row],[Ind_Refugees]]+Locations[[#This Row],[Ind_IDPs]]</f>
        <v>215</v>
      </c>
    </row>
    <row r="962" spans="1:19" x14ac:dyDescent="0.3">
      <c r="A962" s="5" t="s">
        <v>533</v>
      </c>
      <c r="B962" s="1430" t="s">
        <v>3449</v>
      </c>
      <c r="C962" s="1090" t="s">
        <v>534</v>
      </c>
      <c r="D962" s="5" t="s">
        <v>30</v>
      </c>
      <c r="E962" s="5" t="s">
        <v>3522</v>
      </c>
      <c r="F962" s="5" t="s">
        <v>535</v>
      </c>
      <c r="G962" s="5" t="s">
        <v>157</v>
      </c>
      <c r="H962" s="5" t="s">
        <v>157</v>
      </c>
      <c r="I962" s="5" t="s">
        <v>2236</v>
      </c>
      <c r="J962" t="s">
        <v>2366</v>
      </c>
      <c r="K962" s="5" t="s">
        <v>2367</v>
      </c>
      <c r="L962" s="5"/>
      <c r="M962" s="387">
        <v>0</v>
      </c>
      <c r="N962" s="387">
        <v>0</v>
      </c>
      <c r="O962" s="387">
        <v>0</v>
      </c>
      <c r="P962" s="387">
        <v>0</v>
      </c>
      <c r="Q962" s="387">
        <v>1</v>
      </c>
      <c r="R962" s="387">
        <v>5</v>
      </c>
      <c r="S962" s="1174">
        <f>Locations[[#This Row],[Ind_Returnees]]+Locations[[#This Row],[Ind_Refugees]]+Locations[[#This Row],[Ind_IDPs]]</f>
        <v>5</v>
      </c>
    </row>
    <row r="963" spans="1:19" x14ac:dyDescent="0.3">
      <c r="A963" s="5" t="s">
        <v>533</v>
      </c>
      <c r="B963" s="1430" t="s">
        <v>3449</v>
      </c>
      <c r="C963" s="1090" t="s">
        <v>534</v>
      </c>
      <c r="D963" s="5" t="s">
        <v>35</v>
      </c>
      <c r="E963" s="5" t="s">
        <v>35</v>
      </c>
      <c r="F963" s="5" t="s">
        <v>567</v>
      </c>
      <c r="G963" s="5" t="s">
        <v>193</v>
      </c>
      <c r="H963" s="5" t="s">
        <v>3983</v>
      </c>
      <c r="I963" s="5" t="s">
        <v>863</v>
      </c>
      <c r="J963" t="s">
        <v>875</v>
      </c>
      <c r="K963" s="5" t="s">
        <v>993</v>
      </c>
      <c r="L963" s="5"/>
      <c r="M963" s="387">
        <v>91</v>
      </c>
      <c r="N963" s="387">
        <v>489</v>
      </c>
      <c r="O963" s="387">
        <v>23</v>
      </c>
      <c r="P963" s="387">
        <v>126</v>
      </c>
      <c r="Q963" s="387">
        <v>5</v>
      </c>
      <c r="R963" s="387">
        <v>18</v>
      </c>
      <c r="S963" s="1174">
        <f>Locations[[#This Row],[Ind_Returnees]]+Locations[[#This Row],[Ind_Refugees]]+Locations[[#This Row],[Ind_IDPs]]</f>
        <v>633</v>
      </c>
    </row>
    <row r="964" spans="1:19" x14ac:dyDescent="0.3">
      <c r="A964" s="5" t="s">
        <v>533</v>
      </c>
      <c r="B964" s="1430" t="s">
        <v>3449</v>
      </c>
      <c r="C964" s="1090" t="s">
        <v>534</v>
      </c>
      <c r="D964" s="5" t="s">
        <v>31</v>
      </c>
      <c r="E964" s="5" t="s">
        <v>31</v>
      </c>
      <c r="F964" s="5" t="s">
        <v>549</v>
      </c>
      <c r="G964" s="5" t="s">
        <v>172</v>
      </c>
      <c r="H964" s="5" t="s">
        <v>172</v>
      </c>
      <c r="I964" s="5" t="s">
        <v>706</v>
      </c>
      <c r="J964" t="s">
        <v>3095</v>
      </c>
      <c r="K964" s="5" t="s">
        <v>2709</v>
      </c>
      <c r="L964" s="5"/>
      <c r="M964" s="387">
        <v>0</v>
      </c>
      <c r="N964" s="387">
        <v>0</v>
      </c>
      <c r="O964" s="387">
        <v>0</v>
      </c>
      <c r="P964" s="387">
        <v>0</v>
      </c>
      <c r="Q964" s="387">
        <v>0</v>
      </c>
      <c r="R964" s="387">
        <v>0</v>
      </c>
      <c r="S964" s="1174">
        <f>Locations[[#This Row],[Ind_Returnees]]+Locations[[#This Row],[Ind_Refugees]]+Locations[[#This Row],[Ind_IDPs]]</f>
        <v>0</v>
      </c>
    </row>
    <row r="965" spans="1:19" x14ac:dyDescent="0.3">
      <c r="A965" s="5" t="s">
        <v>533</v>
      </c>
      <c r="B965" s="1430" t="s">
        <v>3449</v>
      </c>
      <c r="C965" s="1090" t="s">
        <v>534</v>
      </c>
      <c r="D965" s="5" t="s">
        <v>33</v>
      </c>
      <c r="E965" s="5" t="s">
        <v>33</v>
      </c>
      <c r="F965" s="5" t="s">
        <v>561</v>
      </c>
      <c r="G965" s="5" t="s">
        <v>183</v>
      </c>
      <c r="H965" s="5" t="s">
        <v>183</v>
      </c>
      <c r="I965" s="5" t="s">
        <v>562</v>
      </c>
      <c r="J965" t="s">
        <v>2071</v>
      </c>
      <c r="K965" s="5" t="s">
        <v>2072</v>
      </c>
      <c r="L965" s="5"/>
      <c r="M965" s="387">
        <v>2</v>
      </c>
      <c r="N965" s="387">
        <v>10</v>
      </c>
      <c r="O965" s="387">
        <v>1</v>
      </c>
      <c r="P965" s="387">
        <v>6</v>
      </c>
      <c r="Q965" s="387">
        <v>0</v>
      </c>
      <c r="R965" s="387">
        <v>0</v>
      </c>
      <c r="S965" s="1174">
        <f>Locations[[#This Row],[Ind_Returnees]]+Locations[[#This Row],[Ind_Refugees]]+Locations[[#This Row],[Ind_IDPs]]</f>
        <v>16</v>
      </c>
    </row>
    <row r="966" spans="1:19" x14ac:dyDescent="0.3">
      <c r="A966" s="5" t="s">
        <v>533</v>
      </c>
      <c r="B966" s="1430" t="s">
        <v>3449</v>
      </c>
      <c r="C966" s="398" t="s">
        <v>534</v>
      </c>
      <c r="D966" s="5" t="s">
        <v>31</v>
      </c>
      <c r="E966" s="5" t="s">
        <v>31</v>
      </c>
      <c r="F966" s="5" t="s">
        <v>549</v>
      </c>
      <c r="G966" s="5" t="s">
        <v>170</v>
      </c>
      <c r="H966" s="5" t="s">
        <v>170</v>
      </c>
      <c r="I966" s="5" t="s">
        <v>866</v>
      </c>
      <c r="J966" t="s">
        <v>2173</v>
      </c>
      <c r="K966" s="5" t="s">
        <v>939</v>
      </c>
      <c r="L966" s="5"/>
      <c r="M966" s="387">
        <v>35</v>
      </c>
      <c r="N966" s="387">
        <v>105</v>
      </c>
      <c r="O966" s="387">
        <v>0</v>
      </c>
      <c r="P966" s="387">
        <v>0</v>
      </c>
      <c r="Q966" s="387">
        <v>0</v>
      </c>
      <c r="R966" s="387">
        <v>0</v>
      </c>
      <c r="S966" s="1174">
        <f>Locations[[#This Row],[Ind_Returnees]]+Locations[[#This Row],[Ind_Refugees]]+Locations[[#This Row],[Ind_IDPs]]</f>
        <v>105</v>
      </c>
    </row>
    <row r="967" spans="1:19" x14ac:dyDescent="0.3">
      <c r="A967" s="5" t="s">
        <v>533</v>
      </c>
      <c r="B967" s="1430" t="s">
        <v>3449</v>
      </c>
      <c r="C967" s="398" t="s">
        <v>534</v>
      </c>
      <c r="D967" s="5" t="s">
        <v>34</v>
      </c>
      <c r="E967" s="5" t="s">
        <v>34</v>
      </c>
      <c r="F967" s="5" t="s">
        <v>539</v>
      </c>
      <c r="G967" s="5" t="s">
        <v>189</v>
      </c>
      <c r="H967" s="5" t="s">
        <v>189</v>
      </c>
      <c r="I967" s="5" t="s">
        <v>590</v>
      </c>
      <c r="J967" t="s">
        <v>765</v>
      </c>
      <c r="K967" s="5" t="s">
        <v>766</v>
      </c>
      <c r="L967" s="5"/>
      <c r="M967" s="387">
        <v>18</v>
      </c>
      <c r="N967" s="387">
        <v>158</v>
      </c>
      <c r="O967" s="387">
        <v>0</v>
      </c>
      <c r="P967" s="387">
        <v>0</v>
      </c>
      <c r="Q967" s="387">
        <v>0</v>
      </c>
      <c r="R967" s="387">
        <v>0</v>
      </c>
      <c r="S967" s="1174">
        <f>Locations[[#This Row],[Ind_Returnees]]+Locations[[#This Row],[Ind_Refugees]]+Locations[[#This Row],[Ind_IDPs]]</f>
        <v>158</v>
      </c>
    </row>
    <row r="968" spans="1:19" x14ac:dyDescent="0.3">
      <c r="A968" s="5" t="s">
        <v>533</v>
      </c>
      <c r="B968" s="1430" t="s">
        <v>3449</v>
      </c>
      <c r="C968" s="1090" t="s">
        <v>534</v>
      </c>
      <c r="D968" s="5" t="s">
        <v>35</v>
      </c>
      <c r="E968" s="5" t="s">
        <v>35</v>
      </c>
      <c r="F968" s="5" t="s">
        <v>567</v>
      </c>
      <c r="G968" s="5" t="s">
        <v>192</v>
      </c>
      <c r="H968" s="5" t="s">
        <v>192</v>
      </c>
      <c r="I968" s="5" t="s">
        <v>853</v>
      </c>
      <c r="J968" t="s">
        <v>1452</v>
      </c>
      <c r="K968" s="5" t="s">
        <v>948</v>
      </c>
      <c r="L968" s="5"/>
      <c r="M968" s="387">
        <v>202</v>
      </c>
      <c r="N968" s="387">
        <v>1385</v>
      </c>
      <c r="O968" s="387">
        <v>0</v>
      </c>
      <c r="P968" s="387">
        <v>0</v>
      </c>
      <c r="Q968" s="387">
        <v>0</v>
      </c>
      <c r="R968" s="387">
        <v>0</v>
      </c>
      <c r="S968" s="1174">
        <f>Locations[[#This Row],[Ind_Returnees]]+Locations[[#This Row],[Ind_Refugees]]+Locations[[#This Row],[Ind_IDPs]]</f>
        <v>1385</v>
      </c>
    </row>
    <row r="969" spans="1:19" x14ac:dyDescent="0.3">
      <c r="A969" s="5" t="s">
        <v>533</v>
      </c>
      <c r="B969" s="1430" t="s">
        <v>3449</v>
      </c>
      <c r="C969" s="398" t="s">
        <v>534</v>
      </c>
      <c r="D969" s="5" t="s">
        <v>31</v>
      </c>
      <c r="E969" s="5" t="s">
        <v>31</v>
      </c>
      <c r="F969" s="5" t="s">
        <v>549</v>
      </c>
      <c r="G969" s="5" t="s">
        <v>170</v>
      </c>
      <c r="H969" s="5" t="s">
        <v>170</v>
      </c>
      <c r="I969" s="5" t="s">
        <v>866</v>
      </c>
      <c r="J969" t="s">
        <v>2997</v>
      </c>
      <c r="K969" s="5" t="s">
        <v>1238</v>
      </c>
      <c r="L969" s="5"/>
      <c r="M969" s="387">
        <v>3</v>
      </c>
      <c r="N969" s="387">
        <v>15</v>
      </c>
      <c r="O969" s="387">
        <v>0</v>
      </c>
      <c r="P969" s="387">
        <v>0</v>
      </c>
      <c r="Q969" s="387">
        <v>0</v>
      </c>
      <c r="R969" s="387">
        <v>0</v>
      </c>
      <c r="S969" s="1174">
        <f>Locations[[#This Row],[Ind_Returnees]]+Locations[[#This Row],[Ind_Refugees]]+Locations[[#This Row],[Ind_IDPs]]</f>
        <v>15</v>
      </c>
    </row>
    <row r="970" spans="1:19" x14ac:dyDescent="0.3">
      <c r="A970" s="5" t="s">
        <v>533</v>
      </c>
      <c r="B970" s="1430" t="s">
        <v>3449</v>
      </c>
      <c r="C970" s="1090" t="s">
        <v>534</v>
      </c>
      <c r="D970" s="5" t="s">
        <v>31</v>
      </c>
      <c r="E970" s="5" t="s">
        <v>31</v>
      </c>
      <c r="F970" s="5" t="s">
        <v>549</v>
      </c>
      <c r="G970" s="5" t="s">
        <v>173</v>
      </c>
      <c r="H970" s="5" t="s">
        <v>173</v>
      </c>
      <c r="I970" s="5" t="s">
        <v>556</v>
      </c>
      <c r="J970" t="s">
        <v>1604</v>
      </c>
      <c r="K970" s="5" t="s">
        <v>1112</v>
      </c>
      <c r="L970" s="5"/>
      <c r="M970" s="387">
        <v>0</v>
      </c>
      <c r="N970" s="387">
        <v>0</v>
      </c>
      <c r="O970" s="387">
        <v>0</v>
      </c>
      <c r="P970" s="387">
        <v>0</v>
      </c>
      <c r="Q970" s="387">
        <v>5</v>
      </c>
      <c r="R970" s="387">
        <v>52</v>
      </c>
      <c r="S970" s="1174">
        <f>Locations[[#This Row],[Ind_Returnees]]+Locations[[#This Row],[Ind_Refugees]]+Locations[[#This Row],[Ind_IDPs]]</f>
        <v>52</v>
      </c>
    </row>
    <row r="971" spans="1:19" x14ac:dyDescent="0.3">
      <c r="A971" s="5" t="s">
        <v>533</v>
      </c>
      <c r="B971" s="1430" t="s">
        <v>3449</v>
      </c>
      <c r="C971" s="398" t="s">
        <v>534</v>
      </c>
      <c r="D971" s="5" t="s">
        <v>30</v>
      </c>
      <c r="E971" s="5" t="s">
        <v>3522</v>
      </c>
      <c r="F971" s="5" t="s">
        <v>535</v>
      </c>
      <c r="G971" s="5" t="s">
        <v>162</v>
      </c>
      <c r="H971" s="5" t="s">
        <v>3529</v>
      </c>
      <c r="I971" s="5" t="s">
        <v>536</v>
      </c>
      <c r="J971" t="s">
        <v>722</v>
      </c>
      <c r="K971" s="5" t="s">
        <v>723</v>
      </c>
      <c r="L971" s="5"/>
      <c r="M971" s="387">
        <v>19</v>
      </c>
      <c r="N971" s="387">
        <v>127</v>
      </c>
      <c r="O971" s="387">
        <v>0</v>
      </c>
      <c r="P971" s="387">
        <v>0</v>
      </c>
      <c r="Q971" s="387">
        <v>0</v>
      </c>
      <c r="R971" s="387">
        <v>0</v>
      </c>
      <c r="S971" s="1174">
        <f>Locations[[#This Row],[Ind_Returnees]]+Locations[[#This Row],[Ind_Refugees]]+Locations[[#This Row],[Ind_IDPs]]</f>
        <v>127</v>
      </c>
    </row>
    <row r="972" spans="1:19" x14ac:dyDescent="0.3">
      <c r="A972" s="5" t="s">
        <v>533</v>
      </c>
      <c r="B972" s="1430" t="s">
        <v>3449</v>
      </c>
      <c r="C972" s="398" t="s">
        <v>534</v>
      </c>
      <c r="D972" s="5" t="s">
        <v>32</v>
      </c>
      <c r="E972" s="5" t="s">
        <v>32</v>
      </c>
      <c r="F972" s="5" t="s">
        <v>542</v>
      </c>
      <c r="G972" s="5" t="s">
        <v>178</v>
      </c>
      <c r="H972" s="5" t="s">
        <v>178</v>
      </c>
      <c r="I972" s="5" t="s">
        <v>543</v>
      </c>
      <c r="J972" t="s">
        <v>895</v>
      </c>
      <c r="K972" s="5" t="s">
        <v>896</v>
      </c>
      <c r="L972" s="5"/>
      <c r="M972" s="387">
        <v>30</v>
      </c>
      <c r="N972" s="387">
        <v>270</v>
      </c>
      <c r="O972" s="387">
        <v>0</v>
      </c>
      <c r="P972" s="387">
        <v>0</v>
      </c>
      <c r="Q972" s="387">
        <v>0</v>
      </c>
      <c r="R972" s="387">
        <v>0</v>
      </c>
      <c r="S972" s="1174">
        <f>Locations[[#This Row],[Ind_Returnees]]+Locations[[#This Row],[Ind_Refugees]]+Locations[[#This Row],[Ind_IDPs]]</f>
        <v>270</v>
      </c>
    </row>
    <row r="973" spans="1:19" x14ac:dyDescent="0.3">
      <c r="A973" s="5" t="s">
        <v>533</v>
      </c>
      <c r="B973" s="1430" t="s">
        <v>3449</v>
      </c>
      <c r="C973" s="398" t="s">
        <v>534</v>
      </c>
      <c r="D973" s="5" t="s">
        <v>34</v>
      </c>
      <c r="E973" s="5" t="s">
        <v>34</v>
      </c>
      <c r="F973" s="5" t="s">
        <v>539</v>
      </c>
      <c r="G973" s="5" t="s">
        <v>188</v>
      </c>
      <c r="H973" s="5" t="s">
        <v>188</v>
      </c>
      <c r="I973" s="5" t="s">
        <v>546</v>
      </c>
      <c r="J973" t="s">
        <v>1075</v>
      </c>
      <c r="K973" s="5" t="s">
        <v>1352</v>
      </c>
      <c r="L973" s="5"/>
      <c r="M973" s="387">
        <v>47</v>
      </c>
      <c r="N973" s="387">
        <v>156</v>
      </c>
      <c r="O973" s="387">
        <v>0</v>
      </c>
      <c r="P973" s="387">
        <v>0</v>
      </c>
      <c r="Q973" s="387">
        <v>5</v>
      </c>
      <c r="R973" s="387">
        <v>25</v>
      </c>
      <c r="S973" s="1174">
        <f>Locations[[#This Row],[Ind_Returnees]]+Locations[[#This Row],[Ind_Refugees]]+Locations[[#This Row],[Ind_IDPs]]</f>
        <v>181</v>
      </c>
    </row>
    <row r="974" spans="1:19" x14ac:dyDescent="0.3">
      <c r="A974" s="5" t="s">
        <v>533</v>
      </c>
      <c r="B974" s="1430" t="s">
        <v>3449</v>
      </c>
      <c r="C974" s="398" t="s">
        <v>534</v>
      </c>
      <c r="D974" s="5" t="s">
        <v>34</v>
      </c>
      <c r="E974" s="5" t="s">
        <v>34</v>
      </c>
      <c r="F974" s="5" t="s">
        <v>539</v>
      </c>
      <c r="G974" s="5" t="s">
        <v>188</v>
      </c>
      <c r="H974" s="5" t="s">
        <v>188</v>
      </c>
      <c r="I974" s="5" t="s">
        <v>546</v>
      </c>
      <c r="J974" t="s">
        <v>1554</v>
      </c>
      <c r="K974" s="5" t="s">
        <v>2663</v>
      </c>
      <c r="L974" s="5"/>
      <c r="M974" s="387">
        <v>0</v>
      </c>
      <c r="N974" s="387">
        <v>0</v>
      </c>
      <c r="O974" s="387">
        <v>0</v>
      </c>
      <c r="P974" s="387">
        <v>0</v>
      </c>
      <c r="Q974" s="387">
        <v>0</v>
      </c>
      <c r="R974" s="387">
        <v>0</v>
      </c>
      <c r="S974" s="1174">
        <f>Locations[[#This Row],[Ind_Returnees]]+Locations[[#This Row],[Ind_Refugees]]+Locations[[#This Row],[Ind_IDPs]]</f>
        <v>0</v>
      </c>
    </row>
    <row r="975" spans="1:19" x14ac:dyDescent="0.3">
      <c r="A975" s="5" t="s">
        <v>533</v>
      </c>
      <c r="B975" s="1430" t="s">
        <v>3449</v>
      </c>
      <c r="C975" s="1090" t="s">
        <v>534</v>
      </c>
      <c r="D975" s="5" t="s">
        <v>34</v>
      </c>
      <c r="E975" s="5" t="s">
        <v>34</v>
      </c>
      <c r="F975" s="5" t="s">
        <v>539</v>
      </c>
      <c r="G975" s="5" t="s">
        <v>188</v>
      </c>
      <c r="H975" s="5" t="s">
        <v>188</v>
      </c>
      <c r="I975" s="5" t="s">
        <v>546</v>
      </c>
      <c r="J975" t="s">
        <v>1687</v>
      </c>
      <c r="K975" s="5" t="s">
        <v>1492</v>
      </c>
      <c r="L975" s="5"/>
      <c r="M975" s="387">
        <v>109</v>
      </c>
      <c r="N975" s="387">
        <v>856</v>
      </c>
      <c r="O975" s="387">
        <v>0</v>
      </c>
      <c r="P975" s="387">
        <v>0</v>
      </c>
      <c r="Q975" s="387">
        <v>15</v>
      </c>
      <c r="R975" s="387">
        <v>78</v>
      </c>
      <c r="S975" s="1174">
        <f>Locations[[#This Row],[Ind_Returnees]]+Locations[[#This Row],[Ind_Refugees]]+Locations[[#This Row],[Ind_IDPs]]</f>
        <v>934</v>
      </c>
    </row>
    <row r="976" spans="1:19" x14ac:dyDescent="0.3">
      <c r="A976" s="5" t="s">
        <v>533</v>
      </c>
      <c r="B976" s="1430" t="s">
        <v>3449</v>
      </c>
      <c r="C976" s="1090" t="s">
        <v>534</v>
      </c>
      <c r="D976" s="5" t="s">
        <v>31</v>
      </c>
      <c r="E976" s="5" t="s">
        <v>31</v>
      </c>
      <c r="F976" s="5" t="s">
        <v>549</v>
      </c>
      <c r="G976" s="5" t="s">
        <v>165</v>
      </c>
      <c r="H976" s="5" t="s">
        <v>165</v>
      </c>
      <c r="I976" s="5" t="s">
        <v>881</v>
      </c>
      <c r="J976" t="s">
        <v>882</v>
      </c>
      <c r="K976" s="5" t="s">
        <v>1001</v>
      </c>
      <c r="L976" s="5"/>
      <c r="M976" s="387">
        <v>0</v>
      </c>
      <c r="N976" s="387">
        <v>0</v>
      </c>
      <c r="O976" s="387">
        <v>0</v>
      </c>
      <c r="P976" s="387">
        <v>0</v>
      </c>
      <c r="Q976" s="387">
        <v>0</v>
      </c>
      <c r="R976" s="387">
        <v>0</v>
      </c>
      <c r="S976" s="1174">
        <f>Locations[[#This Row],[Ind_Returnees]]+Locations[[#This Row],[Ind_Refugees]]+Locations[[#This Row],[Ind_IDPs]]</f>
        <v>0</v>
      </c>
    </row>
    <row r="977" spans="1:19" x14ac:dyDescent="0.3">
      <c r="A977" s="5" t="s">
        <v>533</v>
      </c>
      <c r="B977" s="1430" t="s">
        <v>3449</v>
      </c>
      <c r="C977" s="398" t="s">
        <v>534</v>
      </c>
      <c r="D977" s="5" t="s">
        <v>35</v>
      </c>
      <c r="E977" s="5" t="s">
        <v>35</v>
      </c>
      <c r="F977" s="5" t="s">
        <v>567</v>
      </c>
      <c r="G977" s="5" t="s">
        <v>194</v>
      </c>
      <c r="H977" s="5" t="s">
        <v>194</v>
      </c>
      <c r="I977" s="5" t="s">
        <v>2150</v>
      </c>
      <c r="J977" t="s">
        <v>2210</v>
      </c>
      <c r="K977" s="5" t="s">
        <v>2211</v>
      </c>
      <c r="L977" s="5"/>
      <c r="M977" s="387">
        <v>0</v>
      </c>
      <c r="N977" s="387">
        <v>0</v>
      </c>
      <c r="O977" s="387">
        <v>16</v>
      </c>
      <c r="P977" s="387">
        <v>86</v>
      </c>
      <c r="Q977" s="387">
        <v>18</v>
      </c>
      <c r="R977" s="387">
        <v>98</v>
      </c>
      <c r="S977" s="1174">
        <f>Locations[[#This Row],[Ind_Returnees]]+Locations[[#This Row],[Ind_Refugees]]+Locations[[#This Row],[Ind_IDPs]]</f>
        <v>184</v>
      </c>
    </row>
    <row r="978" spans="1:19" x14ac:dyDescent="0.3">
      <c r="A978" s="5" t="s">
        <v>533</v>
      </c>
      <c r="B978" s="1430" t="s">
        <v>3449</v>
      </c>
      <c r="C978" s="398" t="s">
        <v>534</v>
      </c>
      <c r="D978" s="5" t="s">
        <v>35</v>
      </c>
      <c r="E978" s="5" t="s">
        <v>35</v>
      </c>
      <c r="F978" s="5" t="s">
        <v>567</v>
      </c>
      <c r="G978" s="5" t="s">
        <v>194</v>
      </c>
      <c r="H978" s="5" t="s">
        <v>194</v>
      </c>
      <c r="I978" s="5" t="s">
        <v>2150</v>
      </c>
      <c r="J978" t="s">
        <v>2163</v>
      </c>
      <c r="K978" s="5" t="s">
        <v>2164</v>
      </c>
      <c r="L978" s="5"/>
      <c r="M978" s="387">
        <v>0</v>
      </c>
      <c r="N978" s="387">
        <v>0</v>
      </c>
      <c r="O978" s="387">
        <v>11</v>
      </c>
      <c r="P978" s="387">
        <v>19</v>
      </c>
      <c r="Q978" s="387">
        <v>50</v>
      </c>
      <c r="R978" s="387">
        <v>154</v>
      </c>
      <c r="S978" s="1174">
        <f>Locations[[#This Row],[Ind_Returnees]]+Locations[[#This Row],[Ind_Refugees]]+Locations[[#This Row],[Ind_IDPs]]</f>
        <v>173</v>
      </c>
    </row>
    <row r="979" spans="1:19" x14ac:dyDescent="0.3">
      <c r="A979" s="5" t="s">
        <v>533</v>
      </c>
      <c r="B979" s="1430" t="s">
        <v>3449</v>
      </c>
      <c r="C979" s="1090" t="s">
        <v>534</v>
      </c>
      <c r="D979" s="5" t="s">
        <v>31</v>
      </c>
      <c r="E979" s="5" t="s">
        <v>31</v>
      </c>
      <c r="F979" s="5" t="s">
        <v>549</v>
      </c>
      <c r="G979" s="5" t="s">
        <v>169</v>
      </c>
      <c r="H979" s="5" t="s">
        <v>169</v>
      </c>
      <c r="I979" s="5" t="s">
        <v>673</v>
      </c>
      <c r="J979" t="s">
        <v>2842</v>
      </c>
      <c r="K979" s="5" t="s">
        <v>2338</v>
      </c>
      <c r="L979" s="5"/>
      <c r="M979" s="387">
        <v>0</v>
      </c>
      <c r="N979" s="387">
        <v>0</v>
      </c>
      <c r="O979" s="387">
        <v>0</v>
      </c>
      <c r="P979" s="387">
        <v>0</v>
      </c>
      <c r="Q979" s="387">
        <v>122</v>
      </c>
      <c r="R979" s="387">
        <v>800</v>
      </c>
      <c r="S979" s="1174">
        <f>Locations[[#This Row],[Ind_Returnees]]+Locations[[#This Row],[Ind_Refugees]]+Locations[[#This Row],[Ind_IDPs]]</f>
        <v>800</v>
      </c>
    </row>
    <row r="980" spans="1:19" x14ac:dyDescent="0.3">
      <c r="A980" s="5" t="s">
        <v>533</v>
      </c>
      <c r="B980" s="1430" t="s">
        <v>3449</v>
      </c>
      <c r="C980" s="1090" t="s">
        <v>534</v>
      </c>
      <c r="D980" s="5" t="s">
        <v>31</v>
      </c>
      <c r="E980" s="5" t="s">
        <v>31</v>
      </c>
      <c r="F980" s="5" t="s">
        <v>549</v>
      </c>
      <c r="G980" s="5" t="s">
        <v>170</v>
      </c>
      <c r="H980" s="5" t="s">
        <v>170</v>
      </c>
      <c r="I980" s="5" t="s">
        <v>866</v>
      </c>
      <c r="J980" t="s">
        <v>1912</v>
      </c>
      <c r="K980" s="5" t="s">
        <v>2098</v>
      </c>
      <c r="L980" s="5"/>
      <c r="M980" s="387">
        <v>21</v>
      </c>
      <c r="N980" s="387">
        <v>78</v>
      </c>
      <c r="O980" s="387">
        <v>0</v>
      </c>
      <c r="P980" s="387">
        <v>0</v>
      </c>
      <c r="Q980" s="387">
        <v>0</v>
      </c>
      <c r="R980" s="387">
        <v>0</v>
      </c>
      <c r="S980" s="1174">
        <f>Locations[[#This Row],[Ind_Returnees]]+Locations[[#This Row],[Ind_Refugees]]+Locations[[#This Row],[Ind_IDPs]]</f>
        <v>78</v>
      </c>
    </row>
    <row r="981" spans="1:19" x14ac:dyDescent="0.3">
      <c r="A981" s="5" t="s">
        <v>533</v>
      </c>
      <c r="B981" s="1430" t="s">
        <v>3449</v>
      </c>
      <c r="C981" s="398" t="s">
        <v>534</v>
      </c>
      <c r="D981" s="5" t="s">
        <v>31</v>
      </c>
      <c r="E981" s="5" t="s">
        <v>31</v>
      </c>
      <c r="F981" s="5" t="s">
        <v>549</v>
      </c>
      <c r="G981" s="5" t="s">
        <v>171</v>
      </c>
      <c r="H981" s="5" t="s">
        <v>171</v>
      </c>
      <c r="I981" s="5" t="s">
        <v>634</v>
      </c>
      <c r="J981" t="s">
        <v>2999</v>
      </c>
      <c r="K981" s="5" t="s">
        <v>1977</v>
      </c>
      <c r="L981" s="5"/>
      <c r="M981" s="387">
        <v>11</v>
      </c>
      <c r="N981" s="387">
        <v>57</v>
      </c>
      <c r="O981" s="387">
        <v>0</v>
      </c>
      <c r="P981" s="387">
        <v>0</v>
      </c>
      <c r="Q981" s="387">
        <v>0</v>
      </c>
      <c r="R981" s="387">
        <v>0</v>
      </c>
      <c r="S981" s="1174">
        <f>Locations[[#This Row],[Ind_Returnees]]+Locations[[#This Row],[Ind_Refugees]]+Locations[[#This Row],[Ind_IDPs]]</f>
        <v>57</v>
      </c>
    </row>
    <row r="982" spans="1:19" x14ac:dyDescent="0.3">
      <c r="A982" s="5" t="s">
        <v>533</v>
      </c>
      <c r="B982" s="1430" t="s">
        <v>3449</v>
      </c>
      <c r="C982" s="1090" t="s">
        <v>534</v>
      </c>
      <c r="D982" s="5" t="s">
        <v>35</v>
      </c>
      <c r="E982" s="5" t="s">
        <v>35</v>
      </c>
      <c r="F982" s="5" t="s">
        <v>567</v>
      </c>
      <c r="G982" s="5" t="s">
        <v>196</v>
      </c>
      <c r="H982" s="5" t="s">
        <v>3984</v>
      </c>
      <c r="I982" s="5" t="s">
        <v>568</v>
      </c>
      <c r="J982" t="s">
        <v>2091</v>
      </c>
      <c r="K982" s="5" t="s">
        <v>2092</v>
      </c>
      <c r="L982" s="5"/>
      <c r="M982" s="387">
        <v>0</v>
      </c>
      <c r="N982" s="387">
        <v>0</v>
      </c>
      <c r="O982" s="387">
        <v>0</v>
      </c>
      <c r="P982" s="387">
        <v>0</v>
      </c>
      <c r="Q982" s="387">
        <v>0</v>
      </c>
      <c r="R982" s="387">
        <v>0</v>
      </c>
      <c r="S982" s="1174">
        <f>Locations[[#This Row],[Ind_Returnees]]+Locations[[#This Row],[Ind_Refugees]]+Locations[[#This Row],[Ind_IDPs]]</f>
        <v>0</v>
      </c>
    </row>
    <row r="983" spans="1:19" x14ac:dyDescent="0.3">
      <c r="A983" s="577" t="s">
        <v>533</v>
      </c>
      <c r="B983" s="1430" t="s">
        <v>3449</v>
      </c>
      <c r="C983" s="577" t="s">
        <v>534</v>
      </c>
      <c r="D983" s="577" t="s">
        <v>35</v>
      </c>
      <c r="E983" s="577" t="s">
        <v>35</v>
      </c>
      <c r="F983" s="577" t="s">
        <v>567</v>
      </c>
      <c r="G983" s="577" t="s">
        <v>195</v>
      </c>
      <c r="H983" s="577" t="s">
        <v>195</v>
      </c>
      <c r="I983" s="577" t="s">
        <v>733</v>
      </c>
      <c r="J983" s="577" t="s">
        <v>1458</v>
      </c>
      <c r="K983" s="577" t="s">
        <v>2651</v>
      </c>
      <c r="L983" s="577"/>
      <c r="M983" s="387">
        <v>0</v>
      </c>
      <c r="N983" s="387">
        <v>0</v>
      </c>
      <c r="O983" s="387">
        <v>0</v>
      </c>
      <c r="P983" s="387">
        <v>0</v>
      </c>
      <c r="Q983" s="387">
        <v>0</v>
      </c>
      <c r="R983" s="387">
        <v>0</v>
      </c>
      <c r="S983" s="1174">
        <f>Locations[[#This Row],[Ind_Returnees]]+Locations[[#This Row],[Ind_Refugees]]+Locations[[#This Row],[Ind_IDPs]]</f>
        <v>0</v>
      </c>
    </row>
    <row r="984" spans="1:19" x14ac:dyDescent="0.3">
      <c r="A984" s="5" t="s">
        <v>533</v>
      </c>
      <c r="B984" s="1430" t="s">
        <v>3449</v>
      </c>
      <c r="C984" s="398" t="s">
        <v>534</v>
      </c>
      <c r="D984" s="5" t="s">
        <v>33</v>
      </c>
      <c r="E984" s="5" t="s">
        <v>33</v>
      </c>
      <c r="F984" s="5" t="s">
        <v>561</v>
      </c>
      <c r="G984" s="5" t="s">
        <v>183</v>
      </c>
      <c r="H984" s="5" t="s">
        <v>183</v>
      </c>
      <c r="I984" s="5" t="s">
        <v>562</v>
      </c>
      <c r="J984" t="s">
        <v>1712</v>
      </c>
      <c r="K984" s="5" t="s">
        <v>1713</v>
      </c>
      <c r="L984" s="5"/>
      <c r="M984" s="387">
        <v>16</v>
      </c>
      <c r="N984" s="387">
        <v>140</v>
      </c>
      <c r="O984" s="387">
        <v>0</v>
      </c>
      <c r="P984" s="387">
        <v>0</v>
      </c>
      <c r="Q984" s="387">
        <v>0</v>
      </c>
      <c r="R984" s="387">
        <v>0</v>
      </c>
      <c r="S984" s="1174">
        <f>Locations[[#This Row],[Ind_Returnees]]+Locations[[#This Row],[Ind_Refugees]]+Locations[[#This Row],[Ind_IDPs]]</f>
        <v>140</v>
      </c>
    </row>
    <row r="985" spans="1:19" x14ac:dyDescent="0.3">
      <c r="A985" s="5" t="s">
        <v>533</v>
      </c>
      <c r="B985" s="1430" t="s">
        <v>3449</v>
      </c>
      <c r="C985" s="398" t="s">
        <v>534</v>
      </c>
      <c r="D985" s="5" t="s">
        <v>31</v>
      </c>
      <c r="E985" s="5" t="s">
        <v>31</v>
      </c>
      <c r="F985" s="5" t="s">
        <v>549</v>
      </c>
      <c r="G985" s="5" t="s">
        <v>166</v>
      </c>
      <c r="H985" s="5" t="s">
        <v>166</v>
      </c>
      <c r="I985" s="5" t="s">
        <v>844</v>
      </c>
      <c r="J985" t="s">
        <v>2172</v>
      </c>
      <c r="K985" s="5" t="s">
        <v>971</v>
      </c>
      <c r="L985" s="5"/>
      <c r="M985" s="387">
        <v>40</v>
      </c>
      <c r="N985" s="387">
        <v>85</v>
      </c>
      <c r="O985" s="387">
        <v>0</v>
      </c>
      <c r="P985" s="387">
        <v>0</v>
      </c>
      <c r="Q985" s="387">
        <v>0</v>
      </c>
      <c r="R985" s="387">
        <v>0</v>
      </c>
      <c r="S985" s="1174">
        <f>Locations[[#This Row],[Ind_Returnees]]+Locations[[#This Row],[Ind_Refugees]]+Locations[[#This Row],[Ind_IDPs]]</f>
        <v>85</v>
      </c>
    </row>
    <row r="986" spans="1:19" x14ac:dyDescent="0.3">
      <c r="A986" s="5" t="s">
        <v>533</v>
      </c>
      <c r="B986" s="1430" t="s">
        <v>3449</v>
      </c>
      <c r="C986" s="398" t="s">
        <v>534</v>
      </c>
      <c r="D986" s="5" t="s">
        <v>35</v>
      </c>
      <c r="E986" s="5" t="s">
        <v>35</v>
      </c>
      <c r="F986" s="5" t="s">
        <v>567</v>
      </c>
      <c r="G986" s="5" t="s">
        <v>195</v>
      </c>
      <c r="H986" s="5" t="s">
        <v>195</v>
      </c>
      <c r="I986" s="5" t="s">
        <v>733</v>
      </c>
      <c r="J986" t="s">
        <v>2642</v>
      </c>
      <c r="K986" s="5" t="s">
        <v>793</v>
      </c>
      <c r="L986" s="5"/>
      <c r="M986" s="387">
        <v>39</v>
      </c>
      <c r="N986" s="387">
        <v>160</v>
      </c>
      <c r="O986" s="387">
        <v>0</v>
      </c>
      <c r="P986" s="387">
        <v>0</v>
      </c>
      <c r="Q986" s="387">
        <v>0</v>
      </c>
      <c r="R986" s="387">
        <v>0</v>
      </c>
      <c r="S986" s="1174">
        <f>Locations[[#This Row],[Ind_Returnees]]+Locations[[#This Row],[Ind_Refugees]]+Locations[[#This Row],[Ind_IDPs]]</f>
        <v>160</v>
      </c>
    </row>
    <row r="987" spans="1:19" x14ac:dyDescent="0.3">
      <c r="A987" s="5" t="s">
        <v>533</v>
      </c>
      <c r="B987" s="1430" t="s">
        <v>3449</v>
      </c>
      <c r="C987" s="398" t="s">
        <v>534</v>
      </c>
      <c r="D987" s="5" t="s">
        <v>31</v>
      </c>
      <c r="E987" s="5" t="s">
        <v>31</v>
      </c>
      <c r="F987" s="5" t="s">
        <v>549</v>
      </c>
      <c r="G987" s="5" t="s">
        <v>164</v>
      </c>
      <c r="H987" s="5" t="s">
        <v>164</v>
      </c>
      <c r="I987" s="5" t="s">
        <v>748</v>
      </c>
      <c r="J987" t="s">
        <v>1195</v>
      </c>
      <c r="K987" s="5" t="s">
        <v>1196</v>
      </c>
      <c r="L987" s="5"/>
      <c r="M987" s="387">
        <v>20</v>
      </c>
      <c r="N987" s="387">
        <v>49</v>
      </c>
      <c r="O987" s="387">
        <v>2</v>
      </c>
      <c r="P987" s="387">
        <v>10</v>
      </c>
      <c r="Q987" s="387">
        <v>1</v>
      </c>
      <c r="R987" s="387">
        <v>9</v>
      </c>
      <c r="S987" s="1174">
        <f>Locations[[#This Row],[Ind_Returnees]]+Locations[[#This Row],[Ind_Refugees]]+Locations[[#This Row],[Ind_IDPs]]</f>
        <v>68</v>
      </c>
    </row>
    <row r="988" spans="1:19" x14ac:dyDescent="0.3">
      <c r="A988" s="5" t="s">
        <v>533</v>
      </c>
      <c r="B988" s="1430" t="s">
        <v>3449</v>
      </c>
      <c r="C988" s="1090" t="s">
        <v>534</v>
      </c>
      <c r="D988" s="5" t="s">
        <v>31</v>
      </c>
      <c r="E988" s="5" t="s">
        <v>31</v>
      </c>
      <c r="F988" s="5" t="s">
        <v>549</v>
      </c>
      <c r="G988" s="5" t="s">
        <v>171</v>
      </c>
      <c r="H988" s="5" t="s">
        <v>171</v>
      </c>
      <c r="I988" s="5" t="s">
        <v>634</v>
      </c>
      <c r="J988" t="s">
        <v>1885</v>
      </c>
      <c r="K988" s="5" t="s">
        <v>2632</v>
      </c>
      <c r="L988" s="5"/>
      <c r="M988" s="387">
        <v>0</v>
      </c>
      <c r="N988" s="387">
        <v>0</v>
      </c>
      <c r="O988" s="387">
        <v>0</v>
      </c>
      <c r="P988" s="387">
        <v>0</v>
      </c>
      <c r="Q988" s="387">
        <v>0</v>
      </c>
      <c r="R988" s="387">
        <v>0</v>
      </c>
      <c r="S988" s="1174">
        <f>Locations[[#This Row],[Ind_Returnees]]+Locations[[#This Row],[Ind_Refugees]]+Locations[[#This Row],[Ind_IDPs]]</f>
        <v>0</v>
      </c>
    </row>
    <row r="989" spans="1:19" x14ac:dyDescent="0.3">
      <c r="A989" s="5" t="s">
        <v>533</v>
      </c>
      <c r="B989" s="1430" t="s">
        <v>3449</v>
      </c>
      <c r="C989" s="1090" t="s">
        <v>534</v>
      </c>
      <c r="D989" s="577" t="s">
        <v>31</v>
      </c>
      <c r="E989" s="577" t="s">
        <v>31</v>
      </c>
      <c r="F989" s="577" t="s">
        <v>549</v>
      </c>
      <c r="G989" s="577" t="s">
        <v>166</v>
      </c>
      <c r="H989" s="577" t="s">
        <v>166</v>
      </c>
      <c r="I989" s="577" t="s">
        <v>844</v>
      </c>
      <c r="J989" s="577" t="s">
        <v>2503</v>
      </c>
      <c r="K989" s="577" t="s">
        <v>1549</v>
      </c>
      <c r="L989" s="577"/>
      <c r="M989" s="387">
        <v>8</v>
      </c>
      <c r="N989" s="387">
        <v>37</v>
      </c>
      <c r="O989" s="387">
        <v>66</v>
      </c>
      <c r="P989" s="387">
        <v>318</v>
      </c>
      <c r="Q989" s="387">
        <v>197</v>
      </c>
      <c r="R989" s="387">
        <v>1427</v>
      </c>
      <c r="S989" s="1174">
        <f>Locations[[#This Row],[Ind_Returnees]]+Locations[[#This Row],[Ind_Refugees]]+Locations[[#This Row],[Ind_IDPs]]</f>
        <v>1782</v>
      </c>
    </row>
    <row r="990" spans="1:19" x14ac:dyDescent="0.3">
      <c r="A990" s="5" t="s">
        <v>533</v>
      </c>
      <c r="B990" s="1430" t="s">
        <v>3449</v>
      </c>
      <c r="C990" s="1090" t="s">
        <v>534</v>
      </c>
      <c r="D990" s="577" t="s">
        <v>31</v>
      </c>
      <c r="E990" s="577" t="s">
        <v>31</v>
      </c>
      <c r="F990" s="577" t="s">
        <v>549</v>
      </c>
      <c r="G990" s="577" t="s">
        <v>169</v>
      </c>
      <c r="H990" s="577" t="s">
        <v>169</v>
      </c>
      <c r="I990" s="577" t="s">
        <v>673</v>
      </c>
      <c r="J990" s="577" t="s">
        <v>1733</v>
      </c>
      <c r="K990" s="577" t="s">
        <v>1082</v>
      </c>
      <c r="L990" s="577"/>
      <c r="M990" s="387">
        <v>98</v>
      </c>
      <c r="N990" s="387">
        <v>492</v>
      </c>
      <c r="O990" s="387">
        <v>104</v>
      </c>
      <c r="P990" s="387">
        <v>525</v>
      </c>
      <c r="Q990" s="387">
        <v>0</v>
      </c>
      <c r="R990" s="387">
        <v>0</v>
      </c>
      <c r="S990" s="1174">
        <f>Locations[[#This Row],[Ind_Returnees]]+Locations[[#This Row],[Ind_Refugees]]+Locations[[#This Row],[Ind_IDPs]]</f>
        <v>1017</v>
      </c>
    </row>
    <row r="991" spans="1:19" x14ac:dyDescent="0.3">
      <c r="A991" s="5" t="s">
        <v>533</v>
      </c>
      <c r="B991" s="1430" t="s">
        <v>3449</v>
      </c>
      <c r="C991" s="1090" t="s">
        <v>534</v>
      </c>
      <c r="D991" s="577" t="s">
        <v>30</v>
      </c>
      <c r="E991" s="577" t="s">
        <v>3522</v>
      </c>
      <c r="F991" s="577" t="s">
        <v>535</v>
      </c>
      <c r="G991" s="577" t="s">
        <v>162</v>
      </c>
      <c r="H991" s="577" t="s">
        <v>3529</v>
      </c>
      <c r="I991" s="577" t="s">
        <v>536</v>
      </c>
      <c r="J991" s="577" t="s">
        <v>585</v>
      </c>
      <c r="K991" s="577" t="s">
        <v>586</v>
      </c>
      <c r="L991" s="577"/>
      <c r="M991" s="387">
        <v>3</v>
      </c>
      <c r="N991" s="387">
        <v>27</v>
      </c>
      <c r="O991" s="387">
        <v>0</v>
      </c>
      <c r="P991" s="387">
        <v>0</v>
      </c>
      <c r="Q991" s="387">
        <v>0</v>
      </c>
      <c r="R991" s="387">
        <v>0</v>
      </c>
      <c r="S991" s="1174">
        <f>Locations[[#This Row],[Ind_Returnees]]+Locations[[#This Row],[Ind_Refugees]]+Locations[[#This Row],[Ind_IDPs]]</f>
        <v>27</v>
      </c>
    </row>
    <row r="992" spans="1:19" x14ac:dyDescent="0.3">
      <c r="A992" s="5" t="s">
        <v>533</v>
      </c>
      <c r="B992" s="1430" t="s">
        <v>3449</v>
      </c>
      <c r="C992" s="1090" t="s">
        <v>534</v>
      </c>
      <c r="D992" s="577" t="s">
        <v>31</v>
      </c>
      <c r="E992" s="577" t="s">
        <v>31</v>
      </c>
      <c r="F992" s="577" t="s">
        <v>549</v>
      </c>
      <c r="G992" s="577" t="s">
        <v>171</v>
      </c>
      <c r="H992" s="577" t="s">
        <v>171</v>
      </c>
      <c r="I992" s="577" t="s">
        <v>634</v>
      </c>
      <c r="J992" s="577" t="s">
        <v>3000</v>
      </c>
      <c r="K992" s="577" t="s">
        <v>1996</v>
      </c>
      <c r="L992" s="577"/>
      <c r="M992" s="387">
        <v>0</v>
      </c>
      <c r="N992" s="387">
        <v>0</v>
      </c>
      <c r="O992" s="387">
        <v>0</v>
      </c>
      <c r="P992" s="387">
        <v>0</v>
      </c>
      <c r="Q992" s="387">
        <v>0</v>
      </c>
      <c r="R992" s="387">
        <v>0</v>
      </c>
      <c r="S992" s="1174">
        <f>Locations[[#This Row],[Ind_Returnees]]+Locations[[#This Row],[Ind_Refugees]]+Locations[[#This Row],[Ind_IDPs]]</f>
        <v>0</v>
      </c>
    </row>
    <row r="993" spans="1:19" x14ac:dyDescent="0.3">
      <c r="A993" s="5" t="s">
        <v>533</v>
      </c>
      <c r="B993" s="1430" t="s">
        <v>3449</v>
      </c>
      <c r="C993" s="1090" t="s">
        <v>534</v>
      </c>
      <c r="D993" s="577" t="s">
        <v>31</v>
      </c>
      <c r="E993" s="577" t="s">
        <v>31</v>
      </c>
      <c r="F993" s="577" t="s">
        <v>549</v>
      </c>
      <c r="G993" s="577" t="s">
        <v>172</v>
      </c>
      <c r="H993" s="577" t="s">
        <v>172</v>
      </c>
      <c r="I993" s="577" t="s">
        <v>706</v>
      </c>
      <c r="J993" s="577" t="s">
        <v>1068</v>
      </c>
      <c r="K993" s="577" t="s">
        <v>1867</v>
      </c>
      <c r="L993" s="577"/>
      <c r="M993" s="387">
        <v>7</v>
      </c>
      <c r="N993" s="387">
        <v>27</v>
      </c>
      <c r="O993" s="387">
        <v>7</v>
      </c>
      <c r="P993" s="387">
        <v>46</v>
      </c>
      <c r="Q993" s="387">
        <v>101</v>
      </c>
      <c r="R993" s="387">
        <v>533</v>
      </c>
      <c r="S993" s="1174">
        <f>Locations[[#This Row],[Ind_Returnees]]+Locations[[#This Row],[Ind_Refugees]]+Locations[[#This Row],[Ind_IDPs]]</f>
        <v>606</v>
      </c>
    </row>
    <row r="994" spans="1:19" x14ac:dyDescent="0.3">
      <c r="A994" s="5" t="s">
        <v>533</v>
      </c>
      <c r="B994" s="1430" t="s">
        <v>3449</v>
      </c>
      <c r="C994" s="1090" t="s">
        <v>534</v>
      </c>
      <c r="D994" s="577" t="s">
        <v>31</v>
      </c>
      <c r="E994" s="577" t="s">
        <v>31</v>
      </c>
      <c r="F994" s="577" t="s">
        <v>549</v>
      </c>
      <c r="G994" s="577" t="s">
        <v>169</v>
      </c>
      <c r="H994" s="577" t="s">
        <v>169</v>
      </c>
      <c r="I994" s="577" t="s">
        <v>673</v>
      </c>
      <c r="J994" s="577" t="s">
        <v>3001</v>
      </c>
      <c r="K994" s="577" t="s">
        <v>2567</v>
      </c>
      <c r="L994" s="577"/>
      <c r="M994" s="387">
        <v>0</v>
      </c>
      <c r="N994" s="387">
        <v>0</v>
      </c>
      <c r="O994" s="387">
        <v>0</v>
      </c>
      <c r="P994" s="387">
        <v>0</v>
      </c>
      <c r="Q994" s="387">
        <v>0</v>
      </c>
      <c r="R994" s="387">
        <v>0</v>
      </c>
      <c r="S994" s="1174">
        <f>Locations[[#This Row],[Ind_Returnees]]+Locations[[#This Row],[Ind_Refugees]]+Locations[[#This Row],[Ind_IDPs]]</f>
        <v>0</v>
      </c>
    </row>
    <row r="995" spans="1:19" x14ac:dyDescent="0.3">
      <c r="A995" s="5" t="s">
        <v>533</v>
      </c>
      <c r="B995" s="1430" t="s">
        <v>3449</v>
      </c>
      <c r="C995" s="1090" t="s">
        <v>534</v>
      </c>
      <c r="D995" s="577" t="s">
        <v>31</v>
      </c>
      <c r="E995" s="577" t="s">
        <v>31</v>
      </c>
      <c r="F995" s="577" t="s">
        <v>549</v>
      </c>
      <c r="G995" s="577" t="s">
        <v>169</v>
      </c>
      <c r="H995" s="577" t="s">
        <v>169</v>
      </c>
      <c r="I995" s="577" t="s">
        <v>673</v>
      </c>
      <c r="J995" s="577" t="s">
        <v>2904</v>
      </c>
      <c r="K995" s="577" t="s">
        <v>2333</v>
      </c>
      <c r="L995" s="577"/>
      <c r="M995" s="387">
        <v>0</v>
      </c>
      <c r="N995" s="387">
        <v>0</v>
      </c>
      <c r="O995" s="387">
        <v>10</v>
      </c>
      <c r="P995" s="387">
        <v>40</v>
      </c>
      <c r="Q995" s="387">
        <v>103</v>
      </c>
      <c r="R995" s="387">
        <v>315</v>
      </c>
      <c r="S995" s="1174">
        <f>Locations[[#This Row],[Ind_Returnees]]+Locations[[#This Row],[Ind_Refugees]]+Locations[[#This Row],[Ind_IDPs]]</f>
        <v>355</v>
      </c>
    </row>
    <row r="996" spans="1:19" x14ac:dyDescent="0.3">
      <c r="A996" s="5" t="s">
        <v>533</v>
      </c>
      <c r="B996" s="1430" t="s">
        <v>3449</v>
      </c>
      <c r="C996" s="1090" t="s">
        <v>534</v>
      </c>
      <c r="D996" s="577" t="s">
        <v>34</v>
      </c>
      <c r="E996" s="577" t="s">
        <v>34</v>
      </c>
      <c r="F996" s="577" t="s">
        <v>539</v>
      </c>
      <c r="G996" s="577" t="s">
        <v>188</v>
      </c>
      <c r="H996" s="577" t="s">
        <v>188</v>
      </c>
      <c r="I996" s="577" t="s">
        <v>546</v>
      </c>
      <c r="J996" s="577" t="s">
        <v>1511</v>
      </c>
      <c r="K996" s="577" t="s">
        <v>988</v>
      </c>
      <c r="L996" s="577"/>
      <c r="M996" s="387">
        <v>153</v>
      </c>
      <c r="N996" s="387">
        <v>880</v>
      </c>
      <c r="O996" s="387">
        <v>0</v>
      </c>
      <c r="P996" s="387">
        <v>0</v>
      </c>
      <c r="Q996" s="387">
        <v>0</v>
      </c>
      <c r="R996" s="387">
        <v>0</v>
      </c>
      <c r="S996" s="1174">
        <f>Locations[[#This Row],[Ind_Returnees]]+Locations[[#This Row],[Ind_Refugees]]+Locations[[#This Row],[Ind_IDPs]]</f>
        <v>880</v>
      </c>
    </row>
    <row r="997" spans="1:19" x14ac:dyDescent="0.3">
      <c r="A997" s="5" t="s">
        <v>533</v>
      </c>
      <c r="B997" s="1430" t="s">
        <v>3449</v>
      </c>
      <c r="C997" s="1090" t="s">
        <v>534</v>
      </c>
      <c r="D997" s="577" t="s">
        <v>34</v>
      </c>
      <c r="E997" s="577" t="s">
        <v>34</v>
      </c>
      <c r="F997" s="577" t="s">
        <v>539</v>
      </c>
      <c r="G997" s="577" t="s">
        <v>188</v>
      </c>
      <c r="H997" s="577" t="s">
        <v>188</v>
      </c>
      <c r="I997" s="577" t="s">
        <v>546</v>
      </c>
      <c r="J997" s="577" t="s">
        <v>3003</v>
      </c>
      <c r="K997" s="577" t="s">
        <v>1678</v>
      </c>
      <c r="L997" s="577"/>
      <c r="M997" s="387">
        <v>281</v>
      </c>
      <c r="N997" s="387">
        <v>1168</v>
      </c>
      <c r="O997" s="387">
        <v>0</v>
      </c>
      <c r="P997" s="387">
        <v>0</v>
      </c>
      <c r="Q997" s="387">
        <v>0</v>
      </c>
      <c r="R997" s="387">
        <v>0</v>
      </c>
      <c r="S997" s="1174">
        <f>Locations[[#This Row],[Ind_Returnees]]+Locations[[#This Row],[Ind_Refugees]]+Locations[[#This Row],[Ind_IDPs]]</f>
        <v>1168</v>
      </c>
    </row>
    <row r="998" spans="1:19" x14ac:dyDescent="0.3">
      <c r="A998" s="5" t="s">
        <v>533</v>
      </c>
      <c r="B998" s="1430" t="s">
        <v>3449</v>
      </c>
      <c r="C998" s="1090" t="s">
        <v>534</v>
      </c>
      <c r="D998" s="577" t="s">
        <v>34</v>
      </c>
      <c r="E998" s="577" t="s">
        <v>34</v>
      </c>
      <c r="F998" s="577" t="s">
        <v>539</v>
      </c>
      <c r="G998" s="577" t="s">
        <v>187</v>
      </c>
      <c r="H998" s="577" t="s">
        <v>187</v>
      </c>
      <c r="I998" s="577" t="s">
        <v>951</v>
      </c>
      <c r="J998" s="577" t="s">
        <v>3004</v>
      </c>
      <c r="K998" s="577" t="s">
        <v>1379</v>
      </c>
      <c r="L998" s="577"/>
      <c r="M998" s="387">
        <v>103</v>
      </c>
      <c r="N998" s="387">
        <v>471</v>
      </c>
      <c r="O998" s="387">
        <v>0</v>
      </c>
      <c r="P998" s="387">
        <v>0</v>
      </c>
      <c r="Q998" s="387">
        <v>83</v>
      </c>
      <c r="R998" s="387">
        <v>556</v>
      </c>
      <c r="S998" s="1174">
        <f>Locations[[#This Row],[Ind_Returnees]]+Locations[[#This Row],[Ind_Refugees]]+Locations[[#This Row],[Ind_IDPs]]</f>
        <v>1027</v>
      </c>
    </row>
    <row r="999" spans="1:19" x14ac:dyDescent="0.3">
      <c r="A999" s="5" t="s">
        <v>533</v>
      </c>
      <c r="B999" s="1430" t="s">
        <v>3449</v>
      </c>
      <c r="C999" s="1090" t="s">
        <v>534</v>
      </c>
      <c r="D999" s="577" t="s">
        <v>33</v>
      </c>
      <c r="E999" s="577" t="s">
        <v>33</v>
      </c>
      <c r="F999" s="577" t="s">
        <v>561</v>
      </c>
      <c r="G999" s="577" t="s">
        <v>185</v>
      </c>
      <c r="H999" s="577" t="s">
        <v>185</v>
      </c>
      <c r="I999" s="577" t="s">
        <v>656</v>
      </c>
      <c r="J999" s="577" t="s">
        <v>2654</v>
      </c>
      <c r="K999" s="577" t="s">
        <v>2655</v>
      </c>
      <c r="L999" s="577"/>
      <c r="M999" s="387">
        <v>0</v>
      </c>
      <c r="N999" s="387">
        <v>0</v>
      </c>
      <c r="O999" s="387">
        <v>0</v>
      </c>
      <c r="P999" s="387">
        <v>0</v>
      </c>
      <c r="Q999" s="387">
        <v>0</v>
      </c>
      <c r="R999" s="387">
        <v>0</v>
      </c>
      <c r="S999" s="1174">
        <f>Locations[[#This Row],[Ind_Returnees]]+Locations[[#This Row],[Ind_Refugees]]+Locations[[#This Row],[Ind_IDPs]]</f>
        <v>0</v>
      </c>
    </row>
    <row r="1000" spans="1:19" x14ac:dyDescent="0.3">
      <c r="A1000" s="5" t="s">
        <v>533</v>
      </c>
      <c r="B1000" s="1430" t="s">
        <v>3449</v>
      </c>
      <c r="C1000" s="1090" t="s">
        <v>534</v>
      </c>
      <c r="D1000" s="577" t="s">
        <v>31</v>
      </c>
      <c r="E1000" s="577" t="s">
        <v>31</v>
      </c>
      <c r="F1000" s="577" t="s">
        <v>549</v>
      </c>
      <c r="G1000" s="577" t="s">
        <v>167</v>
      </c>
      <c r="H1000" s="577" t="s">
        <v>167</v>
      </c>
      <c r="I1000" s="577" t="s">
        <v>1113</v>
      </c>
      <c r="J1000" s="577" t="s">
        <v>1833</v>
      </c>
      <c r="K1000" s="577" t="s">
        <v>1938</v>
      </c>
      <c r="L1000" s="577"/>
      <c r="M1000" s="387">
        <v>38</v>
      </c>
      <c r="N1000" s="387">
        <v>238</v>
      </c>
      <c r="O1000" s="387">
        <v>0</v>
      </c>
      <c r="P1000" s="387">
        <v>0</v>
      </c>
      <c r="Q1000" s="387">
        <v>5</v>
      </c>
      <c r="R1000" s="387">
        <v>17</v>
      </c>
      <c r="S1000" s="1174">
        <f>Locations[[#This Row],[Ind_Returnees]]+Locations[[#This Row],[Ind_Refugees]]+Locations[[#This Row],[Ind_IDPs]]</f>
        <v>255</v>
      </c>
    </row>
    <row r="1001" spans="1:19" x14ac:dyDescent="0.3">
      <c r="A1001" s="5" t="s">
        <v>533</v>
      </c>
      <c r="B1001" s="1430" t="s">
        <v>3449</v>
      </c>
      <c r="C1001" s="1090" t="s">
        <v>534</v>
      </c>
      <c r="D1001" s="577" t="s">
        <v>32</v>
      </c>
      <c r="E1001" s="577" t="s">
        <v>32</v>
      </c>
      <c r="F1001" s="577" t="s">
        <v>542</v>
      </c>
      <c r="G1001" s="577" t="s">
        <v>178</v>
      </c>
      <c r="H1001" s="577" t="s">
        <v>178</v>
      </c>
      <c r="I1001" s="577" t="s">
        <v>543</v>
      </c>
      <c r="J1001" s="577" t="s">
        <v>3231</v>
      </c>
      <c r="K1001" s="577" t="s">
        <v>2778</v>
      </c>
      <c r="L1001" s="577"/>
      <c r="M1001" s="387">
        <v>0</v>
      </c>
      <c r="N1001" s="387">
        <v>0</v>
      </c>
      <c r="O1001" s="387">
        <v>0</v>
      </c>
      <c r="P1001" s="387">
        <v>0</v>
      </c>
      <c r="Q1001" s="387">
        <v>41</v>
      </c>
      <c r="R1001" s="387">
        <v>283</v>
      </c>
      <c r="S1001" s="1174">
        <f>Locations[[#This Row],[Ind_Returnees]]+Locations[[#This Row],[Ind_Refugees]]+Locations[[#This Row],[Ind_IDPs]]</f>
        <v>283</v>
      </c>
    </row>
    <row r="1002" spans="1:19" x14ac:dyDescent="0.3">
      <c r="A1002" s="5" t="s">
        <v>533</v>
      </c>
      <c r="B1002" s="1430" t="s">
        <v>3449</v>
      </c>
      <c r="C1002" s="1090" t="s">
        <v>534</v>
      </c>
      <c r="D1002" s="577" t="s">
        <v>31</v>
      </c>
      <c r="E1002" s="577" t="s">
        <v>31</v>
      </c>
      <c r="F1002" s="577" t="s">
        <v>549</v>
      </c>
      <c r="G1002" s="577" t="s">
        <v>173</v>
      </c>
      <c r="H1002" s="577" t="s">
        <v>173</v>
      </c>
      <c r="I1002" s="577" t="s">
        <v>556</v>
      </c>
      <c r="J1002" s="577" t="s">
        <v>1602</v>
      </c>
      <c r="K1002" s="577" t="s">
        <v>1106</v>
      </c>
      <c r="L1002" s="577"/>
      <c r="M1002" s="387">
        <v>20</v>
      </c>
      <c r="N1002" s="387">
        <v>140</v>
      </c>
      <c r="O1002" s="387">
        <v>0</v>
      </c>
      <c r="P1002" s="387">
        <v>0</v>
      </c>
      <c r="Q1002" s="387">
        <v>0</v>
      </c>
      <c r="R1002" s="387">
        <v>0</v>
      </c>
      <c r="S1002" s="1174">
        <f>Locations[[#This Row],[Ind_Returnees]]+Locations[[#This Row],[Ind_Refugees]]+Locations[[#This Row],[Ind_IDPs]]</f>
        <v>140</v>
      </c>
    </row>
    <row r="1003" spans="1:19" x14ac:dyDescent="0.3">
      <c r="A1003" s="5" t="s">
        <v>533</v>
      </c>
      <c r="B1003" s="1430" t="s">
        <v>3449</v>
      </c>
      <c r="C1003" s="1090" t="s">
        <v>534</v>
      </c>
      <c r="D1003" s="577" t="s">
        <v>34</v>
      </c>
      <c r="E1003" s="577" t="s">
        <v>34</v>
      </c>
      <c r="F1003" s="577" t="s">
        <v>539</v>
      </c>
      <c r="G1003" s="577" t="s">
        <v>187</v>
      </c>
      <c r="H1003" s="577" t="s">
        <v>187</v>
      </c>
      <c r="I1003" s="577" t="s">
        <v>951</v>
      </c>
      <c r="J1003" s="577" t="s">
        <v>1617</v>
      </c>
      <c r="K1003" s="577" t="s">
        <v>2551</v>
      </c>
      <c r="L1003" s="577"/>
      <c r="M1003" s="387">
        <v>0</v>
      </c>
      <c r="N1003" s="387">
        <v>0</v>
      </c>
      <c r="O1003" s="387">
        <v>0</v>
      </c>
      <c r="P1003" s="387">
        <v>0</v>
      </c>
      <c r="Q1003" s="387">
        <v>0</v>
      </c>
      <c r="R1003" s="387">
        <v>0</v>
      </c>
      <c r="S1003" s="1174">
        <f>Locations[[#This Row],[Ind_Returnees]]+Locations[[#This Row],[Ind_Refugees]]+Locations[[#This Row],[Ind_IDPs]]</f>
        <v>0</v>
      </c>
    </row>
    <row r="1004" spans="1:19" x14ac:dyDescent="0.3">
      <c r="A1004" s="5" t="s">
        <v>533</v>
      </c>
      <c r="B1004" s="1430" t="s">
        <v>3449</v>
      </c>
      <c r="C1004" s="1090" t="s">
        <v>534</v>
      </c>
      <c r="D1004" s="577" t="s">
        <v>35</v>
      </c>
      <c r="E1004" s="577" t="s">
        <v>35</v>
      </c>
      <c r="F1004" s="577" t="s">
        <v>567</v>
      </c>
      <c r="G1004" s="577" t="s">
        <v>195</v>
      </c>
      <c r="H1004" s="577" t="s">
        <v>195</v>
      </c>
      <c r="I1004" s="577" t="s">
        <v>733</v>
      </c>
      <c r="J1004" s="577" t="s">
        <v>1032</v>
      </c>
      <c r="K1004" s="577" t="s">
        <v>1837</v>
      </c>
      <c r="L1004" s="577"/>
      <c r="M1004" s="387">
        <v>61</v>
      </c>
      <c r="N1004" s="387">
        <v>332</v>
      </c>
      <c r="O1004" s="387">
        <v>0</v>
      </c>
      <c r="P1004" s="387">
        <v>0</v>
      </c>
      <c r="Q1004" s="387">
        <v>1</v>
      </c>
      <c r="R1004" s="387">
        <v>14</v>
      </c>
      <c r="S1004" s="1174">
        <f>Locations[[#This Row],[Ind_Returnees]]+Locations[[#This Row],[Ind_Refugees]]+Locations[[#This Row],[Ind_IDPs]]</f>
        <v>346</v>
      </c>
    </row>
    <row r="1005" spans="1:19" x14ac:dyDescent="0.3">
      <c r="A1005" s="5" t="s">
        <v>533</v>
      </c>
      <c r="B1005" s="1430" t="s">
        <v>3449</v>
      </c>
      <c r="C1005" s="1090" t="s">
        <v>534</v>
      </c>
      <c r="D1005" s="577" t="s">
        <v>30</v>
      </c>
      <c r="E1005" s="577" t="s">
        <v>3522</v>
      </c>
      <c r="F1005" s="577" t="s">
        <v>535</v>
      </c>
      <c r="G1005" s="577" t="s">
        <v>161</v>
      </c>
      <c r="H1005" s="577" t="s">
        <v>3523</v>
      </c>
      <c r="I1005" s="577" t="s">
        <v>587</v>
      </c>
      <c r="J1005" s="577" t="s">
        <v>703</v>
      </c>
      <c r="K1005" s="577" t="s">
        <v>704</v>
      </c>
      <c r="L1005" s="577"/>
      <c r="M1005" s="387">
        <v>9</v>
      </c>
      <c r="N1005" s="387">
        <v>110</v>
      </c>
      <c r="O1005" s="387">
        <v>0</v>
      </c>
      <c r="P1005" s="387">
        <v>0</v>
      </c>
      <c r="Q1005" s="387">
        <v>0</v>
      </c>
      <c r="R1005" s="387">
        <v>0</v>
      </c>
      <c r="S1005" s="1174">
        <f>Locations[[#This Row],[Ind_Returnees]]+Locations[[#This Row],[Ind_Refugees]]+Locations[[#This Row],[Ind_IDPs]]</f>
        <v>110</v>
      </c>
    </row>
    <row r="1006" spans="1:19" x14ac:dyDescent="0.3">
      <c r="A1006" s="5" t="s">
        <v>533</v>
      </c>
      <c r="B1006" s="1430" t="s">
        <v>3449</v>
      </c>
      <c r="C1006" s="1090" t="s">
        <v>534</v>
      </c>
      <c r="D1006" s="577" t="s">
        <v>34</v>
      </c>
      <c r="E1006" s="577" t="s">
        <v>34</v>
      </c>
      <c r="F1006" s="577" t="s">
        <v>539</v>
      </c>
      <c r="G1006" s="577" t="s">
        <v>187</v>
      </c>
      <c r="H1006" s="577" t="s">
        <v>187</v>
      </c>
      <c r="I1006" s="577" t="s">
        <v>951</v>
      </c>
      <c r="J1006" s="577" t="s">
        <v>3005</v>
      </c>
      <c r="K1006" s="577" t="s">
        <v>1612</v>
      </c>
      <c r="L1006" s="577"/>
      <c r="M1006" s="387">
        <v>90</v>
      </c>
      <c r="N1006" s="387">
        <v>551</v>
      </c>
      <c r="O1006" s="387">
        <v>0</v>
      </c>
      <c r="P1006" s="387">
        <v>0</v>
      </c>
      <c r="Q1006" s="387">
        <v>40</v>
      </c>
      <c r="R1006" s="387">
        <v>314</v>
      </c>
      <c r="S1006" s="1174">
        <f>Locations[[#This Row],[Ind_Returnees]]+Locations[[#This Row],[Ind_Refugees]]+Locations[[#This Row],[Ind_IDPs]]</f>
        <v>865</v>
      </c>
    </row>
    <row r="1007" spans="1:19" x14ac:dyDescent="0.3">
      <c r="A1007" s="5" t="s">
        <v>533</v>
      </c>
      <c r="B1007" s="1430" t="s">
        <v>3449</v>
      </c>
      <c r="C1007" s="1090" t="s">
        <v>534</v>
      </c>
      <c r="D1007" s="577" t="s">
        <v>31</v>
      </c>
      <c r="E1007" s="577" t="s">
        <v>31</v>
      </c>
      <c r="F1007" s="577" t="s">
        <v>549</v>
      </c>
      <c r="G1007" s="577" t="s">
        <v>170</v>
      </c>
      <c r="H1007" s="577" t="s">
        <v>170</v>
      </c>
      <c r="I1007" s="577" t="s">
        <v>866</v>
      </c>
      <c r="J1007" s="577" t="s">
        <v>2041</v>
      </c>
      <c r="K1007" s="577" t="s">
        <v>1956</v>
      </c>
      <c r="L1007" s="577"/>
      <c r="M1007" s="387">
        <v>6</v>
      </c>
      <c r="N1007" s="387">
        <v>50</v>
      </c>
      <c r="O1007" s="387">
        <v>0</v>
      </c>
      <c r="P1007" s="387">
        <v>0</v>
      </c>
      <c r="Q1007" s="387">
        <v>6</v>
      </c>
      <c r="R1007" s="387">
        <v>54</v>
      </c>
      <c r="S1007" s="1174">
        <f>Locations[[#This Row],[Ind_Returnees]]+Locations[[#This Row],[Ind_Refugees]]+Locations[[#This Row],[Ind_IDPs]]</f>
        <v>104</v>
      </c>
    </row>
    <row r="1008" spans="1:19" x14ac:dyDescent="0.3">
      <c r="A1008" s="5" t="s">
        <v>533</v>
      </c>
      <c r="B1008" s="1430" t="s">
        <v>3449</v>
      </c>
      <c r="C1008" s="1090" t="s">
        <v>534</v>
      </c>
      <c r="D1008" s="577" t="s">
        <v>34</v>
      </c>
      <c r="E1008" s="577" t="s">
        <v>34</v>
      </c>
      <c r="F1008" s="577" t="s">
        <v>539</v>
      </c>
      <c r="G1008" s="577" t="s">
        <v>188</v>
      </c>
      <c r="H1008" s="577" t="s">
        <v>188</v>
      </c>
      <c r="I1008" s="577" t="s">
        <v>546</v>
      </c>
      <c r="J1008" s="577" t="s">
        <v>2660</v>
      </c>
      <c r="K1008" s="577" t="s">
        <v>1431</v>
      </c>
      <c r="L1008" s="577"/>
      <c r="M1008" s="387">
        <v>61</v>
      </c>
      <c r="N1008" s="387">
        <v>453</v>
      </c>
      <c r="O1008" s="387">
        <v>3</v>
      </c>
      <c r="P1008" s="387">
        <v>20</v>
      </c>
      <c r="Q1008" s="387">
        <v>0</v>
      </c>
      <c r="R1008" s="387">
        <v>0</v>
      </c>
      <c r="S1008" s="1174">
        <f>Locations[[#This Row],[Ind_Returnees]]+Locations[[#This Row],[Ind_Refugees]]+Locations[[#This Row],[Ind_IDPs]]</f>
        <v>473</v>
      </c>
    </row>
    <row r="1009" spans="1:19" x14ac:dyDescent="0.3">
      <c r="A1009" s="5" t="s">
        <v>533</v>
      </c>
      <c r="B1009" s="1430" t="s">
        <v>3449</v>
      </c>
      <c r="C1009" s="1090" t="s">
        <v>534</v>
      </c>
      <c r="D1009" s="577" t="s">
        <v>34</v>
      </c>
      <c r="E1009" s="577" t="s">
        <v>34</v>
      </c>
      <c r="F1009" s="577" t="s">
        <v>539</v>
      </c>
      <c r="G1009" s="577" t="s">
        <v>189</v>
      </c>
      <c r="H1009" s="577" t="s">
        <v>189</v>
      </c>
      <c r="I1009" s="577" t="s">
        <v>590</v>
      </c>
      <c r="J1009" s="577" t="s">
        <v>1375</v>
      </c>
      <c r="K1009" s="577" t="s">
        <v>1376</v>
      </c>
      <c r="L1009" s="577"/>
      <c r="M1009" s="387">
        <v>36</v>
      </c>
      <c r="N1009" s="387">
        <v>182</v>
      </c>
      <c r="O1009" s="387">
        <v>0</v>
      </c>
      <c r="P1009" s="387">
        <v>0</v>
      </c>
      <c r="Q1009" s="387">
        <v>0</v>
      </c>
      <c r="R1009" s="387">
        <v>0</v>
      </c>
      <c r="S1009" s="1174">
        <f>Locations[[#This Row],[Ind_Returnees]]+Locations[[#This Row],[Ind_Refugees]]+Locations[[#This Row],[Ind_IDPs]]</f>
        <v>182</v>
      </c>
    </row>
    <row r="1010" spans="1:19" x14ac:dyDescent="0.3">
      <c r="A1010" s="5" t="s">
        <v>533</v>
      </c>
      <c r="B1010" s="1430" t="s">
        <v>3449</v>
      </c>
      <c r="C1010" s="1090" t="s">
        <v>534</v>
      </c>
      <c r="D1010" s="577" t="s">
        <v>31</v>
      </c>
      <c r="E1010" s="577" t="s">
        <v>31</v>
      </c>
      <c r="F1010" s="577" t="s">
        <v>549</v>
      </c>
      <c r="G1010" s="577" t="s">
        <v>171</v>
      </c>
      <c r="H1010" s="577" t="s">
        <v>171</v>
      </c>
      <c r="I1010" s="577" t="s">
        <v>634</v>
      </c>
      <c r="J1010" s="577" t="s">
        <v>1986</v>
      </c>
      <c r="K1010" s="577" t="s">
        <v>813</v>
      </c>
      <c r="L1010" s="577"/>
      <c r="M1010" s="387">
        <v>36</v>
      </c>
      <c r="N1010" s="387">
        <v>178</v>
      </c>
      <c r="O1010" s="387">
        <v>10</v>
      </c>
      <c r="P1010" s="387">
        <v>109</v>
      </c>
      <c r="Q1010" s="387">
        <v>0</v>
      </c>
      <c r="R1010" s="387">
        <v>0</v>
      </c>
      <c r="S1010" s="1174">
        <f>Locations[[#This Row],[Ind_Returnees]]+Locations[[#This Row],[Ind_Refugees]]+Locations[[#This Row],[Ind_IDPs]]</f>
        <v>287</v>
      </c>
    </row>
    <row r="1011" spans="1:19" x14ac:dyDescent="0.3">
      <c r="A1011" s="5" t="s">
        <v>533</v>
      </c>
      <c r="B1011" s="1430" t="s">
        <v>3449</v>
      </c>
      <c r="C1011" s="1090" t="s">
        <v>534</v>
      </c>
      <c r="D1011" s="577" t="s">
        <v>31</v>
      </c>
      <c r="E1011" s="577" t="s">
        <v>31</v>
      </c>
      <c r="F1011" s="577" t="s">
        <v>549</v>
      </c>
      <c r="G1011" s="577" t="s">
        <v>164</v>
      </c>
      <c r="H1011" s="577" t="s">
        <v>164</v>
      </c>
      <c r="I1011" s="577" t="s">
        <v>748</v>
      </c>
      <c r="J1011" s="577" t="s">
        <v>1889</v>
      </c>
      <c r="K1011" s="577" t="s">
        <v>1890</v>
      </c>
      <c r="L1011" s="577"/>
      <c r="M1011" s="387">
        <v>8</v>
      </c>
      <c r="N1011" s="387">
        <v>65</v>
      </c>
      <c r="O1011" s="387">
        <v>0</v>
      </c>
      <c r="P1011" s="387">
        <v>0</v>
      </c>
      <c r="Q1011" s="387">
        <v>0</v>
      </c>
      <c r="R1011" s="387">
        <v>0</v>
      </c>
      <c r="S1011" s="1174">
        <f>Locations[[#This Row],[Ind_Returnees]]+Locations[[#This Row],[Ind_Refugees]]+Locations[[#This Row],[Ind_IDPs]]</f>
        <v>65</v>
      </c>
    </row>
    <row r="1012" spans="1:19" x14ac:dyDescent="0.3">
      <c r="A1012" s="5" t="s">
        <v>533</v>
      </c>
      <c r="B1012" s="1430" t="s">
        <v>3449</v>
      </c>
      <c r="C1012" s="1090" t="s">
        <v>534</v>
      </c>
      <c r="D1012" s="577" t="s">
        <v>31</v>
      </c>
      <c r="E1012" s="577" t="s">
        <v>31</v>
      </c>
      <c r="F1012" s="577" t="s">
        <v>549</v>
      </c>
      <c r="G1012" s="577" t="s">
        <v>171</v>
      </c>
      <c r="H1012" s="577" t="s">
        <v>171</v>
      </c>
      <c r="I1012" s="577" t="s">
        <v>634</v>
      </c>
      <c r="J1012" s="577" t="s">
        <v>2627</v>
      </c>
      <c r="K1012" s="577" t="s">
        <v>2139</v>
      </c>
      <c r="L1012" s="577"/>
      <c r="M1012" s="387">
        <v>59</v>
      </c>
      <c r="N1012" s="387">
        <v>75</v>
      </c>
      <c r="O1012" s="387">
        <v>0</v>
      </c>
      <c r="P1012" s="387">
        <v>0</v>
      </c>
      <c r="Q1012" s="387">
        <v>0</v>
      </c>
      <c r="R1012" s="387">
        <v>0</v>
      </c>
      <c r="S1012" s="1174">
        <f>Locations[[#This Row],[Ind_Returnees]]+Locations[[#This Row],[Ind_Refugees]]+Locations[[#This Row],[Ind_IDPs]]</f>
        <v>75</v>
      </c>
    </row>
    <row r="1013" spans="1:19" x14ac:dyDescent="0.3">
      <c r="A1013" s="5" t="s">
        <v>533</v>
      </c>
      <c r="B1013" s="1430" t="s">
        <v>3449</v>
      </c>
      <c r="C1013" s="1090" t="s">
        <v>534</v>
      </c>
      <c r="D1013" s="577" t="s">
        <v>31</v>
      </c>
      <c r="E1013" s="577" t="s">
        <v>31</v>
      </c>
      <c r="F1013" s="577" t="s">
        <v>549</v>
      </c>
      <c r="G1013" s="577" t="s">
        <v>173</v>
      </c>
      <c r="H1013" s="577" t="s">
        <v>173</v>
      </c>
      <c r="I1013" s="577" t="s">
        <v>556</v>
      </c>
      <c r="J1013" s="577" t="s">
        <v>1589</v>
      </c>
      <c r="K1013" s="577" t="s">
        <v>558</v>
      </c>
      <c r="L1013" s="577"/>
      <c r="M1013" s="387">
        <v>0</v>
      </c>
      <c r="N1013" s="387">
        <v>0</v>
      </c>
      <c r="O1013" s="387">
        <v>0</v>
      </c>
      <c r="P1013" s="387">
        <v>0</v>
      </c>
      <c r="Q1013" s="387">
        <v>46</v>
      </c>
      <c r="R1013" s="387">
        <v>329</v>
      </c>
      <c r="S1013" s="1174">
        <f>Locations[[#This Row],[Ind_Returnees]]+Locations[[#This Row],[Ind_Refugees]]+Locations[[#This Row],[Ind_IDPs]]</f>
        <v>329</v>
      </c>
    </row>
    <row r="1014" spans="1:19" x14ac:dyDescent="0.3">
      <c r="A1014" s="5" t="s">
        <v>533</v>
      </c>
      <c r="B1014" s="1430" t="s">
        <v>3449</v>
      </c>
      <c r="C1014" s="1090" t="s">
        <v>534</v>
      </c>
      <c r="D1014" s="577" t="s">
        <v>32</v>
      </c>
      <c r="E1014" s="577" t="s">
        <v>32</v>
      </c>
      <c r="F1014" s="577" t="s">
        <v>542</v>
      </c>
      <c r="G1014" s="577" t="s">
        <v>176</v>
      </c>
      <c r="H1014" s="577" t="s">
        <v>176</v>
      </c>
      <c r="I1014" s="577" t="s">
        <v>772</v>
      </c>
      <c r="J1014" s="577" t="s">
        <v>1058</v>
      </c>
      <c r="K1014" s="577" t="s">
        <v>1059</v>
      </c>
      <c r="L1014" s="577"/>
      <c r="M1014" s="387">
        <v>38</v>
      </c>
      <c r="N1014" s="387">
        <v>319</v>
      </c>
      <c r="O1014" s="387">
        <v>0</v>
      </c>
      <c r="P1014" s="387">
        <v>0</v>
      </c>
      <c r="Q1014" s="387">
        <v>0</v>
      </c>
      <c r="R1014" s="387">
        <v>0</v>
      </c>
      <c r="S1014" s="1174">
        <f>Locations[[#This Row],[Ind_Returnees]]+Locations[[#This Row],[Ind_Refugees]]+Locations[[#This Row],[Ind_IDPs]]</f>
        <v>319</v>
      </c>
    </row>
    <row r="1015" spans="1:19" x14ac:dyDescent="0.3">
      <c r="A1015" s="5" t="s">
        <v>533</v>
      </c>
      <c r="B1015" s="1430" t="s">
        <v>3449</v>
      </c>
      <c r="C1015" s="1090" t="s">
        <v>534</v>
      </c>
      <c r="D1015" s="577" t="s">
        <v>35</v>
      </c>
      <c r="E1015" s="577" t="s">
        <v>35</v>
      </c>
      <c r="F1015" s="577" t="s">
        <v>567</v>
      </c>
      <c r="G1015" s="577" t="s">
        <v>194</v>
      </c>
      <c r="H1015" s="577" t="s">
        <v>194</v>
      </c>
      <c r="I1015" s="577" t="s">
        <v>2150</v>
      </c>
      <c r="J1015" s="577" t="s">
        <v>2221</v>
      </c>
      <c r="K1015" s="577" t="s">
        <v>2222</v>
      </c>
      <c r="L1015" s="577"/>
      <c r="M1015" s="387">
        <v>0</v>
      </c>
      <c r="N1015" s="387">
        <v>0</v>
      </c>
      <c r="O1015" s="387">
        <v>21</v>
      </c>
      <c r="P1015" s="387">
        <v>134</v>
      </c>
      <c r="Q1015" s="387">
        <v>47</v>
      </c>
      <c r="R1015" s="387">
        <v>149</v>
      </c>
      <c r="S1015" s="1174">
        <f>Locations[[#This Row],[Ind_Returnees]]+Locations[[#This Row],[Ind_Refugees]]+Locations[[#This Row],[Ind_IDPs]]</f>
        <v>283</v>
      </c>
    </row>
    <row r="1016" spans="1:19" x14ac:dyDescent="0.3">
      <c r="A1016" s="577" t="s">
        <v>533</v>
      </c>
      <c r="B1016" s="1430" t="s">
        <v>3449</v>
      </c>
      <c r="C1016" s="577" t="s">
        <v>534</v>
      </c>
      <c r="D1016" s="577" t="s">
        <v>35</v>
      </c>
      <c r="E1016" s="577" t="s">
        <v>35</v>
      </c>
      <c r="F1016" s="577" t="s">
        <v>567</v>
      </c>
      <c r="G1016" s="577" t="s">
        <v>195</v>
      </c>
      <c r="H1016" s="577" t="s">
        <v>195</v>
      </c>
      <c r="I1016" s="577" t="s">
        <v>733</v>
      </c>
      <c r="J1016" s="577" t="s">
        <v>1673</v>
      </c>
      <c r="K1016" s="577" t="s">
        <v>1418</v>
      </c>
      <c r="L1016" s="577"/>
      <c r="M1016" s="387">
        <v>0</v>
      </c>
      <c r="N1016" s="387">
        <v>0</v>
      </c>
      <c r="O1016" s="387">
        <v>0</v>
      </c>
      <c r="P1016" s="387">
        <v>0</v>
      </c>
      <c r="Q1016" s="387">
        <v>0</v>
      </c>
      <c r="R1016" s="387">
        <v>0</v>
      </c>
      <c r="S1016" s="1174">
        <f>Locations[[#This Row],[Ind_Returnees]]+Locations[[#This Row],[Ind_Refugees]]+Locations[[#This Row],[Ind_IDPs]]</f>
        <v>0</v>
      </c>
    </row>
    <row r="1017" spans="1:19" x14ac:dyDescent="0.3">
      <c r="A1017" s="577" t="s">
        <v>533</v>
      </c>
      <c r="B1017" s="1430" t="s">
        <v>3449</v>
      </c>
      <c r="C1017" s="577" t="s">
        <v>534</v>
      </c>
      <c r="D1017" s="577" t="s">
        <v>33</v>
      </c>
      <c r="E1017" s="577" t="s">
        <v>33</v>
      </c>
      <c r="F1017" s="577" t="s">
        <v>561</v>
      </c>
      <c r="G1017" s="577" t="s">
        <v>182</v>
      </c>
      <c r="H1017" s="577" t="s">
        <v>182</v>
      </c>
      <c r="I1017" s="577" t="s">
        <v>647</v>
      </c>
      <c r="J1017" s="577" t="s">
        <v>2301</v>
      </c>
      <c r="K1017" s="577" t="s">
        <v>2302</v>
      </c>
      <c r="L1017" s="577"/>
      <c r="M1017" s="387">
        <v>0</v>
      </c>
      <c r="N1017" s="387">
        <v>0</v>
      </c>
      <c r="O1017" s="387">
        <v>0</v>
      </c>
      <c r="P1017" s="387">
        <v>0</v>
      </c>
      <c r="Q1017" s="387">
        <v>3</v>
      </c>
      <c r="R1017" s="387">
        <v>15</v>
      </c>
      <c r="S1017" s="1174">
        <f>Locations[[#This Row],[Ind_Returnees]]+Locations[[#This Row],[Ind_Refugees]]+Locations[[#This Row],[Ind_IDPs]]</f>
        <v>15</v>
      </c>
    </row>
    <row r="1018" spans="1:19" x14ac:dyDescent="0.3">
      <c r="A1018" s="577" t="s">
        <v>533</v>
      </c>
      <c r="B1018" s="1430" t="s">
        <v>3449</v>
      </c>
      <c r="C1018" s="577" t="s">
        <v>534</v>
      </c>
      <c r="D1018" s="577" t="s">
        <v>30</v>
      </c>
      <c r="E1018" s="577" t="s">
        <v>3522</v>
      </c>
      <c r="F1018" s="577" t="s">
        <v>535</v>
      </c>
      <c r="G1018" s="577" t="s">
        <v>162</v>
      </c>
      <c r="H1018" s="577" t="s">
        <v>3529</v>
      </c>
      <c r="I1018" s="577" t="s">
        <v>536</v>
      </c>
      <c r="J1018" s="577" t="s">
        <v>3233</v>
      </c>
      <c r="K1018" s="577" t="s">
        <v>3234</v>
      </c>
      <c r="L1018" s="577"/>
      <c r="M1018" s="387">
        <v>30</v>
      </c>
      <c r="N1018" s="387">
        <v>235</v>
      </c>
      <c r="O1018" s="387">
        <v>0</v>
      </c>
      <c r="P1018" s="387">
        <v>0</v>
      </c>
      <c r="Q1018" s="387">
        <v>0</v>
      </c>
      <c r="R1018" s="387">
        <v>0</v>
      </c>
      <c r="S1018" s="1174">
        <f>Locations[[#This Row],[Ind_Returnees]]+Locations[[#This Row],[Ind_Refugees]]+Locations[[#This Row],[Ind_IDPs]]</f>
        <v>235</v>
      </c>
    </row>
    <row r="1019" spans="1:19" x14ac:dyDescent="0.3">
      <c r="A1019" s="577" t="s">
        <v>533</v>
      </c>
      <c r="B1019" s="1430" t="s">
        <v>3449</v>
      </c>
      <c r="C1019" s="577" t="s">
        <v>534</v>
      </c>
      <c r="D1019" s="577" t="s">
        <v>31</v>
      </c>
      <c r="E1019" s="577" t="s">
        <v>31</v>
      </c>
      <c r="F1019" s="577" t="s">
        <v>549</v>
      </c>
      <c r="G1019" s="577" t="s">
        <v>171</v>
      </c>
      <c r="H1019" s="577" t="s">
        <v>171</v>
      </c>
      <c r="I1019" s="577" t="s">
        <v>634</v>
      </c>
      <c r="J1019" s="577" t="s">
        <v>1303</v>
      </c>
      <c r="K1019" s="577" t="s">
        <v>3235</v>
      </c>
      <c r="L1019" s="577"/>
      <c r="M1019" s="387">
        <v>443</v>
      </c>
      <c r="N1019" s="387">
        <v>3791</v>
      </c>
      <c r="O1019" s="387">
        <v>397</v>
      </c>
      <c r="P1019" s="387">
        <v>3500</v>
      </c>
      <c r="Q1019" s="387">
        <v>0</v>
      </c>
      <c r="R1019" s="387">
        <v>0</v>
      </c>
      <c r="S1019" s="1174">
        <f>Locations[[#This Row],[Ind_Returnees]]+Locations[[#This Row],[Ind_Refugees]]+Locations[[#This Row],[Ind_IDPs]]</f>
        <v>7291</v>
      </c>
    </row>
    <row r="1020" spans="1:19" x14ac:dyDescent="0.3">
      <c r="A1020" s="577" t="s">
        <v>533</v>
      </c>
      <c r="B1020" s="1430" t="s">
        <v>3449</v>
      </c>
      <c r="C1020" s="577" t="s">
        <v>534</v>
      </c>
      <c r="D1020" s="577" t="s">
        <v>34</v>
      </c>
      <c r="E1020" s="577" t="s">
        <v>34</v>
      </c>
      <c r="F1020" s="577" t="s">
        <v>539</v>
      </c>
      <c r="G1020" s="577" t="s">
        <v>188</v>
      </c>
      <c r="H1020" s="577" t="s">
        <v>188</v>
      </c>
      <c r="I1020" s="577" t="s">
        <v>546</v>
      </c>
      <c r="J1020" s="577" t="s">
        <v>978</v>
      </c>
      <c r="K1020" s="577" t="s">
        <v>3236</v>
      </c>
      <c r="L1020" s="577"/>
      <c r="M1020" s="387">
        <v>74</v>
      </c>
      <c r="N1020" s="387">
        <v>504</v>
      </c>
      <c r="O1020" s="387">
        <v>0</v>
      </c>
      <c r="P1020" s="387">
        <v>0</v>
      </c>
      <c r="Q1020" s="387">
        <v>0</v>
      </c>
      <c r="R1020" s="387">
        <v>0</v>
      </c>
      <c r="S1020" s="1174">
        <f>Locations[[#This Row],[Ind_Returnees]]+Locations[[#This Row],[Ind_Refugees]]+Locations[[#This Row],[Ind_IDPs]]</f>
        <v>504</v>
      </c>
    </row>
    <row r="1021" spans="1:19" x14ac:dyDescent="0.3">
      <c r="A1021" s="577" t="s">
        <v>533</v>
      </c>
      <c r="B1021" s="1430" t="s">
        <v>3449</v>
      </c>
      <c r="C1021" s="577" t="s">
        <v>534</v>
      </c>
      <c r="D1021" s="577" t="s">
        <v>32</v>
      </c>
      <c r="E1021" s="577" t="s">
        <v>32</v>
      </c>
      <c r="F1021" s="577" t="s">
        <v>542</v>
      </c>
      <c r="G1021" s="577" t="s">
        <v>178</v>
      </c>
      <c r="H1021" s="577" t="s">
        <v>178</v>
      </c>
      <c r="I1021" s="577" t="s">
        <v>543</v>
      </c>
      <c r="J1021" s="577" t="s">
        <v>2582</v>
      </c>
      <c r="K1021" s="577" t="s">
        <v>3237</v>
      </c>
      <c r="L1021" s="577"/>
      <c r="M1021" s="387">
        <v>0</v>
      </c>
      <c r="N1021" s="387">
        <v>0</v>
      </c>
      <c r="O1021" s="387">
        <v>0</v>
      </c>
      <c r="P1021" s="387">
        <v>0</v>
      </c>
      <c r="Q1021" s="387">
        <v>0</v>
      </c>
      <c r="R1021" s="387">
        <v>0</v>
      </c>
      <c r="S1021" s="1174">
        <f>Locations[[#This Row],[Ind_Returnees]]+Locations[[#This Row],[Ind_Refugees]]+Locations[[#This Row],[Ind_IDPs]]</f>
        <v>0</v>
      </c>
    </row>
    <row r="1022" spans="1:19" x14ac:dyDescent="0.3">
      <c r="A1022" s="577" t="s">
        <v>533</v>
      </c>
      <c r="B1022" s="1430" t="s">
        <v>3449</v>
      </c>
      <c r="C1022" s="577" t="s">
        <v>534</v>
      </c>
      <c r="D1022" s="577" t="s">
        <v>31</v>
      </c>
      <c r="E1022" s="577" t="s">
        <v>31</v>
      </c>
      <c r="F1022" s="577" t="s">
        <v>549</v>
      </c>
      <c r="G1022" s="577" t="s">
        <v>171</v>
      </c>
      <c r="H1022" s="577" t="s">
        <v>171</v>
      </c>
      <c r="I1022" s="577" t="s">
        <v>634</v>
      </c>
      <c r="J1022" s="577" t="s">
        <v>2802</v>
      </c>
      <c r="K1022" s="577" t="s">
        <v>3238</v>
      </c>
      <c r="L1022" s="577"/>
      <c r="M1022" s="387">
        <v>15</v>
      </c>
      <c r="N1022" s="387">
        <v>43</v>
      </c>
      <c r="O1022" s="387">
        <v>3</v>
      </c>
      <c r="P1022" s="387">
        <v>13</v>
      </c>
      <c r="Q1022" s="387">
        <v>0</v>
      </c>
      <c r="R1022" s="387">
        <v>0</v>
      </c>
      <c r="S1022" s="1174">
        <f>Locations[[#This Row],[Ind_Returnees]]+Locations[[#This Row],[Ind_Refugees]]+Locations[[#This Row],[Ind_IDPs]]</f>
        <v>56</v>
      </c>
    </row>
    <row r="1023" spans="1:19" x14ac:dyDescent="0.3">
      <c r="A1023" s="577" t="s">
        <v>533</v>
      </c>
      <c r="B1023" s="1430" t="s">
        <v>3449</v>
      </c>
      <c r="C1023" s="577" t="s">
        <v>534</v>
      </c>
      <c r="D1023" s="577" t="s">
        <v>31</v>
      </c>
      <c r="E1023" s="577" t="s">
        <v>31</v>
      </c>
      <c r="F1023" s="577" t="s">
        <v>549</v>
      </c>
      <c r="G1023" s="1092" t="s">
        <v>171</v>
      </c>
      <c r="H1023" s="1092" t="s">
        <v>171</v>
      </c>
      <c r="I1023" s="577" t="s">
        <v>634</v>
      </c>
      <c r="J1023" s="577" t="s">
        <v>1064</v>
      </c>
      <c r="K1023" s="1092" t="s">
        <v>3239</v>
      </c>
      <c r="L1023" s="577"/>
      <c r="M1023" s="387">
        <v>45</v>
      </c>
      <c r="N1023" s="387">
        <v>427</v>
      </c>
      <c r="O1023" s="387">
        <v>23</v>
      </c>
      <c r="P1023" s="387">
        <v>137</v>
      </c>
      <c r="Q1023" s="387">
        <v>0</v>
      </c>
      <c r="R1023" s="387">
        <v>0</v>
      </c>
      <c r="S1023" s="1174">
        <f>Locations[[#This Row],[Ind_Returnees]]+Locations[[#This Row],[Ind_Refugees]]+Locations[[#This Row],[Ind_IDPs]]</f>
        <v>564</v>
      </c>
    </row>
    <row r="1024" spans="1:19" x14ac:dyDescent="0.3">
      <c r="A1024" s="577" t="s">
        <v>533</v>
      </c>
      <c r="B1024" s="1430" t="s">
        <v>3449</v>
      </c>
      <c r="C1024" s="577" t="s">
        <v>534</v>
      </c>
      <c r="D1024" s="577" t="s">
        <v>30</v>
      </c>
      <c r="E1024" s="577" t="s">
        <v>3522</v>
      </c>
      <c r="F1024" s="577" t="s">
        <v>535</v>
      </c>
      <c r="G1024" s="577" t="s">
        <v>156</v>
      </c>
      <c r="H1024" s="577" t="s">
        <v>156</v>
      </c>
      <c r="I1024" s="577" t="s">
        <v>697</v>
      </c>
      <c r="J1024" s="577" t="s">
        <v>2799</v>
      </c>
      <c r="K1024" s="577" t="s">
        <v>3240</v>
      </c>
      <c r="L1024" s="577"/>
      <c r="M1024" s="387">
        <v>312</v>
      </c>
      <c r="N1024" s="387">
        <v>1874</v>
      </c>
      <c r="O1024" s="387">
        <v>0</v>
      </c>
      <c r="P1024" s="387">
        <v>0</v>
      </c>
      <c r="Q1024" s="387">
        <v>0</v>
      </c>
      <c r="R1024" s="387">
        <v>0</v>
      </c>
      <c r="S1024" s="1174">
        <f>Locations[[#This Row],[Ind_Returnees]]+Locations[[#This Row],[Ind_Refugees]]+Locations[[#This Row],[Ind_IDPs]]</f>
        <v>1874</v>
      </c>
    </row>
    <row r="1025" spans="1:19" x14ac:dyDescent="0.3">
      <c r="A1025" s="577" t="s">
        <v>533</v>
      </c>
      <c r="B1025" s="1430" t="s">
        <v>3449</v>
      </c>
      <c r="C1025" s="577" t="s">
        <v>534</v>
      </c>
      <c r="D1025" s="577" t="s">
        <v>34</v>
      </c>
      <c r="E1025" s="577" t="s">
        <v>34</v>
      </c>
      <c r="F1025" s="577" t="s">
        <v>539</v>
      </c>
      <c r="G1025" s="577" t="s">
        <v>187</v>
      </c>
      <c r="H1025" s="577" t="s">
        <v>187</v>
      </c>
      <c r="I1025" s="577" t="s">
        <v>951</v>
      </c>
      <c r="J1025" s="577" t="s">
        <v>1595</v>
      </c>
      <c r="K1025" s="577" t="s">
        <v>1467</v>
      </c>
      <c r="L1025" s="577"/>
      <c r="M1025" s="387">
        <v>63</v>
      </c>
      <c r="N1025" s="387">
        <v>385</v>
      </c>
      <c r="O1025" s="387">
        <v>0</v>
      </c>
      <c r="P1025" s="387">
        <v>0</v>
      </c>
      <c r="Q1025" s="387">
        <v>0</v>
      </c>
      <c r="R1025" s="387">
        <v>0</v>
      </c>
      <c r="S1025" s="1174">
        <f>Locations[[#This Row],[Ind_Returnees]]+Locations[[#This Row],[Ind_Refugees]]+Locations[[#This Row],[Ind_IDPs]]</f>
        <v>385</v>
      </c>
    </row>
    <row r="1026" spans="1:19" x14ac:dyDescent="0.3">
      <c r="A1026" s="577" t="s">
        <v>533</v>
      </c>
      <c r="B1026" s="1430" t="s">
        <v>3449</v>
      </c>
      <c r="C1026" s="577" t="s">
        <v>534</v>
      </c>
      <c r="D1026" s="577" t="s">
        <v>32</v>
      </c>
      <c r="E1026" s="577" t="s">
        <v>32</v>
      </c>
      <c r="F1026" s="577" t="s">
        <v>542</v>
      </c>
      <c r="G1026" s="577" t="s">
        <v>176</v>
      </c>
      <c r="H1026" s="577" t="s">
        <v>176</v>
      </c>
      <c r="I1026" s="577" t="s">
        <v>772</v>
      </c>
      <c r="J1026" s="577" t="s">
        <v>1729</v>
      </c>
      <c r="K1026" s="577" t="s">
        <v>1730</v>
      </c>
      <c r="L1026" s="577"/>
      <c r="M1026" s="387">
        <v>152</v>
      </c>
      <c r="N1026" s="387">
        <v>1220</v>
      </c>
      <c r="O1026" s="387">
        <v>0</v>
      </c>
      <c r="P1026" s="387">
        <v>0</v>
      </c>
      <c r="Q1026" s="387">
        <v>0</v>
      </c>
      <c r="R1026" s="387">
        <v>0</v>
      </c>
      <c r="S1026" s="1174">
        <f>Locations[[#This Row],[Ind_Returnees]]+Locations[[#This Row],[Ind_Refugees]]+Locations[[#This Row],[Ind_IDPs]]</f>
        <v>1220</v>
      </c>
    </row>
    <row r="1027" spans="1:19" x14ac:dyDescent="0.3">
      <c r="A1027" s="577" t="s">
        <v>533</v>
      </c>
      <c r="B1027" s="1430" t="s">
        <v>3449</v>
      </c>
      <c r="C1027" s="577" t="s">
        <v>534</v>
      </c>
      <c r="D1027" s="577" t="s">
        <v>31</v>
      </c>
      <c r="E1027" s="577" t="s">
        <v>31</v>
      </c>
      <c r="F1027" s="577" t="s">
        <v>549</v>
      </c>
      <c r="G1027" s="577" t="s">
        <v>171</v>
      </c>
      <c r="H1027" s="577" t="s">
        <v>171</v>
      </c>
      <c r="I1027" s="577" t="s">
        <v>634</v>
      </c>
      <c r="J1027" s="577" t="s">
        <v>1011</v>
      </c>
      <c r="K1027" s="577" t="s">
        <v>3241</v>
      </c>
      <c r="L1027" s="577"/>
      <c r="M1027" s="387">
        <v>49</v>
      </c>
      <c r="N1027" s="387">
        <v>485</v>
      </c>
      <c r="O1027" s="387">
        <v>26</v>
      </c>
      <c r="P1027" s="387">
        <v>344</v>
      </c>
      <c r="Q1027" s="387">
        <v>0</v>
      </c>
      <c r="R1027" s="387">
        <v>0</v>
      </c>
      <c r="S1027" s="1174">
        <f>Locations[[#This Row],[Ind_Returnees]]+Locations[[#This Row],[Ind_Refugees]]+Locations[[#This Row],[Ind_IDPs]]</f>
        <v>829</v>
      </c>
    </row>
    <row r="1028" spans="1:19" x14ac:dyDescent="0.3">
      <c r="A1028" s="577" t="s">
        <v>533</v>
      </c>
      <c r="B1028" s="1430" t="s">
        <v>3449</v>
      </c>
      <c r="C1028" s="577" t="s">
        <v>534</v>
      </c>
      <c r="D1028" s="577" t="s">
        <v>31</v>
      </c>
      <c r="E1028" s="577" t="s">
        <v>31</v>
      </c>
      <c r="F1028" s="577" t="s">
        <v>549</v>
      </c>
      <c r="G1028" s="577" t="s">
        <v>171</v>
      </c>
      <c r="H1028" s="577" t="s">
        <v>171</v>
      </c>
      <c r="I1028" s="577" t="s">
        <v>634</v>
      </c>
      <c r="J1028" s="577" t="s">
        <v>1926</v>
      </c>
      <c r="K1028" s="577" t="s">
        <v>1010</v>
      </c>
      <c r="L1028" s="577"/>
      <c r="M1028" s="387">
        <v>24</v>
      </c>
      <c r="N1028" s="387">
        <v>115</v>
      </c>
      <c r="O1028" s="387">
        <v>0</v>
      </c>
      <c r="P1028" s="387">
        <v>0</v>
      </c>
      <c r="Q1028" s="387">
        <v>0</v>
      </c>
      <c r="R1028" s="387">
        <v>0</v>
      </c>
      <c r="S1028" s="1174">
        <f>Locations[[#This Row],[Ind_Returnees]]+Locations[[#This Row],[Ind_Refugees]]+Locations[[#This Row],[Ind_IDPs]]</f>
        <v>115</v>
      </c>
    </row>
    <row r="1029" spans="1:19" x14ac:dyDescent="0.3">
      <c r="A1029" s="577" t="s">
        <v>533</v>
      </c>
      <c r="B1029" s="1430" t="s">
        <v>3449</v>
      </c>
      <c r="C1029" s="577" t="s">
        <v>534</v>
      </c>
      <c r="D1029" s="577" t="s">
        <v>31</v>
      </c>
      <c r="E1029" s="577" t="s">
        <v>31</v>
      </c>
      <c r="F1029" s="577" t="s">
        <v>549</v>
      </c>
      <c r="G1029" s="577" t="s">
        <v>171</v>
      </c>
      <c r="H1029" s="577" t="s">
        <v>171</v>
      </c>
      <c r="I1029" s="577" t="s">
        <v>634</v>
      </c>
      <c r="J1029" s="577" t="s">
        <v>1540</v>
      </c>
      <c r="K1029" s="577" t="s">
        <v>3242</v>
      </c>
      <c r="L1029" s="577"/>
      <c r="M1029" s="387">
        <v>153</v>
      </c>
      <c r="N1029" s="387">
        <v>837</v>
      </c>
      <c r="O1029" s="387">
        <v>65</v>
      </c>
      <c r="P1029" s="387">
        <v>470</v>
      </c>
      <c r="Q1029" s="387">
        <v>0</v>
      </c>
      <c r="R1029" s="387">
        <v>0</v>
      </c>
      <c r="S1029" s="1174">
        <f>Locations[[#This Row],[Ind_Returnees]]+Locations[[#This Row],[Ind_Refugees]]+Locations[[#This Row],[Ind_IDPs]]</f>
        <v>1307</v>
      </c>
    </row>
    <row r="1030" spans="1:19" x14ac:dyDescent="0.3">
      <c r="A1030" s="577" t="s">
        <v>533</v>
      </c>
      <c r="B1030" s="1430" t="s">
        <v>3449</v>
      </c>
      <c r="C1030" s="577" t="s">
        <v>534</v>
      </c>
      <c r="D1030" s="577" t="s">
        <v>31</v>
      </c>
      <c r="E1030" s="577" t="s">
        <v>31</v>
      </c>
      <c r="F1030" s="577" t="s">
        <v>549</v>
      </c>
      <c r="G1030" s="577" t="s">
        <v>171</v>
      </c>
      <c r="H1030" s="577" t="s">
        <v>171</v>
      </c>
      <c r="I1030" s="577" t="s">
        <v>634</v>
      </c>
      <c r="J1030" s="577" t="s">
        <v>2012</v>
      </c>
      <c r="K1030" s="577" t="s">
        <v>3243</v>
      </c>
      <c r="L1030" s="577"/>
      <c r="M1030" s="387">
        <v>60</v>
      </c>
      <c r="N1030" s="387">
        <v>100</v>
      </c>
      <c r="O1030" s="387">
        <v>0</v>
      </c>
      <c r="P1030" s="387">
        <v>0</v>
      </c>
      <c r="Q1030" s="387">
        <v>0</v>
      </c>
      <c r="R1030" s="387">
        <v>0</v>
      </c>
      <c r="S1030" s="1174">
        <f>Locations[[#This Row],[Ind_Returnees]]+Locations[[#This Row],[Ind_Refugees]]+Locations[[#This Row],[Ind_IDPs]]</f>
        <v>100</v>
      </c>
    </row>
    <row r="1031" spans="1:19" x14ac:dyDescent="0.3">
      <c r="A1031" s="577" t="s">
        <v>533</v>
      </c>
      <c r="B1031" s="1430" t="s">
        <v>3449</v>
      </c>
      <c r="C1031" s="577" t="s">
        <v>534</v>
      </c>
      <c r="D1031" s="577" t="s">
        <v>31</v>
      </c>
      <c r="E1031" s="577" t="s">
        <v>31</v>
      </c>
      <c r="F1031" s="577" t="s">
        <v>549</v>
      </c>
      <c r="G1031" s="577" t="s">
        <v>164</v>
      </c>
      <c r="H1031" s="577" t="s">
        <v>164</v>
      </c>
      <c r="I1031" s="577" t="s">
        <v>748</v>
      </c>
      <c r="J1031" s="577" t="s">
        <v>751</v>
      </c>
      <c r="K1031" s="577" t="s">
        <v>3244</v>
      </c>
      <c r="L1031" s="577"/>
      <c r="M1031" s="387">
        <v>123</v>
      </c>
      <c r="N1031" s="387">
        <v>1553</v>
      </c>
      <c r="O1031" s="387">
        <v>0</v>
      </c>
      <c r="P1031" s="387">
        <v>0</v>
      </c>
      <c r="Q1031" s="387">
        <v>0</v>
      </c>
      <c r="R1031" s="387">
        <v>0</v>
      </c>
      <c r="S1031" s="1174">
        <f>Locations[[#This Row],[Ind_Returnees]]+Locations[[#This Row],[Ind_Refugees]]+Locations[[#This Row],[Ind_IDPs]]</f>
        <v>1553</v>
      </c>
    </row>
    <row r="1032" spans="1:19" x14ac:dyDescent="0.3">
      <c r="A1032" s="577" t="s">
        <v>533</v>
      </c>
      <c r="B1032" s="1430" t="s">
        <v>3449</v>
      </c>
      <c r="C1032" s="577" t="s">
        <v>534</v>
      </c>
      <c r="D1032" s="577" t="s">
        <v>31</v>
      </c>
      <c r="E1032" s="577" t="s">
        <v>31</v>
      </c>
      <c r="F1032" s="577" t="s">
        <v>549</v>
      </c>
      <c r="G1032" s="577" t="s">
        <v>171</v>
      </c>
      <c r="H1032" s="577" t="s">
        <v>171</v>
      </c>
      <c r="I1032" s="577" t="s">
        <v>634</v>
      </c>
      <c r="J1032" s="577" t="s">
        <v>1022</v>
      </c>
      <c r="K1032" s="577" t="s">
        <v>3245</v>
      </c>
      <c r="L1032" s="577"/>
      <c r="M1032" s="387">
        <v>3</v>
      </c>
      <c r="N1032" s="387">
        <v>16</v>
      </c>
      <c r="O1032" s="387">
        <v>51</v>
      </c>
      <c r="P1032" s="387">
        <v>431</v>
      </c>
      <c r="Q1032" s="387">
        <v>0</v>
      </c>
      <c r="R1032" s="387">
        <v>0</v>
      </c>
      <c r="S1032" s="1174">
        <f>Locations[[#This Row],[Ind_Returnees]]+Locations[[#This Row],[Ind_Refugees]]+Locations[[#This Row],[Ind_IDPs]]</f>
        <v>447</v>
      </c>
    </row>
    <row r="1033" spans="1:19" x14ac:dyDescent="0.3">
      <c r="A1033" s="577" t="s">
        <v>533</v>
      </c>
      <c r="B1033" s="1430" t="s">
        <v>3449</v>
      </c>
      <c r="C1033" s="577" t="s">
        <v>534</v>
      </c>
      <c r="D1033" s="577" t="s">
        <v>34</v>
      </c>
      <c r="E1033" s="577" t="s">
        <v>34</v>
      </c>
      <c r="F1033" s="577" t="s">
        <v>539</v>
      </c>
      <c r="G1033" s="577" t="s">
        <v>188</v>
      </c>
      <c r="H1033" s="577" t="s">
        <v>188</v>
      </c>
      <c r="I1033" s="577" t="s">
        <v>546</v>
      </c>
      <c r="J1033" s="577" t="s">
        <v>1509</v>
      </c>
      <c r="K1033" s="577" t="s">
        <v>2670</v>
      </c>
      <c r="L1033" s="577"/>
      <c r="M1033" s="387">
        <v>0</v>
      </c>
      <c r="N1033" s="387">
        <v>0</v>
      </c>
      <c r="O1033" s="387">
        <v>0</v>
      </c>
      <c r="P1033" s="387">
        <v>0</v>
      </c>
      <c r="Q1033" s="387">
        <v>0</v>
      </c>
      <c r="R1033" s="387">
        <v>0</v>
      </c>
      <c r="S1033" s="1174">
        <f>Locations[[#This Row],[Ind_Returnees]]+Locations[[#This Row],[Ind_Refugees]]+Locations[[#This Row],[Ind_IDPs]]</f>
        <v>0</v>
      </c>
    </row>
    <row r="1034" spans="1:19" x14ac:dyDescent="0.3">
      <c r="A1034" s="577" t="s">
        <v>533</v>
      </c>
      <c r="B1034" s="1430" t="s">
        <v>3449</v>
      </c>
      <c r="C1034" s="577" t="s">
        <v>534</v>
      </c>
      <c r="D1034" s="577" t="s">
        <v>31</v>
      </c>
      <c r="E1034" s="577" t="s">
        <v>31</v>
      </c>
      <c r="F1034" s="577" t="s">
        <v>549</v>
      </c>
      <c r="G1034" s="577" t="s">
        <v>169</v>
      </c>
      <c r="H1034" s="577" t="s">
        <v>169</v>
      </c>
      <c r="I1034" s="577" t="s">
        <v>673</v>
      </c>
      <c r="J1034" s="577" t="s">
        <v>2832</v>
      </c>
      <c r="K1034" s="577" t="s">
        <v>3246</v>
      </c>
      <c r="L1034" s="577"/>
      <c r="M1034" s="387">
        <v>53</v>
      </c>
      <c r="N1034" s="387">
        <v>228</v>
      </c>
      <c r="O1034" s="387">
        <v>0</v>
      </c>
      <c r="P1034" s="387">
        <v>0</v>
      </c>
      <c r="Q1034" s="387">
        <v>0</v>
      </c>
      <c r="R1034" s="387">
        <v>0</v>
      </c>
      <c r="S1034" s="1174">
        <f>Locations[[#This Row],[Ind_Returnees]]+Locations[[#This Row],[Ind_Refugees]]+Locations[[#This Row],[Ind_IDPs]]</f>
        <v>228</v>
      </c>
    </row>
    <row r="1035" spans="1:19" x14ac:dyDescent="0.3">
      <c r="A1035" s="577" t="s">
        <v>533</v>
      </c>
      <c r="B1035" s="1430" t="s">
        <v>3449</v>
      </c>
      <c r="C1035" s="577" t="s">
        <v>534</v>
      </c>
      <c r="D1035" s="577" t="s">
        <v>31</v>
      </c>
      <c r="E1035" s="577" t="s">
        <v>31</v>
      </c>
      <c r="F1035" s="577" t="s">
        <v>549</v>
      </c>
      <c r="G1035" s="577" t="s">
        <v>171</v>
      </c>
      <c r="H1035" s="577" t="s">
        <v>171</v>
      </c>
      <c r="I1035" s="577" t="s">
        <v>634</v>
      </c>
      <c r="J1035" s="577" t="s">
        <v>810</v>
      </c>
      <c r="K1035" s="577" t="s">
        <v>1302</v>
      </c>
      <c r="L1035" s="577"/>
      <c r="M1035" s="387">
        <v>16</v>
      </c>
      <c r="N1035" s="387">
        <v>64</v>
      </c>
      <c r="O1035" s="387">
        <v>0</v>
      </c>
      <c r="P1035" s="387">
        <v>0</v>
      </c>
      <c r="Q1035" s="387">
        <v>0</v>
      </c>
      <c r="R1035" s="387">
        <v>0</v>
      </c>
      <c r="S1035" s="1174">
        <f>Locations[[#This Row],[Ind_Returnees]]+Locations[[#This Row],[Ind_Refugees]]+Locations[[#This Row],[Ind_IDPs]]</f>
        <v>64</v>
      </c>
    </row>
    <row r="1036" spans="1:19" x14ac:dyDescent="0.3">
      <c r="A1036" s="577" t="s">
        <v>533</v>
      </c>
      <c r="B1036" s="1430" t="s">
        <v>3449</v>
      </c>
      <c r="C1036" s="577" t="s">
        <v>534</v>
      </c>
      <c r="D1036" s="577" t="s">
        <v>34</v>
      </c>
      <c r="E1036" s="577" t="s">
        <v>34</v>
      </c>
      <c r="F1036" s="577" t="s">
        <v>539</v>
      </c>
      <c r="G1036" s="577" t="s">
        <v>188</v>
      </c>
      <c r="H1036" s="577" t="s">
        <v>188</v>
      </c>
      <c r="I1036" s="577" t="s">
        <v>546</v>
      </c>
      <c r="J1036" s="577" t="s">
        <v>2843</v>
      </c>
      <c r="K1036" s="577" t="s">
        <v>3247</v>
      </c>
      <c r="L1036" s="577"/>
      <c r="M1036" s="387">
        <v>0</v>
      </c>
      <c r="N1036" s="387">
        <v>0</v>
      </c>
      <c r="O1036" s="387">
        <v>107</v>
      </c>
      <c r="P1036" s="387">
        <v>443</v>
      </c>
      <c r="Q1036" s="387">
        <v>0</v>
      </c>
      <c r="R1036" s="387">
        <v>0</v>
      </c>
      <c r="S1036" s="1174">
        <f>Locations[[#This Row],[Ind_Returnees]]+Locations[[#This Row],[Ind_Refugees]]+Locations[[#This Row],[Ind_IDPs]]</f>
        <v>443</v>
      </c>
    </row>
    <row r="1037" spans="1:19" x14ac:dyDescent="0.3">
      <c r="A1037" s="577" t="s">
        <v>533</v>
      </c>
      <c r="B1037" s="1430" t="s">
        <v>3449</v>
      </c>
      <c r="C1037" s="577" t="s">
        <v>534</v>
      </c>
      <c r="D1037" s="577" t="s">
        <v>30</v>
      </c>
      <c r="E1037" s="577" t="s">
        <v>3522</v>
      </c>
      <c r="F1037" s="577" t="s">
        <v>535</v>
      </c>
      <c r="G1037" s="577" t="s">
        <v>162</v>
      </c>
      <c r="H1037" s="577" t="s">
        <v>3529</v>
      </c>
      <c r="I1037" s="577" t="s">
        <v>536</v>
      </c>
      <c r="J1037" s="577" t="s">
        <v>2219</v>
      </c>
      <c r="K1037" s="577" t="s">
        <v>3248</v>
      </c>
      <c r="L1037" s="577"/>
      <c r="M1037" s="387">
        <v>0</v>
      </c>
      <c r="N1037" s="387">
        <v>0</v>
      </c>
      <c r="O1037" s="387">
        <v>18</v>
      </c>
      <c r="P1037" s="387">
        <v>191</v>
      </c>
      <c r="Q1037" s="387">
        <v>0</v>
      </c>
      <c r="R1037" s="387">
        <v>0</v>
      </c>
      <c r="S1037" s="1174">
        <f>Locations[[#This Row],[Ind_Returnees]]+Locations[[#This Row],[Ind_Refugees]]+Locations[[#This Row],[Ind_IDPs]]</f>
        <v>191</v>
      </c>
    </row>
    <row r="1038" spans="1:19" x14ac:dyDescent="0.3">
      <c r="A1038" s="577" t="s">
        <v>533</v>
      </c>
      <c r="B1038" s="1430" t="s">
        <v>3449</v>
      </c>
      <c r="C1038" s="577" t="s">
        <v>534</v>
      </c>
      <c r="D1038" s="577" t="s">
        <v>34</v>
      </c>
      <c r="E1038" s="577" t="s">
        <v>34</v>
      </c>
      <c r="F1038" s="577" t="s">
        <v>539</v>
      </c>
      <c r="G1038" s="577" t="s">
        <v>188</v>
      </c>
      <c r="H1038" s="577" t="s">
        <v>188</v>
      </c>
      <c r="I1038" s="577" t="s">
        <v>546</v>
      </c>
      <c r="J1038" s="577" t="s">
        <v>1351</v>
      </c>
      <c r="K1038" s="577" t="s">
        <v>2669</v>
      </c>
      <c r="L1038" s="577"/>
      <c r="M1038" s="387">
        <v>0</v>
      </c>
      <c r="N1038" s="387">
        <v>0</v>
      </c>
      <c r="O1038" s="387">
        <v>0</v>
      </c>
      <c r="P1038" s="387">
        <v>0</v>
      </c>
      <c r="Q1038" s="387">
        <v>0</v>
      </c>
      <c r="R1038" s="387">
        <v>0</v>
      </c>
      <c r="S1038" s="1174">
        <f>Locations[[#This Row],[Ind_Returnees]]+Locations[[#This Row],[Ind_Refugees]]+Locations[[#This Row],[Ind_IDPs]]</f>
        <v>0</v>
      </c>
    </row>
    <row r="1039" spans="1:19" x14ac:dyDescent="0.3">
      <c r="A1039" s="577" t="s">
        <v>533</v>
      </c>
      <c r="B1039" s="1430" t="s">
        <v>3449</v>
      </c>
      <c r="C1039" s="577" t="s">
        <v>534</v>
      </c>
      <c r="D1039" s="577" t="s">
        <v>30</v>
      </c>
      <c r="E1039" s="577" t="s">
        <v>3522</v>
      </c>
      <c r="F1039" s="577" t="s">
        <v>535</v>
      </c>
      <c r="G1039" s="577" t="s">
        <v>159</v>
      </c>
      <c r="H1039" s="577" t="s">
        <v>159</v>
      </c>
      <c r="I1039" s="577" t="s">
        <v>574</v>
      </c>
      <c r="J1039" s="577" t="s">
        <v>3096</v>
      </c>
      <c r="K1039" s="577" t="s">
        <v>3249</v>
      </c>
      <c r="L1039" s="577"/>
      <c r="M1039" s="387">
        <v>102</v>
      </c>
      <c r="N1039" s="387">
        <v>708</v>
      </c>
      <c r="O1039" s="387">
        <v>0</v>
      </c>
      <c r="P1039" s="387">
        <v>0</v>
      </c>
      <c r="Q1039" s="387">
        <v>0</v>
      </c>
      <c r="R1039" s="387">
        <v>0</v>
      </c>
      <c r="S1039" s="1174">
        <f>Locations[[#This Row],[Ind_Returnees]]+Locations[[#This Row],[Ind_Refugees]]+Locations[[#This Row],[Ind_IDPs]]</f>
        <v>708</v>
      </c>
    </row>
    <row r="1040" spans="1:19" x14ac:dyDescent="0.3">
      <c r="A1040" s="577" t="s">
        <v>533</v>
      </c>
      <c r="B1040" s="1430" t="s">
        <v>3449</v>
      </c>
      <c r="C1040" s="577" t="s">
        <v>534</v>
      </c>
      <c r="D1040" s="577" t="s">
        <v>31</v>
      </c>
      <c r="E1040" s="577" t="s">
        <v>31</v>
      </c>
      <c r="F1040" s="577" t="s">
        <v>549</v>
      </c>
      <c r="G1040" s="577" t="s">
        <v>171</v>
      </c>
      <c r="H1040" s="577" t="s">
        <v>171</v>
      </c>
      <c r="I1040" s="577" t="s">
        <v>634</v>
      </c>
      <c r="J1040" s="577" t="s">
        <v>2862</v>
      </c>
      <c r="K1040" s="577" t="s">
        <v>3250</v>
      </c>
      <c r="L1040" s="577"/>
      <c r="M1040" s="387">
        <v>0</v>
      </c>
      <c r="N1040" s="387">
        <v>0</v>
      </c>
      <c r="O1040" s="387">
        <v>0</v>
      </c>
      <c r="P1040" s="387">
        <v>0</v>
      </c>
      <c r="Q1040" s="387">
        <v>0</v>
      </c>
      <c r="R1040" s="387">
        <v>0</v>
      </c>
      <c r="S1040" s="1174">
        <f>Locations[[#This Row],[Ind_Returnees]]+Locations[[#This Row],[Ind_Refugees]]+Locations[[#This Row],[Ind_IDPs]]</f>
        <v>0</v>
      </c>
    </row>
    <row r="1041" spans="1:19" x14ac:dyDescent="0.3">
      <c r="A1041" s="577" t="s">
        <v>533</v>
      </c>
      <c r="B1041" s="1430" t="s">
        <v>3449</v>
      </c>
      <c r="C1041" s="577" t="s">
        <v>534</v>
      </c>
      <c r="D1041" s="577" t="s">
        <v>34</v>
      </c>
      <c r="E1041" s="577" t="s">
        <v>34</v>
      </c>
      <c r="F1041" s="577" t="s">
        <v>539</v>
      </c>
      <c r="G1041" s="577" t="s">
        <v>188</v>
      </c>
      <c r="H1041" s="577" t="s">
        <v>188</v>
      </c>
      <c r="I1041" s="577" t="s">
        <v>546</v>
      </c>
      <c r="J1041" s="577" t="s">
        <v>759</v>
      </c>
      <c r="K1041" s="577" t="s">
        <v>3251</v>
      </c>
      <c r="L1041" s="577"/>
      <c r="M1041" s="387">
        <v>256</v>
      </c>
      <c r="N1041" s="387">
        <v>1761</v>
      </c>
      <c r="O1041" s="387">
        <v>0</v>
      </c>
      <c r="P1041" s="387">
        <v>0</v>
      </c>
      <c r="Q1041" s="387">
        <v>0</v>
      </c>
      <c r="R1041" s="387">
        <v>0</v>
      </c>
      <c r="S1041" s="1174">
        <f>Locations[[#This Row],[Ind_Returnees]]+Locations[[#This Row],[Ind_Refugees]]+Locations[[#This Row],[Ind_IDPs]]</f>
        <v>1761</v>
      </c>
    </row>
    <row r="1042" spans="1:19" x14ac:dyDescent="0.3">
      <c r="A1042" s="577" t="s">
        <v>533</v>
      </c>
      <c r="B1042" s="1430" t="s">
        <v>3449</v>
      </c>
      <c r="C1042" s="577" t="s">
        <v>534</v>
      </c>
      <c r="D1042" s="577" t="s">
        <v>34</v>
      </c>
      <c r="E1042" s="577" t="s">
        <v>34</v>
      </c>
      <c r="F1042" s="577" t="s">
        <v>539</v>
      </c>
      <c r="G1042" s="577" t="s">
        <v>187</v>
      </c>
      <c r="H1042" s="577" t="s">
        <v>187</v>
      </c>
      <c r="I1042" s="577" t="s">
        <v>951</v>
      </c>
      <c r="J1042" s="577" t="s">
        <v>3006</v>
      </c>
      <c r="K1042" s="577" t="s">
        <v>1466</v>
      </c>
      <c r="L1042" s="577"/>
      <c r="M1042" s="387">
        <v>354</v>
      </c>
      <c r="N1042" s="387">
        <v>2677</v>
      </c>
      <c r="O1042" s="387">
        <v>0</v>
      </c>
      <c r="P1042" s="387">
        <v>0</v>
      </c>
      <c r="Q1042" s="387">
        <v>0</v>
      </c>
      <c r="R1042" s="387">
        <v>0</v>
      </c>
      <c r="S1042" s="1174">
        <f>Locations[[#This Row],[Ind_Returnees]]+Locations[[#This Row],[Ind_Refugees]]+Locations[[#This Row],[Ind_IDPs]]</f>
        <v>2677</v>
      </c>
    </row>
    <row r="1043" spans="1:19" x14ac:dyDescent="0.3">
      <c r="A1043" s="577" t="s">
        <v>533</v>
      </c>
      <c r="B1043" s="1430" t="s">
        <v>3449</v>
      </c>
      <c r="C1043" s="577" t="s">
        <v>534</v>
      </c>
      <c r="D1043" s="577" t="s">
        <v>31</v>
      </c>
      <c r="E1043" s="577" t="s">
        <v>31</v>
      </c>
      <c r="F1043" s="577" t="s">
        <v>549</v>
      </c>
      <c r="G1043" s="577" t="s">
        <v>167</v>
      </c>
      <c r="H1043" s="577" t="s">
        <v>167</v>
      </c>
      <c r="I1043" s="577" t="s">
        <v>1113</v>
      </c>
      <c r="J1043" s="577" t="s">
        <v>2077</v>
      </c>
      <c r="K1043" s="577" t="s">
        <v>3252</v>
      </c>
      <c r="L1043" s="577"/>
      <c r="M1043" s="387">
        <v>0</v>
      </c>
      <c r="N1043" s="387">
        <v>0</v>
      </c>
      <c r="O1043" s="387">
        <v>0</v>
      </c>
      <c r="P1043" s="387">
        <v>0</v>
      </c>
      <c r="Q1043" s="387">
        <v>0</v>
      </c>
      <c r="R1043" s="387">
        <v>0</v>
      </c>
      <c r="S1043" s="1174">
        <f>Locations[[#This Row],[Ind_Returnees]]+Locations[[#This Row],[Ind_Refugees]]+Locations[[#This Row],[Ind_IDPs]]</f>
        <v>0</v>
      </c>
    </row>
    <row r="1044" spans="1:19" x14ac:dyDescent="0.3">
      <c r="A1044" s="577" t="s">
        <v>533</v>
      </c>
      <c r="B1044" s="1430" t="s">
        <v>3449</v>
      </c>
      <c r="C1044" s="577" t="s">
        <v>534</v>
      </c>
      <c r="D1044" s="577" t="s">
        <v>31</v>
      </c>
      <c r="E1044" s="577" t="s">
        <v>31</v>
      </c>
      <c r="F1044" s="577" t="s">
        <v>549</v>
      </c>
      <c r="G1044" s="577" t="s">
        <v>169</v>
      </c>
      <c r="H1044" s="577" t="s">
        <v>169</v>
      </c>
      <c r="I1044" s="577" t="s">
        <v>673</v>
      </c>
      <c r="J1044" s="577" t="s">
        <v>1731</v>
      </c>
      <c r="K1044" s="577" t="s">
        <v>3253</v>
      </c>
      <c r="L1044" s="577"/>
      <c r="M1044" s="387">
        <v>15</v>
      </c>
      <c r="N1044" s="387">
        <v>82</v>
      </c>
      <c r="O1044" s="387">
        <v>6</v>
      </c>
      <c r="P1044" s="387">
        <v>42</v>
      </c>
      <c r="Q1044" s="387">
        <v>0</v>
      </c>
      <c r="R1044" s="387">
        <v>0</v>
      </c>
      <c r="S1044" s="1174">
        <f>Locations[[#This Row],[Ind_Returnees]]+Locations[[#This Row],[Ind_Refugees]]+Locations[[#This Row],[Ind_IDPs]]</f>
        <v>124</v>
      </c>
    </row>
    <row r="1045" spans="1:19" x14ac:dyDescent="0.3">
      <c r="A1045" s="577" t="s">
        <v>533</v>
      </c>
      <c r="B1045" s="1430" t="s">
        <v>3449</v>
      </c>
      <c r="C1045" s="577" t="s">
        <v>534</v>
      </c>
      <c r="D1045" s="577" t="s">
        <v>32</v>
      </c>
      <c r="E1045" s="577" t="s">
        <v>32</v>
      </c>
      <c r="F1045" s="577" t="s">
        <v>542</v>
      </c>
      <c r="G1045" s="577" t="s">
        <v>178</v>
      </c>
      <c r="H1045" s="577" t="s">
        <v>178</v>
      </c>
      <c r="I1045" s="577" t="s">
        <v>543</v>
      </c>
      <c r="J1045" s="577" t="s">
        <v>1718</v>
      </c>
      <c r="K1045" s="577" t="s">
        <v>3254</v>
      </c>
      <c r="L1045" s="577"/>
      <c r="M1045" s="387">
        <v>31</v>
      </c>
      <c r="N1045" s="387">
        <v>171</v>
      </c>
      <c r="O1045" s="387">
        <v>0</v>
      </c>
      <c r="P1045" s="387">
        <v>0</v>
      </c>
      <c r="Q1045" s="387">
        <v>0</v>
      </c>
      <c r="R1045" s="387">
        <v>0</v>
      </c>
      <c r="S1045" s="1174">
        <f>Locations[[#This Row],[Ind_Returnees]]+Locations[[#This Row],[Ind_Refugees]]+Locations[[#This Row],[Ind_IDPs]]</f>
        <v>171</v>
      </c>
    </row>
    <row r="1046" spans="1:19" x14ac:dyDescent="0.3">
      <c r="A1046" s="577" t="s">
        <v>533</v>
      </c>
      <c r="B1046" s="1430" t="s">
        <v>3449</v>
      </c>
      <c r="C1046" s="577" t="s">
        <v>534</v>
      </c>
      <c r="D1046" s="577" t="s">
        <v>32</v>
      </c>
      <c r="E1046" s="577" t="s">
        <v>32</v>
      </c>
      <c r="F1046" s="577" t="s">
        <v>542</v>
      </c>
      <c r="G1046" s="577" t="s">
        <v>178</v>
      </c>
      <c r="H1046" s="577" t="s">
        <v>178</v>
      </c>
      <c r="I1046" s="577" t="s">
        <v>543</v>
      </c>
      <c r="J1046" s="577" t="s">
        <v>761</v>
      </c>
      <c r="K1046" s="577" t="s">
        <v>3255</v>
      </c>
      <c r="L1046" s="577"/>
      <c r="M1046" s="387">
        <v>102</v>
      </c>
      <c r="N1046" s="387">
        <v>1670</v>
      </c>
      <c r="O1046" s="387">
        <v>0</v>
      </c>
      <c r="P1046" s="387">
        <v>0</v>
      </c>
      <c r="Q1046" s="387">
        <v>0</v>
      </c>
      <c r="R1046" s="387">
        <v>0</v>
      </c>
      <c r="S1046" s="1174">
        <f>Locations[[#This Row],[Ind_Returnees]]+Locations[[#This Row],[Ind_Refugees]]+Locations[[#This Row],[Ind_IDPs]]</f>
        <v>1670</v>
      </c>
    </row>
    <row r="1047" spans="1:19" x14ac:dyDescent="0.3">
      <c r="A1047" s="577" t="s">
        <v>533</v>
      </c>
      <c r="B1047" s="1430" t="s">
        <v>3449</v>
      </c>
      <c r="C1047" s="577" t="s">
        <v>534</v>
      </c>
      <c r="D1047" s="577" t="s">
        <v>34</v>
      </c>
      <c r="E1047" s="577" t="s">
        <v>34</v>
      </c>
      <c r="F1047" s="577" t="s">
        <v>539</v>
      </c>
      <c r="G1047" s="577" t="s">
        <v>188</v>
      </c>
      <c r="H1047" s="577" t="s">
        <v>188</v>
      </c>
      <c r="I1047" s="577" t="s">
        <v>546</v>
      </c>
      <c r="J1047" s="577" t="s">
        <v>2666</v>
      </c>
      <c r="K1047" s="577" t="s">
        <v>3256</v>
      </c>
      <c r="L1047" s="577"/>
      <c r="M1047" s="387">
        <v>31</v>
      </c>
      <c r="N1047" s="387">
        <v>324</v>
      </c>
      <c r="O1047" s="387">
        <v>0</v>
      </c>
      <c r="P1047" s="387">
        <v>0</v>
      </c>
      <c r="Q1047" s="387">
        <v>0</v>
      </c>
      <c r="R1047" s="387">
        <v>0</v>
      </c>
      <c r="S1047" s="1174">
        <f>Locations[[#This Row],[Ind_Returnees]]+Locations[[#This Row],[Ind_Refugees]]+Locations[[#This Row],[Ind_IDPs]]</f>
        <v>324</v>
      </c>
    </row>
    <row r="1048" spans="1:19" x14ac:dyDescent="0.3">
      <c r="A1048" s="577" t="s">
        <v>533</v>
      </c>
      <c r="B1048" s="1430" t="s">
        <v>3449</v>
      </c>
      <c r="C1048" s="577" t="s">
        <v>534</v>
      </c>
      <c r="D1048" s="577" t="s">
        <v>34</v>
      </c>
      <c r="E1048" s="577" t="s">
        <v>34</v>
      </c>
      <c r="F1048" s="577" t="s">
        <v>539</v>
      </c>
      <c r="G1048" s="577" t="s">
        <v>188</v>
      </c>
      <c r="H1048" s="577" t="s">
        <v>188</v>
      </c>
      <c r="I1048" s="577" t="s">
        <v>546</v>
      </c>
      <c r="J1048" s="577" t="s">
        <v>1044</v>
      </c>
      <c r="K1048" s="577" t="s">
        <v>1172</v>
      </c>
      <c r="L1048" s="577"/>
      <c r="M1048" s="387">
        <v>120</v>
      </c>
      <c r="N1048" s="387">
        <v>863</v>
      </c>
      <c r="O1048" s="387">
        <v>0</v>
      </c>
      <c r="P1048" s="387">
        <v>0</v>
      </c>
      <c r="Q1048" s="387">
        <v>0</v>
      </c>
      <c r="R1048" s="387">
        <v>0</v>
      </c>
      <c r="S1048" s="1174">
        <f>Locations[[#This Row],[Ind_Returnees]]+Locations[[#This Row],[Ind_Refugees]]+Locations[[#This Row],[Ind_IDPs]]</f>
        <v>863</v>
      </c>
    </row>
    <row r="1049" spans="1:19" x14ac:dyDescent="0.3">
      <c r="A1049" s="577" t="s">
        <v>533</v>
      </c>
      <c r="B1049" s="1430" t="s">
        <v>3449</v>
      </c>
      <c r="C1049" s="577" t="s">
        <v>534</v>
      </c>
      <c r="D1049" s="577" t="s">
        <v>32</v>
      </c>
      <c r="E1049" s="577" t="s">
        <v>32</v>
      </c>
      <c r="F1049" s="577" t="s">
        <v>542</v>
      </c>
      <c r="G1049" s="577" t="s">
        <v>178</v>
      </c>
      <c r="H1049" s="577" t="s">
        <v>178</v>
      </c>
      <c r="I1049" s="577" t="s">
        <v>543</v>
      </c>
      <c r="J1049" s="577" t="s">
        <v>2584</v>
      </c>
      <c r="K1049" s="577" t="s">
        <v>2585</v>
      </c>
      <c r="L1049" s="577"/>
      <c r="M1049" s="387">
        <v>0</v>
      </c>
      <c r="N1049" s="387">
        <v>0</v>
      </c>
      <c r="O1049" s="387">
        <v>0</v>
      </c>
      <c r="P1049" s="387">
        <v>0</v>
      </c>
      <c r="Q1049" s="387">
        <v>0</v>
      </c>
      <c r="R1049" s="387">
        <v>0</v>
      </c>
      <c r="S1049" s="1174">
        <f>Locations[[#This Row],[Ind_Returnees]]+Locations[[#This Row],[Ind_Refugees]]+Locations[[#This Row],[Ind_IDPs]]</f>
        <v>0</v>
      </c>
    </row>
    <row r="1050" spans="1:19" x14ac:dyDescent="0.3">
      <c r="A1050" s="577" t="s">
        <v>533</v>
      </c>
      <c r="B1050" s="1430" t="s">
        <v>3449</v>
      </c>
      <c r="C1050" s="577" t="s">
        <v>534</v>
      </c>
      <c r="D1050" s="577" t="s">
        <v>31</v>
      </c>
      <c r="E1050" s="577" t="s">
        <v>31</v>
      </c>
      <c r="F1050" s="577" t="s">
        <v>549</v>
      </c>
      <c r="G1050" s="577" t="s">
        <v>166</v>
      </c>
      <c r="H1050" s="577" t="s">
        <v>166</v>
      </c>
      <c r="I1050" s="577" t="s">
        <v>844</v>
      </c>
      <c r="J1050" s="577" t="s">
        <v>2514</v>
      </c>
      <c r="K1050" s="577" t="s">
        <v>3257</v>
      </c>
      <c r="L1050" s="577"/>
      <c r="M1050" s="387">
        <v>51</v>
      </c>
      <c r="N1050" s="387">
        <v>233</v>
      </c>
      <c r="O1050" s="387">
        <v>0</v>
      </c>
      <c r="P1050" s="387">
        <v>0</v>
      </c>
      <c r="Q1050" s="387">
        <v>0</v>
      </c>
      <c r="R1050" s="387">
        <v>0</v>
      </c>
      <c r="S1050" s="1174">
        <f>Locations[[#This Row],[Ind_Returnees]]+Locations[[#This Row],[Ind_Refugees]]+Locations[[#This Row],[Ind_IDPs]]</f>
        <v>233</v>
      </c>
    </row>
    <row r="1051" spans="1:19" x14ac:dyDescent="0.3">
      <c r="A1051" s="577" t="s">
        <v>533</v>
      </c>
      <c r="B1051" s="1430" t="s">
        <v>3449</v>
      </c>
      <c r="C1051" s="577" t="s">
        <v>534</v>
      </c>
      <c r="D1051" s="577" t="s">
        <v>34</v>
      </c>
      <c r="E1051" s="577" t="s">
        <v>34</v>
      </c>
      <c r="F1051" s="577" t="s">
        <v>539</v>
      </c>
      <c r="G1051" s="577" t="s">
        <v>189</v>
      </c>
      <c r="H1051" s="577" t="s">
        <v>189</v>
      </c>
      <c r="I1051" s="577" t="s">
        <v>590</v>
      </c>
      <c r="J1051" s="577" t="s">
        <v>1052</v>
      </c>
      <c r="K1051" s="577" t="s">
        <v>3258</v>
      </c>
      <c r="L1051" s="577"/>
      <c r="M1051" s="387">
        <v>157</v>
      </c>
      <c r="N1051" s="387">
        <v>1276</v>
      </c>
      <c r="O1051" s="387">
        <v>0</v>
      </c>
      <c r="P1051" s="387">
        <v>0</v>
      </c>
      <c r="Q1051" s="387">
        <v>0</v>
      </c>
      <c r="R1051" s="387">
        <v>0</v>
      </c>
      <c r="S1051" s="1174">
        <f>Locations[[#This Row],[Ind_Returnees]]+Locations[[#This Row],[Ind_Refugees]]+Locations[[#This Row],[Ind_IDPs]]</f>
        <v>1276</v>
      </c>
    </row>
    <row r="1052" spans="1:19" x14ac:dyDescent="0.3">
      <c r="A1052" s="577" t="s">
        <v>533</v>
      </c>
      <c r="B1052" s="1430" t="s">
        <v>3449</v>
      </c>
      <c r="C1052" s="577" t="s">
        <v>534</v>
      </c>
      <c r="D1052" s="577" t="s">
        <v>34</v>
      </c>
      <c r="E1052" s="577" t="s">
        <v>34</v>
      </c>
      <c r="F1052" s="577" t="s">
        <v>539</v>
      </c>
      <c r="G1052" s="577" t="s">
        <v>187</v>
      </c>
      <c r="H1052" s="577" t="s">
        <v>187</v>
      </c>
      <c r="I1052" s="577" t="s">
        <v>951</v>
      </c>
      <c r="J1052" s="577" t="s">
        <v>3007</v>
      </c>
      <c r="K1052" s="577" t="s">
        <v>1609</v>
      </c>
      <c r="L1052" s="577"/>
      <c r="M1052" s="387">
        <v>173</v>
      </c>
      <c r="N1052" s="387">
        <v>1298</v>
      </c>
      <c r="O1052" s="387">
        <v>0</v>
      </c>
      <c r="P1052" s="387">
        <v>0</v>
      </c>
      <c r="Q1052" s="387">
        <v>209</v>
      </c>
      <c r="R1052" s="387">
        <v>937</v>
      </c>
      <c r="S1052" s="1174">
        <f>Locations[[#This Row],[Ind_Returnees]]+Locations[[#This Row],[Ind_Refugees]]+Locations[[#This Row],[Ind_IDPs]]</f>
        <v>2235</v>
      </c>
    </row>
    <row r="1053" spans="1:19" x14ac:dyDescent="0.3">
      <c r="A1053" s="577" t="s">
        <v>533</v>
      </c>
      <c r="B1053" s="1430" t="s">
        <v>3449</v>
      </c>
      <c r="C1053" s="577" t="s">
        <v>534</v>
      </c>
      <c r="D1053" s="577" t="s">
        <v>31</v>
      </c>
      <c r="E1053" s="577" t="s">
        <v>31</v>
      </c>
      <c r="F1053" s="577" t="s">
        <v>549</v>
      </c>
      <c r="G1053" s="577" t="s">
        <v>165</v>
      </c>
      <c r="H1053" s="577" t="s">
        <v>165</v>
      </c>
      <c r="I1053" s="577" t="s">
        <v>881</v>
      </c>
      <c r="J1053" s="577" t="s">
        <v>1187</v>
      </c>
      <c r="K1053" s="577" t="s">
        <v>3259</v>
      </c>
      <c r="L1053" s="577"/>
      <c r="M1053" s="387">
        <v>150</v>
      </c>
      <c r="N1053" s="387">
        <v>600</v>
      </c>
      <c r="O1053" s="387">
        <v>0</v>
      </c>
      <c r="P1053" s="387">
        <v>0</v>
      </c>
      <c r="Q1053" s="387">
        <v>0</v>
      </c>
      <c r="R1053" s="387">
        <v>0</v>
      </c>
      <c r="S1053" s="1174">
        <f>Locations[[#This Row],[Ind_Returnees]]+Locations[[#This Row],[Ind_Refugees]]+Locations[[#This Row],[Ind_IDPs]]</f>
        <v>600</v>
      </c>
    </row>
    <row r="1054" spans="1:19" x14ac:dyDescent="0.3">
      <c r="A1054" s="577" t="s">
        <v>533</v>
      </c>
      <c r="B1054" s="1430" t="s">
        <v>3449</v>
      </c>
      <c r="C1054" s="577" t="s">
        <v>534</v>
      </c>
      <c r="D1054" s="577" t="s">
        <v>31</v>
      </c>
      <c r="E1054" s="577" t="s">
        <v>31</v>
      </c>
      <c r="F1054" s="577" t="s">
        <v>549</v>
      </c>
      <c r="G1054" s="577" t="s">
        <v>164</v>
      </c>
      <c r="H1054" s="577" t="s">
        <v>164</v>
      </c>
      <c r="I1054" s="577" t="s">
        <v>748</v>
      </c>
      <c r="J1054" s="577" t="s">
        <v>2259</v>
      </c>
      <c r="K1054" s="577" t="s">
        <v>3260</v>
      </c>
      <c r="L1054" s="577"/>
      <c r="M1054" s="387">
        <v>0</v>
      </c>
      <c r="N1054" s="387">
        <v>0</v>
      </c>
      <c r="O1054" s="387">
        <v>0</v>
      </c>
      <c r="P1054" s="387">
        <v>0</v>
      </c>
      <c r="Q1054" s="387">
        <v>18</v>
      </c>
      <c r="R1054" s="387">
        <v>182</v>
      </c>
      <c r="S1054" s="1174">
        <f>Locations[[#This Row],[Ind_Returnees]]+Locations[[#This Row],[Ind_Refugees]]+Locations[[#This Row],[Ind_IDPs]]</f>
        <v>182</v>
      </c>
    </row>
    <row r="1055" spans="1:19" x14ac:dyDescent="0.3">
      <c r="A1055" s="577" t="s">
        <v>533</v>
      </c>
      <c r="B1055" s="1430" t="s">
        <v>3449</v>
      </c>
      <c r="C1055" s="577" t="s">
        <v>534</v>
      </c>
      <c r="D1055" s="577" t="s">
        <v>31</v>
      </c>
      <c r="E1055" s="577" t="s">
        <v>31</v>
      </c>
      <c r="F1055" s="577" t="s">
        <v>549</v>
      </c>
      <c r="G1055" s="577" t="s">
        <v>172</v>
      </c>
      <c r="H1055" s="577" t="s">
        <v>172</v>
      </c>
      <c r="I1055" s="577" t="s">
        <v>706</v>
      </c>
      <c r="J1055" s="577" t="s">
        <v>2249</v>
      </c>
      <c r="K1055" s="577" t="s">
        <v>3261</v>
      </c>
      <c r="L1055" s="577"/>
      <c r="M1055" s="387">
        <v>33</v>
      </c>
      <c r="N1055" s="387">
        <v>148</v>
      </c>
      <c r="O1055" s="387">
        <v>0</v>
      </c>
      <c r="P1055" s="387">
        <v>0</v>
      </c>
      <c r="Q1055" s="387">
        <v>0</v>
      </c>
      <c r="R1055" s="387">
        <v>0</v>
      </c>
      <c r="S1055" s="1174">
        <f>Locations[[#This Row],[Ind_Returnees]]+Locations[[#This Row],[Ind_Refugees]]+Locations[[#This Row],[Ind_IDPs]]</f>
        <v>148</v>
      </c>
    </row>
    <row r="1056" spans="1:19" x14ac:dyDescent="0.3">
      <c r="A1056" s="577" t="s">
        <v>533</v>
      </c>
      <c r="B1056" s="1430" t="s">
        <v>3449</v>
      </c>
      <c r="C1056" s="577" t="s">
        <v>534</v>
      </c>
      <c r="D1056" s="577" t="s">
        <v>32</v>
      </c>
      <c r="E1056" s="577" t="s">
        <v>32</v>
      </c>
      <c r="F1056" s="577" t="s">
        <v>542</v>
      </c>
      <c r="G1056" s="1144" t="s">
        <v>176</v>
      </c>
      <c r="H1056" s="1144" t="s">
        <v>176</v>
      </c>
      <c r="I1056" s="577" t="s">
        <v>772</v>
      </c>
      <c r="J1056" s="577" t="s">
        <v>2542</v>
      </c>
      <c r="K1056" s="577" t="s">
        <v>2543</v>
      </c>
      <c r="L1056" s="577"/>
      <c r="M1056" s="387">
        <v>30</v>
      </c>
      <c r="N1056" s="387">
        <v>320</v>
      </c>
      <c r="O1056" s="387">
        <v>0</v>
      </c>
      <c r="P1056" s="387">
        <v>0</v>
      </c>
      <c r="Q1056" s="387">
        <v>0</v>
      </c>
      <c r="R1056" s="387">
        <v>0</v>
      </c>
      <c r="S1056" s="1174">
        <f>Locations[[#This Row],[Ind_Returnees]]+Locations[[#This Row],[Ind_Refugees]]+Locations[[#This Row],[Ind_IDPs]]</f>
        <v>320</v>
      </c>
    </row>
    <row r="1057" spans="1:19" x14ac:dyDescent="0.3">
      <c r="A1057" s="577" t="s">
        <v>533</v>
      </c>
      <c r="B1057" s="1430" t="s">
        <v>3449</v>
      </c>
      <c r="C1057" s="577" t="s">
        <v>534</v>
      </c>
      <c r="D1057" s="577" t="s">
        <v>32</v>
      </c>
      <c r="E1057" s="577" t="s">
        <v>32</v>
      </c>
      <c r="F1057" s="577" t="s">
        <v>542</v>
      </c>
      <c r="G1057" s="577" t="s">
        <v>176</v>
      </c>
      <c r="H1057" s="577" t="s">
        <v>176</v>
      </c>
      <c r="I1057" s="577" t="s">
        <v>772</v>
      </c>
      <c r="J1057" s="577" t="s">
        <v>1737</v>
      </c>
      <c r="K1057" s="577" t="s">
        <v>1738</v>
      </c>
      <c r="L1057" s="577"/>
      <c r="M1057" s="387">
        <v>410</v>
      </c>
      <c r="N1057" s="387">
        <v>1880</v>
      </c>
      <c r="O1057" s="387">
        <v>0</v>
      </c>
      <c r="P1057" s="387">
        <v>0</v>
      </c>
      <c r="Q1057" s="387">
        <v>0</v>
      </c>
      <c r="R1057" s="387">
        <v>0</v>
      </c>
      <c r="S1057" s="1174">
        <f>Locations[[#This Row],[Ind_Returnees]]+Locations[[#This Row],[Ind_Refugees]]+Locations[[#This Row],[Ind_IDPs]]</f>
        <v>1880</v>
      </c>
    </row>
    <row r="1058" spans="1:19" x14ac:dyDescent="0.3">
      <c r="A1058" s="577" t="s">
        <v>533</v>
      </c>
      <c r="B1058" s="1430" t="s">
        <v>3449</v>
      </c>
      <c r="C1058" s="577" t="s">
        <v>534</v>
      </c>
      <c r="D1058" s="577" t="s">
        <v>31</v>
      </c>
      <c r="E1058" s="577" t="s">
        <v>31</v>
      </c>
      <c r="F1058" s="577" t="s">
        <v>549</v>
      </c>
      <c r="G1058" s="577" t="s">
        <v>169</v>
      </c>
      <c r="H1058" s="577" t="s">
        <v>169</v>
      </c>
      <c r="I1058" s="577" t="s">
        <v>673</v>
      </c>
      <c r="J1058" s="577" t="s">
        <v>2906</v>
      </c>
      <c r="K1058" s="577" t="s">
        <v>3262</v>
      </c>
      <c r="L1058" s="577"/>
      <c r="M1058" s="387">
        <v>0</v>
      </c>
      <c r="N1058" s="387">
        <v>0</v>
      </c>
      <c r="O1058" s="387">
        <v>0</v>
      </c>
      <c r="P1058" s="387">
        <v>0</v>
      </c>
      <c r="Q1058" s="387">
        <v>0</v>
      </c>
      <c r="R1058" s="387">
        <v>0</v>
      </c>
      <c r="S1058" s="1174">
        <f>Locations[[#This Row],[Ind_Returnees]]+Locations[[#This Row],[Ind_Refugees]]+Locations[[#This Row],[Ind_IDPs]]</f>
        <v>0</v>
      </c>
    </row>
    <row r="1059" spans="1:19" x14ac:dyDescent="0.3">
      <c r="A1059" s="577" t="s">
        <v>533</v>
      </c>
      <c r="B1059" s="1430" t="s">
        <v>3449</v>
      </c>
      <c r="C1059" s="577" t="s">
        <v>534</v>
      </c>
      <c r="D1059" s="577" t="s">
        <v>31</v>
      </c>
      <c r="E1059" s="577" t="s">
        <v>31</v>
      </c>
      <c r="F1059" s="577" t="s">
        <v>549</v>
      </c>
      <c r="G1059" s="577" t="s">
        <v>165</v>
      </c>
      <c r="H1059" s="577" t="s">
        <v>165</v>
      </c>
      <c r="I1059" s="577" t="s">
        <v>881</v>
      </c>
      <c r="J1059" s="577" t="s">
        <v>1846</v>
      </c>
      <c r="K1059" s="577" t="s">
        <v>3263</v>
      </c>
      <c r="L1059" s="577"/>
      <c r="M1059" s="387">
        <v>50</v>
      </c>
      <c r="N1059" s="387">
        <v>270</v>
      </c>
      <c r="O1059" s="387">
        <v>0</v>
      </c>
      <c r="P1059" s="387">
        <v>0</v>
      </c>
      <c r="Q1059" s="387">
        <v>0</v>
      </c>
      <c r="R1059" s="387">
        <v>0</v>
      </c>
      <c r="S1059" s="1174">
        <f>Locations[[#This Row],[Ind_Returnees]]+Locations[[#This Row],[Ind_Refugees]]+Locations[[#This Row],[Ind_IDPs]]</f>
        <v>270</v>
      </c>
    </row>
    <row r="1060" spans="1:19" x14ac:dyDescent="0.3">
      <c r="A1060" s="577" t="s">
        <v>533</v>
      </c>
      <c r="B1060" s="1430" t="s">
        <v>3449</v>
      </c>
      <c r="C1060" s="577" t="s">
        <v>534</v>
      </c>
      <c r="D1060" s="577" t="s">
        <v>35</v>
      </c>
      <c r="E1060" s="577" t="s">
        <v>35</v>
      </c>
      <c r="F1060" s="577" t="s">
        <v>567</v>
      </c>
      <c r="G1060" s="577" t="s">
        <v>193</v>
      </c>
      <c r="H1060" s="577" t="s">
        <v>3983</v>
      </c>
      <c r="I1060" s="577" t="s">
        <v>863</v>
      </c>
      <c r="J1060" s="577" t="s">
        <v>1120</v>
      </c>
      <c r="K1060" s="577" t="s">
        <v>3264</v>
      </c>
      <c r="L1060" s="577"/>
      <c r="M1060" s="387">
        <v>70</v>
      </c>
      <c r="N1060" s="387">
        <v>696</v>
      </c>
      <c r="O1060" s="387">
        <v>0</v>
      </c>
      <c r="P1060" s="387">
        <v>0</v>
      </c>
      <c r="Q1060" s="387">
        <v>0</v>
      </c>
      <c r="R1060" s="387">
        <v>0</v>
      </c>
      <c r="S1060" s="1174">
        <f>Locations[[#This Row],[Ind_Returnees]]+Locations[[#This Row],[Ind_Refugees]]+Locations[[#This Row],[Ind_IDPs]]</f>
        <v>696</v>
      </c>
    </row>
    <row r="1061" spans="1:19" x14ac:dyDescent="0.3">
      <c r="A1061" s="577" t="s">
        <v>533</v>
      </c>
      <c r="B1061" s="1430" t="s">
        <v>3449</v>
      </c>
      <c r="C1061" s="577" t="s">
        <v>534</v>
      </c>
      <c r="D1061" s="577" t="s">
        <v>34</v>
      </c>
      <c r="E1061" s="577" t="s">
        <v>34</v>
      </c>
      <c r="F1061" s="577" t="s">
        <v>539</v>
      </c>
      <c r="G1061" s="577" t="s">
        <v>187</v>
      </c>
      <c r="H1061" s="577" t="s">
        <v>187</v>
      </c>
      <c r="I1061" s="577" t="s">
        <v>951</v>
      </c>
      <c r="J1061" s="577" t="s">
        <v>2558</v>
      </c>
      <c r="K1061" s="577" t="s">
        <v>3265</v>
      </c>
      <c r="L1061" s="577"/>
      <c r="M1061" s="387">
        <v>0</v>
      </c>
      <c r="N1061" s="387">
        <v>0</v>
      </c>
      <c r="O1061" s="387">
        <v>0</v>
      </c>
      <c r="P1061" s="387">
        <v>0</v>
      </c>
      <c r="Q1061" s="387">
        <v>0</v>
      </c>
      <c r="R1061" s="387">
        <v>0</v>
      </c>
      <c r="S1061" s="1174">
        <f>Locations[[#This Row],[Ind_Returnees]]+Locations[[#This Row],[Ind_Refugees]]+Locations[[#This Row],[Ind_IDPs]]</f>
        <v>0</v>
      </c>
    </row>
    <row r="1062" spans="1:19" x14ac:dyDescent="0.3">
      <c r="A1062" s="577" t="s">
        <v>533</v>
      </c>
      <c r="B1062" s="1430" t="s">
        <v>3449</v>
      </c>
      <c r="C1062" s="577" t="s">
        <v>534</v>
      </c>
      <c r="D1062" s="577" t="s">
        <v>34</v>
      </c>
      <c r="E1062" s="577" t="s">
        <v>34</v>
      </c>
      <c r="F1062" s="577" t="s">
        <v>539</v>
      </c>
      <c r="G1062" s="577" t="s">
        <v>187</v>
      </c>
      <c r="H1062" s="577" t="s">
        <v>187</v>
      </c>
      <c r="I1062" s="577" t="s">
        <v>951</v>
      </c>
      <c r="J1062" s="577" t="s">
        <v>2556</v>
      </c>
      <c r="K1062" s="577" t="s">
        <v>3266</v>
      </c>
      <c r="L1062" s="577"/>
      <c r="M1062" s="387">
        <v>315</v>
      </c>
      <c r="N1062" s="387">
        <v>2608</v>
      </c>
      <c r="O1062" s="387">
        <v>0</v>
      </c>
      <c r="P1062" s="387">
        <v>0</v>
      </c>
      <c r="Q1062" s="387">
        <v>0</v>
      </c>
      <c r="R1062" s="387">
        <v>0</v>
      </c>
      <c r="S1062" s="1174">
        <f>Locations[[#This Row],[Ind_Returnees]]+Locations[[#This Row],[Ind_Refugees]]+Locations[[#This Row],[Ind_IDPs]]</f>
        <v>2608</v>
      </c>
    </row>
    <row r="1063" spans="1:19" x14ac:dyDescent="0.3">
      <c r="A1063" s="577" t="s">
        <v>533</v>
      </c>
      <c r="B1063" s="1430" t="s">
        <v>3449</v>
      </c>
      <c r="C1063" s="577" t="s">
        <v>534</v>
      </c>
      <c r="D1063" s="577" t="s">
        <v>34</v>
      </c>
      <c r="E1063" s="577" t="s">
        <v>34</v>
      </c>
      <c r="F1063" s="577" t="s">
        <v>539</v>
      </c>
      <c r="G1063" s="1144" t="s">
        <v>187</v>
      </c>
      <c r="H1063" s="1144" t="s">
        <v>187</v>
      </c>
      <c r="I1063" s="577" t="s">
        <v>951</v>
      </c>
      <c r="J1063" s="577" t="s">
        <v>1593</v>
      </c>
      <c r="K1063" s="577" t="s">
        <v>3267</v>
      </c>
      <c r="L1063" s="577"/>
      <c r="M1063" s="387">
        <v>693</v>
      </c>
      <c r="N1063" s="387">
        <v>5709</v>
      </c>
      <c r="O1063" s="387">
        <v>0</v>
      </c>
      <c r="P1063" s="387">
        <v>0</v>
      </c>
      <c r="Q1063" s="387">
        <v>0</v>
      </c>
      <c r="R1063" s="387">
        <v>0</v>
      </c>
      <c r="S1063" s="1174">
        <f>Locations[[#This Row],[Ind_Returnees]]+Locations[[#This Row],[Ind_Refugees]]+Locations[[#This Row],[Ind_IDPs]]</f>
        <v>5709</v>
      </c>
    </row>
    <row r="1064" spans="1:19" x14ac:dyDescent="0.3">
      <c r="A1064" s="577" t="s">
        <v>533</v>
      </c>
      <c r="B1064" s="1430" t="s">
        <v>3449</v>
      </c>
      <c r="C1064" s="577" t="s">
        <v>534</v>
      </c>
      <c r="D1064" s="577" t="s">
        <v>32</v>
      </c>
      <c r="E1064" s="577" t="s">
        <v>32</v>
      </c>
      <c r="F1064" s="577" t="s">
        <v>542</v>
      </c>
      <c r="G1064" s="1090" t="s">
        <v>176</v>
      </c>
      <c r="H1064" s="1090" t="s">
        <v>176</v>
      </c>
      <c r="I1064" s="577" t="s">
        <v>772</v>
      </c>
      <c r="J1064" s="577" t="s">
        <v>1359</v>
      </c>
      <c r="K1064" s="577" t="s">
        <v>1360</v>
      </c>
      <c r="L1064" s="577"/>
      <c r="M1064" s="387">
        <v>45</v>
      </c>
      <c r="N1064" s="387">
        <v>290</v>
      </c>
      <c r="O1064" s="387">
        <v>0</v>
      </c>
      <c r="P1064" s="387">
        <v>0</v>
      </c>
      <c r="Q1064" s="387">
        <v>0</v>
      </c>
      <c r="R1064" s="387">
        <v>0</v>
      </c>
      <c r="S1064" s="1174">
        <f>Locations[[#This Row],[Ind_Returnees]]+Locations[[#This Row],[Ind_Refugees]]+Locations[[#This Row],[Ind_IDPs]]</f>
        <v>290</v>
      </c>
    </row>
    <row r="1065" spans="1:19" x14ac:dyDescent="0.3">
      <c r="A1065" s="577" t="s">
        <v>533</v>
      </c>
      <c r="B1065" s="1430" t="s">
        <v>3449</v>
      </c>
      <c r="C1065" s="577" t="s">
        <v>534</v>
      </c>
      <c r="D1065" s="577" t="s">
        <v>31</v>
      </c>
      <c r="E1065" s="577" t="s">
        <v>31</v>
      </c>
      <c r="F1065" s="577" t="s">
        <v>549</v>
      </c>
      <c r="G1065" s="577" t="s">
        <v>169</v>
      </c>
      <c r="H1065" s="577" t="s">
        <v>169</v>
      </c>
      <c r="I1065" s="577" t="s">
        <v>673</v>
      </c>
      <c r="J1065" s="577" t="s">
        <v>1503</v>
      </c>
      <c r="K1065" s="577" t="s">
        <v>3268</v>
      </c>
      <c r="L1065" s="577"/>
      <c r="M1065" s="387">
        <v>0</v>
      </c>
      <c r="N1065" s="387">
        <v>0</v>
      </c>
      <c r="O1065" s="387">
        <v>0</v>
      </c>
      <c r="P1065" s="387">
        <v>0</v>
      </c>
      <c r="Q1065" s="387">
        <v>0</v>
      </c>
      <c r="R1065" s="387">
        <v>0</v>
      </c>
      <c r="S1065" s="1174">
        <f>Locations[[#This Row],[Ind_Returnees]]+Locations[[#This Row],[Ind_Refugees]]+Locations[[#This Row],[Ind_IDPs]]</f>
        <v>0</v>
      </c>
    </row>
    <row r="1066" spans="1:19" x14ac:dyDescent="0.3">
      <c r="A1066" s="577" t="s">
        <v>533</v>
      </c>
      <c r="B1066" s="1430" t="s">
        <v>3449</v>
      </c>
      <c r="C1066" s="577" t="s">
        <v>534</v>
      </c>
      <c r="D1066" s="577" t="s">
        <v>30</v>
      </c>
      <c r="E1066" s="577" t="s">
        <v>3522</v>
      </c>
      <c r="F1066" s="577" t="s">
        <v>535</v>
      </c>
      <c r="G1066" s="577" t="s">
        <v>162</v>
      </c>
      <c r="H1066" s="577" t="s">
        <v>3529</v>
      </c>
      <c r="I1066" s="577" t="s">
        <v>536</v>
      </c>
      <c r="J1066" s="577" t="s">
        <v>730</v>
      </c>
      <c r="K1066" s="577" t="s">
        <v>3269</v>
      </c>
      <c r="L1066" s="577"/>
      <c r="M1066" s="387">
        <v>20</v>
      </c>
      <c r="N1066" s="387">
        <v>99</v>
      </c>
      <c r="O1066" s="387">
        <v>0</v>
      </c>
      <c r="P1066" s="387">
        <v>0</v>
      </c>
      <c r="Q1066" s="387">
        <v>0</v>
      </c>
      <c r="R1066" s="387">
        <v>0</v>
      </c>
      <c r="S1066" s="1174">
        <f>Locations[[#This Row],[Ind_Returnees]]+Locations[[#This Row],[Ind_Refugees]]+Locations[[#This Row],[Ind_IDPs]]</f>
        <v>99</v>
      </c>
    </row>
    <row r="1067" spans="1:19" x14ac:dyDescent="0.3">
      <c r="A1067" s="577" t="s">
        <v>533</v>
      </c>
      <c r="B1067" s="1430" t="s">
        <v>3449</v>
      </c>
      <c r="C1067" s="577" t="s">
        <v>534</v>
      </c>
      <c r="D1067" s="577" t="s">
        <v>30</v>
      </c>
      <c r="E1067" s="577" t="s">
        <v>3522</v>
      </c>
      <c r="F1067" s="577" t="s">
        <v>535</v>
      </c>
      <c r="G1067" s="1090" t="s">
        <v>162</v>
      </c>
      <c r="H1067" s="1090" t="s">
        <v>3529</v>
      </c>
      <c r="I1067" s="577" t="s">
        <v>536</v>
      </c>
      <c r="J1067" s="577" t="s">
        <v>552</v>
      </c>
      <c r="K1067" s="577" t="s">
        <v>3270</v>
      </c>
      <c r="L1067" s="577"/>
      <c r="M1067" s="387">
        <v>13</v>
      </c>
      <c r="N1067" s="387">
        <v>77</v>
      </c>
      <c r="O1067" s="387">
        <v>0</v>
      </c>
      <c r="P1067" s="387">
        <v>0</v>
      </c>
      <c r="Q1067" s="387">
        <v>0</v>
      </c>
      <c r="R1067" s="387">
        <v>0</v>
      </c>
      <c r="S1067" s="1174">
        <f>Locations[[#This Row],[Ind_Returnees]]+Locations[[#This Row],[Ind_Refugees]]+Locations[[#This Row],[Ind_IDPs]]</f>
        <v>77</v>
      </c>
    </row>
    <row r="1068" spans="1:19" x14ac:dyDescent="0.3">
      <c r="A1068" s="577" t="s">
        <v>533</v>
      </c>
      <c r="B1068" s="1430" t="s">
        <v>3449</v>
      </c>
      <c r="C1068" s="577" t="s">
        <v>534</v>
      </c>
      <c r="D1068" s="577" t="s">
        <v>33</v>
      </c>
      <c r="E1068" s="577" t="s">
        <v>33</v>
      </c>
      <c r="F1068" s="577" t="s">
        <v>561</v>
      </c>
      <c r="G1068" s="577" t="s">
        <v>185</v>
      </c>
      <c r="H1068" s="577" t="s">
        <v>185</v>
      </c>
      <c r="I1068" s="577" t="s">
        <v>656</v>
      </c>
      <c r="J1068" s="577" t="s">
        <v>657</v>
      </c>
      <c r="K1068" s="577" t="s">
        <v>658</v>
      </c>
      <c r="L1068" s="577"/>
      <c r="M1068" s="387">
        <v>94</v>
      </c>
      <c r="N1068" s="387">
        <v>2328</v>
      </c>
      <c r="O1068" s="387">
        <v>0</v>
      </c>
      <c r="P1068" s="387">
        <v>0</v>
      </c>
      <c r="Q1068" s="387">
        <v>0</v>
      </c>
      <c r="R1068" s="387">
        <v>0</v>
      </c>
      <c r="S1068" s="1174">
        <f>Locations[[#This Row],[Ind_Returnees]]+Locations[[#This Row],[Ind_Refugees]]+Locations[[#This Row],[Ind_IDPs]]</f>
        <v>2328</v>
      </c>
    </row>
    <row r="1069" spans="1:19" x14ac:dyDescent="0.3">
      <c r="A1069" s="577" t="s">
        <v>533</v>
      </c>
      <c r="B1069" s="1430" t="s">
        <v>3449</v>
      </c>
      <c r="C1069" s="577" t="s">
        <v>534</v>
      </c>
      <c r="D1069" s="577" t="s">
        <v>34</v>
      </c>
      <c r="E1069" s="577" t="s">
        <v>34</v>
      </c>
      <c r="F1069" s="577" t="s">
        <v>539</v>
      </c>
      <c r="G1069" s="577" t="s">
        <v>188</v>
      </c>
      <c r="H1069" s="577" t="s">
        <v>188</v>
      </c>
      <c r="I1069" s="577" t="s">
        <v>546</v>
      </c>
      <c r="J1069" s="577" t="s">
        <v>1679</v>
      </c>
      <c r="K1069" s="577" t="s">
        <v>3271</v>
      </c>
      <c r="L1069" s="577"/>
      <c r="M1069" s="387">
        <v>82</v>
      </c>
      <c r="N1069" s="387">
        <v>588</v>
      </c>
      <c r="O1069" s="387">
        <v>0</v>
      </c>
      <c r="P1069" s="387">
        <v>0</v>
      </c>
      <c r="Q1069" s="387">
        <v>0</v>
      </c>
      <c r="R1069" s="387">
        <v>0</v>
      </c>
      <c r="S1069" s="1174">
        <f>Locations[[#This Row],[Ind_Returnees]]+Locations[[#This Row],[Ind_Refugees]]+Locations[[#This Row],[Ind_IDPs]]</f>
        <v>588</v>
      </c>
    </row>
    <row r="1070" spans="1:19" x14ac:dyDescent="0.3">
      <c r="A1070" s="577" t="s">
        <v>533</v>
      </c>
      <c r="B1070" s="1430" t="s">
        <v>3449</v>
      </c>
      <c r="C1070" s="577" t="s">
        <v>534</v>
      </c>
      <c r="D1070" s="577" t="s">
        <v>30</v>
      </c>
      <c r="E1070" s="577" t="s">
        <v>3522</v>
      </c>
      <c r="F1070" s="577" t="s">
        <v>535</v>
      </c>
      <c r="G1070" s="577" t="s">
        <v>156</v>
      </c>
      <c r="H1070" s="577" t="s">
        <v>156</v>
      </c>
      <c r="I1070" s="577" t="s">
        <v>697</v>
      </c>
      <c r="J1070" s="577" t="s">
        <v>2918</v>
      </c>
      <c r="K1070" s="577" t="s">
        <v>3272</v>
      </c>
      <c r="L1070" s="577"/>
      <c r="M1070" s="387">
        <v>57</v>
      </c>
      <c r="N1070" s="387">
        <v>358</v>
      </c>
      <c r="O1070" s="387">
        <v>0</v>
      </c>
      <c r="P1070" s="387">
        <v>0</v>
      </c>
      <c r="Q1070" s="387">
        <v>0</v>
      </c>
      <c r="R1070" s="387">
        <v>0</v>
      </c>
      <c r="S1070" s="1174">
        <f>Locations[[#This Row],[Ind_Returnees]]+Locations[[#This Row],[Ind_Refugees]]+Locations[[#This Row],[Ind_IDPs]]</f>
        <v>358</v>
      </c>
    </row>
    <row r="1071" spans="1:19" x14ac:dyDescent="0.3">
      <c r="A1071" s="577" t="s">
        <v>533</v>
      </c>
      <c r="B1071" s="1430" t="s">
        <v>3449</v>
      </c>
      <c r="C1071" s="577" t="s">
        <v>534</v>
      </c>
      <c r="D1071" s="577" t="s">
        <v>30</v>
      </c>
      <c r="E1071" s="577" t="s">
        <v>3522</v>
      </c>
      <c r="F1071" s="577" t="s">
        <v>535</v>
      </c>
      <c r="G1071" s="577" t="s">
        <v>162</v>
      </c>
      <c r="H1071" s="577" t="s">
        <v>3529</v>
      </c>
      <c r="I1071" s="577" t="s">
        <v>536</v>
      </c>
      <c r="J1071" s="577" t="s">
        <v>678</v>
      </c>
      <c r="K1071" s="577" t="s">
        <v>3273</v>
      </c>
      <c r="L1071" s="577"/>
      <c r="M1071" s="387">
        <v>30</v>
      </c>
      <c r="N1071" s="387">
        <v>254</v>
      </c>
      <c r="O1071" s="387">
        <v>0</v>
      </c>
      <c r="P1071" s="387">
        <v>0</v>
      </c>
      <c r="Q1071" s="387">
        <v>0</v>
      </c>
      <c r="R1071" s="387">
        <v>0</v>
      </c>
      <c r="S1071" s="1174">
        <f>Locations[[#This Row],[Ind_Returnees]]+Locations[[#This Row],[Ind_Refugees]]+Locations[[#This Row],[Ind_IDPs]]</f>
        <v>254</v>
      </c>
    </row>
    <row r="1072" spans="1:19" x14ac:dyDescent="0.3">
      <c r="A1072" s="577" t="s">
        <v>533</v>
      </c>
      <c r="B1072" s="1430" t="s">
        <v>3449</v>
      </c>
      <c r="C1072" s="577" t="s">
        <v>534</v>
      </c>
      <c r="D1072" s="577" t="s">
        <v>34</v>
      </c>
      <c r="E1072" s="577" t="s">
        <v>34</v>
      </c>
      <c r="F1072" s="577" t="s">
        <v>539</v>
      </c>
      <c r="G1072" s="577" t="s">
        <v>188</v>
      </c>
      <c r="H1072" s="577" t="s">
        <v>188</v>
      </c>
      <c r="I1072" s="577" t="s">
        <v>546</v>
      </c>
      <c r="J1072" s="577" t="s">
        <v>1173</v>
      </c>
      <c r="K1072" s="577" t="s">
        <v>3274</v>
      </c>
      <c r="L1072" s="577"/>
      <c r="M1072" s="387">
        <v>90</v>
      </c>
      <c r="N1072" s="387">
        <v>487</v>
      </c>
      <c r="O1072" s="387">
        <v>0</v>
      </c>
      <c r="P1072" s="387">
        <v>0</v>
      </c>
      <c r="Q1072" s="387">
        <v>0</v>
      </c>
      <c r="R1072" s="387">
        <v>0</v>
      </c>
      <c r="S1072" s="1174">
        <f>Locations[[#This Row],[Ind_Returnees]]+Locations[[#This Row],[Ind_Refugees]]+Locations[[#This Row],[Ind_IDPs]]</f>
        <v>487</v>
      </c>
    </row>
    <row r="1073" spans="1:19" x14ac:dyDescent="0.3">
      <c r="A1073" s="577" t="s">
        <v>533</v>
      </c>
      <c r="B1073" s="1430" t="s">
        <v>3449</v>
      </c>
      <c r="C1073" s="577" t="s">
        <v>534</v>
      </c>
      <c r="D1073" s="577" t="s">
        <v>34</v>
      </c>
      <c r="E1073" s="577" t="s">
        <v>34</v>
      </c>
      <c r="F1073" s="577" t="s">
        <v>539</v>
      </c>
      <c r="G1073" s="577" t="s">
        <v>188</v>
      </c>
      <c r="H1073" s="577" t="s">
        <v>188</v>
      </c>
      <c r="I1073" s="577" t="s">
        <v>546</v>
      </c>
      <c r="J1073" s="577" t="s">
        <v>1381</v>
      </c>
      <c r="K1073" s="577" t="s">
        <v>3275</v>
      </c>
      <c r="L1073" s="577"/>
      <c r="M1073" s="387">
        <v>115</v>
      </c>
      <c r="N1073" s="387">
        <v>579</v>
      </c>
      <c r="O1073" s="387">
        <v>0</v>
      </c>
      <c r="P1073" s="387">
        <v>0</v>
      </c>
      <c r="Q1073" s="387">
        <v>0</v>
      </c>
      <c r="R1073" s="387">
        <v>0</v>
      </c>
      <c r="S1073" s="1174">
        <f>Locations[[#This Row],[Ind_Returnees]]+Locations[[#This Row],[Ind_Refugees]]+Locations[[#This Row],[Ind_IDPs]]</f>
        <v>579</v>
      </c>
    </row>
    <row r="1074" spans="1:19" x14ac:dyDescent="0.3">
      <c r="A1074" s="577" t="s">
        <v>533</v>
      </c>
      <c r="B1074" s="1430" t="s">
        <v>3449</v>
      </c>
      <c r="C1074" s="577" t="s">
        <v>534</v>
      </c>
      <c r="D1074" s="577" t="s">
        <v>31</v>
      </c>
      <c r="E1074" s="577" t="s">
        <v>31</v>
      </c>
      <c r="F1074" s="577" t="s">
        <v>549</v>
      </c>
      <c r="G1074" s="577" t="s">
        <v>172</v>
      </c>
      <c r="H1074" s="577" t="s">
        <v>172</v>
      </c>
      <c r="I1074" s="577" t="s">
        <v>706</v>
      </c>
      <c r="J1074" s="577" t="s">
        <v>1175</v>
      </c>
      <c r="K1074" s="577" t="s">
        <v>3276</v>
      </c>
      <c r="L1074" s="577"/>
      <c r="M1074" s="387">
        <v>25</v>
      </c>
      <c r="N1074" s="387">
        <v>110</v>
      </c>
      <c r="O1074" s="387">
        <v>17</v>
      </c>
      <c r="P1074" s="387">
        <v>85</v>
      </c>
      <c r="Q1074" s="387">
        <v>0</v>
      </c>
      <c r="R1074" s="387">
        <v>0</v>
      </c>
      <c r="S1074" s="1174">
        <f>Locations[[#This Row],[Ind_Returnees]]+Locations[[#This Row],[Ind_Refugees]]+Locations[[#This Row],[Ind_IDPs]]</f>
        <v>195</v>
      </c>
    </row>
    <row r="1075" spans="1:19" x14ac:dyDescent="0.3">
      <c r="A1075" s="577" t="s">
        <v>533</v>
      </c>
      <c r="B1075" s="1430" t="s">
        <v>3449</v>
      </c>
      <c r="C1075" s="577" t="s">
        <v>534</v>
      </c>
      <c r="D1075" s="577" t="s">
        <v>31</v>
      </c>
      <c r="E1075" s="577" t="s">
        <v>31</v>
      </c>
      <c r="F1075" s="577" t="s">
        <v>549</v>
      </c>
      <c r="G1075" s="577" t="s">
        <v>169</v>
      </c>
      <c r="H1075" s="577" t="s">
        <v>169</v>
      </c>
      <c r="I1075" s="577" t="s">
        <v>673</v>
      </c>
      <c r="J1075" s="577" t="s">
        <v>2922</v>
      </c>
      <c r="K1075" s="577" t="s">
        <v>3277</v>
      </c>
      <c r="L1075" s="577"/>
      <c r="M1075" s="387">
        <v>0</v>
      </c>
      <c r="N1075" s="387">
        <v>0</v>
      </c>
      <c r="O1075" s="387">
        <v>0</v>
      </c>
      <c r="P1075" s="387">
        <v>0</v>
      </c>
      <c r="Q1075" s="387">
        <v>0</v>
      </c>
      <c r="R1075" s="387">
        <v>0</v>
      </c>
      <c r="S1075" s="1174">
        <f>Locations[[#This Row],[Ind_Returnees]]+Locations[[#This Row],[Ind_Refugees]]+Locations[[#This Row],[Ind_IDPs]]</f>
        <v>0</v>
      </c>
    </row>
    <row r="1076" spans="1:19" x14ac:dyDescent="0.3">
      <c r="A1076" s="577" t="s">
        <v>533</v>
      </c>
      <c r="B1076" s="1430" t="s">
        <v>3449</v>
      </c>
      <c r="C1076" s="577" t="s">
        <v>534</v>
      </c>
      <c r="D1076" s="577" t="s">
        <v>32</v>
      </c>
      <c r="E1076" s="577" t="s">
        <v>32</v>
      </c>
      <c r="F1076" s="577" t="s">
        <v>542</v>
      </c>
      <c r="G1076" s="577" t="s">
        <v>176</v>
      </c>
      <c r="H1076" s="577" t="s">
        <v>176</v>
      </c>
      <c r="I1076" s="577" t="s">
        <v>772</v>
      </c>
      <c r="J1076" s="577" t="s">
        <v>1208</v>
      </c>
      <c r="K1076" s="577" t="s">
        <v>1209</v>
      </c>
      <c r="L1076" s="577"/>
      <c r="M1076" s="387">
        <v>252</v>
      </c>
      <c r="N1076" s="387">
        <v>1740</v>
      </c>
      <c r="O1076" s="387">
        <v>0</v>
      </c>
      <c r="P1076" s="387">
        <v>0</v>
      </c>
      <c r="Q1076" s="387">
        <v>0</v>
      </c>
      <c r="R1076" s="387">
        <v>0</v>
      </c>
      <c r="S1076" s="1174">
        <f>Locations[[#This Row],[Ind_Returnees]]+Locations[[#This Row],[Ind_Refugees]]+Locations[[#This Row],[Ind_IDPs]]</f>
        <v>1740</v>
      </c>
    </row>
    <row r="1077" spans="1:19" x14ac:dyDescent="0.3">
      <c r="A1077" s="577" t="s">
        <v>533</v>
      </c>
      <c r="B1077" s="1430" t="s">
        <v>3449</v>
      </c>
      <c r="C1077" s="577" t="s">
        <v>534</v>
      </c>
      <c r="D1077" s="577" t="s">
        <v>31</v>
      </c>
      <c r="E1077" s="577" t="s">
        <v>31</v>
      </c>
      <c r="F1077" s="577" t="s">
        <v>549</v>
      </c>
      <c r="G1077" s="577" t="s">
        <v>172</v>
      </c>
      <c r="H1077" s="577" t="s">
        <v>172</v>
      </c>
      <c r="I1077" s="577" t="s">
        <v>706</v>
      </c>
      <c r="J1077" s="577" t="s">
        <v>2702</v>
      </c>
      <c r="K1077" s="577" t="s">
        <v>1972</v>
      </c>
      <c r="L1077" s="577"/>
      <c r="M1077" s="387">
        <v>20</v>
      </c>
      <c r="N1077" s="387">
        <v>103</v>
      </c>
      <c r="O1077" s="387">
        <v>0</v>
      </c>
      <c r="P1077" s="387">
        <v>0</v>
      </c>
      <c r="Q1077" s="387">
        <v>0</v>
      </c>
      <c r="R1077" s="387">
        <v>0</v>
      </c>
      <c r="S1077" s="1174">
        <f>Locations[[#This Row],[Ind_Returnees]]+Locations[[#This Row],[Ind_Refugees]]+Locations[[#This Row],[Ind_IDPs]]</f>
        <v>103</v>
      </c>
    </row>
    <row r="1078" spans="1:19" x14ac:dyDescent="0.3">
      <c r="A1078" s="577" t="s">
        <v>533</v>
      </c>
      <c r="B1078" s="1430" t="s">
        <v>3449</v>
      </c>
      <c r="C1078" s="577" t="s">
        <v>534</v>
      </c>
      <c r="D1078" s="577" t="s">
        <v>31</v>
      </c>
      <c r="E1078" s="577" t="s">
        <v>31</v>
      </c>
      <c r="F1078" s="577" t="s">
        <v>549</v>
      </c>
      <c r="G1078" s="577" t="s">
        <v>172</v>
      </c>
      <c r="H1078" s="577" t="s">
        <v>172</v>
      </c>
      <c r="I1078" s="577" t="s">
        <v>706</v>
      </c>
      <c r="J1078" s="577" t="s">
        <v>3009</v>
      </c>
      <c r="K1078" s="577" t="s">
        <v>1308</v>
      </c>
      <c r="L1078" s="577"/>
      <c r="M1078" s="387">
        <v>55</v>
      </c>
      <c r="N1078" s="387">
        <v>461</v>
      </c>
      <c r="O1078" s="387">
        <v>13</v>
      </c>
      <c r="P1078" s="387">
        <v>60</v>
      </c>
      <c r="Q1078" s="387">
        <v>0</v>
      </c>
      <c r="R1078" s="387">
        <v>0</v>
      </c>
      <c r="S1078" s="1174">
        <f>Locations[[#This Row],[Ind_Returnees]]+Locations[[#This Row],[Ind_Refugees]]+Locations[[#This Row],[Ind_IDPs]]</f>
        <v>521</v>
      </c>
    </row>
    <row r="1079" spans="1:19" x14ac:dyDescent="0.3">
      <c r="A1079" s="577" t="s">
        <v>533</v>
      </c>
      <c r="B1079" s="1430" t="s">
        <v>3449</v>
      </c>
      <c r="C1079" s="577" t="s">
        <v>534</v>
      </c>
      <c r="D1079" s="577" t="s">
        <v>31</v>
      </c>
      <c r="E1079" s="577" t="s">
        <v>31</v>
      </c>
      <c r="F1079" s="577" t="s">
        <v>549</v>
      </c>
      <c r="G1079" s="577" t="s">
        <v>171</v>
      </c>
      <c r="H1079" s="577" t="s">
        <v>171</v>
      </c>
      <c r="I1079" s="577" t="s">
        <v>634</v>
      </c>
      <c r="J1079" s="577" t="s">
        <v>2623</v>
      </c>
      <c r="K1079" s="577" t="s">
        <v>3278</v>
      </c>
      <c r="L1079" s="577"/>
      <c r="M1079" s="387">
        <v>10</v>
      </c>
      <c r="N1079" s="387">
        <v>20</v>
      </c>
      <c r="O1079" s="387">
        <v>0</v>
      </c>
      <c r="P1079" s="387">
        <v>0</v>
      </c>
      <c r="Q1079" s="387">
        <v>0</v>
      </c>
      <c r="R1079" s="387">
        <v>0</v>
      </c>
      <c r="S1079" s="1174">
        <f>Locations[[#This Row],[Ind_Returnees]]+Locations[[#This Row],[Ind_Refugees]]+Locations[[#This Row],[Ind_IDPs]]</f>
        <v>20</v>
      </c>
    </row>
    <row r="1080" spans="1:19" x14ac:dyDescent="0.3">
      <c r="A1080" s="577" t="s">
        <v>533</v>
      </c>
      <c r="B1080" s="1430" t="s">
        <v>3449</v>
      </c>
      <c r="C1080" s="577" t="s">
        <v>534</v>
      </c>
      <c r="D1080" s="577" t="s">
        <v>34</v>
      </c>
      <c r="E1080" s="577" t="s">
        <v>34</v>
      </c>
      <c r="F1080" s="577" t="s">
        <v>539</v>
      </c>
      <c r="G1080" s="577" t="s">
        <v>189</v>
      </c>
      <c r="H1080" s="577" t="s">
        <v>189</v>
      </c>
      <c r="I1080" s="577" t="s">
        <v>590</v>
      </c>
      <c r="J1080" s="577" t="s">
        <v>3010</v>
      </c>
      <c r="K1080" s="577" t="s">
        <v>591</v>
      </c>
      <c r="L1080" s="577"/>
      <c r="M1080" s="387">
        <v>30</v>
      </c>
      <c r="N1080" s="387">
        <v>243</v>
      </c>
      <c r="O1080" s="387">
        <v>0</v>
      </c>
      <c r="P1080" s="387">
        <v>0</v>
      </c>
      <c r="Q1080" s="387">
        <v>0</v>
      </c>
      <c r="R1080" s="387">
        <v>0</v>
      </c>
      <c r="S1080" s="1174">
        <f>Locations[[#This Row],[Ind_Returnees]]+Locations[[#This Row],[Ind_Refugees]]+Locations[[#This Row],[Ind_IDPs]]</f>
        <v>243</v>
      </c>
    </row>
    <row r="1081" spans="1:19" x14ac:dyDescent="0.3">
      <c r="A1081" s="577" t="s">
        <v>533</v>
      </c>
      <c r="B1081" s="1430" t="s">
        <v>3449</v>
      </c>
      <c r="C1081" s="577" t="s">
        <v>534</v>
      </c>
      <c r="D1081" s="577" t="s">
        <v>31</v>
      </c>
      <c r="E1081" s="577" t="s">
        <v>31</v>
      </c>
      <c r="F1081" s="577" t="s">
        <v>549</v>
      </c>
      <c r="G1081" s="577" t="s">
        <v>171</v>
      </c>
      <c r="H1081" s="577" t="s">
        <v>171</v>
      </c>
      <c r="I1081" s="577" t="s">
        <v>634</v>
      </c>
      <c r="J1081" s="577" t="s">
        <v>2928</v>
      </c>
      <c r="K1081" s="577" t="s">
        <v>3279</v>
      </c>
      <c r="L1081" s="577"/>
      <c r="M1081" s="387">
        <v>87</v>
      </c>
      <c r="N1081" s="387">
        <v>1048</v>
      </c>
      <c r="O1081" s="387">
        <v>37</v>
      </c>
      <c r="P1081" s="387">
        <v>116</v>
      </c>
      <c r="Q1081" s="387">
        <v>0</v>
      </c>
      <c r="R1081" s="387">
        <v>0</v>
      </c>
      <c r="S1081" s="1174">
        <f>Locations[[#This Row],[Ind_Returnees]]+Locations[[#This Row],[Ind_Refugees]]+Locations[[#This Row],[Ind_IDPs]]</f>
        <v>1164</v>
      </c>
    </row>
    <row r="1082" spans="1:19" x14ac:dyDescent="0.3">
      <c r="A1082" s="577" t="s">
        <v>533</v>
      </c>
      <c r="B1082" s="1430" t="s">
        <v>3449</v>
      </c>
      <c r="C1082" s="577" t="s">
        <v>534</v>
      </c>
      <c r="D1082" s="577" t="s">
        <v>32</v>
      </c>
      <c r="E1082" s="577" t="s">
        <v>32</v>
      </c>
      <c r="F1082" s="577" t="s">
        <v>542</v>
      </c>
      <c r="G1082" s="577" t="s">
        <v>176</v>
      </c>
      <c r="H1082" s="577" t="s">
        <v>176</v>
      </c>
      <c r="I1082" s="577" t="s">
        <v>772</v>
      </c>
      <c r="J1082" s="577" t="s">
        <v>1062</v>
      </c>
      <c r="K1082" s="577" t="s">
        <v>1063</v>
      </c>
      <c r="L1082" s="577"/>
      <c r="M1082" s="387">
        <v>152</v>
      </c>
      <c r="N1082" s="387">
        <v>785</v>
      </c>
      <c r="O1082" s="387">
        <v>0</v>
      </c>
      <c r="P1082" s="387">
        <v>0</v>
      </c>
      <c r="Q1082" s="387">
        <v>0</v>
      </c>
      <c r="R1082" s="387">
        <v>0</v>
      </c>
      <c r="S1082" s="1174">
        <f>Locations[[#This Row],[Ind_Returnees]]+Locations[[#This Row],[Ind_Refugees]]+Locations[[#This Row],[Ind_IDPs]]</f>
        <v>785</v>
      </c>
    </row>
    <row r="1083" spans="1:19" x14ac:dyDescent="0.3">
      <c r="A1083" s="577" t="s">
        <v>533</v>
      </c>
      <c r="B1083" s="1430" t="s">
        <v>3449</v>
      </c>
      <c r="C1083" s="577" t="s">
        <v>534</v>
      </c>
      <c r="D1083" s="577" t="s">
        <v>34</v>
      </c>
      <c r="E1083" s="577" t="s">
        <v>34</v>
      </c>
      <c r="F1083" s="577" t="s">
        <v>539</v>
      </c>
      <c r="G1083" s="577" t="s">
        <v>188</v>
      </c>
      <c r="H1083" s="577" t="s">
        <v>188</v>
      </c>
      <c r="I1083" s="577" t="s">
        <v>546</v>
      </c>
      <c r="J1083" s="577" t="s">
        <v>780</v>
      </c>
      <c r="K1083" s="577" t="s">
        <v>1380</v>
      </c>
      <c r="L1083" s="577"/>
      <c r="M1083" s="387">
        <v>140</v>
      </c>
      <c r="N1083" s="387">
        <v>1447</v>
      </c>
      <c r="O1083" s="387">
        <v>0</v>
      </c>
      <c r="P1083" s="387">
        <v>0</v>
      </c>
      <c r="Q1083" s="387">
        <v>0</v>
      </c>
      <c r="R1083" s="387">
        <v>0</v>
      </c>
      <c r="S1083" s="1174">
        <f>Locations[[#This Row],[Ind_Returnees]]+Locations[[#This Row],[Ind_Refugees]]+Locations[[#This Row],[Ind_IDPs]]</f>
        <v>1447</v>
      </c>
    </row>
    <row r="1084" spans="1:19" x14ac:dyDescent="0.3">
      <c r="A1084" s="577" t="s">
        <v>533</v>
      </c>
      <c r="B1084" s="1430" t="s">
        <v>3449</v>
      </c>
      <c r="C1084" s="577" t="s">
        <v>534</v>
      </c>
      <c r="D1084" s="577" t="s">
        <v>32</v>
      </c>
      <c r="E1084" s="577" t="s">
        <v>32</v>
      </c>
      <c r="F1084" s="577" t="s">
        <v>542</v>
      </c>
      <c r="G1084" s="577" t="s">
        <v>178</v>
      </c>
      <c r="H1084" s="577" t="s">
        <v>178</v>
      </c>
      <c r="I1084" s="577" t="s">
        <v>543</v>
      </c>
      <c r="J1084" s="577" t="s">
        <v>1735</v>
      </c>
      <c r="K1084" s="577" t="s">
        <v>3280</v>
      </c>
      <c r="L1084" s="577"/>
      <c r="M1084" s="387">
        <v>46</v>
      </c>
      <c r="N1084" s="387">
        <v>351</v>
      </c>
      <c r="O1084" s="387">
        <v>0</v>
      </c>
      <c r="P1084" s="387">
        <v>0</v>
      </c>
      <c r="Q1084" s="387">
        <v>0</v>
      </c>
      <c r="R1084" s="387">
        <v>0</v>
      </c>
      <c r="S1084" s="1174">
        <f>Locations[[#This Row],[Ind_Returnees]]+Locations[[#This Row],[Ind_Refugees]]+Locations[[#This Row],[Ind_IDPs]]</f>
        <v>351</v>
      </c>
    </row>
    <row r="1085" spans="1:19" x14ac:dyDescent="0.3">
      <c r="A1085" s="577" t="s">
        <v>533</v>
      </c>
      <c r="B1085" s="1430" t="s">
        <v>3449</v>
      </c>
      <c r="C1085" s="577" t="s">
        <v>534</v>
      </c>
      <c r="D1085" s="577" t="s">
        <v>31</v>
      </c>
      <c r="E1085" s="577" t="s">
        <v>31</v>
      </c>
      <c r="F1085" s="577" t="s">
        <v>549</v>
      </c>
      <c r="G1085" s="577" t="s">
        <v>164</v>
      </c>
      <c r="H1085" s="577" t="s">
        <v>164</v>
      </c>
      <c r="I1085" s="577" t="s">
        <v>748</v>
      </c>
      <c r="J1085" s="577" t="s">
        <v>794</v>
      </c>
      <c r="K1085" s="577" t="s">
        <v>3281</v>
      </c>
      <c r="L1085" s="577"/>
      <c r="M1085" s="387">
        <v>28</v>
      </c>
      <c r="N1085" s="387">
        <v>220</v>
      </c>
      <c r="O1085" s="387">
        <v>0</v>
      </c>
      <c r="P1085" s="387">
        <v>0</v>
      </c>
      <c r="Q1085" s="387">
        <v>0</v>
      </c>
      <c r="R1085" s="387">
        <v>0</v>
      </c>
      <c r="S1085" s="1174">
        <f>Locations[[#This Row],[Ind_Returnees]]+Locations[[#This Row],[Ind_Refugees]]+Locations[[#This Row],[Ind_IDPs]]</f>
        <v>220</v>
      </c>
    </row>
    <row r="1086" spans="1:19" x14ac:dyDescent="0.3">
      <c r="A1086" s="577" t="s">
        <v>533</v>
      </c>
      <c r="B1086" s="1430" t="s">
        <v>3449</v>
      </c>
      <c r="C1086" s="577" t="s">
        <v>534</v>
      </c>
      <c r="D1086" s="577" t="s">
        <v>35</v>
      </c>
      <c r="E1086" s="577" t="s">
        <v>35</v>
      </c>
      <c r="F1086" s="577" t="s">
        <v>567</v>
      </c>
      <c r="G1086" s="577" t="s">
        <v>195</v>
      </c>
      <c r="H1086" s="577" t="s">
        <v>195</v>
      </c>
      <c r="I1086" s="577" t="s">
        <v>733</v>
      </c>
      <c r="J1086" s="577" t="s">
        <v>1417</v>
      </c>
      <c r="K1086" s="577" t="s">
        <v>3282</v>
      </c>
      <c r="L1086" s="577"/>
      <c r="M1086" s="387">
        <v>77</v>
      </c>
      <c r="N1086" s="387">
        <v>518</v>
      </c>
      <c r="O1086" s="387">
        <v>0</v>
      </c>
      <c r="P1086" s="387">
        <v>0</v>
      </c>
      <c r="Q1086" s="387">
        <v>0</v>
      </c>
      <c r="R1086" s="387">
        <v>0</v>
      </c>
      <c r="S1086" s="1174">
        <f>Locations[[#This Row],[Ind_Returnees]]+Locations[[#This Row],[Ind_Refugees]]+Locations[[#This Row],[Ind_IDPs]]</f>
        <v>518</v>
      </c>
    </row>
    <row r="1087" spans="1:19" x14ac:dyDescent="0.3">
      <c r="A1087" s="577" t="s">
        <v>533</v>
      </c>
      <c r="B1087" s="1430" t="s">
        <v>3449</v>
      </c>
      <c r="C1087" s="577" t="s">
        <v>534</v>
      </c>
      <c r="D1087" s="577" t="s">
        <v>34</v>
      </c>
      <c r="E1087" s="577" t="s">
        <v>34</v>
      </c>
      <c r="F1087" s="577" t="s">
        <v>539</v>
      </c>
      <c r="G1087" s="577" t="s">
        <v>188</v>
      </c>
      <c r="H1087" s="577" t="s">
        <v>188</v>
      </c>
      <c r="I1087" s="577" t="s">
        <v>546</v>
      </c>
      <c r="J1087" s="577" t="s">
        <v>1185</v>
      </c>
      <c r="K1087" s="577" t="s">
        <v>3283</v>
      </c>
      <c r="L1087" s="577"/>
      <c r="M1087" s="387">
        <v>125</v>
      </c>
      <c r="N1087" s="387">
        <v>511</v>
      </c>
      <c r="O1087" s="387">
        <v>0</v>
      </c>
      <c r="P1087" s="387">
        <v>0</v>
      </c>
      <c r="Q1087" s="387">
        <v>0</v>
      </c>
      <c r="R1087" s="387">
        <v>0</v>
      </c>
      <c r="S1087" s="1174">
        <f>Locations[[#This Row],[Ind_Returnees]]+Locations[[#This Row],[Ind_Refugees]]+Locations[[#This Row],[Ind_IDPs]]</f>
        <v>511</v>
      </c>
    </row>
    <row r="1088" spans="1:19" x14ac:dyDescent="0.3">
      <c r="A1088" s="577" t="s">
        <v>533</v>
      </c>
      <c r="B1088" s="1430" t="s">
        <v>3449</v>
      </c>
      <c r="C1088" s="577" t="s">
        <v>534</v>
      </c>
      <c r="D1088" s="577" t="s">
        <v>34</v>
      </c>
      <c r="E1088" s="577" t="s">
        <v>34</v>
      </c>
      <c r="F1088" s="577" t="s">
        <v>539</v>
      </c>
      <c r="G1088" s="577" t="s">
        <v>188</v>
      </c>
      <c r="H1088" s="577" t="s">
        <v>188</v>
      </c>
      <c r="I1088" s="577" t="s">
        <v>546</v>
      </c>
      <c r="J1088" s="577" t="s">
        <v>1331</v>
      </c>
      <c r="K1088" s="577" t="s">
        <v>3284</v>
      </c>
      <c r="L1088" s="577"/>
      <c r="M1088" s="387">
        <v>41</v>
      </c>
      <c r="N1088" s="387">
        <v>273</v>
      </c>
      <c r="O1088" s="387">
        <v>0</v>
      </c>
      <c r="P1088" s="387">
        <v>0</v>
      </c>
      <c r="Q1088" s="387">
        <v>0</v>
      </c>
      <c r="R1088" s="387">
        <v>0</v>
      </c>
      <c r="S1088" s="1174">
        <f>Locations[[#This Row],[Ind_Returnees]]+Locations[[#This Row],[Ind_Refugees]]+Locations[[#This Row],[Ind_IDPs]]</f>
        <v>273</v>
      </c>
    </row>
    <row r="1089" spans="1:19" x14ac:dyDescent="0.3">
      <c r="A1089" s="577" t="s">
        <v>533</v>
      </c>
      <c r="B1089" s="1430" t="s">
        <v>3449</v>
      </c>
      <c r="C1089" s="577" t="s">
        <v>534</v>
      </c>
      <c r="D1089" s="577" t="s">
        <v>34</v>
      </c>
      <c r="E1089" s="577" t="s">
        <v>34</v>
      </c>
      <c r="F1089" s="577" t="s">
        <v>539</v>
      </c>
      <c r="G1089" s="577" t="s">
        <v>188</v>
      </c>
      <c r="H1089" s="577" t="s">
        <v>188</v>
      </c>
      <c r="I1089" s="577" t="s">
        <v>546</v>
      </c>
      <c r="J1089" s="577" t="s">
        <v>2955</v>
      </c>
      <c r="K1089" s="577" t="s">
        <v>3285</v>
      </c>
      <c r="L1089" s="577"/>
      <c r="M1089" s="387">
        <v>94</v>
      </c>
      <c r="N1089" s="387">
        <v>335</v>
      </c>
      <c r="O1089" s="387">
        <v>0</v>
      </c>
      <c r="P1089" s="387">
        <v>0</v>
      </c>
      <c r="Q1089" s="387">
        <v>0</v>
      </c>
      <c r="R1089" s="387">
        <v>0</v>
      </c>
      <c r="S1089" s="1174">
        <f>Locations[[#This Row],[Ind_Returnees]]+Locations[[#This Row],[Ind_Refugees]]+Locations[[#This Row],[Ind_IDPs]]</f>
        <v>335</v>
      </c>
    </row>
    <row r="1090" spans="1:19" x14ac:dyDescent="0.3">
      <c r="A1090" s="577" t="s">
        <v>533</v>
      </c>
      <c r="B1090" s="1430" t="s">
        <v>3449</v>
      </c>
      <c r="C1090" s="577" t="s">
        <v>534</v>
      </c>
      <c r="D1090" s="577" t="s">
        <v>34</v>
      </c>
      <c r="E1090" s="577" t="s">
        <v>34</v>
      </c>
      <c r="F1090" s="577" t="s">
        <v>539</v>
      </c>
      <c r="G1090" s="577" t="s">
        <v>188</v>
      </c>
      <c r="H1090" s="577" t="s">
        <v>188</v>
      </c>
      <c r="I1090" s="577" t="s">
        <v>546</v>
      </c>
      <c r="J1090" s="577" t="s">
        <v>2956</v>
      </c>
      <c r="K1090" s="577" t="s">
        <v>3286</v>
      </c>
      <c r="L1090" s="577"/>
      <c r="M1090" s="387">
        <v>1088</v>
      </c>
      <c r="N1090" s="387">
        <v>5505</v>
      </c>
      <c r="O1090" s="387">
        <v>0</v>
      </c>
      <c r="P1090" s="387">
        <v>0</v>
      </c>
      <c r="Q1090" s="387">
        <v>0</v>
      </c>
      <c r="R1090" s="387">
        <v>0</v>
      </c>
      <c r="S1090" s="1174">
        <f>Locations[[#This Row],[Ind_Returnees]]+Locations[[#This Row],[Ind_Refugees]]+Locations[[#This Row],[Ind_IDPs]]</f>
        <v>5505</v>
      </c>
    </row>
    <row r="1091" spans="1:19" x14ac:dyDescent="0.3">
      <c r="A1091" s="577" t="s">
        <v>533</v>
      </c>
      <c r="B1091" s="1430" t="s">
        <v>3449</v>
      </c>
      <c r="C1091" s="577" t="s">
        <v>534</v>
      </c>
      <c r="D1091" s="577" t="s">
        <v>34</v>
      </c>
      <c r="E1091" s="577" t="s">
        <v>34</v>
      </c>
      <c r="F1091" s="577" t="s">
        <v>539</v>
      </c>
      <c r="G1091" s="577" t="s">
        <v>188</v>
      </c>
      <c r="H1091" s="577" t="s">
        <v>188</v>
      </c>
      <c r="I1091" s="577" t="s">
        <v>546</v>
      </c>
      <c r="J1091" s="577" t="s">
        <v>645</v>
      </c>
      <c r="K1091" s="577" t="s">
        <v>3287</v>
      </c>
      <c r="L1091" s="577"/>
      <c r="M1091" s="387">
        <v>133</v>
      </c>
      <c r="N1091" s="387">
        <v>604</v>
      </c>
      <c r="O1091" s="387">
        <v>0</v>
      </c>
      <c r="P1091" s="387">
        <v>0</v>
      </c>
      <c r="Q1091" s="387">
        <v>0</v>
      </c>
      <c r="R1091" s="387">
        <v>0</v>
      </c>
      <c r="S1091" s="1174">
        <f>Locations[[#This Row],[Ind_Returnees]]+Locations[[#This Row],[Ind_Refugees]]+Locations[[#This Row],[Ind_IDPs]]</f>
        <v>604</v>
      </c>
    </row>
    <row r="1092" spans="1:19" x14ac:dyDescent="0.3">
      <c r="A1092" s="577" t="s">
        <v>533</v>
      </c>
      <c r="B1092" s="1430" t="s">
        <v>3449</v>
      </c>
      <c r="C1092" s="577" t="s">
        <v>534</v>
      </c>
      <c r="D1092" s="577" t="s">
        <v>34</v>
      </c>
      <c r="E1092" s="577" t="s">
        <v>34</v>
      </c>
      <c r="F1092" s="577" t="s">
        <v>539</v>
      </c>
      <c r="G1092" s="577" t="s">
        <v>188</v>
      </c>
      <c r="H1092" s="577" t="s">
        <v>188</v>
      </c>
      <c r="I1092" s="577" t="s">
        <v>546</v>
      </c>
      <c r="J1092" s="577" t="s">
        <v>1507</v>
      </c>
      <c r="K1092" s="577" t="s">
        <v>3288</v>
      </c>
      <c r="L1092" s="577"/>
      <c r="M1092" s="387">
        <v>17</v>
      </c>
      <c r="N1092" s="387">
        <v>121</v>
      </c>
      <c r="O1092" s="387">
        <v>0</v>
      </c>
      <c r="P1092" s="387">
        <v>0</v>
      </c>
      <c r="Q1092" s="387">
        <v>0</v>
      </c>
      <c r="R1092" s="387">
        <v>0</v>
      </c>
      <c r="S1092" s="1174">
        <f>Locations[[#This Row],[Ind_Returnees]]+Locations[[#This Row],[Ind_Refugees]]+Locations[[#This Row],[Ind_IDPs]]</f>
        <v>121</v>
      </c>
    </row>
    <row r="1093" spans="1:19" x14ac:dyDescent="0.3">
      <c r="A1093" s="577" t="s">
        <v>533</v>
      </c>
      <c r="B1093" s="1430" t="s">
        <v>3449</v>
      </c>
      <c r="C1093" s="577" t="s">
        <v>534</v>
      </c>
      <c r="D1093" s="577" t="s">
        <v>31</v>
      </c>
      <c r="E1093" s="577" t="s">
        <v>31</v>
      </c>
      <c r="F1093" s="577" t="s">
        <v>549</v>
      </c>
      <c r="G1093" s="577" t="s">
        <v>171</v>
      </c>
      <c r="H1093" s="577" t="s">
        <v>171</v>
      </c>
      <c r="I1093" s="577" t="s">
        <v>634</v>
      </c>
      <c r="J1093" s="577" t="s">
        <v>2010</v>
      </c>
      <c r="K1093" s="577" t="s">
        <v>1547</v>
      </c>
      <c r="L1093" s="577"/>
      <c r="M1093" s="387">
        <v>32</v>
      </c>
      <c r="N1093" s="387">
        <v>132</v>
      </c>
      <c r="O1093" s="387">
        <v>1</v>
      </c>
      <c r="P1093" s="387">
        <v>2</v>
      </c>
      <c r="Q1093" s="387">
        <v>0</v>
      </c>
      <c r="R1093" s="387">
        <v>0</v>
      </c>
      <c r="S1093" s="1174">
        <f>Locations[[#This Row],[Ind_Returnees]]+Locations[[#This Row],[Ind_Refugees]]+Locations[[#This Row],[Ind_IDPs]]</f>
        <v>134</v>
      </c>
    </row>
    <row r="1094" spans="1:19" x14ac:dyDescent="0.3">
      <c r="A1094" s="577" t="s">
        <v>533</v>
      </c>
      <c r="B1094" s="1430" t="s">
        <v>3449</v>
      </c>
      <c r="C1094" s="577" t="s">
        <v>534</v>
      </c>
      <c r="D1094" s="577" t="s">
        <v>35</v>
      </c>
      <c r="E1094" s="577" t="s">
        <v>35</v>
      </c>
      <c r="F1094" s="577" t="s">
        <v>567</v>
      </c>
      <c r="G1094" s="577" t="s">
        <v>195</v>
      </c>
      <c r="H1094" s="577" t="s">
        <v>195</v>
      </c>
      <c r="I1094" s="577" t="s">
        <v>733</v>
      </c>
      <c r="J1094" s="577" t="s">
        <v>1480</v>
      </c>
      <c r="K1094" s="577" t="s">
        <v>3289</v>
      </c>
      <c r="L1094" s="577"/>
      <c r="M1094" s="387">
        <v>116</v>
      </c>
      <c r="N1094" s="387">
        <v>500</v>
      </c>
      <c r="O1094" s="387">
        <v>0</v>
      </c>
      <c r="P1094" s="387">
        <v>0</v>
      </c>
      <c r="Q1094" s="387">
        <v>0</v>
      </c>
      <c r="R1094" s="387">
        <v>0</v>
      </c>
      <c r="S1094" s="1174">
        <f>Locations[[#This Row],[Ind_Returnees]]+Locations[[#This Row],[Ind_Refugees]]+Locations[[#This Row],[Ind_IDPs]]</f>
        <v>500</v>
      </c>
    </row>
    <row r="1095" spans="1:19" x14ac:dyDescent="0.3">
      <c r="A1095" s="577" t="s">
        <v>533</v>
      </c>
      <c r="B1095" s="1430" t="s">
        <v>3449</v>
      </c>
      <c r="C1095" s="577" t="s">
        <v>534</v>
      </c>
      <c r="D1095" s="577" t="s">
        <v>35</v>
      </c>
      <c r="E1095" s="577" t="s">
        <v>35</v>
      </c>
      <c r="F1095" s="577" t="s">
        <v>567</v>
      </c>
      <c r="G1095" s="577" t="s">
        <v>195</v>
      </c>
      <c r="H1095" s="577" t="s">
        <v>195</v>
      </c>
      <c r="I1095" s="577" t="s">
        <v>733</v>
      </c>
      <c r="J1095" s="577" t="s">
        <v>3291</v>
      </c>
      <c r="K1095" s="577" t="s">
        <v>3292</v>
      </c>
      <c r="L1095" s="577"/>
      <c r="M1095" s="387">
        <v>25</v>
      </c>
      <c r="N1095" s="387">
        <v>243</v>
      </c>
      <c r="O1095" s="387">
        <v>0</v>
      </c>
      <c r="P1095" s="387">
        <v>0</v>
      </c>
      <c r="Q1095" s="387">
        <v>0</v>
      </c>
      <c r="R1095" s="387">
        <v>0</v>
      </c>
      <c r="S1095" s="1174">
        <f>Locations[[#This Row],[Ind_Returnees]]+Locations[[#This Row],[Ind_Refugees]]+Locations[[#This Row],[Ind_IDPs]]</f>
        <v>243</v>
      </c>
    </row>
    <row r="1096" spans="1:19" x14ac:dyDescent="0.3">
      <c r="A1096" s="577" t="s">
        <v>533</v>
      </c>
      <c r="B1096" s="1430" t="s">
        <v>3449</v>
      </c>
      <c r="C1096" s="577" t="s">
        <v>534</v>
      </c>
      <c r="D1096" s="577" t="s">
        <v>35</v>
      </c>
      <c r="E1096" s="577" t="s">
        <v>35</v>
      </c>
      <c r="F1096" s="577" t="s">
        <v>567</v>
      </c>
      <c r="G1096" s="577" t="s">
        <v>193</v>
      </c>
      <c r="H1096" s="577" t="s">
        <v>3983</v>
      </c>
      <c r="I1096" s="577" t="s">
        <v>863</v>
      </c>
      <c r="J1096" s="577" t="s">
        <v>2966</v>
      </c>
      <c r="K1096" s="577" t="s">
        <v>3293</v>
      </c>
      <c r="L1096" s="577"/>
      <c r="M1096" s="387">
        <v>123</v>
      </c>
      <c r="N1096" s="387">
        <v>991</v>
      </c>
      <c r="O1096" s="387">
        <v>0</v>
      </c>
      <c r="P1096" s="387">
        <v>0</v>
      </c>
      <c r="Q1096" s="387">
        <v>0</v>
      </c>
      <c r="R1096" s="387">
        <v>0</v>
      </c>
      <c r="S1096" s="1174">
        <f>Locations[[#This Row],[Ind_Returnees]]+Locations[[#This Row],[Ind_Refugees]]+Locations[[#This Row],[Ind_IDPs]]</f>
        <v>991</v>
      </c>
    </row>
    <row r="1097" spans="1:19" x14ac:dyDescent="0.3">
      <c r="A1097" s="577" t="s">
        <v>533</v>
      </c>
      <c r="B1097" s="1430" t="s">
        <v>3449</v>
      </c>
      <c r="C1097" s="577" t="s">
        <v>534</v>
      </c>
      <c r="D1097" s="577" t="s">
        <v>35</v>
      </c>
      <c r="E1097" s="577" t="s">
        <v>35</v>
      </c>
      <c r="F1097" s="577" t="s">
        <v>567</v>
      </c>
      <c r="G1097" s="577" t="s">
        <v>193</v>
      </c>
      <c r="H1097" s="577" t="s">
        <v>3983</v>
      </c>
      <c r="I1097" s="577" t="s">
        <v>863</v>
      </c>
      <c r="J1097" s="577" t="s">
        <v>1597</v>
      </c>
      <c r="K1097" s="577" t="s">
        <v>3294</v>
      </c>
      <c r="L1097" s="577"/>
      <c r="M1097" s="387">
        <v>79</v>
      </c>
      <c r="N1097" s="387">
        <v>512</v>
      </c>
      <c r="O1097" s="387">
        <v>0</v>
      </c>
      <c r="P1097" s="387">
        <v>0</v>
      </c>
      <c r="Q1097" s="387">
        <v>1</v>
      </c>
      <c r="R1097" s="387">
        <v>6</v>
      </c>
      <c r="S1097" s="1174">
        <f>Locations[[#This Row],[Ind_Returnees]]+Locations[[#This Row],[Ind_Refugees]]+Locations[[#This Row],[Ind_IDPs]]</f>
        <v>518</v>
      </c>
    </row>
    <row r="1098" spans="1:19" x14ac:dyDescent="0.3">
      <c r="A1098" s="577" t="s">
        <v>533</v>
      </c>
      <c r="B1098" s="1430" t="s">
        <v>3449</v>
      </c>
      <c r="C1098" s="577" t="s">
        <v>534</v>
      </c>
      <c r="D1098" s="577" t="s">
        <v>35</v>
      </c>
      <c r="E1098" s="577" t="s">
        <v>35</v>
      </c>
      <c r="F1098" s="577" t="s">
        <v>567</v>
      </c>
      <c r="G1098" s="577" t="s">
        <v>193</v>
      </c>
      <c r="H1098" s="577" t="s">
        <v>3983</v>
      </c>
      <c r="I1098" s="577" t="s">
        <v>863</v>
      </c>
      <c r="J1098" s="577" t="s">
        <v>2965</v>
      </c>
      <c r="K1098" s="577" t="s">
        <v>3295</v>
      </c>
      <c r="L1098" s="577"/>
      <c r="M1098" s="387">
        <v>83</v>
      </c>
      <c r="N1098" s="387">
        <v>766</v>
      </c>
      <c r="O1098" s="387">
        <v>0</v>
      </c>
      <c r="P1098" s="387">
        <v>0</v>
      </c>
      <c r="Q1098" s="387">
        <v>6</v>
      </c>
      <c r="R1098" s="387">
        <v>27</v>
      </c>
      <c r="S1098" s="1174">
        <f>Locations[[#This Row],[Ind_Returnees]]+Locations[[#This Row],[Ind_Refugees]]+Locations[[#This Row],[Ind_IDPs]]</f>
        <v>793</v>
      </c>
    </row>
    <row r="1099" spans="1:19" x14ac:dyDescent="0.3">
      <c r="A1099" s="577" t="s">
        <v>533</v>
      </c>
      <c r="B1099" s="1430" t="s">
        <v>3449</v>
      </c>
      <c r="C1099" s="577" t="s">
        <v>534</v>
      </c>
      <c r="D1099" s="577" t="s">
        <v>31</v>
      </c>
      <c r="E1099" s="577" t="s">
        <v>31</v>
      </c>
      <c r="F1099" s="577" t="s">
        <v>549</v>
      </c>
      <c r="G1099" s="577" t="s">
        <v>169</v>
      </c>
      <c r="H1099" s="577" t="s">
        <v>169</v>
      </c>
      <c r="I1099" s="577" t="s">
        <v>673</v>
      </c>
      <c r="J1099" s="577" t="s">
        <v>1268</v>
      </c>
      <c r="K1099" s="577" t="s">
        <v>3296</v>
      </c>
      <c r="L1099" s="577"/>
      <c r="M1099" s="387">
        <v>31</v>
      </c>
      <c r="N1099" s="387">
        <v>207</v>
      </c>
      <c r="O1099" s="387">
        <v>0</v>
      </c>
      <c r="P1099" s="387">
        <v>0</v>
      </c>
      <c r="Q1099" s="387">
        <v>0</v>
      </c>
      <c r="R1099" s="387">
        <v>0</v>
      </c>
      <c r="S1099" s="1174">
        <f>Locations[[#This Row],[Ind_Returnees]]+Locations[[#This Row],[Ind_Refugees]]+Locations[[#This Row],[Ind_IDPs]]</f>
        <v>207</v>
      </c>
    </row>
    <row r="1100" spans="1:19" x14ac:dyDescent="0.3">
      <c r="A1100" s="577" t="s">
        <v>533</v>
      </c>
      <c r="B1100" s="1430" t="s">
        <v>3449</v>
      </c>
      <c r="C1100" s="577" t="s">
        <v>534</v>
      </c>
      <c r="D1100" s="577" t="s">
        <v>35</v>
      </c>
      <c r="E1100" s="577" t="s">
        <v>35</v>
      </c>
      <c r="F1100" s="577" t="s">
        <v>567</v>
      </c>
      <c r="G1100" s="1144" t="s">
        <v>193</v>
      </c>
      <c r="H1100" s="1144" t="s">
        <v>3983</v>
      </c>
      <c r="I1100" s="577" t="s">
        <v>863</v>
      </c>
      <c r="J1100" s="577" t="s">
        <v>2982</v>
      </c>
      <c r="K1100" s="577" t="s">
        <v>3297</v>
      </c>
      <c r="L1100" s="577"/>
      <c r="M1100" s="387">
        <v>72</v>
      </c>
      <c r="N1100" s="387">
        <v>701</v>
      </c>
      <c r="O1100" s="387">
        <v>0</v>
      </c>
      <c r="P1100" s="387">
        <v>0</v>
      </c>
      <c r="Q1100" s="387">
        <v>0</v>
      </c>
      <c r="R1100" s="387">
        <v>0</v>
      </c>
      <c r="S1100" s="1174">
        <f>Locations[[#This Row],[Ind_Returnees]]+Locations[[#This Row],[Ind_Refugees]]+Locations[[#This Row],[Ind_IDPs]]</f>
        <v>701</v>
      </c>
    </row>
    <row r="1101" spans="1:19" x14ac:dyDescent="0.3">
      <c r="A1101" s="577" t="s">
        <v>533</v>
      </c>
      <c r="B1101" s="1430" t="s">
        <v>3449</v>
      </c>
      <c r="C1101" s="577" t="s">
        <v>534</v>
      </c>
      <c r="D1101" s="577" t="s">
        <v>30</v>
      </c>
      <c r="E1101" s="577" t="s">
        <v>3522</v>
      </c>
      <c r="F1101" s="577" t="s">
        <v>535</v>
      </c>
      <c r="G1101" s="577" t="s">
        <v>156</v>
      </c>
      <c r="H1101" s="577" t="s">
        <v>156</v>
      </c>
      <c r="I1101" s="577" t="s">
        <v>697</v>
      </c>
      <c r="J1101" s="577" t="s">
        <v>2993</v>
      </c>
      <c r="K1101" s="577" t="s">
        <v>3298</v>
      </c>
      <c r="L1101" s="577"/>
      <c r="M1101" s="387">
        <v>122</v>
      </c>
      <c r="N1101" s="387">
        <v>650</v>
      </c>
      <c r="O1101" s="387">
        <v>0</v>
      </c>
      <c r="P1101" s="387">
        <v>0</v>
      </c>
      <c r="Q1101" s="387">
        <v>0</v>
      </c>
      <c r="R1101" s="387">
        <v>0</v>
      </c>
      <c r="S1101" s="1174">
        <f>Locations[[#This Row],[Ind_Returnees]]+Locations[[#This Row],[Ind_Refugees]]+Locations[[#This Row],[Ind_IDPs]]</f>
        <v>650</v>
      </c>
    </row>
    <row r="1102" spans="1:19" x14ac:dyDescent="0.3">
      <c r="A1102" s="577" t="s">
        <v>533</v>
      </c>
      <c r="B1102" s="1430" t="s">
        <v>3449</v>
      </c>
      <c r="C1102" s="577" t="s">
        <v>534</v>
      </c>
      <c r="D1102" s="577" t="s">
        <v>30</v>
      </c>
      <c r="E1102" s="577" t="s">
        <v>3522</v>
      </c>
      <c r="F1102" s="577" t="s">
        <v>535</v>
      </c>
      <c r="G1102" s="577" t="s">
        <v>162</v>
      </c>
      <c r="H1102" s="577" t="s">
        <v>3529</v>
      </c>
      <c r="I1102" s="577" t="s">
        <v>536</v>
      </c>
      <c r="J1102" s="577" t="s">
        <v>614</v>
      </c>
      <c r="K1102" s="577" t="s">
        <v>3299</v>
      </c>
      <c r="L1102" s="577"/>
      <c r="M1102" s="387">
        <v>17</v>
      </c>
      <c r="N1102" s="387">
        <v>140</v>
      </c>
      <c r="O1102" s="387">
        <v>0</v>
      </c>
      <c r="P1102" s="387">
        <v>0</v>
      </c>
      <c r="Q1102" s="387">
        <v>0</v>
      </c>
      <c r="R1102" s="387">
        <v>0</v>
      </c>
      <c r="S1102" s="1174">
        <f>Locations[[#This Row],[Ind_Returnees]]+Locations[[#This Row],[Ind_Refugees]]+Locations[[#This Row],[Ind_IDPs]]</f>
        <v>140</v>
      </c>
    </row>
    <row r="1103" spans="1:19" x14ac:dyDescent="0.3">
      <c r="A1103" s="577" t="s">
        <v>533</v>
      </c>
      <c r="B1103" s="1430" t="s">
        <v>3449</v>
      </c>
      <c r="C1103" s="577" t="s">
        <v>534</v>
      </c>
      <c r="D1103" s="577" t="s">
        <v>35</v>
      </c>
      <c r="E1103" s="577" t="s">
        <v>35</v>
      </c>
      <c r="F1103" s="577" t="s">
        <v>567</v>
      </c>
      <c r="G1103" s="577" t="s">
        <v>195</v>
      </c>
      <c r="H1103" s="577" t="s">
        <v>195</v>
      </c>
      <c r="I1103" s="577" t="s">
        <v>733</v>
      </c>
      <c r="J1103" s="577" t="s">
        <v>2994</v>
      </c>
      <c r="K1103" s="577" t="s">
        <v>3300</v>
      </c>
      <c r="L1103" s="577"/>
      <c r="M1103" s="387">
        <v>511</v>
      </c>
      <c r="N1103" s="387">
        <v>3463</v>
      </c>
      <c r="O1103" s="387">
        <v>0</v>
      </c>
      <c r="P1103" s="387">
        <v>0</v>
      </c>
      <c r="Q1103" s="387">
        <v>0</v>
      </c>
      <c r="R1103" s="387">
        <v>0</v>
      </c>
      <c r="S1103" s="1174">
        <f>Locations[[#This Row],[Ind_Returnees]]+Locations[[#This Row],[Ind_Refugees]]+Locations[[#This Row],[Ind_IDPs]]</f>
        <v>3463</v>
      </c>
    </row>
    <row r="1104" spans="1:19" x14ac:dyDescent="0.3">
      <c r="A1104" s="577" t="s">
        <v>533</v>
      </c>
      <c r="B1104" s="1430" t="s">
        <v>3449</v>
      </c>
      <c r="C1104" s="577" t="s">
        <v>534</v>
      </c>
      <c r="D1104" s="577" t="s">
        <v>32</v>
      </c>
      <c r="E1104" s="577" t="s">
        <v>32</v>
      </c>
      <c r="F1104" s="577" t="s">
        <v>542</v>
      </c>
      <c r="G1104" s="577" t="s">
        <v>178</v>
      </c>
      <c r="H1104" s="577" t="s">
        <v>178</v>
      </c>
      <c r="I1104" s="577" t="s">
        <v>543</v>
      </c>
      <c r="J1104" s="577" t="s">
        <v>1017</v>
      </c>
      <c r="K1104" s="577" t="s">
        <v>3301</v>
      </c>
      <c r="L1104" s="577"/>
      <c r="M1104" s="387">
        <v>193</v>
      </c>
      <c r="N1104" s="387">
        <v>1640</v>
      </c>
      <c r="O1104" s="387">
        <v>0</v>
      </c>
      <c r="P1104" s="387">
        <v>0</v>
      </c>
      <c r="Q1104" s="387">
        <v>0</v>
      </c>
      <c r="R1104" s="387">
        <v>0</v>
      </c>
      <c r="S1104" s="1174">
        <f>Locations[[#This Row],[Ind_Returnees]]+Locations[[#This Row],[Ind_Refugees]]+Locations[[#This Row],[Ind_IDPs]]</f>
        <v>1640</v>
      </c>
    </row>
    <row r="1105" spans="1:19" x14ac:dyDescent="0.3">
      <c r="A1105" s="577" t="s">
        <v>533</v>
      </c>
      <c r="B1105" s="1430" t="s">
        <v>3449</v>
      </c>
      <c r="C1105" s="577" t="s">
        <v>534</v>
      </c>
      <c r="D1105" s="577" t="s">
        <v>35</v>
      </c>
      <c r="E1105" s="577" t="s">
        <v>35</v>
      </c>
      <c r="F1105" s="577" t="s">
        <v>567</v>
      </c>
      <c r="G1105" s="577" t="s">
        <v>195</v>
      </c>
      <c r="H1105" s="577" t="s">
        <v>195</v>
      </c>
      <c r="I1105" s="577" t="s">
        <v>733</v>
      </c>
      <c r="J1105" s="577" t="s">
        <v>2646</v>
      </c>
      <c r="K1105" s="577" t="s">
        <v>1519</v>
      </c>
      <c r="L1105" s="577"/>
      <c r="M1105" s="387">
        <v>142</v>
      </c>
      <c r="N1105" s="387">
        <v>848</v>
      </c>
      <c r="O1105" s="387">
        <v>0</v>
      </c>
      <c r="P1105" s="387">
        <v>0</v>
      </c>
      <c r="Q1105" s="387">
        <v>0</v>
      </c>
      <c r="R1105" s="387">
        <v>0</v>
      </c>
      <c r="S1105" s="1174">
        <f>Locations[[#This Row],[Ind_Returnees]]+Locations[[#This Row],[Ind_Refugees]]+Locations[[#This Row],[Ind_IDPs]]</f>
        <v>848</v>
      </c>
    </row>
    <row r="1106" spans="1:19" x14ac:dyDescent="0.3">
      <c r="A1106" s="577" t="s">
        <v>533</v>
      </c>
      <c r="B1106" s="1430" t="s">
        <v>3449</v>
      </c>
      <c r="C1106" s="577" t="s">
        <v>534</v>
      </c>
      <c r="D1106" s="577" t="s">
        <v>32</v>
      </c>
      <c r="E1106" s="577" t="s">
        <v>32</v>
      </c>
      <c r="F1106" s="577" t="s">
        <v>542</v>
      </c>
      <c r="G1106" s="577" t="s">
        <v>181</v>
      </c>
      <c r="H1106" s="577" t="s">
        <v>181</v>
      </c>
      <c r="I1106" s="577" t="s">
        <v>1661</v>
      </c>
      <c r="J1106" s="577" t="s">
        <v>2143</v>
      </c>
      <c r="K1106" s="577" t="s">
        <v>3303</v>
      </c>
      <c r="L1106" s="577"/>
      <c r="M1106" s="387">
        <v>32</v>
      </c>
      <c r="N1106" s="387">
        <v>281</v>
      </c>
      <c r="O1106" s="387">
        <v>0</v>
      </c>
      <c r="P1106" s="387">
        <v>0</v>
      </c>
      <c r="Q1106" s="387">
        <v>0</v>
      </c>
      <c r="R1106" s="387">
        <v>0</v>
      </c>
      <c r="S1106" s="1174">
        <f>Locations[[#This Row],[Ind_Returnees]]+Locations[[#This Row],[Ind_Refugees]]+Locations[[#This Row],[Ind_IDPs]]</f>
        <v>281</v>
      </c>
    </row>
    <row r="1107" spans="1:19" x14ac:dyDescent="0.3">
      <c r="A1107" s="577" t="s">
        <v>533</v>
      </c>
      <c r="B1107" s="1430" t="s">
        <v>3449</v>
      </c>
      <c r="C1107" s="577" t="s">
        <v>534</v>
      </c>
      <c r="D1107" s="577" t="s">
        <v>32</v>
      </c>
      <c r="E1107" s="577" t="s">
        <v>32</v>
      </c>
      <c r="F1107" s="577" t="s">
        <v>542</v>
      </c>
      <c r="G1107" s="577" t="s">
        <v>178</v>
      </c>
      <c r="H1107" s="577" t="s">
        <v>178</v>
      </c>
      <c r="I1107" s="577" t="s">
        <v>543</v>
      </c>
      <c r="J1107" s="577" t="s">
        <v>963</v>
      </c>
      <c r="K1107" s="577" t="s">
        <v>3304</v>
      </c>
      <c r="L1107" s="577"/>
      <c r="M1107" s="387">
        <v>37</v>
      </c>
      <c r="N1107" s="387">
        <v>215</v>
      </c>
      <c r="O1107" s="387">
        <v>0</v>
      </c>
      <c r="P1107" s="387">
        <v>0</v>
      </c>
      <c r="Q1107" s="387">
        <v>29</v>
      </c>
      <c r="R1107" s="387">
        <v>233</v>
      </c>
      <c r="S1107" s="1174">
        <f>Locations[[#This Row],[Ind_Returnees]]+Locations[[#This Row],[Ind_Refugees]]+Locations[[#This Row],[Ind_IDPs]]</f>
        <v>448</v>
      </c>
    </row>
    <row r="1108" spans="1:19" x14ac:dyDescent="0.3">
      <c r="A1108" s="577" t="s">
        <v>533</v>
      </c>
      <c r="B1108" s="1430" t="s">
        <v>3449</v>
      </c>
      <c r="C1108" s="577" t="s">
        <v>534</v>
      </c>
      <c r="D1108" s="577" t="s">
        <v>31</v>
      </c>
      <c r="E1108" s="577" t="s">
        <v>31</v>
      </c>
      <c r="F1108" s="577" t="s">
        <v>549</v>
      </c>
      <c r="G1108" s="577" t="s">
        <v>169</v>
      </c>
      <c r="H1108" s="577" t="s">
        <v>169</v>
      </c>
      <c r="I1108" s="577" t="s">
        <v>673</v>
      </c>
      <c r="J1108" s="577" t="s">
        <v>827</v>
      </c>
      <c r="K1108" s="577" t="s">
        <v>3305</v>
      </c>
      <c r="L1108" s="577"/>
      <c r="M1108" s="387">
        <v>153</v>
      </c>
      <c r="N1108" s="387">
        <v>1332</v>
      </c>
      <c r="O1108" s="387">
        <v>115</v>
      </c>
      <c r="P1108" s="387">
        <v>674</v>
      </c>
      <c r="Q1108" s="387">
        <v>0</v>
      </c>
      <c r="R1108" s="387">
        <v>0</v>
      </c>
      <c r="S1108" s="1174">
        <f>Locations[[#This Row],[Ind_Returnees]]+Locations[[#This Row],[Ind_Refugees]]+Locations[[#This Row],[Ind_IDPs]]</f>
        <v>2006</v>
      </c>
    </row>
    <row r="1109" spans="1:19" x14ac:dyDescent="0.3">
      <c r="A1109" s="577" t="s">
        <v>533</v>
      </c>
      <c r="B1109" s="1430" t="s">
        <v>3449</v>
      </c>
      <c r="C1109" s="577" t="s">
        <v>534</v>
      </c>
      <c r="D1109" s="577" t="s">
        <v>31</v>
      </c>
      <c r="E1109" s="577" t="s">
        <v>31</v>
      </c>
      <c r="F1109" s="577" t="s">
        <v>549</v>
      </c>
      <c r="G1109" s="577" t="s">
        <v>171</v>
      </c>
      <c r="H1109" s="577" t="s">
        <v>171</v>
      </c>
      <c r="I1109" s="577" t="s">
        <v>634</v>
      </c>
      <c r="J1109" s="577" t="s">
        <v>1924</v>
      </c>
      <c r="K1109" s="577" t="s">
        <v>3305</v>
      </c>
      <c r="L1109" s="577"/>
      <c r="M1109" s="387">
        <v>80</v>
      </c>
      <c r="N1109" s="387">
        <v>597</v>
      </c>
      <c r="O1109" s="387">
        <v>65</v>
      </c>
      <c r="P1109" s="387">
        <v>415</v>
      </c>
      <c r="Q1109" s="387">
        <v>0</v>
      </c>
      <c r="R1109" s="387">
        <v>0</v>
      </c>
      <c r="S1109" s="1174">
        <f>Locations[[#This Row],[Ind_Returnees]]+Locations[[#This Row],[Ind_Refugees]]+Locations[[#This Row],[Ind_IDPs]]</f>
        <v>1012</v>
      </c>
    </row>
    <row r="1110" spans="1:19" x14ac:dyDescent="0.3">
      <c r="A1110" s="577" t="s">
        <v>533</v>
      </c>
      <c r="B1110" s="1430" t="s">
        <v>3449</v>
      </c>
      <c r="C1110" s="577" t="s">
        <v>534</v>
      </c>
      <c r="D1110" s="577" t="s">
        <v>30</v>
      </c>
      <c r="E1110" s="577" t="s">
        <v>3522</v>
      </c>
      <c r="F1110" s="577" t="s">
        <v>535</v>
      </c>
      <c r="G1110" s="577" t="s">
        <v>162</v>
      </c>
      <c r="H1110" s="577" t="s">
        <v>3529</v>
      </c>
      <c r="I1110" s="577" t="s">
        <v>536</v>
      </c>
      <c r="J1110" s="577" t="s">
        <v>2687</v>
      </c>
      <c r="K1110" s="577" t="s">
        <v>3306</v>
      </c>
      <c r="L1110" s="577"/>
      <c r="M1110" s="387">
        <v>0</v>
      </c>
      <c r="N1110" s="387">
        <v>0</v>
      </c>
      <c r="O1110" s="387">
        <v>19</v>
      </c>
      <c r="P1110" s="387">
        <v>112</v>
      </c>
      <c r="Q1110" s="387">
        <v>0</v>
      </c>
      <c r="R1110" s="387">
        <v>0</v>
      </c>
      <c r="S1110" s="1174">
        <f>Locations[[#This Row],[Ind_Returnees]]+Locations[[#This Row],[Ind_Refugees]]+Locations[[#This Row],[Ind_IDPs]]</f>
        <v>112</v>
      </c>
    </row>
    <row r="1111" spans="1:19" x14ac:dyDescent="0.3">
      <c r="A1111" s="577" t="s">
        <v>533</v>
      </c>
      <c r="B1111" s="1430" t="s">
        <v>3449</v>
      </c>
      <c r="C1111" s="577" t="s">
        <v>534</v>
      </c>
      <c r="D1111" s="577" t="s">
        <v>35</v>
      </c>
      <c r="E1111" s="577" t="s">
        <v>35</v>
      </c>
      <c r="F1111" s="577" t="s">
        <v>567</v>
      </c>
      <c r="G1111" s="577" t="s">
        <v>195</v>
      </c>
      <c r="H1111" s="577" t="s">
        <v>195</v>
      </c>
      <c r="I1111" s="577" t="s">
        <v>733</v>
      </c>
      <c r="J1111" s="577" t="s">
        <v>2644</v>
      </c>
      <c r="K1111" s="577" t="s">
        <v>3307</v>
      </c>
      <c r="L1111" s="577"/>
      <c r="M1111" s="387">
        <v>563</v>
      </c>
      <c r="N1111" s="387">
        <v>3126</v>
      </c>
      <c r="O1111" s="387">
        <v>0</v>
      </c>
      <c r="P1111" s="387">
        <v>0</v>
      </c>
      <c r="Q1111" s="387">
        <v>0</v>
      </c>
      <c r="R1111" s="387">
        <v>0</v>
      </c>
      <c r="S1111" s="1174">
        <f>Locations[[#This Row],[Ind_Returnees]]+Locations[[#This Row],[Ind_Refugees]]+Locations[[#This Row],[Ind_IDPs]]</f>
        <v>3126</v>
      </c>
    </row>
    <row r="1112" spans="1:19" x14ac:dyDescent="0.3">
      <c r="A1112" s="577" t="s">
        <v>533</v>
      </c>
      <c r="B1112" s="1430" t="s">
        <v>3449</v>
      </c>
      <c r="C1112" s="577" t="s">
        <v>534</v>
      </c>
      <c r="D1112" s="577" t="s">
        <v>32</v>
      </c>
      <c r="E1112" s="577" t="s">
        <v>32</v>
      </c>
      <c r="F1112" s="577" t="s">
        <v>542</v>
      </c>
      <c r="G1112" s="577" t="s">
        <v>178</v>
      </c>
      <c r="H1112" s="577" t="s">
        <v>178</v>
      </c>
      <c r="I1112" s="577" t="s">
        <v>543</v>
      </c>
      <c r="J1112" s="577" t="s">
        <v>2586</v>
      </c>
      <c r="K1112" s="577" t="s">
        <v>2587</v>
      </c>
      <c r="L1112" s="577"/>
      <c r="M1112" s="387">
        <v>0</v>
      </c>
      <c r="N1112" s="387">
        <v>0</v>
      </c>
      <c r="O1112" s="387">
        <v>0</v>
      </c>
      <c r="P1112" s="387">
        <v>0</v>
      </c>
      <c r="Q1112" s="387">
        <v>0</v>
      </c>
      <c r="R1112" s="387">
        <v>0</v>
      </c>
      <c r="S1112" s="1174">
        <f>Locations[[#This Row],[Ind_Returnees]]+Locations[[#This Row],[Ind_Refugees]]+Locations[[#This Row],[Ind_IDPs]]</f>
        <v>0</v>
      </c>
    </row>
    <row r="1113" spans="1:19" x14ac:dyDescent="0.3">
      <c r="A1113" s="577" t="s">
        <v>533</v>
      </c>
      <c r="B1113" s="1430" t="s">
        <v>3449</v>
      </c>
      <c r="C1113" s="577" t="s">
        <v>534</v>
      </c>
      <c r="D1113" s="577" t="s">
        <v>31</v>
      </c>
      <c r="E1113" s="577" t="s">
        <v>31</v>
      </c>
      <c r="F1113" s="577" t="s">
        <v>549</v>
      </c>
      <c r="G1113" s="577" t="s">
        <v>166</v>
      </c>
      <c r="H1113" s="577" t="s">
        <v>166</v>
      </c>
      <c r="I1113" s="577" t="s">
        <v>844</v>
      </c>
      <c r="J1113" s="577" t="s">
        <v>1548</v>
      </c>
      <c r="K1113" s="1218" t="s">
        <v>3308</v>
      </c>
      <c r="L1113" s="577"/>
      <c r="M1113" s="387">
        <v>16</v>
      </c>
      <c r="N1113" s="387">
        <v>102</v>
      </c>
      <c r="O1113" s="387">
        <v>24</v>
      </c>
      <c r="P1113" s="387">
        <v>140</v>
      </c>
      <c r="Q1113" s="387">
        <v>0</v>
      </c>
      <c r="R1113" s="387">
        <v>0</v>
      </c>
      <c r="S1113" s="1174">
        <f>Locations[[#This Row],[Ind_Returnees]]+Locations[[#This Row],[Ind_Refugees]]+Locations[[#This Row],[Ind_IDPs]]</f>
        <v>242</v>
      </c>
    </row>
    <row r="1114" spans="1:19" x14ac:dyDescent="0.3">
      <c r="A1114" s="577" t="s">
        <v>533</v>
      </c>
      <c r="B1114" s="1430" t="s">
        <v>3449</v>
      </c>
      <c r="C1114" s="577" t="s">
        <v>534</v>
      </c>
      <c r="D1114" s="577" t="s">
        <v>31</v>
      </c>
      <c r="E1114" s="577" t="s">
        <v>31</v>
      </c>
      <c r="F1114" s="577" t="s">
        <v>549</v>
      </c>
      <c r="G1114" s="577" t="s">
        <v>172</v>
      </c>
      <c r="H1114" s="577" t="s">
        <v>172</v>
      </c>
      <c r="I1114" s="577" t="s">
        <v>706</v>
      </c>
      <c r="J1114" s="577" t="s">
        <v>2696</v>
      </c>
      <c r="K1114" s="577" t="s">
        <v>3309</v>
      </c>
      <c r="L1114" s="577"/>
      <c r="M1114" s="387">
        <v>475</v>
      </c>
      <c r="N1114" s="387">
        <v>2803</v>
      </c>
      <c r="O1114" s="387">
        <v>76</v>
      </c>
      <c r="P1114" s="387">
        <v>312</v>
      </c>
      <c r="Q1114" s="387">
        <v>0</v>
      </c>
      <c r="R1114" s="387">
        <v>0</v>
      </c>
      <c r="S1114" s="1174">
        <f>Locations[[#This Row],[Ind_Returnees]]+Locations[[#This Row],[Ind_Refugees]]+Locations[[#This Row],[Ind_IDPs]]</f>
        <v>3115</v>
      </c>
    </row>
    <row r="1115" spans="1:19" x14ac:dyDescent="0.3">
      <c r="A1115" s="577" t="s">
        <v>533</v>
      </c>
      <c r="B1115" s="1430" t="s">
        <v>3449</v>
      </c>
      <c r="C1115" s="577" t="s">
        <v>534</v>
      </c>
      <c r="D1115" s="577" t="s">
        <v>34</v>
      </c>
      <c r="E1115" s="577" t="s">
        <v>34</v>
      </c>
      <c r="F1115" s="577" t="s">
        <v>539</v>
      </c>
      <c r="G1115" s="577" t="s">
        <v>188</v>
      </c>
      <c r="H1115" s="577" t="s">
        <v>188</v>
      </c>
      <c r="I1115" s="577" t="s">
        <v>546</v>
      </c>
      <c r="J1115" s="577" t="s">
        <v>3028</v>
      </c>
      <c r="K1115" s="577" t="s">
        <v>3310</v>
      </c>
      <c r="L1115" s="577"/>
      <c r="M1115" s="387">
        <v>2</v>
      </c>
      <c r="N1115" s="387">
        <v>16</v>
      </c>
      <c r="O1115" s="387">
        <v>306</v>
      </c>
      <c r="P1115" s="387">
        <v>2432</v>
      </c>
      <c r="Q1115" s="387">
        <v>0</v>
      </c>
      <c r="R1115" s="387">
        <v>0</v>
      </c>
      <c r="S1115" s="1174">
        <f>Locations[[#This Row],[Ind_Returnees]]+Locations[[#This Row],[Ind_Refugees]]+Locations[[#This Row],[Ind_IDPs]]</f>
        <v>2448</v>
      </c>
    </row>
    <row r="1116" spans="1:19" x14ac:dyDescent="0.3">
      <c r="A1116" s="577" t="s">
        <v>533</v>
      </c>
      <c r="B1116" s="1430" t="s">
        <v>3449</v>
      </c>
      <c r="C1116" s="577" t="s">
        <v>534</v>
      </c>
      <c r="D1116" s="577" t="s">
        <v>35</v>
      </c>
      <c r="E1116" s="577" t="s">
        <v>35</v>
      </c>
      <c r="F1116" s="577" t="s">
        <v>567</v>
      </c>
      <c r="G1116" s="577" t="s">
        <v>195</v>
      </c>
      <c r="H1116" s="577" t="s">
        <v>195</v>
      </c>
      <c r="I1116" s="577" t="s">
        <v>733</v>
      </c>
      <c r="J1116" s="577" t="s">
        <v>1427</v>
      </c>
      <c r="K1116" s="577" t="s">
        <v>3311</v>
      </c>
      <c r="L1116" s="577"/>
      <c r="M1116" s="387">
        <v>30</v>
      </c>
      <c r="N1116" s="387">
        <v>202</v>
      </c>
      <c r="O1116" s="387">
        <v>0</v>
      </c>
      <c r="P1116" s="387">
        <v>0</v>
      </c>
      <c r="Q1116" s="387">
        <v>0</v>
      </c>
      <c r="R1116" s="387">
        <v>0</v>
      </c>
      <c r="S1116" s="1174">
        <f>Locations[[#This Row],[Ind_Returnees]]+Locations[[#This Row],[Ind_Refugees]]+Locations[[#This Row],[Ind_IDPs]]</f>
        <v>202</v>
      </c>
    </row>
    <row r="1117" spans="1:19" x14ac:dyDescent="0.3">
      <c r="A1117" s="577" t="s">
        <v>533</v>
      </c>
      <c r="B1117" s="1430" t="s">
        <v>3449</v>
      </c>
      <c r="C1117" s="577" t="s">
        <v>534</v>
      </c>
      <c r="D1117" s="577" t="s">
        <v>35</v>
      </c>
      <c r="E1117" s="577" t="s">
        <v>35</v>
      </c>
      <c r="F1117" s="577" t="s">
        <v>567</v>
      </c>
      <c r="G1117" s="577" t="s">
        <v>195</v>
      </c>
      <c r="H1117" s="577" t="s">
        <v>195</v>
      </c>
      <c r="I1117" s="577" t="s">
        <v>733</v>
      </c>
      <c r="J1117" s="577" t="s">
        <v>1482</v>
      </c>
      <c r="K1117" s="577" t="s">
        <v>3312</v>
      </c>
      <c r="L1117" s="577"/>
      <c r="M1117" s="387">
        <v>103</v>
      </c>
      <c r="N1117" s="387">
        <v>489</v>
      </c>
      <c r="O1117" s="387">
        <v>0</v>
      </c>
      <c r="P1117" s="387">
        <v>0</v>
      </c>
      <c r="Q1117" s="387">
        <v>0</v>
      </c>
      <c r="R1117" s="387">
        <v>0</v>
      </c>
      <c r="S1117" s="1174">
        <f>Locations[[#This Row],[Ind_Returnees]]+Locations[[#This Row],[Ind_Refugees]]+Locations[[#This Row],[Ind_IDPs]]</f>
        <v>489</v>
      </c>
    </row>
    <row r="1118" spans="1:19" x14ac:dyDescent="0.3">
      <c r="A1118" s="577" t="s">
        <v>533</v>
      </c>
      <c r="B1118" s="1430" t="s">
        <v>3449</v>
      </c>
      <c r="C1118" s="577" t="s">
        <v>534</v>
      </c>
      <c r="D1118" s="577" t="s">
        <v>35</v>
      </c>
      <c r="E1118" s="577" t="s">
        <v>35</v>
      </c>
      <c r="F1118" s="577" t="s">
        <v>567</v>
      </c>
      <c r="G1118" s="577" t="s">
        <v>195</v>
      </c>
      <c r="H1118" s="577" t="s">
        <v>195</v>
      </c>
      <c r="I1118" s="577" t="s">
        <v>733</v>
      </c>
      <c r="J1118" s="577" t="s">
        <v>1614</v>
      </c>
      <c r="K1118" s="577" t="s">
        <v>3313</v>
      </c>
      <c r="L1118" s="577"/>
      <c r="M1118" s="387">
        <v>850</v>
      </c>
      <c r="N1118" s="387">
        <v>3135</v>
      </c>
      <c r="O1118" s="387">
        <v>0</v>
      </c>
      <c r="P1118" s="387">
        <v>0</v>
      </c>
      <c r="Q1118" s="387">
        <v>0</v>
      </c>
      <c r="R1118" s="387">
        <v>0</v>
      </c>
      <c r="S1118" s="1174">
        <f>Locations[[#This Row],[Ind_Returnees]]+Locations[[#This Row],[Ind_Refugees]]+Locations[[#This Row],[Ind_IDPs]]</f>
        <v>3135</v>
      </c>
    </row>
    <row r="1119" spans="1:19" x14ac:dyDescent="0.3">
      <c r="A1119" s="577" t="s">
        <v>533</v>
      </c>
      <c r="B1119" s="1430" t="s">
        <v>3449</v>
      </c>
      <c r="C1119" s="577" t="s">
        <v>534</v>
      </c>
      <c r="D1119" s="577" t="s">
        <v>35</v>
      </c>
      <c r="E1119" s="577" t="s">
        <v>35</v>
      </c>
      <c r="F1119" s="577" t="s">
        <v>567</v>
      </c>
      <c r="G1119" s="577" t="s">
        <v>195</v>
      </c>
      <c r="H1119" s="577" t="s">
        <v>195</v>
      </c>
      <c r="I1119" s="577" t="s">
        <v>733</v>
      </c>
      <c r="J1119" s="577" t="s">
        <v>2648</v>
      </c>
      <c r="K1119" s="577" t="s">
        <v>1226</v>
      </c>
      <c r="L1119" s="577"/>
      <c r="M1119" s="387">
        <v>140</v>
      </c>
      <c r="N1119" s="387">
        <v>3201</v>
      </c>
      <c r="O1119" s="387">
        <v>0</v>
      </c>
      <c r="P1119" s="387">
        <v>0</v>
      </c>
      <c r="Q1119" s="387">
        <v>0</v>
      </c>
      <c r="R1119" s="387">
        <v>0</v>
      </c>
      <c r="S1119" s="1174">
        <f>Locations[[#This Row],[Ind_Returnees]]+Locations[[#This Row],[Ind_Refugees]]+Locations[[#This Row],[Ind_IDPs]]</f>
        <v>3201</v>
      </c>
    </row>
    <row r="1120" spans="1:19" x14ac:dyDescent="0.3">
      <c r="A1120" s="577" t="s">
        <v>533</v>
      </c>
      <c r="B1120" s="1430" t="s">
        <v>3449</v>
      </c>
      <c r="C1120" s="577" t="s">
        <v>534</v>
      </c>
      <c r="D1120" s="577" t="s">
        <v>30</v>
      </c>
      <c r="E1120" s="577" t="s">
        <v>3522</v>
      </c>
      <c r="F1120" s="577" t="s">
        <v>535</v>
      </c>
      <c r="G1120" s="577" t="s">
        <v>162</v>
      </c>
      <c r="H1120" s="577" t="s">
        <v>3529</v>
      </c>
      <c r="I1120" s="577" t="s">
        <v>536</v>
      </c>
      <c r="J1120" s="577" t="s">
        <v>650</v>
      </c>
      <c r="K1120" s="577" t="s">
        <v>3314</v>
      </c>
      <c r="L1120" s="577"/>
      <c r="M1120" s="387">
        <v>3</v>
      </c>
      <c r="N1120" s="387">
        <v>30</v>
      </c>
      <c r="O1120" s="387">
        <v>0</v>
      </c>
      <c r="P1120" s="387">
        <v>0</v>
      </c>
      <c r="Q1120" s="387">
        <v>0</v>
      </c>
      <c r="R1120" s="387">
        <v>0</v>
      </c>
      <c r="S1120" s="1174">
        <f>Locations[[#This Row],[Ind_Returnees]]+Locations[[#This Row],[Ind_Refugees]]+Locations[[#This Row],[Ind_IDPs]]</f>
        <v>30</v>
      </c>
    </row>
    <row r="1121" spans="1:19" x14ac:dyDescent="0.3">
      <c r="A1121" s="577" t="s">
        <v>533</v>
      </c>
      <c r="B1121" s="1430" t="s">
        <v>3449</v>
      </c>
      <c r="C1121" s="577" t="s">
        <v>534</v>
      </c>
      <c r="D1121" s="577" t="s">
        <v>33</v>
      </c>
      <c r="E1121" s="577" t="s">
        <v>33</v>
      </c>
      <c r="F1121" s="577" t="s">
        <v>561</v>
      </c>
      <c r="G1121" s="577" t="s">
        <v>186</v>
      </c>
      <c r="H1121" s="577" t="s">
        <v>186</v>
      </c>
      <c r="I1121" s="577" t="s">
        <v>682</v>
      </c>
      <c r="J1121" s="577" t="s">
        <v>2217</v>
      </c>
      <c r="K1121" s="577" t="s">
        <v>3315</v>
      </c>
      <c r="L1121" s="577"/>
      <c r="M1121" s="387">
        <v>16</v>
      </c>
      <c r="N1121" s="387">
        <v>86</v>
      </c>
      <c r="O1121" s="387">
        <v>15</v>
      </c>
      <c r="P1121" s="387">
        <v>150</v>
      </c>
      <c r="Q1121" s="387">
        <v>0</v>
      </c>
      <c r="R1121" s="387">
        <v>0</v>
      </c>
      <c r="S1121" s="1174">
        <f>Locations[[#This Row],[Ind_Returnees]]+Locations[[#This Row],[Ind_Refugees]]+Locations[[#This Row],[Ind_IDPs]]</f>
        <v>236</v>
      </c>
    </row>
    <row r="1122" spans="1:19" x14ac:dyDescent="0.3">
      <c r="A1122" s="577" t="s">
        <v>533</v>
      </c>
      <c r="B1122" s="1430" t="s">
        <v>3449</v>
      </c>
      <c r="C1122" s="577" t="s">
        <v>534</v>
      </c>
      <c r="D1122" s="577" t="s">
        <v>31</v>
      </c>
      <c r="E1122" s="577" t="s">
        <v>31</v>
      </c>
      <c r="F1122" s="577" t="s">
        <v>549</v>
      </c>
      <c r="G1122" s="577" t="s">
        <v>167</v>
      </c>
      <c r="H1122" s="577" t="s">
        <v>167</v>
      </c>
      <c r="I1122" s="577" t="s">
        <v>1113</v>
      </c>
      <c r="J1122" s="577" t="s">
        <v>2245</v>
      </c>
      <c r="K1122" s="577" t="s">
        <v>2044</v>
      </c>
      <c r="L1122" s="577"/>
      <c r="M1122" s="387">
        <v>1</v>
      </c>
      <c r="N1122" s="387">
        <v>3</v>
      </c>
      <c r="O1122" s="387">
        <v>0</v>
      </c>
      <c r="P1122" s="387">
        <v>0</v>
      </c>
      <c r="Q1122" s="387">
        <v>0</v>
      </c>
      <c r="R1122" s="387">
        <v>0</v>
      </c>
      <c r="S1122" s="1174">
        <f>Locations[[#This Row],[Ind_Returnees]]+Locations[[#This Row],[Ind_Refugees]]+Locations[[#This Row],[Ind_IDPs]]</f>
        <v>3</v>
      </c>
    </row>
    <row r="1123" spans="1:19" x14ac:dyDescent="0.3">
      <c r="A1123" s="577" t="s">
        <v>533</v>
      </c>
      <c r="B1123" s="1430" t="s">
        <v>3449</v>
      </c>
      <c r="C1123" s="577" t="s">
        <v>534</v>
      </c>
      <c r="D1123" s="577" t="s">
        <v>31</v>
      </c>
      <c r="E1123" s="577" t="s">
        <v>31</v>
      </c>
      <c r="F1123" s="577" t="s">
        <v>549</v>
      </c>
      <c r="G1123" s="577" t="s">
        <v>167</v>
      </c>
      <c r="H1123" s="577" t="s">
        <v>167</v>
      </c>
      <c r="I1123" s="577" t="s">
        <v>1113</v>
      </c>
      <c r="J1123" s="577" t="s">
        <v>1948</v>
      </c>
      <c r="K1123" s="577" t="s">
        <v>1115</v>
      </c>
      <c r="L1123" s="577"/>
      <c r="M1123" s="387">
        <v>0</v>
      </c>
      <c r="N1123" s="387">
        <v>0</v>
      </c>
      <c r="O1123" s="387">
        <v>0</v>
      </c>
      <c r="P1123" s="387">
        <v>0</v>
      </c>
      <c r="Q1123" s="387">
        <v>0</v>
      </c>
      <c r="R1123" s="387">
        <v>0</v>
      </c>
      <c r="S1123" s="1174">
        <f>Locations[[#This Row],[Ind_Returnees]]+Locations[[#This Row],[Ind_Refugees]]+Locations[[#This Row],[Ind_IDPs]]</f>
        <v>0</v>
      </c>
    </row>
    <row r="1124" spans="1:19" x14ac:dyDescent="0.3">
      <c r="A1124" s="577" t="s">
        <v>533</v>
      </c>
      <c r="B1124" s="1430" t="s">
        <v>3449</v>
      </c>
      <c r="C1124" s="577" t="s">
        <v>534</v>
      </c>
      <c r="D1124" s="577" t="s">
        <v>32</v>
      </c>
      <c r="E1124" s="577" t="s">
        <v>32</v>
      </c>
      <c r="F1124" s="577" t="s">
        <v>542</v>
      </c>
      <c r="G1124" s="577" t="s">
        <v>178</v>
      </c>
      <c r="H1124" s="577" t="s">
        <v>178</v>
      </c>
      <c r="I1124" s="577" t="s">
        <v>543</v>
      </c>
      <c r="J1124" s="577" t="s">
        <v>3316</v>
      </c>
      <c r="K1124" s="577" t="s">
        <v>2782</v>
      </c>
      <c r="L1124" s="577"/>
      <c r="M1124" s="387">
        <v>0</v>
      </c>
      <c r="N1124" s="387">
        <v>0</v>
      </c>
      <c r="O1124" s="387">
        <v>0</v>
      </c>
      <c r="P1124" s="387">
        <v>0</v>
      </c>
      <c r="Q1124" s="387">
        <v>62</v>
      </c>
      <c r="R1124" s="387">
        <v>484</v>
      </c>
      <c r="S1124" s="1174">
        <f>Locations[[#This Row],[Ind_Returnees]]+Locations[[#This Row],[Ind_Refugees]]+Locations[[#This Row],[Ind_IDPs]]</f>
        <v>484</v>
      </c>
    </row>
    <row r="1125" spans="1:19" x14ac:dyDescent="0.3">
      <c r="A1125" s="577" t="s">
        <v>533</v>
      </c>
      <c r="B1125" s="1430" t="s">
        <v>3449</v>
      </c>
      <c r="C1125" s="577" t="s">
        <v>534</v>
      </c>
      <c r="D1125" s="577" t="s">
        <v>31</v>
      </c>
      <c r="E1125" s="577" t="s">
        <v>31</v>
      </c>
      <c r="F1125" s="577" t="s">
        <v>549</v>
      </c>
      <c r="G1125" s="577" t="s">
        <v>169</v>
      </c>
      <c r="H1125" s="577" t="s">
        <v>169</v>
      </c>
      <c r="I1125" s="577" t="s">
        <v>673</v>
      </c>
      <c r="J1125" s="577" t="s">
        <v>1564</v>
      </c>
      <c r="K1125" s="577" t="s">
        <v>1096</v>
      </c>
      <c r="L1125" s="577"/>
      <c r="M1125" s="387">
        <v>98</v>
      </c>
      <c r="N1125" s="387">
        <v>552</v>
      </c>
      <c r="O1125" s="387">
        <v>40</v>
      </c>
      <c r="P1125" s="387">
        <v>119</v>
      </c>
      <c r="Q1125" s="387">
        <v>0</v>
      </c>
      <c r="R1125" s="387">
        <v>0</v>
      </c>
      <c r="S1125" s="1174">
        <f>Locations[[#This Row],[Ind_Returnees]]+Locations[[#This Row],[Ind_Refugees]]+Locations[[#This Row],[Ind_IDPs]]</f>
        <v>671</v>
      </c>
    </row>
    <row r="1126" spans="1:19" x14ac:dyDescent="0.3">
      <c r="A1126" s="577" t="s">
        <v>533</v>
      </c>
      <c r="B1126" s="1430" t="s">
        <v>3449</v>
      </c>
      <c r="C1126" s="577" t="s">
        <v>534</v>
      </c>
      <c r="D1126" s="577" t="s">
        <v>31</v>
      </c>
      <c r="E1126" s="577" t="s">
        <v>31</v>
      </c>
      <c r="F1126" s="577" t="s">
        <v>549</v>
      </c>
      <c r="G1126" s="577" t="s">
        <v>170</v>
      </c>
      <c r="H1126" s="577" t="s">
        <v>170</v>
      </c>
      <c r="I1126" s="577" t="s">
        <v>866</v>
      </c>
      <c r="J1126" s="577" t="s">
        <v>938</v>
      </c>
      <c r="K1126" s="577" t="s">
        <v>1110</v>
      </c>
      <c r="L1126" s="577"/>
      <c r="M1126" s="387">
        <v>5</v>
      </c>
      <c r="N1126" s="387">
        <v>20</v>
      </c>
      <c r="O1126" s="387">
        <v>3</v>
      </c>
      <c r="P1126" s="387">
        <v>20</v>
      </c>
      <c r="Q1126" s="387">
        <v>0</v>
      </c>
      <c r="R1126" s="387">
        <v>0</v>
      </c>
      <c r="S1126" s="1174">
        <f>Locations[[#This Row],[Ind_Returnees]]+Locations[[#This Row],[Ind_Refugees]]+Locations[[#This Row],[Ind_IDPs]]</f>
        <v>40</v>
      </c>
    </row>
    <row r="1127" spans="1:19" x14ac:dyDescent="0.3">
      <c r="A1127" s="577" t="s">
        <v>533</v>
      </c>
      <c r="B1127" s="1430" t="s">
        <v>3449</v>
      </c>
      <c r="C1127" s="577" t="s">
        <v>534</v>
      </c>
      <c r="D1127" s="577" t="s">
        <v>33</v>
      </c>
      <c r="E1127" s="577" t="s">
        <v>33</v>
      </c>
      <c r="F1127" s="577" t="s">
        <v>561</v>
      </c>
      <c r="G1127" s="577" t="s">
        <v>183</v>
      </c>
      <c r="H1127" s="577" t="s">
        <v>183</v>
      </c>
      <c r="I1127" s="577" t="s">
        <v>562</v>
      </c>
      <c r="J1127" s="577" t="s">
        <v>680</v>
      </c>
      <c r="K1127" s="577" t="s">
        <v>681</v>
      </c>
      <c r="L1127" s="577"/>
      <c r="M1127" s="387">
        <v>19</v>
      </c>
      <c r="N1127" s="387">
        <v>180</v>
      </c>
      <c r="O1127" s="387">
        <v>11</v>
      </c>
      <c r="P1127" s="387">
        <v>89</v>
      </c>
      <c r="Q1127" s="387">
        <v>0</v>
      </c>
      <c r="R1127" s="387">
        <v>0</v>
      </c>
      <c r="S1127" s="1174">
        <f>Locations[[#This Row],[Ind_Returnees]]+Locations[[#This Row],[Ind_Refugees]]+Locations[[#This Row],[Ind_IDPs]]</f>
        <v>269</v>
      </c>
    </row>
    <row r="1128" spans="1:19" x14ac:dyDescent="0.3">
      <c r="A1128" s="577" t="s">
        <v>533</v>
      </c>
      <c r="B1128" s="1430" t="s">
        <v>3449</v>
      </c>
      <c r="C1128" s="577" t="s">
        <v>534</v>
      </c>
      <c r="D1128" s="577" t="s">
        <v>31</v>
      </c>
      <c r="E1128" s="577" t="s">
        <v>31</v>
      </c>
      <c r="F1128" s="577" t="s">
        <v>549</v>
      </c>
      <c r="G1128" s="577" t="s">
        <v>171</v>
      </c>
      <c r="H1128" s="577" t="s">
        <v>171</v>
      </c>
      <c r="I1128" s="577" t="s">
        <v>634</v>
      </c>
      <c r="J1128" s="577" t="s">
        <v>1289</v>
      </c>
      <c r="K1128" s="577" t="s">
        <v>1805</v>
      </c>
      <c r="L1128" s="577"/>
      <c r="M1128" s="387">
        <v>49</v>
      </c>
      <c r="N1128" s="387">
        <v>374</v>
      </c>
      <c r="O1128" s="387">
        <v>30</v>
      </c>
      <c r="P1128" s="387">
        <v>100</v>
      </c>
      <c r="Q1128" s="387">
        <v>0</v>
      </c>
      <c r="R1128" s="387">
        <v>0</v>
      </c>
      <c r="S1128" s="1174">
        <f>Locations[[#This Row],[Ind_Returnees]]+Locations[[#This Row],[Ind_Refugees]]+Locations[[#This Row],[Ind_IDPs]]</f>
        <v>474</v>
      </c>
    </row>
    <row r="1129" spans="1:19" x14ac:dyDescent="0.3">
      <c r="A1129" s="577" t="s">
        <v>533</v>
      </c>
      <c r="B1129" s="1430" t="s">
        <v>3449</v>
      </c>
      <c r="C1129" s="577" t="s">
        <v>534</v>
      </c>
      <c r="D1129" s="577" t="s">
        <v>31</v>
      </c>
      <c r="E1129" s="577" t="s">
        <v>31</v>
      </c>
      <c r="F1129" s="577" t="s">
        <v>549</v>
      </c>
      <c r="G1129" s="577" t="s">
        <v>166</v>
      </c>
      <c r="H1129" s="577" t="s">
        <v>166</v>
      </c>
      <c r="I1129" s="577" t="s">
        <v>844</v>
      </c>
      <c r="J1129" s="577" t="s">
        <v>3011</v>
      </c>
      <c r="K1129" s="577" t="s">
        <v>2510</v>
      </c>
      <c r="L1129" s="577"/>
      <c r="M1129" s="387">
        <v>0</v>
      </c>
      <c r="N1129" s="387">
        <v>0</v>
      </c>
      <c r="O1129" s="387">
        <v>0</v>
      </c>
      <c r="P1129" s="387">
        <v>0</v>
      </c>
      <c r="Q1129" s="387">
        <v>0</v>
      </c>
      <c r="R1129" s="387">
        <v>0</v>
      </c>
      <c r="S1129" s="1174">
        <f>Locations[[#This Row],[Ind_Returnees]]+Locations[[#This Row],[Ind_Refugees]]+Locations[[#This Row],[Ind_IDPs]]</f>
        <v>0</v>
      </c>
    </row>
    <row r="1130" spans="1:19" x14ac:dyDescent="0.3">
      <c r="A1130" s="577" t="s">
        <v>533</v>
      </c>
      <c r="B1130" s="1430" t="s">
        <v>3449</v>
      </c>
      <c r="C1130" s="577" t="s">
        <v>534</v>
      </c>
      <c r="D1130" s="577" t="s">
        <v>31</v>
      </c>
      <c r="E1130" s="577" t="s">
        <v>31</v>
      </c>
      <c r="F1130" s="577" t="s">
        <v>549</v>
      </c>
      <c r="G1130" s="577" t="s">
        <v>169</v>
      </c>
      <c r="H1130" s="577" t="s">
        <v>169</v>
      </c>
      <c r="I1130" s="577" t="s">
        <v>673</v>
      </c>
      <c r="J1130" s="577" t="s">
        <v>2981</v>
      </c>
      <c r="K1130" s="577" t="s">
        <v>1633</v>
      </c>
      <c r="L1130" s="577"/>
      <c r="M1130" s="387">
        <v>10</v>
      </c>
      <c r="N1130" s="387">
        <v>50</v>
      </c>
      <c r="O1130" s="387">
        <v>11</v>
      </c>
      <c r="P1130" s="387">
        <v>48</v>
      </c>
      <c r="Q1130" s="387">
        <v>5</v>
      </c>
      <c r="R1130" s="387">
        <v>30</v>
      </c>
      <c r="S1130" s="1174">
        <f>Locations[[#This Row],[Ind_Returnees]]+Locations[[#This Row],[Ind_Refugees]]+Locations[[#This Row],[Ind_IDPs]]</f>
        <v>128</v>
      </c>
    </row>
    <row r="1131" spans="1:19" x14ac:dyDescent="0.3">
      <c r="A1131" s="577" t="s">
        <v>533</v>
      </c>
      <c r="B1131" s="1430" t="s">
        <v>3449</v>
      </c>
      <c r="C1131" s="577" t="s">
        <v>534</v>
      </c>
      <c r="D1131" s="577" t="s">
        <v>32</v>
      </c>
      <c r="E1131" s="577" t="s">
        <v>32</v>
      </c>
      <c r="F1131" s="577" t="s">
        <v>542</v>
      </c>
      <c r="G1131" s="577" t="s">
        <v>176</v>
      </c>
      <c r="H1131" s="577" t="s">
        <v>176</v>
      </c>
      <c r="I1131" s="577" t="s">
        <v>772</v>
      </c>
      <c r="J1131" s="577" t="s">
        <v>2265</v>
      </c>
      <c r="K1131" s="577" t="s">
        <v>2266</v>
      </c>
      <c r="L1131" s="577"/>
      <c r="M1131" s="387">
        <v>0</v>
      </c>
      <c r="N1131" s="387">
        <v>0</v>
      </c>
      <c r="O1131" s="387">
        <v>0</v>
      </c>
      <c r="P1131" s="387">
        <v>0</v>
      </c>
      <c r="Q1131" s="387">
        <v>34</v>
      </c>
      <c r="R1131" s="387">
        <v>184</v>
      </c>
      <c r="S1131" s="1174">
        <f>Locations[[#This Row],[Ind_Returnees]]+Locations[[#This Row],[Ind_Refugees]]+Locations[[#This Row],[Ind_IDPs]]</f>
        <v>184</v>
      </c>
    </row>
    <row r="1132" spans="1:19" x14ac:dyDescent="0.3">
      <c r="A1132" s="577" t="s">
        <v>533</v>
      </c>
      <c r="B1132" s="1430" t="s">
        <v>3449</v>
      </c>
      <c r="C1132" s="577" t="s">
        <v>534</v>
      </c>
      <c r="D1132" s="577" t="s">
        <v>35</v>
      </c>
      <c r="E1132" s="577" t="s">
        <v>35</v>
      </c>
      <c r="F1132" s="577" t="s">
        <v>567</v>
      </c>
      <c r="G1132" s="577" t="s">
        <v>196</v>
      </c>
      <c r="H1132" s="577" t="s">
        <v>3984</v>
      </c>
      <c r="I1132" s="577" t="s">
        <v>568</v>
      </c>
      <c r="J1132" s="577" t="s">
        <v>2103</v>
      </c>
      <c r="K1132" s="577" t="s">
        <v>2104</v>
      </c>
      <c r="L1132" s="577"/>
      <c r="M1132" s="387">
        <v>0</v>
      </c>
      <c r="N1132" s="387">
        <v>0</v>
      </c>
      <c r="O1132" s="387">
        <v>1</v>
      </c>
      <c r="P1132" s="387">
        <v>3</v>
      </c>
      <c r="Q1132" s="387">
        <v>0</v>
      </c>
      <c r="R1132" s="387">
        <v>0</v>
      </c>
      <c r="S1132" s="1174">
        <f>Locations[[#This Row],[Ind_Returnees]]+Locations[[#This Row],[Ind_Refugees]]+Locations[[#This Row],[Ind_IDPs]]</f>
        <v>3</v>
      </c>
    </row>
    <row r="1133" spans="1:19" x14ac:dyDescent="0.3">
      <c r="A1133" s="577" t="s">
        <v>533</v>
      </c>
      <c r="B1133" s="1430" t="s">
        <v>3449</v>
      </c>
      <c r="C1133" s="577" t="s">
        <v>534</v>
      </c>
      <c r="D1133" s="577" t="s">
        <v>31</v>
      </c>
      <c r="E1133" s="577" t="s">
        <v>31</v>
      </c>
      <c r="F1133" s="577" t="s">
        <v>549</v>
      </c>
      <c r="G1133" s="577" t="s">
        <v>171</v>
      </c>
      <c r="H1133" s="577" t="s">
        <v>171</v>
      </c>
      <c r="I1133" s="577" t="s">
        <v>634</v>
      </c>
      <c r="J1133" s="577" t="s">
        <v>1708</v>
      </c>
      <c r="K1133" s="577" t="s">
        <v>2037</v>
      </c>
      <c r="L1133" s="577"/>
      <c r="M1133" s="387">
        <v>8</v>
      </c>
      <c r="N1133" s="387">
        <v>35</v>
      </c>
      <c r="O1133" s="387">
        <v>53</v>
      </c>
      <c r="P1133" s="387">
        <v>359</v>
      </c>
      <c r="Q1133" s="387">
        <v>0</v>
      </c>
      <c r="R1133" s="387">
        <v>0</v>
      </c>
      <c r="S1133" s="1174">
        <f>Locations[[#This Row],[Ind_Returnees]]+Locations[[#This Row],[Ind_Refugees]]+Locations[[#This Row],[Ind_IDPs]]</f>
        <v>394</v>
      </c>
    </row>
    <row r="1134" spans="1:19" x14ac:dyDescent="0.3">
      <c r="A1134" s="577" t="s">
        <v>533</v>
      </c>
      <c r="B1134" s="1430" t="s">
        <v>3449</v>
      </c>
      <c r="C1134" s="577" t="s">
        <v>534</v>
      </c>
      <c r="D1134" s="577" t="s">
        <v>31</v>
      </c>
      <c r="E1134" s="577" t="s">
        <v>31</v>
      </c>
      <c r="F1134" s="577" t="s">
        <v>549</v>
      </c>
      <c r="G1134" s="577" t="s">
        <v>171</v>
      </c>
      <c r="H1134" s="577" t="s">
        <v>171</v>
      </c>
      <c r="I1134" s="577" t="s">
        <v>634</v>
      </c>
      <c r="J1134" s="577" t="s">
        <v>1077</v>
      </c>
      <c r="K1134" s="577" t="s">
        <v>1998</v>
      </c>
      <c r="L1134" s="577"/>
      <c r="M1134" s="387">
        <v>4</v>
      </c>
      <c r="N1134" s="387">
        <v>30</v>
      </c>
      <c r="O1134" s="387">
        <v>2</v>
      </c>
      <c r="P1134" s="387">
        <v>22</v>
      </c>
      <c r="Q1134" s="387">
        <v>0</v>
      </c>
      <c r="R1134" s="387">
        <v>0</v>
      </c>
      <c r="S1134" s="1174">
        <f>Locations[[#This Row],[Ind_Returnees]]+Locations[[#This Row],[Ind_Refugees]]+Locations[[#This Row],[Ind_IDPs]]</f>
        <v>52</v>
      </c>
    </row>
    <row r="1135" spans="1:19" x14ac:dyDescent="0.3">
      <c r="A1135" s="577" t="s">
        <v>533</v>
      </c>
      <c r="B1135" s="1430" t="s">
        <v>3449</v>
      </c>
      <c r="C1135" s="577" t="s">
        <v>534</v>
      </c>
      <c r="D1135" s="577" t="s">
        <v>31</v>
      </c>
      <c r="E1135" s="577" t="s">
        <v>31</v>
      </c>
      <c r="F1135" s="577" t="s">
        <v>549</v>
      </c>
      <c r="G1135" s="577" t="s">
        <v>171</v>
      </c>
      <c r="H1135" s="577" t="s">
        <v>171</v>
      </c>
      <c r="I1135" s="577" t="s">
        <v>634</v>
      </c>
      <c r="J1135" s="577" t="s">
        <v>2629</v>
      </c>
      <c r="K1135" s="577" t="s">
        <v>1931</v>
      </c>
      <c r="L1135" s="577"/>
      <c r="M1135" s="387">
        <v>26</v>
      </c>
      <c r="N1135" s="387">
        <v>157</v>
      </c>
      <c r="O1135" s="387">
        <v>0</v>
      </c>
      <c r="P1135" s="387">
        <v>0</v>
      </c>
      <c r="Q1135" s="387">
        <v>0</v>
      </c>
      <c r="R1135" s="387">
        <v>0</v>
      </c>
      <c r="S1135" s="1174">
        <f>Locations[[#This Row],[Ind_Returnees]]+Locations[[#This Row],[Ind_Refugees]]+Locations[[#This Row],[Ind_IDPs]]</f>
        <v>157</v>
      </c>
    </row>
    <row r="1136" spans="1:19" x14ac:dyDescent="0.3">
      <c r="A1136" s="577" t="s">
        <v>533</v>
      </c>
      <c r="B1136" s="1430" t="s">
        <v>3449</v>
      </c>
      <c r="C1136" s="577" t="s">
        <v>534</v>
      </c>
      <c r="D1136" s="577" t="s">
        <v>31</v>
      </c>
      <c r="E1136" s="577" t="s">
        <v>31</v>
      </c>
      <c r="F1136" s="577" t="s">
        <v>549</v>
      </c>
      <c r="G1136" s="577" t="s">
        <v>171</v>
      </c>
      <c r="H1136" s="577" t="s">
        <v>171</v>
      </c>
      <c r="I1136" s="577" t="s">
        <v>634</v>
      </c>
      <c r="J1136" s="577" t="s">
        <v>871</v>
      </c>
      <c r="K1136" s="577" t="s">
        <v>1286</v>
      </c>
      <c r="L1136" s="577"/>
      <c r="M1136" s="387">
        <v>37</v>
      </c>
      <c r="N1136" s="387">
        <v>146</v>
      </c>
      <c r="O1136" s="387">
        <v>0</v>
      </c>
      <c r="P1136" s="387">
        <v>0</v>
      </c>
      <c r="Q1136" s="387">
        <v>0</v>
      </c>
      <c r="R1136" s="387">
        <v>0</v>
      </c>
      <c r="S1136" s="1174">
        <f>Locations[[#This Row],[Ind_Returnees]]+Locations[[#This Row],[Ind_Refugees]]+Locations[[#This Row],[Ind_IDPs]]</f>
        <v>146</v>
      </c>
    </row>
    <row r="1137" spans="1:19" x14ac:dyDescent="0.3">
      <c r="A1137" s="577" t="s">
        <v>533</v>
      </c>
      <c r="B1137" s="1430" t="s">
        <v>3449</v>
      </c>
      <c r="C1137" s="577" t="s">
        <v>534</v>
      </c>
      <c r="D1137" s="577" t="s">
        <v>31</v>
      </c>
      <c r="E1137" s="577" t="s">
        <v>31</v>
      </c>
      <c r="F1137" s="577" t="s">
        <v>549</v>
      </c>
      <c r="G1137" s="577" t="s">
        <v>169</v>
      </c>
      <c r="H1137" s="577" t="s">
        <v>169</v>
      </c>
      <c r="I1137" s="577" t="s">
        <v>673</v>
      </c>
      <c r="J1137" s="577" t="s">
        <v>1522</v>
      </c>
      <c r="K1137" s="577" t="s">
        <v>1473</v>
      </c>
      <c r="L1137" s="577"/>
      <c r="M1137" s="387">
        <v>0</v>
      </c>
      <c r="N1137" s="387">
        <v>0</v>
      </c>
      <c r="O1137" s="387">
        <v>0</v>
      </c>
      <c r="P1137" s="387">
        <v>0</v>
      </c>
      <c r="Q1137" s="387">
        <v>0</v>
      </c>
      <c r="R1137" s="387">
        <v>0</v>
      </c>
      <c r="S1137" s="1174">
        <f>Locations[[#This Row],[Ind_Returnees]]+Locations[[#This Row],[Ind_Refugees]]+Locations[[#This Row],[Ind_IDPs]]</f>
        <v>0</v>
      </c>
    </row>
    <row r="1138" spans="1:19" x14ac:dyDescent="0.3">
      <c r="A1138" s="577" t="s">
        <v>533</v>
      </c>
      <c r="B1138" s="1430" t="s">
        <v>3449</v>
      </c>
      <c r="C1138" s="577" t="s">
        <v>534</v>
      </c>
      <c r="D1138" s="577" t="s">
        <v>31</v>
      </c>
      <c r="E1138" s="577" t="s">
        <v>31</v>
      </c>
      <c r="F1138" s="577" t="s">
        <v>549</v>
      </c>
      <c r="G1138" s="577" t="s">
        <v>171</v>
      </c>
      <c r="H1138" s="577" t="s">
        <v>171</v>
      </c>
      <c r="I1138" s="577" t="s">
        <v>634</v>
      </c>
      <c r="J1138" s="577" t="s">
        <v>3013</v>
      </c>
      <c r="K1138" s="577" t="s">
        <v>2630</v>
      </c>
      <c r="L1138" s="577"/>
      <c r="M1138" s="387">
        <v>0</v>
      </c>
      <c r="N1138" s="387">
        <v>0</v>
      </c>
      <c r="O1138" s="387">
        <v>0</v>
      </c>
      <c r="P1138" s="387">
        <v>0</v>
      </c>
      <c r="Q1138" s="387">
        <v>0</v>
      </c>
      <c r="R1138" s="387">
        <v>0</v>
      </c>
      <c r="S1138" s="1174">
        <f>Locations[[#This Row],[Ind_Returnees]]+Locations[[#This Row],[Ind_Refugees]]+Locations[[#This Row],[Ind_IDPs]]</f>
        <v>0</v>
      </c>
    </row>
    <row r="1139" spans="1:19" x14ac:dyDescent="0.3">
      <c r="A1139" s="577" t="s">
        <v>533</v>
      </c>
      <c r="B1139" s="1430" t="s">
        <v>3449</v>
      </c>
      <c r="C1139" s="577" t="s">
        <v>534</v>
      </c>
      <c r="D1139" s="577" t="s">
        <v>34</v>
      </c>
      <c r="E1139" s="577" t="s">
        <v>34</v>
      </c>
      <c r="F1139" s="577" t="s">
        <v>539</v>
      </c>
      <c r="G1139" s="577" t="s">
        <v>188</v>
      </c>
      <c r="H1139" s="577" t="s">
        <v>188</v>
      </c>
      <c r="I1139" s="577" t="s">
        <v>546</v>
      </c>
      <c r="J1139" s="577" t="s">
        <v>1791</v>
      </c>
      <c r="K1139" s="577" t="s">
        <v>668</v>
      </c>
      <c r="L1139" s="577"/>
      <c r="M1139" s="387">
        <v>41</v>
      </c>
      <c r="N1139" s="387">
        <v>212</v>
      </c>
      <c r="O1139" s="387">
        <v>0</v>
      </c>
      <c r="P1139" s="387">
        <v>0</v>
      </c>
      <c r="Q1139" s="387">
        <v>2</v>
      </c>
      <c r="R1139" s="387">
        <v>9</v>
      </c>
      <c r="S1139" s="1174">
        <f>Locations[[#This Row],[Ind_Returnees]]+Locations[[#This Row],[Ind_Refugees]]+Locations[[#This Row],[Ind_IDPs]]</f>
        <v>221</v>
      </c>
    </row>
    <row r="1140" spans="1:19" x14ac:dyDescent="0.3">
      <c r="A1140" s="577" t="s">
        <v>533</v>
      </c>
      <c r="B1140" s="1430" t="s">
        <v>3449</v>
      </c>
      <c r="C1140" s="577" t="s">
        <v>534</v>
      </c>
      <c r="D1140" s="577" t="s">
        <v>31</v>
      </c>
      <c r="E1140" s="577" t="s">
        <v>31</v>
      </c>
      <c r="F1140" s="577" t="s">
        <v>549</v>
      </c>
      <c r="G1140" s="577" t="s">
        <v>172</v>
      </c>
      <c r="H1140" s="577" t="s">
        <v>172</v>
      </c>
      <c r="I1140" s="577" t="s">
        <v>706</v>
      </c>
      <c r="J1140" s="577" t="s">
        <v>1908</v>
      </c>
      <c r="K1140" s="577" t="s">
        <v>2000</v>
      </c>
      <c r="L1140" s="577"/>
      <c r="M1140" s="387">
        <v>35</v>
      </c>
      <c r="N1140" s="387">
        <v>221</v>
      </c>
      <c r="O1140" s="387">
        <v>5</v>
      </c>
      <c r="P1140" s="387">
        <v>35</v>
      </c>
      <c r="Q1140" s="387">
        <v>5</v>
      </c>
      <c r="R1140" s="387">
        <v>35</v>
      </c>
      <c r="S1140" s="1174">
        <f>Locations[[#This Row],[Ind_Returnees]]+Locations[[#This Row],[Ind_Refugees]]+Locations[[#This Row],[Ind_IDPs]]</f>
        <v>291</v>
      </c>
    </row>
    <row r="1141" spans="1:19" x14ac:dyDescent="0.3">
      <c r="A1141" s="577" t="s">
        <v>533</v>
      </c>
      <c r="B1141" s="1430" t="s">
        <v>3449</v>
      </c>
      <c r="C1141" s="577" t="s">
        <v>534</v>
      </c>
      <c r="D1141" s="577" t="s">
        <v>34</v>
      </c>
      <c r="E1141" s="577" t="s">
        <v>34</v>
      </c>
      <c r="F1141" s="577" t="s">
        <v>539</v>
      </c>
      <c r="G1141" s="577" t="s">
        <v>188</v>
      </c>
      <c r="H1141" s="577" t="s">
        <v>188</v>
      </c>
      <c r="I1141" s="577" t="s">
        <v>546</v>
      </c>
      <c r="J1141" s="577" t="s">
        <v>1430</v>
      </c>
      <c r="K1141" s="577" t="s">
        <v>666</v>
      </c>
      <c r="L1141" s="577"/>
      <c r="M1141" s="387">
        <v>20</v>
      </c>
      <c r="N1141" s="387">
        <v>110</v>
      </c>
      <c r="O1141" s="387">
        <v>0</v>
      </c>
      <c r="P1141" s="387">
        <v>0</v>
      </c>
      <c r="Q1141" s="387">
        <v>0</v>
      </c>
      <c r="R1141" s="387">
        <v>0</v>
      </c>
      <c r="S1141" s="1174">
        <f>Locations[[#This Row],[Ind_Returnees]]+Locations[[#This Row],[Ind_Refugees]]+Locations[[#This Row],[Ind_IDPs]]</f>
        <v>110</v>
      </c>
    </row>
    <row r="1142" spans="1:19" x14ac:dyDescent="0.3">
      <c r="A1142" s="577" t="s">
        <v>533</v>
      </c>
      <c r="B1142" s="1430" t="s">
        <v>3449</v>
      </c>
      <c r="C1142" s="577" t="s">
        <v>534</v>
      </c>
      <c r="D1142" s="577" t="s">
        <v>31</v>
      </c>
      <c r="E1142" s="577" t="s">
        <v>31</v>
      </c>
      <c r="F1142" s="577" t="s">
        <v>549</v>
      </c>
      <c r="G1142" s="577" t="s">
        <v>172</v>
      </c>
      <c r="H1142" s="577" t="s">
        <v>172</v>
      </c>
      <c r="I1142" s="577" t="s">
        <v>706</v>
      </c>
      <c r="J1142" s="577" t="s">
        <v>1866</v>
      </c>
      <c r="K1142" s="577" t="s">
        <v>708</v>
      </c>
      <c r="L1142" s="577"/>
      <c r="M1142" s="387">
        <v>33</v>
      </c>
      <c r="N1142" s="387">
        <v>171</v>
      </c>
      <c r="O1142" s="387">
        <v>30</v>
      </c>
      <c r="P1142" s="387">
        <v>278</v>
      </c>
      <c r="Q1142" s="387">
        <v>5</v>
      </c>
      <c r="R1142" s="387">
        <v>21</v>
      </c>
      <c r="S1142" s="1174">
        <f>Locations[[#This Row],[Ind_Returnees]]+Locations[[#This Row],[Ind_Refugees]]+Locations[[#This Row],[Ind_IDPs]]</f>
        <v>470</v>
      </c>
    </row>
    <row r="1143" spans="1:19" x14ac:dyDescent="0.3">
      <c r="A1143" s="577" t="s">
        <v>533</v>
      </c>
      <c r="B1143" s="1430" t="s">
        <v>3449</v>
      </c>
      <c r="C1143" s="577" t="s">
        <v>534</v>
      </c>
      <c r="D1143" s="577" t="s">
        <v>34</v>
      </c>
      <c r="E1143" s="577" t="s">
        <v>34</v>
      </c>
      <c r="F1143" s="577" t="s">
        <v>539</v>
      </c>
      <c r="G1143" s="577" t="s">
        <v>188</v>
      </c>
      <c r="H1143" s="577" t="s">
        <v>188</v>
      </c>
      <c r="I1143" s="577" t="s">
        <v>546</v>
      </c>
      <c r="J1143" s="577" t="s">
        <v>2668</v>
      </c>
      <c r="K1143" s="577" t="s">
        <v>669</v>
      </c>
      <c r="L1143" s="577"/>
      <c r="M1143" s="387">
        <v>15</v>
      </c>
      <c r="N1143" s="387">
        <v>117</v>
      </c>
      <c r="O1143" s="387">
        <v>12</v>
      </c>
      <c r="P1143" s="387">
        <v>58</v>
      </c>
      <c r="Q1143" s="387">
        <v>0</v>
      </c>
      <c r="R1143" s="387">
        <v>0</v>
      </c>
      <c r="S1143" s="1174">
        <f>Locations[[#This Row],[Ind_Returnees]]+Locations[[#This Row],[Ind_Refugees]]+Locations[[#This Row],[Ind_IDPs]]</f>
        <v>175</v>
      </c>
    </row>
    <row r="1144" spans="1:19" x14ac:dyDescent="0.3">
      <c r="A1144" s="577" t="s">
        <v>533</v>
      </c>
      <c r="B1144" s="1430" t="s">
        <v>3449</v>
      </c>
      <c r="C1144" s="577" t="s">
        <v>534</v>
      </c>
      <c r="D1144" s="577" t="s">
        <v>31</v>
      </c>
      <c r="E1144" s="577" t="s">
        <v>31</v>
      </c>
      <c r="F1144" s="577" t="s">
        <v>549</v>
      </c>
      <c r="G1144" s="577" t="s">
        <v>172</v>
      </c>
      <c r="H1144" s="577" t="s">
        <v>172</v>
      </c>
      <c r="I1144" s="577" t="s">
        <v>706</v>
      </c>
      <c r="J1144" s="577" t="s">
        <v>1999</v>
      </c>
      <c r="K1144" s="577" t="s">
        <v>2697</v>
      </c>
      <c r="L1144" s="577"/>
      <c r="M1144" s="387">
        <v>0</v>
      </c>
      <c r="N1144" s="387">
        <v>0</v>
      </c>
      <c r="O1144" s="387">
        <v>6</v>
      </c>
      <c r="P1144" s="387">
        <v>50</v>
      </c>
      <c r="Q1144" s="387">
        <v>15</v>
      </c>
      <c r="R1144" s="387">
        <v>102</v>
      </c>
      <c r="S1144" s="1174">
        <f>Locations[[#This Row],[Ind_Returnees]]+Locations[[#This Row],[Ind_Refugees]]+Locations[[#This Row],[Ind_IDPs]]</f>
        <v>152</v>
      </c>
    </row>
    <row r="1145" spans="1:19" x14ac:dyDescent="0.3">
      <c r="A1145" s="577" t="s">
        <v>533</v>
      </c>
      <c r="B1145" s="1430" t="s">
        <v>3449</v>
      </c>
      <c r="C1145" s="577" t="s">
        <v>534</v>
      </c>
      <c r="D1145" s="577" t="s">
        <v>34</v>
      </c>
      <c r="E1145" s="577" t="s">
        <v>34</v>
      </c>
      <c r="F1145" s="577" t="s">
        <v>539</v>
      </c>
      <c r="G1145" s="577" t="s">
        <v>188</v>
      </c>
      <c r="H1145" s="577" t="s">
        <v>188</v>
      </c>
      <c r="I1145" s="577" t="s">
        <v>546</v>
      </c>
      <c r="J1145" s="577" t="s">
        <v>1414</v>
      </c>
      <c r="K1145" s="577" t="s">
        <v>670</v>
      </c>
      <c r="L1145" s="577"/>
      <c r="M1145" s="387">
        <v>9</v>
      </c>
      <c r="N1145" s="387">
        <v>51</v>
      </c>
      <c r="O1145" s="387">
        <v>10</v>
      </c>
      <c r="P1145" s="387">
        <v>40</v>
      </c>
      <c r="Q1145" s="387">
        <v>0</v>
      </c>
      <c r="R1145" s="387">
        <v>0</v>
      </c>
      <c r="S1145" s="1174">
        <f>Locations[[#This Row],[Ind_Returnees]]+Locations[[#This Row],[Ind_Refugees]]+Locations[[#This Row],[Ind_IDPs]]</f>
        <v>91</v>
      </c>
    </row>
    <row r="1146" spans="1:19" x14ac:dyDescent="0.3">
      <c r="A1146" s="577" t="s">
        <v>533</v>
      </c>
      <c r="B1146" s="1430" t="s">
        <v>3449</v>
      </c>
      <c r="C1146" s="577" t="s">
        <v>534</v>
      </c>
      <c r="D1146" s="577" t="s">
        <v>31</v>
      </c>
      <c r="E1146" s="577" t="s">
        <v>31</v>
      </c>
      <c r="F1146" s="577" t="s">
        <v>549</v>
      </c>
      <c r="G1146" s="577" t="s">
        <v>172</v>
      </c>
      <c r="H1146" s="577" t="s">
        <v>172</v>
      </c>
      <c r="I1146" s="577" t="s">
        <v>706</v>
      </c>
      <c r="J1146" s="577" t="s">
        <v>707</v>
      </c>
      <c r="K1146" s="577" t="s">
        <v>1306</v>
      </c>
      <c r="L1146" s="577"/>
      <c r="M1146" s="387">
        <v>32</v>
      </c>
      <c r="N1146" s="387">
        <v>200</v>
      </c>
      <c r="O1146" s="387">
        <v>15</v>
      </c>
      <c r="P1146" s="387">
        <v>122</v>
      </c>
      <c r="Q1146" s="387">
        <v>0</v>
      </c>
      <c r="R1146" s="387">
        <v>0</v>
      </c>
      <c r="S1146" s="1174">
        <f>Locations[[#This Row],[Ind_Returnees]]+Locations[[#This Row],[Ind_Refugees]]+Locations[[#This Row],[Ind_IDPs]]</f>
        <v>322</v>
      </c>
    </row>
    <row r="1147" spans="1:19" x14ac:dyDescent="0.3">
      <c r="A1147" s="577" t="s">
        <v>533</v>
      </c>
      <c r="B1147" s="1430" t="s">
        <v>3449</v>
      </c>
      <c r="C1147" s="577" t="s">
        <v>534</v>
      </c>
      <c r="D1147" s="577" t="s">
        <v>31</v>
      </c>
      <c r="E1147" s="577" t="s">
        <v>31</v>
      </c>
      <c r="F1147" s="577" t="s">
        <v>549</v>
      </c>
      <c r="G1147" s="577" t="s">
        <v>164</v>
      </c>
      <c r="H1147" s="577" t="s">
        <v>164</v>
      </c>
      <c r="I1147" s="577" t="s">
        <v>748</v>
      </c>
      <c r="J1147" s="577" t="s">
        <v>1085</v>
      </c>
      <c r="K1147" s="577" t="s">
        <v>1086</v>
      </c>
      <c r="L1147" s="577"/>
      <c r="M1147" s="387">
        <v>26</v>
      </c>
      <c r="N1147" s="387">
        <v>182</v>
      </c>
      <c r="O1147" s="387">
        <v>0</v>
      </c>
      <c r="P1147" s="387">
        <v>0</v>
      </c>
      <c r="Q1147" s="387">
        <v>0</v>
      </c>
      <c r="R1147" s="387">
        <v>0</v>
      </c>
      <c r="S1147" s="1174">
        <f>Locations[[#This Row],[Ind_Returnees]]+Locations[[#This Row],[Ind_Refugees]]+Locations[[#This Row],[Ind_IDPs]]</f>
        <v>182</v>
      </c>
    </row>
    <row r="1148" spans="1:19" x14ac:dyDescent="0.3">
      <c r="A1148" s="577" t="s">
        <v>533</v>
      </c>
      <c r="B1148" s="1430" t="s">
        <v>3449</v>
      </c>
      <c r="C1148" s="577" t="s">
        <v>534</v>
      </c>
      <c r="D1148" s="577" t="s">
        <v>35</v>
      </c>
      <c r="E1148" s="577" t="s">
        <v>35</v>
      </c>
      <c r="F1148" s="577" t="s">
        <v>567</v>
      </c>
      <c r="G1148" s="577" t="s">
        <v>193</v>
      </c>
      <c r="H1148" s="577" t="s">
        <v>3983</v>
      </c>
      <c r="I1148" s="577" t="s">
        <v>863</v>
      </c>
      <c r="J1148" s="577" t="s">
        <v>2206</v>
      </c>
      <c r="K1148" s="577" t="s">
        <v>1298</v>
      </c>
      <c r="L1148" s="577"/>
      <c r="M1148" s="387">
        <v>0</v>
      </c>
      <c r="N1148" s="387">
        <v>0</v>
      </c>
      <c r="O1148" s="387">
        <v>0</v>
      </c>
      <c r="P1148" s="387">
        <v>0</v>
      </c>
      <c r="Q1148" s="387">
        <v>0</v>
      </c>
      <c r="R1148" s="387">
        <v>0</v>
      </c>
      <c r="S1148" s="1174">
        <f>Locations[[#This Row],[Ind_Returnees]]+Locations[[#This Row],[Ind_Refugees]]+Locations[[#This Row],[Ind_IDPs]]</f>
        <v>0</v>
      </c>
    </row>
    <row r="1149" spans="1:19" x14ac:dyDescent="0.3">
      <c r="A1149" s="577" t="s">
        <v>533</v>
      </c>
      <c r="B1149" s="1430" t="s">
        <v>3449</v>
      </c>
      <c r="C1149" s="577" t="s">
        <v>534</v>
      </c>
      <c r="D1149" s="577" t="s">
        <v>35</v>
      </c>
      <c r="E1149" s="577" t="s">
        <v>35</v>
      </c>
      <c r="F1149" s="577" t="s">
        <v>567</v>
      </c>
      <c r="G1149" s="577" t="s">
        <v>193</v>
      </c>
      <c r="H1149" s="577" t="s">
        <v>3983</v>
      </c>
      <c r="I1149" s="577" t="s">
        <v>863</v>
      </c>
      <c r="J1149" s="577" t="s">
        <v>1297</v>
      </c>
      <c r="K1149" s="577" t="s">
        <v>1629</v>
      </c>
      <c r="L1149" s="577"/>
      <c r="M1149" s="387">
        <v>6</v>
      </c>
      <c r="N1149" s="387">
        <v>27</v>
      </c>
      <c r="O1149" s="387">
        <v>0</v>
      </c>
      <c r="P1149" s="387">
        <v>0</v>
      </c>
      <c r="Q1149" s="387">
        <v>59</v>
      </c>
      <c r="R1149" s="387">
        <v>417</v>
      </c>
      <c r="S1149" s="1174">
        <f>Locations[[#This Row],[Ind_Returnees]]+Locations[[#This Row],[Ind_Refugees]]+Locations[[#This Row],[Ind_IDPs]]</f>
        <v>444</v>
      </c>
    </row>
    <row r="1150" spans="1:19" x14ac:dyDescent="0.3">
      <c r="A1150" s="577" t="s">
        <v>533</v>
      </c>
      <c r="B1150" s="1430" t="s">
        <v>3449</v>
      </c>
      <c r="C1150" s="577" t="s">
        <v>534</v>
      </c>
      <c r="D1150" s="577" t="s">
        <v>34</v>
      </c>
      <c r="E1150" s="577" t="s">
        <v>34</v>
      </c>
      <c r="F1150" s="577" t="s">
        <v>539</v>
      </c>
      <c r="G1150" s="577" t="s">
        <v>188</v>
      </c>
      <c r="H1150" s="577" t="s">
        <v>188</v>
      </c>
      <c r="I1150" s="577" t="s">
        <v>546</v>
      </c>
      <c r="J1150" s="577" t="s">
        <v>1421</v>
      </c>
      <c r="K1150" s="577" t="s">
        <v>1632</v>
      </c>
      <c r="L1150" s="577"/>
      <c r="M1150" s="387">
        <v>23</v>
      </c>
      <c r="N1150" s="387">
        <v>160</v>
      </c>
      <c r="O1150" s="387">
        <v>7</v>
      </c>
      <c r="P1150" s="387">
        <v>85</v>
      </c>
      <c r="Q1150" s="387">
        <v>0</v>
      </c>
      <c r="R1150" s="387">
        <v>0</v>
      </c>
      <c r="S1150" s="1174">
        <f>Locations[[#This Row],[Ind_Returnees]]+Locations[[#This Row],[Ind_Refugees]]+Locations[[#This Row],[Ind_IDPs]]</f>
        <v>245</v>
      </c>
    </row>
    <row r="1151" spans="1:19" x14ac:dyDescent="0.3">
      <c r="A1151" s="577" t="s">
        <v>533</v>
      </c>
      <c r="B1151" s="1430" t="s">
        <v>3449</v>
      </c>
      <c r="C1151" s="577" t="s">
        <v>534</v>
      </c>
      <c r="D1151" s="577" t="s">
        <v>31</v>
      </c>
      <c r="E1151" s="577" t="s">
        <v>31</v>
      </c>
      <c r="F1151" s="577" t="s">
        <v>549</v>
      </c>
      <c r="G1151" s="577" t="s">
        <v>170</v>
      </c>
      <c r="H1151" s="577" t="s">
        <v>170</v>
      </c>
      <c r="I1151" s="577" t="s">
        <v>866</v>
      </c>
      <c r="J1151" s="577" t="s">
        <v>1576</v>
      </c>
      <c r="K1151" s="577" t="s">
        <v>2126</v>
      </c>
      <c r="L1151" s="577"/>
      <c r="M1151" s="387">
        <v>16</v>
      </c>
      <c r="N1151" s="387">
        <v>100</v>
      </c>
      <c r="O1151" s="387">
        <v>0</v>
      </c>
      <c r="P1151" s="387">
        <v>0</v>
      </c>
      <c r="Q1151" s="387">
        <v>0</v>
      </c>
      <c r="R1151" s="387">
        <v>0</v>
      </c>
      <c r="S1151" s="1174">
        <f>Locations[[#This Row],[Ind_Returnees]]+Locations[[#This Row],[Ind_Refugees]]+Locations[[#This Row],[Ind_IDPs]]</f>
        <v>100</v>
      </c>
    </row>
    <row r="1152" spans="1:19" x14ac:dyDescent="0.3">
      <c r="A1152" s="577" t="s">
        <v>533</v>
      </c>
      <c r="B1152" s="1430" t="s">
        <v>3449</v>
      </c>
      <c r="C1152" s="577" t="s">
        <v>534</v>
      </c>
      <c r="D1152" s="577" t="s">
        <v>33</v>
      </c>
      <c r="E1152" s="577" t="s">
        <v>33</v>
      </c>
      <c r="F1152" s="577" t="s">
        <v>561</v>
      </c>
      <c r="G1152" s="577" t="s">
        <v>185</v>
      </c>
      <c r="H1152" s="577" t="s">
        <v>185</v>
      </c>
      <c r="I1152" s="577" t="s">
        <v>656</v>
      </c>
      <c r="J1152" s="577" t="s">
        <v>2368</v>
      </c>
      <c r="K1152" s="577" t="s">
        <v>2369</v>
      </c>
      <c r="L1152" s="577"/>
      <c r="M1152" s="387">
        <v>0</v>
      </c>
      <c r="N1152" s="387">
        <v>0</v>
      </c>
      <c r="O1152" s="387">
        <v>0</v>
      </c>
      <c r="P1152" s="387">
        <v>0</v>
      </c>
      <c r="Q1152" s="387">
        <v>0</v>
      </c>
      <c r="R1152" s="387">
        <v>0</v>
      </c>
      <c r="S1152" s="1174">
        <f>Locations[[#This Row],[Ind_Returnees]]+Locations[[#This Row],[Ind_Refugees]]+Locations[[#This Row],[Ind_IDPs]]</f>
        <v>0</v>
      </c>
    </row>
    <row r="1153" spans="1:19" x14ac:dyDescent="0.3">
      <c r="A1153" s="577" t="s">
        <v>533</v>
      </c>
      <c r="B1153" s="1430" t="s">
        <v>3449</v>
      </c>
      <c r="C1153" s="577" t="s">
        <v>534</v>
      </c>
      <c r="D1153" s="577" t="s">
        <v>32</v>
      </c>
      <c r="E1153" s="577" t="s">
        <v>32</v>
      </c>
      <c r="F1153" s="577" t="s">
        <v>542</v>
      </c>
      <c r="G1153" s="577" t="s">
        <v>178</v>
      </c>
      <c r="H1153" s="577" t="s">
        <v>178</v>
      </c>
      <c r="I1153" s="577" t="s">
        <v>543</v>
      </c>
      <c r="J1153" s="577" t="s">
        <v>3317</v>
      </c>
      <c r="K1153" s="577" t="s">
        <v>2788</v>
      </c>
      <c r="L1153" s="577"/>
      <c r="M1153" s="387">
        <v>0</v>
      </c>
      <c r="N1153" s="387">
        <v>0</v>
      </c>
      <c r="O1153" s="387">
        <v>0</v>
      </c>
      <c r="P1153" s="387">
        <v>0</v>
      </c>
      <c r="Q1153" s="387">
        <v>7</v>
      </c>
      <c r="R1153" s="387">
        <v>47</v>
      </c>
      <c r="S1153" s="1174">
        <f>Locations[[#This Row],[Ind_Returnees]]+Locations[[#This Row],[Ind_Refugees]]+Locations[[#This Row],[Ind_IDPs]]</f>
        <v>47</v>
      </c>
    </row>
    <row r="1154" spans="1:19" x14ac:dyDescent="0.3">
      <c r="A1154" s="577" t="s">
        <v>533</v>
      </c>
      <c r="B1154" s="1430" t="s">
        <v>3449</v>
      </c>
      <c r="C1154" s="577" t="s">
        <v>534</v>
      </c>
      <c r="D1154" s="577" t="s">
        <v>34</v>
      </c>
      <c r="E1154" s="577" t="s">
        <v>34</v>
      </c>
      <c r="F1154" s="577" t="s">
        <v>539</v>
      </c>
      <c r="G1154" s="577" t="s">
        <v>188</v>
      </c>
      <c r="H1154" s="577" t="s">
        <v>188</v>
      </c>
      <c r="I1154" s="577" t="s">
        <v>546</v>
      </c>
      <c r="J1154" s="577" t="s">
        <v>3014</v>
      </c>
      <c r="K1154" s="577" t="s">
        <v>1186</v>
      </c>
      <c r="L1154" s="577"/>
      <c r="M1154" s="387">
        <v>188</v>
      </c>
      <c r="N1154" s="387">
        <v>895</v>
      </c>
      <c r="O1154" s="387">
        <v>10</v>
      </c>
      <c r="P1154" s="387">
        <v>47</v>
      </c>
      <c r="Q1154" s="387">
        <v>140</v>
      </c>
      <c r="R1154" s="387">
        <v>851</v>
      </c>
      <c r="S1154" s="1174">
        <f>Locations[[#This Row],[Ind_Returnees]]+Locations[[#This Row],[Ind_Refugees]]+Locations[[#This Row],[Ind_IDPs]]</f>
        <v>1793</v>
      </c>
    </row>
    <row r="1155" spans="1:19" x14ac:dyDescent="0.3">
      <c r="A1155" s="577" t="s">
        <v>533</v>
      </c>
      <c r="B1155" s="1430" t="s">
        <v>3449</v>
      </c>
      <c r="C1155" s="577" t="s">
        <v>534</v>
      </c>
      <c r="D1155" s="577" t="s">
        <v>34</v>
      </c>
      <c r="E1155" s="577" t="s">
        <v>34</v>
      </c>
      <c r="F1155" s="577" t="s">
        <v>539</v>
      </c>
      <c r="G1155" s="577" t="s">
        <v>189</v>
      </c>
      <c r="H1155" s="577" t="s">
        <v>189</v>
      </c>
      <c r="I1155" s="577" t="s">
        <v>590</v>
      </c>
      <c r="J1155" s="577" t="s">
        <v>1371</v>
      </c>
      <c r="K1155" s="577" t="s">
        <v>1372</v>
      </c>
      <c r="L1155" s="577"/>
      <c r="M1155" s="387">
        <v>10</v>
      </c>
      <c r="N1155" s="387">
        <v>124</v>
      </c>
      <c r="O1155" s="387">
        <v>0</v>
      </c>
      <c r="P1155" s="387">
        <v>0</v>
      </c>
      <c r="Q1155" s="387">
        <v>0</v>
      </c>
      <c r="R1155" s="387">
        <v>0</v>
      </c>
      <c r="S1155" s="1174">
        <f>Locations[[#This Row],[Ind_Returnees]]+Locations[[#This Row],[Ind_Refugees]]+Locations[[#This Row],[Ind_IDPs]]</f>
        <v>124</v>
      </c>
    </row>
    <row r="1156" spans="1:19" x14ac:dyDescent="0.3">
      <c r="A1156" s="577" t="s">
        <v>533</v>
      </c>
      <c r="B1156" s="1430" t="s">
        <v>3449</v>
      </c>
      <c r="C1156" s="577" t="s">
        <v>534</v>
      </c>
      <c r="D1156" s="577" t="s">
        <v>31</v>
      </c>
      <c r="E1156" s="577" t="s">
        <v>31</v>
      </c>
      <c r="F1156" s="577" t="s">
        <v>549</v>
      </c>
      <c r="G1156" s="577" t="s">
        <v>171</v>
      </c>
      <c r="H1156" s="577" t="s">
        <v>171</v>
      </c>
      <c r="I1156" s="577" t="s">
        <v>634</v>
      </c>
      <c r="J1156" s="577" t="s">
        <v>3015</v>
      </c>
      <c r="K1156" s="577" t="s">
        <v>1282</v>
      </c>
      <c r="L1156" s="577"/>
      <c r="M1156" s="387">
        <v>7</v>
      </c>
      <c r="N1156" s="387">
        <v>47</v>
      </c>
      <c r="O1156" s="387">
        <v>0</v>
      </c>
      <c r="P1156" s="387">
        <v>0</v>
      </c>
      <c r="Q1156" s="387">
        <v>0</v>
      </c>
      <c r="R1156" s="387">
        <v>0</v>
      </c>
      <c r="S1156" s="1174">
        <f>Locations[[#This Row],[Ind_Returnees]]+Locations[[#This Row],[Ind_Refugees]]+Locations[[#This Row],[Ind_IDPs]]</f>
        <v>47</v>
      </c>
    </row>
    <row r="1157" spans="1:19" x14ac:dyDescent="0.3">
      <c r="A1157" s="577" t="s">
        <v>533</v>
      </c>
      <c r="B1157" s="1430" t="s">
        <v>3449</v>
      </c>
      <c r="C1157" s="577" t="s">
        <v>534</v>
      </c>
      <c r="D1157" s="577" t="s">
        <v>34</v>
      </c>
      <c r="E1157" s="577" t="s">
        <v>34</v>
      </c>
      <c r="F1157" s="577" t="s">
        <v>539</v>
      </c>
      <c r="G1157" s="577" t="s">
        <v>188</v>
      </c>
      <c r="H1157" s="577" t="s">
        <v>188</v>
      </c>
      <c r="I1157" s="577" t="s">
        <v>546</v>
      </c>
      <c r="J1157" s="577" t="s">
        <v>2796</v>
      </c>
      <c r="K1157" s="577" t="s">
        <v>646</v>
      </c>
      <c r="L1157" s="577"/>
      <c r="M1157" s="387">
        <v>470</v>
      </c>
      <c r="N1157" s="387">
        <v>1733</v>
      </c>
      <c r="O1157" s="387">
        <v>0</v>
      </c>
      <c r="P1157" s="387">
        <v>0</v>
      </c>
      <c r="Q1157" s="387">
        <v>157</v>
      </c>
      <c r="R1157" s="387">
        <v>670</v>
      </c>
      <c r="S1157" s="1174">
        <f>Locations[[#This Row],[Ind_Returnees]]+Locations[[#This Row],[Ind_Refugees]]+Locations[[#This Row],[Ind_IDPs]]</f>
        <v>2403</v>
      </c>
    </row>
    <row r="1158" spans="1:19" x14ac:dyDescent="0.3">
      <c r="A1158" s="577" t="s">
        <v>533</v>
      </c>
      <c r="B1158" s="1430" t="s">
        <v>3449</v>
      </c>
      <c r="C1158" s="577" t="s">
        <v>534</v>
      </c>
      <c r="D1158" s="577" t="s">
        <v>30</v>
      </c>
      <c r="E1158" s="577" t="s">
        <v>3522</v>
      </c>
      <c r="F1158" s="577" t="s">
        <v>535</v>
      </c>
      <c r="G1158" s="577" t="s">
        <v>162</v>
      </c>
      <c r="H1158" s="577" t="s">
        <v>3529</v>
      </c>
      <c r="I1158" s="577" t="s">
        <v>536</v>
      </c>
      <c r="J1158" s="577" t="s">
        <v>3318</v>
      </c>
      <c r="K1158" s="577" t="s">
        <v>2773</v>
      </c>
      <c r="L1158" s="577"/>
      <c r="M1158" s="387">
        <v>2</v>
      </c>
      <c r="N1158" s="387">
        <v>11</v>
      </c>
      <c r="O1158" s="387">
        <v>0</v>
      </c>
      <c r="P1158" s="387">
        <v>0</v>
      </c>
      <c r="Q1158" s="387">
        <v>0</v>
      </c>
      <c r="R1158" s="387">
        <v>0</v>
      </c>
      <c r="S1158" s="1174">
        <f>Locations[[#This Row],[Ind_Returnees]]+Locations[[#This Row],[Ind_Refugees]]+Locations[[#This Row],[Ind_IDPs]]</f>
        <v>11</v>
      </c>
    </row>
    <row r="1159" spans="1:19" x14ac:dyDescent="0.3">
      <c r="A1159" s="577" t="s">
        <v>533</v>
      </c>
      <c r="B1159" s="1430" t="s">
        <v>3449</v>
      </c>
      <c r="C1159" s="577" t="s">
        <v>534</v>
      </c>
      <c r="D1159" s="577" t="s">
        <v>35</v>
      </c>
      <c r="E1159" s="577" t="s">
        <v>35</v>
      </c>
      <c r="F1159" s="577" t="s">
        <v>567</v>
      </c>
      <c r="G1159" s="577" t="s">
        <v>190</v>
      </c>
      <c r="H1159" s="577" t="s">
        <v>190</v>
      </c>
      <c r="I1159" s="577" t="s">
        <v>800</v>
      </c>
      <c r="J1159" s="577" t="s">
        <v>2157</v>
      </c>
      <c r="K1159" s="577" t="s">
        <v>2158</v>
      </c>
      <c r="L1159" s="577"/>
      <c r="M1159" s="387">
        <v>0</v>
      </c>
      <c r="N1159" s="387">
        <v>0</v>
      </c>
      <c r="O1159" s="387">
        <v>19</v>
      </c>
      <c r="P1159" s="387">
        <v>136</v>
      </c>
      <c r="Q1159" s="387">
        <v>20</v>
      </c>
      <c r="R1159" s="387">
        <v>101</v>
      </c>
      <c r="S1159" s="1174">
        <f>Locations[[#This Row],[Ind_Returnees]]+Locations[[#This Row],[Ind_Refugees]]+Locations[[#This Row],[Ind_IDPs]]</f>
        <v>237</v>
      </c>
    </row>
    <row r="1160" spans="1:19" x14ac:dyDescent="0.3">
      <c r="A1160" s="577" t="s">
        <v>533</v>
      </c>
      <c r="B1160" s="1430" t="s">
        <v>3449</v>
      </c>
      <c r="C1160" s="577" t="s">
        <v>534</v>
      </c>
      <c r="D1160" s="577" t="s">
        <v>31</v>
      </c>
      <c r="E1160" s="577" t="s">
        <v>31</v>
      </c>
      <c r="F1160" s="577" t="s">
        <v>549</v>
      </c>
      <c r="G1160" s="577" t="s">
        <v>2797</v>
      </c>
      <c r="H1160" s="577" t="s">
        <v>3898</v>
      </c>
      <c r="I1160" s="577" t="s">
        <v>767</v>
      </c>
      <c r="J1160" s="577" t="s">
        <v>1229</v>
      </c>
      <c r="K1160" s="577" t="s">
        <v>1528</v>
      </c>
      <c r="L1160" s="577"/>
      <c r="M1160" s="387">
        <v>0</v>
      </c>
      <c r="N1160" s="387">
        <v>0</v>
      </c>
      <c r="O1160" s="387">
        <v>0</v>
      </c>
      <c r="P1160" s="387">
        <v>0</v>
      </c>
      <c r="Q1160" s="387">
        <v>0</v>
      </c>
      <c r="R1160" s="387">
        <v>0</v>
      </c>
      <c r="S1160" s="1174">
        <f>Locations[[#This Row],[Ind_Returnees]]+Locations[[#This Row],[Ind_Refugees]]+Locations[[#This Row],[Ind_IDPs]]</f>
        <v>0</v>
      </c>
    </row>
    <row r="1161" spans="1:19" x14ac:dyDescent="0.3">
      <c r="A1161" s="577" t="s">
        <v>533</v>
      </c>
      <c r="B1161" s="1430" t="s">
        <v>3449</v>
      </c>
      <c r="C1161" s="577" t="s">
        <v>534</v>
      </c>
      <c r="D1161" s="577" t="s">
        <v>31</v>
      </c>
      <c r="E1161" s="577" t="s">
        <v>31</v>
      </c>
      <c r="F1161" s="577" t="s">
        <v>549</v>
      </c>
      <c r="G1161" s="577" t="s">
        <v>164</v>
      </c>
      <c r="H1161" s="577" t="s">
        <v>164</v>
      </c>
      <c r="I1161" s="577" t="s">
        <v>748</v>
      </c>
      <c r="J1161" s="577" t="s">
        <v>1883</v>
      </c>
      <c r="K1161" s="577" t="s">
        <v>1884</v>
      </c>
      <c r="L1161" s="577"/>
      <c r="M1161" s="387">
        <v>25</v>
      </c>
      <c r="N1161" s="387">
        <v>117</v>
      </c>
      <c r="O1161" s="387">
        <v>0</v>
      </c>
      <c r="P1161" s="387">
        <v>0</v>
      </c>
      <c r="Q1161" s="387">
        <v>0</v>
      </c>
      <c r="R1161" s="387">
        <v>0</v>
      </c>
      <c r="S1161" s="1174">
        <f>Locations[[#This Row],[Ind_Returnees]]+Locations[[#This Row],[Ind_Refugees]]+Locations[[#This Row],[Ind_IDPs]]</f>
        <v>117</v>
      </c>
    </row>
    <row r="1162" spans="1:19" x14ac:dyDescent="0.3">
      <c r="A1162" s="577" t="s">
        <v>533</v>
      </c>
      <c r="B1162" s="1430" t="s">
        <v>3449</v>
      </c>
      <c r="C1162" s="577" t="s">
        <v>534</v>
      </c>
      <c r="D1162" s="577" t="s">
        <v>31</v>
      </c>
      <c r="E1162" s="577" t="s">
        <v>31</v>
      </c>
      <c r="F1162" s="577" t="s">
        <v>549</v>
      </c>
      <c r="G1162" s="577" t="s">
        <v>173</v>
      </c>
      <c r="H1162" s="577" t="s">
        <v>173</v>
      </c>
      <c r="I1162" s="577" t="s">
        <v>556</v>
      </c>
      <c r="J1162" s="577" t="s">
        <v>557</v>
      </c>
      <c r="K1162" s="577" t="s">
        <v>836</v>
      </c>
      <c r="L1162" s="577"/>
      <c r="M1162" s="387">
        <v>0</v>
      </c>
      <c r="N1162" s="387">
        <v>0</v>
      </c>
      <c r="O1162" s="387">
        <v>0</v>
      </c>
      <c r="P1162" s="387">
        <v>0</v>
      </c>
      <c r="Q1162" s="387">
        <v>0</v>
      </c>
      <c r="R1162" s="387">
        <v>0</v>
      </c>
      <c r="S1162" s="1174">
        <f>Locations[[#This Row],[Ind_Returnees]]+Locations[[#This Row],[Ind_Refugees]]+Locations[[#This Row],[Ind_IDPs]]</f>
        <v>0</v>
      </c>
    </row>
    <row r="1163" spans="1:19" x14ac:dyDescent="0.3">
      <c r="A1163" s="577" t="s">
        <v>533</v>
      </c>
      <c r="B1163" s="1430" t="s">
        <v>3449</v>
      </c>
      <c r="C1163" s="577" t="s">
        <v>534</v>
      </c>
      <c r="D1163" s="577" t="s">
        <v>31</v>
      </c>
      <c r="E1163" s="577" t="s">
        <v>31</v>
      </c>
      <c r="F1163" s="577" t="s">
        <v>549</v>
      </c>
      <c r="G1163" s="577" t="s">
        <v>173</v>
      </c>
      <c r="H1163" s="577" t="s">
        <v>173</v>
      </c>
      <c r="I1163" s="577" t="s">
        <v>556</v>
      </c>
      <c r="J1163" s="577" t="s">
        <v>835</v>
      </c>
      <c r="K1163" s="577" t="s">
        <v>1433</v>
      </c>
      <c r="L1163" s="577"/>
      <c r="M1163" s="387">
        <v>10</v>
      </c>
      <c r="N1163" s="387">
        <v>50</v>
      </c>
      <c r="O1163" s="387">
        <v>0</v>
      </c>
      <c r="P1163" s="387">
        <v>0</v>
      </c>
      <c r="Q1163" s="387">
        <v>0</v>
      </c>
      <c r="R1163" s="387">
        <v>0</v>
      </c>
      <c r="S1163" s="1174">
        <f>Locations[[#This Row],[Ind_Returnees]]+Locations[[#This Row],[Ind_Refugees]]+Locations[[#This Row],[Ind_IDPs]]</f>
        <v>50</v>
      </c>
    </row>
    <row r="1164" spans="1:19" x14ac:dyDescent="0.3">
      <c r="A1164" s="577" t="s">
        <v>533</v>
      </c>
      <c r="B1164" s="1430" t="s">
        <v>3449</v>
      </c>
      <c r="C1164" s="577" t="s">
        <v>534</v>
      </c>
      <c r="D1164" s="577" t="s">
        <v>35</v>
      </c>
      <c r="E1164" s="577" t="s">
        <v>35</v>
      </c>
      <c r="F1164" s="577" t="s">
        <v>567</v>
      </c>
      <c r="G1164" s="577" t="s">
        <v>194</v>
      </c>
      <c r="H1164" s="577" t="s">
        <v>194</v>
      </c>
      <c r="I1164" s="577" t="s">
        <v>2150</v>
      </c>
      <c r="J1164" s="577" t="s">
        <v>2177</v>
      </c>
      <c r="K1164" s="577" t="s">
        <v>2178</v>
      </c>
      <c r="L1164" s="577"/>
      <c r="M1164" s="387">
        <v>0</v>
      </c>
      <c r="N1164" s="387">
        <v>0</v>
      </c>
      <c r="O1164" s="387">
        <v>3</v>
      </c>
      <c r="P1164" s="387">
        <v>19</v>
      </c>
      <c r="Q1164" s="387">
        <v>0</v>
      </c>
      <c r="R1164" s="387">
        <v>0</v>
      </c>
      <c r="S1164" s="1174">
        <f>Locations[[#This Row],[Ind_Returnees]]+Locations[[#This Row],[Ind_Refugees]]+Locations[[#This Row],[Ind_IDPs]]</f>
        <v>19</v>
      </c>
    </row>
    <row r="1165" spans="1:19" x14ac:dyDescent="0.3">
      <c r="A1165" s="577" t="s">
        <v>533</v>
      </c>
      <c r="B1165" s="1430" t="s">
        <v>3449</v>
      </c>
      <c r="C1165" s="577" t="s">
        <v>534</v>
      </c>
      <c r="D1165" s="577" t="s">
        <v>35</v>
      </c>
      <c r="E1165" s="577" t="s">
        <v>35</v>
      </c>
      <c r="F1165" s="577" t="s">
        <v>567</v>
      </c>
      <c r="G1165" s="577" t="s">
        <v>192</v>
      </c>
      <c r="H1165" s="577" t="s">
        <v>192</v>
      </c>
      <c r="I1165" s="577" t="s">
        <v>853</v>
      </c>
      <c r="J1165" s="577" t="s">
        <v>1312</v>
      </c>
      <c r="K1165" s="577" t="s">
        <v>1403</v>
      </c>
      <c r="L1165" s="577"/>
      <c r="M1165" s="387">
        <v>132</v>
      </c>
      <c r="N1165" s="387">
        <v>583</v>
      </c>
      <c r="O1165" s="387">
        <v>0</v>
      </c>
      <c r="P1165" s="387">
        <v>0</v>
      </c>
      <c r="Q1165" s="387">
        <v>0</v>
      </c>
      <c r="R1165" s="387">
        <v>0</v>
      </c>
      <c r="S1165" s="1174">
        <f>Locations[[#This Row],[Ind_Returnees]]+Locations[[#This Row],[Ind_Refugees]]+Locations[[#This Row],[Ind_IDPs]]</f>
        <v>583</v>
      </c>
    </row>
    <row r="1166" spans="1:19" x14ac:dyDescent="0.3">
      <c r="A1166" s="577" t="s">
        <v>533</v>
      </c>
      <c r="B1166" s="1430" t="s">
        <v>3449</v>
      </c>
      <c r="C1166" s="577" t="s">
        <v>534</v>
      </c>
      <c r="D1166" s="577" t="s">
        <v>31</v>
      </c>
      <c r="E1166" s="577" t="s">
        <v>31</v>
      </c>
      <c r="F1166" s="577" t="s">
        <v>549</v>
      </c>
      <c r="G1166" s="577" t="s">
        <v>2797</v>
      </c>
      <c r="H1166" s="577" t="s">
        <v>3898</v>
      </c>
      <c r="I1166" s="577" t="s">
        <v>767</v>
      </c>
      <c r="J1166" s="577" t="s">
        <v>2538</v>
      </c>
      <c r="K1166" s="577" t="s">
        <v>1485</v>
      </c>
      <c r="L1166" s="577"/>
      <c r="M1166" s="387">
        <v>34</v>
      </c>
      <c r="N1166" s="387">
        <v>295</v>
      </c>
      <c r="O1166" s="387">
        <v>0</v>
      </c>
      <c r="P1166" s="387">
        <v>0</v>
      </c>
      <c r="Q1166" s="387">
        <v>90</v>
      </c>
      <c r="R1166" s="387">
        <v>472</v>
      </c>
      <c r="S1166" s="1174">
        <f>Locations[[#This Row],[Ind_Returnees]]+Locations[[#This Row],[Ind_Refugees]]+Locations[[#This Row],[Ind_IDPs]]</f>
        <v>767</v>
      </c>
    </row>
    <row r="1167" spans="1:19" x14ac:dyDescent="0.3">
      <c r="A1167" s="577" t="s">
        <v>533</v>
      </c>
      <c r="B1167" s="1430" t="s">
        <v>3449</v>
      </c>
      <c r="C1167" s="577" t="s">
        <v>534</v>
      </c>
      <c r="D1167" s="577" t="s">
        <v>30</v>
      </c>
      <c r="E1167" s="577" t="s">
        <v>3522</v>
      </c>
      <c r="F1167" s="577" t="s">
        <v>535</v>
      </c>
      <c r="G1167" s="577" t="s">
        <v>162</v>
      </c>
      <c r="H1167" s="577" t="s">
        <v>3529</v>
      </c>
      <c r="I1167" s="577" t="s">
        <v>536</v>
      </c>
      <c r="J1167" s="577" t="s">
        <v>654</v>
      </c>
      <c r="K1167" s="577" t="s">
        <v>651</v>
      </c>
      <c r="L1167" s="577"/>
      <c r="M1167" s="387">
        <v>8</v>
      </c>
      <c r="N1167" s="387">
        <v>53</v>
      </c>
      <c r="O1167" s="387">
        <v>0</v>
      </c>
      <c r="P1167" s="387">
        <v>0</v>
      </c>
      <c r="Q1167" s="387">
        <v>0</v>
      </c>
      <c r="R1167" s="387">
        <v>0</v>
      </c>
      <c r="S1167" s="1174">
        <f>Locations[[#This Row],[Ind_Returnees]]+Locations[[#This Row],[Ind_Refugees]]+Locations[[#This Row],[Ind_IDPs]]</f>
        <v>53</v>
      </c>
    </row>
    <row r="1168" spans="1:19" x14ac:dyDescent="0.3">
      <c r="A1168" s="577" t="s">
        <v>533</v>
      </c>
      <c r="B1168" s="1430" t="s">
        <v>3449</v>
      </c>
      <c r="C1168" s="577" t="s">
        <v>534</v>
      </c>
      <c r="D1168" s="577" t="s">
        <v>33</v>
      </c>
      <c r="E1168" s="577" t="s">
        <v>33</v>
      </c>
      <c r="F1168" s="577" t="s">
        <v>561</v>
      </c>
      <c r="G1168" s="577" t="s">
        <v>183</v>
      </c>
      <c r="H1168" s="577" t="s">
        <v>183</v>
      </c>
      <c r="I1168" s="577" t="s">
        <v>562</v>
      </c>
      <c r="J1168" s="577" t="s">
        <v>1710</v>
      </c>
      <c r="K1168" s="577" t="s">
        <v>1711</v>
      </c>
      <c r="L1168" s="577"/>
      <c r="M1168" s="387">
        <v>0</v>
      </c>
      <c r="N1168" s="387">
        <v>0</v>
      </c>
      <c r="O1168" s="387">
        <v>6</v>
      </c>
      <c r="P1168" s="387">
        <v>45</v>
      </c>
      <c r="Q1168" s="387">
        <v>0</v>
      </c>
      <c r="R1168" s="387">
        <v>0</v>
      </c>
      <c r="S1168" s="1174">
        <f>Locations[[#This Row],[Ind_Returnees]]+Locations[[#This Row],[Ind_Refugees]]+Locations[[#This Row],[Ind_IDPs]]</f>
        <v>45</v>
      </c>
    </row>
    <row r="1169" spans="1:19" x14ac:dyDescent="0.3">
      <c r="A1169" s="577" t="s">
        <v>533</v>
      </c>
      <c r="B1169" s="1430" t="s">
        <v>3449</v>
      </c>
      <c r="C1169" s="577" t="s">
        <v>534</v>
      </c>
      <c r="D1169" s="577" t="s">
        <v>31</v>
      </c>
      <c r="E1169" s="577" t="s">
        <v>31</v>
      </c>
      <c r="F1169" s="577" t="s">
        <v>549</v>
      </c>
      <c r="G1169" s="577" t="s">
        <v>169</v>
      </c>
      <c r="H1169" s="577" t="s">
        <v>169</v>
      </c>
      <c r="I1169" s="577" t="s">
        <v>673</v>
      </c>
      <c r="J1169" s="577" t="s">
        <v>3016</v>
      </c>
      <c r="K1169" s="577" t="s">
        <v>1634</v>
      </c>
      <c r="L1169" s="577"/>
      <c r="M1169" s="387">
        <v>11</v>
      </c>
      <c r="N1169" s="387">
        <v>42</v>
      </c>
      <c r="O1169" s="387">
        <v>32</v>
      </c>
      <c r="P1169" s="387">
        <v>224</v>
      </c>
      <c r="Q1169" s="387">
        <v>44</v>
      </c>
      <c r="R1169" s="387">
        <v>89</v>
      </c>
      <c r="S1169" s="1174">
        <f>Locations[[#This Row],[Ind_Returnees]]+Locations[[#This Row],[Ind_Refugees]]+Locations[[#This Row],[Ind_IDPs]]</f>
        <v>355</v>
      </c>
    </row>
    <row r="1170" spans="1:19" x14ac:dyDescent="0.3">
      <c r="A1170" s="577" t="s">
        <v>533</v>
      </c>
      <c r="B1170" s="1430" t="s">
        <v>3449</v>
      </c>
      <c r="C1170" s="577" t="s">
        <v>534</v>
      </c>
      <c r="D1170" s="577" t="s">
        <v>31</v>
      </c>
      <c r="E1170" s="577" t="s">
        <v>31</v>
      </c>
      <c r="F1170" s="577" t="s">
        <v>549</v>
      </c>
      <c r="G1170" s="577" t="s">
        <v>167</v>
      </c>
      <c r="H1170" s="577" t="s">
        <v>167</v>
      </c>
      <c r="I1170" s="577" t="s">
        <v>1113</v>
      </c>
      <c r="J1170" s="577" t="s">
        <v>1937</v>
      </c>
      <c r="K1170" s="577" t="s">
        <v>2531</v>
      </c>
      <c r="L1170" s="577"/>
      <c r="M1170" s="387">
        <v>40</v>
      </c>
      <c r="N1170" s="387">
        <v>40</v>
      </c>
      <c r="O1170" s="387">
        <v>0</v>
      </c>
      <c r="P1170" s="387">
        <v>0</v>
      </c>
      <c r="Q1170" s="387">
        <v>0</v>
      </c>
      <c r="R1170" s="387">
        <v>0</v>
      </c>
      <c r="S1170" s="1174">
        <f>Locations[[#This Row],[Ind_Returnees]]+Locations[[#This Row],[Ind_Refugees]]+Locations[[#This Row],[Ind_IDPs]]</f>
        <v>40</v>
      </c>
    </row>
    <row r="1171" spans="1:19" x14ac:dyDescent="0.3">
      <c r="A1171" s="577" t="s">
        <v>533</v>
      </c>
      <c r="B1171" s="1430" t="s">
        <v>3449</v>
      </c>
      <c r="C1171" s="577" t="s">
        <v>534</v>
      </c>
      <c r="D1171" s="577" t="s">
        <v>31</v>
      </c>
      <c r="E1171" s="577" t="s">
        <v>31</v>
      </c>
      <c r="F1171" s="577" t="s">
        <v>549</v>
      </c>
      <c r="G1171" s="577" t="s">
        <v>171</v>
      </c>
      <c r="H1171" s="577" t="s">
        <v>171</v>
      </c>
      <c r="I1171" s="577" t="s">
        <v>634</v>
      </c>
      <c r="J1171" s="577" t="s">
        <v>2159</v>
      </c>
      <c r="K1171" s="577" t="s">
        <v>1364</v>
      </c>
      <c r="L1171" s="577"/>
      <c r="M1171" s="387">
        <v>61</v>
      </c>
      <c r="N1171" s="387">
        <v>542</v>
      </c>
      <c r="O1171" s="387">
        <v>0</v>
      </c>
      <c r="P1171" s="387">
        <v>0</v>
      </c>
      <c r="Q1171" s="387">
        <v>0</v>
      </c>
      <c r="R1171" s="387">
        <v>0</v>
      </c>
      <c r="S1171" s="1174">
        <f>Locations[[#This Row],[Ind_Returnees]]+Locations[[#This Row],[Ind_Refugees]]+Locations[[#This Row],[Ind_IDPs]]</f>
        <v>542</v>
      </c>
    </row>
    <row r="1172" spans="1:19" x14ac:dyDescent="0.3">
      <c r="A1172" s="577" t="s">
        <v>533</v>
      </c>
      <c r="B1172" s="1430" t="s">
        <v>3449</v>
      </c>
      <c r="C1172" s="577" t="s">
        <v>534</v>
      </c>
      <c r="D1172" s="577" t="s">
        <v>31</v>
      </c>
      <c r="E1172" s="577" t="s">
        <v>31</v>
      </c>
      <c r="F1172" s="577" t="s">
        <v>549</v>
      </c>
      <c r="G1172" s="577" t="s">
        <v>171</v>
      </c>
      <c r="H1172" s="577" t="s">
        <v>171</v>
      </c>
      <c r="I1172" s="577" t="s">
        <v>634</v>
      </c>
      <c r="J1172" s="577" t="s">
        <v>1980</v>
      </c>
      <c r="K1172" s="577" t="s">
        <v>1366</v>
      </c>
      <c r="L1172" s="577"/>
      <c r="M1172" s="387">
        <v>57</v>
      </c>
      <c r="N1172" s="387">
        <v>555</v>
      </c>
      <c r="O1172" s="387">
        <v>0</v>
      </c>
      <c r="P1172" s="387">
        <v>0</v>
      </c>
      <c r="Q1172" s="387">
        <v>0</v>
      </c>
      <c r="R1172" s="387">
        <v>0</v>
      </c>
      <c r="S1172" s="1174">
        <f>Locations[[#This Row],[Ind_Returnees]]+Locations[[#This Row],[Ind_Refugees]]+Locations[[#This Row],[Ind_IDPs]]</f>
        <v>555</v>
      </c>
    </row>
    <row r="1173" spans="1:19" x14ac:dyDescent="0.3">
      <c r="A1173" s="577" t="s">
        <v>533</v>
      </c>
      <c r="B1173" s="1430" t="s">
        <v>3449</v>
      </c>
      <c r="C1173" s="577" t="s">
        <v>534</v>
      </c>
      <c r="D1173" s="577" t="s">
        <v>34</v>
      </c>
      <c r="E1173" s="577" t="s">
        <v>34</v>
      </c>
      <c r="F1173" s="577" t="s">
        <v>539</v>
      </c>
      <c r="G1173" s="577" t="s">
        <v>189</v>
      </c>
      <c r="H1173" s="577" t="s">
        <v>189</v>
      </c>
      <c r="I1173" s="577" t="s">
        <v>590</v>
      </c>
      <c r="J1173" s="577" t="s">
        <v>1054</v>
      </c>
      <c r="K1173" s="577" t="s">
        <v>1055</v>
      </c>
      <c r="L1173" s="577"/>
      <c r="M1173" s="387">
        <v>30</v>
      </c>
      <c r="N1173" s="387">
        <v>299</v>
      </c>
      <c r="O1173" s="387">
        <v>0</v>
      </c>
      <c r="P1173" s="387">
        <v>0</v>
      </c>
      <c r="Q1173" s="387">
        <v>0</v>
      </c>
      <c r="R1173" s="387">
        <v>0</v>
      </c>
      <c r="S1173" s="1174">
        <f>Locations[[#This Row],[Ind_Returnees]]+Locations[[#This Row],[Ind_Refugees]]+Locations[[#This Row],[Ind_IDPs]]</f>
        <v>299</v>
      </c>
    </row>
    <row r="1174" spans="1:19" x14ac:dyDescent="0.3">
      <c r="A1174" s="577" t="s">
        <v>533</v>
      </c>
      <c r="B1174" s="1430" t="s">
        <v>3449</v>
      </c>
      <c r="C1174" s="577" t="s">
        <v>534</v>
      </c>
      <c r="D1174" s="577" t="s">
        <v>31</v>
      </c>
      <c r="E1174" s="577" t="s">
        <v>31</v>
      </c>
      <c r="F1174" s="577" t="s">
        <v>549</v>
      </c>
      <c r="G1174" s="577" t="s">
        <v>169</v>
      </c>
      <c r="H1174" s="577" t="s">
        <v>169</v>
      </c>
      <c r="I1174" s="577" t="s">
        <v>673</v>
      </c>
      <c r="J1174" s="577" t="s">
        <v>3319</v>
      </c>
      <c r="K1174" s="577" t="s">
        <v>3083</v>
      </c>
      <c r="L1174" s="577"/>
      <c r="M1174" s="387">
        <v>0</v>
      </c>
      <c r="N1174" s="387">
        <v>0</v>
      </c>
      <c r="O1174" s="387">
        <v>0</v>
      </c>
      <c r="P1174" s="387">
        <v>0</v>
      </c>
      <c r="Q1174" s="387">
        <v>10</v>
      </c>
      <c r="R1174" s="387">
        <v>63</v>
      </c>
      <c r="S1174" s="1174">
        <f>Locations[[#This Row],[Ind_Returnees]]+Locations[[#This Row],[Ind_Refugees]]+Locations[[#This Row],[Ind_IDPs]]</f>
        <v>63</v>
      </c>
    </row>
    <row r="1175" spans="1:19" x14ac:dyDescent="0.3">
      <c r="A1175" s="577" t="s">
        <v>533</v>
      </c>
      <c r="B1175" s="1430" t="s">
        <v>3449</v>
      </c>
      <c r="C1175" s="577" t="s">
        <v>534</v>
      </c>
      <c r="D1175" s="577" t="s">
        <v>31</v>
      </c>
      <c r="E1175" s="577" t="s">
        <v>31</v>
      </c>
      <c r="F1175" s="577" t="s">
        <v>549</v>
      </c>
      <c r="G1175" s="577" t="s">
        <v>169</v>
      </c>
      <c r="H1175" s="577" t="s">
        <v>169</v>
      </c>
      <c r="I1175" s="577" t="s">
        <v>673</v>
      </c>
      <c r="J1175" s="577" t="s">
        <v>3320</v>
      </c>
      <c r="K1175" s="577" t="s">
        <v>3084</v>
      </c>
      <c r="L1175" s="577"/>
      <c r="M1175" s="387">
        <v>0</v>
      </c>
      <c r="N1175" s="387">
        <v>0</v>
      </c>
      <c r="O1175" s="387">
        <v>0</v>
      </c>
      <c r="P1175" s="387">
        <v>0</v>
      </c>
      <c r="Q1175" s="387">
        <v>20</v>
      </c>
      <c r="R1175" s="387">
        <v>97</v>
      </c>
      <c r="S1175" s="1174">
        <f>Locations[[#This Row],[Ind_Returnees]]+Locations[[#This Row],[Ind_Refugees]]+Locations[[#This Row],[Ind_IDPs]]</f>
        <v>97</v>
      </c>
    </row>
    <row r="1176" spans="1:19" x14ac:dyDescent="0.3">
      <c r="A1176" s="577" t="s">
        <v>533</v>
      </c>
      <c r="B1176" s="1430" t="s">
        <v>3449</v>
      </c>
      <c r="C1176" s="577" t="s">
        <v>534</v>
      </c>
      <c r="D1176" s="577" t="s">
        <v>31</v>
      </c>
      <c r="E1176" s="577" t="s">
        <v>31</v>
      </c>
      <c r="F1176" s="577" t="s">
        <v>549</v>
      </c>
      <c r="G1176" s="577" t="s">
        <v>167</v>
      </c>
      <c r="H1176" s="577" t="s">
        <v>167</v>
      </c>
      <c r="I1176" s="577" t="s">
        <v>1113</v>
      </c>
      <c r="J1176" s="577" t="s">
        <v>2534</v>
      </c>
      <c r="K1176" s="577" t="s">
        <v>1902</v>
      </c>
      <c r="L1176" s="577"/>
      <c r="M1176" s="387">
        <v>0</v>
      </c>
      <c r="N1176" s="387">
        <v>0</v>
      </c>
      <c r="O1176" s="387">
        <v>5</v>
      </c>
      <c r="P1176" s="387">
        <v>15</v>
      </c>
      <c r="Q1176" s="387">
        <v>0</v>
      </c>
      <c r="R1176" s="387">
        <v>0</v>
      </c>
      <c r="S1176" s="1174">
        <f>Locations[[#This Row],[Ind_Returnees]]+Locations[[#This Row],[Ind_Refugees]]+Locations[[#This Row],[Ind_IDPs]]</f>
        <v>15</v>
      </c>
    </row>
    <row r="1177" spans="1:19" x14ac:dyDescent="0.3">
      <c r="A1177" s="577" t="s">
        <v>533</v>
      </c>
      <c r="B1177" s="1430" t="s">
        <v>3449</v>
      </c>
      <c r="C1177" s="577" t="s">
        <v>534</v>
      </c>
      <c r="D1177" s="577" t="s">
        <v>34</v>
      </c>
      <c r="E1177" s="577" t="s">
        <v>34</v>
      </c>
      <c r="F1177" s="577" t="s">
        <v>539</v>
      </c>
      <c r="G1177" s="577" t="s">
        <v>189</v>
      </c>
      <c r="H1177" s="577" t="s">
        <v>189</v>
      </c>
      <c r="I1177" s="577" t="s">
        <v>590</v>
      </c>
      <c r="J1177" s="577" t="s">
        <v>1373</v>
      </c>
      <c r="K1177" s="577" t="s">
        <v>1374</v>
      </c>
      <c r="L1177" s="577"/>
      <c r="M1177" s="387">
        <v>38</v>
      </c>
      <c r="N1177" s="387">
        <v>319</v>
      </c>
      <c r="O1177" s="387">
        <v>0</v>
      </c>
      <c r="P1177" s="387">
        <v>0</v>
      </c>
      <c r="Q1177" s="387">
        <v>0</v>
      </c>
      <c r="R1177" s="387">
        <v>0</v>
      </c>
      <c r="S1177" s="1174">
        <f>Locations[[#This Row],[Ind_Returnees]]+Locations[[#This Row],[Ind_Refugees]]+Locations[[#This Row],[Ind_IDPs]]</f>
        <v>319</v>
      </c>
    </row>
    <row r="1178" spans="1:19" x14ac:dyDescent="0.3">
      <c r="A1178" s="577" t="s">
        <v>533</v>
      </c>
      <c r="B1178" s="1430" t="s">
        <v>3449</v>
      </c>
      <c r="C1178" s="577" t="s">
        <v>534</v>
      </c>
      <c r="D1178" s="577" t="s">
        <v>34</v>
      </c>
      <c r="E1178" s="577" t="s">
        <v>34</v>
      </c>
      <c r="F1178" s="577" t="s">
        <v>539</v>
      </c>
      <c r="G1178" s="577" t="s">
        <v>187</v>
      </c>
      <c r="H1178" s="577" t="s">
        <v>187</v>
      </c>
      <c r="I1178" s="577" t="s">
        <v>951</v>
      </c>
      <c r="J1178" s="577" t="s">
        <v>3017</v>
      </c>
      <c r="K1178" s="577" t="s">
        <v>1616</v>
      </c>
      <c r="L1178" s="577"/>
      <c r="M1178" s="387">
        <v>595</v>
      </c>
      <c r="N1178" s="387">
        <v>4043</v>
      </c>
      <c r="O1178" s="387">
        <v>0</v>
      </c>
      <c r="P1178" s="387">
        <v>0</v>
      </c>
      <c r="Q1178" s="387">
        <v>75</v>
      </c>
      <c r="R1178" s="387">
        <v>452</v>
      </c>
      <c r="S1178" s="1174">
        <f>Locations[[#This Row],[Ind_Returnees]]+Locations[[#This Row],[Ind_Refugees]]+Locations[[#This Row],[Ind_IDPs]]</f>
        <v>4495</v>
      </c>
    </row>
    <row r="1179" spans="1:19" x14ac:dyDescent="0.3">
      <c r="A1179" s="577" t="s">
        <v>533</v>
      </c>
      <c r="B1179" s="1430" t="s">
        <v>3449</v>
      </c>
      <c r="C1179" s="577" t="s">
        <v>534</v>
      </c>
      <c r="D1179" s="577" t="s">
        <v>35</v>
      </c>
      <c r="E1179" s="577" t="s">
        <v>35</v>
      </c>
      <c r="F1179" s="577" t="s">
        <v>567</v>
      </c>
      <c r="G1179" s="577" t="s">
        <v>195</v>
      </c>
      <c r="H1179" s="577" t="s">
        <v>195</v>
      </c>
      <c r="I1179" s="577" t="s">
        <v>733</v>
      </c>
      <c r="J1179" s="577" t="s">
        <v>1906</v>
      </c>
      <c r="K1179" s="577" t="s">
        <v>1839</v>
      </c>
      <c r="L1179" s="577"/>
      <c r="M1179" s="387">
        <v>47</v>
      </c>
      <c r="N1179" s="387">
        <v>277</v>
      </c>
      <c r="O1179" s="387">
        <v>23</v>
      </c>
      <c r="P1179" s="387">
        <v>107</v>
      </c>
      <c r="Q1179" s="387">
        <v>3</v>
      </c>
      <c r="R1179" s="387">
        <v>9</v>
      </c>
      <c r="S1179" s="1174">
        <f>Locations[[#This Row],[Ind_Returnees]]+Locations[[#This Row],[Ind_Refugees]]+Locations[[#This Row],[Ind_IDPs]]</f>
        <v>393</v>
      </c>
    </row>
    <row r="1180" spans="1:19" x14ac:dyDescent="0.3">
      <c r="A1180" s="577" t="s">
        <v>533</v>
      </c>
      <c r="B1180" s="1430" t="s">
        <v>3449</v>
      </c>
      <c r="C1180" s="577" t="s">
        <v>534</v>
      </c>
      <c r="D1180" s="577" t="s">
        <v>31</v>
      </c>
      <c r="E1180" s="577" t="s">
        <v>31</v>
      </c>
      <c r="F1180" s="577" t="s">
        <v>549</v>
      </c>
      <c r="G1180" s="577" t="s">
        <v>165</v>
      </c>
      <c r="H1180" s="577" t="s">
        <v>165</v>
      </c>
      <c r="I1180" s="577" t="s">
        <v>881</v>
      </c>
      <c r="J1180" s="577" t="s">
        <v>1000</v>
      </c>
      <c r="K1180" s="577" t="s">
        <v>2025</v>
      </c>
      <c r="L1180" s="577"/>
      <c r="M1180" s="387">
        <v>0</v>
      </c>
      <c r="N1180" s="387">
        <v>0</v>
      </c>
      <c r="O1180" s="387">
        <v>0</v>
      </c>
      <c r="P1180" s="387">
        <v>0</v>
      </c>
      <c r="Q1180" s="387">
        <v>0</v>
      </c>
      <c r="R1180" s="387">
        <v>0</v>
      </c>
      <c r="S1180" s="1174">
        <f>Locations[[#This Row],[Ind_Returnees]]+Locations[[#This Row],[Ind_Refugees]]+Locations[[#This Row],[Ind_IDPs]]</f>
        <v>0</v>
      </c>
    </row>
    <row r="1181" spans="1:19" x14ac:dyDescent="0.3">
      <c r="A1181" s="577" t="s">
        <v>533</v>
      </c>
      <c r="B1181" s="1430" t="s">
        <v>3449</v>
      </c>
      <c r="C1181" s="577" t="s">
        <v>534</v>
      </c>
      <c r="D1181" s="577" t="s">
        <v>35</v>
      </c>
      <c r="E1181" s="577" t="s">
        <v>35</v>
      </c>
      <c r="F1181" s="577" t="s">
        <v>567</v>
      </c>
      <c r="G1181" s="577" t="s">
        <v>195</v>
      </c>
      <c r="H1181" s="577" t="s">
        <v>195</v>
      </c>
      <c r="I1181" s="577" t="s">
        <v>733</v>
      </c>
      <c r="J1181" s="577" t="s">
        <v>2114</v>
      </c>
      <c r="K1181" s="577" t="s">
        <v>1777</v>
      </c>
      <c r="L1181" s="577"/>
      <c r="M1181" s="387">
        <v>0</v>
      </c>
      <c r="N1181" s="387">
        <v>0</v>
      </c>
      <c r="O1181" s="387">
        <v>0</v>
      </c>
      <c r="P1181" s="387">
        <v>0</v>
      </c>
      <c r="Q1181" s="387">
        <v>0</v>
      </c>
      <c r="R1181" s="387">
        <v>0</v>
      </c>
      <c r="S1181" s="1174">
        <f>Locations[[#This Row],[Ind_Returnees]]+Locations[[#This Row],[Ind_Refugees]]+Locations[[#This Row],[Ind_IDPs]]</f>
        <v>0</v>
      </c>
    </row>
    <row r="1182" spans="1:19" x14ac:dyDescent="0.3">
      <c r="A1182" s="577" t="s">
        <v>533</v>
      </c>
      <c r="B1182" s="1430" t="s">
        <v>3449</v>
      </c>
      <c r="C1182" s="577" t="s">
        <v>534</v>
      </c>
      <c r="D1182" s="577" t="s">
        <v>31</v>
      </c>
      <c r="E1182" s="577" t="s">
        <v>31</v>
      </c>
      <c r="F1182" s="577" t="s">
        <v>549</v>
      </c>
      <c r="G1182" s="577" t="s">
        <v>172</v>
      </c>
      <c r="H1182" s="577" t="s">
        <v>172</v>
      </c>
      <c r="I1182" s="577" t="s">
        <v>706</v>
      </c>
      <c r="J1182" s="577" t="s">
        <v>2700</v>
      </c>
      <c r="K1182" s="577" t="s">
        <v>1194</v>
      </c>
      <c r="L1182" s="577"/>
      <c r="M1182" s="387">
        <v>69</v>
      </c>
      <c r="N1182" s="387">
        <v>512</v>
      </c>
      <c r="O1182" s="387">
        <v>15</v>
      </c>
      <c r="P1182" s="387">
        <v>120</v>
      </c>
      <c r="Q1182" s="387">
        <v>0</v>
      </c>
      <c r="R1182" s="387">
        <v>0</v>
      </c>
      <c r="S1182" s="1174">
        <f>Locations[[#This Row],[Ind_Returnees]]+Locations[[#This Row],[Ind_Refugees]]+Locations[[#This Row],[Ind_IDPs]]</f>
        <v>632</v>
      </c>
    </row>
    <row r="1183" spans="1:19" x14ac:dyDescent="0.3">
      <c r="A1183" s="577" t="s">
        <v>533</v>
      </c>
      <c r="B1183" s="1430" t="s">
        <v>3449</v>
      </c>
      <c r="C1183" s="577" t="s">
        <v>534</v>
      </c>
      <c r="D1183" s="577" t="s">
        <v>31</v>
      </c>
      <c r="E1183" s="577" t="s">
        <v>31</v>
      </c>
      <c r="F1183" s="577" t="s">
        <v>549</v>
      </c>
      <c r="G1183" s="577" t="s">
        <v>172</v>
      </c>
      <c r="H1183" s="577" t="s">
        <v>172</v>
      </c>
      <c r="I1183" s="577" t="s">
        <v>706</v>
      </c>
      <c r="J1183" s="577" t="s">
        <v>1160</v>
      </c>
      <c r="K1183" s="577" t="s">
        <v>1126</v>
      </c>
      <c r="L1183" s="577"/>
      <c r="M1183" s="387">
        <v>9</v>
      </c>
      <c r="N1183" s="387">
        <v>52</v>
      </c>
      <c r="O1183" s="387">
        <v>13</v>
      </c>
      <c r="P1183" s="387">
        <v>91</v>
      </c>
      <c r="Q1183" s="387">
        <v>15</v>
      </c>
      <c r="R1183" s="387">
        <v>65</v>
      </c>
      <c r="S1183" s="1174">
        <f>Locations[[#This Row],[Ind_Returnees]]+Locations[[#This Row],[Ind_Refugees]]+Locations[[#This Row],[Ind_IDPs]]</f>
        <v>208</v>
      </c>
    </row>
    <row r="1184" spans="1:19" x14ac:dyDescent="0.3">
      <c r="A1184" s="577" t="s">
        <v>533</v>
      </c>
      <c r="B1184" s="1430" t="s">
        <v>3449</v>
      </c>
      <c r="C1184" s="577" t="s">
        <v>534</v>
      </c>
      <c r="D1184" s="577" t="s">
        <v>35</v>
      </c>
      <c r="E1184" s="577" t="s">
        <v>35</v>
      </c>
      <c r="F1184" s="577" t="s">
        <v>567</v>
      </c>
      <c r="G1184" s="577" t="s">
        <v>195</v>
      </c>
      <c r="H1184" s="577" t="s">
        <v>195</v>
      </c>
      <c r="I1184" s="577" t="s">
        <v>733</v>
      </c>
      <c r="J1184" s="577" t="s">
        <v>792</v>
      </c>
      <c r="K1184" s="577" t="s">
        <v>1428</v>
      </c>
      <c r="L1184" s="577"/>
      <c r="M1184" s="387">
        <v>643</v>
      </c>
      <c r="N1184" s="387">
        <v>7966</v>
      </c>
      <c r="O1184" s="387">
        <v>260</v>
      </c>
      <c r="P1184" s="387">
        <v>1296</v>
      </c>
      <c r="Q1184" s="387">
        <v>0</v>
      </c>
      <c r="R1184" s="387">
        <v>0</v>
      </c>
      <c r="S1184" s="1174">
        <f>Locations[[#This Row],[Ind_Returnees]]+Locations[[#This Row],[Ind_Refugees]]+Locations[[#This Row],[Ind_IDPs]]</f>
        <v>9262</v>
      </c>
    </row>
    <row r="1185" spans="1:19" x14ac:dyDescent="0.3">
      <c r="A1185" s="577" t="s">
        <v>533</v>
      </c>
      <c r="B1185" s="1430" t="s">
        <v>3449</v>
      </c>
      <c r="C1185" s="577" t="s">
        <v>534</v>
      </c>
      <c r="D1185" s="577" t="s">
        <v>34</v>
      </c>
      <c r="E1185" s="577" t="s">
        <v>34</v>
      </c>
      <c r="F1185" s="577" t="s">
        <v>539</v>
      </c>
      <c r="G1185" s="577" t="s">
        <v>188</v>
      </c>
      <c r="H1185" s="577" t="s">
        <v>188</v>
      </c>
      <c r="I1185" s="577" t="s">
        <v>546</v>
      </c>
      <c r="J1185" s="577" t="s">
        <v>1437</v>
      </c>
      <c r="K1185" s="577" t="s">
        <v>554</v>
      </c>
      <c r="L1185" s="577"/>
      <c r="M1185" s="387">
        <v>7</v>
      </c>
      <c r="N1185" s="387">
        <v>41</v>
      </c>
      <c r="O1185" s="387">
        <v>42</v>
      </c>
      <c r="P1185" s="387">
        <v>363</v>
      </c>
      <c r="Q1185" s="387">
        <v>0</v>
      </c>
      <c r="R1185" s="387">
        <v>0</v>
      </c>
      <c r="S1185" s="1174">
        <f>Locations[[#This Row],[Ind_Returnees]]+Locations[[#This Row],[Ind_Refugees]]+Locations[[#This Row],[Ind_IDPs]]</f>
        <v>404</v>
      </c>
    </row>
    <row r="1186" spans="1:19" x14ac:dyDescent="0.3">
      <c r="A1186" s="577" t="s">
        <v>533</v>
      </c>
      <c r="B1186" s="1430" t="s">
        <v>3449</v>
      </c>
      <c r="C1186" s="577" t="s">
        <v>534</v>
      </c>
      <c r="D1186" s="577" t="s">
        <v>30</v>
      </c>
      <c r="E1186" s="577" t="s">
        <v>3522</v>
      </c>
      <c r="F1186" s="577" t="s">
        <v>535</v>
      </c>
      <c r="G1186" s="577" t="s">
        <v>162</v>
      </c>
      <c r="H1186" s="577" t="s">
        <v>3529</v>
      </c>
      <c r="I1186" s="577" t="s">
        <v>536</v>
      </c>
      <c r="J1186" s="577" t="s">
        <v>3018</v>
      </c>
      <c r="K1186" s="577" t="s">
        <v>653</v>
      </c>
      <c r="L1186" s="577"/>
      <c r="M1186" s="387">
        <v>3</v>
      </c>
      <c r="N1186" s="387">
        <v>21</v>
      </c>
      <c r="O1186" s="387">
        <v>0</v>
      </c>
      <c r="P1186" s="387">
        <v>0</v>
      </c>
      <c r="Q1186" s="387">
        <v>0</v>
      </c>
      <c r="R1186" s="387">
        <v>0</v>
      </c>
      <c r="S1186" s="1174">
        <f>Locations[[#This Row],[Ind_Returnees]]+Locations[[#This Row],[Ind_Refugees]]+Locations[[#This Row],[Ind_IDPs]]</f>
        <v>21</v>
      </c>
    </row>
    <row r="1187" spans="1:19" x14ac:dyDescent="0.3">
      <c r="A1187" s="577" t="s">
        <v>533</v>
      </c>
      <c r="B1187" s="1430" t="s">
        <v>3449</v>
      </c>
      <c r="C1187" s="577" t="s">
        <v>534</v>
      </c>
      <c r="D1187" s="577" t="s">
        <v>31</v>
      </c>
      <c r="E1187" s="577" t="s">
        <v>31</v>
      </c>
      <c r="F1187" s="577" t="s">
        <v>549</v>
      </c>
      <c r="G1187" s="577" t="s">
        <v>167</v>
      </c>
      <c r="H1187" s="577" t="s">
        <v>167</v>
      </c>
      <c r="I1187" s="577" t="s">
        <v>1113</v>
      </c>
      <c r="J1187" s="577" t="s">
        <v>1950</v>
      </c>
      <c r="K1187" s="577" t="s">
        <v>1911</v>
      </c>
      <c r="L1187" s="577"/>
      <c r="M1187" s="387">
        <v>10</v>
      </c>
      <c r="N1187" s="387">
        <v>50</v>
      </c>
      <c r="O1187" s="387">
        <v>0</v>
      </c>
      <c r="P1187" s="387">
        <v>0</v>
      </c>
      <c r="Q1187" s="387">
        <v>0</v>
      </c>
      <c r="R1187" s="387">
        <v>0</v>
      </c>
      <c r="S1187" s="1174">
        <f>Locations[[#This Row],[Ind_Returnees]]+Locations[[#This Row],[Ind_Refugees]]+Locations[[#This Row],[Ind_IDPs]]</f>
        <v>50</v>
      </c>
    </row>
    <row r="1188" spans="1:19" x14ac:dyDescent="0.3">
      <c r="A1188" s="577" t="s">
        <v>533</v>
      </c>
      <c r="B1188" s="1430" t="s">
        <v>3449</v>
      </c>
      <c r="C1188" s="577" t="s">
        <v>534</v>
      </c>
      <c r="D1188" s="577" t="s">
        <v>33</v>
      </c>
      <c r="E1188" s="577" t="s">
        <v>33</v>
      </c>
      <c r="F1188" s="577" t="s">
        <v>561</v>
      </c>
      <c r="G1188" s="577" t="s">
        <v>185</v>
      </c>
      <c r="H1188" s="577" t="s">
        <v>185</v>
      </c>
      <c r="I1188" s="577" t="s">
        <v>656</v>
      </c>
      <c r="J1188" s="577" t="s">
        <v>746</v>
      </c>
      <c r="K1188" s="577" t="s">
        <v>747</v>
      </c>
      <c r="L1188" s="577"/>
      <c r="M1188" s="387">
        <v>17</v>
      </c>
      <c r="N1188" s="387">
        <v>240</v>
      </c>
      <c r="O1188" s="387">
        <v>0</v>
      </c>
      <c r="P1188" s="387">
        <v>0</v>
      </c>
      <c r="Q1188" s="387">
        <v>0</v>
      </c>
      <c r="R1188" s="387">
        <v>0</v>
      </c>
      <c r="S1188" s="1174">
        <f>Locations[[#This Row],[Ind_Returnees]]+Locations[[#This Row],[Ind_Refugees]]+Locations[[#This Row],[Ind_IDPs]]</f>
        <v>240</v>
      </c>
    </row>
    <row r="1189" spans="1:19" x14ac:dyDescent="0.3">
      <c r="A1189" s="577" t="s">
        <v>533</v>
      </c>
      <c r="B1189" s="1430" t="s">
        <v>3449</v>
      </c>
      <c r="C1189" s="577" t="s">
        <v>534</v>
      </c>
      <c r="D1189" s="577" t="s">
        <v>33</v>
      </c>
      <c r="E1189" s="577" t="s">
        <v>33</v>
      </c>
      <c r="F1189" s="577" t="s">
        <v>561</v>
      </c>
      <c r="G1189" s="577" t="s">
        <v>185</v>
      </c>
      <c r="H1189" s="577" t="s">
        <v>185</v>
      </c>
      <c r="I1189" s="577" t="s">
        <v>656</v>
      </c>
      <c r="J1189" s="577" t="s">
        <v>837</v>
      </c>
      <c r="K1189" s="577" t="s">
        <v>838</v>
      </c>
      <c r="L1189" s="577"/>
      <c r="M1189" s="387">
        <v>23</v>
      </c>
      <c r="N1189" s="387">
        <v>173</v>
      </c>
      <c r="O1189" s="387">
        <v>0</v>
      </c>
      <c r="P1189" s="387">
        <v>0</v>
      </c>
      <c r="Q1189" s="387">
        <v>0</v>
      </c>
      <c r="R1189" s="387">
        <v>0</v>
      </c>
      <c r="S1189" s="1174">
        <f>Locations[[#This Row],[Ind_Returnees]]+Locations[[#This Row],[Ind_Refugees]]+Locations[[#This Row],[Ind_IDPs]]</f>
        <v>173</v>
      </c>
    </row>
    <row r="1190" spans="1:19" x14ac:dyDescent="0.3">
      <c r="A1190" s="577" t="s">
        <v>533</v>
      </c>
      <c r="B1190" s="1430" t="s">
        <v>3449</v>
      </c>
      <c r="C1190" s="577" t="s">
        <v>534</v>
      </c>
      <c r="D1190" s="577" t="s">
        <v>31</v>
      </c>
      <c r="E1190" s="577" t="s">
        <v>31</v>
      </c>
      <c r="F1190" s="577" t="s">
        <v>549</v>
      </c>
      <c r="G1190" s="577" t="s">
        <v>169</v>
      </c>
      <c r="H1190" s="577" t="s">
        <v>169</v>
      </c>
      <c r="I1190" s="577" t="s">
        <v>673</v>
      </c>
      <c r="J1190" s="577" t="s">
        <v>3019</v>
      </c>
      <c r="K1190" s="577" t="s">
        <v>1080</v>
      </c>
      <c r="L1190" s="577"/>
      <c r="M1190" s="387">
        <v>18</v>
      </c>
      <c r="N1190" s="387">
        <v>142</v>
      </c>
      <c r="O1190" s="387">
        <v>5</v>
      </c>
      <c r="P1190" s="387">
        <v>40</v>
      </c>
      <c r="Q1190" s="387">
        <v>0</v>
      </c>
      <c r="R1190" s="387">
        <v>0</v>
      </c>
      <c r="S1190" s="1174">
        <f>Locations[[#This Row],[Ind_Returnees]]+Locations[[#This Row],[Ind_Refugees]]+Locations[[#This Row],[Ind_IDPs]]</f>
        <v>182</v>
      </c>
    </row>
    <row r="1191" spans="1:19" x14ac:dyDescent="0.3">
      <c r="A1191" s="577" t="s">
        <v>533</v>
      </c>
      <c r="B1191" s="1430" t="s">
        <v>3449</v>
      </c>
      <c r="C1191" s="577" t="s">
        <v>534</v>
      </c>
      <c r="D1191" s="577" t="s">
        <v>31</v>
      </c>
      <c r="E1191" s="577" t="s">
        <v>31</v>
      </c>
      <c r="F1191" s="577" t="s">
        <v>549</v>
      </c>
      <c r="G1191" s="577" t="s">
        <v>171</v>
      </c>
      <c r="H1191" s="577" t="s">
        <v>171</v>
      </c>
      <c r="I1191" s="577" t="s">
        <v>634</v>
      </c>
      <c r="J1191" s="577" t="s">
        <v>1222</v>
      </c>
      <c r="K1191" s="577" t="s">
        <v>1925</v>
      </c>
      <c r="L1191" s="577"/>
      <c r="M1191" s="387">
        <v>36</v>
      </c>
      <c r="N1191" s="387">
        <v>235</v>
      </c>
      <c r="O1191" s="387">
        <v>0</v>
      </c>
      <c r="P1191" s="387">
        <v>0</v>
      </c>
      <c r="Q1191" s="387">
        <v>0</v>
      </c>
      <c r="R1191" s="387">
        <v>0</v>
      </c>
      <c r="S1191" s="1174">
        <f>Locations[[#This Row],[Ind_Returnees]]+Locations[[#This Row],[Ind_Refugees]]+Locations[[#This Row],[Ind_IDPs]]</f>
        <v>235</v>
      </c>
    </row>
    <row r="1192" spans="1:19" x14ac:dyDescent="0.3">
      <c r="A1192" s="577" t="s">
        <v>533</v>
      </c>
      <c r="B1192" s="1430" t="s">
        <v>3449</v>
      </c>
      <c r="C1192" s="577" t="s">
        <v>534</v>
      </c>
      <c r="D1192" s="577" t="s">
        <v>31</v>
      </c>
      <c r="E1192" s="577" t="s">
        <v>31</v>
      </c>
      <c r="F1192" s="577" t="s">
        <v>549</v>
      </c>
      <c r="G1192" s="577" t="s">
        <v>171</v>
      </c>
      <c r="H1192" s="577" t="s">
        <v>171</v>
      </c>
      <c r="I1192" s="577" t="s">
        <v>634</v>
      </c>
      <c r="J1192" s="577" t="s">
        <v>812</v>
      </c>
      <c r="K1192" s="577" t="s">
        <v>1983</v>
      </c>
      <c r="L1192" s="577"/>
      <c r="M1192" s="387">
        <v>26</v>
      </c>
      <c r="N1192" s="387">
        <v>147</v>
      </c>
      <c r="O1192" s="387">
        <v>0</v>
      </c>
      <c r="P1192" s="387">
        <v>0</v>
      </c>
      <c r="Q1192" s="387">
        <v>0</v>
      </c>
      <c r="R1192" s="387">
        <v>0</v>
      </c>
      <c r="S1192" s="1174">
        <f>Locations[[#This Row],[Ind_Returnees]]+Locations[[#This Row],[Ind_Refugees]]+Locations[[#This Row],[Ind_IDPs]]</f>
        <v>147</v>
      </c>
    </row>
    <row r="1193" spans="1:19" x14ac:dyDescent="0.3">
      <c r="A1193" s="577" t="s">
        <v>533</v>
      </c>
      <c r="B1193" s="1430" t="s">
        <v>3449</v>
      </c>
      <c r="C1193" s="577" t="s">
        <v>534</v>
      </c>
      <c r="D1193" s="577" t="s">
        <v>32</v>
      </c>
      <c r="E1193" s="577" t="s">
        <v>32</v>
      </c>
      <c r="F1193" s="577" t="s">
        <v>542</v>
      </c>
      <c r="G1193" s="577" t="s">
        <v>178</v>
      </c>
      <c r="H1193" s="577" t="s">
        <v>178</v>
      </c>
      <c r="I1193" s="577" t="s">
        <v>543</v>
      </c>
      <c r="J1193" s="577" t="s">
        <v>2294</v>
      </c>
      <c r="K1193" s="577" t="s">
        <v>2295</v>
      </c>
      <c r="L1193" s="577"/>
      <c r="M1193" s="387">
        <v>0</v>
      </c>
      <c r="N1193" s="387">
        <v>0</v>
      </c>
      <c r="O1193" s="387">
        <v>0</v>
      </c>
      <c r="P1193" s="387">
        <v>0</v>
      </c>
      <c r="Q1193" s="387">
        <v>19</v>
      </c>
      <c r="R1193" s="387">
        <v>210</v>
      </c>
      <c r="S1193" s="1174">
        <f>Locations[[#This Row],[Ind_Returnees]]+Locations[[#This Row],[Ind_Refugees]]+Locations[[#This Row],[Ind_IDPs]]</f>
        <v>210</v>
      </c>
    </row>
    <row r="1194" spans="1:19" x14ac:dyDescent="0.3">
      <c r="A1194" s="577" t="s">
        <v>533</v>
      </c>
      <c r="B1194" s="1430" t="s">
        <v>3449</v>
      </c>
      <c r="C1194" s="577" t="s">
        <v>534</v>
      </c>
      <c r="D1194" s="577" t="s">
        <v>32</v>
      </c>
      <c r="E1194" s="577" t="s">
        <v>32</v>
      </c>
      <c r="F1194" s="577" t="s">
        <v>542</v>
      </c>
      <c r="G1194" s="577" t="s">
        <v>177</v>
      </c>
      <c r="H1194" s="577" t="s">
        <v>177</v>
      </c>
      <c r="I1194" s="577" t="s">
        <v>777</v>
      </c>
      <c r="J1194" s="577" t="s">
        <v>1258</v>
      </c>
      <c r="K1194" s="577" t="s">
        <v>887</v>
      </c>
      <c r="L1194" s="577"/>
      <c r="M1194" s="387">
        <v>100</v>
      </c>
      <c r="N1194" s="387">
        <v>525</v>
      </c>
      <c r="O1194" s="387">
        <v>0</v>
      </c>
      <c r="P1194" s="387">
        <v>0</v>
      </c>
      <c r="Q1194" s="387">
        <v>67</v>
      </c>
      <c r="R1194" s="387">
        <v>565</v>
      </c>
      <c r="S1194" s="1174">
        <f>Locations[[#This Row],[Ind_Returnees]]+Locations[[#This Row],[Ind_Refugees]]+Locations[[#This Row],[Ind_IDPs]]</f>
        <v>1090</v>
      </c>
    </row>
    <row r="1195" spans="1:19" x14ac:dyDescent="0.3">
      <c r="A1195" s="577" t="s">
        <v>533</v>
      </c>
      <c r="B1195" s="1430" t="s">
        <v>3449</v>
      </c>
      <c r="C1195" s="577" t="s">
        <v>534</v>
      </c>
      <c r="D1195" s="577" t="s">
        <v>35</v>
      </c>
      <c r="E1195" s="577" t="s">
        <v>35</v>
      </c>
      <c r="F1195" s="577" t="s">
        <v>567</v>
      </c>
      <c r="G1195" s="577" t="s">
        <v>194</v>
      </c>
      <c r="H1195" s="577" t="s">
        <v>194</v>
      </c>
      <c r="I1195" s="577" t="s">
        <v>2150</v>
      </c>
      <c r="J1195" s="577" t="s">
        <v>2153</v>
      </c>
      <c r="K1195" s="577" t="s">
        <v>2154</v>
      </c>
      <c r="L1195" s="577"/>
      <c r="M1195" s="387">
        <v>0</v>
      </c>
      <c r="N1195" s="387">
        <v>0</v>
      </c>
      <c r="O1195" s="387">
        <v>5</v>
      </c>
      <c r="P1195" s="387">
        <v>27</v>
      </c>
      <c r="Q1195" s="387">
        <v>10</v>
      </c>
      <c r="R1195" s="387">
        <v>49</v>
      </c>
      <c r="S1195" s="1174">
        <f>Locations[[#This Row],[Ind_Returnees]]+Locations[[#This Row],[Ind_Refugees]]+Locations[[#This Row],[Ind_IDPs]]</f>
        <v>76</v>
      </c>
    </row>
    <row r="1196" spans="1:19" x14ac:dyDescent="0.3">
      <c r="A1196" s="577" t="s">
        <v>533</v>
      </c>
      <c r="B1196" s="1430" t="s">
        <v>3449</v>
      </c>
      <c r="C1196" s="577" t="s">
        <v>534</v>
      </c>
      <c r="D1196" s="577" t="s">
        <v>34</v>
      </c>
      <c r="E1196" s="577" t="s">
        <v>34</v>
      </c>
      <c r="F1196" s="577" t="s">
        <v>539</v>
      </c>
      <c r="G1196" s="577" t="s">
        <v>188</v>
      </c>
      <c r="H1196" s="577" t="s">
        <v>188</v>
      </c>
      <c r="I1196" s="577" t="s">
        <v>546</v>
      </c>
      <c r="J1196" s="577" t="s">
        <v>610</v>
      </c>
      <c r="K1196" s="577" t="s">
        <v>1676</v>
      </c>
      <c r="L1196" s="577"/>
      <c r="M1196" s="387">
        <v>62</v>
      </c>
      <c r="N1196" s="387">
        <v>422</v>
      </c>
      <c r="O1196" s="387">
        <v>0</v>
      </c>
      <c r="P1196" s="387">
        <v>0</v>
      </c>
      <c r="Q1196" s="387">
        <v>0</v>
      </c>
      <c r="R1196" s="387">
        <v>0</v>
      </c>
      <c r="S1196" s="1174">
        <f>Locations[[#This Row],[Ind_Returnees]]+Locations[[#This Row],[Ind_Refugees]]+Locations[[#This Row],[Ind_IDPs]]</f>
        <v>422</v>
      </c>
    </row>
    <row r="1197" spans="1:19" x14ac:dyDescent="0.3">
      <c r="A1197" s="577" t="s">
        <v>533</v>
      </c>
      <c r="B1197" s="1430" t="s">
        <v>3449</v>
      </c>
      <c r="C1197" s="577" t="s">
        <v>534</v>
      </c>
      <c r="D1197" s="577" t="s">
        <v>32</v>
      </c>
      <c r="E1197" s="577" t="s">
        <v>32</v>
      </c>
      <c r="F1197" s="577" t="s">
        <v>542</v>
      </c>
      <c r="G1197" s="577" t="s">
        <v>177</v>
      </c>
      <c r="H1197" s="577" t="s">
        <v>177</v>
      </c>
      <c r="I1197" s="577" t="s">
        <v>777</v>
      </c>
      <c r="J1197" s="577" t="s">
        <v>886</v>
      </c>
      <c r="K1197" s="577" t="s">
        <v>1041</v>
      </c>
      <c r="L1197" s="577"/>
      <c r="M1197" s="387">
        <v>5</v>
      </c>
      <c r="N1197" s="387">
        <v>72</v>
      </c>
      <c r="O1197" s="387">
        <v>0</v>
      </c>
      <c r="P1197" s="387">
        <v>0</v>
      </c>
      <c r="Q1197" s="387">
        <v>75</v>
      </c>
      <c r="R1197" s="387">
        <v>900</v>
      </c>
      <c r="S1197" s="1174">
        <f>Locations[[#This Row],[Ind_Returnees]]+Locations[[#This Row],[Ind_Refugees]]+Locations[[#This Row],[Ind_IDPs]]</f>
        <v>972</v>
      </c>
    </row>
    <row r="1198" spans="1:19" x14ac:dyDescent="0.3">
      <c r="A1198" s="577" t="s">
        <v>533</v>
      </c>
      <c r="B1198" s="1430" t="s">
        <v>3449</v>
      </c>
      <c r="C1198" s="577" t="s">
        <v>534</v>
      </c>
      <c r="D1198" s="577" t="s">
        <v>35</v>
      </c>
      <c r="E1198" s="577" t="s">
        <v>35</v>
      </c>
      <c r="F1198" s="577" t="s">
        <v>567</v>
      </c>
      <c r="G1198" s="577" t="s">
        <v>193</v>
      </c>
      <c r="H1198" s="577" t="s">
        <v>3983</v>
      </c>
      <c r="I1198" s="577" t="s">
        <v>863</v>
      </c>
      <c r="J1198" s="577" t="s">
        <v>3020</v>
      </c>
      <c r="K1198" s="577" t="s">
        <v>2681</v>
      </c>
      <c r="L1198" s="577"/>
      <c r="M1198" s="387">
        <v>0</v>
      </c>
      <c r="N1198" s="387">
        <v>0</v>
      </c>
      <c r="O1198" s="387">
        <v>0</v>
      </c>
      <c r="P1198" s="387">
        <v>0</v>
      </c>
      <c r="Q1198" s="387">
        <v>0</v>
      </c>
      <c r="R1198" s="387">
        <v>0</v>
      </c>
      <c r="S1198" s="1174">
        <f>Locations[[#This Row],[Ind_Returnees]]+Locations[[#This Row],[Ind_Refugees]]+Locations[[#This Row],[Ind_IDPs]]</f>
        <v>0</v>
      </c>
    </row>
    <row r="1199" spans="1:19" x14ac:dyDescent="0.3">
      <c r="A1199" s="577" t="s">
        <v>533</v>
      </c>
      <c r="B1199" s="1430" t="s">
        <v>3449</v>
      </c>
      <c r="C1199" s="577" t="s">
        <v>534</v>
      </c>
      <c r="D1199" s="577" t="s">
        <v>35</v>
      </c>
      <c r="E1199" s="577" t="s">
        <v>35</v>
      </c>
      <c r="F1199" s="577" t="s">
        <v>567</v>
      </c>
      <c r="G1199" s="577" t="s">
        <v>193</v>
      </c>
      <c r="H1199" s="577" t="s">
        <v>3983</v>
      </c>
      <c r="I1199" s="577" t="s">
        <v>863</v>
      </c>
      <c r="J1199" s="577" t="s">
        <v>1580</v>
      </c>
      <c r="K1199" s="577" t="s">
        <v>2676</v>
      </c>
      <c r="L1199" s="577"/>
      <c r="M1199" s="387">
        <v>0</v>
      </c>
      <c r="N1199" s="387">
        <v>0</v>
      </c>
      <c r="O1199" s="387">
        <v>0</v>
      </c>
      <c r="P1199" s="387">
        <v>0</v>
      </c>
      <c r="Q1199" s="387">
        <v>0</v>
      </c>
      <c r="R1199" s="387">
        <v>0</v>
      </c>
      <c r="S1199" s="1174">
        <f>Locations[[#This Row],[Ind_Returnees]]+Locations[[#This Row],[Ind_Refugees]]+Locations[[#This Row],[Ind_IDPs]]</f>
        <v>0</v>
      </c>
    </row>
    <row r="1200" spans="1:19" x14ac:dyDescent="0.3">
      <c r="A1200" s="577" t="s">
        <v>533</v>
      </c>
      <c r="B1200" s="1430" t="s">
        <v>3449</v>
      </c>
      <c r="C1200" s="577" t="s">
        <v>534</v>
      </c>
      <c r="D1200" s="577" t="s">
        <v>31</v>
      </c>
      <c r="E1200" s="577" t="s">
        <v>31</v>
      </c>
      <c r="F1200" s="577" t="s">
        <v>549</v>
      </c>
      <c r="G1200" s="577" t="s">
        <v>171</v>
      </c>
      <c r="H1200" s="577" t="s">
        <v>171</v>
      </c>
      <c r="I1200" s="577" t="s">
        <v>634</v>
      </c>
      <c r="J1200" s="577" t="s">
        <v>1386</v>
      </c>
      <c r="K1200" s="577" t="s">
        <v>1917</v>
      </c>
      <c r="L1200" s="577"/>
      <c r="M1200" s="387">
        <v>16</v>
      </c>
      <c r="N1200" s="387">
        <v>94</v>
      </c>
      <c r="O1200" s="387">
        <v>0</v>
      </c>
      <c r="P1200" s="387">
        <v>0</v>
      </c>
      <c r="Q1200" s="387">
        <v>0</v>
      </c>
      <c r="R1200" s="387">
        <v>0</v>
      </c>
      <c r="S1200" s="1174">
        <f>Locations[[#This Row],[Ind_Returnees]]+Locations[[#This Row],[Ind_Refugees]]+Locations[[#This Row],[Ind_IDPs]]</f>
        <v>94</v>
      </c>
    </row>
    <row r="1201" spans="1:19" x14ac:dyDescent="0.3">
      <c r="A1201" s="577" t="s">
        <v>533</v>
      </c>
      <c r="B1201" s="1430" t="s">
        <v>3449</v>
      </c>
      <c r="C1201" s="577" t="s">
        <v>534</v>
      </c>
      <c r="D1201" s="577" t="s">
        <v>31</v>
      </c>
      <c r="E1201" s="577" t="s">
        <v>31</v>
      </c>
      <c r="F1201" s="577" t="s">
        <v>549</v>
      </c>
      <c r="G1201" s="577" t="s">
        <v>2797</v>
      </c>
      <c r="H1201" s="577" t="s">
        <v>3898</v>
      </c>
      <c r="I1201" s="577" t="s">
        <v>767</v>
      </c>
      <c r="J1201" s="577" t="s">
        <v>786</v>
      </c>
      <c r="K1201" s="577" t="s">
        <v>929</v>
      </c>
      <c r="L1201" s="577"/>
      <c r="M1201" s="387">
        <v>87</v>
      </c>
      <c r="N1201" s="387">
        <v>528</v>
      </c>
      <c r="O1201" s="387">
        <v>5</v>
      </c>
      <c r="P1201" s="387">
        <v>20</v>
      </c>
      <c r="Q1201" s="387">
        <v>0</v>
      </c>
      <c r="R1201" s="387">
        <v>0</v>
      </c>
      <c r="S1201" s="1174">
        <f>Locations[[#This Row],[Ind_Returnees]]+Locations[[#This Row],[Ind_Refugees]]+Locations[[#This Row],[Ind_IDPs]]</f>
        <v>548</v>
      </c>
    </row>
    <row r="1202" spans="1:19" x14ac:dyDescent="0.3">
      <c r="A1202" s="577" t="s">
        <v>533</v>
      </c>
      <c r="B1202" s="1430" t="s">
        <v>3449</v>
      </c>
      <c r="C1202" s="577" t="s">
        <v>534</v>
      </c>
      <c r="D1202" s="577" t="s">
        <v>35</v>
      </c>
      <c r="E1202" s="577" t="s">
        <v>35</v>
      </c>
      <c r="F1202" s="577" t="s">
        <v>567</v>
      </c>
      <c r="G1202" s="577" t="s">
        <v>195</v>
      </c>
      <c r="H1202" s="577" t="s">
        <v>195</v>
      </c>
      <c r="I1202" s="577" t="s">
        <v>733</v>
      </c>
      <c r="J1202" s="577" t="s">
        <v>2650</v>
      </c>
      <c r="K1202" s="577" t="s">
        <v>1766</v>
      </c>
      <c r="L1202" s="577"/>
      <c r="M1202" s="387">
        <v>13</v>
      </c>
      <c r="N1202" s="387">
        <v>70</v>
      </c>
      <c r="O1202" s="387">
        <v>2</v>
      </c>
      <c r="P1202" s="387">
        <v>15</v>
      </c>
      <c r="Q1202" s="387">
        <v>0</v>
      </c>
      <c r="R1202" s="387">
        <v>0</v>
      </c>
      <c r="S1202" s="1174">
        <f>Locations[[#This Row],[Ind_Returnees]]+Locations[[#This Row],[Ind_Refugees]]+Locations[[#This Row],[Ind_IDPs]]</f>
        <v>85</v>
      </c>
    </row>
    <row r="1203" spans="1:19" x14ac:dyDescent="0.3">
      <c r="A1203" s="577" t="s">
        <v>533</v>
      </c>
      <c r="B1203" s="1430" t="s">
        <v>3449</v>
      </c>
      <c r="C1203" s="577" t="s">
        <v>534</v>
      </c>
      <c r="D1203" s="577" t="s">
        <v>35</v>
      </c>
      <c r="E1203" s="577" t="s">
        <v>35</v>
      </c>
      <c r="F1203" s="577" t="s">
        <v>567</v>
      </c>
      <c r="G1203" s="577" t="s">
        <v>192</v>
      </c>
      <c r="H1203" s="577" t="s">
        <v>192</v>
      </c>
      <c r="I1203" s="577" t="s">
        <v>853</v>
      </c>
      <c r="J1203" s="577" t="s">
        <v>1891</v>
      </c>
      <c r="K1203" s="577" t="s">
        <v>1409</v>
      </c>
      <c r="L1203" s="577"/>
      <c r="M1203" s="387">
        <v>0</v>
      </c>
      <c r="N1203" s="387">
        <v>0</v>
      </c>
      <c r="O1203" s="387">
        <v>0</v>
      </c>
      <c r="P1203" s="387">
        <v>0</v>
      </c>
      <c r="Q1203" s="387">
        <v>0</v>
      </c>
      <c r="R1203" s="387">
        <v>0</v>
      </c>
      <c r="S1203" s="1174">
        <f>Locations[[#This Row],[Ind_Returnees]]+Locations[[#This Row],[Ind_Refugees]]+Locations[[#This Row],[Ind_IDPs]]</f>
        <v>0</v>
      </c>
    </row>
    <row r="1204" spans="1:19" x14ac:dyDescent="0.3">
      <c r="A1204" s="577" t="s">
        <v>533</v>
      </c>
      <c r="B1204" s="1430" t="s">
        <v>3449</v>
      </c>
      <c r="C1204" s="577" t="s">
        <v>534</v>
      </c>
      <c r="D1204" s="577" t="s">
        <v>35</v>
      </c>
      <c r="E1204" s="577" t="s">
        <v>35</v>
      </c>
      <c r="F1204" s="577" t="s">
        <v>567</v>
      </c>
      <c r="G1204" s="577" t="s">
        <v>192</v>
      </c>
      <c r="H1204" s="577" t="s">
        <v>192</v>
      </c>
      <c r="I1204" s="577" t="s">
        <v>853</v>
      </c>
      <c r="J1204" s="577" t="s">
        <v>1404</v>
      </c>
      <c r="K1204" s="577" t="s">
        <v>950</v>
      </c>
      <c r="L1204" s="577"/>
      <c r="M1204" s="387">
        <v>115</v>
      </c>
      <c r="N1204" s="387">
        <v>802</v>
      </c>
      <c r="O1204" s="387">
        <v>0</v>
      </c>
      <c r="P1204" s="387">
        <v>0</v>
      </c>
      <c r="Q1204" s="387">
        <v>0</v>
      </c>
      <c r="R1204" s="387">
        <v>0</v>
      </c>
      <c r="S1204" s="1174">
        <f>Locations[[#This Row],[Ind_Returnees]]+Locations[[#This Row],[Ind_Refugees]]+Locations[[#This Row],[Ind_IDPs]]</f>
        <v>802</v>
      </c>
    </row>
    <row r="1205" spans="1:19" x14ac:dyDescent="0.3">
      <c r="A1205" s="577" t="s">
        <v>533</v>
      </c>
      <c r="B1205" s="1430" t="s">
        <v>3449</v>
      </c>
      <c r="C1205" s="577" t="s">
        <v>534</v>
      </c>
      <c r="D1205" s="577" t="s">
        <v>34</v>
      </c>
      <c r="E1205" s="577" t="s">
        <v>34</v>
      </c>
      <c r="F1205" s="577" t="s">
        <v>539</v>
      </c>
      <c r="G1205" s="577" t="s">
        <v>188</v>
      </c>
      <c r="H1205" s="577" t="s">
        <v>188</v>
      </c>
      <c r="I1205" s="577" t="s">
        <v>546</v>
      </c>
      <c r="J1205" s="577" t="s">
        <v>1491</v>
      </c>
      <c r="K1205" s="577" t="s">
        <v>754</v>
      </c>
      <c r="L1205" s="577"/>
      <c r="M1205" s="387">
        <v>122</v>
      </c>
      <c r="N1205" s="387">
        <v>776</v>
      </c>
      <c r="O1205" s="387">
        <v>0</v>
      </c>
      <c r="P1205" s="387">
        <v>0</v>
      </c>
      <c r="Q1205" s="387">
        <v>0</v>
      </c>
      <c r="R1205" s="387">
        <v>0</v>
      </c>
      <c r="S1205" s="1174">
        <f>Locations[[#This Row],[Ind_Returnees]]+Locations[[#This Row],[Ind_Refugees]]+Locations[[#This Row],[Ind_IDPs]]</f>
        <v>776</v>
      </c>
    </row>
    <row r="1206" spans="1:19" x14ac:dyDescent="0.3">
      <c r="A1206" s="577" t="s">
        <v>533</v>
      </c>
      <c r="B1206" s="1430" t="s">
        <v>3449</v>
      </c>
      <c r="C1206" s="577" t="s">
        <v>534</v>
      </c>
      <c r="D1206" s="577" t="s">
        <v>34</v>
      </c>
      <c r="E1206" s="577" t="s">
        <v>34</v>
      </c>
      <c r="F1206" s="577" t="s">
        <v>539</v>
      </c>
      <c r="G1206" s="577" t="s">
        <v>188</v>
      </c>
      <c r="H1206" s="577" t="s">
        <v>188</v>
      </c>
      <c r="I1206" s="577" t="s">
        <v>546</v>
      </c>
      <c r="J1206" s="577" t="s">
        <v>987</v>
      </c>
      <c r="K1206" s="577" t="s">
        <v>611</v>
      </c>
      <c r="L1206" s="577"/>
      <c r="M1206" s="387">
        <v>374</v>
      </c>
      <c r="N1206" s="387">
        <v>2199</v>
      </c>
      <c r="O1206" s="387">
        <v>0</v>
      </c>
      <c r="P1206" s="387">
        <v>0</v>
      </c>
      <c r="Q1206" s="387">
        <v>0</v>
      </c>
      <c r="R1206" s="387">
        <v>0</v>
      </c>
      <c r="S1206" s="1174">
        <f>Locations[[#This Row],[Ind_Returnees]]+Locations[[#This Row],[Ind_Refugees]]+Locations[[#This Row],[Ind_IDPs]]</f>
        <v>2199</v>
      </c>
    </row>
    <row r="1207" spans="1:19" x14ac:dyDescent="0.3">
      <c r="A1207" s="577" t="s">
        <v>533</v>
      </c>
      <c r="B1207" s="1430" t="s">
        <v>3449</v>
      </c>
      <c r="C1207" s="577" t="s">
        <v>534</v>
      </c>
      <c r="D1207" s="577" t="s">
        <v>31</v>
      </c>
      <c r="E1207" s="577" t="s">
        <v>31</v>
      </c>
      <c r="F1207" s="577" t="s">
        <v>549</v>
      </c>
      <c r="G1207" s="577" t="s">
        <v>167</v>
      </c>
      <c r="H1207" s="577" t="s">
        <v>167</v>
      </c>
      <c r="I1207" s="577" t="s">
        <v>1113</v>
      </c>
      <c r="J1207" s="577" t="s">
        <v>2530</v>
      </c>
      <c r="K1207" s="577" t="s">
        <v>2533</v>
      </c>
      <c r="L1207" s="577"/>
      <c r="M1207" s="387">
        <v>0</v>
      </c>
      <c r="N1207" s="387">
        <v>0</v>
      </c>
      <c r="O1207" s="387">
        <v>0</v>
      </c>
      <c r="P1207" s="387">
        <v>0</v>
      </c>
      <c r="Q1207" s="387">
        <v>0</v>
      </c>
      <c r="R1207" s="387">
        <v>0</v>
      </c>
      <c r="S1207" s="1174">
        <f>Locations[[#This Row],[Ind_Returnees]]+Locations[[#This Row],[Ind_Refugees]]+Locations[[#This Row],[Ind_IDPs]]</f>
        <v>0</v>
      </c>
    </row>
    <row r="1208" spans="1:19" x14ac:dyDescent="0.3">
      <c r="A1208" s="577" t="s">
        <v>533</v>
      </c>
      <c r="B1208" s="1430" t="s">
        <v>3449</v>
      </c>
      <c r="C1208" s="577" t="s">
        <v>534</v>
      </c>
      <c r="D1208" s="577" t="s">
        <v>34</v>
      </c>
      <c r="E1208" s="577" t="s">
        <v>34</v>
      </c>
      <c r="F1208" s="577" t="s">
        <v>539</v>
      </c>
      <c r="G1208" s="577" t="s">
        <v>187</v>
      </c>
      <c r="H1208" s="577" t="s">
        <v>187</v>
      </c>
      <c r="I1208" s="577" t="s">
        <v>951</v>
      </c>
      <c r="J1208" s="577" t="s">
        <v>3021</v>
      </c>
      <c r="K1208" s="577" t="s">
        <v>2549</v>
      </c>
      <c r="L1208" s="577"/>
      <c r="M1208" s="387">
        <v>0</v>
      </c>
      <c r="N1208" s="387">
        <v>0</v>
      </c>
      <c r="O1208" s="387">
        <v>0</v>
      </c>
      <c r="P1208" s="387">
        <v>0</v>
      </c>
      <c r="Q1208" s="387">
        <v>0</v>
      </c>
      <c r="R1208" s="387">
        <v>0</v>
      </c>
      <c r="S1208" s="1174">
        <f>Locations[[#This Row],[Ind_Returnees]]+Locations[[#This Row],[Ind_Refugees]]+Locations[[#This Row],[Ind_IDPs]]</f>
        <v>0</v>
      </c>
    </row>
    <row r="1209" spans="1:19" x14ac:dyDescent="0.3">
      <c r="A1209" s="577" t="s">
        <v>533</v>
      </c>
      <c r="B1209" s="1430" t="s">
        <v>3449</v>
      </c>
      <c r="C1209" s="577" t="s">
        <v>534</v>
      </c>
      <c r="D1209" s="577" t="s">
        <v>31</v>
      </c>
      <c r="E1209" s="577" t="s">
        <v>31</v>
      </c>
      <c r="F1209" s="577" t="s">
        <v>549</v>
      </c>
      <c r="G1209" s="577" t="s">
        <v>170</v>
      </c>
      <c r="H1209" s="577" t="s">
        <v>170</v>
      </c>
      <c r="I1209" s="577" t="s">
        <v>866</v>
      </c>
      <c r="J1209" s="577" t="s">
        <v>1237</v>
      </c>
      <c r="K1209" s="577" t="s">
        <v>941</v>
      </c>
      <c r="L1209" s="577"/>
      <c r="M1209" s="387">
        <v>0</v>
      </c>
      <c r="N1209" s="387">
        <v>0</v>
      </c>
      <c r="O1209" s="387">
        <v>0</v>
      </c>
      <c r="P1209" s="387">
        <v>0</v>
      </c>
      <c r="Q1209" s="387">
        <v>0</v>
      </c>
      <c r="R1209" s="387">
        <v>0</v>
      </c>
      <c r="S1209" s="1174">
        <f>Locations[[#This Row],[Ind_Returnees]]+Locations[[#This Row],[Ind_Refugees]]+Locations[[#This Row],[Ind_IDPs]]</f>
        <v>0</v>
      </c>
    </row>
    <row r="1210" spans="1:19" x14ac:dyDescent="0.3">
      <c r="A1210" s="577" t="s">
        <v>533</v>
      </c>
      <c r="B1210" s="1430" t="s">
        <v>3449</v>
      </c>
      <c r="C1210" s="577" t="s">
        <v>534</v>
      </c>
      <c r="D1210" s="577" t="s">
        <v>35</v>
      </c>
      <c r="E1210" s="577" t="s">
        <v>35</v>
      </c>
      <c r="F1210" s="577" t="s">
        <v>567</v>
      </c>
      <c r="G1210" s="577" t="s">
        <v>195</v>
      </c>
      <c r="H1210" s="577" t="s">
        <v>195</v>
      </c>
      <c r="I1210" s="577" t="s">
        <v>733</v>
      </c>
      <c r="J1210" s="577" t="s">
        <v>1518</v>
      </c>
      <c r="K1210" s="577" t="s">
        <v>2142</v>
      </c>
      <c r="L1210" s="577"/>
      <c r="M1210" s="387">
        <v>9</v>
      </c>
      <c r="N1210" s="387">
        <v>41</v>
      </c>
      <c r="O1210" s="387">
        <v>0</v>
      </c>
      <c r="P1210" s="387">
        <v>0</v>
      </c>
      <c r="Q1210" s="387">
        <v>14</v>
      </c>
      <c r="R1210" s="387">
        <v>98</v>
      </c>
      <c r="S1210" s="1174">
        <f>Locations[[#This Row],[Ind_Returnees]]+Locations[[#This Row],[Ind_Refugees]]+Locations[[#This Row],[Ind_IDPs]]</f>
        <v>139</v>
      </c>
    </row>
    <row r="1211" spans="1:19" x14ac:dyDescent="0.3">
      <c r="A1211" s="577" t="s">
        <v>533</v>
      </c>
      <c r="B1211" s="1430" t="s">
        <v>3449</v>
      </c>
      <c r="C1211" s="577" t="s">
        <v>534</v>
      </c>
      <c r="D1211" s="577" t="s">
        <v>35</v>
      </c>
      <c r="E1211" s="577" t="s">
        <v>35</v>
      </c>
      <c r="F1211" s="577" t="s">
        <v>567</v>
      </c>
      <c r="G1211" s="577" t="s">
        <v>195</v>
      </c>
      <c r="H1211" s="577" t="s">
        <v>195</v>
      </c>
      <c r="I1211" s="577" t="s">
        <v>733</v>
      </c>
      <c r="J1211" s="577" t="s">
        <v>1838</v>
      </c>
      <c r="K1211" s="577" t="s">
        <v>1592</v>
      </c>
      <c r="L1211" s="577"/>
      <c r="M1211" s="387">
        <v>40</v>
      </c>
      <c r="N1211" s="387">
        <v>219</v>
      </c>
      <c r="O1211" s="387">
        <v>0</v>
      </c>
      <c r="P1211" s="387">
        <v>0</v>
      </c>
      <c r="Q1211" s="387">
        <v>0</v>
      </c>
      <c r="R1211" s="387">
        <v>0</v>
      </c>
      <c r="S1211" s="1174">
        <f>Locations[[#This Row],[Ind_Returnees]]+Locations[[#This Row],[Ind_Refugees]]+Locations[[#This Row],[Ind_IDPs]]</f>
        <v>219</v>
      </c>
    </row>
    <row r="1212" spans="1:19" x14ac:dyDescent="0.3">
      <c r="A1212" s="577" t="s">
        <v>533</v>
      </c>
      <c r="B1212" s="1430" t="s">
        <v>3449</v>
      </c>
      <c r="C1212" s="577" t="s">
        <v>534</v>
      </c>
      <c r="D1212" s="577" t="s">
        <v>31</v>
      </c>
      <c r="E1212" s="577" t="s">
        <v>31</v>
      </c>
      <c r="F1212" s="577" t="s">
        <v>549</v>
      </c>
      <c r="G1212" s="577" t="s">
        <v>166</v>
      </c>
      <c r="H1212" s="577" t="s">
        <v>166</v>
      </c>
      <c r="I1212" s="577" t="s">
        <v>844</v>
      </c>
      <c r="J1212" s="577" t="s">
        <v>3022</v>
      </c>
      <c r="K1212" s="577" t="s">
        <v>2522</v>
      </c>
      <c r="L1212" s="577"/>
      <c r="M1212" s="387">
        <v>0</v>
      </c>
      <c r="N1212" s="387">
        <v>0</v>
      </c>
      <c r="O1212" s="387">
        <v>0</v>
      </c>
      <c r="P1212" s="387">
        <v>0</v>
      </c>
      <c r="Q1212" s="387">
        <v>0</v>
      </c>
      <c r="R1212" s="387">
        <v>0</v>
      </c>
      <c r="S1212" s="1174">
        <f>Locations[[#This Row],[Ind_Returnees]]+Locations[[#This Row],[Ind_Refugees]]+Locations[[#This Row],[Ind_IDPs]]</f>
        <v>0</v>
      </c>
    </row>
    <row r="1213" spans="1:19" x14ac:dyDescent="0.3">
      <c r="A1213" s="577" t="s">
        <v>533</v>
      </c>
      <c r="B1213" s="1430" t="s">
        <v>3449</v>
      </c>
      <c r="C1213" s="577" t="s">
        <v>534</v>
      </c>
      <c r="D1213" s="577" t="s">
        <v>34</v>
      </c>
      <c r="E1213" s="577" t="s">
        <v>34</v>
      </c>
      <c r="F1213" s="577" t="s">
        <v>539</v>
      </c>
      <c r="G1213" s="577" t="s">
        <v>188</v>
      </c>
      <c r="H1213" s="577" t="s">
        <v>188</v>
      </c>
      <c r="I1213" s="577" t="s">
        <v>546</v>
      </c>
      <c r="J1213" s="577" t="s">
        <v>547</v>
      </c>
      <c r="K1213" s="577" t="s">
        <v>1332</v>
      </c>
      <c r="L1213" s="577"/>
      <c r="M1213" s="387">
        <v>10</v>
      </c>
      <c r="N1213" s="387">
        <v>78</v>
      </c>
      <c r="O1213" s="387">
        <v>0</v>
      </c>
      <c r="P1213" s="387">
        <v>0</v>
      </c>
      <c r="Q1213" s="387">
        <v>195</v>
      </c>
      <c r="R1213" s="387">
        <v>1222</v>
      </c>
      <c r="S1213" s="1174">
        <f>Locations[[#This Row],[Ind_Returnees]]+Locations[[#This Row],[Ind_Refugees]]+Locations[[#This Row],[Ind_IDPs]]</f>
        <v>1300</v>
      </c>
    </row>
    <row r="1214" spans="1:19" x14ac:dyDescent="0.3">
      <c r="A1214" s="577" t="s">
        <v>533</v>
      </c>
      <c r="B1214" s="1430" t="s">
        <v>3449</v>
      </c>
      <c r="C1214" s="577" t="s">
        <v>534</v>
      </c>
      <c r="D1214" s="577" t="s">
        <v>34</v>
      </c>
      <c r="E1214" s="577" t="s">
        <v>34</v>
      </c>
      <c r="F1214" s="577" t="s">
        <v>539</v>
      </c>
      <c r="G1214" s="577" t="s">
        <v>188</v>
      </c>
      <c r="H1214" s="577" t="s">
        <v>188</v>
      </c>
      <c r="I1214" s="577" t="s">
        <v>546</v>
      </c>
      <c r="J1214" s="577" t="s">
        <v>2662</v>
      </c>
      <c r="K1214" s="577" t="s">
        <v>1415</v>
      </c>
      <c r="L1214" s="577"/>
      <c r="M1214" s="387">
        <v>42</v>
      </c>
      <c r="N1214" s="387">
        <v>486</v>
      </c>
      <c r="O1214" s="387">
        <v>0</v>
      </c>
      <c r="P1214" s="387">
        <v>0</v>
      </c>
      <c r="Q1214" s="387">
        <v>0</v>
      </c>
      <c r="R1214" s="387">
        <v>0</v>
      </c>
      <c r="S1214" s="1174">
        <f>Locations[[#This Row],[Ind_Returnees]]+Locations[[#This Row],[Ind_Refugees]]+Locations[[#This Row],[Ind_IDPs]]</f>
        <v>486</v>
      </c>
    </row>
    <row r="1215" spans="1:19" x14ac:dyDescent="0.3">
      <c r="A1215" s="577" t="s">
        <v>533</v>
      </c>
      <c r="B1215" s="1430" t="s">
        <v>3449</v>
      </c>
      <c r="C1215" s="577" t="s">
        <v>534</v>
      </c>
      <c r="D1215" s="577" t="s">
        <v>31</v>
      </c>
      <c r="E1215" s="577" t="s">
        <v>31</v>
      </c>
      <c r="F1215" s="577" t="s">
        <v>549</v>
      </c>
      <c r="G1215" s="577" t="s">
        <v>167</v>
      </c>
      <c r="H1215" s="577" t="s">
        <v>167</v>
      </c>
      <c r="I1215" s="577" t="s">
        <v>1113</v>
      </c>
      <c r="J1215" s="577" t="s">
        <v>1943</v>
      </c>
      <c r="K1215" s="577" t="s">
        <v>2298</v>
      </c>
      <c r="L1215" s="577"/>
      <c r="M1215" s="387">
        <v>0</v>
      </c>
      <c r="N1215" s="387">
        <v>0</v>
      </c>
      <c r="O1215" s="387">
        <v>0</v>
      </c>
      <c r="P1215" s="387">
        <v>0</v>
      </c>
      <c r="Q1215" s="387">
        <v>0</v>
      </c>
      <c r="R1215" s="387">
        <v>0</v>
      </c>
      <c r="S1215" s="1174">
        <f>Locations[[#This Row],[Ind_Returnees]]+Locations[[#This Row],[Ind_Refugees]]+Locations[[#This Row],[Ind_IDPs]]</f>
        <v>0</v>
      </c>
    </row>
    <row r="1216" spans="1:19" x14ac:dyDescent="0.3">
      <c r="A1216" s="577" t="s">
        <v>533</v>
      </c>
      <c r="B1216" s="1430" t="s">
        <v>3449</v>
      </c>
      <c r="C1216" s="577" t="s">
        <v>534</v>
      </c>
      <c r="D1216" s="577" t="s">
        <v>35</v>
      </c>
      <c r="E1216" s="577" t="s">
        <v>35</v>
      </c>
      <c r="F1216" s="577" t="s">
        <v>567</v>
      </c>
      <c r="G1216" s="577" t="s">
        <v>195</v>
      </c>
      <c r="H1216" s="577" t="s">
        <v>195</v>
      </c>
      <c r="I1216" s="577" t="s">
        <v>733</v>
      </c>
      <c r="J1216" s="577" t="s">
        <v>3321</v>
      </c>
      <c r="K1216" s="577" t="s">
        <v>3069</v>
      </c>
      <c r="L1216" s="577"/>
      <c r="M1216" s="387">
        <v>0</v>
      </c>
      <c r="N1216" s="387">
        <v>0</v>
      </c>
      <c r="O1216" s="387">
        <v>0</v>
      </c>
      <c r="P1216" s="387">
        <v>0</v>
      </c>
      <c r="Q1216" s="387">
        <v>0</v>
      </c>
      <c r="R1216" s="387">
        <v>0</v>
      </c>
      <c r="S1216" s="1174">
        <f>Locations[[#This Row],[Ind_Returnees]]+Locations[[#This Row],[Ind_Refugees]]+Locations[[#This Row],[Ind_IDPs]]</f>
        <v>0</v>
      </c>
    </row>
    <row r="1217" spans="1:19" x14ac:dyDescent="0.3">
      <c r="A1217" s="577" t="s">
        <v>533</v>
      </c>
      <c r="B1217" s="1430" t="s">
        <v>3449</v>
      </c>
      <c r="C1217" s="577" t="s">
        <v>534</v>
      </c>
      <c r="D1217" s="577" t="s">
        <v>31</v>
      </c>
      <c r="E1217" s="577" t="s">
        <v>31</v>
      </c>
      <c r="F1217" s="577" t="s">
        <v>549</v>
      </c>
      <c r="G1217" s="577" t="s">
        <v>164</v>
      </c>
      <c r="H1217" s="577" t="s">
        <v>164</v>
      </c>
      <c r="I1217" s="577" t="s">
        <v>748</v>
      </c>
      <c r="J1217" s="577" t="s">
        <v>1191</v>
      </c>
      <c r="K1217" s="577" t="s">
        <v>1192</v>
      </c>
      <c r="L1217" s="577"/>
      <c r="M1217" s="387">
        <v>6</v>
      </c>
      <c r="N1217" s="387">
        <v>41</v>
      </c>
      <c r="O1217" s="387">
        <v>0</v>
      </c>
      <c r="P1217" s="387">
        <v>0</v>
      </c>
      <c r="Q1217" s="387">
        <v>0</v>
      </c>
      <c r="R1217" s="387">
        <v>0</v>
      </c>
      <c r="S1217" s="1174">
        <f>Locations[[#This Row],[Ind_Returnees]]+Locations[[#This Row],[Ind_Refugees]]+Locations[[#This Row],[Ind_IDPs]]</f>
        <v>41</v>
      </c>
    </row>
    <row r="1218" spans="1:19" x14ac:dyDescent="0.3">
      <c r="A1218" s="577" t="s">
        <v>533</v>
      </c>
      <c r="B1218" s="1430" t="s">
        <v>3449</v>
      </c>
      <c r="C1218" s="577" t="s">
        <v>534</v>
      </c>
      <c r="D1218" s="577" t="s">
        <v>31</v>
      </c>
      <c r="E1218" s="577" t="s">
        <v>31</v>
      </c>
      <c r="F1218" s="577" t="s">
        <v>549</v>
      </c>
      <c r="G1218" s="577" t="s">
        <v>171</v>
      </c>
      <c r="H1218" s="577" t="s">
        <v>171</v>
      </c>
      <c r="I1218" s="577" t="s">
        <v>634</v>
      </c>
      <c r="J1218" s="577" t="s">
        <v>1149</v>
      </c>
      <c r="K1218" s="577" t="s">
        <v>2070</v>
      </c>
      <c r="L1218" s="577"/>
      <c r="M1218" s="387">
        <v>8</v>
      </c>
      <c r="N1218" s="387">
        <v>40</v>
      </c>
      <c r="O1218" s="387">
        <v>0</v>
      </c>
      <c r="P1218" s="387">
        <v>0</v>
      </c>
      <c r="Q1218" s="387">
        <v>0</v>
      </c>
      <c r="R1218" s="387">
        <v>0</v>
      </c>
      <c r="S1218" s="1174">
        <f>Locations[[#This Row],[Ind_Returnees]]+Locations[[#This Row],[Ind_Refugees]]+Locations[[#This Row],[Ind_IDPs]]</f>
        <v>40</v>
      </c>
    </row>
    <row r="1219" spans="1:19" x14ac:dyDescent="0.3">
      <c r="A1219" s="577" t="s">
        <v>533</v>
      </c>
      <c r="B1219" s="1430" t="s">
        <v>3449</v>
      </c>
      <c r="C1219" s="577" t="s">
        <v>534</v>
      </c>
      <c r="D1219" s="577" t="s">
        <v>31</v>
      </c>
      <c r="E1219" s="577" t="s">
        <v>31</v>
      </c>
      <c r="F1219" s="577" t="s">
        <v>549</v>
      </c>
      <c r="G1219" s="577" t="s">
        <v>171</v>
      </c>
      <c r="H1219" s="577" t="s">
        <v>171</v>
      </c>
      <c r="I1219" s="577" t="s">
        <v>634</v>
      </c>
      <c r="J1219" s="577" t="s">
        <v>1961</v>
      </c>
      <c r="K1219" s="577" t="s">
        <v>872</v>
      </c>
      <c r="L1219" s="577"/>
      <c r="M1219" s="387">
        <v>29</v>
      </c>
      <c r="N1219" s="387">
        <v>287</v>
      </c>
      <c r="O1219" s="387">
        <v>0</v>
      </c>
      <c r="P1219" s="387">
        <v>0</v>
      </c>
      <c r="Q1219" s="387">
        <v>0</v>
      </c>
      <c r="R1219" s="387">
        <v>0</v>
      </c>
      <c r="S1219" s="1174">
        <f>Locations[[#This Row],[Ind_Returnees]]+Locations[[#This Row],[Ind_Refugees]]+Locations[[#This Row],[Ind_IDPs]]</f>
        <v>287</v>
      </c>
    </row>
    <row r="1220" spans="1:19" x14ac:dyDescent="0.3">
      <c r="A1220" s="577" t="s">
        <v>533</v>
      </c>
      <c r="B1220" s="1430" t="s">
        <v>3449</v>
      </c>
      <c r="C1220" s="577" t="s">
        <v>534</v>
      </c>
      <c r="D1220" s="577" t="s">
        <v>35</v>
      </c>
      <c r="E1220" s="577" t="s">
        <v>35</v>
      </c>
      <c r="F1220" s="577" t="s">
        <v>567</v>
      </c>
      <c r="G1220" s="577" t="s">
        <v>195</v>
      </c>
      <c r="H1220" s="577" t="s">
        <v>195</v>
      </c>
      <c r="I1220" s="577" t="s">
        <v>733</v>
      </c>
      <c r="J1220" s="577" t="s">
        <v>1941</v>
      </c>
      <c r="K1220" s="577" t="s">
        <v>1385</v>
      </c>
      <c r="L1220" s="577"/>
      <c r="M1220" s="387">
        <v>2</v>
      </c>
      <c r="N1220" s="387">
        <v>11</v>
      </c>
      <c r="O1220" s="387">
        <v>0</v>
      </c>
      <c r="P1220" s="387">
        <v>0</v>
      </c>
      <c r="Q1220" s="387">
        <v>0</v>
      </c>
      <c r="R1220" s="387">
        <v>0</v>
      </c>
      <c r="S1220" s="1174">
        <f>Locations[[#This Row],[Ind_Returnees]]+Locations[[#This Row],[Ind_Refugees]]+Locations[[#This Row],[Ind_IDPs]]</f>
        <v>11</v>
      </c>
    </row>
    <row r="1221" spans="1:19" x14ac:dyDescent="0.3">
      <c r="A1221" s="577" t="s">
        <v>533</v>
      </c>
      <c r="B1221" s="1430" t="s">
        <v>3449</v>
      </c>
      <c r="C1221" s="577" t="s">
        <v>534</v>
      </c>
      <c r="D1221" s="577" t="s">
        <v>33</v>
      </c>
      <c r="E1221" s="577" t="s">
        <v>33</v>
      </c>
      <c r="F1221" s="577" t="s">
        <v>561</v>
      </c>
      <c r="G1221" s="577" t="s">
        <v>183</v>
      </c>
      <c r="H1221" s="577" t="s">
        <v>183</v>
      </c>
      <c r="I1221" s="577" t="s">
        <v>562</v>
      </c>
      <c r="J1221" s="577" t="s">
        <v>1722</v>
      </c>
      <c r="K1221" s="577" t="s">
        <v>1723</v>
      </c>
      <c r="L1221" s="577"/>
      <c r="M1221" s="387">
        <v>18</v>
      </c>
      <c r="N1221" s="387">
        <v>87</v>
      </c>
      <c r="O1221" s="387">
        <v>7</v>
      </c>
      <c r="P1221" s="387">
        <v>37</v>
      </c>
      <c r="Q1221" s="387">
        <v>0</v>
      </c>
      <c r="R1221" s="387">
        <v>0</v>
      </c>
      <c r="S1221" s="1174">
        <f>Locations[[#This Row],[Ind_Returnees]]+Locations[[#This Row],[Ind_Refugees]]+Locations[[#This Row],[Ind_IDPs]]</f>
        <v>124</v>
      </c>
    </row>
    <row r="1222" spans="1:19" x14ac:dyDescent="0.3">
      <c r="A1222" s="577" t="s">
        <v>533</v>
      </c>
      <c r="B1222" s="1430" t="s">
        <v>3449</v>
      </c>
      <c r="C1222" s="577" t="s">
        <v>534</v>
      </c>
      <c r="D1222" s="577" t="s">
        <v>31</v>
      </c>
      <c r="E1222" s="577" t="s">
        <v>31</v>
      </c>
      <c r="F1222" s="577" t="s">
        <v>549</v>
      </c>
      <c r="G1222" s="577" t="s">
        <v>166</v>
      </c>
      <c r="H1222" s="577" t="s">
        <v>166</v>
      </c>
      <c r="I1222" s="577" t="s">
        <v>844</v>
      </c>
      <c r="J1222" s="577" t="s">
        <v>2516</v>
      </c>
      <c r="K1222" s="577" t="s">
        <v>1119</v>
      </c>
      <c r="L1222" s="577"/>
      <c r="M1222" s="387">
        <v>7</v>
      </c>
      <c r="N1222" s="387">
        <v>55</v>
      </c>
      <c r="O1222" s="387">
        <v>15</v>
      </c>
      <c r="P1222" s="387">
        <v>108</v>
      </c>
      <c r="Q1222" s="387">
        <v>0</v>
      </c>
      <c r="R1222" s="387">
        <v>0</v>
      </c>
      <c r="S1222" s="1174">
        <f>Locations[[#This Row],[Ind_Returnees]]+Locations[[#This Row],[Ind_Refugees]]+Locations[[#This Row],[Ind_IDPs]]</f>
        <v>163</v>
      </c>
    </row>
    <row r="1223" spans="1:19" x14ac:dyDescent="0.3">
      <c r="A1223" s="577" t="s">
        <v>533</v>
      </c>
      <c r="B1223" s="1430" t="s">
        <v>3449</v>
      </c>
      <c r="C1223" s="577" t="s">
        <v>534</v>
      </c>
      <c r="D1223" s="577" t="s">
        <v>31</v>
      </c>
      <c r="E1223" s="577" t="s">
        <v>31</v>
      </c>
      <c r="F1223" s="577" t="s">
        <v>549</v>
      </c>
      <c r="G1223" s="577" t="s">
        <v>166</v>
      </c>
      <c r="H1223" s="577" t="s">
        <v>166</v>
      </c>
      <c r="I1223" s="577" t="s">
        <v>844</v>
      </c>
      <c r="J1223" s="577" t="s">
        <v>2505</v>
      </c>
      <c r="K1223" s="577" t="s">
        <v>2513</v>
      </c>
      <c r="L1223" s="577"/>
      <c r="M1223" s="387">
        <v>0</v>
      </c>
      <c r="N1223" s="387">
        <v>0</v>
      </c>
      <c r="O1223" s="387">
        <v>0</v>
      </c>
      <c r="P1223" s="387">
        <v>0</v>
      </c>
      <c r="Q1223" s="387">
        <v>0</v>
      </c>
      <c r="R1223" s="387">
        <v>0</v>
      </c>
      <c r="S1223" s="1174">
        <f>Locations[[#This Row],[Ind_Returnees]]+Locations[[#This Row],[Ind_Refugees]]+Locations[[#This Row],[Ind_IDPs]]</f>
        <v>0</v>
      </c>
    </row>
    <row r="1224" spans="1:19" x14ac:dyDescent="0.3">
      <c r="A1224" s="577" t="s">
        <v>533</v>
      </c>
      <c r="B1224" s="1430" t="s">
        <v>3449</v>
      </c>
      <c r="C1224" s="577" t="s">
        <v>534</v>
      </c>
      <c r="D1224" s="577" t="s">
        <v>31</v>
      </c>
      <c r="E1224" s="577" t="s">
        <v>31</v>
      </c>
      <c r="F1224" s="577" t="s">
        <v>549</v>
      </c>
      <c r="G1224" s="577" t="s">
        <v>171</v>
      </c>
      <c r="H1224" s="577" t="s">
        <v>171</v>
      </c>
      <c r="I1224" s="577" t="s">
        <v>634</v>
      </c>
      <c r="J1224" s="577" t="s">
        <v>1357</v>
      </c>
      <c r="K1224" s="577" t="s">
        <v>1279</v>
      </c>
      <c r="L1224" s="577"/>
      <c r="M1224" s="387">
        <v>6</v>
      </c>
      <c r="N1224" s="387">
        <v>21</v>
      </c>
      <c r="O1224" s="387">
        <v>0</v>
      </c>
      <c r="P1224" s="387">
        <v>0</v>
      </c>
      <c r="Q1224" s="387">
        <v>0</v>
      </c>
      <c r="R1224" s="387">
        <v>0</v>
      </c>
      <c r="S1224" s="1174">
        <f>Locations[[#This Row],[Ind_Returnees]]+Locations[[#This Row],[Ind_Refugees]]+Locations[[#This Row],[Ind_IDPs]]</f>
        <v>21</v>
      </c>
    </row>
    <row r="1225" spans="1:19" x14ac:dyDescent="0.3">
      <c r="A1225" s="577" t="s">
        <v>533</v>
      </c>
      <c r="B1225" s="1430" t="s">
        <v>3449</v>
      </c>
      <c r="C1225" s="577" t="s">
        <v>534</v>
      </c>
      <c r="D1225" s="577" t="s">
        <v>35</v>
      </c>
      <c r="E1225" s="577" t="s">
        <v>35</v>
      </c>
      <c r="F1225" s="577" t="s">
        <v>567</v>
      </c>
      <c r="G1225" s="577" t="s">
        <v>195</v>
      </c>
      <c r="H1225" s="577" t="s">
        <v>195</v>
      </c>
      <c r="I1225" s="577" t="s">
        <v>733</v>
      </c>
      <c r="J1225" s="577" t="s">
        <v>3023</v>
      </c>
      <c r="K1225" s="577" t="s">
        <v>1797</v>
      </c>
      <c r="L1225" s="577"/>
      <c r="M1225" s="387">
        <v>153</v>
      </c>
      <c r="N1225" s="387">
        <v>623</v>
      </c>
      <c r="O1225" s="387">
        <v>1</v>
      </c>
      <c r="P1225" s="387">
        <v>8</v>
      </c>
      <c r="Q1225" s="387">
        <v>19</v>
      </c>
      <c r="R1225" s="387">
        <v>75</v>
      </c>
      <c r="S1225" s="1174">
        <f>Locations[[#This Row],[Ind_Returnees]]+Locations[[#This Row],[Ind_Refugees]]+Locations[[#This Row],[Ind_IDPs]]</f>
        <v>706</v>
      </c>
    </row>
    <row r="1226" spans="1:19" x14ac:dyDescent="0.3">
      <c r="A1226" s="577" t="s">
        <v>533</v>
      </c>
      <c r="B1226" s="1430" t="s">
        <v>3449</v>
      </c>
      <c r="C1226" s="577" t="s">
        <v>534</v>
      </c>
      <c r="D1226" s="577" t="s">
        <v>35</v>
      </c>
      <c r="E1226" s="577" t="s">
        <v>35</v>
      </c>
      <c r="F1226" s="577" t="s">
        <v>567</v>
      </c>
      <c r="G1226" s="577" t="s">
        <v>193</v>
      </c>
      <c r="H1226" s="577" t="s">
        <v>3983</v>
      </c>
      <c r="I1226" s="577" t="s">
        <v>863</v>
      </c>
      <c r="J1226" s="577" t="s">
        <v>1584</v>
      </c>
      <c r="K1226" s="577" t="s">
        <v>995</v>
      </c>
      <c r="L1226" s="577"/>
      <c r="M1226" s="387">
        <v>74</v>
      </c>
      <c r="N1226" s="387">
        <v>394</v>
      </c>
      <c r="O1226" s="387">
        <v>0</v>
      </c>
      <c r="P1226" s="387">
        <v>0</v>
      </c>
      <c r="Q1226" s="387">
        <v>0</v>
      </c>
      <c r="R1226" s="387">
        <v>0</v>
      </c>
      <c r="S1226" s="1174">
        <f>Locations[[#This Row],[Ind_Returnees]]+Locations[[#This Row],[Ind_Refugees]]+Locations[[#This Row],[Ind_IDPs]]</f>
        <v>394</v>
      </c>
    </row>
    <row r="1227" spans="1:19" x14ac:dyDescent="0.3">
      <c r="A1227" s="577" t="s">
        <v>533</v>
      </c>
      <c r="B1227" s="1430" t="s">
        <v>3449</v>
      </c>
      <c r="C1227" s="577" t="s">
        <v>534</v>
      </c>
      <c r="D1227" s="577" t="s">
        <v>35</v>
      </c>
      <c r="E1227" s="577" t="s">
        <v>35</v>
      </c>
      <c r="F1227" s="577" t="s">
        <v>567</v>
      </c>
      <c r="G1227" s="577" t="s">
        <v>195</v>
      </c>
      <c r="H1227" s="577" t="s">
        <v>195</v>
      </c>
      <c r="I1227" s="577" t="s">
        <v>733</v>
      </c>
      <c r="J1227" s="577" t="s">
        <v>1776</v>
      </c>
      <c r="K1227" s="577" t="s">
        <v>1033</v>
      </c>
      <c r="L1227" s="577"/>
      <c r="M1227" s="387">
        <v>266</v>
      </c>
      <c r="N1227" s="387">
        <v>1350</v>
      </c>
      <c r="O1227" s="387">
        <v>0</v>
      </c>
      <c r="P1227" s="387">
        <v>0</v>
      </c>
      <c r="Q1227" s="387">
        <v>0</v>
      </c>
      <c r="R1227" s="387">
        <v>0</v>
      </c>
      <c r="S1227" s="1174">
        <f>Locations[[#This Row],[Ind_Returnees]]+Locations[[#This Row],[Ind_Refugees]]+Locations[[#This Row],[Ind_IDPs]]</f>
        <v>1350</v>
      </c>
    </row>
    <row r="1228" spans="1:19" x14ac:dyDescent="0.3">
      <c r="A1228" s="577" t="s">
        <v>533</v>
      </c>
      <c r="B1228" s="1430" t="s">
        <v>3449</v>
      </c>
      <c r="C1228" s="577" t="s">
        <v>534</v>
      </c>
      <c r="D1228" s="577" t="s">
        <v>35</v>
      </c>
      <c r="E1228" s="577" t="s">
        <v>35</v>
      </c>
      <c r="F1228" s="577" t="s">
        <v>567</v>
      </c>
      <c r="G1228" s="577" t="s">
        <v>192</v>
      </c>
      <c r="H1228" s="577" t="s">
        <v>192</v>
      </c>
      <c r="I1228" s="577" t="s">
        <v>853</v>
      </c>
      <c r="J1228" s="577" t="s">
        <v>947</v>
      </c>
      <c r="K1228" s="577" t="s">
        <v>962</v>
      </c>
      <c r="L1228" s="577"/>
      <c r="M1228" s="387">
        <v>310</v>
      </c>
      <c r="N1228" s="387">
        <v>1621</v>
      </c>
      <c r="O1228" s="387">
        <v>0</v>
      </c>
      <c r="P1228" s="387">
        <v>0</v>
      </c>
      <c r="Q1228" s="387">
        <v>25</v>
      </c>
      <c r="R1228" s="387">
        <v>158</v>
      </c>
      <c r="S1228" s="1174">
        <f>Locations[[#This Row],[Ind_Returnees]]+Locations[[#This Row],[Ind_Refugees]]+Locations[[#This Row],[Ind_IDPs]]</f>
        <v>1779</v>
      </c>
    </row>
    <row r="1229" spans="1:19" x14ac:dyDescent="0.3">
      <c r="A1229" s="577" t="s">
        <v>533</v>
      </c>
      <c r="B1229" s="1430" t="s">
        <v>3449</v>
      </c>
      <c r="C1229" s="577" t="s">
        <v>534</v>
      </c>
      <c r="D1229" s="577" t="s">
        <v>31</v>
      </c>
      <c r="E1229" s="577" t="s">
        <v>31</v>
      </c>
      <c r="F1229" s="577" t="s">
        <v>549</v>
      </c>
      <c r="G1229" s="577" t="s">
        <v>171</v>
      </c>
      <c r="H1229" s="577" t="s">
        <v>171</v>
      </c>
      <c r="I1229" s="577" t="s">
        <v>634</v>
      </c>
      <c r="J1229" s="577" t="s">
        <v>1788</v>
      </c>
      <c r="K1229" s="577" t="s">
        <v>2628</v>
      </c>
      <c r="L1229" s="577"/>
      <c r="M1229" s="387">
        <v>0</v>
      </c>
      <c r="N1229" s="387">
        <v>0</v>
      </c>
      <c r="O1229" s="387">
        <v>0</v>
      </c>
      <c r="P1229" s="387">
        <v>0</v>
      </c>
      <c r="Q1229" s="387">
        <v>0</v>
      </c>
      <c r="R1229" s="387">
        <v>0</v>
      </c>
      <c r="S1229" s="1174">
        <f>Locations[[#This Row],[Ind_Returnees]]+Locations[[#This Row],[Ind_Refugees]]+Locations[[#This Row],[Ind_IDPs]]</f>
        <v>0</v>
      </c>
    </row>
    <row r="1230" spans="1:19" x14ac:dyDescent="0.3">
      <c r="A1230" s="577" t="s">
        <v>533</v>
      </c>
      <c r="B1230" s="1430" t="s">
        <v>3449</v>
      </c>
      <c r="C1230" s="577" t="s">
        <v>534</v>
      </c>
      <c r="D1230" s="577" t="s">
        <v>31</v>
      </c>
      <c r="E1230" s="577" t="s">
        <v>31</v>
      </c>
      <c r="F1230" s="577" t="s">
        <v>549</v>
      </c>
      <c r="G1230" s="577" t="s">
        <v>169</v>
      </c>
      <c r="H1230" s="577" t="s">
        <v>169</v>
      </c>
      <c r="I1230" s="577" t="s">
        <v>673</v>
      </c>
      <c r="J1230" s="577" t="s">
        <v>3012</v>
      </c>
      <c r="K1230" s="577" t="s">
        <v>2385</v>
      </c>
      <c r="L1230" s="577"/>
      <c r="M1230" s="387">
        <v>0</v>
      </c>
      <c r="N1230" s="387">
        <v>0</v>
      </c>
      <c r="O1230" s="387">
        <v>0</v>
      </c>
      <c r="P1230" s="387">
        <v>0</v>
      </c>
      <c r="Q1230" s="387">
        <v>125</v>
      </c>
      <c r="R1230" s="387">
        <v>400</v>
      </c>
      <c r="S1230" s="1174">
        <f>Locations[[#This Row],[Ind_Returnees]]+Locations[[#This Row],[Ind_Refugees]]+Locations[[#This Row],[Ind_IDPs]]</f>
        <v>400</v>
      </c>
    </row>
    <row r="1231" spans="1:19" x14ac:dyDescent="0.3">
      <c r="A1231" s="577" t="s">
        <v>533</v>
      </c>
      <c r="B1231" s="1430" t="s">
        <v>3449</v>
      </c>
      <c r="C1231" s="577" t="s">
        <v>534</v>
      </c>
      <c r="D1231" s="577" t="s">
        <v>31</v>
      </c>
      <c r="E1231" s="577" t="s">
        <v>31</v>
      </c>
      <c r="F1231" s="577" t="s">
        <v>549</v>
      </c>
      <c r="G1231" s="577" t="s">
        <v>171</v>
      </c>
      <c r="H1231" s="577" t="s">
        <v>171</v>
      </c>
      <c r="I1231" s="577" t="s">
        <v>634</v>
      </c>
      <c r="J1231" s="577" t="s">
        <v>3025</v>
      </c>
      <c r="K1231" s="577" t="s">
        <v>906</v>
      </c>
      <c r="L1231" s="577"/>
      <c r="M1231" s="387">
        <v>15</v>
      </c>
      <c r="N1231" s="387">
        <v>100</v>
      </c>
      <c r="O1231" s="387">
        <v>8</v>
      </c>
      <c r="P1231" s="387">
        <v>130</v>
      </c>
      <c r="Q1231" s="387">
        <v>0</v>
      </c>
      <c r="R1231" s="387">
        <v>0</v>
      </c>
      <c r="S1231" s="1174">
        <f>Locations[[#This Row],[Ind_Returnees]]+Locations[[#This Row],[Ind_Refugees]]+Locations[[#This Row],[Ind_IDPs]]</f>
        <v>230</v>
      </c>
    </row>
    <row r="1232" spans="1:19" x14ac:dyDescent="0.3">
      <c r="A1232" s="577" t="s">
        <v>533</v>
      </c>
      <c r="B1232" s="1430" t="s">
        <v>3449</v>
      </c>
      <c r="C1232" s="577" t="s">
        <v>534</v>
      </c>
      <c r="D1232" s="577" t="s">
        <v>30</v>
      </c>
      <c r="E1232" s="577" t="s">
        <v>3522</v>
      </c>
      <c r="F1232" s="577" t="s">
        <v>535</v>
      </c>
      <c r="G1232" s="577" t="s">
        <v>157</v>
      </c>
      <c r="H1232" s="577" t="s">
        <v>157</v>
      </c>
      <c r="I1232" s="577" t="s">
        <v>2236</v>
      </c>
      <c r="J1232" s="577" t="s">
        <v>2239</v>
      </c>
      <c r="K1232" s="577" t="s">
        <v>2240</v>
      </c>
      <c r="L1232" s="577"/>
      <c r="M1232" s="387">
        <v>0</v>
      </c>
      <c r="N1232" s="387">
        <v>0</v>
      </c>
      <c r="O1232" s="387">
        <v>0</v>
      </c>
      <c r="P1232" s="387">
        <v>0</v>
      </c>
      <c r="Q1232" s="387">
        <v>6</v>
      </c>
      <c r="R1232" s="387">
        <v>86</v>
      </c>
      <c r="S1232" s="1174">
        <f>Locations[[#This Row],[Ind_Returnees]]+Locations[[#This Row],[Ind_Refugees]]+Locations[[#This Row],[Ind_IDPs]]</f>
        <v>86</v>
      </c>
    </row>
    <row r="1233" spans="1:19" x14ac:dyDescent="0.3">
      <c r="A1233" s="577" t="s">
        <v>533</v>
      </c>
      <c r="B1233" s="1430" t="s">
        <v>3449</v>
      </c>
      <c r="C1233" s="577" t="s">
        <v>534</v>
      </c>
      <c r="D1233" s="577" t="s">
        <v>30</v>
      </c>
      <c r="E1233" s="577" t="s">
        <v>3522</v>
      </c>
      <c r="F1233" s="577" t="s">
        <v>535</v>
      </c>
      <c r="G1233" s="577" t="s">
        <v>160</v>
      </c>
      <c r="H1233" s="577" t="s">
        <v>3528</v>
      </c>
      <c r="I1233" s="577" t="s">
        <v>555</v>
      </c>
      <c r="J1233" s="577" t="s">
        <v>699</v>
      </c>
      <c r="K1233" s="577" t="s">
        <v>640</v>
      </c>
      <c r="L1233" s="577"/>
      <c r="M1233" s="387">
        <v>25</v>
      </c>
      <c r="N1233" s="387">
        <v>134</v>
      </c>
      <c r="O1233" s="387">
        <v>0</v>
      </c>
      <c r="P1233" s="387">
        <v>0</v>
      </c>
      <c r="Q1233" s="387">
        <v>0</v>
      </c>
      <c r="R1233" s="387">
        <v>0</v>
      </c>
      <c r="S1233" s="1174">
        <f>Locations[[#This Row],[Ind_Returnees]]+Locations[[#This Row],[Ind_Refugees]]+Locations[[#This Row],[Ind_IDPs]]</f>
        <v>134</v>
      </c>
    </row>
    <row r="1234" spans="1:19" x14ac:dyDescent="0.3">
      <c r="A1234" s="577" t="s">
        <v>533</v>
      </c>
      <c r="B1234" s="1430" t="s">
        <v>3449</v>
      </c>
      <c r="C1234" s="577" t="s">
        <v>534</v>
      </c>
      <c r="D1234" s="577" t="s">
        <v>30</v>
      </c>
      <c r="E1234" s="577" t="s">
        <v>3522</v>
      </c>
      <c r="F1234" s="577" t="s">
        <v>535</v>
      </c>
      <c r="G1234" s="577" t="s">
        <v>157</v>
      </c>
      <c r="H1234" s="577" t="s">
        <v>157</v>
      </c>
      <c r="I1234" s="577" t="s">
        <v>2236</v>
      </c>
      <c r="J1234" s="577" t="s">
        <v>2241</v>
      </c>
      <c r="K1234" s="577" t="s">
        <v>2242</v>
      </c>
      <c r="L1234" s="577"/>
      <c r="M1234" s="387">
        <v>0</v>
      </c>
      <c r="N1234" s="387">
        <v>0</v>
      </c>
      <c r="O1234" s="387">
        <v>0</v>
      </c>
      <c r="P1234" s="387">
        <v>0</v>
      </c>
      <c r="Q1234" s="387">
        <v>9</v>
      </c>
      <c r="R1234" s="387">
        <v>74</v>
      </c>
      <c r="S1234" s="1174">
        <f>Locations[[#This Row],[Ind_Returnees]]+Locations[[#This Row],[Ind_Refugees]]+Locations[[#This Row],[Ind_IDPs]]</f>
        <v>74</v>
      </c>
    </row>
    <row r="1235" spans="1:19" x14ac:dyDescent="0.3">
      <c r="A1235" s="577" t="s">
        <v>533</v>
      </c>
      <c r="B1235" s="1430" t="s">
        <v>3449</v>
      </c>
      <c r="C1235" s="577" t="s">
        <v>534</v>
      </c>
      <c r="D1235" s="577" t="s">
        <v>30</v>
      </c>
      <c r="E1235" s="577" t="s">
        <v>3522</v>
      </c>
      <c r="F1235" s="577" t="s">
        <v>535</v>
      </c>
      <c r="G1235" s="577" t="s">
        <v>159</v>
      </c>
      <c r="H1235" s="577" t="s">
        <v>159</v>
      </c>
      <c r="I1235" s="577" t="s">
        <v>574</v>
      </c>
      <c r="J1235" s="577" t="s">
        <v>3026</v>
      </c>
      <c r="K1235" s="577" t="s">
        <v>719</v>
      </c>
      <c r="L1235" s="577"/>
      <c r="M1235" s="387">
        <v>3</v>
      </c>
      <c r="N1235" s="387">
        <v>11</v>
      </c>
      <c r="O1235" s="387">
        <v>0</v>
      </c>
      <c r="P1235" s="387">
        <v>0</v>
      </c>
      <c r="Q1235" s="387">
        <v>0</v>
      </c>
      <c r="R1235" s="387">
        <v>0</v>
      </c>
      <c r="S1235" s="1174">
        <f>Locations[[#This Row],[Ind_Returnees]]+Locations[[#This Row],[Ind_Refugees]]+Locations[[#This Row],[Ind_IDPs]]</f>
        <v>11</v>
      </c>
    </row>
    <row r="1236" spans="1:19" x14ac:dyDescent="0.3">
      <c r="A1236" s="577" t="s">
        <v>533</v>
      </c>
      <c r="B1236" s="1430" t="s">
        <v>3449</v>
      </c>
      <c r="C1236" s="577" t="s">
        <v>534</v>
      </c>
      <c r="D1236" s="577" t="s">
        <v>30</v>
      </c>
      <c r="E1236" s="577" t="s">
        <v>3522</v>
      </c>
      <c r="F1236" s="577" t="s">
        <v>535</v>
      </c>
      <c r="G1236" s="577" t="s">
        <v>157</v>
      </c>
      <c r="H1236" s="577" t="s">
        <v>157</v>
      </c>
      <c r="I1236" s="577" t="s">
        <v>2236</v>
      </c>
      <c r="J1236" s="577" t="s">
        <v>2237</v>
      </c>
      <c r="K1236" s="577" t="s">
        <v>2238</v>
      </c>
      <c r="L1236" s="577"/>
      <c r="M1236" s="387">
        <v>0</v>
      </c>
      <c r="N1236" s="387">
        <v>0</v>
      </c>
      <c r="O1236" s="387">
        <v>0</v>
      </c>
      <c r="P1236" s="387">
        <v>0</v>
      </c>
      <c r="Q1236" s="387">
        <v>4</v>
      </c>
      <c r="R1236" s="387">
        <v>29</v>
      </c>
      <c r="S1236" s="1174">
        <f>Locations[[#This Row],[Ind_Returnees]]+Locations[[#This Row],[Ind_Refugees]]+Locations[[#This Row],[Ind_IDPs]]</f>
        <v>29</v>
      </c>
    </row>
    <row r="1237" spans="1:19" x14ac:dyDescent="0.3">
      <c r="A1237" s="577" t="s">
        <v>533</v>
      </c>
      <c r="B1237" s="1430" t="s">
        <v>3449</v>
      </c>
      <c r="C1237" s="577" t="s">
        <v>534</v>
      </c>
      <c r="D1237" s="577" t="s">
        <v>32</v>
      </c>
      <c r="E1237" s="577" t="s">
        <v>32</v>
      </c>
      <c r="F1237" s="577" t="s">
        <v>542</v>
      </c>
      <c r="G1237" s="577" t="s">
        <v>177</v>
      </c>
      <c r="H1237" s="577" t="s">
        <v>177</v>
      </c>
      <c r="I1237" s="577" t="s">
        <v>777</v>
      </c>
      <c r="J1237" s="577" t="s">
        <v>2284</v>
      </c>
      <c r="K1237" s="577" t="s">
        <v>2248</v>
      </c>
      <c r="L1237" s="577"/>
      <c r="M1237" s="387">
        <v>0</v>
      </c>
      <c r="N1237" s="387">
        <v>0</v>
      </c>
      <c r="O1237" s="387">
        <v>0</v>
      </c>
      <c r="P1237" s="387">
        <v>0</v>
      </c>
      <c r="Q1237" s="387">
        <v>122</v>
      </c>
      <c r="R1237" s="387">
        <v>841</v>
      </c>
      <c r="S1237" s="1174">
        <f>Locations[[#This Row],[Ind_Returnees]]+Locations[[#This Row],[Ind_Refugees]]+Locations[[#This Row],[Ind_IDPs]]</f>
        <v>841</v>
      </c>
    </row>
    <row r="1238" spans="1:19" x14ac:dyDescent="0.3">
      <c r="A1238" s="577" t="s">
        <v>533</v>
      </c>
      <c r="B1238" s="1430" t="s">
        <v>3449</v>
      </c>
      <c r="C1238" s="577" t="s">
        <v>534</v>
      </c>
      <c r="D1238" s="577" t="s">
        <v>33</v>
      </c>
      <c r="E1238" s="577" t="s">
        <v>33</v>
      </c>
      <c r="F1238" s="577" t="s">
        <v>561</v>
      </c>
      <c r="G1238" s="577" t="s">
        <v>184</v>
      </c>
      <c r="H1238" s="577" t="s">
        <v>184</v>
      </c>
      <c r="I1238" s="577" t="s">
        <v>2225</v>
      </c>
      <c r="J1238" s="577" t="s">
        <v>2227</v>
      </c>
      <c r="K1238" s="577" t="s">
        <v>2639</v>
      </c>
      <c r="L1238" s="577"/>
      <c r="M1238" s="387">
        <v>0</v>
      </c>
      <c r="N1238" s="387">
        <v>0</v>
      </c>
      <c r="O1238" s="387">
        <v>4</v>
      </c>
      <c r="P1238" s="387">
        <v>24</v>
      </c>
      <c r="Q1238" s="387">
        <v>8</v>
      </c>
      <c r="R1238" s="387">
        <v>45</v>
      </c>
      <c r="S1238" s="1174">
        <f>Locations[[#This Row],[Ind_Returnees]]+Locations[[#This Row],[Ind_Refugees]]+Locations[[#This Row],[Ind_IDPs]]</f>
        <v>69</v>
      </c>
    </row>
    <row r="1239" spans="1:19" x14ac:dyDescent="0.3">
      <c r="A1239" s="577" t="s">
        <v>533</v>
      </c>
      <c r="B1239" s="1430" t="s">
        <v>3449</v>
      </c>
      <c r="C1239" s="577" t="s">
        <v>534</v>
      </c>
      <c r="D1239" s="577" t="s">
        <v>34</v>
      </c>
      <c r="E1239" s="577" t="s">
        <v>34</v>
      </c>
      <c r="F1239" s="577" t="s">
        <v>539</v>
      </c>
      <c r="G1239" s="577" t="s">
        <v>188</v>
      </c>
      <c r="H1239" s="577" t="s">
        <v>188</v>
      </c>
      <c r="I1239" s="577" t="s">
        <v>546</v>
      </c>
      <c r="J1239" s="577" t="s">
        <v>2155</v>
      </c>
      <c r="K1239" s="577" t="s">
        <v>1007</v>
      </c>
      <c r="L1239" s="577"/>
      <c r="M1239" s="387">
        <v>114</v>
      </c>
      <c r="N1239" s="387">
        <v>515</v>
      </c>
      <c r="O1239" s="387">
        <v>0</v>
      </c>
      <c r="P1239" s="387">
        <v>0</v>
      </c>
      <c r="Q1239" s="387">
        <v>0</v>
      </c>
      <c r="R1239" s="387">
        <v>0</v>
      </c>
      <c r="S1239" s="1174">
        <f>Locations[[#This Row],[Ind_Returnees]]+Locations[[#This Row],[Ind_Refugees]]+Locations[[#This Row],[Ind_IDPs]]</f>
        <v>515</v>
      </c>
    </row>
    <row r="1240" spans="1:19" x14ac:dyDescent="0.3">
      <c r="A1240" s="577" t="s">
        <v>533</v>
      </c>
      <c r="B1240" s="1430" t="s">
        <v>3449</v>
      </c>
      <c r="C1240" s="577" t="s">
        <v>534</v>
      </c>
      <c r="D1240" s="577" t="s">
        <v>35</v>
      </c>
      <c r="E1240" s="577" t="s">
        <v>35</v>
      </c>
      <c r="F1240" s="577" t="s">
        <v>567</v>
      </c>
      <c r="G1240" s="577" t="s">
        <v>192</v>
      </c>
      <c r="H1240" s="577" t="s">
        <v>192</v>
      </c>
      <c r="I1240" s="577" t="s">
        <v>853</v>
      </c>
      <c r="J1240" s="577" t="s">
        <v>3027</v>
      </c>
      <c r="K1240" s="577" t="s">
        <v>1516</v>
      </c>
      <c r="L1240" s="577"/>
      <c r="M1240" s="387">
        <v>19</v>
      </c>
      <c r="N1240" s="387">
        <v>104</v>
      </c>
      <c r="O1240" s="387">
        <v>0</v>
      </c>
      <c r="P1240" s="387">
        <v>0</v>
      </c>
      <c r="Q1240" s="387">
        <v>0</v>
      </c>
      <c r="R1240" s="387">
        <v>0</v>
      </c>
      <c r="S1240" s="1174">
        <f>Locations[[#This Row],[Ind_Returnees]]+Locations[[#This Row],[Ind_Refugees]]+Locations[[#This Row],[Ind_IDPs]]</f>
        <v>104</v>
      </c>
    </row>
    <row r="1241" spans="1:19" x14ac:dyDescent="0.3">
      <c r="A1241" s="577" t="s">
        <v>533</v>
      </c>
      <c r="B1241" s="1430" t="s">
        <v>3449</v>
      </c>
      <c r="C1241" s="577" t="s">
        <v>534</v>
      </c>
      <c r="D1241" s="577" t="s">
        <v>35</v>
      </c>
      <c r="E1241" s="577" t="s">
        <v>35</v>
      </c>
      <c r="F1241" s="577" t="s">
        <v>567</v>
      </c>
      <c r="G1241" s="577" t="s">
        <v>193</v>
      </c>
      <c r="H1241" s="577" t="s">
        <v>3983</v>
      </c>
      <c r="I1241" s="577" t="s">
        <v>863</v>
      </c>
      <c r="J1241" s="577" t="s">
        <v>992</v>
      </c>
      <c r="K1241" s="577" t="s">
        <v>2674</v>
      </c>
      <c r="L1241" s="577"/>
      <c r="M1241" s="387">
        <v>0</v>
      </c>
      <c r="N1241" s="387">
        <v>0</v>
      </c>
      <c r="O1241" s="387">
        <v>0</v>
      </c>
      <c r="P1241" s="387">
        <v>0</v>
      </c>
      <c r="Q1241" s="387">
        <v>0</v>
      </c>
      <c r="R1241" s="387">
        <v>0</v>
      </c>
      <c r="S1241" s="1174">
        <f>Locations[[#This Row],[Ind_Returnees]]+Locations[[#This Row],[Ind_Refugees]]+Locations[[#This Row],[Ind_IDPs]]</f>
        <v>0</v>
      </c>
    </row>
    <row r="1242" spans="1:19" x14ac:dyDescent="0.3">
      <c r="A1242" s="577" t="s">
        <v>533</v>
      </c>
      <c r="B1242" s="1430" t="s">
        <v>3449</v>
      </c>
      <c r="C1242" s="577" t="s">
        <v>534</v>
      </c>
      <c r="D1242" s="577" t="s">
        <v>32</v>
      </c>
      <c r="E1242" s="577" t="s">
        <v>32</v>
      </c>
      <c r="F1242" s="577" t="s">
        <v>542</v>
      </c>
      <c r="G1242" s="577" t="s">
        <v>176</v>
      </c>
      <c r="H1242" s="577" t="s">
        <v>176</v>
      </c>
      <c r="I1242" s="577" t="s">
        <v>772</v>
      </c>
      <c r="J1242" s="577" t="s">
        <v>2281</v>
      </c>
      <c r="K1242" s="577" t="s">
        <v>2282</v>
      </c>
      <c r="L1242" s="577"/>
      <c r="M1242" s="387">
        <v>0</v>
      </c>
      <c r="N1242" s="387">
        <v>0</v>
      </c>
      <c r="O1242" s="387">
        <v>0</v>
      </c>
      <c r="P1242" s="387">
        <v>0</v>
      </c>
      <c r="Q1242" s="387">
        <v>13</v>
      </c>
      <c r="R1242" s="387">
        <v>111</v>
      </c>
      <c r="S1242" s="1174">
        <f>Locations[[#This Row],[Ind_Returnees]]+Locations[[#This Row],[Ind_Refugees]]+Locations[[#This Row],[Ind_IDPs]]</f>
        <v>111</v>
      </c>
    </row>
    <row r="1243" spans="1:19" x14ac:dyDescent="0.3">
      <c r="A1243" s="577" t="s">
        <v>533</v>
      </c>
      <c r="B1243" s="1430" t="s">
        <v>3449</v>
      </c>
      <c r="C1243" s="577" t="s">
        <v>534</v>
      </c>
      <c r="D1243" s="577" t="s">
        <v>34</v>
      </c>
      <c r="E1243" s="577" t="s">
        <v>34</v>
      </c>
      <c r="F1243" s="577" t="s">
        <v>539</v>
      </c>
      <c r="G1243" s="577" t="s">
        <v>187</v>
      </c>
      <c r="H1243" s="577" t="s">
        <v>187</v>
      </c>
      <c r="I1243" s="577" t="s">
        <v>951</v>
      </c>
      <c r="J1243" s="577" t="s">
        <v>952</v>
      </c>
      <c r="K1243" s="577" t="s">
        <v>1239</v>
      </c>
      <c r="L1243" s="577"/>
      <c r="M1243" s="387">
        <v>9</v>
      </c>
      <c r="N1243" s="387">
        <v>100</v>
      </c>
      <c r="O1243" s="387">
        <v>0</v>
      </c>
      <c r="P1243" s="387">
        <v>0</v>
      </c>
      <c r="Q1243" s="387">
        <v>15</v>
      </c>
      <c r="R1243" s="387">
        <v>94</v>
      </c>
      <c r="S1243" s="1174">
        <f>Locations[[#This Row],[Ind_Returnees]]+Locations[[#This Row],[Ind_Refugees]]+Locations[[#This Row],[Ind_IDPs]]</f>
        <v>194</v>
      </c>
    </row>
    <row r="1244" spans="1:19" x14ac:dyDescent="0.3">
      <c r="A1244" s="577" t="s">
        <v>533</v>
      </c>
      <c r="B1244" s="1430" t="s">
        <v>3449</v>
      </c>
      <c r="C1244" s="577" t="s">
        <v>534</v>
      </c>
      <c r="D1244" s="577" t="s">
        <v>35</v>
      </c>
      <c r="E1244" s="577" t="s">
        <v>35</v>
      </c>
      <c r="F1244" s="577" t="s">
        <v>567</v>
      </c>
      <c r="G1244" s="577" t="s">
        <v>194</v>
      </c>
      <c r="H1244" s="577" t="s">
        <v>194</v>
      </c>
      <c r="I1244" s="577" t="s">
        <v>2150</v>
      </c>
      <c r="J1244" s="577" t="s">
        <v>2165</v>
      </c>
      <c r="K1244" s="577" t="s">
        <v>2166</v>
      </c>
      <c r="L1244" s="577"/>
      <c r="M1244" s="387">
        <v>0</v>
      </c>
      <c r="N1244" s="387">
        <v>0</v>
      </c>
      <c r="O1244" s="387">
        <v>21</v>
      </c>
      <c r="P1244" s="387">
        <v>189</v>
      </c>
      <c r="Q1244" s="387">
        <v>5</v>
      </c>
      <c r="R1244" s="387">
        <v>42</v>
      </c>
      <c r="S1244" s="1174">
        <f>Locations[[#This Row],[Ind_Returnees]]+Locations[[#This Row],[Ind_Refugees]]+Locations[[#This Row],[Ind_IDPs]]</f>
        <v>231</v>
      </c>
    </row>
    <row r="1245" spans="1:19" x14ac:dyDescent="0.3">
      <c r="A1245" s="577" t="s">
        <v>533</v>
      </c>
      <c r="B1245" s="1430" t="s">
        <v>3449</v>
      </c>
      <c r="C1245" s="577" t="s">
        <v>534</v>
      </c>
      <c r="D1245" s="577" t="s">
        <v>30</v>
      </c>
      <c r="E1245" s="577" t="s">
        <v>3522</v>
      </c>
      <c r="F1245" s="577" t="s">
        <v>535</v>
      </c>
      <c r="G1245" s="577" t="s">
        <v>158</v>
      </c>
      <c r="H1245" s="577" t="s">
        <v>158</v>
      </c>
      <c r="I1245" s="577" t="s">
        <v>571</v>
      </c>
      <c r="J1245" s="577" t="s">
        <v>728</v>
      </c>
      <c r="K1245" s="577" t="s">
        <v>729</v>
      </c>
      <c r="L1245" s="577"/>
      <c r="M1245" s="387">
        <v>3</v>
      </c>
      <c r="N1245" s="387">
        <v>14</v>
      </c>
      <c r="O1245" s="387">
        <v>0</v>
      </c>
      <c r="P1245" s="387">
        <v>0</v>
      </c>
      <c r="Q1245" s="387">
        <v>0</v>
      </c>
      <c r="R1245" s="387">
        <v>0</v>
      </c>
      <c r="S1245" s="1174">
        <f>Locations[[#This Row],[Ind_Returnees]]+Locations[[#This Row],[Ind_Refugees]]+Locations[[#This Row],[Ind_IDPs]]</f>
        <v>14</v>
      </c>
    </row>
    <row r="1246" spans="1:19" x14ac:dyDescent="0.3">
      <c r="A1246" s="577" t="s">
        <v>533</v>
      </c>
      <c r="B1246" s="1430" t="s">
        <v>3449</v>
      </c>
      <c r="C1246" s="577" t="s">
        <v>534</v>
      </c>
      <c r="D1246" s="577" t="s">
        <v>31</v>
      </c>
      <c r="E1246" s="577" t="s">
        <v>31</v>
      </c>
      <c r="F1246" s="577" t="s">
        <v>549</v>
      </c>
      <c r="G1246" s="577" t="s">
        <v>169</v>
      </c>
      <c r="H1246" s="577" t="s">
        <v>169</v>
      </c>
      <c r="I1246" s="577" t="s">
        <v>673</v>
      </c>
      <c r="J1246" s="577" t="s">
        <v>2959</v>
      </c>
      <c r="K1246" s="577" t="s">
        <v>2340</v>
      </c>
      <c r="L1246" s="577"/>
      <c r="M1246" s="387">
        <v>0</v>
      </c>
      <c r="N1246" s="387">
        <v>0</v>
      </c>
      <c r="O1246" s="387">
        <v>0</v>
      </c>
      <c r="P1246" s="387">
        <v>0</v>
      </c>
      <c r="Q1246" s="387">
        <v>196</v>
      </c>
      <c r="R1246" s="387">
        <v>685</v>
      </c>
      <c r="S1246" s="1174">
        <f>Locations[[#This Row],[Ind_Returnees]]+Locations[[#This Row],[Ind_Refugees]]+Locations[[#This Row],[Ind_IDPs]]</f>
        <v>685</v>
      </c>
    </row>
    <row r="1247" spans="1:19" x14ac:dyDescent="0.3">
      <c r="A1247" s="577" t="s">
        <v>533</v>
      </c>
      <c r="B1247" s="1430" t="s">
        <v>3449</v>
      </c>
      <c r="C1247" s="577" t="s">
        <v>534</v>
      </c>
      <c r="D1247" s="577" t="s">
        <v>33</v>
      </c>
      <c r="E1247" s="577" t="s">
        <v>33</v>
      </c>
      <c r="F1247" s="577" t="s">
        <v>561</v>
      </c>
      <c r="G1247" s="577" t="s">
        <v>183</v>
      </c>
      <c r="H1247" s="577" t="s">
        <v>183</v>
      </c>
      <c r="I1247" s="577" t="s">
        <v>562</v>
      </c>
      <c r="J1247" s="577" t="s">
        <v>620</v>
      </c>
      <c r="K1247" s="577" t="s">
        <v>621</v>
      </c>
      <c r="L1247" s="577"/>
      <c r="M1247" s="387">
        <v>0</v>
      </c>
      <c r="N1247" s="387">
        <v>0</v>
      </c>
      <c r="O1247" s="387">
        <v>0</v>
      </c>
      <c r="P1247" s="387">
        <v>0</v>
      </c>
      <c r="Q1247" s="387">
        <v>2</v>
      </c>
      <c r="R1247" s="387">
        <v>12</v>
      </c>
      <c r="S1247" s="1174">
        <f>Locations[[#This Row],[Ind_Returnees]]+Locations[[#This Row],[Ind_Refugees]]+Locations[[#This Row],[Ind_IDPs]]</f>
        <v>12</v>
      </c>
    </row>
    <row r="1248" spans="1:19" x14ac:dyDescent="0.3">
      <c r="A1248" s="577" t="s">
        <v>533</v>
      </c>
      <c r="B1248" s="1430" t="s">
        <v>3449</v>
      </c>
      <c r="C1248" s="577" t="s">
        <v>534</v>
      </c>
      <c r="D1248" s="577" t="s">
        <v>31</v>
      </c>
      <c r="E1248" s="577" t="s">
        <v>31</v>
      </c>
      <c r="F1248" s="577" t="s">
        <v>549</v>
      </c>
      <c r="G1248" s="577" t="s">
        <v>167</v>
      </c>
      <c r="H1248" s="577" t="s">
        <v>167</v>
      </c>
      <c r="I1248" s="577" t="s">
        <v>1113</v>
      </c>
      <c r="J1248" s="577" t="s">
        <v>1903</v>
      </c>
      <c r="K1248" s="577" t="s">
        <v>1904</v>
      </c>
      <c r="L1248" s="577"/>
      <c r="M1248" s="387">
        <v>5</v>
      </c>
      <c r="N1248" s="387">
        <v>35</v>
      </c>
      <c r="O1248" s="387">
        <v>0</v>
      </c>
      <c r="P1248" s="387">
        <v>0</v>
      </c>
      <c r="Q1248" s="387">
        <v>0</v>
      </c>
      <c r="R1248" s="387">
        <v>0</v>
      </c>
      <c r="S1248" s="1174">
        <f>Locations[[#This Row],[Ind_Returnees]]+Locations[[#This Row],[Ind_Refugees]]+Locations[[#This Row],[Ind_IDPs]]</f>
        <v>35</v>
      </c>
    </row>
    <row r="1249" spans="1:19" x14ac:dyDescent="0.3">
      <c r="A1249" s="577" t="s">
        <v>533</v>
      </c>
      <c r="B1249" s="1430" t="s">
        <v>3449</v>
      </c>
      <c r="C1249" s="577" t="s">
        <v>534</v>
      </c>
      <c r="D1249" s="577" t="s">
        <v>35</v>
      </c>
      <c r="E1249" s="577" t="s">
        <v>35</v>
      </c>
      <c r="F1249" s="577" t="s">
        <v>567</v>
      </c>
      <c r="G1249" s="577" t="s">
        <v>195</v>
      </c>
      <c r="H1249" s="577" t="s">
        <v>195</v>
      </c>
      <c r="I1249" s="577" t="s">
        <v>733</v>
      </c>
      <c r="J1249" s="577" t="s">
        <v>2093</v>
      </c>
      <c r="K1249" s="577" t="s">
        <v>1674</v>
      </c>
      <c r="L1249" s="577"/>
      <c r="M1249" s="387">
        <v>10</v>
      </c>
      <c r="N1249" s="387">
        <v>53</v>
      </c>
      <c r="O1249" s="387">
        <v>0</v>
      </c>
      <c r="P1249" s="387">
        <v>0</v>
      </c>
      <c r="Q1249" s="387">
        <v>0</v>
      </c>
      <c r="R1249" s="387">
        <v>0</v>
      </c>
      <c r="S1249" s="1174">
        <f>Locations[[#This Row],[Ind_Returnees]]+Locations[[#This Row],[Ind_Refugees]]+Locations[[#This Row],[Ind_IDPs]]</f>
        <v>53</v>
      </c>
    </row>
    <row r="1250" spans="1:19" x14ac:dyDescent="0.3">
      <c r="A1250" s="577" t="s">
        <v>533</v>
      </c>
      <c r="B1250" s="1430" t="s">
        <v>3449</v>
      </c>
      <c r="C1250" s="577" t="s">
        <v>534</v>
      </c>
      <c r="D1250" s="577" t="s">
        <v>31</v>
      </c>
      <c r="E1250" s="577" t="s">
        <v>31</v>
      </c>
      <c r="F1250" s="577" t="s">
        <v>549</v>
      </c>
      <c r="G1250" s="577" t="s">
        <v>171</v>
      </c>
      <c r="H1250" s="577" t="s">
        <v>171</v>
      </c>
      <c r="I1250" s="577" t="s">
        <v>634</v>
      </c>
      <c r="J1250" s="577" t="s">
        <v>1216</v>
      </c>
      <c r="K1250" s="577" t="s">
        <v>1393</v>
      </c>
      <c r="L1250" s="577"/>
      <c r="M1250" s="387">
        <v>21</v>
      </c>
      <c r="N1250" s="387">
        <v>90</v>
      </c>
      <c r="O1250" s="387">
        <v>0</v>
      </c>
      <c r="P1250" s="387">
        <v>0</v>
      </c>
      <c r="Q1250" s="387">
        <v>0</v>
      </c>
      <c r="R1250" s="387">
        <v>0</v>
      </c>
      <c r="S1250" s="1174">
        <f>Locations[[#This Row],[Ind_Returnees]]+Locations[[#This Row],[Ind_Refugees]]+Locations[[#This Row],[Ind_IDPs]]</f>
        <v>90</v>
      </c>
    </row>
    <row r="1251" spans="1:19" x14ac:dyDescent="0.3">
      <c r="A1251" s="577" t="s">
        <v>533</v>
      </c>
      <c r="B1251" s="1430" t="s">
        <v>3449</v>
      </c>
      <c r="C1251" s="577" t="s">
        <v>534</v>
      </c>
      <c r="D1251" s="577" t="s">
        <v>33</v>
      </c>
      <c r="E1251" s="577" t="s">
        <v>33</v>
      </c>
      <c r="F1251" s="577" t="s">
        <v>561</v>
      </c>
      <c r="G1251" s="577" t="s">
        <v>183</v>
      </c>
      <c r="H1251" s="577" t="s">
        <v>183</v>
      </c>
      <c r="I1251" s="577" t="s">
        <v>562</v>
      </c>
      <c r="J1251" s="577" t="s">
        <v>622</v>
      </c>
      <c r="K1251" s="577" t="s">
        <v>623</v>
      </c>
      <c r="L1251" s="577"/>
      <c r="M1251" s="387">
        <v>2</v>
      </c>
      <c r="N1251" s="387">
        <v>9</v>
      </c>
      <c r="O1251" s="387">
        <v>0</v>
      </c>
      <c r="P1251" s="387">
        <v>0</v>
      </c>
      <c r="Q1251" s="387">
        <v>0</v>
      </c>
      <c r="R1251" s="387">
        <v>0</v>
      </c>
      <c r="S1251" s="1174">
        <f>Locations[[#This Row],[Ind_Returnees]]+Locations[[#This Row],[Ind_Refugees]]+Locations[[#This Row],[Ind_IDPs]]</f>
        <v>9</v>
      </c>
    </row>
    <row r="1252" spans="1:19" x14ac:dyDescent="0.3">
      <c r="A1252" s="577" t="s">
        <v>533</v>
      </c>
      <c r="B1252" s="1430" t="s">
        <v>3449</v>
      </c>
      <c r="C1252" s="577" t="s">
        <v>534</v>
      </c>
      <c r="D1252" s="577" t="s">
        <v>35</v>
      </c>
      <c r="E1252" s="577" t="s">
        <v>35</v>
      </c>
      <c r="F1252" s="577" t="s">
        <v>567</v>
      </c>
      <c r="G1252" s="577" t="s">
        <v>193</v>
      </c>
      <c r="H1252" s="577" t="s">
        <v>3983</v>
      </c>
      <c r="I1252" s="577" t="s">
        <v>863</v>
      </c>
      <c r="J1252" s="577" t="s">
        <v>3030</v>
      </c>
      <c r="K1252" s="577" t="s">
        <v>3092</v>
      </c>
      <c r="L1252" s="577"/>
      <c r="M1252" s="387">
        <v>9</v>
      </c>
      <c r="N1252" s="387">
        <v>62</v>
      </c>
      <c r="O1252" s="387">
        <v>0</v>
      </c>
      <c r="P1252" s="387">
        <v>0</v>
      </c>
      <c r="Q1252" s="387">
        <v>32</v>
      </c>
      <c r="R1252" s="387">
        <v>162</v>
      </c>
      <c r="S1252" s="1174">
        <f>Locations[[#This Row],[Ind_Returnees]]+Locations[[#This Row],[Ind_Refugees]]+Locations[[#This Row],[Ind_IDPs]]</f>
        <v>224</v>
      </c>
    </row>
    <row r="1253" spans="1:19" x14ac:dyDescent="0.3">
      <c r="A1253" s="577" t="s">
        <v>533</v>
      </c>
      <c r="B1253" s="1430" t="s">
        <v>3449</v>
      </c>
      <c r="C1253" s="577" t="s">
        <v>534</v>
      </c>
      <c r="D1253" s="577" t="s">
        <v>35</v>
      </c>
      <c r="E1253" s="577" t="s">
        <v>35</v>
      </c>
      <c r="F1253" s="577" t="s">
        <v>567</v>
      </c>
      <c r="G1253" s="577" t="s">
        <v>193</v>
      </c>
      <c r="H1253" s="577" t="s">
        <v>3983</v>
      </c>
      <c r="I1253" s="577" t="s">
        <v>863</v>
      </c>
      <c r="J1253" s="577" t="s">
        <v>3031</v>
      </c>
      <c r="K1253" s="577" t="s">
        <v>2679</v>
      </c>
      <c r="L1253" s="577"/>
      <c r="M1253" s="387">
        <v>0</v>
      </c>
      <c r="N1253" s="387">
        <v>0</v>
      </c>
      <c r="O1253" s="387">
        <v>0</v>
      </c>
      <c r="P1253" s="387">
        <v>0</v>
      </c>
      <c r="Q1253" s="387">
        <v>0</v>
      </c>
      <c r="R1253" s="387">
        <v>0</v>
      </c>
      <c r="S1253" s="1174">
        <f>Locations[[#This Row],[Ind_Returnees]]+Locations[[#This Row],[Ind_Refugees]]+Locations[[#This Row],[Ind_IDPs]]</f>
        <v>0</v>
      </c>
    </row>
    <row r="1254" spans="1:19" x14ac:dyDescent="0.3">
      <c r="A1254" s="577" t="s">
        <v>533</v>
      </c>
      <c r="B1254" s="1430" t="s">
        <v>3449</v>
      </c>
      <c r="C1254" s="577" t="s">
        <v>534</v>
      </c>
      <c r="D1254" s="577" t="s">
        <v>31</v>
      </c>
      <c r="E1254" s="577" t="s">
        <v>31</v>
      </c>
      <c r="F1254" s="577" t="s">
        <v>549</v>
      </c>
      <c r="G1254" s="577" t="s">
        <v>172</v>
      </c>
      <c r="H1254" s="577" t="s">
        <v>172</v>
      </c>
      <c r="I1254" s="577" t="s">
        <v>706</v>
      </c>
      <c r="J1254" s="577" t="s">
        <v>1305</v>
      </c>
      <c r="K1254" s="577" t="s">
        <v>973</v>
      </c>
      <c r="L1254" s="577"/>
      <c r="M1254" s="387">
        <v>82</v>
      </c>
      <c r="N1254" s="387">
        <v>505</v>
      </c>
      <c r="O1254" s="387">
        <v>15</v>
      </c>
      <c r="P1254" s="387">
        <v>61</v>
      </c>
      <c r="Q1254" s="387">
        <v>53</v>
      </c>
      <c r="R1254" s="387">
        <v>382</v>
      </c>
      <c r="S1254" s="1174">
        <f>Locations[[#This Row],[Ind_Returnees]]+Locations[[#This Row],[Ind_Refugees]]+Locations[[#This Row],[Ind_IDPs]]</f>
        <v>948</v>
      </c>
    </row>
    <row r="1255" spans="1:19" x14ac:dyDescent="0.3">
      <c r="A1255" s="577" t="s">
        <v>533</v>
      </c>
      <c r="B1255" s="1430" t="s">
        <v>3449</v>
      </c>
      <c r="C1255" s="577" t="s">
        <v>534</v>
      </c>
      <c r="D1255" s="577" t="s">
        <v>31</v>
      </c>
      <c r="E1255" s="577" t="s">
        <v>31</v>
      </c>
      <c r="F1255" s="577" t="s">
        <v>549</v>
      </c>
      <c r="G1255" s="577" t="s">
        <v>172</v>
      </c>
      <c r="H1255" s="577" t="s">
        <v>172</v>
      </c>
      <c r="I1255" s="577" t="s">
        <v>706</v>
      </c>
      <c r="J1255" s="577" t="s">
        <v>1864</v>
      </c>
      <c r="K1255" s="577" t="s">
        <v>1835</v>
      </c>
      <c r="L1255" s="577"/>
      <c r="M1255" s="387">
        <v>0</v>
      </c>
      <c r="N1255" s="387">
        <v>0</v>
      </c>
      <c r="O1255" s="387">
        <v>10</v>
      </c>
      <c r="P1255" s="387">
        <v>66</v>
      </c>
      <c r="Q1255" s="387">
        <v>0</v>
      </c>
      <c r="R1255" s="387">
        <v>0</v>
      </c>
      <c r="S1255" s="1174">
        <f>Locations[[#This Row],[Ind_Returnees]]+Locations[[#This Row],[Ind_Refugees]]+Locations[[#This Row],[Ind_IDPs]]</f>
        <v>66</v>
      </c>
    </row>
    <row r="1256" spans="1:19" x14ac:dyDescent="0.3">
      <c r="A1256" s="577" t="s">
        <v>533</v>
      </c>
      <c r="B1256" s="1430" t="s">
        <v>3449</v>
      </c>
      <c r="C1256" s="577" t="s">
        <v>534</v>
      </c>
      <c r="D1256" s="577" t="s">
        <v>35</v>
      </c>
      <c r="E1256" s="577" t="s">
        <v>35</v>
      </c>
      <c r="F1256" s="577" t="s">
        <v>567</v>
      </c>
      <c r="G1256" s="577" t="s">
        <v>195</v>
      </c>
      <c r="H1256" s="577" t="s">
        <v>195</v>
      </c>
      <c r="I1256" s="577" t="s">
        <v>733</v>
      </c>
      <c r="J1256" s="577" t="s">
        <v>1591</v>
      </c>
      <c r="K1256" s="577" t="s">
        <v>2304</v>
      </c>
      <c r="L1256" s="577"/>
      <c r="M1256" s="387">
        <v>32</v>
      </c>
      <c r="N1256" s="387">
        <v>273</v>
      </c>
      <c r="O1256" s="387">
        <v>0</v>
      </c>
      <c r="P1256" s="387">
        <v>0</v>
      </c>
      <c r="Q1256" s="387">
        <v>0</v>
      </c>
      <c r="R1256" s="387">
        <v>0</v>
      </c>
      <c r="S1256" s="1174">
        <f>Locations[[#This Row],[Ind_Returnees]]+Locations[[#This Row],[Ind_Refugees]]+Locations[[#This Row],[Ind_IDPs]]</f>
        <v>273</v>
      </c>
    </row>
    <row r="1257" spans="1:19" x14ac:dyDescent="0.3">
      <c r="A1257" s="577" t="s">
        <v>533</v>
      </c>
      <c r="B1257" s="1430" t="s">
        <v>3449</v>
      </c>
      <c r="C1257" s="577" t="s">
        <v>534</v>
      </c>
      <c r="D1257" s="577" t="s">
        <v>35</v>
      </c>
      <c r="E1257" s="577" t="s">
        <v>35</v>
      </c>
      <c r="F1257" s="577" t="s">
        <v>567</v>
      </c>
      <c r="G1257" s="577" t="s">
        <v>192</v>
      </c>
      <c r="H1257" s="577" t="s">
        <v>192</v>
      </c>
      <c r="I1257" s="577" t="s">
        <v>853</v>
      </c>
      <c r="J1257" s="577" t="s">
        <v>1402</v>
      </c>
      <c r="K1257" s="577" t="s">
        <v>1389</v>
      </c>
      <c r="L1257" s="577"/>
      <c r="M1257" s="387">
        <v>119</v>
      </c>
      <c r="N1257" s="387">
        <v>686</v>
      </c>
      <c r="O1257" s="387">
        <v>0</v>
      </c>
      <c r="P1257" s="387">
        <v>0</v>
      </c>
      <c r="Q1257" s="387">
        <v>6</v>
      </c>
      <c r="R1257" s="387">
        <v>36</v>
      </c>
      <c r="S1257" s="1174">
        <f>Locations[[#This Row],[Ind_Returnees]]+Locations[[#This Row],[Ind_Refugees]]+Locations[[#This Row],[Ind_IDPs]]</f>
        <v>722</v>
      </c>
    </row>
    <row r="1258" spans="1:19" x14ac:dyDescent="0.3">
      <c r="A1258" s="577" t="s">
        <v>533</v>
      </c>
      <c r="B1258" s="1430" t="s">
        <v>3449</v>
      </c>
      <c r="C1258" s="577" t="s">
        <v>534</v>
      </c>
      <c r="D1258" s="577" t="s">
        <v>31</v>
      </c>
      <c r="E1258" s="577" t="s">
        <v>31</v>
      </c>
      <c r="F1258" s="577" t="s">
        <v>549</v>
      </c>
      <c r="G1258" s="577" t="s">
        <v>173</v>
      </c>
      <c r="H1258" s="577" t="s">
        <v>173</v>
      </c>
      <c r="I1258" s="577" t="s">
        <v>556</v>
      </c>
      <c r="J1258" s="577" t="s">
        <v>1111</v>
      </c>
      <c r="K1258" s="577" t="s">
        <v>1603</v>
      </c>
      <c r="L1258" s="577"/>
      <c r="M1258" s="387">
        <v>6</v>
      </c>
      <c r="N1258" s="387">
        <v>48</v>
      </c>
      <c r="O1258" s="387">
        <v>0</v>
      </c>
      <c r="P1258" s="387">
        <v>0</v>
      </c>
      <c r="Q1258" s="387">
        <v>0</v>
      </c>
      <c r="R1258" s="387">
        <v>0</v>
      </c>
      <c r="S1258" s="1174">
        <f>Locations[[#This Row],[Ind_Returnees]]+Locations[[#This Row],[Ind_Refugees]]+Locations[[#This Row],[Ind_IDPs]]</f>
        <v>48</v>
      </c>
    </row>
    <row r="1259" spans="1:19" x14ac:dyDescent="0.3">
      <c r="A1259" s="577" t="s">
        <v>533</v>
      </c>
      <c r="B1259" s="1430" t="s">
        <v>3449</v>
      </c>
      <c r="C1259" s="577" t="s">
        <v>534</v>
      </c>
      <c r="D1259" s="577" t="s">
        <v>31</v>
      </c>
      <c r="E1259" s="577" t="s">
        <v>31</v>
      </c>
      <c r="F1259" s="577" t="s">
        <v>549</v>
      </c>
      <c r="G1259" s="577" t="s">
        <v>169</v>
      </c>
      <c r="H1259" s="577" t="s">
        <v>169</v>
      </c>
      <c r="I1259" s="577" t="s">
        <v>673</v>
      </c>
      <c r="J1259" s="577" t="s">
        <v>1647</v>
      </c>
      <c r="K1259" s="577" t="s">
        <v>676</v>
      </c>
      <c r="L1259" s="577"/>
      <c r="M1259" s="387">
        <v>100</v>
      </c>
      <c r="N1259" s="387">
        <v>724</v>
      </c>
      <c r="O1259" s="387">
        <v>0</v>
      </c>
      <c r="P1259" s="387">
        <v>0</v>
      </c>
      <c r="Q1259" s="387">
        <v>51</v>
      </c>
      <c r="R1259" s="387">
        <v>249</v>
      </c>
      <c r="S1259" s="1174">
        <f>Locations[[#This Row],[Ind_Returnees]]+Locations[[#This Row],[Ind_Refugees]]+Locations[[#This Row],[Ind_IDPs]]</f>
        <v>973</v>
      </c>
    </row>
    <row r="1260" spans="1:19" x14ac:dyDescent="0.3">
      <c r="A1260" s="577" t="s">
        <v>533</v>
      </c>
      <c r="B1260" s="1430" t="s">
        <v>3449</v>
      </c>
      <c r="C1260" s="577" t="s">
        <v>534</v>
      </c>
      <c r="D1260" s="577" t="s">
        <v>31</v>
      </c>
      <c r="E1260" s="577" t="s">
        <v>31</v>
      </c>
      <c r="F1260" s="577" t="s">
        <v>549</v>
      </c>
      <c r="G1260" s="577" t="s">
        <v>169</v>
      </c>
      <c r="H1260" s="577" t="s">
        <v>169</v>
      </c>
      <c r="I1260" s="577" t="s">
        <v>673</v>
      </c>
      <c r="J1260" s="577" t="s">
        <v>1270</v>
      </c>
      <c r="K1260" s="577" t="s">
        <v>674</v>
      </c>
      <c r="L1260" s="577"/>
      <c r="M1260" s="387">
        <v>7</v>
      </c>
      <c r="N1260" s="387">
        <v>65</v>
      </c>
      <c r="O1260" s="387">
        <v>0</v>
      </c>
      <c r="P1260" s="387">
        <v>0</v>
      </c>
      <c r="Q1260" s="387">
        <v>150</v>
      </c>
      <c r="R1260" s="387">
        <v>629</v>
      </c>
      <c r="S1260" s="1174">
        <f>Locations[[#This Row],[Ind_Returnees]]+Locations[[#This Row],[Ind_Refugees]]+Locations[[#This Row],[Ind_IDPs]]</f>
        <v>694</v>
      </c>
    </row>
    <row r="1261" spans="1:19" x14ac:dyDescent="0.3">
      <c r="A1261" s="577" t="s">
        <v>533</v>
      </c>
      <c r="B1261" s="1430" t="s">
        <v>3449</v>
      </c>
      <c r="C1261" s="577" t="s">
        <v>534</v>
      </c>
      <c r="D1261" s="577" t="s">
        <v>31</v>
      </c>
      <c r="E1261" s="577" t="s">
        <v>31</v>
      </c>
      <c r="F1261" s="577" t="s">
        <v>549</v>
      </c>
      <c r="G1261" s="577" t="s">
        <v>169</v>
      </c>
      <c r="H1261" s="577" t="s">
        <v>169</v>
      </c>
      <c r="I1261" s="577" t="s">
        <v>673</v>
      </c>
      <c r="J1261" s="577" t="s">
        <v>1127</v>
      </c>
      <c r="K1261" s="577" t="s">
        <v>677</v>
      </c>
      <c r="L1261" s="577"/>
      <c r="M1261" s="387">
        <v>21</v>
      </c>
      <c r="N1261" s="387">
        <v>198</v>
      </c>
      <c r="O1261" s="387">
        <v>0</v>
      </c>
      <c r="P1261" s="387">
        <v>0</v>
      </c>
      <c r="Q1261" s="387">
        <v>20</v>
      </c>
      <c r="R1261" s="387">
        <v>100</v>
      </c>
      <c r="S1261" s="1174">
        <f>Locations[[#This Row],[Ind_Returnees]]+Locations[[#This Row],[Ind_Refugees]]+Locations[[#This Row],[Ind_IDPs]]</f>
        <v>298</v>
      </c>
    </row>
    <row r="1262" spans="1:19" x14ac:dyDescent="0.3">
      <c r="A1262" s="577" t="s">
        <v>533</v>
      </c>
      <c r="B1262" s="1430" t="s">
        <v>3449</v>
      </c>
      <c r="C1262" s="577" t="s">
        <v>534</v>
      </c>
      <c r="D1262" s="577" t="s">
        <v>34</v>
      </c>
      <c r="E1262" s="577" t="s">
        <v>34</v>
      </c>
      <c r="F1262" s="577" t="s">
        <v>539</v>
      </c>
      <c r="G1262" s="577" t="s">
        <v>187</v>
      </c>
      <c r="H1262" s="577" t="s">
        <v>187</v>
      </c>
      <c r="I1262" s="577" t="s">
        <v>951</v>
      </c>
      <c r="J1262" s="577" t="s">
        <v>3032</v>
      </c>
      <c r="K1262" s="577" t="s">
        <v>2547</v>
      </c>
      <c r="L1262" s="577"/>
      <c r="M1262" s="387">
        <v>0</v>
      </c>
      <c r="N1262" s="387">
        <v>0</v>
      </c>
      <c r="O1262" s="387">
        <v>0</v>
      </c>
      <c r="P1262" s="387">
        <v>0</v>
      </c>
      <c r="Q1262" s="387">
        <v>0</v>
      </c>
      <c r="R1262" s="387">
        <v>0</v>
      </c>
      <c r="S1262" s="1174">
        <f>Locations[[#This Row],[Ind_Returnees]]+Locations[[#This Row],[Ind_Refugees]]+Locations[[#This Row],[Ind_IDPs]]</f>
        <v>0</v>
      </c>
    </row>
    <row r="1263" spans="1:19" x14ac:dyDescent="0.3">
      <c r="A1263" s="577" t="s">
        <v>533</v>
      </c>
      <c r="B1263" s="1430" t="s">
        <v>3449</v>
      </c>
      <c r="C1263" s="577" t="s">
        <v>534</v>
      </c>
      <c r="D1263" s="577" t="s">
        <v>31</v>
      </c>
      <c r="E1263" s="577" t="s">
        <v>31</v>
      </c>
      <c r="F1263" s="577" t="s">
        <v>549</v>
      </c>
      <c r="G1263" s="577" t="s">
        <v>172</v>
      </c>
      <c r="H1263" s="577" t="s">
        <v>172</v>
      </c>
      <c r="I1263" s="577" t="s">
        <v>706</v>
      </c>
      <c r="J1263" s="577" t="s">
        <v>972</v>
      </c>
      <c r="K1263" s="577" t="s">
        <v>2791</v>
      </c>
      <c r="L1263" s="577"/>
      <c r="M1263" s="387">
        <v>5</v>
      </c>
      <c r="N1263" s="387">
        <v>41</v>
      </c>
      <c r="O1263" s="387">
        <v>38</v>
      </c>
      <c r="P1263" s="387">
        <v>235</v>
      </c>
      <c r="Q1263" s="387">
        <v>0</v>
      </c>
      <c r="R1263" s="387">
        <v>0</v>
      </c>
      <c r="S1263" s="1174">
        <f>Locations[[#This Row],[Ind_Returnees]]+Locations[[#This Row],[Ind_Refugees]]+Locations[[#This Row],[Ind_IDPs]]</f>
        <v>276</v>
      </c>
    </row>
    <row r="1264" spans="1:19" x14ac:dyDescent="0.3">
      <c r="A1264" s="577" t="s">
        <v>533</v>
      </c>
      <c r="B1264" s="1430" t="s">
        <v>3449</v>
      </c>
      <c r="C1264" s="577" t="s">
        <v>534</v>
      </c>
      <c r="D1264" s="577" t="s">
        <v>30</v>
      </c>
      <c r="E1264" s="577" t="s">
        <v>3522</v>
      </c>
      <c r="F1264" s="577" t="s">
        <v>535</v>
      </c>
      <c r="G1264" s="577" t="s">
        <v>159</v>
      </c>
      <c r="H1264" s="577" t="s">
        <v>159</v>
      </c>
      <c r="I1264" s="577" t="s">
        <v>574</v>
      </c>
      <c r="J1264" s="577" t="s">
        <v>575</v>
      </c>
      <c r="K1264" s="577" t="s">
        <v>576</v>
      </c>
      <c r="L1264" s="577"/>
      <c r="M1264" s="387">
        <v>2</v>
      </c>
      <c r="N1264" s="387">
        <v>12</v>
      </c>
      <c r="O1264" s="387">
        <v>0</v>
      </c>
      <c r="P1264" s="387">
        <v>0</v>
      </c>
      <c r="Q1264" s="387">
        <v>0</v>
      </c>
      <c r="R1264" s="387">
        <v>0</v>
      </c>
      <c r="S1264" s="1174">
        <f>Locations[[#This Row],[Ind_Returnees]]+Locations[[#This Row],[Ind_Refugees]]+Locations[[#This Row],[Ind_IDPs]]</f>
        <v>12</v>
      </c>
    </row>
    <row r="1265" spans="1:19" x14ac:dyDescent="0.3">
      <c r="A1265" s="577" t="s">
        <v>533</v>
      </c>
      <c r="B1265" s="1430" t="s">
        <v>3449</v>
      </c>
      <c r="C1265" s="577" t="s">
        <v>534</v>
      </c>
      <c r="D1265" s="577" t="s">
        <v>35</v>
      </c>
      <c r="E1265" s="577" t="s">
        <v>35</v>
      </c>
      <c r="F1265" s="577" t="s">
        <v>567</v>
      </c>
      <c r="G1265" s="577" t="s">
        <v>191</v>
      </c>
      <c r="H1265" s="577" t="s">
        <v>191</v>
      </c>
      <c r="I1265" s="577" t="s">
        <v>659</v>
      </c>
      <c r="J1265" s="577" t="s">
        <v>2306</v>
      </c>
      <c r="K1265" s="577" t="s">
        <v>2307</v>
      </c>
      <c r="L1265" s="577"/>
      <c r="M1265" s="387">
        <v>1</v>
      </c>
      <c r="N1265" s="387">
        <v>6</v>
      </c>
      <c r="O1265" s="387">
        <v>0</v>
      </c>
      <c r="P1265" s="387">
        <v>0</v>
      </c>
      <c r="Q1265" s="387">
        <v>1</v>
      </c>
      <c r="R1265" s="387">
        <v>7</v>
      </c>
      <c r="S1265" s="1174">
        <f>Locations[[#This Row],[Ind_Returnees]]+Locations[[#This Row],[Ind_Refugees]]+Locations[[#This Row],[Ind_IDPs]]</f>
        <v>13</v>
      </c>
    </row>
  </sheetData>
  <phoneticPr fontId="51" type="noConversion"/>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C9A4F-A1F3-4275-BD64-6A6AD4994C02}">
  <sheetPr>
    <tabColor theme="9"/>
  </sheetPr>
  <dimension ref="B1:EM56"/>
  <sheetViews>
    <sheetView showGridLines="0" topLeftCell="DS1" zoomScale="90" zoomScaleNormal="90" workbookViewId="0">
      <pane ySplit="2" topLeftCell="A27" activePane="bottomLeft" state="frozen"/>
      <selection activeCell="CZ1" sqref="CZ1"/>
      <selection pane="bottomLeft" activeCell="DT66" sqref="DT66"/>
    </sheetView>
  </sheetViews>
  <sheetFormatPr defaultColWidth="11.44140625" defaultRowHeight="14.4" x14ac:dyDescent="0.3"/>
  <cols>
    <col min="1" max="1" width="8.44140625" style="487" customWidth="1"/>
    <col min="2" max="2" width="17.77734375" style="487" customWidth="1"/>
    <col min="3" max="4" width="15" style="487" customWidth="1"/>
    <col min="5" max="5" width="13.77734375" style="487" customWidth="1"/>
    <col min="6" max="6" width="15" style="487" customWidth="1"/>
    <col min="7" max="7" width="19" style="487" customWidth="1"/>
    <col min="8" max="9" width="11.77734375" style="487" customWidth="1"/>
    <col min="10" max="10" width="13.21875" style="487" customWidth="1"/>
    <col min="11" max="11" width="11.77734375" style="487" customWidth="1"/>
    <col min="12" max="12" width="13.44140625" style="487" customWidth="1"/>
    <col min="13" max="13" width="16.21875" style="487" customWidth="1"/>
    <col min="14" max="14" width="11.44140625" style="487"/>
    <col min="15" max="15" width="13.77734375" style="487" customWidth="1"/>
    <col min="16" max="16" width="12.21875" style="487" customWidth="1"/>
    <col min="17" max="17" width="11.44140625" style="487"/>
    <col min="18" max="18" width="13.77734375" style="487" customWidth="1"/>
    <col min="19" max="19" width="15.21875" style="487" bestFit="1" customWidth="1"/>
    <col min="20" max="20" width="11.44140625" style="487"/>
    <col min="21" max="21" width="12.77734375" style="487" customWidth="1"/>
    <col min="22" max="22" width="13.44140625" style="487" customWidth="1"/>
    <col min="23" max="23" width="17.77734375" style="487" customWidth="1"/>
    <col min="24" max="24" width="13.77734375" style="487" customWidth="1"/>
    <col min="25" max="25" width="16.5546875" style="487" customWidth="1"/>
    <col min="26" max="26" width="11.44140625" style="487"/>
    <col min="27" max="27" width="13.5546875" style="487" customWidth="1"/>
    <col min="28" max="28" width="12.77734375" style="487" customWidth="1"/>
    <col min="29" max="29" width="11.44140625" style="487"/>
    <col min="30" max="30" width="13" style="487" customWidth="1"/>
    <col min="31" max="31" width="15.21875" style="487" bestFit="1" customWidth="1"/>
    <col min="32" max="33" width="11.44140625" style="487"/>
    <col min="34" max="34" width="13.44140625" style="487" customWidth="1"/>
    <col min="35" max="35" width="17.77734375" style="487" customWidth="1"/>
    <col min="36" max="36" width="14.21875" style="487" customWidth="1"/>
    <col min="37" max="37" width="15.21875" style="487" bestFit="1" customWidth="1"/>
    <col min="38" max="39" width="11.44140625" style="487"/>
    <col min="40" max="40" width="13.44140625" style="487" customWidth="1"/>
    <col min="41" max="41" width="17.77734375" style="487" customWidth="1"/>
    <col min="42" max="42" width="14.21875" style="487" customWidth="1"/>
    <col min="43" max="43" width="16.5546875" style="487" customWidth="1"/>
    <col min="44" max="45" width="11.44140625" style="487"/>
    <col min="46" max="46" width="12.77734375" style="487" customWidth="1"/>
    <col min="47" max="47" width="11.44140625" style="487"/>
    <col min="48" max="48" width="13.21875" style="487" customWidth="1"/>
    <col min="49" max="49" width="15.5546875" style="487" customWidth="1"/>
    <col min="50" max="53" width="13.21875" style="487" customWidth="1"/>
    <col min="54" max="54" width="13.44140625" style="487" customWidth="1"/>
    <col min="55" max="55" width="15.21875" style="498" customWidth="1"/>
    <col min="56" max="57" width="16" style="487" customWidth="1"/>
    <col min="58" max="58" width="14.21875" style="487" customWidth="1"/>
    <col min="59" max="59" width="16" style="487" customWidth="1"/>
    <col min="60" max="60" width="13.44140625" style="487" customWidth="1"/>
    <col min="61" max="61" width="15.77734375" style="487" customWidth="1"/>
    <col min="62" max="66" width="13.44140625" style="487" customWidth="1"/>
    <col min="67" max="67" width="15.44140625" style="487" customWidth="1"/>
    <col min="68" max="72" width="13.44140625" style="487" customWidth="1"/>
    <col min="73" max="73" width="15.44140625" style="487" customWidth="1"/>
    <col min="74" max="78" width="13.44140625" style="487" customWidth="1"/>
    <col min="79" max="79" width="15.44140625" style="487" customWidth="1"/>
    <col min="80" max="84" width="13.44140625" style="487" customWidth="1"/>
    <col min="85" max="85" width="15.44140625" style="487" customWidth="1"/>
    <col min="86" max="90" width="13.44140625" style="487" customWidth="1"/>
    <col min="91" max="91" width="15.44140625" style="487" customWidth="1"/>
    <col min="92" max="96" width="13.44140625" style="487" customWidth="1"/>
    <col min="97" max="97" width="21" style="498" customWidth="1"/>
    <col min="98" max="99" width="16" style="487" customWidth="1"/>
    <col min="100" max="100" width="14.21875" style="487" customWidth="1"/>
    <col min="101" max="101" width="16" style="487" customWidth="1"/>
    <col min="102" max="102" width="13.44140625" style="487" customWidth="1"/>
    <col min="103" max="103" width="21" style="498" customWidth="1"/>
    <col min="104" max="105" width="16" style="487" customWidth="1"/>
    <col min="106" max="106" width="14.21875" style="487" customWidth="1"/>
    <col min="107" max="107" width="16" style="487" customWidth="1"/>
    <col min="108" max="108" width="13.44140625" style="487" customWidth="1"/>
    <col min="109" max="109" width="20.77734375" style="498" customWidth="1"/>
    <col min="110" max="111" width="16" style="487" customWidth="1"/>
    <col min="112" max="112" width="14.21875" style="487" customWidth="1"/>
    <col min="113" max="113" width="16" style="487" customWidth="1"/>
    <col min="114" max="114" width="13.44140625" style="487" customWidth="1"/>
    <col min="115" max="115" width="20.77734375" style="498" customWidth="1"/>
    <col min="116" max="117" width="16" style="487" customWidth="1"/>
    <col min="118" max="118" width="14.21875" style="487" customWidth="1"/>
    <col min="119" max="119" width="16" style="487" customWidth="1"/>
    <col min="120" max="120" width="13.44140625" style="487" customWidth="1"/>
    <col min="121" max="121" width="7.77734375" style="498" customWidth="1"/>
    <col min="122" max="122" width="21.33203125" style="498" customWidth="1"/>
    <col min="123" max="123" width="15.33203125" style="498" customWidth="1"/>
    <col min="124" max="124" width="17.21875" style="498" customWidth="1"/>
    <col min="125" max="125" width="15.77734375" style="498" customWidth="1"/>
    <col min="126" max="126" width="12.6640625" style="498" customWidth="1"/>
    <col min="127" max="127" width="13.88671875" style="498" customWidth="1"/>
    <col min="128" max="128" width="7.77734375" style="498" customWidth="1"/>
    <col min="129" max="129" width="20.77734375" style="498" customWidth="1"/>
    <col min="130" max="131" width="16" style="487" customWidth="1"/>
    <col min="132" max="132" width="14.21875" style="487" customWidth="1"/>
    <col min="133" max="133" width="16" style="487" customWidth="1"/>
    <col min="134" max="134" width="13.44140625" style="487" customWidth="1"/>
    <col min="135" max="135" width="8.44140625" style="487" customWidth="1"/>
    <col min="136" max="136" width="13.77734375" style="487" customWidth="1"/>
    <col min="137" max="137" width="15.21875" style="487" customWidth="1"/>
    <col min="138" max="140" width="12.44140625" style="487" customWidth="1"/>
    <col min="141" max="16384" width="11.44140625" style="487"/>
  </cols>
  <sheetData>
    <row r="1" spans="2:143" s="477" customFormat="1" ht="24" customHeight="1" thickBot="1" x14ac:dyDescent="0.35">
      <c r="B1" s="1405" t="s">
        <v>472</v>
      </c>
      <c r="C1" s="1406"/>
      <c r="D1" s="1406"/>
      <c r="E1" s="1406"/>
      <c r="F1" s="1407"/>
      <c r="G1" s="1405" t="s">
        <v>473</v>
      </c>
      <c r="H1" s="1406"/>
      <c r="I1" s="1406"/>
      <c r="J1" s="1406"/>
      <c r="K1" s="1407"/>
      <c r="L1" s="1403" t="s">
        <v>474</v>
      </c>
      <c r="M1" s="1408" t="s">
        <v>475</v>
      </c>
      <c r="N1" s="1409"/>
      <c r="O1" s="1409"/>
      <c r="P1" s="1409"/>
      <c r="Q1" s="1410"/>
      <c r="R1" s="675"/>
      <c r="S1" s="1408" t="s">
        <v>476</v>
      </c>
      <c r="T1" s="1409"/>
      <c r="U1" s="1409"/>
      <c r="V1" s="1409"/>
      <c r="W1" s="1410"/>
      <c r="X1" s="1403" t="s">
        <v>477</v>
      </c>
      <c r="Y1" s="1411" t="s">
        <v>478</v>
      </c>
      <c r="Z1" s="1412"/>
      <c r="AA1" s="1412"/>
      <c r="AB1" s="1412"/>
      <c r="AC1" s="1413"/>
      <c r="AD1" s="1414" t="s">
        <v>479</v>
      </c>
      <c r="AE1" s="1405" t="s">
        <v>480</v>
      </c>
      <c r="AF1" s="1406"/>
      <c r="AG1" s="1406"/>
      <c r="AH1" s="1406"/>
      <c r="AI1" s="1407"/>
      <c r="AJ1" s="1403" t="s">
        <v>481</v>
      </c>
      <c r="AK1" s="1405" t="s">
        <v>482</v>
      </c>
      <c r="AL1" s="1406"/>
      <c r="AM1" s="1406"/>
      <c r="AN1" s="1406"/>
      <c r="AO1" s="1407"/>
      <c r="AP1" s="1403" t="s">
        <v>483</v>
      </c>
      <c r="AQ1" s="1405" t="s">
        <v>484</v>
      </c>
      <c r="AR1" s="1406"/>
      <c r="AS1" s="1406"/>
      <c r="AT1" s="1406"/>
      <c r="AU1" s="1407"/>
      <c r="AV1" s="1403" t="s">
        <v>485</v>
      </c>
      <c r="AW1" s="1405" t="s">
        <v>486</v>
      </c>
      <c r="AX1" s="1406"/>
      <c r="AY1" s="1406"/>
      <c r="AZ1" s="1406"/>
      <c r="BA1" s="1407"/>
      <c r="BB1" s="1403" t="s">
        <v>487</v>
      </c>
      <c r="BC1" s="1405" t="s">
        <v>488</v>
      </c>
      <c r="BD1" s="1406"/>
      <c r="BE1" s="1406"/>
      <c r="BF1" s="1406"/>
      <c r="BG1" s="1407"/>
      <c r="BH1" s="1403" t="s">
        <v>489</v>
      </c>
      <c r="BI1" s="1405" t="s">
        <v>490</v>
      </c>
      <c r="BJ1" s="1406"/>
      <c r="BK1" s="1406"/>
      <c r="BL1" s="1406"/>
      <c r="BM1" s="1407"/>
      <c r="BN1" s="1414" t="s">
        <v>491</v>
      </c>
      <c r="BO1" s="1405" t="s">
        <v>492</v>
      </c>
      <c r="BP1" s="1406"/>
      <c r="BQ1" s="1406"/>
      <c r="BR1" s="1406"/>
      <c r="BS1" s="1407"/>
      <c r="BT1" s="1403" t="s">
        <v>493</v>
      </c>
      <c r="BU1" s="1405" t="s">
        <v>494</v>
      </c>
      <c r="BV1" s="1406"/>
      <c r="BW1" s="1406"/>
      <c r="BX1" s="1406"/>
      <c r="BY1" s="1407"/>
      <c r="BZ1" s="1403" t="s">
        <v>495</v>
      </c>
      <c r="CA1" s="1405" t="s">
        <v>437</v>
      </c>
      <c r="CB1" s="1406"/>
      <c r="CC1" s="1406"/>
      <c r="CD1" s="1406"/>
      <c r="CE1" s="1407"/>
      <c r="CF1" s="1403" t="s">
        <v>496</v>
      </c>
      <c r="CG1" s="1405" t="s">
        <v>438</v>
      </c>
      <c r="CH1" s="1406"/>
      <c r="CI1" s="1406"/>
      <c r="CJ1" s="1406"/>
      <c r="CK1" s="1407"/>
      <c r="CL1" s="1415" t="s">
        <v>497</v>
      </c>
      <c r="CM1" s="1417" t="s">
        <v>439</v>
      </c>
      <c r="CN1" s="1406"/>
      <c r="CO1" s="1406"/>
      <c r="CP1" s="1406"/>
      <c r="CQ1" s="1407"/>
      <c r="CR1" s="1403" t="s">
        <v>498</v>
      </c>
      <c r="CS1" s="1405" t="s">
        <v>440</v>
      </c>
      <c r="CT1" s="1406"/>
      <c r="CU1" s="1406"/>
      <c r="CV1" s="1406"/>
      <c r="CW1" s="1407"/>
      <c r="CX1" s="1403" t="s">
        <v>499</v>
      </c>
      <c r="CY1" s="1405" t="s">
        <v>441</v>
      </c>
      <c r="CZ1" s="1406"/>
      <c r="DA1" s="1406"/>
      <c r="DB1" s="1406"/>
      <c r="DC1" s="1407"/>
      <c r="DD1" s="1403" t="s">
        <v>500</v>
      </c>
      <c r="DE1" s="1418" t="s">
        <v>442</v>
      </c>
      <c r="DF1" s="1419"/>
      <c r="DG1" s="1419"/>
      <c r="DH1" s="1419"/>
      <c r="DI1" s="1420"/>
      <c r="DJ1" s="1415" t="s">
        <v>501</v>
      </c>
      <c r="DK1" s="1418" t="s">
        <v>443</v>
      </c>
      <c r="DL1" s="1419"/>
      <c r="DM1" s="1419"/>
      <c r="DN1" s="1419"/>
      <c r="DO1" s="1420"/>
      <c r="DP1" s="1415" t="s">
        <v>502</v>
      </c>
      <c r="DQ1" s="1132"/>
      <c r="DR1" s="1418" t="s">
        <v>3040</v>
      </c>
      <c r="DS1" s="1419"/>
      <c r="DT1" s="1419"/>
      <c r="DU1" s="1419"/>
      <c r="DV1" s="1420"/>
      <c r="DW1" s="1415" t="s">
        <v>3041</v>
      </c>
      <c r="DX1" s="1132"/>
      <c r="DY1" s="1418" t="s">
        <v>3383</v>
      </c>
      <c r="DZ1" s="1419"/>
      <c r="EA1" s="1419"/>
      <c r="EB1" s="1419"/>
      <c r="EC1" s="1420"/>
      <c r="ED1" s="1415" t="s">
        <v>3407</v>
      </c>
      <c r="EF1" s="1418" t="s">
        <v>3408</v>
      </c>
      <c r="EG1" s="1419"/>
      <c r="EH1" s="1419"/>
      <c r="EI1" s="1419"/>
      <c r="EJ1" s="1420"/>
    </row>
    <row r="2" spans="2:143" s="478" customFormat="1" ht="38.1" customHeight="1" x14ac:dyDescent="0.3">
      <c r="B2" s="676" t="s">
        <v>51</v>
      </c>
      <c r="C2" s="677" t="s">
        <v>435</v>
      </c>
      <c r="D2" s="677" t="s">
        <v>29</v>
      </c>
      <c r="E2" s="677" t="s">
        <v>28</v>
      </c>
      <c r="F2" s="678" t="s">
        <v>25</v>
      </c>
      <c r="G2" s="676" t="s">
        <v>51</v>
      </c>
      <c r="H2" s="677" t="s">
        <v>435</v>
      </c>
      <c r="I2" s="677" t="s">
        <v>29</v>
      </c>
      <c r="J2" s="677" t="s">
        <v>28</v>
      </c>
      <c r="K2" s="678" t="s">
        <v>25</v>
      </c>
      <c r="L2" s="1404"/>
      <c r="M2" s="679" t="s">
        <v>51</v>
      </c>
      <c r="N2" s="680" t="s">
        <v>435</v>
      </c>
      <c r="O2" s="681" t="s">
        <v>29</v>
      </c>
      <c r="P2" s="677" t="s">
        <v>28</v>
      </c>
      <c r="Q2" s="682" t="s">
        <v>25</v>
      </c>
      <c r="R2" s="683" t="s">
        <v>503</v>
      </c>
      <c r="S2" s="684" t="s">
        <v>51</v>
      </c>
      <c r="T2" s="685" t="s">
        <v>435</v>
      </c>
      <c r="U2" s="685" t="s">
        <v>29</v>
      </c>
      <c r="V2" s="677" t="s">
        <v>28</v>
      </c>
      <c r="W2" s="686" t="s">
        <v>25</v>
      </c>
      <c r="X2" s="1404"/>
      <c r="Y2" s="676" t="s">
        <v>51</v>
      </c>
      <c r="Z2" s="677" t="s">
        <v>435</v>
      </c>
      <c r="AA2" s="677" t="s">
        <v>29</v>
      </c>
      <c r="AB2" s="677" t="s">
        <v>28</v>
      </c>
      <c r="AC2" s="678" t="s">
        <v>25</v>
      </c>
      <c r="AD2" s="1404"/>
      <c r="AE2" s="676" t="s">
        <v>51</v>
      </c>
      <c r="AF2" s="677" t="s">
        <v>435</v>
      </c>
      <c r="AG2" s="677" t="s">
        <v>29</v>
      </c>
      <c r="AH2" s="677" t="s">
        <v>28</v>
      </c>
      <c r="AI2" s="678" t="s">
        <v>25</v>
      </c>
      <c r="AJ2" s="1404"/>
      <c r="AK2" s="676" t="s">
        <v>51</v>
      </c>
      <c r="AL2" s="677" t="s">
        <v>435</v>
      </c>
      <c r="AM2" s="677" t="s">
        <v>29</v>
      </c>
      <c r="AN2" s="677" t="s">
        <v>28</v>
      </c>
      <c r="AO2" s="678" t="s">
        <v>25</v>
      </c>
      <c r="AP2" s="1404"/>
      <c r="AQ2" s="687" t="s">
        <v>51</v>
      </c>
      <c r="AR2" s="687" t="s">
        <v>435</v>
      </c>
      <c r="AS2" s="687" t="s">
        <v>29</v>
      </c>
      <c r="AT2" s="677" t="s">
        <v>28</v>
      </c>
      <c r="AU2" s="687" t="s">
        <v>25</v>
      </c>
      <c r="AV2" s="1404"/>
      <c r="AW2" s="676" t="s">
        <v>51</v>
      </c>
      <c r="AX2" s="677" t="s">
        <v>435</v>
      </c>
      <c r="AY2" s="677" t="s">
        <v>29</v>
      </c>
      <c r="AZ2" s="677" t="s">
        <v>28</v>
      </c>
      <c r="BA2" s="678" t="s">
        <v>25</v>
      </c>
      <c r="BB2" s="1404"/>
      <c r="BC2" s="676" t="s">
        <v>51</v>
      </c>
      <c r="BD2" s="677" t="s">
        <v>435</v>
      </c>
      <c r="BE2" s="677" t="s">
        <v>29</v>
      </c>
      <c r="BF2" s="677" t="s">
        <v>28</v>
      </c>
      <c r="BG2" s="678" t="s">
        <v>25</v>
      </c>
      <c r="BH2" s="1404"/>
      <c r="BI2" s="688" t="s">
        <v>51</v>
      </c>
      <c r="BJ2" s="677" t="s">
        <v>435</v>
      </c>
      <c r="BK2" s="677" t="s">
        <v>29</v>
      </c>
      <c r="BL2" s="677" t="s">
        <v>28</v>
      </c>
      <c r="BM2" s="678" t="s">
        <v>25</v>
      </c>
      <c r="BN2" s="1404"/>
      <c r="BO2" s="676" t="s">
        <v>51</v>
      </c>
      <c r="BP2" s="677" t="s">
        <v>435</v>
      </c>
      <c r="BQ2" s="677" t="s">
        <v>29</v>
      </c>
      <c r="BR2" s="677" t="s">
        <v>28</v>
      </c>
      <c r="BS2" s="678" t="s">
        <v>25</v>
      </c>
      <c r="BT2" s="1404"/>
      <c r="BU2" s="676" t="s">
        <v>51</v>
      </c>
      <c r="BV2" s="677" t="s">
        <v>435</v>
      </c>
      <c r="BW2" s="677" t="s">
        <v>29</v>
      </c>
      <c r="BX2" s="677" t="s">
        <v>28</v>
      </c>
      <c r="BY2" s="678" t="s">
        <v>25</v>
      </c>
      <c r="BZ2" s="1404"/>
      <c r="CA2" s="676" t="s">
        <v>51</v>
      </c>
      <c r="CB2" s="677" t="s">
        <v>435</v>
      </c>
      <c r="CC2" s="677" t="s">
        <v>29</v>
      </c>
      <c r="CD2" s="677" t="s">
        <v>28</v>
      </c>
      <c r="CE2" s="678" t="s">
        <v>25</v>
      </c>
      <c r="CF2" s="1404"/>
      <c r="CG2" s="688" t="s">
        <v>51</v>
      </c>
      <c r="CH2" s="677" t="s">
        <v>435</v>
      </c>
      <c r="CI2" s="677" t="s">
        <v>29</v>
      </c>
      <c r="CJ2" s="677" t="s">
        <v>28</v>
      </c>
      <c r="CK2" s="678" t="s">
        <v>25</v>
      </c>
      <c r="CL2" s="1416"/>
      <c r="CM2" s="677" t="s">
        <v>51</v>
      </c>
      <c r="CN2" s="677" t="s">
        <v>435</v>
      </c>
      <c r="CO2" s="677" t="s">
        <v>29</v>
      </c>
      <c r="CP2" s="677" t="s">
        <v>28</v>
      </c>
      <c r="CQ2" s="678" t="s">
        <v>25</v>
      </c>
      <c r="CR2" s="1404"/>
      <c r="CS2" s="676" t="s">
        <v>51</v>
      </c>
      <c r="CT2" s="677" t="s">
        <v>435</v>
      </c>
      <c r="CU2" s="677" t="s">
        <v>29</v>
      </c>
      <c r="CV2" s="677" t="s">
        <v>28</v>
      </c>
      <c r="CW2" s="678" t="s">
        <v>25</v>
      </c>
      <c r="CX2" s="1404"/>
      <c r="CY2" s="676" t="s">
        <v>51</v>
      </c>
      <c r="CZ2" s="677" t="s">
        <v>435</v>
      </c>
      <c r="DA2" s="677" t="s">
        <v>29</v>
      </c>
      <c r="DB2" s="677" t="s">
        <v>28</v>
      </c>
      <c r="DC2" s="678" t="s">
        <v>25</v>
      </c>
      <c r="DD2" s="1404"/>
      <c r="DE2" s="676" t="s">
        <v>51</v>
      </c>
      <c r="DF2" s="677" t="s">
        <v>435</v>
      </c>
      <c r="DG2" s="677" t="s">
        <v>29</v>
      </c>
      <c r="DH2" s="677" t="s">
        <v>28</v>
      </c>
      <c r="DI2" s="678" t="s">
        <v>25</v>
      </c>
      <c r="DJ2" s="1421"/>
      <c r="DK2" s="676" t="s">
        <v>51</v>
      </c>
      <c r="DL2" s="677" t="s">
        <v>435</v>
      </c>
      <c r="DM2" s="677" t="s">
        <v>29</v>
      </c>
      <c r="DN2" s="677" t="s">
        <v>28</v>
      </c>
      <c r="DO2" s="678" t="s">
        <v>25</v>
      </c>
      <c r="DP2" s="1421"/>
      <c r="DQ2" s="1133"/>
      <c r="DR2" s="676" t="s">
        <v>51</v>
      </c>
      <c r="DS2" s="677" t="s">
        <v>435</v>
      </c>
      <c r="DT2" s="677" t="s">
        <v>29</v>
      </c>
      <c r="DU2" s="677" t="s">
        <v>28</v>
      </c>
      <c r="DV2" s="678" t="s">
        <v>25</v>
      </c>
      <c r="DW2" s="1421"/>
      <c r="DX2" s="1133"/>
      <c r="DY2" s="676" t="s">
        <v>51</v>
      </c>
      <c r="DZ2" s="677" t="s">
        <v>435</v>
      </c>
      <c r="EA2" s="677" t="s">
        <v>29</v>
      </c>
      <c r="EB2" s="677" t="s">
        <v>28</v>
      </c>
      <c r="EC2" s="678" t="s">
        <v>25</v>
      </c>
      <c r="ED2" s="1421"/>
      <c r="EF2" s="676" t="s">
        <v>51</v>
      </c>
      <c r="EG2" s="677" t="s">
        <v>435</v>
      </c>
      <c r="EH2" s="677" t="s">
        <v>29</v>
      </c>
      <c r="EI2" s="677" t="s">
        <v>28</v>
      </c>
      <c r="EJ2" s="678" t="s">
        <v>25</v>
      </c>
    </row>
    <row r="3" spans="2:143" x14ac:dyDescent="0.3">
      <c r="B3" s="479" t="s">
        <v>30</v>
      </c>
      <c r="C3" s="480"/>
      <c r="D3" s="480"/>
      <c r="E3" s="480"/>
      <c r="F3" s="481"/>
      <c r="G3" s="479" t="s">
        <v>30</v>
      </c>
      <c r="H3" s="480"/>
      <c r="I3" s="480"/>
      <c r="J3" s="480"/>
      <c r="K3" s="481"/>
      <c r="L3" s="480">
        <f>SUM(K4:K10)-SUM(F4:F10)</f>
        <v>136</v>
      </c>
      <c r="M3" s="479" t="s">
        <v>30</v>
      </c>
      <c r="N3" s="480"/>
      <c r="O3" s="480"/>
      <c r="P3" s="480"/>
      <c r="Q3" s="481"/>
      <c r="R3" s="480">
        <v>558</v>
      </c>
      <c r="S3" s="479" t="s">
        <v>30</v>
      </c>
      <c r="T3" s="480"/>
      <c r="U3" s="480"/>
      <c r="V3" s="480"/>
      <c r="W3" s="481"/>
      <c r="X3" s="480">
        <f>SUM(W4:W10)-SUM(Q4:Q10)</f>
        <v>-168</v>
      </c>
      <c r="Y3" s="482" t="s">
        <v>30</v>
      </c>
      <c r="Z3" s="480"/>
      <c r="AA3" s="480"/>
      <c r="AB3" s="480"/>
      <c r="AC3" s="481"/>
      <c r="AD3" s="480">
        <f>SUM(AC4:AC10)-SUM(W4:W10)</f>
        <v>24</v>
      </c>
      <c r="AE3" s="483" t="s">
        <v>30</v>
      </c>
      <c r="AF3" s="480"/>
      <c r="AG3" s="480"/>
      <c r="AH3" s="480"/>
      <c r="AI3" s="481"/>
      <c r="AJ3" s="484">
        <f>SUM(AB4:AB10)-SUM(P4:P10)</f>
        <v>3</v>
      </c>
      <c r="AK3" s="483" t="s">
        <v>30</v>
      </c>
      <c r="AL3" s="480"/>
      <c r="AM3" s="480"/>
      <c r="AN3" s="480"/>
      <c r="AO3" s="481"/>
      <c r="AP3" s="485">
        <f>SUM(AO4:AO10)-SUM(AI4:AI10)</f>
        <v>28</v>
      </c>
      <c r="AQ3" s="480" t="s">
        <v>30</v>
      </c>
      <c r="AR3" s="480"/>
      <c r="AS3" s="480"/>
      <c r="AT3" s="480"/>
      <c r="AU3" s="485"/>
      <c r="AV3" s="480">
        <f>SUM(AU4:AU10)-SUM(AO4:AO10)</f>
        <v>-169</v>
      </c>
      <c r="AW3" s="483" t="s">
        <v>30</v>
      </c>
      <c r="AX3" s="480"/>
      <c r="AY3" s="480"/>
      <c r="AZ3" s="480"/>
      <c r="BA3" s="481"/>
      <c r="BB3" s="484">
        <f>SUM(BB4:BB10)</f>
        <v>6</v>
      </c>
      <c r="BC3" s="483" t="s">
        <v>30</v>
      </c>
      <c r="BD3" s="480"/>
      <c r="BE3" s="480"/>
      <c r="BF3" s="480"/>
      <c r="BG3" s="481"/>
      <c r="BH3" s="485">
        <f>SUM(BH4:BH10)</f>
        <v>-8</v>
      </c>
      <c r="BI3" s="480" t="s">
        <v>30</v>
      </c>
      <c r="BJ3" s="480"/>
      <c r="BK3" s="480"/>
      <c r="BL3" s="480"/>
      <c r="BM3" s="481"/>
      <c r="BN3" s="485">
        <v>69</v>
      </c>
      <c r="BO3" s="480" t="s">
        <v>30</v>
      </c>
      <c r="BP3" s="480"/>
      <c r="BQ3" s="480"/>
      <c r="BR3" s="480"/>
      <c r="BS3" s="485"/>
      <c r="BT3" s="485">
        <v>36</v>
      </c>
      <c r="BU3" s="480" t="s">
        <v>30</v>
      </c>
      <c r="BV3" s="480"/>
      <c r="BW3" s="480"/>
      <c r="BX3" s="480"/>
      <c r="BY3" s="481"/>
      <c r="BZ3" s="486">
        <v>934</v>
      </c>
      <c r="CA3" s="480" t="s">
        <v>30</v>
      </c>
      <c r="CB3" s="480"/>
      <c r="CC3" s="480"/>
      <c r="CD3" s="480"/>
      <c r="CE3" s="481"/>
      <c r="CF3" s="486">
        <v>-45</v>
      </c>
      <c r="CG3" s="480" t="s">
        <v>30</v>
      </c>
      <c r="CH3" s="480"/>
      <c r="CI3" s="480"/>
      <c r="CJ3" s="480"/>
      <c r="CK3" s="481"/>
      <c r="CL3" s="484">
        <v>-275</v>
      </c>
      <c r="CM3" s="480" t="s">
        <v>30</v>
      </c>
      <c r="CN3" s="480"/>
      <c r="CO3" s="480"/>
      <c r="CP3" s="480"/>
      <c r="CQ3" s="481"/>
      <c r="CR3" s="484">
        <v>-50</v>
      </c>
      <c r="CS3" s="479" t="s">
        <v>30</v>
      </c>
      <c r="CT3" s="480"/>
      <c r="CU3" s="480"/>
      <c r="CV3" s="480"/>
      <c r="CW3" s="481"/>
      <c r="CX3" s="486">
        <v>15</v>
      </c>
      <c r="CY3" s="479" t="s">
        <v>30</v>
      </c>
      <c r="CZ3" s="480">
        <v>6831</v>
      </c>
      <c r="DA3" s="480">
        <v>448</v>
      </c>
      <c r="DB3" s="480">
        <v>266</v>
      </c>
      <c r="DC3" s="481">
        <v>7545</v>
      </c>
      <c r="DD3" s="486">
        <v>571</v>
      </c>
      <c r="DE3" s="479" t="s">
        <v>30</v>
      </c>
      <c r="DF3" s="480">
        <v>7274</v>
      </c>
      <c r="DG3" s="480">
        <v>448</v>
      </c>
      <c r="DH3" s="480">
        <v>342</v>
      </c>
      <c r="DI3" s="480">
        <v>8064</v>
      </c>
      <c r="DJ3" s="486">
        <v>519</v>
      </c>
      <c r="DK3" s="479" t="s">
        <v>30</v>
      </c>
      <c r="DL3" s="480">
        <v>16827</v>
      </c>
      <c r="DM3" s="480">
        <v>445</v>
      </c>
      <c r="DN3" s="480">
        <v>364</v>
      </c>
      <c r="DO3" s="480">
        <v>17636</v>
      </c>
      <c r="DP3" s="486">
        <v>9572</v>
      </c>
      <c r="DQ3" s="1134"/>
      <c r="DR3" s="479" t="s">
        <v>30</v>
      </c>
      <c r="DS3" s="480">
        <v>15943</v>
      </c>
      <c r="DT3" s="480">
        <v>438</v>
      </c>
      <c r="DU3" s="480">
        <v>361</v>
      </c>
      <c r="DV3" s="480">
        <v>16742</v>
      </c>
      <c r="DW3" s="486">
        <v>7170</v>
      </c>
      <c r="DX3" s="1134"/>
      <c r="DY3" s="479" t="s">
        <v>30</v>
      </c>
      <c r="DZ3" s="480">
        <f>SUM(DZ4:DZ11)</f>
        <v>12542</v>
      </c>
      <c r="EA3" s="480">
        <f t="shared" ref="EA3:EC3" si="0">SUM(EA4:EA11)</f>
        <v>429</v>
      </c>
      <c r="EB3" s="480">
        <f t="shared" si="0"/>
        <v>334</v>
      </c>
      <c r="EC3" s="480">
        <f t="shared" si="0"/>
        <v>13305</v>
      </c>
      <c r="ED3" s="486">
        <f>SUM(ED4:ED11)</f>
        <v>3733</v>
      </c>
      <c r="EF3" s="479" t="s">
        <v>30</v>
      </c>
      <c r="EG3" s="486">
        <f>SUM(EG4:EG11)</f>
        <v>-4285</v>
      </c>
      <c r="EH3" s="486">
        <f>SUM(EH4:EH11)</f>
        <v>-16</v>
      </c>
      <c r="EI3" s="486">
        <f>SUM(EI4:EI11)</f>
        <v>-30</v>
      </c>
      <c r="EJ3" s="486">
        <f>SUM(EJ4:EJ11)</f>
        <v>-4331</v>
      </c>
      <c r="EK3" s="1191"/>
      <c r="EL3" s="1191"/>
      <c r="EM3" s="1191"/>
    </row>
    <row r="4" spans="2:143" x14ac:dyDescent="0.3">
      <c r="B4" s="488" t="s">
        <v>157</v>
      </c>
      <c r="C4" s="487">
        <v>0</v>
      </c>
      <c r="D4" s="487">
        <v>305</v>
      </c>
      <c r="E4" s="487">
        <v>0</v>
      </c>
      <c r="F4" s="489">
        <v>305</v>
      </c>
      <c r="G4" s="488" t="s">
        <v>157</v>
      </c>
      <c r="H4" s="487">
        <v>0</v>
      </c>
      <c r="I4" s="487">
        <v>305</v>
      </c>
      <c r="J4" s="487">
        <v>0</v>
      </c>
      <c r="K4" s="489">
        <v>305</v>
      </c>
      <c r="L4" s="487">
        <f>K4-F4</f>
        <v>0</v>
      </c>
      <c r="M4" s="488" t="s">
        <v>157</v>
      </c>
      <c r="N4" s="487">
        <v>0</v>
      </c>
      <c r="O4" s="487">
        <v>343</v>
      </c>
      <c r="P4" s="487">
        <v>0</v>
      </c>
      <c r="Q4" s="489">
        <v>343</v>
      </c>
      <c r="R4" s="487">
        <v>38</v>
      </c>
      <c r="S4" s="488" t="s">
        <v>157</v>
      </c>
      <c r="T4" s="487">
        <v>0</v>
      </c>
      <c r="U4" s="487">
        <v>237</v>
      </c>
      <c r="V4" s="487">
        <v>0</v>
      </c>
      <c r="W4" s="489">
        <v>237</v>
      </c>
      <c r="X4" s="487">
        <f t="shared" ref="X4:X10" si="1">W4-Q4</f>
        <v>-106</v>
      </c>
      <c r="Y4" s="488" t="s">
        <v>157</v>
      </c>
      <c r="Z4" s="487">
        <v>0</v>
      </c>
      <c r="AA4" s="487">
        <v>312</v>
      </c>
      <c r="AB4" s="487">
        <v>0</v>
      </c>
      <c r="AC4" s="489">
        <v>312</v>
      </c>
      <c r="AD4" s="487">
        <f t="shared" ref="AD4:AD10" si="2">AC4-W4</f>
        <v>75</v>
      </c>
      <c r="AE4" s="490" t="s">
        <v>157</v>
      </c>
      <c r="AF4" s="487">
        <v>0</v>
      </c>
      <c r="AG4" s="487">
        <v>319</v>
      </c>
      <c r="AH4" s="487">
        <v>0</v>
      </c>
      <c r="AI4" s="489">
        <v>319</v>
      </c>
      <c r="AJ4" s="491">
        <f t="shared" ref="AJ4:AJ10" si="3">AB4-P4</f>
        <v>0</v>
      </c>
      <c r="AK4" s="490" t="s">
        <v>157</v>
      </c>
      <c r="AL4" s="487">
        <v>0</v>
      </c>
      <c r="AM4" s="487">
        <v>321</v>
      </c>
      <c r="AN4" s="487">
        <v>0</v>
      </c>
      <c r="AO4" s="489">
        <v>321</v>
      </c>
      <c r="AP4" s="489">
        <f t="shared" ref="AP4:AP10" si="4">AO4-AI4</f>
        <v>2</v>
      </c>
      <c r="AQ4" s="487" t="s">
        <v>157</v>
      </c>
      <c r="AR4" s="487">
        <v>0</v>
      </c>
      <c r="AS4" s="487">
        <v>311</v>
      </c>
      <c r="AT4" s="487">
        <v>0</v>
      </c>
      <c r="AU4" s="489">
        <v>311</v>
      </c>
      <c r="AV4" s="487">
        <f t="shared" ref="AV4:AV10" si="5">AU4-AO4</f>
        <v>-10</v>
      </c>
      <c r="AW4" s="490" t="s">
        <v>157</v>
      </c>
      <c r="AX4" s="487">
        <v>0</v>
      </c>
      <c r="AY4" s="487">
        <v>322</v>
      </c>
      <c r="AZ4" s="487">
        <v>0</v>
      </c>
      <c r="BA4" s="489">
        <v>322</v>
      </c>
      <c r="BB4" s="491">
        <f t="shared" ref="BB4:BB10" si="6">BA4-AU4</f>
        <v>11</v>
      </c>
      <c r="BC4" s="490" t="s">
        <v>157</v>
      </c>
      <c r="BD4" s="487">
        <v>0</v>
      </c>
      <c r="BE4" s="487">
        <v>322</v>
      </c>
      <c r="BF4" s="487">
        <v>0</v>
      </c>
      <c r="BG4" s="489">
        <v>322</v>
      </c>
      <c r="BH4" s="489">
        <f t="shared" ref="BH4:BH10" si="7">BG4-BA4</f>
        <v>0</v>
      </c>
      <c r="BI4" s="487" t="s">
        <v>157</v>
      </c>
      <c r="BJ4" s="487">
        <v>0</v>
      </c>
      <c r="BK4" s="487">
        <v>323</v>
      </c>
      <c r="BL4" s="487">
        <v>0</v>
      </c>
      <c r="BM4" s="489">
        <v>323</v>
      </c>
      <c r="BN4" s="489">
        <v>1</v>
      </c>
      <c r="BO4" s="487" t="s">
        <v>157</v>
      </c>
      <c r="BP4" s="487">
        <v>0</v>
      </c>
      <c r="BQ4" s="487">
        <v>325</v>
      </c>
      <c r="BR4" s="487">
        <v>0</v>
      </c>
      <c r="BS4" s="489">
        <v>325</v>
      </c>
      <c r="BT4" s="489">
        <v>2</v>
      </c>
      <c r="BU4" s="487" t="s">
        <v>157</v>
      </c>
      <c r="BV4" s="487">
        <v>0</v>
      </c>
      <c r="BW4" s="487">
        <v>419</v>
      </c>
      <c r="BX4" s="487">
        <v>0</v>
      </c>
      <c r="BY4" s="489">
        <v>419</v>
      </c>
      <c r="BZ4" s="492">
        <v>94</v>
      </c>
      <c r="CA4" s="487" t="s">
        <v>157</v>
      </c>
      <c r="CB4" s="487">
        <v>0</v>
      </c>
      <c r="CC4" s="487">
        <v>419</v>
      </c>
      <c r="CD4" s="487">
        <v>0</v>
      </c>
      <c r="CE4" s="489">
        <v>419</v>
      </c>
      <c r="CF4" s="492">
        <v>0</v>
      </c>
      <c r="CG4" s="487" t="s">
        <v>157</v>
      </c>
      <c r="CH4" s="487">
        <v>0</v>
      </c>
      <c r="CI4" s="487">
        <v>424</v>
      </c>
      <c r="CJ4" s="487">
        <v>0</v>
      </c>
      <c r="CK4" s="489">
        <v>424</v>
      </c>
      <c r="CL4" s="491">
        <v>5</v>
      </c>
      <c r="CM4" s="487" t="s">
        <v>157</v>
      </c>
      <c r="CN4" s="487">
        <v>0</v>
      </c>
      <c r="CO4" s="487">
        <v>423</v>
      </c>
      <c r="CP4" s="487">
        <v>0</v>
      </c>
      <c r="CQ4" s="489">
        <v>423</v>
      </c>
      <c r="CR4" s="491">
        <v>-1</v>
      </c>
      <c r="CS4" s="488" t="s">
        <v>157</v>
      </c>
      <c r="CT4" s="487">
        <v>0</v>
      </c>
      <c r="CU4" s="487">
        <v>427</v>
      </c>
      <c r="CV4" s="487">
        <v>0</v>
      </c>
      <c r="CW4" s="489">
        <v>427</v>
      </c>
      <c r="CX4" s="492">
        <v>4</v>
      </c>
      <c r="CY4" s="488" t="s">
        <v>157</v>
      </c>
      <c r="CZ4" s="487">
        <v>0</v>
      </c>
      <c r="DA4" s="487">
        <v>408</v>
      </c>
      <c r="DB4" s="487">
        <v>0</v>
      </c>
      <c r="DC4" s="489">
        <v>408</v>
      </c>
      <c r="DD4" s="492">
        <v>-19</v>
      </c>
      <c r="DE4" s="488" t="s">
        <v>157</v>
      </c>
      <c r="DF4" s="487">
        <v>0</v>
      </c>
      <c r="DG4" s="487">
        <v>406</v>
      </c>
      <c r="DH4" s="487">
        <v>0</v>
      </c>
      <c r="DI4" s="489">
        <v>406</v>
      </c>
      <c r="DJ4" s="492">
        <v>-2</v>
      </c>
      <c r="DK4" s="488" t="s">
        <v>157</v>
      </c>
      <c r="DL4" s="487">
        <v>0</v>
      </c>
      <c r="DM4" s="487">
        <v>413</v>
      </c>
      <c r="DN4" s="487">
        <v>0</v>
      </c>
      <c r="DO4" s="489">
        <v>413</v>
      </c>
      <c r="DP4" s="492">
        <v>7</v>
      </c>
      <c r="DR4" s="488" t="s">
        <v>157</v>
      </c>
      <c r="DS4" s="487">
        <v>76</v>
      </c>
      <c r="DT4" s="487">
        <v>405</v>
      </c>
      <c r="DU4" s="487">
        <v>0</v>
      </c>
      <c r="DV4" s="489">
        <v>481</v>
      </c>
      <c r="DW4" s="492">
        <v>474</v>
      </c>
      <c r="DY4" s="488" t="s">
        <v>157</v>
      </c>
      <c r="DZ4" s="487">
        <f>GETPIVOTDATA("Individus",'Displacement &amp; Returns'!$D$158, "adm2_name","Diamaré","adm3_name",$DK4,"Statut déplacé","PDI")</f>
        <v>0</v>
      </c>
      <c r="EA4" s="487">
        <f>GETPIVOTDATA("Individus",'Displacement &amp; Returns'!$E$158, "adm2_name","Diamaré","adm3_name",$DE4,"Statut déplacé","Retournés")</f>
        <v>390</v>
      </c>
      <c r="EB4" s="487">
        <f>GETPIVOTDATA("Individus",'Displacement &amp; Returns'!$D$158, "adm2_name","Diamaré","adm3_name",$DE4,"Statut déplacé","Refugié hors camp")</f>
        <v>0</v>
      </c>
      <c r="EC4" s="489">
        <f>SUM(DZ4:EB4)</f>
        <v>390</v>
      </c>
      <c r="ED4" s="492">
        <f t="shared" ref="ED4:ED11" si="8">EC4-DP4</f>
        <v>383</v>
      </c>
      <c r="EF4" s="488" t="s">
        <v>157</v>
      </c>
      <c r="EG4" s="487">
        <f t="shared" ref="EG4:EI11" si="9">DZ4-DL4</f>
        <v>0</v>
      </c>
      <c r="EH4" s="487">
        <f t="shared" si="9"/>
        <v>-23</v>
      </c>
      <c r="EI4" s="487">
        <f t="shared" si="9"/>
        <v>0</v>
      </c>
      <c r="EJ4" s="494">
        <f>SUM(EG4:EI4)</f>
        <v>-23</v>
      </c>
      <c r="EK4" s="1191"/>
      <c r="EL4" s="1191"/>
      <c r="EM4" s="1191"/>
    </row>
    <row r="5" spans="2:143" x14ac:dyDescent="0.3">
      <c r="B5" s="488" t="s">
        <v>158</v>
      </c>
      <c r="C5" s="487">
        <v>481</v>
      </c>
      <c r="D5" s="487">
        <v>26</v>
      </c>
      <c r="E5" s="487">
        <v>0</v>
      </c>
      <c r="F5" s="489">
        <v>507</v>
      </c>
      <c r="G5" s="488" t="s">
        <v>158</v>
      </c>
      <c r="H5" s="487">
        <v>481</v>
      </c>
      <c r="I5" s="487">
        <v>26</v>
      </c>
      <c r="J5" s="487">
        <v>0</v>
      </c>
      <c r="K5" s="489">
        <v>507</v>
      </c>
      <c r="L5" s="487">
        <f t="shared" ref="L5:L50" si="10">K5-F5</f>
        <v>0</v>
      </c>
      <c r="M5" s="488" t="s">
        <v>158</v>
      </c>
      <c r="N5" s="487">
        <v>481</v>
      </c>
      <c r="O5" s="487">
        <v>26</v>
      </c>
      <c r="P5" s="487">
        <v>0</v>
      </c>
      <c r="Q5" s="489">
        <v>507</v>
      </c>
      <c r="R5" s="487">
        <v>0</v>
      </c>
      <c r="S5" s="488" t="s">
        <v>158</v>
      </c>
      <c r="T5" s="487">
        <v>491</v>
      </c>
      <c r="U5" s="487">
        <v>0</v>
      </c>
      <c r="V5" s="487">
        <v>0</v>
      </c>
      <c r="W5" s="489">
        <v>491</v>
      </c>
      <c r="X5" s="487">
        <f t="shared" si="1"/>
        <v>-16</v>
      </c>
      <c r="Y5" s="488" t="s">
        <v>158</v>
      </c>
      <c r="Z5" s="487">
        <v>339</v>
      </c>
      <c r="AA5" s="487">
        <v>0</v>
      </c>
      <c r="AB5" s="487">
        <v>0</v>
      </c>
      <c r="AC5" s="489">
        <v>339</v>
      </c>
      <c r="AD5" s="487">
        <f t="shared" si="2"/>
        <v>-152</v>
      </c>
      <c r="AE5" s="490" t="s">
        <v>158</v>
      </c>
      <c r="AF5" s="487">
        <v>336</v>
      </c>
      <c r="AG5" s="487">
        <v>0</v>
      </c>
      <c r="AH5" s="487">
        <v>0</v>
      </c>
      <c r="AI5" s="489">
        <v>336</v>
      </c>
      <c r="AJ5" s="491">
        <f t="shared" si="3"/>
        <v>0</v>
      </c>
      <c r="AK5" s="490" t="s">
        <v>158</v>
      </c>
      <c r="AL5" s="487">
        <v>279</v>
      </c>
      <c r="AM5" s="487">
        <v>0</v>
      </c>
      <c r="AN5" s="487">
        <v>0</v>
      </c>
      <c r="AO5" s="489">
        <v>279</v>
      </c>
      <c r="AP5" s="489">
        <f t="shared" si="4"/>
        <v>-57</v>
      </c>
      <c r="AQ5" s="487" t="s">
        <v>158</v>
      </c>
      <c r="AR5" s="487">
        <v>273</v>
      </c>
      <c r="AS5" s="487">
        <v>0</v>
      </c>
      <c r="AT5" s="487">
        <v>0</v>
      </c>
      <c r="AU5" s="489">
        <v>273</v>
      </c>
      <c r="AV5" s="487">
        <f t="shared" si="5"/>
        <v>-6</v>
      </c>
      <c r="AW5" s="490" t="s">
        <v>158</v>
      </c>
      <c r="AX5" s="487">
        <v>323</v>
      </c>
      <c r="AY5" s="487">
        <v>0</v>
      </c>
      <c r="AZ5" s="487">
        <v>0</v>
      </c>
      <c r="BA5" s="489">
        <v>323</v>
      </c>
      <c r="BB5" s="491">
        <f t="shared" si="6"/>
        <v>50</v>
      </c>
      <c r="BC5" s="490" t="s">
        <v>158</v>
      </c>
      <c r="BD5" s="487">
        <v>317</v>
      </c>
      <c r="BE5" s="487">
        <v>0</v>
      </c>
      <c r="BF5" s="487">
        <v>0</v>
      </c>
      <c r="BG5" s="489">
        <v>317</v>
      </c>
      <c r="BH5" s="489">
        <f t="shared" si="7"/>
        <v>-6</v>
      </c>
      <c r="BI5" s="487" t="s">
        <v>158</v>
      </c>
      <c r="BJ5" s="487">
        <v>327</v>
      </c>
      <c r="BK5" s="487">
        <v>0</v>
      </c>
      <c r="BL5" s="487">
        <v>0</v>
      </c>
      <c r="BM5" s="489">
        <v>327</v>
      </c>
      <c r="BN5" s="489">
        <v>10</v>
      </c>
      <c r="BO5" s="487" t="s">
        <v>158</v>
      </c>
      <c r="BP5" s="487">
        <v>335</v>
      </c>
      <c r="BQ5" s="487">
        <v>0</v>
      </c>
      <c r="BR5" s="487">
        <v>0</v>
      </c>
      <c r="BS5" s="489">
        <v>335</v>
      </c>
      <c r="BT5" s="489">
        <v>8</v>
      </c>
      <c r="BU5" s="487" t="s">
        <v>158</v>
      </c>
      <c r="BV5" s="487">
        <v>354</v>
      </c>
      <c r="BW5" s="487">
        <v>0</v>
      </c>
      <c r="BX5" s="487">
        <v>0</v>
      </c>
      <c r="BY5" s="489">
        <v>354</v>
      </c>
      <c r="BZ5" s="492">
        <v>19</v>
      </c>
      <c r="CA5" s="487" t="s">
        <v>158</v>
      </c>
      <c r="CB5" s="487">
        <v>354</v>
      </c>
      <c r="CC5" s="487">
        <v>0</v>
      </c>
      <c r="CD5" s="487">
        <v>0</v>
      </c>
      <c r="CE5" s="489">
        <v>354</v>
      </c>
      <c r="CF5" s="492">
        <v>0</v>
      </c>
      <c r="CG5" s="487" t="s">
        <v>158</v>
      </c>
      <c r="CH5" s="487">
        <v>330</v>
      </c>
      <c r="CI5" s="487">
        <v>0</v>
      </c>
      <c r="CJ5" s="487">
        <v>0</v>
      </c>
      <c r="CK5" s="489">
        <v>330</v>
      </c>
      <c r="CL5" s="491">
        <v>-24</v>
      </c>
      <c r="CM5" s="487" t="s">
        <v>158</v>
      </c>
      <c r="CN5" s="487">
        <v>174</v>
      </c>
      <c r="CO5" s="487">
        <v>0</v>
      </c>
      <c r="CP5" s="487">
        <v>0</v>
      </c>
      <c r="CQ5" s="489">
        <v>174</v>
      </c>
      <c r="CR5" s="491">
        <v>-156</v>
      </c>
      <c r="CS5" s="488" t="s">
        <v>158</v>
      </c>
      <c r="CT5" s="487">
        <v>359</v>
      </c>
      <c r="CU5" s="487">
        <v>0</v>
      </c>
      <c r="CV5" s="487">
        <v>0</v>
      </c>
      <c r="CW5" s="489">
        <v>359</v>
      </c>
      <c r="CX5" s="492">
        <v>185</v>
      </c>
      <c r="CY5" s="488" t="s">
        <v>158</v>
      </c>
      <c r="CZ5" s="487">
        <v>365</v>
      </c>
      <c r="DA5" s="487">
        <v>0</v>
      </c>
      <c r="DB5" s="487">
        <v>0</v>
      </c>
      <c r="DC5" s="489">
        <v>365</v>
      </c>
      <c r="DD5" s="492">
        <v>6</v>
      </c>
      <c r="DE5" s="488" t="s">
        <v>158</v>
      </c>
      <c r="DF5" s="487">
        <v>354</v>
      </c>
      <c r="DG5" s="487">
        <v>0</v>
      </c>
      <c r="DH5" s="487">
        <v>0</v>
      </c>
      <c r="DI5" s="489">
        <v>354</v>
      </c>
      <c r="DJ5" s="492">
        <v>-11</v>
      </c>
      <c r="DK5" s="488" t="s">
        <v>158</v>
      </c>
      <c r="DL5" s="487">
        <v>262</v>
      </c>
      <c r="DM5" s="487">
        <v>0</v>
      </c>
      <c r="DN5" s="487">
        <v>0</v>
      </c>
      <c r="DO5" s="489">
        <v>262</v>
      </c>
      <c r="DP5" s="492">
        <v>-92</v>
      </c>
      <c r="DR5" s="488" t="s">
        <v>158</v>
      </c>
      <c r="DS5" s="487">
        <v>277</v>
      </c>
      <c r="DT5" s="487">
        <v>0</v>
      </c>
      <c r="DU5" s="487">
        <v>0</v>
      </c>
      <c r="DV5" s="489">
        <v>277</v>
      </c>
      <c r="DW5" s="492">
        <v>369</v>
      </c>
      <c r="DY5" s="488" t="s">
        <v>158</v>
      </c>
      <c r="DZ5" s="487">
        <f>GETPIVOTDATA("Individus",'Displacement &amp; Returns'!$D$158, "adm2_name","Diamaré","adm3_name",$DK5,"Statut déplacé","PDI")</f>
        <v>283</v>
      </c>
      <c r="EA5" s="487">
        <f>GETPIVOTDATA("Individus",'Displacement &amp; Returns'!$E$158, "adm2_name","Diamaré","adm3_name",$DE5,"Statut déplacé","Retournés")</f>
        <v>0</v>
      </c>
      <c r="EB5" s="487">
        <f>GETPIVOTDATA("Individus",'Displacement &amp; Returns'!$D$158, "adm2_name","Diamaré","adm3_name",$DE5,"Statut déplacé","Refugié hors camp")</f>
        <v>0</v>
      </c>
      <c r="EC5" s="489">
        <f t="shared" ref="EC5:EC11" si="11">SUM(DZ5:EB5)</f>
        <v>283</v>
      </c>
      <c r="ED5" s="492">
        <f t="shared" si="8"/>
        <v>375</v>
      </c>
      <c r="EF5" s="488" t="s">
        <v>158</v>
      </c>
      <c r="EG5" s="487">
        <f t="shared" si="9"/>
        <v>21</v>
      </c>
      <c r="EH5" s="487">
        <f t="shared" si="9"/>
        <v>0</v>
      </c>
      <c r="EI5" s="487">
        <f t="shared" si="9"/>
        <v>0</v>
      </c>
      <c r="EJ5" s="494">
        <f t="shared" ref="EJ5:EJ11" si="12">SUM(EG5:EI5)</f>
        <v>21</v>
      </c>
      <c r="EK5" s="1191"/>
      <c r="EL5" s="1191"/>
      <c r="EM5" s="1191"/>
    </row>
    <row r="6" spans="2:143" x14ac:dyDescent="0.3">
      <c r="B6" s="488" t="s">
        <v>159</v>
      </c>
      <c r="C6" s="487">
        <v>0</v>
      </c>
      <c r="D6" s="487">
        <v>0</v>
      </c>
      <c r="E6" s="487">
        <v>0</v>
      </c>
      <c r="F6" s="489">
        <v>0</v>
      </c>
      <c r="G6" s="488" t="s">
        <v>159</v>
      </c>
      <c r="H6" s="487">
        <v>0</v>
      </c>
      <c r="I6" s="487">
        <v>0</v>
      </c>
      <c r="J6" s="487">
        <v>0</v>
      </c>
      <c r="K6" s="489">
        <v>0</v>
      </c>
      <c r="L6" s="487">
        <v>0</v>
      </c>
      <c r="M6" s="488" t="s">
        <v>159</v>
      </c>
      <c r="N6" s="487">
        <v>0</v>
      </c>
      <c r="O6" s="487">
        <v>0</v>
      </c>
      <c r="P6" s="487">
        <v>0</v>
      </c>
      <c r="Q6" s="489">
        <v>0</v>
      </c>
      <c r="R6" s="487">
        <v>0</v>
      </c>
      <c r="S6" s="488" t="s">
        <v>159</v>
      </c>
      <c r="T6" s="487">
        <v>0</v>
      </c>
      <c r="U6" s="487">
        <v>0</v>
      </c>
      <c r="V6" s="487">
        <v>0</v>
      </c>
      <c r="W6" s="489">
        <v>0</v>
      </c>
      <c r="X6" s="487">
        <v>0</v>
      </c>
      <c r="Y6" s="488" t="s">
        <v>159</v>
      </c>
      <c r="Z6" s="487">
        <v>0</v>
      </c>
      <c r="AA6" s="487">
        <v>0</v>
      </c>
      <c r="AB6" s="487">
        <v>0</v>
      </c>
      <c r="AC6" s="489">
        <v>0</v>
      </c>
      <c r="AD6" s="487">
        <v>0</v>
      </c>
      <c r="AE6" s="488" t="s">
        <v>159</v>
      </c>
      <c r="AF6" s="487">
        <v>0</v>
      </c>
      <c r="AG6" s="487">
        <v>0</v>
      </c>
      <c r="AH6" s="487">
        <v>0</v>
      </c>
      <c r="AI6" s="489">
        <v>0</v>
      </c>
      <c r="AJ6" s="487">
        <v>0</v>
      </c>
      <c r="AK6" s="488" t="s">
        <v>159</v>
      </c>
      <c r="AL6" s="487">
        <v>0</v>
      </c>
      <c r="AM6" s="487">
        <v>0</v>
      </c>
      <c r="AN6" s="487">
        <v>0</v>
      </c>
      <c r="AO6" s="489">
        <v>0</v>
      </c>
      <c r="AP6" s="492">
        <v>0</v>
      </c>
      <c r="AQ6" s="495" t="s">
        <v>159</v>
      </c>
      <c r="AR6" s="487">
        <v>0</v>
      </c>
      <c r="AS6" s="487">
        <v>0</v>
      </c>
      <c r="AT6" s="487">
        <v>0</v>
      </c>
      <c r="AU6" s="489">
        <v>0</v>
      </c>
      <c r="AV6" s="487">
        <v>0</v>
      </c>
      <c r="AW6" s="488" t="s">
        <v>159</v>
      </c>
      <c r="AX6" s="487">
        <v>0</v>
      </c>
      <c r="AY6" s="487">
        <v>0</v>
      </c>
      <c r="AZ6" s="487">
        <v>0</v>
      </c>
      <c r="BA6" s="489">
        <v>0</v>
      </c>
      <c r="BB6" s="487">
        <v>0</v>
      </c>
      <c r="BC6" s="488" t="s">
        <v>159</v>
      </c>
      <c r="BD6" s="487">
        <v>0</v>
      </c>
      <c r="BE6" s="487">
        <v>0</v>
      </c>
      <c r="BF6" s="487">
        <v>0</v>
      </c>
      <c r="BG6" s="489">
        <v>0</v>
      </c>
      <c r="BH6" s="492">
        <v>0</v>
      </c>
      <c r="BI6" s="495" t="s">
        <v>159</v>
      </c>
      <c r="BJ6" s="487">
        <v>0</v>
      </c>
      <c r="BK6" s="487">
        <v>0</v>
      </c>
      <c r="BL6" s="487">
        <v>0</v>
      </c>
      <c r="BM6" s="489">
        <v>0</v>
      </c>
      <c r="BN6" s="489">
        <v>0</v>
      </c>
      <c r="BO6" s="495" t="s">
        <v>159</v>
      </c>
      <c r="BP6" s="487">
        <v>0</v>
      </c>
      <c r="BQ6" s="487">
        <v>0</v>
      </c>
      <c r="BR6" s="487">
        <v>0</v>
      </c>
      <c r="BS6" s="489">
        <v>0</v>
      </c>
      <c r="BT6" s="489">
        <v>0</v>
      </c>
      <c r="BU6" s="495" t="s">
        <v>159</v>
      </c>
      <c r="BV6" s="487">
        <v>380</v>
      </c>
      <c r="BW6" s="487">
        <v>0</v>
      </c>
      <c r="BX6" s="487">
        <v>0</v>
      </c>
      <c r="BY6" s="489">
        <v>380</v>
      </c>
      <c r="BZ6" s="492">
        <v>0</v>
      </c>
      <c r="CA6" s="495" t="s">
        <v>159</v>
      </c>
      <c r="CB6" s="487">
        <v>363</v>
      </c>
      <c r="CC6" s="487">
        <v>0</v>
      </c>
      <c r="CD6" s="487">
        <v>0</v>
      </c>
      <c r="CE6" s="489">
        <v>363</v>
      </c>
      <c r="CF6" s="492">
        <v>-17</v>
      </c>
      <c r="CG6" s="495" t="s">
        <v>159</v>
      </c>
      <c r="CH6" s="487">
        <v>269</v>
      </c>
      <c r="CI6" s="487">
        <v>0</v>
      </c>
      <c r="CJ6" s="487">
        <v>0</v>
      </c>
      <c r="CK6" s="489">
        <v>269</v>
      </c>
      <c r="CL6" s="496">
        <v>-94</v>
      </c>
      <c r="CM6" s="495" t="s">
        <v>159</v>
      </c>
      <c r="CN6" s="487">
        <v>384</v>
      </c>
      <c r="CO6" s="487">
        <v>0</v>
      </c>
      <c r="CP6" s="487">
        <v>0</v>
      </c>
      <c r="CQ6" s="489">
        <v>384</v>
      </c>
      <c r="CR6" s="496">
        <v>115</v>
      </c>
      <c r="CS6" s="488" t="s">
        <v>159</v>
      </c>
      <c r="CT6" s="487">
        <v>245</v>
      </c>
      <c r="CU6" s="487">
        <v>0</v>
      </c>
      <c r="CV6" s="487">
        <v>0</v>
      </c>
      <c r="CW6" s="489">
        <v>245</v>
      </c>
      <c r="CX6" s="492">
        <v>-139</v>
      </c>
      <c r="CY6" s="488" t="s">
        <v>159</v>
      </c>
      <c r="CZ6" s="487">
        <v>245</v>
      </c>
      <c r="DA6" s="487">
        <v>0</v>
      </c>
      <c r="DB6" s="487">
        <v>0</v>
      </c>
      <c r="DC6" s="489">
        <v>245</v>
      </c>
      <c r="DD6" s="492">
        <v>0</v>
      </c>
      <c r="DE6" s="488" t="s">
        <v>159</v>
      </c>
      <c r="DF6" s="487">
        <v>243</v>
      </c>
      <c r="DG6" s="487">
        <v>0</v>
      </c>
      <c r="DH6" s="487">
        <v>0</v>
      </c>
      <c r="DI6" s="489">
        <v>243</v>
      </c>
      <c r="DJ6" s="492">
        <v>-2</v>
      </c>
      <c r="DK6" s="488" t="s">
        <v>159</v>
      </c>
      <c r="DL6" s="487">
        <v>307</v>
      </c>
      <c r="DM6" s="487">
        <v>0</v>
      </c>
      <c r="DN6" s="487">
        <v>0</v>
      </c>
      <c r="DO6" s="489">
        <v>307</v>
      </c>
      <c r="DP6" s="492">
        <v>64</v>
      </c>
      <c r="DR6" s="488" t="s">
        <v>159</v>
      </c>
      <c r="DS6" s="487">
        <v>1681</v>
      </c>
      <c r="DT6" s="487">
        <v>0</v>
      </c>
      <c r="DU6" s="487">
        <v>0</v>
      </c>
      <c r="DV6" s="489">
        <v>1681</v>
      </c>
      <c r="DW6" s="492">
        <v>1617</v>
      </c>
      <c r="DY6" s="488" t="s">
        <v>159</v>
      </c>
      <c r="DZ6" s="487">
        <f>GETPIVOTDATA("Individus",'Displacement &amp; Returns'!$D$158, "adm2_name","Diamaré","adm3_name",$DK6,"Statut déplacé","PDI")</f>
        <v>952</v>
      </c>
      <c r="EA6" s="487">
        <f>GETPIVOTDATA("Individus",'Displacement &amp; Returns'!$E$158, "adm2_name","Diamaré","adm3_name",$DE6,"Statut déplacé","Retournés")</f>
        <v>0</v>
      </c>
      <c r="EB6" s="487">
        <f>GETPIVOTDATA("Individus",'Displacement &amp; Returns'!$D$158, "adm2_name","Diamaré","adm3_name",$DE6,"Statut déplacé","Refugié hors camp")</f>
        <v>0</v>
      </c>
      <c r="EC6" s="489">
        <f t="shared" si="11"/>
        <v>952</v>
      </c>
      <c r="ED6" s="492">
        <f t="shared" si="8"/>
        <v>888</v>
      </c>
      <c r="EF6" s="488" t="s">
        <v>159</v>
      </c>
      <c r="EG6" s="487">
        <f t="shared" si="9"/>
        <v>645</v>
      </c>
      <c r="EH6" s="487">
        <f t="shared" si="9"/>
        <v>0</v>
      </c>
      <c r="EI6" s="487">
        <f t="shared" si="9"/>
        <v>0</v>
      </c>
      <c r="EJ6" s="494">
        <f t="shared" si="12"/>
        <v>645</v>
      </c>
      <c r="EK6" s="1191"/>
      <c r="EL6" s="1191"/>
      <c r="EM6" s="1191"/>
    </row>
    <row r="7" spans="2:143" x14ac:dyDescent="0.3">
      <c r="B7" s="488" t="s">
        <v>160</v>
      </c>
      <c r="C7" s="487">
        <v>741</v>
      </c>
      <c r="D7" s="487">
        <v>0</v>
      </c>
      <c r="E7" s="487">
        <v>0</v>
      </c>
      <c r="F7" s="489">
        <v>741</v>
      </c>
      <c r="G7" s="488" t="s">
        <v>160</v>
      </c>
      <c r="H7" s="487">
        <v>706</v>
      </c>
      <c r="I7" s="487">
        <v>0</v>
      </c>
      <c r="J7" s="487">
        <v>0</v>
      </c>
      <c r="K7" s="489">
        <v>706</v>
      </c>
      <c r="L7" s="487">
        <f t="shared" si="10"/>
        <v>-35</v>
      </c>
      <c r="M7" s="488" t="s">
        <v>160</v>
      </c>
      <c r="N7" s="487">
        <v>741</v>
      </c>
      <c r="O7" s="487">
        <v>0</v>
      </c>
      <c r="P7" s="487">
        <v>0</v>
      </c>
      <c r="Q7" s="489">
        <v>741</v>
      </c>
      <c r="R7" s="487">
        <v>35</v>
      </c>
      <c r="S7" s="488" t="s">
        <v>160</v>
      </c>
      <c r="T7" s="487">
        <v>741</v>
      </c>
      <c r="U7" s="487">
        <v>0</v>
      </c>
      <c r="V7" s="487">
        <v>0</v>
      </c>
      <c r="W7" s="489">
        <v>741</v>
      </c>
      <c r="X7" s="487">
        <f t="shared" si="1"/>
        <v>0</v>
      </c>
      <c r="Y7" s="488" t="s">
        <v>160</v>
      </c>
      <c r="Z7" s="487">
        <v>741</v>
      </c>
      <c r="AA7" s="487">
        <v>0</v>
      </c>
      <c r="AB7" s="487">
        <v>0</v>
      </c>
      <c r="AC7" s="489">
        <v>741</v>
      </c>
      <c r="AD7" s="487">
        <f t="shared" si="2"/>
        <v>0</v>
      </c>
      <c r="AE7" s="490" t="s">
        <v>160</v>
      </c>
      <c r="AF7" s="487">
        <v>741</v>
      </c>
      <c r="AG7" s="487">
        <v>0</v>
      </c>
      <c r="AH7" s="487">
        <v>0</v>
      </c>
      <c r="AI7" s="489">
        <v>741</v>
      </c>
      <c r="AJ7" s="491">
        <f t="shared" si="3"/>
        <v>0</v>
      </c>
      <c r="AK7" s="490" t="s">
        <v>160</v>
      </c>
      <c r="AL7" s="487">
        <v>741</v>
      </c>
      <c r="AM7" s="487">
        <v>0</v>
      </c>
      <c r="AN7" s="487">
        <v>0</v>
      </c>
      <c r="AO7" s="489">
        <v>741</v>
      </c>
      <c r="AP7" s="489">
        <f t="shared" si="4"/>
        <v>0</v>
      </c>
      <c r="AQ7" s="487" t="s">
        <v>160</v>
      </c>
      <c r="AR7" s="487">
        <v>741</v>
      </c>
      <c r="AS7" s="487">
        <v>0</v>
      </c>
      <c r="AT7" s="487">
        <v>0</v>
      </c>
      <c r="AU7" s="489">
        <v>741</v>
      </c>
      <c r="AV7" s="487">
        <f t="shared" si="5"/>
        <v>0</v>
      </c>
      <c r="AW7" s="490" t="s">
        <v>160</v>
      </c>
      <c r="AX7" s="487">
        <v>736</v>
      </c>
      <c r="AY7" s="487">
        <v>0</v>
      </c>
      <c r="AZ7" s="487">
        <v>0</v>
      </c>
      <c r="BA7" s="489">
        <v>736</v>
      </c>
      <c r="BB7" s="491">
        <f t="shared" si="6"/>
        <v>-5</v>
      </c>
      <c r="BC7" s="490" t="s">
        <v>160</v>
      </c>
      <c r="BD7" s="487">
        <v>736</v>
      </c>
      <c r="BE7" s="487">
        <v>0</v>
      </c>
      <c r="BF7" s="487">
        <v>0</v>
      </c>
      <c r="BG7" s="489">
        <v>736</v>
      </c>
      <c r="BH7" s="489">
        <f t="shared" si="7"/>
        <v>0</v>
      </c>
      <c r="BI7" s="487" t="s">
        <v>160</v>
      </c>
      <c r="BJ7" s="487">
        <v>766</v>
      </c>
      <c r="BK7" s="487">
        <v>0</v>
      </c>
      <c r="BL7" s="487">
        <v>0</v>
      </c>
      <c r="BM7" s="489">
        <v>766</v>
      </c>
      <c r="BN7" s="489">
        <v>30</v>
      </c>
      <c r="BO7" s="487" t="s">
        <v>160</v>
      </c>
      <c r="BP7" s="487">
        <v>766</v>
      </c>
      <c r="BQ7" s="487">
        <v>0</v>
      </c>
      <c r="BR7" s="487">
        <v>0</v>
      </c>
      <c r="BS7" s="489">
        <v>766</v>
      </c>
      <c r="BT7" s="489">
        <v>0</v>
      </c>
      <c r="BU7" s="487" t="s">
        <v>160</v>
      </c>
      <c r="BV7" s="487">
        <v>1430</v>
      </c>
      <c r="BW7" s="487">
        <v>0</v>
      </c>
      <c r="BX7" s="487">
        <v>0</v>
      </c>
      <c r="BY7" s="489">
        <v>1430</v>
      </c>
      <c r="BZ7" s="492">
        <v>664</v>
      </c>
      <c r="CA7" s="487" t="s">
        <v>160</v>
      </c>
      <c r="CB7" s="487">
        <v>1358</v>
      </c>
      <c r="CC7" s="487">
        <v>0</v>
      </c>
      <c r="CD7" s="487">
        <v>0</v>
      </c>
      <c r="CE7" s="489">
        <v>1358</v>
      </c>
      <c r="CF7" s="492">
        <v>-72</v>
      </c>
      <c r="CG7" s="487" t="s">
        <v>160</v>
      </c>
      <c r="CH7" s="487">
        <v>1197</v>
      </c>
      <c r="CI7" s="487">
        <v>0</v>
      </c>
      <c r="CJ7" s="487">
        <v>0</v>
      </c>
      <c r="CK7" s="489">
        <v>1197</v>
      </c>
      <c r="CL7" s="491">
        <v>-161</v>
      </c>
      <c r="CM7" s="487" t="s">
        <v>160</v>
      </c>
      <c r="CN7" s="487">
        <v>1188</v>
      </c>
      <c r="CO7" s="487">
        <v>0</v>
      </c>
      <c r="CP7" s="487">
        <v>0</v>
      </c>
      <c r="CQ7" s="489">
        <v>1188</v>
      </c>
      <c r="CR7" s="491">
        <v>-9</v>
      </c>
      <c r="CS7" s="488" t="s">
        <v>160</v>
      </c>
      <c r="CT7" s="487">
        <v>1118</v>
      </c>
      <c r="CU7" s="487">
        <v>0</v>
      </c>
      <c r="CV7" s="487">
        <v>0</v>
      </c>
      <c r="CW7" s="489">
        <v>1118</v>
      </c>
      <c r="CX7" s="492">
        <v>-70</v>
      </c>
      <c r="CY7" s="488" t="s">
        <v>160</v>
      </c>
      <c r="CZ7" s="487">
        <v>1214</v>
      </c>
      <c r="DA7" s="487">
        <v>0</v>
      </c>
      <c r="DB7" s="487">
        <v>0</v>
      </c>
      <c r="DC7" s="489">
        <v>1214</v>
      </c>
      <c r="DD7" s="492">
        <v>96</v>
      </c>
      <c r="DE7" s="488" t="s">
        <v>160</v>
      </c>
      <c r="DF7" s="487">
        <v>1504</v>
      </c>
      <c r="DG7" s="487">
        <v>0</v>
      </c>
      <c r="DH7" s="487">
        <v>0</v>
      </c>
      <c r="DI7" s="489">
        <v>1504</v>
      </c>
      <c r="DJ7" s="492">
        <v>290</v>
      </c>
      <c r="DK7" s="488" t="s">
        <v>160</v>
      </c>
      <c r="DL7" s="487">
        <v>4263</v>
      </c>
      <c r="DM7" s="487">
        <v>0</v>
      </c>
      <c r="DN7" s="487">
        <v>0</v>
      </c>
      <c r="DO7" s="489">
        <v>4263</v>
      </c>
      <c r="DP7" s="492">
        <v>2759</v>
      </c>
      <c r="DR7" s="488" t="s">
        <v>160</v>
      </c>
      <c r="DS7" s="487">
        <v>2071</v>
      </c>
      <c r="DT7" s="487">
        <v>0</v>
      </c>
      <c r="DU7" s="487">
        <v>0</v>
      </c>
      <c r="DV7" s="489">
        <v>2071</v>
      </c>
      <c r="DW7" s="492">
        <v>-688</v>
      </c>
      <c r="DY7" s="488" t="s">
        <v>160</v>
      </c>
      <c r="DZ7" s="487">
        <f>GETPIVOTDATA("Individus",'Displacement &amp; Returns'!$D$158, "adm2_name","Diamaré","adm3_name",$DK7,"Statut déplacé","PDI")</f>
        <v>1988</v>
      </c>
      <c r="EA7" s="487">
        <f>GETPIVOTDATA("Individus",'Displacement &amp; Returns'!$E$158, "adm2_name","Diamaré","adm3_name",$DE7,"Statut déplacé","Retournés")</f>
        <v>0</v>
      </c>
      <c r="EB7" s="487">
        <f>GETPIVOTDATA("Individus",'Displacement &amp; Returns'!$D$158, "adm2_name","Diamaré","adm3_name",$DE7,"Statut déplacé","Refugié hors camp")</f>
        <v>0</v>
      </c>
      <c r="EC7" s="489">
        <f t="shared" si="11"/>
        <v>1988</v>
      </c>
      <c r="ED7" s="492">
        <f t="shared" si="8"/>
        <v>-771</v>
      </c>
      <c r="EF7" s="488" t="s">
        <v>160</v>
      </c>
      <c r="EG7" s="487">
        <f t="shared" si="9"/>
        <v>-2275</v>
      </c>
      <c r="EH7" s="487">
        <f t="shared" si="9"/>
        <v>0</v>
      </c>
      <c r="EI7" s="487">
        <f t="shared" si="9"/>
        <v>0</v>
      </c>
      <c r="EJ7" s="494">
        <f t="shared" si="12"/>
        <v>-2275</v>
      </c>
      <c r="EK7" s="1191"/>
      <c r="EL7" s="1191"/>
      <c r="EM7" s="1191"/>
    </row>
    <row r="8" spans="2:143" x14ac:dyDescent="0.3">
      <c r="B8" s="488" t="s">
        <v>161</v>
      </c>
      <c r="C8" s="487">
        <v>2204</v>
      </c>
      <c r="D8" s="487">
        <v>0</v>
      </c>
      <c r="E8" s="487">
        <v>0</v>
      </c>
      <c r="F8" s="489">
        <v>2204</v>
      </c>
      <c r="G8" s="488" t="s">
        <v>161</v>
      </c>
      <c r="H8" s="487">
        <v>2204</v>
      </c>
      <c r="I8" s="487">
        <v>0</v>
      </c>
      <c r="J8" s="487">
        <v>0</v>
      </c>
      <c r="K8" s="489">
        <v>2204</v>
      </c>
      <c r="L8" s="487">
        <f t="shared" si="10"/>
        <v>0</v>
      </c>
      <c r="M8" s="488" t="s">
        <v>161</v>
      </c>
      <c r="N8" s="487">
        <v>2259</v>
      </c>
      <c r="O8" s="487">
        <v>0</v>
      </c>
      <c r="P8" s="487">
        <v>0</v>
      </c>
      <c r="Q8" s="489">
        <v>2259</v>
      </c>
      <c r="R8" s="487">
        <v>55</v>
      </c>
      <c r="S8" s="488" t="s">
        <v>161</v>
      </c>
      <c r="T8" s="487">
        <v>2259</v>
      </c>
      <c r="U8" s="487">
        <v>0</v>
      </c>
      <c r="V8" s="487">
        <v>0</v>
      </c>
      <c r="W8" s="489">
        <v>2259</v>
      </c>
      <c r="X8" s="487">
        <f t="shared" si="1"/>
        <v>0</v>
      </c>
      <c r="Y8" s="488" t="s">
        <v>161</v>
      </c>
      <c r="Z8" s="487">
        <v>2259</v>
      </c>
      <c r="AA8" s="487">
        <v>0</v>
      </c>
      <c r="AB8" s="487">
        <v>0</v>
      </c>
      <c r="AC8" s="489">
        <v>2259</v>
      </c>
      <c r="AD8" s="487">
        <f t="shared" si="2"/>
        <v>0</v>
      </c>
      <c r="AE8" s="490" t="s">
        <v>161</v>
      </c>
      <c r="AF8" s="487">
        <v>2289</v>
      </c>
      <c r="AG8" s="487">
        <v>0</v>
      </c>
      <c r="AH8" s="487">
        <v>0</v>
      </c>
      <c r="AI8" s="489">
        <v>2289</v>
      </c>
      <c r="AJ8" s="491">
        <f t="shared" si="3"/>
        <v>0</v>
      </c>
      <c r="AK8" s="490" t="s">
        <v>161</v>
      </c>
      <c r="AL8" s="487">
        <v>2289</v>
      </c>
      <c r="AM8" s="487">
        <v>79</v>
      </c>
      <c r="AN8" s="487">
        <v>0</v>
      </c>
      <c r="AO8" s="489">
        <v>2368</v>
      </c>
      <c r="AP8" s="489">
        <f t="shared" si="4"/>
        <v>79</v>
      </c>
      <c r="AQ8" s="487" t="s">
        <v>161</v>
      </c>
      <c r="AR8" s="487">
        <v>2239</v>
      </c>
      <c r="AS8" s="487">
        <v>0</v>
      </c>
      <c r="AT8" s="487">
        <v>0</v>
      </c>
      <c r="AU8" s="489">
        <v>2239</v>
      </c>
      <c r="AV8" s="487">
        <f t="shared" si="5"/>
        <v>-129</v>
      </c>
      <c r="AW8" s="490" t="s">
        <v>161</v>
      </c>
      <c r="AX8" s="487">
        <v>2129</v>
      </c>
      <c r="AY8" s="487">
        <v>0</v>
      </c>
      <c r="AZ8" s="487">
        <v>0</v>
      </c>
      <c r="BA8" s="489">
        <v>2129</v>
      </c>
      <c r="BB8" s="491">
        <f t="shared" si="6"/>
        <v>-110</v>
      </c>
      <c r="BC8" s="490" t="s">
        <v>161</v>
      </c>
      <c r="BD8" s="487">
        <v>2129</v>
      </c>
      <c r="BE8" s="487">
        <v>0</v>
      </c>
      <c r="BF8" s="487">
        <v>5</v>
      </c>
      <c r="BG8" s="489">
        <v>2134</v>
      </c>
      <c r="BH8" s="489">
        <f t="shared" si="7"/>
        <v>5</v>
      </c>
      <c r="BI8" s="487" t="s">
        <v>161</v>
      </c>
      <c r="BJ8" s="487">
        <v>2137</v>
      </c>
      <c r="BK8" s="487">
        <v>0</v>
      </c>
      <c r="BL8" s="487">
        <v>0</v>
      </c>
      <c r="BM8" s="489">
        <v>2137</v>
      </c>
      <c r="BN8" s="489">
        <v>3</v>
      </c>
      <c r="BO8" s="487" t="s">
        <v>161</v>
      </c>
      <c r="BP8" s="487">
        <v>2163</v>
      </c>
      <c r="BQ8" s="487">
        <v>0</v>
      </c>
      <c r="BR8" s="487">
        <v>0</v>
      </c>
      <c r="BS8" s="489">
        <v>2163</v>
      </c>
      <c r="BT8" s="489">
        <v>26</v>
      </c>
      <c r="BU8" s="487" t="s">
        <v>161</v>
      </c>
      <c r="BV8" s="487">
        <v>2224</v>
      </c>
      <c r="BW8" s="487">
        <v>0</v>
      </c>
      <c r="BX8" s="487">
        <v>0</v>
      </c>
      <c r="BY8" s="489">
        <v>2224</v>
      </c>
      <c r="BZ8" s="492">
        <v>61</v>
      </c>
      <c r="CA8" s="487" t="s">
        <v>161</v>
      </c>
      <c r="CB8" s="487">
        <v>2225</v>
      </c>
      <c r="CC8" s="487">
        <v>0</v>
      </c>
      <c r="CD8" s="487">
        <v>0</v>
      </c>
      <c r="CE8" s="489">
        <v>2225</v>
      </c>
      <c r="CF8" s="492">
        <v>1</v>
      </c>
      <c r="CG8" s="487" t="s">
        <v>161</v>
      </c>
      <c r="CH8" s="487">
        <v>2241</v>
      </c>
      <c r="CI8" s="487">
        <v>0</v>
      </c>
      <c r="CJ8" s="487">
        <v>0</v>
      </c>
      <c r="CK8" s="489">
        <v>2241</v>
      </c>
      <c r="CL8" s="491">
        <v>16</v>
      </c>
      <c r="CM8" s="487" t="s">
        <v>161</v>
      </c>
      <c r="CN8" s="487">
        <v>2236</v>
      </c>
      <c r="CO8" s="487">
        <v>0</v>
      </c>
      <c r="CP8" s="487">
        <v>0</v>
      </c>
      <c r="CQ8" s="489">
        <v>2236</v>
      </c>
      <c r="CR8" s="491">
        <v>-5</v>
      </c>
      <c r="CS8" s="488" t="s">
        <v>161</v>
      </c>
      <c r="CT8" s="487">
        <v>2232</v>
      </c>
      <c r="CU8" s="487">
        <v>0</v>
      </c>
      <c r="CV8" s="487">
        <v>0</v>
      </c>
      <c r="CW8" s="489">
        <v>2232</v>
      </c>
      <c r="CX8" s="492">
        <v>-4</v>
      </c>
      <c r="CY8" s="488" t="s">
        <v>161</v>
      </c>
      <c r="CZ8" s="487">
        <v>2586</v>
      </c>
      <c r="DA8" s="487">
        <v>0</v>
      </c>
      <c r="DB8" s="487">
        <v>0</v>
      </c>
      <c r="DC8" s="489">
        <v>2586</v>
      </c>
      <c r="DD8" s="492">
        <v>354</v>
      </c>
      <c r="DE8" s="488" t="s">
        <v>161</v>
      </c>
      <c r="DF8" s="487">
        <v>2630</v>
      </c>
      <c r="DG8" s="487">
        <v>0</v>
      </c>
      <c r="DH8" s="487">
        <v>0</v>
      </c>
      <c r="DI8" s="489">
        <v>2630</v>
      </c>
      <c r="DJ8" s="492">
        <v>44</v>
      </c>
      <c r="DK8" s="488" t="s">
        <v>161</v>
      </c>
      <c r="DL8" s="487">
        <v>3330</v>
      </c>
      <c r="DM8" s="487">
        <v>0</v>
      </c>
      <c r="DN8" s="487">
        <v>0</v>
      </c>
      <c r="DO8" s="489">
        <v>3330</v>
      </c>
      <c r="DP8" s="492">
        <v>700</v>
      </c>
      <c r="DR8" s="488" t="s">
        <v>161</v>
      </c>
      <c r="DS8" s="487">
        <v>3325</v>
      </c>
      <c r="DT8" s="487">
        <v>0</v>
      </c>
      <c r="DU8" s="487">
        <v>0</v>
      </c>
      <c r="DV8" s="489">
        <v>3325</v>
      </c>
      <c r="DW8" s="492">
        <v>2625</v>
      </c>
      <c r="DY8" s="488" t="s">
        <v>161</v>
      </c>
      <c r="DZ8" s="487">
        <f>GETPIVOTDATA("Individus",'Displacement &amp; Returns'!$D$158, "adm2_name","Diamaré","adm3_name",$DK8,"Statut déplacé","PDI")</f>
        <v>3167</v>
      </c>
      <c r="EA8" s="487">
        <f>GETPIVOTDATA("Individus",'Displacement &amp; Returns'!$E$158, "adm2_name","Diamaré","adm3_name",$DE8,"Statut déplacé","Retournés")</f>
        <v>0</v>
      </c>
      <c r="EB8" s="487">
        <f>GETPIVOTDATA("Individus",'Displacement &amp; Returns'!$D$158, "adm2_name","Diamaré","adm3_name",$DE8,"Statut déplacé","Refugié hors camp")</f>
        <v>0</v>
      </c>
      <c r="EC8" s="489">
        <f t="shared" si="11"/>
        <v>3167</v>
      </c>
      <c r="ED8" s="492">
        <f t="shared" si="8"/>
        <v>2467</v>
      </c>
      <c r="EF8" s="488" t="s">
        <v>161</v>
      </c>
      <c r="EG8" s="487">
        <f t="shared" si="9"/>
        <v>-163</v>
      </c>
      <c r="EH8" s="487">
        <f t="shared" si="9"/>
        <v>0</v>
      </c>
      <c r="EI8" s="487">
        <f t="shared" si="9"/>
        <v>0</v>
      </c>
      <c r="EJ8" s="494">
        <f t="shared" si="12"/>
        <v>-163</v>
      </c>
      <c r="EK8" s="1191"/>
      <c r="EL8" s="1191"/>
      <c r="EM8" s="1191"/>
    </row>
    <row r="9" spans="2:143" x14ac:dyDescent="0.3">
      <c r="B9" s="488" t="s">
        <v>163</v>
      </c>
      <c r="C9" s="487">
        <v>0</v>
      </c>
      <c r="D9" s="487">
        <v>50</v>
      </c>
      <c r="E9" s="487">
        <v>0</v>
      </c>
      <c r="F9" s="489">
        <v>50</v>
      </c>
      <c r="G9" s="488" t="s">
        <v>163</v>
      </c>
      <c r="H9" s="487">
        <v>0</v>
      </c>
      <c r="I9" s="487">
        <v>30</v>
      </c>
      <c r="J9" s="487">
        <v>0</v>
      </c>
      <c r="K9" s="489">
        <v>30</v>
      </c>
      <c r="L9" s="487">
        <f t="shared" si="10"/>
        <v>-20</v>
      </c>
      <c r="M9" s="488" t="s">
        <v>163</v>
      </c>
      <c r="N9" s="487">
        <v>0</v>
      </c>
      <c r="O9" s="487">
        <v>40</v>
      </c>
      <c r="P9" s="487">
        <v>0</v>
      </c>
      <c r="Q9" s="489">
        <v>40</v>
      </c>
      <c r="R9" s="487">
        <v>10</v>
      </c>
      <c r="S9" s="488" t="s">
        <v>163</v>
      </c>
      <c r="T9" s="487">
        <v>75</v>
      </c>
      <c r="U9" s="487">
        <v>0</v>
      </c>
      <c r="V9" s="487">
        <v>0</v>
      </c>
      <c r="W9" s="489">
        <v>75</v>
      </c>
      <c r="X9" s="487">
        <f t="shared" si="1"/>
        <v>35</v>
      </c>
      <c r="Y9" s="488" t="s">
        <v>163</v>
      </c>
      <c r="Z9" s="487">
        <v>82</v>
      </c>
      <c r="AA9" s="487">
        <v>0</v>
      </c>
      <c r="AB9" s="487">
        <v>0</v>
      </c>
      <c r="AC9" s="489">
        <v>82</v>
      </c>
      <c r="AD9" s="487">
        <f t="shared" si="2"/>
        <v>7</v>
      </c>
      <c r="AE9" s="490" t="s">
        <v>163</v>
      </c>
      <c r="AF9" s="487">
        <v>82</v>
      </c>
      <c r="AG9" s="487">
        <v>0</v>
      </c>
      <c r="AH9" s="487">
        <v>0</v>
      </c>
      <c r="AI9" s="489">
        <v>82</v>
      </c>
      <c r="AJ9" s="491">
        <f t="shared" si="3"/>
        <v>0</v>
      </c>
      <c r="AK9" s="490" t="s">
        <v>163</v>
      </c>
      <c r="AL9" s="487">
        <v>82</v>
      </c>
      <c r="AM9" s="487">
        <v>0</v>
      </c>
      <c r="AN9" s="487">
        <v>0</v>
      </c>
      <c r="AO9" s="489">
        <v>82</v>
      </c>
      <c r="AP9" s="489">
        <f t="shared" si="4"/>
        <v>0</v>
      </c>
      <c r="AQ9" s="487" t="s">
        <v>163</v>
      </c>
      <c r="AR9" s="487">
        <v>36</v>
      </c>
      <c r="AS9" s="487">
        <v>0</v>
      </c>
      <c r="AT9" s="487">
        <v>0</v>
      </c>
      <c r="AU9" s="489">
        <v>36</v>
      </c>
      <c r="AV9" s="487">
        <f t="shared" si="5"/>
        <v>-46</v>
      </c>
      <c r="AW9" s="490" t="s">
        <v>163</v>
      </c>
      <c r="AX9" s="487">
        <v>47</v>
      </c>
      <c r="AY9" s="487">
        <v>0</v>
      </c>
      <c r="AZ9" s="487">
        <v>0</v>
      </c>
      <c r="BA9" s="489">
        <v>47</v>
      </c>
      <c r="BB9" s="491">
        <f t="shared" si="6"/>
        <v>11</v>
      </c>
      <c r="BC9" s="490" t="s">
        <v>163</v>
      </c>
      <c r="BD9" s="487">
        <v>47</v>
      </c>
      <c r="BE9" s="487">
        <v>0</v>
      </c>
      <c r="BF9" s="487">
        <v>0</v>
      </c>
      <c r="BG9" s="489">
        <v>47</v>
      </c>
      <c r="BH9" s="489">
        <f t="shared" si="7"/>
        <v>0</v>
      </c>
      <c r="BI9" s="487" t="s">
        <v>163</v>
      </c>
      <c r="BJ9" s="487">
        <v>47</v>
      </c>
      <c r="BK9" s="487">
        <v>0</v>
      </c>
      <c r="BL9" s="487">
        <v>0</v>
      </c>
      <c r="BM9" s="489">
        <v>47</v>
      </c>
      <c r="BN9" s="489">
        <v>0</v>
      </c>
      <c r="BO9" s="487" t="s">
        <v>163</v>
      </c>
      <c r="BP9" s="487">
        <v>38</v>
      </c>
      <c r="BQ9" s="487">
        <v>0</v>
      </c>
      <c r="BR9" s="487">
        <v>0</v>
      </c>
      <c r="BS9" s="489">
        <v>38</v>
      </c>
      <c r="BT9" s="489">
        <v>-9</v>
      </c>
      <c r="BU9" s="487" t="s">
        <v>163</v>
      </c>
      <c r="BV9" s="487">
        <v>38</v>
      </c>
      <c r="BW9" s="487">
        <v>0</v>
      </c>
      <c r="BX9" s="487">
        <v>0</v>
      </c>
      <c r="BY9" s="489">
        <v>38</v>
      </c>
      <c r="BZ9" s="492">
        <v>0</v>
      </c>
      <c r="CA9" s="487" t="s">
        <v>163</v>
      </c>
      <c r="CB9" s="487">
        <v>32</v>
      </c>
      <c r="CC9" s="487">
        <v>0</v>
      </c>
      <c r="CD9" s="487">
        <v>0</v>
      </c>
      <c r="CE9" s="489">
        <v>32</v>
      </c>
      <c r="CF9" s="492">
        <v>-6</v>
      </c>
      <c r="CG9" s="487" t="s">
        <v>163</v>
      </c>
      <c r="CH9" s="487">
        <v>26</v>
      </c>
      <c r="CI9" s="487">
        <v>0</v>
      </c>
      <c r="CJ9" s="487">
        <v>0</v>
      </c>
      <c r="CK9" s="489">
        <v>26</v>
      </c>
      <c r="CL9" s="491">
        <v>-6</v>
      </c>
      <c r="CM9" s="487" t="s">
        <v>163</v>
      </c>
      <c r="CN9" s="487">
        <v>26</v>
      </c>
      <c r="CO9" s="487">
        <v>0</v>
      </c>
      <c r="CP9" s="487">
        <v>0</v>
      </c>
      <c r="CQ9" s="489">
        <v>26</v>
      </c>
      <c r="CR9" s="491">
        <v>0</v>
      </c>
      <c r="CS9" s="488" t="s">
        <v>163</v>
      </c>
      <c r="CT9" s="487">
        <v>27</v>
      </c>
      <c r="CU9" s="487">
        <v>0</v>
      </c>
      <c r="CV9" s="487">
        <v>0</v>
      </c>
      <c r="CW9" s="489">
        <v>27</v>
      </c>
      <c r="CX9" s="492">
        <v>1</v>
      </c>
      <c r="CY9" s="488" t="s">
        <v>163</v>
      </c>
      <c r="CZ9" s="487">
        <v>0</v>
      </c>
      <c r="DA9" s="487">
        <v>0</v>
      </c>
      <c r="DB9" s="487">
        <v>0</v>
      </c>
      <c r="DC9" s="489">
        <v>0</v>
      </c>
      <c r="DD9" s="492">
        <v>-27</v>
      </c>
      <c r="DE9" s="1087" t="s">
        <v>163</v>
      </c>
      <c r="DF9" s="487">
        <v>99</v>
      </c>
      <c r="DG9" s="487">
        <v>0</v>
      </c>
      <c r="DH9" s="487">
        <v>0</v>
      </c>
      <c r="DI9" s="489">
        <v>99</v>
      </c>
      <c r="DJ9" s="492">
        <v>99</v>
      </c>
      <c r="DK9" s="1087" t="s">
        <v>163</v>
      </c>
      <c r="DL9" s="487">
        <v>102</v>
      </c>
      <c r="DM9" s="487">
        <v>0</v>
      </c>
      <c r="DN9" s="487">
        <v>0</v>
      </c>
      <c r="DO9" s="489">
        <v>102</v>
      </c>
      <c r="DP9" s="492">
        <v>3</v>
      </c>
      <c r="DR9" s="1087" t="s">
        <v>163</v>
      </c>
      <c r="DS9" s="487">
        <v>102</v>
      </c>
      <c r="DT9" s="487">
        <v>0</v>
      </c>
      <c r="DU9" s="487">
        <v>0</v>
      </c>
      <c r="DV9" s="489">
        <v>102</v>
      </c>
      <c r="DW9" s="492">
        <v>99</v>
      </c>
      <c r="DY9" s="1087" t="s">
        <v>163</v>
      </c>
      <c r="DZ9" s="487">
        <f>GETPIVOTDATA("Individus",'Displacement &amp; Returns'!$D$158, "adm2_name","Diamaré","adm3_name",$DK9,"Statut déplacé","PDI")</f>
        <v>102</v>
      </c>
      <c r="EA9" s="487">
        <f>GETPIVOTDATA("Individus",'Displacement &amp; Returns'!$E$158, "adm2_name","Diamaré","adm3_name",$DE9,"Statut déplacé","Retournés")</f>
        <v>0</v>
      </c>
      <c r="EB9" s="487">
        <f>GETPIVOTDATA("Individus",'Displacement &amp; Returns'!$D$158, "adm2_name","Diamaré","adm3_name",$DE9,"Statut déplacé","Refugié hors camp")</f>
        <v>0</v>
      </c>
      <c r="EC9" s="489">
        <f t="shared" si="11"/>
        <v>102</v>
      </c>
      <c r="ED9" s="492">
        <f t="shared" si="8"/>
        <v>99</v>
      </c>
      <c r="EF9" s="488" t="s">
        <v>163</v>
      </c>
      <c r="EG9" s="487">
        <f t="shared" si="9"/>
        <v>0</v>
      </c>
      <c r="EH9" s="487">
        <f t="shared" si="9"/>
        <v>0</v>
      </c>
      <c r="EI9" s="487">
        <f t="shared" si="9"/>
        <v>0</v>
      </c>
      <c r="EJ9" s="494">
        <f t="shared" si="12"/>
        <v>0</v>
      </c>
      <c r="EK9" s="1191"/>
      <c r="EL9" s="1191"/>
      <c r="EM9" s="1191"/>
    </row>
    <row r="10" spans="2:143" x14ac:dyDescent="0.3">
      <c r="B10" s="488" t="s">
        <v>504</v>
      </c>
      <c r="C10" s="487">
        <v>1537</v>
      </c>
      <c r="D10" s="487">
        <v>5</v>
      </c>
      <c r="E10" s="487">
        <v>128</v>
      </c>
      <c r="F10" s="489">
        <v>1670</v>
      </c>
      <c r="G10" s="488" t="s">
        <v>504</v>
      </c>
      <c r="H10" s="487">
        <v>1608</v>
      </c>
      <c r="I10" s="487">
        <v>83</v>
      </c>
      <c r="J10" s="487">
        <v>170</v>
      </c>
      <c r="K10" s="489">
        <v>1861</v>
      </c>
      <c r="L10" s="487">
        <f t="shared" si="10"/>
        <v>191</v>
      </c>
      <c r="M10" s="488" t="s">
        <v>504</v>
      </c>
      <c r="N10" s="487">
        <v>2009</v>
      </c>
      <c r="O10" s="487">
        <v>4</v>
      </c>
      <c r="P10" s="487">
        <v>268</v>
      </c>
      <c r="Q10" s="489">
        <v>2281</v>
      </c>
      <c r="R10" s="487">
        <v>420</v>
      </c>
      <c r="S10" s="488" t="s">
        <v>504</v>
      </c>
      <c r="T10" s="487">
        <v>2030</v>
      </c>
      <c r="U10" s="487">
        <v>4</v>
      </c>
      <c r="V10" s="487">
        <v>166</v>
      </c>
      <c r="W10" s="489">
        <v>2200</v>
      </c>
      <c r="X10" s="487">
        <f t="shared" si="1"/>
        <v>-81</v>
      </c>
      <c r="Y10" s="488" t="s">
        <v>504</v>
      </c>
      <c r="Z10" s="487">
        <v>2019</v>
      </c>
      <c r="AA10" s="487">
        <v>4</v>
      </c>
      <c r="AB10" s="487">
        <v>271</v>
      </c>
      <c r="AC10" s="489">
        <v>2294</v>
      </c>
      <c r="AD10" s="487">
        <f t="shared" si="2"/>
        <v>94</v>
      </c>
      <c r="AE10" s="490" t="s">
        <v>504</v>
      </c>
      <c r="AF10" s="487">
        <v>2021</v>
      </c>
      <c r="AG10" s="487">
        <v>15</v>
      </c>
      <c r="AH10" s="487">
        <v>250</v>
      </c>
      <c r="AI10" s="489">
        <v>2286</v>
      </c>
      <c r="AJ10" s="491">
        <f t="shared" si="3"/>
        <v>3</v>
      </c>
      <c r="AK10" s="490" t="s">
        <v>504</v>
      </c>
      <c r="AL10" s="487">
        <v>2025</v>
      </c>
      <c r="AM10" s="487">
        <v>15</v>
      </c>
      <c r="AN10" s="487">
        <v>250</v>
      </c>
      <c r="AO10" s="489">
        <v>2290</v>
      </c>
      <c r="AP10" s="489">
        <f t="shared" si="4"/>
        <v>4</v>
      </c>
      <c r="AQ10" s="487" t="s">
        <v>504</v>
      </c>
      <c r="AR10" s="487">
        <v>2040</v>
      </c>
      <c r="AS10" s="487">
        <v>19</v>
      </c>
      <c r="AT10" s="487">
        <v>253</v>
      </c>
      <c r="AU10" s="489">
        <v>2312</v>
      </c>
      <c r="AV10" s="487">
        <f t="shared" si="5"/>
        <v>22</v>
      </c>
      <c r="AW10" s="490" t="s">
        <v>504</v>
      </c>
      <c r="AX10" s="487">
        <v>2076</v>
      </c>
      <c r="AY10" s="487">
        <v>22</v>
      </c>
      <c r="AZ10" s="487">
        <v>263</v>
      </c>
      <c r="BA10" s="489">
        <v>2361</v>
      </c>
      <c r="BB10" s="491">
        <f t="shared" si="6"/>
        <v>49</v>
      </c>
      <c r="BC10" s="490" t="s">
        <v>504</v>
      </c>
      <c r="BD10" s="487">
        <v>2082</v>
      </c>
      <c r="BE10" s="487">
        <v>19</v>
      </c>
      <c r="BF10" s="487">
        <v>253</v>
      </c>
      <c r="BG10" s="489">
        <v>2354</v>
      </c>
      <c r="BH10" s="489">
        <f t="shared" si="7"/>
        <v>-7</v>
      </c>
      <c r="BI10" s="487" t="s">
        <v>504</v>
      </c>
      <c r="BJ10" s="487">
        <v>2107</v>
      </c>
      <c r="BK10" s="487">
        <v>19</v>
      </c>
      <c r="BL10" s="487">
        <v>253</v>
      </c>
      <c r="BM10" s="489">
        <v>2379</v>
      </c>
      <c r="BN10" s="489">
        <v>25</v>
      </c>
      <c r="BO10" s="487" t="s">
        <v>504</v>
      </c>
      <c r="BP10" s="487">
        <v>2113</v>
      </c>
      <c r="BQ10" s="487">
        <v>20</v>
      </c>
      <c r="BR10" s="487">
        <v>255</v>
      </c>
      <c r="BS10" s="489">
        <v>2388</v>
      </c>
      <c r="BT10" s="489">
        <v>9</v>
      </c>
      <c r="BU10" s="487" t="s">
        <v>504</v>
      </c>
      <c r="BV10" s="487">
        <v>2209</v>
      </c>
      <c r="BW10" s="487">
        <v>20</v>
      </c>
      <c r="BX10" s="487">
        <v>255</v>
      </c>
      <c r="BY10" s="489">
        <v>2484</v>
      </c>
      <c r="BZ10" s="492">
        <v>96</v>
      </c>
      <c r="CA10" s="487" t="s">
        <v>504</v>
      </c>
      <c r="CB10" s="487">
        <v>2235</v>
      </c>
      <c r="CC10" s="487">
        <v>36</v>
      </c>
      <c r="CD10" s="487">
        <v>262</v>
      </c>
      <c r="CE10" s="489">
        <v>2533</v>
      </c>
      <c r="CF10" s="492">
        <v>49</v>
      </c>
      <c r="CG10" s="487" t="s">
        <v>504</v>
      </c>
      <c r="CH10" s="487">
        <v>2221</v>
      </c>
      <c r="CI10" s="487">
        <v>39</v>
      </c>
      <c r="CJ10" s="487">
        <v>262</v>
      </c>
      <c r="CK10" s="489">
        <v>2522</v>
      </c>
      <c r="CL10" s="491">
        <v>-11</v>
      </c>
      <c r="CM10" s="487" t="s">
        <v>504</v>
      </c>
      <c r="CN10" s="487">
        <v>2227</v>
      </c>
      <c r="CO10" s="487">
        <v>39</v>
      </c>
      <c r="CP10" s="487">
        <v>262</v>
      </c>
      <c r="CQ10" s="489">
        <v>2528</v>
      </c>
      <c r="CR10" s="491">
        <v>6</v>
      </c>
      <c r="CS10" s="488" t="s">
        <v>504</v>
      </c>
      <c r="CT10" s="487">
        <v>2263</v>
      </c>
      <c r="CU10" s="487">
        <v>39</v>
      </c>
      <c r="CV10" s="487">
        <v>264</v>
      </c>
      <c r="CW10" s="489">
        <v>2566</v>
      </c>
      <c r="CX10" s="492">
        <v>38</v>
      </c>
      <c r="CY10" s="488" t="s">
        <v>504</v>
      </c>
      <c r="CZ10" s="487">
        <v>2421</v>
      </c>
      <c r="DA10" s="487">
        <v>40</v>
      </c>
      <c r="DB10" s="487">
        <v>266</v>
      </c>
      <c r="DC10" s="489">
        <v>2727</v>
      </c>
      <c r="DD10" s="492">
        <v>161</v>
      </c>
      <c r="DE10" s="488" t="s">
        <v>162</v>
      </c>
      <c r="DF10" s="487">
        <v>2444</v>
      </c>
      <c r="DG10" s="487">
        <v>42</v>
      </c>
      <c r="DH10" s="487">
        <v>342</v>
      </c>
      <c r="DI10" s="489">
        <v>2828</v>
      </c>
      <c r="DJ10" s="492">
        <v>101</v>
      </c>
      <c r="DK10" s="488" t="s">
        <v>162</v>
      </c>
      <c r="DL10" s="487">
        <v>2995</v>
      </c>
      <c r="DM10" s="487">
        <v>32</v>
      </c>
      <c r="DN10" s="487">
        <v>364</v>
      </c>
      <c r="DO10" s="489">
        <v>3391</v>
      </c>
      <c r="DP10" s="492">
        <v>563</v>
      </c>
      <c r="DR10" s="488" t="s">
        <v>162</v>
      </c>
      <c r="DS10" s="487">
        <v>3163</v>
      </c>
      <c r="DT10" s="487">
        <v>33</v>
      </c>
      <c r="DU10" s="487">
        <v>361</v>
      </c>
      <c r="DV10" s="489">
        <v>3557</v>
      </c>
      <c r="DW10" s="492">
        <v>2994</v>
      </c>
      <c r="DY10" s="488" t="s">
        <v>162</v>
      </c>
      <c r="DZ10" s="487">
        <f>GETPIVOTDATA("Individus",'Displacement &amp; Returns'!$D$158, "adm2_name","Diamaré","adm3_name",$DK10,"Statut déplacé","PDI")</f>
        <v>3110</v>
      </c>
      <c r="EA10" s="487">
        <f>GETPIVOTDATA("Individus",'Displacement &amp; Returns'!$E$158, "adm2_name","Diamaré","adm3_name",$DE10,"Statut déplacé","Retournés")</f>
        <v>39</v>
      </c>
      <c r="EB10" s="487">
        <f>GETPIVOTDATA("Individus",'Displacement &amp; Returns'!$D$158, "adm2_name","Diamaré","adm3_name",$DE10,"Statut déplacé","Refugié hors camp")</f>
        <v>334</v>
      </c>
      <c r="EC10" s="489">
        <f t="shared" si="11"/>
        <v>3483</v>
      </c>
      <c r="ED10" s="492">
        <f t="shared" si="8"/>
        <v>2920</v>
      </c>
      <c r="EF10" s="488" t="s">
        <v>504</v>
      </c>
      <c r="EG10" s="487">
        <f t="shared" si="9"/>
        <v>115</v>
      </c>
      <c r="EH10" s="487">
        <f t="shared" si="9"/>
        <v>7</v>
      </c>
      <c r="EI10" s="487">
        <f t="shared" si="9"/>
        <v>-30</v>
      </c>
      <c r="EJ10" s="494">
        <f t="shared" si="12"/>
        <v>92</v>
      </c>
      <c r="EK10" s="1191"/>
      <c r="EL10" s="1191"/>
      <c r="EM10" s="1191"/>
    </row>
    <row r="11" spans="2:143" x14ac:dyDescent="0.3">
      <c r="B11" s="488" t="s">
        <v>156</v>
      </c>
      <c r="C11" s="487">
        <v>0</v>
      </c>
      <c r="D11" s="487">
        <v>0</v>
      </c>
      <c r="E11" s="487">
        <v>0</v>
      </c>
      <c r="F11" s="489">
        <v>0</v>
      </c>
      <c r="G11" s="488" t="s">
        <v>156</v>
      </c>
      <c r="H11" s="487">
        <v>0</v>
      </c>
      <c r="I11" s="487">
        <v>0</v>
      </c>
      <c r="J11" s="487">
        <v>0</v>
      </c>
      <c r="K11" s="489">
        <v>0</v>
      </c>
      <c r="L11" s="487">
        <v>0</v>
      </c>
      <c r="M11" s="488" t="s">
        <v>156</v>
      </c>
      <c r="N11" s="487">
        <v>0</v>
      </c>
      <c r="O11" s="487">
        <v>0</v>
      </c>
      <c r="P11" s="487">
        <v>0</v>
      </c>
      <c r="Q11" s="489">
        <v>0</v>
      </c>
      <c r="R11" s="487">
        <v>0</v>
      </c>
      <c r="S11" s="488" t="s">
        <v>156</v>
      </c>
      <c r="T11" s="487">
        <v>0</v>
      </c>
      <c r="U11" s="487">
        <v>0</v>
      </c>
      <c r="V11" s="487">
        <v>0</v>
      </c>
      <c r="W11" s="489">
        <v>0</v>
      </c>
      <c r="X11" s="487">
        <v>0</v>
      </c>
      <c r="Y11" s="488" t="s">
        <v>156</v>
      </c>
      <c r="Z11" s="487">
        <v>0</v>
      </c>
      <c r="AA11" s="487">
        <v>0</v>
      </c>
      <c r="AB11" s="487">
        <v>0</v>
      </c>
      <c r="AC11" s="489">
        <v>0</v>
      </c>
      <c r="AD11" s="487">
        <v>0</v>
      </c>
      <c r="AE11" s="490" t="s">
        <v>156</v>
      </c>
      <c r="AF11" s="487">
        <v>0</v>
      </c>
      <c r="AG11" s="487">
        <v>0</v>
      </c>
      <c r="AH11" s="487">
        <v>0</v>
      </c>
      <c r="AI11" s="489">
        <v>0</v>
      </c>
      <c r="AJ11" s="491">
        <v>0</v>
      </c>
      <c r="AK11" s="490" t="s">
        <v>156</v>
      </c>
      <c r="AL11" s="487">
        <v>0</v>
      </c>
      <c r="AM11" s="487">
        <v>0</v>
      </c>
      <c r="AN11" s="487">
        <v>0</v>
      </c>
      <c r="AO11" s="489">
        <v>0</v>
      </c>
      <c r="AP11" s="489">
        <v>0</v>
      </c>
      <c r="AQ11" s="487" t="s">
        <v>156</v>
      </c>
      <c r="AR11" s="487">
        <v>0</v>
      </c>
      <c r="AS11" s="487">
        <v>0</v>
      </c>
      <c r="AT11" s="487">
        <v>0</v>
      </c>
      <c r="AU11" s="489">
        <v>0</v>
      </c>
      <c r="AV11" s="487">
        <v>0</v>
      </c>
      <c r="AW11" s="490" t="s">
        <v>156</v>
      </c>
      <c r="AX11" s="487">
        <v>0</v>
      </c>
      <c r="AY11" s="487">
        <v>0</v>
      </c>
      <c r="AZ11" s="487">
        <v>0</v>
      </c>
      <c r="BA11" s="489">
        <v>0</v>
      </c>
      <c r="BB11" s="491">
        <v>0</v>
      </c>
      <c r="BC11" s="490" t="s">
        <v>156</v>
      </c>
      <c r="BD11" s="487">
        <v>0</v>
      </c>
      <c r="BE11" s="487">
        <v>0</v>
      </c>
      <c r="BF11" s="487">
        <v>0</v>
      </c>
      <c r="BG11" s="489">
        <v>0</v>
      </c>
      <c r="BH11" s="489">
        <v>0</v>
      </c>
      <c r="BI11" s="487" t="s">
        <v>156</v>
      </c>
      <c r="BJ11" s="487">
        <v>0</v>
      </c>
      <c r="BK11" s="487">
        <v>0</v>
      </c>
      <c r="BL11" s="487">
        <v>0</v>
      </c>
      <c r="BM11" s="489">
        <v>0</v>
      </c>
      <c r="BN11" s="489">
        <v>0</v>
      </c>
      <c r="BO11" s="487" t="s">
        <v>156</v>
      </c>
      <c r="BP11" s="487">
        <v>0</v>
      </c>
      <c r="BQ11" s="487">
        <v>0</v>
      </c>
      <c r="BR11" s="487">
        <v>0</v>
      </c>
      <c r="BS11" s="489">
        <v>0</v>
      </c>
      <c r="BT11" s="489">
        <v>0</v>
      </c>
      <c r="BU11" s="487" t="s">
        <v>156</v>
      </c>
      <c r="BV11" s="487">
        <v>0</v>
      </c>
      <c r="BW11" s="487">
        <v>0</v>
      </c>
      <c r="BX11" s="487">
        <v>0</v>
      </c>
      <c r="BY11" s="489">
        <v>0</v>
      </c>
      <c r="BZ11" s="492">
        <v>0</v>
      </c>
      <c r="CA11" s="487" t="s">
        <v>156</v>
      </c>
      <c r="CB11" s="487">
        <v>0</v>
      </c>
      <c r="CC11" s="487">
        <v>0</v>
      </c>
      <c r="CD11" s="487">
        <v>0</v>
      </c>
      <c r="CE11" s="489">
        <v>0</v>
      </c>
      <c r="CF11" s="492">
        <v>0</v>
      </c>
      <c r="CG11" s="487" t="s">
        <v>156</v>
      </c>
      <c r="CH11" s="487">
        <v>0</v>
      </c>
      <c r="CI11" s="487">
        <v>0</v>
      </c>
      <c r="CJ11" s="487">
        <v>0</v>
      </c>
      <c r="CK11" s="489">
        <v>0</v>
      </c>
      <c r="CL11" s="491">
        <v>0</v>
      </c>
      <c r="CM11" s="487" t="s">
        <v>156</v>
      </c>
      <c r="CN11" s="487">
        <v>0</v>
      </c>
      <c r="CO11" s="487">
        <v>0</v>
      </c>
      <c r="CP11" s="487">
        <v>0</v>
      </c>
      <c r="CQ11" s="489">
        <v>0</v>
      </c>
      <c r="CR11" s="491">
        <v>0</v>
      </c>
      <c r="CS11" s="488" t="s">
        <v>156</v>
      </c>
      <c r="CT11" s="487">
        <v>0</v>
      </c>
      <c r="CU11" s="487">
        <v>0</v>
      </c>
      <c r="CV11" s="487">
        <v>0</v>
      </c>
      <c r="CW11" s="489">
        <v>0</v>
      </c>
      <c r="CX11" s="492">
        <v>0</v>
      </c>
      <c r="CY11" s="488" t="s">
        <v>156</v>
      </c>
      <c r="CZ11" s="487">
        <v>0</v>
      </c>
      <c r="DA11" s="487">
        <v>0</v>
      </c>
      <c r="DB11" s="487">
        <v>0</v>
      </c>
      <c r="DC11" s="489">
        <v>0</v>
      </c>
      <c r="DD11" s="492">
        <v>0</v>
      </c>
      <c r="DE11" s="1087" t="s">
        <v>156</v>
      </c>
      <c r="DF11" s="487">
        <v>0</v>
      </c>
      <c r="DG11" s="487">
        <v>0</v>
      </c>
      <c r="DH11" s="487">
        <v>0</v>
      </c>
      <c r="DI11" s="487">
        <v>0</v>
      </c>
      <c r="DJ11" s="492">
        <v>0</v>
      </c>
      <c r="DK11" s="1087" t="s">
        <v>156</v>
      </c>
      <c r="DL11" s="487">
        <v>5568</v>
      </c>
      <c r="DM11" s="487">
        <v>0</v>
      </c>
      <c r="DN11" s="487">
        <v>0</v>
      </c>
      <c r="DO11" s="489">
        <v>5568</v>
      </c>
      <c r="DP11" s="492">
        <v>5568</v>
      </c>
      <c r="DR11" s="1087" t="s">
        <v>156</v>
      </c>
      <c r="DS11" s="487">
        <v>5248</v>
      </c>
      <c r="DT11" s="487">
        <v>0</v>
      </c>
      <c r="DU11" s="487">
        <v>0</v>
      </c>
      <c r="DV11" s="489">
        <v>5248</v>
      </c>
      <c r="DW11" s="492">
        <v>-320</v>
      </c>
      <c r="DY11" s="1087" t="s">
        <v>156</v>
      </c>
      <c r="DZ11" s="487">
        <f>GETPIVOTDATA("Individus",'Displacement &amp; Returns'!$D$158, "adm2_name","Diamaré","adm3_name",$DK11,"Statut déplacé","PDI")</f>
        <v>2940</v>
      </c>
      <c r="EA11" s="487">
        <f>GETPIVOTDATA("Individus",'Displacement &amp; Returns'!$E$158, "adm2_name","Diamaré","adm3_name",$DE11,"Statut déplacé","Retournés")</f>
        <v>0</v>
      </c>
      <c r="EB11" s="487">
        <f>GETPIVOTDATA("Individus",'Displacement &amp; Returns'!$D$158, "adm2_name","Diamaré","adm3_name",$DE11,"Statut déplacé","Refugié hors camp")</f>
        <v>0</v>
      </c>
      <c r="EC11" s="489">
        <f t="shared" si="11"/>
        <v>2940</v>
      </c>
      <c r="ED11" s="492">
        <f t="shared" si="8"/>
        <v>-2628</v>
      </c>
      <c r="EF11" s="1087" t="s">
        <v>156</v>
      </c>
      <c r="EG11" s="487">
        <f t="shared" si="9"/>
        <v>-2628</v>
      </c>
      <c r="EH11" s="487">
        <f t="shared" si="9"/>
        <v>0</v>
      </c>
      <c r="EI11" s="487">
        <f t="shared" si="9"/>
        <v>0</v>
      </c>
      <c r="EJ11" s="494">
        <f t="shared" si="12"/>
        <v>-2628</v>
      </c>
      <c r="EK11" s="1191"/>
      <c r="EL11" s="1191"/>
      <c r="EM11" s="1191"/>
    </row>
    <row r="12" spans="2:143" x14ac:dyDescent="0.3">
      <c r="B12" s="479" t="s">
        <v>31</v>
      </c>
      <c r="C12" s="480"/>
      <c r="D12" s="480"/>
      <c r="E12" s="480"/>
      <c r="F12" s="481"/>
      <c r="G12" s="479" t="s">
        <v>31</v>
      </c>
      <c r="H12" s="480"/>
      <c r="I12" s="480"/>
      <c r="J12" s="480"/>
      <c r="K12" s="481"/>
      <c r="L12" s="480">
        <f>SUM(K13:K22)-SUM(F13:F22)</f>
        <v>18220</v>
      </c>
      <c r="M12" s="479" t="s">
        <v>31</v>
      </c>
      <c r="N12" s="480"/>
      <c r="O12" s="480"/>
      <c r="P12" s="480"/>
      <c r="Q12" s="481"/>
      <c r="R12" s="480">
        <v>14654</v>
      </c>
      <c r="S12" s="479" t="s">
        <v>31</v>
      </c>
      <c r="T12" s="480"/>
      <c r="U12" s="480"/>
      <c r="V12" s="480"/>
      <c r="W12" s="481"/>
      <c r="X12" s="480">
        <f>SUM(W13:W22)-SUM(Q13:Q22)</f>
        <v>14940</v>
      </c>
      <c r="Y12" s="482" t="s">
        <v>31</v>
      </c>
      <c r="Z12" s="480"/>
      <c r="AA12" s="480"/>
      <c r="AB12" s="480"/>
      <c r="AC12" s="481"/>
      <c r="AD12" s="480">
        <f>SUM(AC13:AC22)-SUM(W13:W22)</f>
        <v>4478</v>
      </c>
      <c r="AE12" s="483" t="s">
        <v>31</v>
      </c>
      <c r="AF12" s="480"/>
      <c r="AG12" s="480"/>
      <c r="AH12" s="480"/>
      <c r="AI12" s="481"/>
      <c r="AJ12" s="484">
        <f>SUM(AB13:AB22)-SUM(P13:P22)</f>
        <v>924</v>
      </c>
      <c r="AK12" s="483" t="s">
        <v>31</v>
      </c>
      <c r="AL12" s="480"/>
      <c r="AM12" s="480"/>
      <c r="AN12" s="480"/>
      <c r="AO12" s="481"/>
      <c r="AP12" s="481">
        <f>SUM(AO13:AO22)-SUM(AI13:AI22)</f>
        <v>-698</v>
      </c>
      <c r="AQ12" s="480" t="s">
        <v>31</v>
      </c>
      <c r="AR12" s="480"/>
      <c r="AS12" s="480"/>
      <c r="AT12" s="480"/>
      <c r="AU12" s="481"/>
      <c r="AV12" s="480">
        <f>SUM(AU13:AU22)-SUM(AO13:AO22)</f>
        <v>544</v>
      </c>
      <c r="AW12" s="483" t="s">
        <v>31</v>
      </c>
      <c r="AX12" s="480"/>
      <c r="AY12" s="480"/>
      <c r="AZ12" s="480"/>
      <c r="BA12" s="481"/>
      <c r="BB12" s="484">
        <f>SUM(BB13:BB22)</f>
        <v>-3098</v>
      </c>
      <c r="BC12" s="483" t="s">
        <v>31</v>
      </c>
      <c r="BD12" s="480"/>
      <c r="BE12" s="480"/>
      <c r="BF12" s="480"/>
      <c r="BG12" s="481"/>
      <c r="BH12" s="481">
        <f>SUM(BH13:BH22)</f>
        <v>316</v>
      </c>
      <c r="BI12" s="480" t="s">
        <v>31</v>
      </c>
      <c r="BJ12" s="480"/>
      <c r="BK12" s="480"/>
      <c r="BL12" s="480"/>
      <c r="BM12" s="481"/>
      <c r="BN12" s="481">
        <v>1973</v>
      </c>
      <c r="BO12" s="480" t="s">
        <v>31</v>
      </c>
      <c r="BP12" s="480"/>
      <c r="BQ12" s="480"/>
      <c r="BR12" s="480"/>
      <c r="BS12" s="481"/>
      <c r="BT12" s="481">
        <v>766</v>
      </c>
      <c r="BU12" s="480" t="s">
        <v>31</v>
      </c>
      <c r="BV12" s="480"/>
      <c r="BW12" s="480"/>
      <c r="BX12" s="480"/>
      <c r="BY12" s="481"/>
      <c r="BZ12" s="497">
        <v>39037</v>
      </c>
      <c r="CA12" s="480" t="s">
        <v>31</v>
      </c>
      <c r="CB12" s="480"/>
      <c r="CC12" s="480"/>
      <c r="CD12" s="480"/>
      <c r="CE12" s="481"/>
      <c r="CF12" s="497">
        <v>-25430</v>
      </c>
      <c r="CG12" s="480" t="s">
        <v>31</v>
      </c>
      <c r="CH12" s="480"/>
      <c r="CI12" s="480"/>
      <c r="CJ12" s="480"/>
      <c r="CK12" s="481"/>
      <c r="CL12" s="484">
        <v>-144</v>
      </c>
      <c r="CM12" s="480" t="s">
        <v>31</v>
      </c>
      <c r="CN12" s="480"/>
      <c r="CO12" s="480"/>
      <c r="CP12" s="480"/>
      <c r="CQ12" s="481"/>
      <c r="CR12" s="484">
        <v>4506</v>
      </c>
      <c r="CS12" s="479" t="s">
        <v>31</v>
      </c>
      <c r="CT12" s="480"/>
      <c r="CU12" s="480"/>
      <c r="CV12" s="480"/>
      <c r="CW12" s="481"/>
      <c r="CX12" s="497">
        <v>13660</v>
      </c>
      <c r="CY12" s="479" t="s">
        <v>31</v>
      </c>
      <c r="CZ12" s="480">
        <v>136058</v>
      </c>
      <c r="DA12" s="480">
        <v>45176</v>
      </c>
      <c r="DB12" s="480">
        <v>34138</v>
      </c>
      <c r="DC12" s="481">
        <v>215372</v>
      </c>
      <c r="DD12" s="497">
        <v>4028</v>
      </c>
      <c r="DE12" s="479" t="s">
        <v>31</v>
      </c>
      <c r="DF12" s="480">
        <v>140324</v>
      </c>
      <c r="DG12" s="480">
        <v>46402</v>
      </c>
      <c r="DH12" s="480">
        <v>35790</v>
      </c>
      <c r="DI12" s="480">
        <v>222516</v>
      </c>
      <c r="DJ12" s="497">
        <v>7144</v>
      </c>
      <c r="DK12" s="479" t="s">
        <v>31</v>
      </c>
      <c r="DL12" s="480">
        <v>142750</v>
      </c>
      <c r="DM12" s="480">
        <v>55037</v>
      </c>
      <c r="DN12" s="480">
        <v>34253</v>
      </c>
      <c r="DO12" s="480">
        <v>232040</v>
      </c>
      <c r="DP12" s="497">
        <v>9524</v>
      </c>
      <c r="DQ12" s="1134"/>
      <c r="DR12" s="479" t="s">
        <v>31</v>
      </c>
      <c r="DS12" s="480">
        <v>131419</v>
      </c>
      <c r="DT12" s="480">
        <v>62921</v>
      </c>
      <c r="DU12" s="480">
        <v>31988</v>
      </c>
      <c r="DV12" s="480">
        <v>226328</v>
      </c>
      <c r="DW12" s="497">
        <v>216804</v>
      </c>
      <c r="DX12" s="1134"/>
      <c r="DY12" s="479" t="s">
        <v>31</v>
      </c>
      <c r="DZ12" s="480">
        <f>SUM(DZ13:DZ22)</f>
        <v>162020</v>
      </c>
      <c r="EA12" s="480">
        <f>SUM(EA13:EA22)</f>
        <v>62061</v>
      </c>
      <c r="EB12" s="480">
        <f>SUM(EB13:EB22)</f>
        <v>31803</v>
      </c>
      <c r="EC12" s="480">
        <f>SUM(EC13:EC22)</f>
        <v>255884</v>
      </c>
      <c r="ED12" s="497">
        <f>SUM(ED13:ED22)</f>
        <v>246360</v>
      </c>
      <c r="EF12" s="479" t="s">
        <v>31</v>
      </c>
      <c r="EG12" s="486">
        <f>SUM(EG13:EG22)</f>
        <v>19270</v>
      </c>
      <c r="EH12" s="486">
        <f>SUM(EH13:EH22)</f>
        <v>7024</v>
      </c>
      <c r="EI12" s="486">
        <f>SUM(EI13:EI22)</f>
        <v>-2450</v>
      </c>
      <c r="EJ12" s="486">
        <f>SUM(EJ13:EJ22)</f>
        <v>23844</v>
      </c>
      <c r="EK12" s="1191"/>
      <c r="EL12" s="1191"/>
      <c r="EM12" s="1191"/>
    </row>
    <row r="13" spans="2:143" x14ac:dyDescent="0.3">
      <c r="B13" s="488" t="s">
        <v>164</v>
      </c>
      <c r="C13" s="487">
        <v>6217</v>
      </c>
      <c r="D13" s="487">
        <v>328</v>
      </c>
      <c r="E13" s="487">
        <v>1132</v>
      </c>
      <c r="F13" s="489">
        <v>7677</v>
      </c>
      <c r="G13" s="488" t="s">
        <v>164</v>
      </c>
      <c r="H13" s="487">
        <v>7852</v>
      </c>
      <c r="I13" s="487">
        <v>559</v>
      </c>
      <c r="J13" s="487">
        <v>1210</v>
      </c>
      <c r="K13" s="489">
        <v>9621</v>
      </c>
      <c r="L13" s="487">
        <f t="shared" si="10"/>
        <v>1944</v>
      </c>
      <c r="M13" s="488" t="s">
        <v>164</v>
      </c>
      <c r="N13" s="487">
        <v>7564</v>
      </c>
      <c r="O13" s="487">
        <v>559</v>
      </c>
      <c r="P13" s="487">
        <v>1261</v>
      </c>
      <c r="Q13" s="489">
        <v>9384</v>
      </c>
      <c r="R13" s="487">
        <v>-237</v>
      </c>
      <c r="S13" s="488" t="s">
        <v>164</v>
      </c>
      <c r="T13" s="487">
        <v>7309</v>
      </c>
      <c r="U13" s="487">
        <v>576</v>
      </c>
      <c r="V13" s="487">
        <v>1234</v>
      </c>
      <c r="W13" s="489">
        <v>9119</v>
      </c>
      <c r="X13" s="487">
        <f>W13-Q13</f>
        <v>-265</v>
      </c>
      <c r="Y13" s="488" t="s">
        <v>164</v>
      </c>
      <c r="Z13" s="487">
        <v>7566</v>
      </c>
      <c r="AA13" s="487">
        <v>643</v>
      </c>
      <c r="AB13" s="487">
        <v>1298</v>
      </c>
      <c r="AC13" s="489">
        <v>9507</v>
      </c>
      <c r="AD13" s="487">
        <f>AC13-W13</f>
        <v>388</v>
      </c>
      <c r="AE13" s="490" t="s">
        <v>164</v>
      </c>
      <c r="AF13" s="487">
        <v>7585</v>
      </c>
      <c r="AG13" s="487">
        <v>643</v>
      </c>
      <c r="AH13" s="487">
        <v>1298</v>
      </c>
      <c r="AI13" s="489">
        <v>9526</v>
      </c>
      <c r="AJ13" s="491">
        <f t="shared" ref="AJ13:AJ22" si="13">AB13-P13</f>
        <v>37</v>
      </c>
      <c r="AK13" s="490" t="s">
        <v>164</v>
      </c>
      <c r="AL13" s="487">
        <v>7005</v>
      </c>
      <c r="AM13" s="487">
        <v>643</v>
      </c>
      <c r="AN13" s="487">
        <v>861</v>
      </c>
      <c r="AO13" s="489">
        <v>8509</v>
      </c>
      <c r="AP13" s="489">
        <f t="shared" ref="AP13:AP22" si="14">AO13-AI13</f>
        <v>-1017</v>
      </c>
      <c r="AQ13" s="487" t="s">
        <v>164</v>
      </c>
      <c r="AR13" s="487">
        <v>7153</v>
      </c>
      <c r="AS13" s="487">
        <v>643</v>
      </c>
      <c r="AT13" s="487">
        <v>861</v>
      </c>
      <c r="AU13" s="489">
        <v>8657</v>
      </c>
      <c r="AV13" s="487">
        <f>AU13-AO13</f>
        <v>148</v>
      </c>
      <c r="AW13" s="490" t="s">
        <v>164</v>
      </c>
      <c r="AX13" s="487">
        <v>7635</v>
      </c>
      <c r="AY13" s="487">
        <v>653</v>
      </c>
      <c r="AZ13" s="487">
        <v>936</v>
      </c>
      <c r="BA13" s="489">
        <v>9224</v>
      </c>
      <c r="BB13" s="491">
        <f>BA13-AU13</f>
        <v>567</v>
      </c>
      <c r="BC13" s="490" t="s">
        <v>164</v>
      </c>
      <c r="BD13" s="487">
        <v>7467</v>
      </c>
      <c r="BE13" s="487">
        <v>656</v>
      </c>
      <c r="BF13" s="487">
        <v>952</v>
      </c>
      <c r="BG13" s="489">
        <v>9075</v>
      </c>
      <c r="BH13" s="489">
        <f>BG13-BA13</f>
        <v>-149</v>
      </c>
      <c r="BI13" s="487" t="s">
        <v>164</v>
      </c>
      <c r="BJ13" s="487">
        <v>7031</v>
      </c>
      <c r="BK13" s="487">
        <v>656</v>
      </c>
      <c r="BL13" s="487">
        <v>952</v>
      </c>
      <c r="BM13" s="489">
        <v>8639</v>
      </c>
      <c r="BN13" s="489">
        <v>-436</v>
      </c>
      <c r="BO13" s="487" t="s">
        <v>164</v>
      </c>
      <c r="BP13" s="487">
        <v>7089</v>
      </c>
      <c r="BQ13" s="487">
        <v>655</v>
      </c>
      <c r="BR13" s="487">
        <v>945</v>
      </c>
      <c r="BS13" s="489">
        <v>8689</v>
      </c>
      <c r="BT13" s="489">
        <v>50</v>
      </c>
      <c r="BU13" s="487" t="s">
        <v>164</v>
      </c>
      <c r="BV13" s="487">
        <v>7137</v>
      </c>
      <c r="BW13" s="487">
        <v>654</v>
      </c>
      <c r="BX13" s="487">
        <v>945</v>
      </c>
      <c r="BY13" s="489">
        <v>8736</v>
      </c>
      <c r="BZ13" s="492">
        <v>47</v>
      </c>
      <c r="CA13" s="487" t="s">
        <v>164</v>
      </c>
      <c r="CB13" s="487">
        <v>7185</v>
      </c>
      <c r="CC13" s="487">
        <v>654</v>
      </c>
      <c r="CD13" s="487">
        <v>945</v>
      </c>
      <c r="CE13" s="489">
        <v>8784</v>
      </c>
      <c r="CF13" s="492">
        <v>48</v>
      </c>
      <c r="CG13" s="487" t="s">
        <v>164</v>
      </c>
      <c r="CH13" s="487">
        <v>9338</v>
      </c>
      <c r="CI13" s="487">
        <v>706</v>
      </c>
      <c r="CJ13" s="487">
        <v>754</v>
      </c>
      <c r="CK13" s="489">
        <v>10798</v>
      </c>
      <c r="CL13" s="491">
        <v>2014</v>
      </c>
      <c r="CM13" s="487" t="s">
        <v>164</v>
      </c>
      <c r="CN13" s="487">
        <v>10128</v>
      </c>
      <c r="CO13" s="487">
        <v>703</v>
      </c>
      <c r="CP13" s="487">
        <v>730</v>
      </c>
      <c r="CQ13" s="489">
        <v>11561</v>
      </c>
      <c r="CR13" s="491">
        <v>763</v>
      </c>
      <c r="CS13" s="488" t="s">
        <v>164</v>
      </c>
      <c r="CT13" s="487">
        <v>10358</v>
      </c>
      <c r="CU13" s="487">
        <v>866</v>
      </c>
      <c r="CV13" s="487">
        <v>718</v>
      </c>
      <c r="CW13" s="489">
        <v>11942</v>
      </c>
      <c r="CX13" s="492">
        <v>381</v>
      </c>
      <c r="CY13" s="488" t="s">
        <v>164</v>
      </c>
      <c r="CZ13" s="487">
        <v>10677</v>
      </c>
      <c r="DA13" s="487">
        <v>876</v>
      </c>
      <c r="DB13" s="487">
        <v>721</v>
      </c>
      <c r="DC13" s="489">
        <v>12274</v>
      </c>
      <c r="DD13" s="492">
        <v>332</v>
      </c>
      <c r="DE13" s="488" t="s">
        <v>164</v>
      </c>
      <c r="DF13" s="487">
        <v>10862</v>
      </c>
      <c r="DG13" s="487">
        <v>1140</v>
      </c>
      <c r="DH13" s="487">
        <v>667</v>
      </c>
      <c r="DI13" s="489">
        <v>12669</v>
      </c>
      <c r="DJ13" s="492">
        <v>395</v>
      </c>
      <c r="DK13" s="488" t="s">
        <v>164</v>
      </c>
      <c r="DL13" s="487">
        <v>6791</v>
      </c>
      <c r="DM13" s="487">
        <v>250</v>
      </c>
      <c r="DN13" s="487">
        <v>1302</v>
      </c>
      <c r="DO13" s="489">
        <v>8343</v>
      </c>
      <c r="DP13" s="492">
        <v>-4326</v>
      </c>
      <c r="DR13" s="488" t="s">
        <v>164</v>
      </c>
      <c r="DS13" s="487">
        <v>8889</v>
      </c>
      <c r="DT13" s="487">
        <v>1202</v>
      </c>
      <c r="DU13" s="487">
        <v>533</v>
      </c>
      <c r="DV13" s="489">
        <v>10624</v>
      </c>
      <c r="DW13" s="492">
        <v>14950</v>
      </c>
      <c r="DY13" s="488" t="s">
        <v>164</v>
      </c>
      <c r="DZ13" s="487">
        <f>GETPIVOTDATA("Individus",'Displacement &amp; Returns'!$D$158, "adm2_name","Logone-Et-Chari","adm3_name",$DK13,"Statut déplacé","PDI")</f>
        <v>13028</v>
      </c>
      <c r="EA13" s="487">
        <f>GETPIVOTDATA("Individus",'Displacement &amp; Returns'!$D$158, "adm2_name","Logone-Et-Chari","adm3_name",$DK13,"Statut déplacé","Retournés")</f>
        <v>921</v>
      </c>
      <c r="EB13" s="487">
        <f>GETPIVOTDATA("Individus",'Displacement &amp; Returns'!$D$158, "adm2_name","Logone-Et-Chari","adm3_name",$DK13,"Statut déplacé","Refugié hors camp")</f>
        <v>837</v>
      </c>
      <c r="EC13" s="489">
        <f t="shared" ref="EC13:EC22" si="15">SUM(DZ13:EB13)</f>
        <v>14786</v>
      </c>
      <c r="ED13" s="492">
        <f t="shared" ref="ED13:ED22" si="16">EC13-DP13</f>
        <v>19112</v>
      </c>
      <c r="EF13" s="488" t="s">
        <v>164</v>
      </c>
      <c r="EG13" s="487">
        <f t="shared" ref="EG13:EG22" si="17">DZ13-DL13</f>
        <v>6237</v>
      </c>
      <c r="EH13" s="487">
        <f t="shared" ref="EH13:EH22" si="18">EA13-DM13</f>
        <v>671</v>
      </c>
      <c r="EI13" s="487">
        <f t="shared" ref="EI13:EI22" si="19">EB13-DN13</f>
        <v>-465</v>
      </c>
      <c r="EJ13" s="494">
        <f>SUM(EG13:EI13)</f>
        <v>6443</v>
      </c>
      <c r="EK13" s="1191"/>
      <c r="EL13" s="1191"/>
      <c r="EM13" s="1191"/>
    </row>
    <row r="14" spans="2:143" x14ac:dyDescent="0.3">
      <c r="B14" s="488" t="s">
        <v>165</v>
      </c>
      <c r="C14" s="487">
        <v>1583</v>
      </c>
      <c r="D14" s="487">
        <v>196</v>
      </c>
      <c r="E14" s="487">
        <v>1140</v>
      </c>
      <c r="F14" s="489">
        <v>2919</v>
      </c>
      <c r="G14" s="488" t="s">
        <v>165</v>
      </c>
      <c r="H14" s="487">
        <v>2314</v>
      </c>
      <c r="I14" s="487">
        <v>247</v>
      </c>
      <c r="J14" s="487">
        <v>1131</v>
      </c>
      <c r="K14" s="489">
        <v>3692</v>
      </c>
      <c r="L14" s="487">
        <f>K14-F14</f>
        <v>773</v>
      </c>
      <c r="M14" s="488" t="s">
        <v>165</v>
      </c>
      <c r="N14" s="487">
        <v>2384</v>
      </c>
      <c r="O14" s="487">
        <v>217</v>
      </c>
      <c r="P14" s="487">
        <v>1161</v>
      </c>
      <c r="Q14" s="489">
        <v>3762</v>
      </c>
      <c r="R14" s="487">
        <v>70</v>
      </c>
      <c r="S14" s="488" t="s">
        <v>165</v>
      </c>
      <c r="T14" s="487">
        <v>2468</v>
      </c>
      <c r="U14" s="487">
        <v>429</v>
      </c>
      <c r="V14" s="487">
        <v>1174</v>
      </c>
      <c r="W14" s="489">
        <v>4071</v>
      </c>
      <c r="X14" s="487">
        <f t="shared" ref="X14:X22" si="20">W14-Q14</f>
        <v>309</v>
      </c>
      <c r="Y14" s="488" t="s">
        <v>165</v>
      </c>
      <c r="Z14" s="487">
        <v>3466</v>
      </c>
      <c r="AA14" s="487">
        <v>429</v>
      </c>
      <c r="AB14" s="487">
        <v>1158</v>
      </c>
      <c r="AC14" s="489">
        <v>5053</v>
      </c>
      <c r="AD14" s="487">
        <f t="shared" ref="AD14:AD22" si="21">AC14-W14</f>
        <v>982</v>
      </c>
      <c r="AE14" s="490" t="s">
        <v>165</v>
      </c>
      <c r="AF14" s="487">
        <v>3494</v>
      </c>
      <c r="AG14" s="487">
        <v>429</v>
      </c>
      <c r="AH14" s="487">
        <v>1123</v>
      </c>
      <c r="AI14" s="489">
        <v>5046</v>
      </c>
      <c r="AJ14" s="491">
        <f t="shared" si="13"/>
        <v>-3</v>
      </c>
      <c r="AK14" s="490" t="s">
        <v>165</v>
      </c>
      <c r="AL14" s="487">
        <v>3574</v>
      </c>
      <c r="AM14" s="487">
        <v>493</v>
      </c>
      <c r="AN14" s="487">
        <v>965</v>
      </c>
      <c r="AO14" s="489">
        <v>5032</v>
      </c>
      <c r="AP14" s="489">
        <f t="shared" si="14"/>
        <v>-14</v>
      </c>
      <c r="AQ14" s="487" t="s">
        <v>165</v>
      </c>
      <c r="AR14" s="487">
        <v>3737</v>
      </c>
      <c r="AS14" s="487">
        <v>429</v>
      </c>
      <c r="AT14" s="487">
        <v>764</v>
      </c>
      <c r="AU14" s="489">
        <v>4930</v>
      </c>
      <c r="AV14" s="487">
        <f t="shared" ref="AV14:AV22" si="22">AU14-AO14</f>
        <v>-102</v>
      </c>
      <c r="AW14" s="490" t="s">
        <v>165</v>
      </c>
      <c r="AX14" s="487">
        <v>3209</v>
      </c>
      <c r="AY14" s="487">
        <v>1316</v>
      </c>
      <c r="AZ14" s="487">
        <v>793</v>
      </c>
      <c r="BA14" s="489">
        <v>5318</v>
      </c>
      <c r="BB14" s="491">
        <f t="shared" ref="BB14:BB22" si="23">BA14-AU14</f>
        <v>388</v>
      </c>
      <c r="BC14" s="490" t="s">
        <v>165</v>
      </c>
      <c r="BD14" s="487">
        <v>3284</v>
      </c>
      <c r="BE14" s="487">
        <v>1416</v>
      </c>
      <c r="BF14" s="487">
        <v>619</v>
      </c>
      <c r="BG14" s="489">
        <v>5319</v>
      </c>
      <c r="BH14" s="489">
        <f t="shared" ref="BH14:BH22" si="24">BG14-BA14</f>
        <v>1</v>
      </c>
      <c r="BI14" s="487" t="s">
        <v>165</v>
      </c>
      <c r="BJ14" s="487">
        <v>3326</v>
      </c>
      <c r="BK14" s="487">
        <v>1446</v>
      </c>
      <c r="BL14" s="487">
        <v>764</v>
      </c>
      <c r="BM14" s="489">
        <v>5536</v>
      </c>
      <c r="BN14" s="489">
        <v>217</v>
      </c>
      <c r="BO14" s="487" t="s">
        <v>165</v>
      </c>
      <c r="BP14" s="487">
        <v>3423</v>
      </c>
      <c r="BQ14" s="487">
        <v>1446</v>
      </c>
      <c r="BR14" s="487">
        <v>863</v>
      </c>
      <c r="BS14" s="489">
        <v>5732</v>
      </c>
      <c r="BT14" s="489">
        <v>196</v>
      </c>
      <c r="BU14" s="487" t="s">
        <v>165</v>
      </c>
      <c r="BV14" s="487">
        <v>3339</v>
      </c>
      <c r="BW14" s="487">
        <v>1558</v>
      </c>
      <c r="BX14" s="487">
        <v>869</v>
      </c>
      <c r="BY14" s="489">
        <v>5766</v>
      </c>
      <c r="BZ14" s="492">
        <v>34</v>
      </c>
      <c r="CA14" s="487" t="s">
        <v>165</v>
      </c>
      <c r="CB14" s="487">
        <v>3344</v>
      </c>
      <c r="CC14" s="487">
        <v>1558</v>
      </c>
      <c r="CD14" s="487">
        <v>1017</v>
      </c>
      <c r="CE14" s="489">
        <v>5919</v>
      </c>
      <c r="CF14" s="492">
        <v>153</v>
      </c>
      <c r="CG14" s="487" t="s">
        <v>165</v>
      </c>
      <c r="CH14" s="487">
        <v>3246</v>
      </c>
      <c r="CI14" s="487">
        <v>1411</v>
      </c>
      <c r="CJ14" s="487">
        <v>1020</v>
      </c>
      <c r="CK14" s="489">
        <v>5677</v>
      </c>
      <c r="CL14" s="491">
        <v>-242</v>
      </c>
      <c r="CM14" s="487" t="s">
        <v>165</v>
      </c>
      <c r="CN14" s="487">
        <v>4104</v>
      </c>
      <c r="CO14" s="487">
        <v>1274</v>
      </c>
      <c r="CP14" s="487">
        <v>1049</v>
      </c>
      <c r="CQ14" s="489">
        <v>6427</v>
      </c>
      <c r="CR14" s="491">
        <v>750</v>
      </c>
      <c r="CS14" s="488" t="s">
        <v>165</v>
      </c>
      <c r="CT14" s="487">
        <v>4294</v>
      </c>
      <c r="CU14" s="487">
        <v>1184</v>
      </c>
      <c r="CV14" s="487">
        <v>1077</v>
      </c>
      <c r="CW14" s="489">
        <v>6555</v>
      </c>
      <c r="CX14" s="492">
        <v>128</v>
      </c>
      <c r="CY14" s="488" t="s">
        <v>165</v>
      </c>
      <c r="CZ14" s="487">
        <v>5260</v>
      </c>
      <c r="DA14" s="487">
        <v>1184</v>
      </c>
      <c r="DB14" s="487">
        <v>1109</v>
      </c>
      <c r="DC14" s="489">
        <v>7553</v>
      </c>
      <c r="DD14" s="492">
        <v>998</v>
      </c>
      <c r="DE14" s="488" t="s">
        <v>165</v>
      </c>
      <c r="DF14" s="487">
        <v>6149</v>
      </c>
      <c r="DG14" s="487">
        <v>1552</v>
      </c>
      <c r="DH14" s="487">
        <v>1375</v>
      </c>
      <c r="DI14" s="489">
        <v>9076</v>
      </c>
      <c r="DJ14" s="492">
        <v>1523</v>
      </c>
      <c r="DK14" s="488" t="s">
        <v>165</v>
      </c>
      <c r="DL14" s="487">
        <v>5129</v>
      </c>
      <c r="DM14" s="487">
        <v>457</v>
      </c>
      <c r="DN14" s="487">
        <v>666</v>
      </c>
      <c r="DO14" s="489">
        <v>6252</v>
      </c>
      <c r="DP14" s="492">
        <v>-2824</v>
      </c>
      <c r="DR14" s="488" t="s">
        <v>165</v>
      </c>
      <c r="DS14" s="487">
        <v>5325</v>
      </c>
      <c r="DT14" s="487">
        <v>464</v>
      </c>
      <c r="DU14" s="487">
        <v>411</v>
      </c>
      <c r="DV14" s="489">
        <v>6200</v>
      </c>
      <c r="DW14" s="492">
        <v>9024</v>
      </c>
      <c r="DY14" s="488" t="s">
        <v>165</v>
      </c>
      <c r="DZ14" s="487">
        <f>GETPIVOTDATA("Individus",'Displacement &amp; Returns'!$D$158, "adm2_name","Logone-Et-Chari","adm3_name",$DK14,"Statut déplacé","PDI")</f>
        <v>5456</v>
      </c>
      <c r="EA14" s="487">
        <f>GETPIVOTDATA("Individus",'Displacement &amp; Returns'!$D$158, "adm2_name","Logone-Et-Chari","adm3_name",$DK14,"Statut déplacé","Retournés")</f>
        <v>455</v>
      </c>
      <c r="EB14" s="487">
        <f>GETPIVOTDATA("Individus",'Displacement &amp; Returns'!$D$158, "adm2_name","Logone-Et-Chari","adm3_name",$DK14,"Statut déplacé","Refugié hors camp")</f>
        <v>115</v>
      </c>
      <c r="EC14" s="489">
        <f t="shared" si="15"/>
        <v>6026</v>
      </c>
      <c r="ED14" s="492">
        <f t="shared" si="16"/>
        <v>8850</v>
      </c>
      <c r="EF14" s="488" t="s">
        <v>165</v>
      </c>
      <c r="EG14" s="487">
        <f t="shared" si="17"/>
        <v>327</v>
      </c>
      <c r="EH14" s="487">
        <f t="shared" si="18"/>
        <v>-2</v>
      </c>
      <c r="EI14" s="487">
        <f t="shared" si="19"/>
        <v>-551</v>
      </c>
      <c r="EJ14" s="494">
        <f t="shared" ref="EJ14:EJ22" si="25">SUM(EG14:EI14)</f>
        <v>-226</v>
      </c>
      <c r="EK14" s="1191"/>
      <c r="EL14" s="1191"/>
      <c r="EM14" s="1191"/>
    </row>
    <row r="15" spans="2:143" x14ac:dyDescent="0.3">
      <c r="B15" s="488" t="s">
        <v>166</v>
      </c>
      <c r="C15" s="487">
        <v>15306</v>
      </c>
      <c r="D15" s="487">
        <v>0</v>
      </c>
      <c r="E15" s="487">
        <v>3824</v>
      </c>
      <c r="F15" s="489">
        <v>19130</v>
      </c>
      <c r="G15" s="488" t="s">
        <v>166</v>
      </c>
      <c r="H15" s="487">
        <v>19751</v>
      </c>
      <c r="I15" s="487">
        <v>0</v>
      </c>
      <c r="J15" s="487">
        <v>4794</v>
      </c>
      <c r="K15" s="489">
        <v>24545</v>
      </c>
      <c r="L15" s="487">
        <f t="shared" si="10"/>
        <v>5415</v>
      </c>
      <c r="M15" s="488" t="s">
        <v>166</v>
      </c>
      <c r="N15" s="487">
        <v>18700</v>
      </c>
      <c r="O15" s="487">
        <v>300</v>
      </c>
      <c r="P15" s="487">
        <v>5059</v>
      </c>
      <c r="Q15" s="489">
        <v>24059</v>
      </c>
      <c r="R15" s="487">
        <v>-486</v>
      </c>
      <c r="S15" s="488" t="s">
        <v>166</v>
      </c>
      <c r="T15" s="487">
        <v>18591</v>
      </c>
      <c r="U15" s="487">
        <v>7637</v>
      </c>
      <c r="V15" s="487">
        <v>5082</v>
      </c>
      <c r="W15" s="489">
        <v>31310</v>
      </c>
      <c r="X15" s="487">
        <f t="shared" si="20"/>
        <v>7251</v>
      </c>
      <c r="Y15" s="488" t="s">
        <v>166</v>
      </c>
      <c r="Z15" s="487">
        <v>18581</v>
      </c>
      <c r="AA15" s="487">
        <v>7637</v>
      </c>
      <c r="AB15" s="487">
        <v>5540</v>
      </c>
      <c r="AC15" s="489">
        <v>31758</v>
      </c>
      <c r="AD15" s="487">
        <f t="shared" si="21"/>
        <v>448</v>
      </c>
      <c r="AE15" s="490" t="s">
        <v>166</v>
      </c>
      <c r="AF15" s="487">
        <v>17631</v>
      </c>
      <c r="AG15" s="487">
        <v>7637</v>
      </c>
      <c r="AH15" s="487">
        <v>5128</v>
      </c>
      <c r="AI15" s="489">
        <v>30396</v>
      </c>
      <c r="AJ15" s="491">
        <f t="shared" si="13"/>
        <v>481</v>
      </c>
      <c r="AK15" s="490" t="s">
        <v>166</v>
      </c>
      <c r="AL15" s="487">
        <v>18347</v>
      </c>
      <c r="AM15" s="487">
        <v>7963</v>
      </c>
      <c r="AN15" s="487">
        <v>5542</v>
      </c>
      <c r="AO15" s="489">
        <v>31852</v>
      </c>
      <c r="AP15" s="489">
        <f t="shared" si="14"/>
        <v>1456</v>
      </c>
      <c r="AQ15" s="487" t="s">
        <v>166</v>
      </c>
      <c r="AR15" s="487">
        <v>16857</v>
      </c>
      <c r="AS15" s="487">
        <v>9288</v>
      </c>
      <c r="AT15" s="487">
        <v>5542</v>
      </c>
      <c r="AU15" s="489">
        <v>31687</v>
      </c>
      <c r="AV15" s="487">
        <f t="shared" si="22"/>
        <v>-165</v>
      </c>
      <c r="AW15" s="490" t="s">
        <v>166</v>
      </c>
      <c r="AX15" s="487">
        <v>15989</v>
      </c>
      <c r="AY15" s="487">
        <v>11105</v>
      </c>
      <c r="AZ15" s="487">
        <v>5368</v>
      </c>
      <c r="BA15" s="489">
        <v>32462</v>
      </c>
      <c r="BB15" s="491">
        <f t="shared" si="23"/>
        <v>775</v>
      </c>
      <c r="BC15" s="490" t="s">
        <v>166</v>
      </c>
      <c r="BD15" s="487">
        <v>15837</v>
      </c>
      <c r="BE15" s="487">
        <v>11342</v>
      </c>
      <c r="BF15" s="487">
        <v>5464</v>
      </c>
      <c r="BG15" s="489">
        <v>32643</v>
      </c>
      <c r="BH15" s="489">
        <f t="shared" si="24"/>
        <v>181</v>
      </c>
      <c r="BI15" s="487" t="s">
        <v>166</v>
      </c>
      <c r="BJ15" s="487">
        <v>15777</v>
      </c>
      <c r="BK15" s="487">
        <v>11528</v>
      </c>
      <c r="BL15" s="487">
        <v>6064</v>
      </c>
      <c r="BM15" s="489">
        <v>33369</v>
      </c>
      <c r="BN15" s="489">
        <v>726</v>
      </c>
      <c r="BO15" s="487" t="s">
        <v>166</v>
      </c>
      <c r="BP15" s="487">
        <v>15708</v>
      </c>
      <c r="BQ15" s="487">
        <v>11663</v>
      </c>
      <c r="BR15" s="487">
        <v>5970</v>
      </c>
      <c r="BS15" s="489">
        <v>33341</v>
      </c>
      <c r="BT15" s="489">
        <v>-28</v>
      </c>
      <c r="BU15" s="487" t="s">
        <v>166</v>
      </c>
      <c r="BV15" s="487">
        <v>16208</v>
      </c>
      <c r="BW15" s="487">
        <v>11676</v>
      </c>
      <c r="BX15" s="487">
        <v>6645</v>
      </c>
      <c r="BY15" s="489">
        <v>34529</v>
      </c>
      <c r="BZ15" s="492">
        <v>1188</v>
      </c>
      <c r="CA15" s="487" t="s">
        <v>166</v>
      </c>
      <c r="CB15" s="487">
        <v>16236</v>
      </c>
      <c r="CC15" s="487">
        <v>11742</v>
      </c>
      <c r="CD15" s="487">
        <v>6487</v>
      </c>
      <c r="CE15" s="489">
        <v>34465</v>
      </c>
      <c r="CF15" s="492">
        <v>-64</v>
      </c>
      <c r="CG15" s="487" t="s">
        <v>166</v>
      </c>
      <c r="CH15" s="487">
        <v>16844</v>
      </c>
      <c r="CI15" s="487">
        <v>11872</v>
      </c>
      <c r="CJ15" s="487">
        <v>6076</v>
      </c>
      <c r="CK15" s="489">
        <v>34792</v>
      </c>
      <c r="CL15" s="491">
        <v>327</v>
      </c>
      <c r="CM15" s="487" t="s">
        <v>166</v>
      </c>
      <c r="CN15" s="487">
        <v>16839</v>
      </c>
      <c r="CO15" s="487">
        <v>12185</v>
      </c>
      <c r="CP15" s="487">
        <v>5966</v>
      </c>
      <c r="CQ15" s="489">
        <v>34990</v>
      </c>
      <c r="CR15" s="491">
        <v>198</v>
      </c>
      <c r="CS15" s="488" t="s">
        <v>166</v>
      </c>
      <c r="CT15" s="487">
        <v>16569</v>
      </c>
      <c r="CU15" s="487">
        <v>12666</v>
      </c>
      <c r="CV15" s="487">
        <v>5611</v>
      </c>
      <c r="CW15" s="489">
        <v>34846</v>
      </c>
      <c r="CX15" s="492">
        <v>-144</v>
      </c>
      <c r="CY15" s="488" t="s">
        <v>166</v>
      </c>
      <c r="CZ15" s="487">
        <v>15403</v>
      </c>
      <c r="DA15" s="487">
        <v>12790</v>
      </c>
      <c r="DB15" s="487">
        <v>4775</v>
      </c>
      <c r="DC15" s="489">
        <v>32968</v>
      </c>
      <c r="DD15" s="492">
        <v>-1878</v>
      </c>
      <c r="DE15" s="488" t="s">
        <v>166</v>
      </c>
      <c r="DF15" s="487">
        <v>16025</v>
      </c>
      <c r="DG15" s="487">
        <v>12985</v>
      </c>
      <c r="DH15" s="487">
        <v>5358</v>
      </c>
      <c r="DI15" s="489">
        <v>34368</v>
      </c>
      <c r="DJ15" s="492">
        <v>1400</v>
      </c>
      <c r="DK15" s="488" t="s">
        <v>166</v>
      </c>
      <c r="DL15" s="487">
        <v>15574</v>
      </c>
      <c r="DM15" s="487">
        <v>12750</v>
      </c>
      <c r="DN15" s="487">
        <v>5474</v>
      </c>
      <c r="DO15" s="489">
        <v>33798</v>
      </c>
      <c r="DP15" s="492">
        <v>-570</v>
      </c>
      <c r="DR15" s="488" t="s">
        <v>166</v>
      </c>
      <c r="DS15" s="487">
        <v>16249</v>
      </c>
      <c r="DT15" s="487">
        <v>12750</v>
      </c>
      <c r="DU15" s="487">
        <v>5415</v>
      </c>
      <c r="DV15" s="489">
        <v>34414</v>
      </c>
      <c r="DW15" s="492">
        <v>34984</v>
      </c>
      <c r="DY15" s="488" t="s">
        <v>166</v>
      </c>
      <c r="DZ15" s="487">
        <f>GETPIVOTDATA("Individus",'Displacement &amp; Returns'!$D$158, "adm2_name","Logone-Et-Chari","adm3_name",$DK15,"Statut déplacé","PDI")</f>
        <v>16716</v>
      </c>
      <c r="EA15" s="487">
        <f>GETPIVOTDATA("Individus",'Displacement &amp; Returns'!$D$158, "adm2_name","Logone-Et-Chari","adm3_name",$DK15,"Statut déplacé","Retournés")</f>
        <v>12563</v>
      </c>
      <c r="EB15" s="487">
        <f>GETPIVOTDATA("Individus",'Displacement &amp; Returns'!$D$158, "adm2_name","Logone-Et-Chari","adm3_name",$DK15,"Statut déplacé","Refugié hors camp")</f>
        <v>5059</v>
      </c>
      <c r="EC15" s="489">
        <f t="shared" si="15"/>
        <v>34338</v>
      </c>
      <c r="ED15" s="492">
        <f t="shared" si="16"/>
        <v>34908</v>
      </c>
      <c r="EF15" s="488" t="s">
        <v>166</v>
      </c>
      <c r="EG15" s="487">
        <f t="shared" si="17"/>
        <v>1142</v>
      </c>
      <c r="EH15" s="487">
        <f t="shared" si="18"/>
        <v>-187</v>
      </c>
      <c r="EI15" s="487">
        <f t="shared" si="19"/>
        <v>-415</v>
      </c>
      <c r="EJ15" s="494">
        <f t="shared" si="25"/>
        <v>540</v>
      </c>
      <c r="EK15" s="1191"/>
      <c r="EL15" s="1191"/>
      <c r="EM15" s="1191"/>
    </row>
    <row r="16" spans="2:143" x14ac:dyDescent="0.3">
      <c r="B16" s="488" t="s">
        <v>167</v>
      </c>
      <c r="C16" s="487">
        <v>3008</v>
      </c>
      <c r="D16" s="487">
        <v>0</v>
      </c>
      <c r="E16" s="487">
        <v>0</v>
      </c>
      <c r="F16" s="489">
        <v>3008</v>
      </c>
      <c r="G16" s="488" t="s">
        <v>167</v>
      </c>
      <c r="H16" s="487">
        <v>3487</v>
      </c>
      <c r="I16" s="487">
        <v>0</v>
      </c>
      <c r="J16" s="487">
        <v>0</v>
      </c>
      <c r="K16" s="489">
        <v>3487</v>
      </c>
      <c r="L16" s="487">
        <f t="shared" si="10"/>
        <v>479</v>
      </c>
      <c r="M16" s="488" t="s">
        <v>167</v>
      </c>
      <c r="N16" s="487">
        <v>3616</v>
      </c>
      <c r="O16" s="487">
        <v>0</v>
      </c>
      <c r="P16" s="487">
        <v>0</v>
      </c>
      <c r="Q16" s="489">
        <v>3616</v>
      </c>
      <c r="R16" s="487">
        <v>129</v>
      </c>
      <c r="S16" s="488" t="s">
        <v>167</v>
      </c>
      <c r="T16" s="487">
        <v>2704</v>
      </c>
      <c r="U16" s="487">
        <v>0</v>
      </c>
      <c r="V16" s="487">
        <v>0</v>
      </c>
      <c r="W16" s="489">
        <v>2704</v>
      </c>
      <c r="X16" s="487">
        <f t="shared" si="20"/>
        <v>-912</v>
      </c>
      <c r="Y16" s="488" t="s">
        <v>167</v>
      </c>
      <c r="Z16" s="487">
        <v>2322</v>
      </c>
      <c r="AA16" s="487">
        <v>0</v>
      </c>
      <c r="AB16" s="487">
        <v>0</v>
      </c>
      <c r="AC16" s="489">
        <v>2322</v>
      </c>
      <c r="AD16" s="487">
        <f t="shared" si="21"/>
        <v>-382</v>
      </c>
      <c r="AE16" s="490" t="s">
        <v>167</v>
      </c>
      <c r="AF16" s="487">
        <v>2436</v>
      </c>
      <c r="AG16" s="487">
        <v>0</v>
      </c>
      <c r="AH16" s="487">
        <v>0</v>
      </c>
      <c r="AI16" s="489">
        <v>2436</v>
      </c>
      <c r="AJ16" s="491">
        <f t="shared" si="13"/>
        <v>0</v>
      </c>
      <c r="AK16" s="490" t="s">
        <v>167</v>
      </c>
      <c r="AL16" s="487">
        <v>2385</v>
      </c>
      <c r="AM16" s="487">
        <v>0</v>
      </c>
      <c r="AN16" s="487">
        <v>0</v>
      </c>
      <c r="AO16" s="489">
        <v>2385</v>
      </c>
      <c r="AP16" s="489">
        <f t="shared" si="14"/>
        <v>-51</v>
      </c>
      <c r="AQ16" s="487" t="s">
        <v>167</v>
      </c>
      <c r="AR16" s="487">
        <v>2381</v>
      </c>
      <c r="AS16" s="487">
        <v>0</v>
      </c>
      <c r="AT16" s="487">
        <v>0</v>
      </c>
      <c r="AU16" s="489">
        <v>2381</v>
      </c>
      <c r="AV16" s="487">
        <f t="shared" si="22"/>
        <v>-4</v>
      </c>
      <c r="AW16" s="490" t="s">
        <v>167</v>
      </c>
      <c r="AX16" s="487">
        <v>2175</v>
      </c>
      <c r="AY16" s="487">
        <v>0</v>
      </c>
      <c r="AZ16" s="487">
        <v>0</v>
      </c>
      <c r="BA16" s="489">
        <v>2175</v>
      </c>
      <c r="BB16" s="491">
        <f t="shared" si="23"/>
        <v>-206</v>
      </c>
      <c r="BC16" s="490" t="s">
        <v>167</v>
      </c>
      <c r="BD16" s="487">
        <v>2176</v>
      </c>
      <c r="BE16" s="487">
        <v>0</v>
      </c>
      <c r="BF16" s="487">
        <v>0</v>
      </c>
      <c r="BG16" s="489">
        <v>2176</v>
      </c>
      <c r="BH16" s="489">
        <f t="shared" si="24"/>
        <v>1</v>
      </c>
      <c r="BI16" s="487" t="s">
        <v>167</v>
      </c>
      <c r="BJ16" s="487">
        <v>2136</v>
      </c>
      <c r="BK16" s="487">
        <v>0</v>
      </c>
      <c r="BL16" s="487">
        <v>0</v>
      </c>
      <c r="BM16" s="489">
        <v>2136</v>
      </c>
      <c r="BN16" s="489">
        <v>-40</v>
      </c>
      <c r="BO16" s="487" t="s">
        <v>167</v>
      </c>
      <c r="BP16" s="487">
        <v>2116</v>
      </c>
      <c r="BQ16" s="487">
        <v>0</v>
      </c>
      <c r="BR16" s="487">
        <v>0</v>
      </c>
      <c r="BS16" s="489">
        <v>2116</v>
      </c>
      <c r="BT16" s="489">
        <v>-20</v>
      </c>
      <c r="BU16" s="487" t="s">
        <v>167</v>
      </c>
      <c r="BV16" s="487">
        <v>2255</v>
      </c>
      <c r="BW16" s="487">
        <v>31</v>
      </c>
      <c r="BX16" s="487">
        <v>0</v>
      </c>
      <c r="BY16" s="489">
        <v>2286</v>
      </c>
      <c r="BZ16" s="492">
        <v>170</v>
      </c>
      <c r="CA16" s="487" t="s">
        <v>167</v>
      </c>
      <c r="CB16" s="487">
        <v>2238</v>
      </c>
      <c r="CC16" s="487">
        <v>31</v>
      </c>
      <c r="CD16" s="487">
        <v>0</v>
      </c>
      <c r="CE16" s="489">
        <v>2269</v>
      </c>
      <c r="CF16" s="492">
        <v>-17</v>
      </c>
      <c r="CG16" s="487" t="s">
        <v>167</v>
      </c>
      <c r="CH16" s="487">
        <v>2708</v>
      </c>
      <c r="CI16" s="487">
        <v>599</v>
      </c>
      <c r="CJ16" s="487">
        <v>0</v>
      </c>
      <c r="CK16" s="489">
        <v>3307</v>
      </c>
      <c r="CL16" s="491">
        <v>1038</v>
      </c>
      <c r="CM16" s="487" t="s">
        <v>167</v>
      </c>
      <c r="CN16" s="487">
        <v>3525</v>
      </c>
      <c r="CO16" s="487">
        <v>600</v>
      </c>
      <c r="CP16" s="487">
        <v>0</v>
      </c>
      <c r="CQ16" s="489">
        <v>4125</v>
      </c>
      <c r="CR16" s="491">
        <v>818</v>
      </c>
      <c r="CS16" s="488" t="s">
        <v>167</v>
      </c>
      <c r="CT16" s="487">
        <v>3363</v>
      </c>
      <c r="CU16" s="487">
        <v>841</v>
      </c>
      <c r="CV16" s="487">
        <v>0</v>
      </c>
      <c r="CW16" s="489">
        <v>4204</v>
      </c>
      <c r="CX16" s="492">
        <v>79</v>
      </c>
      <c r="CY16" s="488" t="s">
        <v>167</v>
      </c>
      <c r="CZ16" s="487">
        <v>3531</v>
      </c>
      <c r="DA16" s="487">
        <v>1218</v>
      </c>
      <c r="DB16" s="487">
        <v>0</v>
      </c>
      <c r="DC16" s="489">
        <v>4749</v>
      </c>
      <c r="DD16" s="492">
        <v>545</v>
      </c>
      <c r="DE16" s="488" t="s">
        <v>167</v>
      </c>
      <c r="DF16" s="487">
        <v>3426</v>
      </c>
      <c r="DG16" s="487">
        <v>1358</v>
      </c>
      <c r="DH16" s="487">
        <v>92</v>
      </c>
      <c r="DI16" s="489">
        <v>4876</v>
      </c>
      <c r="DJ16" s="492">
        <v>127</v>
      </c>
      <c r="DK16" s="488" t="s">
        <v>167</v>
      </c>
      <c r="DL16" s="487">
        <v>4081</v>
      </c>
      <c r="DM16" s="487">
        <v>332</v>
      </c>
      <c r="DN16" s="487">
        <v>215</v>
      </c>
      <c r="DO16" s="489">
        <v>4628</v>
      </c>
      <c r="DP16" s="492">
        <v>-248</v>
      </c>
      <c r="DR16" s="488" t="s">
        <v>167</v>
      </c>
      <c r="DS16" s="487">
        <v>3046</v>
      </c>
      <c r="DT16" s="487">
        <v>299</v>
      </c>
      <c r="DU16" s="487">
        <v>245</v>
      </c>
      <c r="DV16" s="489">
        <v>3590</v>
      </c>
      <c r="DW16" s="492">
        <v>3838</v>
      </c>
      <c r="DY16" s="488" t="s">
        <v>167</v>
      </c>
      <c r="DZ16" s="487">
        <f>GETPIVOTDATA("Individus",'Displacement &amp; Returns'!$D$158, "adm2_name","Logone-Et-Chari","adm3_name",$DK16,"Statut déplacé","PDI")</f>
        <v>4433</v>
      </c>
      <c r="EA16" s="487">
        <f>GETPIVOTDATA("Individus",'Displacement &amp; Returns'!$D$158, "adm2_name","Logone-Et-Chari","adm3_name",$DK16,"Statut déplacé","Retournés")</f>
        <v>670</v>
      </c>
      <c r="EB16" s="487">
        <f>GETPIVOTDATA("Individus",'Displacement &amp; Returns'!$D$158, "adm2_name","Logone-Et-Chari","adm3_name",$DK16,"Statut déplacé","Refugié hors camp")</f>
        <v>144</v>
      </c>
      <c r="EC16" s="489">
        <f t="shared" si="15"/>
        <v>5247</v>
      </c>
      <c r="ED16" s="492">
        <f t="shared" si="16"/>
        <v>5495</v>
      </c>
      <c r="EF16" s="488" t="s">
        <v>167</v>
      </c>
      <c r="EG16" s="487">
        <f t="shared" si="17"/>
        <v>352</v>
      </c>
      <c r="EH16" s="487">
        <f t="shared" si="18"/>
        <v>338</v>
      </c>
      <c r="EI16" s="487">
        <f t="shared" si="19"/>
        <v>-71</v>
      </c>
      <c r="EJ16" s="494">
        <f t="shared" si="25"/>
        <v>619</v>
      </c>
      <c r="EK16" s="1191"/>
      <c r="EL16" s="1191"/>
      <c r="EM16" s="1191"/>
    </row>
    <row r="17" spans="2:143" x14ac:dyDescent="0.3">
      <c r="B17" s="488" t="s">
        <v>2797</v>
      </c>
      <c r="C17" s="487">
        <v>3205</v>
      </c>
      <c r="D17" s="487">
        <v>1815</v>
      </c>
      <c r="E17" s="487">
        <v>0</v>
      </c>
      <c r="F17" s="489">
        <v>5020</v>
      </c>
      <c r="G17" s="488" t="s">
        <v>2797</v>
      </c>
      <c r="H17" s="487">
        <v>4136</v>
      </c>
      <c r="I17" s="487">
        <v>2578</v>
      </c>
      <c r="J17" s="487">
        <v>0</v>
      </c>
      <c r="K17" s="489">
        <v>6714</v>
      </c>
      <c r="L17" s="487">
        <f t="shared" si="10"/>
        <v>1694</v>
      </c>
      <c r="M17" s="488" t="s">
        <v>2797</v>
      </c>
      <c r="N17" s="487">
        <v>3948</v>
      </c>
      <c r="O17" s="487">
        <v>2780</v>
      </c>
      <c r="P17" s="487">
        <v>0</v>
      </c>
      <c r="Q17" s="489">
        <v>6728</v>
      </c>
      <c r="R17" s="487">
        <v>14</v>
      </c>
      <c r="S17" s="488" t="s">
        <v>2797</v>
      </c>
      <c r="T17" s="487">
        <v>3279</v>
      </c>
      <c r="U17" s="487">
        <v>3093</v>
      </c>
      <c r="V17" s="487">
        <v>0</v>
      </c>
      <c r="W17" s="489">
        <v>6372</v>
      </c>
      <c r="X17" s="487">
        <f t="shared" si="20"/>
        <v>-356</v>
      </c>
      <c r="Y17" s="488" t="s">
        <v>2797</v>
      </c>
      <c r="Z17" s="487">
        <v>5336</v>
      </c>
      <c r="AA17" s="487">
        <v>512</v>
      </c>
      <c r="AB17" s="487">
        <v>0</v>
      </c>
      <c r="AC17" s="489">
        <v>5848</v>
      </c>
      <c r="AD17" s="487">
        <f t="shared" si="21"/>
        <v>-524</v>
      </c>
      <c r="AE17" s="490" t="s">
        <v>2797</v>
      </c>
      <c r="AF17" s="487">
        <v>5332</v>
      </c>
      <c r="AG17" s="487">
        <v>880</v>
      </c>
      <c r="AH17" s="487">
        <v>0</v>
      </c>
      <c r="AI17" s="489">
        <v>6212</v>
      </c>
      <c r="AJ17" s="491">
        <f t="shared" si="13"/>
        <v>0</v>
      </c>
      <c r="AK17" s="490" t="s">
        <v>2797</v>
      </c>
      <c r="AL17" s="487">
        <v>5113</v>
      </c>
      <c r="AM17" s="487">
        <v>880</v>
      </c>
      <c r="AN17" s="487">
        <v>0</v>
      </c>
      <c r="AO17" s="489">
        <v>5993</v>
      </c>
      <c r="AP17" s="489">
        <f t="shared" si="14"/>
        <v>-219</v>
      </c>
      <c r="AQ17" s="487" t="s">
        <v>2797</v>
      </c>
      <c r="AR17" s="487">
        <v>4836</v>
      </c>
      <c r="AS17" s="487">
        <v>1467</v>
      </c>
      <c r="AT17" s="487">
        <v>0</v>
      </c>
      <c r="AU17" s="489">
        <v>6303</v>
      </c>
      <c r="AV17" s="487">
        <f t="shared" si="22"/>
        <v>310</v>
      </c>
      <c r="AW17" s="490" t="s">
        <v>2797</v>
      </c>
      <c r="AX17" s="487">
        <v>4866</v>
      </c>
      <c r="AY17" s="487">
        <v>1532</v>
      </c>
      <c r="AZ17" s="487">
        <v>0</v>
      </c>
      <c r="BA17" s="489">
        <v>6398</v>
      </c>
      <c r="BB17" s="491">
        <f t="shared" si="23"/>
        <v>95</v>
      </c>
      <c r="BC17" s="490" t="s">
        <v>2797</v>
      </c>
      <c r="BD17" s="487">
        <v>4047</v>
      </c>
      <c r="BE17" s="487">
        <v>2314</v>
      </c>
      <c r="BF17" s="487">
        <v>0</v>
      </c>
      <c r="BG17" s="489">
        <v>6361</v>
      </c>
      <c r="BH17" s="489">
        <f t="shared" si="24"/>
        <v>-37</v>
      </c>
      <c r="BI17" s="1166" t="s">
        <v>2797</v>
      </c>
      <c r="BJ17" s="487">
        <v>4078</v>
      </c>
      <c r="BK17" s="487">
        <v>2314</v>
      </c>
      <c r="BL17" s="487">
        <v>140</v>
      </c>
      <c r="BM17" s="489">
        <v>6532</v>
      </c>
      <c r="BN17" s="489">
        <v>171</v>
      </c>
      <c r="BO17" s="1166" t="s">
        <v>2797</v>
      </c>
      <c r="BP17" s="487">
        <v>4030</v>
      </c>
      <c r="BQ17" s="487">
        <v>2353</v>
      </c>
      <c r="BR17" s="487">
        <v>140</v>
      </c>
      <c r="BS17" s="489">
        <v>6523</v>
      </c>
      <c r="BT17" s="489">
        <v>-9</v>
      </c>
      <c r="BU17" s="1166" t="s">
        <v>2797</v>
      </c>
      <c r="BV17" s="487">
        <v>4105</v>
      </c>
      <c r="BW17" s="487">
        <v>2353</v>
      </c>
      <c r="BX17" s="487">
        <v>196</v>
      </c>
      <c r="BY17" s="489">
        <v>6654</v>
      </c>
      <c r="BZ17" s="492">
        <v>131</v>
      </c>
      <c r="CA17" s="1166" t="s">
        <v>2797</v>
      </c>
      <c r="CB17" s="487">
        <v>3892</v>
      </c>
      <c r="CC17" s="487">
        <v>2563</v>
      </c>
      <c r="CD17" s="487">
        <v>353</v>
      </c>
      <c r="CE17" s="489">
        <v>6808</v>
      </c>
      <c r="CF17" s="492">
        <v>154</v>
      </c>
      <c r="CG17" s="1166" t="s">
        <v>2797</v>
      </c>
      <c r="CH17" s="487">
        <v>3745</v>
      </c>
      <c r="CI17" s="487">
        <v>2642</v>
      </c>
      <c r="CJ17" s="487">
        <v>353</v>
      </c>
      <c r="CK17" s="489">
        <v>6740</v>
      </c>
      <c r="CL17" s="491">
        <v>-68</v>
      </c>
      <c r="CM17" s="487" t="s">
        <v>168</v>
      </c>
      <c r="CN17" s="487">
        <v>3595</v>
      </c>
      <c r="CO17" s="487">
        <v>3243</v>
      </c>
      <c r="CP17" s="487">
        <v>358</v>
      </c>
      <c r="CQ17" s="489">
        <v>7196</v>
      </c>
      <c r="CR17" s="491">
        <v>456</v>
      </c>
      <c r="CS17" s="1165" t="s">
        <v>2797</v>
      </c>
      <c r="CT17" s="487">
        <v>4094</v>
      </c>
      <c r="CU17" s="487">
        <v>3386</v>
      </c>
      <c r="CV17" s="487">
        <v>549</v>
      </c>
      <c r="CW17" s="489">
        <v>8029</v>
      </c>
      <c r="CX17" s="492">
        <v>833</v>
      </c>
      <c r="CY17" s="1165" t="s">
        <v>2797</v>
      </c>
      <c r="CZ17" s="487">
        <v>3801</v>
      </c>
      <c r="DA17" s="487">
        <v>2126</v>
      </c>
      <c r="DB17" s="487">
        <v>561</v>
      </c>
      <c r="DC17" s="489">
        <v>6488</v>
      </c>
      <c r="DD17" s="492">
        <v>-1541</v>
      </c>
      <c r="DE17" s="1165" t="s">
        <v>2797</v>
      </c>
      <c r="DF17" s="487">
        <v>3530</v>
      </c>
      <c r="DG17" s="487">
        <v>1996</v>
      </c>
      <c r="DH17" s="487">
        <v>730</v>
      </c>
      <c r="DI17" s="489">
        <v>6256</v>
      </c>
      <c r="DJ17" s="492">
        <v>-232</v>
      </c>
      <c r="DK17" s="1165" t="s">
        <v>2797</v>
      </c>
      <c r="DL17" s="487">
        <v>5481</v>
      </c>
      <c r="DM17" s="487">
        <v>1985</v>
      </c>
      <c r="DN17" s="487">
        <v>933</v>
      </c>
      <c r="DO17" s="489">
        <v>8399</v>
      </c>
      <c r="DP17" s="492">
        <v>2143</v>
      </c>
      <c r="DR17" s="1165" t="s">
        <v>2797</v>
      </c>
      <c r="DS17" s="487">
        <v>6180</v>
      </c>
      <c r="DT17" s="487">
        <v>2143</v>
      </c>
      <c r="DU17" s="487">
        <v>1236</v>
      </c>
      <c r="DV17" s="489">
        <v>9559</v>
      </c>
      <c r="DW17" s="492">
        <v>7416</v>
      </c>
      <c r="DY17" s="1165" t="s">
        <v>2797</v>
      </c>
      <c r="DZ17" s="487">
        <f>GETPIVOTDATA("Individus",'Displacement &amp; Returns'!$D$158, "adm2_name","Logone-Et-Chari","adm3_name",$DK17,"Statut déplacé","PDI")</f>
        <v>23259</v>
      </c>
      <c r="EA17" s="487">
        <f>GETPIVOTDATA("Individus",'Displacement &amp; Returns'!$D$158, "adm2_name","Logone-Et-Chari","adm3_name",$DK17,"Statut déplacé","Retournés")</f>
        <v>2080</v>
      </c>
      <c r="EB17" s="487">
        <f>GETPIVOTDATA("Individus",'Displacement &amp; Returns'!$D$158, "adm2_name","Logone-Et-Chari","adm3_name",$DK17,"Statut déplacé","Refugié hors camp")</f>
        <v>1236</v>
      </c>
      <c r="EC17" s="489">
        <f t="shared" si="15"/>
        <v>26575</v>
      </c>
      <c r="ED17" s="492">
        <f t="shared" si="16"/>
        <v>24432</v>
      </c>
      <c r="EF17" s="1125" t="s">
        <v>2797</v>
      </c>
      <c r="EG17" s="487">
        <f t="shared" si="17"/>
        <v>17778</v>
      </c>
      <c r="EH17" s="487">
        <f t="shared" si="18"/>
        <v>95</v>
      </c>
      <c r="EI17" s="487">
        <f t="shared" si="19"/>
        <v>303</v>
      </c>
      <c r="EJ17" s="494">
        <f t="shared" si="25"/>
        <v>18176</v>
      </c>
      <c r="EK17" s="1191"/>
      <c r="EL17" s="1191"/>
      <c r="EM17" s="1191"/>
    </row>
    <row r="18" spans="2:143" x14ac:dyDescent="0.3">
      <c r="B18" s="488" t="s">
        <v>505</v>
      </c>
      <c r="C18" s="487">
        <v>18078</v>
      </c>
      <c r="D18" s="487">
        <v>0</v>
      </c>
      <c r="E18" s="487">
        <v>32</v>
      </c>
      <c r="F18" s="489">
        <v>18110</v>
      </c>
      <c r="G18" s="488" t="s">
        <v>505</v>
      </c>
      <c r="H18" s="487">
        <v>18837</v>
      </c>
      <c r="I18" s="487">
        <v>6</v>
      </c>
      <c r="J18" s="487">
        <v>32</v>
      </c>
      <c r="K18" s="489">
        <v>18875</v>
      </c>
      <c r="L18" s="487">
        <f t="shared" si="10"/>
        <v>765</v>
      </c>
      <c r="M18" s="488" t="s">
        <v>505</v>
      </c>
      <c r="N18" s="487">
        <v>19634</v>
      </c>
      <c r="O18" s="487">
        <v>6</v>
      </c>
      <c r="P18" s="487">
        <v>32</v>
      </c>
      <c r="Q18" s="489">
        <v>19672</v>
      </c>
      <c r="R18" s="487">
        <v>797</v>
      </c>
      <c r="S18" s="488" t="s">
        <v>505</v>
      </c>
      <c r="T18" s="487">
        <v>19610</v>
      </c>
      <c r="U18" s="487">
        <v>6</v>
      </c>
      <c r="V18" s="487">
        <v>41</v>
      </c>
      <c r="W18" s="489">
        <v>19657</v>
      </c>
      <c r="X18" s="487">
        <f t="shared" si="20"/>
        <v>-15</v>
      </c>
      <c r="Y18" s="488" t="s">
        <v>505</v>
      </c>
      <c r="Z18" s="487">
        <v>19792</v>
      </c>
      <c r="AA18" s="487">
        <v>6</v>
      </c>
      <c r="AB18" s="487">
        <v>59</v>
      </c>
      <c r="AC18" s="489">
        <v>19857</v>
      </c>
      <c r="AD18" s="487">
        <f t="shared" si="21"/>
        <v>200</v>
      </c>
      <c r="AE18" s="490" t="s">
        <v>505</v>
      </c>
      <c r="AF18" s="487">
        <v>20090</v>
      </c>
      <c r="AG18" s="487">
        <v>6</v>
      </c>
      <c r="AH18" s="487">
        <v>30</v>
      </c>
      <c r="AI18" s="489">
        <v>20126</v>
      </c>
      <c r="AJ18" s="491">
        <f t="shared" si="13"/>
        <v>27</v>
      </c>
      <c r="AK18" s="490" t="s">
        <v>505</v>
      </c>
      <c r="AL18" s="487">
        <v>20129</v>
      </c>
      <c r="AM18" s="487">
        <v>13</v>
      </c>
      <c r="AN18" s="487">
        <v>31</v>
      </c>
      <c r="AO18" s="489">
        <v>20173</v>
      </c>
      <c r="AP18" s="489">
        <f t="shared" si="14"/>
        <v>47</v>
      </c>
      <c r="AQ18" s="487" t="s">
        <v>505</v>
      </c>
      <c r="AR18" s="487">
        <v>19975</v>
      </c>
      <c r="AS18" s="487">
        <v>13</v>
      </c>
      <c r="AT18" s="487">
        <v>31</v>
      </c>
      <c r="AU18" s="489">
        <v>20019</v>
      </c>
      <c r="AV18" s="487">
        <f t="shared" si="22"/>
        <v>-154</v>
      </c>
      <c r="AW18" s="490" t="s">
        <v>505</v>
      </c>
      <c r="AX18" s="487">
        <v>18939</v>
      </c>
      <c r="AY18" s="487">
        <v>19</v>
      </c>
      <c r="AZ18" s="487">
        <v>31</v>
      </c>
      <c r="BA18" s="489">
        <v>18989</v>
      </c>
      <c r="BB18" s="491">
        <f t="shared" si="23"/>
        <v>-1030</v>
      </c>
      <c r="BC18" s="490" t="s">
        <v>505</v>
      </c>
      <c r="BD18" s="487">
        <v>20009</v>
      </c>
      <c r="BE18" s="487">
        <v>19</v>
      </c>
      <c r="BF18" s="487">
        <v>31</v>
      </c>
      <c r="BG18" s="489">
        <v>20059</v>
      </c>
      <c r="BH18" s="489">
        <f t="shared" si="24"/>
        <v>1070</v>
      </c>
      <c r="BI18" s="487" t="s">
        <v>505</v>
      </c>
      <c r="BJ18" s="487">
        <v>19884</v>
      </c>
      <c r="BK18" s="487">
        <v>19</v>
      </c>
      <c r="BL18" s="487">
        <v>31</v>
      </c>
      <c r="BM18" s="489">
        <v>19934</v>
      </c>
      <c r="BN18" s="489">
        <v>-125</v>
      </c>
      <c r="BO18" s="487" t="s">
        <v>505</v>
      </c>
      <c r="BP18" s="487">
        <v>19756</v>
      </c>
      <c r="BQ18" s="487">
        <v>0</v>
      </c>
      <c r="BR18" s="487">
        <v>31</v>
      </c>
      <c r="BS18" s="489">
        <v>19787</v>
      </c>
      <c r="BT18" s="489">
        <v>-147</v>
      </c>
      <c r="BU18" s="487" t="s">
        <v>505</v>
      </c>
      <c r="BV18" s="487">
        <v>19753</v>
      </c>
      <c r="BW18" s="487">
        <v>0</v>
      </c>
      <c r="BX18" s="487">
        <v>124</v>
      </c>
      <c r="BY18" s="489">
        <v>19877</v>
      </c>
      <c r="BZ18" s="492">
        <v>90</v>
      </c>
      <c r="CA18" s="487" t="s">
        <v>505</v>
      </c>
      <c r="CB18" s="487">
        <v>19782</v>
      </c>
      <c r="CC18" s="487">
        <v>0</v>
      </c>
      <c r="CD18" s="487">
        <v>124</v>
      </c>
      <c r="CE18" s="489">
        <v>19906</v>
      </c>
      <c r="CF18" s="492">
        <v>29</v>
      </c>
      <c r="CG18" s="487" t="s">
        <v>505</v>
      </c>
      <c r="CH18" s="487">
        <v>19828</v>
      </c>
      <c r="CI18" s="487">
        <v>0</v>
      </c>
      <c r="CJ18" s="487">
        <v>31</v>
      </c>
      <c r="CK18" s="489">
        <v>19859</v>
      </c>
      <c r="CL18" s="491">
        <v>-47</v>
      </c>
      <c r="CM18" s="487" t="s">
        <v>505</v>
      </c>
      <c r="CN18" s="487">
        <v>19700</v>
      </c>
      <c r="CO18" s="487">
        <v>0</v>
      </c>
      <c r="CP18" s="487">
        <v>31</v>
      </c>
      <c r="CQ18" s="489">
        <v>19731</v>
      </c>
      <c r="CR18" s="491">
        <v>-128</v>
      </c>
      <c r="CS18" s="488" t="s">
        <v>505</v>
      </c>
      <c r="CT18" s="487">
        <v>20403</v>
      </c>
      <c r="CU18" s="487">
        <v>0</v>
      </c>
      <c r="CV18" s="487">
        <v>12</v>
      </c>
      <c r="CW18" s="489">
        <v>20415</v>
      </c>
      <c r="CX18" s="492">
        <v>684</v>
      </c>
      <c r="CY18" s="488" t="s">
        <v>505</v>
      </c>
      <c r="CZ18" s="487">
        <v>20254</v>
      </c>
      <c r="DA18" s="487">
        <v>0</v>
      </c>
      <c r="DB18" s="487">
        <v>11</v>
      </c>
      <c r="DC18" s="489">
        <v>20265</v>
      </c>
      <c r="DD18" s="492">
        <v>-150</v>
      </c>
      <c r="DE18" s="488" t="s">
        <v>170</v>
      </c>
      <c r="DF18" s="487">
        <v>20089</v>
      </c>
      <c r="DG18" s="487">
        <v>0</v>
      </c>
      <c r="DH18" s="487">
        <v>7</v>
      </c>
      <c r="DI18" s="489">
        <v>20096</v>
      </c>
      <c r="DJ18" s="492">
        <v>-169</v>
      </c>
      <c r="DK18" s="488" t="s">
        <v>170</v>
      </c>
      <c r="DL18" s="487">
        <v>23614</v>
      </c>
      <c r="DM18" s="487">
        <v>6212</v>
      </c>
      <c r="DN18" s="487">
        <v>210</v>
      </c>
      <c r="DO18" s="489">
        <v>30036</v>
      </c>
      <c r="DP18" s="492">
        <v>9940</v>
      </c>
      <c r="DR18" s="488" t="s">
        <v>170</v>
      </c>
      <c r="DS18" s="487">
        <v>13068</v>
      </c>
      <c r="DT18" s="487">
        <v>2435</v>
      </c>
      <c r="DU18" s="487">
        <v>3</v>
      </c>
      <c r="DV18" s="489">
        <v>15506</v>
      </c>
      <c r="DW18" s="492">
        <v>5566</v>
      </c>
      <c r="DY18" s="488" t="s">
        <v>170</v>
      </c>
      <c r="DZ18" s="487">
        <f>GETPIVOTDATA("Individus",'Displacement &amp; Returns'!$D$158, "adm2_name","Logone-Et-Chari","adm3_name",$DK18,"Statut déplacé","PDI")</f>
        <v>13273</v>
      </c>
      <c r="EA18" s="487">
        <f>GETPIVOTDATA("Individus",'Displacement &amp; Returns'!$D$158, "adm2_name","Logone-Et-Chari","adm3_name",$DK18,"Statut déplacé","Retournés")</f>
        <v>3021</v>
      </c>
      <c r="EB18" s="487">
        <f>GETPIVOTDATA("Individus",'Displacement &amp; Returns'!$D$158, "adm2_name","Logone-Et-Chari","adm3_name",$DK18,"Statut déplacé","Refugié hors camp")</f>
        <v>1318</v>
      </c>
      <c r="EC18" s="489">
        <f t="shared" si="15"/>
        <v>17612</v>
      </c>
      <c r="ED18" s="492">
        <f t="shared" si="16"/>
        <v>7672</v>
      </c>
      <c r="EF18" s="488" t="s">
        <v>505</v>
      </c>
      <c r="EG18" s="487">
        <f t="shared" si="17"/>
        <v>-10341</v>
      </c>
      <c r="EH18" s="487">
        <f t="shared" si="18"/>
        <v>-3191</v>
      </c>
      <c r="EI18" s="487">
        <f t="shared" si="19"/>
        <v>1108</v>
      </c>
      <c r="EJ18" s="494">
        <f t="shared" si="25"/>
        <v>-12424</v>
      </c>
      <c r="EK18" s="1191"/>
      <c r="EL18" s="1191"/>
      <c r="EM18" s="1191"/>
    </row>
    <row r="19" spans="2:143" x14ac:dyDescent="0.3">
      <c r="B19" s="488" t="s">
        <v>169</v>
      </c>
      <c r="C19" s="487">
        <v>6381</v>
      </c>
      <c r="D19" s="487">
        <v>70</v>
      </c>
      <c r="E19" s="487">
        <v>0</v>
      </c>
      <c r="F19" s="489">
        <v>6451</v>
      </c>
      <c r="G19" s="488" t="s">
        <v>169</v>
      </c>
      <c r="H19" s="487">
        <v>6381</v>
      </c>
      <c r="I19" s="487">
        <v>70</v>
      </c>
      <c r="J19" s="487">
        <v>0</v>
      </c>
      <c r="K19" s="489">
        <v>6451</v>
      </c>
      <c r="L19" s="487">
        <f t="shared" si="10"/>
        <v>0</v>
      </c>
      <c r="M19" s="488" t="s">
        <v>169</v>
      </c>
      <c r="N19" s="487">
        <v>9900</v>
      </c>
      <c r="O19" s="487">
        <v>70</v>
      </c>
      <c r="P19" s="487">
        <v>1433</v>
      </c>
      <c r="Q19" s="489">
        <v>11403</v>
      </c>
      <c r="R19" s="487">
        <v>4952</v>
      </c>
      <c r="S19" s="488" t="s">
        <v>169</v>
      </c>
      <c r="T19" s="487">
        <v>12077</v>
      </c>
      <c r="U19" s="487">
        <v>40</v>
      </c>
      <c r="V19" s="487">
        <v>1724</v>
      </c>
      <c r="W19" s="489">
        <v>13841</v>
      </c>
      <c r="X19" s="487">
        <f t="shared" si="20"/>
        <v>2438</v>
      </c>
      <c r="Y19" s="488" t="s">
        <v>169</v>
      </c>
      <c r="Z19" s="487">
        <v>12190</v>
      </c>
      <c r="AA19" s="487">
        <v>70</v>
      </c>
      <c r="AB19" s="487">
        <v>1720</v>
      </c>
      <c r="AC19" s="489">
        <v>13980</v>
      </c>
      <c r="AD19" s="487">
        <f t="shared" si="21"/>
        <v>139</v>
      </c>
      <c r="AE19" s="490" t="s">
        <v>169</v>
      </c>
      <c r="AF19" s="487">
        <v>12295</v>
      </c>
      <c r="AG19" s="487">
        <v>70</v>
      </c>
      <c r="AH19" s="487">
        <v>1900</v>
      </c>
      <c r="AI19" s="489">
        <v>14265</v>
      </c>
      <c r="AJ19" s="491">
        <f t="shared" si="13"/>
        <v>287</v>
      </c>
      <c r="AK19" s="490" t="s">
        <v>169</v>
      </c>
      <c r="AL19" s="487">
        <v>12275</v>
      </c>
      <c r="AM19" s="487">
        <v>70</v>
      </c>
      <c r="AN19" s="487">
        <v>1900</v>
      </c>
      <c r="AO19" s="489">
        <v>14245</v>
      </c>
      <c r="AP19" s="489">
        <f t="shared" si="14"/>
        <v>-20</v>
      </c>
      <c r="AQ19" s="487" t="s">
        <v>169</v>
      </c>
      <c r="AR19" s="487">
        <v>12345</v>
      </c>
      <c r="AS19" s="487">
        <v>70</v>
      </c>
      <c r="AT19" s="487">
        <v>1830</v>
      </c>
      <c r="AU19" s="489">
        <v>14245</v>
      </c>
      <c r="AV19" s="487">
        <f t="shared" si="22"/>
        <v>0</v>
      </c>
      <c r="AW19" s="490" t="s">
        <v>169</v>
      </c>
      <c r="AX19" s="487">
        <v>12345</v>
      </c>
      <c r="AY19" s="487">
        <v>70</v>
      </c>
      <c r="AZ19" s="487">
        <v>1830</v>
      </c>
      <c r="BA19" s="489">
        <v>14245</v>
      </c>
      <c r="BB19" s="491">
        <f t="shared" si="23"/>
        <v>0</v>
      </c>
      <c r="BC19" s="490" t="s">
        <v>169</v>
      </c>
      <c r="BD19" s="487">
        <v>12398</v>
      </c>
      <c r="BE19" s="487">
        <v>70</v>
      </c>
      <c r="BF19" s="487">
        <v>1885</v>
      </c>
      <c r="BG19" s="489">
        <v>14353</v>
      </c>
      <c r="BH19" s="489">
        <f t="shared" si="24"/>
        <v>108</v>
      </c>
      <c r="BI19" s="487" t="s">
        <v>169</v>
      </c>
      <c r="BJ19" s="487">
        <v>12429</v>
      </c>
      <c r="BK19" s="487">
        <v>119</v>
      </c>
      <c r="BL19" s="487">
        <v>1886</v>
      </c>
      <c r="BM19" s="489">
        <v>14434</v>
      </c>
      <c r="BN19" s="489">
        <v>81</v>
      </c>
      <c r="BO19" s="487" t="s">
        <v>169</v>
      </c>
      <c r="BP19" s="487">
        <v>12436</v>
      </c>
      <c r="BQ19" s="487">
        <v>70</v>
      </c>
      <c r="BR19" s="487">
        <v>1836</v>
      </c>
      <c r="BS19" s="489">
        <v>14342</v>
      </c>
      <c r="BT19" s="489">
        <v>-92</v>
      </c>
      <c r="BU19" s="487" t="s">
        <v>169</v>
      </c>
      <c r="BV19" s="487">
        <v>11473</v>
      </c>
      <c r="BW19" s="487">
        <v>70</v>
      </c>
      <c r="BX19" s="487">
        <v>2984</v>
      </c>
      <c r="BY19" s="489">
        <v>14527</v>
      </c>
      <c r="BZ19" s="492">
        <v>185</v>
      </c>
      <c r="CA19" s="487" t="s">
        <v>169</v>
      </c>
      <c r="CB19" s="487">
        <v>11468</v>
      </c>
      <c r="CC19" s="487">
        <v>70</v>
      </c>
      <c r="CD19" s="487">
        <v>2984</v>
      </c>
      <c r="CE19" s="489">
        <v>14522</v>
      </c>
      <c r="CF19" s="492">
        <v>-5</v>
      </c>
      <c r="CG19" s="487" t="s">
        <v>169</v>
      </c>
      <c r="CH19" s="487">
        <v>11657</v>
      </c>
      <c r="CI19" s="487">
        <v>70</v>
      </c>
      <c r="CJ19" s="487">
        <v>2865</v>
      </c>
      <c r="CK19" s="489">
        <v>14592</v>
      </c>
      <c r="CL19" s="491">
        <v>70</v>
      </c>
      <c r="CM19" s="487" t="s">
        <v>169</v>
      </c>
      <c r="CN19" s="487">
        <v>11663</v>
      </c>
      <c r="CO19" s="487">
        <v>70</v>
      </c>
      <c r="CP19" s="487">
        <v>2865</v>
      </c>
      <c r="CQ19" s="489">
        <v>14598</v>
      </c>
      <c r="CR19" s="491">
        <v>6</v>
      </c>
      <c r="CS19" s="488" t="s">
        <v>169</v>
      </c>
      <c r="CT19" s="487">
        <v>11892</v>
      </c>
      <c r="CU19" s="487">
        <v>70</v>
      </c>
      <c r="CV19" s="487">
        <v>2916</v>
      </c>
      <c r="CW19" s="489">
        <v>14878</v>
      </c>
      <c r="CX19" s="492">
        <v>280</v>
      </c>
      <c r="CY19" s="488" t="s">
        <v>169</v>
      </c>
      <c r="CZ19" s="487">
        <v>11575</v>
      </c>
      <c r="DA19" s="487">
        <v>0</v>
      </c>
      <c r="DB19" s="487">
        <v>2974</v>
      </c>
      <c r="DC19" s="489">
        <v>14549</v>
      </c>
      <c r="DD19" s="492">
        <v>-329</v>
      </c>
      <c r="DE19" s="488" t="s">
        <v>169</v>
      </c>
      <c r="DF19" s="487">
        <v>12318</v>
      </c>
      <c r="DG19" s="487">
        <v>72</v>
      </c>
      <c r="DH19" s="487">
        <v>3178</v>
      </c>
      <c r="DI19" s="489">
        <v>15568</v>
      </c>
      <c r="DJ19" s="492">
        <v>1019</v>
      </c>
      <c r="DK19" s="488" t="s">
        <v>169</v>
      </c>
      <c r="DL19" s="487">
        <v>13099</v>
      </c>
      <c r="DM19" s="487">
        <v>16191</v>
      </c>
      <c r="DN19" s="487">
        <v>2854</v>
      </c>
      <c r="DO19" s="489">
        <v>32144</v>
      </c>
      <c r="DP19" s="492">
        <v>16576</v>
      </c>
      <c r="DR19" s="488" t="s">
        <v>169</v>
      </c>
      <c r="DS19" s="487">
        <v>12908</v>
      </c>
      <c r="DT19" s="487">
        <v>28358</v>
      </c>
      <c r="DU19" s="487">
        <v>2950</v>
      </c>
      <c r="DV19" s="489">
        <v>44216</v>
      </c>
      <c r="DW19" s="492">
        <v>27640</v>
      </c>
      <c r="DY19" s="488" t="s">
        <v>169</v>
      </c>
      <c r="DZ19" s="487">
        <f>GETPIVOTDATA("Individus",'Displacement &amp; Returns'!$D$158, "adm2_name","Logone-Et-Chari","adm3_name",$DK19,"Statut déplacé","PDI")</f>
        <v>14743</v>
      </c>
      <c r="EA19" s="487">
        <f>GETPIVOTDATA("Individus",'Displacement &amp; Returns'!$D$158, "adm2_name","Logone-Et-Chari","adm3_name",$DK19,"Statut déplacé","Retournés")</f>
        <v>29573</v>
      </c>
      <c r="EB19" s="487">
        <f>GETPIVOTDATA("Individus",'Displacement &amp; Returns'!$D$158, "adm2_name","Logone-Et-Chari","adm3_name",$DK19,"Statut déplacé","Refugié hors camp")</f>
        <v>6449</v>
      </c>
      <c r="EC19" s="489">
        <f t="shared" si="15"/>
        <v>50765</v>
      </c>
      <c r="ED19" s="492">
        <f t="shared" si="16"/>
        <v>34189</v>
      </c>
      <c r="EF19" s="488" t="s">
        <v>169</v>
      </c>
      <c r="EG19" s="487">
        <f t="shared" si="17"/>
        <v>1644</v>
      </c>
      <c r="EH19" s="487">
        <f t="shared" si="18"/>
        <v>13382</v>
      </c>
      <c r="EI19" s="487">
        <f t="shared" si="19"/>
        <v>3595</v>
      </c>
      <c r="EJ19" s="494">
        <f t="shared" si="25"/>
        <v>18621</v>
      </c>
      <c r="EK19" s="1191"/>
      <c r="EL19" s="1191"/>
      <c r="EM19" s="1191"/>
    </row>
    <row r="20" spans="2:143" x14ac:dyDescent="0.3">
      <c r="B20" s="488" t="s">
        <v>171</v>
      </c>
      <c r="C20" s="487">
        <v>34533</v>
      </c>
      <c r="D20" s="487">
        <v>7454</v>
      </c>
      <c r="E20" s="487">
        <v>3602</v>
      </c>
      <c r="F20" s="489">
        <v>45589</v>
      </c>
      <c r="G20" s="488" t="s">
        <v>171</v>
      </c>
      <c r="H20" s="487">
        <v>35979</v>
      </c>
      <c r="I20" s="487">
        <v>7161</v>
      </c>
      <c r="J20" s="487">
        <v>8972</v>
      </c>
      <c r="K20" s="489">
        <v>52112</v>
      </c>
      <c r="L20" s="487">
        <f t="shared" si="10"/>
        <v>6523</v>
      </c>
      <c r="M20" s="488" t="s">
        <v>171</v>
      </c>
      <c r="N20" s="487">
        <v>39715</v>
      </c>
      <c r="O20" s="487">
        <v>7192</v>
      </c>
      <c r="P20" s="487">
        <v>13728</v>
      </c>
      <c r="Q20" s="489">
        <v>60635</v>
      </c>
      <c r="R20" s="487">
        <v>8523</v>
      </c>
      <c r="S20" s="488" t="s">
        <v>171</v>
      </c>
      <c r="T20" s="487">
        <v>42873</v>
      </c>
      <c r="U20" s="487">
        <v>7396</v>
      </c>
      <c r="V20" s="487">
        <v>15477</v>
      </c>
      <c r="W20" s="489">
        <v>65746</v>
      </c>
      <c r="X20" s="487">
        <f t="shared" si="20"/>
        <v>5111</v>
      </c>
      <c r="Y20" s="488" t="s">
        <v>171</v>
      </c>
      <c r="Z20" s="487">
        <v>48337</v>
      </c>
      <c r="AA20" s="487">
        <v>7649</v>
      </c>
      <c r="AB20" s="487">
        <v>14560</v>
      </c>
      <c r="AC20" s="489">
        <v>70546</v>
      </c>
      <c r="AD20" s="487">
        <f t="shared" si="21"/>
        <v>4800</v>
      </c>
      <c r="AE20" s="490" t="s">
        <v>171</v>
      </c>
      <c r="AF20" s="487">
        <v>51098</v>
      </c>
      <c r="AG20" s="487">
        <v>8158</v>
      </c>
      <c r="AH20" s="487">
        <v>14039</v>
      </c>
      <c r="AI20" s="489">
        <v>73295</v>
      </c>
      <c r="AJ20" s="491">
        <f t="shared" si="13"/>
        <v>832</v>
      </c>
      <c r="AK20" s="490" t="s">
        <v>171</v>
      </c>
      <c r="AL20" s="487">
        <v>51233</v>
      </c>
      <c r="AM20" s="487">
        <v>8110</v>
      </c>
      <c r="AN20" s="487">
        <v>13770</v>
      </c>
      <c r="AO20" s="489">
        <v>73113</v>
      </c>
      <c r="AP20" s="489">
        <f t="shared" si="14"/>
        <v>-182</v>
      </c>
      <c r="AQ20" s="487" t="s">
        <v>171</v>
      </c>
      <c r="AR20" s="487">
        <v>50477</v>
      </c>
      <c r="AS20" s="487">
        <v>8996</v>
      </c>
      <c r="AT20" s="487">
        <v>13645</v>
      </c>
      <c r="AU20" s="489">
        <v>73118</v>
      </c>
      <c r="AV20" s="487">
        <f t="shared" si="22"/>
        <v>5</v>
      </c>
      <c r="AW20" s="490" t="s">
        <v>171</v>
      </c>
      <c r="AX20" s="487">
        <v>50591</v>
      </c>
      <c r="AY20" s="487">
        <v>9023</v>
      </c>
      <c r="AZ20" s="487">
        <v>13547</v>
      </c>
      <c r="BA20" s="489">
        <v>73161</v>
      </c>
      <c r="BB20" s="491">
        <f t="shared" si="23"/>
        <v>43</v>
      </c>
      <c r="BC20" s="490" t="s">
        <v>171</v>
      </c>
      <c r="BD20" s="487">
        <v>49341</v>
      </c>
      <c r="BE20" s="487">
        <v>9288</v>
      </c>
      <c r="BF20" s="487">
        <v>13658</v>
      </c>
      <c r="BG20" s="489">
        <v>72287</v>
      </c>
      <c r="BH20" s="489">
        <f t="shared" si="24"/>
        <v>-874</v>
      </c>
      <c r="BI20" s="487" t="s">
        <v>171</v>
      </c>
      <c r="BJ20" s="487">
        <v>49279</v>
      </c>
      <c r="BK20" s="487">
        <v>10159</v>
      </c>
      <c r="BL20" s="487">
        <v>14162</v>
      </c>
      <c r="BM20" s="489">
        <v>73600</v>
      </c>
      <c r="BN20" s="489">
        <v>1313</v>
      </c>
      <c r="BO20" s="487" t="s">
        <v>171</v>
      </c>
      <c r="BP20" s="487">
        <v>48642</v>
      </c>
      <c r="BQ20" s="487">
        <v>11469</v>
      </c>
      <c r="BR20" s="487">
        <v>13929</v>
      </c>
      <c r="BS20" s="489">
        <v>74040</v>
      </c>
      <c r="BT20" s="489">
        <v>440</v>
      </c>
      <c r="BU20" s="487" t="s">
        <v>171</v>
      </c>
      <c r="BV20" s="487">
        <v>48705</v>
      </c>
      <c r="BW20" s="487">
        <v>11733</v>
      </c>
      <c r="BX20" s="487">
        <v>50511</v>
      </c>
      <c r="BY20" s="489">
        <v>110949</v>
      </c>
      <c r="BZ20" s="492">
        <v>36909</v>
      </c>
      <c r="CA20" s="487" t="s">
        <v>171</v>
      </c>
      <c r="CB20" s="487">
        <v>52270</v>
      </c>
      <c r="CC20" s="487">
        <v>11904</v>
      </c>
      <c r="CD20" s="487">
        <v>21989</v>
      </c>
      <c r="CE20" s="489">
        <v>86163</v>
      </c>
      <c r="CF20" s="492">
        <v>-24786</v>
      </c>
      <c r="CG20" s="487" t="s">
        <v>171</v>
      </c>
      <c r="CH20" s="487">
        <v>51617</v>
      </c>
      <c r="CI20" s="487">
        <v>12276</v>
      </c>
      <c r="CJ20" s="487">
        <v>18738</v>
      </c>
      <c r="CK20" s="489">
        <v>82631</v>
      </c>
      <c r="CL20" s="491">
        <v>-3532</v>
      </c>
      <c r="CM20" s="487" t="s">
        <v>171</v>
      </c>
      <c r="CN20" s="487">
        <v>51679</v>
      </c>
      <c r="CO20" s="487">
        <v>12630</v>
      </c>
      <c r="CP20" s="487">
        <v>19062</v>
      </c>
      <c r="CQ20" s="489">
        <v>83371</v>
      </c>
      <c r="CR20" s="491">
        <v>740</v>
      </c>
      <c r="CS20" s="488" t="s">
        <v>171</v>
      </c>
      <c r="CT20" s="487">
        <v>52549</v>
      </c>
      <c r="CU20" s="487">
        <v>13017</v>
      </c>
      <c r="CV20" s="487">
        <v>19516</v>
      </c>
      <c r="CW20" s="489">
        <v>85082</v>
      </c>
      <c r="CX20" s="492">
        <v>1711</v>
      </c>
      <c r="CY20" s="488" t="s">
        <v>171</v>
      </c>
      <c r="CZ20" s="487">
        <v>55511</v>
      </c>
      <c r="DA20" s="487">
        <v>13423</v>
      </c>
      <c r="DB20" s="487">
        <v>19733</v>
      </c>
      <c r="DC20" s="489">
        <v>88667</v>
      </c>
      <c r="DD20" s="492">
        <v>3585</v>
      </c>
      <c r="DE20" s="488" t="s">
        <v>171</v>
      </c>
      <c r="DF20" s="487">
        <v>57700</v>
      </c>
      <c r="DG20" s="487">
        <v>13542</v>
      </c>
      <c r="DH20" s="487">
        <v>20730</v>
      </c>
      <c r="DI20" s="489">
        <v>91972</v>
      </c>
      <c r="DJ20" s="492">
        <v>3305</v>
      </c>
      <c r="DK20" s="488" t="s">
        <v>171</v>
      </c>
      <c r="DL20" s="487">
        <v>55705</v>
      </c>
      <c r="DM20" s="487">
        <v>12481</v>
      </c>
      <c r="DN20" s="487">
        <v>18791</v>
      </c>
      <c r="DO20" s="489">
        <v>86977</v>
      </c>
      <c r="DP20" s="492">
        <v>-4995</v>
      </c>
      <c r="DR20" s="488" t="s">
        <v>171</v>
      </c>
      <c r="DS20" s="487">
        <v>53888</v>
      </c>
      <c r="DT20" s="487">
        <v>12601</v>
      </c>
      <c r="DU20" s="487">
        <v>18724</v>
      </c>
      <c r="DV20" s="489">
        <v>85213</v>
      </c>
      <c r="DW20" s="492">
        <v>90208</v>
      </c>
      <c r="DY20" s="488" t="s">
        <v>171</v>
      </c>
      <c r="DZ20" s="487">
        <f>GETPIVOTDATA("Individus",'Displacement &amp; Returns'!$D$158, "adm2_name","Logone-Et-Chari","adm3_name",$DK20,"Statut déplacé","PDI")</f>
        <v>62608</v>
      </c>
      <c r="EA20" s="487">
        <f>GETPIVOTDATA("Individus",'Displacement &amp; Returns'!$D$158, "adm2_name","Logone-Et-Chari","adm3_name",$DK20,"Statut déplacé","Retournés")</f>
        <v>9273</v>
      </c>
      <c r="EB20" s="487">
        <f>GETPIVOTDATA("Individus",'Displacement &amp; Returns'!$D$158, "adm2_name","Logone-Et-Chari","adm3_name",$DK20,"Statut déplacé","Refugié hors camp")</f>
        <v>13969</v>
      </c>
      <c r="EC20" s="489">
        <f t="shared" si="15"/>
        <v>85850</v>
      </c>
      <c r="ED20" s="492">
        <f t="shared" si="16"/>
        <v>90845</v>
      </c>
      <c r="EF20" s="488" t="s">
        <v>171</v>
      </c>
      <c r="EG20" s="487">
        <f t="shared" si="17"/>
        <v>6903</v>
      </c>
      <c r="EH20" s="487">
        <f t="shared" si="18"/>
        <v>-3208</v>
      </c>
      <c r="EI20" s="487">
        <f t="shared" si="19"/>
        <v>-4822</v>
      </c>
      <c r="EJ20" s="494">
        <f t="shared" si="25"/>
        <v>-1127</v>
      </c>
      <c r="EK20" s="1191"/>
      <c r="EL20" s="1191"/>
      <c r="EM20" s="1191"/>
    </row>
    <row r="21" spans="2:143" x14ac:dyDescent="0.3">
      <c r="B21" s="488" t="s">
        <v>172</v>
      </c>
      <c r="C21" s="487">
        <v>2041</v>
      </c>
      <c r="D21" s="487">
        <v>3215</v>
      </c>
      <c r="E21" s="487">
        <v>3040</v>
      </c>
      <c r="F21" s="489">
        <v>8296</v>
      </c>
      <c r="G21" s="488" t="s">
        <v>172</v>
      </c>
      <c r="H21" s="487">
        <v>2657</v>
      </c>
      <c r="I21" s="487">
        <v>2700</v>
      </c>
      <c r="J21" s="487">
        <v>3430</v>
      </c>
      <c r="K21" s="489">
        <v>8787</v>
      </c>
      <c r="L21" s="487">
        <f t="shared" si="10"/>
        <v>491</v>
      </c>
      <c r="M21" s="488" t="s">
        <v>172</v>
      </c>
      <c r="N21" s="487">
        <v>2726</v>
      </c>
      <c r="O21" s="487">
        <v>2896</v>
      </c>
      <c r="P21" s="487">
        <v>4057</v>
      </c>
      <c r="Q21" s="489">
        <v>9679</v>
      </c>
      <c r="R21" s="487">
        <v>892</v>
      </c>
      <c r="S21" s="488" t="s">
        <v>172</v>
      </c>
      <c r="T21" s="487">
        <v>3667</v>
      </c>
      <c r="U21" s="487">
        <v>2916</v>
      </c>
      <c r="V21" s="487">
        <v>4041</v>
      </c>
      <c r="W21" s="489">
        <v>10624</v>
      </c>
      <c r="X21" s="487">
        <f t="shared" si="20"/>
        <v>945</v>
      </c>
      <c r="Y21" s="488" t="s">
        <v>172</v>
      </c>
      <c r="Z21" s="487">
        <v>3046</v>
      </c>
      <c r="AA21" s="487">
        <v>3334</v>
      </c>
      <c r="AB21" s="487">
        <v>3320</v>
      </c>
      <c r="AC21" s="489">
        <v>9700</v>
      </c>
      <c r="AD21" s="487">
        <f t="shared" si="21"/>
        <v>-924</v>
      </c>
      <c r="AE21" s="490" t="s">
        <v>172</v>
      </c>
      <c r="AF21" s="487">
        <v>3445</v>
      </c>
      <c r="AG21" s="487">
        <v>3442</v>
      </c>
      <c r="AH21" s="487">
        <v>3375</v>
      </c>
      <c r="AI21" s="489">
        <v>10262</v>
      </c>
      <c r="AJ21" s="491">
        <f t="shared" si="13"/>
        <v>-737</v>
      </c>
      <c r="AK21" s="490" t="s">
        <v>172</v>
      </c>
      <c r="AL21" s="487">
        <v>2961</v>
      </c>
      <c r="AM21" s="487">
        <v>3476</v>
      </c>
      <c r="AN21" s="487">
        <v>3385</v>
      </c>
      <c r="AO21" s="489">
        <v>9822</v>
      </c>
      <c r="AP21" s="489">
        <f t="shared" si="14"/>
        <v>-440</v>
      </c>
      <c r="AQ21" s="487" t="s">
        <v>172</v>
      </c>
      <c r="AR21" s="487">
        <v>3708</v>
      </c>
      <c r="AS21" s="487">
        <v>2728</v>
      </c>
      <c r="AT21" s="487">
        <v>3394</v>
      </c>
      <c r="AU21" s="489">
        <v>9830</v>
      </c>
      <c r="AV21" s="487">
        <f t="shared" si="22"/>
        <v>8</v>
      </c>
      <c r="AW21" s="490" t="s">
        <v>172</v>
      </c>
      <c r="AX21" s="487">
        <v>4304</v>
      </c>
      <c r="AY21" s="487">
        <v>2727</v>
      </c>
      <c r="AZ21" s="487">
        <v>3109</v>
      </c>
      <c r="BA21" s="489">
        <v>10140</v>
      </c>
      <c r="BB21" s="491">
        <f t="shared" si="23"/>
        <v>310</v>
      </c>
      <c r="BC21" s="490" t="s">
        <v>172</v>
      </c>
      <c r="BD21" s="487">
        <v>4559</v>
      </c>
      <c r="BE21" s="487">
        <v>2732</v>
      </c>
      <c r="BF21" s="487">
        <v>3288</v>
      </c>
      <c r="BG21" s="489">
        <v>10579</v>
      </c>
      <c r="BH21" s="489">
        <f t="shared" si="24"/>
        <v>439</v>
      </c>
      <c r="BI21" s="487" t="s">
        <v>172</v>
      </c>
      <c r="BJ21" s="487">
        <v>4509</v>
      </c>
      <c r="BK21" s="487">
        <v>2781</v>
      </c>
      <c r="BL21" s="487">
        <v>3355</v>
      </c>
      <c r="BM21" s="489">
        <v>10645</v>
      </c>
      <c r="BN21" s="489">
        <v>66</v>
      </c>
      <c r="BO21" s="487" t="s">
        <v>172</v>
      </c>
      <c r="BP21" s="487">
        <v>4512</v>
      </c>
      <c r="BQ21" s="487">
        <v>3048</v>
      </c>
      <c r="BR21" s="487">
        <v>3461</v>
      </c>
      <c r="BS21" s="489">
        <v>11021</v>
      </c>
      <c r="BT21" s="489">
        <v>376</v>
      </c>
      <c r="BU21" s="487" t="s">
        <v>172</v>
      </c>
      <c r="BV21" s="487">
        <v>4512</v>
      </c>
      <c r="BW21" s="487">
        <v>3048</v>
      </c>
      <c r="BX21" s="487">
        <v>3588</v>
      </c>
      <c r="BY21" s="489">
        <v>11148</v>
      </c>
      <c r="BZ21" s="492">
        <v>127</v>
      </c>
      <c r="CA21" s="487" t="s">
        <v>172</v>
      </c>
      <c r="CB21" s="487">
        <v>4592</v>
      </c>
      <c r="CC21" s="487">
        <v>2968</v>
      </c>
      <c r="CD21" s="487">
        <v>3671</v>
      </c>
      <c r="CE21" s="489">
        <v>11231</v>
      </c>
      <c r="CF21" s="492">
        <v>83</v>
      </c>
      <c r="CG21" s="487" t="s">
        <v>172</v>
      </c>
      <c r="CH21" s="487">
        <v>4635</v>
      </c>
      <c r="CI21" s="487">
        <v>3285</v>
      </c>
      <c r="CJ21" s="487">
        <v>3776</v>
      </c>
      <c r="CK21" s="489">
        <v>11696</v>
      </c>
      <c r="CL21" s="491">
        <v>465</v>
      </c>
      <c r="CM21" s="487" t="s">
        <v>172</v>
      </c>
      <c r="CN21" s="487">
        <v>4798</v>
      </c>
      <c r="CO21" s="487">
        <v>3368</v>
      </c>
      <c r="CP21" s="487">
        <v>3828</v>
      </c>
      <c r="CQ21" s="489">
        <v>11994</v>
      </c>
      <c r="CR21" s="491">
        <v>298</v>
      </c>
      <c r="CS21" s="488" t="s">
        <v>172</v>
      </c>
      <c r="CT21" s="487">
        <v>5267</v>
      </c>
      <c r="CU21" s="487">
        <v>3246</v>
      </c>
      <c r="CV21" s="487">
        <v>4144</v>
      </c>
      <c r="CW21" s="489">
        <v>12657</v>
      </c>
      <c r="CX21" s="492">
        <v>663</v>
      </c>
      <c r="CY21" s="488" t="s">
        <v>172</v>
      </c>
      <c r="CZ21" s="487">
        <v>5337</v>
      </c>
      <c r="DA21" s="487">
        <v>2987</v>
      </c>
      <c r="DB21" s="487">
        <v>4254</v>
      </c>
      <c r="DC21" s="489">
        <v>12578</v>
      </c>
      <c r="DD21" s="492">
        <v>-79</v>
      </c>
      <c r="DE21" s="488" t="s">
        <v>172</v>
      </c>
      <c r="DF21" s="487">
        <v>5375</v>
      </c>
      <c r="DG21" s="487">
        <v>3509</v>
      </c>
      <c r="DH21" s="487">
        <v>3653</v>
      </c>
      <c r="DI21" s="489">
        <v>12537</v>
      </c>
      <c r="DJ21" s="492">
        <v>-41</v>
      </c>
      <c r="DK21" s="488" t="s">
        <v>172</v>
      </c>
      <c r="DL21" s="487">
        <v>8945</v>
      </c>
      <c r="DM21" s="487">
        <v>2684</v>
      </c>
      <c r="DN21" s="487">
        <v>3808</v>
      </c>
      <c r="DO21" s="489">
        <v>15437</v>
      </c>
      <c r="DP21" s="492">
        <v>2900</v>
      </c>
      <c r="DR21" s="488" t="s">
        <v>172</v>
      </c>
      <c r="DS21" s="487">
        <v>8211</v>
      </c>
      <c r="DT21" s="487">
        <v>2466</v>
      </c>
      <c r="DU21" s="487">
        <v>2471</v>
      </c>
      <c r="DV21" s="489">
        <v>13148</v>
      </c>
      <c r="DW21" s="492">
        <v>10248</v>
      </c>
      <c r="DY21" s="488" t="s">
        <v>172</v>
      </c>
      <c r="DZ21" s="487">
        <f>GETPIVOTDATA("Individus",'Displacement &amp; Returns'!$D$158, "adm2_name","Logone-Et-Chari","adm3_name",$DK21,"Statut déplacé","PDI")</f>
        <v>7539</v>
      </c>
      <c r="EA21" s="487">
        <f>GETPIVOTDATA("Individus",'Displacement &amp; Returns'!$D$158, "adm2_name","Logone-Et-Chari","adm3_name",$DK21,"Statut déplacé","Retournés")</f>
        <v>2996</v>
      </c>
      <c r="EB21" s="487">
        <f>GETPIVOTDATA("Individus",'Displacement &amp; Returns'!$D$158, "adm2_name","Logone-Et-Chari","adm3_name",$DK21,"Statut déplacé","Refugié hors camp")</f>
        <v>2676</v>
      </c>
      <c r="EC21" s="489">
        <f t="shared" si="15"/>
        <v>13211</v>
      </c>
      <c r="ED21" s="492">
        <f t="shared" si="16"/>
        <v>10311</v>
      </c>
      <c r="EF21" s="488" t="s">
        <v>172</v>
      </c>
      <c r="EG21" s="487">
        <f t="shared" si="17"/>
        <v>-1406</v>
      </c>
      <c r="EH21" s="487">
        <f t="shared" si="18"/>
        <v>312</v>
      </c>
      <c r="EI21" s="487">
        <f t="shared" si="19"/>
        <v>-1132</v>
      </c>
      <c r="EJ21" s="494">
        <f t="shared" si="25"/>
        <v>-2226</v>
      </c>
      <c r="EK21" s="1191"/>
      <c r="EL21" s="1191"/>
      <c r="EM21" s="1191"/>
    </row>
    <row r="22" spans="2:143" x14ac:dyDescent="0.3">
      <c r="B22" s="488" t="s">
        <v>173</v>
      </c>
      <c r="C22" s="487">
        <v>5559</v>
      </c>
      <c r="D22" s="487">
        <v>3526</v>
      </c>
      <c r="E22" s="487">
        <v>0</v>
      </c>
      <c r="F22" s="489">
        <v>9085</v>
      </c>
      <c r="G22" s="488" t="s">
        <v>173</v>
      </c>
      <c r="H22" s="487">
        <v>5324</v>
      </c>
      <c r="I22" s="487">
        <v>3897</v>
      </c>
      <c r="J22" s="487">
        <v>0</v>
      </c>
      <c r="K22" s="489">
        <v>9221</v>
      </c>
      <c r="L22" s="487">
        <f t="shared" si="10"/>
        <v>136</v>
      </c>
      <c r="M22" s="488" t="s">
        <v>173</v>
      </c>
      <c r="N22" s="487">
        <v>5324</v>
      </c>
      <c r="O22" s="487">
        <v>3897</v>
      </c>
      <c r="P22" s="487">
        <v>0</v>
      </c>
      <c r="Q22" s="489">
        <v>9221</v>
      </c>
      <c r="R22" s="487">
        <v>0</v>
      </c>
      <c r="S22" s="488" t="s">
        <v>173</v>
      </c>
      <c r="T22" s="487">
        <v>5758</v>
      </c>
      <c r="U22" s="487">
        <v>3897</v>
      </c>
      <c r="V22" s="487">
        <v>0</v>
      </c>
      <c r="W22" s="489">
        <v>9655</v>
      </c>
      <c r="X22" s="487">
        <f t="shared" si="20"/>
        <v>434</v>
      </c>
      <c r="Y22" s="488" t="s">
        <v>173</v>
      </c>
      <c r="Z22" s="487">
        <v>5109</v>
      </c>
      <c r="AA22" s="487">
        <v>3897</v>
      </c>
      <c r="AB22" s="487">
        <v>0</v>
      </c>
      <c r="AC22" s="489">
        <v>9006</v>
      </c>
      <c r="AD22" s="487">
        <f t="shared" si="21"/>
        <v>-649</v>
      </c>
      <c r="AE22" s="490" t="s">
        <v>173</v>
      </c>
      <c r="AF22" s="487">
        <v>4370</v>
      </c>
      <c r="AG22" s="487">
        <v>3978</v>
      </c>
      <c r="AH22" s="487">
        <v>0</v>
      </c>
      <c r="AI22" s="489">
        <v>8348</v>
      </c>
      <c r="AJ22" s="491">
        <f t="shared" si="13"/>
        <v>0</v>
      </c>
      <c r="AK22" s="490" t="s">
        <v>173</v>
      </c>
      <c r="AL22" s="487">
        <v>4242</v>
      </c>
      <c r="AM22" s="487">
        <v>3848</v>
      </c>
      <c r="AN22" s="487">
        <v>0</v>
      </c>
      <c r="AO22" s="489">
        <v>8090</v>
      </c>
      <c r="AP22" s="489">
        <f t="shared" si="14"/>
        <v>-258</v>
      </c>
      <c r="AQ22" s="487" t="s">
        <v>173</v>
      </c>
      <c r="AR22" s="487">
        <v>4242</v>
      </c>
      <c r="AS22" s="487">
        <v>4346</v>
      </c>
      <c r="AT22" s="487">
        <v>0</v>
      </c>
      <c r="AU22" s="489">
        <v>8588</v>
      </c>
      <c r="AV22" s="487">
        <f t="shared" si="22"/>
        <v>498</v>
      </c>
      <c r="AW22" s="490" t="s">
        <v>173</v>
      </c>
      <c r="AX22" s="487">
        <v>2048</v>
      </c>
      <c r="AY22" s="487">
        <v>2500</v>
      </c>
      <c r="AZ22" s="487">
        <v>0</v>
      </c>
      <c r="BA22" s="489">
        <v>4548</v>
      </c>
      <c r="BB22" s="491">
        <f t="shared" si="23"/>
        <v>-4040</v>
      </c>
      <c r="BC22" s="490" t="s">
        <v>173</v>
      </c>
      <c r="BD22" s="487">
        <v>1614</v>
      </c>
      <c r="BE22" s="487">
        <v>2510</v>
      </c>
      <c r="BF22" s="487">
        <v>0</v>
      </c>
      <c r="BG22" s="489">
        <v>4124</v>
      </c>
      <c r="BH22" s="489">
        <f t="shared" si="24"/>
        <v>-424</v>
      </c>
      <c r="BI22" s="487" t="s">
        <v>173</v>
      </c>
      <c r="BJ22" s="487">
        <v>1614</v>
      </c>
      <c r="BK22" s="487">
        <v>2510</v>
      </c>
      <c r="BL22" s="487">
        <v>0</v>
      </c>
      <c r="BM22" s="489">
        <v>4124</v>
      </c>
      <c r="BN22" s="489">
        <v>0</v>
      </c>
      <c r="BO22" s="487" t="s">
        <v>173</v>
      </c>
      <c r="BP22" s="487">
        <v>1614</v>
      </c>
      <c r="BQ22" s="487">
        <v>2510</v>
      </c>
      <c r="BR22" s="487">
        <v>0</v>
      </c>
      <c r="BS22" s="489">
        <v>4124</v>
      </c>
      <c r="BT22" s="489">
        <v>0</v>
      </c>
      <c r="BU22" s="487" t="s">
        <v>173</v>
      </c>
      <c r="BV22" s="487">
        <v>1135</v>
      </c>
      <c r="BW22" s="487">
        <v>2510</v>
      </c>
      <c r="BX22" s="487">
        <v>635</v>
      </c>
      <c r="BY22" s="489">
        <v>4280</v>
      </c>
      <c r="BZ22" s="492">
        <v>156</v>
      </c>
      <c r="CA22" s="487" t="s">
        <v>173</v>
      </c>
      <c r="CB22" s="487">
        <v>880</v>
      </c>
      <c r="CC22" s="487">
        <v>2375</v>
      </c>
      <c r="CD22" s="487">
        <v>0</v>
      </c>
      <c r="CE22" s="489">
        <v>3255</v>
      </c>
      <c r="CF22" s="492">
        <v>-1025</v>
      </c>
      <c r="CG22" s="487" t="s">
        <v>173</v>
      </c>
      <c r="CH22" s="487">
        <v>711</v>
      </c>
      <c r="CI22" s="487">
        <v>2375</v>
      </c>
      <c r="CJ22" s="487">
        <v>0</v>
      </c>
      <c r="CK22" s="489">
        <v>3086</v>
      </c>
      <c r="CL22" s="491">
        <v>-169</v>
      </c>
      <c r="CM22" s="487" t="s">
        <v>173</v>
      </c>
      <c r="CN22" s="487">
        <v>1513</v>
      </c>
      <c r="CO22" s="487">
        <v>2178</v>
      </c>
      <c r="CP22" s="487">
        <v>0</v>
      </c>
      <c r="CQ22" s="489">
        <v>3691</v>
      </c>
      <c r="CR22" s="491">
        <v>605</v>
      </c>
      <c r="CS22" s="488" t="s">
        <v>173</v>
      </c>
      <c r="CT22" s="487">
        <v>4610</v>
      </c>
      <c r="CU22" s="487">
        <v>8126</v>
      </c>
      <c r="CV22" s="487">
        <v>0</v>
      </c>
      <c r="CW22" s="489">
        <v>12736</v>
      </c>
      <c r="CX22" s="492">
        <v>9045</v>
      </c>
      <c r="CY22" s="488" t="s">
        <v>173</v>
      </c>
      <c r="CZ22" s="487">
        <v>4709</v>
      </c>
      <c r="DA22" s="487">
        <v>10572</v>
      </c>
      <c r="DB22" s="487">
        <v>0</v>
      </c>
      <c r="DC22" s="489">
        <v>15281</v>
      </c>
      <c r="DD22" s="492">
        <v>2545</v>
      </c>
      <c r="DE22" s="488" t="s">
        <v>173</v>
      </c>
      <c r="DF22" s="487">
        <v>4850</v>
      </c>
      <c r="DG22" s="487">
        <v>10248</v>
      </c>
      <c r="DH22" s="487">
        <v>0</v>
      </c>
      <c r="DI22" s="489">
        <v>15098</v>
      </c>
      <c r="DJ22" s="492">
        <v>-183</v>
      </c>
      <c r="DK22" s="488" t="s">
        <v>173</v>
      </c>
      <c r="DL22" s="487">
        <v>4331</v>
      </c>
      <c r="DM22" s="487">
        <v>1695</v>
      </c>
      <c r="DN22" s="487">
        <v>0</v>
      </c>
      <c r="DO22" s="489">
        <v>6026</v>
      </c>
      <c r="DP22" s="492">
        <v>-9072</v>
      </c>
      <c r="DR22" s="488" t="s">
        <v>173</v>
      </c>
      <c r="DS22" s="487">
        <v>3655</v>
      </c>
      <c r="DT22" s="487">
        <v>203</v>
      </c>
      <c r="DU22" s="487">
        <v>0</v>
      </c>
      <c r="DV22" s="489">
        <v>3858</v>
      </c>
      <c r="DW22" s="492">
        <v>12930</v>
      </c>
      <c r="DY22" s="488" t="s">
        <v>173</v>
      </c>
      <c r="DZ22" s="487">
        <f>GETPIVOTDATA("Individus",'Displacement &amp; Returns'!$D$158, "adm2_name","Logone-Et-Chari","adm3_name",$DK22,"Statut déplacé","PDI")</f>
        <v>965</v>
      </c>
      <c r="EA22" s="487">
        <f>GETPIVOTDATA("Individus",'Displacement &amp; Returns'!$D$158, "adm2_name","Logone-Et-Chari","adm3_name",$DK22,"Statut déplacé","Retournés")</f>
        <v>509</v>
      </c>
      <c r="EB22" s="487">
        <f>GETPIVOTDATA("Individus",'Displacement &amp; Returns'!$D$158, "adm2_name","Logone-Et-Chari","adm3_name",$DK22,"Statut déplacé","Refugié hors camp")</f>
        <v>0</v>
      </c>
      <c r="EC22" s="489">
        <f t="shared" si="15"/>
        <v>1474</v>
      </c>
      <c r="ED22" s="492">
        <f t="shared" si="16"/>
        <v>10546</v>
      </c>
      <c r="EF22" s="488" t="s">
        <v>173</v>
      </c>
      <c r="EG22" s="487">
        <f t="shared" si="17"/>
        <v>-3366</v>
      </c>
      <c r="EH22" s="487">
        <f t="shared" si="18"/>
        <v>-1186</v>
      </c>
      <c r="EI22" s="487">
        <f t="shared" si="19"/>
        <v>0</v>
      </c>
      <c r="EJ22" s="494">
        <f t="shared" si="25"/>
        <v>-4552</v>
      </c>
      <c r="EK22" s="1191"/>
      <c r="EL22" s="1191"/>
      <c r="EM22" s="1191"/>
    </row>
    <row r="23" spans="2:143" x14ac:dyDescent="0.3">
      <c r="B23" s="479" t="s">
        <v>32</v>
      </c>
      <c r="C23" s="480"/>
      <c r="D23" s="480"/>
      <c r="E23" s="480"/>
      <c r="F23" s="481"/>
      <c r="G23" s="479" t="s">
        <v>32</v>
      </c>
      <c r="H23" s="480"/>
      <c r="I23" s="480"/>
      <c r="J23" s="480"/>
      <c r="K23" s="481"/>
      <c r="L23" s="480">
        <f>SUM(K25:K31)-SUM(F25:F31)</f>
        <v>-767</v>
      </c>
      <c r="M23" s="479" t="s">
        <v>32</v>
      </c>
      <c r="N23" s="480"/>
      <c r="O23" s="480"/>
      <c r="P23" s="480"/>
      <c r="Q23" s="481"/>
      <c r="R23" s="480">
        <v>-2897</v>
      </c>
      <c r="S23" s="479" t="s">
        <v>32</v>
      </c>
      <c r="T23" s="480"/>
      <c r="U23" s="480"/>
      <c r="V23" s="480"/>
      <c r="W23" s="481"/>
      <c r="X23" s="480">
        <f>SUM(W25:W31)-SUM(Q25:Q31)</f>
        <v>-116</v>
      </c>
      <c r="Y23" s="482" t="s">
        <v>32</v>
      </c>
      <c r="Z23" s="480"/>
      <c r="AA23" s="480"/>
      <c r="AB23" s="480"/>
      <c r="AC23" s="481"/>
      <c r="AD23" s="480">
        <f>SUM(AC25:AC31)-SUM(W25:W31)</f>
        <v>78</v>
      </c>
      <c r="AE23" s="483" t="s">
        <v>32</v>
      </c>
      <c r="AF23" s="480"/>
      <c r="AG23" s="480"/>
      <c r="AH23" s="480"/>
      <c r="AI23" s="481"/>
      <c r="AJ23" s="484">
        <f>SUM(AB25:AB31)-SUM(P25:P31)</f>
        <v>-66</v>
      </c>
      <c r="AK23" s="483" t="s">
        <v>32</v>
      </c>
      <c r="AL23" s="480"/>
      <c r="AM23" s="480"/>
      <c r="AN23" s="480"/>
      <c r="AO23" s="481"/>
      <c r="AP23" s="481">
        <f>SUM(AO25:AO31)-SUM(AI25:AI31)</f>
        <v>1926</v>
      </c>
      <c r="AQ23" s="480" t="s">
        <v>32</v>
      </c>
      <c r="AR23" s="480"/>
      <c r="AS23" s="480"/>
      <c r="AT23" s="480"/>
      <c r="AU23" s="481"/>
      <c r="AV23" s="480">
        <f>SUM(AU25:AU31)-SUM(AO25:AO31)</f>
        <v>-461</v>
      </c>
      <c r="AW23" s="483" t="s">
        <v>32</v>
      </c>
      <c r="AX23" s="480"/>
      <c r="AY23" s="480"/>
      <c r="AZ23" s="480"/>
      <c r="BA23" s="481"/>
      <c r="BB23" s="484">
        <f>SUM(BB25:BB31)</f>
        <v>-62</v>
      </c>
      <c r="BC23" s="483" t="s">
        <v>32</v>
      </c>
      <c r="BD23" s="480"/>
      <c r="BE23" s="480"/>
      <c r="BF23" s="480"/>
      <c r="BG23" s="481"/>
      <c r="BH23" s="481">
        <f>SUM(BH25:BH31)</f>
        <v>107</v>
      </c>
      <c r="BI23" s="480" t="s">
        <v>32</v>
      </c>
      <c r="BJ23" s="480"/>
      <c r="BK23" s="480"/>
      <c r="BL23" s="480"/>
      <c r="BM23" s="481"/>
      <c r="BN23" s="481">
        <v>165</v>
      </c>
      <c r="BO23" s="480" t="s">
        <v>32</v>
      </c>
      <c r="BP23" s="480"/>
      <c r="BQ23" s="480"/>
      <c r="BR23" s="480"/>
      <c r="BS23" s="481"/>
      <c r="BT23" s="481">
        <v>21</v>
      </c>
      <c r="BU23" s="480" t="s">
        <v>32</v>
      </c>
      <c r="BV23" s="480"/>
      <c r="BW23" s="480"/>
      <c r="BX23" s="480"/>
      <c r="BY23" s="481"/>
      <c r="BZ23" s="497">
        <v>272</v>
      </c>
      <c r="CA23" s="480" t="s">
        <v>32</v>
      </c>
      <c r="CB23" s="480"/>
      <c r="CC23" s="480"/>
      <c r="CD23" s="480"/>
      <c r="CE23" s="481"/>
      <c r="CF23" s="497">
        <v>2471</v>
      </c>
      <c r="CG23" s="480" t="s">
        <v>32</v>
      </c>
      <c r="CH23" s="480"/>
      <c r="CI23" s="480"/>
      <c r="CJ23" s="480"/>
      <c r="CK23" s="481"/>
      <c r="CL23" s="484">
        <v>24</v>
      </c>
      <c r="CM23" s="480" t="s">
        <v>32</v>
      </c>
      <c r="CN23" s="480"/>
      <c r="CO23" s="480"/>
      <c r="CP23" s="480"/>
      <c r="CQ23" s="481"/>
      <c r="CR23" s="484">
        <v>13439</v>
      </c>
      <c r="CS23" s="479" t="s">
        <v>32</v>
      </c>
      <c r="CT23" s="480">
        <f>SUM(CT24:CT31)</f>
        <v>20872</v>
      </c>
      <c r="CU23" s="480"/>
      <c r="CV23" s="480"/>
      <c r="CW23" s="481"/>
      <c r="CX23" s="497">
        <v>181</v>
      </c>
      <c r="CY23" s="479" t="s">
        <v>32</v>
      </c>
      <c r="CZ23" s="480">
        <v>18571</v>
      </c>
      <c r="DA23" s="480">
        <v>13190</v>
      </c>
      <c r="DB23" s="480">
        <v>145</v>
      </c>
      <c r="DC23" s="481">
        <v>31906</v>
      </c>
      <c r="DD23" s="497">
        <v>-1917</v>
      </c>
      <c r="DE23" s="479" t="s">
        <v>32</v>
      </c>
      <c r="DF23" s="480">
        <v>21225</v>
      </c>
      <c r="DG23" s="480">
        <v>16919</v>
      </c>
      <c r="DH23" s="480">
        <v>147</v>
      </c>
      <c r="DI23" s="480">
        <v>38291</v>
      </c>
      <c r="DJ23" s="497">
        <v>6385</v>
      </c>
      <c r="DK23" s="479" t="s">
        <v>32</v>
      </c>
      <c r="DL23" s="480">
        <v>20842</v>
      </c>
      <c r="DM23" s="480">
        <v>14524</v>
      </c>
      <c r="DN23" s="480">
        <v>145</v>
      </c>
      <c r="DO23" s="480">
        <v>35511</v>
      </c>
      <c r="DP23" s="497">
        <v>-2780</v>
      </c>
      <c r="DQ23" s="1134"/>
      <c r="DR23" s="479" t="s">
        <v>32</v>
      </c>
      <c r="DS23" s="480">
        <v>21051</v>
      </c>
      <c r="DT23" s="480">
        <v>16808</v>
      </c>
      <c r="DU23" s="480">
        <v>296</v>
      </c>
      <c r="DV23" s="480">
        <v>38155</v>
      </c>
      <c r="DW23" s="497">
        <v>40935</v>
      </c>
      <c r="DX23" s="1134"/>
      <c r="DY23" s="479" t="s">
        <v>32</v>
      </c>
      <c r="DZ23" s="480">
        <f>SUM(DZ24:DZ31)</f>
        <v>22544</v>
      </c>
      <c r="EA23" s="480">
        <f>SUM(EA24:EA31)</f>
        <v>85833</v>
      </c>
      <c r="EB23" s="480">
        <f>SUM(EB24:EB31)</f>
        <v>296</v>
      </c>
      <c r="EC23" s="480">
        <f>SUM(EC24:EC31)</f>
        <v>108673</v>
      </c>
      <c r="ED23" s="497">
        <f>SUM(ED24:ED31)</f>
        <v>111453</v>
      </c>
      <c r="EF23" s="479" t="s">
        <v>32</v>
      </c>
      <c r="EG23" s="486">
        <f>SUM(EG25:EG31)</f>
        <v>1599</v>
      </c>
      <c r="EH23" s="486">
        <f>SUM(EH25:EH31)</f>
        <v>71309</v>
      </c>
      <c r="EI23" s="486">
        <f>SUM(EI25:EI31)</f>
        <v>151</v>
      </c>
      <c r="EJ23" s="486">
        <f>SUM(EJ25:EJ31)</f>
        <v>73059</v>
      </c>
      <c r="EK23" s="1191"/>
      <c r="EL23" s="1191"/>
      <c r="EM23" s="1191"/>
    </row>
    <row r="24" spans="2:143" x14ac:dyDescent="0.3">
      <c r="B24" s="488" t="s">
        <v>174</v>
      </c>
      <c r="C24" s="487">
        <v>0</v>
      </c>
      <c r="D24" s="487">
        <v>0</v>
      </c>
      <c r="E24" s="487">
        <v>0</v>
      </c>
      <c r="F24" s="487">
        <v>0</v>
      </c>
      <c r="G24" s="488" t="s">
        <v>174</v>
      </c>
      <c r="H24" s="487">
        <v>0</v>
      </c>
      <c r="I24" s="487">
        <v>0</v>
      </c>
      <c r="J24" s="487">
        <v>0</v>
      </c>
      <c r="K24" s="487">
        <v>0</v>
      </c>
      <c r="L24" s="492">
        <v>0</v>
      </c>
      <c r="M24" s="488" t="s">
        <v>174</v>
      </c>
      <c r="N24" s="487">
        <v>0</v>
      </c>
      <c r="O24" s="487">
        <v>0</v>
      </c>
      <c r="P24" s="487">
        <v>0</v>
      </c>
      <c r="Q24" s="487">
        <v>0</v>
      </c>
      <c r="R24" s="492">
        <v>0</v>
      </c>
      <c r="S24" s="488" t="s">
        <v>174</v>
      </c>
      <c r="T24" s="487">
        <v>0</v>
      </c>
      <c r="U24" s="487">
        <v>0</v>
      </c>
      <c r="V24" s="487">
        <v>0</v>
      </c>
      <c r="W24" s="487">
        <v>0</v>
      </c>
      <c r="X24" s="492">
        <v>0</v>
      </c>
      <c r="Y24" s="488" t="s">
        <v>174</v>
      </c>
      <c r="Z24" s="487">
        <v>0</v>
      </c>
      <c r="AA24" s="487">
        <v>0</v>
      </c>
      <c r="AB24" s="487">
        <v>0</v>
      </c>
      <c r="AC24" s="487">
        <v>0</v>
      </c>
      <c r="AD24" s="492">
        <v>0</v>
      </c>
      <c r="AE24" s="488" t="s">
        <v>174</v>
      </c>
      <c r="AF24" s="487">
        <v>0</v>
      </c>
      <c r="AG24" s="487">
        <v>0</v>
      </c>
      <c r="AH24" s="487">
        <v>0</v>
      </c>
      <c r="AI24" s="487">
        <v>0</v>
      </c>
      <c r="AJ24" s="492">
        <v>0</v>
      </c>
      <c r="AK24" s="488" t="s">
        <v>174</v>
      </c>
      <c r="AL24" s="487">
        <v>0</v>
      </c>
      <c r="AM24" s="487">
        <v>0</v>
      </c>
      <c r="AN24" s="487">
        <v>0</v>
      </c>
      <c r="AO24" s="487">
        <v>0</v>
      </c>
      <c r="AP24" s="492">
        <v>0</v>
      </c>
      <c r="AQ24" s="495" t="s">
        <v>174</v>
      </c>
      <c r="AR24" s="487">
        <v>0</v>
      </c>
      <c r="AS24" s="487">
        <v>0</v>
      </c>
      <c r="AT24" s="487">
        <v>0</v>
      </c>
      <c r="AU24" s="489">
        <v>0</v>
      </c>
      <c r="AV24" s="489">
        <v>0</v>
      </c>
      <c r="AW24" s="488" t="s">
        <v>174</v>
      </c>
      <c r="AX24" s="487">
        <v>0</v>
      </c>
      <c r="AY24" s="487">
        <v>0</v>
      </c>
      <c r="AZ24" s="487">
        <v>0</v>
      </c>
      <c r="BA24" s="487">
        <v>0</v>
      </c>
      <c r="BB24" s="492">
        <v>0</v>
      </c>
      <c r="BC24" s="488" t="s">
        <v>174</v>
      </c>
      <c r="BD24" s="487">
        <v>0</v>
      </c>
      <c r="BE24" s="487">
        <v>0</v>
      </c>
      <c r="BF24" s="487">
        <v>0</v>
      </c>
      <c r="BG24" s="487">
        <v>0</v>
      </c>
      <c r="BH24" s="492">
        <v>0</v>
      </c>
      <c r="BI24" s="495" t="s">
        <v>174</v>
      </c>
      <c r="BJ24" s="487">
        <v>0</v>
      </c>
      <c r="BK24" s="487">
        <v>0</v>
      </c>
      <c r="BL24" s="487">
        <v>0</v>
      </c>
      <c r="BM24" s="489">
        <v>0</v>
      </c>
      <c r="BN24" s="489">
        <v>0</v>
      </c>
      <c r="BO24" s="495" t="s">
        <v>174</v>
      </c>
      <c r="BP24" s="487">
        <v>0</v>
      </c>
      <c r="BQ24" s="487">
        <v>0</v>
      </c>
      <c r="BR24" s="487">
        <v>0</v>
      </c>
      <c r="BS24" s="489">
        <v>0</v>
      </c>
      <c r="BT24" s="489">
        <v>0</v>
      </c>
      <c r="BU24" s="488" t="s">
        <v>174</v>
      </c>
      <c r="BV24" s="487">
        <v>0</v>
      </c>
      <c r="BW24" s="487">
        <v>0</v>
      </c>
      <c r="BX24" s="487">
        <v>0</v>
      </c>
      <c r="BY24" s="487">
        <v>0</v>
      </c>
      <c r="BZ24" s="492">
        <v>0</v>
      </c>
      <c r="CA24" s="495" t="s">
        <v>174</v>
      </c>
      <c r="CB24" s="487">
        <v>0</v>
      </c>
      <c r="CC24" s="487">
        <v>0</v>
      </c>
      <c r="CD24" s="487">
        <v>0</v>
      </c>
      <c r="CE24" s="487">
        <v>0</v>
      </c>
      <c r="CF24" s="492">
        <v>0</v>
      </c>
      <c r="CG24" s="495" t="s">
        <v>174</v>
      </c>
      <c r="CH24" s="487">
        <v>0</v>
      </c>
      <c r="CI24" s="487">
        <v>0</v>
      </c>
      <c r="CJ24" s="487">
        <v>0</v>
      </c>
      <c r="CK24" s="487">
        <v>0</v>
      </c>
      <c r="CL24" s="492">
        <v>0</v>
      </c>
      <c r="CM24" s="495" t="s">
        <v>174</v>
      </c>
      <c r="CN24" s="487">
        <v>275</v>
      </c>
      <c r="CO24" s="487">
        <v>68</v>
      </c>
      <c r="CP24" s="487">
        <v>0</v>
      </c>
      <c r="CQ24" s="487">
        <v>343</v>
      </c>
      <c r="CR24" s="492">
        <v>343</v>
      </c>
      <c r="CS24" s="488" t="s">
        <v>174</v>
      </c>
      <c r="CT24" s="487">
        <v>275</v>
      </c>
      <c r="CU24" s="487">
        <v>68</v>
      </c>
      <c r="CV24" s="487">
        <v>0</v>
      </c>
      <c r="CW24" s="487">
        <v>343</v>
      </c>
      <c r="CX24" s="492">
        <v>0</v>
      </c>
      <c r="CY24" s="488" t="s">
        <v>174</v>
      </c>
      <c r="CZ24" s="487">
        <v>275</v>
      </c>
      <c r="DA24" s="487">
        <v>68</v>
      </c>
      <c r="DB24" s="487">
        <v>0</v>
      </c>
      <c r="DC24" s="487">
        <v>343</v>
      </c>
      <c r="DD24" s="492">
        <v>0</v>
      </c>
      <c r="DE24" s="488" t="s">
        <v>174</v>
      </c>
      <c r="DF24" s="487">
        <v>275</v>
      </c>
      <c r="DG24" s="487">
        <v>68</v>
      </c>
      <c r="DH24" s="487">
        <v>0</v>
      </c>
      <c r="DI24" s="489">
        <v>343</v>
      </c>
      <c r="DJ24" s="492">
        <v>0</v>
      </c>
      <c r="DK24" s="488" t="s">
        <v>174</v>
      </c>
      <c r="DL24" s="487">
        <v>275</v>
      </c>
      <c r="DM24" s="487">
        <v>68</v>
      </c>
      <c r="DN24" s="487">
        <v>0</v>
      </c>
      <c r="DO24" s="489">
        <v>343</v>
      </c>
      <c r="DP24" s="492">
        <v>0</v>
      </c>
      <c r="DR24" s="488" t="s">
        <v>174</v>
      </c>
      <c r="DS24" s="487">
        <v>278</v>
      </c>
      <c r="DT24" s="487">
        <v>68</v>
      </c>
      <c r="DU24" s="487">
        <v>0</v>
      </c>
      <c r="DV24" s="489">
        <v>346</v>
      </c>
      <c r="DW24" s="492">
        <v>346</v>
      </c>
      <c r="DY24" s="488" t="s">
        <v>174</v>
      </c>
      <c r="DZ24" s="487">
        <f>GETPIVOTDATA("Individus",'Displacement &amp; Returns'!$D$158, "adm2_name","Mayo-Danay","adm3_name",$DK24,"Statut déplacé","PDI")</f>
        <v>378</v>
      </c>
      <c r="EA24" s="487">
        <f>GETPIVOTDATA("Individus",'Displacement &amp; Returns'!$D$158, "adm2_name","Mayo-Danay","adm3_name",$DK24,"Statut déplacé","Retournés")</f>
        <v>68</v>
      </c>
      <c r="EB24" s="487">
        <f>GETPIVOTDATA("Individus",'Displacement &amp; Returns'!$D$158, "adm2_name","Mayo-Danay","adm3_name",$DK24,"Statut déplacé","Refugié hors camp")</f>
        <v>0</v>
      </c>
      <c r="EC24" s="489">
        <f t="shared" ref="EC24:EC31" si="26">SUM(DZ24:EB24)</f>
        <v>446</v>
      </c>
      <c r="ED24" s="492">
        <f t="shared" ref="ED24:ED31" si="27">EC24-DP24</f>
        <v>446</v>
      </c>
      <c r="EF24" s="488" t="s">
        <v>174</v>
      </c>
      <c r="EG24" s="487">
        <f t="shared" ref="EG24:EI31" si="28">DZ24-DL24</f>
        <v>103</v>
      </c>
      <c r="EH24" s="487">
        <f t="shared" si="28"/>
        <v>0</v>
      </c>
      <c r="EI24" s="487">
        <f t="shared" si="28"/>
        <v>0</v>
      </c>
      <c r="EJ24" s="494">
        <f t="shared" ref="EJ24:EJ31" si="29">SUM(EG24:EI24)</f>
        <v>103</v>
      </c>
      <c r="EK24" s="1191"/>
      <c r="EL24" s="1191"/>
      <c r="EM24" s="1191"/>
    </row>
    <row r="25" spans="2:143" x14ac:dyDescent="0.3">
      <c r="B25" s="488" t="s">
        <v>175</v>
      </c>
      <c r="C25" s="487">
        <v>921</v>
      </c>
      <c r="D25" s="487">
        <v>30</v>
      </c>
      <c r="E25" s="487">
        <v>104</v>
      </c>
      <c r="F25" s="489">
        <v>1055</v>
      </c>
      <c r="G25" s="488" t="s">
        <v>175</v>
      </c>
      <c r="H25" s="487">
        <v>921</v>
      </c>
      <c r="I25" s="487">
        <v>30</v>
      </c>
      <c r="J25" s="487">
        <v>113</v>
      </c>
      <c r="K25" s="489">
        <v>1064</v>
      </c>
      <c r="L25" s="487">
        <f t="shared" si="10"/>
        <v>9</v>
      </c>
      <c r="M25" s="488" t="s">
        <v>175</v>
      </c>
      <c r="N25" s="487">
        <v>1285</v>
      </c>
      <c r="O25" s="487">
        <v>50</v>
      </c>
      <c r="P25" s="487">
        <v>129</v>
      </c>
      <c r="Q25" s="489">
        <v>1464</v>
      </c>
      <c r="R25" s="487">
        <v>400</v>
      </c>
      <c r="S25" s="488" t="s">
        <v>175</v>
      </c>
      <c r="T25" s="487">
        <v>1301</v>
      </c>
      <c r="U25" s="487">
        <v>62</v>
      </c>
      <c r="V25" s="487">
        <v>133</v>
      </c>
      <c r="W25" s="489">
        <v>1496</v>
      </c>
      <c r="X25" s="487">
        <f t="shared" ref="X25:X31" si="30">W25-Q25</f>
        <v>32</v>
      </c>
      <c r="Y25" s="488" t="s">
        <v>175</v>
      </c>
      <c r="Z25" s="487">
        <v>1296</v>
      </c>
      <c r="AA25" s="487">
        <v>50</v>
      </c>
      <c r="AB25" s="487">
        <v>130</v>
      </c>
      <c r="AC25" s="489">
        <v>1476</v>
      </c>
      <c r="AD25" s="487">
        <f t="shared" ref="AD25:AD31" si="31">AC25-W25</f>
        <v>-20</v>
      </c>
      <c r="AE25" s="488" t="s">
        <v>175</v>
      </c>
      <c r="AF25" s="487">
        <v>1296</v>
      </c>
      <c r="AG25" s="487">
        <v>50</v>
      </c>
      <c r="AH25" s="487">
        <v>133</v>
      </c>
      <c r="AI25" s="489">
        <v>1479</v>
      </c>
      <c r="AJ25" s="491">
        <f t="shared" ref="AJ25:AJ31" si="32">AB25-P25</f>
        <v>1</v>
      </c>
      <c r="AK25" s="488" t="s">
        <v>175</v>
      </c>
      <c r="AL25" s="487">
        <v>1523</v>
      </c>
      <c r="AM25" s="487">
        <v>50</v>
      </c>
      <c r="AN25" s="487">
        <v>125</v>
      </c>
      <c r="AO25" s="489">
        <v>1698</v>
      </c>
      <c r="AP25" s="489">
        <f t="shared" ref="AP25:AP31" si="33">AO25-AI25</f>
        <v>219</v>
      </c>
      <c r="AQ25" s="495" t="s">
        <v>175</v>
      </c>
      <c r="AR25" s="487">
        <v>1523</v>
      </c>
      <c r="AS25" s="487">
        <v>41</v>
      </c>
      <c r="AT25" s="487">
        <v>119</v>
      </c>
      <c r="AU25" s="489">
        <v>1683</v>
      </c>
      <c r="AV25" s="487">
        <f t="shared" ref="AV25:AV31" si="34">AU25-AO25</f>
        <v>-15</v>
      </c>
      <c r="AW25" s="488" t="s">
        <v>175</v>
      </c>
      <c r="AX25" s="487">
        <v>1529</v>
      </c>
      <c r="AY25" s="487">
        <v>41</v>
      </c>
      <c r="AZ25" s="487">
        <v>127</v>
      </c>
      <c r="BA25" s="489">
        <v>1697</v>
      </c>
      <c r="BB25" s="491">
        <f t="shared" ref="BB25:BB31" si="35">BA25-AU25</f>
        <v>14</v>
      </c>
      <c r="BC25" s="488" t="s">
        <v>175</v>
      </c>
      <c r="BD25" s="487">
        <v>1537</v>
      </c>
      <c r="BE25" s="487">
        <v>41</v>
      </c>
      <c r="BF25" s="487">
        <v>116</v>
      </c>
      <c r="BG25" s="489">
        <v>1694</v>
      </c>
      <c r="BH25" s="489">
        <f t="shared" ref="BH25:BH31" si="36">BG25-BA25</f>
        <v>-3</v>
      </c>
      <c r="BI25" s="495" t="s">
        <v>175</v>
      </c>
      <c r="BJ25" s="487">
        <v>1537</v>
      </c>
      <c r="BK25" s="487">
        <v>41</v>
      </c>
      <c r="BL25" s="487">
        <v>127</v>
      </c>
      <c r="BM25" s="489">
        <v>1705</v>
      </c>
      <c r="BN25" s="489">
        <v>11</v>
      </c>
      <c r="BO25" s="495" t="s">
        <v>175</v>
      </c>
      <c r="BP25" s="487">
        <v>1537</v>
      </c>
      <c r="BQ25" s="487">
        <v>41</v>
      </c>
      <c r="BR25" s="487">
        <v>127</v>
      </c>
      <c r="BS25" s="489">
        <v>1705</v>
      </c>
      <c r="BT25" s="487">
        <v>0</v>
      </c>
      <c r="BU25" s="488" t="s">
        <v>175</v>
      </c>
      <c r="BV25" s="487">
        <v>1511</v>
      </c>
      <c r="BW25" s="487">
        <v>41</v>
      </c>
      <c r="BX25" s="487">
        <v>128</v>
      </c>
      <c r="BY25" s="489">
        <v>1680</v>
      </c>
      <c r="BZ25" s="492">
        <v>-25</v>
      </c>
      <c r="CA25" s="495" t="s">
        <v>175</v>
      </c>
      <c r="CB25" s="487">
        <v>1511</v>
      </c>
      <c r="CC25" s="487">
        <v>41</v>
      </c>
      <c r="CD25" s="487">
        <v>128</v>
      </c>
      <c r="CE25" s="489">
        <v>1680</v>
      </c>
      <c r="CF25" s="492">
        <v>0</v>
      </c>
      <c r="CG25" s="495" t="s">
        <v>175</v>
      </c>
      <c r="CH25" s="487">
        <v>1511</v>
      </c>
      <c r="CI25" s="487">
        <v>41</v>
      </c>
      <c r="CJ25" s="487">
        <v>128</v>
      </c>
      <c r="CK25" s="489">
        <v>1680</v>
      </c>
      <c r="CL25" s="491">
        <v>0</v>
      </c>
      <c r="CM25" s="495" t="s">
        <v>175</v>
      </c>
      <c r="CN25" s="487">
        <v>1586</v>
      </c>
      <c r="CO25" s="487">
        <v>41</v>
      </c>
      <c r="CP25" s="487">
        <v>128</v>
      </c>
      <c r="CQ25" s="489">
        <v>1755</v>
      </c>
      <c r="CR25" s="491">
        <v>75</v>
      </c>
      <c r="CS25" s="488" t="s">
        <v>175</v>
      </c>
      <c r="CT25" s="487">
        <v>1589</v>
      </c>
      <c r="CU25" s="487">
        <v>44</v>
      </c>
      <c r="CV25" s="487">
        <v>133</v>
      </c>
      <c r="CW25" s="489">
        <v>1766</v>
      </c>
      <c r="CX25" s="492">
        <v>11</v>
      </c>
      <c r="CY25" s="488" t="s">
        <v>175</v>
      </c>
      <c r="CZ25" s="487">
        <v>1637</v>
      </c>
      <c r="DA25" s="487">
        <v>46</v>
      </c>
      <c r="DB25" s="487">
        <v>133</v>
      </c>
      <c r="DC25" s="489">
        <v>1816</v>
      </c>
      <c r="DD25" s="492">
        <v>50</v>
      </c>
      <c r="DE25" s="488" t="s">
        <v>175</v>
      </c>
      <c r="DF25" s="487">
        <v>1637</v>
      </c>
      <c r="DG25" s="487">
        <v>46</v>
      </c>
      <c r="DH25" s="487">
        <v>133</v>
      </c>
      <c r="DI25" s="489">
        <v>1816</v>
      </c>
      <c r="DJ25" s="492">
        <v>0</v>
      </c>
      <c r="DK25" s="488" t="s">
        <v>175</v>
      </c>
      <c r="DL25" s="487">
        <v>1630</v>
      </c>
      <c r="DM25" s="487">
        <v>0</v>
      </c>
      <c r="DN25" s="487">
        <v>133</v>
      </c>
      <c r="DO25" s="489">
        <v>1763</v>
      </c>
      <c r="DP25" s="492">
        <v>-53</v>
      </c>
      <c r="DR25" s="488" t="s">
        <v>175</v>
      </c>
      <c r="DS25" s="487">
        <v>1587</v>
      </c>
      <c r="DT25" s="487">
        <v>0</v>
      </c>
      <c r="DU25" s="487">
        <v>278</v>
      </c>
      <c r="DV25" s="489">
        <v>1865</v>
      </c>
      <c r="DW25" s="492">
        <v>1918</v>
      </c>
      <c r="DY25" s="488" t="s">
        <v>175</v>
      </c>
      <c r="DZ25" s="487">
        <f>GETPIVOTDATA("Individus",'Displacement &amp; Returns'!$D$158, "adm2_name","Mayo-Danay","adm3_name",$DK25,"Statut déplacé","PDI")</f>
        <v>1587</v>
      </c>
      <c r="EA25" s="487">
        <f>GETPIVOTDATA("Individus",'Displacement &amp; Returns'!$D$158, "adm2_name","Mayo-Danay","adm3_name",$DK25,"Statut déplacé","Retournés")</f>
        <v>11326</v>
      </c>
      <c r="EB25" s="487">
        <f>GETPIVOTDATA("Individus",'Displacement &amp; Returns'!$D$158, "adm2_name","Mayo-Danay","adm3_name",$DK25,"Statut déplacé","Refugié hors camp")</f>
        <v>278</v>
      </c>
      <c r="EC25" s="489">
        <f t="shared" si="26"/>
        <v>13191</v>
      </c>
      <c r="ED25" s="492">
        <f t="shared" si="27"/>
        <v>13244</v>
      </c>
      <c r="EF25" s="488" t="s">
        <v>175</v>
      </c>
      <c r="EG25" s="487">
        <f t="shared" si="28"/>
        <v>-43</v>
      </c>
      <c r="EH25" s="487">
        <f t="shared" si="28"/>
        <v>11326</v>
      </c>
      <c r="EI25" s="487">
        <f t="shared" si="28"/>
        <v>145</v>
      </c>
      <c r="EJ25" s="494">
        <f t="shared" si="29"/>
        <v>11428</v>
      </c>
      <c r="EK25" s="1191"/>
      <c r="EL25" s="1191"/>
      <c r="EM25" s="1191"/>
    </row>
    <row r="26" spans="2:143" x14ac:dyDescent="0.3">
      <c r="B26" s="488" t="s">
        <v>177</v>
      </c>
      <c r="C26" s="487">
        <v>813</v>
      </c>
      <c r="D26" s="487">
        <v>42</v>
      </c>
      <c r="E26" s="487">
        <v>0</v>
      </c>
      <c r="F26" s="489">
        <v>855</v>
      </c>
      <c r="G26" s="488" t="s">
        <v>177</v>
      </c>
      <c r="H26" s="487">
        <v>996</v>
      </c>
      <c r="I26" s="487">
        <v>50</v>
      </c>
      <c r="J26" s="487">
        <v>0</v>
      </c>
      <c r="K26" s="489">
        <v>1046</v>
      </c>
      <c r="L26" s="492">
        <f t="shared" si="10"/>
        <v>191</v>
      </c>
      <c r="M26" s="488" t="s">
        <v>177</v>
      </c>
      <c r="N26" s="487">
        <v>1618</v>
      </c>
      <c r="O26" s="487">
        <v>420</v>
      </c>
      <c r="P26" s="487">
        <v>0</v>
      </c>
      <c r="Q26" s="489">
        <v>2038</v>
      </c>
      <c r="R26" s="487">
        <v>992</v>
      </c>
      <c r="S26" s="488" t="s">
        <v>177</v>
      </c>
      <c r="T26" s="487">
        <v>1618</v>
      </c>
      <c r="U26" s="487">
        <v>425</v>
      </c>
      <c r="V26" s="487">
        <v>0</v>
      </c>
      <c r="W26" s="489">
        <v>2043</v>
      </c>
      <c r="X26" s="487">
        <f t="shared" si="30"/>
        <v>5</v>
      </c>
      <c r="Y26" s="488" t="s">
        <v>177</v>
      </c>
      <c r="Z26" s="487">
        <v>1618</v>
      </c>
      <c r="AA26" s="487">
        <v>420</v>
      </c>
      <c r="AB26" s="487">
        <v>0</v>
      </c>
      <c r="AC26" s="489">
        <v>2038</v>
      </c>
      <c r="AD26" s="487">
        <f t="shared" si="31"/>
        <v>-5</v>
      </c>
      <c r="AE26" s="488" t="s">
        <v>177</v>
      </c>
      <c r="AF26" s="487">
        <v>1618</v>
      </c>
      <c r="AG26" s="487">
        <v>420</v>
      </c>
      <c r="AH26" s="487">
        <v>0</v>
      </c>
      <c r="AI26" s="489">
        <v>2038</v>
      </c>
      <c r="AJ26" s="491">
        <f t="shared" si="32"/>
        <v>0</v>
      </c>
      <c r="AK26" s="488" t="s">
        <v>177</v>
      </c>
      <c r="AL26" s="487">
        <v>1618</v>
      </c>
      <c r="AM26" s="487">
        <v>420</v>
      </c>
      <c r="AN26" s="487">
        <v>0</v>
      </c>
      <c r="AO26" s="489">
        <v>2038</v>
      </c>
      <c r="AP26" s="489">
        <f t="shared" si="33"/>
        <v>0</v>
      </c>
      <c r="AQ26" s="495" t="s">
        <v>177</v>
      </c>
      <c r="AR26" s="487">
        <v>1618</v>
      </c>
      <c r="AS26" s="487">
        <v>420</v>
      </c>
      <c r="AT26" s="487">
        <v>0</v>
      </c>
      <c r="AU26" s="489">
        <v>2038</v>
      </c>
      <c r="AV26" s="487">
        <f t="shared" si="34"/>
        <v>0</v>
      </c>
      <c r="AW26" s="488" t="s">
        <v>177</v>
      </c>
      <c r="AX26" s="487">
        <v>1636</v>
      </c>
      <c r="AY26" s="487">
        <v>467</v>
      </c>
      <c r="AZ26" s="487">
        <v>0</v>
      </c>
      <c r="BA26" s="489">
        <v>2103</v>
      </c>
      <c r="BB26" s="491">
        <f t="shared" si="35"/>
        <v>65</v>
      </c>
      <c r="BC26" s="488" t="s">
        <v>177</v>
      </c>
      <c r="BD26" s="487">
        <v>1648</v>
      </c>
      <c r="BE26" s="487">
        <v>367</v>
      </c>
      <c r="BF26" s="487">
        <v>0</v>
      </c>
      <c r="BG26" s="489">
        <v>2015</v>
      </c>
      <c r="BH26" s="489">
        <f t="shared" si="36"/>
        <v>-88</v>
      </c>
      <c r="BI26" s="495" t="s">
        <v>177</v>
      </c>
      <c r="BJ26" s="487">
        <v>1673</v>
      </c>
      <c r="BK26" s="487">
        <v>524</v>
      </c>
      <c r="BL26" s="487">
        <v>0</v>
      </c>
      <c r="BM26" s="489">
        <v>2197</v>
      </c>
      <c r="BN26" s="489">
        <v>182</v>
      </c>
      <c r="BO26" s="495" t="s">
        <v>177</v>
      </c>
      <c r="BP26" s="487">
        <v>1675</v>
      </c>
      <c r="BQ26" s="487">
        <v>526</v>
      </c>
      <c r="BR26" s="487">
        <v>0</v>
      </c>
      <c r="BS26" s="489">
        <v>2201</v>
      </c>
      <c r="BT26" s="487">
        <v>4</v>
      </c>
      <c r="BU26" s="488" t="s">
        <v>177</v>
      </c>
      <c r="BV26" s="487">
        <v>1675</v>
      </c>
      <c r="BW26" s="487">
        <v>532</v>
      </c>
      <c r="BX26" s="487">
        <v>0</v>
      </c>
      <c r="BY26" s="489">
        <v>2207</v>
      </c>
      <c r="BZ26" s="492">
        <v>6</v>
      </c>
      <c r="CA26" s="495" t="s">
        <v>177</v>
      </c>
      <c r="CB26" s="487">
        <v>1675</v>
      </c>
      <c r="CC26" s="487">
        <v>532</v>
      </c>
      <c r="CD26" s="487">
        <v>0</v>
      </c>
      <c r="CE26" s="489">
        <v>2207</v>
      </c>
      <c r="CF26" s="492">
        <v>0</v>
      </c>
      <c r="CG26" s="495" t="s">
        <v>177</v>
      </c>
      <c r="CH26" s="487">
        <v>1675</v>
      </c>
      <c r="CI26" s="487">
        <v>532</v>
      </c>
      <c r="CJ26" s="487">
        <v>0</v>
      </c>
      <c r="CK26" s="489">
        <v>2207</v>
      </c>
      <c r="CL26" s="491">
        <v>0</v>
      </c>
      <c r="CM26" s="495" t="s">
        <v>177</v>
      </c>
      <c r="CN26" s="487">
        <v>1670</v>
      </c>
      <c r="CO26" s="487">
        <v>532</v>
      </c>
      <c r="CP26" s="487">
        <v>0</v>
      </c>
      <c r="CQ26" s="489">
        <v>2202</v>
      </c>
      <c r="CR26" s="491">
        <v>-5</v>
      </c>
      <c r="CS26" s="488" t="s">
        <v>177</v>
      </c>
      <c r="CT26" s="487">
        <v>1684</v>
      </c>
      <c r="CU26" s="487">
        <v>831</v>
      </c>
      <c r="CV26" s="487">
        <v>0</v>
      </c>
      <c r="CW26" s="489">
        <v>2515</v>
      </c>
      <c r="CX26" s="492">
        <v>313</v>
      </c>
      <c r="CY26" s="488" t="s">
        <v>177</v>
      </c>
      <c r="CZ26" s="487">
        <v>3242</v>
      </c>
      <c r="DA26" s="487">
        <v>2044</v>
      </c>
      <c r="DB26" s="487">
        <v>0</v>
      </c>
      <c r="DC26" s="489">
        <v>5286</v>
      </c>
      <c r="DD26" s="492">
        <v>2771</v>
      </c>
      <c r="DE26" s="488" t="s">
        <v>177</v>
      </c>
      <c r="DF26" s="487">
        <v>3258</v>
      </c>
      <c r="DG26" s="487">
        <v>2209</v>
      </c>
      <c r="DH26" s="487">
        <v>0</v>
      </c>
      <c r="DI26" s="489">
        <v>5467</v>
      </c>
      <c r="DJ26" s="492">
        <v>181</v>
      </c>
      <c r="DK26" s="488" t="s">
        <v>177</v>
      </c>
      <c r="DL26" s="487">
        <v>2763</v>
      </c>
      <c r="DM26" s="487">
        <v>1495</v>
      </c>
      <c r="DN26" s="487">
        <v>0</v>
      </c>
      <c r="DO26" s="489">
        <v>4258</v>
      </c>
      <c r="DP26" s="492">
        <v>-1209</v>
      </c>
      <c r="DR26" s="488" t="s">
        <v>177</v>
      </c>
      <c r="DS26" s="487">
        <v>2767</v>
      </c>
      <c r="DT26" s="487">
        <v>2026</v>
      </c>
      <c r="DU26" s="487">
        <v>0</v>
      </c>
      <c r="DV26" s="489">
        <v>4793</v>
      </c>
      <c r="DW26" s="492">
        <v>6002</v>
      </c>
      <c r="DY26" s="488" t="s">
        <v>177</v>
      </c>
      <c r="DZ26" s="487">
        <f>GETPIVOTDATA("Individus",'Displacement &amp; Returns'!$D$158, "adm2_name","Mayo-Danay","adm3_name",$DK26,"Statut déplacé","PDI")</f>
        <v>2767</v>
      </c>
      <c r="EA26" s="487">
        <f>GETPIVOTDATA("Individus",'Displacement &amp; Returns'!$D$158, "adm2_name","Mayo-Danay","adm3_name",$DK26,"Statut déplacé","Retournés")</f>
        <v>6138</v>
      </c>
      <c r="EB26" s="487">
        <f>GETPIVOTDATA("Individus",'Displacement &amp; Returns'!$D$158, "adm2_name","Mayo-Danay","adm3_name",$DK26,"Statut déplacé","Refugié hors camp")</f>
        <v>0</v>
      </c>
      <c r="EC26" s="489">
        <f t="shared" si="26"/>
        <v>8905</v>
      </c>
      <c r="ED26" s="492">
        <f t="shared" si="27"/>
        <v>10114</v>
      </c>
      <c r="EF26" s="488" t="s">
        <v>177</v>
      </c>
      <c r="EG26" s="487">
        <f t="shared" si="28"/>
        <v>4</v>
      </c>
      <c r="EH26" s="487">
        <f t="shared" si="28"/>
        <v>4643</v>
      </c>
      <c r="EI26" s="487">
        <f t="shared" si="28"/>
        <v>0</v>
      </c>
      <c r="EJ26" s="494">
        <f t="shared" si="29"/>
        <v>4647</v>
      </c>
      <c r="EK26" s="1191"/>
      <c r="EL26" s="1191"/>
      <c r="EM26" s="1191"/>
    </row>
    <row r="27" spans="2:143" x14ac:dyDescent="0.3">
      <c r="B27" s="488" t="s">
        <v>179</v>
      </c>
      <c r="C27" s="487">
        <v>227</v>
      </c>
      <c r="D27" s="487">
        <v>942</v>
      </c>
      <c r="E27" s="487">
        <v>0</v>
      </c>
      <c r="F27" s="489">
        <v>1169</v>
      </c>
      <c r="G27" s="488" t="s">
        <v>179</v>
      </c>
      <c r="H27" s="487">
        <v>227</v>
      </c>
      <c r="I27" s="487">
        <v>977</v>
      </c>
      <c r="J27" s="487">
        <v>0</v>
      </c>
      <c r="K27" s="489">
        <v>1204</v>
      </c>
      <c r="L27" s="487">
        <f t="shared" si="10"/>
        <v>35</v>
      </c>
      <c r="M27" s="488" t="s">
        <v>179</v>
      </c>
      <c r="N27" s="487">
        <v>227</v>
      </c>
      <c r="O27" s="487">
        <v>975</v>
      </c>
      <c r="P27" s="487">
        <v>0</v>
      </c>
      <c r="Q27" s="489">
        <v>1202</v>
      </c>
      <c r="R27" s="487">
        <v>-2</v>
      </c>
      <c r="S27" s="488" t="s">
        <v>179</v>
      </c>
      <c r="T27" s="487">
        <v>227</v>
      </c>
      <c r="U27" s="487">
        <v>963</v>
      </c>
      <c r="V27" s="487">
        <v>0</v>
      </c>
      <c r="W27" s="489">
        <v>1190</v>
      </c>
      <c r="X27" s="487">
        <f t="shared" si="30"/>
        <v>-12</v>
      </c>
      <c r="Y27" s="488" t="s">
        <v>179</v>
      </c>
      <c r="Z27" s="487">
        <v>33</v>
      </c>
      <c r="AA27" s="487">
        <v>1069</v>
      </c>
      <c r="AB27" s="487">
        <v>0</v>
      </c>
      <c r="AC27" s="489">
        <v>1102</v>
      </c>
      <c r="AD27" s="487">
        <f t="shared" si="31"/>
        <v>-88</v>
      </c>
      <c r="AE27" s="488" t="s">
        <v>179</v>
      </c>
      <c r="AF27" s="487">
        <v>33</v>
      </c>
      <c r="AG27" s="487">
        <v>1100</v>
      </c>
      <c r="AH27" s="487">
        <v>0</v>
      </c>
      <c r="AI27" s="489">
        <v>1133</v>
      </c>
      <c r="AJ27" s="491">
        <f t="shared" si="32"/>
        <v>0</v>
      </c>
      <c r="AK27" s="488" t="s">
        <v>179</v>
      </c>
      <c r="AL27" s="487">
        <v>33</v>
      </c>
      <c r="AM27" s="487">
        <v>1069</v>
      </c>
      <c r="AN27" s="487">
        <v>0</v>
      </c>
      <c r="AO27" s="489">
        <v>1102</v>
      </c>
      <c r="AP27" s="489">
        <f t="shared" si="33"/>
        <v>-31</v>
      </c>
      <c r="AQ27" s="495" t="s">
        <v>179</v>
      </c>
      <c r="AR27" s="487">
        <v>33</v>
      </c>
      <c r="AS27" s="487">
        <v>1100</v>
      </c>
      <c r="AT27" s="487">
        <v>0</v>
      </c>
      <c r="AU27" s="489">
        <v>1133</v>
      </c>
      <c r="AV27" s="487">
        <f t="shared" si="34"/>
        <v>31</v>
      </c>
      <c r="AW27" s="488" t="s">
        <v>179</v>
      </c>
      <c r="AX27" s="487">
        <v>37</v>
      </c>
      <c r="AY27" s="487">
        <v>1047</v>
      </c>
      <c r="AZ27" s="487">
        <v>0</v>
      </c>
      <c r="BA27" s="489">
        <v>1084</v>
      </c>
      <c r="BB27" s="491">
        <f t="shared" si="35"/>
        <v>-49</v>
      </c>
      <c r="BC27" s="488" t="s">
        <v>179</v>
      </c>
      <c r="BD27" s="487">
        <v>37</v>
      </c>
      <c r="BE27" s="487">
        <v>1092</v>
      </c>
      <c r="BF27" s="487">
        <v>0</v>
      </c>
      <c r="BG27" s="489">
        <v>1129</v>
      </c>
      <c r="BH27" s="489">
        <f t="shared" si="36"/>
        <v>45</v>
      </c>
      <c r="BI27" s="495" t="s">
        <v>179</v>
      </c>
      <c r="BJ27" s="487">
        <v>37</v>
      </c>
      <c r="BK27" s="487">
        <v>1110</v>
      </c>
      <c r="BL27" s="487">
        <v>0</v>
      </c>
      <c r="BM27" s="489">
        <v>1147</v>
      </c>
      <c r="BN27" s="489">
        <v>18</v>
      </c>
      <c r="BO27" s="495" t="s">
        <v>179</v>
      </c>
      <c r="BP27" s="487">
        <v>37</v>
      </c>
      <c r="BQ27" s="487">
        <v>1110</v>
      </c>
      <c r="BR27" s="487">
        <v>0</v>
      </c>
      <c r="BS27" s="489">
        <v>1147</v>
      </c>
      <c r="BT27" s="487">
        <v>0</v>
      </c>
      <c r="BU27" s="488" t="s">
        <v>179</v>
      </c>
      <c r="BV27" s="487">
        <v>37</v>
      </c>
      <c r="BW27" s="487">
        <v>1110</v>
      </c>
      <c r="BX27" s="487">
        <v>0</v>
      </c>
      <c r="BY27" s="489">
        <v>1147</v>
      </c>
      <c r="BZ27" s="492">
        <v>0</v>
      </c>
      <c r="CA27" s="495" t="s">
        <v>179</v>
      </c>
      <c r="CB27" s="487">
        <v>37</v>
      </c>
      <c r="CC27" s="487">
        <v>1110</v>
      </c>
      <c r="CD27" s="487">
        <v>0</v>
      </c>
      <c r="CE27" s="489">
        <v>1147</v>
      </c>
      <c r="CF27" s="492">
        <v>0</v>
      </c>
      <c r="CG27" s="495" t="s">
        <v>179</v>
      </c>
      <c r="CH27" s="487">
        <v>37</v>
      </c>
      <c r="CI27" s="487">
        <v>1110</v>
      </c>
      <c r="CJ27" s="487">
        <v>0</v>
      </c>
      <c r="CK27" s="489">
        <v>1147</v>
      </c>
      <c r="CL27" s="491">
        <v>0</v>
      </c>
      <c r="CM27" s="495" t="s">
        <v>179</v>
      </c>
      <c r="CN27" s="487">
        <v>43</v>
      </c>
      <c r="CO27" s="487">
        <v>1116</v>
      </c>
      <c r="CP27" s="487">
        <v>0</v>
      </c>
      <c r="CQ27" s="489">
        <v>1159</v>
      </c>
      <c r="CR27" s="491">
        <v>12</v>
      </c>
      <c r="CS27" s="488" t="s">
        <v>179</v>
      </c>
      <c r="CT27" s="487">
        <v>46</v>
      </c>
      <c r="CU27" s="487">
        <v>824</v>
      </c>
      <c r="CV27" s="487">
        <v>0</v>
      </c>
      <c r="CW27" s="489">
        <v>870</v>
      </c>
      <c r="CX27" s="492">
        <v>-289</v>
      </c>
      <c r="CY27" s="488" t="s">
        <v>179</v>
      </c>
      <c r="CZ27" s="487">
        <v>49</v>
      </c>
      <c r="DA27" s="487">
        <v>1141</v>
      </c>
      <c r="DB27" s="487">
        <v>0</v>
      </c>
      <c r="DC27" s="489">
        <v>1190</v>
      </c>
      <c r="DD27" s="492">
        <v>320</v>
      </c>
      <c r="DE27" s="488" t="s">
        <v>179</v>
      </c>
      <c r="DF27" s="487">
        <v>49</v>
      </c>
      <c r="DG27" s="487">
        <v>938</v>
      </c>
      <c r="DH27" s="487">
        <v>0</v>
      </c>
      <c r="DI27" s="489">
        <v>987</v>
      </c>
      <c r="DJ27" s="492">
        <v>-203</v>
      </c>
      <c r="DK27" s="488" t="s">
        <v>179</v>
      </c>
      <c r="DL27" s="487">
        <v>49</v>
      </c>
      <c r="DM27" s="487">
        <v>973</v>
      </c>
      <c r="DN27" s="487">
        <v>0</v>
      </c>
      <c r="DO27" s="489">
        <v>1022</v>
      </c>
      <c r="DP27" s="492">
        <v>35</v>
      </c>
      <c r="DR27" s="488" t="s">
        <v>179</v>
      </c>
      <c r="DS27" s="487">
        <v>49</v>
      </c>
      <c r="DT27" s="487">
        <v>973</v>
      </c>
      <c r="DU27" s="487">
        <v>0</v>
      </c>
      <c r="DV27" s="489">
        <v>1022</v>
      </c>
      <c r="DW27" s="492">
        <v>987</v>
      </c>
      <c r="DY27" s="488" t="s">
        <v>179</v>
      </c>
      <c r="DZ27" s="487">
        <f>GETPIVOTDATA("Individus",'Displacement &amp; Returns'!$D$158, "adm2_name","Mayo-Danay","adm3_name",$DK27,"Statut déplacé","PDI")</f>
        <v>49</v>
      </c>
      <c r="EA27" s="487">
        <f>GETPIVOTDATA("Individus",'Displacement &amp; Returns'!$D$158, "adm2_name","Mayo-Danay","adm3_name",$DK27,"Statut déplacé","Retournés")</f>
        <v>1567</v>
      </c>
      <c r="EB27" s="487">
        <f>GETPIVOTDATA("Individus",'Displacement &amp; Returns'!$D$158, "adm2_name","Mayo-Danay","adm3_name",$DK27,"Statut déplacé","Refugié hors camp")</f>
        <v>0</v>
      </c>
      <c r="EC27" s="489">
        <f t="shared" si="26"/>
        <v>1616</v>
      </c>
      <c r="ED27" s="492">
        <f t="shared" si="27"/>
        <v>1581</v>
      </c>
      <c r="EF27" s="488" t="s">
        <v>179</v>
      </c>
      <c r="EG27" s="487">
        <f t="shared" si="28"/>
        <v>0</v>
      </c>
      <c r="EH27" s="487">
        <f t="shared" si="28"/>
        <v>594</v>
      </c>
      <c r="EI27" s="487">
        <f t="shared" si="28"/>
        <v>0</v>
      </c>
      <c r="EJ27" s="494">
        <f t="shared" si="29"/>
        <v>594</v>
      </c>
      <c r="EK27" s="1191"/>
      <c r="EL27" s="1191"/>
      <c r="EM27" s="1191"/>
    </row>
    <row r="28" spans="2:143" x14ac:dyDescent="0.3">
      <c r="B28" s="488" t="s">
        <v>176</v>
      </c>
      <c r="C28" s="487">
        <v>3738</v>
      </c>
      <c r="D28" s="487">
        <v>4131</v>
      </c>
      <c r="E28" s="487">
        <v>52</v>
      </c>
      <c r="F28" s="489">
        <v>7921</v>
      </c>
      <c r="G28" s="488" t="s">
        <v>176</v>
      </c>
      <c r="H28" s="487">
        <v>3713</v>
      </c>
      <c r="I28" s="487">
        <v>4136</v>
      </c>
      <c r="J28" s="487">
        <v>28</v>
      </c>
      <c r="K28" s="489">
        <v>7877</v>
      </c>
      <c r="L28" s="487">
        <f t="shared" si="10"/>
        <v>-44</v>
      </c>
      <c r="M28" s="488" t="s">
        <v>176</v>
      </c>
      <c r="N28" s="487">
        <v>1343</v>
      </c>
      <c r="O28" s="487">
        <v>1537</v>
      </c>
      <c r="P28" s="487">
        <v>77</v>
      </c>
      <c r="Q28" s="489">
        <v>2957</v>
      </c>
      <c r="R28" s="487">
        <v>-4920</v>
      </c>
      <c r="S28" s="488" t="s">
        <v>176</v>
      </c>
      <c r="T28" s="487">
        <v>582</v>
      </c>
      <c r="U28" s="487">
        <v>3646</v>
      </c>
      <c r="V28" s="487">
        <v>10</v>
      </c>
      <c r="W28" s="489">
        <v>4238</v>
      </c>
      <c r="X28" s="487">
        <f t="shared" si="30"/>
        <v>1281</v>
      </c>
      <c r="Y28" s="488" t="s">
        <v>176</v>
      </c>
      <c r="Z28" s="487">
        <v>574</v>
      </c>
      <c r="AA28" s="487">
        <v>3726</v>
      </c>
      <c r="AB28" s="487">
        <v>10</v>
      </c>
      <c r="AC28" s="489">
        <v>4310</v>
      </c>
      <c r="AD28" s="487">
        <f t="shared" si="31"/>
        <v>72</v>
      </c>
      <c r="AE28" s="488" t="s">
        <v>176</v>
      </c>
      <c r="AF28" s="487">
        <v>574</v>
      </c>
      <c r="AG28" s="487">
        <v>3699</v>
      </c>
      <c r="AH28" s="487">
        <v>10</v>
      </c>
      <c r="AI28" s="489">
        <v>4283</v>
      </c>
      <c r="AJ28" s="491">
        <f t="shared" si="32"/>
        <v>-67</v>
      </c>
      <c r="AK28" s="488" t="s">
        <v>176</v>
      </c>
      <c r="AL28" s="487">
        <v>574</v>
      </c>
      <c r="AM28" s="487">
        <v>3699</v>
      </c>
      <c r="AN28" s="487">
        <v>0</v>
      </c>
      <c r="AO28" s="489">
        <v>4273</v>
      </c>
      <c r="AP28" s="489">
        <f t="shared" si="33"/>
        <v>-10</v>
      </c>
      <c r="AQ28" s="495" t="s">
        <v>176</v>
      </c>
      <c r="AR28" s="487">
        <v>574</v>
      </c>
      <c r="AS28" s="487">
        <v>3699</v>
      </c>
      <c r="AT28" s="487">
        <v>0</v>
      </c>
      <c r="AU28" s="489">
        <v>4273</v>
      </c>
      <c r="AV28" s="487">
        <f t="shared" si="34"/>
        <v>0</v>
      </c>
      <c r="AW28" s="488" t="s">
        <v>176</v>
      </c>
      <c r="AX28" s="487">
        <v>574</v>
      </c>
      <c r="AY28" s="487">
        <v>3702</v>
      </c>
      <c r="AZ28" s="487">
        <v>0</v>
      </c>
      <c r="BA28" s="489">
        <v>4276</v>
      </c>
      <c r="BB28" s="491">
        <f t="shared" si="35"/>
        <v>3</v>
      </c>
      <c r="BC28" s="488" t="s">
        <v>176</v>
      </c>
      <c r="BD28" s="487">
        <v>633</v>
      </c>
      <c r="BE28" s="487">
        <v>3802</v>
      </c>
      <c r="BF28" s="487">
        <v>0</v>
      </c>
      <c r="BG28" s="489">
        <v>4435</v>
      </c>
      <c r="BH28" s="489">
        <f t="shared" si="36"/>
        <v>159</v>
      </c>
      <c r="BI28" s="495" t="s">
        <v>176</v>
      </c>
      <c r="BJ28" s="487">
        <v>640</v>
      </c>
      <c r="BK28" s="487">
        <v>3812</v>
      </c>
      <c r="BL28" s="487">
        <v>0</v>
      </c>
      <c r="BM28" s="489">
        <v>4452</v>
      </c>
      <c r="BN28" s="489">
        <v>17</v>
      </c>
      <c r="BO28" s="495" t="s">
        <v>176</v>
      </c>
      <c r="BP28" s="487">
        <v>638</v>
      </c>
      <c r="BQ28" s="487">
        <v>3831</v>
      </c>
      <c r="BR28" s="487">
        <v>0</v>
      </c>
      <c r="BS28" s="489">
        <v>4469</v>
      </c>
      <c r="BT28" s="487">
        <v>17</v>
      </c>
      <c r="BU28" s="488" t="s">
        <v>176</v>
      </c>
      <c r="BV28" s="487">
        <v>640</v>
      </c>
      <c r="BW28" s="487">
        <v>3843</v>
      </c>
      <c r="BX28" s="487">
        <v>0</v>
      </c>
      <c r="BY28" s="489">
        <v>4483</v>
      </c>
      <c r="BZ28" s="492">
        <v>14</v>
      </c>
      <c r="CA28" s="495" t="s">
        <v>176</v>
      </c>
      <c r="CB28" s="487">
        <v>3150</v>
      </c>
      <c r="CC28" s="487">
        <v>3864</v>
      </c>
      <c r="CD28" s="487">
        <v>12</v>
      </c>
      <c r="CE28" s="489">
        <v>7026</v>
      </c>
      <c r="CF28" s="492">
        <v>2543</v>
      </c>
      <c r="CG28" s="495" t="s">
        <v>176</v>
      </c>
      <c r="CH28" s="487">
        <v>3157</v>
      </c>
      <c r="CI28" s="487">
        <v>3867</v>
      </c>
      <c r="CJ28" s="487">
        <v>12</v>
      </c>
      <c r="CK28" s="489">
        <v>7036</v>
      </c>
      <c r="CL28" s="491">
        <v>10</v>
      </c>
      <c r="CM28" s="495" t="s">
        <v>176</v>
      </c>
      <c r="CN28" s="487">
        <v>9546</v>
      </c>
      <c r="CO28" s="487">
        <v>6654</v>
      </c>
      <c r="CP28" s="487">
        <v>12</v>
      </c>
      <c r="CQ28" s="489">
        <v>16212</v>
      </c>
      <c r="CR28" s="491">
        <v>9176</v>
      </c>
      <c r="CS28" s="488" t="s">
        <v>176</v>
      </c>
      <c r="CT28" s="487">
        <v>8160</v>
      </c>
      <c r="CU28" s="487">
        <v>7830</v>
      </c>
      <c r="CV28" s="487">
        <v>12</v>
      </c>
      <c r="CW28" s="489">
        <v>16002</v>
      </c>
      <c r="CX28" s="492">
        <v>-210</v>
      </c>
      <c r="CY28" s="488" t="s">
        <v>176</v>
      </c>
      <c r="CZ28" s="487">
        <v>6796</v>
      </c>
      <c r="DA28" s="487">
        <v>6672</v>
      </c>
      <c r="DB28" s="487">
        <v>12</v>
      </c>
      <c r="DC28" s="489">
        <v>13480</v>
      </c>
      <c r="DD28" s="492">
        <v>-2522</v>
      </c>
      <c r="DE28" s="488" t="s">
        <v>176</v>
      </c>
      <c r="DF28" s="487">
        <v>9260</v>
      </c>
      <c r="DG28" s="487">
        <v>7881</v>
      </c>
      <c r="DH28" s="487">
        <v>14</v>
      </c>
      <c r="DI28" s="489">
        <v>17155</v>
      </c>
      <c r="DJ28" s="492">
        <v>3675</v>
      </c>
      <c r="DK28" s="488" t="s">
        <v>176</v>
      </c>
      <c r="DL28" s="487">
        <v>9417</v>
      </c>
      <c r="DM28" s="487">
        <v>7901</v>
      </c>
      <c r="DN28" s="487">
        <v>12</v>
      </c>
      <c r="DO28" s="489">
        <v>17330</v>
      </c>
      <c r="DP28" s="492">
        <v>175</v>
      </c>
      <c r="DR28" s="488" t="s">
        <v>176</v>
      </c>
      <c r="DS28" s="487">
        <v>9614</v>
      </c>
      <c r="DT28" s="487">
        <v>7953</v>
      </c>
      <c r="DU28" s="487">
        <v>18</v>
      </c>
      <c r="DV28" s="489">
        <v>17585</v>
      </c>
      <c r="DW28" s="492">
        <v>17410</v>
      </c>
      <c r="DY28" s="488" t="s">
        <v>176</v>
      </c>
      <c r="DZ28" s="487">
        <f>GETPIVOTDATA("Individus",'Displacement &amp; Returns'!$D$158, "adm2_name","Mayo-Danay","adm3_name",$DK28,"Statut déplacé","PDI")</f>
        <v>10359</v>
      </c>
      <c r="EA28" s="487">
        <f>GETPIVOTDATA("Individus",'Displacement &amp; Returns'!$D$158, "adm2_name","Mayo-Danay","adm3_name",$DK28,"Statut déplacé","Retournés")</f>
        <v>17989</v>
      </c>
      <c r="EB28" s="487">
        <f>GETPIVOTDATA("Individus",'Displacement &amp; Returns'!$D$158, "adm2_name","Mayo-Danay","adm3_name",$DK28,"Statut déplacé","Refugié hors camp")</f>
        <v>18</v>
      </c>
      <c r="EC28" s="489">
        <f t="shared" si="26"/>
        <v>28366</v>
      </c>
      <c r="ED28" s="492">
        <f t="shared" si="27"/>
        <v>28191</v>
      </c>
      <c r="EF28" s="488" t="s">
        <v>176</v>
      </c>
      <c r="EG28" s="487">
        <f t="shared" si="28"/>
        <v>942</v>
      </c>
      <c r="EH28" s="487">
        <f t="shared" si="28"/>
        <v>10088</v>
      </c>
      <c r="EI28" s="487">
        <f t="shared" si="28"/>
        <v>6</v>
      </c>
      <c r="EJ28" s="494">
        <f t="shared" si="29"/>
        <v>11036</v>
      </c>
      <c r="EK28" s="1191"/>
      <c r="EL28" s="1191"/>
      <c r="EM28" s="1191"/>
    </row>
    <row r="29" spans="2:143" x14ac:dyDescent="0.3">
      <c r="B29" s="488" t="s">
        <v>178</v>
      </c>
      <c r="C29" s="487">
        <v>7660</v>
      </c>
      <c r="D29" s="487">
        <v>0</v>
      </c>
      <c r="E29" s="487">
        <v>0</v>
      </c>
      <c r="F29" s="489">
        <v>7660</v>
      </c>
      <c r="G29" s="488" t="s">
        <v>178</v>
      </c>
      <c r="H29" s="487">
        <v>6702</v>
      </c>
      <c r="I29" s="487">
        <v>0</v>
      </c>
      <c r="J29" s="487">
        <v>0</v>
      </c>
      <c r="K29" s="489">
        <v>6702</v>
      </c>
      <c r="L29" s="487">
        <f t="shared" si="10"/>
        <v>-958</v>
      </c>
      <c r="M29" s="488" t="s">
        <v>178</v>
      </c>
      <c r="N29" s="487">
        <v>6704</v>
      </c>
      <c r="O29" s="487">
        <v>0</v>
      </c>
      <c r="P29" s="487">
        <v>0</v>
      </c>
      <c r="Q29" s="489">
        <v>6704</v>
      </c>
      <c r="R29" s="487">
        <v>2</v>
      </c>
      <c r="S29" s="488" t="s">
        <v>178</v>
      </c>
      <c r="T29" s="487">
        <v>5217</v>
      </c>
      <c r="U29" s="487">
        <v>0</v>
      </c>
      <c r="V29" s="487">
        <v>0</v>
      </c>
      <c r="W29" s="489">
        <v>5217</v>
      </c>
      <c r="X29" s="487">
        <f t="shared" si="30"/>
        <v>-1487</v>
      </c>
      <c r="Y29" s="488" t="s">
        <v>178</v>
      </c>
      <c r="Z29" s="487">
        <v>5247</v>
      </c>
      <c r="AA29" s="487">
        <v>17</v>
      </c>
      <c r="AB29" s="487">
        <v>0</v>
      </c>
      <c r="AC29" s="489">
        <v>5264</v>
      </c>
      <c r="AD29" s="487">
        <f t="shared" si="31"/>
        <v>47</v>
      </c>
      <c r="AE29" s="488" t="s">
        <v>178</v>
      </c>
      <c r="AF29" s="487">
        <v>5247</v>
      </c>
      <c r="AG29" s="487">
        <v>17</v>
      </c>
      <c r="AH29" s="487">
        <v>0</v>
      </c>
      <c r="AI29" s="489">
        <v>5264</v>
      </c>
      <c r="AJ29" s="491">
        <f t="shared" si="32"/>
        <v>0</v>
      </c>
      <c r="AK29" s="488" t="s">
        <v>178</v>
      </c>
      <c r="AL29" s="487">
        <v>5239</v>
      </c>
      <c r="AM29" s="487">
        <v>863</v>
      </c>
      <c r="AN29" s="487">
        <v>0</v>
      </c>
      <c r="AO29" s="489">
        <v>6102</v>
      </c>
      <c r="AP29" s="489">
        <f t="shared" si="33"/>
        <v>838</v>
      </c>
      <c r="AQ29" s="495" t="s">
        <v>178</v>
      </c>
      <c r="AR29" s="487">
        <v>5256</v>
      </c>
      <c r="AS29" s="487">
        <v>369</v>
      </c>
      <c r="AT29" s="487">
        <v>0</v>
      </c>
      <c r="AU29" s="489">
        <v>5625</v>
      </c>
      <c r="AV29" s="487">
        <f t="shared" si="34"/>
        <v>-477</v>
      </c>
      <c r="AW29" s="488" t="s">
        <v>178</v>
      </c>
      <c r="AX29" s="487">
        <v>5298</v>
      </c>
      <c r="AY29" s="487">
        <v>226</v>
      </c>
      <c r="AZ29" s="487">
        <v>0</v>
      </c>
      <c r="BA29" s="489">
        <v>5524</v>
      </c>
      <c r="BB29" s="491">
        <f t="shared" si="35"/>
        <v>-101</v>
      </c>
      <c r="BC29" s="488" t="s">
        <v>178</v>
      </c>
      <c r="BD29" s="487">
        <v>5298</v>
      </c>
      <c r="BE29" s="487">
        <v>226</v>
      </c>
      <c r="BF29" s="487">
        <v>0</v>
      </c>
      <c r="BG29" s="489">
        <v>5524</v>
      </c>
      <c r="BH29" s="489">
        <f t="shared" si="36"/>
        <v>0</v>
      </c>
      <c r="BI29" s="495" t="s">
        <v>178</v>
      </c>
      <c r="BJ29" s="487">
        <v>4601</v>
      </c>
      <c r="BK29" s="487">
        <v>226</v>
      </c>
      <c r="BL29" s="487">
        <v>0</v>
      </c>
      <c r="BM29" s="489">
        <v>4827</v>
      </c>
      <c r="BN29" s="489">
        <v>-697</v>
      </c>
      <c r="BO29" s="495" t="s">
        <v>178</v>
      </c>
      <c r="BP29" s="487">
        <v>4601</v>
      </c>
      <c r="BQ29" s="487">
        <v>226</v>
      </c>
      <c r="BR29" s="487">
        <v>0</v>
      </c>
      <c r="BS29" s="489">
        <v>4827</v>
      </c>
      <c r="BT29" s="487">
        <v>0</v>
      </c>
      <c r="BU29" s="488" t="s">
        <v>178</v>
      </c>
      <c r="BV29" s="487">
        <v>4857</v>
      </c>
      <c r="BW29" s="487">
        <v>247</v>
      </c>
      <c r="BX29" s="487">
        <v>0</v>
      </c>
      <c r="BY29" s="489">
        <v>5104</v>
      </c>
      <c r="BZ29" s="492">
        <v>277</v>
      </c>
      <c r="CA29" s="495" t="s">
        <v>178</v>
      </c>
      <c r="CB29" s="487">
        <v>4608</v>
      </c>
      <c r="CC29" s="487">
        <v>224</v>
      </c>
      <c r="CD29" s="487">
        <v>0</v>
      </c>
      <c r="CE29" s="489">
        <v>4832</v>
      </c>
      <c r="CF29" s="492">
        <v>-272</v>
      </c>
      <c r="CG29" s="495" t="s">
        <v>178</v>
      </c>
      <c r="CH29" s="487">
        <v>4643</v>
      </c>
      <c r="CI29" s="487">
        <v>203</v>
      </c>
      <c r="CJ29" s="487">
        <v>0</v>
      </c>
      <c r="CK29" s="489">
        <v>4846</v>
      </c>
      <c r="CL29" s="491">
        <v>14</v>
      </c>
      <c r="CM29" s="495" t="s">
        <v>178</v>
      </c>
      <c r="CN29" s="487">
        <v>8136</v>
      </c>
      <c r="CO29" s="487">
        <v>203</v>
      </c>
      <c r="CP29" s="487">
        <v>0</v>
      </c>
      <c r="CQ29" s="489">
        <v>8339</v>
      </c>
      <c r="CR29" s="491">
        <v>3493</v>
      </c>
      <c r="CS29" s="488" t="s">
        <v>178</v>
      </c>
      <c r="CT29" s="487">
        <v>7954</v>
      </c>
      <c r="CU29" s="487">
        <v>661</v>
      </c>
      <c r="CV29" s="487">
        <v>0</v>
      </c>
      <c r="CW29" s="489">
        <v>8615</v>
      </c>
      <c r="CX29" s="492">
        <v>276</v>
      </c>
      <c r="CY29" s="488" t="s">
        <v>178</v>
      </c>
      <c r="CZ29" s="487">
        <v>5382</v>
      </c>
      <c r="DA29" s="487">
        <v>671</v>
      </c>
      <c r="DB29" s="487">
        <v>0</v>
      </c>
      <c r="DC29" s="489">
        <v>6053</v>
      </c>
      <c r="DD29" s="492">
        <v>-2562</v>
      </c>
      <c r="DE29" s="488" t="s">
        <v>178</v>
      </c>
      <c r="DF29" s="487">
        <v>5414</v>
      </c>
      <c r="DG29" s="487">
        <v>3221</v>
      </c>
      <c r="DH29" s="487">
        <v>0</v>
      </c>
      <c r="DI29" s="489">
        <v>8635</v>
      </c>
      <c r="DJ29" s="492">
        <v>2582</v>
      </c>
      <c r="DK29" s="488" t="s">
        <v>178</v>
      </c>
      <c r="DL29" s="487">
        <v>5261</v>
      </c>
      <c r="DM29" s="487">
        <v>3239</v>
      </c>
      <c r="DN29" s="487">
        <v>0</v>
      </c>
      <c r="DO29" s="489">
        <v>8500</v>
      </c>
      <c r="DP29" s="492">
        <v>-135</v>
      </c>
      <c r="DR29" s="488" t="s">
        <v>178</v>
      </c>
      <c r="DS29" s="487">
        <v>5298</v>
      </c>
      <c r="DT29" s="487">
        <v>4940</v>
      </c>
      <c r="DU29" s="487">
        <v>0</v>
      </c>
      <c r="DV29" s="489">
        <v>10238</v>
      </c>
      <c r="DW29" s="492">
        <v>10373</v>
      </c>
      <c r="DY29" s="488" t="s">
        <v>178</v>
      </c>
      <c r="DZ29" s="487">
        <f>GETPIVOTDATA("Individus",'Displacement &amp; Returns'!$D$158, "adm2_name","Mayo-Danay","adm3_name",$DK29,"Statut déplacé","PDI")</f>
        <v>5405</v>
      </c>
      <c r="EA29" s="487">
        <f>GETPIVOTDATA("Individus",'Displacement &amp; Returns'!$D$158, "adm2_name","Mayo-Danay","adm3_name",$DK29,"Statut déplacé","Retournés")</f>
        <v>8503</v>
      </c>
      <c r="EB29" s="487">
        <f>GETPIVOTDATA("Individus",'Displacement &amp; Returns'!$D$158, "adm2_name","Mayo-Danay","adm3_name",$DK29,"Statut déplacé","Refugié hors camp")</f>
        <v>0</v>
      </c>
      <c r="EC29" s="489">
        <f t="shared" si="26"/>
        <v>13908</v>
      </c>
      <c r="ED29" s="492">
        <f t="shared" si="27"/>
        <v>14043</v>
      </c>
      <c r="EF29" s="488" t="s">
        <v>178</v>
      </c>
      <c r="EG29" s="487">
        <f t="shared" si="28"/>
        <v>144</v>
      </c>
      <c r="EH29" s="487">
        <f t="shared" si="28"/>
        <v>5264</v>
      </c>
      <c r="EI29" s="487">
        <f t="shared" si="28"/>
        <v>0</v>
      </c>
      <c r="EJ29" s="494">
        <f t="shared" si="29"/>
        <v>5408</v>
      </c>
      <c r="EK29" s="1191"/>
      <c r="EL29" s="1191"/>
      <c r="EM29" s="1191"/>
    </row>
    <row r="30" spans="2:143" x14ac:dyDescent="0.3">
      <c r="B30" s="488" t="s">
        <v>180</v>
      </c>
      <c r="C30" s="487">
        <v>0</v>
      </c>
      <c r="D30" s="487">
        <v>0</v>
      </c>
      <c r="E30" s="487">
        <v>0</v>
      </c>
      <c r="F30" s="487">
        <v>0</v>
      </c>
      <c r="G30" s="488" t="s">
        <v>180</v>
      </c>
      <c r="H30" s="487">
        <v>0</v>
      </c>
      <c r="I30" s="487">
        <v>0</v>
      </c>
      <c r="J30" s="487">
        <v>0</v>
      </c>
      <c r="K30" s="487">
        <v>0</v>
      </c>
      <c r="L30" s="492">
        <v>0</v>
      </c>
      <c r="M30" s="488" t="s">
        <v>180</v>
      </c>
      <c r="N30" s="487">
        <v>0</v>
      </c>
      <c r="O30" s="487">
        <v>0</v>
      </c>
      <c r="P30" s="487">
        <v>0</v>
      </c>
      <c r="Q30" s="487">
        <v>0</v>
      </c>
      <c r="R30" s="492">
        <v>0</v>
      </c>
      <c r="S30" s="488" t="s">
        <v>180</v>
      </c>
      <c r="T30" s="487">
        <v>0</v>
      </c>
      <c r="U30" s="487">
        <v>0</v>
      </c>
      <c r="V30" s="487">
        <v>0</v>
      </c>
      <c r="W30" s="487">
        <v>0</v>
      </c>
      <c r="X30" s="492">
        <v>0</v>
      </c>
      <c r="Y30" s="488" t="s">
        <v>180</v>
      </c>
      <c r="Z30" s="487">
        <v>0</v>
      </c>
      <c r="AA30" s="487">
        <v>0</v>
      </c>
      <c r="AB30" s="487">
        <v>0</v>
      </c>
      <c r="AC30" s="487">
        <v>0</v>
      </c>
      <c r="AD30" s="492">
        <v>0</v>
      </c>
      <c r="AE30" s="488" t="s">
        <v>180</v>
      </c>
      <c r="AF30" s="487">
        <v>0</v>
      </c>
      <c r="AG30" s="487">
        <v>0</v>
      </c>
      <c r="AH30" s="487">
        <v>0</v>
      </c>
      <c r="AI30" s="487">
        <v>0</v>
      </c>
      <c r="AJ30" s="492">
        <v>0</v>
      </c>
      <c r="AK30" s="488" t="s">
        <v>180</v>
      </c>
      <c r="AL30" s="487">
        <v>0</v>
      </c>
      <c r="AM30" s="487">
        <v>0</v>
      </c>
      <c r="AN30" s="487">
        <v>0</v>
      </c>
      <c r="AO30" s="487">
        <v>0</v>
      </c>
      <c r="AP30" s="492">
        <v>0</v>
      </c>
      <c r="AQ30" s="495" t="s">
        <v>180</v>
      </c>
      <c r="AR30" s="487">
        <v>0</v>
      </c>
      <c r="AS30" s="487">
        <v>0</v>
      </c>
      <c r="AT30" s="487">
        <v>0</v>
      </c>
      <c r="AU30" s="489">
        <v>0</v>
      </c>
      <c r="AV30" s="489">
        <v>0</v>
      </c>
      <c r="AW30" s="488" t="s">
        <v>180</v>
      </c>
      <c r="AX30" s="487">
        <v>0</v>
      </c>
      <c r="AY30" s="487">
        <v>0</v>
      </c>
      <c r="AZ30" s="487">
        <v>0</v>
      </c>
      <c r="BA30" s="487">
        <v>0</v>
      </c>
      <c r="BB30" s="492">
        <v>0</v>
      </c>
      <c r="BC30" s="488" t="s">
        <v>180</v>
      </c>
      <c r="BD30" s="487">
        <v>0</v>
      </c>
      <c r="BE30" s="487">
        <v>0</v>
      </c>
      <c r="BF30" s="487">
        <v>0</v>
      </c>
      <c r="BG30" s="487">
        <v>0</v>
      </c>
      <c r="BH30" s="492">
        <v>0</v>
      </c>
      <c r="BI30" s="495" t="s">
        <v>180</v>
      </c>
      <c r="BJ30" s="487">
        <v>0</v>
      </c>
      <c r="BK30" s="487">
        <v>0</v>
      </c>
      <c r="BL30" s="487">
        <v>0</v>
      </c>
      <c r="BM30" s="489">
        <v>0</v>
      </c>
      <c r="BN30" s="489">
        <v>0</v>
      </c>
      <c r="BO30" s="495" t="s">
        <v>180</v>
      </c>
      <c r="BP30" s="487">
        <v>0</v>
      </c>
      <c r="BQ30" s="487">
        <v>0</v>
      </c>
      <c r="BR30" s="487">
        <v>0</v>
      </c>
      <c r="BS30" s="489">
        <v>0</v>
      </c>
      <c r="BT30" s="489">
        <v>0</v>
      </c>
      <c r="BU30" s="488" t="s">
        <v>180</v>
      </c>
      <c r="BV30" s="487">
        <v>0</v>
      </c>
      <c r="BW30" s="487">
        <v>0</v>
      </c>
      <c r="BX30" s="487">
        <v>0</v>
      </c>
      <c r="BY30" s="487">
        <v>0</v>
      </c>
      <c r="BZ30" s="492">
        <v>0</v>
      </c>
      <c r="CA30" s="495" t="s">
        <v>180</v>
      </c>
      <c r="CB30" s="487">
        <v>0</v>
      </c>
      <c r="CC30" s="487">
        <v>0</v>
      </c>
      <c r="CD30" s="487">
        <v>0</v>
      </c>
      <c r="CE30" s="487">
        <v>0</v>
      </c>
      <c r="CF30" s="492">
        <v>0</v>
      </c>
      <c r="CG30" s="495" t="s">
        <v>180</v>
      </c>
      <c r="CH30" s="487">
        <v>0</v>
      </c>
      <c r="CI30" s="487">
        <v>0</v>
      </c>
      <c r="CJ30" s="487">
        <v>0</v>
      </c>
      <c r="CK30" s="487">
        <v>0</v>
      </c>
      <c r="CL30" s="492">
        <v>0</v>
      </c>
      <c r="CM30" s="495" t="s">
        <v>180</v>
      </c>
      <c r="CN30" s="487">
        <v>540</v>
      </c>
      <c r="CO30" s="487">
        <v>0</v>
      </c>
      <c r="CP30" s="487">
        <v>0</v>
      </c>
      <c r="CQ30" s="487">
        <v>540</v>
      </c>
      <c r="CR30" s="492">
        <v>540</v>
      </c>
      <c r="CS30" s="488" t="s">
        <v>180</v>
      </c>
      <c r="CT30" s="487">
        <v>540</v>
      </c>
      <c r="CU30" s="487">
        <v>0</v>
      </c>
      <c r="CV30" s="487">
        <v>0</v>
      </c>
      <c r="CW30" s="487">
        <v>540</v>
      </c>
      <c r="CX30" s="492">
        <v>0</v>
      </c>
      <c r="CY30" s="488" t="s">
        <v>180</v>
      </c>
      <c r="CZ30" s="487">
        <v>540</v>
      </c>
      <c r="DA30" s="487">
        <v>0</v>
      </c>
      <c r="DB30" s="487">
        <v>0</v>
      </c>
      <c r="DC30" s="487">
        <v>540</v>
      </c>
      <c r="DD30" s="492">
        <v>0</v>
      </c>
      <c r="DE30" s="488" t="s">
        <v>180</v>
      </c>
      <c r="DF30" s="487">
        <v>546</v>
      </c>
      <c r="DG30" s="487">
        <v>0</v>
      </c>
      <c r="DH30" s="487">
        <v>0</v>
      </c>
      <c r="DI30" s="489">
        <v>546</v>
      </c>
      <c r="DJ30" s="492">
        <v>6</v>
      </c>
      <c r="DK30" s="488" t="s">
        <v>180</v>
      </c>
      <c r="DL30" s="487">
        <v>549</v>
      </c>
      <c r="DM30" s="487">
        <v>0</v>
      </c>
      <c r="DN30" s="487">
        <v>0</v>
      </c>
      <c r="DO30" s="489">
        <v>549</v>
      </c>
      <c r="DP30" s="492">
        <v>3</v>
      </c>
      <c r="DR30" s="488" t="s">
        <v>180</v>
      </c>
      <c r="DS30" s="487">
        <v>552</v>
      </c>
      <c r="DT30" s="487">
        <v>0</v>
      </c>
      <c r="DU30" s="487">
        <v>0</v>
      </c>
      <c r="DV30" s="489">
        <v>552</v>
      </c>
      <c r="DW30" s="492">
        <v>549</v>
      </c>
      <c r="DY30" s="488" t="s">
        <v>180</v>
      </c>
      <c r="DZ30" s="487">
        <f>GETPIVOTDATA("Individus",'Displacement &amp; Returns'!$D$158, "adm2_name","Mayo-Danay","adm3_name",$DK30,"Statut déplacé","PDI")</f>
        <v>552</v>
      </c>
      <c r="EA30" s="487">
        <f>GETPIVOTDATA("Individus",'Displacement &amp; Returns'!$D$158, "adm2_name","Mayo-Danay","adm3_name",$DK30,"Statut déplacé","Retournés")</f>
        <v>36782</v>
      </c>
      <c r="EB30" s="487">
        <f>GETPIVOTDATA("Individus",'Displacement &amp; Returns'!$D$158, "adm2_name","Mayo-Danay","adm3_name",$DK30,"Statut déplacé","Refugié hors camp")</f>
        <v>0</v>
      </c>
      <c r="EC30" s="489">
        <f t="shared" si="26"/>
        <v>37334</v>
      </c>
      <c r="ED30" s="492">
        <f t="shared" si="27"/>
        <v>37331</v>
      </c>
      <c r="EF30" s="488" t="s">
        <v>180</v>
      </c>
      <c r="EG30" s="487">
        <f t="shared" si="28"/>
        <v>3</v>
      </c>
      <c r="EH30" s="487">
        <f t="shared" si="28"/>
        <v>36782</v>
      </c>
      <c r="EI30" s="487">
        <f t="shared" si="28"/>
        <v>0</v>
      </c>
      <c r="EJ30" s="494">
        <f t="shared" si="29"/>
        <v>36785</v>
      </c>
      <c r="EK30" s="1191"/>
      <c r="EL30" s="1191"/>
      <c r="EM30" s="1191"/>
    </row>
    <row r="31" spans="2:143" x14ac:dyDescent="0.3">
      <c r="B31" s="488" t="s">
        <v>181</v>
      </c>
      <c r="C31" s="487">
        <v>432</v>
      </c>
      <c r="D31" s="487">
        <v>0</v>
      </c>
      <c r="E31" s="487">
        <v>0</v>
      </c>
      <c r="F31" s="489">
        <v>432</v>
      </c>
      <c r="G31" s="488" t="s">
        <v>181</v>
      </c>
      <c r="H31" s="487">
        <v>432</v>
      </c>
      <c r="I31" s="487">
        <v>0</v>
      </c>
      <c r="J31" s="487">
        <v>0</v>
      </c>
      <c r="K31" s="489">
        <v>432</v>
      </c>
      <c r="L31" s="487">
        <f t="shared" si="10"/>
        <v>0</v>
      </c>
      <c r="M31" s="488" t="s">
        <v>181</v>
      </c>
      <c r="N31" s="487">
        <v>1063</v>
      </c>
      <c r="O31" s="487">
        <v>0</v>
      </c>
      <c r="P31" s="487">
        <v>0</v>
      </c>
      <c r="Q31" s="489">
        <v>1063</v>
      </c>
      <c r="R31" s="487">
        <v>631</v>
      </c>
      <c r="S31" s="488" t="s">
        <v>181</v>
      </c>
      <c r="T31" s="487">
        <v>1128</v>
      </c>
      <c r="U31" s="487">
        <v>0</v>
      </c>
      <c r="V31" s="487">
        <v>0</v>
      </c>
      <c r="W31" s="489">
        <v>1128</v>
      </c>
      <c r="X31" s="487">
        <f t="shared" si="30"/>
        <v>65</v>
      </c>
      <c r="Y31" s="488" t="s">
        <v>181</v>
      </c>
      <c r="Z31" s="487">
        <v>1200</v>
      </c>
      <c r="AA31" s="487">
        <v>0</v>
      </c>
      <c r="AB31" s="487">
        <v>0</v>
      </c>
      <c r="AC31" s="489">
        <v>1200</v>
      </c>
      <c r="AD31" s="487">
        <f t="shared" si="31"/>
        <v>72</v>
      </c>
      <c r="AE31" s="488" t="s">
        <v>181</v>
      </c>
      <c r="AF31" s="487">
        <v>1200</v>
      </c>
      <c r="AG31" s="487">
        <v>0</v>
      </c>
      <c r="AH31" s="487">
        <v>0</v>
      </c>
      <c r="AI31" s="489">
        <v>1200</v>
      </c>
      <c r="AJ31" s="491">
        <f t="shared" si="32"/>
        <v>0</v>
      </c>
      <c r="AK31" s="488" t="s">
        <v>181</v>
      </c>
      <c r="AL31" s="487">
        <v>1310</v>
      </c>
      <c r="AM31" s="487">
        <v>800</v>
      </c>
      <c r="AN31" s="487">
        <v>0</v>
      </c>
      <c r="AO31" s="489">
        <v>2110</v>
      </c>
      <c r="AP31" s="489">
        <f t="shared" si="33"/>
        <v>910</v>
      </c>
      <c r="AQ31" s="495" t="s">
        <v>181</v>
      </c>
      <c r="AR31" s="487">
        <v>1310</v>
      </c>
      <c r="AS31" s="487">
        <v>800</v>
      </c>
      <c r="AT31" s="487">
        <v>0</v>
      </c>
      <c r="AU31" s="489">
        <v>2110</v>
      </c>
      <c r="AV31" s="487">
        <f t="shared" si="34"/>
        <v>0</v>
      </c>
      <c r="AW31" s="488" t="s">
        <v>181</v>
      </c>
      <c r="AX31" s="487">
        <v>1039</v>
      </c>
      <c r="AY31" s="487">
        <v>1077</v>
      </c>
      <c r="AZ31" s="487">
        <v>0</v>
      </c>
      <c r="BA31" s="489">
        <v>2116</v>
      </c>
      <c r="BB31" s="491">
        <f t="shared" si="35"/>
        <v>6</v>
      </c>
      <c r="BC31" s="488" t="s">
        <v>181</v>
      </c>
      <c r="BD31" s="487">
        <v>1100</v>
      </c>
      <c r="BE31" s="487">
        <v>1010</v>
      </c>
      <c r="BF31" s="487">
        <v>0</v>
      </c>
      <c r="BG31" s="489">
        <v>2110</v>
      </c>
      <c r="BH31" s="489">
        <f t="shared" si="36"/>
        <v>-6</v>
      </c>
      <c r="BI31" s="495" t="s">
        <v>181</v>
      </c>
      <c r="BJ31" s="487">
        <v>236</v>
      </c>
      <c r="BK31" s="487">
        <v>2508</v>
      </c>
      <c r="BL31" s="487">
        <v>0</v>
      </c>
      <c r="BM31" s="489">
        <v>2744</v>
      </c>
      <c r="BN31" s="489">
        <v>634</v>
      </c>
      <c r="BO31" s="495" t="s">
        <v>181</v>
      </c>
      <c r="BP31" s="487">
        <v>236</v>
      </c>
      <c r="BQ31" s="487">
        <v>2508</v>
      </c>
      <c r="BR31" s="487">
        <v>0</v>
      </c>
      <c r="BS31" s="489">
        <v>2744</v>
      </c>
      <c r="BT31" s="487">
        <v>0</v>
      </c>
      <c r="BU31" s="488" t="s">
        <v>181</v>
      </c>
      <c r="BV31" s="487">
        <v>236</v>
      </c>
      <c r="BW31" s="487">
        <v>2508</v>
      </c>
      <c r="BX31" s="487">
        <v>0</v>
      </c>
      <c r="BY31" s="489">
        <v>2744</v>
      </c>
      <c r="BZ31" s="492">
        <v>0</v>
      </c>
      <c r="CA31" s="495" t="s">
        <v>181</v>
      </c>
      <c r="CB31" s="487">
        <v>436</v>
      </c>
      <c r="CC31" s="487">
        <v>2508</v>
      </c>
      <c r="CD31" s="487">
        <v>0</v>
      </c>
      <c r="CE31" s="489">
        <v>2944</v>
      </c>
      <c r="CF31" s="492">
        <v>200</v>
      </c>
      <c r="CG31" s="495" t="s">
        <v>181</v>
      </c>
      <c r="CH31" s="487">
        <v>436</v>
      </c>
      <c r="CI31" s="487">
        <v>2508</v>
      </c>
      <c r="CJ31" s="487">
        <v>0</v>
      </c>
      <c r="CK31" s="489">
        <v>2944</v>
      </c>
      <c r="CL31" s="491">
        <v>0</v>
      </c>
      <c r="CM31" s="495" t="s">
        <v>181</v>
      </c>
      <c r="CN31" s="487">
        <v>551</v>
      </c>
      <c r="CO31" s="487">
        <v>2541</v>
      </c>
      <c r="CP31" s="487">
        <v>0</v>
      </c>
      <c r="CQ31" s="489">
        <v>3092</v>
      </c>
      <c r="CR31" s="491">
        <v>148</v>
      </c>
      <c r="CS31" s="488" t="s">
        <v>181</v>
      </c>
      <c r="CT31" s="487">
        <v>624</v>
      </c>
      <c r="CU31" s="487">
        <v>2548</v>
      </c>
      <c r="CV31" s="487">
        <v>0</v>
      </c>
      <c r="CW31" s="489">
        <v>3172</v>
      </c>
      <c r="CX31" s="492">
        <v>80</v>
      </c>
      <c r="CY31" s="488" t="s">
        <v>181</v>
      </c>
      <c r="CZ31" s="487">
        <v>650</v>
      </c>
      <c r="DA31" s="487">
        <v>2548</v>
      </c>
      <c r="DB31" s="487">
        <v>0</v>
      </c>
      <c r="DC31" s="489">
        <v>3198</v>
      </c>
      <c r="DD31" s="492">
        <v>26</v>
      </c>
      <c r="DE31" s="488" t="s">
        <v>181</v>
      </c>
      <c r="DF31" s="487">
        <v>786</v>
      </c>
      <c r="DG31" s="487">
        <v>2556</v>
      </c>
      <c r="DH31" s="487">
        <v>0</v>
      </c>
      <c r="DI31" s="489">
        <v>3342</v>
      </c>
      <c r="DJ31" s="492">
        <v>144</v>
      </c>
      <c r="DK31" s="488" t="s">
        <v>181</v>
      </c>
      <c r="DL31" s="487">
        <v>898</v>
      </c>
      <c r="DM31" s="487">
        <v>848</v>
      </c>
      <c r="DN31" s="487">
        <v>0</v>
      </c>
      <c r="DO31" s="489">
        <v>1746</v>
      </c>
      <c r="DP31" s="492">
        <v>-1596</v>
      </c>
      <c r="DR31" s="488" t="s">
        <v>181</v>
      </c>
      <c r="DS31" s="487">
        <v>906</v>
      </c>
      <c r="DT31" s="487">
        <v>848</v>
      </c>
      <c r="DU31" s="487">
        <v>0</v>
      </c>
      <c r="DV31" s="489">
        <v>1754</v>
      </c>
      <c r="DW31" s="492">
        <v>3350</v>
      </c>
      <c r="DY31" s="488" t="s">
        <v>181</v>
      </c>
      <c r="DZ31" s="487">
        <f>GETPIVOTDATA("Individus",'Displacement &amp; Returns'!$D$158, "adm2_name","Mayo-Danay","adm3_name",$DK31,"Statut déplacé","PDI")</f>
        <v>1447</v>
      </c>
      <c r="EA31" s="487">
        <f>GETPIVOTDATA("Individus",'Displacement &amp; Returns'!$D$158, "adm2_name","Mayo-Danay","adm3_name",$DK31,"Statut déplacé","Retournés")</f>
        <v>3460</v>
      </c>
      <c r="EB31" s="487">
        <f>GETPIVOTDATA("Individus",'Displacement &amp; Returns'!$D$158, "adm2_name","Mayo-Danay","adm3_name",$DK31,"Statut déplacé","Refugié hors camp")</f>
        <v>0</v>
      </c>
      <c r="EC31" s="489">
        <f t="shared" si="26"/>
        <v>4907</v>
      </c>
      <c r="ED31" s="492">
        <f t="shared" si="27"/>
        <v>6503</v>
      </c>
      <c r="EF31" s="488" t="s">
        <v>181</v>
      </c>
      <c r="EG31" s="487">
        <f t="shared" si="28"/>
        <v>549</v>
      </c>
      <c r="EH31" s="487">
        <f t="shared" si="28"/>
        <v>2612</v>
      </c>
      <c r="EI31" s="487">
        <f t="shared" si="28"/>
        <v>0</v>
      </c>
      <c r="EJ31" s="494">
        <f t="shared" si="29"/>
        <v>3161</v>
      </c>
      <c r="EK31" s="1191"/>
      <c r="EL31" s="1191"/>
      <c r="EM31" s="1191"/>
    </row>
    <row r="32" spans="2:143" x14ac:dyDescent="0.3">
      <c r="B32" s="479" t="s">
        <v>33</v>
      </c>
      <c r="C32" s="480"/>
      <c r="D32" s="480"/>
      <c r="E32" s="480"/>
      <c r="F32" s="481"/>
      <c r="G32" s="479" t="s">
        <v>33</v>
      </c>
      <c r="H32" s="480"/>
      <c r="I32" s="480"/>
      <c r="J32" s="480"/>
      <c r="K32" s="481"/>
      <c r="L32" s="480">
        <f>SUM(K33:K37)-SUM(F33:F37)</f>
        <v>46</v>
      </c>
      <c r="M32" s="479" t="s">
        <v>33</v>
      </c>
      <c r="N32" s="480"/>
      <c r="O32" s="480"/>
      <c r="P32" s="480"/>
      <c r="Q32" s="481"/>
      <c r="R32" s="480">
        <v>-19</v>
      </c>
      <c r="S32" s="479" t="s">
        <v>33</v>
      </c>
      <c r="T32" s="480"/>
      <c r="U32" s="480"/>
      <c r="V32" s="480"/>
      <c r="W32" s="481"/>
      <c r="X32" s="480">
        <f>SUM(W33:W37)-SUM(Q33:Q37)</f>
        <v>-44</v>
      </c>
      <c r="Y32" s="482" t="s">
        <v>33</v>
      </c>
      <c r="Z32" s="480"/>
      <c r="AA32" s="480"/>
      <c r="AB32" s="480"/>
      <c r="AC32" s="481"/>
      <c r="AD32" s="480">
        <f>SUM(AC33:AC37)-SUM(W33:W37)</f>
        <v>22</v>
      </c>
      <c r="AE32" s="483" t="s">
        <v>33</v>
      </c>
      <c r="AF32" s="480"/>
      <c r="AG32" s="480"/>
      <c r="AH32" s="480"/>
      <c r="AI32" s="481"/>
      <c r="AJ32" s="484">
        <f>SUM(AB33:AB37)-SUM(P33:P37)</f>
        <v>18</v>
      </c>
      <c r="AK32" s="483" t="s">
        <v>33</v>
      </c>
      <c r="AL32" s="480"/>
      <c r="AM32" s="480"/>
      <c r="AN32" s="480"/>
      <c r="AO32" s="481"/>
      <c r="AP32" s="481">
        <f>SUM(AO33:AO37)-SUM(AI33:AI37)</f>
        <v>-61</v>
      </c>
      <c r="AQ32" s="480" t="s">
        <v>33</v>
      </c>
      <c r="AR32" s="480"/>
      <c r="AS32" s="480"/>
      <c r="AT32" s="480"/>
      <c r="AU32" s="481"/>
      <c r="AV32" s="480">
        <f>SUM(AU33:AU37)-SUM(AO33:AO37)</f>
        <v>-4</v>
      </c>
      <c r="AW32" s="483" t="s">
        <v>33</v>
      </c>
      <c r="AX32" s="480"/>
      <c r="AY32" s="480"/>
      <c r="AZ32" s="480"/>
      <c r="BA32" s="481"/>
      <c r="BB32" s="484">
        <f>SUM(BB33:BB37)</f>
        <v>-93</v>
      </c>
      <c r="BC32" s="483" t="s">
        <v>33</v>
      </c>
      <c r="BD32" s="480"/>
      <c r="BE32" s="480"/>
      <c r="BF32" s="480"/>
      <c r="BG32" s="481"/>
      <c r="BH32" s="481">
        <f>SUM(BH33:BH37)</f>
        <v>334</v>
      </c>
      <c r="BI32" s="480" t="s">
        <v>33</v>
      </c>
      <c r="BJ32" s="480"/>
      <c r="BK32" s="480"/>
      <c r="BL32" s="480"/>
      <c r="BM32" s="481"/>
      <c r="BN32" s="481">
        <v>-85</v>
      </c>
      <c r="BO32" s="480" t="s">
        <v>33</v>
      </c>
      <c r="BP32" s="480"/>
      <c r="BQ32" s="480"/>
      <c r="BR32" s="480"/>
      <c r="BS32" s="481"/>
      <c r="BT32" s="480">
        <v>-176</v>
      </c>
      <c r="BU32" s="480" t="s">
        <v>33</v>
      </c>
      <c r="BV32" s="480"/>
      <c r="BW32" s="480"/>
      <c r="BX32" s="480"/>
      <c r="BY32" s="481"/>
      <c r="BZ32" s="497">
        <v>-12</v>
      </c>
      <c r="CA32" s="480" t="s">
        <v>33</v>
      </c>
      <c r="CB32" s="480"/>
      <c r="CC32" s="480"/>
      <c r="CD32" s="480"/>
      <c r="CE32" s="481"/>
      <c r="CF32" s="497">
        <v>-11</v>
      </c>
      <c r="CG32" s="480" t="s">
        <v>33</v>
      </c>
      <c r="CH32" s="480"/>
      <c r="CI32" s="480"/>
      <c r="CJ32" s="480"/>
      <c r="CK32" s="481"/>
      <c r="CL32" s="484">
        <v>-60</v>
      </c>
      <c r="CM32" s="480" t="s">
        <v>33</v>
      </c>
      <c r="CN32" s="480"/>
      <c r="CO32" s="480"/>
      <c r="CP32" s="480"/>
      <c r="CQ32" s="481"/>
      <c r="CR32" s="484">
        <v>-5</v>
      </c>
      <c r="CS32" s="479" t="s">
        <v>33</v>
      </c>
      <c r="CT32" s="480"/>
      <c r="CU32" s="480"/>
      <c r="CV32" s="480"/>
      <c r="CW32" s="481"/>
      <c r="CX32" s="497">
        <v>499</v>
      </c>
      <c r="CY32" s="479" t="s">
        <v>33</v>
      </c>
      <c r="CZ32" s="480">
        <v>673</v>
      </c>
      <c r="DA32" s="480">
        <v>487</v>
      </c>
      <c r="DB32" s="480">
        <v>630</v>
      </c>
      <c r="DC32" s="481">
        <v>1790</v>
      </c>
      <c r="DD32" s="497">
        <v>583</v>
      </c>
      <c r="DE32" s="479" t="s">
        <v>33</v>
      </c>
      <c r="DF32" s="480">
        <v>2264</v>
      </c>
      <c r="DG32" s="480">
        <v>697</v>
      </c>
      <c r="DH32" s="480">
        <v>1409</v>
      </c>
      <c r="DI32" s="480">
        <v>4370</v>
      </c>
      <c r="DJ32" s="497">
        <v>2580</v>
      </c>
      <c r="DK32" s="479" t="s">
        <v>33</v>
      </c>
      <c r="DL32" s="480">
        <v>3173</v>
      </c>
      <c r="DM32" s="480">
        <v>196</v>
      </c>
      <c r="DN32" s="480">
        <v>770</v>
      </c>
      <c r="DO32" s="480">
        <v>4139</v>
      </c>
      <c r="DP32" s="497">
        <v>-231</v>
      </c>
      <c r="DQ32" s="1134"/>
      <c r="DR32" s="479" t="s">
        <v>33</v>
      </c>
      <c r="DS32" s="480">
        <v>2453</v>
      </c>
      <c r="DT32" s="480">
        <v>130</v>
      </c>
      <c r="DU32" s="480">
        <v>899</v>
      </c>
      <c r="DV32" s="480">
        <v>3482</v>
      </c>
      <c r="DW32" s="497">
        <v>3713</v>
      </c>
      <c r="DX32" s="1134"/>
      <c r="DY32" s="479" t="s">
        <v>33</v>
      </c>
      <c r="DZ32" s="480">
        <f>SUM(DZ33:DZ37)</f>
        <v>4906</v>
      </c>
      <c r="EA32" s="480">
        <f>SUM(EA33:EA37)</f>
        <v>187</v>
      </c>
      <c r="EB32" s="480">
        <f>SUM(EB33:EB37)</f>
        <v>668</v>
      </c>
      <c r="EC32" s="480">
        <f>SUM(EC33:EC37)</f>
        <v>5761</v>
      </c>
      <c r="ED32" s="497">
        <f>SUM(ED33:ED37)</f>
        <v>5992</v>
      </c>
      <c r="EF32" s="479" t="s">
        <v>33</v>
      </c>
      <c r="EG32" s="486">
        <f>SUM(EG33:EG37)</f>
        <v>1733</v>
      </c>
      <c r="EH32" s="486">
        <f>SUM(EH33:EH37)</f>
        <v>-9</v>
      </c>
      <c r="EI32" s="486">
        <f>SUM(EI33:EI37)</f>
        <v>-102</v>
      </c>
      <c r="EJ32" s="486">
        <f>SUM(EJ33:EJ37)</f>
        <v>1622</v>
      </c>
      <c r="EK32" s="1191"/>
      <c r="EL32" s="1191"/>
      <c r="EM32" s="1191"/>
    </row>
    <row r="33" spans="2:143" x14ac:dyDescent="0.3">
      <c r="B33" s="488" t="s">
        <v>182</v>
      </c>
      <c r="C33" s="487">
        <v>0</v>
      </c>
      <c r="D33" s="487">
        <v>94</v>
      </c>
      <c r="E33" s="487">
        <v>0</v>
      </c>
      <c r="F33" s="489">
        <v>94</v>
      </c>
      <c r="G33" s="488" t="s">
        <v>182</v>
      </c>
      <c r="H33" s="487">
        <v>0</v>
      </c>
      <c r="I33" s="487">
        <v>98</v>
      </c>
      <c r="J33" s="487">
        <v>0</v>
      </c>
      <c r="K33" s="489">
        <v>98</v>
      </c>
      <c r="L33" s="487">
        <f t="shared" si="10"/>
        <v>4</v>
      </c>
      <c r="M33" s="488" t="s">
        <v>182</v>
      </c>
      <c r="N33" s="487">
        <v>0</v>
      </c>
      <c r="O33" s="487">
        <v>88</v>
      </c>
      <c r="P33" s="487">
        <v>0</v>
      </c>
      <c r="Q33" s="489">
        <v>88</v>
      </c>
      <c r="R33" s="487">
        <v>-10</v>
      </c>
      <c r="S33" s="488" t="s">
        <v>182</v>
      </c>
      <c r="T33" s="487">
        <v>0</v>
      </c>
      <c r="U33" s="487">
        <v>48</v>
      </c>
      <c r="V33" s="487">
        <v>0</v>
      </c>
      <c r="W33" s="489">
        <v>48</v>
      </c>
      <c r="X33" s="487">
        <f>W33-Q33</f>
        <v>-40</v>
      </c>
      <c r="Y33" s="488" t="s">
        <v>182</v>
      </c>
      <c r="Z33" s="487">
        <v>0</v>
      </c>
      <c r="AA33" s="487">
        <v>78</v>
      </c>
      <c r="AB33" s="487">
        <v>0</v>
      </c>
      <c r="AC33" s="489">
        <v>78</v>
      </c>
      <c r="AD33" s="487">
        <f>AC33-W33</f>
        <v>30</v>
      </c>
      <c r="AE33" s="490" t="s">
        <v>182</v>
      </c>
      <c r="AF33" s="487">
        <v>0</v>
      </c>
      <c r="AG33" s="487">
        <v>79</v>
      </c>
      <c r="AH33" s="487">
        <v>0</v>
      </c>
      <c r="AI33" s="489">
        <v>79</v>
      </c>
      <c r="AJ33" s="491">
        <f>AB33-P33</f>
        <v>0</v>
      </c>
      <c r="AK33" s="490" t="s">
        <v>182</v>
      </c>
      <c r="AL33" s="487">
        <v>0</v>
      </c>
      <c r="AM33" s="487">
        <v>77</v>
      </c>
      <c r="AN33" s="487">
        <v>0</v>
      </c>
      <c r="AO33" s="489">
        <v>77</v>
      </c>
      <c r="AP33" s="489">
        <f>AO33-AI33</f>
        <v>-2</v>
      </c>
      <c r="AQ33" s="487" t="s">
        <v>182</v>
      </c>
      <c r="AR33" s="487">
        <v>0</v>
      </c>
      <c r="AS33" s="487">
        <v>82</v>
      </c>
      <c r="AT33" s="487">
        <v>0</v>
      </c>
      <c r="AU33" s="489">
        <v>82</v>
      </c>
      <c r="AV33" s="487">
        <f>AU33-AO33</f>
        <v>5</v>
      </c>
      <c r="AW33" s="490" t="s">
        <v>182</v>
      </c>
      <c r="AX33" s="487">
        <v>0</v>
      </c>
      <c r="AY33" s="487">
        <v>74</v>
      </c>
      <c r="AZ33" s="487">
        <v>0</v>
      </c>
      <c r="BA33" s="489">
        <v>74</v>
      </c>
      <c r="BB33" s="491">
        <f>BA33-AU33</f>
        <v>-8</v>
      </c>
      <c r="BC33" s="490" t="s">
        <v>182</v>
      </c>
      <c r="BD33" s="487">
        <v>0</v>
      </c>
      <c r="BE33" s="487">
        <v>81</v>
      </c>
      <c r="BF33" s="487">
        <v>0</v>
      </c>
      <c r="BG33" s="489">
        <v>81</v>
      </c>
      <c r="BH33" s="489">
        <f>BG33-BA33</f>
        <v>7</v>
      </c>
      <c r="BI33" s="487" t="s">
        <v>182</v>
      </c>
      <c r="BJ33" s="487">
        <v>0</v>
      </c>
      <c r="BK33" s="487">
        <v>79</v>
      </c>
      <c r="BL33" s="487">
        <v>0</v>
      </c>
      <c r="BM33" s="489">
        <v>79</v>
      </c>
      <c r="BN33" s="489">
        <v>-2</v>
      </c>
      <c r="BO33" s="487" t="s">
        <v>182</v>
      </c>
      <c r="BP33" s="487">
        <v>0</v>
      </c>
      <c r="BQ33" s="487">
        <v>80</v>
      </c>
      <c r="BR33" s="487">
        <v>0</v>
      </c>
      <c r="BS33" s="489">
        <v>80</v>
      </c>
      <c r="BT33" s="489">
        <v>1</v>
      </c>
      <c r="BU33" s="487" t="s">
        <v>182</v>
      </c>
      <c r="BV33" s="487">
        <v>0</v>
      </c>
      <c r="BW33" s="487">
        <v>82</v>
      </c>
      <c r="BX33" s="487">
        <v>0</v>
      </c>
      <c r="BY33" s="489">
        <v>82</v>
      </c>
      <c r="BZ33" s="492">
        <v>2</v>
      </c>
      <c r="CA33" s="487" t="s">
        <v>182</v>
      </c>
      <c r="CB33" s="487">
        <v>0</v>
      </c>
      <c r="CC33" s="487">
        <v>81</v>
      </c>
      <c r="CD33" s="487">
        <v>0</v>
      </c>
      <c r="CE33" s="489">
        <v>81</v>
      </c>
      <c r="CF33" s="492">
        <v>-1</v>
      </c>
      <c r="CG33" s="487" t="s">
        <v>182</v>
      </c>
      <c r="CH33" s="487">
        <v>0</v>
      </c>
      <c r="CI33" s="487">
        <v>65</v>
      </c>
      <c r="CJ33" s="487">
        <v>0</v>
      </c>
      <c r="CK33" s="489">
        <v>65</v>
      </c>
      <c r="CL33" s="491">
        <v>-16</v>
      </c>
      <c r="CM33" s="487" t="s">
        <v>182</v>
      </c>
      <c r="CN33" s="487">
        <v>0</v>
      </c>
      <c r="CO33" s="487">
        <v>62</v>
      </c>
      <c r="CP33" s="487">
        <v>0</v>
      </c>
      <c r="CQ33" s="489">
        <v>62</v>
      </c>
      <c r="CR33" s="491">
        <v>-3</v>
      </c>
      <c r="CS33" s="488" t="s">
        <v>182</v>
      </c>
      <c r="CT33" s="487">
        <v>0</v>
      </c>
      <c r="CU33" s="487">
        <v>57</v>
      </c>
      <c r="CV33" s="487">
        <v>0</v>
      </c>
      <c r="CW33" s="489">
        <v>57</v>
      </c>
      <c r="CX33" s="492">
        <v>-5</v>
      </c>
      <c r="CY33" s="488" t="s">
        <v>182</v>
      </c>
      <c r="CZ33" s="487">
        <v>0</v>
      </c>
      <c r="DA33" s="487">
        <v>57</v>
      </c>
      <c r="DB33" s="487">
        <v>0</v>
      </c>
      <c r="DC33" s="489">
        <v>57</v>
      </c>
      <c r="DD33" s="492">
        <v>0</v>
      </c>
      <c r="DE33" s="488" t="s">
        <v>182</v>
      </c>
      <c r="DF33" s="487">
        <v>0</v>
      </c>
      <c r="DG33" s="487">
        <v>52</v>
      </c>
      <c r="DH33" s="487">
        <v>0</v>
      </c>
      <c r="DI33" s="489">
        <v>52</v>
      </c>
      <c r="DJ33" s="492">
        <v>-5</v>
      </c>
      <c r="DK33" s="488" t="s">
        <v>182</v>
      </c>
      <c r="DL33" s="487">
        <v>7</v>
      </c>
      <c r="DM33" s="487">
        <v>50</v>
      </c>
      <c r="DN33" s="487">
        <v>0</v>
      </c>
      <c r="DO33" s="489">
        <v>57</v>
      </c>
      <c r="DP33" s="492">
        <v>5</v>
      </c>
      <c r="DR33" s="488" t="s">
        <v>182</v>
      </c>
      <c r="DS33" s="487">
        <v>8</v>
      </c>
      <c r="DT33" s="487">
        <v>25</v>
      </c>
      <c r="DU33" s="487">
        <v>0</v>
      </c>
      <c r="DV33" s="489">
        <v>33</v>
      </c>
      <c r="DW33" s="492">
        <v>28</v>
      </c>
      <c r="DY33" s="488" t="s">
        <v>182</v>
      </c>
      <c r="DZ33" s="487">
        <f>GETPIVOTDATA("Individus",'Displacement &amp; Returns'!$D$158, "adm2_name","Mayo-Kani","adm3_name",$DK33,"Statut déplacé","PDI")</f>
        <v>4</v>
      </c>
      <c r="EA33" s="487">
        <f>GETPIVOTDATA("Individus",'Displacement &amp; Returns'!$D$158, "adm2_name","Mayo-Kani","adm3_name",$DK33,"Statut déplacé","Retournés")</f>
        <v>27</v>
      </c>
      <c r="EB33" s="487">
        <f>GETPIVOTDATA("Individus",'Displacement &amp; Returns'!$D$158, "adm2_name","Mayo-Kani","adm3_name",$DK33,"Statut déplacé","Refugié hors camp")</f>
        <v>30</v>
      </c>
      <c r="EC33" s="489">
        <f>SUM(DZ33:EB33)</f>
        <v>61</v>
      </c>
      <c r="ED33" s="492">
        <f>EC33-DP33</f>
        <v>56</v>
      </c>
      <c r="EF33" s="488" t="s">
        <v>182</v>
      </c>
      <c r="EG33" s="487">
        <f t="shared" ref="EG33:EI37" si="37">DZ33-DL33</f>
        <v>-3</v>
      </c>
      <c r="EH33" s="487">
        <f t="shared" si="37"/>
        <v>-23</v>
      </c>
      <c r="EI33" s="487">
        <f t="shared" si="37"/>
        <v>30</v>
      </c>
      <c r="EJ33" s="494">
        <f>SUM(EG33:EI33)</f>
        <v>4</v>
      </c>
      <c r="EK33" s="1191"/>
      <c r="EL33" s="1191"/>
      <c r="EM33" s="1191"/>
    </row>
    <row r="34" spans="2:143" x14ac:dyDescent="0.3">
      <c r="B34" s="488" t="s">
        <v>183</v>
      </c>
      <c r="C34" s="487">
        <v>110</v>
      </c>
      <c r="D34" s="487">
        <v>0</v>
      </c>
      <c r="E34" s="487">
        <v>0</v>
      </c>
      <c r="F34" s="489">
        <v>110</v>
      </c>
      <c r="G34" s="488" t="s">
        <v>183</v>
      </c>
      <c r="H34" s="487">
        <v>178</v>
      </c>
      <c r="I34" s="487">
        <v>0</v>
      </c>
      <c r="J34" s="487">
        <v>0</v>
      </c>
      <c r="K34" s="489">
        <v>178</v>
      </c>
      <c r="L34" s="487">
        <f t="shared" si="10"/>
        <v>68</v>
      </c>
      <c r="M34" s="488" t="s">
        <v>183</v>
      </c>
      <c r="N34" s="487">
        <v>175</v>
      </c>
      <c r="O34" s="487">
        <v>0</v>
      </c>
      <c r="P34" s="487">
        <v>0</v>
      </c>
      <c r="Q34" s="489">
        <v>175</v>
      </c>
      <c r="R34" s="487">
        <v>-3</v>
      </c>
      <c r="S34" s="488" t="s">
        <v>183</v>
      </c>
      <c r="T34" s="487">
        <v>182</v>
      </c>
      <c r="U34" s="487">
        <v>0</v>
      </c>
      <c r="V34" s="487">
        <v>0</v>
      </c>
      <c r="W34" s="489">
        <v>182</v>
      </c>
      <c r="X34" s="487">
        <f>W34-Q34</f>
        <v>7</v>
      </c>
      <c r="Y34" s="488" t="s">
        <v>183</v>
      </c>
      <c r="Z34" s="487">
        <v>83</v>
      </c>
      <c r="AA34" s="487">
        <v>108</v>
      </c>
      <c r="AB34" s="487">
        <v>0</v>
      </c>
      <c r="AC34" s="489">
        <v>191</v>
      </c>
      <c r="AD34" s="487">
        <f>AC34-W34</f>
        <v>9</v>
      </c>
      <c r="AE34" s="490" t="s">
        <v>183</v>
      </c>
      <c r="AF34" s="487">
        <v>83</v>
      </c>
      <c r="AG34" s="487">
        <v>109</v>
      </c>
      <c r="AH34" s="487">
        <v>0</v>
      </c>
      <c r="AI34" s="489">
        <v>192</v>
      </c>
      <c r="AJ34" s="491">
        <f>AB34-P34</f>
        <v>0</v>
      </c>
      <c r="AK34" s="490" t="s">
        <v>183</v>
      </c>
      <c r="AL34" s="487">
        <v>80</v>
      </c>
      <c r="AM34" s="487">
        <v>106</v>
      </c>
      <c r="AN34" s="487">
        <v>0</v>
      </c>
      <c r="AO34" s="489">
        <v>186</v>
      </c>
      <c r="AP34" s="489">
        <f>AO34-AI34</f>
        <v>-6</v>
      </c>
      <c r="AQ34" s="487" t="s">
        <v>183</v>
      </c>
      <c r="AR34" s="487">
        <v>77</v>
      </c>
      <c r="AS34" s="487">
        <v>115</v>
      </c>
      <c r="AT34" s="487">
        <v>0</v>
      </c>
      <c r="AU34" s="489">
        <v>192</v>
      </c>
      <c r="AV34" s="487">
        <f>AU34-AO34</f>
        <v>6</v>
      </c>
      <c r="AW34" s="490" t="s">
        <v>183</v>
      </c>
      <c r="AX34" s="487">
        <v>76</v>
      </c>
      <c r="AY34" s="487">
        <v>113</v>
      </c>
      <c r="AZ34" s="487">
        <v>0</v>
      </c>
      <c r="BA34" s="489">
        <v>189</v>
      </c>
      <c r="BB34" s="491">
        <f>BA34-AU34</f>
        <v>-3</v>
      </c>
      <c r="BC34" s="490" t="s">
        <v>183</v>
      </c>
      <c r="BD34" s="487">
        <v>62</v>
      </c>
      <c r="BE34" s="487">
        <v>98</v>
      </c>
      <c r="BF34" s="487">
        <v>0</v>
      </c>
      <c r="BG34" s="489">
        <v>160</v>
      </c>
      <c r="BH34" s="489">
        <f>BG34-BA34</f>
        <v>-29</v>
      </c>
      <c r="BI34" s="487" t="s">
        <v>183</v>
      </c>
      <c r="BJ34" s="487">
        <v>63</v>
      </c>
      <c r="BK34" s="487">
        <v>101</v>
      </c>
      <c r="BL34" s="487">
        <v>0</v>
      </c>
      <c r="BM34" s="489">
        <v>164</v>
      </c>
      <c r="BN34" s="489">
        <v>4</v>
      </c>
      <c r="BO34" s="487" t="s">
        <v>183</v>
      </c>
      <c r="BP34" s="487">
        <v>62</v>
      </c>
      <c r="BQ34" s="487">
        <v>103</v>
      </c>
      <c r="BR34" s="487">
        <v>0</v>
      </c>
      <c r="BS34" s="489">
        <v>165</v>
      </c>
      <c r="BT34" s="489">
        <v>1</v>
      </c>
      <c r="BU34" s="487" t="s">
        <v>183</v>
      </c>
      <c r="BV34" s="487">
        <v>61</v>
      </c>
      <c r="BW34" s="487">
        <v>104</v>
      </c>
      <c r="BX34" s="487">
        <v>0</v>
      </c>
      <c r="BY34" s="489">
        <v>165</v>
      </c>
      <c r="BZ34" s="492">
        <v>0</v>
      </c>
      <c r="CA34" s="487" t="s">
        <v>183</v>
      </c>
      <c r="CB34" s="487">
        <v>64</v>
      </c>
      <c r="CC34" s="487">
        <v>104</v>
      </c>
      <c r="CD34" s="487">
        <v>0</v>
      </c>
      <c r="CE34" s="489">
        <v>168</v>
      </c>
      <c r="CF34" s="492">
        <v>3</v>
      </c>
      <c r="CG34" s="487" t="s">
        <v>183</v>
      </c>
      <c r="CH34" s="487">
        <v>71</v>
      </c>
      <c r="CI34" s="487">
        <v>111</v>
      </c>
      <c r="CJ34" s="487">
        <v>0</v>
      </c>
      <c r="CK34" s="489">
        <v>182</v>
      </c>
      <c r="CL34" s="491">
        <v>14</v>
      </c>
      <c r="CM34" s="487" t="s">
        <v>183</v>
      </c>
      <c r="CN34" s="487">
        <v>71</v>
      </c>
      <c r="CO34" s="487">
        <v>111</v>
      </c>
      <c r="CP34" s="487">
        <v>0</v>
      </c>
      <c r="CQ34" s="489">
        <v>182</v>
      </c>
      <c r="CR34" s="491">
        <v>0</v>
      </c>
      <c r="CS34" s="488" t="s">
        <v>183</v>
      </c>
      <c r="CT34" s="487">
        <v>71</v>
      </c>
      <c r="CU34" s="487">
        <v>111</v>
      </c>
      <c r="CV34" s="487">
        <v>0</v>
      </c>
      <c r="CW34" s="489">
        <v>182</v>
      </c>
      <c r="CX34" s="492">
        <v>0</v>
      </c>
      <c r="CY34" s="488" t="s">
        <v>183</v>
      </c>
      <c r="CZ34" s="487">
        <v>89</v>
      </c>
      <c r="DA34" s="487">
        <v>83</v>
      </c>
      <c r="DB34" s="487">
        <v>550</v>
      </c>
      <c r="DC34" s="489">
        <v>722</v>
      </c>
      <c r="DD34" s="492">
        <v>540</v>
      </c>
      <c r="DE34" s="488" t="s">
        <v>183</v>
      </c>
      <c r="DF34" s="487">
        <v>730</v>
      </c>
      <c r="DG34" s="487">
        <v>96</v>
      </c>
      <c r="DH34" s="487">
        <v>1139</v>
      </c>
      <c r="DI34" s="489">
        <v>1965</v>
      </c>
      <c r="DJ34" s="492">
        <v>1243</v>
      </c>
      <c r="DK34" s="488" t="s">
        <v>183</v>
      </c>
      <c r="DL34" s="487">
        <v>1049</v>
      </c>
      <c r="DM34" s="487">
        <v>97</v>
      </c>
      <c r="DN34" s="487">
        <v>522</v>
      </c>
      <c r="DO34" s="489">
        <v>1668</v>
      </c>
      <c r="DP34" s="492">
        <v>-297</v>
      </c>
      <c r="DR34" s="488" t="s">
        <v>183</v>
      </c>
      <c r="DS34" s="487">
        <v>1476</v>
      </c>
      <c r="DT34" s="487">
        <v>75</v>
      </c>
      <c r="DU34" s="487">
        <v>516</v>
      </c>
      <c r="DV34" s="489">
        <v>2067</v>
      </c>
      <c r="DW34" s="492">
        <v>2364</v>
      </c>
      <c r="DY34" s="488" t="s">
        <v>183</v>
      </c>
      <c r="DZ34" s="487">
        <f>GETPIVOTDATA("Individus",'Displacement &amp; Returns'!$D$158, "adm2_name","Mayo-Kani","adm3_name",$DK34,"Statut déplacé","PDI")</f>
        <v>1650</v>
      </c>
      <c r="EA34" s="487">
        <f>GETPIVOTDATA("Individus",'Displacement &amp; Returns'!$D$158, "adm2_name","Mayo-Kani","adm3_name",$DK34,"Statut déplacé","Retournés")</f>
        <v>80</v>
      </c>
      <c r="EB34" s="487">
        <f>GETPIVOTDATA("Individus",'Displacement &amp; Returns'!$D$158, "adm2_name","Mayo-Kani","adm3_name",$DK34,"Statut déplacé","Refugié hors camp")</f>
        <v>455</v>
      </c>
      <c r="EC34" s="489">
        <f>SUM(DZ34:EB34)</f>
        <v>2185</v>
      </c>
      <c r="ED34" s="492">
        <f>EC34-DP34</f>
        <v>2482</v>
      </c>
      <c r="EF34" s="488" t="s">
        <v>183</v>
      </c>
      <c r="EG34" s="487">
        <f t="shared" si="37"/>
        <v>601</v>
      </c>
      <c r="EH34" s="487">
        <f t="shared" si="37"/>
        <v>-17</v>
      </c>
      <c r="EI34" s="487">
        <f t="shared" si="37"/>
        <v>-67</v>
      </c>
      <c r="EJ34" s="494">
        <f>SUM(EG34:EI34)</f>
        <v>517</v>
      </c>
      <c r="EK34" s="1191"/>
      <c r="EL34" s="1191"/>
      <c r="EM34" s="1191"/>
    </row>
    <row r="35" spans="2:143" x14ac:dyDescent="0.3">
      <c r="B35" s="488" t="s">
        <v>184</v>
      </c>
      <c r="C35" s="487">
        <v>53</v>
      </c>
      <c r="D35" s="487">
        <v>64</v>
      </c>
      <c r="E35" s="487">
        <v>0</v>
      </c>
      <c r="F35" s="489">
        <v>117</v>
      </c>
      <c r="G35" s="488" t="s">
        <v>184</v>
      </c>
      <c r="H35" s="487">
        <v>46</v>
      </c>
      <c r="I35" s="487">
        <v>51</v>
      </c>
      <c r="J35" s="487">
        <v>0</v>
      </c>
      <c r="K35" s="489">
        <v>97</v>
      </c>
      <c r="L35" s="487">
        <f t="shared" si="10"/>
        <v>-20</v>
      </c>
      <c r="M35" s="488" t="s">
        <v>184</v>
      </c>
      <c r="N35" s="487">
        <v>45</v>
      </c>
      <c r="O35" s="487">
        <v>57</v>
      </c>
      <c r="P35" s="487">
        <v>0</v>
      </c>
      <c r="Q35" s="489">
        <v>102</v>
      </c>
      <c r="R35" s="487">
        <v>5</v>
      </c>
      <c r="S35" s="488" t="s">
        <v>184</v>
      </c>
      <c r="T35" s="487">
        <v>0</v>
      </c>
      <c r="U35" s="487">
        <v>39</v>
      </c>
      <c r="V35" s="487">
        <v>9</v>
      </c>
      <c r="W35" s="489">
        <v>48</v>
      </c>
      <c r="X35" s="487">
        <f>W35-Q35</f>
        <v>-54</v>
      </c>
      <c r="Y35" s="488" t="s">
        <v>184</v>
      </c>
      <c r="Z35" s="487">
        <v>0</v>
      </c>
      <c r="AA35" s="487">
        <v>37</v>
      </c>
      <c r="AB35" s="487">
        <v>9</v>
      </c>
      <c r="AC35" s="489">
        <v>46</v>
      </c>
      <c r="AD35" s="487">
        <f>AC35-W35</f>
        <v>-2</v>
      </c>
      <c r="AE35" s="490" t="s">
        <v>184</v>
      </c>
      <c r="AF35" s="487">
        <v>0</v>
      </c>
      <c r="AG35" s="487">
        <v>37</v>
      </c>
      <c r="AH35" s="487">
        <v>9</v>
      </c>
      <c r="AI35" s="489">
        <v>46</v>
      </c>
      <c r="AJ35" s="491">
        <f>AB35-P35</f>
        <v>9</v>
      </c>
      <c r="AK35" s="490" t="s">
        <v>184</v>
      </c>
      <c r="AL35" s="487">
        <v>0</v>
      </c>
      <c r="AM35" s="487">
        <v>37</v>
      </c>
      <c r="AN35" s="487">
        <v>9</v>
      </c>
      <c r="AO35" s="489">
        <v>46</v>
      </c>
      <c r="AP35" s="489">
        <f>AO35-AI35</f>
        <v>0</v>
      </c>
      <c r="AQ35" s="487" t="s">
        <v>184</v>
      </c>
      <c r="AR35" s="487">
        <v>0</v>
      </c>
      <c r="AS35" s="487">
        <v>37</v>
      </c>
      <c r="AT35" s="487">
        <v>9</v>
      </c>
      <c r="AU35" s="489">
        <v>46</v>
      </c>
      <c r="AV35" s="487">
        <f>AU35-AO35</f>
        <v>0</v>
      </c>
      <c r="AW35" s="490" t="s">
        <v>184</v>
      </c>
      <c r="AX35" s="487">
        <v>0</v>
      </c>
      <c r="AY35" s="487">
        <v>38</v>
      </c>
      <c r="AZ35" s="487">
        <v>15</v>
      </c>
      <c r="BA35" s="489">
        <v>53</v>
      </c>
      <c r="BB35" s="491">
        <f>BA35-AU35</f>
        <v>7</v>
      </c>
      <c r="BC35" s="490" t="s">
        <v>184</v>
      </c>
      <c r="BD35" s="487">
        <v>0</v>
      </c>
      <c r="BE35" s="487">
        <v>43</v>
      </c>
      <c r="BF35" s="487">
        <v>15</v>
      </c>
      <c r="BG35" s="489">
        <v>58</v>
      </c>
      <c r="BH35" s="489">
        <f>BG35-BA35</f>
        <v>5</v>
      </c>
      <c r="BI35" s="487" t="s">
        <v>184</v>
      </c>
      <c r="BJ35" s="487">
        <v>0</v>
      </c>
      <c r="BK35" s="487">
        <v>43</v>
      </c>
      <c r="BL35" s="487">
        <v>15</v>
      </c>
      <c r="BM35" s="489">
        <v>58</v>
      </c>
      <c r="BN35" s="489">
        <v>0</v>
      </c>
      <c r="BO35" s="487" t="s">
        <v>184</v>
      </c>
      <c r="BP35" s="487">
        <v>0</v>
      </c>
      <c r="BQ35" s="487">
        <v>43</v>
      </c>
      <c r="BR35" s="487">
        <v>15</v>
      </c>
      <c r="BS35" s="489">
        <v>58</v>
      </c>
      <c r="BT35" s="489">
        <v>0</v>
      </c>
      <c r="BU35" s="487" t="s">
        <v>184</v>
      </c>
      <c r="BV35" s="487">
        <v>0</v>
      </c>
      <c r="BW35" s="487">
        <v>43</v>
      </c>
      <c r="BX35" s="487">
        <v>9</v>
      </c>
      <c r="BY35" s="489">
        <v>52</v>
      </c>
      <c r="BZ35" s="492">
        <v>-6</v>
      </c>
      <c r="CA35" s="487" t="s">
        <v>184</v>
      </c>
      <c r="CB35" s="487">
        <v>0</v>
      </c>
      <c r="CC35" s="487">
        <v>43</v>
      </c>
      <c r="CD35" s="487">
        <v>9</v>
      </c>
      <c r="CE35" s="489">
        <v>52</v>
      </c>
      <c r="CF35" s="492">
        <v>0</v>
      </c>
      <c r="CG35" s="487" t="s">
        <v>184</v>
      </c>
      <c r="CH35" s="487">
        <v>0</v>
      </c>
      <c r="CI35" s="487">
        <v>39</v>
      </c>
      <c r="CJ35" s="487">
        <v>9</v>
      </c>
      <c r="CK35" s="489">
        <v>48</v>
      </c>
      <c r="CL35" s="491">
        <v>-4</v>
      </c>
      <c r="CM35" s="487" t="s">
        <v>184</v>
      </c>
      <c r="CN35" s="487">
        <v>0</v>
      </c>
      <c r="CO35" s="487">
        <v>39</v>
      </c>
      <c r="CP35" s="487">
        <v>9</v>
      </c>
      <c r="CQ35" s="489">
        <v>48</v>
      </c>
      <c r="CR35" s="491">
        <v>0</v>
      </c>
      <c r="CS35" s="488" t="s">
        <v>184</v>
      </c>
      <c r="CT35" s="487">
        <v>0</v>
      </c>
      <c r="CU35" s="487">
        <v>39</v>
      </c>
      <c r="CV35" s="487">
        <v>9</v>
      </c>
      <c r="CW35" s="489">
        <v>48</v>
      </c>
      <c r="CX35" s="492">
        <v>0</v>
      </c>
      <c r="CY35" s="488" t="s">
        <v>184</v>
      </c>
      <c r="CZ35" s="487">
        <v>0</v>
      </c>
      <c r="DA35" s="487">
        <v>41</v>
      </c>
      <c r="DB35" s="487">
        <v>9</v>
      </c>
      <c r="DC35" s="489">
        <v>50</v>
      </c>
      <c r="DD35" s="492">
        <v>2</v>
      </c>
      <c r="DE35" s="488" t="s">
        <v>184</v>
      </c>
      <c r="DF35" s="487">
        <v>0</v>
      </c>
      <c r="DG35" s="487">
        <v>49</v>
      </c>
      <c r="DH35" s="487">
        <v>49</v>
      </c>
      <c r="DI35" s="489">
        <v>98</v>
      </c>
      <c r="DJ35" s="492">
        <v>48</v>
      </c>
      <c r="DK35" s="488" t="s">
        <v>184</v>
      </c>
      <c r="DL35" s="487">
        <v>0</v>
      </c>
      <c r="DM35" s="487">
        <v>0</v>
      </c>
      <c r="DN35" s="487">
        <v>98</v>
      </c>
      <c r="DO35" s="489">
        <v>98</v>
      </c>
      <c r="DP35" s="492">
        <v>0</v>
      </c>
      <c r="DR35" s="488" t="s">
        <v>184</v>
      </c>
      <c r="DS35" s="487">
        <v>0</v>
      </c>
      <c r="DT35" s="487">
        <v>30</v>
      </c>
      <c r="DU35" s="487">
        <v>126</v>
      </c>
      <c r="DV35" s="489">
        <v>156</v>
      </c>
      <c r="DW35" s="492">
        <v>156</v>
      </c>
      <c r="DY35" s="488" t="s">
        <v>184</v>
      </c>
      <c r="DZ35" s="487">
        <f>GETPIVOTDATA("Individus",'Displacement &amp; Returns'!$D$158, "adm2_name","Mayo-Kani","adm3_name",$DK35,"Statut déplacé","PDI")</f>
        <v>48</v>
      </c>
      <c r="EA35" s="487">
        <f>GETPIVOTDATA("Individus",'Displacement &amp; Returns'!$D$158, "adm2_name","Mayo-Kani","adm3_name",$DK35,"Statut déplacé","Retournés")</f>
        <v>51</v>
      </c>
      <c r="EB35" s="487">
        <f>GETPIVOTDATA("Individus",'Displacement &amp; Returns'!$D$158, "adm2_name","Mayo-Kani","adm3_name",$DK35,"Statut déplacé","Refugié hors camp")</f>
        <v>33</v>
      </c>
      <c r="EC35" s="489">
        <f>SUM(DZ35:EB35)</f>
        <v>132</v>
      </c>
      <c r="ED35" s="492">
        <f>EC35-DP35</f>
        <v>132</v>
      </c>
      <c r="EF35" s="488" t="s">
        <v>184</v>
      </c>
      <c r="EG35" s="487">
        <f t="shared" si="37"/>
        <v>48</v>
      </c>
      <c r="EH35" s="487">
        <f t="shared" si="37"/>
        <v>51</v>
      </c>
      <c r="EI35" s="487">
        <f t="shared" si="37"/>
        <v>-65</v>
      </c>
      <c r="EJ35" s="494">
        <f>SUM(EG35:EI35)</f>
        <v>34</v>
      </c>
      <c r="EK35" s="1191"/>
      <c r="EL35" s="1191"/>
      <c r="EM35" s="1191"/>
    </row>
    <row r="36" spans="2:143" x14ac:dyDescent="0.3">
      <c r="B36" s="488" t="s">
        <v>185</v>
      </c>
      <c r="C36" s="487">
        <v>0</v>
      </c>
      <c r="D36" s="487">
        <v>496</v>
      </c>
      <c r="E36" s="487">
        <v>0</v>
      </c>
      <c r="F36" s="489">
        <v>496</v>
      </c>
      <c r="G36" s="488" t="s">
        <v>185</v>
      </c>
      <c r="H36" s="487">
        <v>0</v>
      </c>
      <c r="I36" s="487">
        <v>496</v>
      </c>
      <c r="J36" s="487">
        <v>0</v>
      </c>
      <c r="K36" s="489">
        <v>496</v>
      </c>
      <c r="L36" s="487">
        <f t="shared" si="10"/>
        <v>0</v>
      </c>
      <c r="M36" s="488" t="s">
        <v>185</v>
      </c>
      <c r="N36" s="487">
        <v>0</v>
      </c>
      <c r="O36" s="487">
        <v>500</v>
      </c>
      <c r="P36" s="487">
        <v>0</v>
      </c>
      <c r="Q36" s="489">
        <v>500</v>
      </c>
      <c r="R36" s="487">
        <v>4</v>
      </c>
      <c r="S36" s="488" t="s">
        <v>185</v>
      </c>
      <c r="T36" s="487">
        <v>0</v>
      </c>
      <c r="U36" s="487">
        <v>543</v>
      </c>
      <c r="V36" s="487">
        <v>0</v>
      </c>
      <c r="W36" s="489">
        <v>543</v>
      </c>
      <c r="X36" s="487">
        <f>W36-Q36</f>
        <v>43</v>
      </c>
      <c r="Y36" s="488" t="s">
        <v>185</v>
      </c>
      <c r="Z36" s="487">
        <v>0</v>
      </c>
      <c r="AA36" s="487">
        <v>528</v>
      </c>
      <c r="AB36" s="487">
        <v>0</v>
      </c>
      <c r="AC36" s="489">
        <v>528</v>
      </c>
      <c r="AD36" s="487">
        <f>AC36-W36</f>
        <v>-15</v>
      </c>
      <c r="AE36" s="490" t="s">
        <v>185</v>
      </c>
      <c r="AF36" s="487">
        <v>0</v>
      </c>
      <c r="AG36" s="487">
        <v>497</v>
      </c>
      <c r="AH36" s="487">
        <v>0</v>
      </c>
      <c r="AI36" s="489">
        <v>497</v>
      </c>
      <c r="AJ36" s="491">
        <f>AB36-P36</f>
        <v>0</v>
      </c>
      <c r="AK36" s="490" t="s">
        <v>185</v>
      </c>
      <c r="AL36" s="487">
        <v>0</v>
      </c>
      <c r="AM36" s="487">
        <v>444</v>
      </c>
      <c r="AN36" s="487">
        <v>0</v>
      </c>
      <c r="AO36" s="489">
        <v>444</v>
      </c>
      <c r="AP36" s="489">
        <f>AO36-AI36</f>
        <v>-53</v>
      </c>
      <c r="AQ36" s="487" t="s">
        <v>185</v>
      </c>
      <c r="AR36" s="487">
        <v>0</v>
      </c>
      <c r="AS36" s="487">
        <v>429</v>
      </c>
      <c r="AT36" s="487">
        <v>0</v>
      </c>
      <c r="AU36" s="489">
        <v>429</v>
      </c>
      <c r="AV36" s="487">
        <f>AU36-AO36</f>
        <v>-15</v>
      </c>
      <c r="AW36" s="490" t="s">
        <v>185</v>
      </c>
      <c r="AX36" s="487">
        <v>0</v>
      </c>
      <c r="AY36" s="487">
        <v>346</v>
      </c>
      <c r="AZ36" s="487">
        <v>0</v>
      </c>
      <c r="BA36" s="489">
        <v>346</v>
      </c>
      <c r="BB36" s="491">
        <f>BA36-AU36</f>
        <v>-83</v>
      </c>
      <c r="BC36" s="490" t="s">
        <v>185</v>
      </c>
      <c r="BD36" s="487">
        <v>0</v>
      </c>
      <c r="BE36" s="487">
        <v>351</v>
      </c>
      <c r="BF36" s="487">
        <v>350</v>
      </c>
      <c r="BG36" s="489">
        <v>701</v>
      </c>
      <c r="BH36" s="489">
        <f>BG36-BA36</f>
        <v>355</v>
      </c>
      <c r="BI36" s="487" t="s">
        <v>185</v>
      </c>
      <c r="BJ36" s="487">
        <v>0</v>
      </c>
      <c r="BK36" s="487">
        <v>353</v>
      </c>
      <c r="BL36" s="487">
        <v>268</v>
      </c>
      <c r="BM36" s="489">
        <v>621</v>
      </c>
      <c r="BN36" s="489">
        <v>-80</v>
      </c>
      <c r="BO36" s="487" t="s">
        <v>185</v>
      </c>
      <c r="BP36" s="487">
        <v>0</v>
      </c>
      <c r="BQ36" s="487">
        <v>350</v>
      </c>
      <c r="BR36" s="487">
        <v>93</v>
      </c>
      <c r="BS36" s="489">
        <v>443</v>
      </c>
      <c r="BT36" s="489">
        <v>-178</v>
      </c>
      <c r="BU36" s="487" t="s">
        <v>185</v>
      </c>
      <c r="BV36" s="487">
        <v>0</v>
      </c>
      <c r="BW36" s="487">
        <v>350</v>
      </c>
      <c r="BX36" s="487">
        <v>85</v>
      </c>
      <c r="BY36" s="489">
        <v>435</v>
      </c>
      <c r="BZ36" s="492">
        <v>-8</v>
      </c>
      <c r="CA36" s="487" t="s">
        <v>185</v>
      </c>
      <c r="CB36" s="487">
        <v>0</v>
      </c>
      <c r="CC36" s="487">
        <v>340</v>
      </c>
      <c r="CD36" s="487">
        <v>82</v>
      </c>
      <c r="CE36" s="489">
        <v>422</v>
      </c>
      <c r="CF36" s="492">
        <v>-13</v>
      </c>
      <c r="CG36" s="487" t="s">
        <v>185</v>
      </c>
      <c r="CH36" s="487">
        <v>0</v>
      </c>
      <c r="CI36" s="487">
        <v>285</v>
      </c>
      <c r="CJ36" s="487">
        <v>84</v>
      </c>
      <c r="CK36" s="489">
        <v>369</v>
      </c>
      <c r="CL36" s="491">
        <v>-53</v>
      </c>
      <c r="CM36" s="487" t="s">
        <v>185</v>
      </c>
      <c r="CN36" s="487">
        <v>0</v>
      </c>
      <c r="CO36" s="487">
        <v>283</v>
      </c>
      <c r="CP36" s="487">
        <v>84</v>
      </c>
      <c r="CQ36" s="489">
        <v>367</v>
      </c>
      <c r="CR36" s="491">
        <v>-2</v>
      </c>
      <c r="CS36" s="488" t="s">
        <v>185</v>
      </c>
      <c r="CT36" s="487">
        <v>497</v>
      </c>
      <c r="CU36" s="487">
        <v>303</v>
      </c>
      <c r="CV36" s="487">
        <v>71</v>
      </c>
      <c r="CW36" s="489">
        <v>871</v>
      </c>
      <c r="CX36" s="492">
        <v>504</v>
      </c>
      <c r="CY36" s="488" t="s">
        <v>185</v>
      </c>
      <c r="CZ36" s="487">
        <v>503</v>
      </c>
      <c r="DA36" s="487">
        <v>303</v>
      </c>
      <c r="DB36" s="487">
        <v>71</v>
      </c>
      <c r="DC36" s="489">
        <v>877</v>
      </c>
      <c r="DD36" s="492">
        <v>6</v>
      </c>
      <c r="DE36" s="488" t="s">
        <v>185</v>
      </c>
      <c r="DF36" s="487">
        <v>1453</v>
      </c>
      <c r="DG36" s="487">
        <v>497</v>
      </c>
      <c r="DH36" s="487">
        <v>71</v>
      </c>
      <c r="DI36" s="489">
        <v>2021</v>
      </c>
      <c r="DJ36" s="492">
        <v>1144</v>
      </c>
      <c r="DK36" s="488" t="s">
        <v>185</v>
      </c>
      <c r="DL36" s="487">
        <v>2036</v>
      </c>
      <c r="DM36" s="487">
        <v>46</v>
      </c>
      <c r="DN36" s="487">
        <v>0</v>
      </c>
      <c r="DO36" s="489">
        <v>2082</v>
      </c>
      <c r="DP36" s="492">
        <v>61</v>
      </c>
      <c r="DR36" s="488" t="s">
        <v>185</v>
      </c>
      <c r="DS36" s="487">
        <v>748</v>
      </c>
      <c r="DT36" s="487">
        <v>0</v>
      </c>
      <c r="DU36" s="487">
        <v>0</v>
      </c>
      <c r="DV36" s="489">
        <v>748</v>
      </c>
      <c r="DW36" s="492">
        <v>687</v>
      </c>
      <c r="DY36" s="488" t="s">
        <v>185</v>
      </c>
      <c r="DZ36" s="487">
        <f>GETPIVOTDATA("Individus",'Displacement &amp; Returns'!$D$158, "adm2_name","Mayo-Kani","adm3_name",$DK36,"Statut déplacé","PDI")</f>
        <v>2958</v>
      </c>
      <c r="EA36" s="487">
        <f>GETPIVOTDATA("Individus",'Displacement &amp; Returns'!$D$158, "adm2_name","Mayo-Kani","adm3_name",$DK36,"Statut déplacé","Retournés")</f>
        <v>20</v>
      </c>
      <c r="EB36" s="487">
        <f>GETPIVOTDATA("Individus",'Displacement &amp; Returns'!$D$158, "adm2_name","Mayo-Kani","adm3_name",$DK36,"Statut déplacé","Refugié hors camp")</f>
        <v>0</v>
      </c>
      <c r="EC36" s="489">
        <f>SUM(DZ36:EB36)</f>
        <v>2978</v>
      </c>
      <c r="ED36" s="492">
        <f>EC36-DP36</f>
        <v>2917</v>
      </c>
      <c r="EF36" s="488" t="s">
        <v>185</v>
      </c>
      <c r="EG36" s="487">
        <f t="shared" si="37"/>
        <v>922</v>
      </c>
      <c r="EH36" s="487">
        <f t="shared" si="37"/>
        <v>-26</v>
      </c>
      <c r="EI36" s="487">
        <f t="shared" si="37"/>
        <v>0</v>
      </c>
      <c r="EJ36" s="494">
        <f>SUM(EG36:EI36)</f>
        <v>896</v>
      </c>
      <c r="EK36" s="1191"/>
      <c r="EL36" s="1191"/>
      <c r="EM36" s="1191"/>
    </row>
    <row r="37" spans="2:143" x14ac:dyDescent="0.3">
      <c r="B37" s="488" t="s">
        <v>186</v>
      </c>
      <c r="C37" s="487">
        <v>84</v>
      </c>
      <c r="D37" s="487">
        <v>3</v>
      </c>
      <c r="E37" s="487">
        <v>3</v>
      </c>
      <c r="F37" s="489">
        <v>90</v>
      </c>
      <c r="G37" s="488" t="s">
        <v>186</v>
      </c>
      <c r="H37" s="487">
        <v>79</v>
      </c>
      <c r="I37" s="487">
        <v>3</v>
      </c>
      <c r="J37" s="487">
        <v>2</v>
      </c>
      <c r="K37" s="489">
        <v>84</v>
      </c>
      <c r="L37" s="487">
        <f t="shared" si="10"/>
        <v>-6</v>
      </c>
      <c r="M37" s="488" t="s">
        <v>186</v>
      </c>
      <c r="N37" s="487">
        <v>64</v>
      </c>
      <c r="O37" s="487">
        <v>3</v>
      </c>
      <c r="P37" s="487">
        <v>2</v>
      </c>
      <c r="Q37" s="489">
        <v>69</v>
      </c>
      <c r="R37" s="487">
        <v>-15</v>
      </c>
      <c r="S37" s="488" t="s">
        <v>186</v>
      </c>
      <c r="T37" s="487">
        <v>64</v>
      </c>
      <c r="U37" s="487">
        <v>3</v>
      </c>
      <c r="V37" s="487">
        <v>2</v>
      </c>
      <c r="W37" s="489">
        <v>69</v>
      </c>
      <c r="X37" s="487">
        <f>W37-Q37</f>
        <v>0</v>
      </c>
      <c r="Y37" s="488" t="s">
        <v>186</v>
      </c>
      <c r="Z37" s="487">
        <v>54</v>
      </c>
      <c r="AA37" s="487">
        <v>4</v>
      </c>
      <c r="AB37" s="487">
        <v>11</v>
      </c>
      <c r="AC37" s="489">
        <v>69</v>
      </c>
      <c r="AD37" s="487">
        <f>AC37-W37</f>
        <v>0</v>
      </c>
      <c r="AE37" s="490" t="s">
        <v>186</v>
      </c>
      <c r="AF37" s="487">
        <v>52</v>
      </c>
      <c r="AG37" s="487">
        <v>4</v>
      </c>
      <c r="AH37" s="487">
        <v>11</v>
      </c>
      <c r="AI37" s="489">
        <v>67</v>
      </c>
      <c r="AJ37" s="491">
        <f>AB37-P37</f>
        <v>9</v>
      </c>
      <c r="AK37" s="490" t="s">
        <v>186</v>
      </c>
      <c r="AL37" s="487">
        <v>52</v>
      </c>
      <c r="AM37" s="487">
        <v>4</v>
      </c>
      <c r="AN37" s="487">
        <v>11</v>
      </c>
      <c r="AO37" s="489">
        <v>67</v>
      </c>
      <c r="AP37" s="489">
        <f>AO37-AI37</f>
        <v>0</v>
      </c>
      <c r="AQ37" s="487" t="s">
        <v>186</v>
      </c>
      <c r="AR37" s="487">
        <v>52</v>
      </c>
      <c r="AS37" s="487">
        <v>4</v>
      </c>
      <c r="AT37" s="487">
        <v>11</v>
      </c>
      <c r="AU37" s="489">
        <v>67</v>
      </c>
      <c r="AV37" s="487">
        <f>AU37-AO37</f>
        <v>0</v>
      </c>
      <c r="AW37" s="490" t="s">
        <v>186</v>
      </c>
      <c r="AX37" s="487">
        <v>58</v>
      </c>
      <c r="AY37" s="487">
        <v>3</v>
      </c>
      <c r="AZ37" s="487">
        <v>0</v>
      </c>
      <c r="BA37" s="489">
        <v>61</v>
      </c>
      <c r="BB37" s="491">
        <f>BA37-AU37</f>
        <v>-6</v>
      </c>
      <c r="BC37" s="490" t="s">
        <v>186</v>
      </c>
      <c r="BD37" s="487">
        <v>54</v>
      </c>
      <c r="BE37" s="487">
        <v>3</v>
      </c>
      <c r="BF37" s="487">
        <v>0</v>
      </c>
      <c r="BG37" s="489">
        <v>57</v>
      </c>
      <c r="BH37" s="489">
        <f>BG37-BA37</f>
        <v>-4</v>
      </c>
      <c r="BI37" s="487" t="s">
        <v>186</v>
      </c>
      <c r="BJ37" s="487">
        <v>47</v>
      </c>
      <c r="BK37" s="487">
        <v>3</v>
      </c>
      <c r="BL37" s="487">
        <v>0</v>
      </c>
      <c r="BM37" s="489">
        <v>50</v>
      </c>
      <c r="BN37" s="489">
        <v>-7</v>
      </c>
      <c r="BO37" s="487" t="s">
        <v>186</v>
      </c>
      <c r="BP37" s="487">
        <v>47</v>
      </c>
      <c r="BQ37" s="487">
        <v>3</v>
      </c>
      <c r="BR37" s="487">
        <v>0</v>
      </c>
      <c r="BS37" s="489">
        <v>50</v>
      </c>
      <c r="BT37" s="489">
        <v>0</v>
      </c>
      <c r="BU37" s="487" t="s">
        <v>186</v>
      </c>
      <c r="BV37" s="487">
        <v>47</v>
      </c>
      <c r="BW37" s="487">
        <v>3</v>
      </c>
      <c r="BX37" s="487">
        <v>0</v>
      </c>
      <c r="BY37" s="489">
        <v>50</v>
      </c>
      <c r="BZ37" s="492">
        <v>0</v>
      </c>
      <c r="CA37" s="487" t="s">
        <v>186</v>
      </c>
      <c r="CB37" s="487">
        <v>47</v>
      </c>
      <c r="CC37" s="487">
        <v>3</v>
      </c>
      <c r="CD37" s="487">
        <v>0</v>
      </c>
      <c r="CE37" s="489">
        <v>50</v>
      </c>
      <c r="CF37" s="492">
        <v>0</v>
      </c>
      <c r="CG37" s="487" t="s">
        <v>186</v>
      </c>
      <c r="CH37" s="487">
        <v>46</v>
      </c>
      <c r="CI37" s="487">
        <v>3</v>
      </c>
      <c r="CJ37" s="487">
        <v>0</v>
      </c>
      <c r="CK37" s="489">
        <v>49</v>
      </c>
      <c r="CL37" s="491">
        <v>-1</v>
      </c>
      <c r="CM37" s="487" t="s">
        <v>186</v>
      </c>
      <c r="CN37" s="487">
        <v>46</v>
      </c>
      <c r="CO37" s="487">
        <v>3</v>
      </c>
      <c r="CP37" s="487">
        <v>0</v>
      </c>
      <c r="CQ37" s="489">
        <v>49</v>
      </c>
      <c r="CR37" s="491">
        <v>0</v>
      </c>
      <c r="CS37" s="488" t="s">
        <v>186</v>
      </c>
      <c r="CT37" s="487">
        <v>46</v>
      </c>
      <c r="CU37" s="487">
        <v>3</v>
      </c>
      <c r="CV37" s="487">
        <v>0</v>
      </c>
      <c r="CW37" s="489">
        <v>49</v>
      </c>
      <c r="CX37" s="492">
        <v>0</v>
      </c>
      <c r="CY37" s="488" t="s">
        <v>186</v>
      </c>
      <c r="CZ37" s="487">
        <v>81</v>
      </c>
      <c r="DA37" s="487">
        <v>3</v>
      </c>
      <c r="DB37" s="487">
        <v>0</v>
      </c>
      <c r="DC37" s="489">
        <v>84</v>
      </c>
      <c r="DD37" s="492">
        <v>35</v>
      </c>
      <c r="DE37" s="488" t="s">
        <v>186</v>
      </c>
      <c r="DF37" s="487">
        <v>81</v>
      </c>
      <c r="DG37" s="487">
        <v>3</v>
      </c>
      <c r="DH37" s="487">
        <v>150</v>
      </c>
      <c r="DI37" s="489">
        <v>234</v>
      </c>
      <c r="DJ37" s="492">
        <v>150</v>
      </c>
      <c r="DK37" s="488" t="s">
        <v>186</v>
      </c>
      <c r="DL37" s="487">
        <v>81</v>
      </c>
      <c r="DM37" s="487">
        <v>3</v>
      </c>
      <c r="DN37" s="487">
        <v>150</v>
      </c>
      <c r="DO37" s="489">
        <v>234</v>
      </c>
      <c r="DP37" s="492">
        <v>0</v>
      </c>
      <c r="DR37" s="488" t="s">
        <v>186</v>
      </c>
      <c r="DS37" s="487">
        <v>221</v>
      </c>
      <c r="DT37" s="487">
        <v>0</v>
      </c>
      <c r="DU37" s="487">
        <v>257</v>
      </c>
      <c r="DV37" s="489">
        <v>478</v>
      </c>
      <c r="DW37" s="492">
        <v>478</v>
      </c>
      <c r="DY37" s="488" t="s">
        <v>186</v>
      </c>
      <c r="DZ37" s="487">
        <f>GETPIVOTDATA("Individus",'Displacement &amp; Returns'!$D$158, "adm2_name","Mayo-Kani","adm3_name",$DK37,"Statut déplacé","PDI")</f>
        <v>246</v>
      </c>
      <c r="EA37" s="487">
        <f>GETPIVOTDATA("Individus",'Displacement &amp; Returns'!$D$158, "adm2_name","Mayo-Kani","adm3_name",$DK37,"Statut déplacé","Retournés")</f>
        <v>9</v>
      </c>
      <c r="EB37" s="487">
        <f>GETPIVOTDATA("Individus",'Displacement &amp; Returns'!$D$158, "adm2_name","Mayo-Kani","adm3_name",$DK37,"Statut déplacé","Refugié hors camp")</f>
        <v>150</v>
      </c>
      <c r="EC37" s="489">
        <f>SUM(DZ37:EB37)</f>
        <v>405</v>
      </c>
      <c r="ED37" s="492">
        <f>EC37-DP37</f>
        <v>405</v>
      </c>
      <c r="EF37" s="488" t="s">
        <v>186</v>
      </c>
      <c r="EG37" s="487">
        <f t="shared" si="37"/>
        <v>165</v>
      </c>
      <c r="EH37" s="487">
        <f t="shared" si="37"/>
        <v>6</v>
      </c>
      <c r="EI37" s="487">
        <f t="shared" si="37"/>
        <v>0</v>
      </c>
      <c r="EJ37" s="494">
        <f>SUM(EG37:EI37)</f>
        <v>171</v>
      </c>
      <c r="EK37" s="1191"/>
      <c r="EL37" s="1191"/>
      <c r="EM37" s="1191"/>
    </row>
    <row r="38" spans="2:143" x14ac:dyDescent="0.3">
      <c r="B38" s="479" t="s">
        <v>34</v>
      </c>
      <c r="C38" s="480"/>
      <c r="D38" s="480"/>
      <c r="E38" s="480"/>
      <c r="F38" s="481"/>
      <c r="G38" s="479" t="s">
        <v>34</v>
      </c>
      <c r="H38" s="480"/>
      <c r="I38" s="480"/>
      <c r="J38" s="480"/>
      <c r="K38" s="481"/>
      <c r="L38" s="480">
        <f>SUM(K39:K41)-SUM(F39:F41)</f>
        <v>-15961</v>
      </c>
      <c r="M38" s="479" t="s">
        <v>34</v>
      </c>
      <c r="N38" s="480"/>
      <c r="O38" s="480"/>
      <c r="P38" s="480"/>
      <c r="Q38" s="481"/>
      <c r="R38" s="480">
        <v>26673</v>
      </c>
      <c r="S38" s="479" t="s">
        <v>34</v>
      </c>
      <c r="T38" s="480"/>
      <c r="U38" s="480"/>
      <c r="V38" s="480"/>
      <c r="W38" s="481"/>
      <c r="X38" s="480">
        <f>SUM(W39:W41)-SUM(Q39:Q41)</f>
        <v>2548</v>
      </c>
      <c r="Y38" s="482" t="s">
        <v>34</v>
      </c>
      <c r="Z38" s="480"/>
      <c r="AA38" s="480"/>
      <c r="AB38" s="480"/>
      <c r="AC38" s="481"/>
      <c r="AD38" s="480">
        <f>SUM(AC39:AC41)-SUM(W39:W41)</f>
        <v>2384</v>
      </c>
      <c r="AE38" s="483" t="s">
        <v>34</v>
      </c>
      <c r="AF38" s="480"/>
      <c r="AG38" s="480"/>
      <c r="AH38" s="480"/>
      <c r="AI38" s="481"/>
      <c r="AJ38" s="484">
        <f>SUM(AB39:AB41)-SUM(P39:P41)</f>
        <v>0</v>
      </c>
      <c r="AK38" s="483" t="s">
        <v>34</v>
      </c>
      <c r="AL38" s="480"/>
      <c r="AM38" s="480"/>
      <c r="AN38" s="480"/>
      <c r="AO38" s="481"/>
      <c r="AP38" s="481">
        <f>SUM(AO39:AO41)-SUM(AI39:AI41)</f>
        <v>1453</v>
      </c>
      <c r="AQ38" s="480" t="s">
        <v>34</v>
      </c>
      <c r="AR38" s="480"/>
      <c r="AS38" s="480"/>
      <c r="AT38" s="480"/>
      <c r="AU38" s="481"/>
      <c r="AV38" s="480">
        <f>SUM(AU39:AU41)-SUM(AO39:AO41)</f>
        <v>3200</v>
      </c>
      <c r="AW38" s="483" t="s">
        <v>34</v>
      </c>
      <c r="AX38" s="480"/>
      <c r="AY38" s="480"/>
      <c r="AZ38" s="480"/>
      <c r="BA38" s="481"/>
      <c r="BB38" s="484">
        <f>SUM(BB39:BB41)</f>
        <v>-619</v>
      </c>
      <c r="BC38" s="483" t="s">
        <v>34</v>
      </c>
      <c r="BD38" s="480"/>
      <c r="BE38" s="480"/>
      <c r="BF38" s="480"/>
      <c r="BG38" s="481"/>
      <c r="BH38" s="481">
        <f>SUM(BH39:BH41)</f>
        <v>2766</v>
      </c>
      <c r="BI38" s="480" t="s">
        <v>34</v>
      </c>
      <c r="BJ38" s="480"/>
      <c r="BK38" s="480"/>
      <c r="BL38" s="480"/>
      <c r="BM38" s="481"/>
      <c r="BN38" s="481">
        <v>23421</v>
      </c>
      <c r="BO38" s="480" t="s">
        <v>34</v>
      </c>
      <c r="BP38" s="480"/>
      <c r="BQ38" s="480"/>
      <c r="BR38" s="480"/>
      <c r="BS38" s="481"/>
      <c r="BT38" s="481">
        <v>2150</v>
      </c>
      <c r="BU38" s="480" t="s">
        <v>34</v>
      </c>
      <c r="BV38" s="480"/>
      <c r="BW38" s="480"/>
      <c r="BX38" s="480"/>
      <c r="BY38" s="481"/>
      <c r="BZ38" s="497">
        <v>10037</v>
      </c>
      <c r="CA38" s="480" t="s">
        <v>34</v>
      </c>
      <c r="CB38" s="480"/>
      <c r="CC38" s="480"/>
      <c r="CD38" s="480"/>
      <c r="CE38" s="481"/>
      <c r="CF38" s="497">
        <v>3112</v>
      </c>
      <c r="CG38" s="480" t="s">
        <v>34</v>
      </c>
      <c r="CH38" s="480"/>
      <c r="CI38" s="480"/>
      <c r="CJ38" s="480"/>
      <c r="CK38" s="481"/>
      <c r="CL38" s="484">
        <v>788</v>
      </c>
      <c r="CM38" s="480" t="s">
        <v>34</v>
      </c>
      <c r="CN38" s="480"/>
      <c r="CO38" s="480"/>
      <c r="CP38" s="480"/>
      <c r="CQ38" s="481"/>
      <c r="CR38" s="484">
        <v>14483</v>
      </c>
      <c r="CS38" s="479" t="s">
        <v>34</v>
      </c>
      <c r="CT38" s="480"/>
      <c r="CU38" s="480"/>
      <c r="CV38" s="480"/>
      <c r="CW38" s="481"/>
      <c r="CX38" s="497">
        <v>11526</v>
      </c>
      <c r="CY38" s="479" t="s">
        <v>34</v>
      </c>
      <c r="CZ38" s="480">
        <v>118481</v>
      </c>
      <c r="DA38" s="480">
        <v>34770</v>
      </c>
      <c r="DB38" s="480">
        <v>7421</v>
      </c>
      <c r="DC38" s="481">
        <v>160672</v>
      </c>
      <c r="DD38" s="497">
        <v>16374</v>
      </c>
      <c r="DE38" s="479" t="s">
        <v>34</v>
      </c>
      <c r="DF38" s="480">
        <v>123165</v>
      </c>
      <c r="DG38" s="480">
        <v>38013</v>
      </c>
      <c r="DH38" s="480">
        <v>7575</v>
      </c>
      <c r="DI38" s="480">
        <v>168753</v>
      </c>
      <c r="DJ38" s="497">
        <v>8081</v>
      </c>
      <c r="DK38" s="479" t="s">
        <v>34</v>
      </c>
      <c r="DL38" s="480">
        <v>125180</v>
      </c>
      <c r="DM38" s="480">
        <v>35682</v>
      </c>
      <c r="DN38" s="480">
        <v>7779</v>
      </c>
      <c r="DO38" s="480">
        <v>168641</v>
      </c>
      <c r="DP38" s="497">
        <v>-112</v>
      </c>
      <c r="DQ38" s="1134"/>
      <c r="DR38" s="479" t="s">
        <v>34</v>
      </c>
      <c r="DS38" s="480">
        <v>128876</v>
      </c>
      <c r="DT38" s="480">
        <v>35372</v>
      </c>
      <c r="DU38" s="480">
        <v>7568</v>
      </c>
      <c r="DV38" s="480">
        <v>171816</v>
      </c>
      <c r="DW38" s="497">
        <v>171928</v>
      </c>
      <c r="DX38" s="1134"/>
      <c r="DY38" s="479" t="s">
        <v>34</v>
      </c>
      <c r="DZ38" s="480">
        <f>SUM(DZ39:DZ41)</f>
        <v>125045</v>
      </c>
      <c r="EA38" s="480">
        <f>SUM(EA39:EA41)</f>
        <v>32870</v>
      </c>
      <c r="EB38" s="480">
        <f>SUM(EB39:EB41)</f>
        <v>7597</v>
      </c>
      <c r="EC38" s="480">
        <f>SUM(EC39:EC41)</f>
        <v>165512</v>
      </c>
      <c r="ED38" s="497">
        <f>SUM(ED39:ED41)</f>
        <v>165624</v>
      </c>
      <c r="EF38" s="479" t="s">
        <v>34</v>
      </c>
      <c r="EG38" s="486">
        <f>SUM(EG39:EG41)</f>
        <v>-135</v>
      </c>
      <c r="EH38" s="486">
        <f>SUM(EH39:EH41)</f>
        <v>-2812</v>
      </c>
      <c r="EI38" s="486">
        <f>SUM(EI39:EI41)</f>
        <v>-182</v>
      </c>
      <c r="EJ38" s="486">
        <f>SUM(EJ39:EJ41)</f>
        <v>-3129</v>
      </c>
      <c r="EK38" s="1191"/>
      <c r="EL38" s="1191"/>
      <c r="EM38" s="1191"/>
    </row>
    <row r="39" spans="2:143" x14ac:dyDescent="0.3">
      <c r="B39" s="488" t="s">
        <v>187</v>
      </c>
      <c r="C39" s="487">
        <v>23360</v>
      </c>
      <c r="D39" s="487">
        <v>38</v>
      </c>
      <c r="E39" s="487">
        <v>700</v>
      </c>
      <c r="F39" s="489">
        <v>24098</v>
      </c>
      <c r="G39" s="488" t="s">
        <v>187</v>
      </c>
      <c r="H39" s="487">
        <v>4421</v>
      </c>
      <c r="I39" s="487">
        <v>1602</v>
      </c>
      <c r="J39" s="487">
        <v>0</v>
      </c>
      <c r="K39" s="489">
        <v>6023</v>
      </c>
      <c r="L39" s="487">
        <f t="shared" si="10"/>
        <v>-18075</v>
      </c>
      <c r="M39" s="488" t="s">
        <v>187</v>
      </c>
      <c r="N39" s="487">
        <v>6870</v>
      </c>
      <c r="O39" s="487">
        <v>4158</v>
      </c>
      <c r="P39" s="487">
        <v>0</v>
      </c>
      <c r="Q39" s="489">
        <v>11028</v>
      </c>
      <c r="R39" s="487">
        <v>5005</v>
      </c>
      <c r="S39" s="488" t="s">
        <v>187</v>
      </c>
      <c r="T39" s="487">
        <v>11841</v>
      </c>
      <c r="U39" s="487">
        <v>4610</v>
      </c>
      <c r="V39" s="487">
        <v>204</v>
      </c>
      <c r="W39" s="489">
        <v>16655</v>
      </c>
      <c r="X39" s="487">
        <f>W39-Q39</f>
        <v>5627</v>
      </c>
      <c r="Y39" s="488" t="s">
        <v>187</v>
      </c>
      <c r="Z39" s="487">
        <v>12364</v>
      </c>
      <c r="AA39" s="487">
        <v>5593</v>
      </c>
      <c r="AB39" s="487">
        <v>0</v>
      </c>
      <c r="AC39" s="489">
        <v>17957</v>
      </c>
      <c r="AD39" s="487">
        <f>AC39-W39</f>
        <v>1302</v>
      </c>
      <c r="AE39" s="490" t="s">
        <v>187</v>
      </c>
      <c r="AF39" s="487">
        <v>12436</v>
      </c>
      <c r="AG39" s="487">
        <v>5730</v>
      </c>
      <c r="AH39" s="487">
        <v>0</v>
      </c>
      <c r="AI39" s="489">
        <v>18166</v>
      </c>
      <c r="AJ39" s="491">
        <f>AB39-P39</f>
        <v>0</v>
      </c>
      <c r="AK39" s="490" t="s">
        <v>187</v>
      </c>
      <c r="AL39" s="487">
        <v>14448</v>
      </c>
      <c r="AM39" s="487">
        <v>5682</v>
      </c>
      <c r="AN39" s="487">
        <v>0</v>
      </c>
      <c r="AO39" s="489">
        <v>20130</v>
      </c>
      <c r="AP39" s="489">
        <f>AO39-AI39</f>
        <v>1964</v>
      </c>
      <c r="AQ39" s="487" t="s">
        <v>187</v>
      </c>
      <c r="AR39" s="487">
        <v>14521</v>
      </c>
      <c r="AS39" s="487">
        <v>9128</v>
      </c>
      <c r="AT39" s="487">
        <v>0</v>
      </c>
      <c r="AU39" s="489">
        <v>23649</v>
      </c>
      <c r="AV39" s="487">
        <f>AU39-AO39</f>
        <v>3519</v>
      </c>
      <c r="AW39" s="490" t="s">
        <v>187</v>
      </c>
      <c r="AX39" s="487">
        <v>13018</v>
      </c>
      <c r="AY39" s="487">
        <v>14310</v>
      </c>
      <c r="AZ39" s="487">
        <v>0</v>
      </c>
      <c r="BA39" s="489">
        <v>27328</v>
      </c>
      <c r="BB39" s="491">
        <f>BA39-AU39</f>
        <v>3679</v>
      </c>
      <c r="BC39" s="490" t="s">
        <v>187</v>
      </c>
      <c r="BD39" s="487">
        <v>12008</v>
      </c>
      <c r="BE39" s="487">
        <v>14495</v>
      </c>
      <c r="BF39" s="487">
        <v>0</v>
      </c>
      <c r="BG39" s="489">
        <v>26503</v>
      </c>
      <c r="BH39" s="489">
        <f>BG39-BA39</f>
        <v>-825</v>
      </c>
      <c r="BI39" s="487" t="s">
        <v>187</v>
      </c>
      <c r="BJ39" s="487">
        <v>30221</v>
      </c>
      <c r="BK39" s="487">
        <v>16133</v>
      </c>
      <c r="BL39" s="498">
        <v>401</v>
      </c>
      <c r="BM39" s="493">
        <v>46755</v>
      </c>
      <c r="BN39" s="493">
        <v>20252</v>
      </c>
      <c r="BO39" s="498" t="s">
        <v>187</v>
      </c>
      <c r="BP39" s="498">
        <v>33206</v>
      </c>
      <c r="BQ39" s="498">
        <v>17036</v>
      </c>
      <c r="BR39" s="498">
        <v>0</v>
      </c>
      <c r="BS39" s="493">
        <v>50242</v>
      </c>
      <c r="BT39" s="493">
        <v>3487</v>
      </c>
      <c r="BU39" s="498" t="s">
        <v>187</v>
      </c>
      <c r="BV39" s="498">
        <v>39044</v>
      </c>
      <c r="BW39" s="498">
        <v>18391</v>
      </c>
      <c r="BX39" s="498">
        <v>97</v>
      </c>
      <c r="BY39" s="493">
        <v>57532</v>
      </c>
      <c r="BZ39" s="492">
        <v>7290</v>
      </c>
      <c r="CA39" s="498" t="s">
        <v>187</v>
      </c>
      <c r="CB39" s="498">
        <v>39166</v>
      </c>
      <c r="CC39" s="498">
        <v>18536</v>
      </c>
      <c r="CD39" s="498">
        <v>0</v>
      </c>
      <c r="CE39" s="493">
        <v>57702</v>
      </c>
      <c r="CF39" s="492">
        <v>170</v>
      </c>
      <c r="CG39" s="498" t="s">
        <v>187</v>
      </c>
      <c r="CH39" s="498">
        <v>39754</v>
      </c>
      <c r="CI39" s="498">
        <v>18782</v>
      </c>
      <c r="CJ39" s="498">
        <v>25</v>
      </c>
      <c r="CK39" s="493">
        <v>58561</v>
      </c>
      <c r="CL39" s="491">
        <v>859</v>
      </c>
      <c r="CM39" s="498" t="s">
        <v>187</v>
      </c>
      <c r="CN39" s="498">
        <v>41345</v>
      </c>
      <c r="CO39" s="498">
        <v>19406</v>
      </c>
      <c r="CP39" s="498">
        <v>47</v>
      </c>
      <c r="CQ39" s="493">
        <v>60798</v>
      </c>
      <c r="CR39" s="491">
        <v>2237</v>
      </c>
      <c r="CS39" s="499" t="s">
        <v>187</v>
      </c>
      <c r="CT39" s="498">
        <v>43936</v>
      </c>
      <c r="CU39" s="498">
        <v>18999</v>
      </c>
      <c r="CV39" s="498">
        <v>22</v>
      </c>
      <c r="CW39" s="493">
        <v>62957</v>
      </c>
      <c r="CX39" s="492">
        <v>2159</v>
      </c>
      <c r="CY39" s="499" t="s">
        <v>187</v>
      </c>
      <c r="CZ39" s="498">
        <v>51083</v>
      </c>
      <c r="DA39" s="498">
        <v>17691</v>
      </c>
      <c r="DB39" s="498">
        <v>0</v>
      </c>
      <c r="DC39" s="493">
        <v>68774</v>
      </c>
      <c r="DD39" s="492">
        <v>5817</v>
      </c>
      <c r="DE39" s="499" t="s">
        <v>187</v>
      </c>
      <c r="DF39" s="487">
        <v>54566</v>
      </c>
      <c r="DG39" s="487">
        <v>20575</v>
      </c>
      <c r="DH39" s="487">
        <v>0</v>
      </c>
      <c r="DI39" s="489">
        <v>75141</v>
      </c>
      <c r="DJ39" s="492">
        <v>6367</v>
      </c>
      <c r="DK39" s="499" t="s">
        <v>187</v>
      </c>
      <c r="DL39" s="487">
        <v>54733</v>
      </c>
      <c r="DM39" s="487">
        <v>18225</v>
      </c>
      <c r="DN39" s="487">
        <v>0</v>
      </c>
      <c r="DO39" s="489">
        <v>72958</v>
      </c>
      <c r="DP39" s="492">
        <v>-2183</v>
      </c>
      <c r="DR39" s="499" t="s">
        <v>187</v>
      </c>
      <c r="DS39" s="487">
        <v>56419</v>
      </c>
      <c r="DT39" s="487">
        <v>18336</v>
      </c>
      <c r="DU39" s="487">
        <v>0</v>
      </c>
      <c r="DV39" s="489">
        <v>74755</v>
      </c>
      <c r="DW39" s="492">
        <v>76938</v>
      </c>
      <c r="DY39" s="499" t="s">
        <v>187</v>
      </c>
      <c r="DZ39" s="487">
        <f>GETPIVOTDATA("Individus",'Displacement &amp; Returns'!$D$158, "adm2_name","Mayo-Sava","adm3_name",$DK39,"Statut déplacé","PDI")</f>
        <v>51515</v>
      </c>
      <c r="EA39" s="487">
        <f>GETPIVOTDATA("Individus",'Displacement &amp; Returns'!$D$158, "adm2_name","Mayo-Sava","adm3_name",$DK39,"Statut déplacé","Retournés")</f>
        <v>16656</v>
      </c>
      <c r="EB39" s="487">
        <f>GETPIVOTDATA("Individus",'Displacement &amp; Returns'!$D$158, "adm2_name","Mayo-Sava","adm3_name",$DK39,"Statut déplacé","Refugié hors camp")</f>
        <v>0</v>
      </c>
      <c r="EC39" s="489">
        <f>SUM(DZ39:EB39)</f>
        <v>68171</v>
      </c>
      <c r="ED39" s="492">
        <f>EC39-DP39</f>
        <v>70354</v>
      </c>
      <c r="EF39" s="488" t="s">
        <v>187</v>
      </c>
      <c r="EG39" s="487">
        <f t="shared" ref="EG39:EI41" si="38">DZ39-DL39</f>
        <v>-3218</v>
      </c>
      <c r="EH39" s="487">
        <f t="shared" si="38"/>
        <v>-1569</v>
      </c>
      <c r="EI39" s="487">
        <f t="shared" si="38"/>
        <v>0</v>
      </c>
      <c r="EJ39" s="494">
        <f>SUM(EG39:EI39)</f>
        <v>-4787</v>
      </c>
      <c r="EK39" s="1191"/>
      <c r="EL39" s="1191"/>
      <c r="EM39" s="1191"/>
    </row>
    <row r="40" spans="2:143" x14ac:dyDescent="0.3">
      <c r="B40" s="488" t="s">
        <v>188</v>
      </c>
      <c r="C40" s="487">
        <v>30188</v>
      </c>
      <c r="D40" s="487">
        <v>0</v>
      </c>
      <c r="E40" s="487">
        <v>0</v>
      </c>
      <c r="F40" s="489">
        <v>30188</v>
      </c>
      <c r="G40" s="488" t="s">
        <v>188</v>
      </c>
      <c r="H40" s="487">
        <v>32231</v>
      </c>
      <c r="I40" s="487">
        <v>0</v>
      </c>
      <c r="J40" s="487">
        <v>0</v>
      </c>
      <c r="K40" s="489">
        <v>32231</v>
      </c>
      <c r="L40" s="487">
        <f t="shared" si="10"/>
        <v>2043</v>
      </c>
      <c r="M40" s="488" t="s">
        <v>188</v>
      </c>
      <c r="N40" s="487">
        <v>48130</v>
      </c>
      <c r="O40" s="487">
        <v>5693</v>
      </c>
      <c r="P40" s="487">
        <v>0</v>
      </c>
      <c r="Q40" s="489">
        <v>53823</v>
      </c>
      <c r="R40" s="487">
        <v>21592</v>
      </c>
      <c r="S40" s="488" t="s">
        <v>188</v>
      </c>
      <c r="T40" s="487">
        <v>43143</v>
      </c>
      <c r="U40" s="487">
        <v>7655</v>
      </c>
      <c r="V40" s="487">
        <v>0</v>
      </c>
      <c r="W40" s="489">
        <v>50798</v>
      </c>
      <c r="X40" s="487">
        <f>W40-Q40</f>
        <v>-3025</v>
      </c>
      <c r="Y40" s="488" t="s">
        <v>188</v>
      </c>
      <c r="Z40" s="487">
        <v>44459</v>
      </c>
      <c r="AA40" s="487">
        <v>7472</v>
      </c>
      <c r="AB40" s="487">
        <v>0</v>
      </c>
      <c r="AC40" s="489">
        <v>51931</v>
      </c>
      <c r="AD40" s="487">
        <f>AC40-W40</f>
        <v>1133</v>
      </c>
      <c r="AE40" s="490" t="s">
        <v>188</v>
      </c>
      <c r="AF40" s="487">
        <v>44288</v>
      </c>
      <c r="AG40" s="487">
        <v>7707</v>
      </c>
      <c r="AH40" s="487">
        <v>0</v>
      </c>
      <c r="AI40" s="489">
        <v>51995</v>
      </c>
      <c r="AJ40" s="491">
        <f>AB40-P40</f>
        <v>0</v>
      </c>
      <c r="AK40" s="490" t="s">
        <v>188</v>
      </c>
      <c r="AL40" s="487">
        <v>43697</v>
      </c>
      <c r="AM40" s="487">
        <v>7785</v>
      </c>
      <c r="AN40" s="487">
        <v>0</v>
      </c>
      <c r="AO40" s="489">
        <v>51482</v>
      </c>
      <c r="AP40" s="489">
        <f>AO40-AI40</f>
        <v>-513</v>
      </c>
      <c r="AQ40" s="487" t="s">
        <v>188</v>
      </c>
      <c r="AR40" s="487">
        <v>43257</v>
      </c>
      <c r="AS40" s="487">
        <v>8000</v>
      </c>
      <c r="AT40" s="487">
        <v>0</v>
      </c>
      <c r="AU40" s="489">
        <v>51257</v>
      </c>
      <c r="AV40" s="487">
        <f>AU40-AO40</f>
        <v>-225</v>
      </c>
      <c r="AW40" s="490" t="s">
        <v>188</v>
      </c>
      <c r="AX40" s="487">
        <v>35332</v>
      </c>
      <c r="AY40" s="487">
        <v>11813</v>
      </c>
      <c r="AZ40" s="487">
        <v>0</v>
      </c>
      <c r="BA40" s="489">
        <v>47145</v>
      </c>
      <c r="BB40" s="491">
        <f>BA40-AU40</f>
        <v>-4112</v>
      </c>
      <c r="BC40" s="490" t="s">
        <v>188</v>
      </c>
      <c r="BD40" s="487">
        <v>31310</v>
      </c>
      <c r="BE40" s="487">
        <v>12589</v>
      </c>
      <c r="BF40" s="487">
        <v>6733</v>
      </c>
      <c r="BG40" s="489">
        <v>50632</v>
      </c>
      <c r="BH40" s="489">
        <f>BG40-BA40</f>
        <v>3487</v>
      </c>
      <c r="BI40" s="487" t="s">
        <v>188</v>
      </c>
      <c r="BJ40" s="487">
        <v>32147</v>
      </c>
      <c r="BK40" s="487">
        <v>14364</v>
      </c>
      <c r="BL40" s="487">
        <v>7458</v>
      </c>
      <c r="BM40" s="489">
        <v>53969</v>
      </c>
      <c r="BN40" s="489">
        <v>3337</v>
      </c>
      <c r="BO40" s="487" t="s">
        <v>188</v>
      </c>
      <c r="BP40" s="487">
        <v>31666</v>
      </c>
      <c r="BQ40" s="487">
        <v>14262</v>
      </c>
      <c r="BR40" s="487">
        <v>6808</v>
      </c>
      <c r="BS40" s="489">
        <v>52736</v>
      </c>
      <c r="BT40" s="489">
        <v>-1233</v>
      </c>
      <c r="BU40" s="487" t="s">
        <v>188</v>
      </c>
      <c r="BV40" s="487">
        <v>33102</v>
      </c>
      <c r="BW40" s="487">
        <v>15473</v>
      </c>
      <c r="BX40" s="487">
        <v>6927</v>
      </c>
      <c r="BY40" s="489">
        <v>55502</v>
      </c>
      <c r="BZ40" s="492">
        <v>2766</v>
      </c>
      <c r="CA40" s="487" t="s">
        <v>188</v>
      </c>
      <c r="CB40" s="487">
        <v>35182</v>
      </c>
      <c r="CC40" s="487">
        <v>16137</v>
      </c>
      <c r="CD40" s="487">
        <v>7131</v>
      </c>
      <c r="CE40" s="489">
        <v>58450</v>
      </c>
      <c r="CF40" s="492">
        <v>2948</v>
      </c>
      <c r="CG40" s="487" t="s">
        <v>188</v>
      </c>
      <c r="CH40" s="487">
        <v>35999</v>
      </c>
      <c r="CI40" s="487">
        <v>15261</v>
      </c>
      <c r="CJ40" s="487">
        <v>6904</v>
      </c>
      <c r="CK40" s="489">
        <v>58164</v>
      </c>
      <c r="CL40" s="491">
        <v>-286</v>
      </c>
      <c r="CM40" s="487" t="s">
        <v>188</v>
      </c>
      <c r="CN40" s="487">
        <v>45730</v>
      </c>
      <c r="CO40" s="487">
        <v>17145</v>
      </c>
      <c r="CP40" s="487">
        <v>7071</v>
      </c>
      <c r="CQ40" s="489">
        <v>69946</v>
      </c>
      <c r="CR40" s="491">
        <v>11782</v>
      </c>
      <c r="CS40" s="488" t="s">
        <v>188</v>
      </c>
      <c r="CT40" s="487">
        <v>54029</v>
      </c>
      <c r="CU40" s="487">
        <v>16421</v>
      </c>
      <c r="CV40" s="487">
        <v>7355</v>
      </c>
      <c r="CW40" s="489">
        <v>77805</v>
      </c>
      <c r="CX40" s="492">
        <v>7859</v>
      </c>
      <c r="CY40" s="488" t="s">
        <v>188</v>
      </c>
      <c r="CZ40" s="487">
        <v>63277</v>
      </c>
      <c r="DA40" s="487">
        <v>17079</v>
      </c>
      <c r="DB40" s="487">
        <v>7395</v>
      </c>
      <c r="DC40" s="489">
        <v>87751</v>
      </c>
      <c r="DD40" s="492">
        <v>9946</v>
      </c>
      <c r="DE40" s="488" t="s">
        <v>188</v>
      </c>
      <c r="DF40" s="487">
        <v>64033</v>
      </c>
      <c r="DG40" s="487">
        <v>17438</v>
      </c>
      <c r="DH40" s="487">
        <v>7542</v>
      </c>
      <c r="DI40" s="489">
        <v>89013</v>
      </c>
      <c r="DJ40" s="492">
        <v>1262</v>
      </c>
      <c r="DK40" s="488" t="s">
        <v>188</v>
      </c>
      <c r="DL40" s="487">
        <v>65965</v>
      </c>
      <c r="DM40" s="487">
        <v>17457</v>
      </c>
      <c r="DN40" s="487">
        <v>7742</v>
      </c>
      <c r="DO40" s="489">
        <v>91164</v>
      </c>
      <c r="DP40" s="492">
        <v>2151</v>
      </c>
      <c r="DR40" s="488" t="s">
        <v>188</v>
      </c>
      <c r="DS40" s="487">
        <v>67707</v>
      </c>
      <c r="DT40" s="487">
        <v>17036</v>
      </c>
      <c r="DU40" s="487">
        <v>7526</v>
      </c>
      <c r="DV40" s="489">
        <v>92269</v>
      </c>
      <c r="DW40" s="492">
        <v>90118</v>
      </c>
      <c r="DY40" s="488" t="s">
        <v>188</v>
      </c>
      <c r="DZ40" s="487">
        <f>GETPIVOTDATA("Individus",'Displacement &amp; Returns'!$D$158, "adm2_name","Mayo-Sava","adm3_name",$DK40,"Statut déplacé","PDI")</f>
        <v>68575</v>
      </c>
      <c r="EA40" s="487">
        <f>GETPIVOTDATA("Individus",'Displacement &amp; Returns'!$D$158, "adm2_name","Mayo-Sava","adm3_name",$DK40,"Statut déplacé","Retournés")</f>
        <v>16214</v>
      </c>
      <c r="EB40" s="487">
        <f>GETPIVOTDATA("Individus",'Displacement &amp; Returns'!$D$158, "adm2_name","Mayo-Sava","adm3_name",$DK40,"Statut déplacé","Refugié hors camp")</f>
        <v>7552</v>
      </c>
      <c r="EC40" s="489">
        <f>SUM(DZ40:EB40)</f>
        <v>92341</v>
      </c>
      <c r="ED40" s="492">
        <f>EC40-DP40</f>
        <v>90190</v>
      </c>
      <c r="EF40" s="488" t="s">
        <v>188</v>
      </c>
      <c r="EG40" s="487">
        <f t="shared" si="38"/>
        <v>2610</v>
      </c>
      <c r="EH40" s="487">
        <f t="shared" si="38"/>
        <v>-1243</v>
      </c>
      <c r="EI40" s="487">
        <f t="shared" si="38"/>
        <v>-190</v>
      </c>
      <c r="EJ40" s="494">
        <f>SUM(EG40:EI40)</f>
        <v>1177</v>
      </c>
      <c r="EK40" s="1191"/>
      <c r="EL40" s="1191"/>
      <c r="EM40" s="1191"/>
    </row>
    <row r="41" spans="2:143" x14ac:dyDescent="0.3">
      <c r="B41" s="488" t="s">
        <v>189</v>
      </c>
      <c r="C41" s="487">
        <v>1788</v>
      </c>
      <c r="D41" s="487">
        <v>0</v>
      </c>
      <c r="E41" s="487">
        <v>0</v>
      </c>
      <c r="F41" s="489">
        <v>1788</v>
      </c>
      <c r="G41" s="488" t="s">
        <v>189</v>
      </c>
      <c r="H41" s="487">
        <v>1859</v>
      </c>
      <c r="I41" s="487">
        <v>0</v>
      </c>
      <c r="J41" s="487">
        <v>0</v>
      </c>
      <c r="K41" s="489">
        <v>1859</v>
      </c>
      <c r="L41" s="487">
        <f t="shared" si="10"/>
        <v>71</v>
      </c>
      <c r="M41" s="488" t="s">
        <v>189</v>
      </c>
      <c r="N41" s="487">
        <v>1935</v>
      </c>
      <c r="O41" s="487">
        <v>0</v>
      </c>
      <c r="P41" s="487">
        <v>0</v>
      </c>
      <c r="Q41" s="489">
        <v>1935</v>
      </c>
      <c r="R41" s="487">
        <v>76</v>
      </c>
      <c r="S41" s="488" t="s">
        <v>189</v>
      </c>
      <c r="T41" s="487">
        <v>1881</v>
      </c>
      <c r="U41" s="487">
        <v>0</v>
      </c>
      <c r="V41" s="487">
        <v>0</v>
      </c>
      <c r="W41" s="489">
        <v>1881</v>
      </c>
      <c r="X41" s="487">
        <f>W41-Q41</f>
        <v>-54</v>
      </c>
      <c r="Y41" s="488" t="s">
        <v>189</v>
      </c>
      <c r="Z41" s="487">
        <v>1830</v>
      </c>
      <c r="AA41" s="487">
        <v>0</v>
      </c>
      <c r="AB41" s="487">
        <v>0</v>
      </c>
      <c r="AC41" s="489">
        <v>1830</v>
      </c>
      <c r="AD41" s="487">
        <f>AC41-W41</f>
        <v>-51</v>
      </c>
      <c r="AE41" s="490" t="s">
        <v>189</v>
      </c>
      <c r="AF41" s="487">
        <v>1820</v>
      </c>
      <c r="AG41" s="487">
        <v>0</v>
      </c>
      <c r="AH41" s="487">
        <v>0</v>
      </c>
      <c r="AI41" s="489">
        <v>1820</v>
      </c>
      <c r="AJ41" s="491">
        <f>AB41-P41</f>
        <v>0</v>
      </c>
      <c r="AK41" s="490" t="s">
        <v>189</v>
      </c>
      <c r="AL41" s="487">
        <v>1822</v>
      </c>
      <c r="AM41" s="487">
        <v>0</v>
      </c>
      <c r="AN41" s="487">
        <v>0</v>
      </c>
      <c r="AO41" s="489">
        <v>1822</v>
      </c>
      <c r="AP41" s="489">
        <f>AO41-AI41</f>
        <v>2</v>
      </c>
      <c r="AQ41" s="487" t="s">
        <v>189</v>
      </c>
      <c r="AR41" s="487">
        <v>1728</v>
      </c>
      <c r="AS41" s="487">
        <v>0</v>
      </c>
      <c r="AT41" s="487">
        <v>0</v>
      </c>
      <c r="AU41" s="489">
        <v>1728</v>
      </c>
      <c r="AV41" s="487">
        <f>AU41-AO41</f>
        <v>-94</v>
      </c>
      <c r="AW41" s="490" t="s">
        <v>189</v>
      </c>
      <c r="AX41" s="487">
        <v>1542</v>
      </c>
      <c r="AY41" s="487">
        <v>0</v>
      </c>
      <c r="AZ41" s="487">
        <v>0</v>
      </c>
      <c r="BA41" s="489">
        <v>1542</v>
      </c>
      <c r="BB41" s="491">
        <f>BA41-AU41</f>
        <v>-186</v>
      </c>
      <c r="BC41" s="490" t="s">
        <v>189</v>
      </c>
      <c r="BD41" s="487">
        <v>1646</v>
      </c>
      <c r="BE41" s="487">
        <v>0</v>
      </c>
      <c r="BF41" s="487">
        <v>0</v>
      </c>
      <c r="BG41" s="489">
        <v>1646</v>
      </c>
      <c r="BH41" s="489">
        <f>BG41-BA41</f>
        <v>104</v>
      </c>
      <c r="BI41" s="487" t="s">
        <v>189</v>
      </c>
      <c r="BJ41" s="487">
        <v>1478</v>
      </c>
      <c r="BK41" s="487">
        <v>0</v>
      </c>
      <c r="BL41" s="487">
        <v>0</v>
      </c>
      <c r="BM41" s="489">
        <v>1478</v>
      </c>
      <c r="BN41" s="489">
        <v>-168</v>
      </c>
      <c r="BO41" s="487" t="s">
        <v>189</v>
      </c>
      <c r="BP41" s="487">
        <v>1374</v>
      </c>
      <c r="BQ41" s="487">
        <v>0</v>
      </c>
      <c r="BR41" s="487">
        <v>0</v>
      </c>
      <c r="BS41" s="489">
        <v>1374</v>
      </c>
      <c r="BT41" s="489">
        <v>-104</v>
      </c>
      <c r="BU41" s="487" t="s">
        <v>189</v>
      </c>
      <c r="BV41" s="487">
        <v>1355</v>
      </c>
      <c r="BW41" s="487">
        <v>0</v>
      </c>
      <c r="BX41" s="487">
        <v>0</v>
      </c>
      <c r="BY41" s="489">
        <v>1355</v>
      </c>
      <c r="BZ41" s="492">
        <v>-19</v>
      </c>
      <c r="CA41" s="487" t="s">
        <v>189</v>
      </c>
      <c r="CB41" s="487">
        <v>1349</v>
      </c>
      <c r="CC41" s="487">
        <v>0</v>
      </c>
      <c r="CD41" s="487">
        <v>0</v>
      </c>
      <c r="CE41" s="489">
        <v>1349</v>
      </c>
      <c r="CF41" s="492">
        <v>-6</v>
      </c>
      <c r="CG41" s="487" t="s">
        <v>189</v>
      </c>
      <c r="CH41" s="487">
        <v>1557</v>
      </c>
      <c r="CI41" s="487">
        <v>0</v>
      </c>
      <c r="CJ41" s="487">
        <v>7</v>
      </c>
      <c r="CK41" s="489">
        <v>1564</v>
      </c>
      <c r="CL41" s="491">
        <v>215</v>
      </c>
      <c r="CM41" s="487" t="s">
        <v>189</v>
      </c>
      <c r="CN41" s="487">
        <v>2016</v>
      </c>
      <c r="CO41" s="487">
        <v>0</v>
      </c>
      <c r="CP41" s="487">
        <v>12</v>
      </c>
      <c r="CQ41" s="489">
        <v>2028</v>
      </c>
      <c r="CR41" s="491">
        <v>464</v>
      </c>
      <c r="CS41" s="488" t="s">
        <v>189</v>
      </c>
      <c r="CT41" s="487">
        <v>3519</v>
      </c>
      <c r="CU41" s="487">
        <v>0</v>
      </c>
      <c r="CV41" s="487">
        <v>17</v>
      </c>
      <c r="CW41" s="489">
        <v>3536</v>
      </c>
      <c r="CX41" s="492">
        <v>1508</v>
      </c>
      <c r="CY41" s="488" t="s">
        <v>189</v>
      </c>
      <c r="CZ41" s="487">
        <v>4121</v>
      </c>
      <c r="DA41" s="487">
        <v>0</v>
      </c>
      <c r="DB41" s="487">
        <v>26</v>
      </c>
      <c r="DC41" s="489">
        <v>4147</v>
      </c>
      <c r="DD41" s="492">
        <v>611</v>
      </c>
      <c r="DE41" s="488" t="s">
        <v>189</v>
      </c>
      <c r="DF41" s="487">
        <v>4566</v>
      </c>
      <c r="DG41" s="487">
        <v>0</v>
      </c>
      <c r="DH41" s="487">
        <v>33</v>
      </c>
      <c r="DI41" s="489">
        <v>4599</v>
      </c>
      <c r="DJ41" s="492">
        <v>452</v>
      </c>
      <c r="DK41" s="488" t="s">
        <v>189</v>
      </c>
      <c r="DL41" s="487">
        <v>4482</v>
      </c>
      <c r="DM41" s="487">
        <v>0</v>
      </c>
      <c r="DN41" s="487">
        <v>37</v>
      </c>
      <c r="DO41" s="489">
        <v>4519</v>
      </c>
      <c r="DP41" s="492">
        <v>-80</v>
      </c>
      <c r="DR41" s="488" t="s">
        <v>189</v>
      </c>
      <c r="DS41" s="487">
        <v>4750</v>
      </c>
      <c r="DT41" s="487">
        <v>0</v>
      </c>
      <c r="DU41" s="487">
        <v>42</v>
      </c>
      <c r="DV41" s="489">
        <v>4792</v>
      </c>
      <c r="DW41" s="492">
        <v>4872</v>
      </c>
      <c r="DY41" s="488" t="s">
        <v>189</v>
      </c>
      <c r="DZ41" s="487">
        <f>GETPIVOTDATA("Individus",'Displacement &amp; Returns'!$D$158, "adm2_name","Mayo-Sava","adm3_name",$DK41,"Statut déplacé","PDI")</f>
        <v>4955</v>
      </c>
      <c r="EA41" s="487">
        <f>GETPIVOTDATA("Individus",'Displacement &amp; Returns'!$D$158, "adm2_name","Mayo-Sava","adm3_name",$DK41,"Statut déplacé","Retournés")</f>
        <v>0</v>
      </c>
      <c r="EB41" s="487">
        <f>GETPIVOTDATA("Individus",'Displacement &amp; Returns'!$D$158, "adm2_name","Mayo-Sava","adm3_name",$DK41,"Statut déplacé","Refugié hors camp")</f>
        <v>45</v>
      </c>
      <c r="EC41" s="489">
        <f>SUM(DZ41:EB41)</f>
        <v>5000</v>
      </c>
      <c r="ED41" s="492">
        <f>EC41-DP41</f>
        <v>5080</v>
      </c>
      <c r="EF41" s="488" t="s">
        <v>189</v>
      </c>
      <c r="EG41" s="487">
        <f t="shared" si="38"/>
        <v>473</v>
      </c>
      <c r="EH41" s="487">
        <f t="shared" si="38"/>
        <v>0</v>
      </c>
      <c r="EI41" s="487">
        <f t="shared" si="38"/>
        <v>8</v>
      </c>
      <c r="EJ41" s="494">
        <f>SUM(EG41:EI41)</f>
        <v>481</v>
      </c>
      <c r="EK41" s="1191"/>
      <c r="EL41" s="1191"/>
      <c r="EM41" s="1191"/>
    </row>
    <row r="42" spans="2:143" x14ac:dyDescent="0.3">
      <c r="B42" s="479" t="s">
        <v>35</v>
      </c>
      <c r="C42" s="480"/>
      <c r="D42" s="480"/>
      <c r="E42" s="480"/>
      <c r="F42" s="481"/>
      <c r="G42" s="479" t="s">
        <v>35</v>
      </c>
      <c r="H42" s="480"/>
      <c r="I42" s="480"/>
      <c r="J42" s="480"/>
      <c r="K42" s="481"/>
      <c r="L42" s="480">
        <f>SUM(K43:K49)-SUM(F43:F49)</f>
        <v>-12371</v>
      </c>
      <c r="M42" s="479" t="s">
        <v>35</v>
      </c>
      <c r="N42" s="480"/>
      <c r="O42" s="480"/>
      <c r="P42" s="480"/>
      <c r="Q42" s="481"/>
      <c r="R42" s="480">
        <v>7698</v>
      </c>
      <c r="S42" s="479" t="s">
        <v>35</v>
      </c>
      <c r="T42" s="480"/>
      <c r="U42" s="480"/>
      <c r="V42" s="480"/>
      <c r="W42" s="481"/>
      <c r="X42" s="480">
        <f>SUM(W43:W49)-SUM(Q43:Q49)</f>
        <v>4099</v>
      </c>
      <c r="Y42" s="482" t="s">
        <v>35</v>
      </c>
      <c r="Z42" s="480"/>
      <c r="AA42" s="480"/>
      <c r="AB42" s="480"/>
      <c r="AC42" s="481"/>
      <c r="AD42" s="480">
        <f>SUM(AC43:AC49)-SUM(W43:W49)</f>
        <v>-326</v>
      </c>
      <c r="AE42" s="483" t="s">
        <v>35</v>
      </c>
      <c r="AF42" s="480"/>
      <c r="AG42" s="480"/>
      <c r="AH42" s="480"/>
      <c r="AI42" s="481"/>
      <c r="AJ42" s="484">
        <f>SUM(AB43:AB49)-SUM(P43:P49)</f>
        <v>-1194</v>
      </c>
      <c r="AK42" s="483" t="s">
        <v>35</v>
      </c>
      <c r="AL42" s="480"/>
      <c r="AM42" s="480"/>
      <c r="AN42" s="480"/>
      <c r="AO42" s="481"/>
      <c r="AP42" s="481">
        <f>SUM(AO43:AO49)-SUM(AI43:AI49)</f>
        <v>3583</v>
      </c>
      <c r="AQ42" s="480" t="s">
        <v>35</v>
      </c>
      <c r="AR42" s="480"/>
      <c r="AS42" s="480"/>
      <c r="AT42" s="480"/>
      <c r="AU42" s="481"/>
      <c r="AV42" s="480">
        <f>SUM(AU43:AU49)-SUM(AO43:AO49)</f>
        <v>4290</v>
      </c>
      <c r="AW42" s="483" t="s">
        <v>35</v>
      </c>
      <c r="AX42" s="480"/>
      <c r="AY42" s="480"/>
      <c r="AZ42" s="480"/>
      <c r="BA42" s="481"/>
      <c r="BB42" s="484">
        <f>SUM(BB43:BB49)</f>
        <v>14371</v>
      </c>
      <c r="BC42" s="483" t="s">
        <v>35</v>
      </c>
      <c r="BD42" s="480"/>
      <c r="BE42" s="480"/>
      <c r="BF42" s="480"/>
      <c r="BG42" s="481"/>
      <c r="BH42" s="481">
        <f>SUM(BH43:BH49)</f>
        <v>2786</v>
      </c>
      <c r="BI42" s="480" t="s">
        <v>35</v>
      </c>
      <c r="BJ42" s="480"/>
      <c r="BK42" s="480"/>
      <c r="BL42" s="480"/>
      <c r="BM42" s="481"/>
      <c r="BN42" s="481">
        <v>2270</v>
      </c>
      <c r="BO42" s="480" t="s">
        <v>35</v>
      </c>
      <c r="BP42" s="480"/>
      <c r="BQ42" s="480"/>
      <c r="BR42" s="480"/>
      <c r="BS42" s="481"/>
      <c r="BT42" s="481">
        <v>2195</v>
      </c>
      <c r="BU42" s="480" t="s">
        <v>35</v>
      </c>
      <c r="BV42" s="480"/>
      <c r="BW42" s="480"/>
      <c r="BX42" s="480"/>
      <c r="BY42" s="481"/>
      <c r="BZ42" s="497">
        <v>8</v>
      </c>
      <c r="CA42" s="480" t="s">
        <v>35</v>
      </c>
      <c r="CB42" s="480"/>
      <c r="CC42" s="480"/>
      <c r="CD42" s="480"/>
      <c r="CE42" s="481"/>
      <c r="CF42" s="497">
        <v>1055</v>
      </c>
      <c r="CG42" s="480" t="s">
        <v>35</v>
      </c>
      <c r="CH42" s="480"/>
      <c r="CI42" s="480"/>
      <c r="CJ42" s="480"/>
      <c r="CK42" s="481"/>
      <c r="CL42" s="484">
        <v>4121</v>
      </c>
      <c r="CM42" s="480" t="s">
        <v>35</v>
      </c>
      <c r="CN42" s="480"/>
      <c r="CO42" s="480"/>
      <c r="CP42" s="480"/>
      <c r="CQ42" s="481"/>
      <c r="CR42" s="484">
        <v>659</v>
      </c>
      <c r="CS42" s="479" t="s">
        <v>35</v>
      </c>
      <c r="CT42" s="480"/>
      <c r="CU42" s="480"/>
      <c r="CV42" s="480"/>
      <c r="CW42" s="481"/>
      <c r="CX42" s="497">
        <v>6599</v>
      </c>
      <c r="CY42" s="479" t="s">
        <v>35</v>
      </c>
      <c r="CZ42" s="480">
        <v>60921</v>
      </c>
      <c r="DA42" s="480">
        <v>30239</v>
      </c>
      <c r="DB42" s="480">
        <v>6302</v>
      </c>
      <c r="DC42" s="481">
        <v>97462</v>
      </c>
      <c r="DD42" s="497">
        <v>964</v>
      </c>
      <c r="DE42" s="479" t="s">
        <v>35</v>
      </c>
      <c r="DF42" s="480">
        <v>63379</v>
      </c>
      <c r="DG42" s="480">
        <v>32778</v>
      </c>
      <c r="DH42" s="480">
        <v>6734</v>
      </c>
      <c r="DI42" s="480">
        <v>102891</v>
      </c>
      <c r="DJ42" s="497">
        <v>5429</v>
      </c>
      <c r="DK42" s="479" t="s">
        <v>35</v>
      </c>
      <c r="DL42" s="480">
        <v>69105</v>
      </c>
      <c r="DM42" s="480">
        <v>24806</v>
      </c>
      <c r="DN42" s="480">
        <v>6253</v>
      </c>
      <c r="DO42" s="480">
        <v>100164</v>
      </c>
      <c r="DP42" s="497">
        <v>-2727</v>
      </c>
      <c r="DQ42" s="1134"/>
      <c r="DR42" s="479" t="s">
        <v>35</v>
      </c>
      <c r="DS42" s="480">
        <v>85630</v>
      </c>
      <c r="DT42" s="480">
        <v>22483</v>
      </c>
      <c r="DU42" s="480">
        <v>8548</v>
      </c>
      <c r="DV42" s="480">
        <v>116661</v>
      </c>
      <c r="DW42" s="497">
        <v>119388</v>
      </c>
      <c r="DX42" s="1134"/>
      <c r="DY42" s="479" t="s">
        <v>35</v>
      </c>
      <c r="DZ42" s="480">
        <f>SUM(DZ43:DZ49)</f>
        <v>100776</v>
      </c>
      <c r="EA42" s="480">
        <f>SUM(EA43:EA49)</f>
        <v>21786</v>
      </c>
      <c r="EB42" s="480">
        <f>SUM(EB43:EB49)</f>
        <v>8815</v>
      </c>
      <c r="EC42" s="480">
        <f>SUM(EC43:EC49)</f>
        <v>131377</v>
      </c>
      <c r="ED42" s="497">
        <f>SUM(ED43:ED49)</f>
        <v>134104</v>
      </c>
      <c r="EF42" s="479" t="s">
        <v>35</v>
      </c>
      <c r="EG42" s="486">
        <f>SUM(EG43:EG49)</f>
        <v>31671</v>
      </c>
      <c r="EH42" s="486">
        <f>SUM(EH43:EH49)</f>
        <v>-3020</v>
      </c>
      <c r="EI42" s="486">
        <f>SUM(EI43:EI49)</f>
        <v>2562</v>
      </c>
      <c r="EJ42" s="486">
        <f>SUM(EJ43:EJ49)</f>
        <v>31213</v>
      </c>
      <c r="EK42" s="1191"/>
      <c r="EL42" s="1191"/>
      <c r="EM42" s="1191"/>
    </row>
    <row r="43" spans="2:143" x14ac:dyDescent="0.3">
      <c r="B43" s="488" t="s">
        <v>190</v>
      </c>
      <c r="C43" s="487">
        <v>89</v>
      </c>
      <c r="D43" s="487">
        <v>1447</v>
      </c>
      <c r="E43" s="487">
        <v>214</v>
      </c>
      <c r="F43" s="489">
        <v>1750</v>
      </c>
      <c r="G43" s="488" t="s">
        <v>190</v>
      </c>
      <c r="H43" s="487">
        <v>115</v>
      </c>
      <c r="I43" s="487">
        <v>1684</v>
      </c>
      <c r="J43" s="487">
        <v>196</v>
      </c>
      <c r="K43" s="489">
        <v>1995</v>
      </c>
      <c r="L43" s="487">
        <f t="shared" si="10"/>
        <v>245</v>
      </c>
      <c r="M43" s="488" t="s">
        <v>190</v>
      </c>
      <c r="N43" s="487">
        <v>115</v>
      </c>
      <c r="O43" s="487">
        <v>1684</v>
      </c>
      <c r="P43" s="487">
        <v>130</v>
      </c>
      <c r="Q43" s="489">
        <v>1929</v>
      </c>
      <c r="R43" s="487">
        <v>-66</v>
      </c>
      <c r="S43" s="488" t="s">
        <v>190</v>
      </c>
      <c r="T43" s="487">
        <v>115</v>
      </c>
      <c r="U43" s="487">
        <v>1566</v>
      </c>
      <c r="V43" s="487">
        <v>90</v>
      </c>
      <c r="W43" s="489">
        <v>1771</v>
      </c>
      <c r="X43" s="487">
        <f>W43-Q43</f>
        <v>-158</v>
      </c>
      <c r="Y43" s="488" t="s">
        <v>190</v>
      </c>
      <c r="Z43" s="487">
        <v>208</v>
      </c>
      <c r="AA43" s="487">
        <v>1566</v>
      </c>
      <c r="AB43" s="487">
        <v>90</v>
      </c>
      <c r="AC43" s="489">
        <v>1864</v>
      </c>
      <c r="AD43" s="487">
        <f>AC43-W43</f>
        <v>93</v>
      </c>
      <c r="AE43" s="490" t="s">
        <v>190</v>
      </c>
      <c r="AF43" s="487">
        <v>208</v>
      </c>
      <c r="AG43" s="487">
        <v>1566</v>
      </c>
      <c r="AH43" s="487">
        <v>90</v>
      </c>
      <c r="AI43" s="489">
        <v>1864</v>
      </c>
      <c r="AJ43" s="491">
        <f t="shared" ref="AJ43:AJ50" si="39">AB43-P43</f>
        <v>-40</v>
      </c>
      <c r="AK43" s="490" t="s">
        <v>190</v>
      </c>
      <c r="AL43" s="487">
        <v>208</v>
      </c>
      <c r="AM43" s="487">
        <v>1566</v>
      </c>
      <c r="AN43" s="487">
        <v>90</v>
      </c>
      <c r="AO43" s="489">
        <v>1864</v>
      </c>
      <c r="AP43" s="489">
        <f t="shared" ref="AP43:AP48" si="40">AO43-AI43</f>
        <v>0</v>
      </c>
      <c r="AQ43" s="487" t="s">
        <v>190</v>
      </c>
      <c r="AR43" s="487">
        <v>201</v>
      </c>
      <c r="AS43" s="487">
        <v>1566</v>
      </c>
      <c r="AT43" s="487">
        <v>90</v>
      </c>
      <c r="AU43" s="489">
        <v>1857</v>
      </c>
      <c r="AV43" s="487">
        <f>AU43-AO43</f>
        <v>-7</v>
      </c>
      <c r="AW43" s="490" t="s">
        <v>190</v>
      </c>
      <c r="AX43" s="487">
        <v>201</v>
      </c>
      <c r="AY43" s="487">
        <v>1566</v>
      </c>
      <c r="AZ43" s="487">
        <v>95</v>
      </c>
      <c r="BA43" s="489">
        <v>1862</v>
      </c>
      <c r="BB43" s="491">
        <f>BA43-AU43</f>
        <v>5</v>
      </c>
      <c r="BC43" s="490" t="s">
        <v>190</v>
      </c>
      <c r="BD43" s="487">
        <v>208</v>
      </c>
      <c r="BE43" s="487">
        <v>1568</v>
      </c>
      <c r="BF43" s="487">
        <v>97</v>
      </c>
      <c r="BG43" s="489">
        <v>1873</v>
      </c>
      <c r="BH43" s="489">
        <f>BG43-BA43</f>
        <v>11</v>
      </c>
      <c r="BI43" s="487" t="s">
        <v>190</v>
      </c>
      <c r="BJ43" s="487">
        <v>208</v>
      </c>
      <c r="BK43" s="487">
        <v>1621</v>
      </c>
      <c r="BL43" s="487">
        <v>97</v>
      </c>
      <c r="BM43" s="489">
        <v>1926</v>
      </c>
      <c r="BN43" s="489">
        <v>53</v>
      </c>
      <c r="BO43" s="487" t="s">
        <v>190</v>
      </c>
      <c r="BP43" s="487">
        <v>220</v>
      </c>
      <c r="BQ43" s="487">
        <v>1640</v>
      </c>
      <c r="BR43" s="487">
        <v>97</v>
      </c>
      <c r="BS43" s="489">
        <v>1957</v>
      </c>
      <c r="BT43" s="489">
        <v>31</v>
      </c>
      <c r="BU43" s="487" t="s">
        <v>190</v>
      </c>
      <c r="BV43" s="487">
        <v>210</v>
      </c>
      <c r="BW43" s="487">
        <v>1640</v>
      </c>
      <c r="BX43" s="487">
        <v>97</v>
      </c>
      <c r="BY43" s="489">
        <v>1947</v>
      </c>
      <c r="BZ43" s="492">
        <v>-10</v>
      </c>
      <c r="CA43" s="487" t="s">
        <v>190</v>
      </c>
      <c r="CB43" s="487">
        <v>212</v>
      </c>
      <c r="CC43" s="487">
        <v>1645</v>
      </c>
      <c r="CD43" s="487">
        <v>111</v>
      </c>
      <c r="CE43" s="489">
        <v>1968</v>
      </c>
      <c r="CF43" s="492">
        <v>21</v>
      </c>
      <c r="CG43" s="487" t="s">
        <v>190</v>
      </c>
      <c r="CH43" s="487">
        <v>218</v>
      </c>
      <c r="CI43" s="487">
        <v>1635</v>
      </c>
      <c r="CJ43" s="487">
        <v>111</v>
      </c>
      <c r="CK43" s="489">
        <v>1964</v>
      </c>
      <c r="CL43" s="491">
        <v>-4</v>
      </c>
      <c r="CM43" s="487" t="s">
        <v>190</v>
      </c>
      <c r="CN43" s="487">
        <v>218</v>
      </c>
      <c r="CO43" s="487">
        <v>1639</v>
      </c>
      <c r="CP43" s="487">
        <v>113</v>
      </c>
      <c r="CQ43" s="489">
        <v>1970</v>
      </c>
      <c r="CR43" s="491">
        <v>6</v>
      </c>
      <c r="CS43" s="488" t="s">
        <v>190</v>
      </c>
      <c r="CT43" s="487">
        <v>217</v>
      </c>
      <c r="CU43" s="487">
        <v>1673</v>
      </c>
      <c r="CV43" s="487">
        <v>131</v>
      </c>
      <c r="CW43" s="489">
        <v>2021</v>
      </c>
      <c r="CX43" s="492">
        <v>51</v>
      </c>
      <c r="CY43" s="488" t="s">
        <v>190</v>
      </c>
      <c r="CZ43" s="487">
        <v>201</v>
      </c>
      <c r="DA43" s="487">
        <v>1638</v>
      </c>
      <c r="DB43" s="487">
        <v>141</v>
      </c>
      <c r="DC43" s="489">
        <v>1980</v>
      </c>
      <c r="DD43" s="492">
        <v>-41</v>
      </c>
      <c r="DE43" s="488" t="s">
        <v>190</v>
      </c>
      <c r="DF43" s="487">
        <v>205</v>
      </c>
      <c r="DG43" s="487">
        <v>1666</v>
      </c>
      <c r="DH43" s="487">
        <v>191</v>
      </c>
      <c r="DI43" s="489">
        <v>2062</v>
      </c>
      <c r="DJ43" s="492">
        <v>82</v>
      </c>
      <c r="DK43" s="488" t="s">
        <v>190</v>
      </c>
      <c r="DL43" s="487">
        <v>386</v>
      </c>
      <c r="DM43" s="487">
        <v>1694</v>
      </c>
      <c r="DN43" s="487">
        <v>206</v>
      </c>
      <c r="DO43" s="489">
        <v>2286</v>
      </c>
      <c r="DP43" s="492">
        <v>224</v>
      </c>
      <c r="DR43" s="488" t="s">
        <v>190</v>
      </c>
      <c r="DS43" s="487">
        <v>398</v>
      </c>
      <c r="DT43" s="487">
        <v>840</v>
      </c>
      <c r="DU43" s="487">
        <v>234</v>
      </c>
      <c r="DV43" s="489">
        <v>1472</v>
      </c>
      <c r="DW43" s="492">
        <v>1248</v>
      </c>
      <c r="DY43" s="488" t="s">
        <v>190</v>
      </c>
      <c r="DZ43" s="487">
        <f>GETPIVOTDATA("Individus",'Displacement &amp; Returns'!$D$158, "adm2_name","Mayo-Tsanaga","adm3_name",$DK43,"Statut déplacé","PDI")</f>
        <v>410</v>
      </c>
      <c r="EA43" s="487">
        <f>GETPIVOTDATA("Individus",'Displacement &amp; Returns'!$D$158, "adm2_name","Mayo-Tsanaga","adm3_name",$DK43,"Statut déplacé","Retournés")</f>
        <v>1097</v>
      </c>
      <c r="EB43" s="487">
        <f>GETPIVOTDATA("Individus",'Displacement &amp; Returns'!$D$158, "adm2_name","Mayo-Tsanaga","adm3_name",$DE43,"Statut déplacé","Refugié hors camp")</f>
        <v>386</v>
      </c>
      <c r="EC43" s="489">
        <f t="shared" ref="EC43:EC49" si="41">SUM(DZ43:EB43)</f>
        <v>1893</v>
      </c>
      <c r="ED43" s="492">
        <f t="shared" ref="ED43:ED49" si="42">EC43-DP43</f>
        <v>1669</v>
      </c>
      <c r="EF43" s="488" t="s">
        <v>190</v>
      </c>
      <c r="EG43" s="487">
        <f t="shared" ref="EG43:EI49" si="43">DZ43-DL43</f>
        <v>24</v>
      </c>
      <c r="EH43" s="487">
        <f t="shared" si="43"/>
        <v>-597</v>
      </c>
      <c r="EI43" s="487">
        <f t="shared" si="43"/>
        <v>180</v>
      </c>
      <c r="EJ43" s="494">
        <f t="shared" ref="EJ43:EJ49" si="44">SUM(EG43:EI43)</f>
        <v>-393</v>
      </c>
      <c r="EK43" s="1191"/>
      <c r="EL43" s="1191"/>
      <c r="EM43" s="1191"/>
    </row>
    <row r="44" spans="2:143" x14ac:dyDescent="0.3">
      <c r="B44" s="488" t="s">
        <v>191</v>
      </c>
      <c r="C44" s="487">
        <v>645</v>
      </c>
      <c r="D44" s="487">
        <v>311</v>
      </c>
      <c r="E44" s="487">
        <v>2</v>
      </c>
      <c r="F44" s="489">
        <v>958</v>
      </c>
      <c r="G44" s="488" t="s">
        <v>191</v>
      </c>
      <c r="H44" s="487">
        <v>645</v>
      </c>
      <c r="I44" s="487">
        <v>271</v>
      </c>
      <c r="J44" s="487">
        <v>0</v>
      </c>
      <c r="K44" s="489">
        <v>916</v>
      </c>
      <c r="L44" s="487">
        <f t="shared" si="10"/>
        <v>-42</v>
      </c>
      <c r="M44" s="488" t="s">
        <v>191</v>
      </c>
      <c r="N44" s="487">
        <v>645</v>
      </c>
      <c r="O44" s="487">
        <v>286</v>
      </c>
      <c r="P44" s="487">
        <v>0</v>
      </c>
      <c r="Q44" s="489">
        <v>931</v>
      </c>
      <c r="R44" s="487">
        <v>15</v>
      </c>
      <c r="S44" s="488" t="s">
        <v>191</v>
      </c>
      <c r="T44" s="487">
        <v>645</v>
      </c>
      <c r="U44" s="487">
        <v>289</v>
      </c>
      <c r="V44" s="487">
        <v>0</v>
      </c>
      <c r="W44" s="489">
        <v>934</v>
      </c>
      <c r="X44" s="487">
        <f t="shared" ref="X44:X49" si="45">W44-Q44</f>
        <v>3</v>
      </c>
      <c r="Y44" s="488" t="s">
        <v>191</v>
      </c>
      <c r="Z44" s="487">
        <v>404</v>
      </c>
      <c r="AA44" s="487">
        <v>251</v>
      </c>
      <c r="AB44" s="487">
        <v>0</v>
      </c>
      <c r="AC44" s="489">
        <v>655</v>
      </c>
      <c r="AD44" s="487">
        <f t="shared" ref="AD44:AD49" si="46">AC44-W44</f>
        <v>-279</v>
      </c>
      <c r="AE44" s="490" t="s">
        <v>191</v>
      </c>
      <c r="AF44" s="487">
        <v>404</v>
      </c>
      <c r="AG44" s="487">
        <v>253</v>
      </c>
      <c r="AH44" s="487">
        <v>0</v>
      </c>
      <c r="AI44" s="489">
        <v>657</v>
      </c>
      <c r="AJ44" s="491">
        <f t="shared" si="39"/>
        <v>0</v>
      </c>
      <c r="AK44" s="490" t="s">
        <v>191</v>
      </c>
      <c r="AL44" s="487">
        <v>404</v>
      </c>
      <c r="AM44" s="487">
        <v>258</v>
      </c>
      <c r="AN44" s="487">
        <v>0</v>
      </c>
      <c r="AO44" s="489">
        <v>662</v>
      </c>
      <c r="AP44" s="489">
        <f t="shared" si="40"/>
        <v>5</v>
      </c>
      <c r="AQ44" s="487" t="s">
        <v>191</v>
      </c>
      <c r="AR44" s="487">
        <v>404</v>
      </c>
      <c r="AS44" s="487">
        <v>253</v>
      </c>
      <c r="AT44" s="487">
        <v>0</v>
      </c>
      <c r="AU44" s="489">
        <v>657</v>
      </c>
      <c r="AV44" s="487">
        <f t="shared" ref="AV44:AV49" si="47">AU44-AO44</f>
        <v>-5</v>
      </c>
      <c r="AW44" s="490" t="s">
        <v>191</v>
      </c>
      <c r="AX44" s="487">
        <v>404</v>
      </c>
      <c r="AY44" s="487">
        <v>301</v>
      </c>
      <c r="AZ44" s="487">
        <v>0</v>
      </c>
      <c r="BA44" s="489">
        <v>705</v>
      </c>
      <c r="BB44" s="491">
        <f t="shared" ref="BB44:BB49" si="48">BA44-AU44</f>
        <v>48</v>
      </c>
      <c r="BC44" s="490" t="s">
        <v>191</v>
      </c>
      <c r="BD44" s="487">
        <v>404</v>
      </c>
      <c r="BE44" s="487">
        <v>358</v>
      </c>
      <c r="BF44" s="487">
        <v>2</v>
      </c>
      <c r="BG44" s="489">
        <v>764</v>
      </c>
      <c r="BH44" s="489">
        <f t="shared" ref="BH44:BH49" si="49">BG44-BA44</f>
        <v>59</v>
      </c>
      <c r="BI44" s="487" t="s">
        <v>191</v>
      </c>
      <c r="BJ44" s="487">
        <v>313</v>
      </c>
      <c r="BK44" s="487">
        <v>151</v>
      </c>
      <c r="BL44" s="487">
        <v>8</v>
      </c>
      <c r="BM44" s="489">
        <v>472</v>
      </c>
      <c r="BN44" s="489">
        <v>-292</v>
      </c>
      <c r="BO44" s="487" t="s">
        <v>191</v>
      </c>
      <c r="BP44" s="487">
        <v>323</v>
      </c>
      <c r="BQ44" s="487">
        <v>136</v>
      </c>
      <c r="BR44" s="487">
        <v>31</v>
      </c>
      <c r="BS44" s="489">
        <v>490</v>
      </c>
      <c r="BT44" s="489">
        <v>18</v>
      </c>
      <c r="BU44" s="487" t="s">
        <v>191</v>
      </c>
      <c r="BV44" s="487">
        <v>350</v>
      </c>
      <c r="BW44" s="487">
        <v>149</v>
      </c>
      <c r="BX44" s="487">
        <v>31</v>
      </c>
      <c r="BY44" s="489">
        <v>530</v>
      </c>
      <c r="BZ44" s="492">
        <v>40</v>
      </c>
      <c r="CA44" s="487" t="s">
        <v>191</v>
      </c>
      <c r="CB44" s="487">
        <v>350</v>
      </c>
      <c r="CC44" s="487">
        <v>149</v>
      </c>
      <c r="CD44" s="487">
        <v>37</v>
      </c>
      <c r="CE44" s="489">
        <v>536</v>
      </c>
      <c r="CF44" s="492">
        <v>6</v>
      </c>
      <c r="CG44" s="487" t="s">
        <v>191</v>
      </c>
      <c r="CH44" s="487">
        <v>350</v>
      </c>
      <c r="CI44" s="487">
        <v>157</v>
      </c>
      <c r="CJ44" s="487">
        <v>37</v>
      </c>
      <c r="CK44" s="489">
        <v>544</v>
      </c>
      <c r="CL44" s="491">
        <v>8</v>
      </c>
      <c r="CM44" s="487" t="s">
        <v>191</v>
      </c>
      <c r="CN44" s="487">
        <v>353</v>
      </c>
      <c r="CO44" s="487">
        <v>157</v>
      </c>
      <c r="CP44" s="487">
        <v>37</v>
      </c>
      <c r="CQ44" s="489">
        <v>547</v>
      </c>
      <c r="CR44" s="491">
        <v>3</v>
      </c>
      <c r="CS44" s="488" t="s">
        <v>191</v>
      </c>
      <c r="CT44" s="487">
        <v>381</v>
      </c>
      <c r="CU44" s="487">
        <v>165</v>
      </c>
      <c r="CV44" s="487">
        <v>37</v>
      </c>
      <c r="CW44" s="489">
        <v>583</v>
      </c>
      <c r="CX44" s="492">
        <v>36</v>
      </c>
      <c r="CY44" s="488" t="s">
        <v>191</v>
      </c>
      <c r="CZ44" s="487">
        <v>436</v>
      </c>
      <c r="DA44" s="487">
        <v>177</v>
      </c>
      <c r="DB44" s="487">
        <v>67</v>
      </c>
      <c r="DC44" s="489">
        <v>680</v>
      </c>
      <c r="DD44" s="492">
        <v>97</v>
      </c>
      <c r="DE44" s="488" t="s">
        <v>191</v>
      </c>
      <c r="DF44" s="487">
        <v>517</v>
      </c>
      <c r="DG44" s="487">
        <v>167</v>
      </c>
      <c r="DH44" s="487">
        <v>95</v>
      </c>
      <c r="DI44" s="489">
        <v>779</v>
      </c>
      <c r="DJ44" s="492">
        <v>99</v>
      </c>
      <c r="DK44" s="488" t="s">
        <v>191</v>
      </c>
      <c r="DL44" s="487">
        <v>521</v>
      </c>
      <c r="DM44" s="487">
        <v>171</v>
      </c>
      <c r="DN44" s="487">
        <v>49</v>
      </c>
      <c r="DO44" s="489">
        <v>741</v>
      </c>
      <c r="DP44" s="492">
        <v>-38</v>
      </c>
      <c r="DR44" s="488" t="s">
        <v>191</v>
      </c>
      <c r="DS44" s="487">
        <v>619</v>
      </c>
      <c r="DT44" s="487">
        <v>175</v>
      </c>
      <c r="DU44" s="487">
        <v>59</v>
      </c>
      <c r="DV44" s="489">
        <v>853</v>
      </c>
      <c r="DW44" s="492">
        <v>891</v>
      </c>
      <c r="DY44" s="488" t="s">
        <v>191</v>
      </c>
      <c r="DZ44" s="487">
        <f>GETPIVOTDATA("Individus",'Displacement &amp; Returns'!$D$158, "adm2_name","Mayo-Tsanaga","adm3_name",$DK44,"Statut déplacé","PDI")</f>
        <v>755</v>
      </c>
      <c r="EA44" s="487">
        <f>GETPIVOTDATA("Individus",'Displacement &amp; Returns'!$D$158, "adm2_name","Mayo-Tsanaga","adm3_name",$DK44,"Statut déplacé","Retournés")</f>
        <v>184</v>
      </c>
      <c r="EB44" s="487">
        <f>GETPIVOTDATA("Individus",'Displacement &amp; Returns'!$D$158, "adm2_name","Mayo-Tsanaga","adm3_name",$DE44,"Statut déplacé","Refugié hors camp")</f>
        <v>35</v>
      </c>
      <c r="EC44" s="489">
        <f t="shared" si="41"/>
        <v>974</v>
      </c>
      <c r="ED44" s="492">
        <f t="shared" si="42"/>
        <v>1012</v>
      </c>
      <c r="EF44" s="488" t="s">
        <v>191</v>
      </c>
      <c r="EG44" s="487">
        <f t="shared" si="43"/>
        <v>234</v>
      </c>
      <c r="EH44" s="487">
        <f t="shared" si="43"/>
        <v>13</v>
      </c>
      <c r="EI44" s="487">
        <f t="shared" si="43"/>
        <v>-14</v>
      </c>
      <c r="EJ44" s="494">
        <f t="shared" si="44"/>
        <v>233</v>
      </c>
      <c r="EK44" s="1191"/>
      <c r="EL44" s="1191"/>
      <c r="EM44" s="1191"/>
    </row>
    <row r="45" spans="2:143" x14ac:dyDescent="0.3">
      <c r="B45" s="488" t="s">
        <v>192</v>
      </c>
      <c r="C45" s="487">
        <v>12304</v>
      </c>
      <c r="D45" s="487">
        <v>0</v>
      </c>
      <c r="E45" s="487">
        <v>0</v>
      </c>
      <c r="F45" s="489">
        <v>12304</v>
      </c>
      <c r="G45" s="488" t="s">
        <v>192</v>
      </c>
      <c r="H45" s="487">
        <v>10373</v>
      </c>
      <c r="I45" s="487">
        <v>0</v>
      </c>
      <c r="J45" s="487">
        <v>0</v>
      </c>
      <c r="K45" s="489">
        <v>10373</v>
      </c>
      <c r="L45" s="487">
        <f t="shared" si="10"/>
        <v>-1931</v>
      </c>
      <c r="M45" s="488" t="s">
        <v>192</v>
      </c>
      <c r="N45" s="487">
        <v>16287</v>
      </c>
      <c r="O45" s="487">
        <v>0</v>
      </c>
      <c r="P45" s="487">
        <v>0</v>
      </c>
      <c r="Q45" s="489">
        <v>16287</v>
      </c>
      <c r="R45" s="487">
        <v>5914</v>
      </c>
      <c r="S45" s="488" t="s">
        <v>192</v>
      </c>
      <c r="T45" s="487">
        <v>17677</v>
      </c>
      <c r="U45" s="487">
        <v>0</v>
      </c>
      <c r="V45" s="487">
        <v>0</v>
      </c>
      <c r="W45" s="489">
        <v>17677</v>
      </c>
      <c r="X45" s="487">
        <f t="shared" si="45"/>
        <v>1390</v>
      </c>
      <c r="Y45" s="488" t="s">
        <v>192</v>
      </c>
      <c r="Z45" s="487">
        <v>15890</v>
      </c>
      <c r="AA45" s="487">
        <v>2083</v>
      </c>
      <c r="AB45" s="487">
        <v>35</v>
      </c>
      <c r="AC45" s="489">
        <v>18008</v>
      </c>
      <c r="AD45" s="487">
        <f t="shared" si="46"/>
        <v>331</v>
      </c>
      <c r="AE45" s="490" t="s">
        <v>192</v>
      </c>
      <c r="AF45" s="487">
        <v>15923</v>
      </c>
      <c r="AG45" s="487">
        <v>2083</v>
      </c>
      <c r="AH45" s="487">
        <v>30</v>
      </c>
      <c r="AI45" s="489">
        <v>18036</v>
      </c>
      <c r="AJ45" s="491">
        <f t="shared" si="39"/>
        <v>35</v>
      </c>
      <c r="AK45" s="490" t="s">
        <v>192</v>
      </c>
      <c r="AL45" s="487">
        <v>16244</v>
      </c>
      <c r="AM45" s="487">
        <v>2182</v>
      </c>
      <c r="AN45" s="487">
        <v>30</v>
      </c>
      <c r="AO45" s="489">
        <v>18456</v>
      </c>
      <c r="AP45" s="489">
        <f t="shared" si="40"/>
        <v>420</v>
      </c>
      <c r="AQ45" s="487" t="s">
        <v>192</v>
      </c>
      <c r="AR45" s="487">
        <v>16314</v>
      </c>
      <c r="AS45" s="487">
        <v>2182</v>
      </c>
      <c r="AT45" s="487">
        <v>30</v>
      </c>
      <c r="AU45" s="489">
        <v>18526</v>
      </c>
      <c r="AV45" s="487">
        <f t="shared" si="47"/>
        <v>70</v>
      </c>
      <c r="AW45" s="490" t="s">
        <v>192</v>
      </c>
      <c r="AX45" s="487">
        <v>17288</v>
      </c>
      <c r="AY45" s="487">
        <v>2252</v>
      </c>
      <c r="AZ45" s="487">
        <v>24</v>
      </c>
      <c r="BA45" s="489">
        <v>19564</v>
      </c>
      <c r="BB45" s="491">
        <f t="shared" si="48"/>
        <v>1038</v>
      </c>
      <c r="BC45" s="490" t="s">
        <v>192</v>
      </c>
      <c r="BD45" s="487">
        <v>18131</v>
      </c>
      <c r="BE45" s="487">
        <v>2174</v>
      </c>
      <c r="BF45" s="487">
        <v>15</v>
      </c>
      <c r="BG45" s="489">
        <v>20320</v>
      </c>
      <c r="BH45" s="489">
        <f t="shared" si="49"/>
        <v>756</v>
      </c>
      <c r="BI45" s="487" t="s">
        <v>192</v>
      </c>
      <c r="BJ45" s="487">
        <v>18011</v>
      </c>
      <c r="BK45" s="487">
        <v>2795</v>
      </c>
      <c r="BL45" s="487">
        <v>0</v>
      </c>
      <c r="BM45" s="489">
        <v>20806</v>
      </c>
      <c r="BN45" s="489">
        <v>486</v>
      </c>
      <c r="BO45" s="487" t="s">
        <v>192</v>
      </c>
      <c r="BP45" s="487">
        <v>17603</v>
      </c>
      <c r="BQ45" s="487">
        <v>2826</v>
      </c>
      <c r="BR45" s="487">
        <v>0</v>
      </c>
      <c r="BS45" s="489">
        <v>20429</v>
      </c>
      <c r="BT45" s="489">
        <v>-377</v>
      </c>
      <c r="BU45" s="487" t="s">
        <v>192</v>
      </c>
      <c r="BV45" s="487">
        <v>17644</v>
      </c>
      <c r="BW45" s="487">
        <v>2830</v>
      </c>
      <c r="BX45" s="487">
        <v>0</v>
      </c>
      <c r="BY45" s="489">
        <v>20474</v>
      </c>
      <c r="BZ45" s="492">
        <v>45</v>
      </c>
      <c r="CA45" s="487" t="s">
        <v>192</v>
      </c>
      <c r="CB45" s="487">
        <v>17762</v>
      </c>
      <c r="CC45" s="487">
        <v>2850</v>
      </c>
      <c r="CD45" s="487">
        <v>0</v>
      </c>
      <c r="CE45" s="489">
        <v>20612</v>
      </c>
      <c r="CF45" s="492">
        <v>138</v>
      </c>
      <c r="CG45" s="487" t="s">
        <v>192</v>
      </c>
      <c r="CH45" s="487">
        <v>18089</v>
      </c>
      <c r="CI45" s="487">
        <v>2876</v>
      </c>
      <c r="CJ45" s="487">
        <v>25</v>
      </c>
      <c r="CK45" s="489">
        <v>20990</v>
      </c>
      <c r="CL45" s="491">
        <v>378</v>
      </c>
      <c r="CM45" s="487" t="s">
        <v>192</v>
      </c>
      <c r="CN45" s="487">
        <v>18340</v>
      </c>
      <c r="CO45" s="487">
        <v>2939</v>
      </c>
      <c r="CP45" s="487">
        <v>25</v>
      </c>
      <c r="CQ45" s="489">
        <v>21304</v>
      </c>
      <c r="CR45" s="491">
        <v>314</v>
      </c>
      <c r="CS45" s="488" t="s">
        <v>192</v>
      </c>
      <c r="CT45" s="487">
        <v>20142</v>
      </c>
      <c r="CU45" s="487">
        <v>2948</v>
      </c>
      <c r="CV45" s="487">
        <v>25</v>
      </c>
      <c r="CW45" s="489">
        <v>23115</v>
      </c>
      <c r="CX45" s="492">
        <v>1811</v>
      </c>
      <c r="CY45" s="488" t="s">
        <v>192</v>
      </c>
      <c r="CZ45" s="487">
        <v>21235</v>
      </c>
      <c r="DA45" s="487">
        <v>3039</v>
      </c>
      <c r="DB45" s="487">
        <v>25</v>
      </c>
      <c r="DC45" s="489">
        <v>24299</v>
      </c>
      <c r="DD45" s="492">
        <v>1184</v>
      </c>
      <c r="DE45" s="488" t="s">
        <v>192</v>
      </c>
      <c r="DF45" s="487">
        <v>22090</v>
      </c>
      <c r="DG45" s="487">
        <v>4707</v>
      </c>
      <c r="DH45" s="487">
        <v>25</v>
      </c>
      <c r="DI45" s="489">
        <v>26822</v>
      </c>
      <c r="DJ45" s="492">
        <v>2523</v>
      </c>
      <c r="DK45" s="488" t="s">
        <v>192</v>
      </c>
      <c r="DL45" s="487">
        <v>23580</v>
      </c>
      <c r="DM45" s="487">
        <v>1198</v>
      </c>
      <c r="DN45" s="487">
        <v>27</v>
      </c>
      <c r="DO45" s="489">
        <v>24805</v>
      </c>
      <c r="DP45" s="492">
        <v>-2017</v>
      </c>
      <c r="DR45" s="488" t="s">
        <v>192</v>
      </c>
      <c r="DS45" s="487">
        <v>24303</v>
      </c>
      <c r="DT45" s="487">
        <v>2051</v>
      </c>
      <c r="DU45" s="487">
        <v>30</v>
      </c>
      <c r="DV45" s="489">
        <v>26384</v>
      </c>
      <c r="DW45" s="492">
        <v>28401</v>
      </c>
      <c r="DY45" s="488" t="s">
        <v>192</v>
      </c>
      <c r="DZ45" s="487">
        <f>GETPIVOTDATA("Individus",'Displacement &amp; Returns'!$D$158, "adm2_name","Mayo-Tsanaga","adm3_name",$DK45,"Statut déplacé","PDI")</f>
        <v>39897</v>
      </c>
      <c r="EA45" s="487">
        <f>GETPIVOTDATA("Individus",'Displacement &amp; Returns'!$D$158, "adm2_name","Mayo-Tsanaga","adm3_name",$DK45,"Statut déplacé","Retournés")</f>
        <v>2987</v>
      </c>
      <c r="EB45" s="487">
        <f>GETPIVOTDATA("Individus",'Displacement &amp; Returns'!$D$158, "adm2_name","Mayo-Tsanaga","adm3_name",$DE45,"Statut déplacé","Refugié hors camp")</f>
        <v>0</v>
      </c>
      <c r="EC45" s="489">
        <f t="shared" si="41"/>
        <v>42884</v>
      </c>
      <c r="ED45" s="492">
        <f t="shared" si="42"/>
        <v>44901</v>
      </c>
      <c r="EF45" s="488" t="s">
        <v>192</v>
      </c>
      <c r="EG45" s="487">
        <f t="shared" si="43"/>
        <v>16317</v>
      </c>
      <c r="EH45" s="487">
        <f t="shared" si="43"/>
        <v>1789</v>
      </c>
      <c r="EI45" s="487">
        <f t="shared" si="43"/>
        <v>-27</v>
      </c>
      <c r="EJ45" s="494">
        <f t="shared" si="44"/>
        <v>18079</v>
      </c>
      <c r="EK45" s="1191"/>
      <c r="EL45" s="1191"/>
      <c r="EM45" s="1191"/>
    </row>
    <row r="46" spans="2:143" x14ac:dyDescent="0.3">
      <c r="B46" s="488" t="s">
        <v>194</v>
      </c>
      <c r="C46" s="487">
        <v>0</v>
      </c>
      <c r="D46" s="487">
        <v>3863</v>
      </c>
      <c r="E46" s="487">
        <v>12298</v>
      </c>
      <c r="F46" s="489">
        <v>16161</v>
      </c>
      <c r="G46" s="488" t="s">
        <v>194</v>
      </c>
      <c r="H46" s="487">
        <v>0</v>
      </c>
      <c r="I46" s="487">
        <v>929</v>
      </c>
      <c r="J46" s="487">
        <v>2885</v>
      </c>
      <c r="K46" s="489">
        <v>3814</v>
      </c>
      <c r="L46" s="487">
        <f t="shared" si="10"/>
        <v>-12347</v>
      </c>
      <c r="M46" s="488" t="s">
        <v>194</v>
      </c>
      <c r="N46" s="487">
        <v>0</v>
      </c>
      <c r="O46" s="487">
        <v>947</v>
      </c>
      <c r="P46" s="487">
        <v>2748</v>
      </c>
      <c r="Q46" s="489">
        <v>3695</v>
      </c>
      <c r="R46" s="487">
        <v>-119</v>
      </c>
      <c r="S46" s="488" t="s">
        <v>194</v>
      </c>
      <c r="T46" s="487">
        <v>0</v>
      </c>
      <c r="U46" s="487">
        <v>797</v>
      </c>
      <c r="V46" s="487">
        <v>2319</v>
      </c>
      <c r="W46" s="489">
        <v>3116</v>
      </c>
      <c r="X46" s="487">
        <f t="shared" si="45"/>
        <v>-579</v>
      </c>
      <c r="Y46" s="488" t="s">
        <v>194</v>
      </c>
      <c r="Z46" s="487">
        <v>0</v>
      </c>
      <c r="AA46" s="487">
        <v>979</v>
      </c>
      <c r="AB46" s="487">
        <v>1303</v>
      </c>
      <c r="AC46" s="489">
        <v>2282</v>
      </c>
      <c r="AD46" s="487">
        <f t="shared" si="46"/>
        <v>-834</v>
      </c>
      <c r="AE46" s="490" t="s">
        <v>194</v>
      </c>
      <c r="AF46" s="487">
        <v>0</v>
      </c>
      <c r="AG46" s="487">
        <v>980</v>
      </c>
      <c r="AH46" s="487">
        <v>1327</v>
      </c>
      <c r="AI46" s="489">
        <v>2307</v>
      </c>
      <c r="AJ46" s="491">
        <f t="shared" si="39"/>
        <v>-1445</v>
      </c>
      <c r="AK46" s="490" t="s">
        <v>194</v>
      </c>
      <c r="AL46" s="487">
        <v>0</v>
      </c>
      <c r="AM46" s="487">
        <v>980</v>
      </c>
      <c r="AN46" s="487">
        <v>1335</v>
      </c>
      <c r="AO46" s="489">
        <v>2315</v>
      </c>
      <c r="AP46" s="489">
        <f t="shared" si="40"/>
        <v>8</v>
      </c>
      <c r="AQ46" s="487" t="s">
        <v>194</v>
      </c>
      <c r="AR46" s="487">
        <v>0</v>
      </c>
      <c r="AS46" s="487">
        <v>983</v>
      </c>
      <c r="AT46" s="487">
        <v>1309</v>
      </c>
      <c r="AU46" s="489">
        <v>2292</v>
      </c>
      <c r="AV46" s="487">
        <f t="shared" si="47"/>
        <v>-23</v>
      </c>
      <c r="AW46" s="490" t="s">
        <v>194</v>
      </c>
      <c r="AX46" s="487">
        <v>0</v>
      </c>
      <c r="AY46" s="487">
        <v>983</v>
      </c>
      <c r="AZ46" s="487">
        <v>1306</v>
      </c>
      <c r="BA46" s="489">
        <v>2289</v>
      </c>
      <c r="BB46" s="491">
        <f t="shared" si="48"/>
        <v>-3</v>
      </c>
      <c r="BC46" s="490" t="s">
        <v>194</v>
      </c>
      <c r="BD46" s="487">
        <v>0</v>
      </c>
      <c r="BE46" s="487">
        <v>988</v>
      </c>
      <c r="BF46" s="487">
        <v>1281</v>
      </c>
      <c r="BG46" s="489">
        <v>2269</v>
      </c>
      <c r="BH46" s="489">
        <f t="shared" si="49"/>
        <v>-20</v>
      </c>
      <c r="BI46" s="487" t="s">
        <v>194</v>
      </c>
      <c r="BJ46" s="487">
        <v>0</v>
      </c>
      <c r="BK46" s="487">
        <v>993</v>
      </c>
      <c r="BL46" s="487">
        <v>1292</v>
      </c>
      <c r="BM46" s="489">
        <v>2285</v>
      </c>
      <c r="BN46" s="489">
        <v>16</v>
      </c>
      <c r="BO46" s="487" t="s">
        <v>194</v>
      </c>
      <c r="BP46" s="487">
        <v>0</v>
      </c>
      <c r="BQ46" s="487">
        <v>998</v>
      </c>
      <c r="BR46" s="487">
        <v>1292</v>
      </c>
      <c r="BS46" s="489">
        <v>2290</v>
      </c>
      <c r="BT46" s="489">
        <v>5</v>
      </c>
      <c r="BU46" s="487" t="s">
        <v>194</v>
      </c>
      <c r="BV46" s="487">
        <v>0</v>
      </c>
      <c r="BW46" s="487">
        <v>979</v>
      </c>
      <c r="BX46" s="487">
        <v>1278</v>
      </c>
      <c r="BY46" s="489">
        <v>2257</v>
      </c>
      <c r="BZ46" s="492">
        <v>-33</v>
      </c>
      <c r="CA46" s="487" t="s">
        <v>194</v>
      </c>
      <c r="CB46" s="487">
        <v>0</v>
      </c>
      <c r="CC46" s="487">
        <v>982</v>
      </c>
      <c r="CD46" s="487">
        <v>1269</v>
      </c>
      <c r="CE46" s="489">
        <v>2251</v>
      </c>
      <c r="CF46" s="492">
        <v>-6</v>
      </c>
      <c r="CG46" s="487" t="s">
        <v>194</v>
      </c>
      <c r="CH46" s="487">
        <v>0</v>
      </c>
      <c r="CI46" s="487">
        <v>985</v>
      </c>
      <c r="CJ46" s="487">
        <v>1256</v>
      </c>
      <c r="CK46" s="489">
        <v>2241</v>
      </c>
      <c r="CL46" s="491">
        <v>-10</v>
      </c>
      <c r="CM46" s="487" t="s">
        <v>194</v>
      </c>
      <c r="CN46" s="487">
        <v>0</v>
      </c>
      <c r="CO46" s="487">
        <v>997</v>
      </c>
      <c r="CP46" s="487">
        <v>1257</v>
      </c>
      <c r="CQ46" s="489">
        <v>2254</v>
      </c>
      <c r="CR46" s="491">
        <v>13</v>
      </c>
      <c r="CS46" s="488" t="s">
        <v>194</v>
      </c>
      <c r="CT46" s="487">
        <v>0</v>
      </c>
      <c r="CU46" s="487">
        <v>1053</v>
      </c>
      <c r="CV46" s="487">
        <v>1263</v>
      </c>
      <c r="CW46" s="489">
        <v>2316</v>
      </c>
      <c r="CX46" s="492">
        <v>62</v>
      </c>
      <c r="CY46" s="488" t="s">
        <v>194</v>
      </c>
      <c r="CZ46" s="487">
        <v>0</v>
      </c>
      <c r="DA46" s="487">
        <v>1054</v>
      </c>
      <c r="DB46" s="487">
        <v>1199</v>
      </c>
      <c r="DC46" s="489">
        <v>2253</v>
      </c>
      <c r="DD46" s="492">
        <v>-63</v>
      </c>
      <c r="DE46" s="488" t="s">
        <v>194</v>
      </c>
      <c r="DF46" s="487">
        <v>0</v>
      </c>
      <c r="DG46" s="487">
        <v>1084</v>
      </c>
      <c r="DH46" s="487">
        <v>1194</v>
      </c>
      <c r="DI46" s="489">
        <v>2278</v>
      </c>
      <c r="DJ46" s="492">
        <v>25</v>
      </c>
      <c r="DK46" s="488" t="s">
        <v>194</v>
      </c>
      <c r="DL46" s="487">
        <v>0</v>
      </c>
      <c r="DM46" s="487">
        <v>1093</v>
      </c>
      <c r="DN46" s="487">
        <v>999</v>
      </c>
      <c r="DO46" s="489">
        <v>2092</v>
      </c>
      <c r="DP46" s="492">
        <v>-186</v>
      </c>
      <c r="DR46" s="488" t="s">
        <v>194</v>
      </c>
      <c r="DS46" s="487">
        <v>0</v>
      </c>
      <c r="DT46" s="487">
        <v>1105</v>
      </c>
      <c r="DU46" s="487">
        <v>989</v>
      </c>
      <c r="DV46" s="489">
        <v>2094</v>
      </c>
      <c r="DW46" s="492">
        <v>2280</v>
      </c>
      <c r="DY46" s="488" t="s">
        <v>194</v>
      </c>
      <c r="DZ46" s="487">
        <f>GETPIVOTDATA("Individus",'Displacement &amp; Returns'!$D$158, "adm2_name","Mayo-Tsanaga","adm3_name",$DK46,"Statut déplacé","PDI")</f>
        <v>0</v>
      </c>
      <c r="EA46" s="487">
        <f>GETPIVOTDATA("Individus",'Displacement &amp; Returns'!$D$158, "adm2_name","Mayo-Tsanaga","adm3_name",$DK46,"Statut déplacé","Retournés")</f>
        <v>1149</v>
      </c>
      <c r="EB46" s="487">
        <f>GETPIVOTDATA("Individus",'Displacement &amp; Returns'!$D$158, "adm2_name","Mayo-Tsanaga","adm3_name",$DE46,"Statut déplacé","Refugié hors camp")</f>
        <v>960</v>
      </c>
      <c r="EC46" s="489">
        <f t="shared" si="41"/>
        <v>2109</v>
      </c>
      <c r="ED46" s="492">
        <f t="shared" si="42"/>
        <v>2295</v>
      </c>
      <c r="EF46" s="488" t="s">
        <v>194</v>
      </c>
      <c r="EG46" s="487">
        <f t="shared" si="43"/>
        <v>0</v>
      </c>
      <c r="EH46" s="487">
        <f t="shared" si="43"/>
        <v>56</v>
      </c>
      <c r="EI46" s="487">
        <f t="shared" si="43"/>
        <v>-39</v>
      </c>
      <c r="EJ46" s="494">
        <f t="shared" si="44"/>
        <v>17</v>
      </c>
      <c r="EK46" s="1191"/>
      <c r="EL46" s="1191"/>
      <c r="EM46" s="1191"/>
    </row>
    <row r="47" spans="2:143" x14ac:dyDescent="0.3">
      <c r="B47" s="488" t="s">
        <v>195</v>
      </c>
      <c r="C47" s="487">
        <v>6894</v>
      </c>
      <c r="D47" s="487">
        <v>3807</v>
      </c>
      <c r="E47" s="487">
        <v>0</v>
      </c>
      <c r="F47" s="489">
        <v>10701</v>
      </c>
      <c r="G47" s="488" t="s">
        <v>195</v>
      </c>
      <c r="H47" s="487">
        <v>7314</v>
      </c>
      <c r="I47" s="487">
        <v>3905</v>
      </c>
      <c r="J47" s="487">
        <v>0</v>
      </c>
      <c r="K47" s="489">
        <v>11219</v>
      </c>
      <c r="L47" s="487">
        <f t="shared" si="10"/>
        <v>518</v>
      </c>
      <c r="M47" s="488" t="s">
        <v>195</v>
      </c>
      <c r="N47" s="487">
        <v>7500</v>
      </c>
      <c r="O47" s="487">
        <v>3963</v>
      </c>
      <c r="P47" s="487">
        <v>16</v>
      </c>
      <c r="Q47" s="489">
        <v>11479</v>
      </c>
      <c r="R47" s="487">
        <v>260</v>
      </c>
      <c r="S47" s="488" t="s">
        <v>195</v>
      </c>
      <c r="T47" s="487">
        <v>8306</v>
      </c>
      <c r="U47" s="487">
        <v>6055</v>
      </c>
      <c r="V47" s="487">
        <v>201</v>
      </c>
      <c r="W47" s="489">
        <v>14562</v>
      </c>
      <c r="X47" s="487">
        <f t="shared" si="45"/>
        <v>3083</v>
      </c>
      <c r="Y47" s="488" t="s">
        <v>195</v>
      </c>
      <c r="Z47" s="487">
        <v>8444</v>
      </c>
      <c r="AA47" s="487">
        <v>5913</v>
      </c>
      <c r="AB47" s="487">
        <v>199</v>
      </c>
      <c r="AC47" s="489">
        <v>14556</v>
      </c>
      <c r="AD47" s="487">
        <f t="shared" si="46"/>
        <v>-6</v>
      </c>
      <c r="AE47" s="490" t="s">
        <v>195</v>
      </c>
      <c r="AF47" s="487">
        <v>8459</v>
      </c>
      <c r="AG47" s="487">
        <v>6151</v>
      </c>
      <c r="AH47" s="487">
        <v>405</v>
      </c>
      <c r="AI47" s="489">
        <v>15015</v>
      </c>
      <c r="AJ47" s="491">
        <f t="shared" si="39"/>
        <v>183</v>
      </c>
      <c r="AK47" s="490" t="s">
        <v>195</v>
      </c>
      <c r="AL47" s="487">
        <v>10297</v>
      </c>
      <c r="AM47" s="487">
        <v>6232</v>
      </c>
      <c r="AN47" s="487">
        <v>463</v>
      </c>
      <c r="AO47" s="489">
        <v>16992</v>
      </c>
      <c r="AP47" s="489">
        <f t="shared" si="40"/>
        <v>1977</v>
      </c>
      <c r="AQ47" s="487" t="s">
        <v>195</v>
      </c>
      <c r="AR47" s="487">
        <v>10638</v>
      </c>
      <c r="AS47" s="487">
        <v>6368</v>
      </c>
      <c r="AT47" s="487">
        <v>431</v>
      </c>
      <c r="AU47" s="489">
        <v>17437</v>
      </c>
      <c r="AV47" s="487">
        <f t="shared" si="47"/>
        <v>445</v>
      </c>
      <c r="AW47" s="490" t="s">
        <v>195</v>
      </c>
      <c r="AX47" s="487">
        <v>15221</v>
      </c>
      <c r="AY47" s="487">
        <v>8838</v>
      </c>
      <c r="AZ47" s="487">
        <v>900</v>
      </c>
      <c r="BA47" s="489">
        <v>24959</v>
      </c>
      <c r="BB47" s="491">
        <f t="shared" si="48"/>
        <v>7522</v>
      </c>
      <c r="BC47" s="490" t="s">
        <v>195</v>
      </c>
      <c r="BD47" s="487">
        <v>15541</v>
      </c>
      <c r="BE47" s="487">
        <v>8163</v>
      </c>
      <c r="BF47" s="487">
        <v>1421</v>
      </c>
      <c r="BG47" s="489">
        <v>25125</v>
      </c>
      <c r="BH47" s="489">
        <f t="shared" si="49"/>
        <v>166</v>
      </c>
      <c r="BI47" s="487" t="s">
        <v>195</v>
      </c>
      <c r="BJ47" s="487">
        <v>15875</v>
      </c>
      <c r="BK47" s="487">
        <v>10004</v>
      </c>
      <c r="BL47" s="487">
        <v>1312</v>
      </c>
      <c r="BM47" s="489">
        <v>27191</v>
      </c>
      <c r="BN47" s="489">
        <v>2066</v>
      </c>
      <c r="BO47" s="487" t="s">
        <v>195</v>
      </c>
      <c r="BP47" s="487">
        <v>15668</v>
      </c>
      <c r="BQ47" s="487">
        <v>11632</v>
      </c>
      <c r="BR47" s="487">
        <v>1325</v>
      </c>
      <c r="BS47" s="489">
        <v>28625</v>
      </c>
      <c r="BT47" s="489">
        <v>1434</v>
      </c>
      <c r="BU47" s="487" t="s">
        <v>195</v>
      </c>
      <c r="BV47" s="487">
        <v>15687</v>
      </c>
      <c r="BW47" s="487">
        <v>11609</v>
      </c>
      <c r="BX47" s="487">
        <v>1269</v>
      </c>
      <c r="BY47" s="489">
        <v>28565</v>
      </c>
      <c r="BZ47" s="492">
        <v>-60</v>
      </c>
      <c r="CA47" s="487" t="s">
        <v>195</v>
      </c>
      <c r="CB47" s="487">
        <v>16757</v>
      </c>
      <c r="CC47" s="487">
        <v>11489</v>
      </c>
      <c r="CD47" s="487">
        <v>1269</v>
      </c>
      <c r="CE47" s="489">
        <v>29515</v>
      </c>
      <c r="CF47" s="492">
        <v>950</v>
      </c>
      <c r="CG47" s="487" t="s">
        <v>195</v>
      </c>
      <c r="CH47" s="487">
        <v>19174</v>
      </c>
      <c r="CI47" s="487">
        <v>11038</v>
      </c>
      <c r="CJ47" s="487">
        <v>1294</v>
      </c>
      <c r="CK47" s="489">
        <v>31506</v>
      </c>
      <c r="CL47" s="491">
        <v>1991</v>
      </c>
      <c r="CM47" s="487" t="s">
        <v>195</v>
      </c>
      <c r="CN47" s="487">
        <v>19403</v>
      </c>
      <c r="CO47" s="487">
        <v>11003</v>
      </c>
      <c r="CP47" s="487">
        <v>1281</v>
      </c>
      <c r="CQ47" s="489">
        <v>31687</v>
      </c>
      <c r="CR47" s="491">
        <v>181</v>
      </c>
      <c r="CS47" s="488" t="s">
        <v>195</v>
      </c>
      <c r="CT47" s="487">
        <v>24298</v>
      </c>
      <c r="CU47" s="487">
        <v>8762</v>
      </c>
      <c r="CV47" s="487">
        <v>1331</v>
      </c>
      <c r="CW47" s="489">
        <v>34391</v>
      </c>
      <c r="CX47" s="492">
        <v>2704</v>
      </c>
      <c r="CY47" s="488" t="s">
        <v>195</v>
      </c>
      <c r="CZ47" s="487">
        <v>24378</v>
      </c>
      <c r="DA47" s="487">
        <v>8329</v>
      </c>
      <c r="DB47" s="487">
        <v>1314</v>
      </c>
      <c r="DC47" s="489">
        <v>34021</v>
      </c>
      <c r="DD47" s="492">
        <v>-370</v>
      </c>
      <c r="DE47" s="488" t="s">
        <v>195</v>
      </c>
      <c r="DF47" s="487">
        <v>24857</v>
      </c>
      <c r="DG47" s="487">
        <v>8774</v>
      </c>
      <c r="DH47" s="487">
        <v>1653</v>
      </c>
      <c r="DI47" s="489">
        <v>35284</v>
      </c>
      <c r="DJ47" s="492">
        <v>1263</v>
      </c>
      <c r="DK47" s="488" t="s">
        <v>195</v>
      </c>
      <c r="DL47" s="487">
        <v>27727</v>
      </c>
      <c r="DM47" s="487">
        <v>5562</v>
      </c>
      <c r="DN47" s="487">
        <v>1429</v>
      </c>
      <c r="DO47" s="489">
        <v>34718</v>
      </c>
      <c r="DP47" s="492">
        <v>-566</v>
      </c>
      <c r="DR47" s="488" t="s">
        <v>195</v>
      </c>
      <c r="DS47" s="487">
        <v>42780</v>
      </c>
      <c r="DT47" s="487">
        <v>4343</v>
      </c>
      <c r="DU47" s="487">
        <v>3508</v>
      </c>
      <c r="DV47" s="489">
        <v>50631</v>
      </c>
      <c r="DW47" s="492">
        <v>51197</v>
      </c>
      <c r="DY47" s="488" t="s">
        <v>195</v>
      </c>
      <c r="DZ47" s="487">
        <f>GETPIVOTDATA("Individus",'Displacement &amp; Returns'!$D$158, "adm2_name","Mayo-Tsanaga","adm3_name",$DK47,"Statut déplacé","PDI")</f>
        <v>39975</v>
      </c>
      <c r="EA47" s="487">
        <f>GETPIVOTDATA("Individus",'Displacement &amp; Returns'!$D$158, "adm2_name","Mayo-Tsanaga","adm3_name",$DK47,"Statut déplacé","Retournés")</f>
        <v>2640</v>
      </c>
      <c r="EB47" s="487">
        <f>GETPIVOTDATA("Individus",'Displacement &amp; Returns'!$D$158, "adm2_name","Mayo-Tsanaga","adm3_name",$DE47,"Statut déplacé","Refugié hors camp")</f>
        <v>3411</v>
      </c>
      <c r="EC47" s="489">
        <f t="shared" si="41"/>
        <v>46026</v>
      </c>
      <c r="ED47" s="492">
        <f t="shared" si="42"/>
        <v>46592</v>
      </c>
      <c r="EF47" s="488" t="s">
        <v>195</v>
      </c>
      <c r="EG47" s="487">
        <f t="shared" si="43"/>
        <v>12248</v>
      </c>
      <c r="EH47" s="487">
        <f t="shared" si="43"/>
        <v>-2922</v>
      </c>
      <c r="EI47" s="487">
        <f t="shared" si="43"/>
        <v>1982</v>
      </c>
      <c r="EJ47" s="494">
        <f t="shared" si="44"/>
        <v>11308</v>
      </c>
      <c r="EK47" s="1191"/>
      <c r="EL47" s="1191"/>
      <c r="EM47" s="1191"/>
    </row>
    <row r="48" spans="2:143" x14ac:dyDescent="0.3">
      <c r="B48" s="488" t="s">
        <v>193</v>
      </c>
      <c r="C48" s="487">
        <v>7272</v>
      </c>
      <c r="D48" s="487">
        <v>3552</v>
      </c>
      <c r="E48" s="487">
        <v>472</v>
      </c>
      <c r="F48" s="489">
        <v>11296</v>
      </c>
      <c r="G48" s="488" t="s">
        <v>193</v>
      </c>
      <c r="H48" s="487">
        <v>8385</v>
      </c>
      <c r="I48" s="487">
        <v>3460</v>
      </c>
      <c r="J48" s="487">
        <v>467</v>
      </c>
      <c r="K48" s="489">
        <v>12312</v>
      </c>
      <c r="L48" s="487">
        <f t="shared" si="10"/>
        <v>1016</v>
      </c>
      <c r="M48" s="488" t="s">
        <v>193</v>
      </c>
      <c r="N48" s="487">
        <v>9003</v>
      </c>
      <c r="O48" s="487">
        <v>4385</v>
      </c>
      <c r="P48" s="487">
        <v>492</v>
      </c>
      <c r="Q48" s="489">
        <v>13880</v>
      </c>
      <c r="R48" s="487">
        <v>1568</v>
      </c>
      <c r="S48" s="488" t="s">
        <v>193</v>
      </c>
      <c r="T48" s="487">
        <v>8760</v>
      </c>
      <c r="U48" s="487">
        <v>4744</v>
      </c>
      <c r="V48" s="487">
        <v>552</v>
      </c>
      <c r="W48" s="489">
        <v>14056</v>
      </c>
      <c r="X48" s="487">
        <f t="shared" si="45"/>
        <v>176</v>
      </c>
      <c r="Y48" s="488" t="s">
        <v>193</v>
      </c>
      <c r="Z48" s="487">
        <v>9135</v>
      </c>
      <c r="AA48" s="487">
        <v>4631</v>
      </c>
      <c r="AB48" s="487">
        <v>565</v>
      </c>
      <c r="AC48" s="489">
        <v>14331</v>
      </c>
      <c r="AD48" s="487">
        <f t="shared" si="46"/>
        <v>275</v>
      </c>
      <c r="AE48" s="490" t="s">
        <v>193</v>
      </c>
      <c r="AF48" s="487">
        <v>9170</v>
      </c>
      <c r="AG48" s="487">
        <v>4651</v>
      </c>
      <c r="AH48" s="487">
        <v>570</v>
      </c>
      <c r="AI48" s="489">
        <v>14391</v>
      </c>
      <c r="AJ48" s="491">
        <f t="shared" si="39"/>
        <v>73</v>
      </c>
      <c r="AK48" s="490" t="s">
        <v>193</v>
      </c>
      <c r="AL48" s="487">
        <v>9776</v>
      </c>
      <c r="AM48" s="487">
        <v>5146</v>
      </c>
      <c r="AN48" s="487">
        <v>570</v>
      </c>
      <c r="AO48" s="489">
        <v>15492</v>
      </c>
      <c r="AP48" s="489">
        <f t="shared" si="40"/>
        <v>1101</v>
      </c>
      <c r="AQ48" s="487" t="s">
        <v>193</v>
      </c>
      <c r="AR48" s="487">
        <v>11736</v>
      </c>
      <c r="AS48" s="487">
        <v>5726</v>
      </c>
      <c r="AT48" s="487">
        <v>3318</v>
      </c>
      <c r="AU48" s="489">
        <v>20780</v>
      </c>
      <c r="AV48" s="487">
        <f t="shared" si="47"/>
        <v>5288</v>
      </c>
      <c r="AW48" s="490" t="s">
        <v>193</v>
      </c>
      <c r="AX48" s="487">
        <v>16701</v>
      </c>
      <c r="AY48" s="487">
        <v>6534</v>
      </c>
      <c r="AZ48" s="487">
        <v>3318</v>
      </c>
      <c r="BA48" s="489">
        <v>26553</v>
      </c>
      <c r="BB48" s="491">
        <f t="shared" si="48"/>
        <v>5773</v>
      </c>
      <c r="BC48" s="490" t="s">
        <v>193</v>
      </c>
      <c r="BD48" s="487">
        <v>11088</v>
      </c>
      <c r="BE48" s="487">
        <v>13965</v>
      </c>
      <c r="BF48" s="487">
        <v>3199</v>
      </c>
      <c r="BG48" s="489">
        <v>28252</v>
      </c>
      <c r="BH48" s="489">
        <f t="shared" si="49"/>
        <v>1699</v>
      </c>
      <c r="BI48" s="487" t="s">
        <v>193</v>
      </c>
      <c r="BJ48" s="487">
        <v>10980</v>
      </c>
      <c r="BK48" s="487">
        <v>14034</v>
      </c>
      <c r="BL48" s="487">
        <v>3159</v>
      </c>
      <c r="BM48" s="489">
        <v>28173</v>
      </c>
      <c r="BN48" s="489">
        <v>-79</v>
      </c>
      <c r="BO48" s="487" t="s">
        <v>193</v>
      </c>
      <c r="BP48" s="487">
        <v>11258</v>
      </c>
      <c r="BQ48" s="487">
        <v>14846</v>
      </c>
      <c r="BR48" s="487">
        <v>3159</v>
      </c>
      <c r="BS48" s="489">
        <v>29263</v>
      </c>
      <c r="BT48" s="489">
        <v>1090</v>
      </c>
      <c r="BU48" s="487" t="s">
        <v>193</v>
      </c>
      <c r="BV48" s="487">
        <v>11267</v>
      </c>
      <c r="BW48" s="487">
        <v>14927</v>
      </c>
      <c r="BX48" s="487">
        <v>3095</v>
      </c>
      <c r="BY48" s="489">
        <v>29289</v>
      </c>
      <c r="BZ48" s="492">
        <v>26</v>
      </c>
      <c r="CA48" s="487" t="s">
        <v>193</v>
      </c>
      <c r="CB48" s="487">
        <v>11238</v>
      </c>
      <c r="CC48" s="487">
        <v>14915</v>
      </c>
      <c r="CD48" s="487">
        <v>3082</v>
      </c>
      <c r="CE48" s="489">
        <v>29235</v>
      </c>
      <c r="CF48" s="492">
        <v>-54</v>
      </c>
      <c r="CG48" s="487" t="s">
        <v>193</v>
      </c>
      <c r="CH48" s="487">
        <v>12707</v>
      </c>
      <c r="CI48" s="487">
        <v>15227</v>
      </c>
      <c r="CJ48" s="487">
        <v>3059</v>
      </c>
      <c r="CK48" s="489">
        <v>30993</v>
      </c>
      <c r="CL48" s="491">
        <v>1758</v>
      </c>
      <c r="CM48" s="487" t="s">
        <v>193</v>
      </c>
      <c r="CN48" s="487">
        <v>12899</v>
      </c>
      <c r="CO48" s="487">
        <v>15177</v>
      </c>
      <c r="CP48" s="487">
        <v>3059</v>
      </c>
      <c r="CQ48" s="489">
        <v>31135</v>
      </c>
      <c r="CR48" s="491">
        <v>142</v>
      </c>
      <c r="CS48" s="488" t="s">
        <v>193</v>
      </c>
      <c r="CT48" s="487">
        <v>13402</v>
      </c>
      <c r="CU48" s="487">
        <v>16131</v>
      </c>
      <c r="CV48" s="487">
        <v>3537</v>
      </c>
      <c r="CW48" s="489">
        <v>33070</v>
      </c>
      <c r="CX48" s="492">
        <v>1935</v>
      </c>
      <c r="CY48" s="488" t="s">
        <v>193</v>
      </c>
      <c r="CZ48" s="487">
        <v>13659</v>
      </c>
      <c r="DA48" s="487">
        <v>15832</v>
      </c>
      <c r="DB48" s="487">
        <v>3535</v>
      </c>
      <c r="DC48" s="489">
        <v>33026</v>
      </c>
      <c r="DD48" s="492">
        <v>-44</v>
      </c>
      <c r="DE48" s="488" t="s">
        <v>193</v>
      </c>
      <c r="DF48" s="487">
        <v>14160</v>
      </c>
      <c r="DG48" s="487">
        <v>16031</v>
      </c>
      <c r="DH48" s="487">
        <v>3536</v>
      </c>
      <c r="DI48" s="489">
        <v>33727</v>
      </c>
      <c r="DJ48" s="492">
        <v>701</v>
      </c>
      <c r="DK48" s="488" t="s">
        <v>193</v>
      </c>
      <c r="DL48" s="487">
        <v>15378</v>
      </c>
      <c r="DM48" s="487">
        <v>15008</v>
      </c>
      <c r="DN48" s="487">
        <v>3538</v>
      </c>
      <c r="DO48" s="489">
        <v>33924</v>
      </c>
      <c r="DP48" s="492">
        <v>197</v>
      </c>
      <c r="DR48" s="488" t="s">
        <v>193</v>
      </c>
      <c r="DS48" s="487">
        <v>16734</v>
      </c>
      <c r="DT48" s="487">
        <v>13784</v>
      </c>
      <c r="DU48" s="487">
        <v>3720</v>
      </c>
      <c r="DV48" s="489">
        <v>34238</v>
      </c>
      <c r="DW48" s="492">
        <v>34041</v>
      </c>
      <c r="DY48" s="488" t="s">
        <v>193</v>
      </c>
      <c r="DZ48" s="487">
        <f>GETPIVOTDATA("Individus",'Displacement &amp; Returns'!$D$158, "adm2_name","Mayo-Tsanaga","adm3_name",$DK48,"Statut déplacé","PDI")</f>
        <v>19365</v>
      </c>
      <c r="EA48" s="487">
        <f>GETPIVOTDATA("Individus",'Displacement &amp; Returns'!$D$158, "adm2_name","Mayo-Tsanaga","adm3_name",$DK48,"Statut déplacé","Retournés")</f>
        <v>13513</v>
      </c>
      <c r="EB48" s="487">
        <f>GETPIVOTDATA("Individus",'Displacement &amp; Returns'!$D$158, "adm2_name","Mayo-Tsanaga","adm3_name",$DE48,"Statut déplacé","Refugié hors camp")</f>
        <v>4020</v>
      </c>
      <c r="EC48" s="489">
        <f t="shared" si="41"/>
        <v>36898</v>
      </c>
      <c r="ED48" s="492">
        <f t="shared" si="42"/>
        <v>36701</v>
      </c>
      <c r="EF48" s="488" t="s">
        <v>193</v>
      </c>
      <c r="EG48" s="487">
        <f t="shared" si="43"/>
        <v>3987</v>
      </c>
      <c r="EH48" s="487">
        <f t="shared" si="43"/>
        <v>-1495</v>
      </c>
      <c r="EI48" s="487">
        <f t="shared" si="43"/>
        <v>482</v>
      </c>
      <c r="EJ48" s="494">
        <f t="shared" si="44"/>
        <v>2974</v>
      </c>
      <c r="EK48" s="1191"/>
      <c r="EL48" s="1191"/>
      <c r="EM48" s="1191"/>
    </row>
    <row r="49" spans="2:143" x14ac:dyDescent="0.3">
      <c r="B49" s="488" t="s">
        <v>196</v>
      </c>
      <c r="C49" s="487">
        <v>1437</v>
      </c>
      <c r="D49" s="487">
        <v>258</v>
      </c>
      <c r="E49" s="487">
        <v>0</v>
      </c>
      <c r="F49" s="489">
        <v>1695</v>
      </c>
      <c r="G49" s="488" t="s">
        <v>196</v>
      </c>
      <c r="H49" s="487">
        <v>1554</v>
      </c>
      <c r="I49" s="487">
        <v>311</v>
      </c>
      <c r="J49" s="487">
        <v>0</v>
      </c>
      <c r="K49" s="489">
        <v>1865</v>
      </c>
      <c r="L49" s="487">
        <f t="shared" si="10"/>
        <v>170</v>
      </c>
      <c r="M49" s="488" t="s">
        <v>196</v>
      </c>
      <c r="N49" s="487">
        <v>1632</v>
      </c>
      <c r="O49" s="487">
        <v>359</v>
      </c>
      <c r="P49" s="487">
        <v>0</v>
      </c>
      <c r="Q49" s="489">
        <v>1991</v>
      </c>
      <c r="R49" s="487">
        <v>126</v>
      </c>
      <c r="S49" s="488" t="s">
        <v>196</v>
      </c>
      <c r="T49" s="487">
        <v>1824</v>
      </c>
      <c r="U49" s="487">
        <v>351</v>
      </c>
      <c r="V49" s="487">
        <v>0</v>
      </c>
      <c r="W49" s="489">
        <v>2175</v>
      </c>
      <c r="X49" s="487">
        <f t="shared" si="45"/>
        <v>184</v>
      </c>
      <c r="Y49" s="488" t="s">
        <v>196</v>
      </c>
      <c r="Z49" s="487">
        <v>1889</v>
      </c>
      <c r="AA49" s="487">
        <v>380</v>
      </c>
      <c r="AB49" s="487">
        <v>0</v>
      </c>
      <c r="AC49" s="489">
        <v>2269</v>
      </c>
      <c r="AD49" s="487">
        <f t="shared" si="46"/>
        <v>94</v>
      </c>
      <c r="AE49" s="490" t="s">
        <v>196</v>
      </c>
      <c r="AF49" s="487">
        <v>1911</v>
      </c>
      <c r="AG49" s="487">
        <v>380</v>
      </c>
      <c r="AH49" s="487">
        <v>0</v>
      </c>
      <c r="AI49" s="489">
        <v>2291</v>
      </c>
      <c r="AJ49" s="491">
        <f t="shared" si="39"/>
        <v>0</v>
      </c>
      <c r="AK49" s="490" t="s">
        <v>196</v>
      </c>
      <c r="AL49" s="487">
        <v>1982</v>
      </c>
      <c r="AM49" s="487">
        <v>381</v>
      </c>
      <c r="AN49" s="487">
        <v>0</v>
      </c>
      <c r="AO49" s="489">
        <v>2363</v>
      </c>
      <c r="AP49" s="489">
        <f>AO49-AI49</f>
        <v>72</v>
      </c>
      <c r="AQ49" s="487" t="s">
        <v>196</v>
      </c>
      <c r="AR49" s="487">
        <v>748</v>
      </c>
      <c r="AS49" s="487">
        <v>118</v>
      </c>
      <c r="AT49" s="487">
        <v>19</v>
      </c>
      <c r="AU49" s="489">
        <v>885</v>
      </c>
      <c r="AV49" s="487">
        <f t="shared" si="47"/>
        <v>-1478</v>
      </c>
      <c r="AW49" s="490" t="s">
        <v>196</v>
      </c>
      <c r="AX49" s="487">
        <v>733</v>
      </c>
      <c r="AY49" s="487">
        <v>121</v>
      </c>
      <c r="AZ49" s="487">
        <v>19</v>
      </c>
      <c r="BA49" s="489">
        <v>873</v>
      </c>
      <c r="BB49" s="491">
        <f t="shared" si="48"/>
        <v>-12</v>
      </c>
      <c r="BC49" s="490" t="s">
        <v>196</v>
      </c>
      <c r="BD49" s="487">
        <v>833</v>
      </c>
      <c r="BE49" s="487">
        <v>136</v>
      </c>
      <c r="BF49" s="487">
        <v>19</v>
      </c>
      <c r="BG49" s="489">
        <v>988</v>
      </c>
      <c r="BH49" s="489">
        <f t="shared" si="49"/>
        <v>115</v>
      </c>
      <c r="BI49" s="487" t="s">
        <v>196</v>
      </c>
      <c r="BJ49" s="487">
        <v>833</v>
      </c>
      <c r="BK49" s="487">
        <v>156</v>
      </c>
      <c r="BL49" s="487">
        <v>19</v>
      </c>
      <c r="BM49" s="489">
        <v>1008</v>
      </c>
      <c r="BN49" s="489">
        <v>20</v>
      </c>
      <c r="BO49" s="487" t="s">
        <v>196</v>
      </c>
      <c r="BP49" s="487">
        <v>833</v>
      </c>
      <c r="BQ49" s="487">
        <v>150</v>
      </c>
      <c r="BR49" s="487">
        <v>19</v>
      </c>
      <c r="BS49" s="489">
        <v>1002</v>
      </c>
      <c r="BT49" s="489">
        <v>-6</v>
      </c>
      <c r="BU49" s="487" t="s">
        <v>196</v>
      </c>
      <c r="BV49" s="487">
        <v>833</v>
      </c>
      <c r="BW49" s="487">
        <v>150</v>
      </c>
      <c r="BX49" s="487">
        <v>19</v>
      </c>
      <c r="BY49" s="489">
        <v>1002</v>
      </c>
      <c r="BZ49" s="492">
        <v>0</v>
      </c>
      <c r="CA49" s="487" t="s">
        <v>196</v>
      </c>
      <c r="CB49" s="487">
        <v>833</v>
      </c>
      <c r="CC49" s="487">
        <v>150</v>
      </c>
      <c r="CD49" s="487">
        <v>19</v>
      </c>
      <c r="CE49" s="489">
        <v>1002</v>
      </c>
      <c r="CF49" s="492">
        <v>0</v>
      </c>
      <c r="CG49" s="487" t="s">
        <v>196</v>
      </c>
      <c r="CH49" s="487">
        <v>833</v>
      </c>
      <c r="CI49" s="487">
        <v>150</v>
      </c>
      <c r="CJ49" s="487">
        <v>19</v>
      </c>
      <c r="CK49" s="489">
        <v>1002</v>
      </c>
      <c r="CL49" s="491">
        <v>0</v>
      </c>
      <c r="CM49" s="487" t="s">
        <v>196</v>
      </c>
      <c r="CN49" s="487">
        <v>833</v>
      </c>
      <c r="CO49" s="487">
        <v>150</v>
      </c>
      <c r="CP49" s="487">
        <v>19</v>
      </c>
      <c r="CQ49" s="489">
        <v>1002</v>
      </c>
      <c r="CR49" s="491">
        <v>0</v>
      </c>
      <c r="CS49" s="488" t="s">
        <v>196</v>
      </c>
      <c r="CT49" s="487">
        <v>833</v>
      </c>
      <c r="CU49" s="487">
        <v>150</v>
      </c>
      <c r="CV49" s="487">
        <v>19</v>
      </c>
      <c r="CW49" s="489">
        <v>1002</v>
      </c>
      <c r="CX49" s="492">
        <v>0</v>
      </c>
      <c r="CY49" s="488" t="s">
        <v>196</v>
      </c>
      <c r="CZ49" s="487">
        <v>1012</v>
      </c>
      <c r="DA49" s="487">
        <v>170</v>
      </c>
      <c r="DB49" s="487">
        <v>21</v>
      </c>
      <c r="DC49" s="489">
        <v>1203</v>
      </c>
      <c r="DD49" s="492">
        <v>201</v>
      </c>
      <c r="DE49" s="488" t="s">
        <v>196</v>
      </c>
      <c r="DF49" s="487">
        <v>1550</v>
      </c>
      <c r="DG49" s="487">
        <v>349</v>
      </c>
      <c r="DH49" s="487">
        <v>40</v>
      </c>
      <c r="DI49" s="489">
        <v>1939</v>
      </c>
      <c r="DJ49" s="492">
        <v>736</v>
      </c>
      <c r="DK49" s="488" t="s">
        <v>196</v>
      </c>
      <c r="DL49" s="487">
        <v>1513</v>
      </c>
      <c r="DM49" s="487">
        <v>80</v>
      </c>
      <c r="DN49" s="487">
        <v>5</v>
      </c>
      <c r="DO49" s="489">
        <v>1598</v>
      </c>
      <c r="DP49" s="492">
        <v>-341</v>
      </c>
      <c r="DR49" s="488" t="s">
        <v>196</v>
      </c>
      <c r="DS49" s="487">
        <v>796</v>
      </c>
      <c r="DT49" s="487">
        <v>185</v>
      </c>
      <c r="DU49" s="487">
        <v>8</v>
      </c>
      <c r="DV49" s="489">
        <v>989</v>
      </c>
      <c r="DW49" s="492">
        <v>1330</v>
      </c>
      <c r="DY49" s="488" t="s">
        <v>196</v>
      </c>
      <c r="DZ49" s="487">
        <f>GETPIVOTDATA("Individus",'Displacement &amp; Returns'!$D$158, "adm2_name","Mayo-Tsanaga","adm3_name",$DK49,"Statut déplacé","PDI")</f>
        <v>374</v>
      </c>
      <c r="EA49" s="487">
        <f>GETPIVOTDATA("Individus",'Displacement &amp; Returns'!$D$158, "adm2_name","Mayo-Tsanaga","adm3_name",$DK49,"Statut déplacé","Retournés")</f>
        <v>216</v>
      </c>
      <c r="EB49" s="487">
        <f>GETPIVOTDATA("Individus",'Displacement &amp; Returns'!$D$158, "adm2_name","Mayo-Tsanaga","adm3_name",$DE49,"Statut déplacé","Refugié hors camp")</f>
        <v>3</v>
      </c>
      <c r="EC49" s="489">
        <f t="shared" si="41"/>
        <v>593</v>
      </c>
      <c r="ED49" s="492">
        <f t="shared" si="42"/>
        <v>934</v>
      </c>
      <c r="EF49" s="488" t="s">
        <v>196</v>
      </c>
      <c r="EG49" s="487">
        <f t="shared" si="43"/>
        <v>-1139</v>
      </c>
      <c r="EH49" s="487">
        <f t="shared" si="43"/>
        <v>136</v>
      </c>
      <c r="EI49" s="487">
        <f t="shared" si="43"/>
        <v>-2</v>
      </c>
      <c r="EJ49" s="494">
        <f t="shared" si="44"/>
        <v>-1005</v>
      </c>
      <c r="EK49" s="1191"/>
      <c r="EL49" s="1191"/>
      <c r="EM49" s="1191"/>
    </row>
    <row r="50" spans="2:143" s="507" customFormat="1" ht="15" thickBot="1" x14ac:dyDescent="0.35">
      <c r="B50" s="500" t="s">
        <v>25</v>
      </c>
      <c r="C50" s="501">
        <v>198889</v>
      </c>
      <c r="D50" s="501">
        <v>36068</v>
      </c>
      <c r="E50" s="501">
        <v>26743</v>
      </c>
      <c r="F50" s="502">
        <v>261700</v>
      </c>
      <c r="G50" s="500" t="s">
        <v>25</v>
      </c>
      <c r="H50" s="501">
        <v>191908</v>
      </c>
      <c r="I50" s="501">
        <v>35665</v>
      </c>
      <c r="J50" s="501">
        <v>23430</v>
      </c>
      <c r="K50" s="502">
        <v>251003</v>
      </c>
      <c r="L50" s="503">
        <f t="shared" si="10"/>
        <v>-10697</v>
      </c>
      <c r="M50" s="500" t="s">
        <v>25</v>
      </c>
      <c r="N50" s="501">
        <v>223642</v>
      </c>
      <c r="O50" s="501">
        <v>43435</v>
      </c>
      <c r="P50" s="501">
        <v>30593</v>
      </c>
      <c r="Q50" s="502">
        <v>297670</v>
      </c>
      <c r="R50" s="480">
        <v>46667</v>
      </c>
      <c r="S50" s="500" t="s">
        <v>25</v>
      </c>
      <c r="T50" s="501">
        <v>228443</v>
      </c>
      <c r="U50" s="501">
        <v>58027</v>
      </c>
      <c r="V50" s="501">
        <v>32459</v>
      </c>
      <c r="W50" s="502">
        <v>318929</v>
      </c>
      <c r="X50" s="480">
        <f>W50-Q50</f>
        <v>21259</v>
      </c>
      <c r="Y50" s="500" t="s">
        <v>25</v>
      </c>
      <c r="Z50" s="501">
        <v>235913</v>
      </c>
      <c r="AA50" s="501">
        <v>59398</v>
      </c>
      <c r="AB50" s="501">
        <v>30278</v>
      </c>
      <c r="AC50" s="502">
        <v>325589</v>
      </c>
      <c r="AD50" s="480">
        <f>AC50-W50</f>
        <v>6660</v>
      </c>
      <c r="AE50" s="504" t="s">
        <v>25</v>
      </c>
      <c r="AF50" s="501">
        <v>237967</v>
      </c>
      <c r="AG50" s="501">
        <v>61090</v>
      </c>
      <c r="AH50" s="501">
        <v>29728</v>
      </c>
      <c r="AI50" s="502">
        <v>328785</v>
      </c>
      <c r="AJ50" s="505">
        <f t="shared" si="39"/>
        <v>-315</v>
      </c>
      <c r="AK50" s="504" t="s">
        <v>25</v>
      </c>
      <c r="AL50" s="501">
        <f>SUM(AL3:AL49)</f>
        <v>241987</v>
      </c>
      <c r="AM50" s="501">
        <f>SUM(AM3:AM49)</f>
        <v>63692</v>
      </c>
      <c r="AN50" s="501">
        <f>SUM(AN3:AN49)</f>
        <v>29337</v>
      </c>
      <c r="AO50" s="502">
        <f>SUM(AO3:AO49)</f>
        <v>335016</v>
      </c>
      <c r="AP50" s="502">
        <f xml:space="preserve"> AO50-AI50</f>
        <v>6231</v>
      </c>
      <c r="AQ50" s="501" t="s">
        <v>25</v>
      </c>
      <c r="AR50" s="501">
        <v>241030</v>
      </c>
      <c r="AS50" s="501">
        <v>69730</v>
      </c>
      <c r="AT50" s="501">
        <v>31656</v>
      </c>
      <c r="AU50" s="502">
        <v>342416</v>
      </c>
      <c r="AV50" s="502">
        <f xml:space="preserve"> AU50-AO50</f>
        <v>7400</v>
      </c>
      <c r="AW50" s="504" t="s">
        <v>25</v>
      </c>
      <c r="AX50" s="501">
        <v>238099</v>
      </c>
      <c r="AY50" s="501">
        <v>83141</v>
      </c>
      <c r="AZ50" s="501">
        <v>31681</v>
      </c>
      <c r="BA50" s="502">
        <v>352921</v>
      </c>
      <c r="BB50" s="484">
        <f>BA50-AU50</f>
        <v>10505</v>
      </c>
      <c r="BC50" s="504" t="s">
        <v>25</v>
      </c>
      <c r="BD50" s="501">
        <f>SUM(BD4:BD49)</f>
        <v>227581</v>
      </c>
      <c r="BE50" s="501">
        <f>SUM(BE4:BE49)</f>
        <v>92238</v>
      </c>
      <c r="BF50" s="501">
        <f>SUM(BF4:BF49)</f>
        <v>39403</v>
      </c>
      <c r="BG50" s="501">
        <f>SUM(BG4:BG49)</f>
        <v>359222</v>
      </c>
      <c r="BH50" s="505">
        <f>BG50-BA50</f>
        <v>6301</v>
      </c>
      <c r="BI50" s="501" t="s">
        <v>25</v>
      </c>
      <c r="BJ50" s="501">
        <v>244347</v>
      </c>
      <c r="BK50" s="501">
        <v>100925</v>
      </c>
      <c r="BL50" s="501">
        <v>41763</v>
      </c>
      <c r="BM50" s="502">
        <v>387035</v>
      </c>
      <c r="BN50" s="502">
        <v>27813</v>
      </c>
      <c r="BO50" s="501" t="s">
        <v>25</v>
      </c>
      <c r="BP50" s="501">
        <v>245725</v>
      </c>
      <c r="BQ50" s="501">
        <v>105906</v>
      </c>
      <c r="BR50" s="501">
        <v>40396</v>
      </c>
      <c r="BS50" s="502">
        <v>392027</v>
      </c>
      <c r="BT50" s="502">
        <v>4992</v>
      </c>
      <c r="BU50" s="504" t="s">
        <v>25</v>
      </c>
      <c r="BV50" s="501">
        <v>253813</v>
      </c>
      <c r="BW50" s="501">
        <v>109083</v>
      </c>
      <c r="BX50" s="501">
        <v>79787</v>
      </c>
      <c r="BY50" s="502">
        <v>442683</v>
      </c>
      <c r="BZ50" s="505">
        <v>50656</v>
      </c>
      <c r="CA50" s="504" t="s">
        <v>25</v>
      </c>
      <c r="CB50" s="501">
        <v>262831</v>
      </c>
      <c r="CC50" s="501">
        <v>110023</v>
      </c>
      <c r="CD50" s="501">
        <v>50981</v>
      </c>
      <c r="CE50" s="502">
        <v>423835</v>
      </c>
      <c r="CF50" s="505">
        <v>-18848</v>
      </c>
      <c r="CG50" s="501" t="s">
        <v>25</v>
      </c>
      <c r="CH50" s="501">
        <v>270870</v>
      </c>
      <c r="CI50" s="501">
        <v>110574</v>
      </c>
      <c r="CJ50" s="501">
        <v>46845</v>
      </c>
      <c r="CK50" s="502">
        <v>428289</v>
      </c>
      <c r="CL50" s="505">
        <v>4454</v>
      </c>
      <c r="CM50" s="501" t="s">
        <v>25</v>
      </c>
      <c r="CN50" s="501">
        <v>297380</v>
      </c>
      <c r="CO50" s="501">
        <v>116979</v>
      </c>
      <c r="CP50" s="501">
        <v>47305</v>
      </c>
      <c r="CQ50" s="502">
        <v>461664</v>
      </c>
      <c r="CR50" s="505">
        <v>33375</v>
      </c>
      <c r="CS50" s="500" t="s">
        <v>25</v>
      </c>
      <c r="CT50" s="501">
        <v>321886</v>
      </c>
      <c r="CU50" s="501">
        <v>123489</v>
      </c>
      <c r="CV50" s="501">
        <v>48769</v>
      </c>
      <c r="CW50" s="502">
        <v>494144</v>
      </c>
      <c r="CX50" s="505">
        <v>32480</v>
      </c>
      <c r="CY50" s="500" t="s">
        <v>25</v>
      </c>
      <c r="CZ50" s="501">
        <v>341535</v>
      </c>
      <c r="DA50" s="501">
        <v>124310</v>
      </c>
      <c r="DB50" s="501">
        <v>48902</v>
      </c>
      <c r="DC50" s="502">
        <v>514747</v>
      </c>
      <c r="DD50" s="505">
        <v>20603</v>
      </c>
      <c r="DE50" s="500" t="s">
        <v>25</v>
      </c>
      <c r="DF50" s="480">
        <v>357631</v>
      </c>
      <c r="DG50" s="480">
        <v>135257</v>
      </c>
      <c r="DH50" s="480">
        <v>51997</v>
      </c>
      <c r="DI50" s="480">
        <v>544885</v>
      </c>
      <c r="DJ50" s="480">
        <v>30138</v>
      </c>
      <c r="DK50" s="500" t="s">
        <v>25</v>
      </c>
      <c r="DL50" s="500">
        <v>377877</v>
      </c>
      <c r="DM50" s="500">
        <v>130690</v>
      </c>
      <c r="DN50" s="500">
        <v>49564</v>
      </c>
      <c r="DO50" s="500">
        <v>558131</v>
      </c>
      <c r="DP50" s="500">
        <v>13246</v>
      </c>
      <c r="DQ50" s="1135"/>
      <c r="DR50" s="500" t="s">
        <v>25</v>
      </c>
      <c r="DS50" s="500">
        <v>385372</v>
      </c>
      <c r="DT50" s="500">
        <v>138152</v>
      </c>
      <c r="DU50" s="500">
        <v>49660</v>
      </c>
      <c r="DV50" s="500">
        <v>573184</v>
      </c>
      <c r="DW50" s="500">
        <v>559938</v>
      </c>
      <c r="DX50" s="1135"/>
      <c r="DY50" s="500" t="s">
        <v>25</v>
      </c>
      <c r="DZ50" s="500">
        <f>SUM(DZ42,DZ38,DZ32,DZ23,DZ12,DZ3)</f>
        <v>427833</v>
      </c>
      <c r="EA50" s="500">
        <f>SUM(EA42,EA38,EA32,EA23,EA12,EA3)</f>
        <v>203166</v>
      </c>
      <c r="EB50" s="500">
        <f>SUM(EB42,EB38,EB32,EB23,EB12,EB3)</f>
        <v>49513</v>
      </c>
      <c r="EC50" s="500">
        <f>SUM(EC42,EC38,EC32,EC23,EC12,EC3)</f>
        <v>680512</v>
      </c>
      <c r="ED50" s="500">
        <f>SUM(ED42,ED38,ED32,ED23,ED12,ED3)</f>
        <v>667266</v>
      </c>
      <c r="EF50" s="500" t="s">
        <v>25</v>
      </c>
      <c r="EG50" s="506">
        <f>SUM(EG42,EG38,EG32,EG23,EG12,EG3)</f>
        <v>49853</v>
      </c>
      <c r="EH50" s="506">
        <f>SUM(EH42,EH38,EH32,EH23,EH12,EH3)</f>
        <v>72476</v>
      </c>
      <c r="EI50" s="506">
        <f>SUM(EI42,EI38,EI32,EI23,EI12,EI3)</f>
        <v>-51</v>
      </c>
      <c r="EJ50" s="506">
        <f>SUM(EJ42,EJ38,EJ32,EJ23,EJ12,EJ3)</f>
        <v>122278</v>
      </c>
      <c r="EK50" s="1191"/>
      <c r="EL50" s="1191"/>
      <c r="EM50" s="1191"/>
    </row>
    <row r="51" spans="2:143" x14ac:dyDescent="0.3">
      <c r="BB51" s="508"/>
    </row>
    <row r="54" spans="2:143" x14ac:dyDescent="0.3">
      <c r="EB54" s="1191"/>
    </row>
    <row r="56" spans="2:143" x14ac:dyDescent="0.3">
      <c r="T56" s="509"/>
      <c r="AL56" s="509"/>
      <c r="AX56" s="509"/>
    </row>
  </sheetData>
  <mergeCells count="43">
    <mergeCell ref="EF1:EJ1"/>
    <mergeCell ref="DY1:EC1"/>
    <mergeCell ref="ED1:ED2"/>
    <mergeCell ref="DE1:DI1"/>
    <mergeCell ref="DJ1:DJ2"/>
    <mergeCell ref="DP1:DP2"/>
    <mergeCell ref="DR1:DV1"/>
    <mergeCell ref="DW1:DW2"/>
    <mergeCell ref="CS1:CW1"/>
    <mergeCell ref="CX1:CX2"/>
    <mergeCell ref="CY1:DC1"/>
    <mergeCell ref="DD1:DD2"/>
    <mergeCell ref="DK1:DO1"/>
    <mergeCell ref="CR1:CR2"/>
    <mergeCell ref="BI1:BM1"/>
    <mergeCell ref="BN1:BN2"/>
    <mergeCell ref="BO1:BS1"/>
    <mergeCell ref="BT1:BT2"/>
    <mergeCell ref="BU1:BY1"/>
    <mergeCell ref="BZ1:BZ2"/>
    <mergeCell ref="CA1:CE1"/>
    <mergeCell ref="CF1:CF2"/>
    <mergeCell ref="CG1:CK1"/>
    <mergeCell ref="CL1:CL2"/>
    <mergeCell ref="CM1:CQ1"/>
    <mergeCell ref="BH1:BH2"/>
    <mergeCell ref="Y1:AC1"/>
    <mergeCell ref="AD1:AD2"/>
    <mergeCell ref="AE1:AI1"/>
    <mergeCell ref="AJ1:AJ2"/>
    <mergeCell ref="AK1:AO1"/>
    <mergeCell ref="AP1:AP2"/>
    <mergeCell ref="AQ1:AU1"/>
    <mergeCell ref="AV1:AV2"/>
    <mergeCell ref="AW1:BA1"/>
    <mergeCell ref="BB1:BB2"/>
    <mergeCell ref="BC1:BG1"/>
    <mergeCell ref="X1:X2"/>
    <mergeCell ref="B1:F1"/>
    <mergeCell ref="G1:K1"/>
    <mergeCell ref="L1:L2"/>
    <mergeCell ref="M1:Q1"/>
    <mergeCell ref="S1:W1"/>
  </mergeCells>
  <pageMargins left="0.70866141732283505" right="0.70866141732283505" top="0.74803149606299202" bottom="0.74803149606299202" header="0.31496062992126" footer="0.31496062992126"/>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53" id="{A676E09D-0C98-4273-A931-F7B79797E8EB}">
            <x14:iconSet custom="1">
              <x14:cfvo type="percent">
                <xm:f>0</xm:f>
              </x14:cfvo>
              <x14:cfvo type="num">
                <xm:f>-990000</xm:f>
              </x14:cfvo>
              <x14:cfvo type="num">
                <xm:f>1</xm:f>
              </x14:cfvo>
              <x14:cfIcon iconSet="3TrafficLights1" iconId="0"/>
              <x14:cfIcon iconSet="3Arrows" iconId="0"/>
              <x14:cfIcon iconSet="3Arrows" iconId="2"/>
            </x14:iconSet>
          </x14:cfRule>
          <xm:sqref>L3:R3 L12:R12 L23:R23 L32:R32 L38:R38 L42:R42</xm:sqref>
        </x14:conditionalFormatting>
        <x14:conditionalFormatting xmlns:xm="http://schemas.microsoft.com/office/excel/2006/main">
          <x14:cfRule type="iconSet" priority="52" id="{38970753-F69D-4BA5-8FDB-E54EC021CB0A}">
            <x14:iconSet custom="1">
              <x14:cfvo type="percent">
                <xm:f>0</xm:f>
              </x14:cfvo>
              <x14:cfvo type="num">
                <xm:f>-990000</xm:f>
              </x14:cfvo>
              <x14:cfvo type="num">
                <xm:f>1</xm:f>
              </x14:cfvo>
              <x14:cfIcon iconSet="3TrafficLights1" iconId="0"/>
              <x14:cfIcon iconSet="3Arrows" iconId="0"/>
              <x14:cfIcon iconSet="3Arrows" iconId="2"/>
            </x14:iconSet>
          </x14:cfRule>
          <xm:sqref>X3:AD3 X12:AD12 X23:AD23 X32:AD32 X38:AD38 X42:AD42</xm:sqref>
        </x14:conditionalFormatting>
        <x14:conditionalFormatting xmlns:xm="http://schemas.microsoft.com/office/excel/2006/main">
          <x14:cfRule type="iconSet" priority="50" id="{76DB869C-B5D2-480D-8A2D-9BF54840C925}">
            <x14:iconSet custom="1">
              <x14:cfvo type="percent">
                <xm:f>0</xm:f>
              </x14:cfvo>
              <x14:cfvo type="num">
                <xm:f>-990000</xm:f>
              </x14:cfvo>
              <x14:cfvo type="num">
                <xm:f>1</xm:f>
              </x14:cfvo>
              <x14:cfIcon iconSet="3TrafficLights1" iconId="0"/>
              <x14:cfIcon iconSet="3Arrows" iconId="0"/>
              <x14:cfIcon iconSet="3Arrows" iconId="2"/>
            </x14:iconSet>
          </x14:cfRule>
          <xm:sqref>AJ3 AJ12 AJ23 AJ32 AJ38 AJ42</xm:sqref>
        </x14:conditionalFormatting>
        <x14:conditionalFormatting xmlns:xm="http://schemas.microsoft.com/office/excel/2006/main">
          <x14:cfRule type="iconSet" priority="51" id="{9965CFC6-EFD7-45DC-BCE7-3E3608C5ADD1}">
            <x14:iconSet custom="1">
              <x14:cfvo type="percent">
                <xm:f>0</xm:f>
              </x14:cfvo>
              <x14:cfvo type="num">
                <xm:f>-990000</xm:f>
              </x14:cfvo>
              <x14:cfvo type="num">
                <xm:f>1</xm:f>
              </x14:cfvo>
              <x14:cfIcon iconSet="3TrafficLights1" iconId="0"/>
              <x14:cfIcon iconSet="3Arrows" iconId="0"/>
              <x14:cfIcon iconSet="3Arrows" iconId="2"/>
            </x14:iconSet>
          </x14:cfRule>
          <xm:sqref>AP3:AV3 AP12:AV12 AP23:AV23 AP32:AV32 AP38:AV38 AP42:AV42</xm:sqref>
        </x14:conditionalFormatting>
        <x14:conditionalFormatting xmlns:xm="http://schemas.microsoft.com/office/excel/2006/main">
          <x14:cfRule type="iconSet" priority="1464" id="{EA7D6077-9361-4C6A-9961-DF7186ADE011}">
            <x14:iconSet custom="1">
              <x14:cfvo type="percent">
                <xm:f>0</xm:f>
              </x14:cfvo>
              <x14:cfvo type="num">
                <xm:f>-990000</xm:f>
              </x14:cfvo>
              <x14:cfvo type="num">
                <xm:f>1</xm:f>
              </x14:cfvo>
              <x14:cfIcon iconSet="3TrafficLights1" iconId="0"/>
              <x14:cfIcon iconSet="3Arrows" iconId="0"/>
              <x14:cfIcon iconSet="3Arrows" iconId="2"/>
            </x14:iconSet>
          </x14:cfRule>
          <xm:sqref>BB3 BB12 BB23 BB32 BB38 BB42</xm:sqref>
        </x14:conditionalFormatting>
        <x14:conditionalFormatting xmlns:xm="http://schemas.microsoft.com/office/excel/2006/main">
          <x14:cfRule type="iconSet" priority="49" id="{461CDAE9-89A0-4783-8171-670C18060958}">
            <x14:iconSet custom="1">
              <x14:cfvo type="percent">
                <xm:f>0</xm:f>
              </x14:cfvo>
              <x14:cfvo type="num">
                <xm:f>-990000</xm:f>
              </x14:cfvo>
              <x14:cfvo type="num">
                <xm:f>1</xm:f>
              </x14:cfvo>
              <x14:cfIcon iconSet="3TrafficLights1" iconId="0"/>
              <x14:cfIcon iconSet="3Arrows" iconId="0"/>
              <x14:cfIcon iconSet="3Arrows" iconId="2"/>
            </x14:iconSet>
          </x14:cfRule>
          <xm:sqref>BH3:BT3 BH12:BT12 BH23:BT23 BH32:BT32 BH38:BT38 BH42:BT42</xm:sqref>
        </x14:conditionalFormatting>
        <x14:conditionalFormatting xmlns:xm="http://schemas.microsoft.com/office/excel/2006/main">
          <x14:cfRule type="iconSet" priority="43" id="{B2944F55-B65E-46C9-8839-24319041BF51}">
            <x14:iconSet custom="1">
              <x14:cfvo type="percent">
                <xm:f>0</xm:f>
              </x14:cfvo>
              <x14:cfvo type="num">
                <xm:f>-990000</xm:f>
              </x14:cfvo>
              <x14:cfvo type="num">
                <xm:f>1</xm:f>
              </x14:cfvo>
              <x14:cfIcon iconSet="3TrafficLights1" iconId="0"/>
              <x14:cfIcon iconSet="3Arrows" iconId="0"/>
              <x14:cfIcon iconSet="3Arrows" iconId="2"/>
            </x14:iconSet>
          </x14:cfRule>
          <xm:sqref>BU3 BU12 BU23 BU32 BU38 BU42</xm:sqref>
        </x14:conditionalFormatting>
        <x14:conditionalFormatting xmlns:xm="http://schemas.microsoft.com/office/excel/2006/main">
          <x14:cfRule type="iconSet" priority="42" id="{DACF8BC2-714A-45EA-83F5-3A3DD0EAB16C}">
            <x14:iconSet custom="1">
              <x14:cfvo type="percent">
                <xm:f>0</xm:f>
              </x14:cfvo>
              <x14:cfvo type="num">
                <xm:f>-990000</xm:f>
              </x14:cfvo>
              <x14:cfvo type="num">
                <xm:f>1</xm:f>
              </x14:cfvo>
              <x14:cfIcon iconSet="3TrafficLights1" iconId="0"/>
              <x14:cfIcon iconSet="3Arrows" iconId="0"/>
              <x14:cfIcon iconSet="3Arrows" iconId="2"/>
            </x14:iconSet>
          </x14:cfRule>
          <xm:sqref>BZ3 BZ12 BZ23 BZ32 BZ38 BZ42</xm:sqref>
        </x14:conditionalFormatting>
        <x14:conditionalFormatting xmlns:xm="http://schemas.microsoft.com/office/excel/2006/main">
          <x14:cfRule type="iconSet" priority="41" id="{ACD4CD1D-E791-47A6-A91A-8B9B608A8361}">
            <x14:iconSet custom="1">
              <x14:cfvo type="percent">
                <xm:f>0</xm:f>
              </x14:cfvo>
              <x14:cfvo type="num">
                <xm:f>-990000</xm:f>
              </x14:cfvo>
              <x14:cfvo type="num">
                <xm:f>1</xm:f>
              </x14:cfvo>
              <x14:cfIcon iconSet="3TrafficLights1" iconId="0"/>
              <x14:cfIcon iconSet="3Arrows" iconId="0"/>
              <x14:cfIcon iconSet="3Arrows" iconId="2"/>
            </x14:iconSet>
          </x14:cfRule>
          <xm:sqref>CA3 CA12 CA23 CA32 CA38 CA42</xm:sqref>
        </x14:conditionalFormatting>
        <x14:conditionalFormatting xmlns:xm="http://schemas.microsoft.com/office/excel/2006/main">
          <x14:cfRule type="iconSet" priority="40" id="{EC6C82C5-CA75-4B45-8006-345C7ECC1571}">
            <x14:iconSet custom="1">
              <x14:cfvo type="percent">
                <xm:f>0</xm:f>
              </x14:cfvo>
              <x14:cfvo type="num">
                <xm:f>-990000</xm:f>
              </x14:cfvo>
              <x14:cfvo type="num">
                <xm:f>1</xm:f>
              </x14:cfvo>
              <x14:cfIcon iconSet="3TrafficLights1" iconId="0"/>
              <x14:cfIcon iconSet="3Arrows" iconId="0"/>
              <x14:cfIcon iconSet="3Arrows" iconId="2"/>
            </x14:iconSet>
          </x14:cfRule>
          <xm:sqref>CF3 CF12 CF23 CF32 CF38 CF42</xm:sqref>
        </x14:conditionalFormatting>
        <x14:conditionalFormatting xmlns:xm="http://schemas.microsoft.com/office/excel/2006/main">
          <x14:cfRule type="iconSet" priority="39" id="{7FFC982C-0370-4D91-9695-1A928869824C}">
            <x14:iconSet custom="1">
              <x14:cfvo type="percent">
                <xm:f>0</xm:f>
              </x14:cfvo>
              <x14:cfvo type="num">
                <xm:f>-990000</xm:f>
              </x14:cfvo>
              <x14:cfvo type="num">
                <xm:f>1</xm:f>
              </x14:cfvo>
              <x14:cfIcon iconSet="3TrafficLights1" iconId="0"/>
              <x14:cfIcon iconSet="3Arrows" iconId="0"/>
              <x14:cfIcon iconSet="3Arrows" iconId="2"/>
            </x14:iconSet>
          </x14:cfRule>
          <xm:sqref>CG3 CG12 CG23 CG32 CG38 CG42</xm:sqref>
        </x14:conditionalFormatting>
        <x14:conditionalFormatting xmlns:xm="http://schemas.microsoft.com/office/excel/2006/main">
          <x14:cfRule type="iconSet" priority="38" id="{6276FE90-3D97-4B26-A764-3D123F5E9F77}">
            <x14:iconSet custom="1">
              <x14:cfvo type="percent">
                <xm:f>0</xm:f>
              </x14:cfvo>
              <x14:cfvo type="num">
                <xm:f>-990000</xm:f>
              </x14:cfvo>
              <x14:cfvo type="num">
                <xm:f>1</xm:f>
              </x14:cfvo>
              <x14:cfIcon iconSet="3TrafficLights1" iconId="0"/>
              <x14:cfIcon iconSet="3Arrows" iconId="0"/>
              <x14:cfIcon iconSet="3Arrows" iconId="2"/>
            </x14:iconSet>
          </x14:cfRule>
          <xm:sqref>CL3 CL12 CL23 CL32 CL38 CL42</xm:sqref>
        </x14:conditionalFormatting>
        <x14:conditionalFormatting xmlns:xm="http://schemas.microsoft.com/office/excel/2006/main">
          <x14:cfRule type="iconSet" priority="37" id="{CCAB99B2-4CD3-44AC-ABE4-5590C83F82B9}">
            <x14:iconSet custom="1">
              <x14:cfvo type="percent">
                <xm:f>0</xm:f>
              </x14:cfvo>
              <x14:cfvo type="num">
                <xm:f>-990000</xm:f>
              </x14:cfvo>
              <x14:cfvo type="num">
                <xm:f>1</xm:f>
              </x14:cfvo>
              <x14:cfIcon iconSet="3TrafficLights1" iconId="0"/>
              <x14:cfIcon iconSet="3Arrows" iconId="0"/>
              <x14:cfIcon iconSet="3Arrows" iconId="2"/>
            </x14:iconSet>
          </x14:cfRule>
          <xm:sqref>CM3 CM12 CM23 CM32 CM38 CM42</xm:sqref>
        </x14:conditionalFormatting>
        <x14:conditionalFormatting xmlns:xm="http://schemas.microsoft.com/office/excel/2006/main">
          <x14:cfRule type="iconSet" priority="36" id="{0E93F431-CF47-4BB1-93FE-97540EC5BF14}">
            <x14:iconSet custom="1">
              <x14:cfvo type="percent">
                <xm:f>0</xm:f>
              </x14:cfvo>
              <x14:cfvo type="num">
                <xm:f>-990000</xm:f>
              </x14:cfvo>
              <x14:cfvo type="num">
                <xm:f>1</xm:f>
              </x14:cfvo>
              <x14:cfIcon iconSet="3TrafficLights1" iconId="0"/>
              <x14:cfIcon iconSet="3Arrows" iconId="0"/>
              <x14:cfIcon iconSet="3Arrows" iconId="2"/>
            </x14:iconSet>
          </x14:cfRule>
          <xm:sqref>CR3 CR12 CR23 CR32 CR38 CR42</xm:sqref>
        </x14:conditionalFormatting>
        <x14:conditionalFormatting xmlns:xm="http://schemas.microsoft.com/office/excel/2006/main">
          <x14:cfRule type="iconSet" priority="35" id="{11AFFEA2-49C2-42A3-B293-1F3A23EF3184}">
            <x14:iconSet custom="1">
              <x14:cfvo type="percent">
                <xm:f>0</xm:f>
              </x14:cfvo>
              <x14:cfvo type="num">
                <xm:f>-990000</xm:f>
              </x14:cfvo>
              <x14:cfvo type="num">
                <xm:f>1</xm:f>
              </x14:cfvo>
              <x14:cfIcon iconSet="3TrafficLights1" iconId="0"/>
              <x14:cfIcon iconSet="3Arrows" iconId="0"/>
              <x14:cfIcon iconSet="3Arrows" iconId="2"/>
            </x14:iconSet>
          </x14:cfRule>
          <xm:sqref>CX3 CX12 CX23 CX32 CX38 CX42</xm:sqref>
        </x14:conditionalFormatting>
        <x14:conditionalFormatting xmlns:xm="http://schemas.microsoft.com/office/excel/2006/main">
          <x14:cfRule type="iconSet" priority="34" id="{03878880-3BCF-4ECE-A961-DAB49C6F712B}">
            <x14:iconSet custom="1">
              <x14:cfvo type="percent">
                <xm:f>0</xm:f>
              </x14:cfvo>
              <x14:cfvo type="num">
                <xm:f>-990000</xm:f>
              </x14:cfvo>
              <x14:cfvo type="num">
                <xm:f>1</xm:f>
              </x14:cfvo>
              <x14:cfIcon iconSet="3TrafficLights1" iconId="0"/>
              <x14:cfIcon iconSet="3Arrows" iconId="0"/>
              <x14:cfIcon iconSet="3Arrows" iconId="2"/>
            </x14:iconSet>
          </x14:cfRule>
          <xm:sqref>DD3 DD12 DD23 DD32 DD38 DD42</xm:sqref>
        </x14:conditionalFormatting>
        <x14:conditionalFormatting xmlns:xm="http://schemas.microsoft.com/office/excel/2006/main">
          <x14:cfRule type="iconSet" priority="44" id="{53E958A1-59A7-40A0-88B9-7B8DE8DF0935}">
            <x14:iconSet custom="1">
              <x14:cfvo type="percent">
                <xm:f>0</xm:f>
              </x14:cfvo>
              <x14:cfvo type="num">
                <xm:f>-990000</xm:f>
              </x14:cfvo>
              <x14:cfvo type="num">
                <xm:f>1</xm:f>
              </x14:cfvo>
              <x14:cfIcon iconSet="3TrafficLights1" iconId="0"/>
              <x14:cfIcon iconSet="3Arrows" iconId="0"/>
              <x14:cfIcon iconSet="3Arrows" iconId="2"/>
            </x14:iconSet>
          </x14:cfRule>
          <xm:sqref>DJ3 DJ12 DJ23 DJ32 DJ38 DJ42</xm:sqref>
        </x14:conditionalFormatting>
        <x14:conditionalFormatting xmlns:xm="http://schemas.microsoft.com/office/excel/2006/main">
          <x14:cfRule type="iconSet" priority="1471" id="{C0EB9862-B270-4BE7-9D13-E202C4455A31}">
            <x14:iconSet custom="1">
              <x14:cfvo type="percent">
                <xm:f>0</xm:f>
              </x14:cfvo>
              <x14:cfvo type="num">
                <xm:f>-990000</xm:f>
              </x14:cfvo>
              <x14:cfvo type="num">
                <xm:f>1</xm:f>
              </x14:cfvo>
              <x14:cfIcon iconSet="3TrafficLights1" iconId="0"/>
              <x14:cfIcon iconSet="3Arrows" iconId="0"/>
              <x14:cfIcon iconSet="3Arrows" iconId="2"/>
            </x14:iconSet>
          </x14:cfRule>
          <xm:sqref>DP3:DQ3 DP12:DQ12 DP23:DQ23 DP32:DQ32 DP38:DQ38 DP42:DQ42 DX3 DX12 DX23 DX32 DX38 DX42</xm:sqref>
        </x14:conditionalFormatting>
        <x14:conditionalFormatting xmlns:xm="http://schemas.microsoft.com/office/excel/2006/main">
          <x14:cfRule type="iconSet" priority="25" id="{627D31A7-6FC9-4E6F-BB58-C6446F0CC9C3}">
            <x14:iconSet custom="1">
              <x14:cfvo type="percent">
                <xm:f>0</xm:f>
              </x14:cfvo>
              <x14:cfvo type="num">
                <xm:f>-990000</xm:f>
              </x14:cfvo>
              <x14:cfvo type="num">
                <xm:f>1</xm:f>
              </x14:cfvo>
              <x14:cfIcon iconSet="3TrafficLights1" iconId="0"/>
              <x14:cfIcon iconSet="3Arrows" iconId="0"/>
              <x14:cfIcon iconSet="3Arrows" iconId="2"/>
            </x14:iconSet>
          </x14:cfRule>
          <xm:sqref>DW3 DW12 DW23 DW32 DW38 DW42</xm:sqref>
        </x14:conditionalFormatting>
        <x14:conditionalFormatting xmlns:xm="http://schemas.microsoft.com/office/excel/2006/main">
          <x14:cfRule type="iconSet" priority="26" id="{4B47C0A9-7F62-46F8-A0BA-1995C8EEA73E}">
            <x14:iconSet custom="1">
              <x14:cfvo type="percent">
                <xm:f>0</xm:f>
              </x14:cfvo>
              <x14:cfvo type="num">
                <xm:f>-990000</xm:f>
              </x14:cfvo>
              <x14:cfvo type="num">
                <xm:f>1</xm:f>
              </x14:cfvo>
              <x14:cfIcon iconSet="3TrafficLights1" iconId="0"/>
              <x14:cfIcon iconSet="3Arrows" iconId="0"/>
              <x14:cfIcon iconSet="3Arrows" iconId="2"/>
            </x14:iconSet>
          </x14:cfRule>
          <xm:sqref>ED3 ED12 ED23 ED32 ED38 ED42</xm:sqref>
        </x14:conditionalFormatting>
        <x14:conditionalFormatting xmlns:xm="http://schemas.microsoft.com/office/excel/2006/main">
          <x14:cfRule type="iconSet" priority="3" id="{1ABFA45F-6C89-4122-96CA-7587AFFEB6F5}">
            <x14:iconSet custom="1">
              <x14:cfvo type="percent">
                <xm:f>0</xm:f>
              </x14:cfvo>
              <x14:cfvo type="num">
                <xm:f>-990000</xm:f>
              </x14:cfvo>
              <x14:cfvo type="num">
                <xm:f>1</xm:f>
              </x14:cfvo>
              <x14:cfIcon iconSet="3TrafficLights1" iconId="0"/>
              <x14:cfIcon iconSet="3Arrows" iconId="0"/>
              <x14:cfIcon iconSet="3Arrows" iconId="2"/>
            </x14:iconSet>
          </x14:cfRule>
          <xm:sqref>EG3</xm:sqref>
        </x14:conditionalFormatting>
        <x14:conditionalFormatting xmlns:xm="http://schemas.microsoft.com/office/excel/2006/main">
          <x14:cfRule type="iconSet" priority="6" id="{E9652232-48D1-4C90-84B2-E5213920F83A}">
            <x14:iconSet custom="1">
              <x14:cfvo type="percent">
                <xm:f>0</xm:f>
              </x14:cfvo>
              <x14:cfvo type="num">
                <xm:f>-990000</xm:f>
              </x14:cfvo>
              <x14:cfvo type="num">
                <xm:f>1</xm:f>
              </x14:cfvo>
              <x14:cfIcon iconSet="3TrafficLights1" iconId="0"/>
              <x14:cfIcon iconSet="3Arrows" iconId="0"/>
              <x14:cfIcon iconSet="3Arrows" iconId="2"/>
            </x14:iconSet>
          </x14:cfRule>
          <xm:sqref>EG12</xm:sqref>
        </x14:conditionalFormatting>
        <x14:conditionalFormatting xmlns:xm="http://schemas.microsoft.com/office/excel/2006/main">
          <x14:cfRule type="iconSet" priority="9" id="{22EFEFAA-479D-4EF2-A6BC-31CDEFD71D34}">
            <x14:iconSet custom="1">
              <x14:cfvo type="percent">
                <xm:f>0</xm:f>
              </x14:cfvo>
              <x14:cfvo type="num">
                <xm:f>-990000</xm:f>
              </x14:cfvo>
              <x14:cfvo type="num">
                <xm:f>1</xm:f>
              </x14:cfvo>
              <x14:cfIcon iconSet="3TrafficLights1" iconId="0"/>
              <x14:cfIcon iconSet="3Arrows" iconId="0"/>
              <x14:cfIcon iconSet="3Arrows" iconId="2"/>
            </x14:iconSet>
          </x14:cfRule>
          <xm:sqref>EG23</xm:sqref>
        </x14:conditionalFormatting>
        <x14:conditionalFormatting xmlns:xm="http://schemas.microsoft.com/office/excel/2006/main">
          <x14:cfRule type="iconSet" priority="10" id="{C6528085-302D-4F7D-8629-0F35DE48BBDA}">
            <x14:iconSet custom="1">
              <x14:cfvo type="percent">
                <xm:f>0</xm:f>
              </x14:cfvo>
              <x14:cfvo type="num">
                <xm:f>-990000</xm:f>
              </x14:cfvo>
              <x14:cfvo type="num">
                <xm:f>1</xm:f>
              </x14:cfvo>
              <x14:cfIcon iconSet="3TrafficLights1" iconId="0"/>
              <x14:cfIcon iconSet="3Arrows" iconId="0"/>
              <x14:cfIcon iconSet="3Arrows" iconId="2"/>
            </x14:iconSet>
          </x14:cfRule>
          <xm:sqref>EG32</xm:sqref>
        </x14:conditionalFormatting>
        <x14:conditionalFormatting xmlns:xm="http://schemas.microsoft.com/office/excel/2006/main">
          <x14:cfRule type="iconSet" priority="15" id="{7013E1C5-12D9-4843-9776-0EF65637B06D}">
            <x14:iconSet custom="1">
              <x14:cfvo type="percent">
                <xm:f>0</xm:f>
              </x14:cfvo>
              <x14:cfvo type="num">
                <xm:f>-990000</xm:f>
              </x14:cfvo>
              <x14:cfvo type="num">
                <xm:f>1</xm:f>
              </x14:cfvo>
              <x14:cfIcon iconSet="3TrafficLights1" iconId="0"/>
              <x14:cfIcon iconSet="3Arrows" iconId="0"/>
              <x14:cfIcon iconSet="3Arrows" iconId="2"/>
            </x14:iconSet>
          </x14:cfRule>
          <xm:sqref>EG38</xm:sqref>
        </x14:conditionalFormatting>
        <x14:conditionalFormatting xmlns:xm="http://schemas.microsoft.com/office/excel/2006/main">
          <x14:cfRule type="iconSet" priority="16" id="{E89E8D72-3FA1-48F7-BDFF-E2EA6DB8A97E}">
            <x14:iconSet custom="1">
              <x14:cfvo type="percent">
                <xm:f>0</xm:f>
              </x14:cfvo>
              <x14:cfvo type="num">
                <xm:f>-990000</xm:f>
              </x14:cfvo>
              <x14:cfvo type="num">
                <xm:f>1</xm:f>
              </x14:cfvo>
              <x14:cfIcon iconSet="3TrafficLights1" iconId="0"/>
              <x14:cfIcon iconSet="3Arrows" iconId="0"/>
              <x14:cfIcon iconSet="3Arrows" iconId="2"/>
            </x14:iconSet>
          </x14:cfRule>
          <xm:sqref>EG42</xm:sqref>
        </x14:conditionalFormatting>
        <x14:conditionalFormatting xmlns:xm="http://schemas.microsoft.com/office/excel/2006/main">
          <x14:cfRule type="iconSet" priority="31" id="{6D46B40E-91F1-4397-878E-E05A56C48431}">
            <x14:iconSet custom="1">
              <x14:cfvo type="percent">
                <xm:f>0</xm:f>
              </x14:cfvo>
              <x14:cfvo type="num">
                <xm:f>-990000</xm:f>
              </x14:cfvo>
              <x14:cfvo type="num">
                <xm:f>1</xm:f>
              </x14:cfvo>
              <x14:cfIcon iconSet="3TrafficLights1" iconId="0"/>
              <x14:cfIcon iconSet="3Arrows" iconId="0"/>
              <x14:cfIcon iconSet="3Arrows" iconId="2"/>
            </x14:iconSet>
          </x14:cfRule>
          <xm:sqref>EG50</xm:sqref>
        </x14:conditionalFormatting>
        <x14:conditionalFormatting xmlns:xm="http://schemas.microsoft.com/office/excel/2006/main">
          <x14:cfRule type="iconSet" priority="2" id="{AF7C4586-4BA1-4FD0-B53B-0FD097F35E4C}">
            <x14:iconSet custom="1">
              <x14:cfvo type="percent">
                <xm:f>0</xm:f>
              </x14:cfvo>
              <x14:cfvo type="num">
                <xm:f>-990000</xm:f>
              </x14:cfvo>
              <x14:cfvo type="num">
                <xm:f>1</xm:f>
              </x14:cfvo>
              <x14:cfIcon iconSet="3TrafficLights1" iconId="0"/>
              <x14:cfIcon iconSet="3Arrows" iconId="0"/>
              <x14:cfIcon iconSet="3Arrows" iconId="2"/>
            </x14:iconSet>
          </x14:cfRule>
          <xm:sqref>EH3</xm:sqref>
        </x14:conditionalFormatting>
        <x14:conditionalFormatting xmlns:xm="http://schemas.microsoft.com/office/excel/2006/main">
          <x14:cfRule type="iconSet" priority="5" id="{6A7A44EA-319F-4AB7-86FB-CB849D562CB3}">
            <x14:iconSet custom="1">
              <x14:cfvo type="percent">
                <xm:f>0</xm:f>
              </x14:cfvo>
              <x14:cfvo type="num">
                <xm:f>-990000</xm:f>
              </x14:cfvo>
              <x14:cfvo type="num">
                <xm:f>1</xm:f>
              </x14:cfvo>
              <x14:cfIcon iconSet="3TrafficLights1" iconId="0"/>
              <x14:cfIcon iconSet="3Arrows" iconId="0"/>
              <x14:cfIcon iconSet="3Arrows" iconId="2"/>
            </x14:iconSet>
          </x14:cfRule>
          <xm:sqref>EH12</xm:sqref>
        </x14:conditionalFormatting>
        <x14:conditionalFormatting xmlns:xm="http://schemas.microsoft.com/office/excel/2006/main">
          <x14:cfRule type="iconSet" priority="8" id="{BF8E0F50-E63E-4D0B-9039-E2A94A83FAE8}">
            <x14:iconSet custom="1">
              <x14:cfvo type="percent">
                <xm:f>0</xm:f>
              </x14:cfvo>
              <x14:cfvo type="num">
                <xm:f>-990000</xm:f>
              </x14:cfvo>
              <x14:cfvo type="num">
                <xm:f>1</xm:f>
              </x14:cfvo>
              <x14:cfIcon iconSet="3TrafficLights1" iconId="0"/>
              <x14:cfIcon iconSet="3Arrows" iconId="0"/>
              <x14:cfIcon iconSet="3Arrows" iconId="2"/>
            </x14:iconSet>
          </x14:cfRule>
          <xm:sqref>EH23</xm:sqref>
        </x14:conditionalFormatting>
        <x14:conditionalFormatting xmlns:xm="http://schemas.microsoft.com/office/excel/2006/main">
          <x14:cfRule type="iconSet" priority="11" id="{D688FB41-8116-4B6B-8D96-AC5920539528}">
            <x14:iconSet custom="1">
              <x14:cfvo type="percent">
                <xm:f>0</xm:f>
              </x14:cfvo>
              <x14:cfvo type="num">
                <xm:f>-990000</xm:f>
              </x14:cfvo>
              <x14:cfvo type="num">
                <xm:f>1</xm:f>
              </x14:cfvo>
              <x14:cfIcon iconSet="3TrafficLights1" iconId="0"/>
              <x14:cfIcon iconSet="3Arrows" iconId="0"/>
              <x14:cfIcon iconSet="3Arrows" iconId="2"/>
            </x14:iconSet>
          </x14:cfRule>
          <xm:sqref>EH32</xm:sqref>
        </x14:conditionalFormatting>
        <x14:conditionalFormatting xmlns:xm="http://schemas.microsoft.com/office/excel/2006/main">
          <x14:cfRule type="iconSet" priority="14" id="{AA4BB5D7-6A1C-4A63-A00F-69C0FBF8CAE5}">
            <x14:iconSet custom="1">
              <x14:cfvo type="percent">
                <xm:f>0</xm:f>
              </x14:cfvo>
              <x14:cfvo type="num">
                <xm:f>-990000</xm:f>
              </x14:cfvo>
              <x14:cfvo type="num">
                <xm:f>1</xm:f>
              </x14:cfvo>
              <x14:cfIcon iconSet="3TrafficLights1" iconId="0"/>
              <x14:cfIcon iconSet="3Arrows" iconId="0"/>
              <x14:cfIcon iconSet="3Arrows" iconId="2"/>
            </x14:iconSet>
          </x14:cfRule>
          <xm:sqref>EH38</xm:sqref>
        </x14:conditionalFormatting>
        <x14:conditionalFormatting xmlns:xm="http://schemas.microsoft.com/office/excel/2006/main">
          <x14:cfRule type="iconSet" priority="17" id="{25A4E341-ABE3-4EDB-9CE0-78E1149D4C71}">
            <x14:iconSet custom="1">
              <x14:cfvo type="percent">
                <xm:f>0</xm:f>
              </x14:cfvo>
              <x14:cfvo type="num">
                <xm:f>-990000</xm:f>
              </x14:cfvo>
              <x14:cfvo type="num">
                <xm:f>1</xm:f>
              </x14:cfvo>
              <x14:cfIcon iconSet="3TrafficLights1" iconId="0"/>
              <x14:cfIcon iconSet="3Arrows" iconId="0"/>
              <x14:cfIcon iconSet="3Arrows" iconId="2"/>
            </x14:iconSet>
          </x14:cfRule>
          <xm:sqref>EH42</xm:sqref>
        </x14:conditionalFormatting>
        <x14:conditionalFormatting xmlns:xm="http://schemas.microsoft.com/office/excel/2006/main">
          <x14:cfRule type="iconSet" priority="30" id="{65198959-3123-40E9-8A00-14269E42DCAE}">
            <x14:iconSet custom="1">
              <x14:cfvo type="percent">
                <xm:f>0</xm:f>
              </x14:cfvo>
              <x14:cfvo type="num">
                <xm:f>-990000</xm:f>
              </x14:cfvo>
              <x14:cfvo type="num">
                <xm:f>1</xm:f>
              </x14:cfvo>
              <x14:cfIcon iconSet="3TrafficLights1" iconId="0"/>
              <x14:cfIcon iconSet="3Arrows" iconId="0"/>
              <x14:cfIcon iconSet="3Arrows" iconId="2"/>
            </x14:iconSet>
          </x14:cfRule>
          <xm:sqref>EH50</xm:sqref>
        </x14:conditionalFormatting>
        <x14:conditionalFormatting xmlns:xm="http://schemas.microsoft.com/office/excel/2006/main">
          <x14:cfRule type="iconSet" priority="1" id="{E6BD6BD0-679B-4F82-94E6-68999CCFD1EE}">
            <x14:iconSet custom="1">
              <x14:cfvo type="percent">
                <xm:f>0</xm:f>
              </x14:cfvo>
              <x14:cfvo type="num">
                <xm:f>-990000</xm:f>
              </x14:cfvo>
              <x14:cfvo type="num">
                <xm:f>1</xm:f>
              </x14:cfvo>
              <x14:cfIcon iconSet="3TrafficLights1" iconId="0"/>
              <x14:cfIcon iconSet="3Arrows" iconId="0"/>
              <x14:cfIcon iconSet="3Arrows" iconId="2"/>
            </x14:iconSet>
          </x14:cfRule>
          <xm:sqref>EI3</xm:sqref>
        </x14:conditionalFormatting>
        <x14:conditionalFormatting xmlns:xm="http://schemas.microsoft.com/office/excel/2006/main">
          <x14:cfRule type="iconSet" priority="4" id="{A70C44A6-D3CB-4EE3-BA64-8EBD314CEC1F}">
            <x14:iconSet custom="1">
              <x14:cfvo type="percent">
                <xm:f>0</xm:f>
              </x14:cfvo>
              <x14:cfvo type="num">
                <xm:f>-990000</xm:f>
              </x14:cfvo>
              <x14:cfvo type="num">
                <xm:f>1</xm:f>
              </x14:cfvo>
              <x14:cfIcon iconSet="3TrafficLights1" iconId="0"/>
              <x14:cfIcon iconSet="3Arrows" iconId="0"/>
              <x14:cfIcon iconSet="3Arrows" iconId="2"/>
            </x14:iconSet>
          </x14:cfRule>
          <xm:sqref>EI12</xm:sqref>
        </x14:conditionalFormatting>
        <x14:conditionalFormatting xmlns:xm="http://schemas.microsoft.com/office/excel/2006/main">
          <x14:cfRule type="iconSet" priority="7" id="{BD5F393A-08AC-42AA-AEA3-CEC849FFDAFB}">
            <x14:iconSet custom="1">
              <x14:cfvo type="percent">
                <xm:f>0</xm:f>
              </x14:cfvo>
              <x14:cfvo type="num">
                <xm:f>-990000</xm:f>
              </x14:cfvo>
              <x14:cfvo type="num">
                <xm:f>1</xm:f>
              </x14:cfvo>
              <x14:cfIcon iconSet="3TrafficLights1" iconId="0"/>
              <x14:cfIcon iconSet="3Arrows" iconId="0"/>
              <x14:cfIcon iconSet="3Arrows" iconId="2"/>
            </x14:iconSet>
          </x14:cfRule>
          <xm:sqref>EI23</xm:sqref>
        </x14:conditionalFormatting>
        <x14:conditionalFormatting xmlns:xm="http://schemas.microsoft.com/office/excel/2006/main">
          <x14:cfRule type="iconSet" priority="12" id="{E6D9DD95-BAC3-4084-9BB1-721F12F03CF9}">
            <x14:iconSet custom="1">
              <x14:cfvo type="percent">
                <xm:f>0</xm:f>
              </x14:cfvo>
              <x14:cfvo type="num">
                <xm:f>-990000</xm:f>
              </x14:cfvo>
              <x14:cfvo type="num">
                <xm:f>1</xm:f>
              </x14:cfvo>
              <x14:cfIcon iconSet="3TrafficLights1" iconId="0"/>
              <x14:cfIcon iconSet="3Arrows" iconId="0"/>
              <x14:cfIcon iconSet="3Arrows" iconId="2"/>
            </x14:iconSet>
          </x14:cfRule>
          <xm:sqref>EI32</xm:sqref>
        </x14:conditionalFormatting>
        <x14:conditionalFormatting xmlns:xm="http://schemas.microsoft.com/office/excel/2006/main">
          <x14:cfRule type="iconSet" priority="13" id="{05FA2E70-5420-4BCB-BB68-CEC1EA907BB5}">
            <x14:iconSet custom="1">
              <x14:cfvo type="percent">
                <xm:f>0</xm:f>
              </x14:cfvo>
              <x14:cfvo type="num">
                <xm:f>-990000</xm:f>
              </x14:cfvo>
              <x14:cfvo type="num">
                <xm:f>1</xm:f>
              </x14:cfvo>
              <x14:cfIcon iconSet="3TrafficLights1" iconId="0"/>
              <x14:cfIcon iconSet="3Arrows" iconId="0"/>
              <x14:cfIcon iconSet="3Arrows" iconId="2"/>
            </x14:iconSet>
          </x14:cfRule>
          <xm:sqref>EI38</xm:sqref>
        </x14:conditionalFormatting>
        <x14:conditionalFormatting xmlns:xm="http://schemas.microsoft.com/office/excel/2006/main">
          <x14:cfRule type="iconSet" priority="18" id="{650FE946-2139-4FAD-BE9A-C31295095706}">
            <x14:iconSet custom="1">
              <x14:cfvo type="percent">
                <xm:f>0</xm:f>
              </x14:cfvo>
              <x14:cfvo type="num">
                <xm:f>-990000</xm:f>
              </x14:cfvo>
              <x14:cfvo type="num">
                <xm:f>1</xm:f>
              </x14:cfvo>
              <x14:cfIcon iconSet="3TrafficLights1" iconId="0"/>
              <x14:cfIcon iconSet="3Arrows" iconId="0"/>
              <x14:cfIcon iconSet="3Arrows" iconId="2"/>
            </x14:iconSet>
          </x14:cfRule>
          <xm:sqref>EI42</xm:sqref>
        </x14:conditionalFormatting>
        <x14:conditionalFormatting xmlns:xm="http://schemas.microsoft.com/office/excel/2006/main">
          <x14:cfRule type="iconSet" priority="29" id="{31520143-CBFC-4CF7-8441-31A0A50ADBC8}">
            <x14:iconSet custom="1">
              <x14:cfvo type="percent">
                <xm:f>0</xm:f>
              </x14:cfvo>
              <x14:cfvo type="num">
                <xm:f>-990000</xm:f>
              </x14:cfvo>
              <x14:cfvo type="num">
                <xm:f>1</xm:f>
              </x14:cfvo>
              <x14:cfIcon iconSet="3TrafficLights1" iconId="0"/>
              <x14:cfIcon iconSet="3Arrows" iconId="0"/>
              <x14:cfIcon iconSet="3Arrows" iconId="2"/>
            </x14:iconSet>
          </x14:cfRule>
          <xm:sqref>EI50</xm:sqref>
        </x14:conditionalFormatting>
        <x14:conditionalFormatting xmlns:xm="http://schemas.microsoft.com/office/excel/2006/main">
          <x14:cfRule type="iconSet" priority="24" id="{ED3616C5-5246-4AB2-8775-3335F4744EA5}">
            <x14:iconSet custom="1">
              <x14:cfvo type="percent">
                <xm:f>0</xm:f>
              </x14:cfvo>
              <x14:cfvo type="num">
                <xm:f>-990000</xm:f>
              </x14:cfvo>
              <x14:cfvo type="num">
                <xm:f>1</xm:f>
              </x14:cfvo>
              <x14:cfIcon iconSet="3TrafficLights1" iconId="0"/>
              <x14:cfIcon iconSet="3Arrows" iconId="0"/>
              <x14:cfIcon iconSet="3Arrows" iconId="2"/>
            </x14:iconSet>
          </x14:cfRule>
          <xm:sqref>EJ3</xm:sqref>
        </x14:conditionalFormatting>
        <x14:conditionalFormatting xmlns:xm="http://schemas.microsoft.com/office/excel/2006/main">
          <x14:cfRule type="iconSet" priority="23" id="{251B0A8D-0A9C-4CF0-8D70-FB7F1820B386}">
            <x14:iconSet custom="1">
              <x14:cfvo type="percent">
                <xm:f>0</xm:f>
              </x14:cfvo>
              <x14:cfvo type="num">
                <xm:f>-990000</xm:f>
              </x14:cfvo>
              <x14:cfvo type="num">
                <xm:f>1</xm:f>
              </x14:cfvo>
              <x14:cfIcon iconSet="3TrafficLights1" iconId="0"/>
              <x14:cfIcon iconSet="3Arrows" iconId="0"/>
              <x14:cfIcon iconSet="3Arrows" iconId="2"/>
            </x14:iconSet>
          </x14:cfRule>
          <xm:sqref>EJ12</xm:sqref>
        </x14:conditionalFormatting>
        <x14:conditionalFormatting xmlns:xm="http://schemas.microsoft.com/office/excel/2006/main">
          <x14:cfRule type="iconSet" priority="22" id="{6B3729FF-8B8E-4F8A-AD04-B3EA118FD14D}">
            <x14:iconSet custom="1">
              <x14:cfvo type="percent">
                <xm:f>0</xm:f>
              </x14:cfvo>
              <x14:cfvo type="num">
                <xm:f>-990000</xm:f>
              </x14:cfvo>
              <x14:cfvo type="num">
                <xm:f>1</xm:f>
              </x14:cfvo>
              <x14:cfIcon iconSet="3TrafficLights1" iconId="0"/>
              <x14:cfIcon iconSet="3Arrows" iconId="0"/>
              <x14:cfIcon iconSet="3Arrows" iconId="2"/>
            </x14:iconSet>
          </x14:cfRule>
          <xm:sqref>EJ23</xm:sqref>
        </x14:conditionalFormatting>
        <x14:conditionalFormatting xmlns:xm="http://schemas.microsoft.com/office/excel/2006/main">
          <x14:cfRule type="iconSet" priority="21" id="{B82D4FDD-6667-4165-AD7C-6B2870A33BA9}">
            <x14:iconSet custom="1">
              <x14:cfvo type="percent">
                <xm:f>0</xm:f>
              </x14:cfvo>
              <x14:cfvo type="num">
                <xm:f>-990000</xm:f>
              </x14:cfvo>
              <x14:cfvo type="num">
                <xm:f>1</xm:f>
              </x14:cfvo>
              <x14:cfIcon iconSet="3TrafficLights1" iconId="0"/>
              <x14:cfIcon iconSet="3Arrows" iconId="0"/>
              <x14:cfIcon iconSet="3Arrows" iconId="2"/>
            </x14:iconSet>
          </x14:cfRule>
          <xm:sqref>EJ32</xm:sqref>
        </x14:conditionalFormatting>
        <x14:conditionalFormatting xmlns:xm="http://schemas.microsoft.com/office/excel/2006/main">
          <x14:cfRule type="iconSet" priority="20" id="{27D0DD89-9796-4BF1-8203-30041C19EAAD}">
            <x14:iconSet custom="1">
              <x14:cfvo type="percent">
                <xm:f>0</xm:f>
              </x14:cfvo>
              <x14:cfvo type="num">
                <xm:f>-990000</xm:f>
              </x14:cfvo>
              <x14:cfvo type="num">
                <xm:f>1</xm:f>
              </x14:cfvo>
              <x14:cfIcon iconSet="3TrafficLights1" iconId="0"/>
              <x14:cfIcon iconSet="3Arrows" iconId="0"/>
              <x14:cfIcon iconSet="3Arrows" iconId="2"/>
            </x14:iconSet>
          </x14:cfRule>
          <xm:sqref>EJ38</xm:sqref>
        </x14:conditionalFormatting>
        <x14:conditionalFormatting xmlns:xm="http://schemas.microsoft.com/office/excel/2006/main">
          <x14:cfRule type="iconSet" priority="19" id="{840CDBD8-F1EB-419D-95F8-CBBE22806B7C}">
            <x14:iconSet custom="1">
              <x14:cfvo type="percent">
                <xm:f>0</xm:f>
              </x14:cfvo>
              <x14:cfvo type="num">
                <xm:f>-990000</xm:f>
              </x14:cfvo>
              <x14:cfvo type="num">
                <xm:f>1</xm:f>
              </x14:cfvo>
              <x14:cfIcon iconSet="3TrafficLights1" iconId="0"/>
              <x14:cfIcon iconSet="3Arrows" iconId="0"/>
              <x14:cfIcon iconSet="3Arrows" iconId="2"/>
            </x14:iconSet>
          </x14:cfRule>
          <xm:sqref>EJ42</xm:sqref>
        </x14:conditionalFormatting>
        <x14:conditionalFormatting xmlns:xm="http://schemas.microsoft.com/office/excel/2006/main">
          <x14:cfRule type="iconSet" priority="28" id="{92E60C91-EBE6-4790-A578-889D526FE31C}">
            <x14:iconSet custom="1">
              <x14:cfvo type="percent">
                <xm:f>0</xm:f>
              </x14:cfvo>
              <x14:cfvo type="num">
                <xm:f>-990000</xm:f>
              </x14:cfvo>
              <x14:cfvo type="num">
                <xm:f>1</xm:f>
              </x14:cfvo>
              <x14:cfIcon iconSet="3TrafficLights1" iconId="0"/>
              <x14:cfIcon iconSet="3Arrows" iconId="0"/>
              <x14:cfIcon iconSet="3Arrows" iconId="2"/>
            </x14:iconSet>
          </x14:cfRule>
          <xm:sqref>EJ50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C659-26C6-4CCE-A3B6-F2C8AF984D48}">
  <dimension ref="A1:C54"/>
  <sheetViews>
    <sheetView zoomScaleNormal="100" workbookViewId="0">
      <selection activeCell="B61" sqref="B61"/>
    </sheetView>
  </sheetViews>
  <sheetFormatPr defaultColWidth="10.77734375" defaultRowHeight="14.4" x14ac:dyDescent="0.3"/>
  <cols>
    <col min="1" max="1" width="20.77734375" customWidth="1"/>
    <col min="2" max="2" width="18.88671875" customWidth="1"/>
    <col min="3" max="3" width="20.77734375" customWidth="1"/>
  </cols>
  <sheetData>
    <row r="1" spans="1:3" ht="30.45" customHeight="1" x14ac:dyDescent="0.3">
      <c r="A1" s="996" t="s">
        <v>3419</v>
      </c>
      <c r="B1" s="996" t="s">
        <v>3375</v>
      </c>
      <c r="C1" s="996" t="s">
        <v>3376</v>
      </c>
    </row>
    <row r="2" spans="1:3" x14ac:dyDescent="0.3">
      <c r="A2" s="997" t="s">
        <v>30</v>
      </c>
      <c r="B2" s="497">
        <v>16742</v>
      </c>
      <c r="C2" s="497">
        <v>13305</v>
      </c>
    </row>
    <row r="3" spans="1:3" x14ac:dyDescent="0.3">
      <c r="A3" s="998" t="s">
        <v>156</v>
      </c>
      <c r="B3" s="492">
        <v>5248</v>
      </c>
      <c r="C3" s="492">
        <v>2940</v>
      </c>
    </row>
    <row r="4" spans="1:3" x14ac:dyDescent="0.3">
      <c r="A4" s="998" t="s">
        <v>157</v>
      </c>
      <c r="B4" s="492">
        <v>481</v>
      </c>
      <c r="C4" s="492">
        <v>390</v>
      </c>
    </row>
    <row r="5" spans="1:3" x14ac:dyDescent="0.3">
      <c r="A5" s="998" t="s">
        <v>158</v>
      </c>
      <c r="B5" s="492">
        <v>277</v>
      </c>
      <c r="C5" s="492">
        <v>283</v>
      </c>
    </row>
    <row r="6" spans="1:3" x14ac:dyDescent="0.3">
      <c r="A6" s="998" t="s">
        <v>159</v>
      </c>
      <c r="B6" s="492">
        <v>1681</v>
      </c>
      <c r="C6" s="492">
        <v>952</v>
      </c>
    </row>
    <row r="7" spans="1:3" x14ac:dyDescent="0.3">
      <c r="A7" s="998" t="s">
        <v>160</v>
      </c>
      <c r="B7" s="492">
        <v>2071</v>
      </c>
      <c r="C7" s="492">
        <v>1988</v>
      </c>
    </row>
    <row r="8" spans="1:3" x14ac:dyDescent="0.3">
      <c r="A8" s="998" t="s">
        <v>161</v>
      </c>
      <c r="B8" s="492">
        <v>3325</v>
      </c>
      <c r="C8" s="492">
        <v>3167</v>
      </c>
    </row>
    <row r="9" spans="1:3" x14ac:dyDescent="0.3">
      <c r="A9" s="998" t="s">
        <v>163</v>
      </c>
      <c r="B9" s="492">
        <v>102</v>
      </c>
      <c r="C9" s="492">
        <v>102</v>
      </c>
    </row>
    <row r="10" spans="1:3" x14ac:dyDescent="0.3">
      <c r="A10" s="998" t="s">
        <v>162</v>
      </c>
      <c r="B10" s="492">
        <v>3557</v>
      </c>
      <c r="C10" s="492">
        <v>3483</v>
      </c>
    </row>
    <row r="11" spans="1:3" x14ac:dyDescent="0.3">
      <c r="A11" s="997" t="s">
        <v>31</v>
      </c>
      <c r="B11" s="497">
        <v>226328</v>
      </c>
      <c r="C11" s="497">
        <v>255884</v>
      </c>
    </row>
    <row r="12" spans="1:3" x14ac:dyDescent="0.3">
      <c r="A12" s="998" t="s">
        <v>164</v>
      </c>
      <c r="B12" s="492">
        <v>10624</v>
      </c>
      <c r="C12" s="492">
        <v>14786</v>
      </c>
    </row>
    <row r="13" spans="1:3" x14ac:dyDescent="0.3">
      <c r="A13" s="998" t="s">
        <v>165</v>
      </c>
      <c r="B13" s="492">
        <v>6200</v>
      </c>
      <c r="C13" s="492">
        <v>6026</v>
      </c>
    </row>
    <row r="14" spans="1:3" x14ac:dyDescent="0.3">
      <c r="A14" s="998" t="s">
        <v>166</v>
      </c>
      <c r="B14" s="492">
        <v>34414</v>
      </c>
      <c r="C14" s="492">
        <v>34338</v>
      </c>
    </row>
    <row r="15" spans="1:3" x14ac:dyDescent="0.3">
      <c r="A15" s="998" t="s">
        <v>167</v>
      </c>
      <c r="B15" s="492">
        <v>3590</v>
      </c>
      <c r="C15" s="492">
        <v>5247</v>
      </c>
    </row>
    <row r="16" spans="1:3" x14ac:dyDescent="0.3">
      <c r="A16" s="1136" t="s">
        <v>2797</v>
      </c>
      <c r="B16" s="492">
        <v>15506</v>
      </c>
      <c r="C16" s="492">
        <v>26575</v>
      </c>
    </row>
    <row r="17" spans="1:3" x14ac:dyDescent="0.3">
      <c r="A17" s="998" t="s">
        <v>170</v>
      </c>
      <c r="B17" s="492">
        <v>44216</v>
      </c>
      <c r="C17" s="492">
        <v>17612</v>
      </c>
    </row>
    <row r="18" spans="1:3" x14ac:dyDescent="0.3">
      <c r="A18" s="998" t="s">
        <v>169</v>
      </c>
      <c r="B18" s="492">
        <v>85213</v>
      </c>
      <c r="C18" s="492">
        <v>50765</v>
      </c>
    </row>
    <row r="19" spans="1:3" x14ac:dyDescent="0.3">
      <c r="A19" s="998" t="s">
        <v>171</v>
      </c>
      <c r="B19" s="492">
        <v>13148</v>
      </c>
      <c r="C19" s="492">
        <v>85850</v>
      </c>
    </row>
    <row r="20" spans="1:3" x14ac:dyDescent="0.3">
      <c r="A20" s="998" t="s">
        <v>172</v>
      </c>
      <c r="B20" s="492">
        <v>3858</v>
      </c>
      <c r="C20" s="492">
        <v>13211</v>
      </c>
    </row>
    <row r="21" spans="1:3" x14ac:dyDescent="0.3">
      <c r="A21" s="998" t="s">
        <v>173</v>
      </c>
      <c r="B21" s="492">
        <v>9559</v>
      </c>
      <c r="C21" s="492">
        <v>1474</v>
      </c>
    </row>
    <row r="22" spans="1:3" x14ac:dyDescent="0.3">
      <c r="A22" s="997" t="s">
        <v>32</v>
      </c>
      <c r="B22" s="497">
        <v>38155</v>
      </c>
      <c r="C22" s="497">
        <v>108673</v>
      </c>
    </row>
    <row r="23" spans="1:3" x14ac:dyDescent="0.3">
      <c r="A23" s="998" t="s">
        <v>174</v>
      </c>
      <c r="B23" s="492">
        <v>346</v>
      </c>
      <c r="C23" s="492">
        <v>446</v>
      </c>
    </row>
    <row r="24" spans="1:3" x14ac:dyDescent="0.3">
      <c r="A24" s="998" t="s">
        <v>175</v>
      </c>
      <c r="B24" s="492">
        <v>1865</v>
      </c>
      <c r="C24" s="492">
        <v>13191</v>
      </c>
    </row>
    <row r="25" spans="1:3" x14ac:dyDescent="0.3">
      <c r="A25" s="998" t="s">
        <v>177</v>
      </c>
      <c r="B25" s="492">
        <v>4793</v>
      </c>
      <c r="C25" s="492">
        <v>8905</v>
      </c>
    </row>
    <row r="26" spans="1:3" x14ac:dyDescent="0.3">
      <c r="A26" s="998" t="s">
        <v>179</v>
      </c>
      <c r="B26" s="492">
        <v>1022</v>
      </c>
      <c r="C26" s="492">
        <v>1616</v>
      </c>
    </row>
    <row r="27" spans="1:3" x14ac:dyDescent="0.3">
      <c r="A27" s="998" t="s">
        <v>176</v>
      </c>
      <c r="B27" s="492">
        <v>17585</v>
      </c>
      <c r="C27" s="492">
        <v>28366</v>
      </c>
    </row>
    <row r="28" spans="1:3" x14ac:dyDescent="0.3">
      <c r="A28" s="998" t="s">
        <v>178</v>
      </c>
      <c r="B28" s="492">
        <v>10238</v>
      </c>
      <c r="C28" s="492">
        <v>13908</v>
      </c>
    </row>
    <row r="29" spans="1:3" x14ac:dyDescent="0.3">
      <c r="A29" s="998" t="s">
        <v>180</v>
      </c>
      <c r="B29" s="492">
        <v>552</v>
      </c>
      <c r="C29" s="492">
        <v>37334</v>
      </c>
    </row>
    <row r="30" spans="1:3" x14ac:dyDescent="0.3">
      <c r="A30" s="998" t="s">
        <v>181</v>
      </c>
      <c r="B30" s="492">
        <v>1754</v>
      </c>
      <c r="C30" s="492">
        <v>4907</v>
      </c>
    </row>
    <row r="31" spans="1:3" x14ac:dyDescent="0.3">
      <c r="A31" s="997" t="s">
        <v>33</v>
      </c>
      <c r="B31" s="497">
        <v>3482</v>
      </c>
      <c r="C31" s="497">
        <v>5761</v>
      </c>
    </row>
    <row r="32" spans="1:3" x14ac:dyDescent="0.3">
      <c r="A32" s="998" t="s">
        <v>182</v>
      </c>
      <c r="B32" s="492">
        <v>33</v>
      </c>
      <c r="C32" s="492">
        <v>61</v>
      </c>
    </row>
    <row r="33" spans="1:3" x14ac:dyDescent="0.3">
      <c r="A33" s="998" t="s">
        <v>183</v>
      </c>
      <c r="B33" s="492">
        <v>2067</v>
      </c>
      <c r="C33" s="492">
        <v>2185</v>
      </c>
    </row>
    <row r="34" spans="1:3" x14ac:dyDescent="0.3">
      <c r="A34" s="998" t="s">
        <v>184</v>
      </c>
      <c r="B34" s="492">
        <v>156</v>
      </c>
      <c r="C34" s="492">
        <v>132</v>
      </c>
    </row>
    <row r="35" spans="1:3" x14ac:dyDescent="0.3">
      <c r="A35" s="998" t="s">
        <v>185</v>
      </c>
      <c r="B35" s="492">
        <v>748</v>
      </c>
      <c r="C35" s="492">
        <v>2978</v>
      </c>
    </row>
    <row r="36" spans="1:3" x14ac:dyDescent="0.3">
      <c r="A36" s="998" t="s">
        <v>186</v>
      </c>
      <c r="B36" s="492">
        <v>478</v>
      </c>
      <c r="C36" s="492">
        <v>405</v>
      </c>
    </row>
    <row r="37" spans="1:3" x14ac:dyDescent="0.3">
      <c r="A37" s="997" t="s">
        <v>34</v>
      </c>
      <c r="B37" s="497">
        <v>171816</v>
      </c>
      <c r="C37" s="497">
        <v>165512</v>
      </c>
    </row>
    <row r="38" spans="1:3" x14ac:dyDescent="0.3">
      <c r="A38" s="998" t="s">
        <v>187</v>
      </c>
      <c r="B38" s="492">
        <v>74755</v>
      </c>
      <c r="C38" s="492">
        <v>68171</v>
      </c>
    </row>
    <row r="39" spans="1:3" x14ac:dyDescent="0.3">
      <c r="A39" s="998" t="s">
        <v>188</v>
      </c>
      <c r="B39" s="492">
        <v>92269</v>
      </c>
      <c r="C39" s="492">
        <v>92341</v>
      </c>
    </row>
    <row r="40" spans="1:3" x14ac:dyDescent="0.3">
      <c r="A40" s="998" t="s">
        <v>189</v>
      </c>
      <c r="B40" s="492">
        <v>4792</v>
      </c>
      <c r="C40" s="492">
        <v>5000</v>
      </c>
    </row>
    <row r="41" spans="1:3" x14ac:dyDescent="0.3">
      <c r="A41" s="997" t="s">
        <v>35</v>
      </c>
      <c r="B41" s="497">
        <v>116661</v>
      </c>
      <c r="C41" s="497">
        <v>131377</v>
      </c>
    </row>
    <row r="42" spans="1:3" x14ac:dyDescent="0.3">
      <c r="A42" s="998" t="s">
        <v>190</v>
      </c>
      <c r="B42" s="492">
        <v>1472</v>
      </c>
      <c r="C42" s="492">
        <v>1893</v>
      </c>
    </row>
    <row r="43" spans="1:3" x14ac:dyDescent="0.3">
      <c r="A43" s="998" t="s">
        <v>191</v>
      </c>
      <c r="B43" s="492">
        <v>853</v>
      </c>
      <c r="C43" s="492">
        <v>974</v>
      </c>
    </row>
    <row r="44" spans="1:3" x14ac:dyDescent="0.3">
      <c r="A44" s="998" t="s">
        <v>192</v>
      </c>
      <c r="B44" s="492">
        <v>26384</v>
      </c>
      <c r="C44" s="492">
        <v>42884</v>
      </c>
    </row>
    <row r="45" spans="1:3" x14ac:dyDescent="0.3">
      <c r="A45" s="998" t="s">
        <v>194</v>
      </c>
      <c r="B45" s="492">
        <v>34238</v>
      </c>
      <c r="C45" s="492">
        <v>36898</v>
      </c>
    </row>
    <row r="46" spans="1:3" x14ac:dyDescent="0.3">
      <c r="A46" s="998" t="s">
        <v>195</v>
      </c>
      <c r="B46" s="492">
        <v>2094</v>
      </c>
      <c r="C46" s="492">
        <v>2109</v>
      </c>
    </row>
    <row r="47" spans="1:3" x14ac:dyDescent="0.3">
      <c r="A47" s="998" t="s">
        <v>193</v>
      </c>
      <c r="B47" s="492">
        <v>50631</v>
      </c>
      <c r="C47" s="492">
        <v>46026</v>
      </c>
    </row>
    <row r="48" spans="1:3" x14ac:dyDescent="0.3">
      <c r="A48" s="998" t="s">
        <v>196</v>
      </c>
      <c r="B48" s="492">
        <v>989</v>
      </c>
      <c r="C48" s="492">
        <v>593</v>
      </c>
    </row>
    <row r="49" spans="1:3" ht="15" thickBot="1" x14ac:dyDescent="0.35">
      <c r="A49" s="999" t="s">
        <v>25</v>
      </c>
      <c r="B49" s="505">
        <v>573184</v>
      </c>
      <c r="C49" s="505">
        <v>680512</v>
      </c>
    </row>
    <row r="53" spans="1:3" x14ac:dyDescent="0.3">
      <c r="B53" s="589"/>
    </row>
    <row r="54" spans="1:3" x14ac:dyDescent="0.3">
      <c r="B54" s="1115"/>
    </row>
  </sheetData>
  <phoneticPr fontId="51" type="noConversion"/>
  <pageMargins left="0.7" right="0.7" top="0.75" bottom="0.75"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1901B-097D-4706-A3E2-595A16BE6A2E}">
  <dimension ref="A2:F47"/>
  <sheetViews>
    <sheetView topLeftCell="A4" workbookViewId="0">
      <selection activeCell="F6" sqref="F6"/>
    </sheetView>
  </sheetViews>
  <sheetFormatPr defaultColWidth="10.77734375" defaultRowHeight="14.4" x14ac:dyDescent="0.3"/>
  <cols>
    <col min="1" max="1" width="20.21875" bestFit="1" customWidth="1"/>
    <col min="2" max="2" width="29.21875" bestFit="1" customWidth="1"/>
    <col min="3" max="3" width="12" customWidth="1"/>
    <col min="4" max="4" width="14.77734375" customWidth="1"/>
    <col min="5" max="5" width="15" customWidth="1"/>
    <col min="6" max="6" width="12" bestFit="1" customWidth="1"/>
  </cols>
  <sheetData>
    <row r="2" spans="1:6" x14ac:dyDescent="0.3">
      <c r="A2" s="944" t="s">
        <v>506</v>
      </c>
      <c r="B2" t="s">
        <v>3112</v>
      </c>
      <c r="D2" s="1422" t="s">
        <v>507</v>
      </c>
      <c r="E2" s="1422"/>
      <c r="F2" s="1422"/>
    </row>
    <row r="4" spans="1:6" x14ac:dyDescent="0.3">
      <c r="A4" s="2" t="s">
        <v>508</v>
      </c>
      <c r="B4" s="2" t="s">
        <v>149</v>
      </c>
    </row>
    <row r="5" spans="1:6" x14ac:dyDescent="0.3">
      <c r="A5" s="2" t="s">
        <v>152</v>
      </c>
      <c r="B5" t="s">
        <v>509</v>
      </c>
      <c r="C5" t="s">
        <v>510</v>
      </c>
      <c r="D5" t="s">
        <v>511</v>
      </c>
      <c r="E5" t="s">
        <v>154</v>
      </c>
    </row>
    <row r="6" spans="1:6" x14ac:dyDescent="0.3">
      <c r="A6" s="1" t="s">
        <v>30</v>
      </c>
      <c r="B6">
        <v>65</v>
      </c>
      <c r="E6">
        <v>65</v>
      </c>
    </row>
    <row r="7" spans="1:6" x14ac:dyDescent="0.3">
      <c r="A7" s="3" t="s">
        <v>158</v>
      </c>
      <c r="B7">
        <v>10</v>
      </c>
      <c r="E7">
        <v>10</v>
      </c>
    </row>
    <row r="8" spans="1:6" x14ac:dyDescent="0.3">
      <c r="A8" s="3" t="s">
        <v>161</v>
      </c>
      <c r="B8">
        <v>35</v>
      </c>
      <c r="E8">
        <v>35</v>
      </c>
    </row>
    <row r="9" spans="1:6" x14ac:dyDescent="0.3">
      <c r="A9" s="3" t="s">
        <v>162</v>
      </c>
      <c r="B9">
        <v>20</v>
      </c>
      <c r="E9">
        <v>20</v>
      </c>
    </row>
    <row r="10" spans="1:6" x14ac:dyDescent="0.3">
      <c r="A10" s="1" t="s">
        <v>31</v>
      </c>
      <c r="B10">
        <v>38025</v>
      </c>
      <c r="C10">
        <v>5137</v>
      </c>
      <c r="D10">
        <v>7930</v>
      </c>
      <c r="E10">
        <v>51092</v>
      </c>
    </row>
    <row r="11" spans="1:6" x14ac:dyDescent="0.3">
      <c r="A11" s="3" t="s">
        <v>164</v>
      </c>
      <c r="B11">
        <v>3493</v>
      </c>
      <c r="C11">
        <v>37</v>
      </c>
      <c r="D11">
        <v>53</v>
      </c>
      <c r="E11">
        <v>3583</v>
      </c>
    </row>
    <row r="12" spans="1:6" x14ac:dyDescent="0.3">
      <c r="A12" s="3" t="s">
        <v>165</v>
      </c>
      <c r="B12">
        <v>4585</v>
      </c>
      <c r="D12">
        <v>455</v>
      </c>
      <c r="E12">
        <v>5040</v>
      </c>
    </row>
    <row r="13" spans="1:6" x14ac:dyDescent="0.3">
      <c r="A13" s="3" t="s">
        <v>166</v>
      </c>
      <c r="C13">
        <v>52</v>
      </c>
      <c r="D13">
        <v>67</v>
      </c>
      <c r="E13">
        <v>119</v>
      </c>
    </row>
    <row r="14" spans="1:6" x14ac:dyDescent="0.3">
      <c r="A14" s="3" t="s">
        <v>167</v>
      </c>
      <c r="B14">
        <v>659</v>
      </c>
      <c r="D14">
        <v>379</v>
      </c>
      <c r="E14">
        <v>1038</v>
      </c>
    </row>
    <row r="15" spans="1:6" x14ac:dyDescent="0.3">
      <c r="A15" s="3" t="s">
        <v>170</v>
      </c>
      <c r="B15">
        <v>6150</v>
      </c>
      <c r="C15">
        <v>1318</v>
      </c>
      <c r="D15">
        <v>1999</v>
      </c>
      <c r="E15">
        <v>9467</v>
      </c>
    </row>
    <row r="16" spans="1:6" x14ac:dyDescent="0.3">
      <c r="A16" s="3" t="s">
        <v>169</v>
      </c>
      <c r="B16">
        <v>2146</v>
      </c>
      <c r="C16">
        <v>3316</v>
      </c>
      <c r="D16">
        <v>3912</v>
      </c>
      <c r="E16">
        <v>9374</v>
      </c>
    </row>
    <row r="17" spans="1:5" x14ac:dyDescent="0.3">
      <c r="A17" s="3" t="s">
        <v>171</v>
      </c>
      <c r="B17">
        <v>2895</v>
      </c>
      <c r="C17">
        <v>295</v>
      </c>
      <c r="D17">
        <v>65</v>
      </c>
      <c r="E17">
        <v>3255</v>
      </c>
    </row>
    <row r="18" spans="1:5" x14ac:dyDescent="0.3">
      <c r="A18" s="3" t="s">
        <v>172</v>
      </c>
      <c r="B18">
        <v>253</v>
      </c>
      <c r="C18">
        <v>119</v>
      </c>
      <c r="D18">
        <v>643</v>
      </c>
      <c r="E18">
        <v>1015</v>
      </c>
    </row>
    <row r="19" spans="1:5" x14ac:dyDescent="0.3">
      <c r="A19" s="3" t="s">
        <v>173</v>
      </c>
      <c r="B19">
        <v>258</v>
      </c>
      <c r="D19">
        <v>357</v>
      </c>
      <c r="E19">
        <v>615</v>
      </c>
    </row>
    <row r="20" spans="1:5" x14ac:dyDescent="0.3">
      <c r="A20" s="3" t="s">
        <v>2797</v>
      </c>
      <c r="B20">
        <v>17586</v>
      </c>
      <c r="E20">
        <v>17586</v>
      </c>
    </row>
    <row r="21" spans="1:5" x14ac:dyDescent="0.3">
      <c r="A21" s="1" t="s">
        <v>32</v>
      </c>
      <c r="B21">
        <v>10837</v>
      </c>
      <c r="C21">
        <v>150</v>
      </c>
      <c r="D21">
        <v>74840</v>
      </c>
      <c r="E21">
        <v>85827</v>
      </c>
    </row>
    <row r="22" spans="1:5" x14ac:dyDescent="0.3">
      <c r="A22" s="3" t="s">
        <v>174</v>
      </c>
      <c r="B22">
        <v>378</v>
      </c>
      <c r="D22">
        <v>68</v>
      </c>
      <c r="E22">
        <v>446</v>
      </c>
    </row>
    <row r="23" spans="1:5" x14ac:dyDescent="0.3">
      <c r="A23" s="3" t="s">
        <v>175</v>
      </c>
      <c r="B23">
        <v>1464</v>
      </c>
      <c r="C23">
        <v>150</v>
      </c>
      <c r="D23">
        <v>11326</v>
      </c>
      <c r="E23">
        <v>12940</v>
      </c>
    </row>
    <row r="24" spans="1:5" x14ac:dyDescent="0.3">
      <c r="A24" s="3" t="s">
        <v>177</v>
      </c>
      <c r="B24">
        <v>1716</v>
      </c>
      <c r="D24">
        <v>5147</v>
      </c>
      <c r="E24">
        <v>6863</v>
      </c>
    </row>
    <row r="25" spans="1:5" x14ac:dyDescent="0.3">
      <c r="A25" s="3" t="s">
        <v>179</v>
      </c>
      <c r="D25">
        <v>955</v>
      </c>
      <c r="E25">
        <v>955</v>
      </c>
    </row>
    <row r="26" spans="1:5" x14ac:dyDescent="0.3">
      <c r="A26" s="3" t="s">
        <v>176</v>
      </c>
      <c r="B26">
        <v>5883</v>
      </c>
      <c r="D26">
        <v>13212</v>
      </c>
      <c r="E26">
        <v>19095</v>
      </c>
    </row>
    <row r="27" spans="1:5" x14ac:dyDescent="0.3">
      <c r="A27" s="3" t="s">
        <v>178</v>
      </c>
      <c r="B27">
        <v>80</v>
      </c>
      <c r="D27">
        <v>3917</v>
      </c>
      <c r="E27">
        <v>3997</v>
      </c>
    </row>
    <row r="28" spans="1:5" x14ac:dyDescent="0.3">
      <c r="A28" s="3" t="s">
        <v>180</v>
      </c>
      <c r="B28">
        <v>245</v>
      </c>
      <c r="D28">
        <v>36782</v>
      </c>
      <c r="E28">
        <v>37027</v>
      </c>
    </row>
    <row r="29" spans="1:5" x14ac:dyDescent="0.3">
      <c r="A29" s="3" t="s">
        <v>181</v>
      </c>
      <c r="B29">
        <v>1071</v>
      </c>
      <c r="D29">
        <v>3433</v>
      </c>
      <c r="E29">
        <v>4504</v>
      </c>
    </row>
    <row r="30" spans="1:5" x14ac:dyDescent="0.3">
      <c r="A30" s="1" t="s">
        <v>33</v>
      </c>
      <c r="B30">
        <v>260</v>
      </c>
      <c r="C30">
        <v>90</v>
      </c>
      <c r="D30">
        <v>19</v>
      </c>
      <c r="E30">
        <v>369</v>
      </c>
    </row>
    <row r="31" spans="1:5" x14ac:dyDescent="0.3">
      <c r="A31" s="3" t="s">
        <v>183</v>
      </c>
      <c r="B31">
        <v>135</v>
      </c>
      <c r="C31">
        <v>90</v>
      </c>
      <c r="D31">
        <v>4</v>
      </c>
      <c r="E31">
        <v>229</v>
      </c>
    </row>
    <row r="32" spans="1:5" x14ac:dyDescent="0.3">
      <c r="A32" s="3" t="s">
        <v>184</v>
      </c>
      <c r="D32">
        <v>15</v>
      </c>
      <c r="E32">
        <v>15</v>
      </c>
    </row>
    <row r="33" spans="1:5" x14ac:dyDescent="0.3">
      <c r="A33" s="3" t="s">
        <v>185</v>
      </c>
      <c r="B33">
        <v>54</v>
      </c>
      <c r="E33">
        <v>54</v>
      </c>
    </row>
    <row r="34" spans="1:5" x14ac:dyDescent="0.3">
      <c r="A34" s="3" t="s">
        <v>186</v>
      </c>
      <c r="B34">
        <v>71</v>
      </c>
      <c r="E34">
        <v>71</v>
      </c>
    </row>
    <row r="35" spans="1:5" x14ac:dyDescent="0.3">
      <c r="A35" s="1" t="s">
        <v>34</v>
      </c>
      <c r="B35">
        <v>5739</v>
      </c>
      <c r="C35">
        <v>113</v>
      </c>
      <c r="D35">
        <v>641</v>
      </c>
      <c r="E35">
        <v>6493</v>
      </c>
    </row>
    <row r="36" spans="1:5" x14ac:dyDescent="0.3">
      <c r="A36" s="3" t="s">
        <v>187</v>
      </c>
      <c r="B36">
        <v>3447</v>
      </c>
      <c r="D36">
        <v>183</v>
      </c>
      <c r="E36">
        <v>3630</v>
      </c>
    </row>
    <row r="37" spans="1:5" x14ac:dyDescent="0.3">
      <c r="A37" s="3" t="s">
        <v>188</v>
      </c>
      <c r="B37">
        <v>2055</v>
      </c>
      <c r="C37">
        <v>110</v>
      </c>
      <c r="D37">
        <v>458</v>
      </c>
      <c r="E37">
        <v>2623</v>
      </c>
    </row>
    <row r="38" spans="1:5" x14ac:dyDescent="0.3">
      <c r="A38" s="3" t="s">
        <v>189</v>
      </c>
      <c r="B38">
        <v>237</v>
      </c>
      <c r="C38">
        <v>3</v>
      </c>
      <c r="E38">
        <v>240</v>
      </c>
    </row>
    <row r="39" spans="1:5" x14ac:dyDescent="0.3">
      <c r="A39" s="1" t="s">
        <v>35</v>
      </c>
      <c r="B39">
        <v>15657</v>
      </c>
      <c r="C39">
        <v>375</v>
      </c>
      <c r="D39">
        <v>1537</v>
      </c>
      <c r="E39">
        <v>17569</v>
      </c>
    </row>
    <row r="40" spans="1:5" x14ac:dyDescent="0.3">
      <c r="A40" s="3" t="s">
        <v>190</v>
      </c>
      <c r="B40">
        <v>11</v>
      </c>
      <c r="E40">
        <v>11</v>
      </c>
    </row>
    <row r="41" spans="1:5" x14ac:dyDescent="0.3">
      <c r="A41" s="3" t="s">
        <v>191</v>
      </c>
      <c r="B41">
        <v>112</v>
      </c>
      <c r="C41">
        <v>2</v>
      </c>
      <c r="D41">
        <v>7</v>
      </c>
      <c r="E41">
        <v>121</v>
      </c>
    </row>
    <row r="42" spans="1:5" x14ac:dyDescent="0.3">
      <c r="A42" s="3" t="s">
        <v>192</v>
      </c>
      <c r="B42">
        <v>6704</v>
      </c>
      <c r="D42">
        <v>1031</v>
      </c>
      <c r="E42">
        <v>7735</v>
      </c>
    </row>
    <row r="43" spans="1:5" x14ac:dyDescent="0.3">
      <c r="A43" s="3" t="s">
        <v>193</v>
      </c>
      <c r="B43">
        <v>3077</v>
      </c>
      <c r="C43">
        <v>310</v>
      </c>
      <c r="D43">
        <v>245</v>
      </c>
      <c r="E43">
        <v>3632</v>
      </c>
    </row>
    <row r="44" spans="1:5" x14ac:dyDescent="0.3">
      <c r="A44" s="3" t="s">
        <v>194</v>
      </c>
      <c r="C44">
        <v>7</v>
      </c>
      <c r="D44">
        <v>40</v>
      </c>
      <c r="E44">
        <v>47</v>
      </c>
    </row>
    <row r="45" spans="1:5" x14ac:dyDescent="0.3">
      <c r="A45" s="3" t="s">
        <v>195</v>
      </c>
      <c r="B45">
        <v>5715</v>
      </c>
      <c r="C45">
        <v>53</v>
      </c>
      <c r="D45">
        <v>160</v>
      </c>
      <c r="E45">
        <v>5928</v>
      </c>
    </row>
    <row r="46" spans="1:5" x14ac:dyDescent="0.3">
      <c r="A46" s="3" t="s">
        <v>196</v>
      </c>
      <c r="B46">
        <v>38</v>
      </c>
      <c r="C46">
        <v>3</v>
      </c>
      <c r="D46">
        <v>54</v>
      </c>
      <c r="E46">
        <v>95</v>
      </c>
    </row>
    <row r="47" spans="1:5" x14ac:dyDescent="0.3">
      <c r="A47" s="1" t="s">
        <v>154</v>
      </c>
      <c r="B47">
        <v>70583</v>
      </c>
      <c r="C47">
        <v>5865</v>
      </c>
      <c r="D47">
        <v>84967</v>
      </c>
      <c r="E47">
        <v>161415</v>
      </c>
    </row>
  </sheetData>
  <mergeCells count="1">
    <mergeCell ref="D2:F2"/>
  </mergeCell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19F9-79A0-4BF6-AE2E-18E495EEFEBE}">
  <dimension ref="A1:X3536"/>
  <sheetViews>
    <sheetView showGridLines="0" zoomScaleNormal="100" workbookViewId="0">
      <pane ySplit="1" topLeftCell="A2207" activePane="bottomLeft" state="frozen"/>
      <selection activeCell="G142" sqref="G142"/>
      <selection pane="bottomLeft" activeCell="R2402" sqref="R2402"/>
    </sheetView>
  </sheetViews>
  <sheetFormatPr defaultColWidth="11.44140625" defaultRowHeight="14.4" x14ac:dyDescent="0.3"/>
  <cols>
    <col min="1" max="1" width="15.21875" style="6" customWidth="1"/>
    <col min="2" max="2" width="11.21875" style="6" customWidth="1"/>
    <col min="3" max="3" width="12.21875" style="6" customWidth="1"/>
    <col min="4" max="4" width="13.77734375" style="6" customWidth="1"/>
    <col min="5" max="5" width="12.21875" style="6" customWidth="1"/>
    <col min="6" max="6" width="16.5546875" style="6" customWidth="1"/>
    <col min="7" max="7" width="13.21875" style="6" customWidth="1"/>
    <col min="8" max="8" width="23.77734375" style="6" customWidth="1"/>
    <col min="9" max="9" width="18.21875" style="6" customWidth="1"/>
    <col min="10" max="10" width="14.21875" style="6" customWidth="1"/>
    <col min="11" max="11" width="25.77734375" style="7" customWidth="1"/>
    <col min="12" max="13" width="9.5546875" style="6" customWidth="1"/>
    <col min="14" max="14" width="35.21875" style="6" customWidth="1"/>
    <col min="15" max="15" width="30" style="6" customWidth="1"/>
    <col min="16" max="16" width="22.5546875" style="6" customWidth="1"/>
    <col min="17" max="17" width="17.21875" style="6" customWidth="1"/>
    <col min="18" max="18" width="26" style="6" customWidth="1"/>
    <col min="19" max="19" width="16.5546875" style="6" customWidth="1"/>
    <col min="20" max="20" width="17.77734375" style="6" customWidth="1"/>
    <col min="21" max="21" width="19.5546875" style="6" customWidth="1"/>
    <col min="22" max="22" width="16.21875" style="6" customWidth="1"/>
    <col min="23" max="23" width="16.77734375" style="6" customWidth="1"/>
    <col min="24" max="24" width="21.21875" style="6" customWidth="1"/>
    <col min="25" max="27" width="9.44140625" style="6" bestFit="1" customWidth="1"/>
    <col min="28" max="28" width="13.44140625" style="6" bestFit="1" customWidth="1"/>
    <col min="29" max="29" width="15.21875" style="6" bestFit="1" customWidth="1"/>
    <col min="30" max="30" width="13.44140625" style="6" bestFit="1" customWidth="1"/>
    <col min="31" max="32" width="16.77734375" style="6" bestFit="1" customWidth="1"/>
    <col min="33" max="33" width="14.21875" style="6" bestFit="1" customWidth="1"/>
    <col min="34" max="34" width="14" style="6" bestFit="1" customWidth="1"/>
    <col min="35" max="36" width="16.77734375" style="6" bestFit="1" customWidth="1"/>
    <col min="37" max="37" width="20.5546875" style="6" bestFit="1" customWidth="1"/>
    <col min="38" max="38" width="15" style="6" bestFit="1" customWidth="1"/>
    <col min="39" max="39" width="20.44140625" style="6" bestFit="1" customWidth="1"/>
    <col min="40" max="40" width="5.5546875" style="6" bestFit="1" customWidth="1"/>
    <col min="41" max="41" width="6.21875" style="6" bestFit="1" customWidth="1"/>
    <col min="42" max="42" width="30.77734375" style="6" bestFit="1" customWidth="1"/>
    <col min="43" max="43" width="14.44140625" style="6" bestFit="1" customWidth="1"/>
    <col min="44" max="44" width="22" style="6" bestFit="1" customWidth="1"/>
    <col min="45" max="45" width="19.77734375" style="6" bestFit="1" customWidth="1"/>
    <col min="46" max="46" width="24.77734375" style="6" bestFit="1" customWidth="1"/>
    <col min="47" max="47" width="19.77734375" style="6" bestFit="1" customWidth="1"/>
    <col min="48" max="48" width="24.77734375" style="6" bestFit="1" customWidth="1"/>
    <col min="49" max="49" width="19.77734375" style="6" bestFit="1" customWidth="1"/>
    <col min="50" max="50" width="24.77734375" style="6" bestFit="1" customWidth="1"/>
    <col min="51" max="51" width="19.77734375" style="6" bestFit="1" customWidth="1"/>
    <col min="52" max="52" width="24.77734375" style="6" bestFit="1" customWidth="1"/>
    <col min="53" max="16384" width="11.44140625" style="6"/>
  </cols>
  <sheetData>
    <row r="1" spans="1:24" s="815" customFormat="1" ht="36" customHeight="1" x14ac:dyDescent="0.3">
      <c r="A1" s="815" t="s">
        <v>512</v>
      </c>
      <c r="B1" s="815" t="s">
        <v>513</v>
      </c>
      <c r="C1" s="815" t="s">
        <v>514</v>
      </c>
      <c r="D1" s="815" t="s">
        <v>515</v>
      </c>
      <c r="E1" s="815" t="s">
        <v>516</v>
      </c>
      <c r="F1" s="815" t="s">
        <v>517</v>
      </c>
      <c r="G1" s="815" t="s">
        <v>518</v>
      </c>
      <c r="H1" s="815" t="s">
        <v>519</v>
      </c>
      <c r="I1" s="4" t="s">
        <v>520</v>
      </c>
      <c r="J1" s="815" t="s">
        <v>521</v>
      </c>
      <c r="K1" s="816" t="s">
        <v>506</v>
      </c>
      <c r="L1" s="815" t="s">
        <v>41</v>
      </c>
      <c r="M1" s="815" t="s">
        <v>21</v>
      </c>
      <c r="N1" s="815" t="s">
        <v>522</v>
      </c>
      <c r="O1" s="815" t="s">
        <v>523</v>
      </c>
      <c r="P1" s="815" t="s">
        <v>524</v>
      </c>
      <c r="Q1" s="817" t="s">
        <v>525</v>
      </c>
      <c r="R1" s="815" t="s">
        <v>526</v>
      </c>
      <c r="S1" s="817" t="s">
        <v>527</v>
      </c>
      <c r="T1" s="815" t="s">
        <v>528</v>
      </c>
      <c r="U1" s="817" t="s">
        <v>529</v>
      </c>
      <c r="V1" s="815" t="s">
        <v>530</v>
      </c>
      <c r="W1" s="817" t="s">
        <v>531</v>
      </c>
      <c r="X1" s="815" t="s">
        <v>532</v>
      </c>
    </row>
    <row r="2" spans="1:24" ht="15" customHeight="1" x14ac:dyDescent="0.3">
      <c r="A2" s="6" t="s">
        <v>533</v>
      </c>
      <c r="B2" s="1168" t="s">
        <v>534</v>
      </c>
      <c r="C2" s="6" t="s">
        <v>30</v>
      </c>
      <c r="D2" s="1088" t="s">
        <v>535</v>
      </c>
      <c r="E2" s="6" t="s">
        <v>162</v>
      </c>
      <c r="F2" s="6" t="s">
        <v>536</v>
      </c>
      <c r="G2" s="6" t="s">
        <v>1727</v>
      </c>
      <c r="H2" s="6" t="s">
        <v>1728</v>
      </c>
      <c r="J2" s="1215" t="s">
        <v>509</v>
      </c>
      <c r="K2" s="1219" t="s">
        <v>3033</v>
      </c>
      <c r="L2" s="8">
        <v>4</v>
      </c>
      <c r="M2" s="8">
        <v>17</v>
      </c>
      <c r="N2" s="1169" t="s">
        <v>271</v>
      </c>
      <c r="P2" s="6" t="s">
        <v>3322</v>
      </c>
      <c r="Q2" s="1215" t="s">
        <v>253</v>
      </c>
      <c r="R2" s="1215" t="s">
        <v>255</v>
      </c>
      <c r="S2" s="1215" t="s">
        <v>534</v>
      </c>
      <c r="T2" s="1215" t="s">
        <v>533</v>
      </c>
      <c r="U2" s="6" t="s">
        <v>539</v>
      </c>
      <c r="V2" s="1215" t="s">
        <v>34</v>
      </c>
    </row>
    <row r="3" spans="1:24" ht="15" customHeight="1" x14ac:dyDescent="0.3">
      <c r="A3" s="6" t="s">
        <v>533</v>
      </c>
      <c r="B3" s="6" t="s">
        <v>534</v>
      </c>
      <c r="C3" s="6" t="s">
        <v>30</v>
      </c>
      <c r="D3" s="1088" t="s">
        <v>535</v>
      </c>
      <c r="E3" s="6" t="s">
        <v>162</v>
      </c>
      <c r="F3" s="6" t="s">
        <v>536</v>
      </c>
      <c r="G3" s="6" t="s">
        <v>1727</v>
      </c>
      <c r="H3" s="6" t="s">
        <v>1728</v>
      </c>
      <c r="J3" s="1215" t="s">
        <v>509</v>
      </c>
      <c r="K3" s="1219" t="s">
        <v>3109</v>
      </c>
      <c r="L3" s="8">
        <v>0</v>
      </c>
      <c r="M3" s="8">
        <v>3</v>
      </c>
      <c r="N3" s="1169" t="s">
        <v>271</v>
      </c>
      <c r="P3" s="6" t="s">
        <v>3322</v>
      </c>
      <c r="Q3" s="1215" t="s">
        <v>253</v>
      </c>
      <c r="R3" s="1215" t="s">
        <v>255</v>
      </c>
      <c r="S3" s="1215" t="s">
        <v>534</v>
      </c>
      <c r="T3" s="1215" t="s">
        <v>533</v>
      </c>
      <c r="U3" s="6" t="s">
        <v>539</v>
      </c>
      <c r="V3" s="6" t="s">
        <v>34</v>
      </c>
    </row>
    <row r="4" spans="1:24" ht="15" customHeight="1" x14ac:dyDescent="0.3">
      <c r="A4" s="6" t="s">
        <v>533</v>
      </c>
      <c r="B4" s="6" t="s">
        <v>534</v>
      </c>
      <c r="C4" s="6" t="s">
        <v>30</v>
      </c>
      <c r="D4" s="1088" t="s">
        <v>535</v>
      </c>
      <c r="E4" s="1088" t="s">
        <v>162</v>
      </c>
      <c r="F4" s="6" t="s">
        <v>536</v>
      </c>
      <c r="G4" s="6" t="s">
        <v>1727</v>
      </c>
      <c r="H4" s="6" t="s">
        <v>1728</v>
      </c>
      <c r="J4" s="1215" t="s">
        <v>509</v>
      </c>
      <c r="K4" s="1219" t="s">
        <v>3112</v>
      </c>
      <c r="L4" s="8">
        <v>0</v>
      </c>
      <c r="M4" s="8">
        <v>1</v>
      </c>
      <c r="N4" s="1169" t="s">
        <v>271</v>
      </c>
      <c r="P4" s="6" t="s">
        <v>3322</v>
      </c>
      <c r="Q4" s="1215" t="s">
        <v>253</v>
      </c>
      <c r="R4" s="1215" t="s">
        <v>255</v>
      </c>
      <c r="S4" s="1215" t="s">
        <v>534</v>
      </c>
      <c r="T4" s="1215" t="s">
        <v>533</v>
      </c>
      <c r="U4" s="6" t="s">
        <v>539</v>
      </c>
      <c r="V4" s="6" t="s">
        <v>34</v>
      </c>
    </row>
    <row r="5" spans="1:24" ht="15" customHeight="1" x14ac:dyDescent="0.3">
      <c r="A5" s="6" t="s">
        <v>533</v>
      </c>
      <c r="B5" s="6" t="s">
        <v>534</v>
      </c>
      <c r="C5" s="6" t="s">
        <v>30</v>
      </c>
      <c r="D5" s="1088" t="s">
        <v>535</v>
      </c>
      <c r="E5" s="6" t="s">
        <v>162</v>
      </c>
      <c r="F5" s="6" t="s">
        <v>536</v>
      </c>
      <c r="G5" s="6" t="s">
        <v>775</v>
      </c>
      <c r="H5" s="6" t="s">
        <v>776</v>
      </c>
      <c r="J5" s="1215" t="s">
        <v>509</v>
      </c>
      <c r="K5" s="1219" t="s">
        <v>3109</v>
      </c>
      <c r="L5" s="8">
        <v>1</v>
      </c>
      <c r="M5" s="8">
        <v>8</v>
      </c>
      <c r="N5" s="1169" t="s">
        <v>271</v>
      </c>
      <c r="P5" s="6" t="s">
        <v>3322</v>
      </c>
      <c r="Q5" s="1215" t="s">
        <v>253</v>
      </c>
      <c r="R5" s="1215" t="s">
        <v>255</v>
      </c>
      <c r="S5" s="1215" t="s">
        <v>534</v>
      </c>
      <c r="T5" s="1215" t="s">
        <v>533</v>
      </c>
      <c r="U5" s="6" t="s">
        <v>539</v>
      </c>
      <c r="V5" s="6" t="s">
        <v>34</v>
      </c>
    </row>
    <row r="6" spans="1:24" ht="15" customHeight="1" x14ac:dyDescent="0.3">
      <c r="A6" s="6" t="s">
        <v>533</v>
      </c>
      <c r="B6" s="6" t="s">
        <v>534</v>
      </c>
      <c r="C6" s="6" t="s">
        <v>30</v>
      </c>
      <c r="D6" s="1088" t="s">
        <v>535</v>
      </c>
      <c r="E6" s="6" t="s">
        <v>162</v>
      </c>
      <c r="F6" s="6" t="s">
        <v>536</v>
      </c>
      <c r="G6" s="6" t="s">
        <v>915</v>
      </c>
      <c r="H6" s="6" t="s">
        <v>916</v>
      </c>
      <c r="J6" s="1215" t="s">
        <v>509</v>
      </c>
      <c r="K6" s="1219" t="s">
        <v>3033</v>
      </c>
      <c r="L6" s="8">
        <v>6</v>
      </c>
      <c r="M6" s="8">
        <v>44</v>
      </c>
      <c r="N6" s="1169" t="s">
        <v>271</v>
      </c>
      <c r="P6" s="6" t="s">
        <v>3322</v>
      </c>
      <c r="Q6" s="1215" t="s">
        <v>253</v>
      </c>
      <c r="R6" s="1215" t="s">
        <v>255</v>
      </c>
      <c r="S6" s="1215" t="s">
        <v>534</v>
      </c>
      <c r="T6" s="1215" t="s">
        <v>533</v>
      </c>
      <c r="U6" s="6" t="s">
        <v>539</v>
      </c>
      <c r="V6" s="6" t="s">
        <v>34</v>
      </c>
    </row>
    <row r="7" spans="1:24" ht="15" customHeight="1" x14ac:dyDescent="0.3">
      <c r="A7" s="6" t="s">
        <v>533</v>
      </c>
      <c r="B7" s="6" t="s">
        <v>534</v>
      </c>
      <c r="C7" s="6" t="s">
        <v>30</v>
      </c>
      <c r="D7" s="1088" t="s">
        <v>535</v>
      </c>
      <c r="E7" s="6" t="s">
        <v>162</v>
      </c>
      <c r="F7" s="6" t="s">
        <v>536</v>
      </c>
      <c r="G7" s="6" t="s">
        <v>720</v>
      </c>
      <c r="H7" s="6" t="s">
        <v>721</v>
      </c>
      <c r="J7" s="1215" t="s">
        <v>509</v>
      </c>
      <c r="K7" s="1219" t="s">
        <v>3033</v>
      </c>
      <c r="L7" s="8">
        <v>4</v>
      </c>
      <c r="M7" s="8">
        <v>23</v>
      </c>
      <c r="N7" s="1169" t="s">
        <v>271</v>
      </c>
      <c r="P7" s="6" t="s">
        <v>3322</v>
      </c>
      <c r="Q7" s="1215" t="s">
        <v>253</v>
      </c>
      <c r="R7" s="1215" t="s">
        <v>255</v>
      </c>
      <c r="S7" s="1215" t="s">
        <v>534</v>
      </c>
      <c r="T7" s="1215" t="s">
        <v>533</v>
      </c>
      <c r="U7" s="6" t="s">
        <v>539</v>
      </c>
      <c r="V7" s="6" t="s">
        <v>34</v>
      </c>
    </row>
    <row r="8" spans="1:24" ht="15" customHeight="1" x14ac:dyDescent="0.3">
      <c r="A8" s="6" t="s">
        <v>533</v>
      </c>
      <c r="B8" s="6" t="s">
        <v>534</v>
      </c>
      <c r="C8" s="6" t="s">
        <v>30</v>
      </c>
      <c r="D8" s="1088" t="s">
        <v>535</v>
      </c>
      <c r="E8" s="6" t="s">
        <v>162</v>
      </c>
      <c r="F8" s="6" t="s">
        <v>536</v>
      </c>
      <c r="G8" s="6" t="s">
        <v>720</v>
      </c>
      <c r="H8" s="6" t="s">
        <v>721</v>
      </c>
      <c r="J8" s="1215" t="s">
        <v>509</v>
      </c>
      <c r="K8" s="1219" t="s">
        <v>3111</v>
      </c>
      <c r="L8" s="8">
        <v>0</v>
      </c>
      <c r="M8" s="8">
        <v>5</v>
      </c>
      <c r="N8" s="1169" t="s">
        <v>271</v>
      </c>
      <c r="P8" s="6" t="s">
        <v>3322</v>
      </c>
      <c r="Q8" s="1215" t="s">
        <v>253</v>
      </c>
      <c r="R8" s="1215" t="s">
        <v>255</v>
      </c>
      <c r="S8" s="1215" t="s">
        <v>534</v>
      </c>
      <c r="T8" s="1215" t="s">
        <v>533</v>
      </c>
      <c r="U8" s="6" t="s">
        <v>539</v>
      </c>
      <c r="V8" s="6" t="s">
        <v>34</v>
      </c>
    </row>
    <row r="9" spans="1:24" ht="15" customHeight="1" x14ac:dyDescent="0.3">
      <c r="A9" s="6" t="s">
        <v>533</v>
      </c>
      <c r="B9" s="6" t="s">
        <v>534</v>
      </c>
      <c r="C9" s="6" t="s">
        <v>30</v>
      </c>
      <c r="D9" s="1088" t="s">
        <v>535</v>
      </c>
      <c r="E9" s="1088" t="s">
        <v>162</v>
      </c>
      <c r="F9" s="6" t="s">
        <v>536</v>
      </c>
      <c r="G9" s="6" t="s">
        <v>720</v>
      </c>
      <c r="H9" s="6" t="s">
        <v>721</v>
      </c>
      <c r="J9" s="1215" t="s">
        <v>509</v>
      </c>
      <c r="K9" s="1219" t="s">
        <v>3112</v>
      </c>
      <c r="L9" s="8">
        <v>0</v>
      </c>
      <c r="M9" s="8">
        <v>8</v>
      </c>
      <c r="N9" s="1169" t="s">
        <v>271</v>
      </c>
      <c r="P9" s="6" t="s">
        <v>3322</v>
      </c>
      <c r="Q9" s="1215" t="s">
        <v>253</v>
      </c>
      <c r="R9" s="1215" t="s">
        <v>255</v>
      </c>
      <c r="S9" s="1215" t="s">
        <v>534</v>
      </c>
      <c r="T9" s="1215" t="s">
        <v>533</v>
      </c>
      <c r="U9" s="6" t="s">
        <v>539</v>
      </c>
      <c r="V9" s="6" t="s">
        <v>34</v>
      </c>
    </row>
    <row r="10" spans="1:24" ht="15" customHeight="1" x14ac:dyDescent="0.3">
      <c r="A10" s="6" t="s">
        <v>533</v>
      </c>
      <c r="B10" s="6" t="s">
        <v>534</v>
      </c>
      <c r="C10" s="6" t="s">
        <v>30</v>
      </c>
      <c r="D10" s="1088" t="s">
        <v>535</v>
      </c>
      <c r="E10" s="6" t="s">
        <v>162</v>
      </c>
      <c r="F10" s="6" t="s">
        <v>536</v>
      </c>
      <c r="G10" s="6" t="s">
        <v>722</v>
      </c>
      <c r="H10" s="6" t="s">
        <v>723</v>
      </c>
      <c r="J10" s="1215" t="s">
        <v>509</v>
      </c>
      <c r="K10" s="1219" t="s">
        <v>3033</v>
      </c>
      <c r="L10" s="8">
        <v>19</v>
      </c>
      <c r="M10" s="8">
        <v>123</v>
      </c>
      <c r="N10" s="1169" t="s">
        <v>271</v>
      </c>
      <c r="P10" s="6" t="s">
        <v>3322</v>
      </c>
      <c r="Q10" s="1215" t="s">
        <v>253</v>
      </c>
      <c r="R10" s="1215" t="s">
        <v>255</v>
      </c>
      <c r="S10" s="1215" t="s">
        <v>534</v>
      </c>
      <c r="T10" s="1215" t="s">
        <v>533</v>
      </c>
      <c r="U10" s="6" t="s">
        <v>539</v>
      </c>
      <c r="V10" s="6" t="s">
        <v>34</v>
      </c>
    </row>
    <row r="11" spans="1:24" ht="15" customHeight="1" x14ac:dyDescent="0.3">
      <c r="A11" s="6" t="s">
        <v>533</v>
      </c>
      <c r="B11" s="6" t="s">
        <v>534</v>
      </c>
      <c r="C11" s="6" t="s">
        <v>30</v>
      </c>
      <c r="D11" s="1088" t="s">
        <v>535</v>
      </c>
      <c r="E11" s="6" t="s">
        <v>162</v>
      </c>
      <c r="F11" s="6" t="s">
        <v>536</v>
      </c>
      <c r="G11" s="6" t="s">
        <v>722</v>
      </c>
      <c r="H11" s="6" t="s">
        <v>723</v>
      </c>
      <c r="J11" s="1215" t="s">
        <v>509</v>
      </c>
      <c r="K11" s="1219" t="s">
        <v>3109</v>
      </c>
      <c r="L11" s="8">
        <v>0</v>
      </c>
      <c r="M11" s="8">
        <v>2</v>
      </c>
      <c r="N11" s="1169" t="s">
        <v>271</v>
      </c>
      <c r="P11" s="6" t="s">
        <v>3322</v>
      </c>
      <c r="Q11" s="1215" t="s">
        <v>253</v>
      </c>
      <c r="R11" s="1215" t="s">
        <v>255</v>
      </c>
      <c r="S11" s="1215" t="s">
        <v>534</v>
      </c>
      <c r="T11" s="1215" t="s">
        <v>533</v>
      </c>
      <c r="U11" s="6" t="s">
        <v>539</v>
      </c>
      <c r="V11" s="6" t="s">
        <v>34</v>
      </c>
    </row>
    <row r="12" spans="1:24" ht="15" customHeight="1" x14ac:dyDescent="0.3">
      <c r="A12" s="6" t="s">
        <v>533</v>
      </c>
      <c r="B12" s="6" t="s">
        <v>534</v>
      </c>
      <c r="C12" s="6" t="s">
        <v>30</v>
      </c>
      <c r="D12" s="1088" t="s">
        <v>535</v>
      </c>
      <c r="E12" s="6" t="s">
        <v>162</v>
      </c>
      <c r="F12" s="6" t="s">
        <v>536</v>
      </c>
      <c r="G12" s="6" t="s">
        <v>722</v>
      </c>
      <c r="H12" s="6" t="s">
        <v>723</v>
      </c>
      <c r="J12" s="1215" t="s">
        <v>509</v>
      </c>
      <c r="K12" s="1219" t="s">
        <v>3112</v>
      </c>
      <c r="L12" s="8">
        <v>0</v>
      </c>
      <c r="M12" s="8">
        <v>2</v>
      </c>
      <c r="N12" s="1169" t="s">
        <v>271</v>
      </c>
      <c r="P12" s="6" t="s">
        <v>3322</v>
      </c>
      <c r="Q12" s="1215" t="s">
        <v>253</v>
      </c>
      <c r="R12" s="1215" t="s">
        <v>255</v>
      </c>
      <c r="S12" s="1215" t="s">
        <v>534</v>
      </c>
      <c r="T12" s="1215" t="s">
        <v>533</v>
      </c>
      <c r="U12" s="6" t="s">
        <v>539</v>
      </c>
      <c r="V12" s="6" t="s">
        <v>34</v>
      </c>
    </row>
    <row r="13" spans="1:24" ht="15" customHeight="1" x14ac:dyDescent="0.3">
      <c r="A13" s="6" t="s">
        <v>533</v>
      </c>
      <c r="B13" s="6" t="s">
        <v>534</v>
      </c>
      <c r="C13" s="6" t="s">
        <v>30</v>
      </c>
      <c r="D13" s="1088" t="s">
        <v>535</v>
      </c>
      <c r="E13" s="6" t="s">
        <v>162</v>
      </c>
      <c r="F13" s="6" t="s">
        <v>536</v>
      </c>
      <c r="G13" s="6" t="s">
        <v>540</v>
      </c>
      <c r="H13" s="6" t="s">
        <v>541</v>
      </c>
      <c r="J13" s="1215" t="s">
        <v>509</v>
      </c>
      <c r="K13" s="1219" t="s">
        <v>3033</v>
      </c>
      <c r="L13" s="8">
        <v>15</v>
      </c>
      <c r="M13" s="8">
        <v>157</v>
      </c>
      <c r="N13" s="1169" t="s">
        <v>271</v>
      </c>
      <c r="P13" s="6" t="s">
        <v>3322</v>
      </c>
      <c r="Q13" s="1215" t="s">
        <v>253</v>
      </c>
      <c r="R13" s="1215" t="s">
        <v>255</v>
      </c>
      <c r="S13" s="1215" t="s">
        <v>534</v>
      </c>
      <c r="T13" s="1215" t="s">
        <v>533</v>
      </c>
      <c r="U13" s="6" t="s">
        <v>539</v>
      </c>
      <c r="V13" s="6" t="s">
        <v>34</v>
      </c>
    </row>
    <row r="14" spans="1:24" ht="15" customHeight="1" x14ac:dyDescent="0.3">
      <c r="A14" s="6" t="s">
        <v>533</v>
      </c>
      <c r="B14" s="6" t="s">
        <v>534</v>
      </c>
      <c r="C14" s="6" t="s">
        <v>30</v>
      </c>
      <c r="D14" s="1088" t="s">
        <v>535</v>
      </c>
      <c r="E14" s="6" t="s">
        <v>162</v>
      </c>
      <c r="F14" s="6" t="s">
        <v>536</v>
      </c>
      <c r="G14" s="6" t="s">
        <v>540</v>
      </c>
      <c r="H14" s="6" t="s">
        <v>541</v>
      </c>
      <c r="J14" s="1215" t="s">
        <v>509</v>
      </c>
      <c r="K14" s="1219" t="s">
        <v>3110</v>
      </c>
      <c r="L14" s="8">
        <v>0</v>
      </c>
      <c r="M14" s="8">
        <v>1</v>
      </c>
      <c r="N14" s="1169" t="s">
        <v>271</v>
      </c>
      <c r="P14" s="6" t="s">
        <v>3322</v>
      </c>
      <c r="Q14" s="1215" t="s">
        <v>253</v>
      </c>
      <c r="R14" s="1215" t="s">
        <v>255</v>
      </c>
      <c r="S14" s="1215" t="s">
        <v>534</v>
      </c>
      <c r="T14" s="1215" t="s">
        <v>533</v>
      </c>
      <c r="U14" s="6" t="s">
        <v>539</v>
      </c>
      <c r="V14" s="6" t="s">
        <v>34</v>
      </c>
    </row>
    <row r="15" spans="1:24" ht="15" customHeight="1" x14ac:dyDescent="0.3">
      <c r="A15" s="6" t="s">
        <v>533</v>
      </c>
      <c r="B15" s="6" t="s">
        <v>534</v>
      </c>
      <c r="C15" s="6" t="s">
        <v>30</v>
      </c>
      <c r="D15" s="1088" t="s">
        <v>535</v>
      </c>
      <c r="E15" s="6" t="s">
        <v>162</v>
      </c>
      <c r="F15" s="6" t="s">
        <v>536</v>
      </c>
      <c r="G15" s="6" t="s">
        <v>537</v>
      </c>
      <c r="H15" s="6" t="s">
        <v>538</v>
      </c>
      <c r="J15" s="1215" t="s">
        <v>509</v>
      </c>
      <c r="K15" s="1219" t="s">
        <v>3033</v>
      </c>
      <c r="L15" s="8">
        <v>0</v>
      </c>
      <c r="M15" s="8">
        <v>2</v>
      </c>
      <c r="N15" s="1169" t="s">
        <v>271</v>
      </c>
      <c r="P15" s="6" t="s">
        <v>3322</v>
      </c>
      <c r="Q15" s="1215" t="s">
        <v>253</v>
      </c>
      <c r="R15" s="1215" t="s">
        <v>255</v>
      </c>
      <c r="S15" s="1215" t="s">
        <v>534</v>
      </c>
      <c r="T15" s="1215" t="s">
        <v>533</v>
      </c>
      <c r="U15" s="6" t="s">
        <v>539</v>
      </c>
      <c r="V15" s="6" t="s">
        <v>34</v>
      </c>
    </row>
    <row r="16" spans="1:24" ht="15" customHeight="1" x14ac:dyDescent="0.3">
      <c r="A16" s="6" t="s">
        <v>533</v>
      </c>
      <c r="B16" s="6" t="s">
        <v>534</v>
      </c>
      <c r="C16" s="6" t="s">
        <v>30</v>
      </c>
      <c r="D16" s="1088" t="s">
        <v>535</v>
      </c>
      <c r="E16" s="6" t="s">
        <v>162</v>
      </c>
      <c r="F16" s="6" t="s">
        <v>536</v>
      </c>
      <c r="G16" s="6" t="s">
        <v>537</v>
      </c>
      <c r="H16" s="6" t="s">
        <v>538</v>
      </c>
      <c r="J16" s="1215" t="s">
        <v>509</v>
      </c>
      <c r="K16" s="1219" t="s">
        <v>3110</v>
      </c>
      <c r="L16" s="8">
        <v>134</v>
      </c>
      <c r="M16" s="8">
        <v>715</v>
      </c>
      <c r="N16" s="1169" t="s">
        <v>271</v>
      </c>
      <c r="P16" s="6" t="s">
        <v>3322</v>
      </c>
      <c r="Q16" s="1215" t="s">
        <v>253</v>
      </c>
      <c r="R16" s="1215" t="s">
        <v>255</v>
      </c>
      <c r="S16" s="1215" t="s">
        <v>534</v>
      </c>
      <c r="T16" s="1215" t="s">
        <v>533</v>
      </c>
      <c r="U16" s="6" t="s">
        <v>539</v>
      </c>
      <c r="V16" s="6" t="s">
        <v>34</v>
      </c>
    </row>
    <row r="17" spans="1:24" ht="15" customHeight="1" x14ac:dyDescent="0.3">
      <c r="A17" s="6" t="s">
        <v>533</v>
      </c>
      <c r="B17" s="6" t="s">
        <v>534</v>
      </c>
      <c r="C17" s="6" t="s">
        <v>30</v>
      </c>
      <c r="D17" s="1088" t="s">
        <v>535</v>
      </c>
      <c r="E17" s="6" t="s">
        <v>162</v>
      </c>
      <c r="F17" s="6" t="s">
        <v>536</v>
      </c>
      <c r="G17" s="6" t="s">
        <v>537</v>
      </c>
      <c r="H17" s="6" t="s">
        <v>538</v>
      </c>
      <c r="J17" s="1215" t="s">
        <v>509</v>
      </c>
      <c r="K17" s="1219" t="s">
        <v>3111</v>
      </c>
      <c r="L17" s="8">
        <v>0</v>
      </c>
      <c r="M17" s="8">
        <v>2</v>
      </c>
      <c r="N17" s="1169" t="s">
        <v>271</v>
      </c>
      <c r="P17" s="6" t="s">
        <v>3322</v>
      </c>
      <c r="Q17" s="1215" t="s">
        <v>253</v>
      </c>
      <c r="R17" s="1215" t="s">
        <v>255</v>
      </c>
      <c r="S17" s="1215" t="s">
        <v>534</v>
      </c>
      <c r="T17" s="1215" t="s">
        <v>533</v>
      </c>
      <c r="U17" s="6" t="s">
        <v>539</v>
      </c>
      <c r="V17" s="6" t="s">
        <v>34</v>
      </c>
    </row>
    <row r="18" spans="1:24" ht="15" customHeight="1" x14ac:dyDescent="0.3">
      <c r="A18" s="6" t="s">
        <v>533</v>
      </c>
      <c r="B18" s="6" t="s">
        <v>534</v>
      </c>
      <c r="C18" s="6" t="s">
        <v>30</v>
      </c>
      <c r="D18" s="1088" t="s">
        <v>535</v>
      </c>
      <c r="E18" s="6" t="s">
        <v>162</v>
      </c>
      <c r="F18" s="6" t="s">
        <v>536</v>
      </c>
      <c r="G18" s="6" t="s">
        <v>537</v>
      </c>
      <c r="H18" s="6" t="s">
        <v>538</v>
      </c>
      <c r="J18" s="1215" t="s">
        <v>509</v>
      </c>
      <c r="K18" s="1219" t="s">
        <v>3109</v>
      </c>
      <c r="L18" s="8">
        <v>1</v>
      </c>
      <c r="M18" s="8">
        <v>6</v>
      </c>
      <c r="N18" s="1169" t="s">
        <v>271</v>
      </c>
      <c r="P18" s="6" t="s">
        <v>3322</v>
      </c>
      <c r="Q18" s="1215" t="s">
        <v>253</v>
      </c>
      <c r="R18" s="1215" t="s">
        <v>255</v>
      </c>
      <c r="S18" s="1215" t="s">
        <v>534</v>
      </c>
      <c r="T18" s="1215" t="s">
        <v>533</v>
      </c>
      <c r="U18" s="6" t="s">
        <v>539</v>
      </c>
      <c r="V18" s="6" t="s">
        <v>34</v>
      </c>
    </row>
    <row r="19" spans="1:24" ht="15" customHeight="1" x14ac:dyDescent="0.3">
      <c r="A19" s="6" t="s">
        <v>533</v>
      </c>
      <c r="B19" s="6" t="s">
        <v>534</v>
      </c>
      <c r="C19" s="6" t="s">
        <v>30</v>
      </c>
      <c r="D19" s="1088" t="s">
        <v>535</v>
      </c>
      <c r="E19" s="6" t="s">
        <v>162</v>
      </c>
      <c r="F19" s="6" t="s">
        <v>536</v>
      </c>
      <c r="G19" s="6" t="s">
        <v>577</v>
      </c>
      <c r="H19" s="6" t="s">
        <v>578</v>
      </c>
      <c r="J19" s="1215" t="s">
        <v>509</v>
      </c>
      <c r="K19" s="1219" t="s">
        <v>3033</v>
      </c>
      <c r="L19" s="8">
        <v>5</v>
      </c>
      <c r="M19" s="8">
        <v>31</v>
      </c>
      <c r="N19" s="1169" t="s">
        <v>271</v>
      </c>
      <c r="P19" s="6" t="s">
        <v>3322</v>
      </c>
      <c r="Q19" s="1215" t="s">
        <v>253</v>
      </c>
      <c r="R19" s="1215" t="s">
        <v>255</v>
      </c>
      <c r="S19" s="1215" t="s">
        <v>534</v>
      </c>
      <c r="T19" s="1215" t="s">
        <v>533</v>
      </c>
      <c r="U19" s="6" t="s">
        <v>539</v>
      </c>
      <c r="V19" s="6" t="s">
        <v>34</v>
      </c>
    </row>
    <row r="20" spans="1:24" ht="15" customHeight="1" x14ac:dyDescent="0.3">
      <c r="A20" s="6" t="s">
        <v>533</v>
      </c>
      <c r="B20" s="6" t="s">
        <v>534</v>
      </c>
      <c r="C20" s="6" t="s">
        <v>30</v>
      </c>
      <c r="D20" s="1088" t="s">
        <v>535</v>
      </c>
      <c r="E20" s="6" t="s">
        <v>162</v>
      </c>
      <c r="F20" s="6" t="s">
        <v>536</v>
      </c>
      <c r="G20" s="6" t="s">
        <v>577</v>
      </c>
      <c r="H20" s="6" t="s">
        <v>578</v>
      </c>
      <c r="J20" s="1215" t="s">
        <v>509</v>
      </c>
      <c r="K20" s="1219" t="s">
        <v>3109</v>
      </c>
      <c r="L20" s="8">
        <v>0</v>
      </c>
      <c r="M20" s="8">
        <v>4</v>
      </c>
      <c r="N20" s="1169" t="s">
        <v>271</v>
      </c>
      <c r="P20" s="6" t="s">
        <v>3322</v>
      </c>
      <c r="Q20" s="1215" t="s">
        <v>253</v>
      </c>
      <c r="R20" s="1215" t="s">
        <v>255</v>
      </c>
      <c r="S20" s="1215" t="s">
        <v>534</v>
      </c>
      <c r="T20" s="1215" t="s">
        <v>533</v>
      </c>
      <c r="U20" s="6" t="s">
        <v>539</v>
      </c>
      <c r="V20" s="6" t="s">
        <v>34</v>
      </c>
    </row>
    <row r="21" spans="1:24" ht="15" customHeight="1" x14ac:dyDescent="0.3">
      <c r="A21" s="6" t="s">
        <v>533</v>
      </c>
      <c r="B21" s="6" t="s">
        <v>534</v>
      </c>
      <c r="C21" s="6" t="s">
        <v>30</v>
      </c>
      <c r="D21" s="1088" t="s">
        <v>535</v>
      </c>
      <c r="E21" s="6" t="s">
        <v>162</v>
      </c>
      <c r="F21" s="6" t="s">
        <v>536</v>
      </c>
      <c r="G21" s="6" t="s">
        <v>577</v>
      </c>
      <c r="H21" s="6" t="s">
        <v>578</v>
      </c>
      <c r="J21" s="1215" t="s">
        <v>509</v>
      </c>
      <c r="K21" s="1219" t="s">
        <v>3110</v>
      </c>
      <c r="L21" s="8">
        <v>0</v>
      </c>
      <c r="M21" s="8">
        <v>1</v>
      </c>
      <c r="N21" s="1169" t="s">
        <v>271</v>
      </c>
      <c r="P21" s="6" t="s">
        <v>3322</v>
      </c>
      <c r="Q21" s="1215" t="s">
        <v>253</v>
      </c>
      <c r="R21" s="1215" t="s">
        <v>255</v>
      </c>
      <c r="S21" s="1215" t="s">
        <v>534</v>
      </c>
      <c r="T21" s="1215" t="s">
        <v>533</v>
      </c>
      <c r="U21" s="6" t="s">
        <v>539</v>
      </c>
      <c r="V21" s="6" t="s">
        <v>34</v>
      </c>
    </row>
    <row r="22" spans="1:24" ht="15" customHeight="1" x14ac:dyDescent="0.3">
      <c r="A22" s="6" t="s">
        <v>533</v>
      </c>
      <c r="B22" s="6" t="s">
        <v>534</v>
      </c>
      <c r="C22" s="6" t="s">
        <v>30</v>
      </c>
      <c r="D22" s="1088" t="s">
        <v>535</v>
      </c>
      <c r="E22" s="6" t="s">
        <v>162</v>
      </c>
      <c r="F22" s="6" t="s">
        <v>536</v>
      </c>
      <c r="G22" s="6" t="s">
        <v>579</v>
      </c>
      <c r="H22" s="6" t="s">
        <v>580</v>
      </c>
      <c r="J22" s="1215" t="s">
        <v>509</v>
      </c>
      <c r="K22" s="1219" t="s">
        <v>3033</v>
      </c>
      <c r="L22" s="8">
        <v>10</v>
      </c>
      <c r="M22" s="8">
        <v>45</v>
      </c>
      <c r="N22" s="1169" t="s">
        <v>271</v>
      </c>
      <c r="P22" s="6" t="s">
        <v>3322</v>
      </c>
      <c r="Q22" s="1215" t="s">
        <v>253</v>
      </c>
      <c r="R22" s="1215" t="s">
        <v>255</v>
      </c>
      <c r="S22" s="1215" t="s">
        <v>534</v>
      </c>
      <c r="T22" s="1215" t="s">
        <v>533</v>
      </c>
      <c r="U22" s="6" t="s">
        <v>539</v>
      </c>
      <c r="V22" s="6" t="s">
        <v>34</v>
      </c>
    </row>
    <row r="23" spans="1:24" ht="15" customHeight="1" x14ac:dyDescent="0.3">
      <c r="A23" s="6" t="s">
        <v>533</v>
      </c>
      <c r="B23" s="6" t="s">
        <v>534</v>
      </c>
      <c r="C23" s="6" t="s">
        <v>30</v>
      </c>
      <c r="D23" s="1088" t="s">
        <v>535</v>
      </c>
      <c r="E23" s="6" t="s">
        <v>162</v>
      </c>
      <c r="F23" s="6" t="s">
        <v>536</v>
      </c>
      <c r="G23" s="6" t="s">
        <v>579</v>
      </c>
      <c r="H23" s="6" t="s">
        <v>580</v>
      </c>
      <c r="J23" s="1215" t="s">
        <v>509</v>
      </c>
      <c r="K23" s="1219" t="s">
        <v>3110</v>
      </c>
      <c r="L23" s="8">
        <v>0</v>
      </c>
      <c r="M23" s="8">
        <v>5</v>
      </c>
      <c r="N23" s="1169" t="s">
        <v>271</v>
      </c>
      <c r="P23" s="6" t="s">
        <v>3322</v>
      </c>
      <c r="Q23" s="1215" t="s">
        <v>253</v>
      </c>
      <c r="R23" s="1215" t="s">
        <v>255</v>
      </c>
      <c r="S23" s="1215" t="s">
        <v>534</v>
      </c>
      <c r="T23" s="1215" t="s">
        <v>533</v>
      </c>
      <c r="U23" s="6" t="s">
        <v>539</v>
      </c>
      <c r="V23" s="6" t="s">
        <v>34</v>
      </c>
    </row>
    <row r="24" spans="1:24" ht="15" customHeight="1" x14ac:dyDescent="0.3">
      <c r="A24" s="6" t="s">
        <v>533</v>
      </c>
      <c r="B24" s="6" t="s">
        <v>534</v>
      </c>
      <c r="C24" s="6" t="s">
        <v>30</v>
      </c>
      <c r="D24" s="1088" t="s">
        <v>535</v>
      </c>
      <c r="E24" s="6" t="s">
        <v>162</v>
      </c>
      <c r="F24" s="6" t="s">
        <v>536</v>
      </c>
      <c r="G24" s="6" t="s">
        <v>585</v>
      </c>
      <c r="H24" s="6" t="s">
        <v>586</v>
      </c>
      <c r="J24" s="1215" t="s">
        <v>509</v>
      </c>
      <c r="K24" s="1219" t="s">
        <v>3033</v>
      </c>
      <c r="L24" s="8">
        <v>3</v>
      </c>
      <c r="M24" s="8">
        <v>27</v>
      </c>
      <c r="N24" s="1169" t="s">
        <v>271</v>
      </c>
      <c r="P24" s="6" t="s">
        <v>3322</v>
      </c>
      <c r="Q24" s="1215" t="s">
        <v>253</v>
      </c>
      <c r="R24" s="1215" t="s">
        <v>255</v>
      </c>
      <c r="S24" s="1215" t="s">
        <v>534</v>
      </c>
      <c r="T24" s="1215" t="s">
        <v>533</v>
      </c>
      <c r="U24" s="6" t="s">
        <v>539</v>
      </c>
      <c r="V24" s="6" t="s">
        <v>34</v>
      </c>
    </row>
    <row r="25" spans="1:24" ht="15" customHeight="1" x14ac:dyDescent="0.3">
      <c r="A25" s="6" t="s">
        <v>533</v>
      </c>
      <c r="B25" s="6" t="s">
        <v>534</v>
      </c>
      <c r="C25" s="6" t="s">
        <v>30</v>
      </c>
      <c r="D25" s="1088" t="s">
        <v>535</v>
      </c>
      <c r="E25" s="6" t="s">
        <v>162</v>
      </c>
      <c r="F25" s="6" t="s">
        <v>536</v>
      </c>
      <c r="G25" s="6" t="s">
        <v>583</v>
      </c>
      <c r="H25" s="6" t="s">
        <v>584</v>
      </c>
      <c r="J25" s="1215" t="s">
        <v>509</v>
      </c>
      <c r="K25" s="1219" t="s">
        <v>3033</v>
      </c>
      <c r="L25" s="8">
        <v>22</v>
      </c>
      <c r="M25" s="8">
        <v>84</v>
      </c>
      <c r="N25" s="1169" t="s">
        <v>271</v>
      </c>
      <c r="P25" s="6" t="s">
        <v>3322</v>
      </c>
      <c r="Q25" s="1215" t="s">
        <v>253</v>
      </c>
      <c r="R25" s="1215" t="s">
        <v>255</v>
      </c>
      <c r="S25" s="1215" t="s">
        <v>534</v>
      </c>
      <c r="T25" s="1215" t="s">
        <v>533</v>
      </c>
      <c r="U25" s="6" t="s">
        <v>539</v>
      </c>
      <c r="V25" s="6" t="s">
        <v>34</v>
      </c>
    </row>
    <row r="26" spans="1:24" ht="15" customHeight="1" x14ac:dyDescent="0.3">
      <c r="A26" s="6" t="s">
        <v>533</v>
      </c>
      <c r="B26" s="6" t="s">
        <v>534</v>
      </c>
      <c r="C26" s="6" t="s">
        <v>30</v>
      </c>
      <c r="D26" s="1088" t="s">
        <v>535</v>
      </c>
      <c r="E26" s="6" t="s">
        <v>162</v>
      </c>
      <c r="F26" s="6" t="s">
        <v>536</v>
      </c>
      <c r="G26" s="6" t="s">
        <v>641</v>
      </c>
      <c r="H26" s="6" t="s">
        <v>642</v>
      </c>
      <c r="J26" s="1215" t="s">
        <v>509</v>
      </c>
      <c r="K26" s="1219" t="s">
        <v>3033</v>
      </c>
      <c r="L26" s="8">
        <v>3</v>
      </c>
      <c r="M26" s="8">
        <v>31</v>
      </c>
      <c r="N26" s="1169" t="s">
        <v>271</v>
      </c>
      <c r="P26" s="6" t="s">
        <v>3322</v>
      </c>
      <c r="Q26" s="1215" t="s">
        <v>253</v>
      </c>
      <c r="R26" s="1215" t="s">
        <v>255</v>
      </c>
      <c r="S26" s="1215" t="s">
        <v>534</v>
      </c>
      <c r="T26" s="1215" t="s">
        <v>533</v>
      </c>
      <c r="U26" s="6" t="s">
        <v>539</v>
      </c>
      <c r="V26" s="6" t="s">
        <v>34</v>
      </c>
    </row>
    <row r="27" spans="1:24" ht="15" customHeight="1" x14ac:dyDescent="0.3">
      <c r="A27" s="6" t="s">
        <v>533</v>
      </c>
      <c r="B27" s="6" t="s">
        <v>534</v>
      </c>
      <c r="C27" s="6" t="s">
        <v>30</v>
      </c>
      <c r="D27" s="1088" t="s">
        <v>535</v>
      </c>
      <c r="E27" s="6" t="s">
        <v>162</v>
      </c>
      <c r="F27" s="6" t="s">
        <v>536</v>
      </c>
      <c r="G27" s="6" t="s">
        <v>730</v>
      </c>
      <c r="H27" s="6" t="s">
        <v>3269</v>
      </c>
      <c r="J27" s="1215" t="s">
        <v>509</v>
      </c>
      <c r="K27" s="1219" t="s">
        <v>3033</v>
      </c>
      <c r="L27" s="8">
        <v>20</v>
      </c>
      <c r="M27" s="8">
        <v>99</v>
      </c>
      <c r="N27" s="6" t="s">
        <v>271</v>
      </c>
      <c r="P27" s="6" t="s">
        <v>3322</v>
      </c>
      <c r="Q27" s="1215" t="s">
        <v>253</v>
      </c>
      <c r="R27" s="1215" t="s">
        <v>255</v>
      </c>
      <c r="S27" s="1215" t="s">
        <v>534</v>
      </c>
      <c r="T27" s="1215" t="s">
        <v>533</v>
      </c>
      <c r="U27" s="6" t="s">
        <v>539</v>
      </c>
      <c r="V27" s="6" t="s">
        <v>34</v>
      </c>
    </row>
    <row r="28" spans="1:24" ht="15" customHeight="1" x14ac:dyDescent="0.3">
      <c r="A28" s="6" t="s">
        <v>533</v>
      </c>
      <c r="B28" s="6" t="s">
        <v>534</v>
      </c>
      <c r="C28" s="6" t="s">
        <v>30</v>
      </c>
      <c r="D28" s="1088" t="s">
        <v>535</v>
      </c>
      <c r="E28" s="6" t="s">
        <v>162</v>
      </c>
      <c r="F28" s="6" t="s">
        <v>536</v>
      </c>
      <c r="G28" s="6" t="s">
        <v>552</v>
      </c>
      <c r="H28" s="6" t="s">
        <v>3270</v>
      </c>
      <c r="J28" s="1215" t="s">
        <v>509</v>
      </c>
      <c r="K28" s="1219" t="s">
        <v>3033</v>
      </c>
      <c r="L28" s="8">
        <v>13</v>
      </c>
      <c r="M28" s="8">
        <v>77</v>
      </c>
      <c r="N28" s="1169" t="s">
        <v>271</v>
      </c>
      <c r="P28" s="6" t="s">
        <v>3322</v>
      </c>
      <c r="Q28" s="1215" t="s">
        <v>253</v>
      </c>
      <c r="R28" s="1215" t="s">
        <v>255</v>
      </c>
      <c r="S28" s="1215" t="s">
        <v>534</v>
      </c>
      <c r="T28" s="1215" t="s">
        <v>533</v>
      </c>
      <c r="U28" s="6" t="s">
        <v>539</v>
      </c>
      <c r="V28" s="6" t="s">
        <v>34</v>
      </c>
    </row>
    <row r="29" spans="1:24" ht="15" customHeight="1" x14ac:dyDescent="0.3">
      <c r="A29" s="6" t="s">
        <v>533</v>
      </c>
      <c r="B29" s="6" t="s">
        <v>534</v>
      </c>
      <c r="C29" s="6" t="s">
        <v>30</v>
      </c>
      <c r="D29" s="1088" t="s">
        <v>535</v>
      </c>
      <c r="E29" s="6" t="s">
        <v>162</v>
      </c>
      <c r="F29" s="6" t="s">
        <v>536</v>
      </c>
      <c r="G29" s="6" t="s">
        <v>2190</v>
      </c>
      <c r="H29" s="6" t="s">
        <v>551</v>
      </c>
      <c r="J29" s="1215" t="s">
        <v>509</v>
      </c>
      <c r="K29" s="1219" t="s">
        <v>3111</v>
      </c>
      <c r="L29" s="8">
        <v>6</v>
      </c>
      <c r="M29" s="8">
        <v>20</v>
      </c>
      <c r="N29" s="1169" t="s">
        <v>274</v>
      </c>
      <c r="P29" s="6" t="s">
        <v>3322</v>
      </c>
      <c r="Q29" s="1215" t="s">
        <v>253</v>
      </c>
      <c r="R29" s="1215" t="s">
        <v>255</v>
      </c>
      <c r="S29" s="1215" t="s">
        <v>534</v>
      </c>
      <c r="T29" s="1215" t="s">
        <v>533</v>
      </c>
      <c r="U29" s="6" t="s">
        <v>542</v>
      </c>
      <c r="V29" s="6" t="s">
        <v>32</v>
      </c>
    </row>
    <row r="30" spans="1:24" ht="15" customHeight="1" x14ac:dyDescent="0.3">
      <c r="A30" s="6" t="s">
        <v>533</v>
      </c>
      <c r="B30" s="6" t="s">
        <v>534</v>
      </c>
      <c r="C30" s="6" t="s">
        <v>30</v>
      </c>
      <c r="D30" s="1088" t="s">
        <v>535</v>
      </c>
      <c r="E30" s="6" t="s">
        <v>162</v>
      </c>
      <c r="F30" s="6" t="s">
        <v>536</v>
      </c>
      <c r="G30" s="6" t="s">
        <v>2772</v>
      </c>
      <c r="H30" s="6" t="s">
        <v>732</v>
      </c>
      <c r="J30" s="1215" t="s">
        <v>509</v>
      </c>
      <c r="K30" s="1219" t="s">
        <v>3111</v>
      </c>
      <c r="L30" s="8">
        <v>40</v>
      </c>
      <c r="M30" s="8">
        <v>223</v>
      </c>
      <c r="N30" s="1169" t="s">
        <v>274</v>
      </c>
      <c r="P30" s="6" t="s">
        <v>3322</v>
      </c>
      <c r="Q30" s="1215" t="s">
        <v>253</v>
      </c>
      <c r="R30" s="1215" t="s">
        <v>255</v>
      </c>
      <c r="S30" s="1215" t="s">
        <v>534</v>
      </c>
      <c r="T30" s="1215" t="s">
        <v>533</v>
      </c>
      <c r="U30" s="6" t="s">
        <v>542</v>
      </c>
      <c r="V30" s="6" t="s">
        <v>32</v>
      </c>
    </row>
    <row r="31" spans="1:24" ht="15" customHeight="1" x14ac:dyDescent="0.3">
      <c r="A31" s="6" t="s">
        <v>533</v>
      </c>
      <c r="B31" s="6" t="s">
        <v>534</v>
      </c>
      <c r="C31" s="6" t="s">
        <v>35</v>
      </c>
      <c r="D31" s="1088" t="s">
        <v>567</v>
      </c>
      <c r="E31" s="6" t="s">
        <v>195</v>
      </c>
      <c r="F31" s="6" t="s">
        <v>733</v>
      </c>
      <c r="G31" s="6" t="s">
        <v>737</v>
      </c>
      <c r="H31" s="6" t="s">
        <v>1459</v>
      </c>
      <c r="J31" s="1215" t="s">
        <v>509</v>
      </c>
      <c r="K31" s="1219" t="s">
        <v>3111</v>
      </c>
      <c r="L31" s="8">
        <v>3</v>
      </c>
      <c r="M31" s="8">
        <v>12</v>
      </c>
      <c r="N31" s="1169" t="s">
        <v>271</v>
      </c>
      <c r="P31" s="6" t="s">
        <v>3323</v>
      </c>
      <c r="Q31" s="1215" t="s">
        <v>253</v>
      </c>
      <c r="R31" s="1215" t="s">
        <v>255</v>
      </c>
      <c r="S31" s="1215" t="s">
        <v>534</v>
      </c>
      <c r="T31" s="1215" t="s">
        <v>533</v>
      </c>
      <c r="U31" s="6" t="s">
        <v>567</v>
      </c>
      <c r="V31" s="6" t="s">
        <v>35</v>
      </c>
      <c r="X31" s="6" t="s">
        <v>192</v>
      </c>
    </row>
    <row r="32" spans="1:24" ht="15" customHeight="1" x14ac:dyDescent="0.3">
      <c r="A32" s="6" t="s">
        <v>533</v>
      </c>
      <c r="B32" s="6" t="s">
        <v>534</v>
      </c>
      <c r="C32" s="6" t="s">
        <v>35</v>
      </c>
      <c r="D32" s="1088" t="s">
        <v>567</v>
      </c>
      <c r="E32" s="1088" t="s">
        <v>195</v>
      </c>
      <c r="F32" s="6" t="s">
        <v>733</v>
      </c>
      <c r="G32" s="6" t="s">
        <v>2648</v>
      </c>
      <c r="H32" s="6" t="s">
        <v>1226</v>
      </c>
      <c r="J32" s="1215" t="s">
        <v>509</v>
      </c>
      <c r="K32" s="1219" t="s">
        <v>3112</v>
      </c>
      <c r="L32" s="8">
        <v>7</v>
      </c>
      <c r="M32" s="8">
        <v>34</v>
      </c>
      <c r="N32" s="1169" t="s">
        <v>271</v>
      </c>
      <c r="P32" s="6" t="s">
        <v>3323</v>
      </c>
      <c r="Q32" s="1215" t="s">
        <v>253</v>
      </c>
      <c r="R32" s="1215" t="s">
        <v>255</v>
      </c>
      <c r="S32" s="1215" t="s">
        <v>534</v>
      </c>
      <c r="T32" s="1215" t="s">
        <v>533</v>
      </c>
      <c r="U32" s="6" t="s">
        <v>567</v>
      </c>
      <c r="V32" s="6" t="s">
        <v>35</v>
      </c>
      <c r="X32" s="6" t="s">
        <v>192</v>
      </c>
    </row>
    <row r="33" spans="1:24" ht="15" customHeight="1" x14ac:dyDescent="0.3">
      <c r="A33" s="6" t="s">
        <v>533</v>
      </c>
      <c r="B33" s="6" t="s">
        <v>534</v>
      </c>
      <c r="C33" s="6" t="s">
        <v>35</v>
      </c>
      <c r="D33" s="1088" t="s">
        <v>567</v>
      </c>
      <c r="E33" s="1088" t="s">
        <v>195</v>
      </c>
      <c r="F33" s="6" t="s">
        <v>733</v>
      </c>
      <c r="G33" s="6" t="s">
        <v>2648</v>
      </c>
      <c r="H33" s="6" t="s">
        <v>1226</v>
      </c>
      <c r="J33" s="1215" t="s">
        <v>509</v>
      </c>
      <c r="K33" s="1219" t="s">
        <v>3033</v>
      </c>
      <c r="L33" s="8">
        <v>133</v>
      </c>
      <c r="M33" s="8">
        <v>3167</v>
      </c>
      <c r="N33" s="1169" t="s">
        <v>271</v>
      </c>
      <c r="P33" s="6" t="s">
        <v>3323</v>
      </c>
      <c r="Q33" s="1215" t="s">
        <v>253</v>
      </c>
      <c r="R33" s="1215" t="s">
        <v>255</v>
      </c>
      <c r="S33" s="1215" t="s">
        <v>534</v>
      </c>
      <c r="T33" s="1215" t="s">
        <v>533</v>
      </c>
      <c r="U33" s="6" t="s">
        <v>567</v>
      </c>
      <c r="V33" s="6" t="s">
        <v>35</v>
      </c>
      <c r="W33" s="6" t="s">
        <v>863</v>
      </c>
      <c r="X33" s="1215" t="s">
        <v>193</v>
      </c>
    </row>
    <row r="34" spans="1:24" ht="15" customHeight="1" x14ac:dyDescent="0.3">
      <c r="A34" s="6" t="s">
        <v>533</v>
      </c>
      <c r="B34" s="6" t="s">
        <v>534</v>
      </c>
      <c r="C34" s="6" t="s">
        <v>30</v>
      </c>
      <c r="D34" s="1088" t="s">
        <v>535</v>
      </c>
      <c r="E34" s="1088" t="s">
        <v>156</v>
      </c>
      <c r="F34" s="6" t="s">
        <v>697</v>
      </c>
      <c r="G34" s="6" t="s">
        <v>2827</v>
      </c>
      <c r="H34" s="6" t="s">
        <v>1573</v>
      </c>
      <c r="J34" s="1215" t="s">
        <v>509</v>
      </c>
      <c r="K34" s="1219" t="s">
        <v>3110</v>
      </c>
      <c r="L34" s="8">
        <v>8</v>
      </c>
      <c r="M34" s="8">
        <v>58</v>
      </c>
      <c r="N34" s="1169" t="s">
        <v>274</v>
      </c>
      <c r="P34" s="6" t="s">
        <v>3322</v>
      </c>
      <c r="Q34" s="1215" t="s">
        <v>253</v>
      </c>
      <c r="R34" s="1215" t="s">
        <v>255</v>
      </c>
      <c r="S34" s="1215" t="s">
        <v>534</v>
      </c>
      <c r="T34" s="1215" t="s">
        <v>533</v>
      </c>
      <c r="U34" s="6" t="s">
        <v>542</v>
      </c>
      <c r="V34" s="6" t="s">
        <v>32</v>
      </c>
    </row>
    <row r="35" spans="1:24" ht="15" customHeight="1" x14ac:dyDescent="0.3">
      <c r="A35" s="6" t="s">
        <v>533</v>
      </c>
      <c r="B35" s="6" t="s">
        <v>534</v>
      </c>
      <c r="C35" s="6" t="s">
        <v>30</v>
      </c>
      <c r="D35" s="1088" t="s">
        <v>535</v>
      </c>
      <c r="E35" s="6" t="s">
        <v>159</v>
      </c>
      <c r="F35" s="6" t="s">
        <v>574</v>
      </c>
      <c r="G35" s="6" t="s">
        <v>575</v>
      </c>
      <c r="H35" s="6" t="s">
        <v>576</v>
      </c>
      <c r="J35" s="1215" t="s">
        <v>509</v>
      </c>
      <c r="K35" s="1219" t="s">
        <v>3033</v>
      </c>
      <c r="L35" s="8">
        <v>2</v>
      </c>
      <c r="M35" s="8">
        <v>12</v>
      </c>
      <c r="N35" s="1169" t="s">
        <v>271</v>
      </c>
      <c r="P35" s="6" t="s">
        <v>3322</v>
      </c>
      <c r="Q35" s="1215" t="s">
        <v>253</v>
      </c>
      <c r="R35" s="1215" t="s">
        <v>255</v>
      </c>
      <c r="S35" s="1215" t="s">
        <v>534</v>
      </c>
      <c r="T35" s="1215" t="s">
        <v>533</v>
      </c>
      <c r="U35" s="6" t="s">
        <v>539</v>
      </c>
      <c r="V35" s="6" t="s">
        <v>34</v>
      </c>
    </row>
    <row r="36" spans="1:24" ht="15" customHeight="1" x14ac:dyDescent="0.3">
      <c r="A36" s="6" t="s">
        <v>533</v>
      </c>
      <c r="B36" s="6" t="s">
        <v>534</v>
      </c>
      <c r="C36" s="6" t="s">
        <v>30</v>
      </c>
      <c r="D36" s="1088" t="s">
        <v>535</v>
      </c>
      <c r="E36" s="6" t="s">
        <v>158</v>
      </c>
      <c r="F36" s="6" t="s">
        <v>571</v>
      </c>
      <c r="G36" s="6" t="s">
        <v>602</v>
      </c>
      <c r="H36" s="6" t="s">
        <v>603</v>
      </c>
      <c r="J36" s="1215" t="s">
        <v>509</v>
      </c>
      <c r="K36" s="1219" t="s">
        <v>3033</v>
      </c>
      <c r="L36" s="8">
        <v>3</v>
      </c>
      <c r="M36" s="8">
        <v>10</v>
      </c>
      <c r="N36" s="1169" t="s">
        <v>271</v>
      </c>
      <c r="P36" s="6" t="s">
        <v>3322</v>
      </c>
      <c r="Q36" s="1215" t="s">
        <v>253</v>
      </c>
      <c r="R36" s="1215" t="s">
        <v>255</v>
      </c>
      <c r="S36" s="1215" t="s">
        <v>534</v>
      </c>
      <c r="T36" s="1215" t="s">
        <v>533</v>
      </c>
      <c r="U36" s="6" t="s">
        <v>539</v>
      </c>
      <c r="V36" s="6" t="s">
        <v>34</v>
      </c>
    </row>
    <row r="37" spans="1:24" ht="15" customHeight="1" x14ac:dyDescent="0.3">
      <c r="A37" s="6" t="s">
        <v>533</v>
      </c>
      <c r="B37" s="6" t="s">
        <v>534</v>
      </c>
      <c r="C37" s="6" t="s">
        <v>30</v>
      </c>
      <c r="D37" s="1088" t="s">
        <v>535</v>
      </c>
      <c r="E37" s="6" t="s">
        <v>158</v>
      </c>
      <c r="F37" s="6" t="s">
        <v>571</v>
      </c>
      <c r="G37" s="6" t="s">
        <v>637</v>
      </c>
      <c r="H37" s="6" t="s">
        <v>638</v>
      </c>
      <c r="J37" s="1215" t="s">
        <v>509</v>
      </c>
      <c r="K37" s="1219" t="s">
        <v>3033</v>
      </c>
      <c r="L37" s="8">
        <v>4</v>
      </c>
      <c r="M37" s="8">
        <v>11</v>
      </c>
      <c r="N37" s="1169" t="s">
        <v>271</v>
      </c>
      <c r="P37" s="6" t="s">
        <v>3322</v>
      </c>
      <c r="Q37" s="1215" t="s">
        <v>253</v>
      </c>
      <c r="R37" s="1215" t="s">
        <v>255</v>
      </c>
      <c r="S37" s="1215" t="s">
        <v>534</v>
      </c>
      <c r="T37" s="1215" t="s">
        <v>533</v>
      </c>
      <c r="U37" s="6" t="s">
        <v>567</v>
      </c>
      <c r="V37" s="1215" t="s">
        <v>35</v>
      </c>
    </row>
    <row r="38" spans="1:24" ht="15" customHeight="1" x14ac:dyDescent="0.3">
      <c r="A38" s="6" t="s">
        <v>533</v>
      </c>
      <c r="B38" s="6" t="s">
        <v>534</v>
      </c>
      <c r="C38" s="6" t="s">
        <v>30</v>
      </c>
      <c r="D38" s="1088" t="s">
        <v>535</v>
      </c>
      <c r="E38" s="6" t="s">
        <v>160</v>
      </c>
      <c r="F38" s="6" t="s">
        <v>555</v>
      </c>
      <c r="G38" s="6" t="s">
        <v>699</v>
      </c>
      <c r="H38" s="6" t="s">
        <v>640</v>
      </c>
      <c r="J38" s="1215" t="s">
        <v>509</v>
      </c>
      <c r="K38" s="1219" t="s">
        <v>3033</v>
      </c>
      <c r="L38" s="8">
        <v>25</v>
      </c>
      <c r="M38" s="8">
        <v>134</v>
      </c>
      <c r="N38" s="1169" t="s">
        <v>271</v>
      </c>
      <c r="P38" s="6" t="s">
        <v>3322</v>
      </c>
      <c r="Q38" s="1215" t="s">
        <v>253</v>
      </c>
      <c r="R38" s="1215" t="s">
        <v>255</v>
      </c>
      <c r="S38" s="1215" t="s">
        <v>534</v>
      </c>
      <c r="T38" s="1215" t="s">
        <v>533</v>
      </c>
      <c r="U38" s="6" t="s">
        <v>539</v>
      </c>
      <c r="V38" s="6" t="s">
        <v>34</v>
      </c>
    </row>
    <row r="39" spans="1:24" ht="15" customHeight="1" x14ac:dyDescent="0.3">
      <c r="A39" s="6" t="s">
        <v>533</v>
      </c>
      <c r="B39" s="6" t="s">
        <v>534</v>
      </c>
      <c r="C39" s="6" t="s">
        <v>30</v>
      </c>
      <c r="D39" s="1088" t="s">
        <v>535</v>
      </c>
      <c r="E39" s="6" t="s">
        <v>160</v>
      </c>
      <c r="F39" s="6" t="s">
        <v>555</v>
      </c>
      <c r="G39" s="6" t="s">
        <v>701</v>
      </c>
      <c r="H39" s="6" t="s">
        <v>702</v>
      </c>
      <c r="J39" s="1215" t="s">
        <v>509</v>
      </c>
      <c r="K39" s="1219" t="s">
        <v>3033</v>
      </c>
      <c r="L39" s="8">
        <v>12</v>
      </c>
      <c r="M39" s="8">
        <v>58</v>
      </c>
      <c r="N39" s="1169" t="s">
        <v>271</v>
      </c>
      <c r="P39" s="6" t="s">
        <v>3322</v>
      </c>
      <c r="Q39" s="1215" t="s">
        <v>253</v>
      </c>
      <c r="R39" s="1215" t="s">
        <v>255</v>
      </c>
      <c r="S39" s="1215" t="s">
        <v>534</v>
      </c>
      <c r="T39" s="1215" t="s">
        <v>533</v>
      </c>
      <c r="U39" s="6" t="s">
        <v>539</v>
      </c>
      <c r="V39" s="6" t="s">
        <v>34</v>
      </c>
    </row>
    <row r="40" spans="1:24" ht="15" customHeight="1" x14ac:dyDescent="0.3">
      <c r="A40" s="6" t="s">
        <v>533</v>
      </c>
      <c r="B40" s="6" t="s">
        <v>534</v>
      </c>
      <c r="C40" s="6" t="s">
        <v>30</v>
      </c>
      <c r="D40" s="1088" t="s">
        <v>535</v>
      </c>
      <c r="E40" s="6" t="s">
        <v>158</v>
      </c>
      <c r="F40" s="6" t="s">
        <v>571</v>
      </c>
      <c r="G40" s="6" t="s">
        <v>728</v>
      </c>
      <c r="H40" s="6" t="s">
        <v>729</v>
      </c>
      <c r="J40" s="1215" t="s">
        <v>509</v>
      </c>
      <c r="K40" s="1219" t="s">
        <v>3033</v>
      </c>
      <c r="L40" s="8">
        <v>3</v>
      </c>
      <c r="M40" s="8">
        <v>14</v>
      </c>
      <c r="N40" s="1169" t="s">
        <v>271</v>
      </c>
      <c r="P40" s="6" t="s">
        <v>3322</v>
      </c>
      <c r="Q40" s="1215" t="s">
        <v>253</v>
      </c>
      <c r="R40" s="1215" t="s">
        <v>255</v>
      </c>
      <c r="S40" s="1215" t="s">
        <v>534</v>
      </c>
      <c r="T40" s="1215" t="s">
        <v>533</v>
      </c>
      <c r="U40" s="6" t="s">
        <v>539</v>
      </c>
      <c r="V40" s="6" t="s">
        <v>34</v>
      </c>
    </row>
    <row r="41" spans="1:24" ht="15" customHeight="1" x14ac:dyDescent="0.3">
      <c r="A41" s="6" t="s">
        <v>533</v>
      </c>
      <c r="B41" s="6" t="s">
        <v>534</v>
      </c>
      <c r="C41" s="6" t="s">
        <v>30</v>
      </c>
      <c r="D41" s="1088" t="s">
        <v>535</v>
      </c>
      <c r="E41" s="6" t="s">
        <v>160</v>
      </c>
      <c r="F41" s="6" t="s">
        <v>555</v>
      </c>
      <c r="G41" s="6" t="s">
        <v>639</v>
      </c>
      <c r="H41" s="6" t="s">
        <v>690</v>
      </c>
      <c r="J41" s="1215" t="s">
        <v>509</v>
      </c>
      <c r="K41" s="1219" t="s">
        <v>3033</v>
      </c>
      <c r="L41" s="8">
        <v>20</v>
      </c>
      <c r="M41" s="8">
        <v>252</v>
      </c>
      <c r="N41" s="1169" t="s">
        <v>271</v>
      </c>
      <c r="P41" s="6" t="s">
        <v>3322</v>
      </c>
      <c r="Q41" s="1215" t="s">
        <v>253</v>
      </c>
      <c r="R41" s="1215" t="s">
        <v>255</v>
      </c>
      <c r="S41" s="1215" t="s">
        <v>534</v>
      </c>
      <c r="T41" s="1215" t="s">
        <v>533</v>
      </c>
      <c r="U41" s="6" t="s">
        <v>539</v>
      </c>
      <c r="V41" s="6" t="s">
        <v>34</v>
      </c>
    </row>
    <row r="42" spans="1:24" ht="15" customHeight="1" x14ac:dyDescent="0.3">
      <c r="A42" s="6" t="s">
        <v>533</v>
      </c>
      <c r="B42" s="6" t="s">
        <v>534</v>
      </c>
      <c r="C42" s="6" t="s">
        <v>30</v>
      </c>
      <c r="D42" s="1088" t="s">
        <v>535</v>
      </c>
      <c r="E42" s="6" t="s">
        <v>158</v>
      </c>
      <c r="F42" s="6" t="s">
        <v>571</v>
      </c>
      <c r="G42" s="6" t="s">
        <v>600</v>
      </c>
      <c r="H42" s="6" t="s">
        <v>601</v>
      </c>
      <c r="J42" s="1215" t="s">
        <v>509</v>
      </c>
      <c r="K42" s="1219" t="s">
        <v>3033</v>
      </c>
      <c r="L42" s="8">
        <v>23</v>
      </c>
      <c r="M42" s="8">
        <v>141</v>
      </c>
      <c r="N42" s="1169" t="s">
        <v>271</v>
      </c>
      <c r="P42" s="6" t="s">
        <v>3322</v>
      </c>
      <c r="Q42" s="1215" t="s">
        <v>253</v>
      </c>
      <c r="R42" s="1215" t="s">
        <v>255</v>
      </c>
      <c r="S42" s="1215" t="s">
        <v>534</v>
      </c>
      <c r="T42" s="1215" t="s">
        <v>533</v>
      </c>
      <c r="U42" s="6" t="s">
        <v>539</v>
      </c>
      <c r="V42" s="6" t="s">
        <v>34</v>
      </c>
    </row>
    <row r="43" spans="1:24" ht="15" customHeight="1" x14ac:dyDescent="0.3">
      <c r="A43" s="6" t="s">
        <v>533</v>
      </c>
      <c r="B43" s="6" t="s">
        <v>534</v>
      </c>
      <c r="C43" s="6" t="s">
        <v>30</v>
      </c>
      <c r="D43" s="1088" t="s">
        <v>535</v>
      </c>
      <c r="E43" s="6" t="s">
        <v>158</v>
      </c>
      <c r="F43" s="6" t="s">
        <v>571</v>
      </c>
      <c r="G43" s="6" t="s">
        <v>600</v>
      </c>
      <c r="H43" s="6" t="s">
        <v>601</v>
      </c>
      <c r="J43" s="1215" t="s">
        <v>509</v>
      </c>
      <c r="K43" s="1219" t="s">
        <v>3112</v>
      </c>
      <c r="L43" s="8">
        <v>0</v>
      </c>
      <c r="M43" s="8">
        <v>10</v>
      </c>
      <c r="N43" s="1169" t="s">
        <v>271</v>
      </c>
      <c r="P43" s="6" t="s">
        <v>3322</v>
      </c>
      <c r="Q43" s="1215" t="s">
        <v>253</v>
      </c>
      <c r="R43" s="1215" t="s">
        <v>255</v>
      </c>
      <c r="S43" s="1215" t="s">
        <v>534</v>
      </c>
      <c r="T43" s="1215" t="s">
        <v>533</v>
      </c>
      <c r="U43" s="6" t="s">
        <v>539</v>
      </c>
      <c r="V43" s="6" t="s">
        <v>34</v>
      </c>
    </row>
    <row r="44" spans="1:24" ht="15" customHeight="1" x14ac:dyDescent="0.3">
      <c r="A44" s="6" t="s">
        <v>533</v>
      </c>
      <c r="B44" s="6" t="s">
        <v>534</v>
      </c>
      <c r="C44" s="6" t="s">
        <v>30</v>
      </c>
      <c r="D44" s="1088" t="s">
        <v>535</v>
      </c>
      <c r="E44" s="6" t="s">
        <v>158</v>
      </c>
      <c r="F44" s="6" t="s">
        <v>571</v>
      </c>
      <c r="G44" s="6" t="s">
        <v>572</v>
      </c>
      <c r="H44" s="6" t="s">
        <v>573</v>
      </c>
      <c r="J44" s="1215" t="s">
        <v>509</v>
      </c>
      <c r="K44" s="1219" t="s">
        <v>3033</v>
      </c>
      <c r="L44" s="8">
        <v>8</v>
      </c>
      <c r="M44" s="8">
        <v>62</v>
      </c>
      <c r="N44" s="1169" t="s">
        <v>271</v>
      </c>
      <c r="P44" s="6" t="s">
        <v>3322</v>
      </c>
      <c r="Q44" s="1215" t="s">
        <v>253</v>
      </c>
      <c r="R44" s="1215" t="s">
        <v>255</v>
      </c>
      <c r="S44" s="1215" t="s">
        <v>534</v>
      </c>
      <c r="T44" s="1215" t="s">
        <v>533</v>
      </c>
      <c r="U44" s="6" t="s">
        <v>539</v>
      </c>
      <c r="V44" s="6" t="s">
        <v>34</v>
      </c>
    </row>
    <row r="45" spans="1:24" ht="15" customHeight="1" x14ac:dyDescent="0.3">
      <c r="A45" s="6" t="s">
        <v>533</v>
      </c>
      <c r="B45" s="6" t="s">
        <v>534</v>
      </c>
      <c r="C45" s="6" t="s">
        <v>30</v>
      </c>
      <c r="D45" s="1088" t="s">
        <v>535</v>
      </c>
      <c r="E45" s="6" t="s">
        <v>162</v>
      </c>
      <c r="F45" s="6" t="s">
        <v>536</v>
      </c>
      <c r="G45" s="6" t="s">
        <v>643</v>
      </c>
      <c r="H45" s="6" t="s">
        <v>644</v>
      </c>
      <c r="J45" s="1215" t="s">
        <v>509</v>
      </c>
      <c r="K45" s="1219" t="s">
        <v>3033</v>
      </c>
      <c r="L45" s="8">
        <v>2</v>
      </c>
      <c r="M45" s="8">
        <v>14</v>
      </c>
      <c r="N45" s="1169" t="s">
        <v>271</v>
      </c>
      <c r="P45" s="6" t="s">
        <v>3322</v>
      </c>
      <c r="Q45" s="1215" t="s">
        <v>253</v>
      </c>
      <c r="R45" s="1215" t="s">
        <v>255</v>
      </c>
      <c r="S45" s="1215" t="s">
        <v>534</v>
      </c>
      <c r="T45" s="1215" t="s">
        <v>533</v>
      </c>
      <c r="U45" s="6" t="s">
        <v>539</v>
      </c>
      <c r="V45" s="6" t="s">
        <v>34</v>
      </c>
    </row>
    <row r="46" spans="1:24" ht="15" customHeight="1" x14ac:dyDescent="0.3">
      <c r="A46" s="6" t="s">
        <v>533</v>
      </c>
      <c r="B46" s="6" t="s">
        <v>534</v>
      </c>
      <c r="C46" s="6" t="s">
        <v>30</v>
      </c>
      <c r="D46" s="1088" t="s">
        <v>535</v>
      </c>
      <c r="E46" s="6" t="s">
        <v>162</v>
      </c>
      <c r="F46" s="6" t="s">
        <v>536</v>
      </c>
      <c r="G46" s="6" t="s">
        <v>643</v>
      </c>
      <c r="H46" s="6" t="s">
        <v>644</v>
      </c>
      <c r="J46" s="1215" t="s">
        <v>509</v>
      </c>
      <c r="K46" s="1219" t="s">
        <v>3109</v>
      </c>
      <c r="L46" s="8">
        <v>0</v>
      </c>
      <c r="M46" s="8">
        <v>1</v>
      </c>
      <c r="N46" s="1169" t="s">
        <v>271</v>
      </c>
      <c r="P46" s="6" t="s">
        <v>3322</v>
      </c>
      <c r="Q46" s="1215" t="s">
        <v>253</v>
      </c>
      <c r="R46" s="1215" t="s">
        <v>255</v>
      </c>
      <c r="S46" s="1215" t="s">
        <v>534</v>
      </c>
      <c r="T46" s="1215" t="s">
        <v>533</v>
      </c>
      <c r="U46" s="6" t="s">
        <v>539</v>
      </c>
      <c r="V46" s="6" t="s">
        <v>34</v>
      </c>
    </row>
    <row r="47" spans="1:24" ht="15" customHeight="1" x14ac:dyDescent="0.3">
      <c r="A47" s="6" t="s">
        <v>533</v>
      </c>
      <c r="B47" s="6" t="s">
        <v>534</v>
      </c>
      <c r="C47" s="6" t="s">
        <v>30</v>
      </c>
      <c r="D47" s="1088" t="s">
        <v>535</v>
      </c>
      <c r="E47" s="6" t="s">
        <v>162</v>
      </c>
      <c r="F47" s="6" t="s">
        <v>536</v>
      </c>
      <c r="G47" s="6" t="s">
        <v>643</v>
      </c>
      <c r="H47" s="6" t="s">
        <v>644</v>
      </c>
      <c r="J47" s="1215" t="s">
        <v>509</v>
      </c>
      <c r="K47" s="1219" t="s">
        <v>3110</v>
      </c>
      <c r="L47" s="8">
        <v>0</v>
      </c>
      <c r="M47" s="8">
        <v>3</v>
      </c>
      <c r="N47" s="1169" t="s">
        <v>271</v>
      </c>
      <c r="P47" s="6" t="s">
        <v>3322</v>
      </c>
      <c r="Q47" s="1215" t="s">
        <v>253</v>
      </c>
      <c r="R47" s="1215" t="s">
        <v>255</v>
      </c>
      <c r="S47" s="1215" t="s">
        <v>534</v>
      </c>
      <c r="T47" s="1215" t="s">
        <v>533</v>
      </c>
      <c r="U47" s="6" t="s">
        <v>539</v>
      </c>
      <c r="V47" s="6" t="s">
        <v>34</v>
      </c>
    </row>
    <row r="48" spans="1:24" ht="15" customHeight="1" x14ac:dyDescent="0.3">
      <c r="A48" s="6" t="s">
        <v>533</v>
      </c>
      <c r="B48" s="6" t="s">
        <v>534</v>
      </c>
      <c r="C48" s="6" t="s">
        <v>30</v>
      </c>
      <c r="D48" s="1088" t="s">
        <v>535</v>
      </c>
      <c r="E48" s="6" t="s">
        <v>162</v>
      </c>
      <c r="F48" s="6" t="s">
        <v>536</v>
      </c>
      <c r="G48" s="6" t="s">
        <v>695</v>
      </c>
      <c r="H48" s="6" t="s">
        <v>696</v>
      </c>
      <c r="J48" s="1215" t="s">
        <v>509</v>
      </c>
      <c r="K48" s="1219" t="s">
        <v>3033</v>
      </c>
      <c r="L48" s="8">
        <v>10</v>
      </c>
      <c r="M48" s="8">
        <v>58</v>
      </c>
      <c r="N48" s="1169" t="s">
        <v>271</v>
      </c>
      <c r="P48" s="6" t="s">
        <v>3322</v>
      </c>
      <c r="Q48" s="1215" t="s">
        <v>253</v>
      </c>
      <c r="R48" s="1215" t="s">
        <v>255</v>
      </c>
      <c r="S48" s="1215" t="s">
        <v>534</v>
      </c>
      <c r="T48" s="1215" t="s">
        <v>533</v>
      </c>
      <c r="U48" s="6" t="s">
        <v>539</v>
      </c>
      <c r="V48" s="6" t="s">
        <v>34</v>
      </c>
    </row>
    <row r="49" spans="1:24" ht="15" customHeight="1" x14ac:dyDescent="0.3">
      <c r="A49" s="6" t="s">
        <v>533</v>
      </c>
      <c r="B49" s="6" t="s">
        <v>534</v>
      </c>
      <c r="C49" s="6" t="s">
        <v>30</v>
      </c>
      <c r="D49" s="1088" t="s">
        <v>535</v>
      </c>
      <c r="E49" s="6" t="s">
        <v>162</v>
      </c>
      <c r="F49" s="6" t="s">
        <v>536</v>
      </c>
      <c r="G49" s="6" t="s">
        <v>695</v>
      </c>
      <c r="H49" s="6" t="s">
        <v>696</v>
      </c>
      <c r="J49" s="1215" t="s">
        <v>509</v>
      </c>
      <c r="K49" s="1219" t="s">
        <v>3111</v>
      </c>
      <c r="L49" s="8">
        <v>10</v>
      </c>
      <c r="M49" s="8">
        <v>170</v>
      </c>
      <c r="N49" s="1169" t="s">
        <v>274</v>
      </c>
      <c r="P49" s="6" t="s">
        <v>3322</v>
      </c>
      <c r="Q49" s="1215" t="s">
        <v>253</v>
      </c>
      <c r="R49" s="1215" t="s">
        <v>255</v>
      </c>
      <c r="S49" s="1215" t="s">
        <v>534</v>
      </c>
      <c r="T49" s="1215" t="s">
        <v>533</v>
      </c>
      <c r="U49" s="6" t="s">
        <v>542</v>
      </c>
      <c r="V49" s="6" t="s">
        <v>32</v>
      </c>
    </row>
    <row r="50" spans="1:24" ht="15" customHeight="1" x14ac:dyDescent="0.3">
      <c r="A50" s="6" t="s">
        <v>533</v>
      </c>
      <c r="B50" s="6" t="s">
        <v>534</v>
      </c>
      <c r="C50" s="6" t="s">
        <v>30</v>
      </c>
      <c r="D50" s="1088" t="s">
        <v>535</v>
      </c>
      <c r="E50" s="6" t="s">
        <v>162</v>
      </c>
      <c r="F50" s="6" t="s">
        <v>536</v>
      </c>
      <c r="G50" s="6" t="s">
        <v>652</v>
      </c>
      <c r="H50" s="6" t="s">
        <v>655</v>
      </c>
      <c r="J50" s="1215" t="s">
        <v>509</v>
      </c>
      <c r="K50" s="1219" t="s">
        <v>3033</v>
      </c>
      <c r="L50" s="8">
        <v>5</v>
      </c>
      <c r="M50" s="8">
        <v>28</v>
      </c>
      <c r="N50" s="1169" t="s">
        <v>271</v>
      </c>
      <c r="P50" s="6" t="s">
        <v>3322</v>
      </c>
      <c r="Q50" s="1215" t="s">
        <v>253</v>
      </c>
      <c r="R50" s="1215" t="s">
        <v>255</v>
      </c>
      <c r="S50" s="1215" t="s">
        <v>534</v>
      </c>
      <c r="T50" s="1215" t="s">
        <v>533</v>
      </c>
      <c r="U50" s="6" t="s">
        <v>539</v>
      </c>
      <c r="V50" s="6" t="s">
        <v>34</v>
      </c>
    </row>
    <row r="51" spans="1:24" ht="15" customHeight="1" x14ac:dyDescent="0.3">
      <c r="A51" s="6" t="s">
        <v>533</v>
      </c>
      <c r="B51" s="6" t="s">
        <v>534</v>
      </c>
      <c r="C51" s="6" t="s">
        <v>30</v>
      </c>
      <c r="D51" s="1088" t="s">
        <v>535</v>
      </c>
      <c r="E51" s="6" t="s">
        <v>160</v>
      </c>
      <c r="F51" s="6" t="s">
        <v>555</v>
      </c>
      <c r="G51" s="6" t="s">
        <v>630</v>
      </c>
      <c r="H51" s="6" t="s">
        <v>631</v>
      </c>
      <c r="J51" s="1215" t="s">
        <v>509</v>
      </c>
      <c r="K51" s="1219" t="s">
        <v>3033</v>
      </c>
      <c r="L51" s="8">
        <v>44</v>
      </c>
      <c r="M51" s="8">
        <v>374</v>
      </c>
      <c r="N51" s="1169" t="s">
        <v>271</v>
      </c>
      <c r="P51" s="6" t="s">
        <v>3322</v>
      </c>
      <c r="Q51" s="1215" t="s">
        <v>253</v>
      </c>
      <c r="R51" s="1215" t="s">
        <v>255</v>
      </c>
      <c r="S51" s="1215" t="s">
        <v>534</v>
      </c>
      <c r="T51" s="1215" t="s">
        <v>533</v>
      </c>
      <c r="U51" s="6" t="s">
        <v>539</v>
      </c>
      <c r="V51" s="6" t="s">
        <v>34</v>
      </c>
    </row>
    <row r="52" spans="1:24" ht="15" customHeight="1" x14ac:dyDescent="0.3">
      <c r="A52" s="6" t="s">
        <v>533</v>
      </c>
      <c r="B52" s="6" t="s">
        <v>534</v>
      </c>
      <c r="C52" s="6" t="s">
        <v>30</v>
      </c>
      <c r="D52" s="1088" t="s">
        <v>535</v>
      </c>
      <c r="E52" s="6" t="s">
        <v>160</v>
      </c>
      <c r="F52" s="6" t="s">
        <v>555</v>
      </c>
      <c r="G52" s="6" t="s">
        <v>632</v>
      </c>
      <c r="H52" s="6" t="s">
        <v>633</v>
      </c>
      <c r="J52" s="1215" t="s">
        <v>509</v>
      </c>
      <c r="K52" s="1219" t="s">
        <v>3110</v>
      </c>
      <c r="L52" s="8">
        <v>119</v>
      </c>
      <c r="M52" s="8">
        <v>831</v>
      </c>
      <c r="N52" s="1169" t="s">
        <v>274</v>
      </c>
      <c r="P52" s="6" t="s">
        <v>3322</v>
      </c>
      <c r="Q52" s="1215" t="s">
        <v>253</v>
      </c>
      <c r="R52" s="1215" t="s">
        <v>255</v>
      </c>
      <c r="S52" s="1215" t="s">
        <v>534</v>
      </c>
      <c r="T52" s="1215" t="s">
        <v>533</v>
      </c>
      <c r="U52" s="6" t="s">
        <v>542</v>
      </c>
      <c r="V52" s="6" t="s">
        <v>32</v>
      </c>
    </row>
    <row r="53" spans="1:24" ht="15" customHeight="1" x14ac:dyDescent="0.3">
      <c r="A53" s="6" t="s">
        <v>533</v>
      </c>
      <c r="B53" s="6" t="s">
        <v>534</v>
      </c>
      <c r="C53" s="6" t="s">
        <v>30</v>
      </c>
      <c r="D53" s="1088" t="s">
        <v>535</v>
      </c>
      <c r="E53" s="6" t="s">
        <v>161</v>
      </c>
      <c r="F53" s="6" t="s">
        <v>587</v>
      </c>
      <c r="G53" s="6" t="s">
        <v>691</v>
      </c>
      <c r="H53" s="6" t="s">
        <v>692</v>
      </c>
      <c r="J53" s="1215" t="s">
        <v>509</v>
      </c>
      <c r="K53" s="1219" t="s">
        <v>3033</v>
      </c>
      <c r="L53" s="8">
        <v>6</v>
      </c>
      <c r="M53" s="8">
        <v>52</v>
      </c>
      <c r="N53" s="1169" t="s">
        <v>271</v>
      </c>
      <c r="P53" s="6" t="s">
        <v>3322</v>
      </c>
      <c r="Q53" s="1215" t="s">
        <v>253</v>
      </c>
      <c r="R53" s="1215" t="s">
        <v>255</v>
      </c>
      <c r="S53" s="1215" t="s">
        <v>534</v>
      </c>
      <c r="T53" s="1215" t="s">
        <v>533</v>
      </c>
      <c r="U53" s="6" t="s">
        <v>539</v>
      </c>
      <c r="V53" s="6" t="s">
        <v>34</v>
      </c>
    </row>
    <row r="54" spans="1:24" ht="15" customHeight="1" x14ac:dyDescent="0.3">
      <c r="A54" s="6" t="s">
        <v>533</v>
      </c>
      <c r="B54" s="6" t="s">
        <v>534</v>
      </c>
      <c r="C54" s="6" t="s">
        <v>30</v>
      </c>
      <c r="D54" s="1088" t="s">
        <v>535</v>
      </c>
      <c r="E54" s="6" t="s">
        <v>161</v>
      </c>
      <c r="F54" s="6" t="s">
        <v>587</v>
      </c>
      <c r="G54" s="6" t="s">
        <v>608</v>
      </c>
      <c r="H54" s="6" t="s">
        <v>609</v>
      </c>
      <c r="J54" s="1215" t="s">
        <v>509</v>
      </c>
      <c r="K54" s="1219" t="s">
        <v>3033</v>
      </c>
      <c r="L54" s="8">
        <v>20</v>
      </c>
      <c r="M54" s="8">
        <v>212</v>
      </c>
      <c r="N54" s="1169" t="s">
        <v>271</v>
      </c>
      <c r="P54" s="6" t="s">
        <v>3322</v>
      </c>
      <c r="Q54" s="1215" t="s">
        <v>253</v>
      </c>
      <c r="R54" s="1215" t="s">
        <v>255</v>
      </c>
      <c r="S54" s="1215" t="s">
        <v>534</v>
      </c>
      <c r="T54" s="1215" t="s">
        <v>533</v>
      </c>
      <c r="U54" s="6" t="s">
        <v>539</v>
      </c>
      <c r="V54" s="6" t="s">
        <v>34</v>
      </c>
    </row>
    <row r="55" spans="1:24" ht="15" customHeight="1" x14ac:dyDescent="0.3">
      <c r="A55" s="6" t="s">
        <v>533</v>
      </c>
      <c r="B55" s="6" t="s">
        <v>534</v>
      </c>
      <c r="C55" s="6" t="s">
        <v>30</v>
      </c>
      <c r="D55" s="1088" t="s">
        <v>535</v>
      </c>
      <c r="E55" s="6" t="s">
        <v>161</v>
      </c>
      <c r="F55" s="6" t="s">
        <v>587</v>
      </c>
      <c r="G55" s="6" t="s">
        <v>608</v>
      </c>
      <c r="H55" s="6" t="s">
        <v>609</v>
      </c>
      <c r="J55" s="1215" t="s">
        <v>509</v>
      </c>
      <c r="K55" s="1219" t="s">
        <v>3112</v>
      </c>
      <c r="L55" s="8">
        <v>0</v>
      </c>
      <c r="M55" s="8">
        <v>4</v>
      </c>
      <c r="N55" s="1169" t="s">
        <v>271</v>
      </c>
      <c r="P55" s="6" t="s">
        <v>3322</v>
      </c>
      <c r="Q55" s="1215" t="s">
        <v>253</v>
      </c>
      <c r="R55" s="1215" t="s">
        <v>255</v>
      </c>
      <c r="S55" s="1215" t="s">
        <v>534</v>
      </c>
      <c r="T55" s="1215" t="s">
        <v>533</v>
      </c>
      <c r="U55" s="6" t="s">
        <v>539</v>
      </c>
      <c r="V55" s="6" t="s">
        <v>34</v>
      </c>
    </row>
    <row r="56" spans="1:24" ht="15" customHeight="1" x14ac:dyDescent="0.3">
      <c r="A56" s="6" t="s">
        <v>533</v>
      </c>
      <c r="B56" s="6" t="s">
        <v>534</v>
      </c>
      <c r="C56" s="6" t="s">
        <v>30</v>
      </c>
      <c r="D56" s="1088" t="s">
        <v>535</v>
      </c>
      <c r="E56" s="6" t="s">
        <v>161</v>
      </c>
      <c r="F56" s="6" t="s">
        <v>587</v>
      </c>
      <c r="G56" s="6" t="s">
        <v>608</v>
      </c>
      <c r="H56" s="6" t="s">
        <v>609</v>
      </c>
      <c r="J56" s="1215" t="s">
        <v>509</v>
      </c>
      <c r="K56" s="1219" t="s">
        <v>3111</v>
      </c>
      <c r="L56" s="8">
        <v>0</v>
      </c>
      <c r="M56" s="8">
        <v>4</v>
      </c>
      <c r="N56" s="1169" t="s">
        <v>271</v>
      </c>
      <c r="P56" s="6" t="s">
        <v>3322</v>
      </c>
      <c r="Q56" s="1215" t="s">
        <v>253</v>
      </c>
      <c r="R56" s="1215" t="s">
        <v>255</v>
      </c>
      <c r="S56" s="1215" t="s">
        <v>534</v>
      </c>
      <c r="T56" s="1215" t="s">
        <v>533</v>
      </c>
      <c r="U56" s="6" t="s">
        <v>539</v>
      </c>
      <c r="V56" s="6" t="s">
        <v>34</v>
      </c>
    </row>
    <row r="57" spans="1:24" ht="15" customHeight="1" x14ac:dyDescent="0.3">
      <c r="A57" s="6" t="s">
        <v>533</v>
      </c>
      <c r="B57" s="6" t="s">
        <v>534</v>
      </c>
      <c r="C57" s="6" t="s">
        <v>35</v>
      </c>
      <c r="D57" s="6" t="s">
        <v>567</v>
      </c>
      <c r="E57" s="1088" t="s">
        <v>193</v>
      </c>
      <c r="F57" s="6" t="s">
        <v>863</v>
      </c>
      <c r="G57" s="6" t="s">
        <v>990</v>
      </c>
      <c r="H57" s="6" t="s">
        <v>1583</v>
      </c>
      <c r="J57" s="1215" t="s">
        <v>509</v>
      </c>
      <c r="K57" s="1219" t="s">
        <v>3033</v>
      </c>
      <c r="L57" s="8">
        <v>83</v>
      </c>
      <c r="M57" s="8">
        <v>386</v>
      </c>
      <c r="N57" s="1169" t="s">
        <v>271</v>
      </c>
      <c r="O57" s="1088"/>
      <c r="P57" s="6" t="s">
        <v>3324</v>
      </c>
      <c r="Q57" s="1215" t="s">
        <v>253</v>
      </c>
      <c r="R57" s="1215" t="s">
        <v>255</v>
      </c>
      <c r="S57" s="1215" t="s">
        <v>534</v>
      </c>
      <c r="T57" s="1215" t="s">
        <v>533</v>
      </c>
      <c r="U57" s="6" t="s">
        <v>567</v>
      </c>
      <c r="V57" s="6" t="s">
        <v>35</v>
      </c>
      <c r="W57" s="6" t="s">
        <v>863</v>
      </c>
      <c r="X57" s="6" t="s">
        <v>193</v>
      </c>
    </row>
    <row r="58" spans="1:24" ht="15" customHeight="1" x14ac:dyDescent="0.3">
      <c r="A58" s="6" t="s">
        <v>533</v>
      </c>
      <c r="B58" s="6" t="s">
        <v>534</v>
      </c>
      <c r="C58" s="6" t="s">
        <v>35</v>
      </c>
      <c r="D58" s="1088" t="s">
        <v>567</v>
      </c>
      <c r="E58" s="6" t="s">
        <v>193</v>
      </c>
      <c r="F58" s="6" t="s">
        <v>863</v>
      </c>
      <c r="G58" s="6" t="s">
        <v>990</v>
      </c>
      <c r="H58" s="6" t="s">
        <v>1583</v>
      </c>
      <c r="J58" s="1215" t="s">
        <v>509</v>
      </c>
      <c r="K58" s="1219" t="s">
        <v>3109</v>
      </c>
      <c r="L58" s="8">
        <v>0</v>
      </c>
      <c r="M58" s="8">
        <v>4</v>
      </c>
      <c r="N58" s="1169" t="s">
        <v>271</v>
      </c>
      <c r="P58" s="6" t="s">
        <v>3324</v>
      </c>
      <c r="Q58" s="1215" t="s">
        <v>253</v>
      </c>
      <c r="R58" s="1215" t="s">
        <v>255</v>
      </c>
      <c r="S58" s="1215" t="s">
        <v>534</v>
      </c>
      <c r="T58" s="1215" t="s">
        <v>533</v>
      </c>
      <c r="U58" s="6" t="s">
        <v>567</v>
      </c>
      <c r="V58" s="6" t="s">
        <v>35</v>
      </c>
      <c r="W58" s="6" t="s">
        <v>863</v>
      </c>
      <c r="X58" s="6" t="s">
        <v>193</v>
      </c>
    </row>
    <row r="59" spans="1:24" ht="15" customHeight="1" x14ac:dyDescent="0.3">
      <c r="A59" s="6" t="s">
        <v>533</v>
      </c>
      <c r="B59" s="6" t="s">
        <v>534</v>
      </c>
      <c r="C59" s="6" t="s">
        <v>35</v>
      </c>
      <c r="D59" s="1088" t="s">
        <v>567</v>
      </c>
      <c r="E59" s="6" t="s">
        <v>193</v>
      </c>
      <c r="F59" s="6" t="s">
        <v>863</v>
      </c>
      <c r="G59" s="6" t="s">
        <v>990</v>
      </c>
      <c r="H59" s="6" t="s">
        <v>1583</v>
      </c>
      <c r="J59" s="1215" t="s">
        <v>509</v>
      </c>
      <c r="K59" s="1219" t="s">
        <v>3110</v>
      </c>
      <c r="L59" s="8">
        <v>25</v>
      </c>
      <c r="M59" s="8">
        <v>148</v>
      </c>
      <c r="N59" s="1169" t="s">
        <v>271</v>
      </c>
      <c r="P59" s="6" t="s">
        <v>3324</v>
      </c>
      <c r="Q59" s="1215" t="s">
        <v>253</v>
      </c>
      <c r="R59" s="1215" t="s">
        <v>255</v>
      </c>
      <c r="S59" s="1215" t="s">
        <v>534</v>
      </c>
      <c r="T59" s="1215" t="s">
        <v>533</v>
      </c>
      <c r="U59" s="6" t="s">
        <v>567</v>
      </c>
      <c r="V59" s="6" t="s">
        <v>35</v>
      </c>
      <c r="W59" s="6" t="s">
        <v>863</v>
      </c>
      <c r="X59" s="6" t="s">
        <v>193</v>
      </c>
    </row>
    <row r="60" spans="1:24" ht="15" customHeight="1" x14ac:dyDescent="0.3">
      <c r="A60" s="6" t="s">
        <v>533</v>
      </c>
      <c r="B60" s="6" t="s">
        <v>534</v>
      </c>
      <c r="C60" s="6" t="s">
        <v>35</v>
      </c>
      <c r="D60" s="1088" t="s">
        <v>567</v>
      </c>
      <c r="E60" s="6" t="s">
        <v>193</v>
      </c>
      <c r="F60" s="6" t="s">
        <v>863</v>
      </c>
      <c r="G60" s="6" t="s">
        <v>990</v>
      </c>
      <c r="H60" s="6" t="s">
        <v>1583</v>
      </c>
      <c r="J60" s="1215" t="s">
        <v>509</v>
      </c>
      <c r="K60" s="1219" t="s">
        <v>3111</v>
      </c>
      <c r="L60" s="8">
        <v>16</v>
      </c>
      <c r="M60" s="8">
        <v>160</v>
      </c>
      <c r="N60" s="1169" t="s">
        <v>271</v>
      </c>
      <c r="P60" s="6" t="s">
        <v>3324</v>
      </c>
      <c r="Q60" s="1215" t="s">
        <v>253</v>
      </c>
      <c r="R60" s="1215" t="s">
        <v>255</v>
      </c>
      <c r="S60" s="1215" t="s">
        <v>534</v>
      </c>
      <c r="T60" s="1215" t="s">
        <v>533</v>
      </c>
      <c r="U60" s="6" t="s">
        <v>567</v>
      </c>
      <c r="V60" s="6" t="s">
        <v>35</v>
      </c>
      <c r="W60" s="6" t="s">
        <v>863</v>
      </c>
      <c r="X60" s="6" t="s">
        <v>193</v>
      </c>
    </row>
    <row r="61" spans="1:24" ht="15" customHeight="1" x14ac:dyDescent="0.3">
      <c r="A61" s="6" t="s">
        <v>533</v>
      </c>
      <c r="B61" s="6" t="s">
        <v>534</v>
      </c>
      <c r="C61" s="6" t="s">
        <v>35</v>
      </c>
      <c r="D61" s="1088" t="s">
        <v>567</v>
      </c>
      <c r="E61" s="6" t="s">
        <v>193</v>
      </c>
      <c r="F61" s="6" t="s">
        <v>863</v>
      </c>
      <c r="G61" s="6" t="s">
        <v>990</v>
      </c>
      <c r="H61" s="6" t="s">
        <v>1583</v>
      </c>
      <c r="J61" s="1215" t="s">
        <v>509</v>
      </c>
      <c r="K61" s="1219" t="s">
        <v>3112</v>
      </c>
      <c r="L61" s="8">
        <v>17</v>
      </c>
      <c r="M61" s="8">
        <v>130</v>
      </c>
      <c r="N61" s="1169" t="s">
        <v>271</v>
      </c>
      <c r="P61" s="6" t="s">
        <v>3324</v>
      </c>
      <c r="Q61" s="1215" t="s">
        <v>253</v>
      </c>
      <c r="R61" s="1215" t="s">
        <v>255</v>
      </c>
      <c r="S61" s="1215" t="s">
        <v>534</v>
      </c>
      <c r="T61" s="1215" t="s">
        <v>533</v>
      </c>
      <c r="U61" s="6" t="s">
        <v>567</v>
      </c>
      <c r="V61" s="6" t="s">
        <v>35</v>
      </c>
      <c r="W61" s="6" t="s">
        <v>863</v>
      </c>
      <c r="X61" s="6" t="s">
        <v>193</v>
      </c>
    </row>
    <row r="62" spans="1:24" ht="15" customHeight="1" x14ac:dyDescent="0.3">
      <c r="A62" s="6" t="s">
        <v>533</v>
      </c>
      <c r="B62" s="6" t="s">
        <v>534</v>
      </c>
      <c r="C62" s="6" t="s">
        <v>35</v>
      </c>
      <c r="D62" s="1088" t="s">
        <v>567</v>
      </c>
      <c r="E62" s="6" t="s">
        <v>193</v>
      </c>
      <c r="F62" s="6" t="s">
        <v>863</v>
      </c>
      <c r="G62" s="6" t="s">
        <v>875</v>
      </c>
      <c r="H62" s="6" t="s">
        <v>993</v>
      </c>
      <c r="J62" s="1215" t="s">
        <v>509</v>
      </c>
      <c r="K62" s="1219" t="s">
        <v>3033</v>
      </c>
      <c r="L62" s="8">
        <v>46</v>
      </c>
      <c r="M62" s="8">
        <v>239</v>
      </c>
      <c r="N62" s="1169" t="s">
        <v>271</v>
      </c>
      <c r="P62" s="6" t="s">
        <v>3324</v>
      </c>
      <c r="Q62" s="1215" t="s">
        <v>253</v>
      </c>
      <c r="R62" s="1215" t="s">
        <v>255</v>
      </c>
      <c r="S62" s="1215" t="s">
        <v>534</v>
      </c>
      <c r="T62" s="1215" t="s">
        <v>533</v>
      </c>
      <c r="U62" s="6" t="s">
        <v>567</v>
      </c>
      <c r="V62" s="6" t="s">
        <v>35</v>
      </c>
      <c r="W62" s="6" t="s">
        <v>863</v>
      </c>
      <c r="X62" s="6" t="s">
        <v>193</v>
      </c>
    </row>
    <row r="63" spans="1:24" ht="15" customHeight="1" x14ac:dyDescent="0.3">
      <c r="A63" s="6" t="s">
        <v>533</v>
      </c>
      <c r="B63" s="6" t="s">
        <v>534</v>
      </c>
      <c r="C63" s="6" t="s">
        <v>35</v>
      </c>
      <c r="D63" s="1088" t="s">
        <v>567</v>
      </c>
      <c r="E63" s="6" t="s">
        <v>193</v>
      </c>
      <c r="F63" s="6" t="s">
        <v>863</v>
      </c>
      <c r="G63" s="6" t="s">
        <v>875</v>
      </c>
      <c r="H63" s="6" t="s">
        <v>993</v>
      </c>
      <c r="J63" s="1215" t="s">
        <v>509</v>
      </c>
      <c r="K63" s="1219" t="s">
        <v>3109</v>
      </c>
      <c r="L63" s="8">
        <v>0</v>
      </c>
      <c r="M63" s="8">
        <v>5</v>
      </c>
      <c r="N63" s="1169" t="s">
        <v>271</v>
      </c>
      <c r="P63" s="6" t="s">
        <v>3324</v>
      </c>
      <c r="Q63" s="1215" t="s">
        <v>253</v>
      </c>
      <c r="R63" s="1215" t="s">
        <v>255</v>
      </c>
      <c r="S63" s="1215" t="s">
        <v>534</v>
      </c>
      <c r="T63" s="1215" t="s">
        <v>533</v>
      </c>
      <c r="U63" s="6" t="s">
        <v>567</v>
      </c>
      <c r="V63" s="6" t="s">
        <v>35</v>
      </c>
      <c r="W63" s="6" t="s">
        <v>863</v>
      </c>
      <c r="X63" s="6" t="s">
        <v>193</v>
      </c>
    </row>
    <row r="64" spans="1:24" ht="15" customHeight="1" x14ac:dyDescent="0.3">
      <c r="A64" s="6" t="s">
        <v>533</v>
      </c>
      <c r="B64" s="6" t="s">
        <v>534</v>
      </c>
      <c r="C64" s="6" t="s">
        <v>35</v>
      </c>
      <c r="D64" s="1088" t="s">
        <v>567</v>
      </c>
      <c r="E64" s="6" t="s">
        <v>193</v>
      </c>
      <c r="F64" s="6" t="s">
        <v>863</v>
      </c>
      <c r="G64" s="6" t="s">
        <v>875</v>
      </c>
      <c r="H64" s="6" t="s">
        <v>993</v>
      </c>
      <c r="J64" s="1215" t="s">
        <v>509</v>
      </c>
      <c r="K64" s="1219" t="s">
        <v>3110</v>
      </c>
      <c r="L64" s="8">
        <v>0</v>
      </c>
      <c r="M64" s="8">
        <v>8</v>
      </c>
      <c r="N64" s="1169" t="s">
        <v>271</v>
      </c>
      <c r="P64" s="6" t="s">
        <v>3324</v>
      </c>
      <c r="Q64" s="1215" t="s">
        <v>253</v>
      </c>
      <c r="R64" s="1215" t="s">
        <v>255</v>
      </c>
      <c r="S64" s="1215" t="s">
        <v>534</v>
      </c>
      <c r="T64" s="1215" t="s">
        <v>533</v>
      </c>
      <c r="U64" s="6" t="s">
        <v>567</v>
      </c>
      <c r="V64" s="6" t="s">
        <v>35</v>
      </c>
      <c r="W64" s="6" t="s">
        <v>863</v>
      </c>
      <c r="X64" s="6" t="s">
        <v>193</v>
      </c>
    </row>
    <row r="65" spans="1:24" ht="15" customHeight="1" x14ac:dyDescent="0.3">
      <c r="A65" s="6" t="s">
        <v>533</v>
      </c>
      <c r="B65" s="6" t="s">
        <v>534</v>
      </c>
      <c r="C65" s="6" t="s">
        <v>35</v>
      </c>
      <c r="D65" s="1088" t="s">
        <v>567</v>
      </c>
      <c r="E65" s="6" t="s">
        <v>193</v>
      </c>
      <c r="F65" s="6" t="s">
        <v>863</v>
      </c>
      <c r="G65" s="6" t="s">
        <v>875</v>
      </c>
      <c r="H65" s="6" t="s">
        <v>993</v>
      </c>
      <c r="J65" s="1215" t="s">
        <v>509</v>
      </c>
      <c r="K65" s="1219" t="s">
        <v>3111</v>
      </c>
      <c r="L65" s="8">
        <v>0</v>
      </c>
      <c r="M65" s="8">
        <v>10</v>
      </c>
      <c r="N65" s="1169" t="s">
        <v>271</v>
      </c>
      <c r="P65" s="6" t="s">
        <v>3324</v>
      </c>
      <c r="Q65" s="1215" t="s">
        <v>253</v>
      </c>
      <c r="R65" s="1215" t="s">
        <v>255</v>
      </c>
      <c r="S65" s="1215" t="s">
        <v>534</v>
      </c>
      <c r="T65" s="1215" t="s">
        <v>533</v>
      </c>
      <c r="U65" s="6" t="s">
        <v>567</v>
      </c>
      <c r="V65" s="6" t="s">
        <v>35</v>
      </c>
      <c r="W65" s="6" t="s">
        <v>863</v>
      </c>
      <c r="X65" s="6" t="s">
        <v>193</v>
      </c>
    </row>
    <row r="66" spans="1:24" ht="15" customHeight="1" x14ac:dyDescent="0.3">
      <c r="A66" s="6" t="s">
        <v>533</v>
      </c>
      <c r="B66" s="6" t="s">
        <v>534</v>
      </c>
      <c r="C66" s="6" t="s">
        <v>35</v>
      </c>
      <c r="D66" s="1088" t="s">
        <v>567</v>
      </c>
      <c r="E66" s="1088" t="s">
        <v>193</v>
      </c>
      <c r="F66" s="6" t="s">
        <v>863</v>
      </c>
      <c r="G66" s="6" t="s">
        <v>875</v>
      </c>
      <c r="H66" s="6" t="s">
        <v>993</v>
      </c>
      <c r="J66" s="1215" t="s">
        <v>509</v>
      </c>
      <c r="K66" s="1219" t="s">
        <v>3112</v>
      </c>
      <c r="L66" s="8">
        <v>45</v>
      </c>
      <c r="M66" s="8">
        <v>227</v>
      </c>
      <c r="N66" s="1169" t="s">
        <v>271</v>
      </c>
      <c r="P66" s="6" t="s">
        <v>3324</v>
      </c>
      <c r="Q66" s="1215" t="s">
        <v>253</v>
      </c>
      <c r="R66" s="1215" t="s">
        <v>255</v>
      </c>
      <c r="S66" s="1215" t="s">
        <v>534</v>
      </c>
      <c r="T66" s="1215" t="s">
        <v>533</v>
      </c>
      <c r="U66" s="6" t="s">
        <v>567</v>
      </c>
      <c r="V66" s="6" t="s">
        <v>35</v>
      </c>
      <c r="W66" s="6" t="s">
        <v>863</v>
      </c>
      <c r="X66" s="6" t="s">
        <v>193</v>
      </c>
    </row>
    <row r="67" spans="1:24" ht="15" customHeight="1" x14ac:dyDescent="0.3">
      <c r="A67" s="6" t="s">
        <v>533</v>
      </c>
      <c r="B67" s="6" t="s">
        <v>534</v>
      </c>
      <c r="C67" s="6" t="s">
        <v>35</v>
      </c>
      <c r="D67" s="1088" t="s">
        <v>567</v>
      </c>
      <c r="E67" s="6" t="s">
        <v>193</v>
      </c>
      <c r="F67" s="6" t="s">
        <v>863</v>
      </c>
      <c r="G67" s="6" t="s">
        <v>1122</v>
      </c>
      <c r="H67" s="6" t="s">
        <v>991</v>
      </c>
      <c r="J67" s="1215" t="s">
        <v>509</v>
      </c>
      <c r="K67" s="1219" t="s">
        <v>3033</v>
      </c>
      <c r="L67" s="8">
        <v>115</v>
      </c>
      <c r="M67" s="8">
        <v>576</v>
      </c>
      <c r="N67" s="1169" t="s">
        <v>271</v>
      </c>
      <c r="P67" s="6" t="s">
        <v>3324</v>
      </c>
      <c r="Q67" s="1215" t="s">
        <v>253</v>
      </c>
      <c r="R67" s="1215" t="s">
        <v>255</v>
      </c>
      <c r="S67" s="1215" t="s">
        <v>534</v>
      </c>
      <c r="T67" s="1215" t="s">
        <v>533</v>
      </c>
      <c r="U67" s="6" t="s">
        <v>567</v>
      </c>
      <c r="V67" s="6" t="s">
        <v>35</v>
      </c>
      <c r="W67" s="6" t="s">
        <v>863</v>
      </c>
      <c r="X67" s="6" t="s">
        <v>193</v>
      </c>
    </row>
    <row r="68" spans="1:24" ht="15" customHeight="1" x14ac:dyDescent="0.3">
      <c r="A68" s="6" t="s">
        <v>533</v>
      </c>
      <c r="B68" s="6" t="s">
        <v>534</v>
      </c>
      <c r="C68" s="6" t="s">
        <v>35</v>
      </c>
      <c r="D68" s="1088" t="s">
        <v>567</v>
      </c>
      <c r="E68" s="6" t="s">
        <v>193</v>
      </c>
      <c r="F68" s="6" t="s">
        <v>863</v>
      </c>
      <c r="G68" s="6" t="s">
        <v>1122</v>
      </c>
      <c r="H68" s="6" t="s">
        <v>991</v>
      </c>
      <c r="J68" s="1215" t="s">
        <v>509</v>
      </c>
      <c r="K68" s="1219" t="s">
        <v>3109</v>
      </c>
      <c r="L68" s="8">
        <v>19</v>
      </c>
      <c r="M68" s="8">
        <v>108</v>
      </c>
      <c r="N68" s="1169" t="s">
        <v>271</v>
      </c>
      <c r="P68" s="6" t="s">
        <v>3324</v>
      </c>
      <c r="Q68" s="1215" t="s">
        <v>253</v>
      </c>
      <c r="R68" s="1215" t="s">
        <v>255</v>
      </c>
      <c r="S68" s="1215" t="s">
        <v>534</v>
      </c>
      <c r="T68" s="1215" t="s">
        <v>533</v>
      </c>
      <c r="U68" s="6" t="s">
        <v>567</v>
      </c>
      <c r="V68" s="6" t="s">
        <v>35</v>
      </c>
      <c r="W68" s="6" t="s">
        <v>863</v>
      </c>
      <c r="X68" s="6" t="s">
        <v>193</v>
      </c>
    </row>
    <row r="69" spans="1:24" ht="15" customHeight="1" x14ac:dyDescent="0.3">
      <c r="A69" s="6" t="s">
        <v>533</v>
      </c>
      <c r="B69" s="6" t="s">
        <v>534</v>
      </c>
      <c r="C69" s="6" t="s">
        <v>35</v>
      </c>
      <c r="D69" s="1088" t="s">
        <v>567</v>
      </c>
      <c r="E69" s="6" t="s">
        <v>193</v>
      </c>
      <c r="F69" s="6" t="s">
        <v>863</v>
      </c>
      <c r="G69" s="6" t="s">
        <v>1122</v>
      </c>
      <c r="H69" s="6" t="s">
        <v>991</v>
      </c>
      <c r="J69" s="1215" t="s">
        <v>509</v>
      </c>
      <c r="K69" s="1219" t="s">
        <v>3110</v>
      </c>
      <c r="L69" s="8">
        <v>54</v>
      </c>
      <c r="M69" s="8">
        <v>371</v>
      </c>
      <c r="N69" s="1169" t="s">
        <v>271</v>
      </c>
      <c r="P69" s="6" t="s">
        <v>3324</v>
      </c>
      <c r="Q69" s="1215" t="s">
        <v>253</v>
      </c>
      <c r="R69" s="1215" t="s">
        <v>255</v>
      </c>
      <c r="S69" s="1215" t="s">
        <v>534</v>
      </c>
      <c r="T69" s="1215" t="s">
        <v>533</v>
      </c>
      <c r="U69" s="6" t="s">
        <v>567</v>
      </c>
      <c r="V69" s="6" t="s">
        <v>35</v>
      </c>
      <c r="W69" s="6" t="s">
        <v>863</v>
      </c>
      <c r="X69" s="6" t="s">
        <v>193</v>
      </c>
    </row>
    <row r="70" spans="1:24" ht="15" customHeight="1" x14ac:dyDescent="0.3">
      <c r="A70" s="6" t="s">
        <v>533</v>
      </c>
      <c r="B70" s="6" t="s">
        <v>534</v>
      </c>
      <c r="C70" s="6" t="s">
        <v>35</v>
      </c>
      <c r="D70" s="1088" t="s">
        <v>567</v>
      </c>
      <c r="E70" s="6" t="s">
        <v>193</v>
      </c>
      <c r="F70" s="6" t="s">
        <v>863</v>
      </c>
      <c r="G70" s="6" t="s">
        <v>1122</v>
      </c>
      <c r="H70" s="6" t="s">
        <v>991</v>
      </c>
      <c r="J70" s="1215" t="s">
        <v>509</v>
      </c>
      <c r="K70" s="1219" t="s">
        <v>3112</v>
      </c>
      <c r="L70" s="8">
        <v>15</v>
      </c>
      <c r="M70" s="8">
        <v>95</v>
      </c>
      <c r="N70" s="1169" t="s">
        <v>271</v>
      </c>
      <c r="P70" s="6" t="s">
        <v>3324</v>
      </c>
      <c r="Q70" s="1215" t="s">
        <v>253</v>
      </c>
      <c r="R70" s="1215" t="s">
        <v>255</v>
      </c>
      <c r="S70" s="1215" t="s">
        <v>534</v>
      </c>
      <c r="T70" s="1215" t="s">
        <v>533</v>
      </c>
      <c r="U70" s="6" t="s">
        <v>567</v>
      </c>
      <c r="V70" s="6" t="s">
        <v>35</v>
      </c>
      <c r="W70" s="6" t="s">
        <v>863</v>
      </c>
      <c r="X70" s="6" t="s">
        <v>193</v>
      </c>
    </row>
    <row r="71" spans="1:24" ht="15" customHeight="1" x14ac:dyDescent="0.3">
      <c r="A71" s="6" t="s">
        <v>533</v>
      </c>
      <c r="B71" s="6" t="s">
        <v>534</v>
      </c>
      <c r="C71" s="6" t="s">
        <v>35</v>
      </c>
      <c r="D71" s="1168" t="s">
        <v>567</v>
      </c>
      <c r="E71" s="6" t="s">
        <v>193</v>
      </c>
      <c r="F71" s="6" t="s">
        <v>863</v>
      </c>
      <c r="G71" s="6" t="s">
        <v>1122</v>
      </c>
      <c r="H71" s="6" t="s">
        <v>991</v>
      </c>
      <c r="J71" s="1215" t="s">
        <v>509</v>
      </c>
      <c r="K71" s="1219" t="s">
        <v>3111</v>
      </c>
      <c r="L71" s="8">
        <v>15</v>
      </c>
      <c r="M71" s="8">
        <v>122</v>
      </c>
      <c r="N71" s="1169" t="s">
        <v>271</v>
      </c>
      <c r="P71" s="6" t="s">
        <v>3324</v>
      </c>
      <c r="Q71" s="1215" t="s">
        <v>253</v>
      </c>
      <c r="R71" s="1215" t="s">
        <v>255</v>
      </c>
      <c r="S71" s="1215" t="s">
        <v>534</v>
      </c>
      <c r="T71" s="1215" t="s">
        <v>533</v>
      </c>
      <c r="U71" s="6" t="s">
        <v>567</v>
      </c>
      <c r="V71" s="6" t="s">
        <v>35</v>
      </c>
      <c r="W71" s="6" t="s">
        <v>863</v>
      </c>
      <c r="X71" s="6" t="s">
        <v>193</v>
      </c>
    </row>
    <row r="72" spans="1:24" ht="15" customHeight="1" x14ac:dyDescent="0.3">
      <c r="A72" s="6" t="s">
        <v>533</v>
      </c>
      <c r="B72" s="6" t="s">
        <v>534</v>
      </c>
      <c r="C72" s="6" t="s">
        <v>35</v>
      </c>
      <c r="D72" s="1088" t="s">
        <v>567</v>
      </c>
      <c r="E72" s="1088" t="s">
        <v>193</v>
      </c>
      <c r="F72" s="6" t="s">
        <v>863</v>
      </c>
      <c r="G72" s="6" t="s">
        <v>2952</v>
      </c>
      <c r="H72" s="6" t="s">
        <v>865</v>
      </c>
      <c r="J72" s="1215" t="s">
        <v>509</v>
      </c>
      <c r="K72" s="1219" t="s">
        <v>3033</v>
      </c>
      <c r="L72" s="8">
        <v>48</v>
      </c>
      <c r="M72" s="8">
        <v>287</v>
      </c>
      <c r="N72" s="1169" t="s">
        <v>271</v>
      </c>
      <c r="P72" s="6" t="s">
        <v>3324</v>
      </c>
      <c r="Q72" s="1215" t="s">
        <v>253</v>
      </c>
      <c r="R72" s="1215" t="s">
        <v>255</v>
      </c>
      <c r="S72" s="1215" t="s">
        <v>534</v>
      </c>
      <c r="T72" s="1215" t="s">
        <v>533</v>
      </c>
      <c r="U72" s="6" t="s">
        <v>567</v>
      </c>
      <c r="V72" s="6" t="s">
        <v>35</v>
      </c>
      <c r="W72" s="6" t="s">
        <v>863</v>
      </c>
      <c r="X72" s="6" t="s">
        <v>193</v>
      </c>
    </row>
    <row r="73" spans="1:24" ht="15" customHeight="1" x14ac:dyDescent="0.3">
      <c r="A73" s="6" t="s">
        <v>533</v>
      </c>
      <c r="B73" s="6" t="s">
        <v>534</v>
      </c>
      <c r="C73" s="6" t="s">
        <v>35</v>
      </c>
      <c r="D73" s="6" t="s">
        <v>567</v>
      </c>
      <c r="E73" s="1088" t="s">
        <v>193</v>
      </c>
      <c r="F73" s="6" t="s">
        <v>863</v>
      </c>
      <c r="G73" s="6" t="s">
        <v>2952</v>
      </c>
      <c r="H73" s="6" t="s">
        <v>865</v>
      </c>
      <c r="J73" s="1215" t="s">
        <v>509</v>
      </c>
      <c r="K73" s="1219" t="s">
        <v>3110</v>
      </c>
      <c r="L73" s="8">
        <v>3</v>
      </c>
      <c r="M73" s="8">
        <v>15</v>
      </c>
      <c r="N73" s="1169" t="s">
        <v>271</v>
      </c>
      <c r="P73" s="6" t="s">
        <v>3324</v>
      </c>
      <c r="Q73" s="1215" t="s">
        <v>253</v>
      </c>
      <c r="R73" s="1215" t="s">
        <v>255</v>
      </c>
      <c r="S73" s="1215" t="s">
        <v>534</v>
      </c>
      <c r="T73" s="1215" t="s">
        <v>533</v>
      </c>
      <c r="U73" s="6" t="s">
        <v>567</v>
      </c>
      <c r="V73" s="6" t="s">
        <v>35</v>
      </c>
      <c r="W73" s="6" t="s">
        <v>863</v>
      </c>
      <c r="X73" s="6" t="s">
        <v>193</v>
      </c>
    </row>
    <row r="74" spans="1:24" ht="15" customHeight="1" x14ac:dyDescent="0.3">
      <c r="A74" s="6" t="s">
        <v>533</v>
      </c>
      <c r="B74" s="6" t="s">
        <v>534</v>
      </c>
      <c r="C74" s="6" t="s">
        <v>35</v>
      </c>
      <c r="D74" s="1088" t="s">
        <v>567</v>
      </c>
      <c r="E74" s="1088" t="s">
        <v>193</v>
      </c>
      <c r="F74" s="6" t="s">
        <v>863</v>
      </c>
      <c r="G74" s="6" t="s">
        <v>2952</v>
      </c>
      <c r="H74" s="6" t="s">
        <v>865</v>
      </c>
      <c r="J74" s="1215" t="s">
        <v>509</v>
      </c>
      <c r="K74" s="1219" t="s">
        <v>3111</v>
      </c>
      <c r="L74" s="8">
        <v>33</v>
      </c>
      <c r="M74" s="8">
        <v>194</v>
      </c>
      <c r="N74" s="1169" t="s">
        <v>271</v>
      </c>
      <c r="P74" s="6" t="s">
        <v>3324</v>
      </c>
      <c r="Q74" s="1215" t="s">
        <v>253</v>
      </c>
      <c r="R74" s="1215" t="s">
        <v>255</v>
      </c>
      <c r="S74" s="1215" t="s">
        <v>534</v>
      </c>
      <c r="T74" s="1215" t="s">
        <v>533</v>
      </c>
      <c r="U74" s="6" t="s">
        <v>567</v>
      </c>
      <c r="V74" s="6" t="s">
        <v>35</v>
      </c>
      <c r="W74" s="6" t="s">
        <v>863</v>
      </c>
      <c r="X74" s="6" t="s">
        <v>193</v>
      </c>
    </row>
    <row r="75" spans="1:24" ht="15" customHeight="1" x14ac:dyDescent="0.3">
      <c r="A75" s="6" t="s">
        <v>533</v>
      </c>
      <c r="B75" s="6" t="s">
        <v>534</v>
      </c>
      <c r="C75" s="6" t="s">
        <v>35</v>
      </c>
      <c r="D75" s="1088" t="s">
        <v>567</v>
      </c>
      <c r="E75" s="6" t="s">
        <v>193</v>
      </c>
      <c r="F75" s="6" t="s">
        <v>863</v>
      </c>
      <c r="G75" s="6" t="s">
        <v>2952</v>
      </c>
      <c r="H75" s="6" t="s">
        <v>865</v>
      </c>
      <c r="J75" s="1215" t="s">
        <v>509</v>
      </c>
      <c r="K75" s="1219" t="s">
        <v>3112</v>
      </c>
      <c r="L75" s="8">
        <v>15</v>
      </c>
      <c r="M75" s="8">
        <v>49</v>
      </c>
      <c r="N75" s="1169" t="s">
        <v>271</v>
      </c>
      <c r="P75" s="6" t="s">
        <v>3324</v>
      </c>
      <c r="Q75" s="1215" t="s">
        <v>253</v>
      </c>
      <c r="R75" s="1215" t="s">
        <v>255</v>
      </c>
      <c r="S75" s="1215" t="s">
        <v>534</v>
      </c>
      <c r="T75" s="1215" t="s">
        <v>533</v>
      </c>
      <c r="U75" s="6" t="s">
        <v>567</v>
      </c>
      <c r="V75" s="6" t="s">
        <v>35</v>
      </c>
      <c r="W75" s="6" t="s">
        <v>863</v>
      </c>
      <c r="X75" s="6" t="s">
        <v>193</v>
      </c>
    </row>
    <row r="76" spans="1:24" ht="15" customHeight="1" x14ac:dyDescent="0.3">
      <c r="A76" s="6" t="s">
        <v>533</v>
      </c>
      <c r="B76" s="6" t="s">
        <v>534</v>
      </c>
      <c r="C76" s="6" t="s">
        <v>35</v>
      </c>
      <c r="D76" s="1088" t="s">
        <v>567</v>
      </c>
      <c r="E76" s="6" t="s">
        <v>193</v>
      </c>
      <c r="F76" s="6" t="s">
        <v>863</v>
      </c>
      <c r="G76" s="6" t="s">
        <v>2966</v>
      </c>
      <c r="H76" s="6" t="s">
        <v>3293</v>
      </c>
      <c r="J76" s="1215" t="s">
        <v>509</v>
      </c>
      <c r="K76" s="1219" t="s">
        <v>3033</v>
      </c>
      <c r="L76" s="8">
        <v>72</v>
      </c>
      <c r="M76" s="8">
        <v>539</v>
      </c>
      <c r="N76" s="1169" t="s">
        <v>271</v>
      </c>
      <c r="P76" s="6" t="s">
        <v>3324</v>
      </c>
      <c r="Q76" s="1215" t="s">
        <v>253</v>
      </c>
      <c r="R76" s="1215" t="s">
        <v>255</v>
      </c>
      <c r="S76" s="1215" t="s">
        <v>534</v>
      </c>
      <c r="T76" s="1215" t="s">
        <v>533</v>
      </c>
      <c r="U76" s="6" t="s">
        <v>567</v>
      </c>
      <c r="V76" s="6" t="s">
        <v>35</v>
      </c>
      <c r="W76" s="6" t="s">
        <v>863</v>
      </c>
      <c r="X76" s="6" t="s">
        <v>193</v>
      </c>
    </row>
    <row r="77" spans="1:24" ht="15" customHeight="1" x14ac:dyDescent="0.3">
      <c r="A77" s="6" t="s">
        <v>533</v>
      </c>
      <c r="B77" s="6" t="s">
        <v>534</v>
      </c>
      <c r="C77" s="6" t="s">
        <v>35</v>
      </c>
      <c r="D77" s="1088" t="s">
        <v>567</v>
      </c>
      <c r="E77" s="6" t="s">
        <v>193</v>
      </c>
      <c r="F77" s="6" t="s">
        <v>863</v>
      </c>
      <c r="G77" s="6" t="s">
        <v>2966</v>
      </c>
      <c r="H77" s="6" t="s">
        <v>3293</v>
      </c>
      <c r="J77" s="1215" t="s">
        <v>509</v>
      </c>
      <c r="K77" s="1219" t="s">
        <v>3110</v>
      </c>
      <c r="L77" s="8">
        <v>7</v>
      </c>
      <c r="M77" s="8">
        <v>47</v>
      </c>
      <c r="N77" s="6" t="s">
        <v>271</v>
      </c>
      <c r="P77" s="6" t="s">
        <v>3324</v>
      </c>
      <c r="Q77" s="1215" t="s">
        <v>253</v>
      </c>
      <c r="R77" s="1215" t="s">
        <v>255</v>
      </c>
      <c r="S77" s="1215" t="s">
        <v>534</v>
      </c>
      <c r="T77" s="1215" t="s">
        <v>533</v>
      </c>
      <c r="U77" s="6" t="s">
        <v>567</v>
      </c>
      <c r="V77" s="6" t="s">
        <v>35</v>
      </c>
      <c r="W77" s="6" t="s">
        <v>863</v>
      </c>
      <c r="X77" s="6" t="s">
        <v>193</v>
      </c>
    </row>
    <row r="78" spans="1:24" ht="15" customHeight="1" x14ac:dyDescent="0.3">
      <c r="A78" s="6" t="s">
        <v>533</v>
      </c>
      <c r="B78" s="6" t="s">
        <v>534</v>
      </c>
      <c r="C78" s="6" t="s">
        <v>35</v>
      </c>
      <c r="D78" s="1088" t="s">
        <v>567</v>
      </c>
      <c r="E78" s="1088" t="s">
        <v>193</v>
      </c>
      <c r="F78" s="6" t="s">
        <v>863</v>
      </c>
      <c r="G78" s="6" t="s">
        <v>2966</v>
      </c>
      <c r="H78" s="6" t="s">
        <v>3293</v>
      </c>
      <c r="J78" s="1215" t="s">
        <v>509</v>
      </c>
      <c r="K78" s="1219" t="s">
        <v>3111</v>
      </c>
      <c r="L78" s="8">
        <v>28</v>
      </c>
      <c r="M78" s="8">
        <v>205</v>
      </c>
      <c r="N78" s="1169" t="s">
        <v>271</v>
      </c>
      <c r="P78" s="6" t="s">
        <v>3324</v>
      </c>
      <c r="Q78" s="1215" t="s">
        <v>253</v>
      </c>
      <c r="R78" s="1215" t="s">
        <v>255</v>
      </c>
      <c r="S78" s="1215" t="s">
        <v>534</v>
      </c>
      <c r="T78" s="1215" t="s">
        <v>533</v>
      </c>
      <c r="U78" s="6" t="s">
        <v>567</v>
      </c>
      <c r="V78" s="6" t="s">
        <v>35</v>
      </c>
      <c r="W78" s="6" t="s">
        <v>863</v>
      </c>
      <c r="X78" s="6" t="s">
        <v>193</v>
      </c>
    </row>
    <row r="79" spans="1:24" ht="15" customHeight="1" x14ac:dyDescent="0.3">
      <c r="A79" s="6" t="s">
        <v>533</v>
      </c>
      <c r="B79" s="6" t="s">
        <v>534</v>
      </c>
      <c r="C79" s="6" t="s">
        <v>35</v>
      </c>
      <c r="D79" s="1088" t="s">
        <v>567</v>
      </c>
      <c r="E79" s="6" t="s">
        <v>193</v>
      </c>
      <c r="F79" s="6" t="s">
        <v>863</v>
      </c>
      <c r="G79" s="6" t="s">
        <v>2966</v>
      </c>
      <c r="H79" s="6" t="s">
        <v>3293</v>
      </c>
      <c r="J79" s="1215" t="s">
        <v>509</v>
      </c>
      <c r="K79" s="1219" t="s">
        <v>3112</v>
      </c>
      <c r="L79" s="8">
        <v>16</v>
      </c>
      <c r="M79" s="8">
        <v>200</v>
      </c>
      <c r="N79" s="1169" t="s">
        <v>271</v>
      </c>
      <c r="P79" s="6" t="s">
        <v>3324</v>
      </c>
      <c r="Q79" s="1215" t="s">
        <v>253</v>
      </c>
      <c r="R79" s="1215" t="s">
        <v>255</v>
      </c>
      <c r="S79" s="1215" t="s">
        <v>534</v>
      </c>
      <c r="T79" s="1215" t="s">
        <v>533</v>
      </c>
      <c r="U79" s="6" t="s">
        <v>567</v>
      </c>
      <c r="V79" s="6" t="s">
        <v>35</v>
      </c>
      <c r="W79" s="6" t="s">
        <v>863</v>
      </c>
      <c r="X79" s="6" t="s">
        <v>193</v>
      </c>
    </row>
    <row r="80" spans="1:24" ht="15" customHeight="1" x14ac:dyDescent="0.3">
      <c r="A80" s="6" t="s">
        <v>533</v>
      </c>
      <c r="B80" s="6" t="s">
        <v>534</v>
      </c>
      <c r="C80" s="6" t="s">
        <v>35</v>
      </c>
      <c r="D80" s="1088" t="s">
        <v>567</v>
      </c>
      <c r="E80" s="6" t="s">
        <v>193</v>
      </c>
      <c r="F80" s="6" t="s">
        <v>863</v>
      </c>
      <c r="G80" s="6" t="s">
        <v>550</v>
      </c>
      <c r="H80" s="6" t="s">
        <v>3114</v>
      </c>
      <c r="I80" s="6" t="s">
        <v>3114</v>
      </c>
      <c r="J80" s="1215" t="s">
        <v>509</v>
      </c>
      <c r="K80" s="1219" t="s">
        <v>3112</v>
      </c>
      <c r="L80" s="8">
        <v>42</v>
      </c>
      <c r="M80" s="8">
        <v>240</v>
      </c>
      <c r="N80" s="1169" t="s">
        <v>271</v>
      </c>
      <c r="P80" s="6" t="s">
        <v>3324</v>
      </c>
      <c r="Q80" s="1215" t="s">
        <v>253</v>
      </c>
      <c r="R80" s="1215" t="s">
        <v>255</v>
      </c>
      <c r="S80" s="1215" t="s">
        <v>534</v>
      </c>
      <c r="T80" s="1215" t="s">
        <v>533</v>
      </c>
      <c r="U80" s="6" t="s">
        <v>567</v>
      </c>
      <c r="V80" s="6" t="s">
        <v>35</v>
      </c>
      <c r="W80" s="6" t="s">
        <v>863</v>
      </c>
      <c r="X80" s="6" t="s">
        <v>193</v>
      </c>
    </row>
    <row r="81" spans="1:24" ht="15" customHeight="1" x14ac:dyDescent="0.3">
      <c r="A81" s="6" t="s">
        <v>533</v>
      </c>
      <c r="B81" s="6" t="s">
        <v>534</v>
      </c>
      <c r="C81" s="6" t="s">
        <v>30</v>
      </c>
      <c r="D81" s="1088" t="s">
        <v>535</v>
      </c>
      <c r="E81" s="6" t="s">
        <v>162</v>
      </c>
      <c r="F81" s="6" t="s">
        <v>536</v>
      </c>
      <c r="G81" s="6" t="s">
        <v>693</v>
      </c>
      <c r="H81" s="6" t="s">
        <v>694</v>
      </c>
      <c r="J81" s="1215" t="s">
        <v>509</v>
      </c>
      <c r="K81" s="1219" t="s">
        <v>3033</v>
      </c>
      <c r="L81" s="8">
        <v>5</v>
      </c>
      <c r="M81" s="8">
        <v>37</v>
      </c>
      <c r="N81" s="1169" t="s">
        <v>271</v>
      </c>
      <c r="P81" s="6" t="s">
        <v>3322</v>
      </c>
      <c r="Q81" s="1215" t="s">
        <v>253</v>
      </c>
      <c r="R81" s="1215" t="s">
        <v>255</v>
      </c>
      <c r="S81" s="1215" t="s">
        <v>534</v>
      </c>
      <c r="T81" s="1215" t="s">
        <v>533</v>
      </c>
      <c r="U81" s="6" t="s">
        <v>539</v>
      </c>
      <c r="V81" s="6" t="s">
        <v>34</v>
      </c>
    </row>
    <row r="82" spans="1:24" ht="15" customHeight="1" x14ac:dyDescent="0.3">
      <c r="A82" s="6" t="s">
        <v>533</v>
      </c>
      <c r="B82" s="6" t="s">
        <v>534</v>
      </c>
      <c r="C82" s="6" t="s">
        <v>30</v>
      </c>
      <c r="D82" s="1088" t="s">
        <v>535</v>
      </c>
      <c r="E82" s="6" t="s">
        <v>162</v>
      </c>
      <c r="F82" s="6" t="s">
        <v>536</v>
      </c>
      <c r="G82" s="6" t="s">
        <v>693</v>
      </c>
      <c r="H82" s="6" t="s">
        <v>694</v>
      </c>
      <c r="J82" s="1215" t="s">
        <v>509</v>
      </c>
      <c r="K82" s="1219" t="s">
        <v>3110</v>
      </c>
      <c r="L82" s="8">
        <v>0</v>
      </c>
      <c r="M82" s="8">
        <v>3</v>
      </c>
      <c r="N82" s="1169" t="s">
        <v>271</v>
      </c>
      <c r="P82" s="6" t="s">
        <v>3322</v>
      </c>
      <c r="Q82" s="1215" t="s">
        <v>253</v>
      </c>
      <c r="R82" s="1215" t="s">
        <v>255</v>
      </c>
      <c r="S82" s="1215" t="s">
        <v>534</v>
      </c>
      <c r="T82" s="1215" t="s">
        <v>533</v>
      </c>
      <c r="U82" s="6" t="s">
        <v>539</v>
      </c>
      <c r="V82" s="6" t="s">
        <v>34</v>
      </c>
    </row>
    <row r="83" spans="1:24" ht="15" customHeight="1" x14ac:dyDescent="0.3">
      <c r="A83" s="6" t="s">
        <v>533</v>
      </c>
      <c r="B83" s="6" t="s">
        <v>534</v>
      </c>
      <c r="C83" s="6" t="s">
        <v>30</v>
      </c>
      <c r="D83" s="1088" t="s">
        <v>535</v>
      </c>
      <c r="E83" s="6" t="s">
        <v>162</v>
      </c>
      <c r="F83" s="6" t="s">
        <v>536</v>
      </c>
      <c r="G83" s="6" t="s">
        <v>693</v>
      </c>
      <c r="H83" s="6" t="s">
        <v>694</v>
      </c>
      <c r="J83" s="1215" t="s">
        <v>509</v>
      </c>
      <c r="K83" s="1219" t="s">
        <v>3112</v>
      </c>
      <c r="L83" s="8">
        <v>0</v>
      </c>
      <c r="M83" s="8">
        <v>4</v>
      </c>
      <c r="N83" s="1169" t="s">
        <v>271</v>
      </c>
      <c r="P83" s="6" t="s">
        <v>3322</v>
      </c>
      <c r="Q83" s="1215" t="s">
        <v>253</v>
      </c>
      <c r="R83" s="1215" t="s">
        <v>255</v>
      </c>
      <c r="S83" s="1215" t="s">
        <v>534</v>
      </c>
      <c r="T83" s="1215" t="s">
        <v>533</v>
      </c>
      <c r="U83" s="6" t="s">
        <v>539</v>
      </c>
      <c r="V83" s="6" t="s">
        <v>34</v>
      </c>
    </row>
    <row r="84" spans="1:24" ht="15" customHeight="1" x14ac:dyDescent="0.3">
      <c r="A84" s="6" t="s">
        <v>533</v>
      </c>
      <c r="B84" s="6" t="s">
        <v>534</v>
      </c>
      <c r="C84" s="6" t="s">
        <v>30</v>
      </c>
      <c r="D84" s="1088" t="s">
        <v>535</v>
      </c>
      <c r="E84" s="1088" t="s">
        <v>162</v>
      </c>
      <c r="F84" s="6" t="s">
        <v>536</v>
      </c>
      <c r="G84" s="6" t="s">
        <v>616</v>
      </c>
      <c r="H84" s="6" t="s">
        <v>617</v>
      </c>
      <c r="J84" s="1215" t="s">
        <v>509</v>
      </c>
      <c r="K84" s="1219" t="s">
        <v>3033</v>
      </c>
      <c r="L84" s="8">
        <v>3</v>
      </c>
      <c r="M84" s="8">
        <v>17</v>
      </c>
      <c r="N84" s="1169" t="s">
        <v>271</v>
      </c>
      <c r="P84" s="6" t="s">
        <v>3322</v>
      </c>
      <c r="Q84" s="1215" t="s">
        <v>253</v>
      </c>
      <c r="R84" s="1215" t="s">
        <v>255</v>
      </c>
      <c r="S84" s="1215" t="s">
        <v>534</v>
      </c>
      <c r="T84" s="1215" t="s">
        <v>533</v>
      </c>
      <c r="U84" s="6" t="s">
        <v>539</v>
      </c>
      <c r="V84" s="6" t="s">
        <v>34</v>
      </c>
    </row>
    <row r="85" spans="1:24" ht="15" customHeight="1" x14ac:dyDescent="0.3">
      <c r="A85" s="6" t="s">
        <v>533</v>
      </c>
      <c r="B85" s="6" t="s">
        <v>534</v>
      </c>
      <c r="C85" s="6" t="s">
        <v>31</v>
      </c>
      <c r="D85" s="1088" t="s">
        <v>549</v>
      </c>
      <c r="E85" s="6" t="s">
        <v>171</v>
      </c>
      <c r="F85" s="6" t="s">
        <v>634</v>
      </c>
      <c r="G85" s="6" t="s">
        <v>859</v>
      </c>
      <c r="H85" s="6" t="s">
        <v>1799</v>
      </c>
      <c r="J85" s="1215" t="s">
        <v>509</v>
      </c>
      <c r="K85" s="1219" t="s">
        <v>3033</v>
      </c>
      <c r="L85" s="8">
        <v>27</v>
      </c>
      <c r="M85" s="8">
        <v>90</v>
      </c>
      <c r="N85" s="1169" t="s">
        <v>271</v>
      </c>
      <c r="P85" s="6" t="s">
        <v>3323</v>
      </c>
      <c r="Q85" s="1215" t="s">
        <v>253</v>
      </c>
      <c r="R85" s="1215" t="s">
        <v>255</v>
      </c>
      <c r="S85" s="1215" t="s">
        <v>534</v>
      </c>
      <c r="T85" s="1215" t="s">
        <v>533</v>
      </c>
      <c r="U85" s="6" t="s">
        <v>549</v>
      </c>
      <c r="V85" s="6" t="s">
        <v>31</v>
      </c>
      <c r="W85" s="6" t="s">
        <v>844</v>
      </c>
      <c r="X85" s="1215" t="s">
        <v>166</v>
      </c>
    </row>
    <row r="86" spans="1:24" ht="15" customHeight="1" x14ac:dyDescent="0.3">
      <c r="A86" s="6" t="s">
        <v>533</v>
      </c>
      <c r="B86" s="6" t="s">
        <v>534</v>
      </c>
      <c r="C86" s="6" t="s">
        <v>31</v>
      </c>
      <c r="D86" s="1088" t="s">
        <v>549</v>
      </c>
      <c r="E86" s="6" t="s">
        <v>171</v>
      </c>
      <c r="F86" s="6" t="s">
        <v>634</v>
      </c>
      <c r="G86" s="6" t="s">
        <v>1800</v>
      </c>
      <c r="H86" s="6" t="s">
        <v>2023</v>
      </c>
      <c r="J86" s="1215" t="s">
        <v>509</v>
      </c>
      <c r="K86" s="1219" t="s">
        <v>3033</v>
      </c>
      <c r="L86" s="8">
        <v>9</v>
      </c>
      <c r="M86" s="8">
        <v>37</v>
      </c>
      <c r="N86" s="1169" t="s">
        <v>271</v>
      </c>
      <c r="P86" s="6" t="s">
        <v>3323</v>
      </c>
      <c r="Q86" s="1215" t="s">
        <v>253</v>
      </c>
      <c r="R86" s="1215" t="s">
        <v>255</v>
      </c>
      <c r="S86" s="1215" t="s">
        <v>534</v>
      </c>
      <c r="T86" s="1215" t="s">
        <v>533</v>
      </c>
      <c r="U86" s="6" t="s">
        <v>549</v>
      </c>
      <c r="V86" s="6" t="s">
        <v>31</v>
      </c>
      <c r="W86" s="6" t="s">
        <v>844</v>
      </c>
      <c r="X86" s="6" t="s">
        <v>166</v>
      </c>
    </row>
    <row r="87" spans="1:24" ht="15" customHeight="1" x14ac:dyDescent="0.3">
      <c r="A87" s="6" t="s">
        <v>533</v>
      </c>
      <c r="B87" s="6" t="s">
        <v>534</v>
      </c>
      <c r="C87" s="6" t="s">
        <v>31</v>
      </c>
      <c r="D87" s="1088" t="s">
        <v>549</v>
      </c>
      <c r="E87" s="6" t="s">
        <v>2797</v>
      </c>
      <c r="F87" s="6" t="s">
        <v>767</v>
      </c>
      <c r="G87" s="6" t="s">
        <v>768</v>
      </c>
      <c r="H87" s="6" t="s">
        <v>769</v>
      </c>
      <c r="J87" s="1215" t="s">
        <v>509</v>
      </c>
      <c r="K87" s="1219" t="s">
        <v>3033</v>
      </c>
      <c r="L87" s="8">
        <v>25</v>
      </c>
      <c r="M87" s="8">
        <v>149</v>
      </c>
      <c r="N87" s="1169" t="s">
        <v>271</v>
      </c>
      <c r="P87" s="6" t="s">
        <v>3324</v>
      </c>
      <c r="Q87" s="1215" t="s">
        <v>253</v>
      </c>
      <c r="R87" s="1215" t="s">
        <v>255</v>
      </c>
      <c r="S87" s="1215" t="s">
        <v>534</v>
      </c>
      <c r="T87" s="1215" t="s">
        <v>533</v>
      </c>
      <c r="U87" s="6" t="s">
        <v>549</v>
      </c>
      <c r="V87" s="6" t="s">
        <v>31</v>
      </c>
      <c r="W87" s="6" t="s">
        <v>767</v>
      </c>
      <c r="X87" s="6" t="s">
        <v>2797</v>
      </c>
    </row>
    <row r="88" spans="1:24" ht="15" customHeight="1" x14ac:dyDescent="0.3">
      <c r="A88" s="6" t="s">
        <v>533</v>
      </c>
      <c r="B88" s="6" t="s">
        <v>534</v>
      </c>
      <c r="C88" s="6" t="s">
        <v>31</v>
      </c>
      <c r="D88" s="1088" t="s">
        <v>549</v>
      </c>
      <c r="E88" s="6" t="s">
        <v>2797</v>
      </c>
      <c r="F88" s="6" t="s">
        <v>767</v>
      </c>
      <c r="G88" s="6" t="s">
        <v>768</v>
      </c>
      <c r="H88" s="6" t="s">
        <v>769</v>
      </c>
      <c r="J88" s="1215" t="s">
        <v>509</v>
      </c>
      <c r="K88" s="1219" t="s">
        <v>3110</v>
      </c>
      <c r="L88" s="8">
        <v>4</v>
      </c>
      <c r="M88" s="8">
        <v>29</v>
      </c>
      <c r="N88" s="1169" t="s">
        <v>271</v>
      </c>
      <c r="P88" s="6" t="s">
        <v>3324</v>
      </c>
      <c r="Q88" s="1215" t="s">
        <v>253</v>
      </c>
      <c r="R88" s="1215" t="s">
        <v>255</v>
      </c>
      <c r="S88" s="1215" t="s">
        <v>534</v>
      </c>
      <c r="T88" s="1215" t="s">
        <v>533</v>
      </c>
      <c r="U88" s="6" t="s">
        <v>549</v>
      </c>
      <c r="V88" s="6" t="s">
        <v>31</v>
      </c>
      <c r="W88" s="6" t="s">
        <v>767</v>
      </c>
      <c r="X88" s="6" t="s">
        <v>2797</v>
      </c>
    </row>
    <row r="89" spans="1:24" ht="15" customHeight="1" x14ac:dyDescent="0.3">
      <c r="A89" s="6" t="s">
        <v>533</v>
      </c>
      <c r="B89" s="6" t="s">
        <v>534</v>
      </c>
      <c r="C89" s="6" t="s">
        <v>31</v>
      </c>
      <c r="D89" s="1088" t="s">
        <v>549</v>
      </c>
      <c r="E89" s="6" t="s">
        <v>2797</v>
      </c>
      <c r="F89" s="6" t="s">
        <v>767</v>
      </c>
      <c r="G89" s="6" t="s">
        <v>768</v>
      </c>
      <c r="H89" s="6" t="s">
        <v>769</v>
      </c>
      <c r="J89" s="1215" t="s">
        <v>509</v>
      </c>
      <c r="K89" s="1219" t="s">
        <v>3111</v>
      </c>
      <c r="L89" s="8">
        <v>6</v>
      </c>
      <c r="M89" s="8">
        <v>45</v>
      </c>
      <c r="N89" s="1169" t="s">
        <v>271</v>
      </c>
      <c r="P89" s="6" t="s">
        <v>3324</v>
      </c>
      <c r="Q89" s="1215" t="s">
        <v>253</v>
      </c>
      <c r="R89" s="1215" t="s">
        <v>255</v>
      </c>
      <c r="S89" s="1215" t="s">
        <v>534</v>
      </c>
      <c r="T89" s="1215" t="s">
        <v>533</v>
      </c>
      <c r="U89" s="6" t="s">
        <v>549</v>
      </c>
      <c r="V89" s="6" t="s">
        <v>31</v>
      </c>
      <c r="W89" s="6" t="s">
        <v>767</v>
      </c>
      <c r="X89" s="6" t="s">
        <v>2797</v>
      </c>
    </row>
    <row r="90" spans="1:24" ht="15" customHeight="1" x14ac:dyDescent="0.3">
      <c r="A90" s="6" t="s">
        <v>533</v>
      </c>
      <c r="B90" s="6" t="s">
        <v>534</v>
      </c>
      <c r="C90" s="6" t="s">
        <v>31</v>
      </c>
      <c r="D90" s="1088" t="s">
        <v>549</v>
      </c>
      <c r="E90" s="6" t="s">
        <v>2797</v>
      </c>
      <c r="F90" s="6" t="s">
        <v>767</v>
      </c>
      <c r="G90" s="6" t="s">
        <v>768</v>
      </c>
      <c r="H90" s="6" t="s">
        <v>769</v>
      </c>
      <c r="J90" s="1215" t="s">
        <v>509</v>
      </c>
      <c r="K90" s="1219" t="s">
        <v>3112</v>
      </c>
      <c r="L90" s="8">
        <v>20</v>
      </c>
      <c r="M90" s="8">
        <v>160</v>
      </c>
      <c r="N90" s="1169" t="s">
        <v>271</v>
      </c>
      <c r="P90" s="6" t="s">
        <v>3324</v>
      </c>
      <c r="Q90" s="1215" t="s">
        <v>253</v>
      </c>
      <c r="R90" s="1215" t="s">
        <v>255</v>
      </c>
      <c r="S90" s="1215" t="s">
        <v>534</v>
      </c>
      <c r="T90" s="1215" t="s">
        <v>533</v>
      </c>
      <c r="U90" s="6" t="s">
        <v>549</v>
      </c>
      <c r="V90" s="6" t="s">
        <v>31</v>
      </c>
      <c r="W90" s="6" t="s">
        <v>767</v>
      </c>
      <c r="X90" s="6" t="s">
        <v>2797</v>
      </c>
    </row>
    <row r="91" spans="1:24" ht="15" customHeight="1" x14ac:dyDescent="0.3">
      <c r="A91" s="6" t="s">
        <v>533</v>
      </c>
      <c r="B91" s="6" t="s">
        <v>534</v>
      </c>
      <c r="C91" s="6" t="s">
        <v>30</v>
      </c>
      <c r="D91" s="1088" t="s">
        <v>535</v>
      </c>
      <c r="E91" s="1088" t="s">
        <v>162</v>
      </c>
      <c r="F91" s="6" t="s">
        <v>536</v>
      </c>
      <c r="G91" s="6" t="s">
        <v>654</v>
      </c>
      <c r="H91" s="6" t="s">
        <v>651</v>
      </c>
      <c r="J91" s="1215" t="s">
        <v>509</v>
      </c>
      <c r="K91" s="1219" t="s">
        <v>3033</v>
      </c>
      <c r="L91" s="8">
        <v>8</v>
      </c>
      <c r="M91" s="8">
        <v>53</v>
      </c>
      <c r="N91" s="1169" t="s">
        <v>271</v>
      </c>
      <c r="P91" s="6" t="s">
        <v>3322</v>
      </c>
      <c r="Q91" s="1215" t="s">
        <v>253</v>
      </c>
      <c r="R91" s="1215" t="s">
        <v>255</v>
      </c>
      <c r="S91" s="1215" t="s">
        <v>534</v>
      </c>
      <c r="T91" s="1215" t="s">
        <v>533</v>
      </c>
      <c r="U91" s="6" t="s">
        <v>539</v>
      </c>
      <c r="V91" s="6" t="s">
        <v>34</v>
      </c>
    </row>
    <row r="92" spans="1:24" ht="15" customHeight="1" x14ac:dyDescent="0.3">
      <c r="A92" s="6" t="s">
        <v>533</v>
      </c>
      <c r="B92" s="6" t="s">
        <v>534</v>
      </c>
      <c r="C92" s="6" t="s">
        <v>31</v>
      </c>
      <c r="D92" s="1088" t="s">
        <v>549</v>
      </c>
      <c r="E92" s="6" t="s">
        <v>171</v>
      </c>
      <c r="F92" s="6" t="s">
        <v>634</v>
      </c>
      <c r="G92" s="6" t="s">
        <v>2018</v>
      </c>
      <c r="H92" s="6" t="s">
        <v>1342</v>
      </c>
      <c r="J92" s="1215" t="s">
        <v>509</v>
      </c>
      <c r="K92" s="1219" t="s">
        <v>3033</v>
      </c>
      <c r="L92" s="8">
        <v>6</v>
      </c>
      <c r="M92" s="8">
        <v>34</v>
      </c>
      <c r="N92" s="1169" t="s">
        <v>271</v>
      </c>
      <c r="P92" s="6" t="s">
        <v>3323</v>
      </c>
      <c r="Q92" s="1215" t="s">
        <v>253</v>
      </c>
      <c r="R92" s="1215" t="s">
        <v>255</v>
      </c>
      <c r="S92" s="1215" t="s">
        <v>534</v>
      </c>
      <c r="T92" s="1215" t="s">
        <v>533</v>
      </c>
      <c r="U92" s="6" t="s">
        <v>549</v>
      </c>
      <c r="V92" s="6" t="s">
        <v>31</v>
      </c>
      <c r="W92" s="6" t="s">
        <v>844</v>
      </c>
      <c r="X92" s="6" t="s">
        <v>166</v>
      </c>
    </row>
    <row r="93" spans="1:24" ht="15" customHeight="1" x14ac:dyDescent="0.3">
      <c r="A93" s="6" t="s">
        <v>533</v>
      </c>
      <c r="B93" s="6" t="s">
        <v>534</v>
      </c>
      <c r="C93" s="6" t="s">
        <v>31</v>
      </c>
      <c r="D93" s="1088" t="s">
        <v>549</v>
      </c>
      <c r="E93" s="1088" t="s">
        <v>171</v>
      </c>
      <c r="F93" s="6" t="s">
        <v>634</v>
      </c>
      <c r="G93" s="6" t="s">
        <v>2890</v>
      </c>
      <c r="H93" s="6" t="s">
        <v>1346</v>
      </c>
      <c r="J93" s="1215" t="s">
        <v>509</v>
      </c>
      <c r="K93" s="1219" t="s">
        <v>3033</v>
      </c>
      <c r="L93" s="8">
        <v>8</v>
      </c>
      <c r="M93" s="8">
        <v>72</v>
      </c>
      <c r="N93" s="1169" t="s">
        <v>271</v>
      </c>
      <c r="P93" s="6" t="s">
        <v>3323</v>
      </c>
      <c r="Q93" s="1215" t="s">
        <v>253</v>
      </c>
      <c r="R93" s="1215" t="s">
        <v>255</v>
      </c>
      <c r="S93" s="1215" t="s">
        <v>534</v>
      </c>
      <c r="T93" s="1215" t="s">
        <v>533</v>
      </c>
      <c r="U93" s="6" t="s">
        <v>549</v>
      </c>
      <c r="V93" s="6" t="s">
        <v>31</v>
      </c>
      <c r="W93" s="6" t="s">
        <v>844</v>
      </c>
      <c r="X93" s="6" t="s">
        <v>166</v>
      </c>
    </row>
    <row r="94" spans="1:24" ht="15" customHeight="1" x14ac:dyDescent="0.3">
      <c r="A94" s="6" t="s">
        <v>533</v>
      </c>
      <c r="B94" s="6" t="s">
        <v>534</v>
      </c>
      <c r="C94" s="6" t="s">
        <v>31</v>
      </c>
      <c r="D94" s="1088" t="s">
        <v>549</v>
      </c>
      <c r="E94" s="1088" t="s">
        <v>171</v>
      </c>
      <c r="F94" s="6" t="s">
        <v>634</v>
      </c>
      <c r="G94" s="6" t="s">
        <v>2890</v>
      </c>
      <c r="H94" s="6" t="s">
        <v>1346</v>
      </c>
      <c r="J94" s="1215" t="s">
        <v>509</v>
      </c>
      <c r="K94" s="1219" t="s">
        <v>3109</v>
      </c>
      <c r="L94" s="8">
        <v>5</v>
      </c>
      <c r="M94" s="8">
        <v>14</v>
      </c>
      <c r="N94" s="1169" t="s">
        <v>271</v>
      </c>
      <c r="P94" s="6" t="s">
        <v>3323</v>
      </c>
      <c r="Q94" s="1215" t="s">
        <v>253</v>
      </c>
      <c r="R94" s="1215" t="s">
        <v>255</v>
      </c>
      <c r="S94" s="1215" t="s">
        <v>534</v>
      </c>
      <c r="T94" s="1215" t="s">
        <v>533</v>
      </c>
      <c r="U94" s="6" t="s">
        <v>549</v>
      </c>
      <c r="V94" s="6" t="s">
        <v>31</v>
      </c>
      <c r="X94" s="6" t="s">
        <v>2797</v>
      </c>
    </row>
    <row r="95" spans="1:24" ht="15" customHeight="1" x14ac:dyDescent="0.3">
      <c r="A95" s="6" t="s">
        <v>533</v>
      </c>
      <c r="B95" s="6" t="s">
        <v>534</v>
      </c>
      <c r="C95" s="6" t="s">
        <v>31</v>
      </c>
      <c r="D95" s="1088" t="s">
        <v>549</v>
      </c>
      <c r="E95" s="6" t="s">
        <v>164</v>
      </c>
      <c r="F95" s="6" t="s">
        <v>748</v>
      </c>
      <c r="G95" s="6" t="s">
        <v>1786</v>
      </c>
      <c r="H95" s="6" t="s">
        <v>1787</v>
      </c>
      <c r="J95" s="1215" t="s">
        <v>509</v>
      </c>
      <c r="K95" s="1219" t="s">
        <v>3112</v>
      </c>
      <c r="L95" s="8">
        <v>3</v>
      </c>
      <c r="M95" s="8">
        <v>21</v>
      </c>
      <c r="N95" s="1169" t="s">
        <v>275</v>
      </c>
      <c r="O95" s="6" t="s">
        <v>3327</v>
      </c>
      <c r="P95" s="6" t="s">
        <v>3324</v>
      </c>
      <c r="Q95" s="1215" t="s">
        <v>253</v>
      </c>
      <c r="R95" s="1215" t="s">
        <v>255</v>
      </c>
      <c r="S95" s="1215" t="s">
        <v>534</v>
      </c>
      <c r="T95" s="1215" t="s">
        <v>533</v>
      </c>
      <c r="U95" s="6" t="s">
        <v>549</v>
      </c>
      <c r="V95" s="6" t="s">
        <v>31</v>
      </c>
      <c r="W95" s="6" t="s">
        <v>748</v>
      </c>
      <c r="X95" s="6" t="s">
        <v>164</v>
      </c>
    </row>
    <row r="96" spans="1:24" ht="15" customHeight="1" x14ac:dyDescent="0.3">
      <c r="A96" s="6" t="s">
        <v>533</v>
      </c>
      <c r="B96" s="6" t="s">
        <v>534</v>
      </c>
      <c r="C96" s="6" t="s">
        <v>31</v>
      </c>
      <c r="D96" s="1088" t="s">
        <v>549</v>
      </c>
      <c r="E96" s="1088" t="s">
        <v>164</v>
      </c>
      <c r="F96" s="6" t="s">
        <v>748</v>
      </c>
      <c r="G96" s="6" t="s">
        <v>1786</v>
      </c>
      <c r="H96" s="6" t="s">
        <v>1787</v>
      </c>
      <c r="J96" s="1215" t="s">
        <v>509</v>
      </c>
      <c r="K96" s="1219" t="s">
        <v>3109</v>
      </c>
      <c r="L96" s="8">
        <v>4</v>
      </c>
      <c r="M96" s="8">
        <v>17</v>
      </c>
      <c r="N96" s="1169" t="s">
        <v>271</v>
      </c>
      <c r="P96" s="6" t="s">
        <v>3323</v>
      </c>
      <c r="Q96" s="1215" t="s">
        <v>253</v>
      </c>
      <c r="R96" s="1215" t="s">
        <v>255</v>
      </c>
      <c r="S96" s="1215" t="s">
        <v>534</v>
      </c>
      <c r="T96" s="1215" t="s">
        <v>533</v>
      </c>
      <c r="U96" s="6" t="s">
        <v>549</v>
      </c>
      <c r="V96" s="6" t="s">
        <v>31</v>
      </c>
      <c r="W96" s="6" t="s">
        <v>881</v>
      </c>
      <c r="X96" s="1215" t="s">
        <v>165</v>
      </c>
    </row>
    <row r="97" spans="1:24" ht="15" customHeight="1" x14ac:dyDescent="0.3">
      <c r="A97" s="6" t="s">
        <v>533</v>
      </c>
      <c r="B97" s="6" t="s">
        <v>534</v>
      </c>
      <c r="C97" s="6" t="s">
        <v>31</v>
      </c>
      <c r="D97" s="1088" t="s">
        <v>549</v>
      </c>
      <c r="E97" s="6" t="s">
        <v>164</v>
      </c>
      <c r="F97" s="6" t="s">
        <v>748</v>
      </c>
      <c r="G97" s="6" t="s">
        <v>550</v>
      </c>
      <c r="H97" s="6" t="s">
        <v>3179</v>
      </c>
      <c r="I97" s="6" t="s">
        <v>3179</v>
      </c>
      <c r="J97" s="1215" t="s">
        <v>509</v>
      </c>
      <c r="K97" s="1219" t="s">
        <v>3112</v>
      </c>
      <c r="L97" s="8">
        <v>669</v>
      </c>
      <c r="M97" s="8">
        <v>2285</v>
      </c>
      <c r="N97" s="1169" t="s">
        <v>275</v>
      </c>
      <c r="O97" s="6" t="s">
        <v>3328</v>
      </c>
      <c r="P97" s="6" t="s">
        <v>3324</v>
      </c>
      <c r="Q97" s="1215" t="s">
        <v>253</v>
      </c>
      <c r="R97" s="1215" t="s">
        <v>255</v>
      </c>
      <c r="S97" s="1215" t="s">
        <v>534</v>
      </c>
      <c r="T97" s="1215" t="s">
        <v>533</v>
      </c>
      <c r="U97" s="6" t="s">
        <v>549</v>
      </c>
      <c r="V97" s="6" t="s">
        <v>31</v>
      </c>
      <c r="W97" s="6" t="s">
        <v>748</v>
      </c>
      <c r="X97" s="6" t="s">
        <v>164</v>
      </c>
    </row>
    <row r="98" spans="1:24" ht="15" customHeight="1" x14ac:dyDescent="0.3">
      <c r="A98" s="6" t="s">
        <v>533</v>
      </c>
      <c r="B98" s="6" t="s">
        <v>534</v>
      </c>
      <c r="C98" s="6" t="s">
        <v>30</v>
      </c>
      <c r="D98" s="1088" t="s">
        <v>535</v>
      </c>
      <c r="E98" s="6" t="s">
        <v>161</v>
      </c>
      <c r="F98" s="6" t="s">
        <v>587</v>
      </c>
      <c r="G98" s="6" t="s">
        <v>588</v>
      </c>
      <c r="H98" s="6" t="s">
        <v>589</v>
      </c>
      <c r="J98" s="1215" t="s">
        <v>509</v>
      </c>
      <c r="K98" s="1219" t="s">
        <v>3033</v>
      </c>
      <c r="L98" s="8">
        <v>183</v>
      </c>
      <c r="M98" s="8">
        <v>1057</v>
      </c>
      <c r="N98" s="1169" t="s">
        <v>271</v>
      </c>
      <c r="P98" s="6" t="s">
        <v>3322</v>
      </c>
      <c r="Q98" s="1215" t="s">
        <v>253</v>
      </c>
      <c r="R98" s="1215" t="s">
        <v>255</v>
      </c>
      <c r="S98" s="1215" t="s">
        <v>534</v>
      </c>
      <c r="T98" s="1215" t="s">
        <v>533</v>
      </c>
      <c r="U98" s="6" t="s">
        <v>539</v>
      </c>
      <c r="V98" s="6" t="s">
        <v>34</v>
      </c>
    </row>
    <row r="99" spans="1:24" ht="15" customHeight="1" x14ac:dyDescent="0.3">
      <c r="A99" s="6" t="s">
        <v>533</v>
      </c>
      <c r="B99" s="6" t="s">
        <v>534</v>
      </c>
      <c r="C99" s="6" t="s">
        <v>30</v>
      </c>
      <c r="D99" s="1088" t="s">
        <v>535</v>
      </c>
      <c r="E99" s="6" t="s">
        <v>161</v>
      </c>
      <c r="F99" s="6" t="s">
        <v>587</v>
      </c>
      <c r="G99" s="6" t="s">
        <v>588</v>
      </c>
      <c r="H99" s="6" t="s">
        <v>589</v>
      </c>
      <c r="J99" s="1215" t="s">
        <v>509</v>
      </c>
      <c r="K99" s="1219" t="s">
        <v>3112</v>
      </c>
      <c r="L99" s="8">
        <v>1</v>
      </c>
      <c r="M99" s="8">
        <v>21</v>
      </c>
      <c r="N99" s="1169" t="s">
        <v>275</v>
      </c>
      <c r="O99" s="6" t="s">
        <v>3329</v>
      </c>
      <c r="P99" s="6" t="s">
        <v>3323</v>
      </c>
      <c r="Q99" s="1215" t="s">
        <v>253</v>
      </c>
      <c r="R99" s="1215" t="s">
        <v>255</v>
      </c>
      <c r="S99" s="1215" t="s">
        <v>534</v>
      </c>
      <c r="T99" s="1215" t="s">
        <v>533</v>
      </c>
      <c r="U99" s="6" t="s">
        <v>535</v>
      </c>
      <c r="V99" s="6" t="s">
        <v>30</v>
      </c>
      <c r="W99" s="1215" t="s">
        <v>2236</v>
      </c>
      <c r="X99" s="1215" t="s">
        <v>157</v>
      </c>
    </row>
    <row r="100" spans="1:24" ht="15" customHeight="1" x14ac:dyDescent="0.3">
      <c r="A100" s="6" t="s">
        <v>533</v>
      </c>
      <c r="B100" s="6" t="s">
        <v>534</v>
      </c>
      <c r="C100" s="6" t="s">
        <v>32</v>
      </c>
      <c r="D100" s="1088" t="s">
        <v>542</v>
      </c>
      <c r="E100" s="1088" t="s">
        <v>178</v>
      </c>
      <c r="F100" s="6" t="s">
        <v>543</v>
      </c>
      <c r="G100" s="6" t="s">
        <v>1017</v>
      </c>
      <c r="H100" s="6" t="s">
        <v>3301</v>
      </c>
      <c r="J100" s="1215" t="s">
        <v>509</v>
      </c>
      <c r="K100" s="1219" t="s">
        <v>3033</v>
      </c>
      <c r="L100" s="8">
        <v>188</v>
      </c>
      <c r="M100" s="8">
        <v>1543</v>
      </c>
      <c r="N100" s="1169" t="s">
        <v>272</v>
      </c>
      <c r="P100" s="6" t="s">
        <v>3324</v>
      </c>
      <c r="Q100" s="1215" t="s">
        <v>253</v>
      </c>
      <c r="R100" s="1215" t="s">
        <v>255</v>
      </c>
      <c r="S100" s="1215" t="s">
        <v>534</v>
      </c>
      <c r="T100" s="1215" t="s">
        <v>533</v>
      </c>
      <c r="U100" s="6" t="s">
        <v>542</v>
      </c>
      <c r="V100" s="6" t="s">
        <v>32</v>
      </c>
      <c r="W100" s="6" t="s">
        <v>543</v>
      </c>
      <c r="X100" s="6" t="s">
        <v>178</v>
      </c>
    </row>
    <row r="101" spans="1:24" ht="15" customHeight="1" x14ac:dyDescent="0.3">
      <c r="A101" s="6" t="s">
        <v>533</v>
      </c>
      <c r="B101" s="6" t="s">
        <v>534</v>
      </c>
      <c r="C101" s="6" t="s">
        <v>32</v>
      </c>
      <c r="D101" s="1088" t="s">
        <v>542</v>
      </c>
      <c r="E101" s="1088" t="s">
        <v>178</v>
      </c>
      <c r="F101" s="6" t="s">
        <v>543</v>
      </c>
      <c r="G101" s="6" t="s">
        <v>1017</v>
      </c>
      <c r="H101" s="6" t="s">
        <v>3301</v>
      </c>
      <c r="J101" s="1215" t="s">
        <v>509</v>
      </c>
      <c r="K101" s="1219" t="s">
        <v>3109</v>
      </c>
      <c r="L101" s="8">
        <v>5</v>
      </c>
      <c r="M101" s="8">
        <v>50</v>
      </c>
      <c r="N101" s="1169" t="s">
        <v>272</v>
      </c>
      <c r="P101" s="6" t="s">
        <v>3324</v>
      </c>
      <c r="Q101" s="1215" t="s">
        <v>253</v>
      </c>
      <c r="R101" s="1215" t="s">
        <v>255</v>
      </c>
      <c r="S101" s="1215" t="s">
        <v>534</v>
      </c>
      <c r="T101" s="1215" t="s">
        <v>533</v>
      </c>
      <c r="U101" s="6" t="s">
        <v>542</v>
      </c>
      <c r="V101" s="6" t="s">
        <v>32</v>
      </c>
      <c r="W101" s="6" t="s">
        <v>543</v>
      </c>
      <c r="X101" s="6" t="s">
        <v>178</v>
      </c>
    </row>
    <row r="102" spans="1:24" ht="15" customHeight="1" x14ac:dyDescent="0.3">
      <c r="A102" s="6" t="s">
        <v>533</v>
      </c>
      <c r="B102" s="6" t="s">
        <v>534</v>
      </c>
      <c r="C102" s="6" t="s">
        <v>32</v>
      </c>
      <c r="D102" s="1088" t="s">
        <v>542</v>
      </c>
      <c r="E102" s="6" t="s">
        <v>178</v>
      </c>
      <c r="F102" s="6" t="s">
        <v>543</v>
      </c>
      <c r="G102" s="6" t="s">
        <v>1017</v>
      </c>
      <c r="H102" s="6" t="s">
        <v>3301</v>
      </c>
      <c r="J102" s="1215" t="s">
        <v>509</v>
      </c>
      <c r="K102" s="1219" t="s">
        <v>3110</v>
      </c>
      <c r="L102" s="8">
        <v>0</v>
      </c>
      <c r="M102" s="8">
        <v>11</v>
      </c>
      <c r="N102" s="1169" t="s">
        <v>272</v>
      </c>
      <c r="P102" s="6" t="s">
        <v>3324</v>
      </c>
      <c r="Q102" s="1215" t="s">
        <v>253</v>
      </c>
      <c r="R102" s="1215" t="s">
        <v>255</v>
      </c>
      <c r="S102" s="1215" t="s">
        <v>534</v>
      </c>
      <c r="T102" s="1215" t="s">
        <v>533</v>
      </c>
      <c r="U102" s="6" t="s">
        <v>542</v>
      </c>
      <c r="V102" s="6" t="s">
        <v>32</v>
      </c>
      <c r="W102" s="6" t="s">
        <v>543</v>
      </c>
      <c r="X102" s="6" t="s">
        <v>178</v>
      </c>
    </row>
    <row r="103" spans="1:24" ht="15" customHeight="1" x14ac:dyDescent="0.3">
      <c r="A103" s="6" t="s">
        <v>533</v>
      </c>
      <c r="B103" s="6" t="s">
        <v>534</v>
      </c>
      <c r="C103" s="6" t="s">
        <v>32</v>
      </c>
      <c r="D103" s="1088" t="s">
        <v>542</v>
      </c>
      <c r="E103" s="6" t="s">
        <v>178</v>
      </c>
      <c r="F103" s="6" t="s">
        <v>543</v>
      </c>
      <c r="G103" s="6" t="s">
        <v>1017</v>
      </c>
      <c r="H103" s="6" t="s">
        <v>3301</v>
      </c>
      <c r="J103" s="1215" t="s">
        <v>509</v>
      </c>
      <c r="K103" s="1219" t="s">
        <v>3111</v>
      </c>
      <c r="L103" s="8">
        <v>0</v>
      </c>
      <c r="M103" s="8">
        <v>18</v>
      </c>
      <c r="N103" s="1169" t="s">
        <v>272</v>
      </c>
      <c r="P103" s="6" t="s">
        <v>3324</v>
      </c>
      <c r="Q103" s="1215" t="s">
        <v>253</v>
      </c>
      <c r="R103" s="1215" t="s">
        <v>255</v>
      </c>
      <c r="S103" s="1215" t="s">
        <v>534</v>
      </c>
      <c r="T103" s="1215" t="s">
        <v>533</v>
      </c>
      <c r="U103" s="6" t="s">
        <v>542</v>
      </c>
      <c r="V103" s="6" t="s">
        <v>32</v>
      </c>
      <c r="W103" s="6" t="s">
        <v>543</v>
      </c>
      <c r="X103" s="6" t="s">
        <v>178</v>
      </c>
    </row>
    <row r="104" spans="1:24" ht="15" customHeight="1" x14ac:dyDescent="0.3">
      <c r="A104" s="6" t="s">
        <v>533</v>
      </c>
      <c r="B104" s="6" t="s">
        <v>534</v>
      </c>
      <c r="C104" s="6" t="s">
        <v>32</v>
      </c>
      <c r="D104" s="1088" t="s">
        <v>542</v>
      </c>
      <c r="E104" s="6" t="s">
        <v>178</v>
      </c>
      <c r="F104" s="6" t="s">
        <v>543</v>
      </c>
      <c r="G104" s="6" t="s">
        <v>1017</v>
      </c>
      <c r="H104" s="6" t="s">
        <v>3301</v>
      </c>
      <c r="J104" s="1215" t="s">
        <v>509</v>
      </c>
      <c r="K104" s="1219" t="s">
        <v>3112</v>
      </c>
      <c r="L104" s="8">
        <v>0</v>
      </c>
      <c r="M104" s="8">
        <v>18</v>
      </c>
      <c r="N104" s="1169" t="s">
        <v>272</v>
      </c>
      <c r="P104" s="6" t="s">
        <v>3324</v>
      </c>
      <c r="Q104" s="1215" t="s">
        <v>253</v>
      </c>
      <c r="R104" s="1215" t="s">
        <v>255</v>
      </c>
      <c r="S104" s="1215" t="s">
        <v>534</v>
      </c>
      <c r="T104" s="1215" t="s">
        <v>533</v>
      </c>
      <c r="U104" s="6" t="s">
        <v>542</v>
      </c>
      <c r="V104" s="6" t="s">
        <v>32</v>
      </c>
      <c r="W104" s="6" t="s">
        <v>543</v>
      </c>
      <c r="X104" s="6" t="s">
        <v>178</v>
      </c>
    </row>
    <row r="105" spans="1:24" ht="15" customHeight="1" x14ac:dyDescent="0.3">
      <c r="A105" s="6" t="s">
        <v>533</v>
      </c>
      <c r="B105" s="6" t="s">
        <v>534</v>
      </c>
      <c r="C105" s="6" t="s">
        <v>31</v>
      </c>
      <c r="D105" s="1088" t="s">
        <v>549</v>
      </c>
      <c r="E105" s="6" t="s">
        <v>171</v>
      </c>
      <c r="F105" s="6" t="s">
        <v>634</v>
      </c>
      <c r="G105" s="6" t="s">
        <v>1963</v>
      </c>
      <c r="H105" s="6" t="s">
        <v>975</v>
      </c>
      <c r="J105" s="1215" t="s">
        <v>509</v>
      </c>
      <c r="K105" s="1219" t="s">
        <v>3109</v>
      </c>
      <c r="L105" s="8">
        <v>0</v>
      </c>
      <c r="M105" s="8">
        <v>13</v>
      </c>
      <c r="N105" s="1169" t="s">
        <v>271</v>
      </c>
      <c r="P105" s="6" t="s">
        <v>3324</v>
      </c>
      <c r="Q105" s="1215" t="s">
        <v>253</v>
      </c>
      <c r="R105" s="1215" t="s">
        <v>255</v>
      </c>
      <c r="S105" s="1215" t="s">
        <v>534</v>
      </c>
      <c r="T105" s="1215" t="s">
        <v>533</v>
      </c>
      <c r="U105" s="6" t="s">
        <v>549</v>
      </c>
      <c r="V105" s="6" t="s">
        <v>31</v>
      </c>
      <c r="W105" s="6" t="s">
        <v>634</v>
      </c>
      <c r="X105" s="6" t="s">
        <v>171</v>
      </c>
    </row>
    <row r="106" spans="1:24" ht="15" customHeight="1" x14ac:dyDescent="0.3">
      <c r="A106" s="6" t="s">
        <v>533</v>
      </c>
      <c r="B106" s="6" t="s">
        <v>534</v>
      </c>
      <c r="C106" s="6" t="s">
        <v>31</v>
      </c>
      <c r="D106" s="1088" t="s">
        <v>549</v>
      </c>
      <c r="E106" s="1088" t="s">
        <v>171</v>
      </c>
      <c r="F106" s="6" t="s">
        <v>634</v>
      </c>
      <c r="G106" s="6" t="s">
        <v>1963</v>
      </c>
      <c r="H106" s="6" t="s">
        <v>975</v>
      </c>
      <c r="J106" s="1215" t="s">
        <v>509</v>
      </c>
      <c r="K106" s="1219" t="s">
        <v>3111</v>
      </c>
      <c r="L106" s="8">
        <v>43</v>
      </c>
      <c r="M106" s="8">
        <v>100</v>
      </c>
      <c r="N106" s="1169" t="s">
        <v>271</v>
      </c>
      <c r="P106" s="6" t="s">
        <v>3323</v>
      </c>
      <c r="Q106" s="1215" t="s">
        <v>253</v>
      </c>
      <c r="R106" s="1215" t="s">
        <v>255</v>
      </c>
      <c r="S106" s="1215" t="s">
        <v>534</v>
      </c>
      <c r="T106" s="1215" t="s">
        <v>533</v>
      </c>
      <c r="U106" s="6" t="s">
        <v>549</v>
      </c>
      <c r="V106" s="6" t="s">
        <v>31</v>
      </c>
      <c r="X106" s="6" t="s">
        <v>2797</v>
      </c>
    </row>
    <row r="107" spans="1:24" ht="15" customHeight="1" x14ac:dyDescent="0.3">
      <c r="A107" s="6" t="s">
        <v>533</v>
      </c>
      <c r="B107" s="6" t="s">
        <v>534</v>
      </c>
      <c r="C107" s="6" t="s">
        <v>31</v>
      </c>
      <c r="D107" s="1088" t="s">
        <v>549</v>
      </c>
      <c r="E107" s="6" t="s">
        <v>171</v>
      </c>
      <c r="F107" s="6" t="s">
        <v>634</v>
      </c>
      <c r="G107" s="6" t="s">
        <v>1963</v>
      </c>
      <c r="H107" s="6" t="s">
        <v>975</v>
      </c>
      <c r="J107" s="1215" t="s">
        <v>509</v>
      </c>
      <c r="K107" s="1219" t="s">
        <v>3033</v>
      </c>
      <c r="L107" s="8">
        <v>13</v>
      </c>
      <c r="M107" s="8">
        <v>77</v>
      </c>
      <c r="N107" s="1169" t="s">
        <v>271</v>
      </c>
      <c r="P107" s="6" t="s">
        <v>3324</v>
      </c>
      <c r="Q107" s="1215" t="s">
        <v>253</v>
      </c>
      <c r="R107" s="1215" t="s">
        <v>255</v>
      </c>
      <c r="S107" s="1215" t="s">
        <v>534</v>
      </c>
      <c r="T107" s="1215" t="s">
        <v>533</v>
      </c>
      <c r="U107" s="6" t="s">
        <v>549</v>
      </c>
      <c r="V107" s="6" t="s">
        <v>31</v>
      </c>
      <c r="W107" s="6" t="s">
        <v>634</v>
      </c>
      <c r="X107" s="6" t="s">
        <v>171</v>
      </c>
    </row>
    <row r="108" spans="1:24" ht="15" customHeight="1" x14ac:dyDescent="0.3">
      <c r="A108" s="6" t="s">
        <v>533</v>
      </c>
      <c r="B108" s="6" t="s">
        <v>534</v>
      </c>
      <c r="C108" s="6" t="s">
        <v>31</v>
      </c>
      <c r="D108" s="1088" t="s">
        <v>549</v>
      </c>
      <c r="E108" s="6" t="s">
        <v>171</v>
      </c>
      <c r="F108" s="6" t="s">
        <v>634</v>
      </c>
      <c r="G108" s="6" t="s">
        <v>1963</v>
      </c>
      <c r="H108" s="6" t="s">
        <v>975</v>
      </c>
      <c r="J108" s="1215" t="s">
        <v>509</v>
      </c>
      <c r="K108" s="1219" t="s">
        <v>3110</v>
      </c>
      <c r="L108" s="8">
        <v>0</v>
      </c>
      <c r="M108" s="8">
        <v>10</v>
      </c>
      <c r="N108" s="1169" t="s">
        <v>271</v>
      </c>
      <c r="P108" s="6" t="s">
        <v>3324</v>
      </c>
      <c r="Q108" s="1215" t="s">
        <v>253</v>
      </c>
      <c r="R108" s="1215" t="s">
        <v>255</v>
      </c>
      <c r="S108" s="1215" t="s">
        <v>534</v>
      </c>
      <c r="T108" s="1215" t="s">
        <v>533</v>
      </c>
      <c r="U108" s="6" t="s">
        <v>549</v>
      </c>
      <c r="V108" s="6" t="s">
        <v>31</v>
      </c>
      <c r="W108" s="6" t="s">
        <v>634</v>
      </c>
      <c r="X108" s="6" t="s">
        <v>171</v>
      </c>
    </row>
    <row r="109" spans="1:24" ht="15" customHeight="1" x14ac:dyDescent="0.3">
      <c r="A109" s="6" t="s">
        <v>533</v>
      </c>
      <c r="B109" s="6" t="s">
        <v>534</v>
      </c>
      <c r="C109" s="6" t="s">
        <v>30</v>
      </c>
      <c r="D109" s="1088" t="s">
        <v>535</v>
      </c>
      <c r="E109" s="6" t="s">
        <v>158</v>
      </c>
      <c r="F109" s="6" t="s">
        <v>571</v>
      </c>
      <c r="G109" s="6" t="s">
        <v>604</v>
      </c>
      <c r="H109" s="6" t="s">
        <v>605</v>
      </c>
      <c r="J109" s="1215" t="s">
        <v>509</v>
      </c>
      <c r="K109" s="1219" t="s">
        <v>3033</v>
      </c>
      <c r="L109" s="8">
        <v>2</v>
      </c>
      <c r="M109" s="8">
        <v>23</v>
      </c>
      <c r="N109" s="1169" t="s">
        <v>271</v>
      </c>
      <c r="P109" s="6" t="s">
        <v>3322</v>
      </c>
      <c r="Q109" s="1215" t="s">
        <v>253</v>
      </c>
      <c r="R109" s="1215" t="s">
        <v>255</v>
      </c>
      <c r="S109" s="1215" t="s">
        <v>534</v>
      </c>
      <c r="T109" s="1215" t="s">
        <v>533</v>
      </c>
      <c r="U109" s="6" t="s">
        <v>567</v>
      </c>
      <c r="V109" s="6" t="s">
        <v>35</v>
      </c>
    </row>
    <row r="110" spans="1:24" ht="15" customHeight="1" x14ac:dyDescent="0.3">
      <c r="A110" s="6" t="s">
        <v>533</v>
      </c>
      <c r="B110" s="6" t="s">
        <v>534</v>
      </c>
      <c r="C110" s="6" t="s">
        <v>35</v>
      </c>
      <c r="D110" s="1088" t="s">
        <v>567</v>
      </c>
      <c r="E110" s="6" t="s">
        <v>193</v>
      </c>
      <c r="F110" s="6" t="s">
        <v>863</v>
      </c>
      <c r="G110" s="6" t="s">
        <v>864</v>
      </c>
      <c r="H110" s="6" t="s">
        <v>1567</v>
      </c>
      <c r="J110" s="1215" t="s">
        <v>509</v>
      </c>
      <c r="K110" s="1219" t="s">
        <v>3033</v>
      </c>
      <c r="L110" s="8">
        <v>590</v>
      </c>
      <c r="M110" s="8">
        <v>3126</v>
      </c>
      <c r="N110" s="1169" t="s">
        <v>271</v>
      </c>
      <c r="P110" s="6" t="s">
        <v>3324</v>
      </c>
      <c r="Q110" s="1215" t="s">
        <v>253</v>
      </c>
      <c r="R110" s="1215" t="s">
        <v>255</v>
      </c>
      <c r="S110" s="1215" t="s">
        <v>534</v>
      </c>
      <c r="T110" s="1215" t="s">
        <v>533</v>
      </c>
      <c r="U110" s="6" t="s">
        <v>567</v>
      </c>
      <c r="V110" s="6" t="s">
        <v>35</v>
      </c>
      <c r="W110" s="6" t="s">
        <v>863</v>
      </c>
      <c r="X110" s="6" t="s">
        <v>193</v>
      </c>
    </row>
    <row r="111" spans="1:24" ht="15" customHeight="1" x14ac:dyDescent="0.3">
      <c r="A111" s="6" t="s">
        <v>533</v>
      </c>
      <c r="B111" s="6" t="s">
        <v>534</v>
      </c>
      <c r="C111" s="6" t="s">
        <v>35</v>
      </c>
      <c r="D111" s="1088" t="s">
        <v>567</v>
      </c>
      <c r="E111" s="6" t="s">
        <v>193</v>
      </c>
      <c r="F111" s="6" t="s">
        <v>863</v>
      </c>
      <c r="G111" s="6" t="s">
        <v>864</v>
      </c>
      <c r="H111" s="1088" t="s">
        <v>1567</v>
      </c>
      <c r="J111" s="1215" t="s">
        <v>509</v>
      </c>
      <c r="K111" s="1219" t="s">
        <v>3109</v>
      </c>
      <c r="L111" s="8">
        <v>38</v>
      </c>
      <c r="M111" s="8">
        <v>265</v>
      </c>
      <c r="N111" s="1169" t="s">
        <v>271</v>
      </c>
      <c r="P111" s="6" t="s">
        <v>3324</v>
      </c>
      <c r="Q111" s="1215" t="s">
        <v>253</v>
      </c>
      <c r="R111" s="1215" t="s">
        <v>255</v>
      </c>
      <c r="S111" s="1215" t="s">
        <v>534</v>
      </c>
      <c r="T111" s="1215" t="s">
        <v>533</v>
      </c>
      <c r="U111" s="6" t="s">
        <v>567</v>
      </c>
      <c r="V111" s="6" t="s">
        <v>35</v>
      </c>
      <c r="W111" s="6" t="s">
        <v>863</v>
      </c>
      <c r="X111" s="6" t="s">
        <v>193</v>
      </c>
    </row>
    <row r="112" spans="1:24" ht="15" customHeight="1" x14ac:dyDescent="0.3">
      <c r="A112" s="6" t="s">
        <v>533</v>
      </c>
      <c r="B112" s="6" t="s">
        <v>534</v>
      </c>
      <c r="C112" s="6" t="s">
        <v>35</v>
      </c>
      <c r="D112" s="6" t="s">
        <v>567</v>
      </c>
      <c r="E112" s="1088" t="s">
        <v>193</v>
      </c>
      <c r="F112" s="6" t="s">
        <v>863</v>
      </c>
      <c r="G112" s="6" t="s">
        <v>864</v>
      </c>
      <c r="H112" s="6" t="s">
        <v>1567</v>
      </c>
      <c r="J112" s="1215" t="s">
        <v>509</v>
      </c>
      <c r="K112" s="1219" t="s">
        <v>3110</v>
      </c>
      <c r="L112" s="8">
        <v>12</v>
      </c>
      <c r="M112" s="8">
        <v>77</v>
      </c>
      <c r="N112" s="1169" t="s">
        <v>271</v>
      </c>
      <c r="P112" s="6" t="s">
        <v>3324</v>
      </c>
      <c r="Q112" s="1215" t="s">
        <v>253</v>
      </c>
      <c r="R112" s="1215" t="s">
        <v>255</v>
      </c>
      <c r="S112" s="1215" t="s">
        <v>534</v>
      </c>
      <c r="T112" s="1215" t="s">
        <v>533</v>
      </c>
      <c r="U112" s="6" t="s">
        <v>567</v>
      </c>
      <c r="V112" s="6" t="s">
        <v>35</v>
      </c>
      <c r="W112" s="6" t="s">
        <v>863</v>
      </c>
      <c r="X112" s="6" t="s">
        <v>193</v>
      </c>
    </row>
    <row r="113" spans="1:24" ht="15" customHeight="1" x14ac:dyDescent="0.3">
      <c r="A113" s="6" t="s">
        <v>533</v>
      </c>
      <c r="B113" s="6" t="s">
        <v>534</v>
      </c>
      <c r="C113" s="6" t="s">
        <v>35</v>
      </c>
      <c r="D113" s="1088" t="s">
        <v>567</v>
      </c>
      <c r="E113" s="1088" t="s">
        <v>193</v>
      </c>
      <c r="F113" s="6" t="s">
        <v>863</v>
      </c>
      <c r="G113" s="6" t="s">
        <v>864</v>
      </c>
      <c r="H113" s="6" t="s">
        <v>1567</v>
      </c>
      <c r="J113" s="1215" t="s">
        <v>509</v>
      </c>
      <c r="K113" s="1219" t="s">
        <v>3111</v>
      </c>
      <c r="L113" s="8">
        <v>260</v>
      </c>
      <c r="M113" s="8">
        <v>1135</v>
      </c>
      <c r="N113" s="1169" t="s">
        <v>271</v>
      </c>
      <c r="P113" s="6" t="s">
        <v>3324</v>
      </c>
      <c r="Q113" s="1215" t="s">
        <v>253</v>
      </c>
      <c r="R113" s="1215" t="s">
        <v>255</v>
      </c>
      <c r="S113" s="1215" t="s">
        <v>534</v>
      </c>
      <c r="T113" s="1215" t="s">
        <v>533</v>
      </c>
      <c r="U113" s="6" t="s">
        <v>567</v>
      </c>
      <c r="V113" s="6" t="s">
        <v>35</v>
      </c>
      <c r="W113" s="6" t="s">
        <v>863</v>
      </c>
      <c r="X113" s="6" t="s">
        <v>193</v>
      </c>
    </row>
    <row r="114" spans="1:24" ht="15" customHeight="1" x14ac:dyDescent="0.3">
      <c r="A114" s="6" t="s">
        <v>533</v>
      </c>
      <c r="B114" s="6" t="s">
        <v>534</v>
      </c>
      <c r="C114" s="6" t="s">
        <v>35</v>
      </c>
      <c r="D114" s="1088" t="s">
        <v>567</v>
      </c>
      <c r="E114" s="6" t="s">
        <v>193</v>
      </c>
      <c r="F114" s="6" t="s">
        <v>863</v>
      </c>
      <c r="G114" s="6" t="s">
        <v>864</v>
      </c>
      <c r="H114" s="6" t="s">
        <v>1567</v>
      </c>
      <c r="J114" s="1215" t="s">
        <v>509</v>
      </c>
      <c r="K114" s="1219" t="s">
        <v>3112</v>
      </c>
      <c r="L114" s="8">
        <v>35</v>
      </c>
      <c r="M114" s="8">
        <v>305</v>
      </c>
      <c r="N114" s="1169" t="s">
        <v>271</v>
      </c>
      <c r="P114" s="6" t="s">
        <v>3324</v>
      </c>
      <c r="Q114" s="1215" t="s">
        <v>253</v>
      </c>
      <c r="R114" s="1215" t="s">
        <v>255</v>
      </c>
      <c r="S114" s="1215" t="s">
        <v>534</v>
      </c>
      <c r="T114" s="1215" t="s">
        <v>533</v>
      </c>
      <c r="U114" s="6" t="s">
        <v>567</v>
      </c>
      <c r="V114" s="6" t="s">
        <v>35</v>
      </c>
      <c r="W114" s="6" t="s">
        <v>863</v>
      </c>
      <c r="X114" s="6" t="s">
        <v>193</v>
      </c>
    </row>
    <row r="115" spans="1:24" ht="15" customHeight="1" x14ac:dyDescent="0.3">
      <c r="A115" s="6" t="s">
        <v>533</v>
      </c>
      <c r="B115" s="6" t="s">
        <v>534</v>
      </c>
      <c r="C115" s="6" t="s">
        <v>35</v>
      </c>
      <c r="D115" s="1088" t="s">
        <v>567</v>
      </c>
      <c r="E115" s="6" t="s">
        <v>193</v>
      </c>
      <c r="F115" s="6" t="s">
        <v>863</v>
      </c>
      <c r="G115" s="6" t="s">
        <v>1597</v>
      </c>
      <c r="H115" s="6" t="s">
        <v>3294</v>
      </c>
      <c r="J115" s="1215" t="s">
        <v>509</v>
      </c>
      <c r="K115" s="1219" t="s">
        <v>3033</v>
      </c>
      <c r="L115" s="8">
        <v>46</v>
      </c>
      <c r="M115" s="8">
        <v>338</v>
      </c>
      <c r="N115" s="1169" t="s">
        <v>271</v>
      </c>
      <c r="P115" s="6" t="s">
        <v>3324</v>
      </c>
      <c r="Q115" s="1215" t="s">
        <v>253</v>
      </c>
      <c r="R115" s="1215" t="s">
        <v>255</v>
      </c>
      <c r="S115" s="1215" t="s">
        <v>534</v>
      </c>
      <c r="T115" s="1215" t="s">
        <v>533</v>
      </c>
      <c r="U115" s="6" t="s">
        <v>567</v>
      </c>
      <c r="V115" s="6" t="s">
        <v>35</v>
      </c>
      <c r="W115" s="6" t="s">
        <v>863</v>
      </c>
      <c r="X115" s="6" t="s">
        <v>193</v>
      </c>
    </row>
    <row r="116" spans="1:24" ht="15" customHeight="1" x14ac:dyDescent="0.3">
      <c r="A116" s="6" t="s">
        <v>533</v>
      </c>
      <c r="B116" s="6" t="s">
        <v>534</v>
      </c>
      <c r="C116" s="6" t="s">
        <v>35</v>
      </c>
      <c r="D116" s="1088" t="s">
        <v>567</v>
      </c>
      <c r="E116" s="6" t="s">
        <v>193</v>
      </c>
      <c r="F116" s="6" t="s">
        <v>863</v>
      </c>
      <c r="G116" s="6" t="s">
        <v>1597</v>
      </c>
      <c r="H116" s="6" t="s">
        <v>3294</v>
      </c>
      <c r="J116" s="1215" t="s">
        <v>509</v>
      </c>
      <c r="K116" s="1219" t="s">
        <v>3109</v>
      </c>
      <c r="L116" s="8">
        <v>5</v>
      </c>
      <c r="M116" s="8">
        <v>28</v>
      </c>
      <c r="N116" s="1169" t="s">
        <v>271</v>
      </c>
      <c r="P116" s="6" t="s">
        <v>3324</v>
      </c>
      <c r="Q116" s="1215" t="s">
        <v>253</v>
      </c>
      <c r="R116" s="1215" t="s">
        <v>255</v>
      </c>
      <c r="S116" s="1215" t="s">
        <v>534</v>
      </c>
      <c r="T116" s="1215" t="s">
        <v>533</v>
      </c>
      <c r="U116" s="6" t="s">
        <v>567</v>
      </c>
      <c r="V116" s="6" t="s">
        <v>35</v>
      </c>
      <c r="W116" s="6" t="s">
        <v>863</v>
      </c>
      <c r="X116" s="6" t="s">
        <v>193</v>
      </c>
    </row>
    <row r="117" spans="1:24" ht="15" customHeight="1" x14ac:dyDescent="0.3">
      <c r="A117" s="6" t="s">
        <v>533</v>
      </c>
      <c r="B117" s="6" t="s">
        <v>534</v>
      </c>
      <c r="C117" s="6" t="s">
        <v>35</v>
      </c>
      <c r="D117" s="1088" t="s">
        <v>567</v>
      </c>
      <c r="E117" s="6" t="s">
        <v>193</v>
      </c>
      <c r="F117" s="6" t="s">
        <v>863</v>
      </c>
      <c r="G117" s="6" t="s">
        <v>1597</v>
      </c>
      <c r="H117" s="1088" t="s">
        <v>3294</v>
      </c>
      <c r="J117" s="1215" t="s">
        <v>509</v>
      </c>
      <c r="K117" s="1219" t="s">
        <v>3110</v>
      </c>
      <c r="L117" s="8">
        <v>2</v>
      </c>
      <c r="M117" s="8">
        <v>10</v>
      </c>
      <c r="N117" s="1169" t="s">
        <v>271</v>
      </c>
      <c r="P117" s="6" t="s">
        <v>3324</v>
      </c>
      <c r="Q117" s="1215" t="s">
        <v>253</v>
      </c>
      <c r="R117" s="1215" t="s">
        <v>255</v>
      </c>
      <c r="S117" s="1215" t="s">
        <v>534</v>
      </c>
      <c r="T117" s="1215" t="s">
        <v>533</v>
      </c>
      <c r="U117" s="6" t="s">
        <v>567</v>
      </c>
      <c r="V117" s="6" t="s">
        <v>35</v>
      </c>
      <c r="W117" s="6" t="s">
        <v>863</v>
      </c>
      <c r="X117" s="6" t="s">
        <v>193</v>
      </c>
    </row>
    <row r="118" spans="1:24" ht="15" customHeight="1" x14ac:dyDescent="0.3">
      <c r="A118" s="6" t="s">
        <v>533</v>
      </c>
      <c r="B118" s="6" t="s">
        <v>534</v>
      </c>
      <c r="C118" s="6" t="s">
        <v>35</v>
      </c>
      <c r="D118" s="1088" t="s">
        <v>567</v>
      </c>
      <c r="E118" s="6" t="s">
        <v>193</v>
      </c>
      <c r="F118" s="6" t="s">
        <v>863</v>
      </c>
      <c r="G118" s="6" t="s">
        <v>1597</v>
      </c>
      <c r="H118" s="6" t="s">
        <v>3294</v>
      </c>
      <c r="J118" s="1215" t="s">
        <v>509</v>
      </c>
      <c r="K118" s="1219" t="s">
        <v>3111</v>
      </c>
      <c r="L118" s="8">
        <v>22</v>
      </c>
      <c r="M118" s="8">
        <v>120</v>
      </c>
      <c r="N118" s="1169" t="s">
        <v>271</v>
      </c>
      <c r="P118" s="6" t="s">
        <v>3324</v>
      </c>
      <c r="Q118" s="1215" t="s">
        <v>253</v>
      </c>
      <c r="R118" s="1215" t="s">
        <v>255</v>
      </c>
      <c r="S118" s="1215" t="s">
        <v>534</v>
      </c>
      <c r="T118" s="1215" t="s">
        <v>533</v>
      </c>
      <c r="U118" s="6" t="s">
        <v>567</v>
      </c>
      <c r="V118" s="6" t="s">
        <v>35</v>
      </c>
      <c r="W118" s="6" t="s">
        <v>863</v>
      </c>
      <c r="X118" s="6" t="s">
        <v>193</v>
      </c>
    </row>
    <row r="119" spans="1:24" ht="15" customHeight="1" x14ac:dyDescent="0.3">
      <c r="A119" s="6" t="s">
        <v>533</v>
      </c>
      <c r="B119" s="6" t="s">
        <v>534</v>
      </c>
      <c r="C119" s="6" t="s">
        <v>35</v>
      </c>
      <c r="D119" s="1088" t="s">
        <v>567</v>
      </c>
      <c r="E119" s="6" t="s">
        <v>193</v>
      </c>
      <c r="F119" s="6" t="s">
        <v>863</v>
      </c>
      <c r="G119" s="6" t="s">
        <v>1597</v>
      </c>
      <c r="H119" s="6" t="s">
        <v>3294</v>
      </c>
      <c r="J119" s="1215" t="s">
        <v>509</v>
      </c>
      <c r="K119" s="1219" t="s">
        <v>3112</v>
      </c>
      <c r="L119" s="8">
        <v>4</v>
      </c>
      <c r="M119" s="8">
        <v>16</v>
      </c>
      <c r="N119" s="1169" t="s">
        <v>271</v>
      </c>
      <c r="P119" s="6" t="s">
        <v>3324</v>
      </c>
      <c r="Q119" s="1215" t="s">
        <v>253</v>
      </c>
      <c r="R119" s="1215" t="s">
        <v>255</v>
      </c>
      <c r="S119" s="1215" t="s">
        <v>534</v>
      </c>
      <c r="T119" s="1215" t="s">
        <v>533</v>
      </c>
      <c r="U119" s="6" t="s">
        <v>567</v>
      </c>
      <c r="V119" s="6" t="s">
        <v>35</v>
      </c>
      <c r="W119" s="6" t="s">
        <v>863</v>
      </c>
      <c r="X119" s="6" t="s">
        <v>193</v>
      </c>
    </row>
    <row r="120" spans="1:24" ht="15" customHeight="1" x14ac:dyDescent="0.3">
      <c r="A120" s="6" t="s">
        <v>533</v>
      </c>
      <c r="B120" s="6" t="s">
        <v>534</v>
      </c>
      <c r="C120" s="6" t="s">
        <v>31</v>
      </c>
      <c r="D120" s="1088" t="s">
        <v>549</v>
      </c>
      <c r="E120" s="6" t="s">
        <v>171</v>
      </c>
      <c r="F120" s="6" t="s">
        <v>634</v>
      </c>
      <c r="G120" s="6" t="s">
        <v>1720</v>
      </c>
      <c r="H120" s="6" t="s">
        <v>2011</v>
      </c>
      <c r="J120" s="1215" t="s">
        <v>509</v>
      </c>
      <c r="K120" s="1219" t="s">
        <v>3111</v>
      </c>
      <c r="L120" s="8">
        <v>5</v>
      </c>
      <c r="M120" s="8">
        <v>28</v>
      </c>
      <c r="N120" s="1169" t="s">
        <v>274</v>
      </c>
      <c r="P120" s="6" t="s">
        <v>3324</v>
      </c>
      <c r="Q120" s="1215" t="s">
        <v>253</v>
      </c>
      <c r="R120" s="1215" t="s">
        <v>255</v>
      </c>
      <c r="S120" s="1215" t="s">
        <v>534</v>
      </c>
      <c r="T120" s="1215" t="s">
        <v>533</v>
      </c>
      <c r="U120" s="6" t="s">
        <v>549</v>
      </c>
      <c r="V120" s="6" t="s">
        <v>31</v>
      </c>
      <c r="W120" s="6" t="s">
        <v>634</v>
      </c>
      <c r="X120" s="6" t="s">
        <v>171</v>
      </c>
    </row>
    <row r="121" spans="1:24" ht="15" customHeight="1" x14ac:dyDescent="0.3">
      <c r="A121" s="6" t="s">
        <v>533</v>
      </c>
      <c r="B121" s="6" t="s">
        <v>534</v>
      </c>
      <c r="C121" s="6" t="s">
        <v>31</v>
      </c>
      <c r="D121" s="1088" t="s">
        <v>549</v>
      </c>
      <c r="E121" s="6" t="s">
        <v>171</v>
      </c>
      <c r="F121" s="6" t="s">
        <v>634</v>
      </c>
      <c r="G121" s="6" t="s">
        <v>1720</v>
      </c>
      <c r="H121" s="6" t="s">
        <v>2011</v>
      </c>
      <c r="J121" s="1215" t="s">
        <v>509</v>
      </c>
      <c r="K121" s="1219" t="s">
        <v>3112</v>
      </c>
      <c r="L121" s="8">
        <v>3</v>
      </c>
      <c r="M121" s="8">
        <v>11</v>
      </c>
      <c r="N121" s="1169" t="s">
        <v>274</v>
      </c>
      <c r="P121" s="6" t="s">
        <v>3324</v>
      </c>
      <c r="Q121" s="1215" t="s">
        <v>253</v>
      </c>
      <c r="R121" s="1215" t="s">
        <v>255</v>
      </c>
      <c r="S121" s="1215" t="s">
        <v>534</v>
      </c>
      <c r="T121" s="1215" t="s">
        <v>533</v>
      </c>
      <c r="U121" s="6" t="s">
        <v>549</v>
      </c>
      <c r="V121" s="6" t="s">
        <v>31</v>
      </c>
      <c r="W121" s="6" t="s">
        <v>634</v>
      </c>
      <c r="X121" s="6" t="s">
        <v>171</v>
      </c>
    </row>
    <row r="122" spans="1:24" ht="15" customHeight="1" x14ac:dyDescent="0.3">
      <c r="A122" s="6" t="s">
        <v>533</v>
      </c>
      <c r="B122" s="6" t="s">
        <v>534</v>
      </c>
      <c r="C122" s="6" t="s">
        <v>31</v>
      </c>
      <c r="D122" s="1088" t="s">
        <v>549</v>
      </c>
      <c r="E122" s="1088" t="s">
        <v>171</v>
      </c>
      <c r="F122" s="6" t="s">
        <v>634</v>
      </c>
      <c r="G122" s="6" t="s">
        <v>2810</v>
      </c>
      <c r="H122" s="6" t="s">
        <v>2013</v>
      </c>
      <c r="J122" s="1215" t="s">
        <v>509</v>
      </c>
      <c r="K122" s="1219" t="s">
        <v>3111</v>
      </c>
      <c r="L122" s="8">
        <v>3</v>
      </c>
      <c r="M122" s="8">
        <v>25</v>
      </c>
      <c r="N122" s="1169" t="s">
        <v>274</v>
      </c>
      <c r="P122" s="6" t="s">
        <v>3324</v>
      </c>
      <c r="Q122" s="1215" t="s">
        <v>253</v>
      </c>
      <c r="R122" s="1215" t="s">
        <v>255</v>
      </c>
      <c r="S122" s="1215" t="s">
        <v>534</v>
      </c>
      <c r="T122" s="1215" t="s">
        <v>533</v>
      </c>
      <c r="U122" s="6" t="s">
        <v>549</v>
      </c>
      <c r="V122" s="6" t="s">
        <v>31</v>
      </c>
      <c r="W122" s="6" t="s">
        <v>634</v>
      </c>
      <c r="X122" s="6" t="s">
        <v>171</v>
      </c>
    </row>
    <row r="123" spans="1:24" ht="15" customHeight="1" x14ac:dyDescent="0.3">
      <c r="A123" s="6" t="s">
        <v>533</v>
      </c>
      <c r="B123" s="6" t="s">
        <v>534</v>
      </c>
      <c r="C123" s="6" t="s">
        <v>31</v>
      </c>
      <c r="D123" s="1088" t="s">
        <v>549</v>
      </c>
      <c r="E123" s="6" t="s">
        <v>171</v>
      </c>
      <c r="F123" s="6" t="s">
        <v>634</v>
      </c>
      <c r="G123" s="6" t="s">
        <v>2810</v>
      </c>
      <c r="H123" s="6" t="s">
        <v>2013</v>
      </c>
      <c r="J123" s="1215" t="s">
        <v>509</v>
      </c>
      <c r="K123" s="1219" t="s">
        <v>3112</v>
      </c>
      <c r="L123" s="8">
        <v>6</v>
      </c>
      <c r="M123" s="8">
        <v>18</v>
      </c>
      <c r="N123" s="1169" t="s">
        <v>274</v>
      </c>
      <c r="P123" s="6" t="s">
        <v>3324</v>
      </c>
      <c r="Q123" s="1215" t="s">
        <v>253</v>
      </c>
      <c r="R123" s="1215" t="s">
        <v>255</v>
      </c>
      <c r="S123" s="1215" t="s">
        <v>534</v>
      </c>
      <c r="T123" s="1215" t="s">
        <v>533</v>
      </c>
      <c r="U123" s="6" t="s">
        <v>549</v>
      </c>
      <c r="V123" s="6" t="s">
        <v>31</v>
      </c>
      <c r="W123" s="6" t="s">
        <v>634</v>
      </c>
      <c r="X123" s="6" t="s">
        <v>171</v>
      </c>
    </row>
    <row r="124" spans="1:24" ht="15" customHeight="1" x14ac:dyDescent="0.3">
      <c r="A124" s="6" t="s">
        <v>533</v>
      </c>
      <c r="B124" s="6" t="s">
        <v>534</v>
      </c>
      <c r="C124" s="6" t="s">
        <v>31</v>
      </c>
      <c r="D124" s="1088" t="s">
        <v>549</v>
      </c>
      <c r="E124" s="1088" t="s">
        <v>167</v>
      </c>
      <c r="F124" s="6" t="s">
        <v>1113</v>
      </c>
      <c r="G124" s="6" t="s">
        <v>1778</v>
      </c>
      <c r="H124" s="6" t="s">
        <v>1779</v>
      </c>
      <c r="J124" s="1215" t="s">
        <v>509</v>
      </c>
      <c r="K124" s="1219" t="s">
        <v>3033</v>
      </c>
      <c r="L124" s="8">
        <v>61</v>
      </c>
      <c r="M124" s="8">
        <v>369</v>
      </c>
      <c r="N124" s="1169" t="s">
        <v>271</v>
      </c>
      <c r="P124" s="6" t="s">
        <v>3323</v>
      </c>
      <c r="Q124" s="1215" t="s">
        <v>253</v>
      </c>
      <c r="R124" s="1215" t="s">
        <v>255</v>
      </c>
      <c r="S124" s="1215" t="s">
        <v>534</v>
      </c>
      <c r="T124" s="1215" t="s">
        <v>533</v>
      </c>
      <c r="U124" s="6" t="s">
        <v>549</v>
      </c>
      <c r="V124" s="6" t="s">
        <v>31</v>
      </c>
      <c r="W124" s="6" t="s">
        <v>844</v>
      </c>
      <c r="X124" s="6" t="s">
        <v>166</v>
      </c>
    </row>
    <row r="125" spans="1:24" ht="15" customHeight="1" x14ac:dyDescent="0.3">
      <c r="A125" s="6" t="s">
        <v>533</v>
      </c>
      <c r="B125" s="6" t="s">
        <v>534</v>
      </c>
      <c r="C125" s="6" t="s">
        <v>31</v>
      </c>
      <c r="D125" s="1088" t="s">
        <v>549</v>
      </c>
      <c r="E125" s="1088" t="s">
        <v>167</v>
      </c>
      <c r="F125" s="6" t="s">
        <v>1113</v>
      </c>
      <c r="G125" s="6" t="s">
        <v>550</v>
      </c>
      <c r="H125" s="6" t="s">
        <v>3188</v>
      </c>
      <c r="I125" s="6" t="s">
        <v>3188</v>
      </c>
      <c r="J125" s="1215" t="s">
        <v>509</v>
      </c>
      <c r="K125" s="1219" t="s">
        <v>3112</v>
      </c>
      <c r="L125" s="8">
        <v>50</v>
      </c>
      <c r="M125" s="8">
        <v>350</v>
      </c>
      <c r="N125" s="1169" t="s">
        <v>272</v>
      </c>
      <c r="P125" s="6" t="s">
        <v>3324</v>
      </c>
      <c r="Q125" s="1215" t="s">
        <v>253</v>
      </c>
      <c r="R125" s="1215" t="s">
        <v>255</v>
      </c>
      <c r="S125" s="1215" t="s">
        <v>534</v>
      </c>
      <c r="T125" s="1215" t="s">
        <v>533</v>
      </c>
      <c r="U125" s="6" t="s">
        <v>549</v>
      </c>
      <c r="V125" s="6" t="s">
        <v>31</v>
      </c>
      <c r="W125" s="6" t="s">
        <v>1113</v>
      </c>
      <c r="X125" s="6" t="s">
        <v>167</v>
      </c>
    </row>
    <row r="126" spans="1:24" ht="15" customHeight="1" x14ac:dyDescent="0.3">
      <c r="A126" s="6" t="s">
        <v>533</v>
      </c>
      <c r="B126" s="6" t="s">
        <v>534</v>
      </c>
      <c r="C126" s="6" t="s">
        <v>31</v>
      </c>
      <c r="D126" s="1088" t="s">
        <v>549</v>
      </c>
      <c r="E126" s="6" t="s">
        <v>172</v>
      </c>
      <c r="F126" s="6" t="s">
        <v>706</v>
      </c>
      <c r="G126" s="6" t="s">
        <v>1164</v>
      </c>
      <c r="H126" s="6" t="s">
        <v>1869</v>
      </c>
      <c r="J126" s="1215" t="s">
        <v>509</v>
      </c>
      <c r="K126" s="1219" t="s">
        <v>3110</v>
      </c>
      <c r="L126" s="8">
        <v>20</v>
      </c>
      <c r="M126" s="8">
        <v>55</v>
      </c>
      <c r="N126" s="1169" t="s">
        <v>274</v>
      </c>
      <c r="P126" s="6" t="s">
        <v>3323</v>
      </c>
      <c r="Q126" s="1215" t="s">
        <v>253</v>
      </c>
      <c r="R126" s="1215" t="s">
        <v>255</v>
      </c>
      <c r="S126" s="1215" t="s">
        <v>534</v>
      </c>
      <c r="T126" s="1215" t="s">
        <v>533</v>
      </c>
      <c r="U126" s="6" t="s">
        <v>549</v>
      </c>
      <c r="V126" s="6" t="s">
        <v>31</v>
      </c>
      <c r="W126" s="6" t="s">
        <v>673</v>
      </c>
      <c r="X126" s="1215" t="s">
        <v>169</v>
      </c>
    </row>
    <row r="127" spans="1:24" ht="15" customHeight="1" x14ac:dyDescent="0.3">
      <c r="A127" s="6" t="s">
        <v>533</v>
      </c>
      <c r="B127" s="6" t="s">
        <v>534</v>
      </c>
      <c r="C127" s="6" t="s">
        <v>31</v>
      </c>
      <c r="D127" s="1088" t="s">
        <v>549</v>
      </c>
      <c r="E127" s="1088" t="s">
        <v>2797</v>
      </c>
      <c r="F127" s="6" t="s">
        <v>767</v>
      </c>
      <c r="G127" s="6" t="s">
        <v>550</v>
      </c>
      <c r="H127" s="6" t="s">
        <v>3183</v>
      </c>
      <c r="I127" s="6" t="s">
        <v>3183</v>
      </c>
      <c r="J127" s="1215" t="s">
        <v>509</v>
      </c>
      <c r="K127" s="1219" t="s">
        <v>3112</v>
      </c>
      <c r="L127" s="8">
        <v>400</v>
      </c>
      <c r="M127" s="8">
        <v>2800</v>
      </c>
      <c r="N127" s="1169" t="s">
        <v>271</v>
      </c>
      <c r="P127" s="6" t="s">
        <v>3324</v>
      </c>
      <c r="Q127" s="1215" t="s">
        <v>253</v>
      </c>
      <c r="R127" s="1215" t="s">
        <v>255</v>
      </c>
      <c r="S127" s="1215" t="s">
        <v>534</v>
      </c>
      <c r="T127" s="1215" t="s">
        <v>533</v>
      </c>
      <c r="U127" s="6" t="s">
        <v>549</v>
      </c>
      <c r="V127" s="6" t="s">
        <v>31</v>
      </c>
      <c r="W127" s="6" t="s">
        <v>767</v>
      </c>
      <c r="X127" s="6" t="s">
        <v>2797</v>
      </c>
    </row>
    <row r="128" spans="1:24" ht="15" customHeight="1" x14ac:dyDescent="0.3">
      <c r="A128" s="6" t="s">
        <v>533</v>
      </c>
      <c r="B128" s="6" t="s">
        <v>534</v>
      </c>
      <c r="C128" s="6" t="s">
        <v>31</v>
      </c>
      <c r="D128" s="1088" t="s">
        <v>549</v>
      </c>
      <c r="E128" s="1088" t="s">
        <v>167</v>
      </c>
      <c r="F128" s="6" t="s">
        <v>1113</v>
      </c>
      <c r="G128" s="6" t="s">
        <v>1933</v>
      </c>
      <c r="H128" s="6" t="s">
        <v>1834</v>
      </c>
      <c r="J128" s="1215" t="s">
        <v>509</v>
      </c>
      <c r="K128" s="1219" t="s">
        <v>3033</v>
      </c>
      <c r="L128" s="8">
        <v>2</v>
      </c>
      <c r="M128" s="8">
        <v>17</v>
      </c>
      <c r="N128" s="1169" t="s">
        <v>271</v>
      </c>
      <c r="P128" s="6" t="s">
        <v>3323</v>
      </c>
      <c r="Q128" s="1215" t="s">
        <v>253</v>
      </c>
      <c r="R128" s="1215" t="s">
        <v>255</v>
      </c>
      <c r="S128" s="1215" t="s">
        <v>534</v>
      </c>
      <c r="T128" s="1215" t="s">
        <v>533</v>
      </c>
      <c r="U128" s="6" t="s">
        <v>549</v>
      </c>
      <c r="V128" s="6" t="s">
        <v>31</v>
      </c>
      <c r="W128" s="6" t="s">
        <v>844</v>
      </c>
      <c r="X128" s="6" t="s">
        <v>166</v>
      </c>
    </row>
    <row r="129" spans="1:24" ht="15" customHeight="1" x14ac:dyDescent="0.3">
      <c r="A129" s="6" t="s">
        <v>533</v>
      </c>
      <c r="B129" s="6" t="s">
        <v>534</v>
      </c>
      <c r="C129" s="6" t="s">
        <v>31</v>
      </c>
      <c r="D129" s="6" t="s">
        <v>549</v>
      </c>
      <c r="E129" s="1088" t="s">
        <v>167</v>
      </c>
      <c r="F129" s="6" t="s">
        <v>1113</v>
      </c>
      <c r="G129" s="6" t="s">
        <v>2061</v>
      </c>
      <c r="H129" s="6" t="s">
        <v>1873</v>
      </c>
      <c r="J129" s="1215" t="s">
        <v>509</v>
      </c>
      <c r="K129" s="1219" t="s">
        <v>3033</v>
      </c>
      <c r="L129" s="8">
        <v>21</v>
      </c>
      <c r="M129" s="8">
        <v>112</v>
      </c>
      <c r="N129" s="1169" t="s">
        <v>271</v>
      </c>
      <c r="P129" s="6" t="s">
        <v>3323</v>
      </c>
      <c r="Q129" s="1215" t="s">
        <v>253</v>
      </c>
      <c r="R129" s="1215" t="s">
        <v>255</v>
      </c>
      <c r="S129" s="1215" t="s">
        <v>534</v>
      </c>
      <c r="T129" s="1215" t="s">
        <v>533</v>
      </c>
      <c r="U129" s="6" t="s">
        <v>549</v>
      </c>
      <c r="V129" s="6" t="s">
        <v>31</v>
      </c>
      <c r="W129" s="6" t="s">
        <v>844</v>
      </c>
      <c r="X129" s="6" t="s">
        <v>166</v>
      </c>
    </row>
    <row r="130" spans="1:24" ht="15" customHeight="1" x14ac:dyDescent="0.3">
      <c r="A130" s="6" t="s">
        <v>533</v>
      </c>
      <c r="B130" s="6" t="s">
        <v>534</v>
      </c>
      <c r="C130" s="6" t="s">
        <v>31</v>
      </c>
      <c r="D130" s="1088" t="s">
        <v>549</v>
      </c>
      <c r="E130" s="6" t="s">
        <v>167</v>
      </c>
      <c r="F130" s="6" t="s">
        <v>1113</v>
      </c>
      <c r="G130" s="6" t="s">
        <v>550</v>
      </c>
      <c r="H130" s="6" t="s">
        <v>3165</v>
      </c>
      <c r="I130" s="6" t="s">
        <v>3165</v>
      </c>
      <c r="J130" s="1215" t="s">
        <v>509</v>
      </c>
      <c r="K130" s="1219" t="s">
        <v>3112</v>
      </c>
      <c r="L130" s="8">
        <v>12</v>
      </c>
      <c r="M130" s="8">
        <v>122</v>
      </c>
      <c r="N130" s="1169" t="s">
        <v>272</v>
      </c>
      <c r="P130" s="6" t="s">
        <v>3324</v>
      </c>
      <c r="Q130" s="1215" t="s">
        <v>253</v>
      </c>
      <c r="R130" s="1215" t="s">
        <v>255</v>
      </c>
      <c r="S130" s="1215" t="s">
        <v>534</v>
      </c>
      <c r="T130" s="1215" t="s">
        <v>533</v>
      </c>
      <c r="U130" s="6" t="s">
        <v>549</v>
      </c>
      <c r="V130" s="6" t="s">
        <v>31</v>
      </c>
      <c r="W130" s="6" t="s">
        <v>1113</v>
      </c>
      <c r="X130" s="6" t="s">
        <v>167</v>
      </c>
    </row>
    <row r="131" spans="1:24" ht="15" customHeight="1" x14ac:dyDescent="0.3">
      <c r="A131" s="6" t="s">
        <v>533</v>
      </c>
      <c r="B131" s="6" t="s">
        <v>534</v>
      </c>
      <c r="C131" s="6" t="s">
        <v>31</v>
      </c>
      <c r="D131" s="1088" t="s">
        <v>549</v>
      </c>
      <c r="E131" s="6" t="s">
        <v>171</v>
      </c>
      <c r="F131" s="6" t="s">
        <v>634</v>
      </c>
      <c r="G131" s="6" t="s">
        <v>2612</v>
      </c>
      <c r="H131" s="6" t="s">
        <v>1987</v>
      </c>
      <c r="J131" s="1215" t="s">
        <v>509</v>
      </c>
      <c r="K131" s="1219" t="s">
        <v>3033</v>
      </c>
      <c r="L131" s="8">
        <v>24</v>
      </c>
      <c r="M131" s="8">
        <v>82</v>
      </c>
      <c r="N131" s="1169" t="s">
        <v>271</v>
      </c>
      <c r="P131" s="6" t="s">
        <v>3323</v>
      </c>
      <c r="Q131" s="1215" t="s">
        <v>253</v>
      </c>
      <c r="R131" s="1215" t="s">
        <v>255</v>
      </c>
      <c r="S131" s="1215" t="s">
        <v>534</v>
      </c>
      <c r="T131" s="1215" t="s">
        <v>533</v>
      </c>
      <c r="U131" s="6" t="s">
        <v>549</v>
      </c>
      <c r="V131" s="6" t="s">
        <v>31</v>
      </c>
      <c r="W131" s="6" t="s">
        <v>844</v>
      </c>
      <c r="X131" s="6" t="s">
        <v>166</v>
      </c>
    </row>
    <row r="132" spans="1:24" ht="15" customHeight="1" x14ac:dyDescent="0.3">
      <c r="A132" s="6" t="s">
        <v>533</v>
      </c>
      <c r="B132" s="6" t="s">
        <v>534</v>
      </c>
      <c r="C132" s="6" t="s">
        <v>31</v>
      </c>
      <c r="D132" s="1088" t="s">
        <v>549</v>
      </c>
      <c r="E132" s="6" t="s">
        <v>171</v>
      </c>
      <c r="F132" s="6" t="s">
        <v>634</v>
      </c>
      <c r="G132" s="6" t="s">
        <v>2612</v>
      </c>
      <c r="H132" s="6" t="s">
        <v>1987</v>
      </c>
      <c r="J132" s="1215" t="s">
        <v>509</v>
      </c>
      <c r="K132" s="1219" t="s">
        <v>3112</v>
      </c>
      <c r="L132" s="8">
        <v>5</v>
      </c>
      <c r="M132" s="8">
        <v>20</v>
      </c>
      <c r="N132" s="1169" t="s">
        <v>271</v>
      </c>
      <c r="P132" s="6" t="s">
        <v>3323</v>
      </c>
      <c r="Q132" s="1215" t="s">
        <v>253</v>
      </c>
      <c r="R132" s="1215" t="s">
        <v>255</v>
      </c>
      <c r="S132" s="1215" t="s">
        <v>534</v>
      </c>
      <c r="T132" s="1215" t="s">
        <v>533</v>
      </c>
      <c r="U132" s="6" t="s">
        <v>549</v>
      </c>
      <c r="V132" s="6" t="s">
        <v>31</v>
      </c>
      <c r="X132" s="6" t="s">
        <v>2797</v>
      </c>
    </row>
    <row r="133" spans="1:24" ht="15" customHeight="1" x14ac:dyDescent="0.3">
      <c r="A133" s="6" t="s">
        <v>533</v>
      </c>
      <c r="B133" s="6" t="s">
        <v>534</v>
      </c>
      <c r="C133" s="6" t="s">
        <v>31</v>
      </c>
      <c r="D133" s="1088" t="s">
        <v>549</v>
      </c>
      <c r="E133" s="6" t="s">
        <v>171</v>
      </c>
      <c r="F133" s="6" t="s">
        <v>634</v>
      </c>
      <c r="G133" s="6" t="s">
        <v>1425</v>
      </c>
      <c r="H133" s="6" t="s">
        <v>1801</v>
      </c>
      <c r="J133" s="1215" t="s">
        <v>509</v>
      </c>
      <c r="K133" s="1219" t="s">
        <v>3033</v>
      </c>
      <c r="L133" s="8">
        <v>13</v>
      </c>
      <c r="M133" s="8">
        <v>39</v>
      </c>
      <c r="N133" s="1169" t="s">
        <v>271</v>
      </c>
      <c r="P133" s="6" t="s">
        <v>3323</v>
      </c>
      <c r="Q133" s="1215" t="s">
        <v>253</v>
      </c>
      <c r="R133" s="1215" t="s">
        <v>255</v>
      </c>
      <c r="S133" s="1215" t="s">
        <v>534</v>
      </c>
      <c r="T133" s="1215" t="s">
        <v>533</v>
      </c>
      <c r="U133" s="6" t="s">
        <v>549</v>
      </c>
      <c r="V133" s="6" t="s">
        <v>31</v>
      </c>
      <c r="W133" s="6" t="s">
        <v>844</v>
      </c>
      <c r="X133" s="6" t="s">
        <v>166</v>
      </c>
    </row>
    <row r="134" spans="1:24" ht="15" customHeight="1" x14ac:dyDescent="0.3">
      <c r="A134" s="6" t="s">
        <v>533</v>
      </c>
      <c r="B134" s="6" t="s">
        <v>534</v>
      </c>
      <c r="C134" s="6" t="s">
        <v>31</v>
      </c>
      <c r="D134" s="1088" t="s">
        <v>549</v>
      </c>
      <c r="E134" s="6" t="s">
        <v>164</v>
      </c>
      <c r="F134" s="6" t="s">
        <v>748</v>
      </c>
      <c r="G134" s="6" t="s">
        <v>749</v>
      </c>
      <c r="H134" s="6" t="s">
        <v>750</v>
      </c>
      <c r="J134" s="1215" t="s">
        <v>509</v>
      </c>
      <c r="K134" s="1219" t="s">
        <v>3033</v>
      </c>
      <c r="L134" s="8">
        <v>5</v>
      </c>
      <c r="M134" s="8">
        <v>20</v>
      </c>
      <c r="N134" s="1169" t="s">
        <v>271</v>
      </c>
      <c r="P134" s="6" t="s">
        <v>3323</v>
      </c>
      <c r="Q134" s="1215" t="s">
        <v>253</v>
      </c>
      <c r="R134" s="1215" t="s">
        <v>255</v>
      </c>
      <c r="S134" s="1215" t="s">
        <v>534</v>
      </c>
      <c r="T134" s="1215" t="s">
        <v>533</v>
      </c>
      <c r="U134" s="6" t="s">
        <v>549</v>
      </c>
      <c r="V134" s="6" t="s">
        <v>31</v>
      </c>
      <c r="W134" s="6" t="s">
        <v>844</v>
      </c>
      <c r="X134" s="6" t="s">
        <v>166</v>
      </c>
    </row>
    <row r="135" spans="1:24" ht="15" customHeight="1" x14ac:dyDescent="0.3">
      <c r="A135" s="6" t="s">
        <v>533</v>
      </c>
      <c r="B135" s="6" t="s">
        <v>534</v>
      </c>
      <c r="C135" s="6" t="s">
        <v>31</v>
      </c>
      <c r="D135" s="1088" t="s">
        <v>549</v>
      </c>
      <c r="E135" s="6" t="s">
        <v>164</v>
      </c>
      <c r="F135" s="6" t="s">
        <v>748</v>
      </c>
      <c r="G135" s="6" t="s">
        <v>749</v>
      </c>
      <c r="H135" s="6" t="s">
        <v>750</v>
      </c>
      <c r="J135" s="1215" t="s">
        <v>509</v>
      </c>
      <c r="K135" s="1219" t="s">
        <v>3110</v>
      </c>
      <c r="L135" s="8">
        <v>2</v>
      </c>
      <c r="M135" s="8">
        <v>8</v>
      </c>
      <c r="N135" s="1169" t="s">
        <v>271</v>
      </c>
      <c r="P135" s="6" t="s">
        <v>3323</v>
      </c>
      <c r="Q135" s="1215" t="s">
        <v>253</v>
      </c>
      <c r="R135" s="1215" t="s">
        <v>255</v>
      </c>
      <c r="S135" s="1215" t="s">
        <v>534</v>
      </c>
      <c r="T135" s="1215" t="s">
        <v>533</v>
      </c>
      <c r="U135" s="6" t="s">
        <v>549</v>
      </c>
      <c r="V135" s="6" t="s">
        <v>31</v>
      </c>
      <c r="W135" s="6" t="s">
        <v>881</v>
      </c>
      <c r="X135" s="6" t="s">
        <v>165</v>
      </c>
    </row>
    <row r="136" spans="1:24" ht="15" customHeight="1" x14ac:dyDescent="0.3">
      <c r="A136" s="6" t="s">
        <v>533</v>
      </c>
      <c r="B136" s="6" t="s">
        <v>534</v>
      </c>
      <c r="C136" s="6" t="s">
        <v>31</v>
      </c>
      <c r="D136" s="6" t="s">
        <v>549</v>
      </c>
      <c r="E136" s="1088" t="s">
        <v>164</v>
      </c>
      <c r="F136" s="6" t="s">
        <v>748</v>
      </c>
      <c r="G136" s="6" t="s">
        <v>808</v>
      </c>
      <c r="H136" s="6" t="s">
        <v>809</v>
      </c>
      <c r="J136" s="1215" t="s">
        <v>509</v>
      </c>
      <c r="K136" s="1219" t="s">
        <v>3033</v>
      </c>
      <c r="L136" s="8">
        <v>34</v>
      </c>
      <c r="M136" s="8">
        <v>350</v>
      </c>
      <c r="N136" s="1169" t="s">
        <v>271</v>
      </c>
      <c r="P136" s="6" t="s">
        <v>3323</v>
      </c>
      <c r="Q136" s="1215" t="s">
        <v>253</v>
      </c>
      <c r="R136" s="1215" t="s">
        <v>255</v>
      </c>
      <c r="S136" s="1215" t="s">
        <v>534</v>
      </c>
      <c r="T136" s="1215" t="s">
        <v>533</v>
      </c>
      <c r="U136" s="6" t="s">
        <v>549</v>
      </c>
      <c r="V136" s="6" t="s">
        <v>31</v>
      </c>
      <c r="W136" s="6" t="s">
        <v>881</v>
      </c>
      <c r="X136" s="6" t="s">
        <v>165</v>
      </c>
    </row>
    <row r="137" spans="1:24" ht="15" customHeight="1" x14ac:dyDescent="0.3">
      <c r="A137" s="6" t="s">
        <v>533</v>
      </c>
      <c r="B137" s="6" t="s">
        <v>534</v>
      </c>
      <c r="C137" s="6" t="s">
        <v>30</v>
      </c>
      <c r="D137" s="1088" t="s">
        <v>535</v>
      </c>
      <c r="E137" s="6" t="s">
        <v>162</v>
      </c>
      <c r="F137" s="6" t="s">
        <v>536</v>
      </c>
      <c r="G137" s="6" t="s">
        <v>687</v>
      </c>
      <c r="H137" s="6" t="s">
        <v>688</v>
      </c>
      <c r="J137" s="1215" t="s">
        <v>509</v>
      </c>
      <c r="K137" s="1219" t="s">
        <v>3033</v>
      </c>
      <c r="L137" s="8">
        <v>9</v>
      </c>
      <c r="M137" s="8">
        <v>80</v>
      </c>
      <c r="N137" s="1169" t="s">
        <v>271</v>
      </c>
      <c r="P137" s="6" t="s">
        <v>3322</v>
      </c>
      <c r="Q137" s="1215" t="s">
        <v>253</v>
      </c>
      <c r="R137" s="1215" t="s">
        <v>255</v>
      </c>
      <c r="S137" s="1215" t="s">
        <v>534</v>
      </c>
      <c r="T137" s="1215" t="s">
        <v>533</v>
      </c>
      <c r="U137" s="6" t="s">
        <v>539</v>
      </c>
      <c r="V137" s="6" t="s">
        <v>34</v>
      </c>
    </row>
    <row r="138" spans="1:24" ht="15" customHeight="1" x14ac:dyDescent="0.3">
      <c r="A138" s="6" t="s">
        <v>533</v>
      </c>
      <c r="B138" s="6" t="s">
        <v>534</v>
      </c>
      <c r="C138" s="6" t="s">
        <v>30</v>
      </c>
      <c r="D138" s="1088" t="s">
        <v>535</v>
      </c>
      <c r="E138" s="6" t="s">
        <v>162</v>
      </c>
      <c r="F138" s="6" t="s">
        <v>536</v>
      </c>
      <c r="G138" s="6" t="s">
        <v>687</v>
      </c>
      <c r="H138" s="6" t="s">
        <v>688</v>
      </c>
      <c r="J138" s="1215" t="s">
        <v>509</v>
      </c>
      <c r="K138" s="1219" t="s">
        <v>3110</v>
      </c>
      <c r="L138" s="8">
        <v>0</v>
      </c>
      <c r="M138" s="8">
        <v>10</v>
      </c>
      <c r="N138" s="1169" t="s">
        <v>271</v>
      </c>
      <c r="P138" s="6" t="s">
        <v>3322</v>
      </c>
      <c r="Q138" s="1215" t="s">
        <v>253</v>
      </c>
      <c r="R138" s="1215" t="s">
        <v>255</v>
      </c>
      <c r="S138" s="1215" t="s">
        <v>534</v>
      </c>
      <c r="T138" s="1215" t="s">
        <v>533</v>
      </c>
      <c r="U138" s="6" t="s">
        <v>539</v>
      </c>
      <c r="V138" s="6" t="s">
        <v>34</v>
      </c>
    </row>
    <row r="139" spans="1:24" ht="15" customHeight="1" x14ac:dyDescent="0.3">
      <c r="A139" s="6" t="s">
        <v>533</v>
      </c>
      <c r="B139" s="6" t="s">
        <v>534</v>
      </c>
      <c r="C139" s="6" t="s">
        <v>30</v>
      </c>
      <c r="D139" s="1088" t="s">
        <v>535</v>
      </c>
      <c r="E139" s="6" t="s">
        <v>162</v>
      </c>
      <c r="F139" s="6" t="s">
        <v>536</v>
      </c>
      <c r="G139" s="6" t="s">
        <v>687</v>
      </c>
      <c r="H139" s="6" t="s">
        <v>688</v>
      </c>
      <c r="J139" s="1215" t="s">
        <v>509</v>
      </c>
      <c r="K139" s="1219" t="s">
        <v>3111</v>
      </c>
      <c r="L139" s="8">
        <v>0</v>
      </c>
      <c r="M139" s="8">
        <v>5</v>
      </c>
      <c r="N139" s="1169" t="s">
        <v>271</v>
      </c>
      <c r="P139" s="6" t="s">
        <v>3322</v>
      </c>
      <c r="Q139" s="1215" t="s">
        <v>253</v>
      </c>
      <c r="R139" s="1215" t="s">
        <v>255</v>
      </c>
      <c r="S139" s="1215" t="s">
        <v>534</v>
      </c>
      <c r="T139" s="1215" t="s">
        <v>533</v>
      </c>
      <c r="U139" s="6" t="s">
        <v>539</v>
      </c>
      <c r="V139" s="6" t="s">
        <v>34</v>
      </c>
    </row>
    <row r="140" spans="1:24" ht="15" customHeight="1" x14ac:dyDescent="0.3">
      <c r="A140" s="6" t="s">
        <v>533</v>
      </c>
      <c r="B140" s="6" t="s">
        <v>534</v>
      </c>
      <c r="C140" s="6" t="s">
        <v>30</v>
      </c>
      <c r="D140" s="1088" t="s">
        <v>535</v>
      </c>
      <c r="E140" s="6" t="s">
        <v>162</v>
      </c>
      <c r="F140" s="6" t="s">
        <v>536</v>
      </c>
      <c r="G140" s="6" t="s">
        <v>687</v>
      </c>
      <c r="H140" s="6" t="s">
        <v>688</v>
      </c>
      <c r="J140" s="1215" t="s">
        <v>509</v>
      </c>
      <c r="K140" s="1219" t="s">
        <v>3112</v>
      </c>
      <c r="L140" s="8">
        <v>0</v>
      </c>
      <c r="M140" s="8">
        <v>3</v>
      </c>
      <c r="N140" s="1169" t="s">
        <v>271</v>
      </c>
      <c r="P140" s="6" t="s">
        <v>3322</v>
      </c>
      <c r="Q140" s="1215" t="s">
        <v>253</v>
      </c>
      <c r="R140" s="1215" t="s">
        <v>255</v>
      </c>
      <c r="S140" s="1215" t="s">
        <v>534</v>
      </c>
      <c r="T140" s="1215" t="s">
        <v>533</v>
      </c>
      <c r="U140" s="6" t="s">
        <v>539</v>
      </c>
      <c r="V140" s="6" t="s">
        <v>34</v>
      </c>
    </row>
    <row r="141" spans="1:24" ht="15" customHeight="1" x14ac:dyDescent="0.3">
      <c r="A141" s="6" t="s">
        <v>533</v>
      </c>
      <c r="B141" s="6" t="s">
        <v>534</v>
      </c>
      <c r="C141" s="6" t="s">
        <v>30</v>
      </c>
      <c r="D141" s="1088" t="s">
        <v>535</v>
      </c>
      <c r="E141" s="6" t="s">
        <v>162</v>
      </c>
      <c r="F141" s="6" t="s">
        <v>536</v>
      </c>
      <c r="G141" s="6" t="s">
        <v>618</v>
      </c>
      <c r="H141" s="6" t="s">
        <v>619</v>
      </c>
      <c r="J141" s="1215" t="s">
        <v>509</v>
      </c>
      <c r="K141" s="1219" t="s">
        <v>3033</v>
      </c>
      <c r="L141" s="8">
        <v>9</v>
      </c>
      <c r="M141" s="8">
        <v>55</v>
      </c>
      <c r="N141" s="1169" t="s">
        <v>271</v>
      </c>
      <c r="P141" s="6" t="s">
        <v>3322</v>
      </c>
      <c r="Q141" s="1215" t="s">
        <v>253</v>
      </c>
      <c r="R141" s="1215" t="s">
        <v>255</v>
      </c>
      <c r="S141" s="1215" t="s">
        <v>534</v>
      </c>
      <c r="T141" s="1215" t="s">
        <v>533</v>
      </c>
      <c r="U141" s="6" t="s">
        <v>539</v>
      </c>
      <c r="V141" s="6" t="s">
        <v>34</v>
      </c>
    </row>
    <row r="142" spans="1:24" ht="15" customHeight="1" x14ac:dyDescent="0.3">
      <c r="A142" s="6" t="s">
        <v>533</v>
      </c>
      <c r="B142" s="6" t="s">
        <v>534</v>
      </c>
      <c r="C142" s="6" t="s">
        <v>30</v>
      </c>
      <c r="D142" s="1088" t="s">
        <v>535</v>
      </c>
      <c r="E142" s="6" t="s">
        <v>162</v>
      </c>
      <c r="F142" s="6" t="s">
        <v>536</v>
      </c>
      <c r="G142" s="6" t="s">
        <v>618</v>
      </c>
      <c r="H142" s="6" t="s">
        <v>619</v>
      </c>
      <c r="J142" s="1215" t="s">
        <v>509</v>
      </c>
      <c r="K142" s="1219" t="s">
        <v>3109</v>
      </c>
      <c r="L142" s="8">
        <v>1</v>
      </c>
      <c r="M142" s="8">
        <v>2</v>
      </c>
      <c r="N142" s="1169" t="s">
        <v>271</v>
      </c>
      <c r="P142" s="6" t="s">
        <v>3322</v>
      </c>
      <c r="Q142" s="1215" t="s">
        <v>253</v>
      </c>
      <c r="R142" s="1215" t="s">
        <v>255</v>
      </c>
      <c r="S142" s="1215" t="s">
        <v>534</v>
      </c>
      <c r="T142" s="1215" t="s">
        <v>533</v>
      </c>
      <c r="U142" s="6" t="s">
        <v>539</v>
      </c>
      <c r="V142" s="6" t="s">
        <v>34</v>
      </c>
    </row>
    <row r="143" spans="1:24" ht="15" customHeight="1" x14ac:dyDescent="0.3">
      <c r="A143" s="6" t="s">
        <v>533</v>
      </c>
      <c r="B143" s="6" t="s">
        <v>534</v>
      </c>
      <c r="C143" s="6" t="s">
        <v>30</v>
      </c>
      <c r="D143" s="1088" t="s">
        <v>535</v>
      </c>
      <c r="E143" s="6" t="s">
        <v>162</v>
      </c>
      <c r="F143" s="6" t="s">
        <v>536</v>
      </c>
      <c r="G143" s="6" t="s">
        <v>618</v>
      </c>
      <c r="H143" s="6" t="s">
        <v>619</v>
      </c>
      <c r="J143" s="1215" t="s">
        <v>509</v>
      </c>
      <c r="K143" s="1219" t="s">
        <v>3110</v>
      </c>
      <c r="L143" s="8">
        <v>0</v>
      </c>
      <c r="M143" s="8">
        <v>4</v>
      </c>
      <c r="N143" s="1169" t="s">
        <v>271</v>
      </c>
      <c r="P143" s="6" t="s">
        <v>3322</v>
      </c>
      <c r="Q143" s="1215" t="s">
        <v>253</v>
      </c>
      <c r="R143" s="1215" t="s">
        <v>255</v>
      </c>
      <c r="S143" s="1215" t="s">
        <v>534</v>
      </c>
      <c r="T143" s="1215" t="s">
        <v>533</v>
      </c>
      <c r="U143" s="6" t="s">
        <v>539</v>
      </c>
      <c r="V143" s="6" t="s">
        <v>34</v>
      </c>
    </row>
    <row r="144" spans="1:24" ht="15" customHeight="1" x14ac:dyDescent="0.3">
      <c r="A144" s="6" t="s">
        <v>533</v>
      </c>
      <c r="B144" s="6" t="s">
        <v>534</v>
      </c>
      <c r="C144" s="6" t="s">
        <v>30</v>
      </c>
      <c r="D144" s="1088" t="s">
        <v>535</v>
      </c>
      <c r="E144" s="6" t="s">
        <v>162</v>
      </c>
      <c r="F144" s="6" t="s">
        <v>536</v>
      </c>
      <c r="G144" s="6" t="s">
        <v>618</v>
      </c>
      <c r="H144" s="6" t="s">
        <v>619</v>
      </c>
      <c r="J144" s="1215" t="s">
        <v>509</v>
      </c>
      <c r="K144" s="1219" t="s">
        <v>3111</v>
      </c>
      <c r="L144" s="8">
        <v>1</v>
      </c>
      <c r="M144" s="8">
        <v>3</v>
      </c>
      <c r="N144" s="1169" t="s">
        <v>271</v>
      </c>
      <c r="P144" s="6" t="s">
        <v>3322</v>
      </c>
      <c r="Q144" s="1215" t="s">
        <v>253</v>
      </c>
      <c r="R144" s="1215" t="s">
        <v>255</v>
      </c>
      <c r="S144" s="1215" t="s">
        <v>534</v>
      </c>
      <c r="T144" s="1215" t="s">
        <v>533</v>
      </c>
      <c r="U144" s="6" t="s">
        <v>539</v>
      </c>
      <c r="V144" s="6" t="s">
        <v>34</v>
      </c>
    </row>
    <row r="145" spans="1:24" ht="15" customHeight="1" x14ac:dyDescent="0.3">
      <c r="A145" s="6" t="s">
        <v>533</v>
      </c>
      <c r="B145" s="6" t="s">
        <v>534</v>
      </c>
      <c r="C145" s="6" t="s">
        <v>30</v>
      </c>
      <c r="D145" s="1088" t="s">
        <v>535</v>
      </c>
      <c r="E145" s="6" t="s">
        <v>162</v>
      </c>
      <c r="F145" s="6" t="s">
        <v>536</v>
      </c>
      <c r="G145" s="6" t="s">
        <v>618</v>
      </c>
      <c r="H145" s="6" t="s">
        <v>619</v>
      </c>
      <c r="J145" s="1215" t="s">
        <v>509</v>
      </c>
      <c r="K145" s="1219" t="s">
        <v>3112</v>
      </c>
      <c r="L145" s="8">
        <v>0</v>
      </c>
      <c r="M145" s="8">
        <v>2</v>
      </c>
      <c r="N145" s="1169" t="s">
        <v>271</v>
      </c>
      <c r="P145" s="6" t="s">
        <v>3322</v>
      </c>
      <c r="Q145" s="1215" t="s">
        <v>253</v>
      </c>
      <c r="R145" s="1215" t="s">
        <v>255</v>
      </c>
      <c r="S145" s="1215" t="s">
        <v>534</v>
      </c>
      <c r="T145" s="1215" t="s">
        <v>533</v>
      </c>
      <c r="U145" s="6" t="s">
        <v>539</v>
      </c>
      <c r="V145" s="6" t="s">
        <v>34</v>
      </c>
    </row>
    <row r="146" spans="1:24" ht="15" customHeight="1" x14ac:dyDescent="0.3">
      <c r="A146" s="6" t="s">
        <v>533</v>
      </c>
      <c r="B146" s="6" t="s">
        <v>534</v>
      </c>
      <c r="C146" s="6" t="s">
        <v>30</v>
      </c>
      <c r="D146" s="1088" t="s">
        <v>535</v>
      </c>
      <c r="E146" s="6" t="s">
        <v>159</v>
      </c>
      <c r="F146" s="6" t="s">
        <v>574</v>
      </c>
      <c r="G146" s="6" t="s">
        <v>592</v>
      </c>
      <c r="H146" s="6" t="s">
        <v>593</v>
      </c>
      <c r="J146" s="1215" t="s">
        <v>509</v>
      </c>
      <c r="K146" s="1219" t="s">
        <v>3033</v>
      </c>
      <c r="L146" s="8">
        <v>2</v>
      </c>
      <c r="M146" s="8">
        <v>11</v>
      </c>
      <c r="N146" s="1169" t="s">
        <v>271</v>
      </c>
      <c r="P146" s="6" t="s">
        <v>3322</v>
      </c>
      <c r="Q146" s="1215" t="s">
        <v>253</v>
      </c>
      <c r="R146" s="1215" t="s">
        <v>255</v>
      </c>
      <c r="S146" s="1215" t="s">
        <v>534</v>
      </c>
      <c r="T146" s="1215" t="s">
        <v>533</v>
      </c>
      <c r="U146" s="6" t="s">
        <v>539</v>
      </c>
      <c r="V146" s="6" t="s">
        <v>34</v>
      </c>
    </row>
    <row r="147" spans="1:24" ht="15" customHeight="1" x14ac:dyDescent="0.3">
      <c r="A147" s="6" t="s">
        <v>533</v>
      </c>
      <c r="B147" s="6" t="s">
        <v>534</v>
      </c>
      <c r="C147" s="6" t="s">
        <v>31</v>
      </c>
      <c r="D147" s="1088" t="s">
        <v>549</v>
      </c>
      <c r="E147" s="6" t="s">
        <v>172</v>
      </c>
      <c r="F147" s="6" t="s">
        <v>706</v>
      </c>
      <c r="G147" s="6" t="s">
        <v>1068</v>
      </c>
      <c r="H147" s="6" t="s">
        <v>1867</v>
      </c>
      <c r="J147" s="1215" t="s">
        <v>509</v>
      </c>
      <c r="K147" s="1219" t="s">
        <v>3111</v>
      </c>
      <c r="L147" s="8">
        <v>7</v>
      </c>
      <c r="M147" s="8">
        <v>25</v>
      </c>
      <c r="N147" s="1169" t="s">
        <v>274</v>
      </c>
      <c r="P147" s="6" t="s">
        <v>3323</v>
      </c>
      <c r="Q147" s="1215" t="s">
        <v>253</v>
      </c>
      <c r="R147" s="1215" t="s">
        <v>255</v>
      </c>
      <c r="S147" s="1215" t="s">
        <v>534</v>
      </c>
      <c r="T147" s="1215" t="s">
        <v>533</v>
      </c>
      <c r="U147" s="6" t="s">
        <v>549</v>
      </c>
      <c r="V147" s="6" t="s">
        <v>31</v>
      </c>
      <c r="W147" s="6" t="s">
        <v>673</v>
      </c>
      <c r="X147" s="6" t="s">
        <v>169</v>
      </c>
    </row>
    <row r="148" spans="1:24" ht="15" customHeight="1" x14ac:dyDescent="0.3">
      <c r="A148" s="6" t="s">
        <v>533</v>
      </c>
      <c r="B148" s="6" t="s">
        <v>534</v>
      </c>
      <c r="C148" s="6" t="s">
        <v>31</v>
      </c>
      <c r="D148" s="1088" t="s">
        <v>549</v>
      </c>
      <c r="E148" s="6" t="s">
        <v>172</v>
      </c>
      <c r="F148" s="6" t="s">
        <v>706</v>
      </c>
      <c r="G148" s="6" t="s">
        <v>1068</v>
      </c>
      <c r="H148" s="6" t="s">
        <v>1867</v>
      </c>
      <c r="J148" s="1215" t="s">
        <v>509</v>
      </c>
      <c r="K148" s="1219" t="s">
        <v>3112</v>
      </c>
      <c r="L148" s="8">
        <v>0</v>
      </c>
      <c r="M148" s="8">
        <v>2</v>
      </c>
      <c r="N148" s="1169" t="s">
        <v>274</v>
      </c>
      <c r="P148" s="6" t="s">
        <v>3323</v>
      </c>
      <c r="Q148" s="1215" t="s">
        <v>253</v>
      </c>
      <c r="R148" s="1215" t="s">
        <v>255</v>
      </c>
      <c r="S148" s="1215" t="s">
        <v>534</v>
      </c>
      <c r="T148" s="1215" t="s">
        <v>533</v>
      </c>
      <c r="U148" s="6" t="s">
        <v>549</v>
      </c>
      <c r="V148" s="6" t="s">
        <v>31</v>
      </c>
      <c r="W148" s="6" t="s">
        <v>673</v>
      </c>
      <c r="X148" s="6" t="s">
        <v>169</v>
      </c>
    </row>
    <row r="149" spans="1:24" ht="15" customHeight="1" x14ac:dyDescent="0.3">
      <c r="A149" s="6" t="s">
        <v>533</v>
      </c>
      <c r="B149" s="6" t="s">
        <v>534</v>
      </c>
      <c r="C149" s="6" t="s">
        <v>31</v>
      </c>
      <c r="D149" s="1088" t="s">
        <v>549</v>
      </c>
      <c r="E149" s="6" t="s">
        <v>172</v>
      </c>
      <c r="F149" s="6" t="s">
        <v>706</v>
      </c>
      <c r="G149" s="6" t="s">
        <v>1305</v>
      </c>
      <c r="H149" s="6" t="s">
        <v>973</v>
      </c>
      <c r="J149" s="1215" t="s">
        <v>509</v>
      </c>
      <c r="K149" s="1219" t="s">
        <v>3033</v>
      </c>
      <c r="L149" s="8">
        <v>82</v>
      </c>
      <c r="M149" s="8">
        <v>490</v>
      </c>
      <c r="N149" s="1169" t="s">
        <v>271</v>
      </c>
      <c r="P149" s="6" t="s">
        <v>3323</v>
      </c>
      <c r="Q149" s="1215" t="s">
        <v>253</v>
      </c>
      <c r="R149" s="1215" t="s">
        <v>255</v>
      </c>
      <c r="S149" s="1215" t="s">
        <v>534</v>
      </c>
      <c r="T149" s="1215" t="s">
        <v>533</v>
      </c>
      <c r="U149" s="6" t="s">
        <v>549</v>
      </c>
      <c r="V149" s="6" t="s">
        <v>31</v>
      </c>
      <c r="W149" s="6" t="s">
        <v>673</v>
      </c>
      <c r="X149" s="6" t="s">
        <v>169</v>
      </c>
    </row>
    <row r="150" spans="1:24" ht="15" customHeight="1" x14ac:dyDescent="0.3">
      <c r="A150" s="6" t="s">
        <v>533</v>
      </c>
      <c r="B150" s="6" t="s">
        <v>534</v>
      </c>
      <c r="C150" s="6" t="s">
        <v>31</v>
      </c>
      <c r="D150" s="1088" t="s">
        <v>549</v>
      </c>
      <c r="E150" s="6" t="s">
        <v>172</v>
      </c>
      <c r="F150" s="6" t="s">
        <v>706</v>
      </c>
      <c r="G150" s="6" t="s">
        <v>1305</v>
      </c>
      <c r="H150" s="6" t="s">
        <v>973</v>
      </c>
      <c r="J150" s="1215" t="s">
        <v>509</v>
      </c>
      <c r="K150" s="1219" t="s">
        <v>3112</v>
      </c>
      <c r="L150" s="8">
        <v>0</v>
      </c>
      <c r="M150" s="8">
        <v>15</v>
      </c>
      <c r="N150" s="1169" t="s">
        <v>271</v>
      </c>
      <c r="P150" s="6" t="s">
        <v>3323</v>
      </c>
      <c r="Q150" s="1215" t="s">
        <v>253</v>
      </c>
      <c r="R150" s="1215" t="s">
        <v>255</v>
      </c>
      <c r="S150" s="1215" t="s">
        <v>534</v>
      </c>
      <c r="T150" s="1215" t="s">
        <v>533</v>
      </c>
      <c r="U150" s="6" t="s">
        <v>549</v>
      </c>
      <c r="V150" s="6" t="s">
        <v>31</v>
      </c>
      <c r="W150" s="6" t="s">
        <v>673</v>
      </c>
      <c r="X150" s="6" t="s">
        <v>169</v>
      </c>
    </row>
    <row r="151" spans="1:24" ht="15" customHeight="1" x14ac:dyDescent="0.3">
      <c r="A151" s="6" t="s">
        <v>533</v>
      </c>
      <c r="B151" s="6" t="s">
        <v>534</v>
      </c>
      <c r="C151" s="6" t="s">
        <v>31</v>
      </c>
      <c r="D151" s="1088" t="s">
        <v>549</v>
      </c>
      <c r="E151" s="6" t="s">
        <v>172</v>
      </c>
      <c r="F151" s="6" t="s">
        <v>706</v>
      </c>
      <c r="G151" s="6" t="s">
        <v>2883</v>
      </c>
      <c r="H151" s="6" t="s">
        <v>2162</v>
      </c>
      <c r="J151" s="1215" t="s">
        <v>509</v>
      </c>
      <c r="K151" s="1219" t="s">
        <v>3111</v>
      </c>
      <c r="L151" s="8">
        <v>40</v>
      </c>
      <c r="M151" s="8">
        <v>190</v>
      </c>
      <c r="N151" s="1169" t="s">
        <v>274</v>
      </c>
      <c r="P151" s="6" t="s">
        <v>3322</v>
      </c>
      <c r="Q151" s="1215" t="s">
        <v>253</v>
      </c>
      <c r="R151" s="1215" t="s">
        <v>255</v>
      </c>
      <c r="S151" s="1215" t="s">
        <v>534</v>
      </c>
      <c r="T151" s="1215" t="s">
        <v>533</v>
      </c>
      <c r="U151" s="6" t="s">
        <v>542</v>
      </c>
      <c r="V151" s="6" t="s">
        <v>32</v>
      </c>
    </row>
    <row r="152" spans="1:24" ht="15" customHeight="1" x14ac:dyDescent="0.3">
      <c r="A152" s="6" t="s">
        <v>533</v>
      </c>
      <c r="B152" s="6" t="s">
        <v>534</v>
      </c>
      <c r="C152" s="6" t="s">
        <v>31</v>
      </c>
      <c r="D152" s="1088" t="s">
        <v>549</v>
      </c>
      <c r="E152" s="6" t="s">
        <v>172</v>
      </c>
      <c r="F152" s="6" t="s">
        <v>706</v>
      </c>
      <c r="G152" s="6" t="s">
        <v>2883</v>
      </c>
      <c r="H152" s="6" t="s">
        <v>2162</v>
      </c>
      <c r="J152" s="1215" t="s">
        <v>509</v>
      </c>
      <c r="K152" s="1219" t="s">
        <v>3112</v>
      </c>
      <c r="L152" s="8">
        <v>0</v>
      </c>
      <c r="M152" s="8">
        <v>10</v>
      </c>
      <c r="N152" s="6" t="s">
        <v>274</v>
      </c>
      <c r="O152" s="1088"/>
      <c r="P152" s="6" t="s">
        <v>3322</v>
      </c>
      <c r="Q152" s="1215" t="s">
        <v>253</v>
      </c>
      <c r="R152" s="1215" t="s">
        <v>255</v>
      </c>
      <c r="S152" s="1215" t="s">
        <v>534</v>
      </c>
      <c r="T152" s="1215" t="s">
        <v>533</v>
      </c>
      <c r="U152" s="6" t="s">
        <v>542</v>
      </c>
      <c r="V152" s="6" t="s">
        <v>32</v>
      </c>
    </row>
    <row r="153" spans="1:24" ht="15" customHeight="1" x14ac:dyDescent="0.3">
      <c r="A153" s="6" t="s">
        <v>533</v>
      </c>
      <c r="B153" s="6" t="s">
        <v>534</v>
      </c>
      <c r="C153" s="6" t="s">
        <v>35</v>
      </c>
      <c r="D153" s="1088" t="s">
        <v>567</v>
      </c>
      <c r="E153" s="6" t="s">
        <v>193</v>
      </c>
      <c r="F153" s="6" t="s">
        <v>863</v>
      </c>
      <c r="G153" s="6" t="s">
        <v>2675</v>
      </c>
      <c r="H153" s="6" t="s">
        <v>2207</v>
      </c>
      <c r="J153" s="1215" t="s">
        <v>509</v>
      </c>
      <c r="K153" s="1219" t="s">
        <v>3111</v>
      </c>
      <c r="L153" s="8">
        <v>5</v>
      </c>
      <c r="M153" s="8">
        <v>30</v>
      </c>
      <c r="N153" s="1169" t="s">
        <v>271</v>
      </c>
      <c r="P153" s="6" t="s">
        <v>3324</v>
      </c>
      <c r="Q153" s="1215" t="s">
        <v>253</v>
      </c>
      <c r="R153" s="1215" t="s">
        <v>255</v>
      </c>
      <c r="S153" s="1215" t="s">
        <v>534</v>
      </c>
      <c r="T153" s="1215" t="s">
        <v>533</v>
      </c>
      <c r="U153" s="6" t="s">
        <v>567</v>
      </c>
      <c r="V153" s="6" t="s">
        <v>35</v>
      </c>
      <c r="W153" s="6" t="s">
        <v>863</v>
      </c>
      <c r="X153" s="6" t="s">
        <v>193</v>
      </c>
    </row>
    <row r="154" spans="1:24" ht="15" customHeight="1" x14ac:dyDescent="0.3">
      <c r="A154" s="6" t="s">
        <v>533</v>
      </c>
      <c r="B154" s="6" t="s">
        <v>534</v>
      </c>
      <c r="C154" s="6" t="s">
        <v>35</v>
      </c>
      <c r="D154" s="1088" t="s">
        <v>567</v>
      </c>
      <c r="E154" s="6" t="s">
        <v>193</v>
      </c>
      <c r="F154" s="6" t="s">
        <v>863</v>
      </c>
      <c r="G154" s="6" t="s">
        <v>2675</v>
      </c>
      <c r="H154" s="6" t="s">
        <v>2207</v>
      </c>
      <c r="J154" s="1215" t="s">
        <v>509</v>
      </c>
      <c r="K154" s="1219" t="s">
        <v>3112</v>
      </c>
      <c r="L154" s="8">
        <v>0</v>
      </c>
      <c r="M154" s="8">
        <v>5</v>
      </c>
      <c r="N154" s="1169" t="s">
        <v>271</v>
      </c>
      <c r="O154" s="1088"/>
      <c r="P154" s="6" t="s">
        <v>3324</v>
      </c>
      <c r="Q154" s="1215" t="s">
        <v>253</v>
      </c>
      <c r="R154" s="1215" t="s">
        <v>255</v>
      </c>
      <c r="S154" s="1215" t="s">
        <v>534</v>
      </c>
      <c r="T154" s="1215" t="s">
        <v>533</v>
      </c>
      <c r="U154" s="6" t="s">
        <v>567</v>
      </c>
      <c r="V154" s="6" t="s">
        <v>35</v>
      </c>
      <c r="W154" s="6" t="s">
        <v>863</v>
      </c>
      <c r="X154" s="6" t="s">
        <v>193</v>
      </c>
    </row>
    <row r="155" spans="1:24" ht="15" customHeight="1" x14ac:dyDescent="0.3">
      <c r="A155" s="6" t="s">
        <v>533</v>
      </c>
      <c r="B155" s="6" t="s">
        <v>534</v>
      </c>
      <c r="C155" s="6" t="s">
        <v>30</v>
      </c>
      <c r="D155" s="1088" t="s">
        <v>535</v>
      </c>
      <c r="E155" s="6" t="s">
        <v>158</v>
      </c>
      <c r="F155" s="6" t="s">
        <v>571</v>
      </c>
      <c r="G155" s="6" t="s">
        <v>1725</v>
      </c>
      <c r="H155" s="6" t="s">
        <v>1726</v>
      </c>
      <c r="J155" s="1215" t="s">
        <v>509</v>
      </c>
      <c r="K155" s="1219" t="s">
        <v>3033</v>
      </c>
      <c r="L155" s="8">
        <v>2</v>
      </c>
      <c r="M155" s="8">
        <v>12</v>
      </c>
      <c r="N155" s="1169" t="s">
        <v>271</v>
      </c>
      <c r="P155" s="6" t="s">
        <v>3322</v>
      </c>
      <c r="Q155" s="1215" t="s">
        <v>253</v>
      </c>
      <c r="R155" s="1215" t="s">
        <v>255</v>
      </c>
      <c r="S155" s="1215" t="s">
        <v>534</v>
      </c>
      <c r="T155" s="1215" t="s">
        <v>533</v>
      </c>
      <c r="U155" s="6" t="s">
        <v>539</v>
      </c>
      <c r="V155" s="6" t="s">
        <v>34</v>
      </c>
    </row>
    <row r="156" spans="1:24" ht="15" customHeight="1" x14ac:dyDescent="0.3">
      <c r="A156" s="6" t="s">
        <v>533</v>
      </c>
      <c r="B156" s="6" t="s">
        <v>534</v>
      </c>
      <c r="C156" s="6" t="s">
        <v>31</v>
      </c>
      <c r="D156" s="1088" t="s">
        <v>549</v>
      </c>
      <c r="E156" s="6" t="s">
        <v>171</v>
      </c>
      <c r="F156" s="6" t="s">
        <v>634</v>
      </c>
      <c r="G156" s="6" t="s">
        <v>1918</v>
      </c>
      <c r="H156" s="6" t="s">
        <v>1994</v>
      </c>
      <c r="J156" s="1215" t="s">
        <v>509</v>
      </c>
      <c r="K156" s="1219" t="s">
        <v>3112</v>
      </c>
      <c r="L156" s="8">
        <v>14</v>
      </c>
      <c r="M156" s="8">
        <v>88</v>
      </c>
      <c r="N156" s="1169" t="s">
        <v>271</v>
      </c>
      <c r="P156" s="6" t="s">
        <v>3323</v>
      </c>
      <c r="Q156" s="1215" t="s">
        <v>253</v>
      </c>
      <c r="R156" s="1215" t="s">
        <v>255</v>
      </c>
      <c r="S156" s="1215" t="s">
        <v>534</v>
      </c>
      <c r="T156" s="1215" t="s">
        <v>533</v>
      </c>
      <c r="U156" s="6" t="s">
        <v>549</v>
      </c>
      <c r="V156" s="6" t="s">
        <v>31</v>
      </c>
      <c r="W156" s="6" t="s">
        <v>881</v>
      </c>
      <c r="X156" s="6" t="s">
        <v>165</v>
      </c>
    </row>
    <row r="157" spans="1:24" ht="15" customHeight="1" x14ac:dyDescent="0.3">
      <c r="A157" s="6" t="s">
        <v>533</v>
      </c>
      <c r="B157" s="6" t="s">
        <v>534</v>
      </c>
      <c r="C157" s="6" t="s">
        <v>31</v>
      </c>
      <c r="D157" s="1088" t="s">
        <v>549</v>
      </c>
      <c r="E157" s="6" t="s">
        <v>171</v>
      </c>
      <c r="F157" s="6" t="s">
        <v>634</v>
      </c>
      <c r="G157" s="6" t="s">
        <v>1918</v>
      </c>
      <c r="H157" s="6" t="s">
        <v>1994</v>
      </c>
      <c r="J157" s="1215" t="s">
        <v>509</v>
      </c>
      <c r="K157" s="1219" t="s">
        <v>3111</v>
      </c>
      <c r="L157" s="8">
        <v>5</v>
      </c>
      <c r="M157" s="8">
        <v>10</v>
      </c>
      <c r="N157" s="1169" t="s">
        <v>272</v>
      </c>
      <c r="P157" s="6" t="s">
        <v>3323</v>
      </c>
      <c r="Q157" s="1215" t="s">
        <v>253</v>
      </c>
      <c r="R157" s="1215" t="s">
        <v>255</v>
      </c>
      <c r="S157" s="1215" t="s">
        <v>534</v>
      </c>
      <c r="T157" s="1215" t="s">
        <v>533</v>
      </c>
      <c r="U157" s="6" t="s">
        <v>549</v>
      </c>
      <c r="V157" s="6" t="s">
        <v>31</v>
      </c>
      <c r="W157" s="6" t="s">
        <v>881</v>
      </c>
      <c r="X157" s="6" t="s">
        <v>165</v>
      </c>
    </row>
    <row r="158" spans="1:24" ht="15" customHeight="1" x14ac:dyDescent="0.3">
      <c r="A158" s="6" t="s">
        <v>533</v>
      </c>
      <c r="B158" s="6" t="s">
        <v>534</v>
      </c>
      <c r="C158" s="6" t="s">
        <v>31</v>
      </c>
      <c r="D158" s="1088" t="s">
        <v>549</v>
      </c>
      <c r="E158" s="6" t="s">
        <v>164</v>
      </c>
      <c r="F158" s="6" t="s">
        <v>748</v>
      </c>
      <c r="G158" s="6" t="s">
        <v>1347</v>
      </c>
      <c r="H158" s="6" t="s">
        <v>1348</v>
      </c>
      <c r="J158" s="1215" t="s">
        <v>509</v>
      </c>
      <c r="K158" s="1219" t="s">
        <v>3110</v>
      </c>
      <c r="L158" s="8">
        <v>20</v>
      </c>
      <c r="M158" s="8">
        <v>35</v>
      </c>
      <c r="N158" s="1169" t="s">
        <v>271</v>
      </c>
      <c r="P158" s="6" t="s">
        <v>3324</v>
      </c>
      <c r="Q158" s="1215" t="s">
        <v>253</v>
      </c>
      <c r="R158" s="1215" t="s">
        <v>255</v>
      </c>
      <c r="S158" s="1215" t="s">
        <v>534</v>
      </c>
      <c r="T158" s="1215" t="s">
        <v>533</v>
      </c>
      <c r="U158" s="6" t="s">
        <v>549</v>
      </c>
      <c r="V158" s="6" t="s">
        <v>31</v>
      </c>
      <c r="W158" s="6" t="s">
        <v>748</v>
      </c>
      <c r="X158" s="6" t="s">
        <v>164</v>
      </c>
    </row>
    <row r="159" spans="1:24" ht="15" customHeight="1" x14ac:dyDescent="0.3">
      <c r="A159" s="6" t="s">
        <v>533</v>
      </c>
      <c r="B159" s="6" t="s">
        <v>534</v>
      </c>
      <c r="C159" s="6" t="s">
        <v>31</v>
      </c>
      <c r="D159" s="1088" t="s">
        <v>549</v>
      </c>
      <c r="E159" s="6" t="s">
        <v>164</v>
      </c>
      <c r="F159" s="6" t="s">
        <v>748</v>
      </c>
      <c r="G159" s="6" t="s">
        <v>550</v>
      </c>
      <c r="H159" s="6" t="s">
        <v>3182</v>
      </c>
      <c r="I159" s="6" t="s">
        <v>3182</v>
      </c>
      <c r="J159" s="1215" t="s">
        <v>509</v>
      </c>
      <c r="K159" s="1219" t="s">
        <v>3112</v>
      </c>
      <c r="L159" s="8">
        <v>130</v>
      </c>
      <c r="M159" s="8">
        <v>800</v>
      </c>
      <c r="N159" s="1169" t="s">
        <v>271</v>
      </c>
      <c r="P159" s="6" t="s">
        <v>3324</v>
      </c>
      <c r="Q159" s="1215" t="s">
        <v>253</v>
      </c>
      <c r="R159" s="1215" t="s">
        <v>255</v>
      </c>
      <c r="S159" s="1215" t="s">
        <v>534</v>
      </c>
      <c r="T159" s="1215" t="s">
        <v>533</v>
      </c>
      <c r="U159" s="6" t="s">
        <v>549</v>
      </c>
      <c r="V159" s="6" t="s">
        <v>31</v>
      </c>
      <c r="W159" s="6" t="s">
        <v>748</v>
      </c>
      <c r="X159" s="6" t="s">
        <v>164</v>
      </c>
    </row>
    <row r="160" spans="1:24" ht="15" customHeight="1" x14ac:dyDescent="0.3">
      <c r="A160" s="6" t="s">
        <v>533</v>
      </c>
      <c r="B160" s="6" t="s">
        <v>534</v>
      </c>
      <c r="C160" s="6" t="s">
        <v>31</v>
      </c>
      <c r="D160" s="1088" t="s">
        <v>549</v>
      </c>
      <c r="E160" s="6" t="s">
        <v>164</v>
      </c>
      <c r="F160" s="6" t="s">
        <v>748</v>
      </c>
      <c r="G160" s="6" t="s">
        <v>818</v>
      </c>
      <c r="H160" s="6" t="s">
        <v>819</v>
      </c>
      <c r="J160" s="1215" t="s">
        <v>509</v>
      </c>
      <c r="K160" s="1219" t="s">
        <v>3033</v>
      </c>
      <c r="L160" s="8">
        <v>15</v>
      </c>
      <c r="M160" s="8">
        <v>120</v>
      </c>
      <c r="N160" s="1169" t="s">
        <v>271</v>
      </c>
      <c r="P160" s="6" t="s">
        <v>3324</v>
      </c>
      <c r="Q160" s="1215" t="s">
        <v>253</v>
      </c>
      <c r="R160" s="1215" t="s">
        <v>255</v>
      </c>
      <c r="S160" s="1215" t="s">
        <v>534</v>
      </c>
      <c r="T160" s="1215" t="s">
        <v>533</v>
      </c>
      <c r="U160" s="6" t="s">
        <v>549</v>
      </c>
      <c r="V160" s="6" t="s">
        <v>31</v>
      </c>
      <c r="W160" s="6" t="s">
        <v>748</v>
      </c>
      <c r="X160" s="6" t="s">
        <v>164</v>
      </c>
    </row>
    <row r="161" spans="1:24" ht="15" customHeight="1" x14ac:dyDescent="0.3">
      <c r="A161" s="6" t="s">
        <v>533</v>
      </c>
      <c r="B161" s="6" t="s">
        <v>534</v>
      </c>
      <c r="C161" s="6" t="s">
        <v>31</v>
      </c>
      <c r="D161" s="1088" t="s">
        <v>549</v>
      </c>
      <c r="E161" s="6" t="s">
        <v>171</v>
      </c>
      <c r="F161" s="6" t="s">
        <v>634</v>
      </c>
      <c r="G161" s="6" t="s">
        <v>1246</v>
      </c>
      <c r="H161" s="6" t="s">
        <v>894</v>
      </c>
      <c r="J161" s="1215" t="s">
        <v>509</v>
      </c>
      <c r="K161" s="1219" t="s">
        <v>3111</v>
      </c>
      <c r="L161" s="8">
        <v>3</v>
      </c>
      <c r="M161" s="8">
        <v>30</v>
      </c>
      <c r="N161" s="1169" t="s">
        <v>272</v>
      </c>
      <c r="O161" s="1088"/>
      <c r="P161" s="6" t="s">
        <v>3324</v>
      </c>
      <c r="Q161" s="1215" t="s">
        <v>253</v>
      </c>
      <c r="R161" s="1215" t="s">
        <v>255</v>
      </c>
      <c r="S161" s="1215" t="s">
        <v>534</v>
      </c>
      <c r="T161" s="1215" t="s">
        <v>533</v>
      </c>
      <c r="U161" s="6" t="s">
        <v>549</v>
      </c>
      <c r="V161" s="6" t="s">
        <v>31</v>
      </c>
      <c r="W161" s="6" t="s">
        <v>634</v>
      </c>
      <c r="X161" s="6" t="s">
        <v>171</v>
      </c>
    </row>
    <row r="162" spans="1:24" ht="15" customHeight="1" x14ac:dyDescent="0.3">
      <c r="A162" s="6" t="s">
        <v>533</v>
      </c>
      <c r="B162" s="6" t="s">
        <v>534</v>
      </c>
      <c r="C162" s="6" t="s">
        <v>31</v>
      </c>
      <c r="D162" s="1088" t="s">
        <v>549</v>
      </c>
      <c r="E162" s="6" t="s">
        <v>171</v>
      </c>
      <c r="F162" s="6" t="s">
        <v>634</v>
      </c>
      <c r="G162" s="6" t="s">
        <v>1246</v>
      </c>
      <c r="H162" s="6" t="s">
        <v>894</v>
      </c>
      <c r="J162" s="1215" t="s">
        <v>509</v>
      </c>
      <c r="K162" s="1219" t="s">
        <v>3112</v>
      </c>
      <c r="L162" s="8">
        <v>3</v>
      </c>
      <c r="M162" s="8">
        <v>21</v>
      </c>
      <c r="N162" s="1169" t="s">
        <v>272</v>
      </c>
      <c r="P162" s="6" t="s">
        <v>3324</v>
      </c>
      <c r="Q162" s="1215" t="s">
        <v>253</v>
      </c>
      <c r="R162" s="1215" t="s">
        <v>255</v>
      </c>
      <c r="S162" s="1215" t="s">
        <v>534</v>
      </c>
      <c r="T162" s="1215" t="s">
        <v>533</v>
      </c>
      <c r="U162" s="6" t="s">
        <v>549</v>
      </c>
      <c r="V162" s="6" t="s">
        <v>31</v>
      </c>
      <c r="W162" s="6" t="s">
        <v>634</v>
      </c>
      <c r="X162" s="6" t="s">
        <v>171</v>
      </c>
    </row>
    <row r="163" spans="1:24" ht="15" customHeight="1" x14ac:dyDescent="0.3">
      <c r="A163" s="6" t="s">
        <v>533</v>
      </c>
      <c r="B163" s="6" t="s">
        <v>534</v>
      </c>
      <c r="C163" s="6" t="s">
        <v>31</v>
      </c>
      <c r="D163" s="1088" t="s">
        <v>549</v>
      </c>
      <c r="E163" s="6" t="s">
        <v>171</v>
      </c>
      <c r="F163" s="6" t="s">
        <v>634</v>
      </c>
      <c r="G163" s="6" t="s">
        <v>1997</v>
      </c>
      <c r="H163" s="6" t="s">
        <v>892</v>
      </c>
      <c r="J163" s="1215" t="s">
        <v>509</v>
      </c>
      <c r="K163" s="1219" t="s">
        <v>3111</v>
      </c>
      <c r="L163" s="8">
        <v>3</v>
      </c>
      <c r="M163" s="8">
        <v>20</v>
      </c>
      <c r="N163" s="1169" t="s">
        <v>272</v>
      </c>
      <c r="P163" s="6" t="s">
        <v>3324</v>
      </c>
      <c r="Q163" s="1215" t="s">
        <v>253</v>
      </c>
      <c r="R163" s="1215" t="s">
        <v>255</v>
      </c>
      <c r="S163" s="1215" t="s">
        <v>534</v>
      </c>
      <c r="T163" s="1215" t="s">
        <v>533</v>
      </c>
      <c r="U163" s="6" t="s">
        <v>549</v>
      </c>
      <c r="V163" s="6" t="s">
        <v>31</v>
      </c>
      <c r="W163" s="6" t="s">
        <v>634</v>
      </c>
      <c r="X163" s="6" t="s">
        <v>171</v>
      </c>
    </row>
    <row r="164" spans="1:24" ht="15" customHeight="1" x14ac:dyDescent="0.3">
      <c r="A164" s="6" t="s">
        <v>533</v>
      </c>
      <c r="B164" s="6" t="s">
        <v>534</v>
      </c>
      <c r="C164" s="6" t="s">
        <v>31</v>
      </c>
      <c r="D164" s="1088" t="s">
        <v>549</v>
      </c>
      <c r="E164" s="6" t="s">
        <v>171</v>
      </c>
      <c r="F164" s="6" t="s">
        <v>634</v>
      </c>
      <c r="G164" s="6" t="s">
        <v>1997</v>
      </c>
      <c r="H164" s="6" t="s">
        <v>892</v>
      </c>
      <c r="J164" s="1215" t="s">
        <v>509</v>
      </c>
      <c r="K164" s="1219" t="s">
        <v>3112</v>
      </c>
      <c r="L164" s="8">
        <v>2</v>
      </c>
      <c r="M164" s="8">
        <v>11</v>
      </c>
      <c r="N164" s="1169" t="s">
        <v>272</v>
      </c>
      <c r="P164" s="6" t="s">
        <v>3324</v>
      </c>
      <c r="Q164" s="1215" t="s">
        <v>253</v>
      </c>
      <c r="R164" s="1215" t="s">
        <v>255</v>
      </c>
      <c r="S164" s="1215" t="s">
        <v>534</v>
      </c>
      <c r="T164" s="1215" t="s">
        <v>533</v>
      </c>
      <c r="U164" s="6" t="s">
        <v>549</v>
      </c>
      <c r="V164" s="6" t="s">
        <v>31</v>
      </c>
      <c r="W164" s="6" t="s">
        <v>634</v>
      </c>
      <c r="X164" s="6" t="s">
        <v>171</v>
      </c>
    </row>
    <row r="165" spans="1:24" ht="15" customHeight="1" x14ac:dyDescent="0.3">
      <c r="A165" s="6" t="s">
        <v>533</v>
      </c>
      <c r="B165" s="6" t="s">
        <v>534</v>
      </c>
      <c r="C165" s="6" t="s">
        <v>31</v>
      </c>
      <c r="D165" s="6" t="s">
        <v>549</v>
      </c>
      <c r="E165" s="1088" t="s">
        <v>171</v>
      </c>
      <c r="F165" s="6" t="s">
        <v>634</v>
      </c>
      <c r="G165" s="6" t="s">
        <v>1365</v>
      </c>
      <c r="H165" s="6" t="s">
        <v>1715</v>
      </c>
      <c r="J165" s="1215" t="s">
        <v>509</v>
      </c>
      <c r="K165" s="1219" t="s">
        <v>3033</v>
      </c>
      <c r="L165" s="8">
        <v>15</v>
      </c>
      <c r="M165" s="8">
        <v>137</v>
      </c>
      <c r="N165" s="1169" t="s">
        <v>271</v>
      </c>
      <c r="P165" s="6" t="s">
        <v>3323</v>
      </c>
      <c r="Q165" s="1215" t="s">
        <v>253</v>
      </c>
      <c r="R165" s="1215" t="s">
        <v>255</v>
      </c>
      <c r="S165" s="1215" t="s">
        <v>534</v>
      </c>
      <c r="T165" s="1215" t="s">
        <v>533</v>
      </c>
      <c r="U165" s="6" t="s">
        <v>549</v>
      </c>
      <c r="V165" s="6" t="s">
        <v>31</v>
      </c>
      <c r="W165" s="6" t="s">
        <v>844</v>
      </c>
      <c r="X165" s="6" t="s">
        <v>166</v>
      </c>
    </row>
    <row r="166" spans="1:24" ht="15" customHeight="1" x14ac:dyDescent="0.3">
      <c r="A166" s="6" t="s">
        <v>533</v>
      </c>
      <c r="B166" s="6" t="s">
        <v>534</v>
      </c>
      <c r="C166" s="6" t="s">
        <v>31</v>
      </c>
      <c r="D166" s="6" t="s">
        <v>549</v>
      </c>
      <c r="E166" s="1088" t="s">
        <v>171</v>
      </c>
      <c r="F166" s="6" t="s">
        <v>634</v>
      </c>
      <c r="G166" s="6" t="s">
        <v>1365</v>
      </c>
      <c r="H166" s="6" t="s">
        <v>1715</v>
      </c>
      <c r="J166" s="1215" t="s">
        <v>509</v>
      </c>
      <c r="K166" s="1219" t="s">
        <v>3112</v>
      </c>
      <c r="L166" s="8">
        <v>9</v>
      </c>
      <c r="M166" s="8">
        <v>30</v>
      </c>
      <c r="N166" s="1169" t="s">
        <v>271</v>
      </c>
      <c r="P166" s="6" t="s">
        <v>3323</v>
      </c>
      <c r="Q166" s="1215" t="s">
        <v>253</v>
      </c>
      <c r="R166" s="1215" t="s">
        <v>255</v>
      </c>
      <c r="S166" s="1215" t="s">
        <v>534</v>
      </c>
      <c r="T166" s="1215" t="s">
        <v>533</v>
      </c>
      <c r="U166" s="6" t="s">
        <v>549</v>
      </c>
      <c r="V166" s="6" t="s">
        <v>31</v>
      </c>
      <c r="W166" s="6" t="s">
        <v>881</v>
      </c>
      <c r="X166" s="6" t="s">
        <v>165</v>
      </c>
    </row>
    <row r="167" spans="1:24" ht="15" customHeight="1" x14ac:dyDescent="0.3">
      <c r="A167" s="6" t="s">
        <v>533</v>
      </c>
      <c r="B167" s="6" t="s">
        <v>534</v>
      </c>
      <c r="C167" s="6" t="s">
        <v>31</v>
      </c>
      <c r="D167" s="1088" t="s">
        <v>549</v>
      </c>
      <c r="E167" s="6" t="s">
        <v>171</v>
      </c>
      <c r="F167" s="6" t="s">
        <v>634</v>
      </c>
      <c r="G167" s="6" t="s">
        <v>2229</v>
      </c>
      <c r="H167" s="6" t="s">
        <v>1967</v>
      </c>
      <c r="J167" s="1215" t="s">
        <v>509</v>
      </c>
      <c r="K167" s="1219" t="s">
        <v>3033</v>
      </c>
      <c r="L167" s="8">
        <v>28</v>
      </c>
      <c r="M167" s="8">
        <v>163</v>
      </c>
      <c r="N167" s="1169" t="s">
        <v>271</v>
      </c>
      <c r="P167" s="6" t="s">
        <v>3323</v>
      </c>
      <c r="Q167" s="1215" t="s">
        <v>253</v>
      </c>
      <c r="R167" s="1215" t="s">
        <v>255</v>
      </c>
      <c r="S167" s="1215" t="s">
        <v>534</v>
      </c>
      <c r="T167" s="1215" t="s">
        <v>533</v>
      </c>
      <c r="U167" s="6" t="s">
        <v>549</v>
      </c>
      <c r="V167" s="6" t="s">
        <v>31</v>
      </c>
      <c r="W167" s="6" t="s">
        <v>844</v>
      </c>
      <c r="X167" s="6" t="s">
        <v>166</v>
      </c>
    </row>
    <row r="168" spans="1:24" ht="15" customHeight="1" x14ac:dyDescent="0.3">
      <c r="A168" s="6" t="s">
        <v>533</v>
      </c>
      <c r="B168" s="6" t="s">
        <v>534</v>
      </c>
      <c r="C168" s="6" t="s">
        <v>31</v>
      </c>
      <c r="D168" s="1088" t="s">
        <v>549</v>
      </c>
      <c r="E168" s="6" t="s">
        <v>171</v>
      </c>
      <c r="F168" s="6" t="s">
        <v>634</v>
      </c>
      <c r="G168" s="6" t="s">
        <v>2229</v>
      </c>
      <c r="H168" s="6" t="s">
        <v>1967</v>
      </c>
      <c r="J168" s="1215" t="s">
        <v>509</v>
      </c>
      <c r="K168" s="1219" t="s">
        <v>3112</v>
      </c>
      <c r="L168" s="8">
        <v>5</v>
      </c>
      <c r="M168" s="8">
        <v>15</v>
      </c>
      <c r="N168" s="6" t="s">
        <v>271</v>
      </c>
      <c r="P168" s="6" t="s">
        <v>3323</v>
      </c>
      <c r="Q168" s="1215" t="s">
        <v>253</v>
      </c>
      <c r="R168" s="1215" t="s">
        <v>255</v>
      </c>
      <c r="S168" s="1215" t="s">
        <v>534</v>
      </c>
      <c r="T168" s="1215" t="s">
        <v>533</v>
      </c>
      <c r="U168" s="6" t="s">
        <v>549</v>
      </c>
      <c r="V168" s="6" t="s">
        <v>31</v>
      </c>
      <c r="W168" s="6" t="s">
        <v>881</v>
      </c>
      <c r="X168" s="6" t="s">
        <v>165</v>
      </c>
    </row>
    <row r="169" spans="1:24" ht="15" customHeight="1" x14ac:dyDescent="0.3">
      <c r="A169" s="6" t="s">
        <v>533</v>
      </c>
      <c r="B169" s="6" t="s">
        <v>534</v>
      </c>
      <c r="C169" s="6" t="s">
        <v>35</v>
      </c>
      <c r="D169" s="1088" t="s">
        <v>567</v>
      </c>
      <c r="E169" s="6" t="s">
        <v>190</v>
      </c>
      <c r="F169" s="6" t="s">
        <v>800</v>
      </c>
      <c r="G169" s="6" t="s">
        <v>851</v>
      </c>
      <c r="H169" s="6" t="s">
        <v>852</v>
      </c>
      <c r="J169" s="1215" t="s">
        <v>509</v>
      </c>
      <c r="K169" s="1219" t="s">
        <v>3033</v>
      </c>
      <c r="L169" s="8">
        <v>18</v>
      </c>
      <c r="M169" s="8">
        <v>123</v>
      </c>
      <c r="N169" s="1169" t="s">
        <v>271</v>
      </c>
      <c r="P169" s="6" t="s">
        <v>3323</v>
      </c>
      <c r="Q169" s="1215" t="s">
        <v>253</v>
      </c>
      <c r="R169" s="1215" t="s">
        <v>255</v>
      </c>
      <c r="S169" s="1215" t="s">
        <v>534</v>
      </c>
      <c r="T169" s="1215" t="s">
        <v>533</v>
      </c>
      <c r="U169" s="6" t="s">
        <v>567</v>
      </c>
      <c r="V169" s="6" t="s">
        <v>35</v>
      </c>
      <c r="W169" s="6" t="s">
        <v>863</v>
      </c>
      <c r="X169" s="6" t="s">
        <v>193</v>
      </c>
    </row>
    <row r="170" spans="1:24" ht="15" customHeight="1" x14ac:dyDescent="0.3">
      <c r="A170" s="6" t="s">
        <v>533</v>
      </c>
      <c r="B170" s="6" t="s">
        <v>534</v>
      </c>
      <c r="C170" s="6" t="s">
        <v>35</v>
      </c>
      <c r="D170" s="1088" t="s">
        <v>567</v>
      </c>
      <c r="E170" s="6" t="s">
        <v>190</v>
      </c>
      <c r="F170" s="6" t="s">
        <v>800</v>
      </c>
      <c r="G170" s="6" t="s">
        <v>851</v>
      </c>
      <c r="H170" s="6" t="s">
        <v>852</v>
      </c>
      <c r="J170" s="1215" t="s">
        <v>509</v>
      </c>
      <c r="K170" s="1219" t="s">
        <v>3109</v>
      </c>
      <c r="L170" s="8">
        <v>0</v>
      </c>
      <c r="M170" s="8">
        <v>1</v>
      </c>
      <c r="N170" s="6" t="s">
        <v>271</v>
      </c>
      <c r="P170" s="6" t="s">
        <v>3324</v>
      </c>
      <c r="Q170" s="1215" t="s">
        <v>253</v>
      </c>
      <c r="R170" s="1215" t="s">
        <v>255</v>
      </c>
      <c r="S170" s="1215" t="s">
        <v>534</v>
      </c>
      <c r="T170" s="1215" t="s">
        <v>533</v>
      </c>
      <c r="U170" s="6" t="s">
        <v>567</v>
      </c>
      <c r="V170" s="6" t="s">
        <v>35</v>
      </c>
      <c r="W170" s="6" t="s">
        <v>800</v>
      </c>
      <c r="X170" s="6" t="s">
        <v>190</v>
      </c>
    </row>
    <row r="171" spans="1:24" ht="15" customHeight="1" x14ac:dyDescent="0.3">
      <c r="A171" s="6" t="s">
        <v>533</v>
      </c>
      <c r="B171" s="6" t="s">
        <v>534</v>
      </c>
      <c r="C171" s="6" t="s">
        <v>35</v>
      </c>
      <c r="D171" s="1168" t="s">
        <v>567</v>
      </c>
      <c r="E171" s="6" t="s">
        <v>190</v>
      </c>
      <c r="F171" s="6" t="s">
        <v>800</v>
      </c>
      <c r="G171" s="6" t="s">
        <v>851</v>
      </c>
      <c r="H171" s="6" t="s">
        <v>852</v>
      </c>
      <c r="J171" s="1215" t="s">
        <v>509</v>
      </c>
      <c r="K171" s="1219" t="s">
        <v>3111</v>
      </c>
      <c r="L171" s="8">
        <v>5</v>
      </c>
      <c r="M171" s="8">
        <v>16</v>
      </c>
      <c r="N171" s="1169" t="s">
        <v>271</v>
      </c>
      <c r="P171" s="6" t="s">
        <v>3324</v>
      </c>
      <c r="Q171" s="1215" t="s">
        <v>253</v>
      </c>
      <c r="R171" s="1215" t="s">
        <v>255</v>
      </c>
      <c r="S171" s="1215" t="s">
        <v>534</v>
      </c>
      <c r="T171" s="1215" t="s">
        <v>533</v>
      </c>
      <c r="U171" s="6" t="s">
        <v>567</v>
      </c>
      <c r="V171" s="6" t="s">
        <v>35</v>
      </c>
      <c r="W171" s="6" t="s">
        <v>800</v>
      </c>
      <c r="X171" s="6" t="s">
        <v>190</v>
      </c>
    </row>
    <row r="172" spans="1:24" ht="15" customHeight="1" x14ac:dyDescent="0.3">
      <c r="A172" s="6" t="s">
        <v>533</v>
      </c>
      <c r="B172" s="6" t="s">
        <v>534</v>
      </c>
      <c r="C172" s="6" t="s">
        <v>31</v>
      </c>
      <c r="D172" s="1088" t="s">
        <v>549</v>
      </c>
      <c r="E172" s="6" t="s">
        <v>172</v>
      </c>
      <c r="F172" s="6" t="s">
        <v>706</v>
      </c>
      <c r="G172" s="6" t="s">
        <v>1175</v>
      </c>
      <c r="H172" s="6" t="s">
        <v>3276</v>
      </c>
      <c r="J172" s="1215" t="s">
        <v>509</v>
      </c>
      <c r="K172" s="1219" t="s">
        <v>3110</v>
      </c>
      <c r="L172" s="8">
        <v>25</v>
      </c>
      <c r="M172" s="8">
        <v>100</v>
      </c>
      <c r="N172" s="1169" t="s">
        <v>274</v>
      </c>
      <c r="P172" s="6" t="s">
        <v>3323</v>
      </c>
      <c r="Q172" s="1215" t="s">
        <v>253</v>
      </c>
      <c r="R172" s="1215" t="s">
        <v>255</v>
      </c>
      <c r="S172" s="1215" t="s">
        <v>534</v>
      </c>
      <c r="T172" s="1215" t="s">
        <v>533</v>
      </c>
      <c r="U172" s="6" t="s">
        <v>549</v>
      </c>
      <c r="V172" s="6" t="s">
        <v>31</v>
      </c>
      <c r="W172" s="6" t="s">
        <v>673</v>
      </c>
      <c r="X172" s="6" t="s">
        <v>169</v>
      </c>
    </row>
    <row r="173" spans="1:24" ht="15" customHeight="1" x14ac:dyDescent="0.3">
      <c r="A173" s="6" t="s">
        <v>533</v>
      </c>
      <c r="B173" s="6" t="s">
        <v>534</v>
      </c>
      <c r="C173" s="6" t="s">
        <v>31</v>
      </c>
      <c r="D173" s="1088" t="s">
        <v>549</v>
      </c>
      <c r="E173" s="1088" t="s">
        <v>172</v>
      </c>
      <c r="F173" s="6" t="s">
        <v>706</v>
      </c>
      <c r="G173" s="6" t="s">
        <v>1175</v>
      </c>
      <c r="H173" s="6" t="s">
        <v>3276</v>
      </c>
      <c r="J173" s="1215" t="s">
        <v>509</v>
      </c>
      <c r="K173" s="1219" t="s">
        <v>3112</v>
      </c>
      <c r="L173" s="8">
        <v>0</v>
      </c>
      <c r="M173" s="8">
        <v>10</v>
      </c>
      <c r="N173" s="1169" t="s">
        <v>274</v>
      </c>
      <c r="P173" s="6" t="s">
        <v>3323</v>
      </c>
      <c r="Q173" s="1215" t="s">
        <v>253</v>
      </c>
      <c r="R173" s="1215" t="s">
        <v>255</v>
      </c>
      <c r="S173" s="1215" t="s">
        <v>534</v>
      </c>
      <c r="T173" s="1215" t="s">
        <v>533</v>
      </c>
      <c r="U173" s="6" t="s">
        <v>549</v>
      </c>
      <c r="V173" s="6" t="s">
        <v>31</v>
      </c>
      <c r="W173" s="6" t="s">
        <v>673</v>
      </c>
      <c r="X173" s="6" t="s">
        <v>169</v>
      </c>
    </row>
    <row r="174" spans="1:24" ht="15" customHeight="1" x14ac:dyDescent="0.3">
      <c r="A174" s="6" t="s">
        <v>533</v>
      </c>
      <c r="B174" s="6" t="s">
        <v>534</v>
      </c>
      <c r="C174" s="6" t="s">
        <v>31</v>
      </c>
      <c r="D174" s="1088" t="s">
        <v>549</v>
      </c>
      <c r="E174" s="6" t="s">
        <v>172</v>
      </c>
      <c r="F174" s="6" t="s">
        <v>706</v>
      </c>
      <c r="G174" s="6" t="s">
        <v>2249</v>
      </c>
      <c r="H174" s="6" t="s">
        <v>3261</v>
      </c>
      <c r="J174" s="1215" t="s">
        <v>509</v>
      </c>
      <c r="K174" s="1219" t="s">
        <v>3110</v>
      </c>
      <c r="L174" s="8">
        <v>18</v>
      </c>
      <c r="M174" s="8">
        <v>80</v>
      </c>
      <c r="N174" s="1169" t="s">
        <v>274</v>
      </c>
      <c r="P174" s="6" t="s">
        <v>3323</v>
      </c>
      <c r="Q174" s="1215" t="s">
        <v>253</v>
      </c>
      <c r="R174" s="1215" t="s">
        <v>255</v>
      </c>
      <c r="S174" s="1215" t="s">
        <v>534</v>
      </c>
      <c r="T174" s="1215" t="s">
        <v>533</v>
      </c>
      <c r="U174" s="6" t="s">
        <v>549</v>
      </c>
      <c r="V174" s="6" t="s">
        <v>31</v>
      </c>
      <c r="W174" s="6" t="s">
        <v>673</v>
      </c>
      <c r="X174" s="6" t="s">
        <v>169</v>
      </c>
    </row>
    <row r="175" spans="1:24" ht="15" customHeight="1" x14ac:dyDescent="0.3">
      <c r="A175" s="6" t="s">
        <v>533</v>
      </c>
      <c r="B175" s="6" t="s">
        <v>534</v>
      </c>
      <c r="C175" s="6" t="s">
        <v>31</v>
      </c>
      <c r="D175" s="1088" t="s">
        <v>549</v>
      </c>
      <c r="E175" s="6" t="s">
        <v>172</v>
      </c>
      <c r="F175" s="6" t="s">
        <v>706</v>
      </c>
      <c r="G175" s="6" t="s">
        <v>2249</v>
      </c>
      <c r="H175" s="6" t="s">
        <v>3261</v>
      </c>
      <c r="J175" s="1215" t="s">
        <v>509</v>
      </c>
      <c r="K175" s="1219" t="s">
        <v>3112</v>
      </c>
      <c r="L175" s="8">
        <v>15</v>
      </c>
      <c r="M175" s="8">
        <v>68</v>
      </c>
      <c r="N175" s="1169" t="s">
        <v>272</v>
      </c>
      <c r="P175" s="6" t="s">
        <v>3323</v>
      </c>
      <c r="Q175" s="1215" t="s">
        <v>253</v>
      </c>
      <c r="R175" s="1215" t="s">
        <v>255</v>
      </c>
      <c r="S175" s="1215" t="s">
        <v>534</v>
      </c>
      <c r="T175" s="1215" t="s">
        <v>533</v>
      </c>
      <c r="U175" s="6" t="s">
        <v>549</v>
      </c>
      <c r="V175" s="6" t="s">
        <v>31</v>
      </c>
      <c r="W175" s="6" t="s">
        <v>673</v>
      </c>
      <c r="X175" s="6" t="s">
        <v>169</v>
      </c>
    </row>
    <row r="176" spans="1:24" ht="15" customHeight="1" x14ac:dyDescent="0.3">
      <c r="A176" s="6" t="s">
        <v>533</v>
      </c>
      <c r="B176" s="6" t="s">
        <v>534</v>
      </c>
      <c r="C176" s="6" t="s">
        <v>31</v>
      </c>
      <c r="D176" s="1088" t="s">
        <v>549</v>
      </c>
      <c r="E176" s="6" t="s">
        <v>172</v>
      </c>
      <c r="F176" s="6" t="s">
        <v>706</v>
      </c>
      <c r="G176" s="6" t="s">
        <v>986</v>
      </c>
      <c r="H176" s="6" t="s">
        <v>2254</v>
      </c>
      <c r="J176" s="1215" t="s">
        <v>509</v>
      </c>
      <c r="K176" s="1219" t="s">
        <v>3112</v>
      </c>
      <c r="L176" s="8">
        <v>4</v>
      </c>
      <c r="M176" s="8">
        <v>22</v>
      </c>
      <c r="N176" s="1169" t="s">
        <v>274</v>
      </c>
      <c r="P176" s="6" t="s">
        <v>3324</v>
      </c>
      <c r="Q176" s="1215" t="s">
        <v>253</v>
      </c>
      <c r="R176" s="1215" t="s">
        <v>255</v>
      </c>
      <c r="S176" s="1215" t="s">
        <v>534</v>
      </c>
      <c r="T176" s="1215" t="s">
        <v>533</v>
      </c>
      <c r="U176" s="6" t="s">
        <v>549</v>
      </c>
      <c r="V176" s="6" t="s">
        <v>31</v>
      </c>
      <c r="W176" s="6" t="s">
        <v>706</v>
      </c>
      <c r="X176" s="6" t="s">
        <v>172</v>
      </c>
    </row>
    <row r="177" spans="1:24" ht="15" customHeight="1" x14ac:dyDescent="0.3">
      <c r="A177" s="6" t="s">
        <v>533</v>
      </c>
      <c r="B177" s="6" t="s">
        <v>534</v>
      </c>
      <c r="C177" s="6" t="s">
        <v>35</v>
      </c>
      <c r="D177" s="1088" t="s">
        <v>567</v>
      </c>
      <c r="E177" s="6" t="s">
        <v>193</v>
      </c>
      <c r="F177" s="6" t="s">
        <v>863</v>
      </c>
      <c r="G177" s="6" t="s">
        <v>1628</v>
      </c>
      <c r="H177" s="6" t="s">
        <v>1309</v>
      </c>
      <c r="J177" s="1215" t="s">
        <v>509</v>
      </c>
      <c r="K177" s="1219" t="s">
        <v>3110</v>
      </c>
      <c r="L177" s="8">
        <v>5</v>
      </c>
      <c r="M177" s="8">
        <v>26</v>
      </c>
      <c r="N177" s="1169" t="s">
        <v>271</v>
      </c>
      <c r="P177" s="6" t="s">
        <v>3324</v>
      </c>
      <c r="Q177" s="1215" t="s">
        <v>253</v>
      </c>
      <c r="R177" s="1215" t="s">
        <v>255</v>
      </c>
      <c r="S177" s="1215" t="s">
        <v>534</v>
      </c>
      <c r="T177" s="1215" t="s">
        <v>533</v>
      </c>
      <c r="U177" s="6" t="s">
        <v>567</v>
      </c>
      <c r="V177" s="6" t="s">
        <v>35</v>
      </c>
      <c r="W177" s="6" t="s">
        <v>863</v>
      </c>
      <c r="X177" s="6" t="s">
        <v>193</v>
      </c>
    </row>
    <row r="178" spans="1:24" ht="15" customHeight="1" x14ac:dyDescent="0.3">
      <c r="A178" s="6" t="s">
        <v>533</v>
      </c>
      <c r="B178" s="6" t="s">
        <v>534</v>
      </c>
      <c r="C178" s="6" t="s">
        <v>35</v>
      </c>
      <c r="D178" s="1088" t="s">
        <v>567</v>
      </c>
      <c r="E178" s="6" t="s">
        <v>193</v>
      </c>
      <c r="F178" s="6" t="s">
        <v>863</v>
      </c>
      <c r="G178" s="6" t="s">
        <v>1628</v>
      </c>
      <c r="H178" s="6" t="s">
        <v>1309</v>
      </c>
      <c r="J178" s="1215" t="s">
        <v>509</v>
      </c>
      <c r="K178" s="1219" t="s">
        <v>3112</v>
      </c>
      <c r="L178" s="8">
        <v>4</v>
      </c>
      <c r="M178" s="8">
        <v>15</v>
      </c>
      <c r="N178" s="1169" t="s">
        <v>271</v>
      </c>
      <c r="P178" s="6" t="s">
        <v>3324</v>
      </c>
      <c r="Q178" s="1215" t="s">
        <v>253</v>
      </c>
      <c r="R178" s="1215" t="s">
        <v>255</v>
      </c>
      <c r="S178" s="1215" t="s">
        <v>534</v>
      </c>
      <c r="T178" s="1215" t="s">
        <v>533</v>
      </c>
      <c r="U178" s="6" t="s">
        <v>567</v>
      </c>
      <c r="V178" s="6" t="s">
        <v>35</v>
      </c>
      <c r="W178" s="6" t="s">
        <v>863</v>
      </c>
      <c r="X178" s="6" t="s">
        <v>193</v>
      </c>
    </row>
    <row r="179" spans="1:24" ht="15" customHeight="1" x14ac:dyDescent="0.3">
      <c r="A179" s="6" t="s">
        <v>533</v>
      </c>
      <c r="B179" s="6" t="s">
        <v>534</v>
      </c>
      <c r="C179" s="6" t="s">
        <v>31</v>
      </c>
      <c r="D179" s="1088" t="s">
        <v>549</v>
      </c>
      <c r="E179" s="6" t="s">
        <v>171</v>
      </c>
      <c r="F179" s="6" t="s">
        <v>634</v>
      </c>
      <c r="G179" s="6" t="s">
        <v>2627</v>
      </c>
      <c r="H179" s="6" t="s">
        <v>2139</v>
      </c>
      <c r="J179" s="1215" t="s">
        <v>509</v>
      </c>
      <c r="K179" s="1219" t="s">
        <v>3111</v>
      </c>
      <c r="L179" s="8">
        <v>9</v>
      </c>
      <c r="M179" s="8">
        <v>25</v>
      </c>
      <c r="N179" s="1169" t="s">
        <v>272</v>
      </c>
      <c r="P179" s="6" t="s">
        <v>3324</v>
      </c>
      <c r="Q179" s="1215" t="s">
        <v>253</v>
      </c>
      <c r="R179" s="1215" t="s">
        <v>255</v>
      </c>
      <c r="S179" s="1215" t="s">
        <v>534</v>
      </c>
      <c r="T179" s="1215" t="s">
        <v>533</v>
      </c>
      <c r="U179" s="6" t="s">
        <v>549</v>
      </c>
      <c r="V179" s="6" t="s">
        <v>31</v>
      </c>
      <c r="W179" s="6" t="s">
        <v>634</v>
      </c>
      <c r="X179" s="6" t="s">
        <v>171</v>
      </c>
    </row>
    <row r="180" spans="1:24" ht="15" customHeight="1" x14ac:dyDescent="0.3">
      <c r="A180" s="6" t="s">
        <v>533</v>
      </c>
      <c r="B180" s="6" t="s">
        <v>534</v>
      </c>
      <c r="C180" s="6" t="s">
        <v>31</v>
      </c>
      <c r="D180" s="1088" t="s">
        <v>549</v>
      </c>
      <c r="E180" s="6" t="s">
        <v>171</v>
      </c>
      <c r="F180" s="6" t="s">
        <v>634</v>
      </c>
      <c r="G180" s="6" t="s">
        <v>2627</v>
      </c>
      <c r="H180" s="6" t="s">
        <v>2139</v>
      </c>
      <c r="J180" s="1215" t="s">
        <v>509</v>
      </c>
      <c r="K180" s="1219" t="s">
        <v>3033</v>
      </c>
      <c r="L180" s="8">
        <v>50</v>
      </c>
      <c r="M180" s="8">
        <v>50</v>
      </c>
      <c r="N180" s="1169" t="s">
        <v>271</v>
      </c>
      <c r="P180" s="6" t="s">
        <v>3324</v>
      </c>
      <c r="Q180" s="1215" t="s">
        <v>253</v>
      </c>
      <c r="R180" s="1215" t="s">
        <v>255</v>
      </c>
      <c r="S180" s="1215" t="s">
        <v>534</v>
      </c>
      <c r="T180" s="1215" t="s">
        <v>533</v>
      </c>
      <c r="U180" s="6" t="s">
        <v>549</v>
      </c>
      <c r="V180" s="6" t="s">
        <v>31</v>
      </c>
      <c r="W180" s="6" t="s">
        <v>634</v>
      </c>
      <c r="X180" s="6" t="s">
        <v>171</v>
      </c>
    </row>
    <row r="181" spans="1:24" ht="15" customHeight="1" x14ac:dyDescent="0.3">
      <c r="A181" s="6" t="s">
        <v>533</v>
      </c>
      <c r="B181" s="6" t="s">
        <v>534</v>
      </c>
      <c r="C181" s="6" t="s">
        <v>31</v>
      </c>
      <c r="D181" s="1088" t="s">
        <v>549</v>
      </c>
      <c r="E181" s="6" t="s">
        <v>171</v>
      </c>
      <c r="F181" s="6" t="s">
        <v>634</v>
      </c>
      <c r="G181" s="6" t="s">
        <v>2877</v>
      </c>
      <c r="H181" s="6" t="s">
        <v>1292</v>
      </c>
      <c r="J181" s="1215" t="s">
        <v>509</v>
      </c>
      <c r="K181" s="1219" t="s">
        <v>3033</v>
      </c>
      <c r="L181" s="8">
        <v>13</v>
      </c>
      <c r="M181" s="8">
        <v>92</v>
      </c>
      <c r="N181" s="1169" t="s">
        <v>271</v>
      </c>
      <c r="P181" s="6" t="s">
        <v>3324</v>
      </c>
      <c r="Q181" s="1215" t="s">
        <v>253</v>
      </c>
      <c r="R181" s="1215" t="s">
        <v>255</v>
      </c>
      <c r="S181" s="1215" t="s">
        <v>534</v>
      </c>
      <c r="T181" s="1215" t="s">
        <v>533</v>
      </c>
      <c r="U181" s="6" t="s">
        <v>549</v>
      </c>
      <c r="V181" s="6" t="s">
        <v>31</v>
      </c>
      <c r="W181" s="6" t="s">
        <v>634</v>
      </c>
      <c r="X181" s="6" t="s">
        <v>171</v>
      </c>
    </row>
    <row r="182" spans="1:24" ht="15" customHeight="1" x14ac:dyDescent="0.3">
      <c r="A182" s="6" t="s">
        <v>533</v>
      </c>
      <c r="B182" s="6" t="s">
        <v>534</v>
      </c>
      <c r="C182" s="6" t="s">
        <v>31</v>
      </c>
      <c r="D182" s="1088" t="s">
        <v>549</v>
      </c>
      <c r="E182" s="6" t="s">
        <v>171</v>
      </c>
      <c r="F182" s="6" t="s">
        <v>634</v>
      </c>
      <c r="G182" s="6" t="s">
        <v>2877</v>
      </c>
      <c r="H182" s="6" t="s">
        <v>1292</v>
      </c>
      <c r="J182" s="1215" t="s">
        <v>509</v>
      </c>
      <c r="K182" s="1219" t="s">
        <v>3112</v>
      </c>
      <c r="L182" s="8">
        <v>6</v>
      </c>
      <c r="M182" s="8">
        <v>15</v>
      </c>
      <c r="N182" s="1169" t="s">
        <v>272</v>
      </c>
      <c r="P182" s="6" t="s">
        <v>3324</v>
      </c>
      <c r="Q182" s="1215" t="s">
        <v>253</v>
      </c>
      <c r="R182" s="1215" t="s">
        <v>255</v>
      </c>
      <c r="S182" s="1215" t="s">
        <v>534</v>
      </c>
      <c r="T182" s="1215" t="s">
        <v>533</v>
      </c>
      <c r="U182" s="6" t="s">
        <v>549</v>
      </c>
      <c r="V182" s="6" t="s">
        <v>31</v>
      </c>
      <c r="W182" s="6" t="s">
        <v>634</v>
      </c>
      <c r="X182" s="6" t="s">
        <v>171</v>
      </c>
    </row>
    <row r="183" spans="1:24" ht="15" customHeight="1" x14ac:dyDescent="0.3">
      <c r="A183" s="6" t="s">
        <v>533</v>
      </c>
      <c r="B183" s="6" t="s">
        <v>534</v>
      </c>
      <c r="C183" s="6" t="s">
        <v>31</v>
      </c>
      <c r="D183" s="1088" t="s">
        <v>549</v>
      </c>
      <c r="E183" s="6" t="s">
        <v>171</v>
      </c>
      <c r="F183" s="6" t="s">
        <v>634</v>
      </c>
      <c r="G183" s="6" t="s">
        <v>1993</v>
      </c>
      <c r="H183" s="6" t="s">
        <v>3089</v>
      </c>
      <c r="J183" s="1215" t="s">
        <v>509</v>
      </c>
      <c r="K183" s="1219" t="s">
        <v>3033</v>
      </c>
      <c r="L183" s="8">
        <v>2126</v>
      </c>
      <c r="M183" s="8">
        <v>9901</v>
      </c>
      <c r="N183" s="1169" t="s">
        <v>271</v>
      </c>
      <c r="P183" s="6" t="s">
        <v>3323</v>
      </c>
      <c r="Q183" s="1215" t="s">
        <v>253</v>
      </c>
      <c r="R183" s="1215" t="s">
        <v>255</v>
      </c>
      <c r="S183" s="1215" t="s">
        <v>534</v>
      </c>
      <c r="T183" s="1215" t="s">
        <v>533</v>
      </c>
      <c r="U183" s="6" t="s">
        <v>549</v>
      </c>
      <c r="V183" s="6" t="s">
        <v>31</v>
      </c>
      <c r="W183" s="6" t="s">
        <v>844</v>
      </c>
      <c r="X183" s="6" t="s">
        <v>166</v>
      </c>
    </row>
    <row r="184" spans="1:24" ht="15" customHeight="1" x14ac:dyDescent="0.3">
      <c r="A184" s="6" t="s">
        <v>533</v>
      </c>
      <c r="B184" s="6" t="s">
        <v>534</v>
      </c>
      <c r="C184" s="6" t="s">
        <v>31</v>
      </c>
      <c r="D184" s="1088" t="s">
        <v>549</v>
      </c>
      <c r="E184" s="6" t="s">
        <v>171</v>
      </c>
      <c r="F184" s="6" t="s">
        <v>634</v>
      </c>
      <c r="G184" s="6" t="s">
        <v>1993</v>
      </c>
      <c r="H184" s="6" t="s">
        <v>3089</v>
      </c>
      <c r="J184" s="1215" t="s">
        <v>509</v>
      </c>
      <c r="K184" s="1219" t="s">
        <v>3109</v>
      </c>
      <c r="L184" s="8">
        <v>3661</v>
      </c>
      <c r="M184" s="8">
        <v>6240</v>
      </c>
      <c r="N184" s="1169" t="s">
        <v>271</v>
      </c>
      <c r="P184" s="6" t="s">
        <v>3323</v>
      </c>
      <c r="Q184" s="1215" t="s">
        <v>253</v>
      </c>
      <c r="R184" s="1215" t="s">
        <v>255</v>
      </c>
      <c r="S184" s="1215" t="s">
        <v>534</v>
      </c>
      <c r="T184" s="1215" t="s">
        <v>533</v>
      </c>
      <c r="U184" s="6" t="s">
        <v>549</v>
      </c>
      <c r="V184" s="6" t="s">
        <v>31</v>
      </c>
      <c r="W184" s="6" t="s">
        <v>844</v>
      </c>
      <c r="X184" s="6" t="s">
        <v>166</v>
      </c>
    </row>
    <row r="185" spans="1:24" ht="15" customHeight="1" x14ac:dyDescent="0.3">
      <c r="A185" s="6" t="s">
        <v>533</v>
      </c>
      <c r="B185" s="6" t="s">
        <v>534</v>
      </c>
      <c r="C185" s="6" t="s">
        <v>31</v>
      </c>
      <c r="D185" s="1088" t="s">
        <v>549</v>
      </c>
      <c r="E185" s="6" t="s">
        <v>171</v>
      </c>
      <c r="F185" s="6" t="s">
        <v>634</v>
      </c>
      <c r="G185" s="6" t="s">
        <v>1993</v>
      </c>
      <c r="H185" s="6" t="s">
        <v>3089</v>
      </c>
      <c r="J185" s="1215" t="s">
        <v>509</v>
      </c>
      <c r="K185" s="1219" t="s">
        <v>3111</v>
      </c>
      <c r="L185" s="8">
        <v>82</v>
      </c>
      <c r="M185" s="8">
        <v>200</v>
      </c>
      <c r="N185" s="1169" t="s">
        <v>271</v>
      </c>
      <c r="P185" s="6" t="s">
        <v>3323</v>
      </c>
      <c r="Q185" s="1215" t="s">
        <v>253</v>
      </c>
      <c r="R185" s="1215" t="s">
        <v>255</v>
      </c>
      <c r="S185" s="1215" t="s">
        <v>534</v>
      </c>
      <c r="T185" s="1215" t="s">
        <v>533</v>
      </c>
      <c r="U185" s="6" t="s">
        <v>549</v>
      </c>
      <c r="V185" s="6" t="s">
        <v>31</v>
      </c>
      <c r="W185" s="6" t="s">
        <v>881</v>
      </c>
      <c r="X185" s="6" t="s">
        <v>165</v>
      </c>
    </row>
    <row r="186" spans="1:24" ht="15" customHeight="1" x14ac:dyDescent="0.3">
      <c r="A186" s="6" t="s">
        <v>533</v>
      </c>
      <c r="B186" s="6" t="s">
        <v>534</v>
      </c>
      <c r="C186" s="6" t="s">
        <v>31</v>
      </c>
      <c r="D186" s="1088" t="s">
        <v>549</v>
      </c>
      <c r="E186" s="6" t="s">
        <v>171</v>
      </c>
      <c r="F186" s="6" t="s">
        <v>634</v>
      </c>
      <c r="G186" s="6" t="s">
        <v>550</v>
      </c>
      <c r="H186" s="6" t="s">
        <v>3181</v>
      </c>
      <c r="I186" s="6" t="s">
        <v>3181</v>
      </c>
      <c r="J186" s="1215" t="s">
        <v>509</v>
      </c>
      <c r="K186" s="1219" t="s">
        <v>3112</v>
      </c>
      <c r="L186" s="8">
        <v>263</v>
      </c>
      <c r="M186" s="8">
        <v>401</v>
      </c>
      <c r="N186" s="1169" t="s">
        <v>271</v>
      </c>
      <c r="P186" s="6" t="s">
        <v>3323</v>
      </c>
      <c r="Q186" s="1215" t="s">
        <v>253</v>
      </c>
      <c r="R186" s="1215" t="s">
        <v>255</v>
      </c>
      <c r="S186" s="1215" t="s">
        <v>534</v>
      </c>
      <c r="T186" s="1215" t="s">
        <v>533</v>
      </c>
      <c r="U186" s="6" t="s">
        <v>549</v>
      </c>
      <c r="V186" s="6" t="s">
        <v>31</v>
      </c>
      <c r="X186" s="6" t="s">
        <v>2797</v>
      </c>
    </row>
    <row r="187" spans="1:24" ht="15" customHeight="1" x14ac:dyDescent="0.3">
      <c r="A187" s="6" t="s">
        <v>533</v>
      </c>
      <c r="B187" s="6" t="s">
        <v>534</v>
      </c>
      <c r="C187" s="6" t="s">
        <v>31</v>
      </c>
      <c r="D187" s="1088" t="s">
        <v>549</v>
      </c>
      <c r="E187" s="6" t="s">
        <v>171</v>
      </c>
      <c r="F187" s="6" t="s">
        <v>634</v>
      </c>
      <c r="G187" s="6" t="s">
        <v>1852</v>
      </c>
      <c r="H187" s="6" t="s">
        <v>1047</v>
      </c>
      <c r="J187" s="1215" t="s">
        <v>509</v>
      </c>
      <c r="K187" s="1219" t="s">
        <v>3033</v>
      </c>
      <c r="L187" s="8">
        <v>24</v>
      </c>
      <c r="M187" s="8">
        <v>182</v>
      </c>
      <c r="N187" s="1169" t="s">
        <v>271</v>
      </c>
      <c r="P187" s="6" t="s">
        <v>3324</v>
      </c>
      <c r="Q187" s="1215" t="s">
        <v>253</v>
      </c>
      <c r="R187" s="1215" t="s">
        <v>255</v>
      </c>
      <c r="S187" s="1215" t="s">
        <v>534</v>
      </c>
      <c r="T187" s="1215" t="s">
        <v>533</v>
      </c>
      <c r="U187" s="6" t="s">
        <v>549</v>
      </c>
      <c r="V187" s="6" t="s">
        <v>31</v>
      </c>
      <c r="W187" s="6" t="s">
        <v>634</v>
      </c>
      <c r="X187" s="6" t="s">
        <v>171</v>
      </c>
    </row>
    <row r="188" spans="1:24" ht="15" customHeight="1" x14ac:dyDescent="0.3">
      <c r="A188" s="6" t="s">
        <v>533</v>
      </c>
      <c r="B188" s="6" t="s">
        <v>534</v>
      </c>
      <c r="C188" s="6" t="s">
        <v>31</v>
      </c>
      <c r="D188" s="1088" t="s">
        <v>549</v>
      </c>
      <c r="E188" s="1170" t="s">
        <v>171</v>
      </c>
      <c r="F188" s="6" t="s">
        <v>634</v>
      </c>
      <c r="G188" s="6" t="s">
        <v>1852</v>
      </c>
      <c r="H188" s="6" t="s">
        <v>1047</v>
      </c>
      <c r="J188" s="1215" t="s">
        <v>509</v>
      </c>
      <c r="K188" s="1219" t="s">
        <v>3110</v>
      </c>
      <c r="L188" s="8">
        <v>0</v>
      </c>
      <c r="M188" s="8">
        <v>165</v>
      </c>
      <c r="N188" s="1169" t="s">
        <v>271</v>
      </c>
      <c r="P188" s="6" t="s">
        <v>3324</v>
      </c>
      <c r="Q188" s="1215" t="s">
        <v>253</v>
      </c>
      <c r="R188" s="1215" t="s">
        <v>255</v>
      </c>
      <c r="S188" s="1215" t="s">
        <v>534</v>
      </c>
      <c r="T188" s="1215" t="s">
        <v>533</v>
      </c>
      <c r="U188" s="6" t="s">
        <v>549</v>
      </c>
      <c r="V188" s="6" t="s">
        <v>31</v>
      </c>
      <c r="W188" s="6" t="s">
        <v>634</v>
      </c>
      <c r="X188" s="6" t="s">
        <v>171</v>
      </c>
    </row>
    <row r="189" spans="1:24" ht="15" customHeight="1" x14ac:dyDescent="0.3">
      <c r="A189" s="6" t="s">
        <v>533</v>
      </c>
      <c r="B189" s="6" t="s">
        <v>534</v>
      </c>
      <c r="C189" s="6" t="s">
        <v>31</v>
      </c>
      <c r="D189" s="1088" t="s">
        <v>549</v>
      </c>
      <c r="E189" s="6" t="s">
        <v>172</v>
      </c>
      <c r="F189" s="6" t="s">
        <v>706</v>
      </c>
      <c r="G189" s="6" t="s">
        <v>1868</v>
      </c>
      <c r="H189" s="6" t="s">
        <v>1031</v>
      </c>
      <c r="J189" s="1215" t="s">
        <v>509</v>
      </c>
      <c r="K189" s="1219" t="s">
        <v>3112</v>
      </c>
      <c r="L189" s="8">
        <v>1</v>
      </c>
      <c r="M189" s="8">
        <v>10</v>
      </c>
      <c r="N189" s="1169" t="s">
        <v>272</v>
      </c>
      <c r="P189" s="6" t="s">
        <v>3323</v>
      </c>
      <c r="Q189" s="1215" t="s">
        <v>253</v>
      </c>
      <c r="R189" s="1215" t="s">
        <v>255</v>
      </c>
      <c r="S189" s="1215" t="s">
        <v>534</v>
      </c>
      <c r="T189" s="1215" t="s">
        <v>533</v>
      </c>
      <c r="U189" s="6" t="s">
        <v>549</v>
      </c>
      <c r="V189" s="6" t="s">
        <v>31</v>
      </c>
      <c r="W189" s="1215" t="s">
        <v>634</v>
      </c>
      <c r="X189" s="1215" t="s">
        <v>171</v>
      </c>
    </row>
    <row r="190" spans="1:24" ht="15" customHeight="1" x14ac:dyDescent="0.3">
      <c r="A190" s="6" t="s">
        <v>533</v>
      </c>
      <c r="B190" s="6" t="s">
        <v>534</v>
      </c>
      <c r="C190" s="6" t="s">
        <v>31</v>
      </c>
      <c r="D190" s="1088" t="s">
        <v>549</v>
      </c>
      <c r="E190" s="6" t="s">
        <v>172</v>
      </c>
      <c r="F190" s="6" t="s">
        <v>706</v>
      </c>
      <c r="G190" s="6" t="s">
        <v>1868</v>
      </c>
      <c r="H190" s="6" t="s">
        <v>1031</v>
      </c>
      <c r="J190" s="1215" t="s">
        <v>509</v>
      </c>
      <c r="K190" s="1219" t="s">
        <v>3111</v>
      </c>
      <c r="L190" s="8">
        <v>13</v>
      </c>
      <c r="M190" s="8">
        <v>44</v>
      </c>
      <c r="N190" s="1169" t="s">
        <v>271</v>
      </c>
      <c r="P190" s="6" t="s">
        <v>3324</v>
      </c>
      <c r="Q190" s="1215" t="s">
        <v>253</v>
      </c>
      <c r="R190" s="1215" t="s">
        <v>255</v>
      </c>
      <c r="S190" s="1215" t="s">
        <v>534</v>
      </c>
      <c r="T190" s="1215" t="s">
        <v>533</v>
      </c>
      <c r="U190" s="6" t="s">
        <v>549</v>
      </c>
      <c r="V190" s="6" t="s">
        <v>31</v>
      </c>
      <c r="W190" s="6" t="s">
        <v>706</v>
      </c>
      <c r="X190" s="6" t="s">
        <v>172</v>
      </c>
    </row>
    <row r="191" spans="1:24" ht="15" customHeight="1" x14ac:dyDescent="0.3">
      <c r="A191" s="6" t="s">
        <v>533</v>
      </c>
      <c r="B191" s="6" t="s">
        <v>534</v>
      </c>
      <c r="C191" s="6" t="s">
        <v>31</v>
      </c>
      <c r="D191" s="1088" t="s">
        <v>549</v>
      </c>
      <c r="E191" s="1088" t="s">
        <v>172</v>
      </c>
      <c r="F191" s="6" t="s">
        <v>706</v>
      </c>
      <c r="G191" s="6" t="s">
        <v>2812</v>
      </c>
      <c r="H191" s="6" t="s">
        <v>1865</v>
      </c>
      <c r="J191" s="1215" t="s">
        <v>509</v>
      </c>
      <c r="K191" s="1219" t="s">
        <v>3112</v>
      </c>
      <c r="L191" s="8">
        <v>2</v>
      </c>
      <c r="M191" s="8">
        <v>15</v>
      </c>
      <c r="N191" s="1169" t="s">
        <v>272</v>
      </c>
      <c r="P191" s="6" t="s">
        <v>3323</v>
      </c>
      <c r="Q191" s="1215" t="s">
        <v>253</v>
      </c>
      <c r="R191" s="1215" t="s">
        <v>255</v>
      </c>
      <c r="S191" s="1215" t="s">
        <v>534</v>
      </c>
      <c r="T191" s="1215" t="s">
        <v>533</v>
      </c>
      <c r="U191" s="6" t="s">
        <v>549</v>
      </c>
      <c r="V191" s="6" t="s">
        <v>31</v>
      </c>
      <c r="W191" s="6" t="s">
        <v>673</v>
      </c>
      <c r="X191" s="6" t="s">
        <v>169</v>
      </c>
    </row>
    <row r="192" spans="1:24" ht="15" customHeight="1" x14ac:dyDescent="0.3">
      <c r="A192" s="6" t="s">
        <v>533</v>
      </c>
      <c r="B192" s="6" t="s">
        <v>534</v>
      </c>
      <c r="C192" s="6" t="s">
        <v>31</v>
      </c>
      <c r="D192" s="1088" t="s">
        <v>549</v>
      </c>
      <c r="E192" s="6" t="s">
        <v>172</v>
      </c>
      <c r="F192" s="6" t="s">
        <v>706</v>
      </c>
      <c r="G192" s="6" t="s">
        <v>2812</v>
      </c>
      <c r="H192" s="6" t="s">
        <v>1865</v>
      </c>
      <c r="J192" s="1215" t="s">
        <v>509</v>
      </c>
      <c r="K192" s="1219" t="s">
        <v>3110</v>
      </c>
      <c r="L192" s="8">
        <v>15</v>
      </c>
      <c r="M192" s="8">
        <v>60</v>
      </c>
      <c r="N192" s="1169" t="s">
        <v>274</v>
      </c>
      <c r="P192" s="6" t="s">
        <v>3323</v>
      </c>
      <c r="Q192" s="1215" t="s">
        <v>253</v>
      </c>
      <c r="R192" s="1215" t="s">
        <v>255</v>
      </c>
      <c r="S192" s="1215" t="s">
        <v>534</v>
      </c>
      <c r="T192" s="1215" t="s">
        <v>533</v>
      </c>
      <c r="U192" s="6" t="s">
        <v>549</v>
      </c>
      <c r="V192" s="6" t="s">
        <v>31</v>
      </c>
      <c r="W192" s="6" t="s">
        <v>673</v>
      </c>
      <c r="X192" s="6" t="s">
        <v>169</v>
      </c>
    </row>
    <row r="193" spans="1:24" ht="15" customHeight="1" x14ac:dyDescent="0.3">
      <c r="A193" s="6" t="s">
        <v>533</v>
      </c>
      <c r="B193" s="6" t="s">
        <v>534</v>
      </c>
      <c r="C193" s="6" t="s">
        <v>31</v>
      </c>
      <c r="D193" s="1088" t="s">
        <v>549</v>
      </c>
      <c r="E193" s="6" t="s">
        <v>172</v>
      </c>
      <c r="F193" s="6" t="s">
        <v>706</v>
      </c>
      <c r="G193" s="6" t="s">
        <v>2957</v>
      </c>
      <c r="H193" s="6" t="s">
        <v>1909</v>
      </c>
      <c r="J193" s="1215" t="s">
        <v>509</v>
      </c>
      <c r="K193" s="1219" t="s">
        <v>3110</v>
      </c>
      <c r="L193" s="8">
        <v>7</v>
      </c>
      <c r="M193" s="8">
        <v>57</v>
      </c>
      <c r="N193" s="1169" t="s">
        <v>274</v>
      </c>
      <c r="P193" s="6" t="s">
        <v>3323</v>
      </c>
      <c r="Q193" s="1215" t="s">
        <v>253</v>
      </c>
      <c r="R193" s="1215" t="s">
        <v>255</v>
      </c>
      <c r="S193" s="1215" t="s">
        <v>534</v>
      </c>
      <c r="T193" s="1215" t="s">
        <v>533</v>
      </c>
      <c r="U193" s="6" t="s">
        <v>549</v>
      </c>
      <c r="V193" s="6" t="s">
        <v>31</v>
      </c>
      <c r="W193" s="6" t="s">
        <v>673</v>
      </c>
      <c r="X193" s="6" t="s">
        <v>169</v>
      </c>
    </row>
    <row r="194" spans="1:24" ht="15" customHeight="1" x14ac:dyDescent="0.3">
      <c r="A194" s="6" t="s">
        <v>533</v>
      </c>
      <c r="B194" s="6" t="s">
        <v>534</v>
      </c>
      <c r="C194" s="6" t="s">
        <v>31</v>
      </c>
      <c r="D194" s="1088" t="s">
        <v>549</v>
      </c>
      <c r="E194" s="6" t="s">
        <v>172</v>
      </c>
      <c r="F194" s="6" t="s">
        <v>706</v>
      </c>
      <c r="G194" s="6" t="s">
        <v>2957</v>
      </c>
      <c r="H194" s="6" t="s">
        <v>1909</v>
      </c>
      <c r="J194" s="1215" t="s">
        <v>509</v>
      </c>
      <c r="K194" s="1219" t="s">
        <v>3112</v>
      </c>
      <c r="L194" s="8">
        <v>1</v>
      </c>
      <c r="M194" s="8">
        <v>7</v>
      </c>
      <c r="N194" s="1169" t="s">
        <v>272</v>
      </c>
      <c r="P194" s="6" t="s">
        <v>3323</v>
      </c>
      <c r="Q194" s="1215" t="s">
        <v>253</v>
      </c>
      <c r="R194" s="1215" t="s">
        <v>255</v>
      </c>
      <c r="S194" s="1215" t="s">
        <v>534</v>
      </c>
      <c r="T194" s="1215" t="s">
        <v>533</v>
      </c>
      <c r="U194" s="6" t="s">
        <v>549</v>
      </c>
      <c r="V194" s="6" t="s">
        <v>31</v>
      </c>
      <c r="W194" s="6" t="s">
        <v>673</v>
      </c>
      <c r="X194" s="6" t="s">
        <v>169</v>
      </c>
    </row>
    <row r="195" spans="1:24" ht="15" customHeight="1" x14ac:dyDescent="0.3">
      <c r="A195" s="6" t="s">
        <v>533</v>
      </c>
      <c r="B195" s="6" t="s">
        <v>534</v>
      </c>
      <c r="C195" s="6" t="s">
        <v>31</v>
      </c>
      <c r="D195" s="1088" t="s">
        <v>549</v>
      </c>
      <c r="E195" s="1088" t="s">
        <v>172</v>
      </c>
      <c r="F195" s="6" t="s">
        <v>706</v>
      </c>
      <c r="G195" s="6" t="s">
        <v>2943</v>
      </c>
      <c r="H195" s="6" t="s">
        <v>1176</v>
      </c>
      <c r="J195" s="1215" t="s">
        <v>509</v>
      </c>
      <c r="K195" s="1219" t="s">
        <v>3033</v>
      </c>
      <c r="L195" s="8">
        <v>17</v>
      </c>
      <c r="M195" s="8">
        <v>189</v>
      </c>
      <c r="N195" s="1169" t="s">
        <v>271</v>
      </c>
      <c r="P195" s="6" t="s">
        <v>3324</v>
      </c>
      <c r="Q195" s="1215" t="s">
        <v>253</v>
      </c>
      <c r="R195" s="1215" t="s">
        <v>255</v>
      </c>
      <c r="S195" s="1215" t="s">
        <v>534</v>
      </c>
      <c r="T195" s="1215" t="s">
        <v>533</v>
      </c>
      <c r="U195" s="6" t="s">
        <v>549</v>
      </c>
      <c r="V195" s="6" t="s">
        <v>31</v>
      </c>
      <c r="W195" s="6" t="s">
        <v>706</v>
      </c>
      <c r="X195" s="6" t="s">
        <v>172</v>
      </c>
    </row>
    <row r="196" spans="1:24" ht="15" customHeight="1" x14ac:dyDescent="0.3">
      <c r="A196" s="6" t="s">
        <v>533</v>
      </c>
      <c r="B196" s="6" t="s">
        <v>534</v>
      </c>
      <c r="C196" s="6" t="s">
        <v>31</v>
      </c>
      <c r="D196" s="1088" t="s">
        <v>549</v>
      </c>
      <c r="E196" s="1088" t="s">
        <v>172</v>
      </c>
      <c r="F196" s="6" t="s">
        <v>706</v>
      </c>
      <c r="G196" s="6" t="s">
        <v>2943</v>
      </c>
      <c r="H196" s="6" t="s">
        <v>1176</v>
      </c>
      <c r="J196" s="1215" t="s">
        <v>509</v>
      </c>
      <c r="K196" s="1219" t="s">
        <v>3112</v>
      </c>
      <c r="L196" s="8">
        <v>0</v>
      </c>
      <c r="M196" s="8">
        <v>4</v>
      </c>
      <c r="N196" s="1169" t="s">
        <v>271</v>
      </c>
      <c r="P196" s="6" t="s">
        <v>3324</v>
      </c>
      <c r="Q196" s="1215" t="s">
        <v>253</v>
      </c>
      <c r="R196" s="1215" t="s">
        <v>255</v>
      </c>
      <c r="S196" s="1215" t="s">
        <v>534</v>
      </c>
      <c r="T196" s="1215" t="s">
        <v>533</v>
      </c>
      <c r="U196" s="6" t="s">
        <v>549</v>
      </c>
      <c r="V196" s="6" t="s">
        <v>31</v>
      </c>
      <c r="W196" s="6" t="s">
        <v>706</v>
      </c>
      <c r="X196" s="6" t="s">
        <v>172</v>
      </c>
    </row>
    <row r="197" spans="1:24" ht="15" customHeight="1" x14ac:dyDescent="0.3">
      <c r="A197" s="6" t="s">
        <v>533</v>
      </c>
      <c r="B197" s="6" t="s">
        <v>534</v>
      </c>
      <c r="C197" s="6" t="s">
        <v>31</v>
      </c>
      <c r="D197" s="1088" t="s">
        <v>549</v>
      </c>
      <c r="E197" s="1088" t="s">
        <v>164</v>
      </c>
      <c r="F197" s="6" t="s">
        <v>748</v>
      </c>
      <c r="G197" s="6" t="s">
        <v>794</v>
      </c>
      <c r="H197" s="6" t="s">
        <v>3281</v>
      </c>
      <c r="J197" s="1215" t="s">
        <v>509</v>
      </c>
      <c r="K197" s="1219" t="s">
        <v>3033</v>
      </c>
      <c r="L197" s="8">
        <v>25</v>
      </c>
      <c r="M197" s="8">
        <v>199</v>
      </c>
      <c r="N197" s="1169" t="s">
        <v>272</v>
      </c>
      <c r="P197" s="6" t="s">
        <v>3324</v>
      </c>
      <c r="Q197" s="1215" t="s">
        <v>253</v>
      </c>
      <c r="R197" s="1215" t="s">
        <v>255</v>
      </c>
      <c r="S197" s="1215" t="s">
        <v>534</v>
      </c>
      <c r="T197" s="1215" t="s">
        <v>533</v>
      </c>
      <c r="U197" s="6" t="s">
        <v>549</v>
      </c>
      <c r="V197" s="6" t="s">
        <v>31</v>
      </c>
      <c r="W197" s="6" t="s">
        <v>748</v>
      </c>
      <c r="X197" s="6" t="s">
        <v>164</v>
      </c>
    </row>
    <row r="198" spans="1:24" ht="15" customHeight="1" x14ac:dyDescent="0.3">
      <c r="A198" s="6" t="s">
        <v>533</v>
      </c>
      <c r="B198" s="6" t="s">
        <v>534</v>
      </c>
      <c r="C198" s="6" t="s">
        <v>31</v>
      </c>
      <c r="D198" s="1088" t="s">
        <v>549</v>
      </c>
      <c r="E198" s="1088" t="s">
        <v>164</v>
      </c>
      <c r="F198" s="6" t="s">
        <v>748</v>
      </c>
      <c r="G198" s="6" t="s">
        <v>794</v>
      </c>
      <c r="H198" s="6" t="s">
        <v>3281</v>
      </c>
      <c r="J198" s="1215" t="s">
        <v>509</v>
      </c>
      <c r="K198" s="1219" t="s">
        <v>3112</v>
      </c>
      <c r="L198" s="8">
        <v>3</v>
      </c>
      <c r="M198" s="8">
        <v>21</v>
      </c>
      <c r="N198" s="1088" t="s">
        <v>272</v>
      </c>
      <c r="P198" s="6" t="s">
        <v>3324</v>
      </c>
      <c r="Q198" s="1215" t="s">
        <v>253</v>
      </c>
      <c r="R198" s="1215" t="s">
        <v>255</v>
      </c>
      <c r="S198" s="1215" t="s">
        <v>534</v>
      </c>
      <c r="T198" s="1215" t="s">
        <v>533</v>
      </c>
      <c r="U198" s="6" t="s">
        <v>549</v>
      </c>
      <c r="V198" s="6" t="s">
        <v>31</v>
      </c>
      <c r="W198" s="6" t="s">
        <v>748</v>
      </c>
      <c r="X198" s="6" t="s">
        <v>164</v>
      </c>
    </row>
    <row r="199" spans="1:24" ht="15" customHeight="1" x14ac:dyDescent="0.3">
      <c r="A199" s="6" t="s">
        <v>533</v>
      </c>
      <c r="B199" s="6" t="s">
        <v>534</v>
      </c>
      <c r="C199" s="6" t="s">
        <v>31</v>
      </c>
      <c r="D199" s="1088" t="s">
        <v>549</v>
      </c>
      <c r="E199" s="1088" t="s">
        <v>164</v>
      </c>
      <c r="F199" s="6" t="s">
        <v>748</v>
      </c>
      <c r="G199" s="6" t="s">
        <v>1883</v>
      </c>
      <c r="H199" s="6" t="s">
        <v>1884</v>
      </c>
      <c r="J199" s="1215" t="s">
        <v>509</v>
      </c>
      <c r="K199" s="1219" t="s">
        <v>3033</v>
      </c>
      <c r="L199" s="8">
        <v>23</v>
      </c>
      <c r="M199" s="8">
        <v>103</v>
      </c>
      <c r="N199" s="1169" t="s">
        <v>271</v>
      </c>
      <c r="P199" s="6" t="s">
        <v>3323</v>
      </c>
      <c r="Q199" s="1215" t="s">
        <v>253</v>
      </c>
      <c r="R199" s="1215" t="s">
        <v>255</v>
      </c>
      <c r="S199" s="1215" t="s">
        <v>534</v>
      </c>
      <c r="T199" s="1215" t="s">
        <v>533</v>
      </c>
      <c r="U199" s="6" t="s">
        <v>549</v>
      </c>
      <c r="V199" s="6" t="s">
        <v>31</v>
      </c>
      <c r="W199" s="6" t="s">
        <v>844</v>
      </c>
      <c r="X199" s="6" t="s">
        <v>166</v>
      </c>
    </row>
    <row r="200" spans="1:24" ht="15" customHeight="1" x14ac:dyDescent="0.3">
      <c r="A200" s="6" t="s">
        <v>533</v>
      </c>
      <c r="B200" s="6" t="s">
        <v>534</v>
      </c>
      <c r="C200" s="6" t="s">
        <v>31</v>
      </c>
      <c r="D200" s="1088" t="s">
        <v>549</v>
      </c>
      <c r="E200" s="1088" t="s">
        <v>164</v>
      </c>
      <c r="F200" s="6" t="s">
        <v>748</v>
      </c>
      <c r="G200" s="6" t="s">
        <v>1883</v>
      </c>
      <c r="H200" s="6" t="s">
        <v>1884</v>
      </c>
      <c r="J200" s="1215" t="s">
        <v>509</v>
      </c>
      <c r="K200" s="1219" t="s">
        <v>3109</v>
      </c>
      <c r="L200" s="8">
        <v>2</v>
      </c>
      <c r="M200" s="8">
        <v>14</v>
      </c>
      <c r="N200" s="1169" t="s">
        <v>271</v>
      </c>
      <c r="P200" s="6" t="s">
        <v>3323</v>
      </c>
      <c r="Q200" s="1215" t="s">
        <v>253</v>
      </c>
      <c r="R200" s="1215" t="s">
        <v>255</v>
      </c>
      <c r="S200" s="1215" t="s">
        <v>534</v>
      </c>
      <c r="T200" s="1215" t="s">
        <v>533</v>
      </c>
      <c r="U200" s="6" t="s">
        <v>549</v>
      </c>
      <c r="V200" s="6" t="s">
        <v>31</v>
      </c>
      <c r="W200" s="6" t="s">
        <v>844</v>
      </c>
      <c r="X200" s="6" t="s">
        <v>166</v>
      </c>
    </row>
    <row r="201" spans="1:24" ht="15" customHeight="1" x14ac:dyDescent="0.3">
      <c r="A201" s="6" t="s">
        <v>533</v>
      </c>
      <c r="B201" s="6" t="s">
        <v>534</v>
      </c>
      <c r="C201" s="6" t="s">
        <v>31</v>
      </c>
      <c r="D201" s="1088" t="s">
        <v>549</v>
      </c>
      <c r="E201" s="6" t="s">
        <v>169</v>
      </c>
      <c r="F201" s="6" t="s">
        <v>673</v>
      </c>
      <c r="G201" s="6" t="s">
        <v>3016</v>
      </c>
      <c r="H201" s="6" t="s">
        <v>1634</v>
      </c>
      <c r="J201" s="1215" t="s">
        <v>509</v>
      </c>
      <c r="K201" s="1219" t="s">
        <v>3111</v>
      </c>
      <c r="L201" s="8">
        <v>11</v>
      </c>
      <c r="M201" s="8">
        <v>42</v>
      </c>
      <c r="N201" s="1169" t="s">
        <v>274</v>
      </c>
      <c r="P201" s="6" t="s">
        <v>3324</v>
      </c>
      <c r="Q201" s="1215" t="s">
        <v>253</v>
      </c>
      <c r="R201" s="1215" t="s">
        <v>255</v>
      </c>
      <c r="S201" s="1215" t="s">
        <v>534</v>
      </c>
      <c r="T201" s="1215" t="s">
        <v>533</v>
      </c>
      <c r="U201" s="6" t="s">
        <v>549</v>
      </c>
      <c r="V201" s="6" t="s">
        <v>31</v>
      </c>
      <c r="W201" s="6" t="s">
        <v>673</v>
      </c>
      <c r="X201" s="6" t="s">
        <v>169</v>
      </c>
    </row>
    <row r="202" spans="1:24" ht="15" customHeight="1" x14ac:dyDescent="0.3">
      <c r="A202" s="6" t="s">
        <v>533</v>
      </c>
      <c r="B202" s="6" t="s">
        <v>534</v>
      </c>
      <c r="C202" s="6" t="s">
        <v>31</v>
      </c>
      <c r="D202" s="1088" t="s">
        <v>549</v>
      </c>
      <c r="E202" s="6" t="s">
        <v>169</v>
      </c>
      <c r="F202" s="6" t="s">
        <v>673</v>
      </c>
      <c r="G202" s="6" t="s">
        <v>2875</v>
      </c>
      <c r="H202" s="6" t="s">
        <v>888</v>
      </c>
      <c r="J202" s="1215" t="s">
        <v>509</v>
      </c>
      <c r="K202" s="1219" t="s">
        <v>3110</v>
      </c>
      <c r="L202" s="8">
        <v>5</v>
      </c>
      <c r="M202" s="8">
        <v>18</v>
      </c>
      <c r="N202" s="1169" t="s">
        <v>271</v>
      </c>
      <c r="P202" s="6" t="s">
        <v>3324</v>
      </c>
      <c r="Q202" s="1215" t="s">
        <v>253</v>
      </c>
      <c r="R202" s="1215" t="s">
        <v>255</v>
      </c>
      <c r="S202" s="1215" t="s">
        <v>534</v>
      </c>
      <c r="T202" s="1215" t="s">
        <v>533</v>
      </c>
      <c r="U202" s="6" t="s">
        <v>549</v>
      </c>
      <c r="V202" s="6" t="s">
        <v>31</v>
      </c>
      <c r="W202" s="6" t="s">
        <v>673</v>
      </c>
      <c r="X202" s="6" t="s">
        <v>169</v>
      </c>
    </row>
    <row r="203" spans="1:24" ht="15" customHeight="1" x14ac:dyDescent="0.3">
      <c r="A203" s="6" t="s">
        <v>533</v>
      </c>
      <c r="B203" s="6" t="s">
        <v>534</v>
      </c>
      <c r="C203" s="6" t="s">
        <v>31</v>
      </c>
      <c r="D203" s="1088" t="s">
        <v>549</v>
      </c>
      <c r="E203" s="6" t="s">
        <v>169</v>
      </c>
      <c r="F203" s="6" t="s">
        <v>673</v>
      </c>
      <c r="G203" s="6" t="s">
        <v>2875</v>
      </c>
      <c r="H203" s="6" t="s">
        <v>888</v>
      </c>
      <c r="J203" s="1215" t="s">
        <v>509</v>
      </c>
      <c r="K203" s="1219" t="s">
        <v>3111</v>
      </c>
      <c r="L203" s="8">
        <v>0</v>
      </c>
      <c r="M203" s="8">
        <v>2</v>
      </c>
      <c r="N203" s="1169" t="s">
        <v>271</v>
      </c>
      <c r="P203" s="6" t="s">
        <v>3324</v>
      </c>
      <c r="Q203" s="1215" t="s">
        <v>253</v>
      </c>
      <c r="R203" s="1215" t="s">
        <v>255</v>
      </c>
      <c r="S203" s="1215" t="s">
        <v>534</v>
      </c>
      <c r="T203" s="1215" t="s">
        <v>533</v>
      </c>
      <c r="U203" s="6" t="s">
        <v>549</v>
      </c>
      <c r="V203" s="6" t="s">
        <v>31</v>
      </c>
      <c r="W203" s="6" t="s">
        <v>673</v>
      </c>
      <c r="X203" s="6" t="s">
        <v>169</v>
      </c>
    </row>
    <row r="204" spans="1:24" ht="15" customHeight="1" x14ac:dyDescent="0.3">
      <c r="A204" s="6" t="s">
        <v>533</v>
      </c>
      <c r="B204" s="6" t="s">
        <v>534</v>
      </c>
      <c r="C204" s="6" t="s">
        <v>31</v>
      </c>
      <c r="D204" s="1088" t="s">
        <v>549</v>
      </c>
      <c r="E204" s="1088" t="s">
        <v>169</v>
      </c>
      <c r="F204" s="6" t="s">
        <v>673</v>
      </c>
      <c r="G204" s="6" t="s">
        <v>2875</v>
      </c>
      <c r="H204" s="6" t="s">
        <v>888</v>
      </c>
      <c r="J204" s="1215" t="s">
        <v>509</v>
      </c>
      <c r="K204" s="1219" t="s">
        <v>3112</v>
      </c>
      <c r="L204" s="8">
        <v>0</v>
      </c>
      <c r="M204" s="8">
        <v>1</v>
      </c>
      <c r="N204" s="1169" t="s">
        <v>271</v>
      </c>
      <c r="P204" s="6" t="s">
        <v>3324</v>
      </c>
      <c r="Q204" s="1215" t="s">
        <v>253</v>
      </c>
      <c r="R204" s="1215" t="s">
        <v>255</v>
      </c>
      <c r="S204" s="1215" t="s">
        <v>534</v>
      </c>
      <c r="T204" s="1215" t="s">
        <v>533</v>
      </c>
      <c r="U204" s="6" t="s">
        <v>549</v>
      </c>
      <c r="V204" s="6" t="s">
        <v>31</v>
      </c>
      <c r="W204" s="6" t="s">
        <v>673</v>
      </c>
      <c r="X204" s="6" t="s">
        <v>169</v>
      </c>
    </row>
    <row r="205" spans="1:24" ht="15" customHeight="1" x14ac:dyDescent="0.3">
      <c r="A205" s="6" t="s">
        <v>533</v>
      </c>
      <c r="B205" s="6" t="s">
        <v>534</v>
      </c>
      <c r="C205" s="6" t="s">
        <v>35</v>
      </c>
      <c r="D205" s="6" t="s">
        <v>567</v>
      </c>
      <c r="E205" s="1088" t="s">
        <v>192</v>
      </c>
      <c r="F205" s="6" t="s">
        <v>853</v>
      </c>
      <c r="G205" s="6" t="s">
        <v>2920</v>
      </c>
      <c r="H205" s="6" t="s">
        <v>1534</v>
      </c>
      <c r="J205" s="1215" t="s">
        <v>509</v>
      </c>
      <c r="K205" s="1219" t="s">
        <v>3033</v>
      </c>
      <c r="L205" s="8">
        <v>133</v>
      </c>
      <c r="M205" s="8">
        <v>1045</v>
      </c>
      <c r="N205" s="1169" t="s">
        <v>271</v>
      </c>
      <c r="P205" s="6" t="s">
        <v>3323</v>
      </c>
      <c r="Q205" s="1215" t="s">
        <v>253</v>
      </c>
      <c r="R205" s="1215" t="s">
        <v>255</v>
      </c>
      <c r="S205" s="1215" t="s">
        <v>534</v>
      </c>
      <c r="T205" s="1215" t="s">
        <v>533</v>
      </c>
      <c r="U205" s="6" t="s">
        <v>567</v>
      </c>
      <c r="V205" s="6" t="s">
        <v>35</v>
      </c>
      <c r="W205" s="6" t="s">
        <v>863</v>
      </c>
      <c r="X205" s="6" t="s">
        <v>193</v>
      </c>
    </row>
    <row r="206" spans="1:24" ht="15" customHeight="1" x14ac:dyDescent="0.3">
      <c r="A206" s="6" t="s">
        <v>533</v>
      </c>
      <c r="B206" s="6" t="s">
        <v>534</v>
      </c>
      <c r="C206" s="6" t="s">
        <v>35</v>
      </c>
      <c r="D206" s="1088" t="s">
        <v>567</v>
      </c>
      <c r="E206" s="1088" t="s">
        <v>192</v>
      </c>
      <c r="F206" s="6" t="s">
        <v>853</v>
      </c>
      <c r="G206" s="6" t="s">
        <v>2920</v>
      </c>
      <c r="H206" s="6" t="s">
        <v>1534</v>
      </c>
      <c r="J206" s="1215" t="s">
        <v>509</v>
      </c>
      <c r="K206" s="1219" t="s">
        <v>3111</v>
      </c>
      <c r="L206" s="8">
        <v>217</v>
      </c>
      <c r="M206" s="8">
        <v>1133</v>
      </c>
      <c r="N206" s="1169" t="s">
        <v>271</v>
      </c>
      <c r="P206" s="6" t="s">
        <v>3323</v>
      </c>
      <c r="Q206" s="1215" t="s">
        <v>253</v>
      </c>
      <c r="R206" s="1215" t="s">
        <v>255</v>
      </c>
      <c r="S206" s="1215" t="s">
        <v>534</v>
      </c>
      <c r="T206" s="1215" t="s">
        <v>533</v>
      </c>
      <c r="U206" s="6" t="s">
        <v>567</v>
      </c>
      <c r="V206" s="6" t="s">
        <v>35</v>
      </c>
      <c r="W206" s="6" t="s">
        <v>863</v>
      </c>
      <c r="X206" s="6" t="s">
        <v>193</v>
      </c>
    </row>
    <row r="207" spans="1:24" ht="15" customHeight="1" x14ac:dyDescent="0.3">
      <c r="A207" s="6" t="s">
        <v>533</v>
      </c>
      <c r="B207" s="6" t="s">
        <v>534</v>
      </c>
      <c r="C207" s="6" t="s">
        <v>35</v>
      </c>
      <c r="D207" s="6" t="s">
        <v>567</v>
      </c>
      <c r="E207" s="1088" t="s">
        <v>192</v>
      </c>
      <c r="F207" s="6" t="s">
        <v>853</v>
      </c>
      <c r="G207" s="6" t="s">
        <v>2920</v>
      </c>
      <c r="H207" s="6" t="s">
        <v>1534</v>
      </c>
      <c r="J207" s="1215" t="s">
        <v>509</v>
      </c>
      <c r="K207" s="1219" t="s">
        <v>3112</v>
      </c>
      <c r="L207" s="8">
        <v>23</v>
      </c>
      <c r="M207" s="8">
        <v>172</v>
      </c>
      <c r="N207" s="1169" t="s">
        <v>271</v>
      </c>
      <c r="P207" s="6" t="s">
        <v>3323</v>
      </c>
      <c r="Q207" s="1215" t="s">
        <v>253</v>
      </c>
      <c r="R207" s="1215" t="s">
        <v>255</v>
      </c>
      <c r="S207" s="1215" t="s">
        <v>534</v>
      </c>
      <c r="T207" s="1215" t="s">
        <v>533</v>
      </c>
      <c r="U207" s="6" t="s">
        <v>567</v>
      </c>
      <c r="V207" s="6" t="s">
        <v>35</v>
      </c>
      <c r="W207" s="6" t="s">
        <v>863</v>
      </c>
      <c r="X207" s="6" t="s">
        <v>193</v>
      </c>
    </row>
    <row r="208" spans="1:24" ht="15" customHeight="1" x14ac:dyDescent="0.3">
      <c r="A208" s="6" t="s">
        <v>533</v>
      </c>
      <c r="B208" s="6" t="s">
        <v>534</v>
      </c>
      <c r="C208" s="6" t="s">
        <v>34</v>
      </c>
      <c r="D208" s="1088" t="s">
        <v>539</v>
      </c>
      <c r="E208" s="1088" t="s">
        <v>188</v>
      </c>
      <c r="F208" s="6" t="s">
        <v>546</v>
      </c>
      <c r="G208" s="6" t="s">
        <v>1235</v>
      </c>
      <c r="H208" s="6" t="s">
        <v>799</v>
      </c>
      <c r="J208" s="1215" t="s">
        <v>509</v>
      </c>
      <c r="K208" s="1219" t="s">
        <v>3112</v>
      </c>
      <c r="L208" s="8">
        <v>3</v>
      </c>
      <c r="M208" s="8">
        <v>17</v>
      </c>
      <c r="N208" s="1169" t="s">
        <v>271</v>
      </c>
      <c r="P208" s="6" t="s">
        <v>3324</v>
      </c>
      <c r="Q208" s="1215" t="s">
        <v>253</v>
      </c>
      <c r="R208" s="1215" t="s">
        <v>255</v>
      </c>
      <c r="S208" s="1215" t="s">
        <v>534</v>
      </c>
      <c r="T208" s="1215" t="s">
        <v>533</v>
      </c>
      <c r="U208" s="6" t="s">
        <v>539</v>
      </c>
      <c r="V208" s="6" t="s">
        <v>34</v>
      </c>
      <c r="W208" s="6" t="s">
        <v>546</v>
      </c>
      <c r="X208" s="6" t="s">
        <v>188</v>
      </c>
    </row>
    <row r="209" spans="1:24" ht="15" customHeight="1" x14ac:dyDescent="0.3">
      <c r="A209" s="6" t="s">
        <v>533</v>
      </c>
      <c r="B209" s="6" t="s">
        <v>534</v>
      </c>
      <c r="C209" s="6" t="s">
        <v>34</v>
      </c>
      <c r="D209" s="6" t="s">
        <v>539</v>
      </c>
      <c r="E209" s="6" t="s">
        <v>188</v>
      </c>
      <c r="F209" s="6" t="s">
        <v>546</v>
      </c>
      <c r="G209" s="6" t="s">
        <v>1235</v>
      </c>
      <c r="H209" s="6" t="s">
        <v>799</v>
      </c>
      <c r="J209" s="1215" t="s">
        <v>509</v>
      </c>
      <c r="K209" s="1219" t="s">
        <v>3033</v>
      </c>
      <c r="L209" s="8">
        <v>77</v>
      </c>
      <c r="M209" s="8">
        <v>309</v>
      </c>
      <c r="N209" s="6" t="s">
        <v>271</v>
      </c>
      <c r="O209" s="1088"/>
      <c r="P209" s="6" t="s">
        <v>3324</v>
      </c>
      <c r="Q209" s="1215" t="s">
        <v>253</v>
      </c>
      <c r="R209" s="1215" t="s">
        <v>255</v>
      </c>
      <c r="S209" s="1215" t="s">
        <v>534</v>
      </c>
      <c r="T209" s="1215" t="s">
        <v>533</v>
      </c>
      <c r="U209" s="6" t="s">
        <v>539</v>
      </c>
      <c r="V209" s="6" t="s">
        <v>34</v>
      </c>
      <c r="W209" s="6" t="s">
        <v>546</v>
      </c>
      <c r="X209" s="6" t="s">
        <v>188</v>
      </c>
    </row>
    <row r="210" spans="1:24" ht="15" customHeight="1" x14ac:dyDescent="0.3">
      <c r="A210" s="6" t="s">
        <v>533</v>
      </c>
      <c r="B210" s="6" t="s">
        <v>534</v>
      </c>
      <c r="C210" s="6" t="s">
        <v>34</v>
      </c>
      <c r="D210" s="1088" t="s">
        <v>539</v>
      </c>
      <c r="E210" s="1088" t="s">
        <v>188</v>
      </c>
      <c r="F210" s="6" t="s">
        <v>546</v>
      </c>
      <c r="G210" s="6" t="s">
        <v>1235</v>
      </c>
      <c r="H210" s="6" t="s">
        <v>799</v>
      </c>
      <c r="J210" s="1215" t="s">
        <v>509</v>
      </c>
      <c r="K210" s="1219" t="s">
        <v>3109</v>
      </c>
      <c r="L210" s="8">
        <v>12</v>
      </c>
      <c r="M210" s="8">
        <v>36</v>
      </c>
      <c r="N210" s="1169" t="s">
        <v>271</v>
      </c>
      <c r="P210" s="6" t="s">
        <v>3324</v>
      </c>
      <c r="Q210" s="1215" t="s">
        <v>253</v>
      </c>
      <c r="R210" s="1215" t="s">
        <v>255</v>
      </c>
      <c r="S210" s="1215" t="s">
        <v>534</v>
      </c>
      <c r="T210" s="1215" t="s">
        <v>533</v>
      </c>
      <c r="U210" s="6" t="s">
        <v>539</v>
      </c>
      <c r="V210" s="6" t="s">
        <v>34</v>
      </c>
      <c r="W210" s="6" t="s">
        <v>546</v>
      </c>
      <c r="X210" s="6" t="s">
        <v>188</v>
      </c>
    </row>
    <row r="211" spans="1:24" ht="15" customHeight="1" x14ac:dyDescent="0.3">
      <c r="A211" s="6" t="s">
        <v>533</v>
      </c>
      <c r="B211" s="6" t="s">
        <v>534</v>
      </c>
      <c r="C211" s="6" t="s">
        <v>34</v>
      </c>
      <c r="D211" s="1088" t="s">
        <v>539</v>
      </c>
      <c r="E211" s="6" t="s">
        <v>188</v>
      </c>
      <c r="F211" s="6" t="s">
        <v>546</v>
      </c>
      <c r="G211" s="6" t="s">
        <v>1235</v>
      </c>
      <c r="H211" s="6" t="s">
        <v>799</v>
      </c>
      <c r="J211" s="1215" t="s">
        <v>509</v>
      </c>
      <c r="K211" s="1219" t="s">
        <v>3110</v>
      </c>
      <c r="L211" s="8">
        <v>4</v>
      </c>
      <c r="M211" s="8">
        <v>88</v>
      </c>
      <c r="N211" s="1169" t="s">
        <v>271</v>
      </c>
      <c r="P211" s="6" t="s">
        <v>3324</v>
      </c>
      <c r="Q211" s="1215" t="s">
        <v>253</v>
      </c>
      <c r="R211" s="1215" t="s">
        <v>255</v>
      </c>
      <c r="S211" s="1215" t="s">
        <v>534</v>
      </c>
      <c r="T211" s="1215" t="s">
        <v>533</v>
      </c>
      <c r="U211" s="6" t="s">
        <v>539</v>
      </c>
      <c r="V211" s="6" t="s">
        <v>34</v>
      </c>
      <c r="W211" s="6" t="s">
        <v>546</v>
      </c>
      <c r="X211" s="6" t="s">
        <v>188</v>
      </c>
    </row>
    <row r="212" spans="1:24" ht="15" customHeight="1" x14ac:dyDescent="0.3">
      <c r="A212" s="6" t="s">
        <v>533</v>
      </c>
      <c r="B212" s="6" t="s">
        <v>534</v>
      </c>
      <c r="C212" s="6" t="s">
        <v>34</v>
      </c>
      <c r="D212" s="1088" t="s">
        <v>539</v>
      </c>
      <c r="E212" s="6" t="s">
        <v>188</v>
      </c>
      <c r="F212" s="6" t="s">
        <v>546</v>
      </c>
      <c r="G212" s="6" t="s">
        <v>1235</v>
      </c>
      <c r="H212" s="6" t="s">
        <v>799</v>
      </c>
      <c r="J212" s="1215" t="s">
        <v>509</v>
      </c>
      <c r="K212" s="1219" t="s">
        <v>3111</v>
      </c>
      <c r="L212" s="8">
        <v>6</v>
      </c>
      <c r="M212" s="8">
        <v>76</v>
      </c>
      <c r="N212" s="1169" t="s">
        <v>271</v>
      </c>
      <c r="P212" s="6" t="s">
        <v>3324</v>
      </c>
      <c r="Q212" s="1215" t="s">
        <v>253</v>
      </c>
      <c r="R212" s="1215" t="s">
        <v>255</v>
      </c>
      <c r="S212" s="1215" t="s">
        <v>534</v>
      </c>
      <c r="T212" s="1215" t="s">
        <v>533</v>
      </c>
      <c r="U212" s="6" t="s">
        <v>539</v>
      </c>
      <c r="V212" s="6" t="s">
        <v>34</v>
      </c>
      <c r="W212" s="6" t="s">
        <v>546</v>
      </c>
      <c r="X212" s="6" t="s">
        <v>188</v>
      </c>
    </row>
    <row r="213" spans="1:24" ht="15" customHeight="1" x14ac:dyDescent="0.3">
      <c r="A213" s="6" t="s">
        <v>533</v>
      </c>
      <c r="B213" s="6" t="s">
        <v>534</v>
      </c>
      <c r="C213" s="6" t="s">
        <v>34</v>
      </c>
      <c r="D213" s="1088" t="s">
        <v>539</v>
      </c>
      <c r="E213" s="6" t="s">
        <v>188</v>
      </c>
      <c r="F213" s="6" t="s">
        <v>546</v>
      </c>
      <c r="G213" s="6" t="s">
        <v>610</v>
      </c>
      <c r="H213" s="6" t="s">
        <v>1676</v>
      </c>
      <c r="J213" s="1215" t="s">
        <v>509</v>
      </c>
      <c r="K213" s="1219" t="s">
        <v>3033</v>
      </c>
      <c r="L213" s="8">
        <v>47</v>
      </c>
      <c r="M213" s="8">
        <v>294</v>
      </c>
      <c r="N213" s="1169" t="s">
        <v>271</v>
      </c>
      <c r="P213" s="6" t="s">
        <v>3324</v>
      </c>
      <c r="Q213" s="1215" t="s">
        <v>253</v>
      </c>
      <c r="R213" s="1215" t="s">
        <v>255</v>
      </c>
      <c r="S213" s="1215" t="s">
        <v>534</v>
      </c>
      <c r="T213" s="1215" t="s">
        <v>533</v>
      </c>
      <c r="U213" s="6" t="s">
        <v>539</v>
      </c>
      <c r="V213" s="6" t="s">
        <v>34</v>
      </c>
      <c r="W213" s="6" t="s">
        <v>546</v>
      </c>
      <c r="X213" s="6" t="s">
        <v>188</v>
      </c>
    </row>
    <row r="214" spans="1:24" ht="15" customHeight="1" x14ac:dyDescent="0.3">
      <c r="A214" s="6" t="s">
        <v>533</v>
      </c>
      <c r="B214" s="6" t="s">
        <v>534</v>
      </c>
      <c r="C214" s="6" t="s">
        <v>34</v>
      </c>
      <c r="D214" s="1088" t="s">
        <v>539</v>
      </c>
      <c r="E214" s="6" t="s">
        <v>188</v>
      </c>
      <c r="F214" s="6" t="s">
        <v>546</v>
      </c>
      <c r="G214" s="6" t="s">
        <v>610</v>
      </c>
      <c r="H214" s="6" t="s">
        <v>1676</v>
      </c>
      <c r="J214" s="1215" t="s">
        <v>509</v>
      </c>
      <c r="K214" s="1219" t="s">
        <v>3109</v>
      </c>
      <c r="L214" s="8">
        <v>7</v>
      </c>
      <c r="M214" s="8">
        <v>56</v>
      </c>
      <c r="N214" s="1169" t="s">
        <v>271</v>
      </c>
      <c r="P214" s="6" t="s">
        <v>3324</v>
      </c>
      <c r="Q214" s="1215" t="s">
        <v>253</v>
      </c>
      <c r="R214" s="1215" t="s">
        <v>255</v>
      </c>
      <c r="S214" s="1215" t="s">
        <v>534</v>
      </c>
      <c r="T214" s="1215" t="s">
        <v>533</v>
      </c>
      <c r="U214" s="6" t="s">
        <v>539</v>
      </c>
      <c r="V214" s="6" t="s">
        <v>34</v>
      </c>
      <c r="W214" s="6" t="s">
        <v>546</v>
      </c>
      <c r="X214" s="6" t="s">
        <v>188</v>
      </c>
    </row>
    <row r="215" spans="1:24" ht="15" customHeight="1" x14ac:dyDescent="0.3">
      <c r="A215" s="6" t="s">
        <v>533</v>
      </c>
      <c r="B215" s="6" t="s">
        <v>534</v>
      </c>
      <c r="C215" s="6" t="s">
        <v>34</v>
      </c>
      <c r="D215" s="6" t="s">
        <v>539</v>
      </c>
      <c r="E215" s="1088" t="s">
        <v>188</v>
      </c>
      <c r="F215" s="6" t="s">
        <v>546</v>
      </c>
      <c r="G215" s="6" t="s">
        <v>610</v>
      </c>
      <c r="H215" s="6" t="s">
        <v>1676</v>
      </c>
      <c r="J215" s="1215" t="s">
        <v>509</v>
      </c>
      <c r="K215" s="1219" t="s">
        <v>3110</v>
      </c>
      <c r="L215" s="8">
        <v>8</v>
      </c>
      <c r="M215" s="8">
        <v>52</v>
      </c>
      <c r="N215" s="1169" t="s">
        <v>271</v>
      </c>
      <c r="P215" s="6" t="s">
        <v>3324</v>
      </c>
      <c r="Q215" s="1215" t="s">
        <v>253</v>
      </c>
      <c r="R215" s="1215" t="s">
        <v>255</v>
      </c>
      <c r="S215" s="1215" t="s">
        <v>534</v>
      </c>
      <c r="T215" s="1215" t="s">
        <v>533</v>
      </c>
      <c r="U215" s="6" t="s">
        <v>539</v>
      </c>
      <c r="V215" s="6" t="s">
        <v>34</v>
      </c>
      <c r="W215" s="6" t="s">
        <v>546</v>
      </c>
      <c r="X215" s="6" t="s">
        <v>188</v>
      </c>
    </row>
    <row r="216" spans="1:24" ht="15" customHeight="1" x14ac:dyDescent="0.3">
      <c r="A216" s="6" t="s">
        <v>533</v>
      </c>
      <c r="B216" s="6" t="s">
        <v>534</v>
      </c>
      <c r="C216" s="6" t="s">
        <v>34</v>
      </c>
      <c r="D216" s="6" t="s">
        <v>539</v>
      </c>
      <c r="E216" s="1088" t="s">
        <v>188</v>
      </c>
      <c r="F216" s="6" t="s">
        <v>546</v>
      </c>
      <c r="G216" s="6" t="s">
        <v>610</v>
      </c>
      <c r="H216" s="6" t="s">
        <v>1676</v>
      </c>
      <c r="J216" s="1215" t="s">
        <v>509</v>
      </c>
      <c r="K216" s="1219" t="s">
        <v>3111</v>
      </c>
      <c r="L216" s="8">
        <v>0</v>
      </c>
      <c r="M216" s="8">
        <v>20</v>
      </c>
      <c r="N216" s="1169" t="s">
        <v>271</v>
      </c>
      <c r="P216" s="6" t="s">
        <v>3324</v>
      </c>
      <c r="Q216" s="1215" t="s">
        <v>253</v>
      </c>
      <c r="R216" s="1215" t="s">
        <v>255</v>
      </c>
      <c r="S216" s="1215" t="s">
        <v>534</v>
      </c>
      <c r="T216" s="1215" t="s">
        <v>533</v>
      </c>
      <c r="U216" s="6" t="s">
        <v>539</v>
      </c>
      <c r="V216" s="6" t="s">
        <v>34</v>
      </c>
      <c r="W216" s="6" t="s">
        <v>546</v>
      </c>
      <c r="X216" s="6" t="s">
        <v>188</v>
      </c>
    </row>
    <row r="217" spans="1:24" ht="15" customHeight="1" x14ac:dyDescent="0.3">
      <c r="A217" s="6" t="s">
        <v>533</v>
      </c>
      <c r="B217" s="6" t="s">
        <v>534</v>
      </c>
      <c r="C217" s="6" t="s">
        <v>34</v>
      </c>
      <c r="D217" s="1088" t="s">
        <v>539</v>
      </c>
      <c r="E217" s="6" t="s">
        <v>188</v>
      </c>
      <c r="F217" s="6" t="s">
        <v>546</v>
      </c>
      <c r="G217" s="6" t="s">
        <v>1185</v>
      </c>
      <c r="H217" s="6" t="s">
        <v>3283</v>
      </c>
      <c r="J217" s="1215" t="s">
        <v>509</v>
      </c>
      <c r="K217" s="1219" t="s">
        <v>3111</v>
      </c>
      <c r="L217" s="8">
        <v>5</v>
      </c>
      <c r="M217" s="8">
        <v>19</v>
      </c>
      <c r="N217" s="1169" t="s">
        <v>271</v>
      </c>
      <c r="P217" s="6" t="s">
        <v>3324</v>
      </c>
      <c r="Q217" s="1215" t="s">
        <v>253</v>
      </c>
      <c r="R217" s="1215" t="s">
        <v>255</v>
      </c>
      <c r="S217" s="1215" t="s">
        <v>534</v>
      </c>
      <c r="T217" s="1215" t="s">
        <v>533</v>
      </c>
      <c r="U217" s="6" t="s">
        <v>539</v>
      </c>
      <c r="V217" s="6" t="s">
        <v>34</v>
      </c>
      <c r="W217" s="6" t="s">
        <v>546</v>
      </c>
      <c r="X217" s="6" t="s">
        <v>188</v>
      </c>
    </row>
    <row r="218" spans="1:24" ht="15" customHeight="1" x14ac:dyDescent="0.3">
      <c r="A218" s="6" t="s">
        <v>533</v>
      </c>
      <c r="B218" s="6" t="s">
        <v>534</v>
      </c>
      <c r="C218" s="6" t="s">
        <v>34</v>
      </c>
      <c r="D218" s="1088" t="s">
        <v>539</v>
      </c>
      <c r="E218" s="6" t="s">
        <v>188</v>
      </c>
      <c r="F218" s="6" t="s">
        <v>546</v>
      </c>
      <c r="G218" s="6" t="s">
        <v>1185</v>
      </c>
      <c r="H218" s="6" t="s">
        <v>3283</v>
      </c>
      <c r="J218" s="1215" t="s">
        <v>509</v>
      </c>
      <c r="K218" s="1219" t="s">
        <v>3033</v>
      </c>
      <c r="L218" s="8">
        <v>105</v>
      </c>
      <c r="M218" s="8">
        <v>342</v>
      </c>
      <c r="N218" s="1169" t="s">
        <v>271</v>
      </c>
      <c r="P218" s="6" t="s">
        <v>3324</v>
      </c>
      <c r="Q218" s="1215" t="s">
        <v>253</v>
      </c>
      <c r="R218" s="1215" t="s">
        <v>255</v>
      </c>
      <c r="S218" s="1215" t="s">
        <v>534</v>
      </c>
      <c r="T218" s="1215" t="s">
        <v>533</v>
      </c>
      <c r="U218" s="6" t="s">
        <v>539</v>
      </c>
      <c r="V218" s="6" t="s">
        <v>34</v>
      </c>
      <c r="W218" s="6" t="s">
        <v>546</v>
      </c>
      <c r="X218" s="6" t="s">
        <v>188</v>
      </c>
    </row>
    <row r="219" spans="1:24" ht="15" customHeight="1" x14ac:dyDescent="0.3">
      <c r="A219" s="6" t="s">
        <v>533</v>
      </c>
      <c r="B219" s="6" t="s">
        <v>534</v>
      </c>
      <c r="C219" s="6" t="s">
        <v>34</v>
      </c>
      <c r="D219" s="1088" t="s">
        <v>539</v>
      </c>
      <c r="E219" s="1088" t="s">
        <v>188</v>
      </c>
      <c r="F219" s="6" t="s">
        <v>546</v>
      </c>
      <c r="G219" s="6" t="s">
        <v>1185</v>
      </c>
      <c r="H219" s="6" t="s">
        <v>3283</v>
      </c>
      <c r="J219" s="1215" t="s">
        <v>509</v>
      </c>
      <c r="K219" s="1219" t="s">
        <v>3109</v>
      </c>
      <c r="L219" s="8">
        <v>3</v>
      </c>
      <c r="M219" s="8">
        <v>37</v>
      </c>
      <c r="N219" s="1169" t="s">
        <v>271</v>
      </c>
      <c r="P219" s="6" t="s">
        <v>3324</v>
      </c>
      <c r="Q219" s="1215" t="s">
        <v>253</v>
      </c>
      <c r="R219" s="1215" t="s">
        <v>255</v>
      </c>
      <c r="S219" s="1215" t="s">
        <v>534</v>
      </c>
      <c r="T219" s="1215" t="s">
        <v>533</v>
      </c>
      <c r="U219" s="6" t="s">
        <v>539</v>
      </c>
      <c r="V219" s="6" t="s">
        <v>34</v>
      </c>
      <c r="W219" s="6" t="s">
        <v>546</v>
      </c>
      <c r="X219" s="6" t="s">
        <v>188</v>
      </c>
    </row>
    <row r="220" spans="1:24" ht="15" customHeight="1" x14ac:dyDescent="0.3">
      <c r="A220" s="6" t="s">
        <v>533</v>
      </c>
      <c r="B220" s="6" t="s">
        <v>534</v>
      </c>
      <c r="C220" s="6" t="s">
        <v>34</v>
      </c>
      <c r="D220" s="1088" t="s">
        <v>539</v>
      </c>
      <c r="E220" s="1088" t="s">
        <v>188</v>
      </c>
      <c r="F220" s="6" t="s">
        <v>546</v>
      </c>
      <c r="G220" s="6" t="s">
        <v>1185</v>
      </c>
      <c r="H220" s="6" t="s">
        <v>3283</v>
      </c>
      <c r="J220" s="1215" t="s">
        <v>509</v>
      </c>
      <c r="K220" s="1219" t="s">
        <v>3110</v>
      </c>
      <c r="L220" s="8">
        <v>9</v>
      </c>
      <c r="M220" s="8">
        <v>84</v>
      </c>
      <c r="N220" s="1169" t="s">
        <v>271</v>
      </c>
      <c r="P220" s="6" t="s">
        <v>3324</v>
      </c>
      <c r="Q220" s="1215" t="s">
        <v>253</v>
      </c>
      <c r="R220" s="1215" t="s">
        <v>255</v>
      </c>
      <c r="S220" s="1215" t="s">
        <v>534</v>
      </c>
      <c r="T220" s="1215" t="s">
        <v>533</v>
      </c>
      <c r="U220" s="6" t="s">
        <v>539</v>
      </c>
      <c r="V220" s="6" t="s">
        <v>34</v>
      </c>
      <c r="W220" s="6" t="s">
        <v>546</v>
      </c>
      <c r="X220" s="6" t="s">
        <v>188</v>
      </c>
    </row>
    <row r="221" spans="1:24" ht="15" customHeight="1" x14ac:dyDescent="0.3">
      <c r="A221" s="6" t="s">
        <v>533</v>
      </c>
      <c r="B221" s="6" t="s">
        <v>534</v>
      </c>
      <c r="C221" s="6" t="s">
        <v>34</v>
      </c>
      <c r="D221" s="1088" t="s">
        <v>539</v>
      </c>
      <c r="E221" s="1088" t="s">
        <v>188</v>
      </c>
      <c r="F221" s="6" t="s">
        <v>546</v>
      </c>
      <c r="G221" s="6" t="s">
        <v>1185</v>
      </c>
      <c r="H221" s="6" t="s">
        <v>3283</v>
      </c>
      <c r="J221" s="1215" t="s">
        <v>509</v>
      </c>
      <c r="K221" s="1219" t="s">
        <v>3112</v>
      </c>
      <c r="L221" s="8">
        <v>3</v>
      </c>
      <c r="M221" s="8">
        <v>29</v>
      </c>
      <c r="N221" s="1169" t="s">
        <v>271</v>
      </c>
      <c r="P221" s="6" t="s">
        <v>3324</v>
      </c>
      <c r="Q221" s="1215" t="s">
        <v>253</v>
      </c>
      <c r="R221" s="1215" t="s">
        <v>255</v>
      </c>
      <c r="S221" s="1215" t="s">
        <v>534</v>
      </c>
      <c r="T221" s="1215" t="s">
        <v>533</v>
      </c>
      <c r="U221" s="6" t="s">
        <v>539</v>
      </c>
      <c r="V221" s="6" t="s">
        <v>34</v>
      </c>
      <c r="W221" s="6" t="s">
        <v>546</v>
      </c>
      <c r="X221" s="6" t="s">
        <v>188</v>
      </c>
    </row>
    <row r="222" spans="1:24" ht="15" customHeight="1" x14ac:dyDescent="0.3">
      <c r="A222" s="6" t="s">
        <v>533</v>
      </c>
      <c r="B222" s="6" t="s">
        <v>534</v>
      </c>
      <c r="C222" s="6" t="s">
        <v>31</v>
      </c>
      <c r="D222" s="1088" t="s">
        <v>549</v>
      </c>
      <c r="E222" s="1088" t="s">
        <v>171</v>
      </c>
      <c r="F222" s="6" t="s">
        <v>634</v>
      </c>
      <c r="G222" s="6" t="s">
        <v>1339</v>
      </c>
      <c r="H222" s="6" t="s">
        <v>848</v>
      </c>
      <c r="J222" s="1215" t="s">
        <v>509</v>
      </c>
      <c r="K222" s="1219" t="s">
        <v>3112</v>
      </c>
      <c r="L222" s="8">
        <v>17</v>
      </c>
      <c r="M222" s="8">
        <v>50</v>
      </c>
      <c r="N222" s="1169" t="s">
        <v>271</v>
      </c>
      <c r="P222" s="6" t="s">
        <v>3323</v>
      </c>
      <c r="Q222" s="1215" t="s">
        <v>253</v>
      </c>
      <c r="R222" s="1215" t="s">
        <v>255</v>
      </c>
      <c r="S222" s="1215" t="s">
        <v>534</v>
      </c>
      <c r="T222" s="1215" t="s">
        <v>533</v>
      </c>
      <c r="U222" s="6" t="s">
        <v>549</v>
      </c>
      <c r="V222" s="6" t="s">
        <v>31</v>
      </c>
      <c r="W222" s="6" t="s">
        <v>881</v>
      </c>
      <c r="X222" s="6" t="s">
        <v>165</v>
      </c>
    </row>
    <row r="223" spans="1:24" ht="15" customHeight="1" x14ac:dyDescent="0.3">
      <c r="A223" s="6" t="s">
        <v>533</v>
      </c>
      <c r="B223" s="6" t="s">
        <v>534</v>
      </c>
      <c r="C223" s="6" t="s">
        <v>31</v>
      </c>
      <c r="D223" s="1088" t="s">
        <v>549</v>
      </c>
      <c r="E223" s="1088" t="s">
        <v>171</v>
      </c>
      <c r="F223" s="6" t="s">
        <v>634</v>
      </c>
      <c r="G223" s="6" t="s">
        <v>1339</v>
      </c>
      <c r="H223" s="6" t="s">
        <v>848</v>
      </c>
      <c r="J223" s="1215" t="s">
        <v>509</v>
      </c>
      <c r="K223" s="1219" t="s">
        <v>3111</v>
      </c>
      <c r="L223" s="8">
        <v>10</v>
      </c>
      <c r="M223" s="8">
        <v>73</v>
      </c>
      <c r="N223" s="1169" t="s">
        <v>271</v>
      </c>
      <c r="P223" s="6" t="s">
        <v>3323</v>
      </c>
      <c r="Q223" s="1215" t="s">
        <v>253</v>
      </c>
      <c r="R223" s="1215" t="s">
        <v>255</v>
      </c>
      <c r="S223" s="1215" t="s">
        <v>534</v>
      </c>
      <c r="T223" s="1215" t="s">
        <v>533</v>
      </c>
      <c r="U223" s="6" t="s">
        <v>549</v>
      </c>
      <c r="V223" s="6" t="s">
        <v>31</v>
      </c>
      <c r="W223" s="6" t="s">
        <v>881</v>
      </c>
      <c r="X223" s="6" t="s">
        <v>165</v>
      </c>
    </row>
    <row r="224" spans="1:24" ht="15" customHeight="1" x14ac:dyDescent="0.3">
      <c r="A224" s="6" t="s">
        <v>533</v>
      </c>
      <c r="B224" s="6" t="s">
        <v>534</v>
      </c>
      <c r="C224" s="6" t="s">
        <v>33</v>
      </c>
      <c r="D224" s="1088" t="s">
        <v>561</v>
      </c>
      <c r="E224" s="1088" t="s">
        <v>182</v>
      </c>
      <c r="F224" s="6" t="s">
        <v>647</v>
      </c>
      <c r="G224" s="6" t="s">
        <v>648</v>
      </c>
      <c r="H224" s="6" t="s">
        <v>649</v>
      </c>
      <c r="J224" s="1215" t="s">
        <v>509</v>
      </c>
      <c r="K224" s="1219" t="s">
        <v>3033</v>
      </c>
      <c r="L224" s="8">
        <v>1</v>
      </c>
      <c r="M224" s="8">
        <v>4</v>
      </c>
      <c r="N224" s="1169" t="s">
        <v>271</v>
      </c>
      <c r="P224" s="6" t="s">
        <v>3322</v>
      </c>
      <c r="Q224" s="1215" t="s">
        <v>253</v>
      </c>
      <c r="R224" s="1215" t="s">
        <v>255</v>
      </c>
      <c r="S224" s="1215" t="s">
        <v>534</v>
      </c>
      <c r="T224" s="1215" t="s">
        <v>533</v>
      </c>
      <c r="U224" s="6" t="s">
        <v>539</v>
      </c>
      <c r="V224" s="6" t="s">
        <v>34</v>
      </c>
    </row>
    <row r="225" spans="1:24" ht="15" customHeight="1" x14ac:dyDescent="0.3">
      <c r="A225" s="6" t="s">
        <v>533</v>
      </c>
      <c r="B225" s="6" t="s">
        <v>534</v>
      </c>
      <c r="C225" s="6" t="s">
        <v>31</v>
      </c>
      <c r="D225" s="1088" t="s">
        <v>549</v>
      </c>
      <c r="E225" s="1088" t="s">
        <v>167</v>
      </c>
      <c r="F225" s="6" t="s">
        <v>1113</v>
      </c>
      <c r="G225" s="6" t="s">
        <v>2145</v>
      </c>
      <c r="H225" s="6" t="s">
        <v>2116</v>
      </c>
      <c r="J225" s="1215" t="s">
        <v>509</v>
      </c>
      <c r="K225" s="1219" t="s">
        <v>3033</v>
      </c>
      <c r="L225" s="8">
        <v>5</v>
      </c>
      <c r="M225" s="8">
        <v>17</v>
      </c>
      <c r="N225" s="1215" t="s">
        <v>271</v>
      </c>
      <c r="P225" s="6" t="s">
        <v>3323</v>
      </c>
      <c r="Q225" s="1215" t="s">
        <v>253</v>
      </c>
      <c r="R225" s="1215" t="s">
        <v>255</v>
      </c>
      <c r="S225" s="1215" t="s">
        <v>534</v>
      </c>
      <c r="T225" s="1215" t="s">
        <v>533</v>
      </c>
      <c r="U225" s="6" t="s">
        <v>549</v>
      </c>
      <c r="V225" s="6" t="s">
        <v>31</v>
      </c>
      <c r="W225" s="6" t="s">
        <v>844</v>
      </c>
      <c r="X225" s="6" t="s">
        <v>166</v>
      </c>
    </row>
    <row r="226" spans="1:24" ht="15" customHeight="1" x14ac:dyDescent="0.3">
      <c r="A226" s="6" t="s">
        <v>533</v>
      </c>
      <c r="B226" s="6" t="s">
        <v>534</v>
      </c>
      <c r="C226" s="6" t="s">
        <v>31</v>
      </c>
      <c r="D226" s="1088" t="s">
        <v>549</v>
      </c>
      <c r="E226" s="1088" t="s">
        <v>167</v>
      </c>
      <c r="F226" s="6" t="s">
        <v>1113</v>
      </c>
      <c r="G226" s="6" t="s">
        <v>2145</v>
      </c>
      <c r="H226" s="6" t="s">
        <v>2116</v>
      </c>
      <c r="J226" s="1215" t="s">
        <v>509</v>
      </c>
      <c r="K226" s="1219" t="s">
        <v>3112</v>
      </c>
      <c r="L226" s="8">
        <v>2</v>
      </c>
      <c r="M226" s="8">
        <v>12</v>
      </c>
      <c r="N226" s="1169" t="s">
        <v>272</v>
      </c>
      <c r="P226" s="6" t="s">
        <v>3324</v>
      </c>
      <c r="Q226" s="1215" t="s">
        <v>253</v>
      </c>
      <c r="R226" s="1215" t="s">
        <v>255</v>
      </c>
      <c r="S226" s="1215" t="s">
        <v>534</v>
      </c>
      <c r="T226" s="1215" t="s">
        <v>533</v>
      </c>
      <c r="U226" s="6" t="s">
        <v>549</v>
      </c>
      <c r="V226" s="6" t="s">
        <v>31</v>
      </c>
      <c r="W226" s="6" t="s">
        <v>1113</v>
      </c>
      <c r="X226" s="6" t="s">
        <v>167</v>
      </c>
    </row>
    <row r="227" spans="1:24" ht="15" customHeight="1" x14ac:dyDescent="0.3">
      <c r="A227" s="6" t="s">
        <v>533</v>
      </c>
      <c r="B227" s="6" t="s">
        <v>534</v>
      </c>
      <c r="C227" s="6" t="s">
        <v>30</v>
      </c>
      <c r="D227" s="1088" t="s">
        <v>535</v>
      </c>
      <c r="E227" s="1088" t="s">
        <v>160</v>
      </c>
      <c r="F227" s="6" t="s">
        <v>555</v>
      </c>
      <c r="G227" s="6" t="s">
        <v>2869</v>
      </c>
      <c r="H227" s="6" t="s">
        <v>700</v>
      </c>
      <c r="J227" s="1215" t="s">
        <v>509</v>
      </c>
      <c r="K227" s="1219" t="s">
        <v>3033</v>
      </c>
      <c r="L227" s="8">
        <v>12</v>
      </c>
      <c r="M227" s="8">
        <v>203</v>
      </c>
      <c r="N227" s="1169" t="s">
        <v>271</v>
      </c>
      <c r="P227" s="6" t="s">
        <v>3322</v>
      </c>
      <c r="Q227" s="1215" t="s">
        <v>253</v>
      </c>
      <c r="R227" s="1215" t="s">
        <v>255</v>
      </c>
      <c r="S227" s="1215" t="s">
        <v>534</v>
      </c>
      <c r="T227" s="1215" t="s">
        <v>533</v>
      </c>
      <c r="U227" s="6" t="s">
        <v>539</v>
      </c>
      <c r="V227" s="6" t="s">
        <v>34</v>
      </c>
      <c r="X227" s="1088"/>
    </row>
    <row r="228" spans="1:24" ht="15" customHeight="1" x14ac:dyDescent="0.3">
      <c r="A228" s="6" t="s">
        <v>533</v>
      </c>
      <c r="B228" s="6" t="s">
        <v>534</v>
      </c>
      <c r="C228" s="6" t="s">
        <v>31</v>
      </c>
      <c r="D228" s="1088" t="s">
        <v>549</v>
      </c>
      <c r="E228" s="1088" t="s">
        <v>2797</v>
      </c>
      <c r="F228" s="6" t="s">
        <v>767</v>
      </c>
      <c r="G228" s="6" t="s">
        <v>2896</v>
      </c>
      <c r="H228" s="6" t="s">
        <v>1230</v>
      </c>
      <c r="J228" s="1215" t="s">
        <v>509</v>
      </c>
      <c r="K228" s="1219" t="s">
        <v>3033</v>
      </c>
      <c r="L228" s="8">
        <v>31</v>
      </c>
      <c r="M228" s="8">
        <v>200</v>
      </c>
      <c r="N228" s="1169" t="s">
        <v>271</v>
      </c>
      <c r="P228" s="6" t="s">
        <v>3323</v>
      </c>
      <c r="Q228" s="1215" t="s">
        <v>253</v>
      </c>
      <c r="R228" s="1215" t="s">
        <v>255</v>
      </c>
      <c r="S228" s="1215" t="s">
        <v>534</v>
      </c>
      <c r="T228" s="1215" t="s">
        <v>533</v>
      </c>
      <c r="U228" s="6" t="s">
        <v>549</v>
      </c>
      <c r="V228" s="6" t="s">
        <v>31</v>
      </c>
      <c r="W228" s="6" t="s">
        <v>844</v>
      </c>
      <c r="X228" s="1088" t="s">
        <v>166</v>
      </c>
    </row>
    <row r="229" spans="1:24" ht="15" customHeight="1" x14ac:dyDescent="0.3">
      <c r="A229" s="6" t="s">
        <v>533</v>
      </c>
      <c r="B229" s="6" t="s">
        <v>534</v>
      </c>
      <c r="C229" s="6" t="s">
        <v>31</v>
      </c>
      <c r="D229" s="1088" t="s">
        <v>549</v>
      </c>
      <c r="E229" s="1088" t="s">
        <v>2797</v>
      </c>
      <c r="F229" s="6" t="s">
        <v>767</v>
      </c>
      <c r="G229" s="6" t="s">
        <v>2896</v>
      </c>
      <c r="H229" s="6" t="s">
        <v>1230</v>
      </c>
      <c r="J229" s="1215" t="s">
        <v>509</v>
      </c>
      <c r="K229" s="1219" t="s">
        <v>3110</v>
      </c>
      <c r="L229" s="8">
        <v>25</v>
      </c>
      <c r="M229" s="8">
        <v>175</v>
      </c>
      <c r="N229" s="1169" t="s">
        <v>271</v>
      </c>
      <c r="P229" s="6" t="s">
        <v>3324</v>
      </c>
      <c r="Q229" s="1215" t="s">
        <v>253</v>
      </c>
      <c r="R229" s="1215" t="s">
        <v>255</v>
      </c>
      <c r="S229" s="1215" t="s">
        <v>534</v>
      </c>
      <c r="T229" s="1215" t="s">
        <v>533</v>
      </c>
      <c r="U229" s="6" t="s">
        <v>549</v>
      </c>
      <c r="V229" s="6" t="s">
        <v>31</v>
      </c>
      <c r="W229" s="6" t="s">
        <v>767</v>
      </c>
      <c r="X229" s="6" t="s">
        <v>2797</v>
      </c>
    </row>
    <row r="230" spans="1:24" ht="15" customHeight="1" x14ac:dyDescent="0.3">
      <c r="A230" s="6" t="s">
        <v>533</v>
      </c>
      <c r="B230" s="6" t="s">
        <v>534</v>
      </c>
      <c r="C230" s="6" t="s">
        <v>31</v>
      </c>
      <c r="D230" s="1088" t="s">
        <v>549</v>
      </c>
      <c r="E230" s="6" t="s">
        <v>2797</v>
      </c>
      <c r="F230" s="6" t="s">
        <v>767</v>
      </c>
      <c r="G230" s="6" t="s">
        <v>2896</v>
      </c>
      <c r="H230" s="6" t="s">
        <v>1230</v>
      </c>
      <c r="J230" s="1215" t="s">
        <v>509</v>
      </c>
      <c r="K230" s="1219" t="s">
        <v>3111</v>
      </c>
      <c r="L230" s="8">
        <v>67</v>
      </c>
      <c r="M230" s="8">
        <v>469</v>
      </c>
      <c r="N230" s="1169" t="s">
        <v>271</v>
      </c>
      <c r="P230" s="6" t="s">
        <v>3324</v>
      </c>
      <c r="Q230" s="1215" t="s">
        <v>253</v>
      </c>
      <c r="R230" s="1215" t="s">
        <v>255</v>
      </c>
      <c r="S230" s="1215" t="s">
        <v>534</v>
      </c>
      <c r="T230" s="1215" t="s">
        <v>533</v>
      </c>
      <c r="U230" s="6" t="s">
        <v>549</v>
      </c>
      <c r="V230" s="6" t="s">
        <v>31</v>
      </c>
      <c r="W230" s="6" t="s">
        <v>767</v>
      </c>
      <c r="X230" s="6" t="s">
        <v>2797</v>
      </c>
    </row>
    <row r="231" spans="1:24" ht="15" customHeight="1" x14ac:dyDescent="0.3">
      <c r="A231" s="6" t="s">
        <v>533</v>
      </c>
      <c r="B231" s="6" t="s">
        <v>534</v>
      </c>
      <c r="C231" s="6" t="s">
        <v>31</v>
      </c>
      <c r="D231" s="1088" t="s">
        <v>549</v>
      </c>
      <c r="E231" s="1088" t="s">
        <v>2797</v>
      </c>
      <c r="F231" s="6" t="s">
        <v>767</v>
      </c>
      <c r="G231" s="6" t="s">
        <v>2896</v>
      </c>
      <c r="H231" s="6" t="s">
        <v>1230</v>
      </c>
      <c r="J231" s="1215" t="s">
        <v>509</v>
      </c>
      <c r="K231" s="1219" t="s">
        <v>3112</v>
      </c>
      <c r="L231" s="8">
        <v>700</v>
      </c>
      <c r="M231" s="8">
        <v>4200</v>
      </c>
      <c r="N231" s="1169" t="s">
        <v>271</v>
      </c>
      <c r="P231" s="6" t="s">
        <v>3324</v>
      </c>
      <c r="Q231" s="1215" t="s">
        <v>253</v>
      </c>
      <c r="R231" s="1215" t="s">
        <v>255</v>
      </c>
      <c r="S231" s="1215" t="s">
        <v>534</v>
      </c>
      <c r="T231" s="1215" t="s">
        <v>533</v>
      </c>
      <c r="U231" s="6" t="s">
        <v>549</v>
      </c>
      <c r="V231" s="6" t="s">
        <v>31</v>
      </c>
      <c r="W231" s="6" t="s">
        <v>767</v>
      </c>
      <c r="X231" s="6" t="s">
        <v>2797</v>
      </c>
    </row>
    <row r="232" spans="1:24" ht="15" customHeight="1" x14ac:dyDescent="0.3">
      <c r="A232" s="6" t="s">
        <v>533</v>
      </c>
      <c r="B232" s="6" t="s">
        <v>534</v>
      </c>
      <c r="C232" s="6" t="s">
        <v>31</v>
      </c>
      <c r="D232" s="1088" t="s">
        <v>549</v>
      </c>
      <c r="E232" s="1088" t="s">
        <v>167</v>
      </c>
      <c r="F232" s="6" t="s">
        <v>1113</v>
      </c>
      <c r="G232" s="6" t="s">
        <v>550</v>
      </c>
      <c r="H232" s="6" t="s">
        <v>3167</v>
      </c>
      <c r="I232" s="6" t="s">
        <v>3167</v>
      </c>
      <c r="J232" s="1215" t="s">
        <v>509</v>
      </c>
      <c r="K232" s="1219" t="s">
        <v>3112</v>
      </c>
      <c r="L232" s="8">
        <v>15</v>
      </c>
      <c r="M232" s="8">
        <v>172</v>
      </c>
      <c r="N232" s="1215" t="s">
        <v>273</v>
      </c>
      <c r="O232" s="1215" t="s">
        <v>3382</v>
      </c>
      <c r="P232" s="6" t="s">
        <v>3324</v>
      </c>
      <c r="Q232" s="1215" t="s">
        <v>253</v>
      </c>
      <c r="R232" s="1215" t="s">
        <v>255</v>
      </c>
      <c r="S232" s="1215" t="s">
        <v>534</v>
      </c>
      <c r="T232" s="1215" t="s">
        <v>533</v>
      </c>
      <c r="U232" s="6" t="s">
        <v>549</v>
      </c>
      <c r="V232" s="6" t="s">
        <v>31</v>
      </c>
      <c r="W232" s="6" t="s">
        <v>1113</v>
      </c>
      <c r="X232" s="6" t="s">
        <v>167</v>
      </c>
    </row>
    <row r="233" spans="1:24" ht="15" customHeight="1" x14ac:dyDescent="0.3">
      <c r="A233" s="6" t="s">
        <v>533</v>
      </c>
      <c r="B233" s="6" t="s">
        <v>534</v>
      </c>
      <c r="C233" s="6" t="s">
        <v>34</v>
      </c>
      <c r="D233" s="1088" t="s">
        <v>539</v>
      </c>
      <c r="E233" s="1088" t="s">
        <v>188</v>
      </c>
      <c r="F233" s="6" t="s">
        <v>546</v>
      </c>
      <c r="G233" s="6" t="s">
        <v>1495</v>
      </c>
      <c r="H233" s="6" t="s">
        <v>548</v>
      </c>
      <c r="J233" s="1215" t="s">
        <v>509</v>
      </c>
      <c r="K233" s="1219" t="s">
        <v>3033</v>
      </c>
      <c r="L233" s="8">
        <v>21</v>
      </c>
      <c r="M233" s="8">
        <v>144</v>
      </c>
      <c r="N233" s="1169" t="s">
        <v>271</v>
      </c>
      <c r="P233" s="6" t="s">
        <v>3324</v>
      </c>
      <c r="Q233" s="1215" t="s">
        <v>253</v>
      </c>
      <c r="R233" s="1215" t="s">
        <v>255</v>
      </c>
      <c r="S233" s="1215" t="s">
        <v>534</v>
      </c>
      <c r="T233" s="1215" t="s">
        <v>533</v>
      </c>
      <c r="U233" s="6" t="s">
        <v>539</v>
      </c>
      <c r="V233" s="6" t="s">
        <v>34</v>
      </c>
      <c r="W233" s="6" t="s">
        <v>546</v>
      </c>
      <c r="X233" s="6" t="s">
        <v>188</v>
      </c>
    </row>
    <row r="234" spans="1:24" ht="15" customHeight="1" x14ac:dyDescent="0.3">
      <c r="A234" s="6" t="s">
        <v>533</v>
      </c>
      <c r="B234" s="6" t="s">
        <v>534</v>
      </c>
      <c r="C234" s="6" t="s">
        <v>34</v>
      </c>
      <c r="D234" s="1088" t="s">
        <v>539</v>
      </c>
      <c r="E234" s="6" t="s">
        <v>188</v>
      </c>
      <c r="F234" s="6" t="s">
        <v>546</v>
      </c>
      <c r="G234" s="6" t="s">
        <v>1495</v>
      </c>
      <c r="H234" s="6" t="s">
        <v>548</v>
      </c>
      <c r="J234" s="1215" t="s">
        <v>509</v>
      </c>
      <c r="K234" s="1219" t="s">
        <v>3109</v>
      </c>
      <c r="L234" s="8">
        <v>1</v>
      </c>
      <c r="M234" s="8">
        <v>8</v>
      </c>
      <c r="N234" s="6" t="s">
        <v>271</v>
      </c>
      <c r="P234" s="6" t="s">
        <v>3324</v>
      </c>
      <c r="Q234" s="1215" t="s">
        <v>253</v>
      </c>
      <c r="R234" s="1215" t="s">
        <v>255</v>
      </c>
      <c r="S234" s="1215" t="s">
        <v>534</v>
      </c>
      <c r="T234" s="1215" t="s">
        <v>533</v>
      </c>
      <c r="U234" s="6" t="s">
        <v>539</v>
      </c>
      <c r="V234" s="6" t="s">
        <v>34</v>
      </c>
      <c r="W234" s="6" t="s">
        <v>546</v>
      </c>
      <c r="X234" s="6" t="s">
        <v>188</v>
      </c>
    </row>
    <row r="235" spans="1:24" ht="15" customHeight="1" x14ac:dyDescent="0.3">
      <c r="A235" s="6" t="s">
        <v>533</v>
      </c>
      <c r="B235" s="6" t="s">
        <v>534</v>
      </c>
      <c r="C235" s="6" t="s">
        <v>34</v>
      </c>
      <c r="D235" s="1088" t="s">
        <v>539</v>
      </c>
      <c r="E235" s="6" t="s">
        <v>188</v>
      </c>
      <c r="F235" s="6" t="s">
        <v>546</v>
      </c>
      <c r="G235" s="6" t="s">
        <v>1495</v>
      </c>
      <c r="H235" s="6" t="s">
        <v>548</v>
      </c>
      <c r="J235" s="1215" t="s">
        <v>509</v>
      </c>
      <c r="K235" s="1219" t="s">
        <v>3110</v>
      </c>
      <c r="L235" s="8">
        <v>0</v>
      </c>
      <c r="M235" s="8">
        <v>15</v>
      </c>
      <c r="N235" s="1169" t="s">
        <v>271</v>
      </c>
      <c r="P235" s="6" t="s">
        <v>3324</v>
      </c>
      <c r="Q235" s="1215" t="s">
        <v>253</v>
      </c>
      <c r="R235" s="1215" t="s">
        <v>255</v>
      </c>
      <c r="S235" s="1215" t="s">
        <v>534</v>
      </c>
      <c r="T235" s="1215" t="s">
        <v>533</v>
      </c>
      <c r="U235" s="6" t="s">
        <v>539</v>
      </c>
      <c r="V235" s="6" t="s">
        <v>34</v>
      </c>
      <c r="W235" s="6" t="s">
        <v>546</v>
      </c>
      <c r="X235" s="6" t="s">
        <v>188</v>
      </c>
    </row>
    <row r="236" spans="1:24" ht="15" customHeight="1" x14ac:dyDescent="0.3">
      <c r="A236" s="6" t="s">
        <v>533</v>
      </c>
      <c r="B236" s="6" t="s">
        <v>534</v>
      </c>
      <c r="C236" s="6" t="s">
        <v>34</v>
      </c>
      <c r="D236" s="1088" t="s">
        <v>539</v>
      </c>
      <c r="E236" s="6" t="s">
        <v>188</v>
      </c>
      <c r="F236" s="6" t="s">
        <v>546</v>
      </c>
      <c r="G236" s="6" t="s">
        <v>1495</v>
      </c>
      <c r="H236" s="6" t="s">
        <v>548</v>
      </c>
      <c r="J236" s="1215" t="s">
        <v>509</v>
      </c>
      <c r="K236" s="1219" t="s">
        <v>3111</v>
      </c>
      <c r="L236" s="8">
        <v>15</v>
      </c>
      <c r="M236" s="8">
        <v>113</v>
      </c>
      <c r="N236" s="1169" t="s">
        <v>271</v>
      </c>
      <c r="P236" s="6" t="s">
        <v>3324</v>
      </c>
      <c r="Q236" s="1215" t="s">
        <v>253</v>
      </c>
      <c r="R236" s="1215" t="s">
        <v>255</v>
      </c>
      <c r="S236" s="1215" t="s">
        <v>534</v>
      </c>
      <c r="T236" s="1215" t="s">
        <v>533</v>
      </c>
      <c r="U236" s="6" t="s">
        <v>539</v>
      </c>
      <c r="V236" s="6" t="s">
        <v>34</v>
      </c>
      <c r="W236" s="6" t="s">
        <v>546</v>
      </c>
      <c r="X236" s="6" t="s">
        <v>188</v>
      </c>
    </row>
    <row r="237" spans="1:24" ht="15" customHeight="1" x14ac:dyDescent="0.3">
      <c r="A237" s="6" t="s">
        <v>533</v>
      </c>
      <c r="B237" s="6" t="s">
        <v>534</v>
      </c>
      <c r="C237" s="6" t="s">
        <v>34</v>
      </c>
      <c r="D237" s="1088" t="s">
        <v>539</v>
      </c>
      <c r="E237" s="6" t="s">
        <v>188</v>
      </c>
      <c r="F237" s="6" t="s">
        <v>546</v>
      </c>
      <c r="G237" s="6" t="s">
        <v>1495</v>
      </c>
      <c r="H237" s="6" t="s">
        <v>548</v>
      </c>
      <c r="J237" s="1215" t="s">
        <v>509</v>
      </c>
      <c r="K237" s="1219" t="s">
        <v>3112</v>
      </c>
      <c r="L237" s="8">
        <v>2</v>
      </c>
      <c r="M237" s="8">
        <v>16</v>
      </c>
      <c r="N237" s="1169" t="s">
        <v>271</v>
      </c>
      <c r="P237" s="6" t="s">
        <v>3324</v>
      </c>
      <c r="Q237" s="1215" t="s">
        <v>253</v>
      </c>
      <c r="R237" s="1215" t="s">
        <v>255</v>
      </c>
      <c r="S237" s="1215" t="s">
        <v>534</v>
      </c>
      <c r="T237" s="1215" t="s">
        <v>533</v>
      </c>
      <c r="U237" s="6" t="s">
        <v>539</v>
      </c>
      <c r="V237" s="6" t="s">
        <v>34</v>
      </c>
      <c r="W237" s="6" t="s">
        <v>546</v>
      </c>
      <c r="X237" s="6" t="s">
        <v>188</v>
      </c>
    </row>
    <row r="238" spans="1:24" ht="15" customHeight="1" x14ac:dyDescent="0.3">
      <c r="A238" s="6" t="s">
        <v>533</v>
      </c>
      <c r="B238" s="6" t="s">
        <v>534</v>
      </c>
      <c r="C238" s="6" t="s">
        <v>34</v>
      </c>
      <c r="D238" s="6" t="s">
        <v>539</v>
      </c>
      <c r="E238" s="6" t="s">
        <v>188</v>
      </c>
      <c r="F238" s="6" t="s">
        <v>546</v>
      </c>
      <c r="G238" s="6" t="s">
        <v>1437</v>
      </c>
      <c r="H238" s="6" t="s">
        <v>554</v>
      </c>
      <c r="J238" s="1215" t="s">
        <v>509</v>
      </c>
      <c r="K238" s="1219" t="s">
        <v>3111</v>
      </c>
      <c r="L238" s="8">
        <v>7</v>
      </c>
      <c r="M238" s="8">
        <v>31</v>
      </c>
      <c r="N238" s="6" t="s">
        <v>271</v>
      </c>
      <c r="P238" s="1088" t="s">
        <v>3324</v>
      </c>
      <c r="Q238" s="1215" t="s">
        <v>253</v>
      </c>
      <c r="R238" s="1215" t="s">
        <v>255</v>
      </c>
      <c r="S238" s="1215" t="s">
        <v>534</v>
      </c>
      <c r="T238" s="1215" t="s">
        <v>533</v>
      </c>
      <c r="U238" s="6" t="s">
        <v>539</v>
      </c>
      <c r="V238" s="6" t="s">
        <v>34</v>
      </c>
      <c r="W238" s="6" t="s">
        <v>546</v>
      </c>
      <c r="X238" s="6" t="s">
        <v>188</v>
      </c>
    </row>
    <row r="239" spans="1:24" ht="15" customHeight="1" x14ac:dyDescent="0.3">
      <c r="A239" s="6" t="s">
        <v>533</v>
      </c>
      <c r="B239" s="6" t="s">
        <v>534</v>
      </c>
      <c r="C239" s="6" t="s">
        <v>34</v>
      </c>
      <c r="D239" s="1088" t="s">
        <v>539</v>
      </c>
      <c r="E239" s="6" t="s">
        <v>188</v>
      </c>
      <c r="F239" s="6" t="s">
        <v>546</v>
      </c>
      <c r="G239" s="6" t="s">
        <v>1437</v>
      </c>
      <c r="H239" s="6" t="s">
        <v>554</v>
      </c>
      <c r="J239" s="1215" t="s">
        <v>509</v>
      </c>
      <c r="K239" s="1219" t="s">
        <v>3112</v>
      </c>
      <c r="L239" s="8">
        <v>0</v>
      </c>
      <c r="M239" s="8">
        <v>10</v>
      </c>
      <c r="N239" s="1169" t="s">
        <v>271</v>
      </c>
      <c r="P239" s="6" t="s">
        <v>3324</v>
      </c>
      <c r="Q239" s="1215" t="s">
        <v>253</v>
      </c>
      <c r="R239" s="1215" t="s">
        <v>255</v>
      </c>
      <c r="S239" s="1215" t="s">
        <v>534</v>
      </c>
      <c r="T239" s="1215" t="s">
        <v>533</v>
      </c>
      <c r="U239" s="6" t="s">
        <v>539</v>
      </c>
      <c r="V239" s="6" t="s">
        <v>34</v>
      </c>
      <c r="W239" s="6" t="s">
        <v>546</v>
      </c>
      <c r="X239" s="6" t="s">
        <v>188</v>
      </c>
    </row>
    <row r="240" spans="1:24" ht="15" customHeight="1" x14ac:dyDescent="0.3">
      <c r="A240" s="6" t="s">
        <v>533</v>
      </c>
      <c r="B240" s="6" t="s">
        <v>534</v>
      </c>
      <c r="C240" s="6" t="s">
        <v>34</v>
      </c>
      <c r="D240" s="1088" t="s">
        <v>539</v>
      </c>
      <c r="E240" s="1088" t="s">
        <v>188</v>
      </c>
      <c r="F240" s="6" t="s">
        <v>546</v>
      </c>
      <c r="G240" s="6" t="s">
        <v>2664</v>
      </c>
      <c r="H240" s="6" t="s">
        <v>999</v>
      </c>
      <c r="J240" s="1215" t="s">
        <v>509</v>
      </c>
      <c r="K240" s="1219" t="s">
        <v>3109</v>
      </c>
      <c r="L240" s="8">
        <v>197</v>
      </c>
      <c r="M240" s="8">
        <v>1211</v>
      </c>
      <c r="N240" s="1169" t="s">
        <v>271</v>
      </c>
      <c r="P240" s="6" t="s">
        <v>3324</v>
      </c>
      <c r="Q240" s="1215" t="s">
        <v>253</v>
      </c>
      <c r="R240" s="1215" t="s">
        <v>255</v>
      </c>
      <c r="S240" s="1215" t="s">
        <v>534</v>
      </c>
      <c r="T240" s="1215" t="s">
        <v>533</v>
      </c>
      <c r="U240" s="6" t="s">
        <v>539</v>
      </c>
      <c r="V240" s="6" t="s">
        <v>34</v>
      </c>
      <c r="W240" s="6" t="s">
        <v>546</v>
      </c>
      <c r="X240" s="6" t="s">
        <v>188</v>
      </c>
    </row>
    <row r="241" spans="1:24" ht="15" customHeight="1" x14ac:dyDescent="0.3">
      <c r="A241" s="6" t="s">
        <v>533</v>
      </c>
      <c r="B241" s="6" t="s">
        <v>534</v>
      </c>
      <c r="C241" s="6" t="s">
        <v>34</v>
      </c>
      <c r="D241" s="1088" t="s">
        <v>539</v>
      </c>
      <c r="E241" s="6" t="s">
        <v>188</v>
      </c>
      <c r="F241" s="6" t="s">
        <v>546</v>
      </c>
      <c r="G241" s="6" t="s">
        <v>2664</v>
      </c>
      <c r="H241" s="6" t="s">
        <v>999</v>
      </c>
      <c r="J241" s="1215" t="s">
        <v>509</v>
      </c>
      <c r="K241" s="1219" t="s">
        <v>3110</v>
      </c>
      <c r="L241" s="8">
        <v>0</v>
      </c>
      <c r="M241" s="8">
        <v>47</v>
      </c>
      <c r="N241" s="1169" t="s">
        <v>271</v>
      </c>
      <c r="P241" s="6" t="s">
        <v>3324</v>
      </c>
      <c r="Q241" s="1215" t="s">
        <v>253</v>
      </c>
      <c r="R241" s="1215" t="s">
        <v>255</v>
      </c>
      <c r="S241" s="1215" t="s">
        <v>534</v>
      </c>
      <c r="T241" s="1215" t="s">
        <v>533</v>
      </c>
      <c r="U241" s="6" t="s">
        <v>539</v>
      </c>
      <c r="V241" s="6" t="s">
        <v>34</v>
      </c>
      <c r="W241" s="6" t="s">
        <v>546</v>
      </c>
      <c r="X241" s="6" t="s">
        <v>188</v>
      </c>
    </row>
    <row r="242" spans="1:24" ht="15" customHeight="1" x14ac:dyDescent="0.3">
      <c r="A242" s="6" t="s">
        <v>533</v>
      </c>
      <c r="B242" s="6" t="s">
        <v>534</v>
      </c>
      <c r="C242" s="6" t="s">
        <v>34</v>
      </c>
      <c r="D242" s="1088" t="s">
        <v>539</v>
      </c>
      <c r="E242" s="6" t="s">
        <v>188</v>
      </c>
      <c r="F242" s="6" t="s">
        <v>546</v>
      </c>
      <c r="G242" s="6" t="s">
        <v>2664</v>
      </c>
      <c r="H242" s="6" t="s">
        <v>999</v>
      </c>
      <c r="J242" s="1215" t="s">
        <v>509</v>
      </c>
      <c r="K242" s="1219" t="s">
        <v>3111</v>
      </c>
      <c r="L242" s="8">
        <v>0</v>
      </c>
      <c r="M242" s="8">
        <v>33</v>
      </c>
      <c r="N242" s="1169" t="s">
        <v>271</v>
      </c>
      <c r="P242" s="6" t="s">
        <v>3324</v>
      </c>
      <c r="Q242" s="1215" t="s">
        <v>253</v>
      </c>
      <c r="R242" s="1215" t="s">
        <v>255</v>
      </c>
      <c r="S242" s="1215" t="s">
        <v>534</v>
      </c>
      <c r="T242" s="1215" t="s">
        <v>533</v>
      </c>
      <c r="U242" s="6" t="s">
        <v>539</v>
      </c>
      <c r="V242" s="6" t="s">
        <v>34</v>
      </c>
      <c r="W242" s="6" t="s">
        <v>546</v>
      </c>
      <c r="X242" s="6" t="s">
        <v>188</v>
      </c>
    </row>
    <row r="243" spans="1:24" ht="15" customHeight="1" x14ac:dyDescent="0.3">
      <c r="A243" s="6" t="s">
        <v>533</v>
      </c>
      <c r="B243" s="6" t="s">
        <v>534</v>
      </c>
      <c r="C243" s="6" t="s">
        <v>34</v>
      </c>
      <c r="D243" s="1088" t="s">
        <v>539</v>
      </c>
      <c r="E243" s="6" t="s">
        <v>188</v>
      </c>
      <c r="F243" s="6" t="s">
        <v>546</v>
      </c>
      <c r="G243" s="6" t="s">
        <v>2664</v>
      </c>
      <c r="H243" s="6" t="s">
        <v>999</v>
      </c>
      <c r="J243" s="1215" t="s">
        <v>509</v>
      </c>
      <c r="K243" s="1219" t="s">
        <v>3112</v>
      </c>
      <c r="L243" s="8">
        <v>0</v>
      </c>
      <c r="M243" s="8">
        <v>15</v>
      </c>
      <c r="N243" s="1169" t="s">
        <v>271</v>
      </c>
      <c r="P243" s="6" t="s">
        <v>3324</v>
      </c>
      <c r="Q243" s="1215" t="s">
        <v>253</v>
      </c>
      <c r="R243" s="1215" t="s">
        <v>255</v>
      </c>
      <c r="S243" s="1215" t="s">
        <v>534</v>
      </c>
      <c r="T243" s="1215" t="s">
        <v>533</v>
      </c>
      <c r="U243" s="6" t="s">
        <v>539</v>
      </c>
      <c r="V243" s="6" t="s">
        <v>34</v>
      </c>
      <c r="W243" s="6" t="s">
        <v>546</v>
      </c>
      <c r="X243" s="6" t="s">
        <v>188</v>
      </c>
    </row>
    <row r="244" spans="1:24" ht="15" customHeight="1" x14ac:dyDescent="0.3">
      <c r="A244" s="6" t="s">
        <v>533</v>
      </c>
      <c r="B244" s="6" t="s">
        <v>534</v>
      </c>
      <c r="C244" s="6" t="s">
        <v>34</v>
      </c>
      <c r="D244" s="1088" t="s">
        <v>539</v>
      </c>
      <c r="E244" s="6" t="s">
        <v>188</v>
      </c>
      <c r="F244" s="6" t="s">
        <v>546</v>
      </c>
      <c r="G244" s="6" t="s">
        <v>2668</v>
      </c>
      <c r="H244" s="6" t="s">
        <v>669</v>
      </c>
      <c r="J244" s="1215" t="s">
        <v>509</v>
      </c>
      <c r="K244" s="1219" t="s">
        <v>3033</v>
      </c>
      <c r="L244" s="8">
        <v>15</v>
      </c>
      <c r="M244" s="8">
        <v>99</v>
      </c>
      <c r="N244" s="1169" t="s">
        <v>271</v>
      </c>
      <c r="P244" s="6" t="s">
        <v>3324</v>
      </c>
      <c r="Q244" s="1215" t="s">
        <v>253</v>
      </c>
      <c r="R244" s="1215" t="s">
        <v>255</v>
      </c>
      <c r="S244" s="1215" t="s">
        <v>534</v>
      </c>
      <c r="T244" s="1215" t="s">
        <v>533</v>
      </c>
      <c r="U244" s="6" t="s">
        <v>539</v>
      </c>
      <c r="V244" s="6" t="s">
        <v>34</v>
      </c>
      <c r="W244" s="6" t="s">
        <v>546</v>
      </c>
      <c r="X244" s="6" t="s">
        <v>188</v>
      </c>
    </row>
    <row r="245" spans="1:24" ht="15" customHeight="1" x14ac:dyDescent="0.3">
      <c r="A245" s="6" t="s">
        <v>533</v>
      </c>
      <c r="B245" s="6" t="s">
        <v>534</v>
      </c>
      <c r="C245" s="6" t="s">
        <v>34</v>
      </c>
      <c r="D245" s="1088" t="s">
        <v>539</v>
      </c>
      <c r="E245" s="6" t="s">
        <v>188</v>
      </c>
      <c r="F245" s="6" t="s">
        <v>546</v>
      </c>
      <c r="G245" s="6" t="s">
        <v>2668</v>
      </c>
      <c r="H245" s="6" t="s">
        <v>669</v>
      </c>
      <c r="J245" s="1215" t="s">
        <v>509</v>
      </c>
      <c r="K245" s="1219" t="s">
        <v>3111</v>
      </c>
      <c r="L245" s="8">
        <v>0</v>
      </c>
      <c r="M245" s="8">
        <v>15</v>
      </c>
      <c r="N245" s="1169" t="s">
        <v>271</v>
      </c>
      <c r="P245" s="6" t="s">
        <v>3324</v>
      </c>
      <c r="Q245" s="1215" t="s">
        <v>253</v>
      </c>
      <c r="R245" s="1215" t="s">
        <v>255</v>
      </c>
      <c r="S245" s="1215" t="s">
        <v>534</v>
      </c>
      <c r="T245" s="1215" t="s">
        <v>533</v>
      </c>
      <c r="U245" s="6" t="s">
        <v>539</v>
      </c>
      <c r="V245" s="6" t="s">
        <v>34</v>
      </c>
      <c r="W245" s="6" t="s">
        <v>546</v>
      </c>
      <c r="X245" s="6" t="s">
        <v>188</v>
      </c>
    </row>
    <row r="246" spans="1:24" ht="15" customHeight="1" x14ac:dyDescent="0.3">
      <c r="A246" s="6" t="s">
        <v>533</v>
      </c>
      <c r="B246" s="6" t="s">
        <v>534</v>
      </c>
      <c r="C246" s="6" t="s">
        <v>34</v>
      </c>
      <c r="D246" s="6" t="s">
        <v>539</v>
      </c>
      <c r="E246" s="6" t="s">
        <v>188</v>
      </c>
      <c r="F246" s="6" t="s">
        <v>546</v>
      </c>
      <c r="G246" s="6" t="s">
        <v>2668</v>
      </c>
      <c r="H246" s="6" t="s">
        <v>669</v>
      </c>
      <c r="J246" s="1215" t="s">
        <v>509</v>
      </c>
      <c r="K246" s="1219" t="s">
        <v>3112</v>
      </c>
      <c r="L246" s="8">
        <v>0</v>
      </c>
      <c r="M246" s="8">
        <v>3</v>
      </c>
      <c r="N246" s="1169" t="s">
        <v>271</v>
      </c>
      <c r="P246" s="6" t="s">
        <v>3324</v>
      </c>
      <c r="Q246" s="1215" t="s">
        <v>253</v>
      </c>
      <c r="R246" s="1215" t="s">
        <v>255</v>
      </c>
      <c r="S246" s="1215" t="s">
        <v>534</v>
      </c>
      <c r="T246" s="1215" t="s">
        <v>533</v>
      </c>
      <c r="U246" s="6" t="s">
        <v>539</v>
      </c>
      <c r="V246" s="6" t="s">
        <v>34</v>
      </c>
      <c r="W246" s="6" t="s">
        <v>546</v>
      </c>
      <c r="X246" s="6" t="s">
        <v>188</v>
      </c>
    </row>
    <row r="247" spans="1:24" ht="15" customHeight="1" x14ac:dyDescent="0.3">
      <c r="A247" s="6" t="s">
        <v>533</v>
      </c>
      <c r="B247" s="6" t="s">
        <v>534</v>
      </c>
      <c r="C247" s="6" t="s">
        <v>31</v>
      </c>
      <c r="D247" s="1088" t="s">
        <v>549</v>
      </c>
      <c r="E247" s="6" t="s">
        <v>2797</v>
      </c>
      <c r="F247" s="6" t="s">
        <v>767</v>
      </c>
      <c r="G247" s="6" t="s">
        <v>550</v>
      </c>
      <c r="H247" s="6" t="s">
        <v>3176</v>
      </c>
      <c r="I247" s="6" t="s">
        <v>3176</v>
      </c>
      <c r="J247" s="1215" t="s">
        <v>509</v>
      </c>
      <c r="K247" s="1219" t="s">
        <v>3112</v>
      </c>
      <c r="L247" s="8">
        <v>146</v>
      </c>
      <c r="M247" s="8">
        <v>1100</v>
      </c>
      <c r="N247" s="1169" t="s">
        <v>271</v>
      </c>
      <c r="P247" s="6" t="s">
        <v>3324</v>
      </c>
      <c r="Q247" s="1215" t="s">
        <v>253</v>
      </c>
      <c r="R247" s="1215" t="s">
        <v>255</v>
      </c>
      <c r="S247" s="1215" t="s">
        <v>534</v>
      </c>
      <c r="T247" s="1215" t="s">
        <v>533</v>
      </c>
      <c r="U247" s="6" t="s">
        <v>549</v>
      </c>
      <c r="V247" s="6" t="s">
        <v>31</v>
      </c>
      <c r="W247" s="6" t="s">
        <v>767</v>
      </c>
      <c r="X247" s="6" t="s">
        <v>2797</v>
      </c>
    </row>
    <row r="248" spans="1:24" ht="15" customHeight="1" x14ac:dyDescent="0.3">
      <c r="A248" s="6" t="s">
        <v>533</v>
      </c>
      <c r="B248" s="6" t="s">
        <v>534</v>
      </c>
      <c r="C248" s="6" t="s">
        <v>34</v>
      </c>
      <c r="D248" s="1088" t="s">
        <v>539</v>
      </c>
      <c r="E248" s="6" t="s">
        <v>188</v>
      </c>
      <c r="F248" s="6" t="s">
        <v>546</v>
      </c>
      <c r="G248" s="6" t="s">
        <v>780</v>
      </c>
      <c r="H248" s="6" t="s">
        <v>1380</v>
      </c>
      <c r="J248" s="1215" t="s">
        <v>509</v>
      </c>
      <c r="K248" s="1219" t="s">
        <v>3109</v>
      </c>
      <c r="L248" s="8">
        <v>76</v>
      </c>
      <c r="M248" s="8">
        <v>925</v>
      </c>
      <c r="N248" s="1169" t="s">
        <v>271</v>
      </c>
      <c r="P248" s="6" t="s">
        <v>3324</v>
      </c>
      <c r="Q248" s="1215" t="s">
        <v>253</v>
      </c>
      <c r="R248" s="1215" t="s">
        <v>255</v>
      </c>
      <c r="S248" s="1215" t="s">
        <v>534</v>
      </c>
      <c r="T248" s="1215" t="s">
        <v>533</v>
      </c>
      <c r="U248" s="6" t="s">
        <v>539</v>
      </c>
      <c r="V248" s="6" t="s">
        <v>34</v>
      </c>
      <c r="W248" s="6" t="s">
        <v>546</v>
      </c>
      <c r="X248" s="6" t="s">
        <v>188</v>
      </c>
    </row>
    <row r="249" spans="1:24" ht="15" customHeight="1" x14ac:dyDescent="0.3">
      <c r="A249" s="6" t="s">
        <v>533</v>
      </c>
      <c r="B249" s="6" t="s">
        <v>534</v>
      </c>
      <c r="C249" s="6" t="s">
        <v>34</v>
      </c>
      <c r="D249" s="1088" t="s">
        <v>539</v>
      </c>
      <c r="E249" s="6" t="s">
        <v>188</v>
      </c>
      <c r="F249" s="6" t="s">
        <v>546</v>
      </c>
      <c r="G249" s="6" t="s">
        <v>780</v>
      </c>
      <c r="H249" s="6" t="s">
        <v>1380</v>
      </c>
      <c r="J249" s="1215" t="s">
        <v>509</v>
      </c>
      <c r="K249" s="1219" t="s">
        <v>3110</v>
      </c>
      <c r="L249" s="8">
        <v>64</v>
      </c>
      <c r="M249" s="8">
        <v>483</v>
      </c>
      <c r="N249" s="1169" t="s">
        <v>271</v>
      </c>
      <c r="P249" s="6" t="s">
        <v>3324</v>
      </c>
      <c r="Q249" s="1215" t="s">
        <v>253</v>
      </c>
      <c r="R249" s="1215" t="s">
        <v>255</v>
      </c>
      <c r="S249" s="1215" t="s">
        <v>534</v>
      </c>
      <c r="T249" s="1215" t="s">
        <v>533</v>
      </c>
      <c r="U249" s="6" t="s">
        <v>539</v>
      </c>
      <c r="V249" s="6" t="s">
        <v>34</v>
      </c>
      <c r="W249" s="6" t="s">
        <v>546</v>
      </c>
      <c r="X249" s="6" t="s">
        <v>188</v>
      </c>
    </row>
    <row r="250" spans="1:24" ht="15" customHeight="1" x14ac:dyDescent="0.3">
      <c r="A250" s="6" t="s">
        <v>533</v>
      </c>
      <c r="B250" s="6" t="s">
        <v>534</v>
      </c>
      <c r="C250" s="6" t="s">
        <v>34</v>
      </c>
      <c r="D250" s="1088" t="s">
        <v>539</v>
      </c>
      <c r="E250" s="1088" t="s">
        <v>188</v>
      </c>
      <c r="F250" s="6" t="s">
        <v>546</v>
      </c>
      <c r="G250" s="6" t="s">
        <v>780</v>
      </c>
      <c r="H250" s="6" t="s">
        <v>1380</v>
      </c>
      <c r="J250" s="1215" t="s">
        <v>509</v>
      </c>
      <c r="K250" s="1219" t="s">
        <v>3111</v>
      </c>
      <c r="L250" s="8">
        <v>0</v>
      </c>
      <c r="M250" s="8">
        <v>19</v>
      </c>
      <c r="N250" s="1169" t="s">
        <v>271</v>
      </c>
      <c r="P250" s="6" t="s">
        <v>3324</v>
      </c>
      <c r="Q250" s="1215" t="s">
        <v>253</v>
      </c>
      <c r="R250" s="1215" t="s">
        <v>255</v>
      </c>
      <c r="S250" s="1215" t="s">
        <v>534</v>
      </c>
      <c r="T250" s="1215" t="s">
        <v>533</v>
      </c>
      <c r="U250" s="6" t="s">
        <v>539</v>
      </c>
      <c r="V250" s="6" t="s">
        <v>34</v>
      </c>
      <c r="W250" s="6" t="s">
        <v>546</v>
      </c>
      <c r="X250" s="6" t="s">
        <v>188</v>
      </c>
    </row>
    <row r="251" spans="1:24" ht="15" customHeight="1" x14ac:dyDescent="0.3">
      <c r="A251" s="6" t="s">
        <v>533</v>
      </c>
      <c r="B251" s="6" t="s">
        <v>534</v>
      </c>
      <c r="C251" s="6" t="s">
        <v>34</v>
      </c>
      <c r="D251" s="1088" t="s">
        <v>539</v>
      </c>
      <c r="E251" s="1088" t="s">
        <v>188</v>
      </c>
      <c r="F251" s="6" t="s">
        <v>546</v>
      </c>
      <c r="G251" s="6" t="s">
        <v>780</v>
      </c>
      <c r="H251" s="6" t="s">
        <v>1380</v>
      </c>
      <c r="J251" s="1215" t="s">
        <v>509</v>
      </c>
      <c r="K251" s="1219" t="s">
        <v>3112</v>
      </c>
      <c r="L251" s="8">
        <v>0</v>
      </c>
      <c r="M251" s="8">
        <v>20</v>
      </c>
      <c r="N251" s="1169" t="s">
        <v>271</v>
      </c>
      <c r="P251" s="6" t="s">
        <v>3324</v>
      </c>
      <c r="Q251" s="1215" t="s">
        <v>253</v>
      </c>
      <c r="R251" s="1215" t="s">
        <v>255</v>
      </c>
      <c r="S251" s="1215" t="s">
        <v>534</v>
      </c>
      <c r="T251" s="1215" t="s">
        <v>533</v>
      </c>
      <c r="U251" s="6" t="s">
        <v>539</v>
      </c>
      <c r="V251" s="6" t="s">
        <v>34</v>
      </c>
      <c r="W251" s="6" t="s">
        <v>546</v>
      </c>
      <c r="X251" s="6" t="s">
        <v>188</v>
      </c>
    </row>
    <row r="252" spans="1:24" ht="15" customHeight="1" x14ac:dyDescent="0.3">
      <c r="A252" s="6" t="s">
        <v>533</v>
      </c>
      <c r="B252" s="6" t="s">
        <v>534</v>
      </c>
      <c r="C252" s="6" t="s">
        <v>34</v>
      </c>
      <c r="D252" s="1088" t="s">
        <v>539</v>
      </c>
      <c r="E252" s="1088" t="s">
        <v>188</v>
      </c>
      <c r="F252" s="6" t="s">
        <v>546</v>
      </c>
      <c r="G252" s="6" t="s">
        <v>1414</v>
      </c>
      <c r="H252" s="6" t="s">
        <v>670</v>
      </c>
      <c r="J252" s="1215" t="s">
        <v>509</v>
      </c>
      <c r="K252" s="1219" t="s">
        <v>3033</v>
      </c>
      <c r="L252" s="8">
        <v>4</v>
      </c>
      <c r="M252" s="8">
        <v>12</v>
      </c>
      <c r="N252" s="1169" t="s">
        <v>271</v>
      </c>
      <c r="P252" s="6" t="s">
        <v>3324</v>
      </c>
      <c r="Q252" s="1215" t="s">
        <v>253</v>
      </c>
      <c r="R252" s="1215" t="s">
        <v>255</v>
      </c>
      <c r="S252" s="1215" t="s">
        <v>534</v>
      </c>
      <c r="T252" s="1215" t="s">
        <v>533</v>
      </c>
      <c r="U252" s="6" t="s">
        <v>539</v>
      </c>
      <c r="V252" s="6" t="s">
        <v>34</v>
      </c>
      <c r="W252" s="6" t="s">
        <v>546</v>
      </c>
      <c r="X252" s="6" t="s">
        <v>188</v>
      </c>
    </row>
    <row r="253" spans="1:24" ht="15" customHeight="1" x14ac:dyDescent="0.3">
      <c r="A253" s="6" t="s">
        <v>533</v>
      </c>
      <c r="B253" s="6" t="s">
        <v>534</v>
      </c>
      <c r="C253" s="6" t="s">
        <v>34</v>
      </c>
      <c r="D253" s="1088" t="s">
        <v>539</v>
      </c>
      <c r="E253" s="1088" t="s">
        <v>188</v>
      </c>
      <c r="F253" s="6" t="s">
        <v>546</v>
      </c>
      <c r="G253" s="6" t="s">
        <v>1414</v>
      </c>
      <c r="H253" s="6" t="s">
        <v>670</v>
      </c>
      <c r="J253" s="1215" t="s">
        <v>509</v>
      </c>
      <c r="K253" s="1219" t="s">
        <v>3110</v>
      </c>
      <c r="L253" s="8">
        <v>0</v>
      </c>
      <c r="M253" s="8">
        <v>4</v>
      </c>
      <c r="N253" s="1169" t="s">
        <v>271</v>
      </c>
      <c r="P253" s="6" t="s">
        <v>3324</v>
      </c>
      <c r="Q253" s="1215" t="s">
        <v>253</v>
      </c>
      <c r="R253" s="1215" t="s">
        <v>255</v>
      </c>
      <c r="S253" s="1215" t="s">
        <v>534</v>
      </c>
      <c r="T253" s="1215" t="s">
        <v>533</v>
      </c>
      <c r="U253" s="6" t="s">
        <v>539</v>
      </c>
      <c r="V253" s="6" t="s">
        <v>34</v>
      </c>
      <c r="W253" s="6" t="s">
        <v>546</v>
      </c>
      <c r="X253" s="6" t="s">
        <v>188</v>
      </c>
    </row>
    <row r="254" spans="1:24" ht="15" customHeight="1" x14ac:dyDescent="0.3">
      <c r="A254" s="6" t="s">
        <v>533</v>
      </c>
      <c r="B254" s="6" t="s">
        <v>534</v>
      </c>
      <c r="C254" s="6" t="s">
        <v>34</v>
      </c>
      <c r="D254" s="1088" t="s">
        <v>539</v>
      </c>
      <c r="E254" s="6" t="s">
        <v>188</v>
      </c>
      <c r="F254" s="6" t="s">
        <v>546</v>
      </c>
      <c r="G254" s="6" t="s">
        <v>1414</v>
      </c>
      <c r="H254" s="6" t="s">
        <v>670</v>
      </c>
      <c r="J254" s="1215" t="s">
        <v>509</v>
      </c>
      <c r="K254" s="1219" t="s">
        <v>3112</v>
      </c>
      <c r="L254" s="8">
        <v>0</v>
      </c>
      <c r="M254" s="8">
        <v>10</v>
      </c>
      <c r="N254" s="1169" t="s">
        <v>271</v>
      </c>
      <c r="P254" s="6" t="s">
        <v>3324</v>
      </c>
      <c r="Q254" s="1215" t="s">
        <v>253</v>
      </c>
      <c r="R254" s="1215" t="s">
        <v>255</v>
      </c>
      <c r="S254" s="1215" t="s">
        <v>534</v>
      </c>
      <c r="T254" s="1215" t="s">
        <v>533</v>
      </c>
      <c r="U254" s="6" t="s">
        <v>539</v>
      </c>
      <c r="V254" s="6" t="s">
        <v>34</v>
      </c>
      <c r="W254" s="6" t="s">
        <v>546</v>
      </c>
      <c r="X254" s="6" t="s">
        <v>188</v>
      </c>
    </row>
    <row r="255" spans="1:24" ht="15" customHeight="1" x14ac:dyDescent="0.3">
      <c r="A255" s="6" t="s">
        <v>533</v>
      </c>
      <c r="B255" s="6" t="s">
        <v>534</v>
      </c>
      <c r="C255" s="6" t="s">
        <v>34</v>
      </c>
      <c r="D255" s="1088" t="s">
        <v>539</v>
      </c>
      <c r="E255" s="6" t="s">
        <v>188</v>
      </c>
      <c r="F255" s="6" t="s">
        <v>546</v>
      </c>
      <c r="G255" s="6" t="s">
        <v>1414</v>
      </c>
      <c r="H255" s="6" t="s">
        <v>670</v>
      </c>
      <c r="J255" s="1215" t="s">
        <v>509</v>
      </c>
      <c r="K255" s="1219" t="s">
        <v>3111</v>
      </c>
      <c r="L255" s="8">
        <v>5</v>
      </c>
      <c r="M255" s="8">
        <v>25</v>
      </c>
      <c r="N255" s="1169" t="s">
        <v>271</v>
      </c>
      <c r="P255" s="6" t="s">
        <v>3324</v>
      </c>
      <c r="Q255" s="1215" t="s">
        <v>253</v>
      </c>
      <c r="R255" s="1215" t="s">
        <v>255</v>
      </c>
      <c r="S255" s="1215" t="s">
        <v>534</v>
      </c>
      <c r="T255" s="1215" t="s">
        <v>533</v>
      </c>
      <c r="U255" s="6" t="s">
        <v>539</v>
      </c>
      <c r="V255" s="6" t="s">
        <v>34</v>
      </c>
      <c r="W255" s="6" t="s">
        <v>546</v>
      </c>
      <c r="X255" s="6" t="s">
        <v>188</v>
      </c>
    </row>
    <row r="256" spans="1:24" ht="15" customHeight="1" x14ac:dyDescent="0.3">
      <c r="A256" s="6" t="s">
        <v>533</v>
      </c>
      <c r="B256" s="6" t="s">
        <v>534</v>
      </c>
      <c r="C256" s="6" t="s">
        <v>34</v>
      </c>
      <c r="D256" s="1088" t="s">
        <v>539</v>
      </c>
      <c r="E256" s="6" t="s">
        <v>188</v>
      </c>
      <c r="F256" s="6" t="s">
        <v>546</v>
      </c>
      <c r="G256" s="6" t="s">
        <v>978</v>
      </c>
      <c r="H256" s="6" t="s">
        <v>3236</v>
      </c>
      <c r="J256" s="1215" t="s">
        <v>509</v>
      </c>
      <c r="K256" s="1219" t="s">
        <v>3109</v>
      </c>
      <c r="L256" s="8">
        <v>60</v>
      </c>
      <c r="M256" s="8">
        <v>417</v>
      </c>
      <c r="N256" s="1169" t="s">
        <v>271</v>
      </c>
      <c r="P256" s="6" t="s">
        <v>3324</v>
      </c>
      <c r="Q256" s="1215" t="s">
        <v>253</v>
      </c>
      <c r="R256" s="1215" t="s">
        <v>255</v>
      </c>
      <c r="S256" s="1215" t="s">
        <v>534</v>
      </c>
      <c r="T256" s="1215" t="s">
        <v>533</v>
      </c>
      <c r="U256" s="6" t="s">
        <v>539</v>
      </c>
      <c r="V256" s="6" t="s">
        <v>34</v>
      </c>
      <c r="W256" s="6" t="s">
        <v>546</v>
      </c>
      <c r="X256" s="6" t="s">
        <v>188</v>
      </c>
    </row>
    <row r="257" spans="1:24" ht="15" customHeight="1" x14ac:dyDescent="0.3">
      <c r="A257" s="6" t="s">
        <v>533</v>
      </c>
      <c r="B257" s="6" t="s">
        <v>534</v>
      </c>
      <c r="C257" s="6" t="s">
        <v>34</v>
      </c>
      <c r="D257" s="1088" t="s">
        <v>539</v>
      </c>
      <c r="E257" s="6" t="s">
        <v>188</v>
      </c>
      <c r="F257" s="6" t="s">
        <v>546</v>
      </c>
      <c r="G257" s="6" t="s">
        <v>978</v>
      </c>
      <c r="H257" s="6" t="s">
        <v>3236</v>
      </c>
      <c r="J257" s="1215" t="s">
        <v>509</v>
      </c>
      <c r="K257" s="1219" t="s">
        <v>3110</v>
      </c>
      <c r="L257" s="8">
        <v>4</v>
      </c>
      <c r="M257" s="8">
        <v>30</v>
      </c>
      <c r="N257" s="1169" t="s">
        <v>271</v>
      </c>
      <c r="P257" s="6" t="s">
        <v>3324</v>
      </c>
      <c r="Q257" s="1215" t="s">
        <v>253</v>
      </c>
      <c r="R257" s="1215" t="s">
        <v>255</v>
      </c>
      <c r="S257" s="1215" t="s">
        <v>534</v>
      </c>
      <c r="T257" s="1215" t="s">
        <v>533</v>
      </c>
      <c r="U257" s="6" t="s">
        <v>539</v>
      </c>
      <c r="V257" s="6" t="s">
        <v>34</v>
      </c>
      <c r="W257" s="6" t="s">
        <v>546</v>
      </c>
      <c r="X257" s="6" t="s">
        <v>188</v>
      </c>
    </row>
    <row r="258" spans="1:24" ht="15" customHeight="1" x14ac:dyDescent="0.3">
      <c r="A258" s="6" t="s">
        <v>533</v>
      </c>
      <c r="B258" s="6" t="s">
        <v>534</v>
      </c>
      <c r="C258" s="6" t="s">
        <v>34</v>
      </c>
      <c r="D258" s="1088" t="s">
        <v>539</v>
      </c>
      <c r="E258" s="6" t="s">
        <v>188</v>
      </c>
      <c r="F258" s="6" t="s">
        <v>546</v>
      </c>
      <c r="G258" s="6" t="s">
        <v>978</v>
      </c>
      <c r="H258" s="6" t="s">
        <v>3236</v>
      </c>
      <c r="J258" s="1215" t="s">
        <v>509</v>
      </c>
      <c r="K258" s="1219" t="s">
        <v>3111</v>
      </c>
      <c r="L258" s="8">
        <v>10</v>
      </c>
      <c r="M258" s="8">
        <v>53</v>
      </c>
      <c r="N258" s="1169" t="s">
        <v>271</v>
      </c>
      <c r="P258" s="6" t="s">
        <v>3324</v>
      </c>
      <c r="Q258" s="1215" t="s">
        <v>253</v>
      </c>
      <c r="R258" s="1215" t="s">
        <v>255</v>
      </c>
      <c r="S258" s="1215" t="s">
        <v>534</v>
      </c>
      <c r="T258" s="1215" t="s">
        <v>533</v>
      </c>
      <c r="U258" s="6" t="s">
        <v>539</v>
      </c>
      <c r="V258" s="6" t="s">
        <v>34</v>
      </c>
      <c r="W258" s="6" t="s">
        <v>546</v>
      </c>
      <c r="X258" s="6" t="s">
        <v>188</v>
      </c>
    </row>
    <row r="259" spans="1:24" ht="15" customHeight="1" x14ac:dyDescent="0.3">
      <c r="A259" s="6" t="s">
        <v>533</v>
      </c>
      <c r="B259" s="6" t="s">
        <v>534</v>
      </c>
      <c r="C259" s="6" t="s">
        <v>34</v>
      </c>
      <c r="D259" s="1088" t="s">
        <v>539</v>
      </c>
      <c r="E259" s="6" t="s">
        <v>188</v>
      </c>
      <c r="F259" s="6" t="s">
        <v>546</v>
      </c>
      <c r="G259" s="6" t="s">
        <v>978</v>
      </c>
      <c r="H259" s="6" t="s">
        <v>3236</v>
      </c>
      <c r="J259" s="1215" t="s">
        <v>509</v>
      </c>
      <c r="K259" s="1219" t="s">
        <v>3112</v>
      </c>
      <c r="L259" s="8">
        <v>0</v>
      </c>
      <c r="M259" s="8">
        <v>4</v>
      </c>
      <c r="N259" s="1169" t="s">
        <v>271</v>
      </c>
      <c r="P259" s="6" t="s">
        <v>3324</v>
      </c>
      <c r="Q259" s="1215" t="s">
        <v>253</v>
      </c>
      <c r="R259" s="1215" t="s">
        <v>255</v>
      </c>
      <c r="S259" s="1215" t="s">
        <v>534</v>
      </c>
      <c r="T259" s="1215" t="s">
        <v>533</v>
      </c>
      <c r="U259" s="6" t="s">
        <v>539</v>
      </c>
      <c r="V259" s="6" t="s">
        <v>34</v>
      </c>
      <c r="W259" s="6" t="s">
        <v>546</v>
      </c>
      <c r="X259" s="6" t="s">
        <v>188</v>
      </c>
    </row>
    <row r="260" spans="1:24" ht="15" customHeight="1" x14ac:dyDescent="0.3">
      <c r="A260" s="6" t="s">
        <v>533</v>
      </c>
      <c r="B260" s="6" t="s">
        <v>534</v>
      </c>
      <c r="C260" s="6" t="s">
        <v>34</v>
      </c>
      <c r="D260" s="6" t="s">
        <v>539</v>
      </c>
      <c r="E260" s="6" t="s">
        <v>188</v>
      </c>
      <c r="F260" s="6" t="s">
        <v>546</v>
      </c>
      <c r="G260" s="6" t="s">
        <v>759</v>
      </c>
      <c r="H260" s="6" t="s">
        <v>3251</v>
      </c>
      <c r="J260" s="1215" t="s">
        <v>509</v>
      </c>
      <c r="K260" s="1219" t="s">
        <v>3033</v>
      </c>
      <c r="L260" s="8">
        <v>249</v>
      </c>
      <c r="M260" s="8">
        <v>1688</v>
      </c>
      <c r="N260" s="1169" t="s">
        <v>271</v>
      </c>
      <c r="P260" s="6" t="s">
        <v>3324</v>
      </c>
      <c r="Q260" s="1215" t="s">
        <v>253</v>
      </c>
      <c r="R260" s="1215" t="s">
        <v>255</v>
      </c>
      <c r="S260" s="1215" t="s">
        <v>534</v>
      </c>
      <c r="T260" s="1215" t="s">
        <v>533</v>
      </c>
      <c r="U260" s="6" t="s">
        <v>539</v>
      </c>
      <c r="V260" s="6" t="s">
        <v>34</v>
      </c>
      <c r="W260" s="6" t="s">
        <v>546</v>
      </c>
      <c r="X260" s="6" t="s">
        <v>188</v>
      </c>
    </row>
    <row r="261" spans="1:24" ht="15" customHeight="1" x14ac:dyDescent="0.3">
      <c r="A261" s="6" t="s">
        <v>533</v>
      </c>
      <c r="B261" s="6" t="s">
        <v>534</v>
      </c>
      <c r="C261" s="6" t="s">
        <v>34</v>
      </c>
      <c r="D261" s="6" t="s">
        <v>539</v>
      </c>
      <c r="E261" s="6" t="s">
        <v>188</v>
      </c>
      <c r="F261" s="6" t="s">
        <v>546</v>
      </c>
      <c r="G261" s="6" t="s">
        <v>759</v>
      </c>
      <c r="H261" s="6" t="s">
        <v>3251</v>
      </c>
      <c r="J261" s="1215" t="s">
        <v>509</v>
      </c>
      <c r="K261" s="1219" t="s">
        <v>3109</v>
      </c>
      <c r="L261" s="8">
        <v>1</v>
      </c>
      <c r="M261" s="8">
        <v>2</v>
      </c>
      <c r="N261" s="1169" t="s">
        <v>271</v>
      </c>
      <c r="P261" s="6" t="s">
        <v>3324</v>
      </c>
      <c r="Q261" s="1215" t="s">
        <v>253</v>
      </c>
      <c r="R261" s="1215" t="s">
        <v>255</v>
      </c>
      <c r="S261" s="1215" t="s">
        <v>534</v>
      </c>
      <c r="T261" s="1215" t="s">
        <v>533</v>
      </c>
      <c r="U261" s="6" t="s">
        <v>539</v>
      </c>
      <c r="V261" s="6" t="s">
        <v>34</v>
      </c>
      <c r="W261" s="6" t="s">
        <v>546</v>
      </c>
      <c r="X261" s="6" t="s">
        <v>188</v>
      </c>
    </row>
    <row r="262" spans="1:24" ht="15" customHeight="1" x14ac:dyDescent="0.3">
      <c r="A262" s="6" t="s">
        <v>533</v>
      </c>
      <c r="B262" s="6" t="s">
        <v>534</v>
      </c>
      <c r="C262" s="6" t="s">
        <v>34</v>
      </c>
      <c r="D262" s="1088" t="s">
        <v>539</v>
      </c>
      <c r="E262" s="6" t="s">
        <v>188</v>
      </c>
      <c r="F262" s="6" t="s">
        <v>546</v>
      </c>
      <c r="G262" s="6" t="s">
        <v>759</v>
      </c>
      <c r="H262" s="6" t="s">
        <v>3251</v>
      </c>
      <c r="J262" s="1215" t="s">
        <v>509</v>
      </c>
      <c r="K262" s="1219" t="s">
        <v>3110</v>
      </c>
      <c r="L262" s="8">
        <v>6</v>
      </c>
      <c r="M262" s="8">
        <v>44</v>
      </c>
      <c r="N262" s="1169" t="s">
        <v>271</v>
      </c>
      <c r="P262" s="6" t="s">
        <v>3324</v>
      </c>
      <c r="Q262" s="1215" t="s">
        <v>253</v>
      </c>
      <c r="R262" s="1215" t="s">
        <v>255</v>
      </c>
      <c r="S262" s="1215" t="s">
        <v>534</v>
      </c>
      <c r="T262" s="1215" t="s">
        <v>533</v>
      </c>
      <c r="U262" s="6" t="s">
        <v>539</v>
      </c>
      <c r="V262" s="6" t="s">
        <v>34</v>
      </c>
      <c r="W262" s="6" t="s">
        <v>546</v>
      </c>
      <c r="X262" s="6" t="s">
        <v>188</v>
      </c>
    </row>
    <row r="263" spans="1:24" ht="15" customHeight="1" x14ac:dyDescent="0.3">
      <c r="A263" s="6" t="s">
        <v>533</v>
      </c>
      <c r="B263" s="6" t="s">
        <v>534</v>
      </c>
      <c r="C263" s="6" t="s">
        <v>34</v>
      </c>
      <c r="D263" s="1088" t="s">
        <v>539</v>
      </c>
      <c r="E263" s="6" t="s">
        <v>188</v>
      </c>
      <c r="F263" s="6" t="s">
        <v>546</v>
      </c>
      <c r="G263" s="6" t="s">
        <v>759</v>
      </c>
      <c r="H263" s="6" t="s">
        <v>3251</v>
      </c>
      <c r="J263" s="1215" t="s">
        <v>509</v>
      </c>
      <c r="K263" s="1219" t="s">
        <v>3111</v>
      </c>
      <c r="L263" s="8">
        <v>0</v>
      </c>
      <c r="M263" s="8">
        <v>19</v>
      </c>
      <c r="N263" s="1169" t="s">
        <v>271</v>
      </c>
      <c r="P263" s="6" t="s">
        <v>3324</v>
      </c>
      <c r="Q263" s="1215" t="s">
        <v>253</v>
      </c>
      <c r="R263" s="1215" t="s">
        <v>255</v>
      </c>
      <c r="S263" s="1215" t="s">
        <v>534</v>
      </c>
      <c r="T263" s="1215" t="s">
        <v>533</v>
      </c>
      <c r="U263" s="6" t="s">
        <v>539</v>
      </c>
      <c r="V263" s="6" t="s">
        <v>34</v>
      </c>
      <c r="W263" s="6" t="s">
        <v>546</v>
      </c>
      <c r="X263" s="6" t="s">
        <v>188</v>
      </c>
    </row>
    <row r="264" spans="1:24" ht="15" customHeight="1" x14ac:dyDescent="0.3">
      <c r="A264" s="6" t="s">
        <v>533</v>
      </c>
      <c r="B264" s="6" t="s">
        <v>534</v>
      </c>
      <c r="C264" s="6" t="s">
        <v>34</v>
      </c>
      <c r="D264" s="1088" t="s">
        <v>539</v>
      </c>
      <c r="E264" s="6" t="s">
        <v>188</v>
      </c>
      <c r="F264" s="6" t="s">
        <v>546</v>
      </c>
      <c r="G264" s="6" t="s">
        <v>759</v>
      </c>
      <c r="H264" s="6" t="s">
        <v>3251</v>
      </c>
      <c r="J264" s="1215" t="s">
        <v>509</v>
      </c>
      <c r="K264" s="1219" t="s">
        <v>3112</v>
      </c>
      <c r="L264" s="8">
        <v>0</v>
      </c>
      <c r="M264" s="8">
        <v>8</v>
      </c>
      <c r="N264" s="1169" t="s">
        <v>271</v>
      </c>
      <c r="P264" s="6" t="s">
        <v>3324</v>
      </c>
      <c r="Q264" s="1215" t="s">
        <v>253</v>
      </c>
      <c r="R264" s="1215" t="s">
        <v>255</v>
      </c>
      <c r="S264" s="1215" t="s">
        <v>534</v>
      </c>
      <c r="T264" s="1215" t="s">
        <v>533</v>
      </c>
      <c r="U264" s="6" t="s">
        <v>539</v>
      </c>
      <c r="V264" s="6" t="s">
        <v>34</v>
      </c>
      <c r="W264" s="6" t="s">
        <v>546</v>
      </c>
      <c r="X264" s="6" t="s">
        <v>188</v>
      </c>
    </row>
    <row r="265" spans="1:24" ht="15" customHeight="1" x14ac:dyDescent="0.3">
      <c r="A265" s="6" t="s">
        <v>533</v>
      </c>
      <c r="B265" s="6" t="s">
        <v>534</v>
      </c>
      <c r="C265" s="6" t="s">
        <v>34</v>
      </c>
      <c r="D265" s="1088" t="s">
        <v>539</v>
      </c>
      <c r="E265" s="1169" t="s">
        <v>188</v>
      </c>
      <c r="F265" s="6" t="s">
        <v>546</v>
      </c>
      <c r="G265" s="6" t="s">
        <v>2955</v>
      </c>
      <c r="H265" s="6" t="s">
        <v>3285</v>
      </c>
      <c r="J265" s="1215" t="s">
        <v>509</v>
      </c>
      <c r="K265" s="1219" t="s">
        <v>3033</v>
      </c>
      <c r="L265" s="8">
        <v>64</v>
      </c>
      <c r="M265" s="8">
        <v>169</v>
      </c>
      <c r="N265" s="1169" t="s">
        <v>271</v>
      </c>
      <c r="P265" s="6" t="s">
        <v>3324</v>
      </c>
      <c r="Q265" s="1215" t="s">
        <v>253</v>
      </c>
      <c r="R265" s="1215" t="s">
        <v>255</v>
      </c>
      <c r="S265" s="1215" t="s">
        <v>534</v>
      </c>
      <c r="T265" s="1215" t="s">
        <v>533</v>
      </c>
      <c r="U265" s="6" t="s">
        <v>539</v>
      </c>
      <c r="V265" s="6" t="s">
        <v>34</v>
      </c>
      <c r="W265" s="6" t="s">
        <v>546</v>
      </c>
      <c r="X265" s="6" t="s">
        <v>188</v>
      </c>
    </row>
    <row r="266" spans="1:24" ht="15" customHeight="1" x14ac:dyDescent="0.3">
      <c r="A266" s="6" t="s">
        <v>533</v>
      </c>
      <c r="B266" s="6" t="s">
        <v>534</v>
      </c>
      <c r="C266" s="6" t="s">
        <v>34</v>
      </c>
      <c r="D266" s="1088" t="s">
        <v>539</v>
      </c>
      <c r="E266" s="1169" t="s">
        <v>188</v>
      </c>
      <c r="F266" s="6" t="s">
        <v>546</v>
      </c>
      <c r="G266" s="6" t="s">
        <v>2955</v>
      </c>
      <c r="H266" s="6" t="s">
        <v>3285</v>
      </c>
      <c r="J266" s="1215" t="s">
        <v>509</v>
      </c>
      <c r="K266" s="1219" t="s">
        <v>3109</v>
      </c>
      <c r="L266" s="8">
        <v>16</v>
      </c>
      <c r="M266" s="8">
        <v>58</v>
      </c>
      <c r="N266" s="1169" t="s">
        <v>271</v>
      </c>
      <c r="P266" s="6" t="s">
        <v>3324</v>
      </c>
      <c r="Q266" s="1215" t="s">
        <v>253</v>
      </c>
      <c r="R266" s="1215" t="s">
        <v>255</v>
      </c>
      <c r="S266" s="1215" t="s">
        <v>534</v>
      </c>
      <c r="T266" s="1215" t="s">
        <v>533</v>
      </c>
      <c r="U266" s="6" t="s">
        <v>539</v>
      </c>
      <c r="V266" s="6" t="s">
        <v>34</v>
      </c>
      <c r="W266" s="6" t="s">
        <v>546</v>
      </c>
      <c r="X266" s="6" t="s">
        <v>188</v>
      </c>
    </row>
    <row r="267" spans="1:24" ht="15" customHeight="1" x14ac:dyDescent="0.3">
      <c r="A267" s="6" t="s">
        <v>533</v>
      </c>
      <c r="B267" s="6" t="s">
        <v>534</v>
      </c>
      <c r="C267" s="6" t="s">
        <v>34</v>
      </c>
      <c r="D267" s="1088" t="s">
        <v>539</v>
      </c>
      <c r="E267" s="1169" t="s">
        <v>188</v>
      </c>
      <c r="F267" s="6" t="s">
        <v>546</v>
      </c>
      <c r="G267" s="6" t="s">
        <v>2955</v>
      </c>
      <c r="H267" s="6" t="s">
        <v>3285</v>
      </c>
      <c r="J267" s="1215" t="s">
        <v>509</v>
      </c>
      <c r="K267" s="1219" t="s">
        <v>3110</v>
      </c>
      <c r="L267" s="8">
        <v>7</v>
      </c>
      <c r="M267" s="8">
        <v>69</v>
      </c>
      <c r="N267" s="1169" t="s">
        <v>271</v>
      </c>
      <c r="P267" s="6" t="s">
        <v>3324</v>
      </c>
      <c r="Q267" s="1215" t="s">
        <v>253</v>
      </c>
      <c r="R267" s="1215" t="s">
        <v>255</v>
      </c>
      <c r="S267" s="1215" t="s">
        <v>534</v>
      </c>
      <c r="T267" s="1215" t="s">
        <v>533</v>
      </c>
      <c r="U267" s="6" t="s">
        <v>539</v>
      </c>
      <c r="V267" s="6" t="s">
        <v>34</v>
      </c>
      <c r="W267" s="6" t="s">
        <v>546</v>
      </c>
      <c r="X267" s="6" t="s">
        <v>188</v>
      </c>
    </row>
    <row r="268" spans="1:24" ht="15" customHeight="1" x14ac:dyDescent="0.3">
      <c r="A268" s="6" t="s">
        <v>533</v>
      </c>
      <c r="B268" s="6" t="s">
        <v>534</v>
      </c>
      <c r="C268" s="6" t="s">
        <v>34</v>
      </c>
      <c r="D268" s="1088" t="s">
        <v>539</v>
      </c>
      <c r="E268" s="1169" t="s">
        <v>188</v>
      </c>
      <c r="F268" s="6" t="s">
        <v>546</v>
      </c>
      <c r="G268" s="6" t="s">
        <v>2955</v>
      </c>
      <c r="H268" s="6" t="s">
        <v>3285</v>
      </c>
      <c r="J268" s="1215" t="s">
        <v>509</v>
      </c>
      <c r="K268" s="1219" t="s">
        <v>3111</v>
      </c>
      <c r="L268" s="8">
        <v>6</v>
      </c>
      <c r="M268" s="8">
        <v>28</v>
      </c>
      <c r="N268" s="1169" t="s">
        <v>271</v>
      </c>
      <c r="P268" s="6" t="s">
        <v>3324</v>
      </c>
      <c r="Q268" s="1215" t="s">
        <v>253</v>
      </c>
      <c r="R268" s="1215" t="s">
        <v>255</v>
      </c>
      <c r="S268" s="1215" t="s">
        <v>534</v>
      </c>
      <c r="T268" s="1215" t="s">
        <v>533</v>
      </c>
      <c r="U268" s="6" t="s">
        <v>539</v>
      </c>
      <c r="V268" s="6" t="s">
        <v>34</v>
      </c>
      <c r="W268" s="6" t="s">
        <v>546</v>
      </c>
      <c r="X268" s="6" t="s">
        <v>188</v>
      </c>
    </row>
    <row r="269" spans="1:24" ht="15" customHeight="1" x14ac:dyDescent="0.3">
      <c r="A269" s="6" t="s">
        <v>533</v>
      </c>
      <c r="B269" s="6" t="s">
        <v>534</v>
      </c>
      <c r="C269" s="6" t="s">
        <v>34</v>
      </c>
      <c r="D269" s="1088" t="s">
        <v>539</v>
      </c>
      <c r="E269" s="6" t="s">
        <v>188</v>
      </c>
      <c r="F269" s="6" t="s">
        <v>546</v>
      </c>
      <c r="G269" s="6" t="s">
        <v>2955</v>
      </c>
      <c r="H269" s="6" t="s">
        <v>3285</v>
      </c>
      <c r="J269" s="1215" t="s">
        <v>509</v>
      </c>
      <c r="K269" s="1219" t="s">
        <v>3112</v>
      </c>
      <c r="L269" s="8">
        <v>1</v>
      </c>
      <c r="M269" s="8">
        <v>11</v>
      </c>
      <c r="N269" s="1169" t="s">
        <v>271</v>
      </c>
      <c r="P269" s="6" t="s">
        <v>3324</v>
      </c>
      <c r="Q269" s="1215" t="s">
        <v>253</v>
      </c>
      <c r="R269" s="1215" t="s">
        <v>255</v>
      </c>
      <c r="S269" s="1215" t="s">
        <v>534</v>
      </c>
      <c r="T269" s="1215" t="s">
        <v>533</v>
      </c>
      <c r="U269" s="6" t="s">
        <v>539</v>
      </c>
      <c r="V269" s="6" t="s">
        <v>34</v>
      </c>
      <c r="W269" s="6" t="s">
        <v>546</v>
      </c>
      <c r="X269" s="6" t="s">
        <v>188</v>
      </c>
    </row>
    <row r="270" spans="1:24" ht="15" customHeight="1" x14ac:dyDescent="0.3">
      <c r="A270" s="6" t="s">
        <v>533</v>
      </c>
      <c r="B270" s="6" t="s">
        <v>534</v>
      </c>
      <c r="C270" s="6" t="s">
        <v>34</v>
      </c>
      <c r="D270" s="1088" t="s">
        <v>539</v>
      </c>
      <c r="E270" s="6" t="s">
        <v>188</v>
      </c>
      <c r="F270" s="6" t="s">
        <v>546</v>
      </c>
      <c r="G270" s="6" t="s">
        <v>645</v>
      </c>
      <c r="H270" s="6" t="s">
        <v>3287</v>
      </c>
      <c r="J270" s="1215" t="s">
        <v>509</v>
      </c>
      <c r="K270" s="1219" t="s">
        <v>3033</v>
      </c>
      <c r="L270" s="8">
        <v>127</v>
      </c>
      <c r="M270" s="8">
        <v>488</v>
      </c>
      <c r="N270" s="1169" t="s">
        <v>271</v>
      </c>
      <c r="P270" s="6" t="s">
        <v>3324</v>
      </c>
      <c r="Q270" s="1215" t="s">
        <v>253</v>
      </c>
      <c r="R270" s="1215" t="s">
        <v>255</v>
      </c>
      <c r="S270" s="1215" t="s">
        <v>534</v>
      </c>
      <c r="T270" s="1215" t="s">
        <v>533</v>
      </c>
      <c r="U270" s="6" t="s">
        <v>539</v>
      </c>
      <c r="V270" s="6" t="s">
        <v>34</v>
      </c>
      <c r="W270" s="6" t="s">
        <v>546</v>
      </c>
      <c r="X270" s="6" t="s">
        <v>188</v>
      </c>
    </row>
    <row r="271" spans="1:24" ht="15" customHeight="1" x14ac:dyDescent="0.3">
      <c r="A271" s="6" t="s">
        <v>533</v>
      </c>
      <c r="B271" s="6" t="s">
        <v>534</v>
      </c>
      <c r="C271" s="6" t="s">
        <v>34</v>
      </c>
      <c r="D271" s="1088" t="s">
        <v>539</v>
      </c>
      <c r="E271" s="6" t="s">
        <v>188</v>
      </c>
      <c r="F271" s="6" t="s">
        <v>546</v>
      </c>
      <c r="G271" s="6" t="s">
        <v>645</v>
      </c>
      <c r="H271" s="6" t="s">
        <v>3287</v>
      </c>
      <c r="J271" s="1215" t="s">
        <v>509</v>
      </c>
      <c r="K271" s="1219" t="s">
        <v>3109</v>
      </c>
      <c r="L271" s="8">
        <v>0</v>
      </c>
      <c r="M271" s="8">
        <v>16</v>
      </c>
      <c r="N271" s="1169" t="s">
        <v>271</v>
      </c>
      <c r="P271" s="6" t="s">
        <v>3324</v>
      </c>
      <c r="Q271" s="1215" t="s">
        <v>253</v>
      </c>
      <c r="R271" s="1215" t="s">
        <v>255</v>
      </c>
      <c r="S271" s="1215" t="s">
        <v>534</v>
      </c>
      <c r="T271" s="1215" t="s">
        <v>533</v>
      </c>
      <c r="U271" s="6" t="s">
        <v>539</v>
      </c>
      <c r="V271" s="6" t="s">
        <v>34</v>
      </c>
      <c r="W271" s="6" t="s">
        <v>546</v>
      </c>
      <c r="X271" s="6" t="s">
        <v>188</v>
      </c>
    </row>
    <row r="272" spans="1:24" ht="15" customHeight="1" x14ac:dyDescent="0.3">
      <c r="A272" s="6" t="s">
        <v>533</v>
      </c>
      <c r="B272" s="6" t="s">
        <v>534</v>
      </c>
      <c r="C272" s="6" t="s">
        <v>34</v>
      </c>
      <c r="D272" s="1088" t="s">
        <v>539</v>
      </c>
      <c r="E272" s="1088" t="s">
        <v>188</v>
      </c>
      <c r="F272" s="6" t="s">
        <v>546</v>
      </c>
      <c r="G272" s="6" t="s">
        <v>645</v>
      </c>
      <c r="H272" s="6" t="s">
        <v>3287</v>
      </c>
      <c r="J272" s="1215" t="s">
        <v>509</v>
      </c>
      <c r="K272" s="1219" t="s">
        <v>3110</v>
      </c>
      <c r="L272" s="8">
        <v>5</v>
      </c>
      <c r="M272" s="8">
        <v>69</v>
      </c>
      <c r="N272" s="1169" t="s">
        <v>271</v>
      </c>
      <c r="P272" s="6" t="s">
        <v>3324</v>
      </c>
      <c r="Q272" s="1215" t="s">
        <v>253</v>
      </c>
      <c r="R272" s="1215" t="s">
        <v>255</v>
      </c>
      <c r="S272" s="1215" t="s">
        <v>534</v>
      </c>
      <c r="T272" s="1215" t="s">
        <v>533</v>
      </c>
      <c r="U272" s="6" t="s">
        <v>539</v>
      </c>
      <c r="V272" s="6" t="s">
        <v>34</v>
      </c>
      <c r="W272" s="6" t="s">
        <v>546</v>
      </c>
      <c r="X272" s="6" t="s">
        <v>188</v>
      </c>
    </row>
    <row r="273" spans="1:24" ht="15" customHeight="1" x14ac:dyDescent="0.3">
      <c r="A273" s="6" t="s">
        <v>533</v>
      </c>
      <c r="B273" s="6" t="s">
        <v>534</v>
      </c>
      <c r="C273" s="6" t="s">
        <v>34</v>
      </c>
      <c r="D273" s="1088" t="s">
        <v>539</v>
      </c>
      <c r="E273" s="6" t="s">
        <v>188</v>
      </c>
      <c r="F273" s="6" t="s">
        <v>546</v>
      </c>
      <c r="G273" s="6" t="s">
        <v>645</v>
      </c>
      <c r="H273" s="6" t="s">
        <v>3287</v>
      </c>
      <c r="J273" s="1215" t="s">
        <v>509</v>
      </c>
      <c r="K273" s="1219" t="s">
        <v>3111</v>
      </c>
      <c r="L273" s="8">
        <v>1</v>
      </c>
      <c r="M273" s="8">
        <v>19</v>
      </c>
      <c r="N273" s="1169" t="s">
        <v>271</v>
      </c>
      <c r="P273" s="6" t="s">
        <v>3324</v>
      </c>
      <c r="Q273" s="1215" t="s">
        <v>253</v>
      </c>
      <c r="R273" s="1215" t="s">
        <v>255</v>
      </c>
      <c r="S273" s="1215" t="s">
        <v>534</v>
      </c>
      <c r="T273" s="1215" t="s">
        <v>533</v>
      </c>
      <c r="U273" s="6" t="s">
        <v>539</v>
      </c>
      <c r="V273" s="6" t="s">
        <v>34</v>
      </c>
      <c r="W273" s="6" t="s">
        <v>546</v>
      </c>
      <c r="X273" s="6" t="s">
        <v>188</v>
      </c>
    </row>
    <row r="274" spans="1:24" ht="15" customHeight="1" x14ac:dyDescent="0.3">
      <c r="A274" s="6" t="s">
        <v>533</v>
      </c>
      <c r="B274" s="6" t="s">
        <v>534</v>
      </c>
      <c r="C274" s="6" t="s">
        <v>34</v>
      </c>
      <c r="D274" s="1088" t="s">
        <v>539</v>
      </c>
      <c r="E274" s="6" t="s">
        <v>188</v>
      </c>
      <c r="F274" s="6" t="s">
        <v>546</v>
      </c>
      <c r="G274" s="6" t="s">
        <v>645</v>
      </c>
      <c r="H274" s="6" t="s">
        <v>3287</v>
      </c>
      <c r="J274" s="1215" t="s">
        <v>509</v>
      </c>
      <c r="K274" s="1219" t="s">
        <v>3112</v>
      </c>
      <c r="L274" s="8">
        <v>0</v>
      </c>
      <c r="M274" s="8">
        <v>12</v>
      </c>
      <c r="N274" s="1169" t="s">
        <v>271</v>
      </c>
      <c r="P274" s="6" t="s">
        <v>3324</v>
      </c>
      <c r="Q274" s="1215" t="s">
        <v>253</v>
      </c>
      <c r="R274" s="1215" t="s">
        <v>255</v>
      </c>
      <c r="S274" s="1215" t="s">
        <v>534</v>
      </c>
      <c r="T274" s="1215" t="s">
        <v>533</v>
      </c>
      <c r="U274" s="6" t="s">
        <v>539</v>
      </c>
      <c r="V274" s="6" t="s">
        <v>34</v>
      </c>
      <c r="W274" s="6" t="s">
        <v>546</v>
      </c>
      <c r="X274" s="6" t="s">
        <v>188</v>
      </c>
    </row>
    <row r="275" spans="1:24" ht="15" customHeight="1" x14ac:dyDescent="0.3">
      <c r="A275" s="6" t="s">
        <v>533</v>
      </c>
      <c r="B275" s="6" t="s">
        <v>534</v>
      </c>
      <c r="C275" s="6" t="s">
        <v>34</v>
      </c>
      <c r="D275" s="1088" t="s">
        <v>539</v>
      </c>
      <c r="E275" s="1088" t="s">
        <v>188</v>
      </c>
      <c r="F275" s="6" t="s">
        <v>546</v>
      </c>
      <c r="G275" s="6" t="s">
        <v>1331</v>
      </c>
      <c r="H275" s="6" t="s">
        <v>3284</v>
      </c>
      <c r="J275" s="1215" t="s">
        <v>509</v>
      </c>
      <c r="K275" s="1219" t="s">
        <v>3033</v>
      </c>
      <c r="L275" s="8">
        <v>31</v>
      </c>
      <c r="M275" s="8">
        <v>192</v>
      </c>
      <c r="N275" s="1169" t="s">
        <v>271</v>
      </c>
      <c r="P275" s="6" t="s">
        <v>3324</v>
      </c>
      <c r="Q275" s="1215" t="s">
        <v>253</v>
      </c>
      <c r="R275" s="1215" t="s">
        <v>255</v>
      </c>
      <c r="S275" s="1215" t="s">
        <v>534</v>
      </c>
      <c r="T275" s="1215" t="s">
        <v>533</v>
      </c>
      <c r="U275" s="6" t="s">
        <v>539</v>
      </c>
      <c r="V275" s="6" t="s">
        <v>34</v>
      </c>
      <c r="W275" s="6" t="s">
        <v>546</v>
      </c>
      <c r="X275" s="6" t="s">
        <v>188</v>
      </c>
    </row>
    <row r="276" spans="1:24" ht="15" customHeight="1" x14ac:dyDescent="0.3">
      <c r="A276" s="6" t="s">
        <v>533</v>
      </c>
      <c r="B276" s="6" t="s">
        <v>534</v>
      </c>
      <c r="C276" s="6" t="s">
        <v>34</v>
      </c>
      <c r="D276" s="1088" t="s">
        <v>539</v>
      </c>
      <c r="E276" s="6" t="s">
        <v>188</v>
      </c>
      <c r="F276" s="6" t="s">
        <v>546</v>
      </c>
      <c r="G276" s="6" t="s">
        <v>1331</v>
      </c>
      <c r="H276" s="6" t="s">
        <v>3284</v>
      </c>
      <c r="J276" s="1215" t="s">
        <v>509</v>
      </c>
      <c r="K276" s="1219" t="s">
        <v>3109</v>
      </c>
      <c r="L276" s="8">
        <v>3</v>
      </c>
      <c r="M276" s="8">
        <v>16</v>
      </c>
      <c r="N276" s="1169" t="s">
        <v>271</v>
      </c>
      <c r="P276" s="6" t="s">
        <v>3324</v>
      </c>
      <c r="Q276" s="1215" t="s">
        <v>253</v>
      </c>
      <c r="R276" s="1215" t="s">
        <v>255</v>
      </c>
      <c r="S276" s="1215" t="s">
        <v>534</v>
      </c>
      <c r="T276" s="1215" t="s">
        <v>533</v>
      </c>
      <c r="U276" s="6" t="s">
        <v>539</v>
      </c>
      <c r="V276" s="6" t="s">
        <v>34</v>
      </c>
      <c r="W276" s="6" t="s">
        <v>546</v>
      </c>
      <c r="X276" s="6" t="s">
        <v>188</v>
      </c>
    </row>
    <row r="277" spans="1:24" ht="15" customHeight="1" x14ac:dyDescent="0.3">
      <c r="A277" s="6" t="s">
        <v>533</v>
      </c>
      <c r="B277" s="6" t="s">
        <v>534</v>
      </c>
      <c r="C277" s="6" t="s">
        <v>34</v>
      </c>
      <c r="D277" s="1088" t="s">
        <v>539</v>
      </c>
      <c r="E277" s="6" t="s">
        <v>188</v>
      </c>
      <c r="F277" s="6" t="s">
        <v>546</v>
      </c>
      <c r="G277" s="6" t="s">
        <v>1331</v>
      </c>
      <c r="H277" s="6" t="s">
        <v>3284</v>
      </c>
      <c r="J277" s="1215" t="s">
        <v>509</v>
      </c>
      <c r="K277" s="1219" t="s">
        <v>3110</v>
      </c>
      <c r="L277" s="8">
        <v>4</v>
      </c>
      <c r="M277" s="8">
        <v>38</v>
      </c>
      <c r="N277" s="1169" t="s">
        <v>271</v>
      </c>
      <c r="O277" s="1088"/>
      <c r="P277" s="6" t="s">
        <v>3324</v>
      </c>
      <c r="Q277" s="1215" t="s">
        <v>253</v>
      </c>
      <c r="R277" s="1215" t="s">
        <v>255</v>
      </c>
      <c r="S277" s="1215" t="s">
        <v>534</v>
      </c>
      <c r="T277" s="1215" t="s">
        <v>533</v>
      </c>
      <c r="U277" s="6" t="s">
        <v>539</v>
      </c>
      <c r="V277" s="6" t="s">
        <v>34</v>
      </c>
      <c r="W277" s="6" t="s">
        <v>546</v>
      </c>
      <c r="X277" s="6" t="s">
        <v>188</v>
      </c>
    </row>
    <row r="278" spans="1:24" ht="15" customHeight="1" x14ac:dyDescent="0.3">
      <c r="A278" s="6" t="s">
        <v>533</v>
      </c>
      <c r="B278" s="6" t="s">
        <v>534</v>
      </c>
      <c r="C278" s="6" t="s">
        <v>34</v>
      </c>
      <c r="D278" s="1088" t="s">
        <v>539</v>
      </c>
      <c r="E278" s="1088" t="s">
        <v>188</v>
      </c>
      <c r="F278" s="6" t="s">
        <v>546</v>
      </c>
      <c r="G278" s="6" t="s">
        <v>1331</v>
      </c>
      <c r="H278" s="6" t="s">
        <v>3284</v>
      </c>
      <c r="J278" s="1215" t="s">
        <v>509</v>
      </c>
      <c r="K278" s="1219" t="s">
        <v>3111</v>
      </c>
      <c r="L278" s="8">
        <v>2</v>
      </c>
      <c r="M278" s="8">
        <v>14</v>
      </c>
      <c r="N278" s="1169" t="s">
        <v>271</v>
      </c>
      <c r="P278" s="6" t="s">
        <v>3324</v>
      </c>
      <c r="Q278" s="1215" t="s">
        <v>253</v>
      </c>
      <c r="R278" s="1215" t="s">
        <v>255</v>
      </c>
      <c r="S278" s="1215" t="s">
        <v>534</v>
      </c>
      <c r="T278" s="1215" t="s">
        <v>533</v>
      </c>
      <c r="U278" s="6" t="s">
        <v>539</v>
      </c>
      <c r="V278" s="6" t="s">
        <v>34</v>
      </c>
      <c r="W278" s="6" t="s">
        <v>546</v>
      </c>
      <c r="X278" s="6" t="s">
        <v>188</v>
      </c>
    </row>
    <row r="279" spans="1:24" ht="15" customHeight="1" x14ac:dyDescent="0.3">
      <c r="A279" s="6" t="s">
        <v>533</v>
      </c>
      <c r="B279" s="6" t="s">
        <v>534</v>
      </c>
      <c r="C279" s="6" t="s">
        <v>34</v>
      </c>
      <c r="D279" s="1088" t="s">
        <v>539</v>
      </c>
      <c r="E279" s="6" t="s">
        <v>188</v>
      </c>
      <c r="F279" s="6" t="s">
        <v>546</v>
      </c>
      <c r="G279" s="6" t="s">
        <v>1331</v>
      </c>
      <c r="H279" s="6" t="s">
        <v>3284</v>
      </c>
      <c r="J279" s="1215" t="s">
        <v>509</v>
      </c>
      <c r="K279" s="1219" t="s">
        <v>3112</v>
      </c>
      <c r="L279" s="8">
        <v>1</v>
      </c>
      <c r="M279" s="8">
        <v>13</v>
      </c>
      <c r="N279" s="1169" t="s">
        <v>271</v>
      </c>
      <c r="O279" s="1088"/>
      <c r="P279" s="6" t="s">
        <v>3324</v>
      </c>
      <c r="Q279" s="1215" t="s">
        <v>253</v>
      </c>
      <c r="R279" s="1215" t="s">
        <v>255</v>
      </c>
      <c r="S279" s="1215" t="s">
        <v>534</v>
      </c>
      <c r="T279" s="1215" t="s">
        <v>533</v>
      </c>
      <c r="U279" s="6" t="s">
        <v>539</v>
      </c>
      <c r="V279" s="6" t="s">
        <v>34</v>
      </c>
      <c r="W279" s="6" t="s">
        <v>546</v>
      </c>
      <c r="X279" s="6" t="s">
        <v>188</v>
      </c>
    </row>
    <row r="280" spans="1:24" ht="15" customHeight="1" x14ac:dyDescent="0.3">
      <c r="A280" s="6" t="s">
        <v>533</v>
      </c>
      <c r="B280" s="6" t="s">
        <v>534</v>
      </c>
      <c r="C280" s="6" t="s">
        <v>34</v>
      </c>
      <c r="D280" s="1088" t="s">
        <v>539</v>
      </c>
      <c r="E280" s="6" t="s">
        <v>188</v>
      </c>
      <c r="F280" s="6" t="s">
        <v>546</v>
      </c>
      <c r="G280" s="6" t="s">
        <v>1677</v>
      </c>
      <c r="H280" s="6" t="s">
        <v>1496</v>
      </c>
      <c r="J280" s="1215" t="s">
        <v>509</v>
      </c>
      <c r="K280" s="1219" t="s">
        <v>3033</v>
      </c>
      <c r="L280" s="8">
        <v>125</v>
      </c>
      <c r="M280" s="8">
        <v>162</v>
      </c>
      <c r="N280" s="1169" t="s">
        <v>271</v>
      </c>
      <c r="P280" s="6" t="s">
        <v>3324</v>
      </c>
      <c r="Q280" s="1215" t="s">
        <v>253</v>
      </c>
      <c r="R280" s="1215" t="s">
        <v>255</v>
      </c>
      <c r="S280" s="1215" t="s">
        <v>534</v>
      </c>
      <c r="T280" s="1215" t="s">
        <v>533</v>
      </c>
      <c r="U280" s="6" t="s">
        <v>539</v>
      </c>
      <c r="V280" s="6" t="s">
        <v>34</v>
      </c>
      <c r="W280" s="6" t="s">
        <v>546</v>
      </c>
      <c r="X280" s="6" t="s">
        <v>188</v>
      </c>
    </row>
    <row r="281" spans="1:24" ht="15" customHeight="1" x14ac:dyDescent="0.3">
      <c r="A281" s="6" t="s">
        <v>533</v>
      </c>
      <c r="B281" s="6" t="s">
        <v>534</v>
      </c>
      <c r="C281" s="6" t="s">
        <v>34</v>
      </c>
      <c r="D281" s="1088" t="s">
        <v>539</v>
      </c>
      <c r="E281" s="6" t="s">
        <v>188</v>
      </c>
      <c r="F281" s="6" t="s">
        <v>546</v>
      </c>
      <c r="G281" s="6" t="s">
        <v>1677</v>
      </c>
      <c r="H281" s="6" t="s">
        <v>1496</v>
      </c>
      <c r="J281" s="1215" t="s">
        <v>509</v>
      </c>
      <c r="K281" s="1219" t="s">
        <v>3109</v>
      </c>
      <c r="L281" s="8">
        <v>64</v>
      </c>
      <c r="M281" s="8">
        <v>441</v>
      </c>
      <c r="N281" s="1169" t="s">
        <v>271</v>
      </c>
      <c r="P281" s="6" t="s">
        <v>3324</v>
      </c>
      <c r="Q281" s="1215" t="s">
        <v>253</v>
      </c>
      <c r="R281" s="1215" t="s">
        <v>255</v>
      </c>
      <c r="S281" s="1215" t="s">
        <v>534</v>
      </c>
      <c r="T281" s="1215" t="s">
        <v>533</v>
      </c>
      <c r="U281" s="6" t="s">
        <v>539</v>
      </c>
      <c r="V281" s="6" t="s">
        <v>34</v>
      </c>
      <c r="W281" s="6" t="s">
        <v>546</v>
      </c>
      <c r="X281" s="6" t="s">
        <v>188</v>
      </c>
    </row>
    <row r="282" spans="1:24" ht="15" customHeight="1" x14ac:dyDescent="0.3">
      <c r="A282" s="6" t="s">
        <v>533</v>
      </c>
      <c r="B282" s="6" t="s">
        <v>534</v>
      </c>
      <c r="C282" s="6" t="s">
        <v>34</v>
      </c>
      <c r="D282" s="1088" t="s">
        <v>539</v>
      </c>
      <c r="E282" s="6" t="s">
        <v>188</v>
      </c>
      <c r="F282" s="6" t="s">
        <v>546</v>
      </c>
      <c r="G282" s="6" t="s">
        <v>1677</v>
      </c>
      <c r="H282" s="6" t="s">
        <v>1496</v>
      </c>
      <c r="J282" s="1215" t="s">
        <v>509</v>
      </c>
      <c r="K282" s="1219" t="s">
        <v>3110</v>
      </c>
      <c r="L282" s="8">
        <v>0</v>
      </c>
      <c r="M282" s="8">
        <v>41</v>
      </c>
      <c r="N282" s="1169" t="s">
        <v>271</v>
      </c>
      <c r="P282" s="6" t="s">
        <v>3324</v>
      </c>
      <c r="Q282" s="1215" t="s">
        <v>253</v>
      </c>
      <c r="R282" s="1215" t="s">
        <v>255</v>
      </c>
      <c r="S282" s="1215" t="s">
        <v>534</v>
      </c>
      <c r="T282" s="1215" t="s">
        <v>533</v>
      </c>
      <c r="U282" s="6" t="s">
        <v>539</v>
      </c>
      <c r="V282" s="6" t="s">
        <v>34</v>
      </c>
      <c r="W282" s="6" t="s">
        <v>546</v>
      </c>
      <c r="X282" s="6" t="s">
        <v>188</v>
      </c>
    </row>
    <row r="283" spans="1:24" ht="15" customHeight="1" x14ac:dyDescent="0.3">
      <c r="A283" s="6" t="s">
        <v>533</v>
      </c>
      <c r="B283" s="6" t="s">
        <v>534</v>
      </c>
      <c r="C283" s="6" t="s">
        <v>34</v>
      </c>
      <c r="D283" s="1088" t="s">
        <v>539</v>
      </c>
      <c r="E283" s="1088" t="s">
        <v>188</v>
      </c>
      <c r="F283" s="6" t="s">
        <v>546</v>
      </c>
      <c r="G283" s="6" t="s">
        <v>1677</v>
      </c>
      <c r="H283" s="6" t="s">
        <v>1496</v>
      </c>
      <c r="J283" s="1215" t="s">
        <v>509</v>
      </c>
      <c r="K283" s="1219" t="s">
        <v>3111</v>
      </c>
      <c r="L283" s="8">
        <v>3</v>
      </c>
      <c r="M283" s="8">
        <v>39</v>
      </c>
      <c r="N283" s="1169" t="s">
        <v>271</v>
      </c>
      <c r="P283" s="6" t="s">
        <v>3324</v>
      </c>
      <c r="Q283" s="1215" t="s">
        <v>253</v>
      </c>
      <c r="R283" s="1215" t="s">
        <v>255</v>
      </c>
      <c r="S283" s="1215" t="s">
        <v>534</v>
      </c>
      <c r="T283" s="1215" t="s">
        <v>533</v>
      </c>
      <c r="U283" s="6" t="s">
        <v>539</v>
      </c>
      <c r="V283" s="6" t="s">
        <v>34</v>
      </c>
      <c r="W283" s="6" t="s">
        <v>546</v>
      </c>
      <c r="X283" s="6" t="s">
        <v>188</v>
      </c>
    </row>
    <row r="284" spans="1:24" ht="15" customHeight="1" x14ac:dyDescent="0.3">
      <c r="A284" s="6" t="s">
        <v>533</v>
      </c>
      <c r="B284" s="6" t="s">
        <v>534</v>
      </c>
      <c r="C284" s="6" t="s">
        <v>34</v>
      </c>
      <c r="D284" s="1088" t="s">
        <v>539</v>
      </c>
      <c r="E284" s="6" t="s">
        <v>188</v>
      </c>
      <c r="F284" s="6" t="s">
        <v>546</v>
      </c>
      <c r="G284" s="6" t="s">
        <v>1677</v>
      </c>
      <c r="H284" s="6" t="s">
        <v>1496</v>
      </c>
      <c r="J284" s="1215" t="s">
        <v>509</v>
      </c>
      <c r="K284" s="1219" t="s">
        <v>3112</v>
      </c>
      <c r="L284" s="8">
        <v>5</v>
      </c>
      <c r="M284" s="8">
        <v>57</v>
      </c>
      <c r="N284" s="1169" t="s">
        <v>271</v>
      </c>
      <c r="P284" s="6" t="s">
        <v>3324</v>
      </c>
      <c r="Q284" s="1215" t="s">
        <v>253</v>
      </c>
      <c r="R284" s="1215" t="s">
        <v>255</v>
      </c>
      <c r="S284" s="1215" t="s">
        <v>534</v>
      </c>
      <c r="T284" s="1215" t="s">
        <v>533</v>
      </c>
      <c r="U284" s="6" t="s">
        <v>539</v>
      </c>
      <c r="V284" s="6" t="s">
        <v>34</v>
      </c>
      <c r="W284" s="6" t="s">
        <v>546</v>
      </c>
      <c r="X284" s="6" t="s">
        <v>188</v>
      </c>
    </row>
    <row r="285" spans="1:24" ht="15" customHeight="1" x14ac:dyDescent="0.3">
      <c r="A285" s="6" t="s">
        <v>533</v>
      </c>
      <c r="B285" s="6" t="s">
        <v>534</v>
      </c>
      <c r="C285" s="6" t="s">
        <v>34</v>
      </c>
      <c r="D285" s="1088" t="s">
        <v>539</v>
      </c>
      <c r="E285" s="6" t="s">
        <v>187</v>
      </c>
      <c r="F285" s="6" t="s">
        <v>951</v>
      </c>
      <c r="G285" s="6" t="s">
        <v>3007</v>
      </c>
      <c r="H285" s="6" t="s">
        <v>1609</v>
      </c>
      <c r="J285" s="1215" t="s">
        <v>509</v>
      </c>
      <c r="K285" s="1219" t="s">
        <v>3110</v>
      </c>
      <c r="L285" s="8">
        <v>30</v>
      </c>
      <c r="M285" s="8">
        <v>261</v>
      </c>
      <c r="N285" s="1169" t="s">
        <v>271</v>
      </c>
      <c r="P285" s="6" t="s">
        <v>3324</v>
      </c>
      <c r="Q285" s="1215" t="s">
        <v>253</v>
      </c>
      <c r="R285" s="1215" t="s">
        <v>255</v>
      </c>
      <c r="S285" s="1215" t="s">
        <v>534</v>
      </c>
      <c r="T285" s="1215" t="s">
        <v>533</v>
      </c>
      <c r="U285" s="6" t="s">
        <v>539</v>
      </c>
      <c r="V285" s="6" t="s">
        <v>34</v>
      </c>
      <c r="W285" s="6" t="s">
        <v>951</v>
      </c>
      <c r="X285" s="6" t="s">
        <v>187</v>
      </c>
    </row>
    <row r="286" spans="1:24" ht="15" customHeight="1" x14ac:dyDescent="0.3">
      <c r="A286" s="6" t="s">
        <v>533</v>
      </c>
      <c r="B286" s="6" t="s">
        <v>534</v>
      </c>
      <c r="C286" s="6" t="s">
        <v>34</v>
      </c>
      <c r="D286" s="1088" t="s">
        <v>539</v>
      </c>
      <c r="E286" s="6" t="s">
        <v>187</v>
      </c>
      <c r="F286" s="6" t="s">
        <v>951</v>
      </c>
      <c r="G286" s="6" t="s">
        <v>3007</v>
      </c>
      <c r="H286" s="6" t="s">
        <v>1609</v>
      </c>
      <c r="J286" s="1215" t="s">
        <v>509</v>
      </c>
      <c r="K286" s="1219" t="s">
        <v>3111</v>
      </c>
      <c r="L286" s="8">
        <v>85</v>
      </c>
      <c r="M286" s="8">
        <v>537</v>
      </c>
      <c r="N286" s="1169" t="s">
        <v>271</v>
      </c>
      <c r="P286" s="6" t="s">
        <v>3324</v>
      </c>
      <c r="Q286" s="1215" t="s">
        <v>253</v>
      </c>
      <c r="R286" s="1215" t="s">
        <v>255</v>
      </c>
      <c r="S286" s="1215" t="s">
        <v>534</v>
      </c>
      <c r="T286" s="1215" t="s">
        <v>533</v>
      </c>
      <c r="U286" s="6" t="s">
        <v>539</v>
      </c>
      <c r="V286" s="6" t="s">
        <v>34</v>
      </c>
      <c r="W286" s="6" t="s">
        <v>951</v>
      </c>
      <c r="X286" s="6" t="s">
        <v>187</v>
      </c>
    </row>
    <row r="287" spans="1:24" ht="15" customHeight="1" x14ac:dyDescent="0.3">
      <c r="A287" s="6" t="s">
        <v>533</v>
      </c>
      <c r="B287" s="6" t="s">
        <v>534</v>
      </c>
      <c r="C287" s="6" t="s">
        <v>34</v>
      </c>
      <c r="D287" s="1088" t="s">
        <v>539</v>
      </c>
      <c r="E287" s="6" t="s">
        <v>187</v>
      </c>
      <c r="F287" s="6" t="s">
        <v>951</v>
      </c>
      <c r="G287" s="6" t="s">
        <v>3007</v>
      </c>
      <c r="H287" s="6" t="s">
        <v>1609</v>
      </c>
      <c r="J287" s="1215" t="s">
        <v>509</v>
      </c>
      <c r="K287" s="1219" t="s">
        <v>3112</v>
      </c>
      <c r="L287" s="8">
        <v>58</v>
      </c>
      <c r="M287" s="8">
        <v>500</v>
      </c>
      <c r="N287" s="1169" t="s">
        <v>271</v>
      </c>
      <c r="P287" s="6" t="s">
        <v>3324</v>
      </c>
      <c r="Q287" s="1215" t="s">
        <v>253</v>
      </c>
      <c r="R287" s="1215" t="s">
        <v>255</v>
      </c>
      <c r="S287" s="1215" t="s">
        <v>534</v>
      </c>
      <c r="T287" s="1215" t="s">
        <v>533</v>
      </c>
      <c r="U287" s="6" t="s">
        <v>539</v>
      </c>
      <c r="V287" s="6" t="s">
        <v>34</v>
      </c>
      <c r="W287" s="6" t="s">
        <v>951</v>
      </c>
      <c r="X287" s="6" t="s">
        <v>187</v>
      </c>
    </row>
    <row r="288" spans="1:24" ht="15" customHeight="1" x14ac:dyDescent="0.3">
      <c r="A288" s="6" t="s">
        <v>533</v>
      </c>
      <c r="B288" s="6" t="s">
        <v>534</v>
      </c>
      <c r="C288" s="6" t="s">
        <v>31</v>
      </c>
      <c r="D288" s="1088" t="s">
        <v>549</v>
      </c>
      <c r="E288" s="6" t="s">
        <v>169</v>
      </c>
      <c r="F288" s="6" t="s">
        <v>673</v>
      </c>
      <c r="G288" s="6" t="s">
        <v>2868</v>
      </c>
      <c r="H288" s="6" t="s">
        <v>1132</v>
      </c>
      <c r="J288" s="1215" t="s">
        <v>509</v>
      </c>
      <c r="K288" s="1219" t="s">
        <v>3033</v>
      </c>
      <c r="L288" s="8">
        <v>65</v>
      </c>
      <c r="M288" s="8">
        <v>276</v>
      </c>
      <c r="N288" s="1169" t="s">
        <v>271</v>
      </c>
      <c r="P288" s="6" t="s">
        <v>3324</v>
      </c>
      <c r="Q288" s="1215" t="s">
        <v>253</v>
      </c>
      <c r="R288" s="1215" t="s">
        <v>255</v>
      </c>
      <c r="S288" s="1215" t="s">
        <v>534</v>
      </c>
      <c r="T288" s="1215" t="s">
        <v>533</v>
      </c>
      <c r="U288" s="6" t="s">
        <v>549</v>
      </c>
      <c r="V288" s="6" t="s">
        <v>31</v>
      </c>
      <c r="W288" s="6" t="s">
        <v>673</v>
      </c>
      <c r="X288" s="6" t="s">
        <v>169</v>
      </c>
    </row>
    <row r="289" spans="1:24" ht="15" customHeight="1" x14ac:dyDescent="0.3">
      <c r="A289" s="6" t="s">
        <v>533</v>
      </c>
      <c r="B289" s="6" t="s">
        <v>534</v>
      </c>
      <c r="C289" s="6" t="s">
        <v>31</v>
      </c>
      <c r="D289" s="1088" t="s">
        <v>549</v>
      </c>
      <c r="E289" s="6" t="s">
        <v>169</v>
      </c>
      <c r="F289" s="6" t="s">
        <v>673</v>
      </c>
      <c r="G289" s="6" t="s">
        <v>827</v>
      </c>
      <c r="H289" s="6" t="s">
        <v>3305</v>
      </c>
      <c r="J289" s="1215" t="s">
        <v>509</v>
      </c>
      <c r="K289" s="1219" t="s">
        <v>3033</v>
      </c>
      <c r="L289" s="8">
        <v>145</v>
      </c>
      <c r="M289" s="8">
        <v>1259</v>
      </c>
      <c r="N289" s="1169" t="s">
        <v>271</v>
      </c>
      <c r="P289" s="6" t="s">
        <v>3324</v>
      </c>
      <c r="Q289" s="1215" t="s">
        <v>253</v>
      </c>
      <c r="R289" s="1215" t="s">
        <v>255</v>
      </c>
      <c r="S289" s="1215" t="s">
        <v>534</v>
      </c>
      <c r="T289" s="1215" t="s">
        <v>533</v>
      </c>
      <c r="U289" s="6" t="s">
        <v>549</v>
      </c>
      <c r="V289" s="6" t="s">
        <v>31</v>
      </c>
      <c r="W289" s="6" t="s">
        <v>673</v>
      </c>
      <c r="X289" s="6" t="s">
        <v>169</v>
      </c>
    </row>
    <row r="290" spans="1:24" ht="15" customHeight="1" x14ac:dyDescent="0.3">
      <c r="A290" s="6" t="s">
        <v>533</v>
      </c>
      <c r="B290" s="6" t="s">
        <v>534</v>
      </c>
      <c r="C290" s="6" t="s">
        <v>31</v>
      </c>
      <c r="D290" s="1088" t="s">
        <v>549</v>
      </c>
      <c r="E290" s="6" t="s">
        <v>169</v>
      </c>
      <c r="F290" s="6" t="s">
        <v>673</v>
      </c>
      <c r="G290" s="6" t="s">
        <v>827</v>
      </c>
      <c r="H290" s="6" t="s">
        <v>3305</v>
      </c>
      <c r="J290" s="1215" t="s">
        <v>509</v>
      </c>
      <c r="K290" s="1219" t="s">
        <v>3109</v>
      </c>
      <c r="L290" s="8">
        <v>8</v>
      </c>
      <c r="M290" s="8">
        <v>73</v>
      </c>
      <c r="N290" s="1169" t="s">
        <v>271</v>
      </c>
      <c r="P290" s="6" t="s">
        <v>3324</v>
      </c>
      <c r="Q290" s="1215" t="s">
        <v>253</v>
      </c>
      <c r="R290" s="1215" t="s">
        <v>255</v>
      </c>
      <c r="S290" s="1215" t="s">
        <v>534</v>
      </c>
      <c r="T290" s="1215" t="s">
        <v>533</v>
      </c>
      <c r="U290" s="6" t="s">
        <v>549</v>
      </c>
      <c r="V290" s="6" t="s">
        <v>31</v>
      </c>
      <c r="W290" s="6" t="s">
        <v>673</v>
      </c>
      <c r="X290" s="6" t="s">
        <v>169</v>
      </c>
    </row>
    <row r="291" spans="1:24" ht="15" customHeight="1" x14ac:dyDescent="0.3">
      <c r="A291" s="6" t="s">
        <v>533</v>
      </c>
      <c r="B291" s="6" t="s">
        <v>534</v>
      </c>
      <c r="C291" s="6" t="s">
        <v>31</v>
      </c>
      <c r="D291" s="1088" t="s">
        <v>549</v>
      </c>
      <c r="E291" s="6" t="s">
        <v>169</v>
      </c>
      <c r="F291" s="6" t="s">
        <v>673</v>
      </c>
      <c r="G291" s="6" t="s">
        <v>1446</v>
      </c>
      <c r="H291" s="6" t="s">
        <v>1469</v>
      </c>
      <c r="J291" s="1215" t="s">
        <v>509</v>
      </c>
      <c r="K291" s="1219" t="s">
        <v>3033</v>
      </c>
      <c r="L291" s="8">
        <v>35</v>
      </c>
      <c r="M291" s="8">
        <v>355</v>
      </c>
      <c r="N291" s="1169" t="s">
        <v>271</v>
      </c>
      <c r="P291" s="6" t="s">
        <v>3324</v>
      </c>
      <c r="Q291" s="1215" t="s">
        <v>253</v>
      </c>
      <c r="R291" s="1215" t="s">
        <v>255</v>
      </c>
      <c r="S291" s="1215" t="s">
        <v>534</v>
      </c>
      <c r="T291" s="1215" t="s">
        <v>533</v>
      </c>
      <c r="U291" s="6" t="s">
        <v>549</v>
      </c>
      <c r="V291" s="6" t="s">
        <v>31</v>
      </c>
      <c r="W291" s="6" t="s">
        <v>673</v>
      </c>
      <c r="X291" s="6" t="s">
        <v>169</v>
      </c>
    </row>
    <row r="292" spans="1:24" ht="15" customHeight="1" x14ac:dyDescent="0.3">
      <c r="A292" s="6" t="s">
        <v>533</v>
      </c>
      <c r="B292" s="6" t="s">
        <v>534</v>
      </c>
      <c r="C292" s="6" t="s">
        <v>31</v>
      </c>
      <c r="D292" s="1088" t="s">
        <v>549</v>
      </c>
      <c r="E292" s="6" t="s">
        <v>169</v>
      </c>
      <c r="F292" s="6" t="s">
        <v>673</v>
      </c>
      <c r="G292" s="6" t="s">
        <v>1446</v>
      </c>
      <c r="H292" s="6" t="s">
        <v>1469</v>
      </c>
      <c r="J292" s="1215" t="s">
        <v>509</v>
      </c>
      <c r="K292" s="1219" t="s">
        <v>3109</v>
      </c>
      <c r="L292" s="8">
        <v>0</v>
      </c>
      <c r="M292" s="8">
        <v>15</v>
      </c>
      <c r="N292" s="1169" t="s">
        <v>271</v>
      </c>
      <c r="P292" s="6" t="s">
        <v>3324</v>
      </c>
      <c r="Q292" s="1215" t="s">
        <v>253</v>
      </c>
      <c r="R292" s="1215" t="s">
        <v>255</v>
      </c>
      <c r="S292" s="1215" t="s">
        <v>534</v>
      </c>
      <c r="T292" s="1215" t="s">
        <v>533</v>
      </c>
      <c r="U292" s="6" t="s">
        <v>549</v>
      </c>
      <c r="V292" s="6" t="s">
        <v>31</v>
      </c>
      <c r="W292" s="6" t="s">
        <v>673</v>
      </c>
      <c r="X292" s="6" t="s">
        <v>169</v>
      </c>
    </row>
    <row r="293" spans="1:24" ht="15" customHeight="1" x14ac:dyDescent="0.3">
      <c r="A293" s="6" t="s">
        <v>533</v>
      </c>
      <c r="B293" s="6" t="s">
        <v>534</v>
      </c>
      <c r="C293" s="6" t="s">
        <v>31</v>
      </c>
      <c r="D293" s="1088" t="s">
        <v>549</v>
      </c>
      <c r="E293" s="6" t="s">
        <v>169</v>
      </c>
      <c r="F293" s="6" t="s">
        <v>673</v>
      </c>
      <c r="G293" s="6" t="s">
        <v>1129</v>
      </c>
      <c r="H293" s="6" t="s">
        <v>1561</v>
      </c>
      <c r="J293" s="1215" t="s">
        <v>509</v>
      </c>
      <c r="K293" s="1219" t="s">
        <v>3033</v>
      </c>
      <c r="L293" s="8">
        <v>81</v>
      </c>
      <c r="M293" s="8">
        <v>635</v>
      </c>
      <c r="N293" s="1169" t="s">
        <v>271</v>
      </c>
      <c r="P293" s="6" t="s">
        <v>3324</v>
      </c>
      <c r="Q293" s="1215" t="s">
        <v>253</v>
      </c>
      <c r="R293" s="1215" t="s">
        <v>255</v>
      </c>
      <c r="S293" s="1215" t="s">
        <v>534</v>
      </c>
      <c r="T293" s="1215" t="s">
        <v>533</v>
      </c>
      <c r="U293" s="6" t="s">
        <v>549</v>
      </c>
      <c r="V293" s="6" t="s">
        <v>31</v>
      </c>
      <c r="W293" s="6" t="s">
        <v>673</v>
      </c>
      <c r="X293" s="6" t="s">
        <v>169</v>
      </c>
    </row>
    <row r="294" spans="1:24" ht="15" customHeight="1" x14ac:dyDescent="0.3">
      <c r="A294" s="6" t="s">
        <v>533</v>
      </c>
      <c r="B294" s="6" t="s">
        <v>534</v>
      </c>
      <c r="C294" s="6" t="s">
        <v>33</v>
      </c>
      <c r="D294" s="1088" t="s">
        <v>561</v>
      </c>
      <c r="E294" s="6" t="s">
        <v>183</v>
      </c>
      <c r="F294" s="6" t="s">
        <v>562</v>
      </c>
      <c r="G294" s="6" t="s">
        <v>1722</v>
      </c>
      <c r="H294" s="6" t="s">
        <v>1723</v>
      </c>
      <c r="J294" s="1215" t="s">
        <v>509</v>
      </c>
      <c r="K294" s="1219" t="s">
        <v>3033</v>
      </c>
      <c r="L294" s="8">
        <v>18</v>
      </c>
      <c r="M294" s="8">
        <v>87</v>
      </c>
      <c r="N294" s="1169" t="s">
        <v>271</v>
      </c>
      <c r="P294" s="6" t="s">
        <v>3322</v>
      </c>
      <c r="Q294" s="1215" t="s">
        <v>253</v>
      </c>
      <c r="R294" s="1215" t="s">
        <v>255</v>
      </c>
      <c r="S294" s="1215" t="s">
        <v>534</v>
      </c>
      <c r="T294" s="1215" t="s">
        <v>533</v>
      </c>
      <c r="U294" s="6" t="s">
        <v>539</v>
      </c>
      <c r="V294" s="6" t="s">
        <v>34</v>
      </c>
    </row>
    <row r="295" spans="1:24" ht="15" customHeight="1" x14ac:dyDescent="0.3">
      <c r="A295" s="6" t="s">
        <v>533</v>
      </c>
      <c r="B295" s="6" t="s">
        <v>534</v>
      </c>
      <c r="C295" s="6" t="s">
        <v>33</v>
      </c>
      <c r="D295" s="1088" t="s">
        <v>561</v>
      </c>
      <c r="E295" s="6" t="s">
        <v>184</v>
      </c>
      <c r="F295" s="6" t="s">
        <v>2225</v>
      </c>
      <c r="G295" s="6" t="s">
        <v>2961</v>
      </c>
      <c r="H295" s="6" t="s">
        <v>2226</v>
      </c>
      <c r="J295" s="1215" t="s">
        <v>509</v>
      </c>
      <c r="K295" s="1219" t="s">
        <v>3033</v>
      </c>
      <c r="L295" s="8">
        <v>11</v>
      </c>
      <c r="M295" s="8">
        <v>48</v>
      </c>
      <c r="N295" s="1169" t="s">
        <v>271</v>
      </c>
      <c r="P295" s="6" t="s">
        <v>3322</v>
      </c>
      <c r="Q295" s="1215" t="s">
        <v>253</v>
      </c>
      <c r="R295" s="1215" t="s">
        <v>255</v>
      </c>
      <c r="S295" s="1215" t="s">
        <v>534</v>
      </c>
      <c r="T295" s="1215" t="s">
        <v>533</v>
      </c>
      <c r="U295" s="6" t="s">
        <v>539</v>
      </c>
      <c r="V295" s="6" t="s">
        <v>34</v>
      </c>
    </row>
    <row r="296" spans="1:24" ht="15" customHeight="1" x14ac:dyDescent="0.3">
      <c r="A296" s="6" t="s">
        <v>533</v>
      </c>
      <c r="B296" s="6" t="s">
        <v>534</v>
      </c>
      <c r="C296" s="6" t="s">
        <v>31</v>
      </c>
      <c r="D296" s="1088" t="s">
        <v>549</v>
      </c>
      <c r="E296" s="6" t="s">
        <v>172</v>
      </c>
      <c r="F296" s="6" t="s">
        <v>706</v>
      </c>
      <c r="G296" s="6" t="s">
        <v>1160</v>
      </c>
      <c r="H296" s="6" t="s">
        <v>1126</v>
      </c>
      <c r="J296" s="1215" t="s">
        <v>509</v>
      </c>
      <c r="K296" s="1219" t="s">
        <v>3111</v>
      </c>
      <c r="L296" s="8">
        <v>9</v>
      </c>
      <c r="M296" s="8">
        <v>46</v>
      </c>
      <c r="N296" s="1169" t="s">
        <v>274</v>
      </c>
      <c r="P296" s="6" t="s">
        <v>3323</v>
      </c>
      <c r="Q296" s="1215" t="s">
        <v>253</v>
      </c>
      <c r="R296" s="1215" t="s">
        <v>255</v>
      </c>
      <c r="S296" s="1215" t="s">
        <v>534</v>
      </c>
      <c r="T296" s="1215" t="s">
        <v>533</v>
      </c>
      <c r="U296" s="6" t="s">
        <v>549</v>
      </c>
      <c r="V296" s="6" t="s">
        <v>31</v>
      </c>
      <c r="W296" s="6" t="s">
        <v>673</v>
      </c>
      <c r="X296" s="6" t="s">
        <v>169</v>
      </c>
    </row>
    <row r="297" spans="1:24" ht="15" customHeight="1" x14ac:dyDescent="0.3">
      <c r="A297" s="6" t="s">
        <v>533</v>
      </c>
      <c r="B297" s="6" t="s">
        <v>534</v>
      </c>
      <c r="C297" s="6" t="s">
        <v>31</v>
      </c>
      <c r="D297" s="1088" t="s">
        <v>549</v>
      </c>
      <c r="E297" s="6" t="s">
        <v>172</v>
      </c>
      <c r="F297" s="6" t="s">
        <v>706</v>
      </c>
      <c r="G297" s="6" t="s">
        <v>1160</v>
      </c>
      <c r="H297" s="6" t="s">
        <v>1126</v>
      </c>
      <c r="J297" s="1215" t="s">
        <v>509</v>
      </c>
      <c r="K297" s="1219" t="s">
        <v>3112</v>
      </c>
      <c r="L297" s="8">
        <v>0</v>
      </c>
      <c r="M297" s="8">
        <v>6</v>
      </c>
      <c r="N297" s="1169" t="s">
        <v>274</v>
      </c>
      <c r="P297" s="6" t="s">
        <v>3323</v>
      </c>
      <c r="Q297" s="1215" t="s">
        <v>253</v>
      </c>
      <c r="R297" s="1215" t="s">
        <v>255</v>
      </c>
      <c r="S297" s="1215" t="s">
        <v>534</v>
      </c>
      <c r="T297" s="1215" t="s">
        <v>533</v>
      </c>
      <c r="U297" s="6" t="s">
        <v>549</v>
      </c>
      <c r="V297" s="6" t="s">
        <v>31</v>
      </c>
      <c r="W297" s="6" t="s">
        <v>673</v>
      </c>
      <c r="X297" s="6" t="s">
        <v>169</v>
      </c>
    </row>
    <row r="298" spans="1:24" ht="15" customHeight="1" x14ac:dyDescent="0.3">
      <c r="A298" s="6" t="s">
        <v>533</v>
      </c>
      <c r="B298" s="6" t="s">
        <v>534</v>
      </c>
      <c r="C298" s="6" t="s">
        <v>31</v>
      </c>
      <c r="D298" s="1088" t="s">
        <v>549</v>
      </c>
      <c r="E298" s="6" t="s">
        <v>172</v>
      </c>
      <c r="F298" s="6" t="s">
        <v>706</v>
      </c>
      <c r="G298" s="6" t="s">
        <v>550</v>
      </c>
      <c r="H298" s="6" t="s">
        <v>3118</v>
      </c>
      <c r="I298" s="6" t="s">
        <v>3118</v>
      </c>
      <c r="J298" s="1215" t="s">
        <v>509</v>
      </c>
      <c r="K298" s="1219" t="s">
        <v>3111</v>
      </c>
      <c r="L298" s="8">
        <v>15</v>
      </c>
      <c r="M298" s="8">
        <v>68</v>
      </c>
      <c r="N298" s="1169" t="s">
        <v>271</v>
      </c>
      <c r="P298" s="6" t="s">
        <v>3324</v>
      </c>
      <c r="Q298" s="1215" t="s">
        <v>253</v>
      </c>
      <c r="R298" s="1215" t="s">
        <v>255</v>
      </c>
      <c r="S298" s="1215" t="s">
        <v>534</v>
      </c>
      <c r="T298" s="1215" t="s">
        <v>533</v>
      </c>
      <c r="U298" s="6" t="s">
        <v>549</v>
      </c>
      <c r="V298" s="6" t="s">
        <v>31</v>
      </c>
      <c r="W298" s="6" t="s">
        <v>706</v>
      </c>
      <c r="X298" s="6" t="s">
        <v>172</v>
      </c>
    </row>
    <row r="299" spans="1:24" ht="15" customHeight="1" x14ac:dyDescent="0.3">
      <c r="A299" s="6" t="s">
        <v>533</v>
      </c>
      <c r="B299" s="6" t="s">
        <v>534</v>
      </c>
      <c r="C299" s="6" t="s">
        <v>31</v>
      </c>
      <c r="D299" s="1088" t="s">
        <v>549</v>
      </c>
      <c r="E299" s="6" t="s">
        <v>172</v>
      </c>
      <c r="F299" s="6" t="s">
        <v>706</v>
      </c>
      <c r="G299" s="6" t="s">
        <v>550</v>
      </c>
      <c r="H299" s="6" t="s">
        <v>3118</v>
      </c>
      <c r="I299" s="6" t="s">
        <v>3118</v>
      </c>
      <c r="J299" s="1215" t="s">
        <v>509</v>
      </c>
      <c r="K299" s="1219" t="s">
        <v>3112</v>
      </c>
      <c r="L299" s="8">
        <v>7</v>
      </c>
      <c r="M299" s="8">
        <v>36</v>
      </c>
      <c r="N299" s="1169" t="s">
        <v>274</v>
      </c>
      <c r="P299" s="6" t="s">
        <v>3323</v>
      </c>
      <c r="Q299" s="1215" t="s">
        <v>253</v>
      </c>
      <c r="R299" s="1215" t="s">
        <v>255</v>
      </c>
      <c r="S299" s="1215" t="s">
        <v>534</v>
      </c>
      <c r="T299" s="1215" t="s">
        <v>533</v>
      </c>
      <c r="U299" s="6" t="s">
        <v>549</v>
      </c>
      <c r="V299" s="6" t="s">
        <v>31</v>
      </c>
      <c r="W299" s="6" t="s">
        <v>673</v>
      </c>
      <c r="X299" s="6" t="s">
        <v>169</v>
      </c>
    </row>
    <row r="300" spans="1:24" ht="15" customHeight="1" x14ac:dyDescent="0.3">
      <c r="A300" s="6" t="s">
        <v>533</v>
      </c>
      <c r="B300" s="6" t="s">
        <v>534</v>
      </c>
      <c r="C300" s="6" t="s">
        <v>31</v>
      </c>
      <c r="D300" s="1088" t="s">
        <v>549</v>
      </c>
      <c r="E300" s="6" t="s">
        <v>172</v>
      </c>
      <c r="F300" s="6" t="s">
        <v>706</v>
      </c>
      <c r="G300" s="6" t="s">
        <v>550</v>
      </c>
      <c r="H300" s="6" t="s">
        <v>3118</v>
      </c>
      <c r="I300" s="6" t="s">
        <v>3118</v>
      </c>
      <c r="J300" s="1215" t="s">
        <v>509</v>
      </c>
      <c r="K300" s="1219" t="s">
        <v>3033</v>
      </c>
      <c r="L300" s="8">
        <v>0</v>
      </c>
      <c r="M300" s="8">
        <v>5</v>
      </c>
      <c r="N300" s="1169" t="s">
        <v>271</v>
      </c>
      <c r="P300" s="6" t="s">
        <v>3324</v>
      </c>
      <c r="Q300" s="1215" t="s">
        <v>253</v>
      </c>
      <c r="R300" s="1215" t="s">
        <v>255</v>
      </c>
      <c r="S300" s="1215" t="s">
        <v>534</v>
      </c>
      <c r="T300" s="1215" t="s">
        <v>533</v>
      </c>
      <c r="U300" s="6" t="s">
        <v>549</v>
      </c>
      <c r="V300" s="6" t="s">
        <v>31</v>
      </c>
      <c r="W300" s="6" t="s">
        <v>706</v>
      </c>
      <c r="X300" s="6" t="s">
        <v>172</v>
      </c>
    </row>
    <row r="301" spans="1:24" ht="15" customHeight="1" x14ac:dyDescent="0.3">
      <c r="A301" s="6" t="s">
        <v>533</v>
      </c>
      <c r="B301" s="6" t="s">
        <v>534</v>
      </c>
      <c r="C301" s="6" t="s">
        <v>34</v>
      </c>
      <c r="D301" s="1088" t="s">
        <v>539</v>
      </c>
      <c r="E301" s="6" t="s">
        <v>187</v>
      </c>
      <c r="F301" s="6" t="s">
        <v>951</v>
      </c>
      <c r="G301" s="6" t="s">
        <v>2556</v>
      </c>
      <c r="H301" s="6" t="s">
        <v>3266</v>
      </c>
      <c r="J301" s="1215" t="s">
        <v>509</v>
      </c>
      <c r="K301" s="1219" t="s">
        <v>3110</v>
      </c>
      <c r="L301" s="8">
        <v>279</v>
      </c>
      <c r="M301" s="8">
        <v>2285</v>
      </c>
      <c r="N301" s="1169" t="s">
        <v>271</v>
      </c>
      <c r="P301" s="6" t="s">
        <v>3324</v>
      </c>
      <c r="Q301" s="1215" t="s">
        <v>253</v>
      </c>
      <c r="R301" s="1215" t="s">
        <v>255</v>
      </c>
      <c r="S301" s="1215" t="s">
        <v>534</v>
      </c>
      <c r="T301" s="1215" t="s">
        <v>533</v>
      </c>
      <c r="U301" s="6" t="s">
        <v>539</v>
      </c>
      <c r="V301" s="6" t="s">
        <v>34</v>
      </c>
      <c r="W301" s="6" t="s">
        <v>951</v>
      </c>
      <c r="X301" s="6" t="s">
        <v>187</v>
      </c>
    </row>
    <row r="302" spans="1:24" ht="15" customHeight="1" x14ac:dyDescent="0.3">
      <c r="A302" s="6" t="s">
        <v>533</v>
      </c>
      <c r="B302" s="6" t="s">
        <v>534</v>
      </c>
      <c r="C302" s="6" t="s">
        <v>34</v>
      </c>
      <c r="D302" s="1088" t="s">
        <v>539</v>
      </c>
      <c r="E302" s="6" t="s">
        <v>187</v>
      </c>
      <c r="F302" s="6" t="s">
        <v>951</v>
      </c>
      <c r="G302" s="6" t="s">
        <v>2556</v>
      </c>
      <c r="H302" s="6" t="s">
        <v>3266</v>
      </c>
      <c r="J302" s="1215" t="s">
        <v>509</v>
      </c>
      <c r="K302" s="1219" t="s">
        <v>3111</v>
      </c>
      <c r="L302" s="8">
        <v>2</v>
      </c>
      <c r="M302" s="8">
        <v>35</v>
      </c>
      <c r="N302" s="6" t="s">
        <v>271</v>
      </c>
      <c r="P302" s="6" t="s">
        <v>3324</v>
      </c>
      <c r="Q302" s="1215" t="s">
        <v>253</v>
      </c>
      <c r="R302" s="1215" t="s">
        <v>255</v>
      </c>
      <c r="S302" s="1215" t="s">
        <v>534</v>
      </c>
      <c r="T302" s="1215" t="s">
        <v>533</v>
      </c>
      <c r="U302" s="6" t="s">
        <v>539</v>
      </c>
      <c r="V302" s="6" t="s">
        <v>34</v>
      </c>
      <c r="W302" s="6" t="s">
        <v>951</v>
      </c>
      <c r="X302" s="6" t="s">
        <v>187</v>
      </c>
    </row>
    <row r="303" spans="1:24" ht="15" customHeight="1" x14ac:dyDescent="0.3">
      <c r="A303" s="6" t="s">
        <v>533</v>
      </c>
      <c r="B303" s="6" t="s">
        <v>534</v>
      </c>
      <c r="C303" s="6" t="s">
        <v>34</v>
      </c>
      <c r="D303" s="1088" t="s">
        <v>539</v>
      </c>
      <c r="E303" s="6" t="s">
        <v>187</v>
      </c>
      <c r="F303" s="6" t="s">
        <v>951</v>
      </c>
      <c r="G303" s="6" t="s">
        <v>2556</v>
      </c>
      <c r="H303" s="6" t="s">
        <v>3266</v>
      </c>
      <c r="J303" s="1215" t="s">
        <v>509</v>
      </c>
      <c r="K303" s="1219" t="s">
        <v>3112</v>
      </c>
      <c r="L303" s="8">
        <v>34</v>
      </c>
      <c r="M303" s="8">
        <v>288</v>
      </c>
      <c r="N303" s="1169" t="s">
        <v>271</v>
      </c>
      <c r="P303" s="6" t="s">
        <v>3324</v>
      </c>
      <c r="Q303" s="1215" t="s">
        <v>253</v>
      </c>
      <c r="R303" s="1215" t="s">
        <v>255</v>
      </c>
      <c r="S303" s="1215" t="s">
        <v>534</v>
      </c>
      <c r="T303" s="1215" t="s">
        <v>533</v>
      </c>
      <c r="U303" s="6" t="s">
        <v>539</v>
      </c>
      <c r="V303" s="6" t="s">
        <v>34</v>
      </c>
      <c r="W303" s="6" t="s">
        <v>951</v>
      </c>
      <c r="X303" s="6" t="s">
        <v>187</v>
      </c>
    </row>
    <row r="304" spans="1:24" ht="15" customHeight="1" x14ac:dyDescent="0.3">
      <c r="A304" s="6" t="s">
        <v>533</v>
      </c>
      <c r="B304" s="6" t="s">
        <v>534</v>
      </c>
      <c r="C304" s="6" t="s">
        <v>31</v>
      </c>
      <c r="D304" s="1088" t="s">
        <v>549</v>
      </c>
      <c r="E304" s="6" t="s">
        <v>171</v>
      </c>
      <c r="F304" s="6" t="s">
        <v>634</v>
      </c>
      <c r="G304" s="6" t="s">
        <v>2596</v>
      </c>
      <c r="H304" s="6" t="s">
        <v>1915</v>
      </c>
      <c r="J304" s="1215" t="s">
        <v>509</v>
      </c>
      <c r="K304" s="1219" t="s">
        <v>3033</v>
      </c>
      <c r="L304" s="8">
        <v>10</v>
      </c>
      <c r="M304" s="8">
        <v>66</v>
      </c>
      <c r="N304" s="1169" t="s">
        <v>271</v>
      </c>
      <c r="P304" s="6" t="s">
        <v>3323</v>
      </c>
      <c r="Q304" s="1215" t="s">
        <v>253</v>
      </c>
      <c r="R304" s="1215" t="s">
        <v>255</v>
      </c>
      <c r="S304" s="1215" t="s">
        <v>534</v>
      </c>
      <c r="T304" s="1215" t="s">
        <v>533</v>
      </c>
      <c r="U304" s="6" t="s">
        <v>549</v>
      </c>
      <c r="V304" s="6" t="s">
        <v>31</v>
      </c>
      <c r="W304" s="6" t="s">
        <v>844</v>
      </c>
      <c r="X304" s="6" t="s">
        <v>166</v>
      </c>
    </row>
    <row r="305" spans="1:24" ht="15" customHeight="1" x14ac:dyDescent="0.3">
      <c r="A305" s="6" t="s">
        <v>533</v>
      </c>
      <c r="B305" s="6" t="s">
        <v>534</v>
      </c>
      <c r="C305" s="6" t="s">
        <v>31</v>
      </c>
      <c r="D305" s="1088" t="s">
        <v>549</v>
      </c>
      <c r="E305" s="6" t="s">
        <v>171</v>
      </c>
      <c r="F305" s="6" t="s">
        <v>634</v>
      </c>
      <c r="G305" s="6" t="s">
        <v>2596</v>
      </c>
      <c r="H305" s="6" t="s">
        <v>1915</v>
      </c>
      <c r="J305" s="1215" t="s">
        <v>509</v>
      </c>
      <c r="K305" s="1219" t="s">
        <v>3110</v>
      </c>
      <c r="L305" s="8">
        <v>10</v>
      </c>
      <c r="M305" s="8">
        <v>55</v>
      </c>
      <c r="N305" s="6" t="s">
        <v>271</v>
      </c>
      <c r="O305" s="1088"/>
      <c r="P305" s="6" t="s">
        <v>3323</v>
      </c>
      <c r="Q305" s="1215" t="s">
        <v>253</v>
      </c>
      <c r="R305" s="1215" t="s">
        <v>255</v>
      </c>
      <c r="S305" s="1215" t="s">
        <v>534</v>
      </c>
      <c r="T305" s="1215" t="s">
        <v>533</v>
      </c>
      <c r="U305" s="6" t="s">
        <v>549</v>
      </c>
      <c r="V305" s="6" t="s">
        <v>31</v>
      </c>
      <c r="W305" s="6" t="s">
        <v>844</v>
      </c>
      <c r="X305" s="6" t="s">
        <v>166</v>
      </c>
    </row>
    <row r="306" spans="1:24" ht="15" customHeight="1" x14ac:dyDescent="0.3">
      <c r="A306" s="6" t="s">
        <v>533</v>
      </c>
      <c r="B306" s="6" t="s">
        <v>534</v>
      </c>
      <c r="C306" s="6" t="s">
        <v>31</v>
      </c>
      <c r="D306" s="1088" t="s">
        <v>549</v>
      </c>
      <c r="E306" s="6" t="s">
        <v>171</v>
      </c>
      <c r="F306" s="6" t="s">
        <v>634</v>
      </c>
      <c r="G306" s="6" t="s">
        <v>1216</v>
      </c>
      <c r="H306" s="6" t="s">
        <v>1393</v>
      </c>
      <c r="J306" s="1215" t="s">
        <v>509</v>
      </c>
      <c r="K306" s="1219" t="s">
        <v>3033</v>
      </c>
      <c r="L306" s="8">
        <v>12</v>
      </c>
      <c r="M306" s="8">
        <v>55</v>
      </c>
      <c r="N306" s="1169" t="s">
        <v>271</v>
      </c>
      <c r="P306" s="6" t="s">
        <v>3324</v>
      </c>
      <c r="Q306" s="1215" t="s">
        <v>253</v>
      </c>
      <c r="R306" s="1215" t="s">
        <v>255</v>
      </c>
      <c r="S306" s="1215" t="s">
        <v>534</v>
      </c>
      <c r="T306" s="1215" t="s">
        <v>533</v>
      </c>
      <c r="U306" s="6" t="s">
        <v>549</v>
      </c>
      <c r="V306" s="6" t="s">
        <v>31</v>
      </c>
      <c r="W306" s="6" t="s">
        <v>634</v>
      </c>
      <c r="X306" s="6" t="s">
        <v>171</v>
      </c>
    </row>
    <row r="307" spans="1:24" ht="15" customHeight="1" x14ac:dyDescent="0.3">
      <c r="A307" s="6" t="s">
        <v>533</v>
      </c>
      <c r="B307" s="6" t="s">
        <v>534</v>
      </c>
      <c r="C307" s="6" t="s">
        <v>31</v>
      </c>
      <c r="D307" s="1088" t="s">
        <v>549</v>
      </c>
      <c r="E307" s="6" t="s">
        <v>171</v>
      </c>
      <c r="F307" s="6" t="s">
        <v>634</v>
      </c>
      <c r="G307" s="6" t="s">
        <v>1216</v>
      </c>
      <c r="H307" s="6" t="s">
        <v>1393</v>
      </c>
      <c r="J307" s="1215" t="s">
        <v>509</v>
      </c>
      <c r="K307" s="1219" t="s">
        <v>3110</v>
      </c>
      <c r="L307" s="8">
        <v>9</v>
      </c>
      <c r="M307" s="8">
        <v>35</v>
      </c>
      <c r="N307" s="1169" t="s">
        <v>271</v>
      </c>
      <c r="P307" s="6" t="s">
        <v>3323</v>
      </c>
      <c r="Q307" s="1215" t="s">
        <v>253</v>
      </c>
      <c r="R307" s="1215" t="s">
        <v>255</v>
      </c>
      <c r="S307" s="1215" t="s">
        <v>534</v>
      </c>
      <c r="T307" s="1215" t="s">
        <v>533</v>
      </c>
      <c r="U307" s="6" t="s">
        <v>549</v>
      </c>
      <c r="V307" s="6" t="s">
        <v>31</v>
      </c>
      <c r="W307" s="6" t="s">
        <v>844</v>
      </c>
      <c r="X307" s="6" t="s">
        <v>166</v>
      </c>
    </row>
    <row r="308" spans="1:24" ht="15" customHeight="1" x14ac:dyDescent="0.3">
      <c r="A308" s="6" t="s">
        <v>533</v>
      </c>
      <c r="B308" s="6" t="s">
        <v>534</v>
      </c>
      <c r="C308" s="6" t="s">
        <v>31</v>
      </c>
      <c r="D308" s="1088" t="s">
        <v>549</v>
      </c>
      <c r="E308" s="6" t="s">
        <v>164</v>
      </c>
      <c r="F308" s="6" t="s">
        <v>748</v>
      </c>
      <c r="G308" s="6" t="s">
        <v>920</v>
      </c>
      <c r="H308" s="6" t="s">
        <v>921</v>
      </c>
      <c r="J308" s="1215" t="s">
        <v>509</v>
      </c>
      <c r="K308" s="1219" t="s">
        <v>3033</v>
      </c>
      <c r="L308" s="8">
        <v>80</v>
      </c>
      <c r="M308" s="8">
        <v>220</v>
      </c>
      <c r="N308" s="1169" t="s">
        <v>272</v>
      </c>
      <c r="P308" s="6" t="s">
        <v>3324</v>
      </c>
      <c r="Q308" s="1215" t="s">
        <v>253</v>
      </c>
      <c r="R308" s="1215" t="s">
        <v>255</v>
      </c>
      <c r="S308" s="1215" t="s">
        <v>534</v>
      </c>
      <c r="T308" s="1215" t="s">
        <v>533</v>
      </c>
      <c r="U308" s="6" t="s">
        <v>549</v>
      </c>
      <c r="V308" s="6" t="s">
        <v>31</v>
      </c>
      <c r="W308" s="6" t="s">
        <v>748</v>
      </c>
      <c r="X308" s="6" t="s">
        <v>164</v>
      </c>
    </row>
    <row r="309" spans="1:24" ht="15" customHeight="1" x14ac:dyDescent="0.3">
      <c r="A309" s="6" t="s">
        <v>533</v>
      </c>
      <c r="B309" s="6" t="s">
        <v>534</v>
      </c>
      <c r="C309" s="6" t="s">
        <v>31</v>
      </c>
      <c r="D309" s="1088" t="s">
        <v>549</v>
      </c>
      <c r="E309" s="6" t="s">
        <v>164</v>
      </c>
      <c r="F309" s="6" t="s">
        <v>748</v>
      </c>
      <c r="G309" s="6" t="s">
        <v>920</v>
      </c>
      <c r="H309" s="6" t="s">
        <v>921</v>
      </c>
      <c r="J309" s="1215" t="s">
        <v>509</v>
      </c>
      <c r="K309" s="1219" t="s">
        <v>3112</v>
      </c>
      <c r="L309" s="8">
        <v>9</v>
      </c>
      <c r="M309" s="8">
        <v>67</v>
      </c>
      <c r="N309" s="1169" t="s">
        <v>271</v>
      </c>
      <c r="P309" s="6" t="s">
        <v>3324</v>
      </c>
      <c r="Q309" s="1215" t="s">
        <v>253</v>
      </c>
      <c r="R309" s="1215" t="s">
        <v>255</v>
      </c>
      <c r="S309" s="1215" t="s">
        <v>534</v>
      </c>
      <c r="T309" s="1215" t="s">
        <v>533</v>
      </c>
      <c r="U309" s="6" t="s">
        <v>549</v>
      </c>
      <c r="V309" s="6" t="s">
        <v>31</v>
      </c>
      <c r="W309" s="6" t="s">
        <v>748</v>
      </c>
      <c r="X309" s="6" t="s">
        <v>164</v>
      </c>
    </row>
    <row r="310" spans="1:24" ht="15" customHeight="1" x14ac:dyDescent="0.3">
      <c r="A310" s="6" t="s">
        <v>533</v>
      </c>
      <c r="B310" s="6" t="s">
        <v>534</v>
      </c>
      <c r="C310" s="6" t="s">
        <v>30</v>
      </c>
      <c r="D310" s="1088" t="s">
        <v>535</v>
      </c>
      <c r="E310" s="6" t="s">
        <v>162</v>
      </c>
      <c r="F310" s="6" t="s">
        <v>536</v>
      </c>
      <c r="G310" s="6" t="s">
        <v>612</v>
      </c>
      <c r="H310" s="6" t="s">
        <v>613</v>
      </c>
      <c r="J310" s="1215" t="s">
        <v>509</v>
      </c>
      <c r="K310" s="1219" t="s">
        <v>3109</v>
      </c>
      <c r="L310" s="8">
        <v>3</v>
      </c>
      <c r="M310" s="8">
        <v>21</v>
      </c>
      <c r="N310" s="6" t="s">
        <v>271</v>
      </c>
      <c r="P310" s="6" t="s">
        <v>3322</v>
      </c>
      <c r="Q310" s="1215" t="s">
        <v>253</v>
      </c>
      <c r="R310" s="1215" t="s">
        <v>255</v>
      </c>
      <c r="S310" s="1215" t="s">
        <v>534</v>
      </c>
      <c r="T310" s="1215" t="s">
        <v>533</v>
      </c>
      <c r="U310" s="6" t="s">
        <v>539</v>
      </c>
      <c r="V310" s="6" t="s">
        <v>34</v>
      </c>
    </row>
    <row r="311" spans="1:24" ht="15" customHeight="1" x14ac:dyDescent="0.3">
      <c r="A311" s="6" t="s">
        <v>533</v>
      </c>
      <c r="B311" s="6" t="s">
        <v>534</v>
      </c>
      <c r="C311" s="6" t="s">
        <v>30</v>
      </c>
      <c r="D311" s="1088" t="s">
        <v>535</v>
      </c>
      <c r="E311" s="6" t="s">
        <v>162</v>
      </c>
      <c r="F311" s="6" t="s">
        <v>536</v>
      </c>
      <c r="G311" s="6" t="s">
        <v>612</v>
      </c>
      <c r="H311" s="6" t="s">
        <v>613</v>
      </c>
      <c r="J311" s="1215" t="s">
        <v>509</v>
      </c>
      <c r="K311" s="1219" t="s">
        <v>3110</v>
      </c>
      <c r="L311" s="8">
        <v>0</v>
      </c>
      <c r="M311" s="8">
        <v>2</v>
      </c>
      <c r="N311" s="1169" t="s">
        <v>271</v>
      </c>
      <c r="P311" s="6" t="s">
        <v>3322</v>
      </c>
      <c r="Q311" s="1215" t="s">
        <v>253</v>
      </c>
      <c r="R311" s="1215" t="s">
        <v>255</v>
      </c>
      <c r="S311" s="1215" t="s">
        <v>534</v>
      </c>
      <c r="T311" s="1215" t="s">
        <v>533</v>
      </c>
      <c r="U311" s="6" t="s">
        <v>539</v>
      </c>
      <c r="V311" s="6" t="s">
        <v>34</v>
      </c>
    </row>
    <row r="312" spans="1:24" ht="15" customHeight="1" x14ac:dyDescent="0.3">
      <c r="A312" s="6" t="s">
        <v>533</v>
      </c>
      <c r="B312" s="6" t="s">
        <v>534</v>
      </c>
      <c r="C312" s="6" t="s">
        <v>31</v>
      </c>
      <c r="D312" s="1088" t="s">
        <v>549</v>
      </c>
      <c r="E312" s="6" t="s">
        <v>171</v>
      </c>
      <c r="F312" s="6" t="s">
        <v>634</v>
      </c>
      <c r="G312" s="6" t="s">
        <v>936</v>
      </c>
      <c r="H312" s="6" t="s">
        <v>912</v>
      </c>
      <c r="J312" s="1215" t="s">
        <v>509</v>
      </c>
      <c r="K312" s="1219" t="s">
        <v>3033</v>
      </c>
      <c r="L312" s="8">
        <v>13</v>
      </c>
      <c r="M312" s="8">
        <v>65</v>
      </c>
      <c r="N312" s="1169" t="s">
        <v>271</v>
      </c>
      <c r="P312" s="6" t="s">
        <v>3324</v>
      </c>
      <c r="Q312" s="1215" t="s">
        <v>253</v>
      </c>
      <c r="R312" s="1215" t="s">
        <v>255</v>
      </c>
      <c r="S312" s="1215" t="s">
        <v>534</v>
      </c>
      <c r="T312" s="1215" t="s">
        <v>533</v>
      </c>
      <c r="U312" s="6" t="s">
        <v>549</v>
      </c>
      <c r="V312" s="6" t="s">
        <v>31</v>
      </c>
      <c r="W312" s="6" t="s">
        <v>634</v>
      </c>
      <c r="X312" s="6" t="s">
        <v>171</v>
      </c>
    </row>
    <row r="313" spans="1:24" ht="15" customHeight="1" x14ac:dyDescent="0.3">
      <c r="A313" s="6" t="s">
        <v>533</v>
      </c>
      <c r="B313" s="6" t="s">
        <v>534</v>
      </c>
      <c r="C313" s="6" t="s">
        <v>31</v>
      </c>
      <c r="D313" s="1088" t="s">
        <v>549</v>
      </c>
      <c r="E313" s="6" t="s">
        <v>171</v>
      </c>
      <c r="F313" s="6" t="s">
        <v>634</v>
      </c>
      <c r="G313" s="6" t="s">
        <v>936</v>
      </c>
      <c r="H313" s="6" t="s">
        <v>912</v>
      </c>
      <c r="J313" s="1215" t="s">
        <v>509</v>
      </c>
      <c r="K313" s="1219" t="s">
        <v>3109</v>
      </c>
      <c r="L313" s="8">
        <v>0</v>
      </c>
      <c r="M313" s="8">
        <v>21</v>
      </c>
      <c r="N313" s="6" t="s">
        <v>271</v>
      </c>
      <c r="P313" s="6" t="s">
        <v>3324</v>
      </c>
      <c r="Q313" s="1215" t="s">
        <v>253</v>
      </c>
      <c r="R313" s="1215" t="s">
        <v>255</v>
      </c>
      <c r="S313" s="1215" t="s">
        <v>534</v>
      </c>
      <c r="T313" s="1215" t="s">
        <v>533</v>
      </c>
      <c r="U313" s="6" t="s">
        <v>549</v>
      </c>
      <c r="V313" s="6" t="s">
        <v>31</v>
      </c>
      <c r="W313" s="6" t="s">
        <v>634</v>
      </c>
      <c r="X313" s="6" t="s">
        <v>171</v>
      </c>
    </row>
    <row r="314" spans="1:24" ht="15" customHeight="1" x14ac:dyDescent="0.3">
      <c r="A314" s="6" t="s">
        <v>533</v>
      </c>
      <c r="B314" s="6" t="s">
        <v>534</v>
      </c>
      <c r="C314" s="6" t="s">
        <v>31</v>
      </c>
      <c r="D314" s="1088" t="s">
        <v>549</v>
      </c>
      <c r="E314" s="6" t="s">
        <v>171</v>
      </c>
      <c r="F314" s="6" t="s">
        <v>634</v>
      </c>
      <c r="G314" s="6" t="s">
        <v>936</v>
      </c>
      <c r="H314" s="6" t="s">
        <v>912</v>
      </c>
      <c r="J314" s="1215" t="s">
        <v>509</v>
      </c>
      <c r="K314" s="1219" t="s">
        <v>3110</v>
      </c>
      <c r="L314" s="8">
        <v>0</v>
      </c>
      <c r="M314" s="8">
        <v>120</v>
      </c>
      <c r="N314" s="1169" t="s">
        <v>271</v>
      </c>
      <c r="P314" s="6" t="s">
        <v>3324</v>
      </c>
      <c r="Q314" s="1215" t="s">
        <v>253</v>
      </c>
      <c r="R314" s="1215" t="s">
        <v>255</v>
      </c>
      <c r="S314" s="1215" t="s">
        <v>534</v>
      </c>
      <c r="T314" s="1215" t="s">
        <v>533</v>
      </c>
      <c r="U314" s="6" t="s">
        <v>549</v>
      </c>
      <c r="V314" s="6" t="s">
        <v>31</v>
      </c>
      <c r="W314" s="6" t="s">
        <v>634</v>
      </c>
      <c r="X314" s="6" t="s">
        <v>171</v>
      </c>
    </row>
    <row r="315" spans="1:24" ht="15" customHeight="1" x14ac:dyDescent="0.3">
      <c r="A315" s="6" t="s">
        <v>533</v>
      </c>
      <c r="B315" s="6" t="s">
        <v>534</v>
      </c>
      <c r="C315" s="6" t="s">
        <v>31</v>
      </c>
      <c r="D315" s="1088" t="s">
        <v>549</v>
      </c>
      <c r="E315" s="6" t="s">
        <v>171</v>
      </c>
      <c r="F315" s="6" t="s">
        <v>634</v>
      </c>
      <c r="G315" s="6" t="s">
        <v>936</v>
      </c>
      <c r="H315" s="6" t="s">
        <v>912</v>
      </c>
      <c r="J315" s="1215" t="s">
        <v>509</v>
      </c>
      <c r="K315" s="1219" t="s">
        <v>3112</v>
      </c>
      <c r="L315" s="8">
        <v>19</v>
      </c>
      <c r="M315" s="8">
        <v>74</v>
      </c>
      <c r="N315" s="1169" t="s">
        <v>271</v>
      </c>
      <c r="O315" s="1088"/>
      <c r="P315" s="6" t="s">
        <v>3323</v>
      </c>
      <c r="Q315" s="1215" t="s">
        <v>253</v>
      </c>
      <c r="R315" s="1215" t="s">
        <v>255</v>
      </c>
      <c r="S315" s="1215" t="s">
        <v>534</v>
      </c>
      <c r="T315" s="1215" t="s">
        <v>533</v>
      </c>
      <c r="U315" s="6" t="s">
        <v>549</v>
      </c>
      <c r="V315" s="6" t="s">
        <v>31</v>
      </c>
      <c r="X315" s="6" t="s">
        <v>2797</v>
      </c>
    </row>
    <row r="316" spans="1:24" ht="15" customHeight="1" x14ac:dyDescent="0.3">
      <c r="A316" s="6" t="s">
        <v>533</v>
      </c>
      <c r="B316" s="6" t="s">
        <v>534</v>
      </c>
      <c r="C316" s="6" t="s">
        <v>31</v>
      </c>
      <c r="D316" s="1088" t="s">
        <v>549</v>
      </c>
      <c r="E316" s="6" t="s">
        <v>171</v>
      </c>
      <c r="F316" s="6" t="s">
        <v>634</v>
      </c>
      <c r="G316" s="6" t="s">
        <v>1026</v>
      </c>
      <c r="H316" s="6" t="s">
        <v>1813</v>
      </c>
      <c r="J316" s="1215" t="s">
        <v>509</v>
      </c>
      <c r="K316" s="1219" t="s">
        <v>3033</v>
      </c>
      <c r="L316" s="8">
        <v>14</v>
      </c>
      <c r="M316" s="8">
        <v>58</v>
      </c>
      <c r="N316" s="1169" t="s">
        <v>271</v>
      </c>
      <c r="O316" s="1088"/>
      <c r="P316" s="6" t="s">
        <v>3323</v>
      </c>
      <c r="Q316" s="1215" t="s">
        <v>253</v>
      </c>
      <c r="R316" s="1215" t="s">
        <v>255</v>
      </c>
      <c r="S316" s="1215" t="s">
        <v>534</v>
      </c>
      <c r="T316" s="1215" t="s">
        <v>533</v>
      </c>
      <c r="U316" s="6" t="s">
        <v>549</v>
      </c>
      <c r="V316" s="6" t="s">
        <v>31</v>
      </c>
      <c r="X316" s="6" t="s">
        <v>2797</v>
      </c>
    </row>
    <row r="317" spans="1:24" ht="15" customHeight="1" x14ac:dyDescent="0.3">
      <c r="A317" s="6" t="s">
        <v>533</v>
      </c>
      <c r="B317" s="6" t="s">
        <v>534</v>
      </c>
      <c r="C317" s="6" t="s">
        <v>31</v>
      </c>
      <c r="D317" s="1088" t="s">
        <v>549</v>
      </c>
      <c r="E317" s="6" t="s">
        <v>171</v>
      </c>
      <c r="F317" s="6" t="s">
        <v>634</v>
      </c>
      <c r="G317" s="6" t="s">
        <v>1026</v>
      </c>
      <c r="H317" s="6" t="s">
        <v>1813</v>
      </c>
      <c r="J317" s="1215" t="s">
        <v>509</v>
      </c>
      <c r="K317" s="1219" t="s">
        <v>3109</v>
      </c>
      <c r="L317" s="8">
        <v>0</v>
      </c>
      <c r="M317" s="8">
        <v>13</v>
      </c>
      <c r="N317" s="1169" t="s">
        <v>271</v>
      </c>
      <c r="P317" s="6" t="s">
        <v>3324</v>
      </c>
      <c r="Q317" s="1215" t="s">
        <v>253</v>
      </c>
      <c r="R317" s="1215" t="s">
        <v>255</v>
      </c>
      <c r="S317" s="1215" t="s">
        <v>534</v>
      </c>
      <c r="T317" s="1215" t="s">
        <v>533</v>
      </c>
      <c r="U317" s="6" t="s">
        <v>549</v>
      </c>
      <c r="V317" s="6" t="s">
        <v>31</v>
      </c>
      <c r="W317" s="6" t="s">
        <v>634</v>
      </c>
      <c r="X317" s="6" t="s">
        <v>171</v>
      </c>
    </row>
    <row r="318" spans="1:24" ht="15" customHeight="1" x14ac:dyDescent="0.3">
      <c r="A318" s="6" t="s">
        <v>533</v>
      </c>
      <c r="B318" s="6" t="s">
        <v>534</v>
      </c>
      <c r="C318" s="6" t="s">
        <v>31</v>
      </c>
      <c r="D318" s="1088" t="s">
        <v>549</v>
      </c>
      <c r="E318" s="6" t="s">
        <v>171</v>
      </c>
      <c r="F318" s="6" t="s">
        <v>634</v>
      </c>
      <c r="G318" s="6" t="s">
        <v>1026</v>
      </c>
      <c r="H318" s="6" t="s">
        <v>1813</v>
      </c>
      <c r="J318" s="1215" t="s">
        <v>509</v>
      </c>
      <c r="K318" s="1219" t="s">
        <v>3110</v>
      </c>
      <c r="L318" s="8">
        <v>6</v>
      </c>
      <c r="M318" s="8">
        <v>66</v>
      </c>
      <c r="N318" s="1169" t="s">
        <v>271</v>
      </c>
      <c r="P318" s="6" t="s">
        <v>3324</v>
      </c>
      <c r="Q318" s="1215" t="s">
        <v>253</v>
      </c>
      <c r="R318" s="1215" t="s">
        <v>255</v>
      </c>
      <c r="S318" s="1215" t="s">
        <v>534</v>
      </c>
      <c r="T318" s="1215" t="s">
        <v>533</v>
      </c>
      <c r="U318" s="6" t="s">
        <v>549</v>
      </c>
      <c r="V318" s="6" t="s">
        <v>31</v>
      </c>
      <c r="W318" s="6" t="s">
        <v>634</v>
      </c>
      <c r="X318" s="6" t="s">
        <v>171</v>
      </c>
    </row>
    <row r="319" spans="1:24" ht="15" customHeight="1" x14ac:dyDescent="0.3">
      <c r="A319" s="6" t="s">
        <v>533</v>
      </c>
      <c r="B319" s="6" t="s">
        <v>534</v>
      </c>
      <c r="C319" s="6" t="s">
        <v>31</v>
      </c>
      <c r="D319" s="1088" t="s">
        <v>549</v>
      </c>
      <c r="E319" s="6" t="s">
        <v>171</v>
      </c>
      <c r="F319" s="6" t="s">
        <v>634</v>
      </c>
      <c r="G319" s="6" t="s">
        <v>1026</v>
      </c>
      <c r="H319" s="6" t="s">
        <v>1813</v>
      </c>
      <c r="J319" s="1215" t="s">
        <v>509</v>
      </c>
      <c r="K319" s="1219" t="s">
        <v>3111</v>
      </c>
      <c r="L319" s="8">
        <v>3</v>
      </c>
      <c r="M319" s="8">
        <v>17</v>
      </c>
      <c r="N319" s="1169" t="s">
        <v>271</v>
      </c>
      <c r="P319" s="6" t="s">
        <v>3323</v>
      </c>
      <c r="Q319" s="1215" t="s">
        <v>253</v>
      </c>
      <c r="R319" s="1215" t="s">
        <v>255</v>
      </c>
      <c r="S319" s="1215" t="s">
        <v>534</v>
      </c>
      <c r="T319" s="1215" t="s">
        <v>533</v>
      </c>
      <c r="U319" s="6" t="s">
        <v>549</v>
      </c>
      <c r="V319" s="6" t="s">
        <v>31</v>
      </c>
      <c r="X319" s="6" t="s">
        <v>2797</v>
      </c>
    </row>
    <row r="320" spans="1:24" ht="15" customHeight="1" x14ac:dyDescent="0.3">
      <c r="A320" s="6" t="s">
        <v>533</v>
      </c>
      <c r="B320" s="6" t="s">
        <v>534</v>
      </c>
      <c r="C320" s="6" t="s">
        <v>31</v>
      </c>
      <c r="D320" s="1088" t="s">
        <v>549</v>
      </c>
      <c r="E320" s="6" t="s">
        <v>171</v>
      </c>
      <c r="F320" s="6" t="s">
        <v>634</v>
      </c>
      <c r="G320" s="6" t="s">
        <v>2598</v>
      </c>
      <c r="H320" s="6" t="s">
        <v>1049</v>
      </c>
      <c r="J320" s="1215" t="s">
        <v>509</v>
      </c>
      <c r="K320" s="1219" t="s">
        <v>3033</v>
      </c>
      <c r="L320" s="8">
        <v>23</v>
      </c>
      <c r="M320" s="8">
        <v>232</v>
      </c>
      <c r="N320" s="1169" t="s">
        <v>271</v>
      </c>
      <c r="P320" s="6" t="s">
        <v>3323</v>
      </c>
      <c r="Q320" s="1215" t="s">
        <v>253</v>
      </c>
      <c r="R320" s="1215" t="s">
        <v>255</v>
      </c>
      <c r="S320" s="1215" t="s">
        <v>534</v>
      </c>
      <c r="T320" s="1215" t="s">
        <v>533</v>
      </c>
      <c r="U320" s="6" t="s">
        <v>549</v>
      </c>
      <c r="V320" s="6" t="s">
        <v>31</v>
      </c>
      <c r="X320" s="6" t="s">
        <v>2797</v>
      </c>
    </row>
    <row r="321" spans="1:24" ht="15" customHeight="1" x14ac:dyDescent="0.3">
      <c r="A321" s="6" t="s">
        <v>533</v>
      </c>
      <c r="B321" s="6" t="s">
        <v>534</v>
      </c>
      <c r="C321" s="6" t="s">
        <v>31</v>
      </c>
      <c r="D321" s="1088" t="s">
        <v>549</v>
      </c>
      <c r="E321" s="6" t="s">
        <v>171</v>
      </c>
      <c r="F321" s="6" t="s">
        <v>634</v>
      </c>
      <c r="G321" s="6" t="s">
        <v>2598</v>
      </c>
      <c r="H321" s="6" t="s">
        <v>1049</v>
      </c>
      <c r="J321" s="1215" t="s">
        <v>509</v>
      </c>
      <c r="K321" s="1219" t="s">
        <v>3112</v>
      </c>
      <c r="L321" s="8">
        <v>4</v>
      </c>
      <c r="M321" s="8">
        <v>13</v>
      </c>
      <c r="N321" s="1169" t="s">
        <v>275</v>
      </c>
      <c r="O321" s="6" t="s">
        <v>3330</v>
      </c>
      <c r="P321" s="6" t="s">
        <v>3323</v>
      </c>
      <c r="Q321" s="1215" t="s">
        <v>253</v>
      </c>
      <c r="R321" s="1215" t="s">
        <v>255</v>
      </c>
      <c r="S321" s="1215" t="s">
        <v>534</v>
      </c>
      <c r="T321" s="1215" t="s">
        <v>533</v>
      </c>
      <c r="U321" s="6" t="s">
        <v>549</v>
      </c>
      <c r="V321" s="6" t="s">
        <v>31</v>
      </c>
      <c r="W321" s="6" t="s">
        <v>881</v>
      </c>
      <c r="X321" s="6" t="s">
        <v>165</v>
      </c>
    </row>
    <row r="322" spans="1:24" ht="15" customHeight="1" x14ac:dyDescent="0.3">
      <c r="A322" s="6" t="s">
        <v>533</v>
      </c>
      <c r="B322" s="6" t="s">
        <v>534</v>
      </c>
      <c r="C322" s="6" t="s">
        <v>31</v>
      </c>
      <c r="D322" s="1088" t="s">
        <v>549</v>
      </c>
      <c r="E322" s="1088" t="s">
        <v>171</v>
      </c>
      <c r="F322" s="6" t="s">
        <v>634</v>
      </c>
      <c r="G322" s="6" t="s">
        <v>2600</v>
      </c>
      <c r="H322" s="6" t="s">
        <v>1803</v>
      </c>
      <c r="J322" s="1215" t="s">
        <v>509</v>
      </c>
      <c r="K322" s="1219" t="s">
        <v>3033</v>
      </c>
      <c r="L322" s="8">
        <v>14</v>
      </c>
      <c r="M322" s="8">
        <v>114</v>
      </c>
      <c r="N322" s="1169" t="s">
        <v>271</v>
      </c>
      <c r="P322" s="6" t="s">
        <v>3323</v>
      </c>
      <c r="Q322" s="1215" t="s">
        <v>253</v>
      </c>
      <c r="R322" s="1215" t="s">
        <v>255</v>
      </c>
      <c r="S322" s="1215" t="s">
        <v>534</v>
      </c>
      <c r="T322" s="1215" t="s">
        <v>533</v>
      </c>
      <c r="U322" s="6" t="s">
        <v>549</v>
      </c>
      <c r="V322" s="6" t="s">
        <v>31</v>
      </c>
      <c r="W322" s="6" t="s">
        <v>844</v>
      </c>
      <c r="X322" s="6" t="s">
        <v>166</v>
      </c>
    </row>
    <row r="323" spans="1:24" ht="15" customHeight="1" x14ac:dyDescent="0.3">
      <c r="A323" s="6" t="s">
        <v>533</v>
      </c>
      <c r="B323" s="6" t="s">
        <v>534</v>
      </c>
      <c r="C323" s="6" t="s">
        <v>31</v>
      </c>
      <c r="D323" s="1088" t="s">
        <v>549</v>
      </c>
      <c r="E323" s="6" t="s">
        <v>171</v>
      </c>
      <c r="F323" s="6" t="s">
        <v>634</v>
      </c>
      <c r="G323" s="6" t="s">
        <v>2600</v>
      </c>
      <c r="H323" s="6" t="s">
        <v>1803</v>
      </c>
      <c r="J323" s="1215" t="s">
        <v>509</v>
      </c>
      <c r="K323" s="1219" t="s">
        <v>3112</v>
      </c>
      <c r="L323" s="8">
        <v>2</v>
      </c>
      <c r="M323" s="8">
        <v>6</v>
      </c>
      <c r="N323" s="1169" t="s">
        <v>271</v>
      </c>
      <c r="P323" s="6" t="s">
        <v>3323</v>
      </c>
      <c r="Q323" s="1215" t="s">
        <v>253</v>
      </c>
      <c r="R323" s="1215" t="s">
        <v>255</v>
      </c>
      <c r="S323" s="1215" t="s">
        <v>534</v>
      </c>
      <c r="T323" s="1215" t="s">
        <v>533</v>
      </c>
      <c r="U323" s="6" t="s">
        <v>549</v>
      </c>
      <c r="V323" s="6" t="s">
        <v>31</v>
      </c>
      <c r="X323" s="6" t="s">
        <v>2797</v>
      </c>
    </row>
    <row r="324" spans="1:24" ht="15" customHeight="1" x14ac:dyDescent="0.3">
      <c r="A324" s="6" t="s">
        <v>533</v>
      </c>
      <c r="B324" s="6" t="s">
        <v>534</v>
      </c>
      <c r="C324" s="6" t="s">
        <v>31</v>
      </c>
      <c r="D324" s="1088" t="s">
        <v>549</v>
      </c>
      <c r="E324" s="6" t="s">
        <v>171</v>
      </c>
      <c r="F324" s="6" t="s">
        <v>634</v>
      </c>
      <c r="G324" s="6" t="s">
        <v>1337</v>
      </c>
      <c r="H324" s="6" t="s">
        <v>1426</v>
      </c>
      <c r="J324" s="1215" t="s">
        <v>509</v>
      </c>
      <c r="K324" s="1219" t="s">
        <v>3033</v>
      </c>
      <c r="L324" s="8">
        <v>32</v>
      </c>
      <c r="M324" s="8">
        <v>268</v>
      </c>
      <c r="N324" s="1169" t="s">
        <v>271</v>
      </c>
      <c r="P324" s="6" t="s">
        <v>3323</v>
      </c>
      <c r="Q324" s="1215" t="s">
        <v>253</v>
      </c>
      <c r="R324" s="1215" t="s">
        <v>255</v>
      </c>
      <c r="S324" s="1215" t="s">
        <v>534</v>
      </c>
      <c r="T324" s="1215" t="s">
        <v>533</v>
      </c>
      <c r="U324" s="6" t="s">
        <v>549</v>
      </c>
      <c r="V324" s="6" t="s">
        <v>31</v>
      </c>
      <c r="W324" s="6" t="s">
        <v>844</v>
      </c>
      <c r="X324" s="6" t="s">
        <v>166</v>
      </c>
    </row>
    <row r="325" spans="1:24" ht="15" customHeight="1" x14ac:dyDescent="0.3">
      <c r="A325" s="6" t="s">
        <v>533</v>
      </c>
      <c r="B325" s="6" t="s">
        <v>534</v>
      </c>
      <c r="C325" s="6" t="s">
        <v>31</v>
      </c>
      <c r="D325" s="1088" t="s">
        <v>549</v>
      </c>
      <c r="E325" s="6" t="s">
        <v>171</v>
      </c>
      <c r="F325" s="6" t="s">
        <v>634</v>
      </c>
      <c r="G325" s="6" t="s">
        <v>1337</v>
      </c>
      <c r="H325" s="6" t="s">
        <v>1426</v>
      </c>
      <c r="J325" s="1215" t="s">
        <v>509</v>
      </c>
      <c r="K325" s="1219" t="s">
        <v>3109</v>
      </c>
      <c r="L325" s="8">
        <v>7</v>
      </c>
      <c r="M325" s="8">
        <v>26</v>
      </c>
      <c r="N325" s="1169" t="s">
        <v>271</v>
      </c>
      <c r="P325" s="6" t="s">
        <v>3323</v>
      </c>
      <c r="Q325" s="1215" t="s">
        <v>253</v>
      </c>
      <c r="R325" s="1215" t="s">
        <v>255</v>
      </c>
      <c r="S325" s="1215" t="s">
        <v>534</v>
      </c>
      <c r="T325" s="1215" t="s">
        <v>533</v>
      </c>
      <c r="U325" s="6" t="s">
        <v>549</v>
      </c>
      <c r="V325" s="6" t="s">
        <v>31</v>
      </c>
      <c r="X325" s="6" t="s">
        <v>2797</v>
      </c>
    </row>
    <row r="326" spans="1:24" ht="15" customHeight="1" x14ac:dyDescent="0.3">
      <c r="A326" s="6" t="s">
        <v>533</v>
      </c>
      <c r="B326" s="6" t="s">
        <v>534</v>
      </c>
      <c r="C326" s="6" t="s">
        <v>31</v>
      </c>
      <c r="D326" s="1088" t="s">
        <v>549</v>
      </c>
      <c r="E326" s="6" t="s">
        <v>171</v>
      </c>
      <c r="F326" s="6" t="s">
        <v>634</v>
      </c>
      <c r="G326" s="6" t="s">
        <v>1337</v>
      </c>
      <c r="H326" s="6" t="s">
        <v>1426</v>
      </c>
      <c r="J326" s="1215" t="s">
        <v>509</v>
      </c>
      <c r="K326" s="1219" t="s">
        <v>3110</v>
      </c>
      <c r="L326" s="8">
        <v>1</v>
      </c>
      <c r="M326" s="8">
        <v>7</v>
      </c>
      <c r="N326" s="1169" t="s">
        <v>274</v>
      </c>
      <c r="P326" s="6" t="s">
        <v>3323</v>
      </c>
      <c r="Q326" s="1215" t="s">
        <v>253</v>
      </c>
      <c r="R326" s="1215" t="s">
        <v>255</v>
      </c>
      <c r="S326" s="1215" t="s">
        <v>534</v>
      </c>
      <c r="T326" s="1215" t="s">
        <v>533</v>
      </c>
      <c r="U326" s="6" t="s">
        <v>549</v>
      </c>
      <c r="V326" s="6" t="s">
        <v>31</v>
      </c>
      <c r="X326" s="6" t="s">
        <v>2797</v>
      </c>
    </row>
    <row r="327" spans="1:24" ht="15" customHeight="1" x14ac:dyDescent="0.3">
      <c r="A327" s="6" t="s">
        <v>533</v>
      </c>
      <c r="B327" s="6" t="s">
        <v>534</v>
      </c>
      <c r="C327" s="6" t="s">
        <v>31</v>
      </c>
      <c r="D327" s="1088" t="s">
        <v>549</v>
      </c>
      <c r="E327" s="6" t="s">
        <v>171</v>
      </c>
      <c r="F327" s="6" t="s">
        <v>634</v>
      </c>
      <c r="G327" s="6" t="s">
        <v>1708</v>
      </c>
      <c r="H327" s="6" t="s">
        <v>2037</v>
      </c>
      <c r="J327" s="1215" t="s">
        <v>509</v>
      </c>
      <c r="K327" s="1219" t="s">
        <v>3033</v>
      </c>
      <c r="L327" s="8">
        <v>6</v>
      </c>
      <c r="M327" s="8">
        <v>25</v>
      </c>
      <c r="N327" s="1169" t="s">
        <v>271</v>
      </c>
      <c r="P327" s="6" t="s">
        <v>3323</v>
      </c>
      <c r="Q327" s="1215" t="s">
        <v>253</v>
      </c>
      <c r="R327" s="1215" t="s">
        <v>255</v>
      </c>
      <c r="S327" s="1215" t="s">
        <v>534</v>
      </c>
      <c r="T327" s="1215" t="s">
        <v>533</v>
      </c>
      <c r="U327" s="6" t="s">
        <v>549</v>
      </c>
      <c r="V327" s="6" t="s">
        <v>31</v>
      </c>
      <c r="W327" s="6" t="s">
        <v>844</v>
      </c>
      <c r="X327" s="6" t="s">
        <v>166</v>
      </c>
    </row>
    <row r="328" spans="1:24" ht="15" customHeight="1" x14ac:dyDescent="0.3">
      <c r="A328" s="6" t="s">
        <v>533</v>
      </c>
      <c r="B328" s="6" t="s">
        <v>534</v>
      </c>
      <c r="C328" s="6" t="s">
        <v>31</v>
      </c>
      <c r="D328" s="1088" t="s">
        <v>549</v>
      </c>
      <c r="E328" s="6" t="s">
        <v>171</v>
      </c>
      <c r="F328" s="6" t="s">
        <v>634</v>
      </c>
      <c r="G328" s="6" t="s">
        <v>1708</v>
      </c>
      <c r="H328" s="6" t="s">
        <v>2037</v>
      </c>
      <c r="J328" s="1215" t="s">
        <v>509</v>
      </c>
      <c r="K328" s="1219" t="s">
        <v>3111</v>
      </c>
      <c r="L328" s="8">
        <v>2</v>
      </c>
      <c r="M328" s="8">
        <v>10</v>
      </c>
      <c r="N328" s="1169" t="s">
        <v>271</v>
      </c>
      <c r="P328" s="6" t="s">
        <v>3323</v>
      </c>
      <c r="Q328" s="1215" t="s">
        <v>253</v>
      </c>
      <c r="R328" s="1215" t="s">
        <v>255</v>
      </c>
      <c r="S328" s="1215" t="s">
        <v>534</v>
      </c>
      <c r="T328" s="1215" t="s">
        <v>533</v>
      </c>
      <c r="U328" s="6" t="s">
        <v>549</v>
      </c>
      <c r="V328" s="6" t="s">
        <v>31</v>
      </c>
      <c r="X328" s="6" t="s">
        <v>2797</v>
      </c>
    </row>
    <row r="329" spans="1:24" ht="15" customHeight="1" x14ac:dyDescent="0.3">
      <c r="A329" s="6" t="s">
        <v>533</v>
      </c>
      <c r="B329" s="6" t="s">
        <v>534</v>
      </c>
      <c r="C329" s="6" t="s">
        <v>31</v>
      </c>
      <c r="D329" s="1088" t="s">
        <v>549</v>
      </c>
      <c r="E329" s="6" t="s">
        <v>2797</v>
      </c>
      <c r="F329" s="6" t="s">
        <v>767</v>
      </c>
      <c r="G329" s="6" t="s">
        <v>1448</v>
      </c>
      <c r="H329" s="6" t="s">
        <v>783</v>
      </c>
      <c r="J329" s="1215" t="s">
        <v>509</v>
      </c>
      <c r="K329" s="1219" t="s">
        <v>3033</v>
      </c>
      <c r="L329" s="8">
        <v>84</v>
      </c>
      <c r="M329" s="8">
        <v>672</v>
      </c>
      <c r="N329" s="1169" t="s">
        <v>271</v>
      </c>
      <c r="P329" s="6" t="s">
        <v>3324</v>
      </c>
      <c r="Q329" s="1215" t="s">
        <v>253</v>
      </c>
      <c r="R329" s="1215" t="s">
        <v>255</v>
      </c>
      <c r="S329" s="1215" t="s">
        <v>534</v>
      </c>
      <c r="T329" s="1215" t="s">
        <v>533</v>
      </c>
      <c r="U329" s="6" t="s">
        <v>549</v>
      </c>
      <c r="V329" s="6" t="s">
        <v>31</v>
      </c>
      <c r="W329" s="6" t="s">
        <v>767</v>
      </c>
      <c r="X329" s="6" t="s">
        <v>2797</v>
      </c>
    </row>
    <row r="330" spans="1:24" ht="15" customHeight="1" x14ac:dyDescent="0.3">
      <c r="A330" s="6" t="s">
        <v>533</v>
      </c>
      <c r="B330" s="6" t="s">
        <v>534</v>
      </c>
      <c r="C330" s="6" t="s">
        <v>31</v>
      </c>
      <c r="D330" s="1088" t="s">
        <v>549</v>
      </c>
      <c r="E330" s="6" t="s">
        <v>2797</v>
      </c>
      <c r="F330" s="6" t="s">
        <v>767</v>
      </c>
      <c r="G330" s="6" t="s">
        <v>1448</v>
      </c>
      <c r="H330" s="6" t="s">
        <v>783</v>
      </c>
      <c r="J330" s="1215" t="s">
        <v>509</v>
      </c>
      <c r="K330" s="1219" t="s">
        <v>3109</v>
      </c>
      <c r="L330" s="8">
        <v>20</v>
      </c>
      <c r="M330" s="8">
        <v>160</v>
      </c>
      <c r="N330" s="1169" t="s">
        <v>271</v>
      </c>
      <c r="P330" s="6" t="s">
        <v>3324</v>
      </c>
      <c r="Q330" s="1215" t="s">
        <v>253</v>
      </c>
      <c r="R330" s="1215" t="s">
        <v>255</v>
      </c>
      <c r="S330" s="1215" t="s">
        <v>534</v>
      </c>
      <c r="T330" s="1215" t="s">
        <v>533</v>
      </c>
      <c r="U330" s="6" t="s">
        <v>549</v>
      </c>
      <c r="V330" s="6" t="s">
        <v>31</v>
      </c>
      <c r="W330" s="6" t="s">
        <v>767</v>
      </c>
      <c r="X330" s="6" t="s">
        <v>2797</v>
      </c>
    </row>
    <row r="331" spans="1:24" ht="15" customHeight="1" x14ac:dyDescent="0.3">
      <c r="A331" s="6" t="s">
        <v>533</v>
      </c>
      <c r="B331" s="6" t="s">
        <v>534</v>
      </c>
      <c r="C331" s="6" t="s">
        <v>31</v>
      </c>
      <c r="D331" s="1088" t="s">
        <v>549</v>
      </c>
      <c r="E331" s="6" t="s">
        <v>2797</v>
      </c>
      <c r="F331" s="6" t="s">
        <v>767</v>
      </c>
      <c r="G331" s="6" t="s">
        <v>1448</v>
      </c>
      <c r="H331" s="6" t="s">
        <v>783</v>
      </c>
      <c r="J331" s="1215" t="s">
        <v>509</v>
      </c>
      <c r="K331" s="1219" t="s">
        <v>3110</v>
      </c>
      <c r="L331" s="8">
        <v>20</v>
      </c>
      <c r="M331" s="8">
        <v>160</v>
      </c>
      <c r="N331" s="1169" t="s">
        <v>271</v>
      </c>
      <c r="P331" s="6" t="s">
        <v>3324</v>
      </c>
      <c r="Q331" s="1215" t="s">
        <v>253</v>
      </c>
      <c r="R331" s="1215" t="s">
        <v>255</v>
      </c>
      <c r="S331" s="1215" t="s">
        <v>534</v>
      </c>
      <c r="T331" s="1215" t="s">
        <v>533</v>
      </c>
      <c r="U331" s="6" t="s">
        <v>549</v>
      </c>
      <c r="V331" s="6" t="s">
        <v>31</v>
      </c>
      <c r="W331" s="6" t="s">
        <v>767</v>
      </c>
      <c r="X331" s="6" t="s">
        <v>2797</v>
      </c>
    </row>
    <row r="332" spans="1:24" ht="15" customHeight="1" x14ac:dyDescent="0.3">
      <c r="A332" s="6" t="s">
        <v>533</v>
      </c>
      <c r="B332" s="6" t="s">
        <v>534</v>
      </c>
      <c r="C332" s="6" t="s">
        <v>31</v>
      </c>
      <c r="D332" s="1088" t="s">
        <v>549</v>
      </c>
      <c r="E332" s="6" t="s">
        <v>2797</v>
      </c>
      <c r="F332" s="6" t="s">
        <v>767</v>
      </c>
      <c r="G332" s="6" t="s">
        <v>1448</v>
      </c>
      <c r="H332" s="6" t="s">
        <v>783</v>
      </c>
      <c r="J332" s="1215" t="s">
        <v>509</v>
      </c>
      <c r="K332" s="1219" t="s">
        <v>3111</v>
      </c>
      <c r="L332" s="8">
        <v>54</v>
      </c>
      <c r="M332" s="8">
        <v>422</v>
      </c>
      <c r="N332" s="1169" t="s">
        <v>271</v>
      </c>
      <c r="P332" s="6" t="s">
        <v>3324</v>
      </c>
      <c r="Q332" s="1215" t="s">
        <v>253</v>
      </c>
      <c r="R332" s="1215" t="s">
        <v>255</v>
      </c>
      <c r="S332" s="1215" t="s">
        <v>534</v>
      </c>
      <c r="T332" s="1215" t="s">
        <v>533</v>
      </c>
      <c r="U332" s="6" t="s">
        <v>549</v>
      </c>
      <c r="V332" s="6" t="s">
        <v>31</v>
      </c>
      <c r="W332" s="6" t="s">
        <v>767</v>
      </c>
      <c r="X332" s="6" t="s">
        <v>2797</v>
      </c>
    </row>
    <row r="333" spans="1:24" ht="15" customHeight="1" x14ac:dyDescent="0.3">
      <c r="A333" s="6" t="s">
        <v>533</v>
      </c>
      <c r="B333" s="6" t="s">
        <v>534</v>
      </c>
      <c r="C333" s="6" t="s">
        <v>31</v>
      </c>
      <c r="D333" s="1088" t="s">
        <v>549</v>
      </c>
      <c r="E333" s="6" t="s">
        <v>2797</v>
      </c>
      <c r="F333" s="6" t="s">
        <v>767</v>
      </c>
      <c r="G333" s="6" t="s">
        <v>1448</v>
      </c>
      <c r="H333" s="6" t="s">
        <v>783</v>
      </c>
      <c r="J333" s="1215" t="s">
        <v>509</v>
      </c>
      <c r="K333" s="1219" t="s">
        <v>3112</v>
      </c>
      <c r="L333" s="8">
        <v>270</v>
      </c>
      <c r="M333" s="8">
        <v>1890</v>
      </c>
      <c r="N333" s="1169" t="s">
        <v>271</v>
      </c>
      <c r="P333" s="6" t="s">
        <v>3324</v>
      </c>
      <c r="Q333" s="1215" t="s">
        <v>253</v>
      </c>
      <c r="R333" s="1215" t="s">
        <v>255</v>
      </c>
      <c r="S333" s="1215" t="s">
        <v>534</v>
      </c>
      <c r="T333" s="1215" t="s">
        <v>533</v>
      </c>
      <c r="U333" s="6" t="s">
        <v>549</v>
      </c>
      <c r="V333" s="6" t="s">
        <v>31</v>
      </c>
      <c r="W333" s="6" t="s">
        <v>767</v>
      </c>
      <c r="X333" s="6" t="s">
        <v>2797</v>
      </c>
    </row>
    <row r="334" spans="1:24" ht="15" customHeight="1" x14ac:dyDescent="0.3">
      <c r="A334" s="6" t="s">
        <v>533</v>
      </c>
      <c r="B334" s="6" t="s">
        <v>534</v>
      </c>
      <c r="C334" s="6" t="s">
        <v>31</v>
      </c>
      <c r="D334" s="1088" t="s">
        <v>549</v>
      </c>
      <c r="E334" s="6" t="s">
        <v>2797</v>
      </c>
      <c r="F334" s="6" t="s">
        <v>767</v>
      </c>
      <c r="G334" s="6" t="s">
        <v>550</v>
      </c>
      <c r="H334" s="6" t="s">
        <v>3166</v>
      </c>
      <c r="I334" s="6" t="s">
        <v>3166</v>
      </c>
      <c r="J334" s="1215" t="s">
        <v>509</v>
      </c>
      <c r="K334" s="1219" t="s">
        <v>3112</v>
      </c>
      <c r="L334" s="8">
        <v>350</v>
      </c>
      <c r="M334" s="8">
        <v>2450</v>
      </c>
      <c r="N334" s="1169" t="s">
        <v>271</v>
      </c>
      <c r="P334" s="6" t="s">
        <v>3323</v>
      </c>
      <c r="Q334" s="1215" t="s">
        <v>253</v>
      </c>
      <c r="R334" s="1215" t="s">
        <v>255</v>
      </c>
      <c r="S334" s="1215" t="s">
        <v>534</v>
      </c>
      <c r="T334" s="1215" t="s">
        <v>533</v>
      </c>
      <c r="U334" s="6" t="s">
        <v>549</v>
      </c>
      <c r="V334" s="6" t="s">
        <v>31</v>
      </c>
      <c r="W334" s="6" t="s">
        <v>881</v>
      </c>
      <c r="X334" s="6" t="s">
        <v>165</v>
      </c>
    </row>
    <row r="335" spans="1:24" ht="15" customHeight="1" x14ac:dyDescent="0.3">
      <c r="A335" s="6" t="s">
        <v>533</v>
      </c>
      <c r="B335" s="6" t="s">
        <v>534</v>
      </c>
      <c r="C335" s="6" t="s">
        <v>33</v>
      </c>
      <c r="D335" s="1088" t="s">
        <v>561</v>
      </c>
      <c r="E335" s="6" t="s">
        <v>183</v>
      </c>
      <c r="F335" s="6" t="s">
        <v>562</v>
      </c>
      <c r="G335" s="6" t="s">
        <v>565</v>
      </c>
      <c r="H335" s="6" t="s">
        <v>566</v>
      </c>
      <c r="J335" s="1215" t="s">
        <v>509</v>
      </c>
      <c r="K335" s="1219" t="s">
        <v>3112</v>
      </c>
      <c r="L335" s="8">
        <v>2</v>
      </c>
      <c r="M335" s="8">
        <v>9</v>
      </c>
      <c r="N335" s="1169" t="s">
        <v>274</v>
      </c>
      <c r="P335" s="6" t="s">
        <v>3322</v>
      </c>
      <c r="Q335" s="1215" t="s">
        <v>253</v>
      </c>
      <c r="R335" s="1215" t="s">
        <v>255</v>
      </c>
      <c r="S335" s="1215" t="s">
        <v>534</v>
      </c>
      <c r="T335" s="1215" t="s">
        <v>533</v>
      </c>
      <c r="U335" s="6" t="s">
        <v>542</v>
      </c>
      <c r="V335" s="6" t="s">
        <v>32</v>
      </c>
    </row>
    <row r="336" spans="1:24" ht="15" customHeight="1" x14ac:dyDescent="0.3">
      <c r="A336" s="6" t="s">
        <v>533</v>
      </c>
      <c r="B336" s="6" t="s">
        <v>534</v>
      </c>
      <c r="C336" s="6" t="s">
        <v>33</v>
      </c>
      <c r="D336" s="1088" t="s">
        <v>561</v>
      </c>
      <c r="E336" s="6" t="s">
        <v>183</v>
      </c>
      <c r="F336" s="6" t="s">
        <v>562</v>
      </c>
      <c r="G336" s="6" t="s">
        <v>2271</v>
      </c>
      <c r="H336" s="6" t="s">
        <v>2272</v>
      </c>
      <c r="J336" s="1215" t="s">
        <v>509</v>
      </c>
      <c r="K336" s="1219" t="s">
        <v>3033</v>
      </c>
      <c r="L336" s="8">
        <v>4</v>
      </c>
      <c r="M336" s="8">
        <v>30</v>
      </c>
      <c r="N336" s="1169" t="s">
        <v>271</v>
      </c>
      <c r="O336" s="1088"/>
      <c r="P336" s="6" t="s">
        <v>3322</v>
      </c>
      <c r="Q336" s="1215" t="s">
        <v>253</v>
      </c>
      <c r="R336" s="1215" t="s">
        <v>255</v>
      </c>
      <c r="S336" s="1215" t="s">
        <v>534</v>
      </c>
      <c r="T336" s="1215" t="s">
        <v>533</v>
      </c>
      <c r="U336" s="6" t="s">
        <v>539</v>
      </c>
      <c r="V336" s="6" t="s">
        <v>34</v>
      </c>
    </row>
    <row r="337" spans="1:24" ht="15" customHeight="1" x14ac:dyDescent="0.3">
      <c r="A337" s="6" t="s">
        <v>533</v>
      </c>
      <c r="B337" s="6" t="s">
        <v>534</v>
      </c>
      <c r="C337" s="6" t="s">
        <v>33</v>
      </c>
      <c r="D337" s="1088" t="s">
        <v>561</v>
      </c>
      <c r="E337" s="6" t="s">
        <v>183</v>
      </c>
      <c r="F337" s="6" t="s">
        <v>562</v>
      </c>
      <c r="G337" s="6" t="s">
        <v>664</v>
      </c>
      <c r="H337" s="6" t="s">
        <v>665</v>
      </c>
      <c r="J337" s="1215" t="s">
        <v>509</v>
      </c>
      <c r="K337" s="1219" t="s">
        <v>3109</v>
      </c>
      <c r="L337" s="8">
        <v>3</v>
      </c>
      <c r="M337" s="8">
        <v>8</v>
      </c>
      <c r="N337" s="1169" t="s">
        <v>271</v>
      </c>
      <c r="P337" s="6" t="s">
        <v>3322</v>
      </c>
      <c r="Q337" s="1215" t="s">
        <v>253</v>
      </c>
      <c r="R337" s="1215" t="s">
        <v>255</v>
      </c>
      <c r="S337" s="1215" t="s">
        <v>534</v>
      </c>
      <c r="T337" s="1215" t="s">
        <v>533</v>
      </c>
      <c r="U337" s="6" t="s">
        <v>539</v>
      </c>
      <c r="V337" s="6" t="s">
        <v>34</v>
      </c>
    </row>
    <row r="338" spans="1:24" ht="15" customHeight="1" x14ac:dyDescent="0.3">
      <c r="A338" s="6" t="s">
        <v>533</v>
      </c>
      <c r="B338" s="6" t="s">
        <v>534</v>
      </c>
      <c r="C338" s="6" t="s">
        <v>33</v>
      </c>
      <c r="D338" s="1088" t="s">
        <v>561</v>
      </c>
      <c r="E338" s="6" t="s">
        <v>186</v>
      </c>
      <c r="F338" s="6" t="s">
        <v>682</v>
      </c>
      <c r="G338" s="6" t="s">
        <v>709</v>
      </c>
      <c r="H338" s="6" t="s">
        <v>710</v>
      </c>
      <c r="J338" s="1215" t="s">
        <v>509</v>
      </c>
      <c r="K338" s="1219" t="s">
        <v>3110</v>
      </c>
      <c r="L338" s="8">
        <v>10</v>
      </c>
      <c r="M338" s="8">
        <v>47</v>
      </c>
      <c r="N338" s="1169" t="s">
        <v>274</v>
      </c>
      <c r="P338" s="6" t="s">
        <v>3322</v>
      </c>
      <c r="Q338" s="1215" t="s">
        <v>253</v>
      </c>
      <c r="R338" s="1215" t="s">
        <v>255</v>
      </c>
      <c r="S338" s="1215" t="s">
        <v>534</v>
      </c>
      <c r="T338" s="1215" t="s">
        <v>533</v>
      </c>
      <c r="U338" s="6" t="s">
        <v>549</v>
      </c>
      <c r="V338" s="1215" t="s">
        <v>31</v>
      </c>
    </row>
    <row r="339" spans="1:24" ht="15" customHeight="1" x14ac:dyDescent="0.3">
      <c r="A339" s="6" t="s">
        <v>533</v>
      </c>
      <c r="B339" s="6" t="s">
        <v>534</v>
      </c>
      <c r="C339" s="6" t="s">
        <v>33</v>
      </c>
      <c r="D339" s="1088" t="s">
        <v>561</v>
      </c>
      <c r="E339" s="6" t="s">
        <v>186</v>
      </c>
      <c r="F339" s="6" t="s">
        <v>682</v>
      </c>
      <c r="G339" s="6" t="s">
        <v>709</v>
      </c>
      <c r="H339" s="6" t="s">
        <v>710</v>
      </c>
      <c r="J339" s="1215" t="s">
        <v>509</v>
      </c>
      <c r="K339" s="1219" t="s">
        <v>3033</v>
      </c>
      <c r="L339" s="8">
        <v>3</v>
      </c>
      <c r="M339" s="8">
        <v>20</v>
      </c>
      <c r="N339" s="1169" t="s">
        <v>271</v>
      </c>
      <c r="P339" s="6" t="s">
        <v>3322</v>
      </c>
      <c r="Q339" s="1215" t="s">
        <v>253</v>
      </c>
      <c r="R339" s="1215" t="s">
        <v>255</v>
      </c>
      <c r="S339" s="1215" t="s">
        <v>534</v>
      </c>
      <c r="T339" s="1215" t="s">
        <v>533</v>
      </c>
      <c r="U339" s="6" t="s">
        <v>539</v>
      </c>
      <c r="V339" s="6" t="s">
        <v>34</v>
      </c>
    </row>
    <row r="340" spans="1:24" ht="15" customHeight="1" x14ac:dyDescent="0.3">
      <c r="A340" s="6" t="s">
        <v>533</v>
      </c>
      <c r="B340" s="6" t="s">
        <v>534</v>
      </c>
      <c r="C340" s="6" t="s">
        <v>33</v>
      </c>
      <c r="D340" s="1088" t="s">
        <v>561</v>
      </c>
      <c r="E340" s="6" t="s">
        <v>186</v>
      </c>
      <c r="F340" s="6" t="s">
        <v>682</v>
      </c>
      <c r="G340" s="6" t="s">
        <v>683</v>
      </c>
      <c r="H340" s="6" t="s">
        <v>684</v>
      </c>
      <c r="J340" s="1215" t="s">
        <v>509</v>
      </c>
      <c r="K340" s="1219" t="s">
        <v>3033</v>
      </c>
      <c r="L340" s="8">
        <v>5</v>
      </c>
      <c r="M340" s="8">
        <v>36</v>
      </c>
      <c r="N340" s="1169" t="s">
        <v>271</v>
      </c>
      <c r="P340" s="6" t="s">
        <v>3322</v>
      </c>
      <c r="Q340" s="1215" t="s">
        <v>253</v>
      </c>
      <c r="R340" s="1215" t="s">
        <v>255</v>
      </c>
      <c r="S340" s="1215" t="s">
        <v>534</v>
      </c>
      <c r="T340" s="1215" t="s">
        <v>533</v>
      </c>
      <c r="U340" s="6" t="s">
        <v>539</v>
      </c>
      <c r="V340" s="6" t="s">
        <v>34</v>
      </c>
    </row>
    <row r="341" spans="1:24" ht="15" customHeight="1" x14ac:dyDescent="0.3">
      <c r="A341" s="6" t="s">
        <v>533</v>
      </c>
      <c r="B341" s="6" t="s">
        <v>534</v>
      </c>
      <c r="C341" s="6" t="s">
        <v>33</v>
      </c>
      <c r="D341" s="1088" t="s">
        <v>561</v>
      </c>
      <c r="E341" s="6" t="s">
        <v>186</v>
      </c>
      <c r="F341" s="6" t="s">
        <v>682</v>
      </c>
      <c r="G341" s="6" t="s">
        <v>683</v>
      </c>
      <c r="H341" s="6" t="s">
        <v>684</v>
      </c>
      <c r="J341" s="1215" t="s">
        <v>509</v>
      </c>
      <c r="K341" s="1219" t="s">
        <v>3110</v>
      </c>
      <c r="L341" s="8">
        <v>2</v>
      </c>
      <c r="M341" s="8">
        <v>11</v>
      </c>
      <c r="N341" s="1169" t="s">
        <v>274</v>
      </c>
      <c r="P341" s="6" t="s">
        <v>3322</v>
      </c>
      <c r="Q341" s="1215" t="s">
        <v>253</v>
      </c>
      <c r="R341" s="1215" t="s">
        <v>255</v>
      </c>
      <c r="S341" s="1215" t="s">
        <v>534</v>
      </c>
      <c r="T341" s="1215" t="s">
        <v>533</v>
      </c>
      <c r="U341" s="6" t="s">
        <v>549</v>
      </c>
      <c r="V341" s="6" t="s">
        <v>31</v>
      </c>
    </row>
    <row r="342" spans="1:24" ht="15" customHeight="1" x14ac:dyDescent="0.3">
      <c r="A342" s="6" t="s">
        <v>533</v>
      </c>
      <c r="B342" s="6" t="s">
        <v>534</v>
      </c>
      <c r="C342" s="6" t="s">
        <v>33</v>
      </c>
      <c r="D342" s="1088" t="s">
        <v>561</v>
      </c>
      <c r="E342" s="6" t="s">
        <v>186</v>
      </c>
      <c r="F342" s="6" t="s">
        <v>682</v>
      </c>
      <c r="G342" s="6" t="s">
        <v>711</v>
      </c>
      <c r="H342" s="6" t="s">
        <v>712</v>
      </c>
      <c r="J342" s="1215" t="s">
        <v>509</v>
      </c>
      <c r="K342" s="1219" t="s">
        <v>3109</v>
      </c>
      <c r="L342" s="8">
        <v>3</v>
      </c>
      <c r="M342" s="8">
        <v>18</v>
      </c>
      <c r="N342" s="1169" t="s">
        <v>271</v>
      </c>
      <c r="P342" s="6" t="s">
        <v>3322</v>
      </c>
      <c r="Q342" s="1215" t="s">
        <v>253</v>
      </c>
      <c r="R342" s="1215" t="s">
        <v>255</v>
      </c>
      <c r="S342" s="1215" t="s">
        <v>534</v>
      </c>
      <c r="T342" s="1215" t="s">
        <v>533</v>
      </c>
      <c r="U342" s="6" t="s">
        <v>539</v>
      </c>
      <c r="V342" s="6" t="s">
        <v>34</v>
      </c>
    </row>
    <row r="343" spans="1:24" ht="15" customHeight="1" x14ac:dyDescent="0.3">
      <c r="A343" s="6" t="s">
        <v>533</v>
      </c>
      <c r="B343" s="6" t="s">
        <v>534</v>
      </c>
      <c r="C343" s="6" t="s">
        <v>33</v>
      </c>
      <c r="D343" s="1088" t="s">
        <v>561</v>
      </c>
      <c r="E343" s="6" t="s">
        <v>186</v>
      </c>
      <c r="F343" s="6" t="s">
        <v>682</v>
      </c>
      <c r="G343" s="6" t="s">
        <v>685</v>
      </c>
      <c r="H343" s="6" t="s">
        <v>686</v>
      </c>
      <c r="J343" s="1215" t="s">
        <v>509</v>
      </c>
      <c r="K343" s="1219" t="s">
        <v>3033</v>
      </c>
      <c r="L343" s="8">
        <v>4</v>
      </c>
      <c r="M343" s="8">
        <v>25</v>
      </c>
      <c r="N343" s="1169" t="s">
        <v>271</v>
      </c>
      <c r="P343" s="6" t="s">
        <v>3322</v>
      </c>
      <c r="Q343" s="1215" t="s">
        <v>253</v>
      </c>
      <c r="R343" s="1215" t="s">
        <v>255</v>
      </c>
      <c r="S343" s="1215" t="s">
        <v>534</v>
      </c>
      <c r="T343" s="1215" t="s">
        <v>533</v>
      </c>
      <c r="U343" s="6" t="s">
        <v>539</v>
      </c>
      <c r="V343" s="6" t="s">
        <v>34</v>
      </c>
    </row>
    <row r="344" spans="1:24" ht="15" customHeight="1" x14ac:dyDescent="0.3">
      <c r="A344" s="6" t="s">
        <v>533</v>
      </c>
      <c r="B344" s="6" t="s">
        <v>534</v>
      </c>
      <c r="C344" s="6" t="s">
        <v>33</v>
      </c>
      <c r="D344" s="1088" t="s">
        <v>561</v>
      </c>
      <c r="E344" s="6" t="s">
        <v>186</v>
      </c>
      <c r="F344" s="6" t="s">
        <v>682</v>
      </c>
      <c r="G344" s="6" t="s">
        <v>685</v>
      </c>
      <c r="H344" s="6" t="s">
        <v>686</v>
      </c>
      <c r="J344" s="1215" t="s">
        <v>509</v>
      </c>
      <c r="K344" s="1219" t="s">
        <v>3110</v>
      </c>
      <c r="L344" s="8">
        <v>1</v>
      </c>
      <c r="M344" s="8">
        <v>3</v>
      </c>
      <c r="N344" s="1169" t="s">
        <v>274</v>
      </c>
      <c r="P344" s="6" t="s">
        <v>3322</v>
      </c>
      <c r="Q344" s="1215" t="s">
        <v>253</v>
      </c>
      <c r="R344" s="1215" t="s">
        <v>255</v>
      </c>
      <c r="S344" s="1215" t="s">
        <v>534</v>
      </c>
      <c r="T344" s="1215" t="s">
        <v>533</v>
      </c>
      <c r="U344" s="6" t="s">
        <v>549</v>
      </c>
      <c r="V344" s="6" t="s">
        <v>31</v>
      </c>
    </row>
    <row r="345" spans="1:24" ht="15" customHeight="1" x14ac:dyDescent="0.3">
      <c r="A345" s="6" t="s">
        <v>533</v>
      </c>
      <c r="B345" s="6" t="s">
        <v>534</v>
      </c>
      <c r="C345" s="6" t="s">
        <v>33</v>
      </c>
      <c r="D345" s="1088" t="s">
        <v>561</v>
      </c>
      <c r="E345" s="6" t="s">
        <v>186</v>
      </c>
      <c r="F345" s="6" t="s">
        <v>682</v>
      </c>
      <c r="G345" s="6" t="s">
        <v>2217</v>
      </c>
      <c r="H345" s="6" t="s">
        <v>3315</v>
      </c>
      <c r="J345" s="1215" t="s">
        <v>509</v>
      </c>
      <c r="K345" s="1219" t="s">
        <v>3112</v>
      </c>
      <c r="L345" s="8">
        <v>12</v>
      </c>
      <c r="M345" s="8">
        <v>71</v>
      </c>
      <c r="N345" s="1169" t="s">
        <v>275</v>
      </c>
      <c r="O345" s="6" t="s">
        <v>3331</v>
      </c>
      <c r="P345" s="1215" t="s">
        <v>743</v>
      </c>
      <c r="Q345" s="1215" t="s">
        <v>253</v>
      </c>
      <c r="R345" s="1215" t="s">
        <v>255</v>
      </c>
      <c r="S345" s="1088" t="s">
        <v>3404</v>
      </c>
      <c r="T345" s="1215" t="s">
        <v>3325</v>
      </c>
    </row>
    <row r="346" spans="1:24" ht="15" customHeight="1" x14ac:dyDescent="0.3">
      <c r="A346" s="6" t="s">
        <v>533</v>
      </c>
      <c r="B346" s="6" t="s">
        <v>534</v>
      </c>
      <c r="C346" s="6" t="s">
        <v>33</v>
      </c>
      <c r="D346" s="1088" t="s">
        <v>561</v>
      </c>
      <c r="E346" s="6" t="s">
        <v>186</v>
      </c>
      <c r="F346" s="6" t="s">
        <v>682</v>
      </c>
      <c r="G346" s="6" t="s">
        <v>2217</v>
      </c>
      <c r="H346" s="6" t="s">
        <v>3315</v>
      </c>
      <c r="J346" s="1215" t="s">
        <v>509</v>
      </c>
      <c r="K346" s="1219" t="s">
        <v>3033</v>
      </c>
      <c r="L346" s="8">
        <v>4</v>
      </c>
      <c r="M346" s="8">
        <v>15</v>
      </c>
      <c r="N346" s="1169" t="s">
        <v>271</v>
      </c>
      <c r="P346" s="6" t="s">
        <v>3322</v>
      </c>
      <c r="Q346" s="1215" t="s">
        <v>253</v>
      </c>
      <c r="R346" s="1215" t="s">
        <v>255</v>
      </c>
      <c r="S346" s="1215" t="s">
        <v>534</v>
      </c>
      <c r="T346" s="1215" t="s">
        <v>533</v>
      </c>
      <c r="U346" s="6" t="s">
        <v>539</v>
      </c>
      <c r="V346" s="6" t="s">
        <v>34</v>
      </c>
    </row>
    <row r="347" spans="1:24" ht="15" customHeight="1" x14ac:dyDescent="0.3">
      <c r="A347" s="6" t="s">
        <v>533</v>
      </c>
      <c r="B347" s="6" t="s">
        <v>534</v>
      </c>
      <c r="C347" s="6" t="s">
        <v>35</v>
      </c>
      <c r="D347" s="1088" t="s">
        <v>567</v>
      </c>
      <c r="E347" s="6" t="s">
        <v>195</v>
      </c>
      <c r="F347" s="6" t="s">
        <v>733</v>
      </c>
      <c r="G347" s="6" t="s">
        <v>1037</v>
      </c>
      <c r="H347" s="6" t="s">
        <v>1038</v>
      </c>
      <c r="J347" s="1215" t="s">
        <v>509</v>
      </c>
      <c r="K347" s="1219" t="s">
        <v>3033</v>
      </c>
      <c r="L347" s="8">
        <v>80</v>
      </c>
      <c r="M347" s="8">
        <v>350</v>
      </c>
      <c r="N347" s="1169" t="s">
        <v>271</v>
      </c>
      <c r="P347" s="6" t="s">
        <v>3324</v>
      </c>
      <c r="Q347" s="1215" t="s">
        <v>253</v>
      </c>
      <c r="R347" s="1215" t="s">
        <v>255</v>
      </c>
      <c r="S347" s="1215" t="s">
        <v>534</v>
      </c>
      <c r="T347" s="1215" t="s">
        <v>533</v>
      </c>
      <c r="U347" s="6" t="s">
        <v>567</v>
      </c>
      <c r="V347" s="6" t="s">
        <v>35</v>
      </c>
      <c r="W347" s="6" t="s">
        <v>733</v>
      </c>
      <c r="X347" s="6" t="s">
        <v>195</v>
      </c>
    </row>
    <row r="348" spans="1:24" ht="15" customHeight="1" x14ac:dyDescent="0.3">
      <c r="A348" s="6" t="s">
        <v>533</v>
      </c>
      <c r="B348" s="6" t="s">
        <v>534</v>
      </c>
      <c r="C348" s="6" t="s">
        <v>35</v>
      </c>
      <c r="D348" s="1088" t="s">
        <v>567</v>
      </c>
      <c r="E348" s="6" t="s">
        <v>195</v>
      </c>
      <c r="F348" s="6" t="s">
        <v>733</v>
      </c>
      <c r="G348" s="6" t="s">
        <v>1037</v>
      </c>
      <c r="H348" s="6" t="s">
        <v>1038</v>
      </c>
      <c r="J348" s="1215" t="s">
        <v>509</v>
      </c>
      <c r="K348" s="1219" t="s">
        <v>3111</v>
      </c>
      <c r="L348" s="8">
        <v>20</v>
      </c>
      <c r="M348" s="8">
        <v>150</v>
      </c>
      <c r="N348" s="1169" t="s">
        <v>271</v>
      </c>
      <c r="P348" s="6" t="s">
        <v>3324</v>
      </c>
      <c r="Q348" s="1215" t="s">
        <v>253</v>
      </c>
      <c r="R348" s="1215" t="s">
        <v>255</v>
      </c>
      <c r="S348" s="1215" t="s">
        <v>534</v>
      </c>
      <c r="T348" s="1215" t="s">
        <v>533</v>
      </c>
      <c r="U348" s="6" t="s">
        <v>567</v>
      </c>
      <c r="V348" s="6" t="s">
        <v>35</v>
      </c>
      <c r="W348" s="6" t="s">
        <v>733</v>
      </c>
      <c r="X348" s="6" t="s">
        <v>195</v>
      </c>
    </row>
    <row r="349" spans="1:24" ht="15" customHeight="1" x14ac:dyDescent="0.3">
      <c r="A349" s="6" t="s">
        <v>533</v>
      </c>
      <c r="B349" s="6" t="s">
        <v>534</v>
      </c>
      <c r="C349" s="6" t="s">
        <v>35</v>
      </c>
      <c r="D349" s="1088" t="s">
        <v>567</v>
      </c>
      <c r="E349" s="6" t="s">
        <v>195</v>
      </c>
      <c r="F349" s="6" t="s">
        <v>733</v>
      </c>
      <c r="G349" s="6" t="s">
        <v>1037</v>
      </c>
      <c r="H349" s="6" t="s">
        <v>1038</v>
      </c>
      <c r="J349" s="1215" t="s">
        <v>509</v>
      </c>
      <c r="K349" s="1219" t="s">
        <v>3112</v>
      </c>
      <c r="L349" s="8">
        <v>100</v>
      </c>
      <c r="M349" s="8">
        <v>900</v>
      </c>
      <c r="N349" s="1169" t="s">
        <v>271</v>
      </c>
      <c r="P349" s="6" t="s">
        <v>3324</v>
      </c>
      <c r="Q349" s="1215" t="s">
        <v>253</v>
      </c>
      <c r="R349" s="1215" t="s">
        <v>255</v>
      </c>
      <c r="S349" s="1215" t="s">
        <v>534</v>
      </c>
      <c r="T349" s="1215" t="s">
        <v>533</v>
      </c>
      <c r="U349" s="6" t="s">
        <v>567</v>
      </c>
      <c r="V349" s="6" t="s">
        <v>35</v>
      </c>
      <c r="W349" s="6" t="s">
        <v>733</v>
      </c>
      <c r="X349" s="6" t="s">
        <v>195</v>
      </c>
    </row>
    <row r="350" spans="1:24" ht="15" customHeight="1" x14ac:dyDescent="0.3">
      <c r="A350" s="6" t="s">
        <v>533</v>
      </c>
      <c r="B350" s="6" t="s">
        <v>534</v>
      </c>
      <c r="C350" s="6" t="s">
        <v>31</v>
      </c>
      <c r="D350" s="1088" t="s">
        <v>549</v>
      </c>
      <c r="E350" s="6" t="s">
        <v>171</v>
      </c>
      <c r="F350" s="6" t="s">
        <v>634</v>
      </c>
      <c r="G350" s="6" t="s">
        <v>2820</v>
      </c>
      <c r="H350" s="6" t="s">
        <v>1288</v>
      </c>
      <c r="J350" s="1215" t="s">
        <v>509</v>
      </c>
      <c r="K350" s="1219" t="s">
        <v>3033</v>
      </c>
      <c r="L350" s="8">
        <v>4</v>
      </c>
      <c r="M350" s="8">
        <v>36</v>
      </c>
      <c r="N350" s="1169" t="s">
        <v>271</v>
      </c>
      <c r="P350" s="6" t="s">
        <v>3323</v>
      </c>
      <c r="Q350" s="1215" t="s">
        <v>253</v>
      </c>
      <c r="R350" s="1215" t="s">
        <v>255</v>
      </c>
      <c r="S350" s="1215" t="s">
        <v>534</v>
      </c>
      <c r="T350" s="1215" t="s">
        <v>533</v>
      </c>
      <c r="U350" s="6" t="s">
        <v>549</v>
      </c>
      <c r="V350" s="6" t="s">
        <v>31</v>
      </c>
      <c r="W350" s="6" t="s">
        <v>844</v>
      </c>
      <c r="X350" s="6" t="s">
        <v>166</v>
      </c>
    </row>
    <row r="351" spans="1:24" ht="15" customHeight="1" x14ac:dyDescent="0.3">
      <c r="A351" s="6" t="s">
        <v>533</v>
      </c>
      <c r="B351" s="6" t="s">
        <v>534</v>
      </c>
      <c r="C351" s="6" t="s">
        <v>31</v>
      </c>
      <c r="D351" s="1088" t="s">
        <v>549</v>
      </c>
      <c r="E351" s="6" t="s">
        <v>171</v>
      </c>
      <c r="F351" s="6" t="s">
        <v>634</v>
      </c>
      <c r="G351" s="6" t="s">
        <v>2820</v>
      </c>
      <c r="H351" s="6" t="s">
        <v>1288</v>
      </c>
      <c r="J351" s="1215" t="s">
        <v>509</v>
      </c>
      <c r="K351" s="1219" t="s">
        <v>3110</v>
      </c>
      <c r="L351" s="8">
        <v>8</v>
      </c>
      <c r="M351" s="8">
        <v>53</v>
      </c>
      <c r="N351" s="1169" t="s">
        <v>271</v>
      </c>
      <c r="P351" s="6" t="s">
        <v>3323</v>
      </c>
      <c r="Q351" s="1215" t="s">
        <v>253</v>
      </c>
      <c r="R351" s="1215" t="s">
        <v>255</v>
      </c>
      <c r="S351" s="1215" t="s">
        <v>534</v>
      </c>
      <c r="T351" s="1215" t="s">
        <v>533</v>
      </c>
      <c r="U351" s="6" t="s">
        <v>549</v>
      </c>
      <c r="V351" s="6" t="s">
        <v>31</v>
      </c>
      <c r="W351" s="6" t="s">
        <v>881</v>
      </c>
      <c r="X351" s="6" t="s">
        <v>165</v>
      </c>
    </row>
    <row r="352" spans="1:24" ht="15" customHeight="1" x14ac:dyDescent="0.3">
      <c r="A352" s="6" t="s">
        <v>533</v>
      </c>
      <c r="B352" s="6" t="s">
        <v>534</v>
      </c>
      <c r="C352" s="6" t="s">
        <v>31</v>
      </c>
      <c r="D352" s="1088" t="s">
        <v>549</v>
      </c>
      <c r="E352" s="6" t="s">
        <v>171</v>
      </c>
      <c r="F352" s="6" t="s">
        <v>634</v>
      </c>
      <c r="G352" s="6" t="s">
        <v>3015</v>
      </c>
      <c r="H352" s="6" t="s">
        <v>1282</v>
      </c>
      <c r="J352" s="1215" t="s">
        <v>509</v>
      </c>
      <c r="K352" s="1219" t="s">
        <v>3110</v>
      </c>
      <c r="L352" s="8">
        <v>7</v>
      </c>
      <c r="M352" s="8">
        <v>47</v>
      </c>
      <c r="N352" s="1169" t="s">
        <v>271</v>
      </c>
      <c r="P352" s="6" t="s">
        <v>3323</v>
      </c>
      <c r="Q352" s="1215" t="s">
        <v>253</v>
      </c>
      <c r="R352" s="1215" t="s">
        <v>255</v>
      </c>
      <c r="S352" s="1215" t="s">
        <v>534</v>
      </c>
      <c r="T352" s="1215" t="s">
        <v>533</v>
      </c>
      <c r="U352" s="6" t="s">
        <v>549</v>
      </c>
      <c r="V352" s="6" t="s">
        <v>31</v>
      </c>
      <c r="W352" s="6" t="s">
        <v>844</v>
      </c>
      <c r="X352" s="6" t="s">
        <v>166</v>
      </c>
    </row>
    <row r="353" spans="1:24" ht="15" customHeight="1" x14ac:dyDescent="0.3">
      <c r="A353" s="6" t="s">
        <v>533</v>
      </c>
      <c r="B353" s="6" t="s">
        <v>534</v>
      </c>
      <c r="C353" s="6" t="s">
        <v>31</v>
      </c>
      <c r="D353" s="1088" t="s">
        <v>549</v>
      </c>
      <c r="E353" s="6" t="s">
        <v>173</v>
      </c>
      <c r="F353" s="6" t="s">
        <v>556</v>
      </c>
      <c r="G353" s="6" t="s">
        <v>2711</v>
      </c>
      <c r="H353" s="6" t="s">
        <v>1440</v>
      </c>
      <c r="J353" s="1215" t="s">
        <v>509</v>
      </c>
      <c r="K353" s="1219" t="s">
        <v>3112</v>
      </c>
      <c r="L353" s="8">
        <v>4</v>
      </c>
      <c r="M353" s="8">
        <v>40</v>
      </c>
      <c r="N353" s="1169" t="s">
        <v>272</v>
      </c>
      <c r="P353" s="6" t="s">
        <v>3324</v>
      </c>
      <c r="Q353" s="1215" t="s">
        <v>253</v>
      </c>
      <c r="R353" s="1215" t="s">
        <v>255</v>
      </c>
      <c r="S353" s="1215" t="s">
        <v>534</v>
      </c>
      <c r="T353" s="1215" t="s">
        <v>533</v>
      </c>
      <c r="U353" s="6" t="s">
        <v>549</v>
      </c>
      <c r="V353" s="6" t="s">
        <v>31</v>
      </c>
      <c r="W353" s="6" t="s">
        <v>556</v>
      </c>
      <c r="X353" s="6" t="s">
        <v>173</v>
      </c>
    </row>
    <row r="354" spans="1:24" ht="15" customHeight="1" x14ac:dyDescent="0.3">
      <c r="A354" s="6" t="s">
        <v>533</v>
      </c>
      <c r="B354" s="6" t="s">
        <v>534</v>
      </c>
      <c r="C354" s="6" t="s">
        <v>31</v>
      </c>
      <c r="D354" s="1088" t="s">
        <v>549</v>
      </c>
      <c r="E354" s="6" t="s">
        <v>173</v>
      </c>
      <c r="F354" s="6" t="s">
        <v>556</v>
      </c>
      <c r="G354" s="6" t="s">
        <v>1602</v>
      </c>
      <c r="H354" s="6" t="s">
        <v>1106</v>
      </c>
      <c r="J354" s="1215" t="s">
        <v>509</v>
      </c>
      <c r="K354" s="1219" t="s">
        <v>3112</v>
      </c>
      <c r="L354" s="8">
        <v>20</v>
      </c>
      <c r="M354" s="8">
        <v>140</v>
      </c>
      <c r="N354" s="1169" t="s">
        <v>272</v>
      </c>
      <c r="P354" s="6" t="s">
        <v>3324</v>
      </c>
      <c r="Q354" s="1215" t="s">
        <v>253</v>
      </c>
      <c r="R354" s="1215" t="s">
        <v>255</v>
      </c>
      <c r="S354" s="1215" t="s">
        <v>534</v>
      </c>
      <c r="T354" s="1215" t="s">
        <v>533</v>
      </c>
      <c r="U354" s="6" t="s">
        <v>549</v>
      </c>
      <c r="V354" s="6" t="s">
        <v>31</v>
      </c>
      <c r="W354" s="6" t="s">
        <v>556</v>
      </c>
      <c r="X354" s="6" t="s">
        <v>173</v>
      </c>
    </row>
    <row r="355" spans="1:24" ht="15" customHeight="1" x14ac:dyDescent="0.3">
      <c r="A355" s="6" t="s">
        <v>533</v>
      </c>
      <c r="B355" s="6" t="s">
        <v>534</v>
      </c>
      <c r="C355" s="6" t="s">
        <v>30</v>
      </c>
      <c r="D355" s="1088" t="s">
        <v>535</v>
      </c>
      <c r="E355" s="1088" t="s">
        <v>161</v>
      </c>
      <c r="F355" s="6" t="s">
        <v>587</v>
      </c>
      <c r="G355" s="6" t="s">
        <v>703</v>
      </c>
      <c r="H355" s="6" t="s">
        <v>704</v>
      </c>
      <c r="J355" s="1215" t="s">
        <v>509</v>
      </c>
      <c r="K355" s="1219" t="s">
        <v>3033</v>
      </c>
      <c r="L355" s="8">
        <v>9</v>
      </c>
      <c r="M355" s="8">
        <v>110</v>
      </c>
      <c r="N355" s="1169" t="s">
        <v>271</v>
      </c>
      <c r="P355" s="6" t="s">
        <v>3322</v>
      </c>
      <c r="Q355" s="1215" t="s">
        <v>253</v>
      </c>
      <c r="R355" s="1215" t="s">
        <v>255</v>
      </c>
      <c r="S355" s="1215" t="s">
        <v>534</v>
      </c>
      <c r="T355" s="1215" t="s">
        <v>533</v>
      </c>
      <c r="U355" s="6" t="s">
        <v>539</v>
      </c>
      <c r="V355" s="6" t="s">
        <v>34</v>
      </c>
    </row>
    <row r="356" spans="1:24" ht="15" customHeight="1" x14ac:dyDescent="0.3">
      <c r="A356" s="6" t="s">
        <v>533</v>
      </c>
      <c r="B356" s="6" t="s">
        <v>534</v>
      </c>
      <c r="C356" s="6" t="s">
        <v>35</v>
      </c>
      <c r="D356" s="1088" t="s">
        <v>567</v>
      </c>
      <c r="E356" s="6" t="s">
        <v>195</v>
      </c>
      <c r="F356" s="6" t="s">
        <v>733</v>
      </c>
      <c r="G356" s="6" t="s">
        <v>1941</v>
      </c>
      <c r="H356" s="6" t="s">
        <v>1385</v>
      </c>
      <c r="J356" s="1215" t="s">
        <v>509</v>
      </c>
      <c r="K356" s="1219" t="s">
        <v>3033</v>
      </c>
      <c r="L356" s="8">
        <v>1</v>
      </c>
      <c r="M356" s="8">
        <v>8</v>
      </c>
      <c r="N356" s="1169" t="s">
        <v>271</v>
      </c>
      <c r="P356" s="6" t="s">
        <v>3324</v>
      </c>
      <c r="Q356" s="1215" t="s">
        <v>253</v>
      </c>
      <c r="R356" s="1215" t="s">
        <v>255</v>
      </c>
      <c r="S356" s="1215" t="s">
        <v>534</v>
      </c>
      <c r="T356" s="1215" t="s">
        <v>533</v>
      </c>
      <c r="U356" s="6" t="s">
        <v>567</v>
      </c>
      <c r="V356" s="6" t="s">
        <v>35</v>
      </c>
      <c r="W356" s="6" t="s">
        <v>733</v>
      </c>
      <c r="X356" s="6" t="s">
        <v>195</v>
      </c>
    </row>
    <row r="357" spans="1:24" ht="15" customHeight="1" x14ac:dyDescent="0.3">
      <c r="A357" s="6" t="s">
        <v>533</v>
      </c>
      <c r="B357" s="6" t="s">
        <v>534</v>
      </c>
      <c r="C357" s="6" t="s">
        <v>35</v>
      </c>
      <c r="D357" s="1088" t="s">
        <v>567</v>
      </c>
      <c r="E357" s="6" t="s">
        <v>195</v>
      </c>
      <c r="F357" s="6" t="s">
        <v>733</v>
      </c>
      <c r="G357" s="1187" t="s">
        <v>1941</v>
      </c>
      <c r="H357" s="6" t="s">
        <v>1385</v>
      </c>
      <c r="J357" s="1215" t="s">
        <v>509</v>
      </c>
      <c r="K357" s="1219" t="s">
        <v>3112</v>
      </c>
      <c r="L357" s="8">
        <v>1</v>
      </c>
      <c r="M357" s="8">
        <v>3</v>
      </c>
      <c r="N357" s="6" t="s">
        <v>271</v>
      </c>
      <c r="P357" s="6" t="s">
        <v>3324</v>
      </c>
      <c r="Q357" s="1215" t="s">
        <v>253</v>
      </c>
      <c r="R357" s="1215" t="s">
        <v>255</v>
      </c>
      <c r="S357" s="1215" t="s">
        <v>534</v>
      </c>
      <c r="T357" s="1215" t="s">
        <v>533</v>
      </c>
      <c r="U357" s="6" t="s">
        <v>567</v>
      </c>
      <c r="V357" s="6" t="s">
        <v>35</v>
      </c>
      <c r="W357" s="6" t="s">
        <v>733</v>
      </c>
      <c r="X357" s="6" t="s">
        <v>195</v>
      </c>
    </row>
    <row r="358" spans="1:24" ht="15" customHeight="1" x14ac:dyDescent="0.3">
      <c r="A358" s="6" t="s">
        <v>533</v>
      </c>
      <c r="B358" s="6" t="s">
        <v>534</v>
      </c>
      <c r="C358" s="6" t="s">
        <v>35</v>
      </c>
      <c r="D358" s="1088" t="s">
        <v>567</v>
      </c>
      <c r="E358" s="6" t="s">
        <v>195</v>
      </c>
      <c r="F358" s="6" t="s">
        <v>733</v>
      </c>
      <c r="G358" s="6" t="s">
        <v>2650</v>
      </c>
      <c r="H358" s="6" t="s">
        <v>1766</v>
      </c>
      <c r="J358" s="1215" t="s">
        <v>509</v>
      </c>
      <c r="K358" s="1219" t="s">
        <v>3033</v>
      </c>
      <c r="L358" s="8">
        <v>13</v>
      </c>
      <c r="M358" s="8">
        <v>70</v>
      </c>
      <c r="N358" s="6" t="s">
        <v>271</v>
      </c>
      <c r="P358" s="6" t="s">
        <v>3324</v>
      </c>
      <c r="Q358" s="1215" t="s">
        <v>253</v>
      </c>
      <c r="R358" s="1215" t="s">
        <v>255</v>
      </c>
      <c r="S358" s="1215" t="s">
        <v>534</v>
      </c>
      <c r="T358" s="1215" t="s">
        <v>533</v>
      </c>
      <c r="U358" s="6" t="s">
        <v>567</v>
      </c>
      <c r="V358" s="6" t="s">
        <v>35</v>
      </c>
      <c r="W358" s="6" t="s">
        <v>733</v>
      </c>
      <c r="X358" s="6" t="s">
        <v>195</v>
      </c>
    </row>
    <row r="359" spans="1:24" ht="15" customHeight="1" x14ac:dyDescent="0.3">
      <c r="A359" s="6" t="s">
        <v>533</v>
      </c>
      <c r="B359" s="6" t="s">
        <v>534</v>
      </c>
      <c r="C359" s="6" t="s">
        <v>31</v>
      </c>
      <c r="D359" s="1088" t="s">
        <v>549</v>
      </c>
      <c r="E359" s="6" t="s">
        <v>171</v>
      </c>
      <c r="F359" s="6" t="s">
        <v>634</v>
      </c>
      <c r="G359" s="6" t="s">
        <v>1222</v>
      </c>
      <c r="H359" s="6" t="s">
        <v>1925</v>
      </c>
      <c r="J359" s="1215" t="s">
        <v>509</v>
      </c>
      <c r="K359" s="1219" t="s">
        <v>3111</v>
      </c>
      <c r="L359" s="8">
        <v>32</v>
      </c>
      <c r="M359" s="8">
        <v>224</v>
      </c>
      <c r="N359" s="1169" t="s">
        <v>271</v>
      </c>
      <c r="P359" s="6" t="s">
        <v>3324</v>
      </c>
      <c r="Q359" s="1215" t="s">
        <v>253</v>
      </c>
      <c r="R359" s="1215" t="s">
        <v>255</v>
      </c>
      <c r="S359" s="1215" t="s">
        <v>534</v>
      </c>
      <c r="T359" s="1215" t="s">
        <v>533</v>
      </c>
      <c r="U359" s="6" t="s">
        <v>549</v>
      </c>
      <c r="V359" s="6" t="s">
        <v>31</v>
      </c>
      <c r="W359" s="6" t="s">
        <v>634</v>
      </c>
      <c r="X359" s="6" t="s">
        <v>171</v>
      </c>
    </row>
    <row r="360" spans="1:24" ht="15" customHeight="1" x14ac:dyDescent="0.3">
      <c r="A360" s="6" t="s">
        <v>533</v>
      </c>
      <c r="B360" s="6" t="s">
        <v>534</v>
      </c>
      <c r="C360" s="6" t="s">
        <v>31</v>
      </c>
      <c r="D360" s="1088" t="s">
        <v>549</v>
      </c>
      <c r="E360" s="6" t="s">
        <v>171</v>
      </c>
      <c r="F360" s="6" t="s">
        <v>634</v>
      </c>
      <c r="G360" s="6" t="s">
        <v>1222</v>
      </c>
      <c r="H360" s="6" t="s">
        <v>1925</v>
      </c>
      <c r="J360" s="1215" t="s">
        <v>509</v>
      </c>
      <c r="K360" s="1219" t="s">
        <v>3112</v>
      </c>
      <c r="L360" s="8">
        <v>4</v>
      </c>
      <c r="M360" s="8">
        <v>11</v>
      </c>
      <c r="N360" s="1169" t="s">
        <v>272</v>
      </c>
      <c r="P360" s="6" t="s">
        <v>3324</v>
      </c>
      <c r="Q360" s="1215" t="s">
        <v>253</v>
      </c>
      <c r="R360" s="1215" t="s">
        <v>255</v>
      </c>
      <c r="S360" s="1215" t="s">
        <v>534</v>
      </c>
      <c r="T360" s="1215" t="s">
        <v>533</v>
      </c>
      <c r="U360" s="6" t="s">
        <v>549</v>
      </c>
      <c r="V360" s="6" t="s">
        <v>31</v>
      </c>
      <c r="W360" s="6" t="s">
        <v>634</v>
      </c>
      <c r="X360" s="6" t="s">
        <v>171</v>
      </c>
    </row>
    <row r="361" spans="1:24" ht="15" customHeight="1" x14ac:dyDescent="0.3">
      <c r="A361" s="6" t="s">
        <v>533</v>
      </c>
      <c r="B361" s="6" t="s">
        <v>534</v>
      </c>
      <c r="C361" s="6" t="s">
        <v>31</v>
      </c>
      <c r="D361" s="1088" t="s">
        <v>549</v>
      </c>
      <c r="E361" s="6" t="s">
        <v>171</v>
      </c>
      <c r="F361" s="6" t="s">
        <v>634</v>
      </c>
      <c r="G361" s="6" t="s">
        <v>1099</v>
      </c>
      <c r="H361" s="6" t="s">
        <v>1985</v>
      </c>
      <c r="J361" s="1215" t="s">
        <v>509</v>
      </c>
      <c r="K361" s="1219" t="s">
        <v>3111</v>
      </c>
      <c r="L361" s="8">
        <v>51</v>
      </c>
      <c r="M361" s="8">
        <v>223</v>
      </c>
      <c r="N361" s="1169" t="s">
        <v>274</v>
      </c>
      <c r="P361" s="6" t="s">
        <v>3324</v>
      </c>
      <c r="Q361" s="1215" t="s">
        <v>253</v>
      </c>
      <c r="R361" s="1215" t="s">
        <v>255</v>
      </c>
      <c r="S361" s="1215" t="s">
        <v>534</v>
      </c>
      <c r="T361" s="1215" t="s">
        <v>533</v>
      </c>
      <c r="U361" s="6" t="s">
        <v>549</v>
      </c>
      <c r="V361" s="6" t="s">
        <v>31</v>
      </c>
      <c r="W361" s="6" t="s">
        <v>634</v>
      </c>
      <c r="X361" s="6" t="s">
        <v>171</v>
      </c>
    </row>
    <row r="362" spans="1:24" ht="15" customHeight="1" x14ac:dyDescent="0.3">
      <c r="A362" s="6" t="s">
        <v>533</v>
      </c>
      <c r="B362" s="6" t="s">
        <v>534</v>
      </c>
      <c r="C362" s="6" t="s">
        <v>31</v>
      </c>
      <c r="D362" s="6" t="s">
        <v>549</v>
      </c>
      <c r="E362" s="6" t="s">
        <v>171</v>
      </c>
      <c r="F362" s="6" t="s">
        <v>634</v>
      </c>
      <c r="G362" s="6" t="s">
        <v>1099</v>
      </c>
      <c r="H362" s="6" t="s">
        <v>1985</v>
      </c>
      <c r="J362" s="1215" t="s">
        <v>509</v>
      </c>
      <c r="K362" s="1219" t="s">
        <v>3112</v>
      </c>
      <c r="L362" s="8">
        <v>4</v>
      </c>
      <c r="M362" s="8">
        <v>10</v>
      </c>
      <c r="N362" s="1169" t="s">
        <v>274</v>
      </c>
      <c r="P362" s="6" t="s">
        <v>3324</v>
      </c>
      <c r="Q362" s="1215" t="s">
        <v>253</v>
      </c>
      <c r="R362" s="1215" t="s">
        <v>255</v>
      </c>
      <c r="S362" s="1215" t="s">
        <v>534</v>
      </c>
      <c r="T362" s="1215" t="s">
        <v>533</v>
      </c>
      <c r="U362" s="6" t="s">
        <v>549</v>
      </c>
      <c r="V362" s="6" t="s">
        <v>31</v>
      </c>
      <c r="W362" s="6" t="s">
        <v>634</v>
      </c>
      <c r="X362" s="6" t="s">
        <v>171</v>
      </c>
    </row>
    <row r="363" spans="1:24" ht="15" customHeight="1" x14ac:dyDescent="0.3">
      <c r="A363" s="6" t="s">
        <v>533</v>
      </c>
      <c r="B363" s="6" t="s">
        <v>534</v>
      </c>
      <c r="C363" s="6" t="s">
        <v>30</v>
      </c>
      <c r="D363" s="1088" t="s">
        <v>535</v>
      </c>
      <c r="E363" s="6" t="s">
        <v>156</v>
      </c>
      <c r="F363" s="6" t="s">
        <v>697</v>
      </c>
      <c r="G363" s="6" t="s">
        <v>2918</v>
      </c>
      <c r="H363" s="6" t="s">
        <v>3272</v>
      </c>
      <c r="J363" s="1215" t="s">
        <v>509</v>
      </c>
      <c r="K363" s="1219" t="s">
        <v>3111</v>
      </c>
      <c r="L363" s="8">
        <v>57</v>
      </c>
      <c r="M363" s="8">
        <v>358</v>
      </c>
      <c r="N363" s="1169" t="s">
        <v>274</v>
      </c>
      <c r="O363" s="1088"/>
      <c r="P363" s="6" t="s">
        <v>3322</v>
      </c>
      <c r="Q363" s="1215" t="s">
        <v>253</v>
      </c>
      <c r="R363" s="1215" t="s">
        <v>255</v>
      </c>
      <c r="S363" s="1215" t="s">
        <v>534</v>
      </c>
      <c r="T363" s="1215" t="s">
        <v>533</v>
      </c>
      <c r="U363" s="6" t="s">
        <v>542</v>
      </c>
      <c r="V363" s="1215" t="s">
        <v>32</v>
      </c>
    </row>
    <row r="364" spans="1:24" ht="15" customHeight="1" x14ac:dyDescent="0.3">
      <c r="A364" s="6" t="s">
        <v>533</v>
      </c>
      <c r="B364" s="6" t="s">
        <v>534</v>
      </c>
      <c r="C364" s="6" t="s">
        <v>31</v>
      </c>
      <c r="D364" s="1088" t="s">
        <v>549</v>
      </c>
      <c r="E364" s="6" t="s">
        <v>171</v>
      </c>
      <c r="F364" s="6" t="s">
        <v>634</v>
      </c>
      <c r="G364" s="6" t="s">
        <v>2620</v>
      </c>
      <c r="H364" s="6" t="s">
        <v>2203</v>
      </c>
      <c r="J364" s="1215" t="s">
        <v>509</v>
      </c>
      <c r="K364" s="1219" t="s">
        <v>3033</v>
      </c>
      <c r="L364" s="8">
        <v>3</v>
      </c>
      <c r="M364" s="8">
        <v>18</v>
      </c>
      <c r="N364" s="1169" t="s">
        <v>271</v>
      </c>
      <c r="P364" s="6" t="s">
        <v>3324</v>
      </c>
      <c r="Q364" s="1215" t="s">
        <v>253</v>
      </c>
      <c r="R364" s="1215" t="s">
        <v>255</v>
      </c>
      <c r="S364" s="1215" t="s">
        <v>534</v>
      </c>
      <c r="T364" s="1215" t="s">
        <v>533</v>
      </c>
      <c r="U364" s="6" t="s">
        <v>549</v>
      </c>
      <c r="V364" s="6" t="s">
        <v>31</v>
      </c>
      <c r="W364" s="6" t="s">
        <v>634</v>
      </c>
      <c r="X364" s="6" t="s">
        <v>171</v>
      </c>
    </row>
    <row r="365" spans="1:24" ht="15" customHeight="1" x14ac:dyDescent="0.3">
      <c r="A365" s="6" t="s">
        <v>533</v>
      </c>
      <c r="B365" s="6" t="s">
        <v>534</v>
      </c>
      <c r="C365" s="6" t="s">
        <v>31</v>
      </c>
      <c r="D365" s="1088" t="s">
        <v>549</v>
      </c>
      <c r="E365" s="6" t="s">
        <v>171</v>
      </c>
      <c r="F365" s="6" t="s">
        <v>634</v>
      </c>
      <c r="G365" s="6" t="s">
        <v>2620</v>
      </c>
      <c r="H365" s="6" t="s">
        <v>2203</v>
      </c>
      <c r="J365" s="1215" t="s">
        <v>509</v>
      </c>
      <c r="K365" s="1219" t="s">
        <v>3112</v>
      </c>
      <c r="L365" s="8">
        <v>3</v>
      </c>
      <c r="M365" s="8">
        <v>20</v>
      </c>
      <c r="N365" s="1169" t="s">
        <v>272</v>
      </c>
      <c r="P365" s="6" t="s">
        <v>3324</v>
      </c>
      <c r="Q365" s="1215" t="s">
        <v>253</v>
      </c>
      <c r="R365" s="1215" t="s">
        <v>255</v>
      </c>
      <c r="S365" s="1215" t="s">
        <v>534</v>
      </c>
      <c r="T365" s="1215" t="s">
        <v>533</v>
      </c>
      <c r="U365" s="6" t="s">
        <v>549</v>
      </c>
      <c r="V365" s="6" t="s">
        <v>31</v>
      </c>
      <c r="W365" s="6" t="s">
        <v>634</v>
      </c>
      <c r="X365" s="6" t="s">
        <v>171</v>
      </c>
    </row>
    <row r="366" spans="1:24" ht="15" customHeight="1" x14ac:dyDescent="0.3">
      <c r="A366" s="6" t="s">
        <v>533</v>
      </c>
      <c r="B366" s="6" t="s">
        <v>534</v>
      </c>
      <c r="C366" s="6" t="s">
        <v>31</v>
      </c>
      <c r="D366" s="1088" t="s">
        <v>549</v>
      </c>
      <c r="E366" s="6" t="s">
        <v>171</v>
      </c>
      <c r="F366" s="6" t="s">
        <v>634</v>
      </c>
      <c r="G366" s="6" t="s">
        <v>1299</v>
      </c>
      <c r="H366" s="6" t="s">
        <v>1975</v>
      </c>
      <c r="J366" s="1215" t="s">
        <v>509</v>
      </c>
      <c r="K366" s="1219" t="s">
        <v>3033</v>
      </c>
      <c r="L366" s="8">
        <v>17</v>
      </c>
      <c r="M366" s="8">
        <v>50</v>
      </c>
      <c r="N366" s="1169" t="s">
        <v>271</v>
      </c>
      <c r="P366" s="6" t="s">
        <v>3324</v>
      </c>
      <c r="Q366" s="1215" t="s">
        <v>253</v>
      </c>
      <c r="R366" s="1215" t="s">
        <v>255</v>
      </c>
      <c r="S366" s="1215" t="s">
        <v>534</v>
      </c>
      <c r="T366" s="1215" t="s">
        <v>533</v>
      </c>
      <c r="U366" s="6" t="s">
        <v>549</v>
      </c>
      <c r="V366" s="6" t="s">
        <v>31</v>
      </c>
      <c r="W366" s="6" t="s">
        <v>634</v>
      </c>
      <c r="X366" s="6" t="s">
        <v>171</v>
      </c>
    </row>
    <row r="367" spans="1:24" ht="15" customHeight="1" x14ac:dyDescent="0.3">
      <c r="A367" s="6" t="s">
        <v>533</v>
      </c>
      <c r="B367" s="6" t="s">
        <v>534</v>
      </c>
      <c r="C367" s="6" t="s">
        <v>31</v>
      </c>
      <c r="D367" s="1088" t="s">
        <v>549</v>
      </c>
      <c r="E367" s="6" t="s">
        <v>171</v>
      </c>
      <c r="F367" s="6" t="s">
        <v>634</v>
      </c>
      <c r="G367" s="6" t="s">
        <v>1299</v>
      </c>
      <c r="H367" s="6" t="s">
        <v>1975</v>
      </c>
      <c r="J367" s="1215" t="s">
        <v>509</v>
      </c>
      <c r="K367" s="1219" t="s">
        <v>3112</v>
      </c>
      <c r="L367" s="8">
        <v>12</v>
      </c>
      <c r="M367" s="8">
        <v>35</v>
      </c>
      <c r="N367" s="1169" t="s">
        <v>272</v>
      </c>
      <c r="P367" s="6" t="s">
        <v>3324</v>
      </c>
      <c r="Q367" s="1215" t="s">
        <v>253</v>
      </c>
      <c r="R367" s="1215" t="s">
        <v>255</v>
      </c>
      <c r="S367" s="1215" t="s">
        <v>534</v>
      </c>
      <c r="T367" s="1215" t="s">
        <v>533</v>
      </c>
      <c r="U367" s="6" t="s">
        <v>549</v>
      </c>
      <c r="V367" s="6" t="s">
        <v>31</v>
      </c>
      <c r="W367" s="6" t="s">
        <v>634</v>
      </c>
      <c r="X367" s="6" t="s">
        <v>171</v>
      </c>
    </row>
    <row r="368" spans="1:24" ht="15" customHeight="1" x14ac:dyDescent="0.3">
      <c r="A368" s="6" t="s">
        <v>533</v>
      </c>
      <c r="B368" s="6" t="s">
        <v>534</v>
      </c>
      <c r="C368" s="6" t="s">
        <v>31</v>
      </c>
      <c r="D368" s="1088" t="s">
        <v>549</v>
      </c>
      <c r="E368" s="6" t="s">
        <v>164</v>
      </c>
      <c r="F368" s="6" t="s">
        <v>748</v>
      </c>
      <c r="G368" s="6" t="s">
        <v>907</v>
      </c>
      <c r="H368" s="6" t="s">
        <v>908</v>
      </c>
      <c r="J368" s="1215" t="s">
        <v>509</v>
      </c>
      <c r="K368" s="1219" t="s">
        <v>3033</v>
      </c>
      <c r="L368" s="8">
        <v>7</v>
      </c>
      <c r="M368" s="8">
        <v>35</v>
      </c>
      <c r="N368" s="1169" t="s">
        <v>271</v>
      </c>
      <c r="P368" s="6" t="s">
        <v>3323</v>
      </c>
      <c r="Q368" s="1215" t="s">
        <v>253</v>
      </c>
      <c r="R368" s="1215" t="s">
        <v>255</v>
      </c>
      <c r="S368" s="1215" t="s">
        <v>534</v>
      </c>
      <c r="T368" s="1215" t="s">
        <v>533</v>
      </c>
      <c r="U368" s="6" t="s">
        <v>549</v>
      </c>
      <c r="V368" s="6" t="s">
        <v>31</v>
      </c>
      <c r="W368" s="6" t="s">
        <v>881</v>
      </c>
      <c r="X368" s="6" t="s">
        <v>165</v>
      </c>
    </row>
    <row r="369" spans="1:24" ht="15" customHeight="1" x14ac:dyDescent="0.3">
      <c r="A369" s="6" t="s">
        <v>533</v>
      </c>
      <c r="B369" s="6" t="s">
        <v>534</v>
      </c>
      <c r="C369" s="6" t="s">
        <v>30</v>
      </c>
      <c r="D369" s="1088" t="s">
        <v>535</v>
      </c>
      <c r="E369" s="6" t="s">
        <v>162</v>
      </c>
      <c r="F369" s="6" t="s">
        <v>536</v>
      </c>
      <c r="G369" s="6" t="s">
        <v>3233</v>
      </c>
      <c r="H369" s="6" t="s">
        <v>3234</v>
      </c>
      <c r="J369" s="1215" t="s">
        <v>509</v>
      </c>
      <c r="K369" s="1219" t="s">
        <v>3111</v>
      </c>
      <c r="L369" s="8">
        <v>30</v>
      </c>
      <c r="M369" s="8">
        <v>235</v>
      </c>
      <c r="N369" s="1169" t="s">
        <v>274</v>
      </c>
      <c r="P369" s="6" t="s">
        <v>3322</v>
      </c>
      <c r="Q369" s="1215" t="s">
        <v>253</v>
      </c>
      <c r="R369" s="1215" t="s">
        <v>255</v>
      </c>
      <c r="S369" s="1215" t="s">
        <v>534</v>
      </c>
      <c r="T369" s="1215" t="s">
        <v>533</v>
      </c>
      <c r="U369" s="6" t="s">
        <v>549</v>
      </c>
      <c r="V369" s="6" t="s">
        <v>31</v>
      </c>
    </row>
    <row r="370" spans="1:24" ht="15" customHeight="1" x14ac:dyDescent="0.3">
      <c r="A370" s="6" t="s">
        <v>533</v>
      </c>
      <c r="B370" s="6" t="s">
        <v>534</v>
      </c>
      <c r="C370" s="6" t="s">
        <v>30</v>
      </c>
      <c r="D370" s="1088" t="s">
        <v>535</v>
      </c>
      <c r="E370" s="1088" t="s">
        <v>162</v>
      </c>
      <c r="F370" s="6" t="s">
        <v>536</v>
      </c>
      <c r="G370" s="6" t="s">
        <v>678</v>
      </c>
      <c r="H370" s="6" t="s">
        <v>3273</v>
      </c>
      <c r="J370" s="1215" t="s">
        <v>509</v>
      </c>
      <c r="K370" s="1219" t="s">
        <v>3033</v>
      </c>
      <c r="L370" s="8">
        <v>30</v>
      </c>
      <c r="M370" s="8">
        <v>254</v>
      </c>
      <c r="N370" s="1169" t="s">
        <v>271</v>
      </c>
      <c r="P370" s="6" t="s">
        <v>3322</v>
      </c>
      <c r="Q370" s="1215" t="s">
        <v>253</v>
      </c>
      <c r="R370" s="1215" t="s">
        <v>255</v>
      </c>
      <c r="S370" s="1215" t="s">
        <v>534</v>
      </c>
      <c r="T370" s="1215" t="s">
        <v>533</v>
      </c>
      <c r="U370" s="6" t="s">
        <v>539</v>
      </c>
      <c r="V370" s="6" t="s">
        <v>34</v>
      </c>
    </row>
    <row r="371" spans="1:24" ht="15" customHeight="1" x14ac:dyDescent="0.3">
      <c r="A371" s="6" t="s">
        <v>533</v>
      </c>
      <c r="B371" s="6" t="s">
        <v>534</v>
      </c>
      <c r="C371" s="6" t="s">
        <v>30</v>
      </c>
      <c r="D371" s="1088" t="s">
        <v>535</v>
      </c>
      <c r="E371" s="6" t="s">
        <v>162</v>
      </c>
      <c r="F371" s="6" t="s">
        <v>536</v>
      </c>
      <c r="G371" s="6" t="s">
        <v>3318</v>
      </c>
      <c r="H371" s="6" t="s">
        <v>2773</v>
      </c>
      <c r="J371" s="1215" t="s">
        <v>509</v>
      </c>
      <c r="K371" s="1219" t="s">
        <v>3033</v>
      </c>
      <c r="L371" s="8">
        <v>2</v>
      </c>
      <c r="M371" s="8">
        <v>11</v>
      </c>
      <c r="N371" s="1169" t="s">
        <v>271</v>
      </c>
      <c r="P371" s="6" t="s">
        <v>3322</v>
      </c>
      <c r="Q371" s="1215" t="s">
        <v>253</v>
      </c>
      <c r="R371" s="1215" t="s">
        <v>255</v>
      </c>
      <c r="S371" s="1215" t="s">
        <v>534</v>
      </c>
      <c r="T371" s="1215" t="s">
        <v>533</v>
      </c>
      <c r="U371" s="6" t="s">
        <v>539</v>
      </c>
      <c r="V371" s="6" t="s">
        <v>34</v>
      </c>
    </row>
    <row r="372" spans="1:24" ht="15" customHeight="1" x14ac:dyDescent="0.3">
      <c r="A372" s="6" t="s">
        <v>533</v>
      </c>
      <c r="B372" s="6" t="s">
        <v>534</v>
      </c>
      <c r="C372" s="6" t="s">
        <v>30</v>
      </c>
      <c r="D372" s="6" t="s">
        <v>535</v>
      </c>
      <c r="E372" s="1088" t="s">
        <v>162</v>
      </c>
      <c r="F372" s="6" t="s">
        <v>536</v>
      </c>
      <c r="G372" s="6" t="s">
        <v>650</v>
      </c>
      <c r="H372" s="6" t="s">
        <v>3314</v>
      </c>
      <c r="J372" s="1215" t="s">
        <v>509</v>
      </c>
      <c r="K372" s="1219" t="s">
        <v>3033</v>
      </c>
      <c r="L372" s="8">
        <v>3</v>
      </c>
      <c r="M372" s="8">
        <v>30</v>
      </c>
      <c r="N372" s="1169" t="s">
        <v>271</v>
      </c>
      <c r="P372" s="6" t="s">
        <v>3322</v>
      </c>
      <c r="Q372" s="1215" t="s">
        <v>253</v>
      </c>
      <c r="R372" s="1215" t="s">
        <v>255</v>
      </c>
      <c r="S372" s="1215" t="s">
        <v>534</v>
      </c>
      <c r="T372" s="1215" t="s">
        <v>533</v>
      </c>
      <c r="U372" s="6" t="s">
        <v>539</v>
      </c>
      <c r="V372" s="6" t="s">
        <v>34</v>
      </c>
    </row>
    <row r="373" spans="1:24" ht="15" customHeight="1" x14ac:dyDescent="0.3">
      <c r="A373" s="6" t="s">
        <v>533</v>
      </c>
      <c r="B373" s="6" t="s">
        <v>534</v>
      </c>
      <c r="C373" s="6" t="s">
        <v>30</v>
      </c>
      <c r="D373" s="6" t="s">
        <v>535</v>
      </c>
      <c r="E373" s="1088" t="s">
        <v>162</v>
      </c>
      <c r="F373" s="6" t="s">
        <v>536</v>
      </c>
      <c r="G373" s="6" t="s">
        <v>2873</v>
      </c>
      <c r="H373" s="6" t="s">
        <v>705</v>
      </c>
      <c r="J373" s="1215" t="s">
        <v>509</v>
      </c>
      <c r="K373" s="1219" t="s">
        <v>3033</v>
      </c>
      <c r="L373" s="8">
        <v>5</v>
      </c>
      <c r="M373" s="8">
        <v>30</v>
      </c>
      <c r="N373" s="1169" t="s">
        <v>271</v>
      </c>
      <c r="P373" s="6" t="s">
        <v>3322</v>
      </c>
      <c r="Q373" s="1215" t="s">
        <v>253</v>
      </c>
      <c r="R373" s="1215" t="s">
        <v>255</v>
      </c>
      <c r="S373" s="1215" t="s">
        <v>534</v>
      </c>
      <c r="T373" s="1215" t="s">
        <v>533</v>
      </c>
      <c r="U373" s="6" t="s">
        <v>539</v>
      </c>
      <c r="V373" s="6" t="s">
        <v>34</v>
      </c>
    </row>
    <row r="374" spans="1:24" ht="15" customHeight="1" x14ac:dyDescent="0.3">
      <c r="A374" s="6" t="s">
        <v>533</v>
      </c>
      <c r="B374" s="6" t="s">
        <v>534</v>
      </c>
      <c r="C374" s="6" t="s">
        <v>35</v>
      </c>
      <c r="D374" s="1088" t="s">
        <v>567</v>
      </c>
      <c r="E374" s="6" t="s">
        <v>193</v>
      </c>
      <c r="F374" s="6" t="s">
        <v>863</v>
      </c>
      <c r="G374" s="6" t="s">
        <v>2677</v>
      </c>
      <c r="H374" s="6" t="s">
        <v>1585</v>
      </c>
      <c r="J374" s="1215" t="s">
        <v>509</v>
      </c>
      <c r="K374" s="1219" t="s">
        <v>3033</v>
      </c>
      <c r="L374" s="8">
        <v>33</v>
      </c>
      <c r="M374" s="8">
        <v>137</v>
      </c>
      <c r="N374" s="1169" t="s">
        <v>271</v>
      </c>
      <c r="P374" s="6" t="s">
        <v>3324</v>
      </c>
      <c r="Q374" s="1215" t="s">
        <v>253</v>
      </c>
      <c r="R374" s="1215" t="s">
        <v>255</v>
      </c>
      <c r="S374" s="1215" t="s">
        <v>534</v>
      </c>
      <c r="T374" s="1215" t="s">
        <v>533</v>
      </c>
      <c r="U374" s="6" t="s">
        <v>567</v>
      </c>
      <c r="V374" s="6" t="s">
        <v>35</v>
      </c>
      <c r="W374" s="6" t="s">
        <v>863</v>
      </c>
      <c r="X374" s="6" t="s">
        <v>193</v>
      </c>
    </row>
    <row r="375" spans="1:24" ht="15" customHeight="1" x14ac:dyDescent="0.3">
      <c r="A375" s="6" t="s">
        <v>533</v>
      </c>
      <c r="B375" s="6" t="s">
        <v>534</v>
      </c>
      <c r="C375" s="6" t="s">
        <v>35</v>
      </c>
      <c r="D375" s="6" t="s">
        <v>567</v>
      </c>
      <c r="E375" s="6" t="s">
        <v>193</v>
      </c>
      <c r="F375" s="6" t="s">
        <v>863</v>
      </c>
      <c r="G375" s="6" t="s">
        <v>2677</v>
      </c>
      <c r="H375" s="6" t="s">
        <v>1585</v>
      </c>
      <c r="J375" s="1215" t="s">
        <v>509</v>
      </c>
      <c r="K375" s="1219" t="s">
        <v>3109</v>
      </c>
      <c r="L375" s="8">
        <v>6</v>
      </c>
      <c r="M375" s="8">
        <v>12</v>
      </c>
      <c r="N375" s="1169" t="s">
        <v>271</v>
      </c>
      <c r="P375" s="6" t="s">
        <v>3324</v>
      </c>
      <c r="Q375" s="1215" t="s">
        <v>253</v>
      </c>
      <c r="R375" s="1215" t="s">
        <v>255</v>
      </c>
      <c r="S375" s="1215" t="s">
        <v>534</v>
      </c>
      <c r="T375" s="1215" t="s">
        <v>533</v>
      </c>
      <c r="U375" s="6" t="s">
        <v>567</v>
      </c>
      <c r="V375" s="6" t="s">
        <v>35</v>
      </c>
      <c r="W375" s="6" t="s">
        <v>863</v>
      </c>
      <c r="X375" s="6" t="s">
        <v>193</v>
      </c>
    </row>
    <row r="376" spans="1:24" ht="15" customHeight="1" x14ac:dyDescent="0.3">
      <c r="A376" s="6" t="s">
        <v>533</v>
      </c>
      <c r="B376" s="6" t="s">
        <v>534</v>
      </c>
      <c r="C376" s="6" t="s">
        <v>35</v>
      </c>
      <c r="D376" s="6" t="s">
        <v>567</v>
      </c>
      <c r="E376" s="1088" t="s">
        <v>193</v>
      </c>
      <c r="F376" s="6" t="s">
        <v>863</v>
      </c>
      <c r="G376" s="6" t="s">
        <v>2677</v>
      </c>
      <c r="H376" s="6" t="s">
        <v>1585</v>
      </c>
      <c r="J376" s="1215" t="s">
        <v>509</v>
      </c>
      <c r="K376" s="1219" t="s">
        <v>3110</v>
      </c>
      <c r="L376" s="8">
        <v>12</v>
      </c>
      <c r="M376" s="8">
        <v>35</v>
      </c>
      <c r="N376" s="1169" t="s">
        <v>271</v>
      </c>
      <c r="P376" s="6" t="s">
        <v>3324</v>
      </c>
      <c r="Q376" s="1215" t="s">
        <v>253</v>
      </c>
      <c r="R376" s="1215" t="s">
        <v>255</v>
      </c>
      <c r="S376" s="1215" t="s">
        <v>534</v>
      </c>
      <c r="T376" s="1215" t="s">
        <v>533</v>
      </c>
      <c r="U376" s="6" t="s">
        <v>567</v>
      </c>
      <c r="V376" s="6" t="s">
        <v>35</v>
      </c>
      <c r="W376" s="6" t="s">
        <v>863</v>
      </c>
      <c r="X376" s="6" t="s">
        <v>193</v>
      </c>
    </row>
    <row r="377" spans="1:24" ht="15" customHeight="1" x14ac:dyDescent="0.3">
      <c r="A377" s="6" t="s">
        <v>533</v>
      </c>
      <c r="B377" s="6" t="s">
        <v>534</v>
      </c>
      <c r="C377" s="6" t="s">
        <v>35</v>
      </c>
      <c r="D377" s="1088" t="s">
        <v>567</v>
      </c>
      <c r="E377" s="6" t="s">
        <v>193</v>
      </c>
      <c r="F377" s="6" t="s">
        <v>863</v>
      </c>
      <c r="G377" s="6" t="s">
        <v>2677</v>
      </c>
      <c r="H377" s="6" t="s">
        <v>1585</v>
      </c>
      <c r="J377" s="1215" t="s">
        <v>509</v>
      </c>
      <c r="K377" s="1219" t="s">
        <v>3111</v>
      </c>
      <c r="L377" s="8">
        <v>3</v>
      </c>
      <c r="M377" s="8">
        <v>22</v>
      </c>
      <c r="N377" s="1169" t="s">
        <v>271</v>
      </c>
      <c r="P377" s="6" t="s">
        <v>3324</v>
      </c>
      <c r="Q377" s="1215" t="s">
        <v>253</v>
      </c>
      <c r="R377" s="1215" t="s">
        <v>255</v>
      </c>
      <c r="S377" s="1215" t="s">
        <v>534</v>
      </c>
      <c r="T377" s="1215" t="s">
        <v>533</v>
      </c>
      <c r="U377" s="6" t="s">
        <v>567</v>
      </c>
      <c r="V377" s="6" t="s">
        <v>35</v>
      </c>
      <c r="W377" s="6" t="s">
        <v>863</v>
      </c>
      <c r="X377" s="6" t="s">
        <v>193</v>
      </c>
    </row>
    <row r="378" spans="1:24" ht="15" customHeight="1" x14ac:dyDescent="0.3">
      <c r="A378" s="6" t="s">
        <v>533</v>
      </c>
      <c r="B378" s="6" t="s">
        <v>534</v>
      </c>
      <c r="C378" s="6" t="s">
        <v>35</v>
      </c>
      <c r="D378" s="6" t="s">
        <v>567</v>
      </c>
      <c r="E378" s="1088" t="s">
        <v>193</v>
      </c>
      <c r="F378" s="6" t="s">
        <v>863</v>
      </c>
      <c r="G378" s="6" t="s">
        <v>2677</v>
      </c>
      <c r="H378" s="6" t="s">
        <v>1585</v>
      </c>
      <c r="J378" s="1215" t="s">
        <v>509</v>
      </c>
      <c r="K378" s="1219" t="s">
        <v>3112</v>
      </c>
      <c r="L378" s="8">
        <v>20</v>
      </c>
      <c r="M378" s="8">
        <v>94</v>
      </c>
      <c r="N378" s="1169" t="s">
        <v>271</v>
      </c>
      <c r="P378" s="6" t="s">
        <v>3324</v>
      </c>
      <c r="Q378" s="1215" t="s">
        <v>253</v>
      </c>
      <c r="R378" s="1215" t="s">
        <v>255</v>
      </c>
      <c r="S378" s="1215" t="s">
        <v>534</v>
      </c>
      <c r="T378" s="1215" t="s">
        <v>533</v>
      </c>
      <c r="U378" s="6" t="s">
        <v>567</v>
      </c>
      <c r="V378" s="6" t="s">
        <v>35</v>
      </c>
      <c r="W378" s="6" t="s">
        <v>863</v>
      </c>
      <c r="X378" s="6" t="s">
        <v>193</v>
      </c>
    </row>
    <row r="379" spans="1:24" ht="15" customHeight="1" x14ac:dyDescent="0.3">
      <c r="A379" s="6" t="s">
        <v>533</v>
      </c>
      <c r="B379" s="6" t="s">
        <v>534</v>
      </c>
      <c r="C379" s="6" t="s">
        <v>35</v>
      </c>
      <c r="D379" s="1088" t="s">
        <v>567</v>
      </c>
      <c r="E379" s="6" t="s">
        <v>190</v>
      </c>
      <c r="F379" s="6" t="s">
        <v>800</v>
      </c>
      <c r="G379" s="6" t="s">
        <v>2853</v>
      </c>
      <c r="H379" s="6" t="s">
        <v>801</v>
      </c>
      <c r="J379" s="1215" t="s">
        <v>509</v>
      </c>
      <c r="K379" s="1219" t="s">
        <v>3033</v>
      </c>
      <c r="L379" s="8">
        <v>26</v>
      </c>
      <c r="M379" s="8">
        <v>124</v>
      </c>
      <c r="N379" s="6" t="s">
        <v>271</v>
      </c>
      <c r="P379" s="6" t="s">
        <v>3323</v>
      </c>
      <c r="Q379" s="1215" t="s">
        <v>253</v>
      </c>
      <c r="R379" s="1215" t="s">
        <v>255</v>
      </c>
      <c r="S379" s="1215" t="s">
        <v>534</v>
      </c>
      <c r="T379" s="1215" t="s">
        <v>533</v>
      </c>
      <c r="U379" s="6" t="s">
        <v>567</v>
      </c>
      <c r="V379" s="6" t="s">
        <v>35</v>
      </c>
      <c r="W379" s="6" t="s">
        <v>863</v>
      </c>
      <c r="X379" s="6" t="s">
        <v>193</v>
      </c>
    </row>
    <row r="380" spans="1:24" ht="15" customHeight="1" x14ac:dyDescent="0.3">
      <c r="A380" s="6" t="s">
        <v>533</v>
      </c>
      <c r="B380" s="6" t="s">
        <v>534</v>
      </c>
      <c r="C380" s="6" t="s">
        <v>35</v>
      </c>
      <c r="D380" s="6" t="s">
        <v>567</v>
      </c>
      <c r="E380" s="1088" t="s">
        <v>190</v>
      </c>
      <c r="F380" s="6" t="s">
        <v>800</v>
      </c>
      <c r="G380" s="6" t="s">
        <v>2853</v>
      </c>
      <c r="H380" s="6" t="s">
        <v>801</v>
      </c>
      <c r="J380" s="1215" t="s">
        <v>509</v>
      </c>
      <c r="K380" s="1219" t="s">
        <v>3109</v>
      </c>
      <c r="L380" s="8">
        <v>0</v>
      </c>
      <c r="M380" s="8">
        <v>15</v>
      </c>
      <c r="N380" s="1169" t="s">
        <v>271</v>
      </c>
      <c r="P380" s="6" t="s">
        <v>3323</v>
      </c>
      <c r="Q380" s="1215" t="s">
        <v>253</v>
      </c>
      <c r="R380" s="1215" t="s">
        <v>255</v>
      </c>
      <c r="S380" s="1215" t="s">
        <v>534</v>
      </c>
      <c r="T380" s="1215" t="s">
        <v>533</v>
      </c>
      <c r="U380" s="6" t="s">
        <v>567</v>
      </c>
      <c r="V380" s="6" t="s">
        <v>35</v>
      </c>
      <c r="W380" s="6" t="s">
        <v>863</v>
      </c>
      <c r="X380" s="6" t="s">
        <v>193</v>
      </c>
    </row>
    <row r="381" spans="1:24" ht="15" customHeight="1" x14ac:dyDescent="0.3">
      <c r="A381" s="6" t="s">
        <v>533</v>
      </c>
      <c r="B381" s="6" t="s">
        <v>534</v>
      </c>
      <c r="C381" s="6" t="s">
        <v>35</v>
      </c>
      <c r="D381" s="6" t="s">
        <v>567</v>
      </c>
      <c r="E381" s="1088" t="s">
        <v>190</v>
      </c>
      <c r="F381" s="6" t="s">
        <v>800</v>
      </c>
      <c r="G381" s="6" t="s">
        <v>2853</v>
      </c>
      <c r="H381" s="6" t="s">
        <v>801</v>
      </c>
      <c r="J381" s="1215" t="s">
        <v>509</v>
      </c>
      <c r="K381" s="1219" t="s">
        <v>3110</v>
      </c>
      <c r="L381" s="8">
        <v>0</v>
      </c>
      <c r="M381" s="8">
        <v>5</v>
      </c>
      <c r="N381" s="1169" t="s">
        <v>271</v>
      </c>
      <c r="P381" s="6" t="s">
        <v>3324</v>
      </c>
      <c r="Q381" s="1215" t="s">
        <v>253</v>
      </c>
      <c r="R381" s="1215" t="s">
        <v>255</v>
      </c>
      <c r="S381" s="1215" t="s">
        <v>534</v>
      </c>
      <c r="T381" s="1215" t="s">
        <v>533</v>
      </c>
      <c r="U381" s="6" t="s">
        <v>567</v>
      </c>
      <c r="V381" s="6" t="s">
        <v>35</v>
      </c>
      <c r="W381" s="6" t="s">
        <v>800</v>
      </c>
      <c r="X381" s="6" t="s">
        <v>190</v>
      </c>
    </row>
    <row r="382" spans="1:24" ht="15" customHeight="1" x14ac:dyDescent="0.3">
      <c r="A382" s="6" t="s">
        <v>533</v>
      </c>
      <c r="B382" s="6" t="s">
        <v>534</v>
      </c>
      <c r="C382" s="6" t="s">
        <v>35</v>
      </c>
      <c r="D382" s="1088" t="s">
        <v>567</v>
      </c>
      <c r="E382" s="6" t="s">
        <v>190</v>
      </c>
      <c r="F382" s="6" t="s">
        <v>800</v>
      </c>
      <c r="G382" s="6" t="s">
        <v>2853</v>
      </c>
      <c r="H382" s="6" t="s">
        <v>801</v>
      </c>
      <c r="J382" s="1215" t="s">
        <v>509</v>
      </c>
      <c r="K382" s="1219" t="s">
        <v>3111</v>
      </c>
      <c r="L382" s="8">
        <v>0</v>
      </c>
      <c r="M382" s="8">
        <v>14</v>
      </c>
      <c r="N382" s="1169" t="s">
        <v>271</v>
      </c>
      <c r="P382" s="6" t="s">
        <v>3324</v>
      </c>
      <c r="Q382" s="1215" t="s">
        <v>253</v>
      </c>
      <c r="R382" s="1215" t="s">
        <v>255</v>
      </c>
      <c r="S382" s="1215" t="s">
        <v>534</v>
      </c>
      <c r="T382" s="1215" t="s">
        <v>533</v>
      </c>
      <c r="U382" s="6" t="s">
        <v>567</v>
      </c>
      <c r="V382" s="6" t="s">
        <v>35</v>
      </c>
      <c r="W382" s="6" t="s">
        <v>800</v>
      </c>
      <c r="X382" s="6" t="s">
        <v>190</v>
      </c>
    </row>
    <row r="383" spans="1:24" ht="15" customHeight="1" x14ac:dyDescent="0.3">
      <c r="A383" s="6" t="s">
        <v>533</v>
      </c>
      <c r="B383" s="6" t="s">
        <v>534</v>
      </c>
      <c r="C383" s="6" t="s">
        <v>31</v>
      </c>
      <c r="D383" s="6" t="s">
        <v>549</v>
      </c>
      <c r="E383" s="6" t="s">
        <v>171</v>
      </c>
      <c r="F383" s="6" t="s">
        <v>634</v>
      </c>
      <c r="G383" s="6" t="s">
        <v>2828</v>
      </c>
      <c r="H383" s="6" t="s">
        <v>1065</v>
      </c>
      <c r="J383" s="1215" t="s">
        <v>509</v>
      </c>
      <c r="K383" s="1219" t="s">
        <v>3111</v>
      </c>
      <c r="L383" s="8">
        <v>15</v>
      </c>
      <c r="M383" s="8">
        <v>250</v>
      </c>
      <c r="N383" s="1169" t="s">
        <v>271</v>
      </c>
      <c r="P383" s="6" t="s">
        <v>3323</v>
      </c>
      <c r="Q383" s="1215" t="s">
        <v>253</v>
      </c>
      <c r="R383" s="1215" t="s">
        <v>255</v>
      </c>
      <c r="S383" s="1215" t="s">
        <v>534</v>
      </c>
      <c r="T383" s="1215" t="s">
        <v>533</v>
      </c>
      <c r="U383" s="6" t="s">
        <v>549</v>
      </c>
      <c r="V383" s="6" t="s">
        <v>31</v>
      </c>
      <c r="W383" s="6" t="s">
        <v>844</v>
      </c>
      <c r="X383" s="6" t="s">
        <v>166</v>
      </c>
    </row>
    <row r="384" spans="1:24" ht="15" customHeight="1" x14ac:dyDescent="0.3">
      <c r="A384" s="6" t="s">
        <v>533</v>
      </c>
      <c r="B384" s="6" t="s">
        <v>534</v>
      </c>
      <c r="C384" s="6" t="s">
        <v>31</v>
      </c>
      <c r="D384" s="6" t="s">
        <v>549</v>
      </c>
      <c r="E384" s="6" t="s">
        <v>171</v>
      </c>
      <c r="F384" s="6" t="s">
        <v>634</v>
      </c>
      <c r="G384" s="6" t="s">
        <v>2828</v>
      </c>
      <c r="H384" s="6" t="s">
        <v>1065</v>
      </c>
      <c r="J384" s="1215" t="s">
        <v>509</v>
      </c>
      <c r="K384" s="1219" t="s">
        <v>3112</v>
      </c>
      <c r="L384" s="8">
        <v>8</v>
      </c>
      <c r="M384" s="8">
        <v>62</v>
      </c>
      <c r="N384" s="1169" t="s">
        <v>272</v>
      </c>
      <c r="O384" s="1088"/>
      <c r="P384" s="6" t="s">
        <v>3323</v>
      </c>
      <c r="Q384" s="1215" t="s">
        <v>253</v>
      </c>
      <c r="R384" s="1215" t="s">
        <v>255</v>
      </c>
      <c r="S384" s="1215" t="s">
        <v>534</v>
      </c>
      <c r="T384" s="1215" t="s">
        <v>533</v>
      </c>
      <c r="U384" s="6" t="s">
        <v>549</v>
      </c>
      <c r="V384" s="6" t="s">
        <v>31</v>
      </c>
      <c r="W384" s="6" t="s">
        <v>881</v>
      </c>
      <c r="X384" s="6" t="s">
        <v>165</v>
      </c>
    </row>
    <row r="385" spans="1:24" ht="15" customHeight="1" x14ac:dyDescent="0.3">
      <c r="A385" s="6" t="s">
        <v>533</v>
      </c>
      <c r="B385" s="6" t="s">
        <v>534</v>
      </c>
      <c r="C385" s="6" t="s">
        <v>33</v>
      </c>
      <c r="D385" s="6" t="s">
        <v>561</v>
      </c>
      <c r="E385" s="6" t="s">
        <v>185</v>
      </c>
      <c r="F385" s="6" t="s">
        <v>656</v>
      </c>
      <c r="G385" s="6" t="s">
        <v>2924</v>
      </c>
      <c r="H385" s="6" t="s">
        <v>736</v>
      </c>
      <c r="J385" s="1215" t="s">
        <v>509</v>
      </c>
      <c r="K385" s="1219" t="s">
        <v>3109</v>
      </c>
      <c r="L385" s="8">
        <v>1</v>
      </c>
      <c r="M385" s="8">
        <v>11</v>
      </c>
      <c r="N385" s="1169" t="s">
        <v>274</v>
      </c>
      <c r="P385" s="6" t="s">
        <v>3324</v>
      </c>
      <c r="Q385" s="1215" t="s">
        <v>253</v>
      </c>
      <c r="R385" s="1215" t="s">
        <v>255</v>
      </c>
      <c r="S385" s="1215" t="s">
        <v>534</v>
      </c>
      <c r="T385" s="1215" t="s">
        <v>533</v>
      </c>
      <c r="U385" s="6" t="s">
        <v>561</v>
      </c>
      <c r="V385" s="6" t="s">
        <v>33</v>
      </c>
      <c r="W385" s="6" t="s">
        <v>656</v>
      </c>
      <c r="X385" s="6" t="s">
        <v>185</v>
      </c>
    </row>
    <row r="386" spans="1:24" ht="15" customHeight="1" x14ac:dyDescent="0.3">
      <c r="A386" s="6" t="s">
        <v>533</v>
      </c>
      <c r="B386" s="6" t="s">
        <v>534</v>
      </c>
      <c r="C386" s="6" t="s">
        <v>33</v>
      </c>
      <c r="D386" s="6" t="s">
        <v>561</v>
      </c>
      <c r="E386" s="1088" t="s">
        <v>185</v>
      </c>
      <c r="F386" s="6" t="s">
        <v>656</v>
      </c>
      <c r="G386" s="6" t="s">
        <v>837</v>
      </c>
      <c r="H386" s="6" t="s">
        <v>838</v>
      </c>
      <c r="J386" s="1215" t="s">
        <v>509</v>
      </c>
      <c r="K386" s="1219" t="s">
        <v>3109</v>
      </c>
      <c r="L386" s="8">
        <v>22</v>
      </c>
      <c r="M386" s="8">
        <v>166</v>
      </c>
      <c r="N386" s="1169" t="s">
        <v>272</v>
      </c>
      <c r="P386" s="6" t="s">
        <v>3324</v>
      </c>
      <c r="Q386" s="1215" t="s">
        <v>253</v>
      </c>
      <c r="R386" s="1215" t="s">
        <v>255</v>
      </c>
      <c r="S386" s="1215" t="s">
        <v>534</v>
      </c>
      <c r="T386" s="1215" t="s">
        <v>533</v>
      </c>
      <c r="U386" s="6" t="s">
        <v>561</v>
      </c>
      <c r="V386" s="6" t="s">
        <v>33</v>
      </c>
      <c r="W386" s="6" t="s">
        <v>656</v>
      </c>
      <c r="X386" s="6" t="s">
        <v>185</v>
      </c>
    </row>
    <row r="387" spans="1:24" ht="15" customHeight="1" x14ac:dyDescent="0.3">
      <c r="A387" s="6" t="s">
        <v>533</v>
      </c>
      <c r="B387" s="6" t="s">
        <v>534</v>
      </c>
      <c r="C387" s="6" t="s">
        <v>33</v>
      </c>
      <c r="D387" s="6" t="s">
        <v>561</v>
      </c>
      <c r="E387" s="1088" t="s">
        <v>185</v>
      </c>
      <c r="F387" s="6" t="s">
        <v>656</v>
      </c>
      <c r="G387" s="6" t="s">
        <v>837</v>
      </c>
      <c r="H387" s="6" t="s">
        <v>838</v>
      </c>
      <c r="J387" s="1215" t="s">
        <v>509</v>
      </c>
      <c r="K387" s="1219" t="s">
        <v>3111</v>
      </c>
      <c r="L387" s="8">
        <v>1</v>
      </c>
      <c r="M387" s="8">
        <v>7</v>
      </c>
      <c r="N387" s="1169" t="s">
        <v>274</v>
      </c>
      <c r="P387" s="6" t="s">
        <v>3324</v>
      </c>
      <c r="Q387" s="1215" t="s">
        <v>253</v>
      </c>
      <c r="R387" s="1215" t="s">
        <v>255</v>
      </c>
      <c r="S387" s="1215" t="s">
        <v>534</v>
      </c>
      <c r="T387" s="1215" t="s">
        <v>533</v>
      </c>
      <c r="U387" s="6" t="s">
        <v>561</v>
      </c>
      <c r="V387" s="6" t="s">
        <v>33</v>
      </c>
      <c r="W387" s="6" t="s">
        <v>656</v>
      </c>
      <c r="X387" s="6" t="s">
        <v>185</v>
      </c>
    </row>
    <row r="388" spans="1:24" ht="15" customHeight="1" x14ac:dyDescent="0.3">
      <c r="A388" s="6" t="s">
        <v>533</v>
      </c>
      <c r="B388" s="6" t="s">
        <v>534</v>
      </c>
      <c r="C388" s="6" t="s">
        <v>33</v>
      </c>
      <c r="D388" s="6" t="s">
        <v>561</v>
      </c>
      <c r="E388" s="1088" t="s">
        <v>185</v>
      </c>
      <c r="F388" s="6" t="s">
        <v>656</v>
      </c>
      <c r="G388" s="6" t="s">
        <v>746</v>
      </c>
      <c r="H388" s="6" t="s">
        <v>747</v>
      </c>
      <c r="J388" s="1215" t="s">
        <v>509</v>
      </c>
      <c r="K388" s="1219" t="s">
        <v>3112</v>
      </c>
      <c r="L388" s="8">
        <v>6</v>
      </c>
      <c r="M388" s="8">
        <v>54</v>
      </c>
      <c r="N388" s="1169" t="s">
        <v>274</v>
      </c>
      <c r="P388" s="6" t="s">
        <v>3324</v>
      </c>
      <c r="Q388" s="1215" t="s">
        <v>253</v>
      </c>
      <c r="R388" s="1215" t="s">
        <v>255</v>
      </c>
      <c r="S388" s="1215" t="s">
        <v>534</v>
      </c>
      <c r="T388" s="1215" t="s">
        <v>533</v>
      </c>
      <c r="U388" s="6" t="s">
        <v>561</v>
      </c>
      <c r="V388" s="6" t="s">
        <v>33</v>
      </c>
      <c r="W388" s="6" t="s">
        <v>656</v>
      </c>
      <c r="X388" s="6" t="s">
        <v>185</v>
      </c>
    </row>
    <row r="389" spans="1:24" ht="15" customHeight="1" x14ac:dyDescent="0.3">
      <c r="A389" s="6" t="s">
        <v>533</v>
      </c>
      <c r="B389" s="6" t="s">
        <v>534</v>
      </c>
      <c r="C389" s="6" t="s">
        <v>33</v>
      </c>
      <c r="D389" s="6" t="s">
        <v>561</v>
      </c>
      <c r="E389" s="1088" t="s">
        <v>185</v>
      </c>
      <c r="F389" s="6" t="s">
        <v>656</v>
      </c>
      <c r="G389" s="6" t="s">
        <v>746</v>
      </c>
      <c r="H389" s="6" t="s">
        <v>747</v>
      </c>
      <c r="J389" s="1215" t="s">
        <v>509</v>
      </c>
      <c r="K389" s="1219" t="s">
        <v>3109</v>
      </c>
      <c r="L389" s="8">
        <v>11</v>
      </c>
      <c r="M389" s="8">
        <v>186</v>
      </c>
      <c r="N389" s="1169" t="s">
        <v>272</v>
      </c>
      <c r="P389" s="6" t="s">
        <v>3324</v>
      </c>
      <c r="Q389" s="1215" t="s">
        <v>253</v>
      </c>
      <c r="R389" s="1215" t="s">
        <v>255</v>
      </c>
      <c r="S389" s="1215" t="s">
        <v>534</v>
      </c>
      <c r="T389" s="1215" t="s">
        <v>533</v>
      </c>
      <c r="U389" s="6" t="s">
        <v>561</v>
      </c>
      <c r="V389" s="6" t="s">
        <v>33</v>
      </c>
      <c r="W389" s="6" t="s">
        <v>656</v>
      </c>
      <c r="X389" s="6" t="s">
        <v>185</v>
      </c>
    </row>
    <row r="390" spans="1:24" ht="15" customHeight="1" x14ac:dyDescent="0.3">
      <c r="A390" s="6" t="s">
        <v>533</v>
      </c>
      <c r="B390" s="6" t="s">
        <v>534</v>
      </c>
      <c r="C390" s="6" t="s">
        <v>30</v>
      </c>
      <c r="D390" s="6" t="s">
        <v>535</v>
      </c>
      <c r="E390" s="1088" t="s">
        <v>159</v>
      </c>
      <c r="F390" s="6" t="s">
        <v>574</v>
      </c>
      <c r="G390" s="6" t="s">
        <v>822</v>
      </c>
      <c r="H390" s="6" t="s">
        <v>823</v>
      </c>
      <c r="J390" s="1215" t="s">
        <v>509</v>
      </c>
      <c r="K390" s="1219" t="s">
        <v>3033</v>
      </c>
      <c r="L390" s="8">
        <v>31</v>
      </c>
      <c r="M390" s="8">
        <v>166</v>
      </c>
      <c r="N390" s="1169" t="s">
        <v>271</v>
      </c>
      <c r="P390" s="6" t="s">
        <v>3322</v>
      </c>
      <c r="Q390" s="1215" t="s">
        <v>253</v>
      </c>
      <c r="R390" s="1215" t="s">
        <v>255</v>
      </c>
      <c r="S390" s="1215" t="s">
        <v>534</v>
      </c>
      <c r="T390" s="1215" t="s">
        <v>533</v>
      </c>
      <c r="U390" s="6" t="s">
        <v>539</v>
      </c>
      <c r="V390" s="6" t="s">
        <v>34</v>
      </c>
    </row>
    <row r="391" spans="1:24" ht="15" customHeight="1" x14ac:dyDescent="0.3">
      <c r="A391" s="6" t="s">
        <v>533</v>
      </c>
      <c r="B391" s="6" t="s">
        <v>534</v>
      </c>
      <c r="C391" s="6" t="s">
        <v>31</v>
      </c>
      <c r="D391" s="6" t="s">
        <v>549</v>
      </c>
      <c r="E391" s="1088" t="s">
        <v>164</v>
      </c>
      <c r="F391" s="6" t="s">
        <v>748</v>
      </c>
      <c r="G391" s="6" t="s">
        <v>1881</v>
      </c>
      <c r="H391" s="6" t="s">
        <v>1882</v>
      </c>
      <c r="J391" s="1215" t="s">
        <v>509</v>
      </c>
      <c r="K391" s="1219" t="s">
        <v>3033</v>
      </c>
      <c r="L391" s="8">
        <v>14</v>
      </c>
      <c r="M391" s="8">
        <v>94</v>
      </c>
      <c r="N391" s="1169" t="s">
        <v>271</v>
      </c>
      <c r="P391" s="6" t="s">
        <v>3323</v>
      </c>
      <c r="Q391" s="1215" t="s">
        <v>253</v>
      </c>
      <c r="R391" s="1215" t="s">
        <v>255</v>
      </c>
      <c r="S391" s="1215" t="s">
        <v>534</v>
      </c>
      <c r="T391" s="1215" t="s">
        <v>533</v>
      </c>
      <c r="U391" s="6" t="s">
        <v>549</v>
      </c>
      <c r="V391" s="6" t="s">
        <v>31</v>
      </c>
      <c r="W391" s="6" t="s">
        <v>881</v>
      </c>
      <c r="X391" s="6" t="s">
        <v>165</v>
      </c>
    </row>
    <row r="392" spans="1:24" ht="15" customHeight="1" x14ac:dyDescent="0.3">
      <c r="A392" s="6" t="s">
        <v>533</v>
      </c>
      <c r="B392" s="6" t="s">
        <v>534</v>
      </c>
      <c r="C392" s="6" t="s">
        <v>31</v>
      </c>
      <c r="D392" s="6" t="s">
        <v>549</v>
      </c>
      <c r="E392" s="1088" t="s">
        <v>164</v>
      </c>
      <c r="F392" s="6" t="s">
        <v>748</v>
      </c>
      <c r="G392" s="6" t="s">
        <v>1881</v>
      </c>
      <c r="H392" s="6" t="s">
        <v>1882</v>
      </c>
      <c r="J392" s="1215" t="s">
        <v>509</v>
      </c>
      <c r="K392" s="1219" t="s">
        <v>3109</v>
      </c>
      <c r="L392" s="8">
        <v>2</v>
      </c>
      <c r="M392" s="8">
        <v>14</v>
      </c>
      <c r="N392" s="1169" t="s">
        <v>271</v>
      </c>
      <c r="P392" s="6" t="s">
        <v>3323</v>
      </c>
      <c r="Q392" s="1215" t="s">
        <v>253</v>
      </c>
      <c r="R392" s="1215" t="s">
        <v>255</v>
      </c>
      <c r="S392" s="1215" t="s">
        <v>534</v>
      </c>
      <c r="T392" s="1215" t="s">
        <v>533</v>
      </c>
      <c r="U392" s="6" t="s">
        <v>549</v>
      </c>
      <c r="V392" s="6" t="s">
        <v>31</v>
      </c>
      <c r="W392" s="6" t="s">
        <v>881</v>
      </c>
      <c r="X392" s="1088" t="s">
        <v>165</v>
      </c>
    </row>
    <row r="393" spans="1:24" ht="15" customHeight="1" x14ac:dyDescent="0.3">
      <c r="A393" s="6" t="s">
        <v>533</v>
      </c>
      <c r="B393" s="6" t="s">
        <v>534</v>
      </c>
      <c r="C393" s="6" t="s">
        <v>31</v>
      </c>
      <c r="D393" s="6" t="s">
        <v>549</v>
      </c>
      <c r="E393" s="1088" t="s">
        <v>164</v>
      </c>
      <c r="F393" s="6" t="s">
        <v>748</v>
      </c>
      <c r="G393" s="6" t="s">
        <v>1085</v>
      </c>
      <c r="H393" s="6" t="s">
        <v>1086</v>
      </c>
      <c r="J393" s="1215" t="s">
        <v>509</v>
      </c>
      <c r="K393" s="1219" t="s">
        <v>3033</v>
      </c>
      <c r="L393" s="8">
        <v>20</v>
      </c>
      <c r="M393" s="8">
        <v>140</v>
      </c>
      <c r="N393" s="1169" t="s">
        <v>271</v>
      </c>
      <c r="O393" s="1088"/>
      <c r="P393" s="6" t="s">
        <v>3324</v>
      </c>
      <c r="Q393" s="1215" t="s">
        <v>253</v>
      </c>
      <c r="R393" s="1215" t="s">
        <v>255</v>
      </c>
      <c r="S393" s="1215" t="s">
        <v>534</v>
      </c>
      <c r="T393" s="1215" t="s">
        <v>533</v>
      </c>
      <c r="U393" s="6" t="s">
        <v>549</v>
      </c>
      <c r="V393" s="6" t="s">
        <v>31</v>
      </c>
      <c r="W393" s="6" t="s">
        <v>748</v>
      </c>
      <c r="X393" s="6" t="s">
        <v>164</v>
      </c>
    </row>
    <row r="394" spans="1:24" ht="15" customHeight="1" x14ac:dyDescent="0.3">
      <c r="A394" s="6" t="s">
        <v>533</v>
      </c>
      <c r="B394" s="6" t="s">
        <v>534</v>
      </c>
      <c r="C394" s="6" t="s">
        <v>31</v>
      </c>
      <c r="D394" s="6" t="s">
        <v>549</v>
      </c>
      <c r="E394" s="6" t="s">
        <v>164</v>
      </c>
      <c r="F394" s="6" t="s">
        <v>748</v>
      </c>
      <c r="G394" s="6" t="s">
        <v>1085</v>
      </c>
      <c r="H394" s="6" t="s">
        <v>1086</v>
      </c>
      <c r="J394" s="1215" t="s">
        <v>509</v>
      </c>
      <c r="K394" s="1219" t="s">
        <v>3109</v>
      </c>
      <c r="L394" s="8">
        <v>6</v>
      </c>
      <c r="M394" s="8">
        <v>42</v>
      </c>
      <c r="N394" s="1169" t="s">
        <v>271</v>
      </c>
      <c r="O394" s="1088"/>
      <c r="P394" s="6" t="s">
        <v>3324</v>
      </c>
      <c r="Q394" s="1215" t="s">
        <v>253</v>
      </c>
      <c r="R394" s="1215" t="s">
        <v>255</v>
      </c>
      <c r="S394" s="1215" t="s">
        <v>534</v>
      </c>
      <c r="T394" s="1215" t="s">
        <v>533</v>
      </c>
      <c r="U394" s="6" t="s">
        <v>549</v>
      </c>
      <c r="V394" s="6" t="s">
        <v>31</v>
      </c>
      <c r="W394" s="6" t="s">
        <v>748</v>
      </c>
      <c r="X394" s="6" t="s">
        <v>164</v>
      </c>
    </row>
    <row r="395" spans="1:24" ht="15" customHeight="1" x14ac:dyDescent="0.3">
      <c r="A395" s="6" t="s">
        <v>533</v>
      </c>
      <c r="B395" s="6" t="s">
        <v>534</v>
      </c>
      <c r="C395" s="6" t="s">
        <v>34</v>
      </c>
      <c r="D395" s="6" t="s">
        <v>539</v>
      </c>
      <c r="E395" s="6" t="s">
        <v>188</v>
      </c>
      <c r="F395" s="6" t="s">
        <v>546</v>
      </c>
      <c r="G395" s="6" t="s">
        <v>1497</v>
      </c>
      <c r="H395" s="6" t="s">
        <v>1508</v>
      </c>
      <c r="J395" s="1215" t="s">
        <v>509</v>
      </c>
      <c r="K395" s="1219" t="s">
        <v>3033</v>
      </c>
      <c r="L395" s="8">
        <v>119</v>
      </c>
      <c r="M395" s="8">
        <v>585</v>
      </c>
      <c r="N395" s="6" t="s">
        <v>271</v>
      </c>
      <c r="P395" s="6" t="s">
        <v>3324</v>
      </c>
      <c r="Q395" s="1215" t="s">
        <v>253</v>
      </c>
      <c r="R395" s="1215" t="s">
        <v>255</v>
      </c>
      <c r="S395" s="1215" t="s">
        <v>534</v>
      </c>
      <c r="T395" s="1215" t="s">
        <v>533</v>
      </c>
      <c r="U395" s="6" t="s">
        <v>539</v>
      </c>
      <c r="V395" s="6" t="s">
        <v>34</v>
      </c>
      <c r="W395" s="6" t="s">
        <v>546</v>
      </c>
      <c r="X395" s="6" t="s">
        <v>188</v>
      </c>
    </row>
    <row r="396" spans="1:24" ht="15" customHeight="1" x14ac:dyDescent="0.3">
      <c r="A396" s="6" t="s">
        <v>533</v>
      </c>
      <c r="B396" s="6" t="s">
        <v>534</v>
      </c>
      <c r="C396" s="6" t="s">
        <v>34</v>
      </c>
      <c r="D396" s="6" t="s">
        <v>539</v>
      </c>
      <c r="E396" s="6" t="s">
        <v>188</v>
      </c>
      <c r="F396" s="6" t="s">
        <v>546</v>
      </c>
      <c r="G396" s="6" t="s">
        <v>1497</v>
      </c>
      <c r="H396" s="6" t="s">
        <v>1508</v>
      </c>
      <c r="J396" s="1215" t="s">
        <v>509</v>
      </c>
      <c r="K396" s="1219" t="s">
        <v>3109</v>
      </c>
      <c r="L396" s="8">
        <v>124</v>
      </c>
      <c r="M396" s="8">
        <v>635</v>
      </c>
      <c r="N396" s="6" t="s">
        <v>271</v>
      </c>
      <c r="P396" s="1168" t="s">
        <v>3324</v>
      </c>
      <c r="Q396" s="1215" t="s">
        <v>253</v>
      </c>
      <c r="R396" s="1215" t="s">
        <v>255</v>
      </c>
      <c r="S396" s="1215" t="s">
        <v>534</v>
      </c>
      <c r="T396" s="1215" t="s">
        <v>533</v>
      </c>
      <c r="U396" s="6" t="s">
        <v>539</v>
      </c>
      <c r="V396" s="6" t="s">
        <v>34</v>
      </c>
      <c r="W396" s="6" t="s">
        <v>546</v>
      </c>
      <c r="X396" s="6" t="s">
        <v>188</v>
      </c>
    </row>
    <row r="397" spans="1:24" ht="15" customHeight="1" x14ac:dyDescent="0.3">
      <c r="A397" s="6" t="s">
        <v>533</v>
      </c>
      <c r="B397" s="6" t="s">
        <v>534</v>
      </c>
      <c r="C397" s="6" t="s">
        <v>34</v>
      </c>
      <c r="D397" s="6" t="s">
        <v>539</v>
      </c>
      <c r="E397" s="6" t="s">
        <v>188</v>
      </c>
      <c r="F397" s="6" t="s">
        <v>546</v>
      </c>
      <c r="G397" s="6" t="s">
        <v>1497</v>
      </c>
      <c r="H397" s="6" t="s">
        <v>1508</v>
      </c>
      <c r="J397" s="1215" t="s">
        <v>509</v>
      </c>
      <c r="K397" s="1219" t="s">
        <v>3110</v>
      </c>
      <c r="L397" s="8">
        <v>43</v>
      </c>
      <c r="M397" s="8">
        <v>368</v>
      </c>
      <c r="N397" s="1169" t="s">
        <v>271</v>
      </c>
      <c r="P397" s="6" t="s">
        <v>3324</v>
      </c>
      <c r="Q397" s="1215" t="s">
        <v>253</v>
      </c>
      <c r="R397" s="1215" t="s">
        <v>255</v>
      </c>
      <c r="S397" s="1215" t="s">
        <v>534</v>
      </c>
      <c r="T397" s="1215" t="s">
        <v>533</v>
      </c>
      <c r="U397" s="6" t="s">
        <v>539</v>
      </c>
      <c r="V397" s="6" t="s">
        <v>34</v>
      </c>
      <c r="W397" s="6" t="s">
        <v>546</v>
      </c>
      <c r="X397" s="6" t="s">
        <v>188</v>
      </c>
    </row>
    <row r="398" spans="1:24" ht="15" customHeight="1" x14ac:dyDescent="0.3">
      <c r="A398" s="6" t="s">
        <v>533</v>
      </c>
      <c r="B398" s="6" t="s">
        <v>534</v>
      </c>
      <c r="C398" s="6" t="s">
        <v>34</v>
      </c>
      <c r="D398" s="6" t="s">
        <v>539</v>
      </c>
      <c r="E398" s="6" t="s">
        <v>188</v>
      </c>
      <c r="F398" s="6" t="s">
        <v>546</v>
      </c>
      <c r="G398" s="6" t="s">
        <v>1497</v>
      </c>
      <c r="H398" s="6" t="s">
        <v>1508</v>
      </c>
      <c r="J398" s="1215" t="s">
        <v>509</v>
      </c>
      <c r="K398" s="1219" t="s">
        <v>3111</v>
      </c>
      <c r="L398" s="8">
        <v>0</v>
      </c>
      <c r="M398" s="8">
        <v>85</v>
      </c>
      <c r="N398" s="1169" t="s">
        <v>271</v>
      </c>
      <c r="O398" s="1088"/>
      <c r="P398" s="6" t="s">
        <v>3324</v>
      </c>
      <c r="Q398" s="1215" t="s">
        <v>253</v>
      </c>
      <c r="R398" s="1215" t="s">
        <v>255</v>
      </c>
      <c r="S398" s="1215" t="s">
        <v>534</v>
      </c>
      <c r="T398" s="1215" t="s">
        <v>533</v>
      </c>
      <c r="U398" s="6" t="s">
        <v>539</v>
      </c>
      <c r="V398" s="6" t="s">
        <v>34</v>
      </c>
      <c r="W398" s="6" t="s">
        <v>546</v>
      </c>
      <c r="X398" s="6" t="s">
        <v>188</v>
      </c>
    </row>
    <row r="399" spans="1:24" ht="15" customHeight="1" x14ac:dyDescent="0.3">
      <c r="A399" s="6" t="s">
        <v>533</v>
      </c>
      <c r="B399" s="6" t="s">
        <v>534</v>
      </c>
      <c r="C399" s="6" t="s">
        <v>34</v>
      </c>
      <c r="D399" s="6" t="s">
        <v>539</v>
      </c>
      <c r="E399" s="6" t="s">
        <v>188</v>
      </c>
      <c r="F399" s="6" t="s">
        <v>546</v>
      </c>
      <c r="G399" s="6" t="s">
        <v>1497</v>
      </c>
      <c r="H399" s="6" t="s">
        <v>1508</v>
      </c>
      <c r="J399" s="1215" t="s">
        <v>509</v>
      </c>
      <c r="K399" s="1219" t="s">
        <v>3112</v>
      </c>
      <c r="L399" s="8">
        <v>16</v>
      </c>
      <c r="M399" s="8">
        <v>126</v>
      </c>
      <c r="N399" s="1169" t="s">
        <v>271</v>
      </c>
      <c r="P399" s="6" t="s">
        <v>3324</v>
      </c>
      <c r="Q399" s="1215" t="s">
        <v>253</v>
      </c>
      <c r="R399" s="1215" t="s">
        <v>255</v>
      </c>
      <c r="S399" s="1215" t="s">
        <v>534</v>
      </c>
      <c r="T399" s="1215" t="s">
        <v>533</v>
      </c>
      <c r="U399" s="6" t="s">
        <v>539</v>
      </c>
      <c r="V399" s="6" t="s">
        <v>34</v>
      </c>
      <c r="W399" s="6" t="s">
        <v>546</v>
      </c>
      <c r="X399" s="6" t="s">
        <v>188</v>
      </c>
    </row>
    <row r="400" spans="1:24" ht="15" customHeight="1" x14ac:dyDescent="0.3">
      <c r="A400" s="6" t="s">
        <v>533</v>
      </c>
      <c r="B400" s="6" t="s">
        <v>534</v>
      </c>
      <c r="C400" s="6" t="s">
        <v>34</v>
      </c>
      <c r="D400" s="6" t="s">
        <v>539</v>
      </c>
      <c r="E400" s="1088" t="s">
        <v>188</v>
      </c>
      <c r="F400" s="6" t="s">
        <v>546</v>
      </c>
      <c r="G400" s="6" t="s">
        <v>1383</v>
      </c>
      <c r="H400" s="6" t="s">
        <v>1688</v>
      </c>
      <c r="J400" s="1215" t="s">
        <v>509</v>
      </c>
      <c r="K400" s="1219" t="s">
        <v>3033</v>
      </c>
      <c r="L400" s="8">
        <v>57</v>
      </c>
      <c r="M400" s="8">
        <v>82</v>
      </c>
      <c r="N400" s="1169" t="s">
        <v>271</v>
      </c>
      <c r="P400" s="6" t="s">
        <v>3324</v>
      </c>
      <c r="Q400" s="1215" t="s">
        <v>253</v>
      </c>
      <c r="R400" s="1215" t="s">
        <v>255</v>
      </c>
      <c r="S400" s="1215" t="s">
        <v>534</v>
      </c>
      <c r="T400" s="1215" t="s">
        <v>533</v>
      </c>
      <c r="U400" s="6" t="s">
        <v>539</v>
      </c>
      <c r="V400" s="6" t="s">
        <v>34</v>
      </c>
      <c r="W400" s="6" t="s">
        <v>546</v>
      </c>
      <c r="X400" s="6" t="s">
        <v>188</v>
      </c>
    </row>
    <row r="401" spans="1:24" ht="15" customHeight="1" x14ac:dyDescent="0.3">
      <c r="A401" s="6" t="s">
        <v>533</v>
      </c>
      <c r="B401" s="6" t="s">
        <v>534</v>
      </c>
      <c r="C401" s="6" t="s">
        <v>34</v>
      </c>
      <c r="D401" s="1088" t="s">
        <v>539</v>
      </c>
      <c r="E401" s="1088" t="s">
        <v>188</v>
      </c>
      <c r="F401" s="6" t="s">
        <v>546</v>
      </c>
      <c r="G401" s="6" t="s">
        <v>1383</v>
      </c>
      <c r="H401" s="6" t="s">
        <v>1688</v>
      </c>
      <c r="J401" s="1215" t="s">
        <v>509</v>
      </c>
      <c r="K401" s="1219" t="s">
        <v>3109</v>
      </c>
      <c r="L401" s="8">
        <v>51</v>
      </c>
      <c r="M401" s="8">
        <v>354</v>
      </c>
      <c r="N401" s="1169" t="s">
        <v>271</v>
      </c>
      <c r="P401" s="6" t="s">
        <v>3324</v>
      </c>
      <c r="Q401" s="1215" t="s">
        <v>253</v>
      </c>
      <c r="R401" s="1215" t="s">
        <v>255</v>
      </c>
      <c r="S401" s="1215" t="s">
        <v>534</v>
      </c>
      <c r="T401" s="1215" t="s">
        <v>533</v>
      </c>
      <c r="U401" s="6" t="s">
        <v>539</v>
      </c>
      <c r="V401" s="6" t="s">
        <v>34</v>
      </c>
      <c r="W401" s="6" t="s">
        <v>546</v>
      </c>
      <c r="X401" s="6" t="s">
        <v>188</v>
      </c>
    </row>
    <row r="402" spans="1:24" ht="15" customHeight="1" x14ac:dyDescent="0.3">
      <c r="A402" s="6" t="s">
        <v>533</v>
      </c>
      <c r="B402" s="6" t="s">
        <v>534</v>
      </c>
      <c r="C402" s="6" t="s">
        <v>34</v>
      </c>
      <c r="D402" s="6" t="s">
        <v>539</v>
      </c>
      <c r="E402" s="6" t="s">
        <v>188</v>
      </c>
      <c r="F402" s="6" t="s">
        <v>546</v>
      </c>
      <c r="G402" s="6" t="s">
        <v>1383</v>
      </c>
      <c r="H402" s="6" t="s">
        <v>1688</v>
      </c>
      <c r="J402" s="1215" t="s">
        <v>509</v>
      </c>
      <c r="K402" s="1219" t="s">
        <v>3110</v>
      </c>
      <c r="L402" s="8">
        <v>1</v>
      </c>
      <c r="M402" s="8">
        <v>22</v>
      </c>
      <c r="N402" s="1169" t="s">
        <v>271</v>
      </c>
      <c r="O402" s="1088"/>
      <c r="P402" s="6" t="s">
        <v>3324</v>
      </c>
      <c r="Q402" s="1215" t="s">
        <v>253</v>
      </c>
      <c r="R402" s="1215" t="s">
        <v>255</v>
      </c>
      <c r="S402" s="1215" t="s">
        <v>534</v>
      </c>
      <c r="T402" s="1215" t="s">
        <v>533</v>
      </c>
      <c r="U402" s="6" t="s">
        <v>539</v>
      </c>
      <c r="V402" s="6" t="s">
        <v>34</v>
      </c>
      <c r="W402" s="6" t="s">
        <v>546</v>
      </c>
      <c r="X402" s="6" t="s">
        <v>188</v>
      </c>
    </row>
    <row r="403" spans="1:24" ht="15" customHeight="1" x14ac:dyDescent="0.3">
      <c r="A403" s="6" t="s">
        <v>533</v>
      </c>
      <c r="B403" s="6" t="s">
        <v>534</v>
      </c>
      <c r="C403" s="6" t="s">
        <v>34</v>
      </c>
      <c r="D403" s="6" t="s">
        <v>539</v>
      </c>
      <c r="E403" s="6" t="s">
        <v>188</v>
      </c>
      <c r="F403" s="6" t="s">
        <v>546</v>
      </c>
      <c r="G403" s="6" t="s">
        <v>1383</v>
      </c>
      <c r="H403" s="6" t="s">
        <v>1688</v>
      </c>
      <c r="J403" s="1215" t="s">
        <v>509</v>
      </c>
      <c r="K403" s="1219" t="s">
        <v>3111</v>
      </c>
      <c r="L403" s="8">
        <v>16</v>
      </c>
      <c r="M403" s="8">
        <v>160</v>
      </c>
      <c r="N403" s="1169" t="s">
        <v>271</v>
      </c>
      <c r="P403" s="6" t="s">
        <v>3324</v>
      </c>
      <c r="Q403" s="1215" t="s">
        <v>253</v>
      </c>
      <c r="R403" s="1215" t="s">
        <v>255</v>
      </c>
      <c r="S403" s="1215" t="s">
        <v>534</v>
      </c>
      <c r="T403" s="1215" t="s">
        <v>533</v>
      </c>
      <c r="U403" s="6" t="s">
        <v>539</v>
      </c>
      <c r="V403" s="6" t="s">
        <v>34</v>
      </c>
      <c r="W403" s="6" t="s">
        <v>546</v>
      </c>
      <c r="X403" s="6" t="s">
        <v>188</v>
      </c>
    </row>
    <row r="404" spans="1:24" ht="15" customHeight="1" x14ac:dyDescent="0.3">
      <c r="A404" s="6" t="s">
        <v>533</v>
      </c>
      <c r="B404" s="6" t="s">
        <v>534</v>
      </c>
      <c r="C404" s="6" t="s">
        <v>34</v>
      </c>
      <c r="D404" s="6" t="s">
        <v>539</v>
      </c>
      <c r="E404" s="6" t="s">
        <v>188</v>
      </c>
      <c r="F404" s="6" t="s">
        <v>546</v>
      </c>
      <c r="G404" s="6" t="s">
        <v>1383</v>
      </c>
      <c r="H404" s="6" t="s">
        <v>1688</v>
      </c>
      <c r="J404" s="1215" t="s">
        <v>509</v>
      </c>
      <c r="K404" s="1219" t="s">
        <v>3112</v>
      </c>
      <c r="L404" s="8">
        <v>0</v>
      </c>
      <c r="M404" s="8">
        <v>30</v>
      </c>
      <c r="N404" s="1169" t="s">
        <v>271</v>
      </c>
      <c r="P404" s="6" t="s">
        <v>3324</v>
      </c>
      <c r="Q404" s="1215" t="s">
        <v>253</v>
      </c>
      <c r="R404" s="1215" t="s">
        <v>255</v>
      </c>
      <c r="S404" s="1215" t="s">
        <v>534</v>
      </c>
      <c r="T404" s="1215" t="s">
        <v>533</v>
      </c>
      <c r="U404" s="6" t="s">
        <v>539</v>
      </c>
      <c r="V404" s="6" t="s">
        <v>34</v>
      </c>
      <c r="W404" s="6" t="s">
        <v>546</v>
      </c>
      <c r="X404" s="6" t="s">
        <v>188</v>
      </c>
    </row>
    <row r="405" spans="1:24" ht="15" customHeight="1" x14ac:dyDescent="0.3">
      <c r="A405" s="6" t="s">
        <v>533</v>
      </c>
      <c r="B405" s="6" t="s">
        <v>534</v>
      </c>
      <c r="C405" s="6" t="s">
        <v>35</v>
      </c>
      <c r="D405" s="1088" t="s">
        <v>567</v>
      </c>
      <c r="E405" s="6" t="s">
        <v>190</v>
      </c>
      <c r="F405" s="6" t="s">
        <v>800</v>
      </c>
      <c r="G405" s="6" t="s">
        <v>1810</v>
      </c>
      <c r="H405" s="6" t="s">
        <v>1811</v>
      </c>
      <c r="J405" s="1215" t="s">
        <v>509</v>
      </c>
      <c r="K405" s="1219" t="s">
        <v>3033</v>
      </c>
      <c r="L405" s="8">
        <v>10</v>
      </c>
      <c r="M405" s="8">
        <v>92</v>
      </c>
      <c r="N405" s="1169" t="s">
        <v>271</v>
      </c>
      <c r="P405" s="6" t="s">
        <v>3324</v>
      </c>
      <c r="Q405" s="1215" t="s">
        <v>253</v>
      </c>
      <c r="R405" s="1215" t="s">
        <v>255</v>
      </c>
      <c r="S405" s="1215" t="s">
        <v>534</v>
      </c>
      <c r="T405" s="1215" t="s">
        <v>533</v>
      </c>
      <c r="U405" s="6" t="s">
        <v>567</v>
      </c>
      <c r="V405" s="6" t="s">
        <v>35</v>
      </c>
      <c r="W405" s="6" t="s">
        <v>800</v>
      </c>
      <c r="X405" s="6" t="s">
        <v>190</v>
      </c>
    </row>
    <row r="406" spans="1:24" ht="15" customHeight="1" x14ac:dyDescent="0.3">
      <c r="A406" s="6" t="s">
        <v>533</v>
      </c>
      <c r="B406" s="6" t="s">
        <v>534</v>
      </c>
      <c r="C406" s="6" t="s">
        <v>35</v>
      </c>
      <c r="D406" s="6" t="s">
        <v>567</v>
      </c>
      <c r="E406" s="1088" t="s">
        <v>190</v>
      </c>
      <c r="F406" s="6" t="s">
        <v>800</v>
      </c>
      <c r="G406" s="6" t="s">
        <v>1810</v>
      </c>
      <c r="H406" s="6" t="s">
        <v>1811</v>
      </c>
      <c r="J406" s="1215" t="s">
        <v>509</v>
      </c>
      <c r="K406" s="1219" t="s">
        <v>3109</v>
      </c>
      <c r="L406" s="8">
        <v>0</v>
      </c>
      <c r="M406" s="8">
        <v>2</v>
      </c>
      <c r="N406" s="6" t="s">
        <v>271</v>
      </c>
      <c r="P406" s="6" t="s">
        <v>3324</v>
      </c>
      <c r="Q406" s="1215" t="s">
        <v>253</v>
      </c>
      <c r="R406" s="1215" t="s">
        <v>255</v>
      </c>
      <c r="S406" s="1215" t="s">
        <v>534</v>
      </c>
      <c r="T406" s="1215" t="s">
        <v>533</v>
      </c>
      <c r="U406" s="6" t="s">
        <v>567</v>
      </c>
      <c r="V406" s="6" t="s">
        <v>35</v>
      </c>
      <c r="W406" s="6" t="s">
        <v>800</v>
      </c>
      <c r="X406" s="6" t="s">
        <v>190</v>
      </c>
    </row>
    <row r="407" spans="1:24" ht="15" customHeight="1" x14ac:dyDescent="0.3">
      <c r="A407" s="6" t="s">
        <v>533</v>
      </c>
      <c r="B407" s="6" t="s">
        <v>534</v>
      </c>
      <c r="C407" s="6" t="s">
        <v>35</v>
      </c>
      <c r="D407" s="1088" t="s">
        <v>567</v>
      </c>
      <c r="E407" s="6" t="s">
        <v>190</v>
      </c>
      <c r="F407" s="6" t="s">
        <v>800</v>
      </c>
      <c r="G407" s="6" t="s">
        <v>1810</v>
      </c>
      <c r="H407" s="6" t="s">
        <v>1811</v>
      </c>
      <c r="J407" s="1215" t="s">
        <v>509</v>
      </c>
      <c r="K407" s="1219" t="s">
        <v>3112</v>
      </c>
      <c r="L407" s="8">
        <v>0</v>
      </c>
      <c r="M407" s="8">
        <v>4</v>
      </c>
      <c r="N407" s="1169" t="s">
        <v>271</v>
      </c>
      <c r="P407" s="6" t="s">
        <v>3324</v>
      </c>
      <c r="Q407" s="1215" t="s">
        <v>253</v>
      </c>
      <c r="R407" s="1215" t="s">
        <v>255</v>
      </c>
      <c r="S407" s="1215" t="s">
        <v>534</v>
      </c>
      <c r="T407" s="1215" t="s">
        <v>533</v>
      </c>
      <c r="U407" s="6" t="s">
        <v>567</v>
      </c>
      <c r="V407" s="6" t="s">
        <v>35</v>
      </c>
      <c r="W407" s="6" t="s">
        <v>800</v>
      </c>
      <c r="X407" s="6" t="s">
        <v>190</v>
      </c>
    </row>
    <row r="408" spans="1:24" ht="15" customHeight="1" x14ac:dyDescent="0.3">
      <c r="A408" s="6" t="s">
        <v>533</v>
      </c>
      <c r="B408" s="6" t="s">
        <v>534</v>
      </c>
      <c r="C408" s="6" t="s">
        <v>35</v>
      </c>
      <c r="D408" s="6" t="s">
        <v>567</v>
      </c>
      <c r="E408" s="1088" t="s">
        <v>190</v>
      </c>
      <c r="F408" s="6" t="s">
        <v>800</v>
      </c>
      <c r="G408" s="6" t="s">
        <v>1810</v>
      </c>
      <c r="H408" s="6" t="s">
        <v>1811</v>
      </c>
      <c r="J408" s="1215" t="s">
        <v>509</v>
      </c>
      <c r="K408" s="1219" t="s">
        <v>3110</v>
      </c>
      <c r="L408" s="8">
        <v>0</v>
      </c>
      <c r="M408" s="8">
        <v>3</v>
      </c>
      <c r="N408" s="1169" t="s">
        <v>271</v>
      </c>
      <c r="P408" s="6" t="s">
        <v>3324</v>
      </c>
      <c r="Q408" s="1215" t="s">
        <v>253</v>
      </c>
      <c r="R408" s="1215" t="s">
        <v>255</v>
      </c>
      <c r="S408" s="1215" t="s">
        <v>534</v>
      </c>
      <c r="T408" s="1215" t="s">
        <v>533</v>
      </c>
      <c r="U408" s="6" t="s">
        <v>567</v>
      </c>
      <c r="V408" s="6" t="s">
        <v>35</v>
      </c>
      <c r="W408" s="6" t="s">
        <v>800</v>
      </c>
      <c r="X408" s="6" t="s">
        <v>190</v>
      </c>
    </row>
    <row r="409" spans="1:24" ht="15" customHeight="1" x14ac:dyDescent="0.3">
      <c r="A409" s="6" t="s">
        <v>533</v>
      </c>
      <c r="B409" s="6" t="s">
        <v>534</v>
      </c>
      <c r="C409" s="6" t="s">
        <v>35</v>
      </c>
      <c r="D409" s="6" t="s">
        <v>567</v>
      </c>
      <c r="E409" s="1088" t="s">
        <v>190</v>
      </c>
      <c r="F409" s="6" t="s">
        <v>800</v>
      </c>
      <c r="G409" s="6" t="s">
        <v>1810</v>
      </c>
      <c r="H409" s="6" t="s">
        <v>1811</v>
      </c>
      <c r="J409" s="1215" t="s">
        <v>509</v>
      </c>
      <c r="K409" s="1219" t="s">
        <v>3111</v>
      </c>
      <c r="L409" s="8">
        <v>0</v>
      </c>
      <c r="M409" s="8">
        <v>4</v>
      </c>
      <c r="N409" s="1169" t="s">
        <v>271</v>
      </c>
      <c r="P409" s="6" t="s">
        <v>3324</v>
      </c>
      <c r="Q409" s="1215" t="s">
        <v>253</v>
      </c>
      <c r="R409" s="1215" t="s">
        <v>255</v>
      </c>
      <c r="S409" s="1215" t="s">
        <v>534</v>
      </c>
      <c r="T409" s="1215" t="s">
        <v>533</v>
      </c>
      <c r="U409" s="6" t="s">
        <v>567</v>
      </c>
      <c r="V409" s="6" t="s">
        <v>35</v>
      </c>
      <c r="W409" s="6" t="s">
        <v>800</v>
      </c>
      <c r="X409" s="6" t="s">
        <v>190</v>
      </c>
    </row>
    <row r="410" spans="1:24" ht="15" customHeight="1" x14ac:dyDescent="0.3">
      <c r="A410" s="6" t="s">
        <v>533</v>
      </c>
      <c r="B410" s="6" t="s">
        <v>534</v>
      </c>
      <c r="C410" s="6" t="s">
        <v>34</v>
      </c>
      <c r="D410" s="6" t="s">
        <v>539</v>
      </c>
      <c r="E410" s="1088" t="s">
        <v>188</v>
      </c>
      <c r="F410" s="6" t="s">
        <v>546</v>
      </c>
      <c r="G410" s="6" t="s">
        <v>1675</v>
      </c>
      <c r="H410" s="6" t="s">
        <v>1500</v>
      </c>
      <c r="J410" s="1215" t="s">
        <v>509</v>
      </c>
      <c r="K410" s="1219" t="s">
        <v>3033</v>
      </c>
      <c r="L410" s="8">
        <v>62</v>
      </c>
      <c r="M410" s="8">
        <v>333</v>
      </c>
      <c r="N410" s="1169" t="s">
        <v>271</v>
      </c>
      <c r="P410" s="6" t="s">
        <v>3324</v>
      </c>
      <c r="Q410" s="1215" t="s">
        <v>253</v>
      </c>
      <c r="R410" s="1215" t="s">
        <v>255</v>
      </c>
      <c r="S410" s="1215" t="s">
        <v>534</v>
      </c>
      <c r="T410" s="1215" t="s">
        <v>533</v>
      </c>
      <c r="U410" s="6" t="s">
        <v>539</v>
      </c>
      <c r="V410" s="6" t="s">
        <v>34</v>
      </c>
      <c r="W410" s="6" t="s">
        <v>546</v>
      </c>
      <c r="X410" s="6" t="s">
        <v>188</v>
      </c>
    </row>
    <row r="411" spans="1:24" ht="15" customHeight="1" x14ac:dyDescent="0.3">
      <c r="A411" s="6" t="s">
        <v>533</v>
      </c>
      <c r="B411" s="6" t="s">
        <v>534</v>
      </c>
      <c r="C411" s="6" t="s">
        <v>34</v>
      </c>
      <c r="D411" s="6" t="s">
        <v>539</v>
      </c>
      <c r="E411" s="1088" t="s">
        <v>188</v>
      </c>
      <c r="F411" s="6" t="s">
        <v>546</v>
      </c>
      <c r="G411" s="6" t="s">
        <v>1675</v>
      </c>
      <c r="H411" s="6" t="s">
        <v>1500</v>
      </c>
      <c r="J411" s="1215" t="s">
        <v>509</v>
      </c>
      <c r="K411" s="1219" t="s">
        <v>3110</v>
      </c>
      <c r="L411" s="8">
        <v>0</v>
      </c>
      <c r="M411" s="8">
        <v>34</v>
      </c>
      <c r="N411" s="1169" t="s">
        <v>271</v>
      </c>
      <c r="P411" s="6" t="s">
        <v>3324</v>
      </c>
      <c r="Q411" s="1215" t="s">
        <v>253</v>
      </c>
      <c r="R411" s="1215" t="s">
        <v>255</v>
      </c>
      <c r="S411" s="1215" t="s">
        <v>534</v>
      </c>
      <c r="T411" s="1215" t="s">
        <v>533</v>
      </c>
      <c r="U411" s="6" t="s">
        <v>539</v>
      </c>
      <c r="V411" s="6" t="s">
        <v>34</v>
      </c>
      <c r="W411" s="6" t="s">
        <v>546</v>
      </c>
      <c r="X411" s="6" t="s">
        <v>188</v>
      </c>
    </row>
    <row r="412" spans="1:24" ht="15" customHeight="1" x14ac:dyDescent="0.3">
      <c r="A412" s="6" t="s">
        <v>533</v>
      </c>
      <c r="B412" s="6" t="s">
        <v>534</v>
      </c>
      <c r="C412" s="6" t="s">
        <v>34</v>
      </c>
      <c r="D412" s="6" t="s">
        <v>539</v>
      </c>
      <c r="E412" s="1088" t="s">
        <v>188</v>
      </c>
      <c r="F412" s="6" t="s">
        <v>546</v>
      </c>
      <c r="G412" s="6" t="s">
        <v>1675</v>
      </c>
      <c r="H412" s="6" t="s">
        <v>1500</v>
      </c>
      <c r="J412" s="1215" t="s">
        <v>509</v>
      </c>
      <c r="K412" s="1219" t="s">
        <v>3111</v>
      </c>
      <c r="L412" s="8">
        <v>0</v>
      </c>
      <c r="M412" s="8">
        <v>10</v>
      </c>
      <c r="N412" s="1169" t="s">
        <v>271</v>
      </c>
      <c r="P412" s="6" t="s">
        <v>3324</v>
      </c>
      <c r="Q412" s="1215" t="s">
        <v>253</v>
      </c>
      <c r="R412" s="1215" t="s">
        <v>255</v>
      </c>
      <c r="S412" s="1215" t="s">
        <v>534</v>
      </c>
      <c r="T412" s="1215" t="s">
        <v>533</v>
      </c>
      <c r="U412" s="6" t="s">
        <v>539</v>
      </c>
      <c r="V412" s="6" t="s">
        <v>34</v>
      </c>
      <c r="W412" s="6" t="s">
        <v>546</v>
      </c>
      <c r="X412" s="6" t="s">
        <v>188</v>
      </c>
    </row>
    <row r="413" spans="1:24" ht="15" customHeight="1" x14ac:dyDescent="0.3">
      <c r="A413" s="6" t="s">
        <v>533</v>
      </c>
      <c r="B413" s="6" t="s">
        <v>534</v>
      </c>
      <c r="C413" s="6" t="s">
        <v>34</v>
      </c>
      <c r="D413" s="6" t="s">
        <v>539</v>
      </c>
      <c r="E413" s="1088" t="s">
        <v>188</v>
      </c>
      <c r="F413" s="6" t="s">
        <v>546</v>
      </c>
      <c r="G413" s="6" t="s">
        <v>1075</v>
      </c>
      <c r="H413" s="6" t="s">
        <v>1352</v>
      </c>
      <c r="J413" s="1215" t="s">
        <v>509</v>
      </c>
      <c r="K413" s="1219" t="s">
        <v>3033</v>
      </c>
      <c r="L413" s="8">
        <v>39</v>
      </c>
      <c r="M413" s="8">
        <v>85</v>
      </c>
      <c r="N413" s="1169" t="s">
        <v>271</v>
      </c>
      <c r="P413" s="6" t="s">
        <v>3324</v>
      </c>
      <c r="Q413" s="1215" t="s">
        <v>253</v>
      </c>
      <c r="R413" s="1215" t="s">
        <v>255</v>
      </c>
      <c r="S413" s="1215" t="s">
        <v>534</v>
      </c>
      <c r="T413" s="1215" t="s">
        <v>533</v>
      </c>
      <c r="U413" s="6" t="s">
        <v>539</v>
      </c>
      <c r="V413" s="6" t="s">
        <v>34</v>
      </c>
      <c r="W413" s="6" t="s">
        <v>546</v>
      </c>
      <c r="X413" s="6" t="s">
        <v>188</v>
      </c>
    </row>
    <row r="414" spans="1:24" ht="15" customHeight="1" x14ac:dyDescent="0.3">
      <c r="A414" s="6" t="s">
        <v>533</v>
      </c>
      <c r="B414" s="6" t="s">
        <v>534</v>
      </c>
      <c r="C414" s="6" t="s">
        <v>34</v>
      </c>
      <c r="D414" s="6" t="s">
        <v>539</v>
      </c>
      <c r="E414" s="1088" t="s">
        <v>188</v>
      </c>
      <c r="F414" s="6" t="s">
        <v>546</v>
      </c>
      <c r="G414" s="6" t="s">
        <v>1075</v>
      </c>
      <c r="H414" s="6" t="s">
        <v>1352</v>
      </c>
      <c r="J414" s="1215" t="s">
        <v>509</v>
      </c>
      <c r="K414" s="1219" t="s">
        <v>3109</v>
      </c>
      <c r="L414" s="8">
        <v>0</v>
      </c>
      <c r="M414" s="8">
        <v>6</v>
      </c>
      <c r="N414" s="1169" t="s">
        <v>271</v>
      </c>
      <c r="P414" s="6" t="s">
        <v>3324</v>
      </c>
      <c r="Q414" s="1215" t="s">
        <v>253</v>
      </c>
      <c r="R414" s="1215" t="s">
        <v>255</v>
      </c>
      <c r="S414" s="1215" t="s">
        <v>534</v>
      </c>
      <c r="T414" s="1215" t="s">
        <v>533</v>
      </c>
      <c r="U414" s="6" t="s">
        <v>539</v>
      </c>
      <c r="V414" s="6" t="s">
        <v>34</v>
      </c>
      <c r="W414" s="6" t="s">
        <v>546</v>
      </c>
      <c r="X414" s="6" t="s">
        <v>188</v>
      </c>
    </row>
    <row r="415" spans="1:24" ht="15" customHeight="1" x14ac:dyDescent="0.3">
      <c r="A415" s="6" t="s">
        <v>533</v>
      </c>
      <c r="B415" s="6" t="s">
        <v>534</v>
      </c>
      <c r="C415" s="6" t="s">
        <v>34</v>
      </c>
      <c r="D415" s="6" t="s">
        <v>539</v>
      </c>
      <c r="E415" s="1088" t="s">
        <v>188</v>
      </c>
      <c r="F415" s="6" t="s">
        <v>546</v>
      </c>
      <c r="G415" s="6" t="s">
        <v>1075</v>
      </c>
      <c r="H415" s="6" t="s">
        <v>1352</v>
      </c>
      <c r="J415" s="1215" t="s">
        <v>509</v>
      </c>
      <c r="K415" s="1219" t="s">
        <v>3110</v>
      </c>
      <c r="L415" s="8">
        <v>0</v>
      </c>
      <c r="M415" s="8">
        <v>3</v>
      </c>
      <c r="N415" s="1169" t="s">
        <v>271</v>
      </c>
      <c r="P415" s="6" t="s">
        <v>3324</v>
      </c>
      <c r="Q415" s="1215" t="s">
        <v>253</v>
      </c>
      <c r="R415" s="1215" t="s">
        <v>255</v>
      </c>
      <c r="S415" s="1215" t="s">
        <v>534</v>
      </c>
      <c r="T415" s="1215" t="s">
        <v>533</v>
      </c>
      <c r="U415" s="6" t="s">
        <v>539</v>
      </c>
      <c r="V415" s="6" t="s">
        <v>34</v>
      </c>
      <c r="W415" s="6" t="s">
        <v>546</v>
      </c>
      <c r="X415" s="6" t="s">
        <v>188</v>
      </c>
    </row>
    <row r="416" spans="1:24" ht="15" customHeight="1" x14ac:dyDescent="0.3">
      <c r="A416" s="6" t="s">
        <v>533</v>
      </c>
      <c r="B416" s="6" t="s">
        <v>534</v>
      </c>
      <c r="C416" s="6" t="s">
        <v>34</v>
      </c>
      <c r="D416" s="1088" t="s">
        <v>539</v>
      </c>
      <c r="E416" s="6" t="s">
        <v>188</v>
      </c>
      <c r="F416" s="6" t="s">
        <v>546</v>
      </c>
      <c r="G416" s="6" t="s">
        <v>1075</v>
      </c>
      <c r="H416" s="6" t="s">
        <v>1352</v>
      </c>
      <c r="J416" s="1215" t="s">
        <v>509</v>
      </c>
      <c r="K416" s="1219" t="s">
        <v>3112</v>
      </c>
      <c r="L416" s="8">
        <v>0</v>
      </c>
      <c r="M416" s="8">
        <v>3</v>
      </c>
      <c r="N416" s="1169" t="s">
        <v>271</v>
      </c>
      <c r="P416" s="6" t="s">
        <v>3324</v>
      </c>
      <c r="Q416" s="1215" t="s">
        <v>253</v>
      </c>
      <c r="R416" s="1215" t="s">
        <v>255</v>
      </c>
      <c r="S416" s="1215" t="s">
        <v>534</v>
      </c>
      <c r="T416" s="1215" t="s">
        <v>533</v>
      </c>
      <c r="U416" s="6" t="s">
        <v>539</v>
      </c>
      <c r="V416" s="6" t="s">
        <v>34</v>
      </c>
      <c r="W416" s="6" t="s">
        <v>546</v>
      </c>
      <c r="X416" s="6" t="s">
        <v>188</v>
      </c>
    </row>
    <row r="417" spans="1:24" ht="15" customHeight="1" x14ac:dyDescent="0.3">
      <c r="A417" s="6" t="s">
        <v>533</v>
      </c>
      <c r="B417" s="6" t="s">
        <v>534</v>
      </c>
      <c r="C417" s="6" t="s">
        <v>34</v>
      </c>
      <c r="D417" s="6" t="s">
        <v>539</v>
      </c>
      <c r="E417" s="1088" t="s">
        <v>188</v>
      </c>
      <c r="F417" s="6" t="s">
        <v>546</v>
      </c>
      <c r="G417" s="6" t="s">
        <v>1075</v>
      </c>
      <c r="H417" s="6" t="s">
        <v>1352</v>
      </c>
      <c r="J417" s="1215" t="s">
        <v>509</v>
      </c>
      <c r="K417" s="1219" t="s">
        <v>3111</v>
      </c>
      <c r="L417" s="8">
        <v>8</v>
      </c>
      <c r="M417" s="8">
        <v>59</v>
      </c>
      <c r="N417" s="1169" t="s">
        <v>271</v>
      </c>
      <c r="P417" s="6" t="s">
        <v>3324</v>
      </c>
      <c r="Q417" s="1215" t="s">
        <v>253</v>
      </c>
      <c r="R417" s="1215" t="s">
        <v>255</v>
      </c>
      <c r="S417" s="1215" t="s">
        <v>534</v>
      </c>
      <c r="T417" s="1215" t="s">
        <v>533</v>
      </c>
      <c r="U417" s="6" t="s">
        <v>539</v>
      </c>
      <c r="V417" s="6" t="s">
        <v>34</v>
      </c>
      <c r="W417" s="6" t="s">
        <v>546</v>
      </c>
      <c r="X417" s="6" t="s">
        <v>188</v>
      </c>
    </row>
    <row r="418" spans="1:24" ht="15" customHeight="1" x14ac:dyDescent="0.3">
      <c r="A418" s="6" t="s">
        <v>533</v>
      </c>
      <c r="B418" s="6" t="s">
        <v>534</v>
      </c>
      <c r="C418" s="6" t="s">
        <v>31</v>
      </c>
      <c r="D418" s="6" t="s">
        <v>549</v>
      </c>
      <c r="E418" s="1088" t="s">
        <v>166</v>
      </c>
      <c r="F418" s="6" t="s">
        <v>844</v>
      </c>
      <c r="G418" s="6" t="s">
        <v>2509</v>
      </c>
      <c r="H418" s="6" t="s">
        <v>846</v>
      </c>
      <c r="J418" s="1215" t="s">
        <v>509</v>
      </c>
      <c r="K418" s="1219" t="s">
        <v>3033</v>
      </c>
      <c r="L418" s="8">
        <v>10</v>
      </c>
      <c r="M418" s="8">
        <v>70</v>
      </c>
      <c r="N418" s="1169" t="s">
        <v>271</v>
      </c>
      <c r="P418" s="6" t="s">
        <v>3324</v>
      </c>
      <c r="Q418" s="1215" t="s">
        <v>253</v>
      </c>
      <c r="R418" s="1215" t="s">
        <v>255</v>
      </c>
      <c r="S418" s="1215" t="s">
        <v>534</v>
      </c>
      <c r="T418" s="1215" t="s">
        <v>533</v>
      </c>
      <c r="U418" s="6" t="s">
        <v>549</v>
      </c>
      <c r="V418" s="6" t="s">
        <v>31</v>
      </c>
      <c r="W418" s="6" t="s">
        <v>844</v>
      </c>
      <c r="X418" s="6" t="s">
        <v>166</v>
      </c>
    </row>
    <row r="419" spans="1:24" ht="15" customHeight="1" x14ac:dyDescent="0.3">
      <c r="A419" s="6" t="s">
        <v>533</v>
      </c>
      <c r="B419" s="6" t="s">
        <v>534</v>
      </c>
      <c r="C419" s="6" t="s">
        <v>31</v>
      </c>
      <c r="D419" s="6" t="s">
        <v>549</v>
      </c>
      <c r="E419" s="1088" t="s">
        <v>166</v>
      </c>
      <c r="F419" s="6" t="s">
        <v>844</v>
      </c>
      <c r="G419" s="6" t="s">
        <v>1548</v>
      </c>
      <c r="H419" s="6" t="s">
        <v>3308</v>
      </c>
      <c r="J419" s="1215" t="s">
        <v>509</v>
      </c>
      <c r="K419" s="1219" t="s">
        <v>3033</v>
      </c>
      <c r="L419" s="8">
        <v>16</v>
      </c>
      <c r="M419" s="8">
        <v>102</v>
      </c>
      <c r="N419" s="6" t="s">
        <v>271</v>
      </c>
      <c r="P419" s="6" t="s">
        <v>3324</v>
      </c>
      <c r="Q419" s="1215" t="s">
        <v>253</v>
      </c>
      <c r="R419" s="1215" t="s">
        <v>255</v>
      </c>
      <c r="S419" s="1215" t="s">
        <v>534</v>
      </c>
      <c r="T419" s="1215" t="s">
        <v>533</v>
      </c>
      <c r="U419" s="6" t="s">
        <v>549</v>
      </c>
      <c r="V419" s="6" t="s">
        <v>31</v>
      </c>
      <c r="W419" s="6" t="s">
        <v>844</v>
      </c>
      <c r="X419" s="6" t="s">
        <v>166</v>
      </c>
    </row>
    <row r="420" spans="1:24" ht="15" customHeight="1" x14ac:dyDescent="0.3">
      <c r="A420" s="6" t="s">
        <v>533</v>
      </c>
      <c r="B420" s="6" t="s">
        <v>534</v>
      </c>
      <c r="C420" s="6" t="s">
        <v>34</v>
      </c>
      <c r="D420" s="6" t="s">
        <v>539</v>
      </c>
      <c r="E420" s="1088" t="s">
        <v>188</v>
      </c>
      <c r="F420" s="6" t="s">
        <v>546</v>
      </c>
      <c r="G420" s="6" t="s">
        <v>3003</v>
      </c>
      <c r="H420" s="6" t="s">
        <v>1678</v>
      </c>
      <c r="J420" s="1215" t="s">
        <v>509</v>
      </c>
      <c r="K420" s="1219" t="s">
        <v>3033</v>
      </c>
      <c r="L420" s="8">
        <v>187</v>
      </c>
      <c r="M420" s="8">
        <v>639</v>
      </c>
      <c r="N420" s="1169" t="s">
        <v>271</v>
      </c>
      <c r="P420" s="6" t="s">
        <v>3324</v>
      </c>
      <c r="Q420" s="1215" t="s">
        <v>253</v>
      </c>
      <c r="R420" s="1215" t="s">
        <v>255</v>
      </c>
      <c r="S420" s="1215" t="s">
        <v>534</v>
      </c>
      <c r="T420" s="1215" t="s">
        <v>533</v>
      </c>
      <c r="U420" s="6" t="s">
        <v>539</v>
      </c>
      <c r="V420" s="6" t="s">
        <v>34</v>
      </c>
      <c r="W420" s="6" t="s">
        <v>546</v>
      </c>
      <c r="X420" s="6" t="s">
        <v>188</v>
      </c>
    </row>
    <row r="421" spans="1:24" ht="15" customHeight="1" x14ac:dyDescent="0.3">
      <c r="A421" s="6" t="s">
        <v>533</v>
      </c>
      <c r="B421" s="6" t="s">
        <v>534</v>
      </c>
      <c r="C421" s="6" t="s">
        <v>34</v>
      </c>
      <c r="D421" s="6" t="s">
        <v>539</v>
      </c>
      <c r="E421" s="1088" t="s">
        <v>188</v>
      </c>
      <c r="F421" s="6" t="s">
        <v>546</v>
      </c>
      <c r="G421" s="6" t="s">
        <v>3003</v>
      </c>
      <c r="H421" s="6" t="s">
        <v>1678</v>
      </c>
      <c r="J421" s="1215" t="s">
        <v>509</v>
      </c>
      <c r="K421" s="1219" t="s">
        <v>3109</v>
      </c>
      <c r="L421" s="8">
        <v>65</v>
      </c>
      <c r="M421" s="8">
        <v>332</v>
      </c>
      <c r="N421" s="1169" t="s">
        <v>271</v>
      </c>
      <c r="P421" s="6" t="s">
        <v>3324</v>
      </c>
      <c r="Q421" s="1215" t="s">
        <v>253</v>
      </c>
      <c r="R421" s="1215" t="s">
        <v>255</v>
      </c>
      <c r="S421" s="1215" t="s">
        <v>534</v>
      </c>
      <c r="T421" s="1215" t="s">
        <v>533</v>
      </c>
      <c r="U421" s="6" t="s">
        <v>539</v>
      </c>
      <c r="V421" s="6" t="s">
        <v>34</v>
      </c>
      <c r="W421" s="6" t="s">
        <v>546</v>
      </c>
      <c r="X421" s="6" t="s">
        <v>188</v>
      </c>
    </row>
    <row r="422" spans="1:24" ht="15" customHeight="1" x14ac:dyDescent="0.3">
      <c r="A422" s="6" t="s">
        <v>533</v>
      </c>
      <c r="B422" s="6" t="s">
        <v>534</v>
      </c>
      <c r="C422" s="6" t="s">
        <v>34</v>
      </c>
      <c r="D422" s="6" t="s">
        <v>539</v>
      </c>
      <c r="E422" s="1088" t="s">
        <v>188</v>
      </c>
      <c r="F422" s="6" t="s">
        <v>546</v>
      </c>
      <c r="G422" s="6" t="s">
        <v>3003</v>
      </c>
      <c r="H422" s="6" t="s">
        <v>1678</v>
      </c>
      <c r="J422" s="1215" t="s">
        <v>509</v>
      </c>
      <c r="K422" s="1219" t="s">
        <v>3110</v>
      </c>
      <c r="L422" s="8">
        <v>9</v>
      </c>
      <c r="M422" s="8">
        <v>50</v>
      </c>
      <c r="N422" s="1169" t="s">
        <v>271</v>
      </c>
      <c r="P422" s="6" t="s">
        <v>3324</v>
      </c>
      <c r="Q422" s="1215" t="s">
        <v>253</v>
      </c>
      <c r="R422" s="1215" t="s">
        <v>255</v>
      </c>
      <c r="S422" s="1215" t="s">
        <v>534</v>
      </c>
      <c r="T422" s="1215" t="s">
        <v>533</v>
      </c>
      <c r="U422" s="6" t="s">
        <v>539</v>
      </c>
      <c r="V422" s="6" t="s">
        <v>34</v>
      </c>
      <c r="W422" s="6" t="s">
        <v>546</v>
      </c>
      <c r="X422" s="6" t="s">
        <v>188</v>
      </c>
    </row>
    <row r="423" spans="1:24" ht="15" customHeight="1" x14ac:dyDescent="0.3">
      <c r="A423" s="6" t="s">
        <v>533</v>
      </c>
      <c r="B423" s="6" t="s">
        <v>534</v>
      </c>
      <c r="C423" s="6" t="s">
        <v>34</v>
      </c>
      <c r="D423" s="1088" t="s">
        <v>539</v>
      </c>
      <c r="E423" s="6" t="s">
        <v>188</v>
      </c>
      <c r="F423" s="6" t="s">
        <v>546</v>
      </c>
      <c r="G423" s="6" t="s">
        <v>3003</v>
      </c>
      <c r="H423" s="6" t="s">
        <v>1678</v>
      </c>
      <c r="J423" s="1215" t="s">
        <v>509</v>
      </c>
      <c r="K423" s="1219" t="s">
        <v>3111</v>
      </c>
      <c r="L423" s="8">
        <v>15</v>
      </c>
      <c r="M423" s="8">
        <v>114</v>
      </c>
      <c r="N423" s="1169" t="s">
        <v>271</v>
      </c>
      <c r="P423" s="6" t="s">
        <v>3324</v>
      </c>
      <c r="Q423" s="1215" t="s">
        <v>253</v>
      </c>
      <c r="R423" s="1215" t="s">
        <v>255</v>
      </c>
      <c r="S423" s="1215" t="s">
        <v>534</v>
      </c>
      <c r="T423" s="1215" t="s">
        <v>533</v>
      </c>
      <c r="U423" s="6" t="s">
        <v>539</v>
      </c>
      <c r="V423" s="6" t="s">
        <v>34</v>
      </c>
      <c r="W423" s="6" t="s">
        <v>546</v>
      </c>
      <c r="X423" s="6" t="s">
        <v>188</v>
      </c>
    </row>
    <row r="424" spans="1:24" ht="15" customHeight="1" x14ac:dyDescent="0.3">
      <c r="A424" s="6" t="s">
        <v>533</v>
      </c>
      <c r="B424" s="6" t="s">
        <v>534</v>
      </c>
      <c r="C424" s="6" t="s">
        <v>34</v>
      </c>
      <c r="D424" s="1088" t="s">
        <v>539</v>
      </c>
      <c r="E424" s="6" t="s">
        <v>188</v>
      </c>
      <c r="F424" s="6" t="s">
        <v>546</v>
      </c>
      <c r="G424" s="6" t="s">
        <v>3003</v>
      </c>
      <c r="H424" s="6" t="s">
        <v>1678</v>
      </c>
      <c r="J424" s="1215" t="s">
        <v>509</v>
      </c>
      <c r="K424" s="1219" t="s">
        <v>3112</v>
      </c>
      <c r="L424" s="8">
        <v>5</v>
      </c>
      <c r="M424" s="8">
        <v>33</v>
      </c>
      <c r="N424" s="1169" t="s">
        <v>271</v>
      </c>
      <c r="P424" s="6" t="s">
        <v>3324</v>
      </c>
      <c r="Q424" s="1215" t="s">
        <v>253</v>
      </c>
      <c r="R424" s="1215" t="s">
        <v>255</v>
      </c>
      <c r="S424" s="1215" t="s">
        <v>534</v>
      </c>
      <c r="T424" s="1215" t="s">
        <v>533</v>
      </c>
      <c r="U424" s="6" t="s">
        <v>539</v>
      </c>
      <c r="V424" s="6" t="s">
        <v>34</v>
      </c>
      <c r="W424" s="6" t="s">
        <v>546</v>
      </c>
      <c r="X424" s="6" t="s">
        <v>188</v>
      </c>
    </row>
    <row r="425" spans="1:24" ht="15" customHeight="1" x14ac:dyDescent="0.3">
      <c r="A425" s="6" t="s">
        <v>533</v>
      </c>
      <c r="B425" s="6" t="s">
        <v>534</v>
      </c>
      <c r="C425" s="6" t="s">
        <v>34</v>
      </c>
      <c r="D425" s="1088" t="s">
        <v>539</v>
      </c>
      <c r="E425" s="6" t="s">
        <v>188</v>
      </c>
      <c r="F425" s="6" t="s">
        <v>546</v>
      </c>
      <c r="G425" s="6" t="s">
        <v>798</v>
      </c>
      <c r="H425" s="6" t="s">
        <v>1686</v>
      </c>
      <c r="J425" s="1215" t="s">
        <v>509</v>
      </c>
      <c r="K425" s="1219" t="s">
        <v>3033</v>
      </c>
      <c r="L425" s="8">
        <v>117</v>
      </c>
      <c r="M425" s="8">
        <v>422</v>
      </c>
      <c r="N425" s="1169" t="s">
        <v>271</v>
      </c>
      <c r="P425" s="6" t="s">
        <v>3324</v>
      </c>
      <c r="Q425" s="1215" t="s">
        <v>253</v>
      </c>
      <c r="R425" s="1215" t="s">
        <v>255</v>
      </c>
      <c r="S425" s="1215" t="s">
        <v>534</v>
      </c>
      <c r="T425" s="1215" t="s">
        <v>533</v>
      </c>
      <c r="U425" s="6" t="s">
        <v>539</v>
      </c>
      <c r="V425" s="6" t="s">
        <v>34</v>
      </c>
      <c r="W425" s="6" t="s">
        <v>546</v>
      </c>
      <c r="X425" s="6" t="s">
        <v>188</v>
      </c>
    </row>
    <row r="426" spans="1:24" ht="15" customHeight="1" x14ac:dyDescent="0.3">
      <c r="A426" s="6" t="s">
        <v>533</v>
      </c>
      <c r="B426" s="6" t="s">
        <v>534</v>
      </c>
      <c r="C426" s="6" t="s">
        <v>34</v>
      </c>
      <c r="D426" s="1088" t="s">
        <v>539</v>
      </c>
      <c r="E426" s="6" t="s">
        <v>188</v>
      </c>
      <c r="F426" s="6" t="s">
        <v>546</v>
      </c>
      <c r="G426" s="6" t="s">
        <v>798</v>
      </c>
      <c r="H426" s="6" t="s">
        <v>1686</v>
      </c>
      <c r="J426" s="1215" t="s">
        <v>509</v>
      </c>
      <c r="K426" s="1219" t="s">
        <v>3109</v>
      </c>
      <c r="L426" s="8">
        <v>72</v>
      </c>
      <c r="M426" s="8">
        <v>390</v>
      </c>
      <c r="N426" s="1169" t="s">
        <v>271</v>
      </c>
      <c r="P426" s="6" t="s">
        <v>3324</v>
      </c>
      <c r="Q426" s="1215" t="s">
        <v>253</v>
      </c>
      <c r="R426" s="1215" t="s">
        <v>255</v>
      </c>
      <c r="S426" s="1215" t="s">
        <v>534</v>
      </c>
      <c r="T426" s="1215" t="s">
        <v>533</v>
      </c>
      <c r="U426" s="6" t="s">
        <v>539</v>
      </c>
      <c r="V426" s="6" t="s">
        <v>34</v>
      </c>
      <c r="W426" s="6" t="s">
        <v>546</v>
      </c>
      <c r="X426" s="6" t="s">
        <v>188</v>
      </c>
    </row>
    <row r="427" spans="1:24" ht="15" customHeight="1" x14ac:dyDescent="0.3">
      <c r="A427" s="6" t="s">
        <v>533</v>
      </c>
      <c r="B427" s="6" t="s">
        <v>534</v>
      </c>
      <c r="C427" s="6" t="s">
        <v>34</v>
      </c>
      <c r="D427" s="1088" t="s">
        <v>539</v>
      </c>
      <c r="E427" s="6" t="s">
        <v>188</v>
      </c>
      <c r="F427" s="6" t="s">
        <v>546</v>
      </c>
      <c r="G427" s="6" t="s">
        <v>798</v>
      </c>
      <c r="H427" s="6" t="s">
        <v>1686</v>
      </c>
      <c r="J427" s="1215" t="s">
        <v>509</v>
      </c>
      <c r="K427" s="1219" t="s">
        <v>3110</v>
      </c>
      <c r="L427" s="8">
        <v>8</v>
      </c>
      <c r="M427" s="8">
        <v>95</v>
      </c>
      <c r="N427" s="1169" t="s">
        <v>271</v>
      </c>
      <c r="P427" s="6" t="s">
        <v>3324</v>
      </c>
      <c r="Q427" s="1215" t="s">
        <v>253</v>
      </c>
      <c r="R427" s="1215" t="s">
        <v>255</v>
      </c>
      <c r="S427" s="1215" t="s">
        <v>534</v>
      </c>
      <c r="T427" s="1215" t="s">
        <v>533</v>
      </c>
      <c r="U427" s="6" t="s">
        <v>539</v>
      </c>
      <c r="V427" s="6" t="s">
        <v>34</v>
      </c>
      <c r="W427" s="6" t="s">
        <v>546</v>
      </c>
      <c r="X427" s="6" t="s">
        <v>188</v>
      </c>
    </row>
    <row r="428" spans="1:24" ht="15" customHeight="1" x14ac:dyDescent="0.3">
      <c r="A428" s="6" t="s">
        <v>533</v>
      </c>
      <c r="B428" s="6" t="s">
        <v>534</v>
      </c>
      <c r="C428" s="6" t="s">
        <v>34</v>
      </c>
      <c r="D428" s="1088" t="s">
        <v>539</v>
      </c>
      <c r="E428" s="6" t="s">
        <v>188</v>
      </c>
      <c r="F428" s="6" t="s">
        <v>546</v>
      </c>
      <c r="G428" s="6" t="s">
        <v>798</v>
      </c>
      <c r="H428" s="6" t="s">
        <v>1686</v>
      </c>
      <c r="J428" s="1215" t="s">
        <v>509</v>
      </c>
      <c r="K428" s="1219" t="s">
        <v>3111</v>
      </c>
      <c r="L428" s="8">
        <v>8</v>
      </c>
      <c r="M428" s="8">
        <v>73</v>
      </c>
      <c r="N428" s="1169" t="s">
        <v>271</v>
      </c>
      <c r="P428" s="6" t="s">
        <v>3324</v>
      </c>
      <c r="Q428" s="1215" t="s">
        <v>253</v>
      </c>
      <c r="R428" s="1215" t="s">
        <v>255</v>
      </c>
      <c r="S428" s="1215" t="s">
        <v>534</v>
      </c>
      <c r="T428" s="1215" t="s">
        <v>533</v>
      </c>
      <c r="U428" s="6" t="s">
        <v>539</v>
      </c>
      <c r="V428" s="6" t="s">
        <v>34</v>
      </c>
      <c r="W428" s="6" t="s">
        <v>546</v>
      </c>
      <c r="X428" s="6" t="s">
        <v>188</v>
      </c>
    </row>
    <row r="429" spans="1:24" ht="15" customHeight="1" x14ac:dyDescent="0.3">
      <c r="A429" s="6" t="s">
        <v>533</v>
      </c>
      <c r="B429" s="6" t="s">
        <v>534</v>
      </c>
      <c r="C429" s="6" t="s">
        <v>34</v>
      </c>
      <c r="D429" s="1088" t="s">
        <v>539</v>
      </c>
      <c r="E429" s="6" t="s">
        <v>188</v>
      </c>
      <c r="F429" s="6" t="s">
        <v>546</v>
      </c>
      <c r="G429" s="6" t="s">
        <v>798</v>
      </c>
      <c r="H429" s="6" t="s">
        <v>1686</v>
      </c>
      <c r="J429" s="1215" t="s">
        <v>509</v>
      </c>
      <c r="K429" s="1219" t="s">
        <v>3112</v>
      </c>
      <c r="L429" s="8">
        <v>10</v>
      </c>
      <c r="M429" s="8">
        <v>55</v>
      </c>
      <c r="N429" s="6" t="s">
        <v>271</v>
      </c>
      <c r="P429" s="6" t="s">
        <v>3324</v>
      </c>
      <c r="Q429" s="1215" t="s">
        <v>253</v>
      </c>
      <c r="R429" s="1215" t="s">
        <v>255</v>
      </c>
      <c r="S429" s="1215" t="s">
        <v>534</v>
      </c>
      <c r="T429" s="1215" t="s">
        <v>533</v>
      </c>
      <c r="U429" s="6" t="s">
        <v>539</v>
      </c>
      <c r="V429" s="6" t="s">
        <v>34</v>
      </c>
      <c r="W429" s="6" t="s">
        <v>546</v>
      </c>
      <c r="X429" s="6" t="s">
        <v>188</v>
      </c>
    </row>
    <row r="430" spans="1:24" ht="15" customHeight="1" x14ac:dyDescent="0.3">
      <c r="A430" s="6" t="s">
        <v>533</v>
      </c>
      <c r="B430" s="6" t="s">
        <v>534</v>
      </c>
      <c r="C430" s="6" t="s">
        <v>34</v>
      </c>
      <c r="D430" s="1088" t="s">
        <v>539</v>
      </c>
      <c r="E430" s="1088" t="s">
        <v>188</v>
      </c>
      <c r="F430" s="6" t="s">
        <v>546</v>
      </c>
      <c r="G430" s="6" t="s">
        <v>1177</v>
      </c>
      <c r="H430" s="6" t="s">
        <v>1487</v>
      </c>
      <c r="J430" s="1215" t="s">
        <v>509</v>
      </c>
      <c r="K430" s="1219" t="s">
        <v>3033</v>
      </c>
      <c r="L430" s="8">
        <v>122</v>
      </c>
      <c r="M430" s="8">
        <v>281</v>
      </c>
      <c r="N430" s="1169" t="s">
        <v>271</v>
      </c>
      <c r="P430" s="6" t="s">
        <v>3324</v>
      </c>
      <c r="Q430" s="1215" t="s">
        <v>253</v>
      </c>
      <c r="R430" s="1215" t="s">
        <v>255</v>
      </c>
      <c r="S430" s="1215" t="s">
        <v>534</v>
      </c>
      <c r="T430" s="1215" t="s">
        <v>533</v>
      </c>
      <c r="U430" s="6" t="s">
        <v>539</v>
      </c>
      <c r="V430" s="6" t="s">
        <v>34</v>
      </c>
      <c r="W430" s="6" t="s">
        <v>546</v>
      </c>
      <c r="X430" s="6" t="s">
        <v>188</v>
      </c>
    </row>
    <row r="431" spans="1:24" ht="15" customHeight="1" x14ac:dyDescent="0.3">
      <c r="A431" s="6" t="s">
        <v>533</v>
      </c>
      <c r="B431" s="6" t="s">
        <v>534</v>
      </c>
      <c r="C431" s="6" t="s">
        <v>34</v>
      </c>
      <c r="D431" s="1088" t="s">
        <v>539</v>
      </c>
      <c r="E431" s="6" t="s">
        <v>188</v>
      </c>
      <c r="F431" s="6" t="s">
        <v>546</v>
      </c>
      <c r="G431" s="6" t="s">
        <v>1177</v>
      </c>
      <c r="H431" s="6" t="s">
        <v>1487</v>
      </c>
      <c r="J431" s="1215" t="s">
        <v>509</v>
      </c>
      <c r="K431" s="1219" t="s">
        <v>3109</v>
      </c>
      <c r="L431" s="8">
        <v>20</v>
      </c>
      <c r="M431" s="8">
        <v>172</v>
      </c>
      <c r="N431" s="1169" t="s">
        <v>271</v>
      </c>
      <c r="P431" s="6" t="s">
        <v>3324</v>
      </c>
      <c r="Q431" s="1215" t="s">
        <v>253</v>
      </c>
      <c r="R431" s="1215" t="s">
        <v>255</v>
      </c>
      <c r="S431" s="1215" t="s">
        <v>534</v>
      </c>
      <c r="T431" s="1215" t="s">
        <v>533</v>
      </c>
      <c r="U431" s="6" t="s">
        <v>539</v>
      </c>
      <c r="V431" s="6" t="s">
        <v>34</v>
      </c>
      <c r="W431" s="6" t="s">
        <v>546</v>
      </c>
      <c r="X431" s="6" t="s">
        <v>188</v>
      </c>
    </row>
    <row r="432" spans="1:24" ht="15" customHeight="1" x14ac:dyDescent="0.3">
      <c r="A432" s="6" t="s">
        <v>533</v>
      </c>
      <c r="B432" s="6" t="s">
        <v>534</v>
      </c>
      <c r="C432" s="6" t="s">
        <v>34</v>
      </c>
      <c r="D432" s="1088" t="s">
        <v>539</v>
      </c>
      <c r="E432" s="6" t="s">
        <v>188</v>
      </c>
      <c r="F432" s="6" t="s">
        <v>546</v>
      </c>
      <c r="G432" s="6" t="s">
        <v>1177</v>
      </c>
      <c r="H432" s="6" t="s">
        <v>1487</v>
      </c>
      <c r="J432" s="1215" t="s">
        <v>509</v>
      </c>
      <c r="K432" s="1219" t="s">
        <v>3110</v>
      </c>
      <c r="L432" s="8">
        <v>17</v>
      </c>
      <c r="M432" s="8">
        <v>140</v>
      </c>
      <c r="N432" s="1169" t="s">
        <v>271</v>
      </c>
      <c r="P432" s="6" t="s">
        <v>3324</v>
      </c>
      <c r="Q432" s="1215" t="s">
        <v>253</v>
      </c>
      <c r="R432" s="1215" t="s">
        <v>255</v>
      </c>
      <c r="S432" s="1215" t="s">
        <v>534</v>
      </c>
      <c r="T432" s="1215" t="s">
        <v>533</v>
      </c>
      <c r="U432" s="6" t="s">
        <v>539</v>
      </c>
      <c r="V432" s="6" t="s">
        <v>34</v>
      </c>
      <c r="W432" s="6" t="s">
        <v>546</v>
      </c>
      <c r="X432" s="6" t="s">
        <v>188</v>
      </c>
    </row>
    <row r="433" spans="1:24" ht="15" customHeight="1" x14ac:dyDescent="0.3">
      <c r="A433" s="6" t="s">
        <v>533</v>
      </c>
      <c r="B433" s="6" t="s">
        <v>534</v>
      </c>
      <c r="C433" s="6" t="s">
        <v>34</v>
      </c>
      <c r="D433" s="1088" t="s">
        <v>539</v>
      </c>
      <c r="E433" s="6" t="s">
        <v>188</v>
      </c>
      <c r="F433" s="6" t="s">
        <v>546</v>
      </c>
      <c r="G433" s="6" t="s">
        <v>1177</v>
      </c>
      <c r="H433" s="6" t="s">
        <v>1487</v>
      </c>
      <c r="J433" s="1215" t="s">
        <v>509</v>
      </c>
      <c r="K433" s="1219" t="s">
        <v>3111</v>
      </c>
      <c r="L433" s="8">
        <v>0</v>
      </c>
      <c r="M433" s="8">
        <v>18</v>
      </c>
      <c r="N433" s="1169" t="s">
        <v>271</v>
      </c>
      <c r="P433" s="6" t="s">
        <v>3324</v>
      </c>
      <c r="Q433" s="1215" t="s">
        <v>253</v>
      </c>
      <c r="R433" s="1215" t="s">
        <v>255</v>
      </c>
      <c r="S433" s="1215" t="s">
        <v>534</v>
      </c>
      <c r="T433" s="1215" t="s">
        <v>533</v>
      </c>
      <c r="U433" s="6" t="s">
        <v>539</v>
      </c>
      <c r="V433" s="6" t="s">
        <v>34</v>
      </c>
      <c r="W433" s="6" t="s">
        <v>546</v>
      </c>
      <c r="X433" s="6" t="s">
        <v>188</v>
      </c>
    </row>
    <row r="434" spans="1:24" ht="15" customHeight="1" x14ac:dyDescent="0.3">
      <c r="A434" s="6" t="s">
        <v>533</v>
      </c>
      <c r="B434" s="6" t="s">
        <v>534</v>
      </c>
      <c r="C434" s="6" t="s">
        <v>34</v>
      </c>
      <c r="D434" s="1088" t="s">
        <v>539</v>
      </c>
      <c r="E434" s="6" t="s">
        <v>188</v>
      </c>
      <c r="F434" s="6" t="s">
        <v>546</v>
      </c>
      <c r="G434" s="6" t="s">
        <v>1177</v>
      </c>
      <c r="H434" s="6" t="s">
        <v>1487</v>
      </c>
      <c r="J434" s="1215" t="s">
        <v>509</v>
      </c>
      <c r="K434" s="1219" t="s">
        <v>3112</v>
      </c>
      <c r="L434" s="8">
        <v>0</v>
      </c>
      <c r="M434" s="8">
        <v>15</v>
      </c>
      <c r="N434" s="1169" t="s">
        <v>271</v>
      </c>
      <c r="P434" s="6" t="s">
        <v>3324</v>
      </c>
      <c r="Q434" s="1215" t="s">
        <v>253</v>
      </c>
      <c r="R434" s="1215" t="s">
        <v>255</v>
      </c>
      <c r="S434" s="1215" t="s">
        <v>534</v>
      </c>
      <c r="T434" s="1215" t="s">
        <v>533</v>
      </c>
      <c r="U434" s="6" t="s">
        <v>539</v>
      </c>
      <c r="V434" s="6" t="s">
        <v>34</v>
      </c>
      <c r="W434" s="6" t="s">
        <v>546</v>
      </c>
      <c r="X434" s="6" t="s">
        <v>188</v>
      </c>
    </row>
    <row r="435" spans="1:24" ht="15" customHeight="1" x14ac:dyDescent="0.3">
      <c r="A435" s="6" t="s">
        <v>533</v>
      </c>
      <c r="B435" s="6" t="s">
        <v>534</v>
      </c>
      <c r="C435" s="6" t="s">
        <v>34</v>
      </c>
      <c r="D435" s="1088" t="s">
        <v>539</v>
      </c>
      <c r="E435" s="6" t="s">
        <v>188</v>
      </c>
      <c r="F435" s="6" t="s">
        <v>546</v>
      </c>
      <c r="G435" s="6" t="s">
        <v>2155</v>
      </c>
      <c r="H435" s="6" t="s">
        <v>1007</v>
      </c>
      <c r="J435" s="1215" t="s">
        <v>509</v>
      </c>
      <c r="K435" s="1219" t="s">
        <v>3033</v>
      </c>
      <c r="L435" s="8">
        <v>72</v>
      </c>
      <c r="M435" s="8">
        <v>189</v>
      </c>
      <c r="N435" s="1169" t="s">
        <v>271</v>
      </c>
      <c r="P435" s="6" t="s">
        <v>3324</v>
      </c>
      <c r="Q435" s="1215" t="s">
        <v>253</v>
      </c>
      <c r="R435" s="1215" t="s">
        <v>255</v>
      </c>
      <c r="S435" s="1215" t="s">
        <v>534</v>
      </c>
      <c r="T435" s="1215" t="s">
        <v>533</v>
      </c>
      <c r="U435" s="6" t="s">
        <v>539</v>
      </c>
      <c r="V435" s="6" t="s">
        <v>34</v>
      </c>
      <c r="W435" s="6" t="s">
        <v>546</v>
      </c>
      <c r="X435" s="6" t="s">
        <v>188</v>
      </c>
    </row>
    <row r="436" spans="1:24" ht="15" customHeight="1" x14ac:dyDescent="0.3">
      <c r="A436" s="6" t="s">
        <v>533</v>
      </c>
      <c r="B436" s="6" t="s">
        <v>534</v>
      </c>
      <c r="C436" s="6" t="s">
        <v>34</v>
      </c>
      <c r="D436" s="1088" t="s">
        <v>539</v>
      </c>
      <c r="E436" s="6" t="s">
        <v>188</v>
      </c>
      <c r="F436" s="6" t="s">
        <v>546</v>
      </c>
      <c r="G436" s="6" t="s">
        <v>2155</v>
      </c>
      <c r="H436" s="6" t="s">
        <v>1007</v>
      </c>
      <c r="J436" s="1215" t="s">
        <v>509</v>
      </c>
      <c r="K436" s="1219" t="s">
        <v>3109</v>
      </c>
      <c r="L436" s="8">
        <v>8</v>
      </c>
      <c r="M436" s="8">
        <v>44</v>
      </c>
      <c r="N436" s="1169" t="s">
        <v>271</v>
      </c>
      <c r="P436" s="6" t="s">
        <v>3324</v>
      </c>
      <c r="Q436" s="1215" t="s">
        <v>253</v>
      </c>
      <c r="R436" s="1215" t="s">
        <v>255</v>
      </c>
      <c r="S436" s="1215" t="s">
        <v>534</v>
      </c>
      <c r="T436" s="1215" t="s">
        <v>533</v>
      </c>
      <c r="U436" s="6" t="s">
        <v>539</v>
      </c>
      <c r="V436" s="6" t="s">
        <v>34</v>
      </c>
      <c r="W436" s="6" t="s">
        <v>546</v>
      </c>
      <c r="X436" s="6" t="s">
        <v>188</v>
      </c>
    </row>
    <row r="437" spans="1:24" ht="15" customHeight="1" x14ac:dyDescent="0.3">
      <c r="A437" s="6" t="s">
        <v>533</v>
      </c>
      <c r="B437" s="6" t="s">
        <v>534</v>
      </c>
      <c r="C437" s="6" t="s">
        <v>34</v>
      </c>
      <c r="D437" s="1088" t="s">
        <v>539</v>
      </c>
      <c r="E437" s="6" t="s">
        <v>188</v>
      </c>
      <c r="F437" s="6" t="s">
        <v>546</v>
      </c>
      <c r="G437" s="6" t="s">
        <v>2155</v>
      </c>
      <c r="H437" s="6" t="s">
        <v>1007</v>
      </c>
      <c r="J437" s="1215" t="s">
        <v>509</v>
      </c>
      <c r="K437" s="1219" t="s">
        <v>3110</v>
      </c>
      <c r="L437" s="8">
        <v>3</v>
      </c>
      <c r="M437" s="8">
        <v>37</v>
      </c>
      <c r="N437" s="1169" t="s">
        <v>271</v>
      </c>
      <c r="P437" s="6" t="s">
        <v>3324</v>
      </c>
      <c r="Q437" s="1215" t="s">
        <v>253</v>
      </c>
      <c r="R437" s="1215" t="s">
        <v>255</v>
      </c>
      <c r="S437" s="1215" t="s">
        <v>534</v>
      </c>
      <c r="T437" s="1215" t="s">
        <v>533</v>
      </c>
      <c r="U437" s="6" t="s">
        <v>539</v>
      </c>
      <c r="V437" s="6" t="s">
        <v>34</v>
      </c>
      <c r="W437" s="6" t="s">
        <v>546</v>
      </c>
      <c r="X437" s="6" t="s">
        <v>188</v>
      </c>
    </row>
    <row r="438" spans="1:24" ht="15" customHeight="1" x14ac:dyDescent="0.3">
      <c r="A438" s="6" t="s">
        <v>533</v>
      </c>
      <c r="B438" s="6" t="s">
        <v>534</v>
      </c>
      <c r="C438" s="6" t="s">
        <v>34</v>
      </c>
      <c r="D438" s="1088" t="s">
        <v>539</v>
      </c>
      <c r="E438" s="1088" t="s">
        <v>188</v>
      </c>
      <c r="F438" s="6" t="s">
        <v>546</v>
      </c>
      <c r="G438" s="6" t="s">
        <v>2155</v>
      </c>
      <c r="H438" s="6" t="s">
        <v>1007</v>
      </c>
      <c r="J438" s="1215" t="s">
        <v>509</v>
      </c>
      <c r="K438" s="1219" t="s">
        <v>3111</v>
      </c>
      <c r="L438" s="8">
        <v>21</v>
      </c>
      <c r="M438" s="8">
        <v>145</v>
      </c>
      <c r="N438" s="1169" t="s">
        <v>271</v>
      </c>
      <c r="P438" s="6" t="s">
        <v>3324</v>
      </c>
      <c r="Q438" s="1215" t="s">
        <v>253</v>
      </c>
      <c r="R438" s="1215" t="s">
        <v>255</v>
      </c>
      <c r="S438" s="1215" t="s">
        <v>534</v>
      </c>
      <c r="T438" s="1215" t="s">
        <v>533</v>
      </c>
      <c r="U438" s="6" t="s">
        <v>539</v>
      </c>
      <c r="V438" s="6" t="s">
        <v>34</v>
      </c>
      <c r="W438" s="6" t="s">
        <v>546</v>
      </c>
      <c r="X438" s="6" t="s">
        <v>188</v>
      </c>
    </row>
    <row r="439" spans="1:24" ht="15" customHeight="1" x14ac:dyDescent="0.3">
      <c r="A439" s="6" t="s">
        <v>533</v>
      </c>
      <c r="B439" s="6" t="s">
        <v>534</v>
      </c>
      <c r="C439" s="6" t="s">
        <v>34</v>
      </c>
      <c r="D439" s="1088" t="s">
        <v>539</v>
      </c>
      <c r="E439" s="1088" t="s">
        <v>188</v>
      </c>
      <c r="F439" s="6" t="s">
        <v>546</v>
      </c>
      <c r="G439" s="6" t="s">
        <v>2155</v>
      </c>
      <c r="H439" s="6" t="s">
        <v>1007</v>
      </c>
      <c r="J439" s="1215" t="s">
        <v>509</v>
      </c>
      <c r="K439" s="1219" t="s">
        <v>3112</v>
      </c>
      <c r="L439" s="8">
        <v>10</v>
      </c>
      <c r="M439" s="8">
        <v>100</v>
      </c>
      <c r="N439" s="1169" t="s">
        <v>271</v>
      </c>
      <c r="P439" s="6" t="s">
        <v>3324</v>
      </c>
      <c r="Q439" s="1215" t="s">
        <v>253</v>
      </c>
      <c r="R439" s="1215" t="s">
        <v>255</v>
      </c>
      <c r="S439" s="1215" t="s">
        <v>534</v>
      </c>
      <c r="T439" s="1215" t="s">
        <v>533</v>
      </c>
      <c r="U439" s="6" t="s">
        <v>539</v>
      </c>
      <c r="V439" s="6" t="s">
        <v>34</v>
      </c>
      <c r="W439" s="6" t="s">
        <v>546</v>
      </c>
      <c r="X439" s="6" t="s">
        <v>188</v>
      </c>
    </row>
    <row r="440" spans="1:24" ht="15" customHeight="1" x14ac:dyDescent="0.3">
      <c r="A440" s="6" t="s">
        <v>533</v>
      </c>
      <c r="B440" s="6" t="s">
        <v>534</v>
      </c>
      <c r="C440" s="6" t="s">
        <v>34</v>
      </c>
      <c r="D440" s="1088" t="s">
        <v>539</v>
      </c>
      <c r="E440" s="6" t="s">
        <v>188</v>
      </c>
      <c r="F440" s="6" t="s">
        <v>546</v>
      </c>
      <c r="G440" s="6" t="s">
        <v>2656</v>
      </c>
      <c r="H440" s="6" t="s">
        <v>979</v>
      </c>
      <c r="J440" s="1215" t="s">
        <v>509</v>
      </c>
      <c r="K440" s="1219" t="s">
        <v>3109</v>
      </c>
      <c r="L440" s="8">
        <v>45</v>
      </c>
      <c r="M440" s="8">
        <v>200</v>
      </c>
      <c r="N440" s="1169" t="s">
        <v>271</v>
      </c>
      <c r="P440" s="6" t="s">
        <v>3324</v>
      </c>
      <c r="Q440" s="1215" t="s">
        <v>253</v>
      </c>
      <c r="R440" s="1215" t="s">
        <v>255</v>
      </c>
      <c r="S440" s="1215" t="s">
        <v>534</v>
      </c>
      <c r="T440" s="1215" t="s">
        <v>533</v>
      </c>
      <c r="U440" s="6" t="s">
        <v>539</v>
      </c>
      <c r="V440" s="6" t="s">
        <v>34</v>
      </c>
      <c r="W440" s="6" t="s">
        <v>546</v>
      </c>
      <c r="X440" s="6" t="s">
        <v>188</v>
      </c>
    </row>
    <row r="441" spans="1:24" ht="15" customHeight="1" x14ac:dyDescent="0.3">
      <c r="A441" s="6" t="s">
        <v>533</v>
      </c>
      <c r="B441" s="6" t="s">
        <v>534</v>
      </c>
      <c r="C441" s="6" t="s">
        <v>34</v>
      </c>
      <c r="D441" s="1088" t="s">
        <v>539</v>
      </c>
      <c r="E441" s="6" t="s">
        <v>188</v>
      </c>
      <c r="F441" s="6" t="s">
        <v>546</v>
      </c>
      <c r="G441" s="6" t="s">
        <v>2656</v>
      </c>
      <c r="H441" s="6" t="s">
        <v>979</v>
      </c>
      <c r="J441" s="1215" t="s">
        <v>509</v>
      </c>
      <c r="K441" s="1219" t="s">
        <v>3110</v>
      </c>
      <c r="L441" s="8">
        <v>0</v>
      </c>
      <c r="M441" s="8">
        <v>9</v>
      </c>
      <c r="N441" s="1169" t="s">
        <v>271</v>
      </c>
      <c r="P441" s="6" t="s">
        <v>3324</v>
      </c>
      <c r="Q441" s="1215" t="s">
        <v>253</v>
      </c>
      <c r="R441" s="1215" t="s">
        <v>255</v>
      </c>
      <c r="S441" s="1215" t="s">
        <v>534</v>
      </c>
      <c r="T441" s="1215" t="s">
        <v>533</v>
      </c>
      <c r="U441" s="6" t="s">
        <v>539</v>
      </c>
      <c r="V441" s="6" t="s">
        <v>34</v>
      </c>
      <c r="W441" s="6" t="s">
        <v>546</v>
      </c>
      <c r="X441" s="6" t="s">
        <v>188</v>
      </c>
    </row>
    <row r="442" spans="1:24" ht="15" customHeight="1" x14ac:dyDescent="0.3">
      <c r="A442" s="6" t="s">
        <v>533</v>
      </c>
      <c r="B442" s="6" t="s">
        <v>534</v>
      </c>
      <c r="C442" s="6" t="s">
        <v>34</v>
      </c>
      <c r="D442" s="1088" t="s">
        <v>539</v>
      </c>
      <c r="E442" s="6" t="s">
        <v>188</v>
      </c>
      <c r="F442" s="6" t="s">
        <v>546</v>
      </c>
      <c r="G442" s="6" t="s">
        <v>2656</v>
      </c>
      <c r="H442" s="6" t="s">
        <v>979</v>
      </c>
      <c r="J442" s="1215" t="s">
        <v>509</v>
      </c>
      <c r="K442" s="1219" t="s">
        <v>3111</v>
      </c>
      <c r="L442" s="8">
        <v>0</v>
      </c>
      <c r="M442" s="8">
        <v>7</v>
      </c>
      <c r="N442" s="1169" t="s">
        <v>271</v>
      </c>
      <c r="P442" s="6" t="s">
        <v>3324</v>
      </c>
      <c r="Q442" s="1215" t="s">
        <v>253</v>
      </c>
      <c r="R442" s="1215" t="s">
        <v>255</v>
      </c>
      <c r="S442" s="1215" t="s">
        <v>534</v>
      </c>
      <c r="T442" s="1215" t="s">
        <v>533</v>
      </c>
      <c r="U442" s="6" t="s">
        <v>539</v>
      </c>
      <c r="V442" s="6" t="s">
        <v>34</v>
      </c>
      <c r="W442" s="6" t="s">
        <v>546</v>
      </c>
      <c r="X442" s="6" t="s">
        <v>188</v>
      </c>
    </row>
    <row r="443" spans="1:24" ht="15" customHeight="1" x14ac:dyDescent="0.3">
      <c r="A443" s="6" t="s">
        <v>533</v>
      </c>
      <c r="B443" s="6" t="s">
        <v>534</v>
      </c>
      <c r="C443" s="6" t="s">
        <v>34</v>
      </c>
      <c r="D443" s="1088" t="s">
        <v>539</v>
      </c>
      <c r="E443" s="6" t="s">
        <v>188</v>
      </c>
      <c r="F443" s="6" t="s">
        <v>546</v>
      </c>
      <c r="G443" s="6" t="s">
        <v>1183</v>
      </c>
      <c r="H443" s="6" t="s">
        <v>1512</v>
      </c>
      <c r="J443" s="1215" t="s">
        <v>509</v>
      </c>
      <c r="K443" s="1219" t="s">
        <v>3033</v>
      </c>
      <c r="L443" s="8">
        <v>41</v>
      </c>
      <c r="M443" s="8">
        <v>297</v>
      </c>
      <c r="N443" s="1169" t="s">
        <v>271</v>
      </c>
      <c r="P443" s="6" t="s">
        <v>3324</v>
      </c>
      <c r="Q443" s="1215" t="s">
        <v>253</v>
      </c>
      <c r="R443" s="1215" t="s">
        <v>255</v>
      </c>
      <c r="S443" s="1215" t="s">
        <v>534</v>
      </c>
      <c r="T443" s="1215" t="s">
        <v>533</v>
      </c>
      <c r="U443" s="6" t="s">
        <v>539</v>
      </c>
      <c r="V443" s="6" t="s">
        <v>34</v>
      </c>
      <c r="W443" s="6" t="s">
        <v>546</v>
      </c>
      <c r="X443" s="6" t="s">
        <v>188</v>
      </c>
    </row>
    <row r="444" spans="1:24" ht="15" customHeight="1" x14ac:dyDescent="0.3">
      <c r="A444" s="6" t="s">
        <v>533</v>
      </c>
      <c r="B444" s="6" t="s">
        <v>534</v>
      </c>
      <c r="C444" s="6" t="s">
        <v>34</v>
      </c>
      <c r="D444" s="1088" t="s">
        <v>539</v>
      </c>
      <c r="E444" s="1088" t="s">
        <v>188</v>
      </c>
      <c r="F444" s="6" t="s">
        <v>546</v>
      </c>
      <c r="G444" s="6" t="s">
        <v>1183</v>
      </c>
      <c r="H444" s="6" t="s">
        <v>1512</v>
      </c>
      <c r="J444" s="1215" t="s">
        <v>509</v>
      </c>
      <c r="K444" s="1219" t="s">
        <v>3109</v>
      </c>
      <c r="L444" s="8">
        <v>50</v>
      </c>
      <c r="M444" s="8">
        <v>142</v>
      </c>
      <c r="N444" s="1169" t="s">
        <v>271</v>
      </c>
      <c r="P444" s="6" t="s">
        <v>3324</v>
      </c>
      <c r="Q444" s="1215" t="s">
        <v>253</v>
      </c>
      <c r="R444" s="1215" t="s">
        <v>255</v>
      </c>
      <c r="S444" s="1215" t="s">
        <v>534</v>
      </c>
      <c r="T444" s="1215" t="s">
        <v>533</v>
      </c>
      <c r="U444" s="6" t="s">
        <v>539</v>
      </c>
      <c r="V444" s="6" t="s">
        <v>34</v>
      </c>
      <c r="W444" s="6" t="s">
        <v>546</v>
      </c>
      <c r="X444" s="6" t="s">
        <v>188</v>
      </c>
    </row>
    <row r="445" spans="1:24" ht="15" customHeight="1" x14ac:dyDescent="0.3">
      <c r="A445" s="6" t="s">
        <v>533</v>
      </c>
      <c r="B445" s="6" t="s">
        <v>534</v>
      </c>
      <c r="C445" s="6" t="s">
        <v>34</v>
      </c>
      <c r="D445" s="1088" t="s">
        <v>539</v>
      </c>
      <c r="E445" s="6" t="s">
        <v>188</v>
      </c>
      <c r="F445" s="6" t="s">
        <v>546</v>
      </c>
      <c r="G445" s="6" t="s">
        <v>1183</v>
      </c>
      <c r="H445" s="6" t="s">
        <v>1512</v>
      </c>
      <c r="J445" s="1215" t="s">
        <v>509</v>
      </c>
      <c r="K445" s="1219" t="s">
        <v>3110</v>
      </c>
      <c r="L445" s="8">
        <v>40</v>
      </c>
      <c r="M445" s="8">
        <v>181</v>
      </c>
      <c r="N445" s="1169" t="s">
        <v>271</v>
      </c>
      <c r="P445" s="6" t="s">
        <v>3324</v>
      </c>
      <c r="Q445" s="1215" t="s">
        <v>253</v>
      </c>
      <c r="R445" s="1215" t="s">
        <v>255</v>
      </c>
      <c r="S445" s="1215" t="s">
        <v>534</v>
      </c>
      <c r="T445" s="1215" t="s">
        <v>533</v>
      </c>
      <c r="U445" s="6" t="s">
        <v>539</v>
      </c>
      <c r="V445" s="6" t="s">
        <v>34</v>
      </c>
      <c r="W445" s="6" t="s">
        <v>546</v>
      </c>
      <c r="X445" s="6" t="s">
        <v>188</v>
      </c>
    </row>
    <row r="446" spans="1:24" ht="15" customHeight="1" x14ac:dyDescent="0.3">
      <c r="A446" s="6" t="s">
        <v>533</v>
      </c>
      <c r="B446" s="6" t="s">
        <v>534</v>
      </c>
      <c r="C446" s="6" t="s">
        <v>34</v>
      </c>
      <c r="D446" s="1088" t="s">
        <v>539</v>
      </c>
      <c r="E446" s="6" t="s">
        <v>188</v>
      </c>
      <c r="F446" s="6" t="s">
        <v>546</v>
      </c>
      <c r="G446" s="6" t="s">
        <v>1183</v>
      </c>
      <c r="H446" s="6" t="s">
        <v>1512</v>
      </c>
      <c r="J446" s="1215" t="s">
        <v>509</v>
      </c>
      <c r="K446" s="1219" t="s">
        <v>3111</v>
      </c>
      <c r="L446" s="8">
        <v>0</v>
      </c>
      <c r="M446" s="8">
        <v>38</v>
      </c>
      <c r="N446" s="1169" t="s">
        <v>271</v>
      </c>
      <c r="P446" s="6" t="s">
        <v>3324</v>
      </c>
      <c r="Q446" s="1215" t="s">
        <v>253</v>
      </c>
      <c r="R446" s="1215" t="s">
        <v>255</v>
      </c>
      <c r="S446" s="1215" t="s">
        <v>534</v>
      </c>
      <c r="T446" s="1215" t="s">
        <v>533</v>
      </c>
      <c r="U446" s="6" t="s">
        <v>539</v>
      </c>
      <c r="V446" s="6" t="s">
        <v>34</v>
      </c>
      <c r="W446" s="6" t="s">
        <v>546</v>
      </c>
      <c r="X446" s="6" t="s">
        <v>188</v>
      </c>
    </row>
    <row r="447" spans="1:24" ht="15" customHeight="1" x14ac:dyDescent="0.3">
      <c r="A447" s="6" t="s">
        <v>533</v>
      </c>
      <c r="B447" s="6" t="s">
        <v>534</v>
      </c>
      <c r="C447" s="6" t="s">
        <v>34</v>
      </c>
      <c r="D447" s="1088" t="s">
        <v>539</v>
      </c>
      <c r="E447" s="6" t="s">
        <v>188</v>
      </c>
      <c r="F447" s="6" t="s">
        <v>546</v>
      </c>
      <c r="G447" s="6" t="s">
        <v>1183</v>
      </c>
      <c r="H447" s="6" t="s">
        <v>1512</v>
      </c>
      <c r="J447" s="1215" t="s">
        <v>509</v>
      </c>
      <c r="K447" s="1219" t="s">
        <v>3112</v>
      </c>
      <c r="L447" s="8">
        <v>4</v>
      </c>
      <c r="M447" s="8">
        <v>24</v>
      </c>
      <c r="N447" s="1169" t="s">
        <v>271</v>
      </c>
      <c r="P447" s="6" t="s">
        <v>3324</v>
      </c>
      <c r="Q447" s="1215" t="s">
        <v>253</v>
      </c>
      <c r="R447" s="1215" t="s">
        <v>255</v>
      </c>
      <c r="S447" s="1215" t="s">
        <v>534</v>
      </c>
      <c r="T447" s="1215" t="s">
        <v>533</v>
      </c>
      <c r="U447" s="6" t="s">
        <v>539</v>
      </c>
      <c r="V447" s="6" t="s">
        <v>34</v>
      </c>
      <c r="W447" s="6" t="s">
        <v>546</v>
      </c>
      <c r="X447" s="6" t="s">
        <v>188</v>
      </c>
    </row>
    <row r="448" spans="1:24" ht="15" customHeight="1" x14ac:dyDescent="0.3">
      <c r="A448" s="6" t="s">
        <v>533</v>
      </c>
      <c r="B448" s="6" t="s">
        <v>534</v>
      </c>
      <c r="C448" s="6" t="s">
        <v>31</v>
      </c>
      <c r="D448" s="1088" t="s">
        <v>549</v>
      </c>
      <c r="E448" s="6" t="s">
        <v>171</v>
      </c>
      <c r="F448" s="6" t="s">
        <v>634</v>
      </c>
      <c r="G448" s="6" t="s">
        <v>2616</v>
      </c>
      <c r="H448" s="6" t="s">
        <v>1878</v>
      </c>
      <c r="J448" s="1215" t="s">
        <v>509</v>
      </c>
      <c r="K448" s="1219" t="s">
        <v>3033</v>
      </c>
      <c r="L448" s="8">
        <v>3</v>
      </c>
      <c r="M448" s="8">
        <v>43</v>
      </c>
      <c r="N448" s="1169" t="s">
        <v>271</v>
      </c>
      <c r="P448" s="6" t="s">
        <v>3323</v>
      </c>
      <c r="Q448" s="1215" t="s">
        <v>253</v>
      </c>
      <c r="R448" s="1215" t="s">
        <v>255</v>
      </c>
      <c r="S448" s="1215" t="s">
        <v>534</v>
      </c>
      <c r="T448" s="1215" t="s">
        <v>533</v>
      </c>
      <c r="U448" s="6" t="s">
        <v>549</v>
      </c>
      <c r="V448" s="6" t="s">
        <v>31</v>
      </c>
      <c r="W448" s="6" t="s">
        <v>844</v>
      </c>
      <c r="X448" s="6" t="s">
        <v>166</v>
      </c>
    </row>
    <row r="449" spans="1:24" ht="15" customHeight="1" x14ac:dyDescent="0.3">
      <c r="A449" s="6" t="s">
        <v>533</v>
      </c>
      <c r="B449" s="6" t="s">
        <v>534</v>
      </c>
      <c r="C449" s="6" t="s">
        <v>31</v>
      </c>
      <c r="D449" s="1088" t="s">
        <v>549</v>
      </c>
      <c r="E449" s="6" t="s">
        <v>171</v>
      </c>
      <c r="F449" s="6" t="s">
        <v>634</v>
      </c>
      <c r="G449" s="6" t="s">
        <v>2616</v>
      </c>
      <c r="H449" s="6" t="s">
        <v>1878</v>
      </c>
      <c r="J449" s="1215" t="s">
        <v>509</v>
      </c>
      <c r="K449" s="1219" t="s">
        <v>3110</v>
      </c>
      <c r="L449" s="8">
        <v>0</v>
      </c>
      <c r="M449" s="8">
        <v>6</v>
      </c>
      <c r="N449" s="1169" t="s">
        <v>271</v>
      </c>
      <c r="P449" s="6" t="s">
        <v>3323</v>
      </c>
      <c r="Q449" s="1215" t="s">
        <v>253</v>
      </c>
      <c r="R449" s="1215" t="s">
        <v>255</v>
      </c>
      <c r="S449" s="1215" t="s">
        <v>534</v>
      </c>
      <c r="T449" s="1215" t="s">
        <v>533</v>
      </c>
      <c r="U449" s="6" t="s">
        <v>549</v>
      </c>
      <c r="V449" s="6" t="s">
        <v>31</v>
      </c>
      <c r="X449" s="6" t="s">
        <v>2797</v>
      </c>
    </row>
    <row r="450" spans="1:24" ht="15" customHeight="1" x14ac:dyDescent="0.3">
      <c r="A450" s="6" t="s">
        <v>533</v>
      </c>
      <c r="B450" s="6" t="s">
        <v>534</v>
      </c>
      <c r="C450" s="6" t="s">
        <v>31</v>
      </c>
      <c r="D450" s="1088" t="s">
        <v>549</v>
      </c>
      <c r="E450" s="6" t="s">
        <v>171</v>
      </c>
      <c r="F450" s="6" t="s">
        <v>634</v>
      </c>
      <c r="G450" s="6" t="s">
        <v>2616</v>
      </c>
      <c r="H450" s="6" t="s">
        <v>1878</v>
      </c>
      <c r="J450" s="1215" t="s">
        <v>509</v>
      </c>
      <c r="K450" s="1219" t="s">
        <v>3111</v>
      </c>
      <c r="L450" s="8">
        <v>0</v>
      </c>
      <c r="M450" s="8">
        <v>2</v>
      </c>
      <c r="N450" s="1169" t="s">
        <v>271</v>
      </c>
      <c r="P450" s="6" t="s">
        <v>3323</v>
      </c>
      <c r="Q450" s="1215" t="s">
        <v>253</v>
      </c>
      <c r="R450" s="1215" t="s">
        <v>255</v>
      </c>
      <c r="S450" s="1215" t="s">
        <v>534</v>
      </c>
      <c r="T450" s="1215" t="s">
        <v>533</v>
      </c>
      <c r="U450" s="6" t="s">
        <v>549</v>
      </c>
      <c r="V450" s="6" t="s">
        <v>31</v>
      </c>
      <c r="W450" s="6" t="s">
        <v>844</v>
      </c>
      <c r="X450" s="6" t="s">
        <v>166</v>
      </c>
    </row>
    <row r="451" spans="1:24" ht="15" customHeight="1" x14ac:dyDescent="0.3">
      <c r="A451" s="6" t="s">
        <v>533</v>
      </c>
      <c r="B451" s="6" t="s">
        <v>534</v>
      </c>
      <c r="C451" s="6" t="s">
        <v>31</v>
      </c>
      <c r="D451" s="1088" t="s">
        <v>549</v>
      </c>
      <c r="E451" s="1088" t="s">
        <v>171</v>
      </c>
      <c r="F451" s="6" t="s">
        <v>634</v>
      </c>
      <c r="G451" s="6" t="s">
        <v>2148</v>
      </c>
      <c r="H451" s="6" t="s">
        <v>1247</v>
      </c>
      <c r="J451" s="1215" t="s">
        <v>509</v>
      </c>
      <c r="K451" s="1219" t="s">
        <v>3033</v>
      </c>
      <c r="L451" s="8">
        <v>8</v>
      </c>
      <c r="M451" s="8">
        <v>42</v>
      </c>
      <c r="N451" s="1169" t="s">
        <v>271</v>
      </c>
      <c r="P451" s="6" t="s">
        <v>3323</v>
      </c>
      <c r="Q451" s="1215" t="s">
        <v>253</v>
      </c>
      <c r="R451" s="1215" t="s">
        <v>255</v>
      </c>
      <c r="S451" s="1215" t="s">
        <v>534</v>
      </c>
      <c r="T451" s="1215" t="s">
        <v>533</v>
      </c>
      <c r="U451" s="6" t="s">
        <v>549</v>
      </c>
      <c r="V451" s="6" t="s">
        <v>31</v>
      </c>
      <c r="W451" s="6" t="s">
        <v>844</v>
      </c>
      <c r="X451" s="6" t="s">
        <v>166</v>
      </c>
    </row>
    <row r="452" spans="1:24" ht="15" customHeight="1" x14ac:dyDescent="0.3">
      <c r="A452" s="6" t="s">
        <v>533</v>
      </c>
      <c r="B452" s="6" t="s">
        <v>534</v>
      </c>
      <c r="C452" s="6" t="s">
        <v>31</v>
      </c>
      <c r="D452" s="1088" t="s">
        <v>549</v>
      </c>
      <c r="E452" s="6" t="s">
        <v>171</v>
      </c>
      <c r="F452" s="6" t="s">
        <v>634</v>
      </c>
      <c r="G452" s="6" t="s">
        <v>2148</v>
      </c>
      <c r="H452" s="6" t="s">
        <v>1247</v>
      </c>
      <c r="J452" s="1215" t="s">
        <v>509</v>
      </c>
      <c r="K452" s="1219" t="s">
        <v>3109</v>
      </c>
      <c r="L452" s="8">
        <v>3</v>
      </c>
      <c r="M452" s="8">
        <v>42</v>
      </c>
      <c r="N452" s="1088" t="s">
        <v>271</v>
      </c>
      <c r="P452" s="6" t="s">
        <v>3323</v>
      </c>
      <c r="Q452" s="1215" t="s">
        <v>253</v>
      </c>
      <c r="R452" s="1215" t="s">
        <v>255</v>
      </c>
      <c r="S452" s="1215" t="s">
        <v>534</v>
      </c>
      <c r="T452" s="1215" t="s">
        <v>533</v>
      </c>
      <c r="U452" s="6" t="s">
        <v>549</v>
      </c>
      <c r="V452" s="6" t="s">
        <v>31</v>
      </c>
      <c r="W452" s="6" t="s">
        <v>844</v>
      </c>
      <c r="X452" s="6" t="s">
        <v>166</v>
      </c>
    </row>
    <row r="453" spans="1:24" ht="15" customHeight="1" x14ac:dyDescent="0.3">
      <c r="A453" s="6" t="s">
        <v>533</v>
      </c>
      <c r="B453" s="6" t="s">
        <v>534</v>
      </c>
      <c r="C453" s="6" t="s">
        <v>31</v>
      </c>
      <c r="D453" s="1088" t="s">
        <v>549</v>
      </c>
      <c r="E453" s="6" t="s">
        <v>171</v>
      </c>
      <c r="F453" s="6" t="s">
        <v>634</v>
      </c>
      <c r="G453" s="6" t="s">
        <v>2148</v>
      </c>
      <c r="H453" s="6" t="s">
        <v>1247</v>
      </c>
      <c r="J453" s="1215" t="s">
        <v>509</v>
      </c>
      <c r="K453" s="1219" t="s">
        <v>3110</v>
      </c>
      <c r="L453" s="8">
        <v>2</v>
      </c>
      <c r="M453" s="8">
        <v>11</v>
      </c>
      <c r="N453" s="1088" t="s">
        <v>271</v>
      </c>
      <c r="P453" s="6" t="s">
        <v>3324</v>
      </c>
      <c r="Q453" s="1215" t="s">
        <v>253</v>
      </c>
      <c r="R453" s="1215" t="s">
        <v>255</v>
      </c>
      <c r="S453" s="1215" t="s">
        <v>534</v>
      </c>
      <c r="T453" s="1215" t="s">
        <v>533</v>
      </c>
      <c r="U453" s="6" t="s">
        <v>549</v>
      </c>
      <c r="V453" s="6" t="s">
        <v>31</v>
      </c>
      <c r="W453" s="6" t="s">
        <v>634</v>
      </c>
      <c r="X453" s="6" t="s">
        <v>171</v>
      </c>
    </row>
    <row r="454" spans="1:24" ht="15" customHeight="1" x14ac:dyDescent="0.3">
      <c r="A454" s="6" t="s">
        <v>533</v>
      </c>
      <c r="B454" s="6" t="s">
        <v>534</v>
      </c>
      <c r="C454" s="6" t="s">
        <v>31</v>
      </c>
      <c r="D454" s="1088" t="s">
        <v>549</v>
      </c>
      <c r="E454" s="6" t="s">
        <v>171</v>
      </c>
      <c r="F454" s="6" t="s">
        <v>634</v>
      </c>
      <c r="G454" s="6" t="s">
        <v>2148</v>
      </c>
      <c r="H454" s="6" t="s">
        <v>1247</v>
      </c>
      <c r="J454" s="1215" t="s">
        <v>509</v>
      </c>
      <c r="K454" s="1219" t="s">
        <v>3111</v>
      </c>
      <c r="L454" s="8">
        <v>15</v>
      </c>
      <c r="M454" s="8">
        <v>63</v>
      </c>
      <c r="N454" s="1088" t="s">
        <v>274</v>
      </c>
      <c r="P454" s="6" t="s">
        <v>3323</v>
      </c>
      <c r="Q454" s="1215" t="s">
        <v>253</v>
      </c>
      <c r="R454" s="1215" t="s">
        <v>255</v>
      </c>
      <c r="S454" s="1215" t="s">
        <v>534</v>
      </c>
      <c r="T454" s="1215" t="s">
        <v>533</v>
      </c>
      <c r="U454" s="6" t="s">
        <v>549</v>
      </c>
      <c r="V454" s="6" t="s">
        <v>31</v>
      </c>
      <c r="W454" s="6" t="s">
        <v>673</v>
      </c>
      <c r="X454" s="6" t="s">
        <v>169</v>
      </c>
    </row>
    <row r="455" spans="1:24" ht="15" customHeight="1" x14ac:dyDescent="0.3">
      <c r="A455" s="6" t="s">
        <v>533</v>
      </c>
      <c r="B455" s="6" t="s">
        <v>534</v>
      </c>
      <c r="C455" s="6" t="s">
        <v>31</v>
      </c>
      <c r="D455" s="1088" t="s">
        <v>549</v>
      </c>
      <c r="E455" s="6" t="s">
        <v>171</v>
      </c>
      <c r="F455" s="6" t="s">
        <v>634</v>
      </c>
      <c r="G455" s="6" t="s">
        <v>2975</v>
      </c>
      <c r="H455" s="6" t="s">
        <v>2134</v>
      </c>
      <c r="J455" s="1215" t="s">
        <v>509</v>
      </c>
      <c r="K455" s="1219" t="s">
        <v>3033</v>
      </c>
      <c r="L455" s="8">
        <v>4</v>
      </c>
      <c r="M455" s="8">
        <v>31</v>
      </c>
      <c r="N455" s="1169" t="s">
        <v>271</v>
      </c>
      <c r="P455" s="6" t="s">
        <v>3323</v>
      </c>
      <c r="Q455" s="1215" t="s">
        <v>253</v>
      </c>
      <c r="R455" s="1215" t="s">
        <v>255</v>
      </c>
      <c r="S455" s="1215" t="s">
        <v>534</v>
      </c>
      <c r="T455" s="1215" t="s">
        <v>533</v>
      </c>
      <c r="U455" s="6" t="s">
        <v>549</v>
      </c>
      <c r="V455" s="6" t="s">
        <v>31</v>
      </c>
      <c r="X455" s="6" t="s">
        <v>2797</v>
      </c>
    </row>
    <row r="456" spans="1:24" ht="15" customHeight="1" x14ac:dyDescent="0.3">
      <c r="A456" s="6" t="s">
        <v>533</v>
      </c>
      <c r="B456" s="6" t="s">
        <v>534</v>
      </c>
      <c r="C456" s="6" t="s">
        <v>31</v>
      </c>
      <c r="D456" s="1088" t="s">
        <v>549</v>
      </c>
      <c r="E456" s="6" t="s">
        <v>171</v>
      </c>
      <c r="F456" s="6" t="s">
        <v>634</v>
      </c>
      <c r="G456" s="6" t="s">
        <v>2975</v>
      </c>
      <c r="H456" s="6" t="s">
        <v>2134</v>
      </c>
      <c r="J456" s="1215" t="s">
        <v>509</v>
      </c>
      <c r="K456" s="1219" t="s">
        <v>3111</v>
      </c>
      <c r="L456" s="8">
        <v>7</v>
      </c>
      <c r="M456" s="8">
        <v>24</v>
      </c>
      <c r="N456" s="1088" t="s">
        <v>271</v>
      </c>
      <c r="P456" s="6" t="s">
        <v>3323</v>
      </c>
      <c r="Q456" s="1215" t="s">
        <v>253</v>
      </c>
      <c r="R456" s="1215" t="s">
        <v>255</v>
      </c>
      <c r="S456" s="1215" t="s">
        <v>534</v>
      </c>
      <c r="T456" s="1215" t="s">
        <v>533</v>
      </c>
      <c r="U456" s="6" t="s">
        <v>549</v>
      </c>
      <c r="V456" s="6" t="s">
        <v>31</v>
      </c>
      <c r="X456" s="6" t="s">
        <v>2797</v>
      </c>
    </row>
    <row r="457" spans="1:24" ht="15" customHeight="1" x14ac:dyDescent="0.3">
      <c r="A457" s="6" t="s">
        <v>533</v>
      </c>
      <c r="B457" s="6" t="s">
        <v>534</v>
      </c>
      <c r="C457" s="6" t="s">
        <v>31</v>
      </c>
      <c r="D457" s="1088" t="s">
        <v>549</v>
      </c>
      <c r="E457" s="6" t="s">
        <v>171</v>
      </c>
      <c r="F457" s="6" t="s">
        <v>634</v>
      </c>
      <c r="G457" s="6" t="s">
        <v>2975</v>
      </c>
      <c r="H457" s="6" t="s">
        <v>2134</v>
      </c>
      <c r="J457" s="1215" t="s">
        <v>509</v>
      </c>
      <c r="K457" s="1219" t="s">
        <v>3112</v>
      </c>
      <c r="L457" s="8">
        <v>11</v>
      </c>
      <c r="M457" s="8">
        <v>31</v>
      </c>
      <c r="N457" s="1088" t="s">
        <v>271</v>
      </c>
      <c r="P457" s="6" t="s">
        <v>3323</v>
      </c>
      <c r="Q457" s="1215" t="s">
        <v>253</v>
      </c>
      <c r="R457" s="1215" t="s">
        <v>255</v>
      </c>
      <c r="S457" s="1215" t="s">
        <v>534</v>
      </c>
      <c r="T457" s="1215" t="s">
        <v>533</v>
      </c>
      <c r="U457" s="6" t="s">
        <v>549</v>
      </c>
      <c r="V457" s="6" t="s">
        <v>31</v>
      </c>
      <c r="W457" s="6" t="s">
        <v>881</v>
      </c>
      <c r="X457" s="6" t="s">
        <v>165</v>
      </c>
    </row>
    <row r="458" spans="1:24" ht="15" customHeight="1" x14ac:dyDescent="0.3">
      <c r="A458" s="6" t="s">
        <v>533</v>
      </c>
      <c r="B458" s="6" t="s">
        <v>534</v>
      </c>
      <c r="C458" s="6" t="s">
        <v>31</v>
      </c>
      <c r="D458" s="1088" t="s">
        <v>549</v>
      </c>
      <c r="E458" s="6" t="s">
        <v>171</v>
      </c>
      <c r="F458" s="6" t="s">
        <v>634</v>
      </c>
      <c r="G458" s="6" t="s">
        <v>1214</v>
      </c>
      <c r="H458" s="6" t="s">
        <v>1809</v>
      </c>
      <c r="J458" s="1215" t="s">
        <v>509</v>
      </c>
      <c r="K458" s="1219" t="s">
        <v>3110</v>
      </c>
      <c r="L458" s="8">
        <v>4</v>
      </c>
      <c r="M458" s="8">
        <v>15</v>
      </c>
      <c r="N458" s="1088" t="s">
        <v>271</v>
      </c>
      <c r="P458" s="6" t="s">
        <v>3324</v>
      </c>
      <c r="Q458" s="1215" t="s">
        <v>253</v>
      </c>
      <c r="R458" s="1215" t="s">
        <v>255</v>
      </c>
      <c r="S458" s="1215" t="s">
        <v>534</v>
      </c>
      <c r="T458" s="1215" t="s">
        <v>533</v>
      </c>
      <c r="U458" s="6" t="s">
        <v>549</v>
      </c>
      <c r="V458" s="6" t="s">
        <v>31</v>
      </c>
      <c r="W458" s="6" t="s">
        <v>634</v>
      </c>
      <c r="X458" s="6" t="s">
        <v>171</v>
      </c>
    </row>
    <row r="459" spans="1:24" ht="15" customHeight="1" x14ac:dyDescent="0.3">
      <c r="A459" s="6" t="s">
        <v>533</v>
      </c>
      <c r="B459" s="6" t="s">
        <v>534</v>
      </c>
      <c r="C459" s="6" t="s">
        <v>31</v>
      </c>
      <c r="D459" s="1088" t="s">
        <v>549</v>
      </c>
      <c r="E459" s="6" t="s">
        <v>171</v>
      </c>
      <c r="F459" s="6" t="s">
        <v>634</v>
      </c>
      <c r="G459" s="6" t="s">
        <v>1214</v>
      </c>
      <c r="H459" s="6" t="s">
        <v>1809</v>
      </c>
      <c r="J459" s="1215" t="s">
        <v>509</v>
      </c>
      <c r="K459" s="1219" t="s">
        <v>3109</v>
      </c>
      <c r="L459" s="8">
        <v>27</v>
      </c>
      <c r="M459" s="8">
        <v>120</v>
      </c>
      <c r="N459" s="1088" t="s">
        <v>271</v>
      </c>
      <c r="P459" s="6" t="s">
        <v>3323</v>
      </c>
      <c r="Q459" s="1215" t="s">
        <v>253</v>
      </c>
      <c r="R459" s="1215" t="s">
        <v>255</v>
      </c>
      <c r="S459" s="1215" t="s">
        <v>534</v>
      </c>
      <c r="T459" s="1215" t="s">
        <v>533</v>
      </c>
      <c r="U459" s="6" t="s">
        <v>549</v>
      </c>
      <c r="V459" s="6" t="s">
        <v>31</v>
      </c>
      <c r="W459" s="6" t="s">
        <v>844</v>
      </c>
      <c r="X459" s="6" t="s">
        <v>166</v>
      </c>
    </row>
    <row r="460" spans="1:24" ht="15" customHeight="1" x14ac:dyDescent="0.3">
      <c r="A460" s="6" t="s">
        <v>533</v>
      </c>
      <c r="B460" s="6" t="s">
        <v>534</v>
      </c>
      <c r="C460" s="6" t="s">
        <v>31</v>
      </c>
      <c r="D460" s="1088" t="s">
        <v>549</v>
      </c>
      <c r="E460" s="6" t="s">
        <v>171</v>
      </c>
      <c r="F460" s="6" t="s">
        <v>634</v>
      </c>
      <c r="G460" s="6" t="s">
        <v>1743</v>
      </c>
      <c r="H460" s="6" t="s">
        <v>924</v>
      </c>
      <c r="J460" s="1215" t="s">
        <v>509</v>
      </c>
      <c r="K460" s="1219" t="s">
        <v>3111</v>
      </c>
      <c r="L460" s="8">
        <v>7</v>
      </c>
      <c r="M460" s="8">
        <v>107</v>
      </c>
      <c r="N460" s="1169" t="s">
        <v>271</v>
      </c>
      <c r="P460" s="6" t="s">
        <v>3324</v>
      </c>
      <c r="Q460" s="1215" t="s">
        <v>253</v>
      </c>
      <c r="R460" s="1215" t="s">
        <v>255</v>
      </c>
      <c r="S460" s="1215" t="s">
        <v>534</v>
      </c>
      <c r="T460" s="1215" t="s">
        <v>533</v>
      </c>
      <c r="U460" s="6" t="s">
        <v>549</v>
      </c>
      <c r="V460" s="6" t="s">
        <v>31</v>
      </c>
      <c r="W460" s="6" t="s">
        <v>634</v>
      </c>
      <c r="X460" s="6" t="s">
        <v>171</v>
      </c>
    </row>
    <row r="461" spans="1:24" ht="15" customHeight="1" x14ac:dyDescent="0.3">
      <c r="A461" s="6" t="s">
        <v>533</v>
      </c>
      <c r="B461" s="6" t="s">
        <v>534</v>
      </c>
      <c r="C461" s="6" t="s">
        <v>31</v>
      </c>
      <c r="D461" s="1088" t="s">
        <v>549</v>
      </c>
      <c r="E461" s="1088" t="s">
        <v>171</v>
      </c>
      <c r="F461" s="6" t="s">
        <v>634</v>
      </c>
      <c r="G461" s="6" t="s">
        <v>1995</v>
      </c>
      <c r="H461" s="6" t="s">
        <v>1102</v>
      </c>
      <c r="J461" s="1215" t="s">
        <v>509</v>
      </c>
      <c r="K461" s="1219" t="s">
        <v>3111</v>
      </c>
      <c r="L461" s="8">
        <v>11</v>
      </c>
      <c r="M461" s="8">
        <v>112</v>
      </c>
      <c r="N461" s="1169" t="s">
        <v>271</v>
      </c>
      <c r="P461" s="6" t="s">
        <v>3324</v>
      </c>
      <c r="Q461" s="1215" t="s">
        <v>253</v>
      </c>
      <c r="R461" s="1215" t="s">
        <v>255</v>
      </c>
      <c r="S461" s="1215" t="s">
        <v>534</v>
      </c>
      <c r="T461" s="1215" t="s">
        <v>533</v>
      </c>
      <c r="U461" s="6" t="s">
        <v>549</v>
      </c>
      <c r="V461" s="6" t="s">
        <v>31</v>
      </c>
      <c r="W461" s="6" t="s">
        <v>634</v>
      </c>
      <c r="X461" s="6" t="s">
        <v>171</v>
      </c>
    </row>
    <row r="462" spans="1:24" ht="15" customHeight="1" x14ac:dyDescent="0.3">
      <c r="A462" s="6" t="s">
        <v>533</v>
      </c>
      <c r="B462" s="6" t="s">
        <v>534</v>
      </c>
      <c r="C462" s="6" t="s">
        <v>31</v>
      </c>
      <c r="D462" s="1088" t="s">
        <v>549</v>
      </c>
      <c r="E462" s="1088" t="s">
        <v>171</v>
      </c>
      <c r="F462" s="6" t="s">
        <v>634</v>
      </c>
      <c r="G462" s="6" t="s">
        <v>1024</v>
      </c>
      <c r="H462" s="6" t="s">
        <v>1273</v>
      </c>
      <c r="J462" s="1215" t="s">
        <v>509</v>
      </c>
      <c r="K462" s="1219" t="s">
        <v>3111</v>
      </c>
      <c r="L462" s="8">
        <v>7</v>
      </c>
      <c r="M462" s="8">
        <v>74</v>
      </c>
      <c r="N462" s="1169" t="s">
        <v>271</v>
      </c>
      <c r="P462" s="6" t="s">
        <v>3324</v>
      </c>
      <c r="Q462" s="1215" t="s">
        <v>253</v>
      </c>
      <c r="R462" s="1215" t="s">
        <v>255</v>
      </c>
      <c r="S462" s="1215" t="s">
        <v>534</v>
      </c>
      <c r="T462" s="1215" t="s">
        <v>533</v>
      </c>
      <c r="U462" s="6" t="s">
        <v>549</v>
      </c>
      <c r="V462" s="6" t="s">
        <v>31</v>
      </c>
      <c r="W462" s="6" t="s">
        <v>634</v>
      </c>
      <c r="X462" s="6" t="s">
        <v>171</v>
      </c>
    </row>
    <row r="463" spans="1:24" ht="15" customHeight="1" x14ac:dyDescent="0.3">
      <c r="A463" s="6" t="s">
        <v>533</v>
      </c>
      <c r="B463" s="6" t="s">
        <v>534</v>
      </c>
      <c r="C463" s="6" t="s">
        <v>31</v>
      </c>
      <c r="D463" s="1088" t="s">
        <v>549</v>
      </c>
      <c r="E463" s="6" t="s">
        <v>171</v>
      </c>
      <c r="F463" s="6" t="s">
        <v>634</v>
      </c>
      <c r="G463" s="6" t="s">
        <v>1894</v>
      </c>
      <c r="H463" s="6" t="s">
        <v>1100</v>
      </c>
      <c r="J463" s="1215" t="s">
        <v>509</v>
      </c>
      <c r="K463" s="1219" t="s">
        <v>3111</v>
      </c>
      <c r="L463" s="8">
        <v>35</v>
      </c>
      <c r="M463" s="8">
        <v>330</v>
      </c>
      <c r="N463" s="1169" t="s">
        <v>271</v>
      </c>
      <c r="P463" s="6" t="s">
        <v>3324</v>
      </c>
      <c r="Q463" s="1215" t="s">
        <v>253</v>
      </c>
      <c r="R463" s="1215" t="s">
        <v>255</v>
      </c>
      <c r="S463" s="1215" t="s">
        <v>534</v>
      </c>
      <c r="T463" s="1215" t="s">
        <v>533</v>
      </c>
      <c r="U463" s="6" t="s">
        <v>549</v>
      </c>
      <c r="V463" s="6" t="s">
        <v>31</v>
      </c>
      <c r="W463" s="6" t="s">
        <v>634</v>
      </c>
      <c r="X463" s="6" t="s">
        <v>171</v>
      </c>
    </row>
    <row r="464" spans="1:24" ht="15" customHeight="1" x14ac:dyDescent="0.3">
      <c r="A464" s="6" t="s">
        <v>533</v>
      </c>
      <c r="B464" s="6" t="s">
        <v>534</v>
      </c>
      <c r="C464" s="6" t="s">
        <v>31</v>
      </c>
      <c r="D464" s="1088" t="s">
        <v>549</v>
      </c>
      <c r="E464" s="1088" t="s">
        <v>171</v>
      </c>
      <c r="F464" s="6" t="s">
        <v>634</v>
      </c>
      <c r="G464" s="6" t="s">
        <v>635</v>
      </c>
      <c r="H464" s="6" t="s">
        <v>2129</v>
      </c>
      <c r="J464" s="1215" t="s">
        <v>509</v>
      </c>
      <c r="K464" s="1219" t="s">
        <v>3111</v>
      </c>
      <c r="L464" s="8">
        <v>20</v>
      </c>
      <c r="M464" s="8">
        <v>112</v>
      </c>
      <c r="N464" s="1169" t="s">
        <v>271</v>
      </c>
      <c r="P464" s="6" t="s">
        <v>3323</v>
      </c>
      <c r="Q464" s="1215" t="s">
        <v>253</v>
      </c>
      <c r="R464" s="1215" t="s">
        <v>255</v>
      </c>
      <c r="S464" s="1215" t="s">
        <v>534</v>
      </c>
      <c r="T464" s="1215" t="s">
        <v>533</v>
      </c>
      <c r="U464" s="6" t="s">
        <v>549</v>
      </c>
      <c r="V464" s="6" t="s">
        <v>31</v>
      </c>
      <c r="W464" s="6" t="s">
        <v>881</v>
      </c>
      <c r="X464" s="6" t="s">
        <v>165</v>
      </c>
    </row>
    <row r="465" spans="1:24" ht="15" customHeight="1" x14ac:dyDescent="0.3">
      <c r="A465" s="6" t="s">
        <v>533</v>
      </c>
      <c r="B465" s="6" t="s">
        <v>534</v>
      </c>
      <c r="C465" s="6" t="s">
        <v>31</v>
      </c>
      <c r="D465" s="1088" t="s">
        <v>549</v>
      </c>
      <c r="E465" s="1088" t="s">
        <v>171</v>
      </c>
      <c r="F465" s="6" t="s">
        <v>634</v>
      </c>
      <c r="G465" s="6" t="s">
        <v>635</v>
      </c>
      <c r="H465" s="6" t="s">
        <v>2129</v>
      </c>
      <c r="J465" s="1215" t="s">
        <v>509</v>
      </c>
      <c r="K465" s="1219" t="s">
        <v>3112</v>
      </c>
      <c r="L465" s="8">
        <v>9</v>
      </c>
      <c r="M465" s="8">
        <v>53</v>
      </c>
      <c r="N465" s="1169" t="s">
        <v>272</v>
      </c>
      <c r="P465" s="6" t="s">
        <v>3323</v>
      </c>
      <c r="Q465" s="1215" t="s">
        <v>253</v>
      </c>
      <c r="R465" s="1215" t="s">
        <v>255</v>
      </c>
      <c r="S465" s="1215" t="s">
        <v>534</v>
      </c>
      <c r="T465" s="1215" t="s">
        <v>533</v>
      </c>
      <c r="U465" s="6" t="s">
        <v>549</v>
      </c>
      <c r="V465" s="6" t="s">
        <v>31</v>
      </c>
      <c r="W465" s="6" t="s">
        <v>881</v>
      </c>
      <c r="X465" s="6" t="s">
        <v>165</v>
      </c>
    </row>
    <row r="466" spans="1:24" ht="15" customHeight="1" x14ac:dyDescent="0.3">
      <c r="A466" s="6" t="s">
        <v>533</v>
      </c>
      <c r="B466" s="6" t="s">
        <v>534</v>
      </c>
      <c r="C466" s="6" t="s">
        <v>31</v>
      </c>
      <c r="D466" s="1088" t="s">
        <v>549</v>
      </c>
      <c r="E466" s="6" t="s">
        <v>171</v>
      </c>
      <c r="F466" s="6" t="s">
        <v>634</v>
      </c>
      <c r="G466" s="6" t="s">
        <v>1959</v>
      </c>
      <c r="H466" s="6" t="s">
        <v>1923</v>
      </c>
      <c r="J466" s="1215" t="s">
        <v>509</v>
      </c>
      <c r="K466" s="1219" t="s">
        <v>3111</v>
      </c>
      <c r="L466" s="8">
        <v>13</v>
      </c>
      <c r="M466" s="8">
        <v>90</v>
      </c>
      <c r="N466" s="1169" t="s">
        <v>271</v>
      </c>
      <c r="P466" s="6" t="s">
        <v>3323</v>
      </c>
      <c r="Q466" s="1215" t="s">
        <v>253</v>
      </c>
      <c r="R466" s="1215" t="s">
        <v>255</v>
      </c>
      <c r="S466" s="1215" t="s">
        <v>534</v>
      </c>
      <c r="T466" s="1215" t="s">
        <v>533</v>
      </c>
      <c r="U466" s="6" t="s">
        <v>549</v>
      </c>
      <c r="V466" s="6" t="s">
        <v>31</v>
      </c>
      <c r="W466" s="6" t="s">
        <v>881</v>
      </c>
      <c r="X466" s="6" t="s">
        <v>165</v>
      </c>
    </row>
    <row r="467" spans="1:24" ht="15" customHeight="1" x14ac:dyDescent="0.3">
      <c r="A467" s="6" t="s">
        <v>533</v>
      </c>
      <c r="B467" s="6" t="s">
        <v>534</v>
      </c>
      <c r="C467" s="6" t="s">
        <v>31</v>
      </c>
      <c r="D467" s="1088" t="s">
        <v>549</v>
      </c>
      <c r="E467" s="6" t="s">
        <v>171</v>
      </c>
      <c r="F467" s="6" t="s">
        <v>634</v>
      </c>
      <c r="G467" s="6" t="s">
        <v>1285</v>
      </c>
      <c r="H467" s="6" t="s">
        <v>1790</v>
      </c>
      <c r="J467" s="1215" t="s">
        <v>509</v>
      </c>
      <c r="K467" s="1219" t="s">
        <v>3111</v>
      </c>
      <c r="L467" s="8">
        <v>2</v>
      </c>
      <c r="M467" s="8">
        <v>8</v>
      </c>
      <c r="N467" s="1169" t="s">
        <v>271</v>
      </c>
      <c r="P467" s="6" t="s">
        <v>3323</v>
      </c>
      <c r="Q467" s="1215" t="s">
        <v>253</v>
      </c>
      <c r="R467" s="1215" t="s">
        <v>255</v>
      </c>
      <c r="S467" s="1215" t="s">
        <v>534</v>
      </c>
      <c r="T467" s="1215" t="s">
        <v>533</v>
      </c>
      <c r="U467" s="6" t="s">
        <v>549</v>
      </c>
      <c r="V467" s="6" t="s">
        <v>31</v>
      </c>
      <c r="W467" s="6" t="s">
        <v>881</v>
      </c>
      <c r="X467" s="6" t="s">
        <v>165</v>
      </c>
    </row>
    <row r="468" spans="1:24" ht="15" customHeight="1" x14ac:dyDescent="0.3">
      <c r="A468" s="6" t="s">
        <v>533</v>
      </c>
      <c r="B468" s="6" t="s">
        <v>534</v>
      </c>
      <c r="C468" s="6" t="s">
        <v>31</v>
      </c>
      <c r="D468" s="1088" t="s">
        <v>549</v>
      </c>
      <c r="E468" s="6" t="s">
        <v>169</v>
      </c>
      <c r="F468" s="6" t="s">
        <v>673</v>
      </c>
      <c r="G468" s="6" t="s">
        <v>1641</v>
      </c>
      <c r="H468" s="6" t="s">
        <v>1130</v>
      </c>
      <c r="J468" s="1215" t="s">
        <v>509</v>
      </c>
      <c r="K468" s="1219" t="s">
        <v>3033</v>
      </c>
      <c r="L468" s="8">
        <v>8</v>
      </c>
      <c r="M468" s="8">
        <v>53</v>
      </c>
      <c r="N468" s="1169" t="s">
        <v>271</v>
      </c>
      <c r="P468" s="6" t="s">
        <v>3324</v>
      </c>
      <c r="Q468" s="1215" t="s">
        <v>253</v>
      </c>
      <c r="R468" s="1215" t="s">
        <v>255</v>
      </c>
      <c r="S468" s="1215" t="s">
        <v>534</v>
      </c>
      <c r="T468" s="1215" t="s">
        <v>533</v>
      </c>
      <c r="U468" s="6" t="s">
        <v>549</v>
      </c>
      <c r="V468" s="6" t="s">
        <v>31</v>
      </c>
      <c r="W468" s="6" t="s">
        <v>673</v>
      </c>
      <c r="X468" s="6" t="s">
        <v>169</v>
      </c>
    </row>
    <row r="469" spans="1:24" ht="15" customHeight="1" x14ac:dyDescent="0.3">
      <c r="A469" s="6" t="s">
        <v>533</v>
      </c>
      <c r="B469" s="6" t="s">
        <v>534</v>
      </c>
      <c r="C469" s="6" t="s">
        <v>31</v>
      </c>
      <c r="D469" s="1088" t="s">
        <v>549</v>
      </c>
      <c r="E469" s="1088" t="s">
        <v>169</v>
      </c>
      <c r="F469" s="6" t="s">
        <v>673</v>
      </c>
      <c r="G469" s="6" t="s">
        <v>1468</v>
      </c>
      <c r="H469" s="6" t="s">
        <v>1470</v>
      </c>
      <c r="J469" s="1215" t="s">
        <v>509</v>
      </c>
      <c r="K469" s="1219" t="s">
        <v>3110</v>
      </c>
      <c r="L469" s="8">
        <v>3</v>
      </c>
      <c r="M469" s="8">
        <v>18</v>
      </c>
      <c r="N469" s="1169" t="s">
        <v>271</v>
      </c>
      <c r="P469" s="6" t="s">
        <v>3324</v>
      </c>
      <c r="Q469" s="1215" t="s">
        <v>253</v>
      </c>
      <c r="R469" s="1215" t="s">
        <v>255</v>
      </c>
      <c r="S469" s="1215" t="s">
        <v>534</v>
      </c>
      <c r="T469" s="1215" t="s">
        <v>533</v>
      </c>
      <c r="U469" s="6" t="s">
        <v>549</v>
      </c>
      <c r="V469" s="6" t="s">
        <v>31</v>
      </c>
      <c r="W469" s="6" t="s">
        <v>673</v>
      </c>
      <c r="X469" s="6" t="s">
        <v>169</v>
      </c>
    </row>
    <row r="470" spans="1:24" ht="15" customHeight="1" x14ac:dyDescent="0.3">
      <c r="A470" s="6" t="s">
        <v>533</v>
      </c>
      <c r="B470" s="6" t="s">
        <v>534</v>
      </c>
      <c r="C470" s="6" t="s">
        <v>31</v>
      </c>
      <c r="D470" s="1088" t="s">
        <v>549</v>
      </c>
      <c r="E470" s="6" t="s">
        <v>169</v>
      </c>
      <c r="F470" s="6" t="s">
        <v>673</v>
      </c>
      <c r="G470" s="6" t="s">
        <v>1135</v>
      </c>
      <c r="H470" s="6" t="s">
        <v>1471</v>
      </c>
      <c r="J470" s="1215" t="s">
        <v>509</v>
      </c>
      <c r="K470" s="1219" t="s">
        <v>3033</v>
      </c>
      <c r="L470" s="8">
        <v>10</v>
      </c>
      <c r="M470" s="8">
        <v>58</v>
      </c>
      <c r="N470" s="1169" t="s">
        <v>271</v>
      </c>
      <c r="P470" s="6" t="s">
        <v>3324</v>
      </c>
      <c r="Q470" s="1215" t="s">
        <v>253</v>
      </c>
      <c r="R470" s="1215" t="s">
        <v>255</v>
      </c>
      <c r="S470" s="1215" t="s">
        <v>534</v>
      </c>
      <c r="T470" s="1215" t="s">
        <v>533</v>
      </c>
      <c r="U470" s="6" t="s">
        <v>549</v>
      </c>
      <c r="V470" s="6" t="s">
        <v>31</v>
      </c>
      <c r="W470" s="6" t="s">
        <v>673</v>
      </c>
      <c r="X470" s="6" t="s">
        <v>169</v>
      </c>
    </row>
    <row r="471" spans="1:24" ht="15" customHeight="1" x14ac:dyDescent="0.3">
      <c r="A471" s="6" t="s">
        <v>533</v>
      </c>
      <c r="B471" s="6" t="s">
        <v>534</v>
      </c>
      <c r="C471" s="6" t="s">
        <v>31</v>
      </c>
      <c r="D471" s="1088" t="s">
        <v>549</v>
      </c>
      <c r="E471" s="6" t="s">
        <v>169</v>
      </c>
      <c r="F471" s="6" t="s">
        <v>673</v>
      </c>
      <c r="G471" s="6" t="s">
        <v>1135</v>
      </c>
      <c r="H471" s="6" t="s">
        <v>1471</v>
      </c>
      <c r="J471" s="1215" t="s">
        <v>509</v>
      </c>
      <c r="K471" s="1219" t="s">
        <v>3110</v>
      </c>
      <c r="L471" s="8">
        <v>20</v>
      </c>
      <c r="M471" s="8">
        <v>125</v>
      </c>
      <c r="N471" s="1169" t="s">
        <v>271</v>
      </c>
      <c r="P471" s="6" t="s">
        <v>3324</v>
      </c>
      <c r="Q471" s="1215" t="s">
        <v>253</v>
      </c>
      <c r="R471" s="1215" t="s">
        <v>255</v>
      </c>
      <c r="S471" s="1215" t="s">
        <v>534</v>
      </c>
      <c r="T471" s="1215" t="s">
        <v>533</v>
      </c>
      <c r="U471" s="6" t="s">
        <v>549</v>
      </c>
      <c r="V471" s="6" t="s">
        <v>31</v>
      </c>
      <c r="W471" s="6" t="s">
        <v>673</v>
      </c>
      <c r="X471" s="6" t="s">
        <v>169</v>
      </c>
    </row>
    <row r="472" spans="1:24" ht="15" customHeight="1" x14ac:dyDescent="0.3">
      <c r="A472" s="6" t="s">
        <v>533</v>
      </c>
      <c r="B472" s="6" t="s">
        <v>534</v>
      </c>
      <c r="C472" s="6" t="s">
        <v>31</v>
      </c>
      <c r="D472" s="6" t="s">
        <v>549</v>
      </c>
      <c r="E472" s="1088" t="s">
        <v>169</v>
      </c>
      <c r="F472" s="6" t="s">
        <v>673</v>
      </c>
      <c r="G472" s="6" t="s">
        <v>2905</v>
      </c>
      <c r="H472" s="6" t="s">
        <v>1134</v>
      </c>
      <c r="J472" s="1215" t="s">
        <v>509</v>
      </c>
      <c r="K472" s="1219" t="s">
        <v>3033</v>
      </c>
      <c r="L472" s="8">
        <v>116</v>
      </c>
      <c r="M472" s="8">
        <v>778</v>
      </c>
      <c r="N472" s="1169" t="s">
        <v>271</v>
      </c>
      <c r="P472" s="6" t="s">
        <v>3324</v>
      </c>
      <c r="Q472" s="1215" t="s">
        <v>253</v>
      </c>
      <c r="R472" s="1215" t="s">
        <v>255</v>
      </c>
      <c r="S472" s="1215" t="s">
        <v>534</v>
      </c>
      <c r="T472" s="1215" t="s">
        <v>533</v>
      </c>
      <c r="U472" s="6" t="s">
        <v>549</v>
      </c>
      <c r="V472" s="6" t="s">
        <v>31</v>
      </c>
      <c r="W472" s="6" t="s">
        <v>673</v>
      </c>
      <c r="X472" s="6" t="s">
        <v>169</v>
      </c>
    </row>
    <row r="473" spans="1:24" ht="15" customHeight="1" x14ac:dyDescent="0.3">
      <c r="A473" s="6" t="s">
        <v>533</v>
      </c>
      <c r="B473" s="6" t="s">
        <v>534</v>
      </c>
      <c r="C473" s="6" t="s">
        <v>35</v>
      </c>
      <c r="D473" s="1088" t="s">
        <v>567</v>
      </c>
      <c r="E473" s="6" t="s">
        <v>190</v>
      </c>
      <c r="F473" s="6" t="s">
        <v>800</v>
      </c>
      <c r="G473" s="6" t="s">
        <v>2183</v>
      </c>
      <c r="H473" s="6" t="s">
        <v>2184</v>
      </c>
      <c r="J473" s="1215" t="s">
        <v>509</v>
      </c>
      <c r="K473" s="1219" t="s">
        <v>3112</v>
      </c>
      <c r="L473" s="8">
        <v>2</v>
      </c>
      <c r="M473" s="8">
        <v>7</v>
      </c>
      <c r="N473" s="1169" t="s">
        <v>271</v>
      </c>
      <c r="P473" s="6" t="s">
        <v>3323</v>
      </c>
      <c r="Q473" s="1215" t="s">
        <v>253</v>
      </c>
      <c r="R473" s="1215" t="s">
        <v>255</v>
      </c>
      <c r="S473" s="1215" t="s">
        <v>534</v>
      </c>
      <c r="T473" s="1215" t="s">
        <v>533</v>
      </c>
      <c r="U473" s="6" t="s">
        <v>567</v>
      </c>
      <c r="V473" s="6" t="s">
        <v>35</v>
      </c>
      <c r="W473" s="6" t="s">
        <v>733</v>
      </c>
      <c r="X473" s="1215" t="s">
        <v>195</v>
      </c>
    </row>
    <row r="474" spans="1:24" ht="15" customHeight="1" x14ac:dyDescent="0.3">
      <c r="A474" s="6" t="s">
        <v>533</v>
      </c>
      <c r="B474" s="6" t="s">
        <v>534</v>
      </c>
      <c r="C474" s="6" t="s">
        <v>31</v>
      </c>
      <c r="D474" s="1088" t="s">
        <v>549</v>
      </c>
      <c r="E474" s="6" t="s">
        <v>169</v>
      </c>
      <c r="F474" s="6" t="s">
        <v>673</v>
      </c>
      <c r="G474" s="6" t="s">
        <v>2577</v>
      </c>
      <c r="H474" s="6" t="s">
        <v>1560</v>
      </c>
      <c r="J474" s="1215" t="s">
        <v>509</v>
      </c>
      <c r="K474" s="1219" t="s">
        <v>3110</v>
      </c>
      <c r="L474" s="8">
        <v>10</v>
      </c>
      <c r="M474" s="8">
        <v>85</v>
      </c>
      <c r="N474" s="1169" t="s">
        <v>271</v>
      </c>
      <c r="P474" s="6" t="s">
        <v>3324</v>
      </c>
      <c r="Q474" s="1215" t="s">
        <v>253</v>
      </c>
      <c r="R474" s="1215" t="s">
        <v>255</v>
      </c>
      <c r="S474" s="1215" t="s">
        <v>534</v>
      </c>
      <c r="T474" s="1215" t="s">
        <v>533</v>
      </c>
      <c r="U474" s="6" t="s">
        <v>549</v>
      </c>
      <c r="V474" s="6" t="s">
        <v>31</v>
      </c>
      <c r="W474" s="6" t="s">
        <v>673</v>
      </c>
      <c r="X474" s="6" t="s">
        <v>169</v>
      </c>
    </row>
    <row r="475" spans="1:24" ht="15" customHeight="1" x14ac:dyDescent="0.3">
      <c r="A475" s="6" t="s">
        <v>533</v>
      </c>
      <c r="B475" s="6" t="s">
        <v>534</v>
      </c>
      <c r="C475" s="6" t="s">
        <v>31</v>
      </c>
      <c r="D475" s="1088" t="s">
        <v>549</v>
      </c>
      <c r="E475" s="6" t="s">
        <v>169</v>
      </c>
      <c r="F475" s="6" t="s">
        <v>673</v>
      </c>
      <c r="G475" s="6" t="s">
        <v>2577</v>
      </c>
      <c r="H475" s="6" t="s">
        <v>1560</v>
      </c>
      <c r="J475" s="1215" t="s">
        <v>509</v>
      </c>
      <c r="K475" s="1219" t="s">
        <v>3033</v>
      </c>
      <c r="L475" s="8">
        <v>15</v>
      </c>
      <c r="M475" s="8">
        <v>130</v>
      </c>
      <c r="N475" s="6" t="s">
        <v>271</v>
      </c>
      <c r="P475" s="6" t="s">
        <v>3324</v>
      </c>
      <c r="Q475" s="1215" t="s">
        <v>253</v>
      </c>
      <c r="R475" s="1215" t="s">
        <v>255</v>
      </c>
      <c r="S475" s="1215" t="s">
        <v>534</v>
      </c>
      <c r="T475" s="1215" t="s">
        <v>533</v>
      </c>
      <c r="U475" s="6" t="s">
        <v>549</v>
      </c>
      <c r="V475" s="6" t="s">
        <v>31</v>
      </c>
      <c r="W475" s="6" t="s">
        <v>673</v>
      </c>
      <c r="X475" s="6" t="s">
        <v>169</v>
      </c>
    </row>
    <row r="476" spans="1:24" ht="15" customHeight="1" x14ac:dyDescent="0.3">
      <c r="A476" s="6" t="s">
        <v>533</v>
      </c>
      <c r="B476" s="6" t="s">
        <v>534</v>
      </c>
      <c r="C476" s="6" t="s">
        <v>31</v>
      </c>
      <c r="D476" s="1088" t="s">
        <v>549</v>
      </c>
      <c r="E476" s="6" t="s">
        <v>169</v>
      </c>
      <c r="F476" s="6" t="s">
        <v>673</v>
      </c>
      <c r="G476" s="6" t="s">
        <v>550</v>
      </c>
      <c r="H476" s="6" t="s">
        <v>3187</v>
      </c>
      <c r="I476" s="6" t="s">
        <v>3187</v>
      </c>
      <c r="J476" s="1215" t="s">
        <v>509</v>
      </c>
      <c r="K476" s="1219" t="s">
        <v>3033</v>
      </c>
      <c r="L476" s="8">
        <v>82</v>
      </c>
      <c r="M476" s="8">
        <v>567</v>
      </c>
      <c r="N476" s="1169" t="s">
        <v>271</v>
      </c>
      <c r="P476" s="6" t="s">
        <v>3324</v>
      </c>
      <c r="Q476" s="1215" t="s">
        <v>253</v>
      </c>
      <c r="R476" s="1215" t="s">
        <v>255</v>
      </c>
      <c r="S476" s="1215" t="s">
        <v>534</v>
      </c>
      <c r="T476" s="1215" t="s">
        <v>533</v>
      </c>
      <c r="U476" s="6" t="s">
        <v>549</v>
      </c>
      <c r="V476" s="6" t="s">
        <v>31</v>
      </c>
      <c r="W476" s="6" t="s">
        <v>673</v>
      </c>
      <c r="X476" s="6" t="s">
        <v>169</v>
      </c>
    </row>
    <row r="477" spans="1:24" ht="15" customHeight="1" x14ac:dyDescent="0.3">
      <c r="A477" s="6" t="s">
        <v>533</v>
      </c>
      <c r="B477" s="6" t="s">
        <v>534</v>
      </c>
      <c r="C477" s="6" t="s">
        <v>31</v>
      </c>
      <c r="D477" s="1088" t="s">
        <v>549</v>
      </c>
      <c r="E477" s="6" t="s">
        <v>169</v>
      </c>
      <c r="F477" s="6" t="s">
        <v>673</v>
      </c>
      <c r="G477" s="6" t="s">
        <v>550</v>
      </c>
      <c r="H477" s="6" t="s">
        <v>3189</v>
      </c>
      <c r="I477" s="6" t="s">
        <v>3189</v>
      </c>
      <c r="J477" s="1215" t="s">
        <v>509</v>
      </c>
      <c r="K477" s="1219" t="s">
        <v>3033</v>
      </c>
      <c r="L477" s="8">
        <v>74</v>
      </c>
      <c r="M477" s="8">
        <v>612</v>
      </c>
      <c r="N477" s="1169" t="s">
        <v>271</v>
      </c>
      <c r="P477" s="6" t="s">
        <v>3324</v>
      </c>
      <c r="Q477" s="1215" t="s">
        <v>253</v>
      </c>
      <c r="R477" s="1215" t="s">
        <v>255</v>
      </c>
      <c r="S477" s="1215" t="s">
        <v>534</v>
      </c>
      <c r="T477" s="1215" t="s">
        <v>533</v>
      </c>
      <c r="U477" s="6" t="s">
        <v>549</v>
      </c>
      <c r="V477" s="6" t="s">
        <v>31</v>
      </c>
      <c r="W477" s="6" t="s">
        <v>673</v>
      </c>
      <c r="X477" s="6" t="s">
        <v>169</v>
      </c>
    </row>
    <row r="478" spans="1:24" ht="15" customHeight="1" x14ac:dyDescent="0.3">
      <c r="A478" s="6" t="s">
        <v>533</v>
      </c>
      <c r="B478" s="6" t="s">
        <v>534</v>
      </c>
      <c r="C478" s="6" t="s">
        <v>31</v>
      </c>
      <c r="D478" s="1088" t="s">
        <v>549</v>
      </c>
      <c r="E478" s="6" t="s">
        <v>169</v>
      </c>
      <c r="F478" s="6" t="s">
        <v>673</v>
      </c>
      <c r="G478" s="6" t="s">
        <v>550</v>
      </c>
      <c r="H478" s="6" t="s">
        <v>3189</v>
      </c>
      <c r="I478" s="6" t="s">
        <v>3189</v>
      </c>
      <c r="J478" s="1215" t="s">
        <v>509</v>
      </c>
      <c r="K478" s="1219" t="s">
        <v>3109</v>
      </c>
      <c r="L478" s="8">
        <v>0</v>
      </c>
      <c r="M478" s="8">
        <v>10</v>
      </c>
      <c r="N478" s="1169" t="s">
        <v>271</v>
      </c>
      <c r="P478" s="6" t="s">
        <v>3324</v>
      </c>
      <c r="Q478" s="1215" t="s">
        <v>253</v>
      </c>
      <c r="R478" s="1215" t="s">
        <v>255</v>
      </c>
      <c r="S478" s="1215" t="s">
        <v>534</v>
      </c>
      <c r="T478" s="1215" t="s">
        <v>533</v>
      </c>
      <c r="U478" s="6" t="s">
        <v>549</v>
      </c>
      <c r="V478" s="6" t="s">
        <v>31</v>
      </c>
      <c r="W478" s="6" t="s">
        <v>673</v>
      </c>
      <c r="X478" s="6" t="s">
        <v>169</v>
      </c>
    </row>
    <row r="479" spans="1:24" ht="15" customHeight="1" x14ac:dyDescent="0.3">
      <c r="A479" s="6" t="s">
        <v>533</v>
      </c>
      <c r="B479" s="6" t="s">
        <v>534</v>
      </c>
      <c r="C479" s="6" t="s">
        <v>31</v>
      </c>
      <c r="D479" s="1088" t="s">
        <v>549</v>
      </c>
      <c r="E479" s="6" t="s">
        <v>171</v>
      </c>
      <c r="F479" s="6" t="s">
        <v>634</v>
      </c>
      <c r="G479" s="6" t="s">
        <v>917</v>
      </c>
      <c r="H479" s="6" t="s">
        <v>1921</v>
      </c>
      <c r="J479" s="1215" t="s">
        <v>509</v>
      </c>
      <c r="K479" s="1219" t="s">
        <v>3033</v>
      </c>
      <c r="L479" s="8">
        <v>23</v>
      </c>
      <c r="M479" s="8">
        <v>231</v>
      </c>
      <c r="N479" s="1169" t="s">
        <v>271</v>
      </c>
      <c r="P479" s="6" t="s">
        <v>3323</v>
      </c>
      <c r="Q479" s="1215" t="s">
        <v>253</v>
      </c>
      <c r="R479" s="1215" t="s">
        <v>255</v>
      </c>
      <c r="S479" s="1215" t="s">
        <v>534</v>
      </c>
      <c r="T479" s="1215" t="s">
        <v>533</v>
      </c>
      <c r="U479" s="6" t="s">
        <v>549</v>
      </c>
      <c r="V479" s="6" t="s">
        <v>31</v>
      </c>
      <c r="W479" s="6" t="s">
        <v>844</v>
      </c>
      <c r="X479" s="6" t="s">
        <v>166</v>
      </c>
    </row>
    <row r="480" spans="1:24" ht="15" customHeight="1" x14ac:dyDescent="0.3">
      <c r="A480" s="6" t="s">
        <v>533</v>
      </c>
      <c r="B480" s="6" t="s">
        <v>534</v>
      </c>
      <c r="C480" s="6" t="s">
        <v>31</v>
      </c>
      <c r="D480" s="1088" t="s">
        <v>549</v>
      </c>
      <c r="E480" s="6" t="s">
        <v>171</v>
      </c>
      <c r="F480" s="6" t="s">
        <v>634</v>
      </c>
      <c r="G480" s="6" t="s">
        <v>812</v>
      </c>
      <c r="H480" s="6" t="s">
        <v>1983</v>
      </c>
      <c r="J480" s="1215" t="s">
        <v>509</v>
      </c>
      <c r="K480" s="1219" t="s">
        <v>3111</v>
      </c>
      <c r="L480" s="8">
        <v>26</v>
      </c>
      <c r="M480" s="8">
        <v>147</v>
      </c>
      <c r="N480" s="1169" t="s">
        <v>274</v>
      </c>
      <c r="P480" s="6" t="s">
        <v>3324</v>
      </c>
      <c r="Q480" s="1215" t="s">
        <v>253</v>
      </c>
      <c r="R480" s="1215" t="s">
        <v>255</v>
      </c>
      <c r="S480" s="1215" t="s">
        <v>534</v>
      </c>
      <c r="T480" s="1215" t="s">
        <v>533</v>
      </c>
      <c r="U480" s="6" t="s">
        <v>549</v>
      </c>
      <c r="V480" s="6" t="s">
        <v>31</v>
      </c>
      <c r="W480" s="6" t="s">
        <v>634</v>
      </c>
      <c r="X480" s="6" t="s">
        <v>171</v>
      </c>
    </row>
    <row r="481" spans="1:24" ht="15" customHeight="1" x14ac:dyDescent="0.3">
      <c r="A481" s="6" t="s">
        <v>533</v>
      </c>
      <c r="B481" s="6" t="s">
        <v>534</v>
      </c>
      <c r="C481" s="6" t="s">
        <v>31</v>
      </c>
      <c r="D481" s="1088" t="s">
        <v>549</v>
      </c>
      <c r="E481" s="1169" t="s">
        <v>2797</v>
      </c>
      <c r="F481" s="6" t="s">
        <v>767</v>
      </c>
      <c r="G481" s="6" t="s">
        <v>1699</v>
      </c>
      <c r="H481" s="6" t="s">
        <v>1700</v>
      </c>
      <c r="J481" s="1215" t="s">
        <v>509</v>
      </c>
      <c r="K481" s="1219" t="s">
        <v>3033</v>
      </c>
      <c r="L481" s="8">
        <v>70</v>
      </c>
      <c r="M481" s="8">
        <v>488</v>
      </c>
      <c r="N481" s="1169" t="s">
        <v>271</v>
      </c>
      <c r="P481" s="6" t="s">
        <v>3323</v>
      </c>
      <c r="Q481" s="1215" t="s">
        <v>253</v>
      </c>
      <c r="R481" s="1215" t="s">
        <v>255</v>
      </c>
      <c r="S481" s="1215" t="s">
        <v>534</v>
      </c>
      <c r="T481" s="1215" t="s">
        <v>533</v>
      </c>
      <c r="U481" s="6" t="s">
        <v>549</v>
      </c>
      <c r="V481" s="6" t="s">
        <v>31</v>
      </c>
      <c r="W481" s="6" t="s">
        <v>844</v>
      </c>
      <c r="X481" s="6" t="s">
        <v>166</v>
      </c>
    </row>
    <row r="482" spans="1:24" ht="15" customHeight="1" x14ac:dyDescent="0.3">
      <c r="A482" s="6" t="s">
        <v>533</v>
      </c>
      <c r="B482" s="6" t="s">
        <v>534</v>
      </c>
      <c r="C482" s="6" t="s">
        <v>31</v>
      </c>
      <c r="D482" s="1088" t="s">
        <v>549</v>
      </c>
      <c r="E482" s="1169" t="s">
        <v>2797</v>
      </c>
      <c r="F482" s="6" t="s">
        <v>767</v>
      </c>
      <c r="G482" s="6" t="s">
        <v>1699</v>
      </c>
      <c r="H482" s="6" t="s">
        <v>1700</v>
      </c>
      <c r="J482" s="1215" t="s">
        <v>509</v>
      </c>
      <c r="K482" s="1219" t="s">
        <v>3110</v>
      </c>
      <c r="L482" s="8">
        <v>0</v>
      </c>
      <c r="M482" s="8">
        <v>7</v>
      </c>
      <c r="N482" s="1169" t="s">
        <v>271</v>
      </c>
      <c r="P482" s="6" t="s">
        <v>3324</v>
      </c>
      <c r="Q482" s="1215" t="s">
        <v>253</v>
      </c>
      <c r="R482" s="1215" t="s">
        <v>255</v>
      </c>
      <c r="S482" s="1215" t="s">
        <v>534</v>
      </c>
      <c r="T482" s="1215" t="s">
        <v>533</v>
      </c>
      <c r="U482" s="6" t="s">
        <v>549</v>
      </c>
      <c r="V482" s="6" t="s">
        <v>31</v>
      </c>
      <c r="W482" s="6" t="s">
        <v>767</v>
      </c>
      <c r="X482" s="6" t="s">
        <v>2797</v>
      </c>
    </row>
    <row r="483" spans="1:24" ht="15" customHeight="1" x14ac:dyDescent="0.3">
      <c r="A483" s="6" t="s">
        <v>533</v>
      </c>
      <c r="B483" s="6" t="s">
        <v>534</v>
      </c>
      <c r="C483" s="6" t="s">
        <v>31</v>
      </c>
      <c r="D483" s="1088" t="s">
        <v>549</v>
      </c>
      <c r="E483" s="1169" t="s">
        <v>2797</v>
      </c>
      <c r="F483" s="6" t="s">
        <v>767</v>
      </c>
      <c r="G483" s="6" t="s">
        <v>1699</v>
      </c>
      <c r="H483" s="6" t="s">
        <v>1700</v>
      </c>
      <c r="J483" s="1215" t="s">
        <v>509</v>
      </c>
      <c r="K483" s="1219" t="s">
        <v>3111</v>
      </c>
      <c r="L483" s="8">
        <v>39</v>
      </c>
      <c r="M483" s="8">
        <v>342</v>
      </c>
      <c r="N483" s="1169" t="s">
        <v>271</v>
      </c>
      <c r="P483" s="6" t="s">
        <v>3324</v>
      </c>
      <c r="Q483" s="1215" t="s">
        <v>253</v>
      </c>
      <c r="R483" s="1215" t="s">
        <v>255</v>
      </c>
      <c r="S483" s="1215" t="s">
        <v>534</v>
      </c>
      <c r="T483" s="1215" t="s">
        <v>533</v>
      </c>
      <c r="U483" s="6" t="s">
        <v>549</v>
      </c>
      <c r="V483" s="6" t="s">
        <v>31</v>
      </c>
      <c r="W483" s="6" t="s">
        <v>767</v>
      </c>
      <c r="X483" s="6" t="s">
        <v>2797</v>
      </c>
    </row>
    <row r="484" spans="1:24" ht="15" customHeight="1" x14ac:dyDescent="0.3">
      <c r="A484" s="6" t="s">
        <v>533</v>
      </c>
      <c r="B484" s="6" t="s">
        <v>534</v>
      </c>
      <c r="C484" s="6" t="s">
        <v>31</v>
      </c>
      <c r="D484" s="1088" t="s">
        <v>549</v>
      </c>
      <c r="E484" s="1169" t="s">
        <v>2797</v>
      </c>
      <c r="F484" s="6" t="s">
        <v>767</v>
      </c>
      <c r="G484" s="6" t="s">
        <v>1699</v>
      </c>
      <c r="H484" s="6" t="s">
        <v>1700</v>
      </c>
      <c r="J484" s="1215" t="s">
        <v>509</v>
      </c>
      <c r="K484" s="1219" t="s">
        <v>3112</v>
      </c>
      <c r="L484" s="8">
        <v>31</v>
      </c>
      <c r="M484" s="8">
        <v>217</v>
      </c>
      <c r="N484" s="1169" t="s">
        <v>271</v>
      </c>
      <c r="P484" s="6" t="s">
        <v>3324</v>
      </c>
      <c r="Q484" s="1215" t="s">
        <v>253</v>
      </c>
      <c r="R484" s="1215" t="s">
        <v>255</v>
      </c>
      <c r="S484" s="1215" t="s">
        <v>534</v>
      </c>
      <c r="T484" s="1215" t="s">
        <v>533</v>
      </c>
      <c r="U484" s="6" t="s">
        <v>549</v>
      </c>
      <c r="V484" s="6" t="s">
        <v>31</v>
      </c>
      <c r="W484" s="6" t="s">
        <v>767</v>
      </c>
      <c r="X484" s="6" t="s">
        <v>2797</v>
      </c>
    </row>
    <row r="485" spans="1:24" ht="15" customHeight="1" x14ac:dyDescent="0.3">
      <c r="A485" s="6" t="s">
        <v>533</v>
      </c>
      <c r="B485" s="6" t="s">
        <v>534</v>
      </c>
      <c r="C485" s="6" t="s">
        <v>31</v>
      </c>
      <c r="D485" s="1088" t="s">
        <v>549</v>
      </c>
      <c r="E485" s="1169" t="s">
        <v>171</v>
      </c>
      <c r="F485" s="6" t="s">
        <v>634</v>
      </c>
      <c r="G485" s="6" t="s">
        <v>1751</v>
      </c>
      <c r="H485" s="6" t="s">
        <v>860</v>
      </c>
      <c r="J485" s="1215" t="s">
        <v>509</v>
      </c>
      <c r="K485" s="1219" t="s">
        <v>3111</v>
      </c>
      <c r="L485" s="8">
        <v>6</v>
      </c>
      <c r="M485" s="8">
        <v>50</v>
      </c>
      <c r="N485" s="1169" t="s">
        <v>271</v>
      </c>
      <c r="P485" s="6" t="s">
        <v>3324</v>
      </c>
      <c r="Q485" s="1215" t="s">
        <v>253</v>
      </c>
      <c r="R485" s="1215" t="s">
        <v>255</v>
      </c>
      <c r="S485" s="1215" t="s">
        <v>534</v>
      </c>
      <c r="T485" s="1215" t="s">
        <v>533</v>
      </c>
      <c r="U485" s="6" t="s">
        <v>549</v>
      </c>
      <c r="V485" s="6" t="s">
        <v>31</v>
      </c>
      <c r="W485" s="6" t="s">
        <v>634</v>
      </c>
      <c r="X485" s="6" t="s">
        <v>171</v>
      </c>
    </row>
    <row r="486" spans="1:24" ht="15" customHeight="1" x14ac:dyDescent="0.3">
      <c r="A486" s="6" t="s">
        <v>533</v>
      </c>
      <c r="B486" s="6" t="s">
        <v>534</v>
      </c>
      <c r="C486" s="6" t="s">
        <v>31</v>
      </c>
      <c r="D486" s="1088" t="s">
        <v>549</v>
      </c>
      <c r="E486" s="6" t="s">
        <v>171</v>
      </c>
      <c r="F486" s="6" t="s">
        <v>634</v>
      </c>
      <c r="G486" s="6" t="s">
        <v>1046</v>
      </c>
      <c r="H486" s="6" t="s">
        <v>1215</v>
      </c>
      <c r="J486" s="1215" t="s">
        <v>509</v>
      </c>
      <c r="K486" s="1219" t="s">
        <v>3111</v>
      </c>
      <c r="L486" s="8">
        <v>12</v>
      </c>
      <c r="M486" s="8">
        <v>74</v>
      </c>
      <c r="N486" s="1169" t="s">
        <v>271</v>
      </c>
      <c r="P486" s="6" t="s">
        <v>3324</v>
      </c>
      <c r="Q486" s="1215" t="s">
        <v>253</v>
      </c>
      <c r="R486" s="1215" t="s">
        <v>255</v>
      </c>
      <c r="S486" s="1215" t="s">
        <v>534</v>
      </c>
      <c r="T486" s="1215" t="s">
        <v>533</v>
      </c>
      <c r="U486" s="6" t="s">
        <v>549</v>
      </c>
      <c r="V486" s="6" t="s">
        <v>31</v>
      </c>
      <c r="W486" s="6" t="s">
        <v>634</v>
      </c>
      <c r="X486" s="6" t="s">
        <v>171</v>
      </c>
    </row>
    <row r="487" spans="1:24" ht="15" customHeight="1" x14ac:dyDescent="0.3">
      <c r="A487" s="6" t="s">
        <v>533</v>
      </c>
      <c r="B487" s="6" t="s">
        <v>534</v>
      </c>
      <c r="C487" s="6" t="s">
        <v>31</v>
      </c>
      <c r="D487" s="1088" t="s">
        <v>549</v>
      </c>
      <c r="E487" s="6" t="s">
        <v>171</v>
      </c>
      <c r="F487" s="6" t="s">
        <v>634</v>
      </c>
      <c r="G487" s="6" t="s">
        <v>1755</v>
      </c>
      <c r="H487" s="6" t="s">
        <v>1387</v>
      </c>
      <c r="J487" s="1215" t="s">
        <v>509</v>
      </c>
      <c r="K487" s="1219" t="s">
        <v>3111</v>
      </c>
      <c r="L487" s="8">
        <v>1</v>
      </c>
      <c r="M487" s="8">
        <v>9</v>
      </c>
      <c r="N487" s="1169" t="s">
        <v>271</v>
      </c>
      <c r="P487" s="6" t="s">
        <v>3324</v>
      </c>
      <c r="Q487" s="1215" t="s">
        <v>253</v>
      </c>
      <c r="R487" s="1215" t="s">
        <v>255</v>
      </c>
      <c r="S487" s="1215" t="s">
        <v>534</v>
      </c>
      <c r="T487" s="1215" t="s">
        <v>533</v>
      </c>
      <c r="U487" s="6" t="s">
        <v>549</v>
      </c>
      <c r="V487" s="6" t="s">
        <v>31</v>
      </c>
      <c r="W487" s="6" t="s">
        <v>634</v>
      </c>
      <c r="X487" s="6" t="s">
        <v>171</v>
      </c>
    </row>
    <row r="488" spans="1:24" ht="15" customHeight="1" x14ac:dyDescent="0.3">
      <c r="A488" s="6" t="s">
        <v>533</v>
      </c>
      <c r="B488" s="6" t="s">
        <v>534</v>
      </c>
      <c r="C488" s="6" t="s">
        <v>31</v>
      </c>
      <c r="D488" s="1088" t="s">
        <v>549</v>
      </c>
      <c r="E488" s="6" t="s">
        <v>171</v>
      </c>
      <c r="F488" s="6" t="s">
        <v>634</v>
      </c>
      <c r="G488" s="6" t="s">
        <v>1802</v>
      </c>
      <c r="H488" s="6" t="s">
        <v>1027</v>
      </c>
      <c r="J488" s="1215" t="s">
        <v>509</v>
      </c>
      <c r="K488" s="1219" t="s">
        <v>3111</v>
      </c>
      <c r="L488" s="8">
        <v>15</v>
      </c>
      <c r="M488" s="8">
        <v>98</v>
      </c>
      <c r="N488" s="1169" t="s">
        <v>271</v>
      </c>
      <c r="P488" s="6" t="s">
        <v>3324</v>
      </c>
      <c r="Q488" s="1215" t="s">
        <v>253</v>
      </c>
      <c r="R488" s="1215" t="s">
        <v>255</v>
      </c>
      <c r="S488" s="1215" t="s">
        <v>534</v>
      </c>
      <c r="T488" s="1215" t="s">
        <v>533</v>
      </c>
      <c r="U488" s="6" t="s">
        <v>549</v>
      </c>
      <c r="V488" s="6" t="s">
        <v>31</v>
      </c>
      <c r="W488" s="6" t="s">
        <v>634</v>
      </c>
      <c r="X488" s="6" t="s">
        <v>171</v>
      </c>
    </row>
    <row r="489" spans="1:24" ht="15" customHeight="1" x14ac:dyDescent="0.3">
      <c r="A489" s="6" t="s">
        <v>533</v>
      </c>
      <c r="B489" s="6" t="s">
        <v>534</v>
      </c>
      <c r="C489" s="6" t="s">
        <v>31</v>
      </c>
      <c r="D489" s="1088" t="s">
        <v>549</v>
      </c>
      <c r="E489" s="6" t="s">
        <v>171</v>
      </c>
      <c r="F489" s="6" t="s">
        <v>634</v>
      </c>
      <c r="G489" s="6" t="s">
        <v>1022</v>
      </c>
      <c r="H489" s="6" t="s">
        <v>3245</v>
      </c>
      <c r="J489" s="1215" t="s">
        <v>509</v>
      </c>
      <c r="K489" s="1219" t="s">
        <v>3111</v>
      </c>
      <c r="L489" s="8">
        <v>3</v>
      </c>
      <c r="M489" s="8">
        <v>16</v>
      </c>
      <c r="N489" s="1169" t="s">
        <v>271</v>
      </c>
      <c r="P489" s="6" t="s">
        <v>3324</v>
      </c>
      <c r="Q489" s="1215" t="s">
        <v>253</v>
      </c>
      <c r="R489" s="1215" t="s">
        <v>255</v>
      </c>
      <c r="S489" s="1215" t="s">
        <v>534</v>
      </c>
      <c r="T489" s="1215" t="s">
        <v>533</v>
      </c>
      <c r="U489" s="6" t="s">
        <v>549</v>
      </c>
      <c r="V489" s="6" t="s">
        <v>31</v>
      </c>
      <c r="W489" s="6" t="s">
        <v>634</v>
      </c>
      <c r="X489" s="6" t="s">
        <v>171</v>
      </c>
    </row>
    <row r="490" spans="1:24" ht="15" customHeight="1" x14ac:dyDescent="0.3">
      <c r="A490" s="6" t="s">
        <v>533</v>
      </c>
      <c r="B490" s="6" t="s">
        <v>534</v>
      </c>
      <c r="C490" s="6" t="s">
        <v>31</v>
      </c>
      <c r="D490" s="1088" t="s">
        <v>549</v>
      </c>
      <c r="E490" s="6" t="s">
        <v>171</v>
      </c>
      <c r="F490" s="6" t="s">
        <v>634</v>
      </c>
      <c r="G490" s="6" t="s">
        <v>1218</v>
      </c>
      <c r="H490" s="6" t="s">
        <v>1344</v>
      </c>
      <c r="J490" s="1215" t="s">
        <v>509</v>
      </c>
      <c r="K490" s="1219" t="s">
        <v>3033</v>
      </c>
      <c r="L490" s="8">
        <v>14</v>
      </c>
      <c r="M490" s="8">
        <v>89</v>
      </c>
      <c r="N490" s="1169" t="s">
        <v>271</v>
      </c>
      <c r="P490" s="6" t="s">
        <v>3323</v>
      </c>
      <c r="Q490" s="1215" t="s">
        <v>253</v>
      </c>
      <c r="R490" s="1215" t="s">
        <v>255</v>
      </c>
      <c r="S490" s="1215" t="s">
        <v>534</v>
      </c>
      <c r="T490" s="1215" t="s">
        <v>533</v>
      </c>
      <c r="U490" s="6" t="s">
        <v>549</v>
      </c>
      <c r="V490" s="6" t="s">
        <v>31</v>
      </c>
      <c r="W490" s="6" t="s">
        <v>844</v>
      </c>
      <c r="X490" s="6" t="s">
        <v>166</v>
      </c>
    </row>
    <row r="491" spans="1:24" ht="15" customHeight="1" x14ac:dyDescent="0.3">
      <c r="A491" s="6" t="s">
        <v>533</v>
      </c>
      <c r="B491" s="6" t="s">
        <v>534</v>
      </c>
      <c r="C491" s="6" t="s">
        <v>31</v>
      </c>
      <c r="D491" s="1088" t="s">
        <v>549</v>
      </c>
      <c r="E491" s="6" t="s">
        <v>171</v>
      </c>
      <c r="F491" s="6" t="s">
        <v>634</v>
      </c>
      <c r="G491" s="6" t="s">
        <v>1218</v>
      </c>
      <c r="H491" s="6" t="s">
        <v>1344</v>
      </c>
      <c r="J491" s="1215" t="s">
        <v>509</v>
      </c>
      <c r="K491" s="1219" t="s">
        <v>3109</v>
      </c>
      <c r="L491" s="8">
        <v>0</v>
      </c>
      <c r="M491" s="8">
        <v>5</v>
      </c>
      <c r="N491" s="1169" t="s">
        <v>271</v>
      </c>
      <c r="P491" s="6" t="s">
        <v>3323</v>
      </c>
      <c r="Q491" s="1215" t="s">
        <v>253</v>
      </c>
      <c r="R491" s="1215" t="s">
        <v>255</v>
      </c>
      <c r="S491" s="1215" t="s">
        <v>534</v>
      </c>
      <c r="T491" s="1215" t="s">
        <v>533</v>
      </c>
      <c r="U491" s="6" t="s">
        <v>549</v>
      </c>
      <c r="V491" s="6" t="s">
        <v>31</v>
      </c>
      <c r="X491" s="6" t="s">
        <v>2797</v>
      </c>
    </row>
    <row r="492" spans="1:24" ht="15" customHeight="1" x14ac:dyDescent="0.3">
      <c r="A492" s="6" t="s">
        <v>533</v>
      </c>
      <c r="B492" s="6" t="s">
        <v>534</v>
      </c>
      <c r="C492" s="6" t="s">
        <v>31</v>
      </c>
      <c r="D492" s="1088" t="s">
        <v>549</v>
      </c>
      <c r="E492" s="6" t="s">
        <v>171</v>
      </c>
      <c r="F492" s="6" t="s">
        <v>634</v>
      </c>
      <c r="G492" s="6" t="s">
        <v>2856</v>
      </c>
      <c r="H492" s="6" t="s">
        <v>1340</v>
      </c>
      <c r="J492" s="1215" t="s">
        <v>509</v>
      </c>
      <c r="K492" s="1219" t="s">
        <v>3033</v>
      </c>
      <c r="L492" s="8">
        <v>14</v>
      </c>
      <c r="M492" s="8">
        <v>84</v>
      </c>
      <c r="N492" s="1169" t="s">
        <v>271</v>
      </c>
      <c r="P492" s="6" t="s">
        <v>3323</v>
      </c>
      <c r="Q492" s="1215" t="s">
        <v>253</v>
      </c>
      <c r="R492" s="1215" t="s">
        <v>255</v>
      </c>
      <c r="S492" s="1215" t="s">
        <v>534</v>
      </c>
      <c r="T492" s="1215" t="s">
        <v>533</v>
      </c>
      <c r="U492" s="6" t="s">
        <v>549</v>
      </c>
      <c r="V492" s="6" t="s">
        <v>31</v>
      </c>
      <c r="W492" s="6" t="s">
        <v>844</v>
      </c>
      <c r="X492" s="6" t="s">
        <v>166</v>
      </c>
    </row>
    <row r="493" spans="1:24" ht="15" customHeight="1" x14ac:dyDescent="0.3">
      <c r="A493" s="6" t="s">
        <v>533</v>
      </c>
      <c r="B493" s="6" t="s">
        <v>534</v>
      </c>
      <c r="C493" s="6" t="s">
        <v>31</v>
      </c>
      <c r="D493" s="1088" t="s">
        <v>549</v>
      </c>
      <c r="E493" s="6" t="s">
        <v>171</v>
      </c>
      <c r="F493" s="6" t="s">
        <v>634</v>
      </c>
      <c r="G493" s="6" t="s">
        <v>2856</v>
      </c>
      <c r="H493" s="6" t="s">
        <v>1340</v>
      </c>
      <c r="J493" s="1215" t="s">
        <v>509</v>
      </c>
      <c r="K493" s="1219" t="s">
        <v>3112</v>
      </c>
      <c r="L493" s="8">
        <v>1</v>
      </c>
      <c r="M493" s="8">
        <v>3</v>
      </c>
      <c r="N493" s="1169" t="s">
        <v>272</v>
      </c>
      <c r="P493" s="6" t="s">
        <v>3324</v>
      </c>
      <c r="Q493" s="1215" t="s">
        <v>253</v>
      </c>
      <c r="R493" s="1215" t="s">
        <v>255</v>
      </c>
      <c r="S493" s="1215" t="s">
        <v>534</v>
      </c>
      <c r="T493" s="1215" t="s">
        <v>533</v>
      </c>
      <c r="U493" s="6" t="s">
        <v>549</v>
      </c>
      <c r="V493" s="6" t="s">
        <v>31</v>
      </c>
      <c r="W493" s="6" t="s">
        <v>634</v>
      </c>
      <c r="X493" s="6" t="s">
        <v>171</v>
      </c>
    </row>
    <row r="494" spans="1:24" ht="15" customHeight="1" x14ac:dyDescent="0.3">
      <c r="A494" s="6" t="s">
        <v>533</v>
      </c>
      <c r="B494" s="6" t="s">
        <v>534</v>
      </c>
      <c r="C494" s="6" t="s">
        <v>31</v>
      </c>
      <c r="D494" s="1088" t="s">
        <v>549</v>
      </c>
      <c r="E494" s="6" t="s">
        <v>171</v>
      </c>
      <c r="F494" s="6" t="s">
        <v>634</v>
      </c>
      <c r="G494" s="6" t="s">
        <v>1896</v>
      </c>
      <c r="H494" s="6" t="s">
        <v>1338</v>
      </c>
      <c r="J494" s="1215" t="s">
        <v>509</v>
      </c>
      <c r="K494" s="1219" t="s">
        <v>3033</v>
      </c>
      <c r="L494" s="8">
        <v>6</v>
      </c>
      <c r="M494" s="8">
        <v>28</v>
      </c>
      <c r="N494" s="1169" t="s">
        <v>271</v>
      </c>
      <c r="P494" s="6" t="s">
        <v>3323</v>
      </c>
      <c r="Q494" s="1215" t="s">
        <v>253</v>
      </c>
      <c r="R494" s="1215" t="s">
        <v>255</v>
      </c>
      <c r="S494" s="1215" t="s">
        <v>534</v>
      </c>
      <c r="T494" s="1215" t="s">
        <v>533</v>
      </c>
      <c r="U494" s="6" t="s">
        <v>549</v>
      </c>
      <c r="V494" s="6" t="s">
        <v>31</v>
      </c>
      <c r="W494" s="6" t="s">
        <v>844</v>
      </c>
      <c r="X494" s="6" t="s">
        <v>166</v>
      </c>
    </row>
    <row r="495" spans="1:24" ht="15" customHeight="1" x14ac:dyDescent="0.3">
      <c r="A495" s="6" t="s">
        <v>533</v>
      </c>
      <c r="B495" s="6" t="s">
        <v>534</v>
      </c>
      <c r="C495" s="6" t="s">
        <v>31</v>
      </c>
      <c r="D495" s="1088" t="s">
        <v>549</v>
      </c>
      <c r="E495" s="6" t="s">
        <v>171</v>
      </c>
      <c r="F495" s="6" t="s">
        <v>634</v>
      </c>
      <c r="G495" s="6" t="s">
        <v>1896</v>
      </c>
      <c r="H495" s="6" t="s">
        <v>1338</v>
      </c>
      <c r="J495" s="1215" t="s">
        <v>509</v>
      </c>
      <c r="K495" s="1219" t="s">
        <v>3111</v>
      </c>
      <c r="L495" s="8">
        <v>1</v>
      </c>
      <c r="M495" s="8">
        <v>2</v>
      </c>
      <c r="N495" s="1169" t="s">
        <v>271</v>
      </c>
      <c r="P495" s="6" t="s">
        <v>3323</v>
      </c>
      <c r="Q495" s="1215" t="s">
        <v>253</v>
      </c>
      <c r="R495" s="1215" t="s">
        <v>255</v>
      </c>
      <c r="S495" s="1215" t="s">
        <v>534</v>
      </c>
      <c r="T495" s="1215" t="s">
        <v>533</v>
      </c>
      <c r="U495" s="6" t="s">
        <v>549</v>
      </c>
      <c r="V495" s="6" t="s">
        <v>31</v>
      </c>
      <c r="W495" s="6" t="s">
        <v>881</v>
      </c>
      <c r="X495" s="6" t="s">
        <v>165</v>
      </c>
    </row>
    <row r="496" spans="1:24" ht="15" customHeight="1" x14ac:dyDescent="0.3">
      <c r="A496" s="6" t="s">
        <v>533</v>
      </c>
      <c r="B496" s="6" t="s">
        <v>534</v>
      </c>
      <c r="C496" s="6" t="s">
        <v>31</v>
      </c>
      <c r="D496" s="1088" t="s">
        <v>549</v>
      </c>
      <c r="E496" s="6" t="s">
        <v>164</v>
      </c>
      <c r="F496" s="6" t="s">
        <v>748</v>
      </c>
      <c r="G496" s="6" t="s">
        <v>806</v>
      </c>
      <c r="H496" s="6" t="s">
        <v>807</v>
      </c>
      <c r="J496" s="1215" t="s">
        <v>509</v>
      </c>
      <c r="K496" s="1219" t="s">
        <v>3033</v>
      </c>
      <c r="L496" s="8">
        <v>1</v>
      </c>
      <c r="M496" s="8">
        <v>4</v>
      </c>
      <c r="N496" s="1169" t="s">
        <v>271</v>
      </c>
      <c r="P496" s="6" t="s">
        <v>3324</v>
      </c>
      <c r="Q496" s="1215" t="s">
        <v>253</v>
      </c>
      <c r="R496" s="1215" t="s">
        <v>255</v>
      </c>
      <c r="S496" s="1215" t="s">
        <v>534</v>
      </c>
      <c r="T496" s="1215" t="s">
        <v>533</v>
      </c>
      <c r="U496" s="6" t="s">
        <v>549</v>
      </c>
      <c r="V496" s="6" t="s">
        <v>31</v>
      </c>
      <c r="W496" s="6" t="s">
        <v>748</v>
      </c>
      <c r="X496" s="6" t="s">
        <v>164</v>
      </c>
    </row>
    <row r="497" spans="1:24" ht="15" customHeight="1" x14ac:dyDescent="0.3">
      <c r="A497" s="6" t="s">
        <v>533</v>
      </c>
      <c r="B497" s="6" t="s">
        <v>534</v>
      </c>
      <c r="C497" s="6" t="s">
        <v>34</v>
      </c>
      <c r="D497" s="1088" t="s">
        <v>539</v>
      </c>
      <c r="E497" s="6" t="s">
        <v>188</v>
      </c>
      <c r="F497" s="6" t="s">
        <v>546</v>
      </c>
      <c r="G497" s="6" t="s">
        <v>1310</v>
      </c>
      <c r="H497" s="6" t="s">
        <v>1355</v>
      </c>
      <c r="J497" s="1215" t="s">
        <v>509</v>
      </c>
      <c r="K497" s="1219" t="s">
        <v>3109</v>
      </c>
      <c r="L497" s="8">
        <v>29</v>
      </c>
      <c r="M497" s="8">
        <v>200</v>
      </c>
      <c r="N497" s="1169" t="s">
        <v>271</v>
      </c>
      <c r="P497" s="6" t="s">
        <v>3324</v>
      </c>
      <c r="Q497" s="1215" t="s">
        <v>253</v>
      </c>
      <c r="R497" s="1215" t="s">
        <v>255</v>
      </c>
      <c r="S497" s="1215" t="s">
        <v>534</v>
      </c>
      <c r="T497" s="1215" t="s">
        <v>533</v>
      </c>
      <c r="U497" s="6" t="s">
        <v>539</v>
      </c>
      <c r="V497" s="6" t="s">
        <v>34</v>
      </c>
      <c r="W497" s="6" t="s">
        <v>546</v>
      </c>
      <c r="X497" s="6" t="s">
        <v>188</v>
      </c>
    </row>
    <row r="498" spans="1:24" ht="15" customHeight="1" x14ac:dyDescent="0.3">
      <c r="A498" s="6" t="s">
        <v>533</v>
      </c>
      <c r="B498" s="6" t="s">
        <v>534</v>
      </c>
      <c r="C498" s="6" t="s">
        <v>34</v>
      </c>
      <c r="D498" s="1088" t="s">
        <v>539</v>
      </c>
      <c r="E498" s="6" t="s">
        <v>188</v>
      </c>
      <c r="F498" s="6" t="s">
        <v>546</v>
      </c>
      <c r="G498" s="6" t="s">
        <v>1310</v>
      </c>
      <c r="H498" s="6" t="s">
        <v>1355</v>
      </c>
      <c r="J498" s="1215" t="s">
        <v>509</v>
      </c>
      <c r="K498" s="1219" t="s">
        <v>3110</v>
      </c>
      <c r="L498" s="8">
        <v>63</v>
      </c>
      <c r="M498" s="8">
        <v>484</v>
      </c>
      <c r="N498" s="1169" t="s">
        <v>271</v>
      </c>
      <c r="P498" s="6" t="s">
        <v>3324</v>
      </c>
      <c r="Q498" s="1215" t="s">
        <v>253</v>
      </c>
      <c r="R498" s="1215" t="s">
        <v>255</v>
      </c>
      <c r="S498" s="1215" t="s">
        <v>534</v>
      </c>
      <c r="T498" s="1215" t="s">
        <v>533</v>
      </c>
      <c r="U498" s="6" t="s">
        <v>539</v>
      </c>
      <c r="V498" s="6" t="s">
        <v>34</v>
      </c>
      <c r="W498" s="6" t="s">
        <v>546</v>
      </c>
      <c r="X498" s="6" t="s">
        <v>188</v>
      </c>
    </row>
    <row r="499" spans="1:24" ht="15" customHeight="1" x14ac:dyDescent="0.3">
      <c r="A499" s="6" t="s">
        <v>533</v>
      </c>
      <c r="B499" s="6" t="s">
        <v>534</v>
      </c>
      <c r="C499" s="6" t="s">
        <v>34</v>
      </c>
      <c r="D499" s="6" t="s">
        <v>539</v>
      </c>
      <c r="E499" s="6" t="s">
        <v>188</v>
      </c>
      <c r="F499" s="6" t="s">
        <v>546</v>
      </c>
      <c r="G499" s="6" t="s">
        <v>1310</v>
      </c>
      <c r="H499" s="6" t="s">
        <v>1355</v>
      </c>
      <c r="J499" s="1215" t="s">
        <v>509</v>
      </c>
      <c r="K499" s="1219" t="s">
        <v>3111</v>
      </c>
      <c r="L499" s="8">
        <v>3</v>
      </c>
      <c r="M499" s="8">
        <v>13</v>
      </c>
      <c r="N499" s="1169" t="s">
        <v>271</v>
      </c>
      <c r="O499" s="1088"/>
      <c r="P499" s="6" t="s">
        <v>3324</v>
      </c>
      <c r="Q499" s="1215" t="s">
        <v>253</v>
      </c>
      <c r="R499" s="1215" t="s">
        <v>255</v>
      </c>
      <c r="S499" s="1215" t="s">
        <v>534</v>
      </c>
      <c r="T499" s="1215" t="s">
        <v>533</v>
      </c>
      <c r="U499" s="6" t="s">
        <v>539</v>
      </c>
      <c r="V499" s="6" t="s">
        <v>34</v>
      </c>
      <c r="W499" s="6" t="s">
        <v>546</v>
      </c>
      <c r="X499" s="6" t="s">
        <v>188</v>
      </c>
    </row>
    <row r="500" spans="1:24" ht="15" customHeight="1" x14ac:dyDescent="0.3">
      <c r="A500" s="6" t="s">
        <v>533</v>
      </c>
      <c r="B500" s="6" t="s">
        <v>534</v>
      </c>
      <c r="C500" s="6" t="s">
        <v>34</v>
      </c>
      <c r="D500" s="1088" t="s">
        <v>539</v>
      </c>
      <c r="E500" s="6" t="s">
        <v>188</v>
      </c>
      <c r="F500" s="6" t="s">
        <v>546</v>
      </c>
      <c r="G500" s="6" t="s">
        <v>1310</v>
      </c>
      <c r="H500" s="6" t="s">
        <v>1355</v>
      </c>
      <c r="J500" s="1215" t="s">
        <v>509</v>
      </c>
      <c r="K500" s="1219" t="s">
        <v>3112</v>
      </c>
      <c r="L500" s="8">
        <v>5</v>
      </c>
      <c r="M500" s="8">
        <v>28</v>
      </c>
      <c r="N500" s="1169" t="s">
        <v>271</v>
      </c>
      <c r="P500" s="6" t="s">
        <v>3324</v>
      </c>
      <c r="Q500" s="1215" t="s">
        <v>253</v>
      </c>
      <c r="R500" s="1215" t="s">
        <v>255</v>
      </c>
      <c r="S500" s="1215" t="s">
        <v>534</v>
      </c>
      <c r="T500" s="1215" t="s">
        <v>533</v>
      </c>
      <c r="U500" s="6" t="s">
        <v>539</v>
      </c>
      <c r="V500" s="6" t="s">
        <v>34</v>
      </c>
      <c r="W500" s="6" t="s">
        <v>546</v>
      </c>
      <c r="X500" s="6" t="s">
        <v>188</v>
      </c>
    </row>
    <row r="501" spans="1:24" ht="15" customHeight="1" x14ac:dyDescent="0.3">
      <c r="A501" s="6" t="s">
        <v>533</v>
      </c>
      <c r="B501" s="6" t="s">
        <v>534</v>
      </c>
      <c r="C501" s="6" t="s">
        <v>34</v>
      </c>
      <c r="D501" s="1088" t="s">
        <v>539</v>
      </c>
      <c r="E501" s="6" t="s">
        <v>188</v>
      </c>
      <c r="F501" s="6" t="s">
        <v>546</v>
      </c>
      <c r="G501" s="6" t="s">
        <v>1626</v>
      </c>
      <c r="H501" s="6" t="s">
        <v>2117</v>
      </c>
      <c r="J501" s="1215" t="s">
        <v>509</v>
      </c>
      <c r="K501" s="1219" t="s">
        <v>3110</v>
      </c>
      <c r="L501" s="8">
        <v>29</v>
      </c>
      <c r="M501" s="8">
        <v>114</v>
      </c>
      <c r="N501" s="1169" t="s">
        <v>271</v>
      </c>
      <c r="P501" s="6" t="s">
        <v>3323</v>
      </c>
      <c r="Q501" s="1215" t="s">
        <v>253</v>
      </c>
      <c r="R501" s="1215" t="s">
        <v>255</v>
      </c>
      <c r="S501" s="1215" t="s">
        <v>534</v>
      </c>
      <c r="T501" s="1215" t="s">
        <v>533</v>
      </c>
      <c r="U501" s="6" t="s">
        <v>539</v>
      </c>
      <c r="V501" s="6" t="s">
        <v>34</v>
      </c>
      <c r="W501" s="6" t="s">
        <v>951</v>
      </c>
      <c r="X501" s="6" t="s">
        <v>187</v>
      </c>
    </row>
    <row r="502" spans="1:24" ht="15" customHeight="1" x14ac:dyDescent="0.3">
      <c r="A502" s="6" t="s">
        <v>533</v>
      </c>
      <c r="B502" s="6" t="s">
        <v>534</v>
      </c>
      <c r="C502" s="6" t="s">
        <v>34</v>
      </c>
      <c r="D502" s="1088" t="s">
        <v>539</v>
      </c>
      <c r="E502" s="6" t="s">
        <v>188</v>
      </c>
      <c r="F502" s="6" t="s">
        <v>546</v>
      </c>
      <c r="G502" s="6" t="s">
        <v>1626</v>
      </c>
      <c r="H502" s="6" t="s">
        <v>2117</v>
      </c>
      <c r="J502" s="1215" t="s">
        <v>509</v>
      </c>
      <c r="K502" s="1219" t="s">
        <v>3112</v>
      </c>
      <c r="L502" s="8">
        <v>1</v>
      </c>
      <c r="M502" s="8">
        <v>4</v>
      </c>
      <c r="N502" s="1169" t="s">
        <v>271</v>
      </c>
      <c r="P502" s="6" t="s">
        <v>3324</v>
      </c>
      <c r="Q502" s="1215" t="s">
        <v>253</v>
      </c>
      <c r="R502" s="1215" t="s">
        <v>255</v>
      </c>
      <c r="S502" s="1215" t="s">
        <v>534</v>
      </c>
      <c r="T502" s="1215" t="s">
        <v>533</v>
      </c>
      <c r="U502" s="6" t="s">
        <v>539</v>
      </c>
      <c r="V502" s="6" t="s">
        <v>34</v>
      </c>
      <c r="W502" s="6" t="s">
        <v>546</v>
      </c>
      <c r="X502" s="6" t="s">
        <v>188</v>
      </c>
    </row>
    <row r="503" spans="1:24" ht="15" customHeight="1" x14ac:dyDescent="0.3">
      <c r="A503" s="6" t="s">
        <v>533</v>
      </c>
      <c r="B503" s="6" t="s">
        <v>534</v>
      </c>
      <c r="C503" s="6" t="s">
        <v>34</v>
      </c>
      <c r="D503" s="1088" t="s">
        <v>539</v>
      </c>
      <c r="E503" s="6" t="s">
        <v>188</v>
      </c>
      <c r="F503" s="6" t="s">
        <v>546</v>
      </c>
      <c r="G503" s="6" t="s">
        <v>1626</v>
      </c>
      <c r="H503" s="6" t="s">
        <v>2117</v>
      </c>
      <c r="J503" s="1215" t="s">
        <v>509</v>
      </c>
      <c r="K503" s="1219" t="s">
        <v>3111</v>
      </c>
      <c r="L503" s="8">
        <v>14</v>
      </c>
      <c r="M503" s="8">
        <v>87</v>
      </c>
      <c r="N503" s="1169" t="s">
        <v>271</v>
      </c>
      <c r="P503" s="6" t="s">
        <v>3324</v>
      </c>
      <c r="Q503" s="1215" t="s">
        <v>253</v>
      </c>
      <c r="R503" s="1215" t="s">
        <v>255</v>
      </c>
      <c r="S503" s="1215" t="s">
        <v>534</v>
      </c>
      <c r="T503" s="1215" t="s">
        <v>533</v>
      </c>
      <c r="U503" s="6" t="s">
        <v>539</v>
      </c>
      <c r="V503" s="6" t="s">
        <v>34</v>
      </c>
      <c r="W503" s="6" t="s">
        <v>546</v>
      </c>
      <c r="X503" s="6" t="s">
        <v>188</v>
      </c>
    </row>
    <row r="504" spans="1:24" ht="15" customHeight="1" x14ac:dyDescent="0.3">
      <c r="A504" s="6" t="s">
        <v>533</v>
      </c>
      <c r="B504" s="6" t="s">
        <v>534</v>
      </c>
      <c r="C504" s="6" t="s">
        <v>34</v>
      </c>
      <c r="D504" s="1088" t="s">
        <v>539</v>
      </c>
      <c r="E504" s="6" t="s">
        <v>188</v>
      </c>
      <c r="F504" s="6" t="s">
        <v>546</v>
      </c>
      <c r="G504" s="6" t="s">
        <v>2666</v>
      </c>
      <c r="H504" s="6" t="s">
        <v>3256</v>
      </c>
      <c r="J504" s="1215" t="s">
        <v>509</v>
      </c>
      <c r="K504" s="1219" t="s">
        <v>3110</v>
      </c>
      <c r="L504" s="8">
        <v>6</v>
      </c>
      <c r="M504" s="8">
        <v>39</v>
      </c>
      <c r="N504" s="1169" t="s">
        <v>271</v>
      </c>
      <c r="P504" s="6" t="s">
        <v>3324</v>
      </c>
      <c r="Q504" s="1215" t="s">
        <v>253</v>
      </c>
      <c r="R504" s="1215" t="s">
        <v>255</v>
      </c>
      <c r="S504" s="1215" t="s">
        <v>534</v>
      </c>
      <c r="T504" s="1215" t="s">
        <v>533</v>
      </c>
      <c r="U504" s="6" t="s">
        <v>539</v>
      </c>
      <c r="V504" s="6" t="s">
        <v>34</v>
      </c>
      <c r="W504" s="6" t="s">
        <v>546</v>
      </c>
      <c r="X504" s="6" t="s">
        <v>188</v>
      </c>
    </row>
    <row r="505" spans="1:24" ht="15" customHeight="1" x14ac:dyDescent="0.3">
      <c r="A505" s="6" t="s">
        <v>533</v>
      </c>
      <c r="B505" s="6" t="s">
        <v>534</v>
      </c>
      <c r="C505" s="6" t="s">
        <v>34</v>
      </c>
      <c r="D505" s="1088" t="s">
        <v>539</v>
      </c>
      <c r="E505" s="6" t="s">
        <v>188</v>
      </c>
      <c r="F505" s="6" t="s">
        <v>546</v>
      </c>
      <c r="G505" s="6" t="s">
        <v>2666</v>
      </c>
      <c r="H505" s="6" t="s">
        <v>3256</v>
      </c>
      <c r="J505" s="1215" t="s">
        <v>509</v>
      </c>
      <c r="K505" s="1219" t="s">
        <v>3111</v>
      </c>
      <c r="L505" s="8">
        <v>0</v>
      </c>
      <c r="M505" s="8">
        <v>15</v>
      </c>
      <c r="N505" s="1169" t="s">
        <v>271</v>
      </c>
      <c r="P505" s="6" t="s">
        <v>3324</v>
      </c>
      <c r="Q505" s="1215" t="s">
        <v>253</v>
      </c>
      <c r="R505" s="1215" t="s">
        <v>255</v>
      </c>
      <c r="S505" s="1215" t="s">
        <v>534</v>
      </c>
      <c r="T505" s="1215" t="s">
        <v>533</v>
      </c>
      <c r="U505" s="6" t="s">
        <v>539</v>
      </c>
      <c r="V505" s="6" t="s">
        <v>34</v>
      </c>
      <c r="W505" s="6" t="s">
        <v>546</v>
      </c>
      <c r="X505" s="6" t="s">
        <v>188</v>
      </c>
    </row>
    <row r="506" spans="1:24" ht="15" customHeight="1" x14ac:dyDescent="0.3">
      <c r="A506" s="6" t="s">
        <v>533</v>
      </c>
      <c r="B506" s="6" t="s">
        <v>534</v>
      </c>
      <c r="C506" s="6" t="s">
        <v>34</v>
      </c>
      <c r="D506" s="1088" t="s">
        <v>539</v>
      </c>
      <c r="E506" s="6" t="s">
        <v>188</v>
      </c>
      <c r="F506" s="6" t="s">
        <v>546</v>
      </c>
      <c r="G506" s="6" t="s">
        <v>2666</v>
      </c>
      <c r="H506" s="6" t="s">
        <v>3256</v>
      </c>
      <c r="J506" s="1215" t="s">
        <v>509</v>
      </c>
      <c r="K506" s="1219" t="s">
        <v>3112</v>
      </c>
      <c r="L506" s="8">
        <v>0</v>
      </c>
      <c r="M506" s="8">
        <v>10</v>
      </c>
      <c r="N506" s="1169" t="s">
        <v>275</v>
      </c>
      <c r="O506" s="6" t="s">
        <v>3332</v>
      </c>
      <c r="P506" s="6" t="s">
        <v>3324</v>
      </c>
      <c r="Q506" s="1215" t="s">
        <v>253</v>
      </c>
      <c r="R506" s="1215" t="s">
        <v>255</v>
      </c>
      <c r="S506" s="1215" t="s">
        <v>534</v>
      </c>
      <c r="T506" s="1215" t="s">
        <v>533</v>
      </c>
      <c r="U506" s="6" t="s">
        <v>539</v>
      </c>
      <c r="V506" s="6" t="s">
        <v>34</v>
      </c>
      <c r="W506" s="6" t="s">
        <v>546</v>
      </c>
      <c r="X506" s="6" t="s">
        <v>188</v>
      </c>
    </row>
    <row r="507" spans="1:24" ht="15" customHeight="1" x14ac:dyDescent="0.3">
      <c r="A507" s="6" t="s">
        <v>533</v>
      </c>
      <c r="B507" s="6" t="s">
        <v>534</v>
      </c>
      <c r="C507" s="6" t="s">
        <v>34</v>
      </c>
      <c r="D507" s="1088" t="s">
        <v>539</v>
      </c>
      <c r="E507" s="6" t="s">
        <v>188</v>
      </c>
      <c r="F507" s="6" t="s">
        <v>546</v>
      </c>
      <c r="G507" s="6" t="s">
        <v>2666</v>
      </c>
      <c r="H507" s="6" t="s">
        <v>3256</v>
      </c>
      <c r="J507" s="1215" t="s">
        <v>509</v>
      </c>
      <c r="K507" s="1219" t="s">
        <v>3109</v>
      </c>
      <c r="L507" s="8">
        <v>25</v>
      </c>
      <c r="M507" s="8">
        <v>260</v>
      </c>
      <c r="N507" s="1169" t="s">
        <v>271</v>
      </c>
      <c r="P507" s="6" t="s">
        <v>3324</v>
      </c>
      <c r="Q507" s="1215" t="s">
        <v>253</v>
      </c>
      <c r="R507" s="1215" t="s">
        <v>255</v>
      </c>
      <c r="S507" s="1215" t="s">
        <v>534</v>
      </c>
      <c r="T507" s="1215" t="s">
        <v>533</v>
      </c>
      <c r="U507" s="6" t="s">
        <v>539</v>
      </c>
      <c r="V507" s="6" t="s">
        <v>34</v>
      </c>
      <c r="W507" s="6" t="s">
        <v>546</v>
      </c>
      <c r="X507" s="6" t="s">
        <v>188</v>
      </c>
    </row>
    <row r="508" spans="1:24" ht="15" customHeight="1" x14ac:dyDescent="0.3">
      <c r="A508" s="6" t="s">
        <v>533</v>
      </c>
      <c r="B508" s="6" t="s">
        <v>534</v>
      </c>
      <c r="C508" s="6" t="s">
        <v>34</v>
      </c>
      <c r="D508" s="1088" t="s">
        <v>539</v>
      </c>
      <c r="E508" s="6" t="s">
        <v>188</v>
      </c>
      <c r="F508" s="6" t="s">
        <v>546</v>
      </c>
      <c r="G508" s="6" t="s">
        <v>1511</v>
      </c>
      <c r="H508" s="6" t="s">
        <v>988</v>
      </c>
      <c r="J508" s="1215" t="s">
        <v>509</v>
      </c>
      <c r="K508" s="1219" t="s">
        <v>3033</v>
      </c>
      <c r="L508" s="8">
        <v>118</v>
      </c>
      <c r="M508" s="8">
        <v>680</v>
      </c>
      <c r="N508" s="1169" t="s">
        <v>271</v>
      </c>
      <c r="P508" s="6" t="s">
        <v>3324</v>
      </c>
      <c r="Q508" s="1215" t="s">
        <v>253</v>
      </c>
      <c r="R508" s="1215" t="s">
        <v>255</v>
      </c>
      <c r="S508" s="1215" t="s">
        <v>534</v>
      </c>
      <c r="T508" s="1215" t="s">
        <v>533</v>
      </c>
      <c r="U508" s="6" t="s">
        <v>539</v>
      </c>
      <c r="V508" s="6" t="s">
        <v>34</v>
      </c>
      <c r="W508" s="6" t="s">
        <v>546</v>
      </c>
      <c r="X508" s="6" t="s">
        <v>188</v>
      </c>
    </row>
    <row r="509" spans="1:24" ht="15" customHeight="1" x14ac:dyDescent="0.3">
      <c r="A509" s="6" t="s">
        <v>533</v>
      </c>
      <c r="B509" s="6" t="s">
        <v>534</v>
      </c>
      <c r="C509" s="6" t="s">
        <v>34</v>
      </c>
      <c r="D509" s="1088" t="s">
        <v>539</v>
      </c>
      <c r="E509" s="6" t="s">
        <v>188</v>
      </c>
      <c r="F509" s="6" t="s">
        <v>546</v>
      </c>
      <c r="G509" s="6" t="s">
        <v>1511</v>
      </c>
      <c r="H509" s="6" t="s">
        <v>988</v>
      </c>
      <c r="J509" s="1215" t="s">
        <v>509</v>
      </c>
      <c r="K509" s="1219" t="s">
        <v>3109</v>
      </c>
      <c r="L509" s="8">
        <v>20</v>
      </c>
      <c r="M509" s="8">
        <v>80</v>
      </c>
      <c r="N509" s="1169" t="s">
        <v>271</v>
      </c>
      <c r="P509" s="6" t="s">
        <v>3324</v>
      </c>
      <c r="Q509" s="1215" t="s">
        <v>253</v>
      </c>
      <c r="R509" s="1215" t="s">
        <v>255</v>
      </c>
      <c r="S509" s="1215" t="s">
        <v>534</v>
      </c>
      <c r="T509" s="1215" t="s">
        <v>533</v>
      </c>
      <c r="U509" s="6" t="s">
        <v>539</v>
      </c>
      <c r="V509" s="6" t="s">
        <v>34</v>
      </c>
      <c r="W509" s="6" t="s">
        <v>546</v>
      </c>
      <c r="X509" s="6" t="s">
        <v>188</v>
      </c>
    </row>
    <row r="510" spans="1:24" ht="15" customHeight="1" x14ac:dyDescent="0.3">
      <c r="A510" s="6" t="s">
        <v>533</v>
      </c>
      <c r="B510" s="6" t="s">
        <v>534</v>
      </c>
      <c r="C510" s="6" t="s">
        <v>34</v>
      </c>
      <c r="D510" s="1088" t="s">
        <v>539</v>
      </c>
      <c r="E510" s="6" t="s">
        <v>188</v>
      </c>
      <c r="F510" s="6" t="s">
        <v>546</v>
      </c>
      <c r="G510" s="6" t="s">
        <v>1511</v>
      </c>
      <c r="H510" s="6" t="s">
        <v>988</v>
      </c>
      <c r="J510" s="1215" t="s">
        <v>509</v>
      </c>
      <c r="K510" s="1219" t="s">
        <v>3110</v>
      </c>
      <c r="L510" s="8">
        <v>8</v>
      </c>
      <c r="M510" s="8">
        <v>66</v>
      </c>
      <c r="N510" s="1169" t="s">
        <v>271</v>
      </c>
      <c r="P510" s="6" t="s">
        <v>3324</v>
      </c>
      <c r="Q510" s="1215" t="s">
        <v>253</v>
      </c>
      <c r="R510" s="1215" t="s">
        <v>255</v>
      </c>
      <c r="S510" s="1215" t="s">
        <v>534</v>
      </c>
      <c r="T510" s="1215" t="s">
        <v>533</v>
      </c>
      <c r="U510" s="6" t="s">
        <v>539</v>
      </c>
      <c r="V510" s="6" t="s">
        <v>34</v>
      </c>
      <c r="W510" s="6" t="s">
        <v>546</v>
      </c>
      <c r="X510" s="6" t="s">
        <v>188</v>
      </c>
    </row>
    <row r="511" spans="1:24" ht="15" customHeight="1" x14ac:dyDescent="0.3">
      <c r="A511" s="6" t="s">
        <v>533</v>
      </c>
      <c r="B511" s="6" t="s">
        <v>534</v>
      </c>
      <c r="C511" s="6" t="s">
        <v>34</v>
      </c>
      <c r="D511" s="1088" t="s">
        <v>539</v>
      </c>
      <c r="E511" s="6" t="s">
        <v>188</v>
      </c>
      <c r="F511" s="6" t="s">
        <v>546</v>
      </c>
      <c r="G511" s="6" t="s">
        <v>1511</v>
      </c>
      <c r="H511" s="6" t="s">
        <v>988</v>
      </c>
      <c r="J511" s="1215" t="s">
        <v>509</v>
      </c>
      <c r="K511" s="1219" t="s">
        <v>3111</v>
      </c>
      <c r="L511" s="8">
        <v>2</v>
      </c>
      <c r="M511" s="8">
        <v>29</v>
      </c>
      <c r="N511" s="1169" t="s">
        <v>271</v>
      </c>
      <c r="P511" s="6" t="s">
        <v>3324</v>
      </c>
      <c r="Q511" s="1215" t="s">
        <v>253</v>
      </c>
      <c r="R511" s="1215" t="s">
        <v>255</v>
      </c>
      <c r="S511" s="1215" t="s">
        <v>534</v>
      </c>
      <c r="T511" s="1215" t="s">
        <v>533</v>
      </c>
      <c r="U511" s="6" t="s">
        <v>539</v>
      </c>
      <c r="V511" s="6" t="s">
        <v>34</v>
      </c>
      <c r="W511" s="6" t="s">
        <v>546</v>
      </c>
      <c r="X511" s="6" t="s">
        <v>188</v>
      </c>
    </row>
    <row r="512" spans="1:24" ht="15" customHeight="1" x14ac:dyDescent="0.3">
      <c r="A512" s="6" t="s">
        <v>533</v>
      </c>
      <c r="B512" s="6" t="s">
        <v>534</v>
      </c>
      <c r="C512" s="6" t="s">
        <v>34</v>
      </c>
      <c r="D512" s="1088" t="s">
        <v>539</v>
      </c>
      <c r="E512" s="6" t="s">
        <v>188</v>
      </c>
      <c r="F512" s="6" t="s">
        <v>546</v>
      </c>
      <c r="G512" s="6" t="s">
        <v>1511</v>
      </c>
      <c r="H512" s="6" t="s">
        <v>988</v>
      </c>
      <c r="J512" s="1215" t="s">
        <v>509</v>
      </c>
      <c r="K512" s="1219" t="s">
        <v>3112</v>
      </c>
      <c r="L512" s="8">
        <v>5</v>
      </c>
      <c r="M512" s="8">
        <v>25</v>
      </c>
      <c r="N512" s="1169" t="s">
        <v>271</v>
      </c>
      <c r="P512" s="6" t="s">
        <v>3324</v>
      </c>
      <c r="Q512" s="1215" t="s">
        <v>253</v>
      </c>
      <c r="R512" s="1215" t="s">
        <v>255</v>
      </c>
      <c r="S512" s="1215" t="s">
        <v>534</v>
      </c>
      <c r="T512" s="1215" t="s">
        <v>533</v>
      </c>
      <c r="U512" s="6" t="s">
        <v>539</v>
      </c>
      <c r="V512" s="6" t="s">
        <v>34</v>
      </c>
      <c r="W512" s="6" t="s">
        <v>546</v>
      </c>
      <c r="X512" s="6" t="s">
        <v>188</v>
      </c>
    </row>
    <row r="513" spans="1:24" ht="15" customHeight="1" x14ac:dyDescent="0.3">
      <c r="A513" s="6" t="s">
        <v>533</v>
      </c>
      <c r="B513" s="6" t="s">
        <v>534</v>
      </c>
      <c r="C513" s="6" t="s">
        <v>34</v>
      </c>
      <c r="D513" s="1088" t="s">
        <v>539</v>
      </c>
      <c r="E513" s="6" t="s">
        <v>188</v>
      </c>
      <c r="F513" s="6" t="s">
        <v>546</v>
      </c>
      <c r="G513" s="6" t="s">
        <v>1488</v>
      </c>
      <c r="H513" s="6" t="s">
        <v>1514</v>
      </c>
      <c r="J513" s="1215" t="s">
        <v>509</v>
      </c>
      <c r="K513" s="1219" t="s">
        <v>3033</v>
      </c>
      <c r="L513" s="8">
        <v>11</v>
      </c>
      <c r="M513" s="8">
        <v>55</v>
      </c>
      <c r="N513" s="1169" t="s">
        <v>271</v>
      </c>
      <c r="P513" s="6" t="s">
        <v>3324</v>
      </c>
      <c r="Q513" s="1215" t="s">
        <v>253</v>
      </c>
      <c r="R513" s="1215" t="s">
        <v>255</v>
      </c>
      <c r="S513" s="1215" t="s">
        <v>534</v>
      </c>
      <c r="T513" s="1215" t="s">
        <v>533</v>
      </c>
      <c r="U513" s="6" t="s">
        <v>539</v>
      </c>
      <c r="V513" s="6" t="s">
        <v>34</v>
      </c>
      <c r="W513" s="6" t="s">
        <v>546</v>
      </c>
      <c r="X513" s="6" t="s">
        <v>188</v>
      </c>
    </row>
    <row r="514" spans="1:24" ht="15" customHeight="1" x14ac:dyDescent="0.3">
      <c r="A514" s="6" t="s">
        <v>533</v>
      </c>
      <c r="B514" s="6" t="s">
        <v>534</v>
      </c>
      <c r="C514" s="6" t="s">
        <v>34</v>
      </c>
      <c r="D514" s="1088" t="s">
        <v>539</v>
      </c>
      <c r="E514" s="6" t="s">
        <v>188</v>
      </c>
      <c r="F514" s="6" t="s">
        <v>546</v>
      </c>
      <c r="G514" s="6" t="s">
        <v>1488</v>
      </c>
      <c r="H514" s="6" t="s">
        <v>1514</v>
      </c>
      <c r="J514" s="1215" t="s">
        <v>509</v>
      </c>
      <c r="K514" s="1219" t="s">
        <v>3109</v>
      </c>
      <c r="L514" s="8">
        <v>25</v>
      </c>
      <c r="M514" s="8">
        <v>93</v>
      </c>
      <c r="N514" s="1169" t="s">
        <v>271</v>
      </c>
      <c r="P514" s="6" t="s">
        <v>3324</v>
      </c>
      <c r="Q514" s="1215" t="s">
        <v>253</v>
      </c>
      <c r="R514" s="1215" t="s">
        <v>255</v>
      </c>
      <c r="S514" s="1215" t="s">
        <v>534</v>
      </c>
      <c r="T514" s="1215" t="s">
        <v>533</v>
      </c>
      <c r="U514" s="6" t="s">
        <v>539</v>
      </c>
      <c r="V514" s="6" t="s">
        <v>34</v>
      </c>
      <c r="W514" s="6" t="s">
        <v>546</v>
      </c>
      <c r="X514" s="6" t="s">
        <v>188</v>
      </c>
    </row>
    <row r="515" spans="1:24" ht="15" customHeight="1" x14ac:dyDescent="0.3">
      <c r="A515" s="6" t="s">
        <v>533</v>
      </c>
      <c r="B515" s="6" t="s">
        <v>534</v>
      </c>
      <c r="C515" s="6" t="s">
        <v>34</v>
      </c>
      <c r="D515" s="1088" t="s">
        <v>539</v>
      </c>
      <c r="E515" s="6" t="s">
        <v>188</v>
      </c>
      <c r="F515" s="6" t="s">
        <v>546</v>
      </c>
      <c r="G515" s="6" t="s">
        <v>1488</v>
      </c>
      <c r="H515" s="6" t="s">
        <v>1514</v>
      </c>
      <c r="J515" s="1215" t="s">
        <v>509</v>
      </c>
      <c r="K515" s="1219" t="s">
        <v>3110</v>
      </c>
      <c r="L515" s="8">
        <v>25</v>
      </c>
      <c r="M515" s="8">
        <v>147</v>
      </c>
      <c r="N515" s="6" t="s">
        <v>271</v>
      </c>
      <c r="P515" s="6" t="s">
        <v>3324</v>
      </c>
      <c r="Q515" s="1215" t="s">
        <v>253</v>
      </c>
      <c r="R515" s="1215" t="s">
        <v>255</v>
      </c>
      <c r="S515" s="1215" t="s">
        <v>534</v>
      </c>
      <c r="T515" s="1215" t="s">
        <v>533</v>
      </c>
      <c r="U515" s="6" t="s">
        <v>539</v>
      </c>
      <c r="V515" s="6" t="s">
        <v>34</v>
      </c>
      <c r="W515" s="6" t="s">
        <v>546</v>
      </c>
      <c r="X515" s="6" t="s">
        <v>188</v>
      </c>
    </row>
    <row r="516" spans="1:24" ht="15" customHeight="1" x14ac:dyDescent="0.3">
      <c r="A516" s="6" t="s">
        <v>533</v>
      </c>
      <c r="B516" s="6" t="s">
        <v>534</v>
      </c>
      <c r="C516" s="6" t="s">
        <v>34</v>
      </c>
      <c r="D516" s="1088" t="s">
        <v>539</v>
      </c>
      <c r="E516" s="6" t="s">
        <v>188</v>
      </c>
      <c r="F516" s="6" t="s">
        <v>546</v>
      </c>
      <c r="G516" s="6" t="s">
        <v>1488</v>
      </c>
      <c r="H516" s="6" t="s">
        <v>1514</v>
      </c>
      <c r="J516" s="1215" t="s">
        <v>509</v>
      </c>
      <c r="K516" s="1219" t="s">
        <v>3111</v>
      </c>
      <c r="L516" s="8">
        <v>3</v>
      </c>
      <c r="M516" s="8">
        <v>39</v>
      </c>
      <c r="N516" s="1169" t="s">
        <v>271</v>
      </c>
      <c r="P516" s="6" t="s">
        <v>3324</v>
      </c>
      <c r="Q516" s="1215" t="s">
        <v>253</v>
      </c>
      <c r="R516" s="1215" t="s">
        <v>255</v>
      </c>
      <c r="S516" s="1215" t="s">
        <v>534</v>
      </c>
      <c r="T516" s="1215" t="s">
        <v>533</v>
      </c>
      <c r="U516" s="6" t="s">
        <v>539</v>
      </c>
      <c r="V516" s="6" t="s">
        <v>34</v>
      </c>
      <c r="W516" s="6" t="s">
        <v>546</v>
      </c>
      <c r="X516" s="6" t="s">
        <v>188</v>
      </c>
    </row>
    <row r="517" spans="1:24" ht="15" customHeight="1" x14ac:dyDescent="0.3">
      <c r="A517" s="6" t="s">
        <v>533</v>
      </c>
      <c r="B517" s="6" t="s">
        <v>534</v>
      </c>
      <c r="C517" s="6" t="s">
        <v>34</v>
      </c>
      <c r="D517" s="1088" t="s">
        <v>539</v>
      </c>
      <c r="E517" s="6" t="s">
        <v>188</v>
      </c>
      <c r="F517" s="6" t="s">
        <v>546</v>
      </c>
      <c r="G517" s="6" t="s">
        <v>1488</v>
      </c>
      <c r="H517" s="6" t="s">
        <v>1514</v>
      </c>
      <c r="J517" s="1215" t="s">
        <v>509</v>
      </c>
      <c r="K517" s="1219" t="s">
        <v>3112</v>
      </c>
      <c r="L517" s="8">
        <v>10</v>
      </c>
      <c r="M517" s="8">
        <v>32</v>
      </c>
      <c r="N517" s="1169" t="s">
        <v>271</v>
      </c>
      <c r="P517" s="6" t="s">
        <v>3324</v>
      </c>
      <c r="Q517" s="1215" t="s">
        <v>253</v>
      </c>
      <c r="R517" s="1215" t="s">
        <v>255</v>
      </c>
      <c r="S517" s="1215" t="s">
        <v>534</v>
      </c>
      <c r="T517" s="1215" t="s">
        <v>533</v>
      </c>
      <c r="U517" s="6" t="s">
        <v>539</v>
      </c>
      <c r="V517" s="6" t="s">
        <v>34</v>
      </c>
      <c r="W517" s="6" t="s">
        <v>546</v>
      </c>
      <c r="X517" s="6" t="s">
        <v>188</v>
      </c>
    </row>
    <row r="518" spans="1:24" ht="15" customHeight="1" x14ac:dyDescent="0.3">
      <c r="A518" s="6" t="s">
        <v>533</v>
      </c>
      <c r="B518" s="6" t="s">
        <v>534</v>
      </c>
      <c r="C518" s="6" t="s">
        <v>34</v>
      </c>
      <c r="D518" s="1088" t="s">
        <v>539</v>
      </c>
      <c r="E518" s="6" t="s">
        <v>188</v>
      </c>
      <c r="F518" s="6" t="s">
        <v>546</v>
      </c>
      <c r="G518" s="6" t="s">
        <v>984</v>
      </c>
      <c r="H518" s="6" t="s">
        <v>1311</v>
      </c>
      <c r="J518" s="1215" t="s">
        <v>509</v>
      </c>
      <c r="K518" s="1219" t="s">
        <v>3033</v>
      </c>
      <c r="L518" s="8">
        <v>31</v>
      </c>
      <c r="M518" s="8">
        <v>107</v>
      </c>
      <c r="N518" s="1169" t="s">
        <v>271</v>
      </c>
      <c r="P518" s="6" t="s">
        <v>3324</v>
      </c>
      <c r="Q518" s="1215" t="s">
        <v>253</v>
      </c>
      <c r="R518" s="1215" t="s">
        <v>255</v>
      </c>
      <c r="S518" s="1215" t="s">
        <v>534</v>
      </c>
      <c r="T518" s="1215" t="s">
        <v>533</v>
      </c>
      <c r="U518" s="6" t="s">
        <v>539</v>
      </c>
      <c r="V518" s="6" t="s">
        <v>34</v>
      </c>
      <c r="W518" s="6" t="s">
        <v>546</v>
      </c>
      <c r="X518" s="6" t="s">
        <v>188</v>
      </c>
    </row>
    <row r="519" spans="1:24" ht="15" customHeight="1" x14ac:dyDescent="0.3">
      <c r="A519" s="6" t="s">
        <v>533</v>
      </c>
      <c r="B519" s="6" t="s">
        <v>534</v>
      </c>
      <c r="C519" s="6" t="s">
        <v>34</v>
      </c>
      <c r="D519" s="1088" t="s">
        <v>539</v>
      </c>
      <c r="E519" s="6" t="s">
        <v>188</v>
      </c>
      <c r="F519" s="6" t="s">
        <v>546</v>
      </c>
      <c r="G519" s="6" t="s">
        <v>984</v>
      </c>
      <c r="H519" s="6" t="s">
        <v>1311</v>
      </c>
      <c r="J519" s="1215" t="s">
        <v>509</v>
      </c>
      <c r="K519" s="1219" t="s">
        <v>3109</v>
      </c>
      <c r="L519" s="8">
        <v>5</v>
      </c>
      <c r="M519" s="8">
        <v>45</v>
      </c>
      <c r="N519" s="1169" t="s">
        <v>271</v>
      </c>
      <c r="P519" s="6" t="s">
        <v>3324</v>
      </c>
      <c r="Q519" s="1215" t="s">
        <v>253</v>
      </c>
      <c r="R519" s="1215" t="s">
        <v>255</v>
      </c>
      <c r="S519" s="1215" t="s">
        <v>534</v>
      </c>
      <c r="T519" s="1215" t="s">
        <v>533</v>
      </c>
      <c r="U519" s="6" t="s">
        <v>539</v>
      </c>
      <c r="V519" s="6" t="s">
        <v>34</v>
      </c>
      <c r="W519" s="6" t="s">
        <v>546</v>
      </c>
      <c r="X519" s="6" t="s">
        <v>188</v>
      </c>
    </row>
    <row r="520" spans="1:24" ht="15" customHeight="1" x14ac:dyDescent="0.3">
      <c r="A520" s="6" t="s">
        <v>533</v>
      </c>
      <c r="B520" s="6" t="s">
        <v>534</v>
      </c>
      <c r="C520" s="6" t="s">
        <v>34</v>
      </c>
      <c r="D520" s="1088" t="s">
        <v>539</v>
      </c>
      <c r="E520" s="6" t="s">
        <v>188</v>
      </c>
      <c r="F520" s="6" t="s">
        <v>546</v>
      </c>
      <c r="G520" s="6" t="s">
        <v>984</v>
      </c>
      <c r="H520" s="6" t="s">
        <v>1311</v>
      </c>
      <c r="J520" s="1215" t="s">
        <v>509</v>
      </c>
      <c r="K520" s="1219" t="s">
        <v>3110</v>
      </c>
      <c r="L520" s="8">
        <v>0</v>
      </c>
      <c r="M520" s="8">
        <v>5</v>
      </c>
      <c r="N520" s="1169" t="s">
        <v>275</v>
      </c>
      <c r="O520" s="6" t="s">
        <v>3332</v>
      </c>
      <c r="P520" s="6" t="s">
        <v>3324</v>
      </c>
      <c r="Q520" s="1215" t="s">
        <v>253</v>
      </c>
      <c r="R520" s="1215" t="s">
        <v>255</v>
      </c>
      <c r="S520" s="1215" t="s">
        <v>534</v>
      </c>
      <c r="T520" s="1215" t="s">
        <v>533</v>
      </c>
      <c r="U520" s="6" t="s">
        <v>539</v>
      </c>
      <c r="V520" s="6" t="s">
        <v>34</v>
      </c>
      <c r="W520" s="6" t="s">
        <v>546</v>
      </c>
      <c r="X520" s="6" t="s">
        <v>188</v>
      </c>
    </row>
    <row r="521" spans="1:24" ht="15" customHeight="1" x14ac:dyDescent="0.3">
      <c r="A521" s="6" t="s">
        <v>533</v>
      </c>
      <c r="B521" s="6" t="s">
        <v>534</v>
      </c>
      <c r="C521" s="6" t="s">
        <v>34</v>
      </c>
      <c r="D521" s="1088" t="s">
        <v>539</v>
      </c>
      <c r="E521" s="1088" t="s">
        <v>188</v>
      </c>
      <c r="F521" s="6" t="s">
        <v>546</v>
      </c>
      <c r="G521" s="6" t="s">
        <v>984</v>
      </c>
      <c r="H521" s="6" t="s">
        <v>1311</v>
      </c>
      <c r="J521" s="1215" t="s">
        <v>509</v>
      </c>
      <c r="K521" s="1219" t="s">
        <v>3111</v>
      </c>
      <c r="L521" s="8">
        <v>0</v>
      </c>
      <c r="M521" s="8">
        <v>7</v>
      </c>
      <c r="N521" s="1169" t="s">
        <v>275</v>
      </c>
      <c r="O521" s="6" t="s">
        <v>3332</v>
      </c>
      <c r="P521" s="6" t="s">
        <v>3324</v>
      </c>
      <c r="Q521" s="1215" t="s">
        <v>253</v>
      </c>
      <c r="R521" s="1215" t="s">
        <v>255</v>
      </c>
      <c r="S521" s="1215" t="s">
        <v>534</v>
      </c>
      <c r="T521" s="1215" t="s">
        <v>533</v>
      </c>
      <c r="U521" s="6" t="s">
        <v>539</v>
      </c>
      <c r="V521" s="6" t="s">
        <v>34</v>
      </c>
      <c r="W521" s="6" t="s">
        <v>546</v>
      </c>
      <c r="X521" s="6" t="s">
        <v>188</v>
      </c>
    </row>
    <row r="522" spans="1:24" ht="15" customHeight="1" x14ac:dyDescent="0.3">
      <c r="A522" s="6" t="s">
        <v>533</v>
      </c>
      <c r="B522" s="6" t="s">
        <v>534</v>
      </c>
      <c r="C522" s="6" t="s">
        <v>31</v>
      </c>
      <c r="D522" s="1088" t="s">
        <v>549</v>
      </c>
      <c r="E522" s="6" t="s">
        <v>171</v>
      </c>
      <c r="F522" s="6" t="s">
        <v>634</v>
      </c>
      <c r="G522" s="6" t="s">
        <v>2128</v>
      </c>
      <c r="H522" s="6" t="s">
        <v>2116</v>
      </c>
      <c r="J522" s="1215" t="s">
        <v>509</v>
      </c>
      <c r="K522" s="1219" t="s">
        <v>3033</v>
      </c>
      <c r="L522" s="8">
        <v>13</v>
      </c>
      <c r="M522" s="8">
        <v>97</v>
      </c>
      <c r="N522" s="1169" t="s">
        <v>271</v>
      </c>
      <c r="P522" s="6" t="s">
        <v>3323</v>
      </c>
      <c r="Q522" s="1215" t="s">
        <v>253</v>
      </c>
      <c r="R522" s="1215" t="s">
        <v>255</v>
      </c>
      <c r="S522" s="1215" t="s">
        <v>534</v>
      </c>
      <c r="T522" s="1215" t="s">
        <v>533</v>
      </c>
      <c r="U522" s="6" t="s">
        <v>549</v>
      </c>
      <c r="V522" s="6" t="s">
        <v>31</v>
      </c>
      <c r="W522" s="6" t="s">
        <v>844</v>
      </c>
      <c r="X522" s="6" t="s">
        <v>166</v>
      </c>
    </row>
    <row r="523" spans="1:24" ht="15" customHeight="1" x14ac:dyDescent="0.3">
      <c r="A523" s="6" t="s">
        <v>533</v>
      </c>
      <c r="B523" s="6" t="s">
        <v>534</v>
      </c>
      <c r="C523" s="6" t="s">
        <v>31</v>
      </c>
      <c r="D523" s="1088" t="s">
        <v>549</v>
      </c>
      <c r="E523" s="1088" t="s">
        <v>171</v>
      </c>
      <c r="F523" s="6" t="s">
        <v>634</v>
      </c>
      <c r="G523" s="6" t="s">
        <v>2128</v>
      </c>
      <c r="H523" s="6" t="s">
        <v>2116</v>
      </c>
      <c r="J523" s="1215" t="s">
        <v>509</v>
      </c>
      <c r="K523" s="1219" t="s">
        <v>3110</v>
      </c>
      <c r="L523" s="8">
        <v>3</v>
      </c>
      <c r="M523" s="8">
        <v>16</v>
      </c>
      <c r="N523" s="1169" t="s">
        <v>271</v>
      </c>
      <c r="P523" s="6" t="s">
        <v>3323</v>
      </c>
      <c r="Q523" s="1215" t="s">
        <v>253</v>
      </c>
      <c r="R523" s="1215" t="s">
        <v>255</v>
      </c>
      <c r="S523" s="1215" t="s">
        <v>534</v>
      </c>
      <c r="T523" s="1215" t="s">
        <v>533</v>
      </c>
      <c r="U523" s="6" t="s">
        <v>549</v>
      </c>
      <c r="V523" s="6" t="s">
        <v>31</v>
      </c>
      <c r="W523" s="6" t="s">
        <v>881</v>
      </c>
      <c r="X523" s="6" t="s">
        <v>165</v>
      </c>
    </row>
    <row r="524" spans="1:24" ht="15" customHeight="1" x14ac:dyDescent="0.3">
      <c r="A524" s="6" t="s">
        <v>533</v>
      </c>
      <c r="B524" s="6" t="s">
        <v>534</v>
      </c>
      <c r="C524" s="6" t="s">
        <v>31</v>
      </c>
      <c r="D524" s="1088" t="s">
        <v>549</v>
      </c>
      <c r="E524" s="6" t="s">
        <v>171</v>
      </c>
      <c r="F524" s="6" t="s">
        <v>634</v>
      </c>
      <c r="G524" s="6" t="s">
        <v>2001</v>
      </c>
      <c r="H524" s="6" t="s">
        <v>1981</v>
      </c>
      <c r="J524" s="1215" t="s">
        <v>509</v>
      </c>
      <c r="K524" s="1219" t="s">
        <v>3033</v>
      </c>
      <c r="L524" s="8">
        <v>20</v>
      </c>
      <c r="M524" s="8">
        <v>178</v>
      </c>
      <c r="N524" s="1169" t="s">
        <v>271</v>
      </c>
      <c r="P524" s="6" t="s">
        <v>3323</v>
      </c>
      <c r="Q524" s="1215" t="s">
        <v>253</v>
      </c>
      <c r="R524" s="1215" t="s">
        <v>255</v>
      </c>
      <c r="S524" s="1215" t="s">
        <v>534</v>
      </c>
      <c r="T524" s="1215" t="s">
        <v>533</v>
      </c>
      <c r="U524" s="6" t="s">
        <v>549</v>
      </c>
      <c r="V524" s="6" t="s">
        <v>31</v>
      </c>
      <c r="W524" s="6" t="s">
        <v>844</v>
      </c>
      <c r="X524" s="6" t="s">
        <v>166</v>
      </c>
    </row>
    <row r="525" spans="1:24" ht="15" customHeight="1" x14ac:dyDescent="0.3">
      <c r="A525" s="6" t="s">
        <v>533</v>
      </c>
      <c r="B525" s="6" t="s">
        <v>534</v>
      </c>
      <c r="C525" s="6" t="s">
        <v>31</v>
      </c>
      <c r="D525" s="1088" t="s">
        <v>549</v>
      </c>
      <c r="E525" s="6" t="s">
        <v>171</v>
      </c>
      <c r="F525" s="6" t="s">
        <v>634</v>
      </c>
      <c r="G525" s="6" t="s">
        <v>2001</v>
      </c>
      <c r="H525" s="6" t="s">
        <v>1981</v>
      </c>
      <c r="J525" s="1215" t="s">
        <v>509</v>
      </c>
      <c r="K525" s="1219" t="s">
        <v>3109</v>
      </c>
      <c r="L525" s="8">
        <v>0</v>
      </c>
      <c r="M525" s="8">
        <v>3</v>
      </c>
      <c r="N525" s="6" t="s">
        <v>271</v>
      </c>
      <c r="P525" s="6" t="s">
        <v>3323</v>
      </c>
      <c r="Q525" s="1215" t="s">
        <v>253</v>
      </c>
      <c r="R525" s="1215" t="s">
        <v>255</v>
      </c>
      <c r="S525" s="1215" t="s">
        <v>534</v>
      </c>
      <c r="T525" s="1215" t="s">
        <v>533</v>
      </c>
      <c r="U525" s="6" t="s">
        <v>549</v>
      </c>
      <c r="V525" s="6" t="s">
        <v>31</v>
      </c>
      <c r="W525" s="6" t="s">
        <v>844</v>
      </c>
      <c r="X525" s="6" t="s">
        <v>166</v>
      </c>
    </row>
    <row r="526" spans="1:24" ht="15" customHeight="1" x14ac:dyDescent="0.3">
      <c r="A526" s="6" t="s">
        <v>533</v>
      </c>
      <c r="B526" s="6" t="s">
        <v>534</v>
      </c>
      <c r="C526" s="6" t="s">
        <v>31</v>
      </c>
      <c r="D526" s="1088" t="s">
        <v>549</v>
      </c>
      <c r="E526" s="6" t="s">
        <v>171</v>
      </c>
      <c r="F526" s="6" t="s">
        <v>634</v>
      </c>
      <c r="G526" s="6" t="s">
        <v>2001</v>
      </c>
      <c r="H526" s="6" t="s">
        <v>1981</v>
      </c>
      <c r="J526" s="1215" t="s">
        <v>509</v>
      </c>
      <c r="K526" s="1219" t="s">
        <v>3110</v>
      </c>
      <c r="L526" s="8">
        <v>0</v>
      </c>
      <c r="M526" s="8">
        <v>5</v>
      </c>
      <c r="N526" s="1169" t="s">
        <v>271</v>
      </c>
      <c r="P526" s="6" t="s">
        <v>3323</v>
      </c>
      <c r="Q526" s="1215" t="s">
        <v>253</v>
      </c>
      <c r="R526" s="1215" t="s">
        <v>255</v>
      </c>
      <c r="S526" s="1215" t="s">
        <v>534</v>
      </c>
      <c r="T526" s="1215" t="s">
        <v>533</v>
      </c>
      <c r="U526" s="6" t="s">
        <v>549</v>
      </c>
      <c r="V526" s="6" t="s">
        <v>31</v>
      </c>
      <c r="W526" s="6" t="s">
        <v>844</v>
      </c>
      <c r="X526" s="6" t="s">
        <v>166</v>
      </c>
    </row>
    <row r="527" spans="1:24" ht="15" customHeight="1" x14ac:dyDescent="0.3">
      <c r="A527" s="6" t="s">
        <v>533</v>
      </c>
      <c r="B527" s="6" t="s">
        <v>534</v>
      </c>
      <c r="C527" s="6" t="s">
        <v>31</v>
      </c>
      <c r="D527" s="1088" t="s">
        <v>549</v>
      </c>
      <c r="E527" s="6" t="s">
        <v>171</v>
      </c>
      <c r="F527" s="6" t="s">
        <v>634</v>
      </c>
      <c r="G527" s="6" t="s">
        <v>2001</v>
      </c>
      <c r="H527" s="6" t="s">
        <v>1981</v>
      </c>
      <c r="J527" s="1215" t="s">
        <v>509</v>
      </c>
      <c r="K527" s="1219" t="s">
        <v>3111</v>
      </c>
      <c r="L527" s="8">
        <v>0</v>
      </c>
      <c r="M527" s="8">
        <v>3</v>
      </c>
      <c r="N527" s="1169" t="s">
        <v>271</v>
      </c>
      <c r="P527" s="6" t="s">
        <v>3323</v>
      </c>
      <c r="Q527" s="1215" t="s">
        <v>253</v>
      </c>
      <c r="R527" s="1215" t="s">
        <v>255</v>
      </c>
      <c r="S527" s="1215" t="s">
        <v>534</v>
      </c>
      <c r="T527" s="1215" t="s">
        <v>533</v>
      </c>
      <c r="U527" s="6" t="s">
        <v>549</v>
      </c>
      <c r="V527" s="6" t="s">
        <v>31</v>
      </c>
      <c r="W527" s="6" t="s">
        <v>844</v>
      </c>
      <c r="X527" s="6" t="s">
        <v>166</v>
      </c>
    </row>
    <row r="528" spans="1:24" ht="15" customHeight="1" x14ac:dyDescent="0.3">
      <c r="A528" s="6" t="s">
        <v>533</v>
      </c>
      <c r="B528" s="6" t="s">
        <v>534</v>
      </c>
      <c r="C528" s="6" t="s">
        <v>30</v>
      </c>
      <c r="D528" s="1088" t="s">
        <v>535</v>
      </c>
      <c r="E528" s="6" t="s">
        <v>161</v>
      </c>
      <c r="F528" s="6" t="s">
        <v>587</v>
      </c>
      <c r="G528" s="6" t="s">
        <v>628</v>
      </c>
      <c r="H528" s="6" t="s">
        <v>629</v>
      </c>
      <c r="J528" s="1215" t="s">
        <v>509</v>
      </c>
      <c r="K528" s="1219" t="s">
        <v>3033</v>
      </c>
      <c r="L528" s="8">
        <v>75</v>
      </c>
      <c r="M528" s="8">
        <v>440</v>
      </c>
      <c r="N528" s="1169" t="s">
        <v>271</v>
      </c>
      <c r="P528" s="6" t="s">
        <v>3322</v>
      </c>
      <c r="Q528" s="1215" t="s">
        <v>253</v>
      </c>
      <c r="R528" s="1215" t="s">
        <v>255</v>
      </c>
      <c r="S528" s="1215" t="s">
        <v>534</v>
      </c>
      <c r="T528" s="1215" t="s">
        <v>533</v>
      </c>
      <c r="U528" s="6" t="s">
        <v>539</v>
      </c>
      <c r="V528" s="6" t="s">
        <v>34</v>
      </c>
    </row>
    <row r="529" spans="1:24" ht="15" customHeight="1" x14ac:dyDescent="0.3">
      <c r="A529" s="6" t="s">
        <v>533</v>
      </c>
      <c r="B529" s="6" t="s">
        <v>534</v>
      </c>
      <c r="C529" s="6" t="s">
        <v>31</v>
      </c>
      <c r="D529" s="1088" t="s">
        <v>549</v>
      </c>
      <c r="E529" s="6" t="s">
        <v>164</v>
      </c>
      <c r="F529" s="6" t="s">
        <v>748</v>
      </c>
      <c r="G529" s="6" t="s">
        <v>1818</v>
      </c>
      <c r="H529" s="6" t="s">
        <v>1819</v>
      </c>
      <c r="J529" s="1215" t="s">
        <v>509</v>
      </c>
      <c r="K529" s="1219" t="s">
        <v>3033</v>
      </c>
      <c r="L529" s="8">
        <v>300</v>
      </c>
      <c r="M529" s="8">
        <v>1209</v>
      </c>
      <c r="N529" s="1169" t="s">
        <v>271</v>
      </c>
      <c r="P529" s="6" t="s">
        <v>3323</v>
      </c>
      <c r="Q529" s="1215" t="s">
        <v>253</v>
      </c>
      <c r="R529" s="1215" t="s">
        <v>255</v>
      </c>
      <c r="S529" s="1215" t="s">
        <v>534</v>
      </c>
      <c r="T529" s="1215" t="s">
        <v>533</v>
      </c>
      <c r="U529" s="6" t="s">
        <v>549</v>
      </c>
      <c r="V529" s="6" t="s">
        <v>31</v>
      </c>
      <c r="W529" s="6" t="s">
        <v>881</v>
      </c>
      <c r="X529" s="6" t="s">
        <v>165</v>
      </c>
    </row>
    <row r="530" spans="1:24" ht="15" customHeight="1" x14ac:dyDescent="0.3">
      <c r="A530" s="6" t="s">
        <v>533</v>
      </c>
      <c r="B530" s="6" t="s">
        <v>534</v>
      </c>
      <c r="C530" s="6" t="s">
        <v>31</v>
      </c>
      <c r="D530" s="1088" t="s">
        <v>549</v>
      </c>
      <c r="E530" s="6" t="s">
        <v>164</v>
      </c>
      <c r="F530" s="6" t="s">
        <v>748</v>
      </c>
      <c r="G530" s="6" t="s">
        <v>1083</v>
      </c>
      <c r="H530" s="6" t="s">
        <v>1084</v>
      </c>
      <c r="J530" s="1215" t="s">
        <v>509</v>
      </c>
      <c r="K530" s="1219" t="s">
        <v>3033</v>
      </c>
      <c r="L530" s="8">
        <v>2</v>
      </c>
      <c r="M530" s="8">
        <v>14</v>
      </c>
      <c r="N530" s="1169" t="s">
        <v>271</v>
      </c>
      <c r="P530" s="6" t="s">
        <v>3324</v>
      </c>
      <c r="Q530" s="1215" t="s">
        <v>253</v>
      </c>
      <c r="R530" s="1215" t="s">
        <v>255</v>
      </c>
      <c r="S530" s="1215" t="s">
        <v>534</v>
      </c>
      <c r="T530" s="1215" t="s">
        <v>533</v>
      </c>
      <c r="U530" s="6" t="s">
        <v>549</v>
      </c>
      <c r="V530" s="6" t="s">
        <v>31</v>
      </c>
      <c r="W530" s="6" t="s">
        <v>748</v>
      </c>
      <c r="X530" s="6" t="s">
        <v>164</v>
      </c>
    </row>
    <row r="531" spans="1:24" ht="15" customHeight="1" x14ac:dyDescent="0.3">
      <c r="A531" s="6" t="s">
        <v>533</v>
      </c>
      <c r="B531" s="6" t="s">
        <v>534</v>
      </c>
      <c r="C531" s="6" t="s">
        <v>31</v>
      </c>
      <c r="D531" s="1088" t="s">
        <v>549</v>
      </c>
      <c r="E531" s="6" t="s">
        <v>164</v>
      </c>
      <c r="F531" s="6" t="s">
        <v>748</v>
      </c>
      <c r="G531" s="6" t="s">
        <v>1083</v>
      </c>
      <c r="H531" s="6" t="s">
        <v>1084</v>
      </c>
      <c r="J531" s="1215" t="s">
        <v>509</v>
      </c>
      <c r="K531" s="1219" t="s">
        <v>3109</v>
      </c>
      <c r="L531" s="8">
        <v>3</v>
      </c>
      <c r="M531" s="8">
        <v>21</v>
      </c>
      <c r="N531" s="1169" t="s">
        <v>271</v>
      </c>
      <c r="P531" s="6" t="s">
        <v>3324</v>
      </c>
      <c r="Q531" s="1215" t="s">
        <v>253</v>
      </c>
      <c r="R531" s="1215" t="s">
        <v>255</v>
      </c>
      <c r="S531" s="1215" t="s">
        <v>534</v>
      </c>
      <c r="T531" s="1215" t="s">
        <v>533</v>
      </c>
      <c r="U531" s="6" t="s">
        <v>549</v>
      </c>
      <c r="V531" s="6" t="s">
        <v>31</v>
      </c>
      <c r="W531" s="6" t="s">
        <v>748</v>
      </c>
      <c r="X531" s="6" t="s">
        <v>164</v>
      </c>
    </row>
    <row r="532" spans="1:24" ht="15" customHeight="1" x14ac:dyDescent="0.3">
      <c r="A532" s="6" t="s">
        <v>533</v>
      </c>
      <c r="B532" s="6" t="s">
        <v>534</v>
      </c>
      <c r="C532" s="6" t="s">
        <v>31</v>
      </c>
      <c r="D532" s="1088" t="s">
        <v>549</v>
      </c>
      <c r="E532" s="6" t="s">
        <v>164</v>
      </c>
      <c r="F532" s="6" t="s">
        <v>748</v>
      </c>
      <c r="G532" s="6" t="s">
        <v>1083</v>
      </c>
      <c r="H532" s="6" t="s">
        <v>1084</v>
      </c>
      <c r="J532" s="1215" t="s">
        <v>509</v>
      </c>
      <c r="K532" s="1219" t="s">
        <v>3112</v>
      </c>
      <c r="L532" s="8">
        <v>13</v>
      </c>
      <c r="M532" s="8">
        <v>91</v>
      </c>
      <c r="N532" s="1169" t="s">
        <v>271</v>
      </c>
      <c r="P532" s="6" t="s">
        <v>3324</v>
      </c>
      <c r="Q532" s="1215" t="s">
        <v>253</v>
      </c>
      <c r="R532" s="1215" t="s">
        <v>255</v>
      </c>
      <c r="S532" s="1215" t="s">
        <v>534</v>
      </c>
      <c r="T532" s="1215" t="s">
        <v>533</v>
      </c>
      <c r="U532" s="6" t="s">
        <v>549</v>
      </c>
      <c r="V532" s="6" t="s">
        <v>31</v>
      </c>
      <c r="W532" s="6" t="s">
        <v>748</v>
      </c>
      <c r="X532" s="6" t="s">
        <v>164</v>
      </c>
    </row>
    <row r="533" spans="1:24" ht="15" customHeight="1" x14ac:dyDescent="0.3">
      <c r="A533" s="6" t="s">
        <v>533</v>
      </c>
      <c r="B533" s="6" t="s">
        <v>534</v>
      </c>
      <c r="C533" s="6" t="s">
        <v>35</v>
      </c>
      <c r="D533" s="1088" t="s">
        <v>567</v>
      </c>
      <c r="E533" s="6" t="s">
        <v>193</v>
      </c>
      <c r="F533" s="6" t="s">
        <v>863</v>
      </c>
      <c r="G533" s="6" t="s">
        <v>2910</v>
      </c>
      <c r="H533" s="6" t="s">
        <v>3091</v>
      </c>
      <c r="J533" s="1215" t="s">
        <v>509</v>
      </c>
      <c r="K533" s="1219" t="s">
        <v>3033</v>
      </c>
      <c r="L533" s="8">
        <v>92</v>
      </c>
      <c r="M533" s="8">
        <v>373</v>
      </c>
      <c r="N533" s="1169" t="s">
        <v>271</v>
      </c>
      <c r="P533" s="6" t="s">
        <v>3324</v>
      </c>
      <c r="Q533" s="1215" t="s">
        <v>253</v>
      </c>
      <c r="R533" s="1215" t="s">
        <v>255</v>
      </c>
      <c r="S533" s="1215" t="s">
        <v>534</v>
      </c>
      <c r="T533" s="1215" t="s">
        <v>533</v>
      </c>
      <c r="U533" s="6" t="s">
        <v>567</v>
      </c>
      <c r="V533" s="6" t="s">
        <v>35</v>
      </c>
      <c r="W533" s="6" t="s">
        <v>863</v>
      </c>
      <c r="X533" s="6" t="s">
        <v>193</v>
      </c>
    </row>
    <row r="534" spans="1:24" ht="15" customHeight="1" x14ac:dyDescent="0.3">
      <c r="A534" s="6" t="s">
        <v>533</v>
      </c>
      <c r="B534" s="6" t="s">
        <v>534</v>
      </c>
      <c r="C534" s="6" t="s">
        <v>35</v>
      </c>
      <c r="D534" s="1088" t="s">
        <v>567</v>
      </c>
      <c r="E534" s="6" t="s">
        <v>193</v>
      </c>
      <c r="F534" s="6" t="s">
        <v>863</v>
      </c>
      <c r="G534" s="6" t="s">
        <v>2910</v>
      </c>
      <c r="H534" s="6" t="s">
        <v>3091</v>
      </c>
      <c r="J534" s="1215" t="s">
        <v>509</v>
      </c>
      <c r="K534" s="1219" t="s">
        <v>3109</v>
      </c>
      <c r="L534" s="8">
        <v>6</v>
      </c>
      <c r="M534" s="8">
        <v>30</v>
      </c>
      <c r="N534" s="1169" t="s">
        <v>271</v>
      </c>
      <c r="P534" s="6" t="s">
        <v>3324</v>
      </c>
      <c r="Q534" s="1215" t="s">
        <v>253</v>
      </c>
      <c r="R534" s="1215" t="s">
        <v>255</v>
      </c>
      <c r="S534" s="1215" t="s">
        <v>534</v>
      </c>
      <c r="T534" s="1215" t="s">
        <v>533</v>
      </c>
      <c r="U534" s="6" t="s">
        <v>567</v>
      </c>
      <c r="V534" s="6" t="s">
        <v>35</v>
      </c>
      <c r="W534" s="6" t="s">
        <v>863</v>
      </c>
      <c r="X534" s="6" t="s">
        <v>193</v>
      </c>
    </row>
    <row r="535" spans="1:24" ht="15" customHeight="1" x14ac:dyDescent="0.3">
      <c r="A535" s="6" t="s">
        <v>533</v>
      </c>
      <c r="B535" s="6" t="s">
        <v>534</v>
      </c>
      <c r="C535" s="6" t="s">
        <v>35</v>
      </c>
      <c r="D535" s="1088" t="s">
        <v>567</v>
      </c>
      <c r="E535" s="6" t="s">
        <v>193</v>
      </c>
      <c r="F535" s="6" t="s">
        <v>863</v>
      </c>
      <c r="G535" s="6" t="s">
        <v>2910</v>
      </c>
      <c r="H535" s="6" t="s">
        <v>3091</v>
      </c>
      <c r="J535" s="1215" t="s">
        <v>509</v>
      </c>
      <c r="K535" s="1219" t="s">
        <v>3110</v>
      </c>
      <c r="L535" s="8">
        <v>21</v>
      </c>
      <c r="M535" s="8">
        <v>121</v>
      </c>
      <c r="N535" s="1169" t="s">
        <v>271</v>
      </c>
      <c r="P535" s="6" t="s">
        <v>3324</v>
      </c>
      <c r="Q535" s="1215" t="s">
        <v>253</v>
      </c>
      <c r="R535" s="1215" t="s">
        <v>255</v>
      </c>
      <c r="S535" s="1215" t="s">
        <v>534</v>
      </c>
      <c r="T535" s="1215" t="s">
        <v>533</v>
      </c>
      <c r="U535" s="6" t="s">
        <v>567</v>
      </c>
      <c r="V535" s="6" t="s">
        <v>35</v>
      </c>
      <c r="W535" s="6" t="s">
        <v>863</v>
      </c>
      <c r="X535" s="6" t="s">
        <v>193</v>
      </c>
    </row>
    <row r="536" spans="1:24" ht="15" customHeight="1" x14ac:dyDescent="0.3">
      <c r="A536" s="6" t="s">
        <v>533</v>
      </c>
      <c r="B536" s="6" t="s">
        <v>534</v>
      </c>
      <c r="C536" s="6" t="s">
        <v>35</v>
      </c>
      <c r="D536" s="1088" t="s">
        <v>567</v>
      </c>
      <c r="E536" s="6" t="s">
        <v>193</v>
      </c>
      <c r="F536" s="6" t="s">
        <v>863</v>
      </c>
      <c r="G536" s="6" t="s">
        <v>2910</v>
      </c>
      <c r="H536" s="6" t="s">
        <v>3091</v>
      </c>
      <c r="J536" s="1215" t="s">
        <v>509</v>
      </c>
      <c r="K536" s="1219" t="s">
        <v>3111</v>
      </c>
      <c r="L536" s="8">
        <v>2</v>
      </c>
      <c r="M536" s="8">
        <v>3</v>
      </c>
      <c r="N536" s="6" t="s">
        <v>271</v>
      </c>
      <c r="P536" s="6" t="s">
        <v>3324</v>
      </c>
      <c r="Q536" s="1215" t="s">
        <v>253</v>
      </c>
      <c r="R536" s="1215" t="s">
        <v>255</v>
      </c>
      <c r="S536" s="1215" t="s">
        <v>534</v>
      </c>
      <c r="T536" s="1215" t="s">
        <v>533</v>
      </c>
      <c r="U536" s="6" t="s">
        <v>567</v>
      </c>
      <c r="V536" s="6" t="s">
        <v>35</v>
      </c>
      <c r="W536" s="6" t="s">
        <v>863</v>
      </c>
      <c r="X536" s="6" t="s">
        <v>193</v>
      </c>
    </row>
    <row r="537" spans="1:24" ht="15" customHeight="1" x14ac:dyDescent="0.3">
      <c r="A537" s="6" t="s">
        <v>533</v>
      </c>
      <c r="B537" s="6" t="s">
        <v>534</v>
      </c>
      <c r="C537" s="6" t="s">
        <v>35</v>
      </c>
      <c r="D537" s="1088" t="s">
        <v>567</v>
      </c>
      <c r="E537" s="6" t="s">
        <v>193</v>
      </c>
      <c r="F537" s="6" t="s">
        <v>863</v>
      </c>
      <c r="G537" s="6" t="s">
        <v>1600</v>
      </c>
      <c r="H537" s="6" t="s">
        <v>1601</v>
      </c>
      <c r="J537" s="1215" t="s">
        <v>509</v>
      </c>
      <c r="K537" s="1219" t="s">
        <v>3033</v>
      </c>
      <c r="L537" s="8">
        <v>30</v>
      </c>
      <c r="M537" s="8">
        <v>150</v>
      </c>
      <c r="N537" s="6" t="s">
        <v>271</v>
      </c>
      <c r="P537" s="6" t="s">
        <v>3324</v>
      </c>
      <c r="Q537" s="1215" t="s">
        <v>253</v>
      </c>
      <c r="R537" s="1215" t="s">
        <v>255</v>
      </c>
      <c r="S537" s="1215" t="s">
        <v>534</v>
      </c>
      <c r="T537" s="1215" t="s">
        <v>533</v>
      </c>
      <c r="U537" s="6" t="s">
        <v>567</v>
      </c>
      <c r="V537" s="6" t="s">
        <v>35</v>
      </c>
      <c r="W537" s="6" t="s">
        <v>863</v>
      </c>
      <c r="X537" s="6" t="s">
        <v>193</v>
      </c>
    </row>
    <row r="538" spans="1:24" ht="15" customHeight="1" x14ac:dyDescent="0.3">
      <c r="A538" s="6" t="s">
        <v>533</v>
      </c>
      <c r="B538" s="6" t="s">
        <v>534</v>
      </c>
      <c r="C538" s="6" t="s">
        <v>35</v>
      </c>
      <c r="D538" s="1088" t="s">
        <v>567</v>
      </c>
      <c r="E538" s="6" t="s">
        <v>193</v>
      </c>
      <c r="F538" s="6" t="s">
        <v>863</v>
      </c>
      <c r="G538" s="6" t="s">
        <v>1600</v>
      </c>
      <c r="H538" s="6" t="s">
        <v>1601</v>
      </c>
      <c r="J538" s="1215" t="s">
        <v>509</v>
      </c>
      <c r="K538" s="1219" t="s">
        <v>3110</v>
      </c>
      <c r="L538" s="8">
        <v>7</v>
      </c>
      <c r="M538" s="8">
        <v>65</v>
      </c>
      <c r="N538" s="1169" t="s">
        <v>271</v>
      </c>
      <c r="P538" s="6" t="s">
        <v>3324</v>
      </c>
      <c r="Q538" s="1215" t="s">
        <v>253</v>
      </c>
      <c r="R538" s="1215" t="s">
        <v>255</v>
      </c>
      <c r="S538" s="1215" t="s">
        <v>534</v>
      </c>
      <c r="T538" s="1215" t="s">
        <v>533</v>
      </c>
      <c r="U538" s="6" t="s">
        <v>567</v>
      </c>
      <c r="V538" s="6" t="s">
        <v>35</v>
      </c>
      <c r="W538" s="6" t="s">
        <v>863</v>
      </c>
      <c r="X538" s="6" t="s">
        <v>193</v>
      </c>
    </row>
    <row r="539" spans="1:24" ht="15" customHeight="1" x14ac:dyDescent="0.3">
      <c r="A539" s="6" t="s">
        <v>533</v>
      </c>
      <c r="B539" s="6" t="s">
        <v>534</v>
      </c>
      <c r="C539" s="6" t="s">
        <v>35</v>
      </c>
      <c r="D539" s="1088" t="s">
        <v>567</v>
      </c>
      <c r="E539" s="6" t="s">
        <v>193</v>
      </c>
      <c r="F539" s="6" t="s">
        <v>863</v>
      </c>
      <c r="G539" s="6" t="s">
        <v>1600</v>
      </c>
      <c r="H539" s="6" t="s">
        <v>1601</v>
      </c>
      <c r="J539" s="1215" t="s">
        <v>509</v>
      </c>
      <c r="K539" s="1219" t="s">
        <v>3111</v>
      </c>
      <c r="L539" s="8">
        <v>11</v>
      </c>
      <c r="M539" s="8">
        <v>37</v>
      </c>
      <c r="N539" s="1169" t="s">
        <v>271</v>
      </c>
      <c r="P539" s="6" t="s">
        <v>3324</v>
      </c>
      <c r="Q539" s="1215" t="s">
        <v>253</v>
      </c>
      <c r="R539" s="1215" t="s">
        <v>255</v>
      </c>
      <c r="S539" s="1215" t="s">
        <v>534</v>
      </c>
      <c r="T539" s="1215" t="s">
        <v>533</v>
      </c>
      <c r="U539" s="6" t="s">
        <v>567</v>
      </c>
      <c r="V539" s="6" t="s">
        <v>35</v>
      </c>
      <c r="W539" s="6" t="s">
        <v>863</v>
      </c>
      <c r="X539" s="6" t="s">
        <v>193</v>
      </c>
    </row>
    <row r="540" spans="1:24" ht="15" customHeight="1" x14ac:dyDescent="0.3">
      <c r="A540" s="6" t="s">
        <v>533</v>
      </c>
      <c r="B540" s="6" t="s">
        <v>534</v>
      </c>
      <c r="C540" s="6" t="s">
        <v>35</v>
      </c>
      <c r="D540" s="1088" t="s">
        <v>567</v>
      </c>
      <c r="E540" s="1088" t="s">
        <v>193</v>
      </c>
      <c r="F540" s="6" t="s">
        <v>863</v>
      </c>
      <c r="G540" s="6" t="s">
        <v>1600</v>
      </c>
      <c r="H540" s="6" t="s">
        <v>1601</v>
      </c>
      <c r="J540" s="1215" t="s">
        <v>509</v>
      </c>
      <c r="K540" s="1219" t="s">
        <v>3112</v>
      </c>
      <c r="L540" s="8">
        <v>12</v>
      </c>
      <c r="M540" s="8">
        <v>34</v>
      </c>
      <c r="N540" s="1169" t="s">
        <v>271</v>
      </c>
      <c r="P540" s="6" t="s">
        <v>3324</v>
      </c>
      <c r="Q540" s="1215" t="s">
        <v>253</v>
      </c>
      <c r="R540" s="1215" t="s">
        <v>255</v>
      </c>
      <c r="S540" s="1215" t="s">
        <v>534</v>
      </c>
      <c r="T540" s="1215" t="s">
        <v>533</v>
      </c>
      <c r="U540" s="6" t="s">
        <v>567</v>
      </c>
      <c r="V540" s="6" t="s">
        <v>35</v>
      </c>
      <c r="W540" s="6" t="s">
        <v>863</v>
      </c>
      <c r="X540" s="6" t="s">
        <v>193</v>
      </c>
    </row>
    <row r="541" spans="1:24" ht="15" customHeight="1" x14ac:dyDescent="0.3">
      <c r="A541" s="6" t="s">
        <v>533</v>
      </c>
      <c r="B541" s="6" t="s">
        <v>534</v>
      </c>
      <c r="C541" s="6" t="s">
        <v>30</v>
      </c>
      <c r="D541" s="1088" t="s">
        <v>535</v>
      </c>
      <c r="E541" s="6" t="s">
        <v>156</v>
      </c>
      <c r="F541" s="6" t="s">
        <v>697</v>
      </c>
      <c r="G541" s="6" t="s">
        <v>2799</v>
      </c>
      <c r="H541" s="6" t="s">
        <v>3240</v>
      </c>
      <c r="J541" s="1215" t="s">
        <v>509</v>
      </c>
      <c r="K541" s="1219" t="s">
        <v>3110</v>
      </c>
      <c r="L541" s="8">
        <v>312</v>
      </c>
      <c r="M541" s="8">
        <v>1874</v>
      </c>
      <c r="N541" s="1169" t="s">
        <v>274</v>
      </c>
      <c r="P541" s="6" t="s">
        <v>3322</v>
      </c>
      <c r="Q541" s="1215" t="s">
        <v>253</v>
      </c>
      <c r="R541" s="1215" t="s">
        <v>255</v>
      </c>
      <c r="S541" s="1215" t="s">
        <v>534</v>
      </c>
      <c r="T541" s="1215" t="s">
        <v>533</v>
      </c>
      <c r="U541" s="6" t="s">
        <v>542</v>
      </c>
      <c r="V541" s="6" t="s">
        <v>32</v>
      </c>
    </row>
    <row r="542" spans="1:24" ht="15" customHeight="1" x14ac:dyDescent="0.3">
      <c r="A542" s="6" t="s">
        <v>533</v>
      </c>
      <c r="B542" s="6" t="s">
        <v>534</v>
      </c>
      <c r="C542" s="6" t="s">
        <v>30</v>
      </c>
      <c r="D542" s="1088" t="s">
        <v>535</v>
      </c>
      <c r="E542" s="6" t="s">
        <v>156</v>
      </c>
      <c r="F542" s="6" t="s">
        <v>697</v>
      </c>
      <c r="G542" s="6" t="s">
        <v>2993</v>
      </c>
      <c r="H542" s="6" t="s">
        <v>3298</v>
      </c>
      <c r="J542" s="1215" t="s">
        <v>509</v>
      </c>
      <c r="K542" s="1219" t="s">
        <v>3110</v>
      </c>
      <c r="L542" s="8">
        <v>122</v>
      </c>
      <c r="M542" s="8">
        <v>650</v>
      </c>
      <c r="N542" s="1169" t="s">
        <v>274</v>
      </c>
      <c r="P542" s="6" t="s">
        <v>3322</v>
      </c>
      <c r="Q542" s="1215" t="s">
        <v>253</v>
      </c>
      <c r="R542" s="1215" t="s">
        <v>255</v>
      </c>
      <c r="S542" s="1215" t="s">
        <v>534</v>
      </c>
      <c r="T542" s="1215" t="s">
        <v>533</v>
      </c>
      <c r="U542" s="6" t="s">
        <v>542</v>
      </c>
      <c r="V542" s="6" t="s">
        <v>32</v>
      </c>
    </row>
    <row r="543" spans="1:24" ht="15" customHeight="1" x14ac:dyDescent="0.3">
      <c r="A543" s="6" t="s">
        <v>533</v>
      </c>
      <c r="B543" s="6" t="s">
        <v>534</v>
      </c>
      <c r="C543" s="6" t="s">
        <v>30</v>
      </c>
      <c r="D543" s="1088" t="s">
        <v>535</v>
      </c>
      <c r="E543" s="6" t="s">
        <v>159</v>
      </c>
      <c r="F543" s="6" t="s">
        <v>574</v>
      </c>
      <c r="G543" s="6" t="s">
        <v>3096</v>
      </c>
      <c r="H543" s="6" t="s">
        <v>3249</v>
      </c>
      <c r="J543" s="1215" t="s">
        <v>509</v>
      </c>
      <c r="K543" s="1219" t="s">
        <v>3110</v>
      </c>
      <c r="L543" s="8">
        <v>102</v>
      </c>
      <c r="M543" s="8">
        <v>708</v>
      </c>
      <c r="N543" s="1169" t="s">
        <v>274</v>
      </c>
      <c r="P543" s="6" t="s">
        <v>3322</v>
      </c>
      <c r="Q543" s="1215" t="s">
        <v>253</v>
      </c>
      <c r="R543" s="1215" t="s">
        <v>255</v>
      </c>
      <c r="S543" s="1215" t="s">
        <v>534</v>
      </c>
      <c r="T543" s="1215" t="s">
        <v>533</v>
      </c>
      <c r="U543" s="6" t="s">
        <v>542</v>
      </c>
      <c r="V543" s="6" t="s">
        <v>32</v>
      </c>
    </row>
    <row r="544" spans="1:24" ht="15" customHeight="1" x14ac:dyDescent="0.3">
      <c r="A544" s="6" t="s">
        <v>533</v>
      </c>
      <c r="B544" s="6" t="s">
        <v>534</v>
      </c>
      <c r="C544" s="6" t="s">
        <v>30</v>
      </c>
      <c r="D544" s="1088" t="s">
        <v>535</v>
      </c>
      <c r="E544" s="6" t="s">
        <v>162</v>
      </c>
      <c r="F544" s="6" t="s">
        <v>536</v>
      </c>
      <c r="G544" s="6" t="s">
        <v>550</v>
      </c>
      <c r="H544" s="6" t="s">
        <v>3185</v>
      </c>
      <c r="I544" s="6" t="s">
        <v>3185</v>
      </c>
      <c r="J544" s="1215" t="s">
        <v>509</v>
      </c>
      <c r="K544" s="1219" t="s">
        <v>3111</v>
      </c>
      <c r="L544" s="8">
        <v>5</v>
      </c>
      <c r="M544" s="8">
        <v>48</v>
      </c>
      <c r="N544" s="1169" t="s">
        <v>274</v>
      </c>
      <c r="P544" s="6" t="s">
        <v>3322</v>
      </c>
      <c r="Q544" s="1215" t="s">
        <v>253</v>
      </c>
      <c r="R544" s="1215" t="s">
        <v>255</v>
      </c>
      <c r="S544" s="1215" t="s">
        <v>534</v>
      </c>
      <c r="T544" s="1215" t="s">
        <v>533</v>
      </c>
      <c r="U544" s="6" t="s">
        <v>542</v>
      </c>
      <c r="V544" s="6" t="s">
        <v>32</v>
      </c>
    </row>
    <row r="545" spans="1:24" ht="15" customHeight="1" x14ac:dyDescent="0.3">
      <c r="A545" s="6" t="s">
        <v>533</v>
      </c>
      <c r="B545" s="6" t="s">
        <v>534</v>
      </c>
      <c r="C545" s="6" t="s">
        <v>30</v>
      </c>
      <c r="D545" s="1088" t="s">
        <v>535</v>
      </c>
      <c r="E545" s="6" t="s">
        <v>162</v>
      </c>
      <c r="F545" s="6" t="s">
        <v>536</v>
      </c>
      <c r="G545" s="6" t="s">
        <v>614</v>
      </c>
      <c r="H545" s="6" t="s">
        <v>3299</v>
      </c>
      <c r="J545" s="1215" t="s">
        <v>509</v>
      </c>
      <c r="K545" s="1219" t="s">
        <v>3033</v>
      </c>
      <c r="L545" s="8">
        <v>17</v>
      </c>
      <c r="M545" s="8">
        <v>135</v>
      </c>
      <c r="N545" s="1169" t="s">
        <v>272</v>
      </c>
      <c r="P545" s="6" t="s">
        <v>3324</v>
      </c>
      <c r="Q545" s="1215" t="s">
        <v>253</v>
      </c>
      <c r="R545" s="1215" t="s">
        <v>255</v>
      </c>
      <c r="S545" s="1215" t="s">
        <v>534</v>
      </c>
      <c r="T545" s="1215" t="s">
        <v>533</v>
      </c>
      <c r="U545" s="6" t="s">
        <v>535</v>
      </c>
      <c r="V545" s="6" t="s">
        <v>30</v>
      </c>
      <c r="W545" s="6" t="s">
        <v>536</v>
      </c>
      <c r="X545" s="6" t="s">
        <v>162</v>
      </c>
    </row>
    <row r="546" spans="1:24" ht="15" customHeight="1" x14ac:dyDescent="0.3">
      <c r="A546" s="6" t="s">
        <v>533</v>
      </c>
      <c r="B546" s="6" t="s">
        <v>534</v>
      </c>
      <c r="C546" s="6" t="s">
        <v>30</v>
      </c>
      <c r="D546" s="1088" t="s">
        <v>535</v>
      </c>
      <c r="E546" s="6" t="s">
        <v>162</v>
      </c>
      <c r="F546" s="6" t="s">
        <v>536</v>
      </c>
      <c r="G546" s="6" t="s">
        <v>614</v>
      </c>
      <c r="H546" s="6" t="s">
        <v>3299</v>
      </c>
      <c r="J546" s="1215" t="s">
        <v>509</v>
      </c>
      <c r="K546" s="1219" t="s">
        <v>3111</v>
      </c>
      <c r="L546" s="8">
        <v>0</v>
      </c>
      <c r="M546" s="8">
        <v>5</v>
      </c>
      <c r="N546" s="1169" t="s">
        <v>272</v>
      </c>
      <c r="P546" s="6" t="s">
        <v>3324</v>
      </c>
      <c r="Q546" s="1215" t="s">
        <v>253</v>
      </c>
      <c r="R546" s="1215" t="s">
        <v>255</v>
      </c>
      <c r="S546" s="1215" t="s">
        <v>534</v>
      </c>
      <c r="T546" s="1215" t="s">
        <v>533</v>
      </c>
      <c r="U546" s="6" t="s">
        <v>535</v>
      </c>
      <c r="V546" s="6" t="s">
        <v>30</v>
      </c>
      <c r="W546" s="6" t="s">
        <v>536</v>
      </c>
      <c r="X546" s="6" t="s">
        <v>162</v>
      </c>
    </row>
    <row r="547" spans="1:24" ht="15" customHeight="1" x14ac:dyDescent="0.3">
      <c r="A547" s="6" t="s">
        <v>533</v>
      </c>
      <c r="B547" s="6" t="s">
        <v>534</v>
      </c>
      <c r="C547" s="6" t="s">
        <v>34</v>
      </c>
      <c r="D547" s="1088" t="s">
        <v>539</v>
      </c>
      <c r="E547" s="1088" t="s">
        <v>187</v>
      </c>
      <c r="F547" s="6" t="s">
        <v>951</v>
      </c>
      <c r="G547" s="6" t="s">
        <v>2919</v>
      </c>
      <c r="H547" s="6" t="s">
        <v>1575</v>
      </c>
      <c r="J547" s="1215" t="s">
        <v>509</v>
      </c>
      <c r="K547" s="1219" t="s">
        <v>3033</v>
      </c>
      <c r="L547" s="8">
        <v>125</v>
      </c>
      <c r="M547" s="8">
        <v>771</v>
      </c>
      <c r="N547" s="1169" t="s">
        <v>271</v>
      </c>
      <c r="P547" s="6" t="s">
        <v>3324</v>
      </c>
      <c r="Q547" s="1215" t="s">
        <v>253</v>
      </c>
      <c r="R547" s="1215" t="s">
        <v>255</v>
      </c>
      <c r="S547" s="1215" t="s">
        <v>534</v>
      </c>
      <c r="T547" s="1215" t="s">
        <v>533</v>
      </c>
      <c r="U547" s="6" t="s">
        <v>539</v>
      </c>
      <c r="V547" s="6" t="s">
        <v>34</v>
      </c>
      <c r="W547" s="6" t="s">
        <v>951</v>
      </c>
      <c r="X547" s="6" t="s">
        <v>187</v>
      </c>
    </row>
    <row r="548" spans="1:24" ht="15" customHeight="1" x14ac:dyDescent="0.3">
      <c r="A548" s="6" t="s">
        <v>533</v>
      </c>
      <c r="B548" s="6" t="s">
        <v>534</v>
      </c>
      <c r="C548" s="6" t="s">
        <v>34</v>
      </c>
      <c r="D548" s="1088" t="s">
        <v>539</v>
      </c>
      <c r="E548" s="1088" t="s">
        <v>187</v>
      </c>
      <c r="F548" s="6" t="s">
        <v>951</v>
      </c>
      <c r="G548" s="6" t="s">
        <v>2919</v>
      </c>
      <c r="H548" s="6" t="s">
        <v>1575</v>
      </c>
      <c r="J548" s="1215" t="s">
        <v>509</v>
      </c>
      <c r="K548" s="1219" t="s">
        <v>3109</v>
      </c>
      <c r="L548" s="8">
        <v>489</v>
      </c>
      <c r="M548" s="8">
        <v>2384</v>
      </c>
      <c r="N548" s="1169" t="s">
        <v>271</v>
      </c>
      <c r="P548" s="6" t="s">
        <v>3324</v>
      </c>
      <c r="Q548" s="1215" t="s">
        <v>253</v>
      </c>
      <c r="R548" s="1215" t="s">
        <v>255</v>
      </c>
      <c r="S548" s="1215" t="s">
        <v>534</v>
      </c>
      <c r="T548" s="1215" t="s">
        <v>533</v>
      </c>
      <c r="U548" s="6" t="s">
        <v>539</v>
      </c>
      <c r="V548" s="6" t="s">
        <v>34</v>
      </c>
      <c r="W548" s="6" t="s">
        <v>951</v>
      </c>
      <c r="X548" s="6" t="s">
        <v>187</v>
      </c>
    </row>
    <row r="549" spans="1:24" ht="15" customHeight="1" x14ac:dyDescent="0.3">
      <c r="A549" s="6" t="s">
        <v>533</v>
      </c>
      <c r="B549" s="6" t="s">
        <v>534</v>
      </c>
      <c r="C549" s="6" t="s">
        <v>34</v>
      </c>
      <c r="D549" s="1088" t="s">
        <v>539</v>
      </c>
      <c r="E549" s="6" t="s">
        <v>187</v>
      </c>
      <c r="F549" s="6" t="s">
        <v>951</v>
      </c>
      <c r="G549" s="6" t="s">
        <v>2919</v>
      </c>
      <c r="H549" s="6" t="s">
        <v>1575</v>
      </c>
      <c r="J549" s="1215" t="s">
        <v>509</v>
      </c>
      <c r="K549" s="1219" t="s">
        <v>3110</v>
      </c>
      <c r="L549" s="8">
        <v>100</v>
      </c>
      <c r="M549" s="8">
        <v>2520</v>
      </c>
      <c r="N549" s="1169" t="s">
        <v>271</v>
      </c>
      <c r="P549" s="6" t="s">
        <v>3324</v>
      </c>
      <c r="Q549" s="1215" t="s">
        <v>253</v>
      </c>
      <c r="R549" s="1215" t="s">
        <v>255</v>
      </c>
      <c r="S549" s="1215" t="s">
        <v>534</v>
      </c>
      <c r="T549" s="1215" t="s">
        <v>533</v>
      </c>
      <c r="U549" s="6" t="s">
        <v>539</v>
      </c>
      <c r="V549" s="6" t="s">
        <v>34</v>
      </c>
      <c r="W549" s="6" t="s">
        <v>951</v>
      </c>
      <c r="X549" s="6" t="s">
        <v>187</v>
      </c>
    </row>
    <row r="550" spans="1:24" ht="15" customHeight="1" x14ac:dyDescent="0.3">
      <c r="A550" s="6" t="s">
        <v>533</v>
      </c>
      <c r="B550" s="6" t="s">
        <v>534</v>
      </c>
      <c r="C550" s="6" t="s">
        <v>34</v>
      </c>
      <c r="D550" s="1088" t="s">
        <v>539</v>
      </c>
      <c r="E550" s="6" t="s">
        <v>187</v>
      </c>
      <c r="F550" s="6" t="s">
        <v>951</v>
      </c>
      <c r="G550" s="6" t="s">
        <v>2919</v>
      </c>
      <c r="H550" s="6" t="s">
        <v>1575</v>
      </c>
      <c r="J550" s="1215" t="s">
        <v>509</v>
      </c>
      <c r="K550" s="1219" t="s">
        <v>3111</v>
      </c>
      <c r="L550" s="8">
        <v>45</v>
      </c>
      <c r="M550" s="8">
        <v>357</v>
      </c>
      <c r="N550" s="1169" t="s">
        <v>271</v>
      </c>
      <c r="P550" s="6" t="s">
        <v>3324</v>
      </c>
      <c r="Q550" s="1215" t="s">
        <v>253</v>
      </c>
      <c r="R550" s="1215" t="s">
        <v>255</v>
      </c>
      <c r="S550" s="1215" t="s">
        <v>534</v>
      </c>
      <c r="T550" s="1215" t="s">
        <v>533</v>
      </c>
      <c r="U550" s="6" t="s">
        <v>539</v>
      </c>
      <c r="V550" s="6" t="s">
        <v>34</v>
      </c>
      <c r="W550" s="6" t="s">
        <v>951</v>
      </c>
      <c r="X550" s="6" t="s">
        <v>187</v>
      </c>
    </row>
    <row r="551" spans="1:24" ht="15" customHeight="1" x14ac:dyDescent="0.3">
      <c r="A551" s="6" t="s">
        <v>533</v>
      </c>
      <c r="B551" s="6" t="s">
        <v>534</v>
      </c>
      <c r="C551" s="6" t="s">
        <v>34</v>
      </c>
      <c r="D551" s="1088" t="s">
        <v>539</v>
      </c>
      <c r="E551" s="6" t="s">
        <v>187</v>
      </c>
      <c r="F551" s="6" t="s">
        <v>951</v>
      </c>
      <c r="G551" s="6" t="s">
        <v>2919</v>
      </c>
      <c r="H551" s="6" t="s">
        <v>1575</v>
      </c>
      <c r="J551" s="1215" t="s">
        <v>509</v>
      </c>
      <c r="K551" s="1219" t="s">
        <v>3112</v>
      </c>
      <c r="L551" s="8">
        <v>73</v>
      </c>
      <c r="M551" s="8">
        <v>556</v>
      </c>
      <c r="N551" s="1169" t="s">
        <v>271</v>
      </c>
      <c r="P551" s="6" t="s">
        <v>3324</v>
      </c>
      <c r="Q551" s="1215" t="s">
        <v>253</v>
      </c>
      <c r="R551" s="1215" t="s">
        <v>255</v>
      </c>
      <c r="S551" s="1215" t="s">
        <v>534</v>
      </c>
      <c r="T551" s="1215" t="s">
        <v>533</v>
      </c>
      <c r="U551" s="6" t="s">
        <v>539</v>
      </c>
      <c r="V551" s="6" t="s">
        <v>34</v>
      </c>
      <c r="W551" s="6" t="s">
        <v>951</v>
      </c>
      <c r="X551" s="6" t="s">
        <v>187</v>
      </c>
    </row>
    <row r="552" spans="1:24" ht="15" customHeight="1" x14ac:dyDescent="0.3">
      <c r="A552" s="6" t="s">
        <v>533</v>
      </c>
      <c r="B552" s="6" t="s">
        <v>534</v>
      </c>
      <c r="C552" s="6" t="s">
        <v>31</v>
      </c>
      <c r="D552" s="1088" t="s">
        <v>549</v>
      </c>
      <c r="E552" s="1088" t="s">
        <v>171</v>
      </c>
      <c r="F552" s="6" t="s">
        <v>634</v>
      </c>
      <c r="G552" s="6" t="s">
        <v>1804</v>
      </c>
      <c r="H552" s="6" t="s">
        <v>1988</v>
      </c>
      <c r="J552" s="1215" t="s">
        <v>509</v>
      </c>
      <c r="K552" s="1219" t="s">
        <v>3033</v>
      </c>
      <c r="L552" s="8">
        <v>10</v>
      </c>
      <c r="M552" s="8">
        <v>70</v>
      </c>
      <c r="N552" s="1169" t="s">
        <v>271</v>
      </c>
      <c r="P552" s="6" t="s">
        <v>3324</v>
      </c>
      <c r="Q552" s="1215" t="s">
        <v>253</v>
      </c>
      <c r="R552" s="1215" t="s">
        <v>255</v>
      </c>
      <c r="S552" s="1215" t="s">
        <v>534</v>
      </c>
      <c r="T552" s="1215" t="s">
        <v>533</v>
      </c>
      <c r="U552" s="6" t="s">
        <v>549</v>
      </c>
      <c r="V552" s="6" t="s">
        <v>31</v>
      </c>
      <c r="W552" s="6" t="s">
        <v>634</v>
      </c>
      <c r="X552" s="6" t="s">
        <v>171</v>
      </c>
    </row>
    <row r="553" spans="1:24" ht="15" customHeight="1" x14ac:dyDescent="0.3">
      <c r="A553" s="6" t="s">
        <v>533</v>
      </c>
      <c r="B553" s="6" t="s">
        <v>534</v>
      </c>
      <c r="C553" s="6" t="s">
        <v>31</v>
      </c>
      <c r="D553" s="1088" t="s">
        <v>549</v>
      </c>
      <c r="E553" s="6" t="s">
        <v>171</v>
      </c>
      <c r="F553" s="6" t="s">
        <v>634</v>
      </c>
      <c r="G553" s="6" t="s">
        <v>1804</v>
      </c>
      <c r="H553" s="6" t="s">
        <v>1988</v>
      </c>
      <c r="J553" s="1215" t="s">
        <v>509</v>
      </c>
      <c r="K553" s="1219" t="s">
        <v>3112</v>
      </c>
      <c r="L553" s="8">
        <v>8</v>
      </c>
      <c r="M553" s="8">
        <v>71</v>
      </c>
      <c r="N553" s="1169" t="s">
        <v>272</v>
      </c>
      <c r="P553" s="6" t="s">
        <v>3324</v>
      </c>
      <c r="Q553" s="1215" t="s">
        <v>253</v>
      </c>
      <c r="R553" s="1215" t="s">
        <v>255</v>
      </c>
      <c r="S553" s="1215" t="s">
        <v>534</v>
      </c>
      <c r="T553" s="1215" t="s">
        <v>533</v>
      </c>
      <c r="U553" s="6" t="s">
        <v>549</v>
      </c>
      <c r="V553" s="6" t="s">
        <v>31</v>
      </c>
      <c r="W553" s="6" t="s">
        <v>634</v>
      </c>
      <c r="X553" s="6" t="s">
        <v>171</v>
      </c>
    </row>
    <row r="554" spans="1:24" ht="15" customHeight="1" x14ac:dyDescent="0.3">
      <c r="A554" s="6" t="s">
        <v>533</v>
      </c>
      <c r="B554" s="6" t="s">
        <v>534</v>
      </c>
      <c r="C554" s="6" t="s">
        <v>31</v>
      </c>
      <c r="D554" s="1088" t="s">
        <v>549</v>
      </c>
      <c r="E554" s="6" t="s">
        <v>171</v>
      </c>
      <c r="F554" s="6" t="s">
        <v>634</v>
      </c>
      <c r="G554" s="6" t="s">
        <v>1158</v>
      </c>
      <c r="H554" s="6" t="s">
        <v>1928</v>
      </c>
      <c r="J554" s="1215" t="s">
        <v>509</v>
      </c>
      <c r="K554" s="1219" t="s">
        <v>3033</v>
      </c>
      <c r="L554" s="8">
        <v>60</v>
      </c>
      <c r="M554" s="8">
        <v>90</v>
      </c>
      <c r="N554" s="1169" t="s">
        <v>271</v>
      </c>
      <c r="P554" s="6" t="s">
        <v>3324</v>
      </c>
      <c r="Q554" s="1215" t="s">
        <v>253</v>
      </c>
      <c r="R554" s="1215" t="s">
        <v>255</v>
      </c>
      <c r="S554" s="1215" t="s">
        <v>534</v>
      </c>
      <c r="T554" s="1215" t="s">
        <v>533</v>
      </c>
      <c r="U554" s="6" t="s">
        <v>549</v>
      </c>
      <c r="V554" s="6" t="s">
        <v>31</v>
      </c>
      <c r="W554" s="6" t="s">
        <v>634</v>
      </c>
      <c r="X554" s="6" t="s">
        <v>171</v>
      </c>
    </row>
    <row r="555" spans="1:24" ht="15" customHeight="1" x14ac:dyDescent="0.3">
      <c r="A555" s="6" t="s">
        <v>533</v>
      </c>
      <c r="B555" s="6" t="s">
        <v>534</v>
      </c>
      <c r="C555" s="6" t="s">
        <v>31</v>
      </c>
      <c r="D555" s="1088" t="s">
        <v>549</v>
      </c>
      <c r="E555" s="6" t="s">
        <v>171</v>
      </c>
      <c r="F555" s="6" t="s">
        <v>634</v>
      </c>
      <c r="G555" s="6" t="s">
        <v>1158</v>
      </c>
      <c r="H555" s="6" t="s">
        <v>1928</v>
      </c>
      <c r="J555" s="1215" t="s">
        <v>509</v>
      </c>
      <c r="K555" s="1219" t="s">
        <v>3112</v>
      </c>
      <c r="L555" s="8">
        <v>5</v>
      </c>
      <c r="M555" s="8">
        <v>15</v>
      </c>
      <c r="N555" s="1169" t="s">
        <v>272</v>
      </c>
      <c r="P555" s="6" t="s">
        <v>3324</v>
      </c>
      <c r="Q555" s="1215" t="s">
        <v>253</v>
      </c>
      <c r="R555" s="1215" t="s">
        <v>255</v>
      </c>
      <c r="S555" s="1215" t="s">
        <v>534</v>
      </c>
      <c r="T555" s="1215" t="s">
        <v>533</v>
      </c>
      <c r="U555" s="6" t="s">
        <v>549</v>
      </c>
      <c r="V555" s="6" t="s">
        <v>31</v>
      </c>
      <c r="W555" s="6" t="s">
        <v>634</v>
      </c>
      <c r="X555" s="6" t="s">
        <v>171</v>
      </c>
    </row>
    <row r="556" spans="1:24" ht="15" customHeight="1" x14ac:dyDescent="0.3">
      <c r="A556" s="6" t="s">
        <v>533</v>
      </c>
      <c r="B556" s="6" t="s">
        <v>534</v>
      </c>
      <c r="C556" s="6" t="s">
        <v>31</v>
      </c>
      <c r="D556" s="1088" t="s">
        <v>549</v>
      </c>
      <c r="E556" s="6" t="s">
        <v>170</v>
      </c>
      <c r="F556" s="6" t="s">
        <v>866</v>
      </c>
      <c r="G556" s="6" t="s">
        <v>1556</v>
      </c>
      <c r="H556" s="6" t="s">
        <v>613</v>
      </c>
      <c r="J556" s="1215" t="s">
        <v>509</v>
      </c>
      <c r="K556" s="1219" t="s">
        <v>3033</v>
      </c>
      <c r="L556" s="8">
        <v>12</v>
      </c>
      <c r="M556" s="8">
        <v>100</v>
      </c>
      <c r="N556" s="1169" t="s">
        <v>271</v>
      </c>
      <c r="P556" s="6" t="s">
        <v>3323</v>
      </c>
      <c r="Q556" s="1215" t="s">
        <v>253</v>
      </c>
      <c r="R556" s="1215" t="s">
        <v>255</v>
      </c>
      <c r="S556" s="1215" t="s">
        <v>534</v>
      </c>
      <c r="T556" s="1215" t="s">
        <v>533</v>
      </c>
      <c r="U556" s="6" t="s">
        <v>549</v>
      </c>
      <c r="V556" s="6" t="s">
        <v>31</v>
      </c>
      <c r="W556" s="6" t="s">
        <v>844</v>
      </c>
      <c r="X556" s="6" t="s">
        <v>166</v>
      </c>
    </row>
    <row r="557" spans="1:24" ht="15" customHeight="1" x14ac:dyDescent="0.3">
      <c r="A557" s="6" t="s">
        <v>533</v>
      </c>
      <c r="B557" s="6" t="s">
        <v>534</v>
      </c>
      <c r="C557" s="6" t="s">
        <v>31</v>
      </c>
      <c r="D557" s="1088" t="s">
        <v>549</v>
      </c>
      <c r="E557" s="6" t="s">
        <v>170</v>
      </c>
      <c r="F557" s="6" t="s">
        <v>866</v>
      </c>
      <c r="G557" s="6" t="s">
        <v>1556</v>
      </c>
      <c r="H557" s="6" t="s">
        <v>613</v>
      </c>
      <c r="J557" s="1215" t="s">
        <v>509</v>
      </c>
      <c r="K557" s="1219" t="s">
        <v>3109</v>
      </c>
      <c r="L557" s="8">
        <v>6</v>
      </c>
      <c r="M557" s="8">
        <v>54</v>
      </c>
      <c r="N557" s="1169" t="s">
        <v>271</v>
      </c>
      <c r="P557" s="6" t="s">
        <v>3323</v>
      </c>
      <c r="Q557" s="1215" t="s">
        <v>253</v>
      </c>
      <c r="R557" s="1215" t="s">
        <v>255</v>
      </c>
      <c r="S557" s="1215" t="s">
        <v>534</v>
      </c>
      <c r="T557" s="1215" t="s">
        <v>533</v>
      </c>
      <c r="U557" s="6" t="s">
        <v>549</v>
      </c>
      <c r="V557" s="6" t="s">
        <v>31</v>
      </c>
      <c r="W557" s="6" t="s">
        <v>844</v>
      </c>
      <c r="X557" s="6" t="s">
        <v>166</v>
      </c>
    </row>
    <row r="558" spans="1:24" ht="15" customHeight="1" x14ac:dyDescent="0.3">
      <c r="A558" s="6" t="s">
        <v>533</v>
      </c>
      <c r="B558" s="6" t="s">
        <v>534</v>
      </c>
      <c r="C558" s="6" t="s">
        <v>31</v>
      </c>
      <c r="D558" s="1088" t="s">
        <v>549</v>
      </c>
      <c r="E558" s="6" t="s">
        <v>170</v>
      </c>
      <c r="F558" s="6" t="s">
        <v>866</v>
      </c>
      <c r="G558" s="6" t="s">
        <v>1556</v>
      </c>
      <c r="H558" s="6" t="s">
        <v>613</v>
      </c>
      <c r="J558" s="1215" t="s">
        <v>509</v>
      </c>
      <c r="K558" s="1219" t="s">
        <v>3110</v>
      </c>
      <c r="L558" s="8">
        <v>3</v>
      </c>
      <c r="M558" s="8">
        <v>30</v>
      </c>
      <c r="N558" s="1169" t="s">
        <v>271</v>
      </c>
      <c r="P558" s="6" t="s">
        <v>3323</v>
      </c>
      <c r="Q558" s="1215" t="s">
        <v>253</v>
      </c>
      <c r="R558" s="1215" t="s">
        <v>255</v>
      </c>
      <c r="S558" s="1215" t="s">
        <v>534</v>
      </c>
      <c r="T558" s="1215" t="s">
        <v>533</v>
      </c>
      <c r="U558" s="6" t="s">
        <v>549</v>
      </c>
      <c r="V558" s="6" t="s">
        <v>31</v>
      </c>
      <c r="W558" s="6" t="s">
        <v>844</v>
      </c>
      <c r="X558" s="6" t="s">
        <v>166</v>
      </c>
    </row>
    <row r="559" spans="1:24" ht="15" customHeight="1" x14ac:dyDescent="0.3">
      <c r="A559" s="6" t="s">
        <v>533</v>
      </c>
      <c r="B559" s="6" t="s">
        <v>534</v>
      </c>
      <c r="C559" s="6" t="s">
        <v>31</v>
      </c>
      <c r="D559" s="1088" t="s">
        <v>549</v>
      </c>
      <c r="E559" s="6" t="s">
        <v>170</v>
      </c>
      <c r="F559" s="6" t="s">
        <v>866</v>
      </c>
      <c r="G559" s="6" t="s">
        <v>1556</v>
      </c>
      <c r="H559" s="6" t="s">
        <v>613</v>
      </c>
      <c r="J559" s="1215" t="s">
        <v>509</v>
      </c>
      <c r="K559" s="1219" t="s">
        <v>3111</v>
      </c>
      <c r="L559" s="8">
        <v>2</v>
      </c>
      <c r="M559" s="8">
        <v>20</v>
      </c>
      <c r="N559" s="1169" t="s">
        <v>274</v>
      </c>
      <c r="P559" s="6" t="s">
        <v>3323</v>
      </c>
      <c r="Q559" s="1215" t="s">
        <v>253</v>
      </c>
      <c r="R559" s="1215" t="s">
        <v>255</v>
      </c>
      <c r="S559" s="1215" t="s">
        <v>534</v>
      </c>
      <c r="T559" s="1215" t="s">
        <v>533</v>
      </c>
      <c r="U559" s="6" t="s">
        <v>549</v>
      </c>
      <c r="V559" s="6" t="s">
        <v>31</v>
      </c>
      <c r="W559" s="6" t="s">
        <v>673</v>
      </c>
      <c r="X559" s="6" t="s">
        <v>169</v>
      </c>
    </row>
    <row r="560" spans="1:24" ht="15" customHeight="1" x14ac:dyDescent="0.3">
      <c r="A560" s="6" t="s">
        <v>533</v>
      </c>
      <c r="B560" s="6" t="s">
        <v>534</v>
      </c>
      <c r="C560" s="6" t="s">
        <v>31</v>
      </c>
      <c r="D560" s="1088" t="s">
        <v>549</v>
      </c>
      <c r="E560" s="6" t="s">
        <v>170</v>
      </c>
      <c r="F560" s="6" t="s">
        <v>866</v>
      </c>
      <c r="G560" s="6" t="s">
        <v>1116</v>
      </c>
      <c r="H560" s="6" t="s">
        <v>2123</v>
      </c>
      <c r="J560" s="1215" t="s">
        <v>509</v>
      </c>
      <c r="K560" s="1219" t="s">
        <v>3109</v>
      </c>
      <c r="L560" s="8">
        <v>5</v>
      </c>
      <c r="M560" s="8">
        <v>47</v>
      </c>
      <c r="N560" s="1169" t="s">
        <v>271</v>
      </c>
      <c r="P560" s="6" t="s">
        <v>3323</v>
      </c>
      <c r="Q560" s="1215" t="s">
        <v>253</v>
      </c>
      <c r="R560" s="1215" t="s">
        <v>255</v>
      </c>
      <c r="S560" s="1215" t="s">
        <v>534</v>
      </c>
      <c r="T560" s="1215" t="s">
        <v>533</v>
      </c>
      <c r="U560" s="6" t="s">
        <v>549</v>
      </c>
      <c r="V560" s="6" t="s">
        <v>31</v>
      </c>
      <c r="W560" s="6" t="s">
        <v>844</v>
      </c>
      <c r="X560" s="6" t="s">
        <v>166</v>
      </c>
    </row>
    <row r="561" spans="1:24" ht="15" customHeight="1" x14ac:dyDescent="0.3">
      <c r="A561" s="6" t="s">
        <v>533</v>
      </c>
      <c r="B561" s="6" t="s">
        <v>534</v>
      </c>
      <c r="C561" s="6" t="s">
        <v>31</v>
      </c>
      <c r="D561" s="1088" t="s">
        <v>549</v>
      </c>
      <c r="E561" s="6" t="s">
        <v>170</v>
      </c>
      <c r="F561" s="6" t="s">
        <v>866</v>
      </c>
      <c r="G561" s="6" t="s">
        <v>1116</v>
      </c>
      <c r="H561" s="6" t="s">
        <v>2123</v>
      </c>
      <c r="J561" s="1215" t="s">
        <v>509</v>
      </c>
      <c r="K561" s="1219" t="s">
        <v>3110</v>
      </c>
      <c r="L561" s="8">
        <v>3</v>
      </c>
      <c r="M561" s="8">
        <v>15</v>
      </c>
      <c r="N561" s="1169" t="s">
        <v>271</v>
      </c>
      <c r="P561" s="6" t="s">
        <v>3323</v>
      </c>
      <c r="Q561" s="1215" t="s">
        <v>253</v>
      </c>
      <c r="R561" s="1215" t="s">
        <v>255</v>
      </c>
      <c r="S561" s="1215" t="s">
        <v>534</v>
      </c>
      <c r="T561" s="1215" t="s">
        <v>533</v>
      </c>
      <c r="U561" s="6" t="s">
        <v>549</v>
      </c>
      <c r="V561" s="6" t="s">
        <v>31</v>
      </c>
      <c r="W561" s="6" t="s">
        <v>673</v>
      </c>
      <c r="X561" s="6" t="s">
        <v>169</v>
      </c>
    </row>
    <row r="562" spans="1:24" ht="15" customHeight="1" x14ac:dyDescent="0.3">
      <c r="A562" s="6" t="s">
        <v>533</v>
      </c>
      <c r="B562" s="6" t="s">
        <v>534</v>
      </c>
      <c r="C562" s="6" t="s">
        <v>31</v>
      </c>
      <c r="D562" s="1088" t="s">
        <v>549</v>
      </c>
      <c r="E562" s="6" t="s">
        <v>170</v>
      </c>
      <c r="F562" s="6" t="s">
        <v>866</v>
      </c>
      <c r="G562" s="6" t="s">
        <v>1116</v>
      </c>
      <c r="H562" s="6" t="s">
        <v>2123</v>
      </c>
      <c r="J562" s="1215" t="s">
        <v>509</v>
      </c>
      <c r="K562" s="1219" t="s">
        <v>3111</v>
      </c>
      <c r="L562" s="8">
        <v>8</v>
      </c>
      <c r="M562" s="8">
        <v>48</v>
      </c>
      <c r="N562" s="1169" t="s">
        <v>274</v>
      </c>
      <c r="P562" s="6" t="s">
        <v>3323</v>
      </c>
      <c r="Q562" s="1215" t="s">
        <v>253</v>
      </c>
      <c r="R562" s="1215" t="s">
        <v>255</v>
      </c>
      <c r="S562" s="1215" t="s">
        <v>534</v>
      </c>
      <c r="T562" s="1215" t="s">
        <v>533</v>
      </c>
      <c r="U562" s="6" t="s">
        <v>549</v>
      </c>
      <c r="V562" s="6" t="s">
        <v>31</v>
      </c>
      <c r="W562" s="6" t="s">
        <v>673</v>
      </c>
      <c r="X562" s="6" t="s">
        <v>169</v>
      </c>
    </row>
    <row r="563" spans="1:24" ht="15" customHeight="1" x14ac:dyDescent="0.3">
      <c r="A563" s="6" t="s">
        <v>533</v>
      </c>
      <c r="B563" s="6" t="s">
        <v>534</v>
      </c>
      <c r="C563" s="6" t="s">
        <v>31</v>
      </c>
      <c r="D563" s="1088" t="s">
        <v>549</v>
      </c>
      <c r="E563" s="1088" t="s">
        <v>170</v>
      </c>
      <c r="F563" s="6" t="s">
        <v>866</v>
      </c>
      <c r="G563" s="6" t="s">
        <v>1116</v>
      </c>
      <c r="H563" s="6" t="s">
        <v>2123</v>
      </c>
      <c r="J563" s="1215" t="s">
        <v>509</v>
      </c>
      <c r="K563" s="1219" t="s">
        <v>3112</v>
      </c>
      <c r="L563" s="8">
        <v>2</v>
      </c>
      <c r="M563" s="8">
        <v>10</v>
      </c>
      <c r="N563" s="1169" t="s">
        <v>272</v>
      </c>
      <c r="P563" s="6" t="s">
        <v>3323</v>
      </c>
      <c r="Q563" s="1215" t="s">
        <v>253</v>
      </c>
      <c r="R563" s="1215" t="s">
        <v>255</v>
      </c>
      <c r="S563" s="1215" t="s">
        <v>534</v>
      </c>
      <c r="T563" s="1215" t="s">
        <v>533</v>
      </c>
      <c r="U563" s="6" t="s">
        <v>549</v>
      </c>
      <c r="V563" s="6" t="s">
        <v>31</v>
      </c>
      <c r="W563" s="6" t="s">
        <v>673</v>
      </c>
      <c r="X563" s="6" t="s">
        <v>169</v>
      </c>
    </row>
    <row r="564" spans="1:24" ht="15" customHeight="1" x14ac:dyDescent="0.3">
      <c r="A564" s="6" t="s">
        <v>533</v>
      </c>
      <c r="B564" s="6" t="s">
        <v>534</v>
      </c>
      <c r="C564" s="6" t="s">
        <v>31</v>
      </c>
      <c r="D564" s="1088" t="s">
        <v>549</v>
      </c>
      <c r="E564" s="6" t="s">
        <v>170</v>
      </c>
      <c r="F564" s="6" t="s">
        <v>866</v>
      </c>
      <c r="G564" s="6" t="s">
        <v>1116</v>
      </c>
      <c r="H564" s="6" t="s">
        <v>2123</v>
      </c>
      <c r="J564" s="1215" t="s">
        <v>509</v>
      </c>
      <c r="K564" s="1219" t="s">
        <v>3033</v>
      </c>
      <c r="L564" s="8">
        <v>14</v>
      </c>
      <c r="M564" s="8">
        <v>47</v>
      </c>
      <c r="N564" s="1169" t="s">
        <v>271</v>
      </c>
      <c r="P564" s="6" t="s">
        <v>3323</v>
      </c>
      <c r="Q564" s="1215" t="s">
        <v>253</v>
      </c>
      <c r="R564" s="1215" t="s">
        <v>255</v>
      </c>
      <c r="S564" s="1215" t="s">
        <v>534</v>
      </c>
      <c r="T564" s="1215" t="s">
        <v>533</v>
      </c>
      <c r="U564" s="6" t="s">
        <v>549</v>
      </c>
      <c r="V564" s="6" t="s">
        <v>31</v>
      </c>
      <c r="W564" s="6" t="s">
        <v>844</v>
      </c>
      <c r="X564" s="6" t="s">
        <v>166</v>
      </c>
    </row>
    <row r="565" spans="1:24" ht="15" customHeight="1" x14ac:dyDescent="0.3">
      <c r="A565" s="6" t="s">
        <v>533</v>
      </c>
      <c r="B565" s="6" t="s">
        <v>534</v>
      </c>
      <c r="C565" s="6" t="s">
        <v>31</v>
      </c>
      <c r="D565" s="1088" t="s">
        <v>549</v>
      </c>
      <c r="E565" s="6" t="s">
        <v>170</v>
      </c>
      <c r="F565" s="6" t="s">
        <v>866</v>
      </c>
      <c r="G565" s="6" t="s">
        <v>2985</v>
      </c>
      <c r="H565" s="6" t="s">
        <v>2125</v>
      </c>
      <c r="J565" s="1215" t="s">
        <v>509</v>
      </c>
      <c r="K565" s="1219" t="s">
        <v>3110</v>
      </c>
      <c r="L565" s="8">
        <v>2</v>
      </c>
      <c r="M565" s="8">
        <v>12</v>
      </c>
      <c r="N565" s="1169" t="s">
        <v>271</v>
      </c>
      <c r="P565" s="6" t="s">
        <v>3323</v>
      </c>
      <c r="Q565" s="1215" t="s">
        <v>253</v>
      </c>
      <c r="R565" s="1215" t="s">
        <v>255</v>
      </c>
      <c r="S565" s="1215" t="s">
        <v>534</v>
      </c>
      <c r="T565" s="1215" t="s">
        <v>533</v>
      </c>
      <c r="U565" s="6" t="s">
        <v>549</v>
      </c>
      <c r="V565" s="6" t="s">
        <v>31</v>
      </c>
      <c r="W565" s="6" t="s">
        <v>673</v>
      </c>
      <c r="X565" s="6" t="s">
        <v>169</v>
      </c>
    </row>
    <row r="566" spans="1:24" ht="15" customHeight="1" x14ac:dyDescent="0.3">
      <c r="A566" s="6" t="s">
        <v>533</v>
      </c>
      <c r="B566" s="6" t="s">
        <v>534</v>
      </c>
      <c r="C566" s="6" t="s">
        <v>31</v>
      </c>
      <c r="D566" s="1088" t="s">
        <v>549</v>
      </c>
      <c r="E566" s="6" t="s">
        <v>170</v>
      </c>
      <c r="F566" s="6" t="s">
        <v>866</v>
      </c>
      <c r="G566" s="6" t="s">
        <v>2985</v>
      </c>
      <c r="H566" s="6" t="s">
        <v>2125</v>
      </c>
      <c r="J566" s="1215" t="s">
        <v>509</v>
      </c>
      <c r="K566" s="1219" t="s">
        <v>3111</v>
      </c>
      <c r="L566" s="8">
        <v>1</v>
      </c>
      <c r="M566" s="8">
        <v>4</v>
      </c>
      <c r="N566" s="1169" t="s">
        <v>274</v>
      </c>
      <c r="P566" s="6" t="s">
        <v>3323</v>
      </c>
      <c r="Q566" s="1215" t="s">
        <v>253</v>
      </c>
      <c r="R566" s="1215" t="s">
        <v>255</v>
      </c>
      <c r="S566" s="1215" t="s">
        <v>534</v>
      </c>
      <c r="T566" s="1215" t="s">
        <v>533</v>
      </c>
      <c r="U566" s="6" t="s">
        <v>549</v>
      </c>
      <c r="V566" s="6" t="s">
        <v>31</v>
      </c>
      <c r="W566" s="6" t="s">
        <v>673</v>
      </c>
      <c r="X566" s="6" t="s">
        <v>169</v>
      </c>
    </row>
    <row r="567" spans="1:24" ht="15" customHeight="1" x14ac:dyDescent="0.3">
      <c r="A567" s="6" t="s">
        <v>533</v>
      </c>
      <c r="B567" s="6" t="s">
        <v>534</v>
      </c>
      <c r="C567" s="6" t="s">
        <v>31</v>
      </c>
      <c r="D567" s="1088" t="s">
        <v>549</v>
      </c>
      <c r="E567" s="1088" t="s">
        <v>170</v>
      </c>
      <c r="F567" s="6" t="s">
        <v>866</v>
      </c>
      <c r="G567" s="6" t="s">
        <v>2985</v>
      </c>
      <c r="H567" s="6" t="s">
        <v>2125</v>
      </c>
      <c r="J567" s="1215" t="s">
        <v>509</v>
      </c>
      <c r="K567" s="1219" t="s">
        <v>3112</v>
      </c>
      <c r="L567" s="8">
        <v>1</v>
      </c>
      <c r="M567" s="8">
        <v>4</v>
      </c>
      <c r="N567" s="1169" t="s">
        <v>272</v>
      </c>
      <c r="P567" s="6" t="s">
        <v>3323</v>
      </c>
      <c r="Q567" s="1215" t="s">
        <v>253</v>
      </c>
      <c r="R567" s="1215" t="s">
        <v>255</v>
      </c>
      <c r="S567" s="1215" t="s">
        <v>534</v>
      </c>
      <c r="T567" s="1215" t="s">
        <v>533</v>
      </c>
      <c r="U567" s="6" t="s">
        <v>549</v>
      </c>
      <c r="V567" s="6" t="s">
        <v>31</v>
      </c>
      <c r="W567" s="6" t="s">
        <v>673</v>
      </c>
      <c r="X567" s="6" t="s">
        <v>169</v>
      </c>
    </row>
    <row r="568" spans="1:24" ht="15" customHeight="1" x14ac:dyDescent="0.3">
      <c r="A568" s="6" t="s">
        <v>533</v>
      </c>
      <c r="B568" s="6" t="s">
        <v>534</v>
      </c>
      <c r="C568" s="6" t="s">
        <v>31</v>
      </c>
      <c r="D568" s="1088" t="s">
        <v>549</v>
      </c>
      <c r="E568" s="1088" t="s">
        <v>170</v>
      </c>
      <c r="F568" s="6" t="s">
        <v>866</v>
      </c>
      <c r="G568" s="6" t="s">
        <v>1576</v>
      </c>
      <c r="H568" s="6" t="s">
        <v>2126</v>
      </c>
      <c r="J568" s="1215" t="s">
        <v>509</v>
      </c>
      <c r="K568" s="1219" t="s">
        <v>3033</v>
      </c>
      <c r="L568" s="8">
        <v>4</v>
      </c>
      <c r="M568" s="8">
        <v>38</v>
      </c>
      <c r="N568" s="1169" t="s">
        <v>271</v>
      </c>
      <c r="P568" s="6" t="s">
        <v>3323</v>
      </c>
      <c r="Q568" s="1215" t="s">
        <v>253</v>
      </c>
      <c r="R568" s="1215" t="s">
        <v>255</v>
      </c>
      <c r="S568" s="1215" t="s">
        <v>534</v>
      </c>
      <c r="T568" s="1215" t="s">
        <v>533</v>
      </c>
      <c r="U568" s="6" t="s">
        <v>549</v>
      </c>
      <c r="V568" s="6" t="s">
        <v>31</v>
      </c>
      <c r="W568" s="6" t="s">
        <v>844</v>
      </c>
      <c r="X568" s="6" t="s">
        <v>166</v>
      </c>
    </row>
    <row r="569" spans="1:24" ht="15" customHeight="1" x14ac:dyDescent="0.3">
      <c r="A569" s="6" t="s">
        <v>533</v>
      </c>
      <c r="B569" s="6" t="s">
        <v>534</v>
      </c>
      <c r="C569" s="6" t="s">
        <v>31</v>
      </c>
      <c r="D569" s="1088" t="s">
        <v>549</v>
      </c>
      <c r="E569" s="6" t="s">
        <v>170</v>
      </c>
      <c r="F569" s="6" t="s">
        <v>866</v>
      </c>
      <c r="G569" s="6" t="s">
        <v>1576</v>
      </c>
      <c r="H569" s="6" t="s">
        <v>2126</v>
      </c>
      <c r="J569" s="1215" t="s">
        <v>509</v>
      </c>
      <c r="K569" s="1219" t="s">
        <v>3110</v>
      </c>
      <c r="L569" s="8">
        <v>3</v>
      </c>
      <c r="M569" s="8">
        <v>20</v>
      </c>
      <c r="N569" s="1169" t="s">
        <v>274</v>
      </c>
      <c r="P569" s="6" t="s">
        <v>3323</v>
      </c>
      <c r="Q569" s="1215" t="s">
        <v>253</v>
      </c>
      <c r="R569" s="1215" t="s">
        <v>255</v>
      </c>
      <c r="S569" s="1215" t="s">
        <v>534</v>
      </c>
      <c r="T569" s="1215" t="s">
        <v>533</v>
      </c>
      <c r="U569" s="6" t="s">
        <v>549</v>
      </c>
      <c r="V569" s="6" t="s">
        <v>31</v>
      </c>
      <c r="W569" s="6" t="s">
        <v>844</v>
      </c>
      <c r="X569" s="6" t="s">
        <v>166</v>
      </c>
    </row>
    <row r="570" spans="1:24" ht="15" customHeight="1" x14ac:dyDescent="0.3">
      <c r="A570" s="6" t="s">
        <v>533</v>
      </c>
      <c r="B570" s="6" t="s">
        <v>534</v>
      </c>
      <c r="C570" s="6" t="s">
        <v>31</v>
      </c>
      <c r="D570" s="1088" t="s">
        <v>549</v>
      </c>
      <c r="E570" s="6" t="s">
        <v>170</v>
      </c>
      <c r="F570" s="6" t="s">
        <v>866</v>
      </c>
      <c r="G570" s="6" t="s">
        <v>1576</v>
      </c>
      <c r="H570" s="6" t="s">
        <v>2126</v>
      </c>
      <c r="J570" s="1215" t="s">
        <v>509</v>
      </c>
      <c r="K570" s="1219" t="s">
        <v>3111</v>
      </c>
      <c r="L570" s="8">
        <v>3</v>
      </c>
      <c r="M570" s="8">
        <v>16</v>
      </c>
      <c r="N570" s="1169" t="s">
        <v>274</v>
      </c>
      <c r="P570" s="6" t="s">
        <v>3323</v>
      </c>
      <c r="Q570" s="1215" t="s">
        <v>253</v>
      </c>
      <c r="R570" s="1215" t="s">
        <v>255</v>
      </c>
      <c r="S570" s="1215" t="s">
        <v>534</v>
      </c>
      <c r="T570" s="1215" t="s">
        <v>533</v>
      </c>
      <c r="U570" s="6" t="s">
        <v>549</v>
      </c>
      <c r="V570" s="6" t="s">
        <v>31</v>
      </c>
      <c r="W570" s="6" t="s">
        <v>673</v>
      </c>
      <c r="X570" s="6" t="s">
        <v>169</v>
      </c>
    </row>
    <row r="571" spans="1:24" ht="15" customHeight="1" x14ac:dyDescent="0.3">
      <c r="A571" s="6" t="s">
        <v>533</v>
      </c>
      <c r="B571" s="6" t="s">
        <v>534</v>
      </c>
      <c r="C571" s="6" t="s">
        <v>31</v>
      </c>
      <c r="D571" s="1088" t="s">
        <v>549</v>
      </c>
      <c r="E571" s="6" t="s">
        <v>170</v>
      </c>
      <c r="F571" s="6" t="s">
        <v>866</v>
      </c>
      <c r="G571" s="6" t="s">
        <v>1576</v>
      </c>
      <c r="H571" s="6" t="s">
        <v>2126</v>
      </c>
      <c r="J571" s="1215" t="s">
        <v>509</v>
      </c>
      <c r="K571" s="1219" t="s">
        <v>3109</v>
      </c>
      <c r="L571" s="8">
        <v>4</v>
      </c>
      <c r="M571" s="8">
        <v>18</v>
      </c>
      <c r="N571" s="1169" t="s">
        <v>272</v>
      </c>
      <c r="P571" s="6" t="s">
        <v>3323</v>
      </c>
      <c r="Q571" s="1215" t="s">
        <v>253</v>
      </c>
      <c r="R571" s="1215" t="s">
        <v>255</v>
      </c>
      <c r="S571" s="1215" t="s">
        <v>534</v>
      </c>
      <c r="T571" s="1215" t="s">
        <v>533</v>
      </c>
      <c r="U571" s="6" t="s">
        <v>549</v>
      </c>
      <c r="V571" s="6" t="s">
        <v>31</v>
      </c>
      <c r="W571" s="6" t="s">
        <v>673</v>
      </c>
      <c r="X571" s="6" t="s">
        <v>169</v>
      </c>
    </row>
    <row r="572" spans="1:24" ht="15" customHeight="1" x14ac:dyDescent="0.3">
      <c r="A572" s="6" t="s">
        <v>533</v>
      </c>
      <c r="B572" s="6" t="s">
        <v>534</v>
      </c>
      <c r="C572" s="6" t="s">
        <v>31</v>
      </c>
      <c r="D572" s="1088" t="s">
        <v>549</v>
      </c>
      <c r="E572" s="6" t="s">
        <v>170</v>
      </c>
      <c r="F572" s="6" t="s">
        <v>866</v>
      </c>
      <c r="G572" s="6" t="s">
        <v>1576</v>
      </c>
      <c r="H572" s="6" t="s">
        <v>2126</v>
      </c>
      <c r="J572" s="1215" t="s">
        <v>509</v>
      </c>
      <c r="K572" s="1219" t="s">
        <v>3112</v>
      </c>
      <c r="L572" s="8">
        <v>2</v>
      </c>
      <c r="M572" s="8">
        <v>8</v>
      </c>
      <c r="N572" s="1169" t="s">
        <v>272</v>
      </c>
      <c r="P572" s="6" t="s">
        <v>3323</v>
      </c>
      <c r="Q572" s="1215" t="s">
        <v>253</v>
      </c>
      <c r="R572" s="1215" t="s">
        <v>255</v>
      </c>
      <c r="S572" s="1215" t="s">
        <v>534</v>
      </c>
      <c r="T572" s="1215" t="s">
        <v>533</v>
      </c>
      <c r="U572" s="6" t="s">
        <v>549</v>
      </c>
      <c r="V572" s="6" t="s">
        <v>31</v>
      </c>
      <c r="W572" s="6" t="s">
        <v>673</v>
      </c>
      <c r="X572" s="6" t="s">
        <v>169</v>
      </c>
    </row>
    <row r="573" spans="1:24" ht="15" customHeight="1" x14ac:dyDescent="0.3">
      <c r="A573" s="6" t="s">
        <v>533</v>
      </c>
      <c r="B573" s="6" t="s">
        <v>534</v>
      </c>
      <c r="C573" s="6" t="s">
        <v>31</v>
      </c>
      <c r="D573" s="1088" t="s">
        <v>549</v>
      </c>
      <c r="E573" s="1088" t="s">
        <v>170</v>
      </c>
      <c r="F573" s="6" t="s">
        <v>866</v>
      </c>
      <c r="G573" s="6" t="s">
        <v>1954</v>
      </c>
      <c r="H573" s="6" t="s">
        <v>2122</v>
      </c>
      <c r="J573" s="1215" t="s">
        <v>509</v>
      </c>
      <c r="K573" s="1219" t="s">
        <v>3033</v>
      </c>
      <c r="L573" s="8">
        <v>3</v>
      </c>
      <c r="M573" s="8">
        <v>20</v>
      </c>
      <c r="N573" s="1169" t="s">
        <v>271</v>
      </c>
      <c r="P573" s="6" t="s">
        <v>3323</v>
      </c>
      <c r="Q573" s="1215" t="s">
        <v>253</v>
      </c>
      <c r="R573" s="1215" t="s">
        <v>255</v>
      </c>
      <c r="S573" s="1215" t="s">
        <v>534</v>
      </c>
      <c r="T573" s="1215" t="s">
        <v>533</v>
      </c>
      <c r="U573" s="6" t="s">
        <v>549</v>
      </c>
      <c r="V573" s="6" t="s">
        <v>31</v>
      </c>
      <c r="W573" s="6" t="s">
        <v>844</v>
      </c>
      <c r="X573" s="6" t="s">
        <v>166</v>
      </c>
    </row>
    <row r="574" spans="1:24" ht="15" customHeight="1" x14ac:dyDescent="0.3">
      <c r="A574" s="6" t="s">
        <v>533</v>
      </c>
      <c r="B574" s="6" t="s">
        <v>534</v>
      </c>
      <c r="C574" s="6" t="s">
        <v>31</v>
      </c>
      <c r="D574" s="1088" t="s">
        <v>549</v>
      </c>
      <c r="E574" s="1088" t="s">
        <v>170</v>
      </c>
      <c r="F574" s="6" t="s">
        <v>866</v>
      </c>
      <c r="G574" s="6" t="s">
        <v>1954</v>
      </c>
      <c r="H574" s="6" t="s">
        <v>2122</v>
      </c>
      <c r="J574" s="1215" t="s">
        <v>509</v>
      </c>
      <c r="K574" s="1219" t="s">
        <v>3111</v>
      </c>
      <c r="L574" s="8">
        <v>1</v>
      </c>
      <c r="M574" s="8">
        <v>8</v>
      </c>
      <c r="N574" s="1088" t="s">
        <v>274</v>
      </c>
      <c r="P574" s="6" t="s">
        <v>3323</v>
      </c>
      <c r="Q574" s="1215" t="s">
        <v>253</v>
      </c>
      <c r="R574" s="1215" t="s">
        <v>255</v>
      </c>
      <c r="S574" s="1215" t="s">
        <v>534</v>
      </c>
      <c r="T574" s="1215" t="s">
        <v>533</v>
      </c>
      <c r="U574" s="6" t="s">
        <v>549</v>
      </c>
      <c r="V574" s="6" t="s">
        <v>31</v>
      </c>
      <c r="W574" s="6" t="s">
        <v>673</v>
      </c>
      <c r="X574" s="6" t="s">
        <v>169</v>
      </c>
    </row>
    <row r="575" spans="1:24" ht="15" customHeight="1" x14ac:dyDescent="0.3">
      <c r="A575" s="6" t="s">
        <v>533</v>
      </c>
      <c r="B575" s="6" t="s">
        <v>534</v>
      </c>
      <c r="C575" s="6" t="s">
        <v>31</v>
      </c>
      <c r="D575" s="1088" t="s">
        <v>549</v>
      </c>
      <c r="E575" s="1088" t="s">
        <v>170</v>
      </c>
      <c r="F575" s="6" t="s">
        <v>866</v>
      </c>
      <c r="G575" s="6" t="s">
        <v>1954</v>
      </c>
      <c r="H575" s="6" t="s">
        <v>2122</v>
      </c>
      <c r="J575" s="1215" t="s">
        <v>509</v>
      </c>
      <c r="K575" s="1219" t="s">
        <v>3112</v>
      </c>
      <c r="L575" s="8">
        <v>1</v>
      </c>
      <c r="M575" s="8">
        <v>4</v>
      </c>
      <c r="N575" s="1169" t="s">
        <v>272</v>
      </c>
      <c r="P575" s="6" t="s">
        <v>3323</v>
      </c>
      <c r="Q575" s="1215" t="s">
        <v>253</v>
      </c>
      <c r="R575" s="1215" t="s">
        <v>255</v>
      </c>
      <c r="S575" s="1215" t="s">
        <v>534</v>
      </c>
      <c r="T575" s="1215" t="s">
        <v>533</v>
      </c>
      <c r="U575" s="6" t="s">
        <v>549</v>
      </c>
      <c r="V575" s="6" t="s">
        <v>31</v>
      </c>
      <c r="W575" s="6" t="s">
        <v>673</v>
      </c>
      <c r="X575" s="6" t="s">
        <v>169</v>
      </c>
    </row>
    <row r="576" spans="1:24" ht="15" customHeight="1" x14ac:dyDescent="0.3">
      <c r="A576" s="6" t="s">
        <v>533</v>
      </c>
      <c r="B576" s="6" t="s">
        <v>534</v>
      </c>
      <c r="C576" s="6" t="s">
        <v>35</v>
      </c>
      <c r="D576" s="1088" t="s">
        <v>567</v>
      </c>
      <c r="E576" s="1088" t="s">
        <v>192</v>
      </c>
      <c r="F576" s="6" t="s">
        <v>853</v>
      </c>
      <c r="G576" s="6" t="s">
        <v>550</v>
      </c>
      <c r="H576" s="6" t="s">
        <v>3121</v>
      </c>
      <c r="I576" s="6" t="s">
        <v>3121</v>
      </c>
      <c r="J576" s="1215" t="s">
        <v>509</v>
      </c>
      <c r="K576" s="1219" t="s">
        <v>3112</v>
      </c>
      <c r="L576" s="8">
        <v>60</v>
      </c>
      <c r="M576" s="8">
        <v>300</v>
      </c>
      <c r="N576" s="1088" t="s">
        <v>271</v>
      </c>
      <c r="P576" s="6" t="s">
        <v>3324</v>
      </c>
      <c r="Q576" s="1215" t="s">
        <v>253</v>
      </c>
      <c r="R576" s="1215" t="s">
        <v>255</v>
      </c>
      <c r="S576" s="1215" t="s">
        <v>534</v>
      </c>
      <c r="T576" s="1215" t="s">
        <v>533</v>
      </c>
      <c r="U576" s="6" t="s">
        <v>567</v>
      </c>
      <c r="V576" s="6" t="s">
        <v>35</v>
      </c>
      <c r="W576" s="6" t="s">
        <v>853</v>
      </c>
      <c r="X576" s="6" t="s">
        <v>192</v>
      </c>
    </row>
    <row r="577" spans="1:24" ht="15" customHeight="1" x14ac:dyDescent="0.3">
      <c r="A577" s="6" t="s">
        <v>533</v>
      </c>
      <c r="B577" s="6" t="s">
        <v>534</v>
      </c>
      <c r="C577" s="6" t="s">
        <v>35</v>
      </c>
      <c r="D577" s="1088" t="s">
        <v>567</v>
      </c>
      <c r="E577" s="6" t="s">
        <v>192</v>
      </c>
      <c r="F577" s="6" t="s">
        <v>853</v>
      </c>
      <c r="G577" s="6" t="s">
        <v>1398</v>
      </c>
      <c r="H577" s="6" t="s">
        <v>1506</v>
      </c>
      <c r="J577" s="1215" t="s">
        <v>509</v>
      </c>
      <c r="K577" s="1219" t="s">
        <v>3033</v>
      </c>
      <c r="L577" s="8">
        <v>75</v>
      </c>
      <c r="M577" s="8">
        <v>389</v>
      </c>
      <c r="N577" s="1169" t="s">
        <v>271</v>
      </c>
      <c r="P577" s="6" t="s">
        <v>3324</v>
      </c>
      <c r="Q577" s="1215" t="s">
        <v>253</v>
      </c>
      <c r="R577" s="1215" t="s">
        <v>255</v>
      </c>
      <c r="S577" s="1215" t="s">
        <v>534</v>
      </c>
      <c r="T577" s="1215" t="s">
        <v>533</v>
      </c>
      <c r="U577" s="6" t="s">
        <v>567</v>
      </c>
      <c r="V577" s="6" t="s">
        <v>35</v>
      </c>
      <c r="W577" s="6" t="s">
        <v>853</v>
      </c>
      <c r="X577" s="6" t="s">
        <v>192</v>
      </c>
    </row>
    <row r="578" spans="1:24" ht="15" customHeight="1" x14ac:dyDescent="0.3">
      <c r="A578" s="6" t="s">
        <v>533</v>
      </c>
      <c r="B578" s="6" t="s">
        <v>534</v>
      </c>
      <c r="C578" s="6" t="s">
        <v>35</v>
      </c>
      <c r="D578" s="1088" t="s">
        <v>567</v>
      </c>
      <c r="E578" s="6" t="s">
        <v>192</v>
      </c>
      <c r="F578" s="6" t="s">
        <v>853</v>
      </c>
      <c r="G578" s="6" t="s">
        <v>1398</v>
      </c>
      <c r="H578" s="6" t="s">
        <v>1506</v>
      </c>
      <c r="J578" s="1215" t="s">
        <v>509</v>
      </c>
      <c r="K578" s="1219" t="s">
        <v>3110</v>
      </c>
      <c r="L578" s="8">
        <v>95</v>
      </c>
      <c r="M578" s="8">
        <v>612</v>
      </c>
      <c r="N578" s="1169" t="s">
        <v>271</v>
      </c>
      <c r="P578" s="6" t="s">
        <v>3324</v>
      </c>
      <c r="Q578" s="1215" t="s">
        <v>253</v>
      </c>
      <c r="R578" s="1215" t="s">
        <v>255</v>
      </c>
      <c r="S578" s="1215" t="s">
        <v>534</v>
      </c>
      <c r="T578" s="1215" t="s">
        <v>533</v>
      </c>
      <c r="U578" s="6" t="s">
        <v>567</v>
      </c>
      <c r="V578" s="6" t="s">
        <v>35</v>
      </c>
      <c r="W578" s="6" t="s">
        <v>853</v>
      </c>
      <c r="X578" s="6" t="s">
        <v>192</v>
      </c>
    </row>
    <row r="579" spans="1:24" ht="15" customHeight="1" x14ac:dyDescent="0.3">
      <c r="A579" s="6" t="s">
        <v>533</v>
      </c>
      <c r="B579" s="6" t="s">
        <v>534</v>
      </c>
      <c r="C579" s="6" t="s">
        <v>35</v>
      </c>
      <c r="D579" s="1088" t="s">
        <v>567</v>
      </c>
      <c r="E579" s="6" t="s">
        <v>192</v>
      </c>
      <c r="F579" s="6" t="s">
        <v>853</v>
      </c>
      <c r="G579" s="6" t="s">
        <v>1398</v>
      </c>
      <c r="H579" s="6" t="s">
        <v>1506</v>
      </c>
      <c r="J579" s="1215" t="s">
        <v>509</v>
      </c>
      <c r="K579" s="1219" t="s">
        <v>3111</v>
      </c>
      <c r="L579" s="8">
        <v>113</v>
      </c>
      <c r="M579" s="8">
        <v>663</v>
      </c>
      <c r="N579" s="1169" t="s">
        <v>271</v>
      </c>
      <c r="P579" s="6" t="s">
        <v>3324</v>
      </c>
      <c r="Q579" s="1215" t="s">
        <v>253</v>
      </c>
      <c r="R579" s="1215" t="s">
        <v>255</v>
      </c>
      <c r="S579" s="1215" t="s">
        <v>534</v>
      </c>
      <c r="T579" s="1215" t="s">
        <v>533</v>
      </c>
      <c r="U579" s="6" t="s">
        <v>567</v>
      </c>
      <c r="V579" s="6" t="s">
        <v>35</v>
      </c>
      <c r="W579" s="6" t="s">
        <v>853</v>
      </c>
      <c r="X579" s="6" t="s">
        <v>192</v>
      </c>
    </row>
    <row r="580" spans="1:24" ht="15" customHeight="1" x14ac:dyDescent="0.3">
      <c r="A580" s="6" t="s">
        <v>533</v>
      </c>
      <c r="B580" s="6" t="s">
        <v>534</v>
      </c>
      <c r="C580" s="6" t="s">
        <v>35</v>
      </c>
      <c r="D580" s="1088" t="s">
        <v>567</v>
      </c>
      <c r="E580" s="6" t="s">
        <v>192</v>
      </c>
      <c r="F580" s="6" t="s">
        <v>853</v>
      </c>
      <c r="G580" s="6" t="s">
        <v>1398</v>
      </c>
      <c r="H580" s="6" t="s">
        <v>1506</v>
      </c>
      <c r="J580" s="1215" t="s">
        <v>509</v>
      </c>
      <c r="K580" s="1219" t="s">
        <v>3112</v>
      </c>
      <c r="L580" s="8">
        <v>61</v>
      </c>
      <c r="M580" s="8">
        <v>240</v>
      </c>
      <c r="N580" s="1169" t="s">
        <v>271</v>
      </c>
      <c r="P580" s="6" t="s">
        <v>3324</v>
      </c>
      <c r="Q580" s="1215" t="s">
        <v>253</v>
      </c>
      <c r="R580" s="1215" t="s">
        <v>255</v>
      </c>
      <c r="S580" s="1215" t="s">
        <v>534</v>
      </c>
      <c r="T580" s="1215" t="s">
        <v>533</v>
      </c>
      <c r="U580" s="6" t="s">
        <v>567</v>
      </c>
      <c r="V580" s="6" t="s">
        <v>35</v>
      </c>
      <c r="W580" s="6" t="s">
        <v>853</v>
      </c>
      <c r="X580" s="6" t="s">
        <v>192</v>
      </c>
    </row>
    <row r="581" spans="1:24" ht="15" customHeight="1" x14ac:dyDescent="0.3">
      <c r="A581" s="6" t="s">
        <v>533</v>
      </c>
      <c r="B581" s="6" t="s">
        <v>534</v>
      </c>
      <c r="C581" s="6" t="s">
        <v>34</v>
      </c>
      <c r="D581" s="1088" t="s">
        <v>539</v>
      </c>
      <c r="E581" s="1088" t="s">
        <v>187</v>
      </c>
      <c r="F581" s="6" t="s">
        <v>951</v>
      </c>
      <c r="G581" s="6" t="s">
        <v>1593</v>
      </c>
      <c r="H581" s="6" t="s">
        <v>3267</v>
      </c>
      <c r="J581" s="1215" t="s">
        <v>509</v>
      </c>
      <c r="K581" s="1219" t="s">
        <v>3033</v>
      </c>
      <c r="L581" s="8">
        <v>693</v>
      </c>
      <c r="M581" s="8">
        <v>5513</v>
      </c>
      <c r="N581" s="1169" t="s">
        <v>271</v>
      </c>
      <c r="P581" s="6" t="s">
        <v>3324</v>
      </c>
      <c r="Q581" s="1215" t="s">
        <v>253</v>
      </c>
      <c r="R581" s="1215" t="s">
        <v>255</v>
      </c>
      <c r="S581" s="1215" t="s">
        <v>534</v>
      </c>
      <c r="T581" s="1215" t="s">
        <v>533</v>
      </c>
      <c r="U581" s="6" t="s">
        <v>539</v>
      </c>
      <c r="V581" s="6" t="s">
        <v>34</v>
      </c>
      <c r="W581" s="6" t="s">
        <v>951</v>
      </c>
      <c r="X581" s="6" t="s">
        <v>187</v>
      </c>
    </row>
    <row r="582" spans="1:24" ht="15" customHeight="1" x14ac:dyDescent="0.3">
      <c r="A582" s="6" t="s">
        <v>533</v>
      </c>
      <c r="B582" s="6" t="s">
        <v>534</v>
      </c>
      <c r="C582" s="6" t="s">
        <v>34</v>
      </c>
      <c r="D582" s="1088" t="s">
        <v>539</v>
      </c>
      <c r="E582" s="6" t="s">
        <v>187</v>
      </c>
      <c r="F582" s="6" t="s">
        <v>951</v>
      </c>
      <c r="G582" s="6" t="s">
        <v>1593</v>
      </c>
      <c r="H582" s="6" t="s">
        <v>3267</v>
      </c>
      <c r="J582" s="1215" t="s">
        <v>509</v>
      </c>
      <c r="K582" s="1219" t="s">
        <v>3109</v>
      </c>
      <c r="L582" s="8">
        <v>0</v>
      </c>
      <c r="M582" s="8">
        <v>75</v>
      </c>
      <c r="N582" s="1169" t="s">
        <v>271</v>
      </c>
      <c r="P582" s="6" t="s">
        <v>3324</v>
      </c>
      <c r="Q582" s="1215" t="s">
        <v>253</v>
      </c>
      <c r="R582" s="1215" t="s">
        <v>255</v>
      </c>
      <c r="S582" s="1215" t="s">
        <v>534</v>
      </c>
      <c r="T582" s="1215" t="s">
        <v>533</v>
      </c>
      <c r="U582" s="6" t="s">
        <v>539</v>
      </c>
      <c r="V582" s="6" t="s">
        <v>34</v>
      </c>
      <c r="W582" s="6" t="s">
        <v>951</v>
      </c>
      <c r="X582" s="6" t="s">
        <v>187</v>
      </c>
    </row>
    <row r="583" spans="1:24" ht="15" customHeight="1" x14ac:dyDescent="0.3">
      <c r="A583" s="6" t="s">
        <v>533</v>
      </c>
      <c r="B583" s="6" t="s">
        <v>534</v>
      </c>
      <c r="C583" s="6" t="s">
        <v>34</v>
      </c>
      <c r="D583" s="1088" t="s">
        <v>539</v>
      </c>
      <c r="E583" s="6" t="s">
        <v>187</v>
      </c>
      <c r="F583" s="6" t="s">
        <v>951</v>
      </c>
      <c r="G583" s="6" t="s">
        <v>1593</v>
      </c>
      <c r="H583" s="6" t="s">
        <v>3267</v>
      </c>
      <c r="J583" s="1215" t="s">
        <v>509</v>
      </c>
      <c r="K583" s="1219" t="s">
        <v>3110</v>
      </c>
      <c r="L583" s="8">
        <v>0</v>
      </c>
      <c r="M583" s="8">
        <v>19</v>
      </c>
      <c r="N583" s="1169" t="s">
        <v>271</v>
      </c>
      <c r="P583" s="6" t="s">
        <v>3324</v>
      </c>
      <c r="Q583" s="1215" t="s">
        <v>253</v>
      </c>
      <c r="R583" s="1215" t="s">
        <v>255</v>
      </c>
      <c r="S583" s="1215" t="s">
        <v>534</v>
      </c>
      <c r="T583" s="1215" t="s">
        <v>533</v>
      </c>
      <c r="U583" s="6" t="s">
        <v>539</v>
      </c>
      <c r="V583" s="6" t="s">
        <v>34</v>
      </c>
      <c r="W583" s="6" t="s">
        <v>951</v>
      </c>
      <c r="X583" s="6" t="s">
        <v>187</v>
      </c>
    </row>
    <row r="584" spans="1:24" ht="15" customHeight="1" x14ac:dyDescent="0.3">
      <c r="A584" s="6" t="s">
        <v>533</v>
      </c>
      <c r="B584" s="6" t="s">
        <v>534</v>
      </c>
      <c r="C584" s="6" t="s">
        <v>34</v>
      </c>
      <c r="D584" s="1088" t="s">
        <v>539</v>
      </c>
      <c r="E584" s="6" t="s">
        <v>187</v>
      </c>
      <c r="F584" s="6" t="s">
        <v>951</v>
      </c>
      <c r="G584" s="6" t="s">
        <v>1593</v>
      </c>
      <c r="H584" s="6" t="s">
        <v>3267</v>
      </c>
      <c r="J584" s="1215" t="s">
        <v>509</v>
      </c>
      <c r="K584" s="1219" t="s">
        <v>3111</v>
      </c>
      <c r="L584" s="8">
        <v>0</v>
      </c>
      <c r="M584" s="8">
        <v>92</v>
      </c>
      <c r="N584" s="1169" t="s">
        <v>271</v>
      </c>
      <c r="P584" s="6" t="s">
        <v>3324</v>
      </c>
      <c r="Q584" s="1215" t="s">
        <v>253</v>
      </c>
      <c r="R584" s="1215" t="s">
        <v>255</v>
      </c>
      <c r="S584" s="1215" t="s">
        <v>534</v>
      </c>
      <c r="T584" s="1215" t="s">
        <v>533</v>
      </c>
      <c r="U584" s="6" t="s">
        <v>539</v>
      </c>
      <c r="V584" s="6" t="s">
        <v>34</v>
      </c>
      <c r="W584" s="6" t="s">
        <v>951</v>
      </c>
      <c r="X584" s="6" t="s">
        <v>187</v>
      </c>
    </row>
    <row r="585" spans="1:24" ht="15" customHeight="1" x14ac:dyDescent="0.3">
      <c r="A585" s="6" t="s">
        <v>533</v>
      </c>
      <c r="B585" s="6" t="s">
        <v>534</v>
      </c>
      <c r="C585" s="6" t="s">
        <v>34</v>
      </c>
      <c r="D585" s="1088" t="s">
        <v>539</v>
      </c>
      <c r="E585" s="6" t="s">
        <v>187</v>
      </c>
      <c r="F585" s="6" t="s">
        <v>951</v>
      </c>
      <c r="G585" s="6" t="s">
        <v>1593</v>
      </c>
      <c r="H585" s="6" t="s">
        <v>3267</v>
      </c>
      <c r="J585" s="1215" t="s">
        <v>509</v>
      </c>
      <c r="K585" s="1219" t="s">
        <v>3112</v>
      </c>
      <c r="L585" s="8">
        <v>0</v>
      </c>
      <c r="M585" s="8">
        <v>10</v>
      </c>
      <c r="N585" s="1169" t="s">
        <v>271</v>
      </c>
      <c r="P585" s="6" t="s">
        <v>3324</v>
      </c>
      <c r="Q585" s="1215" t="s">
        <v>253</v>
      </c>
      <c r="R585" s="1215" t="s">
        <v>255</v>
      </c>
      <c r="S585" s="1215" t="s">
        <v>534</v>
      </c>
      <c r="T585" s="1215" t="s">
        <v>533</v>
      </c>
      <c r="U585" s="6" t="s">
        <v>539</v>
      </c>
      <c r="V585" s="6" t="s">
        <v>34</v>
      </c>
      <c r="W585" s="6" t="s">
        <v>951</v>
      </c>
      <c r="X585" s="6" t="s">
        <v>187</v>
      </c>
    </row>
    <row r="586" spans="1:24" ht="15" customHeight="1" x14ac:dyDescent="0.3">
      <c r="A586" s="6" t="s">
        <v>533</v>
      </c>
      <c r="B586" s="6" t="s">
        <v>534</v>
      </c>
      <c r="C586" s="6" t="s">
        <v>35</v>
      </c>
      <c r="D586" s="1088" t="s">
        <v>567</v>
      </c>
      <c r="E586" s="1088" t="s">
        <v>193</v>
      </c>
      <c r="F586" s="6" t="s">
        <v>863</v>
      </c>
      <c r="G586" s="6" t="s">
        <v>1582</v>
      </c>
      <c r="H586" s="6" t="s">
        <v>1092</v>
      </c>
      <c r="J586" s="1215" t="s">
        <v>509</v>
      </c>
      <c r="K586" s="1219" t="s">
        <v>3033</v>
      </c>
      <c r="L586" s="8">
        <v>42</v>
      </c>
      <c r="M586" s="8">
        <v>216</v>
      </c>
      <c r="N586" s="1169" t="s">
        <v>271</v>
      </c>
      <c r="P586" s="6" t="s">
        <v>3324</v>
      </c>
      <c r="Q586" s="1215" t="s">
        <v>253</v>
      </c>
      <c r="R586" s="1215" t="s">
        <v>255</v>
      </c>
      <c r="S586" s="1215" t="s">
        <v>534</v>
      </c>
      <c r="T586" s="1215" t="s">
        <v>533</v>
      </c>
      <c r="U586" s="6" t="s">
        <v>567</v>
      </c>
      <c r="V586" s="6" t="s">
        <v>35</v>
      </c>
      <c r="W586" s="6" t="s">
        <v>863</v>
      </c>
      <c r="X586" s="6" t="s">
        <v>193</v>
      </c>
    </row>
    <row r="587" spans="1:24" ht="15" customHeight="1" x14ac:dyDescent="0.3">
      <c r="A587" s="6" t="s">
        <v>533</v>
      </c>
      <c r="B587" s="6" t="s">
        <v>534</v>
      </c>
      <c r="C587" s="6" t="s">
        <v>35</v>
      </c>
      <c r="D587" s="1088" t="s">
        <v>567</v>
      </c>
      <c r="E587" s="6" t="s">
        <v>193</v>
      </c>
      <c r="F587" s="6" t="s">
        <v>863</v>
      </c>
      <c r="G587" s="6" t="s">
        <v>1582</v>
      </c>
      <c r="H587" s="6" t="s">
        <v>1092</v>
      </c>
      <c r="J587" s="1215" t="s">
        <v>509</v>
      </c>
      <c r="K587" s="1219" t="s">
        <v>3111</v>
      </c>
      <c r="L587" s="8">
        <v>7</v>
      </c>
      <c r="M587" s="8">
        <v>31</v>
      </c>
      <c r="N587" s="1169" t="s">
        <v>271</v>
      </c>
      <c r="P587" s="6" t="s">
        <v>3324</v>
      </c>
      <c r="Q587" s="1215" t="s">
        <v>253</v>
      </c>
      <c r="R587" s="1215" t="s">
        <v>255</v>
      </c>
      <c r="S587" s="1215" t="s">
        <v>534</v>
      </c>
      <c r="T587" s="1215" t="s">
        <v>533</v>
      </c>
      <c r="U587" s="6" t="s">
        <v>567</v>
      </c>
      <c r="V587" s="6" t="s">
        <v>35</v>
      </c>
      <c r="W587" s="6" t="s">
        <v>863</v>
      </c>
      <c r="X587" s="6" t="s">
        <v>193</v>
      </c>
    </row>
    <row r="588" spans="1:24" ht="15" customHeight="1" x14ac:dyDescent="0.3">
      <c r="A588" s="6" t="s">
        <v>533</v>
      </c>
      <c r="B588" s="6" t="s">
        <v>534</v>
      </c>
      <c r="C588" s="6" t="s">
        <v>35</v>
      </c>
      <c r="D588" s="1088" t="s">
        <v>567</v>
      </c>
      <c r="E588" s="1088" t="s">
        <v>193</v>
      </c>
      <c r="F588" s="6" t="s">
        <v>863</v>
      </c>
      <c r="G588" s="6" t="s">
        <v>1582</v>
      </c>
      <c r="H588" s="6" t="s">
        <v>1092</v>
      </c>
      <c r="J588" s="1215" t="s">
        <v>509</v>
      </c>
      <c r="K588" s="1219" t="s">
        <v>3112</v>
      </c>
      <c r="L588" s="8">
        <v>4</v>
      </c>
      <c r="M588" s="8">
        <v>28</v>
      </c>
      <c r="N588" s="1169" t="s">
        <v>271</v>
      </c>
      <c r="P588" s="6" t="s">
        <v>3324</v>
      </c>
      <c r="Q588" s="1215" t="s">
        <v>253</v>
      </c>
      <c r="R588" s="1215" t="s">
        <v>255</v>
      </c>
      <c r="S588" s="1215" t="s">
        <v>534</v>
      </c>
      <c r="T588" s="1215" t="s">
        <v>533</v>
      </c>
      <c r="U588" s="6" t="s">
        <v>567</v>
      </c>
      <c r="V588" s="6" t="s">
        <v>35</v>
      </c>
      <c r="W588" s="6" t="s">
        <v>863</v>
      </c>
      <c r="X588" s="6" t="s">
        <v>193</v>
      </c>
    </row>
    <row r="589" spans="1:24" ht="15" customHeight="1" x14ac:dyDescent="0.3">
      <c r="A589" s="6" t="s">
        <v>533</v>
      </c>
      <c r="B589" s="6" t="s">
        <v>534</v>
      </c>
      <c r="C589" s="6" t="s">
        <v>35</v>
      </c>
      <c r="D589" s="1088" t="s">
        <v>567</v>
      </c>
      <c r="E589" s="6" t="s">
        <v>193</v>
      </c>
      <c r="F589" s="6" t="s">
        <v>863</v>
      </c>
      <c r="G589" s="6" t="s">
        <v>1582</v>
      </c>
      <c r="H589" s="6" t="s">
        <v>1092</v>
      </c>
      <c r="J589" s="1215" t="s">
        <v>509</v>
      </c>
      <c r="K589" s="1219" t="s">
        <v>3109</v>
      </c>
      <c r="L589" s="8">
        <v>0</v>
      </c>
      <c r="M589" s="8">
        <v>5</v>
      </c>
      <c r="N589" s="1169" t="s">
        <v>271</v>
      </c>
      <c r="P589" s="6" t="s">
        <v>3324</v>
      </c>
      <c r="Q589" s="1215" t="s">
        <v>253</v>
      </c>
      <c r="R589" s="1215" t="s">
        <v>255</v>
      </c>
      <c r="S589" s="1215" t="s">
        <v>534</v>
      </c>
      <c r="T589" s="1215" t="s">
        <v>533</v>
      </c>
      <c r="U589" s="6" t="s">
        <v>567</v>
      </c>
      <c r="V589" s="6" t="s">
        <v>35</v>
      </c>
      <c r="W589" s="6" t="s">
        <v>863</v>
      </c>
      <c r="X589" s="6" t="s">
        <v>193</v>
      </c>
    </row>
    <row r="590" spans="1:24" ht="15" customHeight="1" x14ac:dyDescent="0.3">
      <c r="A590" s="6" t="s">
        <v>533</v>
      </c>
      <c r="B590" s="6" t="s">
        <v>534</v>
      </c>
      <c r="C590" s="6" t="s">
        <v>35</v>
      </c>
      <c r="D590" s="1088" t="s">
        <v>567</v>
      </c>
      <c r="E590" s="1088" t="s">
        <v>193</v>
      </c>
      <c r="F590" s="6" t="s">
        <v>863</v>
      </c>
      <c r="G590" s="6" t="s">
        <v>1582</v>
      </c>
      <c r="H590" s="6" t="s">
        <v>1092</v>
      </c>
      <c r="J590" s="1215" t="s">
        <v>509</v>
      </c>
      <c r="K590" s="1219" t="s">
        <v>3110</v>
      </c>
      <c r="L590" s="8">
        <v>0</v>
      </c>
      <c r="M590" s="8">
        <v>2</v>
      </c>
      <c r="N590" s="1169" t="s">
        <v>271</v>
      </c>
      <c r="P590" s="6" t="s">
        <v>3324</v>
      </c>
      <c r="Q590" s="1215" t="s">
        <v>253</v>
      </c>
      <c r="R590" s="1215" t="s">
        <v>255</v>
      </c>
      <c r="S590" s="1215" t="s">
        <v>534</v>
      </c>
      <c r="T590" s="1215" t="s">
        <v>533</v>
      </c>
      <c r="U590" s="6" t="s">
        <v>567</v>
      </c>
      <c r="V590" s="6" t="s">
        <v>35</v>
      </c>
      <c r="W590" s="6" t="s">
        <v>863</v>
      </c>
      <c r="X590" s="6" t="s">
        <v>193</v>
      </c>
    </row>
    <row r="591" spans="1:24" ht="15" customHeight="1" x14ac:dyDescent="0.3">
      <c r="A591" s="6" t="s">
        <v>533</v>
      </c>
      <c r="B591" s="6" t="s">
        <v>534</v>
      </c>
      <c r="C591" s="6" t="s">
        <v>31</v>
      </c>
      <c r="D591" s="1088" t="s">
        <v>549</v>
      </c>
      <c r="E591" s="6" t="s">
        <v>170</v>
      </c>
      <c r="F591" s="6" t="s">
        <v>866</v>
      </c>
      <c r="G591" s="6" t="s">
        <v>2041</v>
      </c>
      <c r="H591" s="6" t="s">
        <v>1956</v>
      </c>
      <c r="J591" s="1215" t="s">
        <v>509</v>
      </c>
      <c r="K591" s="1219" t="s">
        <v>3033</v>
      </c>
      <c r="L591" s="8">
        <v>3</v>
      </c>
      <c r="M591" s="8">
        <v>25</v>
      </c>
      <c r="N591" s="1169" t="s">
        <v>271</v>
      </c>
      <c r="P591" s="6" t="s">
        <v>3323</v>
      </c>
      <c r="Q591" s="1215" t="s">
        <v>253</v>
      </c>
      <c r="R591" s="1215" t="s">
        <v>255</v>
      </c>
      <c r="S591" s="1215" t="s">
        <v>534</v>
      </c>
      <c r="T591" s="1215" t="s">
        <v>533</v>
      </c>
      <c r="U591" s="6" t="s">
        <v>549</v>
      </c>
      <c r="V591" s="6" t="s">
        <v>31</v>
      </c>
      <c r="W591" s="6" t="s">
        <v>844</v>
      </c>
      <c r="X591" s="6" t="s">
        <v>166</v>
      </c>
    </row>
    <row r="592" spans="1:24" ht="15" customHeight="1" x14ac:dyDescent="0.3">
      <c r="A592" s="6" t="s">
        <v>533</v>
      </c>
      <c r="B592" s="6" t="s">
        <v>534</v>
      </c>
      <c r="C592" s="6" t="s">
        <v>31</v>
      </c>
      <c r="D592" s="1088" t="s">
        <v>549</v>
      </c>
      <c r="E592" s="6" t="s">
        <v>170</v>
      </c>
      <c r="F592" s="6" t="s">
        <v>866</v>
      </c>
      <c r="G592" s="6" t="s">
        <v>2041</v>
      </c>
      <c r="H592" s="6" t="s">
        <v>1956</v>
      </c>
      <c r="J592" s="1215" t="s">
        <v>509</v>
      </c>
      <c r="K592" s="1219" t="s">
        <v>3109</v>
      </c>
      <c r="L592" s="8">
        <v>1</v>
      </c>
      <c r="M592" s="8">
        <v>12</v>
      </c>
      <c r="N592" s="1169" t="s">
        <v>271</v>
      </c>
      <c r="P592" s="6" t="s">
        <v>3323</v>
      </c>
      <c r="Q592" s="1215" t="s">
        <v>253</v>
      </c>
      <c r="R592" s="1215" t="s">
        <v>255</v>
      </c>
      <c r="S592" s="1215" t="s">
        <v>534</v>
      </c>
      <c r="T592" s="1215" t="s">
        <v>533</v>
      </c>
      <c r="U592" s="6" t="s">
        <v>549</v>
      </c>
      <c r="V592" s="6" t="s">
        <v>31</v>
      </c>
      <c r="W592" s="6" t="s">
        <v>844</v>
      </c>
      <c r="X592" s="6" t="s">
        <v>166</v>
      </c>
    </row>
    <row r="593" spans="1:24" ht="15" customHeight="1" x14ac:dyDescent="0.3">
      <c r="A593" s="6" t="s">
        <v>533</v>
      </c>
      <c r="B593" s="6" t="s">
        <v>534</v>
      </c>
      <c r="C593" s="6" t="s">
        <v>31</v>
      </c>
      <c r="D593" s="1088" t="s">
        <v>549</v>
      </c>
      <c r="E593" s="6" t="s">
        <v>170</v>
      </c>
      <c r="F593" s="6" t="s">
        <v>866</v>
      </c>
      <c r="G593" s="6" t="s">
        <v>2041</v>
      </c>
      <c r="H593" s="6" t="s">
        <v>1956</v>
      </c>
      <c r="J593" s="1215" t="s">
        <v>509</v>
      </c>
      <c r="K593" s="1219" t="s">
        <v>3110</v>
      </c>
      <c r="L593" s="8">
        <v>1</v>
      </c>
      <c r="M593" s="8">
        <v>8</v>
      </c>
      <c r="N593" s="1169" t="s">
        <v>271</v>
      </c>
      <c r="P593" s="6" t="s">
        <v>3323</v>
      </c>
      <c r="Q593" s="1215" t="s">
        <v>253</v>
      </c>
      <c r="R593" s="1215" t="s">
        <v>255</v>
      </c>
      <c r="S593" s="1215" t="s">
        <v>534</v>
      </c>
      <c r="T593" s="1215" t="s">
        <v>533</v>
      </c>
      <c r="U593" s="6" t="s">
        <v>549</v>
      </c>
      <c r="V593" s="6" t="s">
        <v>31</v>
      </c>
      <c r="W593" s="6" t="s">
        <v>844</v>
      </c>
      <c r="X593" s="6" t="s">
        <v>166</v>
      </c>
    </row>
    <row r="594" spans="1:24" ht="15" customHeight="1" x14ac:dyDescent="0.3">
      <c r="A594" s="6" t="s">
        <v>533</v>
      </c>
      <c r="B594" s="6" t="s">
        <v>534</v>
      </c>
      <c r="C594" s="6" t="s">
        <v>31</v>
      </c>
      <c r="D594" s="1088" t="s">
        <v>549</v>
      </c>
      <c r="E594" s="6" t="s">
        <v>170</v>
      </c>
      <c r="F594" s="6" t="s">
        <v>866</v>
      </c>
      <c r="G594" s="6" t="s">
        <v>2041</v>
      </c>
      <c r="H594" s="6" t="s">
        <v>1956</v>
      </c>
      <c r="J594" s="1215" t="s">
        <v>509</v>
      </c>
      <c r="K594" s="1219" t="s">
        <v>3111</v>
      </c>
      <c r="L594" s="8">
        <v>1</v>
      </c>
      <c r="M594" s="8">
        <v>5</v>
      </c>
      <c r="N594" s="1169" t="s">
        <v>274</v>
      </c>
      <c r="P594" s="6" t="s">
        <v>3323</v>
      </c>
      <c r="Q594" s="1215" t="s">
        <v>253</v>
      </c>
      <c r="R594" s="1215" t="s">
        <v>255</v>
      </c>
      <c r="S594" s="1215" t="s">
        <v>534</v>
      </c>
      <c r="T594" s="1215" t="s">
        <v>533</v>
      </c>
      <c r="U594" s="6" t="s">
        <v>549</v>
      </c>
      <c r="V594" s="6" t="s">
        <v>31</v>
      </c>
      <c r="W594" s="6" t="s">
        <v>673</v>
      </c>
      <c r="X594" s="6" t="s">
        <v>169</v>
      </c>
    </row>
    <row r="595" spans="1:24" ht="15" customHeight="1" x14ac:dyDescent="0.3">
      <c r="A595" s="6" t="s">
        <v>533</v>
      </c>
      <c r="B595" s="6" t="s">
        <v>534</v>
      </c>
      <c r="C595" s="6" t="s">
        <v>31</v>
      </c>
      <c r="D595" s="1088" t="s">
        <v>549</v>
      </c>
      <c r="E595" s="6" t="s">
        <v>172</v>
      </c>
      <c r="F595" s="6" t="s">
        <v>706</v>
      </c>
      <c r="G595" s="6" t="s">
        <v>2996</v>
      </c>
      <c r="H595" s="6" t="s">
        <v>1039</v>
      </c>
      <c r="J595" s="1215" t="s">
        <v>509</v>
      </c>
      <c r="K595" s="1219" t="s">
        <v>3109</v>
      </c>
      <c r="L595" s="8">
        <v>11</v>
      </c>
      <c r="M595" s="8">
        <v>63</v>
      </c>
      <c r="N595" s="1169" t="s">
        <v>271</v>
      </c>
      <c r="P595" s="6" t="s">
        <v>3324</v>
      </c>
      <c r="Q595" s="1215" t="s">
        <v>253</v>
      </c>
      <c r="R595" s="1215" t="s">
        <v>255</v>
      </c>
      <c r="S595" s="1215" t="s">
        <v>534</v>
      </c>
      <c r="T595" s="1215" t="s">
        <v>533</v>
      </c>
      <c r="U595" s="6" t="s">
        <v>549</v>
      </c>
      <c r="V595" s="6" t="s">
        <v>31</v>
      </c>
      <c r="W595" s="6" t="s">
        <v>706</v>
      </c>
      <c r="X595" s="6" t="s">
        <v>172</v>
      </c>
    </row>
    <row r="596" spans="1:24" ht="15" customHeight="1" x14ac:dyDescent="0.3">
      <c r="A596" s="6" t="s">
        <v>533</v>
      </c>
      <c r="B596" s="6" t="s">
        <v>534</v>
      </c>
      <c r="C596" s="6" t="s">
        <v>31</v>
      </c>
      <c r="D596" s="1088" t="s">
        <v>549</v>
      </c>
      <c r="E596" s="6" t="s">
        <v>172</v>
      </c>
      <c r="F596" s="6" t="s">
        <v>706</v>
      </c>
      <c r="G596" s="6" t="s">
        <v>2996</v>
      </c>
      <c r="H596" s="6" t="s">
        <v>1039</v>
      </c>
      <c r="J596" s="1215" t="s">
        <v>509</v>
      </c>
      <c r="K596" s="1219" t="s">
        <v>3110</v>
      </c>
      <c r="L596" s="8">
        <v>5</v>
      </c>
      <c r="M596" s="8">
        <v>34</v>
      </c>
      <c r="N596" s="1169" t="s">
        <v>271</v>
      </c>
      <c r="P596" s="6" t="s">
        <v>3324</v>
      </c>
      <c r="Q596" s="1215" t="s">
        <v>253</v>
      </c>
      <c r="R596" s="1215" t="s">
        <v>255</v>
      </c>
      <c r="S596" s="1215" t="s">
        <v>534</v>
      </c>
      <c r="T596" s="1215" t="s">
        <v>533</v>
      </c>
      <c r="U596" s="6" t="s">
        <v>549</v>
      </c>
      <c r="V596" s="6" t="s">
        <v>31</v>
      </c>
      <c r="W596" s="6" t="s">
        <v>706</v>
      </c>
      <c r="X596" s="6" t="s">
        <v>172</v>
      </c>
    </row>
    <row r="597" spans="1:24" ht="15" customHeight="1" x14ac:dyDescent="0.3">
      <c r="A597" s="6" t="s">
        <v>533</v>
      </c>
      <c r="B597" s="6" t="s">
        <v>534</v>
      </c>
      <c r="C597" s="6" t="s">
        <v>31</v>
      </c>
      <c r="D597" s="1088" t="s">
        <v>549</v>
      </c>
      <c r="E597" s="6" t="s">
        <v>172</v>
      </c>
      <c r="F597" s="6" t="s">
        <v>706</v>
      </c>
      <c r="G597" s="6" t="s">
        <v>2996</v>
      </c>
      <c r="H597" s="6" t="s">
        <v>1039</v>
      </c>
      <c r="J597" s="1215" t="s">
        <v>509</v>
      </c>
      <c r="K597" s="1219" t="s">
        <v>3111</v>
      </c>
      <c r="L597" s="8">
        <v>45</v>
      </c>
      <c r="M597" s="8">
        <v>115</v>
      </c>
      <c r="N597" s="1169" t="s">
        <v>274</v>
      </c>
      <c r="P597" s="6" t="s">
        <v>3323</v>
      </c>
      <c r="Q597" s="1215" t="s">
        <v>253</v>
      </c>
      <c r="R597" s="1215" t="s">
        <v>255</v>
      </c>
      <c r="S597" s="1215" t="s">
        <v>534</v>
      </c>
      <c r="T597" s="1215" t="s">
        <v>533</v>
      </c>
      <c r="U597" s="6" t="s">
        <v>549</v>
      </c>
      <c r="V597" s="6" t="s">
        <v>31</v>
      </c>
      <c r="W597" s="6" t="s">
        <v>673</v>
      </c>
      <c r="X597" s="6" t="s">
        <v>169</v>
      </c>
    </row>
    <row r="598" spans="1:24" ht="15" customHeight="1" x14ac:dyDescent="0.3">
      <c r="A598" s="6" t="s">
        <v>533</v>
      </c>
      <c r="B598" s="6" t="s">
        <v>534</v>
      </c>
      <c r="C598" s="6" t="s">
        <v>31</v>
      </c>
      <c r="D598" s="1088" t="s">
        <v>549</v>
      </c>
      <c r="E598" s="6" t="s">
        <v>169</v>
      </c>
      <c r="F598" s="6" t="s">
        <v>673</v>
      </c>
      <c r="G598" s="6" t="s">
        <v>2951</v>
      </c>
      <c r="H598" s="6" t="s">
        <v>829</v>
      </c>
      <c r="J598" s="1215" t="s">
        <v>509</v>
      </c>
      <c r="K598" s="1219" t="s">
        <v>3110</v>
      </c>
      <c r="L598" s="8">
        <v>20</v>
      </c>
      <c r="M598" s="8">
        <v>73</v>
      </c>
      <c r="N598" s="1169" t="s">
        <v>271</v>
      </c>
      <c r="P598" s="6" t="s">
        <v>3324</v>
      </c>
      <c r="Q598" s="1215" t="s">
        <v>253</v>
      </c>
      <c r="R598" s="1215" t="s">
        <v>255</v>
      </c>
      <c r="S598" s="1215" t="s">
        <v>534</v>
      </c>
      <c r="T598" s="1215" t="s">
        <v>533</v>
      </c>
      <c r="U598" s="6" t="s">
        <v>549</v>
      </c>
      <c r="V598" s="6" t="s">
        <v>31</v>
      </c>
      <c r="W598" s="6" t="s">
        <v>673</v>
      </c>
      <c r="X598" s="6" t="s">
        <v>169</v>
      </c>
    </row>
    <row r="599" spans="1:24" ht="15" customHeight="1" x14ac:dyDescent="0.3">
      <c r="A599" s="6" t="s">
        <v>533</v>
      </c>
      <c r="B599" s="6" t="s">
        <v>534</v>
      </c>
      <c r="C599" s="6" t="s">
        <v>31</v>
      </c>
      <c r="D599" s="1088" t="s">
        <v>549</v>
      </c>
      <c r="E599" s="6" t="s">
        <v>169</v>
      </c>
      <c r="F599" s="6" t="s">
        <v>673</v>
      </c>
      <c r="G599" s="6" t="s">
        <v>2951</v>
      </c>
      <c r="H599" s="6" t="s">
        <v>829</v>
      </c>
      <c r="J599" s="1215" t="s">
        <v>509</v>
      </c>
      <c r="K599" s="1219" t="s">
        <v>3112</v>
      </c>
      <c r="L599" s="8">
        <v>0</v>
      </c>
      <c r="M599" s="8">
        <v>2</v>
      </c>
      <c r="N599" s="1169" t="s">
        <v>271</v>
      </c>
      <c r="P599" s="6" t="s">
        <v>3324</v>
      </c>
      <c r="Q599" s="1215" t="s">
        <v>253</v>
      </c>
      <c r="R599" s="1215" t="s">
        <v>255</v>
      </c>
      <c r="S599" s="1215" t="s">
        <v>534</v>
      </c>
      <c r="T599" s="1215" t="s">
        <v>533</v>
      </c>
      <c r="U599" s="6" t="s">
        <v>549</v>
      </c>
      <c r="V599" s="6" t="s">
        <v>31</v>
      </c>
      <c r="W599" s="6" t="s">
        <v>673</v>
      </c>
      <c r="X599" s="6" t="s">
        <v>169</v>
      </c>
    </row>
    <row r="600" spans="1:24" ht="15" customHeight="1" x14ac:dyDescent="0.3">
      <c r="A600" s="6" t="s">
        <v>533</v>
      </c>
      <c r="B600" s="6" t="s">
        <v>534</v>
      </c>
      <c r="C600" s="6" t="s">
        <v>31</v>
      </c>
      <c r="D600" s="1088" t="s">
        <v>549</v>
      </c>
      <c r="E600" s="6" t="s">
        <v>172</v>
      </c>
      <c r="F600" s="6" t="s">
        <v>706</v>
      </c>
      <c r="G600" s="6" t="s">
        <v>2698</v>
      </c>
      <c r="H600" s="6" t="s">
        <v>981</v>
      </c>
      <c r="J600" s="1215" t="s">
        <v>509</v>
      </c>
      <c r="K600" s="1219" t="s">
        <v>3033</v>
      </c>
      <c r="L600" s="8">
        <v>30</v>
      </c>
      <c r="M600" s="8">
        <v>163</v>
      </c>
      <c r="N600" s="1169" t="s">
        <v>271</v>
      </c>
      <c r="P600" s="6" t="s">
        <v>3324</v>
      </c>
      <c r="Q600" s="1215" t="s">
        <v>253</v>
      </c>
      <c r="R600" s="1215" t="s">
        <v>255</v>
      </c>
      <c r="S600" s="1215" t="s">
        <v>534</v>
      </c>
      <c r="T600" s="1215" t="s">
        <v>533</v>
      </c>
      <c r="U600" s="6" t="s">
        <v>549</v>
      </c>
      <c r="V600" s="6" t="s">
        <v>31</v>
      </c>
      <c r="W600" s="6" t="s">
        <v>706</v>
      </c>
      <c r="X600" s="6" t="s">
        <v>172</v>
      </c>
    </row>
    <row r="601" spans="1:24" ht="15" customHeight="1" x14ac:dyDescent="0.3">
      <c r="A601" s="6" t="s">
        <v>533</v>
      </c>
      <c r="B601" s="6" t="s">
        <v>534</v>
      </c>
      <c r="C601" s="6" t="s">
        <v>31</v>
      </c>
      <c r="D601" s="1088" t="s">
        <v>549</v>
      </c>
      <c r="E601" s="6" t="s">
        <v>172</v>
      </c>
      <c r="F601" s="6" t="s">
        <v>706</v>
      </c>
      <c r="G601" s="6" t="s">
        <v>2698</v>
      </c>
      <c r="H601" s="6" t="s">
        <v>981</v>
      </c>
      <c r="J601" s="1215" t="s">
        <v>509</v>
      </c>
      <c r="K601" s="1219" t="s">
        <v>3111</v>
      </c>
      <c r="L601" s="8">
        <v>17</v>
      </c>
      <c r="M601" s="8">
        <v>100</v>
      </c>
      <c r="N601" s="1169" t="s">
        <v>274</v>
      </c>
      <c r="P601" s="6" t="s">
        <v>3323</v>
      </c>
      <c r="Q601" s="1215" t="s">
        <v>253</v>
      </c>
      <c r="R601" s="1215" t="s">
        <v>255</v>
      </c>
      <c r="S601" s="1215" t="s">
        <v>534</v>
      </c>
      <c r="T601" s="1215" t="s">
        <v>533</v>
      </c>
      <c r="U601" s="6" t="s">
        <v>549</v>
      </c>
      <c r="V601" s="6" t="s">
        <v>31</v>
      </c>
      <c r="W601" s="6" t="s">
        <v>673</v>
      </c>
      <c r="X601" s="6" t="s">
        <v>169</v>
      </c>
    </row>
    <row r="602" spans="1:24" ht="15" customHeight="1" x14ac:dyDescent="0.3">
      <c r="A602" s="6" t="s">
        <v>533</v>
      </c>
      <c r="B602" s="6" t="s">
        <v>534</v>
      </c>
      <c r="C602" s="6" t="s">
        <v>31</v>
      </c>
      <c r="D602" s="1088" t="s">
        <v>549</v>
      </c>
      <c r="E602" s="6" t="s">
        <v>172</v>
      </c>
      <c r="F602" s="6" t="s">
        <v>706</v>
      </c>
      <c r="G602" s="6" t="s">
        <v>2698</v>
      </c>
      <c r="H602" s="6" t="s">
        <v>981</v>
      </c>
      <c r="J602" s="1215" t="s">
        <v>509</v>
      </c>
      <c r="K602" s="1219" t="s">
        <v>3112</v>
      </c>
      <c r="L602" s="8">
        <v>0</v>
      </c>
      <c r="M602" s="8">
        <v>6</v>
      </c>
      <c r="N602" s="1169" t="s">
        <v>271</v>
      </c>
      <c r="P602" s="6" t="s">
        <v>3324</v>
      </c>
      <c r="Q602" s="1215" t="s">
        <v>253</v>
      </c>
      <c r="R602" s="1215" t="s">
        <v>255</v>
      </c>
      <c r="S602" s="1215" t="s">
        <v>534</v>
      </c>
      <c r="T602" s="1215" t="s">
        <v>533</v>
      </c>
      <c r="U602" s="6" t="s">
        <v>549</v>
      </c>
      <c r="V602" s="6" t="s">
        <v>31</v>
      </c>
      <c r="W602" s="6" t="s">
        <v>706</v>
      </c>
      <c r="X602" s="6" t="s">
        <v>172</v>
      </c>
    </row>
    <row r="603" spans="1:24" ht="15" customHeight="1" x14ac:dyDescent="0.3">
      <c r="A603" s="6" t="s">
        <v>533</v>
      </c>
      <c r="B603" s="6" t="s">
        <v>534</v>
      </c>
      <c r="C603" s="6" t="s">
        <v>31</v>
      </c>
      <c r="D603" s="1088" t="s">
        <v>549</v>
      </c>
      <c r="E603" s="6" t="s">
        <v>169</v>
      </c>
      <c r="F603" s="6" t="s">
        <v>673</v>
      </c>
      <c r="G603" s="6" t="s">
        <v>2923</v>
      </c>
      <c r="H603" s="6" t="s">
        <v>1008</v>
      </c>
      <c r="J603" s="1215" t="s">
        <v>509</v>
      </c>
      <c r="K603" s="1219" t="s">
        <v>3111</v>
      </c>
      <c r="L603" s="8">
        <v>35</v>
      </c>
      <c r="M603" s="8">
        <v>100</v>
      </c>
      <c r="N603" s="1169" t="s">
        <v>274</v>
      </c>
      <c r="P603" s="6" t="s">
        <v>3324</v>
      </c>
      <c r="Q603" s="1215" t="s">
        <v>253</v>
      </c>
      <c r="R603" s="1215" t="s">
        <v>255</v>
      </c>
      <c r="S603" s="1215" t="s">
        <v>534</v>
      </c>
      <c r="T603" s="1215" t="s">
        <v>533</v>
      </c>
      <c r="U603" s="6" t="s">
        <v>549</v>
      </c>
      <c r="V603" s="6" t="s">
        <v>31</v>
      </c>
      <c r="W603" s="6" t="s">
        <v>673</v>
      </c>
      <c r="X603" s="6" t="s">
        <v>169</v>
      </c>
    </row>
    <row r="604" spans="1:24" ht="15" customHeight="1" x14ac:dyDescent="0.3">
      <c r="A604" s="6" t="s">
        <v>533</v>
      </c>
      <c r="B604" s="6" t="s">
        <v>534</v>
      </c>
      <c r="C604" s="6" t="s">
        <v>31</v>
      </c>
      <c r="D604" s="1088" t="s">
        <v>549</v>
      </c>
      <c r="E604" s="6" t="s">
        <v>172</v>
      </c>
      <c r="F604" s="6" t="s">
        <v>706</v>
      </c>
      <c r="G604" s="6" t="s">
        <v>2700</v>
      </c>
      <c r="H604" s="6" t="s">
        <v>1194</v>
      </c>
      <c r="J604" s="1215" t="s">
        <v>509</v>
      </c>
      <c r="K604" s="1219" t="s">
        <v>3110</v>
      </c>
      <c r="L604" s="8">
        <v>52</v>
      </c>
      <c r="M604" s="8">
        <v>366</v>
      </c>
      <c r="N604" s="1169" t="s">
        <v>271</v>
      </c>
      <c r="P604" s="6" t="s">
        <v>3324</v>
      </c>
      <c r="Q604" s="1215" t="s">
        <v>253</v>
      </c>
      <c r="R604" s="1215" t="s">
        <v>255</v>
      </c>
      <c r="S604" s="1215" t="s">
        <v>534</v>
      </c>
      <c r="T604" s="1215" t="s">
        <v>533</v>
      </c>
      <c r="U604" s="6" t="s">
        <v>549</v>
      </c>
      <c r="V604" s="6" t="s">
        <v>31</v>
      </c>
      <c r="W604" s="6" t="s">
        <v>706</v>
      </c>
      <c r="X604" s="6" t="s">
        <v>172</v>
      </c>
    </row>
    <row r="605" spans="1:24" ht="15" customHeight="1" x14ac:dyDescent="0.3">
      <c r="A605" s="6" t="s">
        <v>533</v>
      </c>
      <c r="B605" s="6" t="s">
        <v>534</v>
      </c>
      <c r="C605" s="6" t="s">
        <v>31</v>
      </c>
      <c r="D605" s="1088" t="s">
        <v>549</v>
      </c>
      <c r="E605" s="6" t="s">
        <v>172</v>
      </c>
      <c r="F605" s="6" t="s">
        <v>706</v>
      </c>
      <c r="G605" s="6" t="s">
        <v>2700</v>
      </c>
      <c r="H605" s="6" t="s">
        <v>1194</v>
      </c>
      <c r="J605" s="1215" t="s">
        <v>509</v>
      </c>
      <c r="K605" s="1219" t="s">
        <v>3111</v>
      </c>
      <c r="L605" s="8">
        <v>17</v>
      </c>
      <c r="M605" s="8">
        <v>146</v>
      </c>
      <c r="N605" s="1169" t="s">
        <v>274</v>
      </c>
      <c r="P605" s="6" t="s">
        <v>3323</v>
      </c>
      <c r="Q605" s="1215" t="s">
        <v>253</v>
      </c>
      <c r="R605" s="1215" t="s">
        <v>255</v>
      </c>
      <c r="S605" s="1215" t="s">
        <v>534</v>
      </c>
      <c r="T605" s="1215" t="s">
        <v>533</v>
      </c>
      <c r="U605" s="6" t="s">
        <v>549</v>
      </c>
      <c r="V605" s="6" t="s">
        <v>31</v>
      </c>
      <c r="W605" s="6" t="s">
        <v>673</v>
      </c>
      <c r="X605" s="6" t="s">
        <v>169</v>
      </c>
    </row>
    <row r="606" spans="1:24" ht="15" customHeight="1" x14ac:dyDescent="0.3">
      <c r="A606" s="6" t="s">
        <v>533</v>
      </c>
      <c r="B606" s="6" t="s">
        <v>534</v>
      </c>
      <c r="C606" s="6" t="s">
        <v>35</v>
      </c>
      <c r="D606" s="1088" t="s">
        <v>567</v>
      </c>
      <c r="E606" s="6" t="s">
        <v>192</v>
      </c>
      <c r="F606" s="6" t="s">
        <v>853</v>
      </c>
      <c r="G606" s="6" t="s">
        <v>1412</v>
      </c>
      <c r="H606" s="6" t="s">
        <v>1411</v>
      </c>
      <c r="J606" s="1215" t="s">
        <v>509</v>
      </c>
      <c r="K606" s="1219" t="s">
        <v>3109</v>
      </c>
      <c r="L606" s="8">
        <v>27</v>
      </c>
      <c r="M606" s="8">
        <v>40</v>
      </c>
      <c r="N606" s="1169" t="s">
        <v>271</v>
      </c>
      <c r="P606" s="6" t="s">
        <v>3323</v>
      </c>
      <c r="Q606" s="1215" t="s">
        <v>253</v>
      </c>
      <c r="R606" s="1215" t="s">
        <v>255</v>
      </c>
      <c r="S606" s="1215" t="s">
        <v>534</v>
      </c>
      <c r="T606" s="1215" t="s">
        <v>533</v>
      </c>
      <c r="U606" s="6" t="s">
        <v>567</v>
      </c>
      <c r="V606" s="6" t="s">
        <v>35</v>
      </c>
      <c r="W606" s="6" t="s">
        <v>863</v>
      </c>
      <c r="X606" s="6" t="s">
        <v>193</v>
      </c>
    </row>
    <row r="607" spans="1:24" ht="15" customHeight="1" x14ac:dyDescent="0.3">
      <c r="A607" s="6" t="s">
        <v>533</v>
      </c>
      <c r="B607" s="6" t="s">
        <v>534</v>
      </c>
      <c r="C607" s="6" t="s">
        <v>35</v>
      </c>
      <c r="D607" s="1088" t="s">
        <v>567</v>
      </c>
      <c r="E607" s="6" t="s">
        <v>192</v>
      </c>
      <c r="F607" s="6" t="s">
        <v>853</v>
      </c>
      <c r="G607" s="6" t="s">
        <v>1412</v>
      </c>
      <c r="H607" s="6" t="s">
        <v>1411</v>
      </c>
      <c r="J607" s="1215" t="s">
        <v>509</v>
      </c>
      <c r="K607" s="1219" t="s">
        <v>3110</v>
      </c>
      <c r="L607" s="8">
        <v>10</v>
      </c>
      <c r="M607" s="8">
        <v>30</v>
      </c>
      <c r="N607" s="6" t="s">
        <v>271</v>
      </c>
      <c r="P607" s="6" t="s">
        <v>3323</v>
      </c>
      <c r="Q607" s="1215" t="s">
        <v>253</v>
      </c>
      <c r="R607" s="1215" t="s">
        <v>255</v>
      </c>
      <c r="S607" s="1215" t="s">
        <v>534</v>
      </c>
      <c r="T607" s="1215" t="s">
        <v>533</v>
      </c>
      <c r="U607" s="6" t="s">
        <v>567</v>
      </c>
      <c r="V607" s="6" t="s">
        <v>35</v>
      </c>
      <c r="W607" s="6" t="s">
        <v>863</v>
      </c>
      <c r="X607" s="6" t="s">
        <v>193</v>
      </c>
    </row>
    <row r="608" spans="1:24" ht="15" customHeight="1" x14ac:dyDescent="0.3">
      <c r="A608" s="6" t="s">
        <v>533</v>
      </c>
      <c r="B608" s="6" t="s">
        <v>534</v>
      </c>
      <c r="C608" s="6" t="s">
        <v>35</v>
      </c>
      <c r="D608" s="1088" t="s">
        <v>567</v>
      </c>
      <c r="E608" s="6" t="s">
        <v>192</v>
      </c>
      <c r="F608" s="6" t="s">
        <v>853</v>
      </c>
      <c r="G608" s="6" t="s">
        <v>1412</v>
      </c>
      <c r="H608" s="6" t="s">
        <v>1411</v>
      </c>
      <c r="J608" s="1215" t="s">
        <v>509</v>
      </c>
      <c r="K608" s="1219" t="s">
        <v>3111</v>
      </c>
      <c r="L608" s="8">
        <v>85</v>
      </c>
      <c r="M608" s="8">
        <v>365</v>
      </c>
      <c r="N608" s="1169" t="s">
        <v>271</v>
      </c>
      <c r="P608" s="6" t="s">
        <v>3323</v>
      </c>
      <c r="Q608" s="1215" t="s">
        <v>253</v>
      </c>
      <c r="R608" s="1215" t="s">
        <v>255</v>
      </c>
      <c r="S608" s="1215" t="s">
        <v>534</v>
      </c>
      <c r="T608" s="1215" t="s">
        <v>533</v>
      </c>
      <c r="U608" s="6" t="s">
        <v>567</v>
      </c>
      <c r="V608" s="6" t="s">
        <v>35</v>
      </c>
      <c r="W608" s="6" t="s">
        <v>863</v>
      </c>
      <c r="X608" s="6" t="s">
        <v>193</v>
      </c>
    </row>
    <row r="609" spans="1:24" ht="15" customHeight="1" x14ac:dyDescent="0.3">
      <c r="A609" s="6" t="s">
        <v>533</v>
      </c>
      <c r="B609" s="6" t="s">
        <v>534</v>
      </c>
      <c r="C609" s="6" t="s">
        <v>35</v>
      </c>
      <c r="D609" s="1088" t="s">
        <v>567</v>
      </c>
      <c r="E609" s="6" t="s">
        <v>192</v>
      </c>
      <c r="F609" s="6" t="s">
        <v>853</v>
      </c>
      <c r="G609" s="6" t="s">
        <v>1412</v>
      </c>
      <c r="H609" s="6" t="s">
        <v>1411</v>
      </c>
      <c r="J609" s="1215" t="s">
        <v>509</v>
      </c>
      <c r="K609" s="1219" t="s">
        <v>3112</v>
      </c>
      <c r="L609" s="8">
        <v>5</v>
      </c>
      <c r="M609" s="8">
        <v>20</v>
      </c>
      <c r="N609" s="1169" t="s">
        <v>271</v>
      </c>
      <c r="P609" s="6" t="s">
        <v>3323</v>
      </c>
      <c r="Q609" s="1215" t="s">
        <v>253</v>
      </c>
      <c r="R609" s="1215" t="s">
        <v>255</v>
      </c>
      <c r="S609" s="1215" t="s">
        <v>534</v>
      </c>
      <c r="T609" s="1215" t="s">
        <v>533</v>
      </c>
      <c r="U609" s="6" t="s">
        <v>567</v>
      </c>
      <c r="V609" s="6" t="s">
        <v>35</v>
      </c>
      <c r="W609" s="6" t="s">
        <v>863</v>
      </c>
      <c r="X609" s="6" t="s">
        <v>193</v>
      </c>
    </row>
    <row r="610" spans="1:24" ht="15" customHeight="1" x14ac:dyDescent="0.3">
      <c r="A610" s="6" t="s">
        <v>533</v>
      </c>
      <c r="B610" s="6" t="s">
        <v>534</v>
      </c>
      <c r="C610" s="6" t="s">
        <v>35</v>
      </c>
      <c r="D610" s="1088" t="s">
        <v>567</v>
      </c>
      <c r="E610" s="6" t="s">
        <v>192</v>
      </c>
      <c r="F610" s="6" t="s">
        <v>853</v>
      </c>
      <c r="G610" s="6" t="s">
        <v>961</v>
      </c>
      <c r="H610" s="6" t="s">
        <v>1526</v>
      </c>
      <c r="J610" s="1215" t="s">
        <v>509</v>
      </c>
      <c r="K610" s="1219" t="s">
        <v>3109</v>
      </c>
      <c r="L610" s="8">
        <v>5</v>
      </c>
      <c r="M610" s="8">
        <v>26</v>
      </c>
      <c r="N610" s="1169" t="s">
        <v>271</v>
      </c>
      <c r="P610" s="6" t="s">
        <v>3323</v>
      </c>
      <c r="Q610" s="1215" t="s">
        <v>253</v>
      </c>
      <c r="R610" s="1215" t="s">
        <v>255</v>
      </c>
      <c r="S610" s="1215" t="s">
        <v>534</v>
      </c>
      <c r="T610" s="1215" t="s">
        <v>533</v>
      </c>
      <c r="U610" s="6" t="s">
        <v>567</v>
      </c>
      <c r="V610" s="6" t="s">
        <v>35</v>
      </c>
      <c r="W610" s="6" t="s">
        <v>863</v>
      </c>
      <c r="X610" s="6" t="s">
        <v>193</v>
      </c>
    </row>
    <row r="611" spans="1:24" ht="15" customHeight="1" x14ac:dyDescent="0.3">
      <c r="A611" s="6" t="s">
        <v>533</v>
      </c>
      <c r="B611" s="6" t="s">
        <v>534</v>
      </c>
      <c r="C611" s="6" t="s">
        <v>35</v>
      </c>
      <c r="D611" s="1088" t="s">
        <v>567</v>
      </c>
      <c r="E611" s="6" t="s">
        <v>192</v>
      </c>
      <c r="F611" s="6" t="s">
        <v>853</v>
      </c>
      <c r="G611" s="6" t="s">
        <v>961</v>
      </c>
      <c r="H611" s="6" t="s">
        <v>1526</v>
      </c>
      <c r="J611" s="1215" t="s">
        <v>509</v>
      </c>
      <c r="K611" s="1219" t="s">
        <v>3110</v>
      </c>
      <c r="L611" s="8">
        <v>0</v>
      </c>
      <c r="M611" s="8">
        <v>3</v>
      </c>
      <c r="N611" s="1169" t="s">
        <v>271</v>
      </c>
      <c r="P611" s="6" t="s">
        <v>3323</v>
      </c>
      <c r="Q611" s="1215" t="s">
        <v>253</v>
      </c>
      <c r="R611" s="1215" t="s">
        <v>255</v>
      </c>
      <c r="S611" s="1215" t="s">
        <v>534</v>
      </c>
      <c r="T611" s="1215" t="s">
        <v>533</v>
      </c>
      <c r="U611" s="6" t="s">
        <v>567</v>
      </c>
      <c r="V611" s="6" t="s">
        <v>35</v>
      </c>
      <c r="W611" s="6" t="s">
        <v>863</v>
      </c>
      <c r="X611" s="6" t="s">
        <v>193</v>
      </c>
    </row>
    <row r="612" spans="1:24" ht="15" customHeight="1" x14ac:dyDescent="0.3">
      <c r="A612" s="6" t="s">
        <v>533</v>
      </c>
      <c r="B612" s="6" t="s">
        <v>534</v>
      </c>
      <c r="C612" s="6" t="s">
        <v>35</v>
      </c>
      <c r="D612" s="1088" t="s">
        <v>567</v>
      </c>
      <c r="E612" s="6" t="s">
        <v>192</v>
      </c>
      <c r="F612" s="6" t="s">
        <v>853</v>
      </c>
      <c r="G612" s="6" t="s">
        <v>961</v>
      </c>
      <c r="H612" s="6" t="s">
        <v>1526</v>
      </c>
      <c r="J612" s="1215" t="s">
        <v>509</v>
      </c>
      <c r="K612" s="1219" t="s">
        <v>3111</v>
      </c>
      <c r="L612" s="8">
        <v>35</v>
      </c>
      <c r="M612" s="8">
        <v>144</v>
      </c>
      <c r="N612" s="1169" t="s">
        <v>271</v>
      </c>
      <c r="P612" s="6" t="s">
        <v>3323</v>
      </c>
      <c r="Q612" s="1215" t="s">
        <v>253</v>
      </c>
      <c r="R612" s="1215" t="s">
        <v>255</v>
      </c>
      <c r="S612" s="1215" t="s">
        <v>534</v>
      </c>
      <c r="T612" s="1215" t="s">
        <v>533</v>
      </c>
      <c r="U612" s="6" t="s">
        <v>567</v>
      </c>
      <c r="V612" s="6" t="s">
        <v>35</v>
      </c>
      <c r="W612" s="6" t="s">
        <v>863</v>
      </c>
      <c r="X612" s="6" t="s">
        <v>193</v>
      </c>
    </row>
    <row r="613" spans="1:24" ht="15" customHeight="1" x14ac:dyDescent="0.3">
      <c r="A613" s="6" t="s">
        <v>533</v>
      </c>
      <c r="B613" s="6" t="s">
        <v>534</v>
      </c>
      <c r="C613" s="6" t="s">
        <v>35</v>
      </c>
      <c r="D613" s="1088" t="s">
        <v>567</v>
      </c>
      <c r="E613" s="6" t="s">
        <v>192</v>
      </c>
      <c r="F613" s="6" t="s">
        <v>853</v>
      </c>
      <c r="G613" s="6" t="s">
        <v>961</v>
      </c>
      <c r="H613" s="6" t="s">
        <v>1526</v>
      </c>
      <c r="J613" s="1215" t="s">
        <v>509</v>
      </c>
      <c r="K613" s="1219" t="s">
        <v>3112</v>
      </c>
      <c r="L613" s="8">
        <v>22</v>
      </c>
      <c r="M613" s="8">
        <v>165</v>
      </c>
      <c r="N613" s="1169" t="s">
        <v>271</v>
      </c>
      <c r="P613" s="6" t="s">
        <v>3323</v>
      </c>
      <c r="Q613" s="1215" t="s">
        <v>253</v>
      </c>
      <c r="R613" s="1215" t="s">
        <v>255</v>
      </c>
      <c r="S613" s="1215" t="s">
        <v>534</v>
      </c>
      <c r="T613" s="1215" t="s">
        <v>533</v>
      </c>
      <c r="U613" s="6" t="s">
        <v>567</v>
      </c>
      <c r="V613" s="6" t="s">
        <v>35</v>
      </c>
      <c r="W613" s="6" t="s">
        <v>863</v>
      </c>
      <c r="X613" s="6" t="s">
        <v>193</v>
      </c>
    </row>
    <row r="614" spans="1:24" ht="15" customHeight="1" x14ac:dyDescent="0.3">
      <c r="A614" s="6" t="s">
        <v>533</v>
      </c>
      <c r="B614" s="6" t="s">
        <v>534</v>
      </c>
      <c r="C614" s="6" t="s">
        <v>35</v>
      </c>
      <c r="D614" s="1088" t="s">
        <v>567</v>
      </c>
      <c r="E614" s="6" t="s">
        <v>192</v>
      </c>
      <c r="F614" s="6" t="s">
        <v>853</v>
      </c>
      <c r="G614" s="6" t="s">
        <v>2962</v>
      </c>
      <c r="H614" s="6" t="s">
        <v>1313</v>
      </c>
      <c r="J614" s="1215" t="s">
        <v>509</v>
      </c>
      <c r="K614" s="1219" t="s">
        <v>3110</v>
      </c>
      <c r="L614" s="8">
        <v>5</v>
      </c>
      <c r="M614" s="8">
        <v>20</v>
      </c>
      <c r="N614" s="1169" t="s">
        <v>271</v>
      </c>
      <c r="P614" s="6" t="s">
        <v>3323</v>
      </c>
      <c r="Q614" s="1215" t="s">
        <v>253</v>
      </c>
      <c r="R614" s="1215" t="s">
        <v>255</v>
      </c>
      <c r="S614" s="1215" t="s">
        <v>534</v>
      </c>
      <c r="T614" s="1215" t="s">
        <v>533</v>
      </c>
      <c r="U614" s="6" t="s">
        <v>567</v>
      </c>
      <c r="V614" s="6" t="s">
        <v>35</v>
      </c>
      <c r="W614" s="6" t="s">
        <v>863</v>
      </c>
      <c r="X614" s="6" t="s">
        <v>193</v>
      </c>
    </row>
    <row r="615" spans="1:24" ht="15" customHeight="1" x14ac:dyDescent="0.3">
      <c r="A615" s="6" t="s">
        <v>533</v>
      </c>
      <c r="B615" s="6" t="s">
        <v>534</v>
      </c>
      <c r="C615" s="6" t="s">
        <v>35</v>
      </c>
      <c r="D615" s="1088" t="s">
        <v>567</v>
      </c>
      <c r="E615" s="6" t="s">
        <v>192</v>
      </c>
      <c r="F615" s="6" t="s">
        <v>853</v>
      </c>
      <c r="G615" s="6" t="s">
        <v>2962</v>
      </c>
      <c r="H615" s="6" t="s">
        <v>1313</v>
      </c>
      <c r="J615" s="1215" t="s">
        <v>509</v>
      </c>
      <c r="K615" s="1219" t="s">
        <v>3111</v>
      </c>
      <c r="L615" s="8">
        <v>153</v>
      </c>
      <c r="M615" s="8">
        <v>814</v>
      </c>
      <c r="N615" s="1169" t="s">
        <v>271</v>
      </c>
      <c r="P615" s="6" t="s">
        <v>3323</v>
      </c>
      <c r="Q615" s="1215" t="s">
        <v>253</v>
      </c>
      <c r="R615" s="1215" t="s">
        <v>255</v>
      </c>
      <c r="S615" s="1215" t="s">
        <v>534</v>
      </c>
      <c r="T615" s="1215" t="s">
        <v>533</v>
      </c>
      <c r="U615" s="6" t="s">
        <v>567</v>
      </c>
      <c r="V615" s="6" t="s">
        <v>35</v>
      </c>
      <c r="W615" s="6" t="s">
        <v>863</v>
      </c>
      <c r="X615" s="6" t="s">
        <v>193</v>
      </c>
    </row>
    <row r="616" spans="1:24" ht="15" customHeight="1" x14ac:dyDescent="0.3">
      <c r="A616" s="6" t="s">
        <v>533</v>
      </c>
      <c r="B616" s="6" t="s">
        <v>534</v>
      </c>
      <c r="C616" s="6" t="s">
        <v>35</v>
      </c>
      <c r="D616" s="1088" t="s">
        <v>567</v>
      </c>
      <c r="E616" s="6" t="s">
        <v>192</v>
      </c>
      <c r="F616" s="6" t="s">
        <v>853</v>
      </c>
      <c r="G616" s="6" t="s">
        <v>2962</v>
      </c>
      <c r="H616" s="6" t="s">
        <v>1313</v>
      </c>
      <c r="J616" s="1215" t="s">
        <v>509</v>
      </c>
      <c r="K616" s="1219" t="s">
        <v>3112</v>
      </c>
      <c r="L616" s="8">
        <v>85</v>
      </c>
      <c r="M616" s="8">
        <v>317</v>
      </c>
      <c r="N616" s="1169" t="s">
        <v>271</v>
      </c>
      <c r="P616" s="6" t="s">
        <v>3323</v>
      </c>
      <c r="Q616" s="1215" t="s">
        <v>253</v>
      </c>
      <c r="R616" s="1215" t="s">
        <v>255</v>
      </c>
      <c r="S616" s="1215" t="s">
        <v>534</v>
      </c>
      <c r="T616" s="1215" t="s">
        <v>533</v>
      </c>
      <c r="U616" s="6" t="s">
        <v>567</v>
      </c>
      <c r="V616" s="6" t="s">
        <v>35</v>
      </c>
      <c r="W616" s="6" t="s">
        <v>863</v>
      </c>
      <c r="X616" s="6" t="s">
        <v>193</v>
      </c>
    </row>
    <row r="617" spans="1:24" ht="15" customHeight="1" x14ac:dyDescent="0.3">
      <c r="A617" s="6" t="s">
        <v>533</v>
      </c>
      <c r="B617" s="6" t="s">
        <v>534</v>
      </c>
      <c r="C617" s="6" t="s">
        <v>35</v>
      </c>
      <c r="D617" s="1088" t="s">
        <v>567</v>
      </c>
      <c r="E617" s="6" t="s">
        <v>192</v>
      </c>
      <c r="F617" s="6" t="s">
        <v>853</v>
      </c>
      <c r="G617" s="6" t="s">
        <v>1170</v>
      </c>
      <c r="H617" s="6" t="s">
        <v>1315</v>
      </c>
      <c r="J617" s="1215" t="s">
        <v>509</v>
      </c>
      <c r="K617" s="1219" t="s">
        <v>3109</v>
      </c>
      <c r="L617" s="8">
        <v>2</v>
      </c>
      <c r="M617" s="8">
        <v>9</v>
      </c>
      <c r="N617" s="1169" t="s">
        <v>271</v>
      </c>
      <c r="P617" s="6" t="s">
        <v>3323</v>
      </c>
      <c r="Q617" s="1215" t="s">
        <v>253</v>
      </c>
      <c r="R617" s="1215" t="s">
        <v>255</v>
      </c>
      <c r="S617" s="1215" t="s">
        <v>534</v>
      </c>
      <c r="T617" s="1215" t="s">
        <v>533</v>
      </c>
      <c r="U617" s="6" t="s">
        <v>567</v>
      </c>
      <c r="V617" s="6" t="s">
        <v>35</v>
      </c>
      <c r="W617" s="6" t="s">
        <v>863</v>
      </c>
      <c r="X617" s="6" t="s">
        <v>193</v>
      </c>
    </row>
    <row r="618" spans="1:24" ht="15" customHeight="1" x14ac:dyDescent="0.3">
      <c r="A618" s="6" t="s">
        <v>533</v>
      </c>
      <c r="B618" s="6" t="s">
        <v>534</v>
      </c>
      <c r="C618" s="6" t="s">
        <v>35</v>
      </c>
      <c r="D618" s="1088" t="s">
        <v>567</v>
      </c>
      <c r="E618" s="6" t="s">
        <v>192</v>
      </c>
      <c r="F618" s="6" t="s">
        <v>853</v>
      </c>
      <c r="G618" s="6" t="s">
        <v>1170</v>
      </c>
      <c r="H618" s="6" t="s">
        <v>1315</v>
      </c>
      <c r="J618" s="1215" t="s">
        <v>509</v>
      </c>
      <c r="K618" s="1219" t="s">
        <v>3110</v>
      </c>
      <c r="L618" s="8">
        <v>0</v>
      </c>
      <c r="M618" s="8">
        <v>1</v>
      </c>
      <c r="N618" s="1169" t="s">
        <v>271</v>
      </c>
      <c r="P618" s="6" t="s">
        <v>3323</v>
      </c>
      <c r="Q618" s="1215" t="s">
        <v>253</v>
      </c>
      <c r="R618" s="1215" t="s">
        <v>255</v>
      </c>
      <c r="S618" s="1215" t="s">
        <v>534</v>
      </c>
      <c r="T618" s="1215" t="s">
        <v>533</v>
      </c>
      <c r="U618" s="6" t="s">
        <v>567</v>
      </c>
      <c r="V618" s="6" t="s">
        <v>35</v>
      </c>
      <c r="W618" s="6" t="s">
        <v>863</v>
      </c>
      <c r="X618" s="6" t="s">
        <v>193</v>
      </c>
    </row>
    <row r="619" spans="1:24" ht="15" customHeight="1" x14ac:dyDescent="0.3">
      <c r="A619" s="6" t="s">
        <v>533</v>
      </c>
      <c r="B619" s="6" t="s">
        <v>534</v>
      </c>
      <c r="C619" s="6" t="s">
        <v>35</v>
      </c>
      <c r="D619" s="1088" t="s">
        <v>567</v>
      </c>
      <c r="E619" s="6" t="s">
        <v>192</v>
      </c>
      <c r="F619" s="6" t="s">
        <v>853</v>
      </c>
      <c r="G619" s="6" t="s">
        <v>1170</v>
      </c>
      <c r="H619" s="6" t="s">
        <v>1315</v>
      </c>
      <c r="J619" s="1215" t="s">
        <v>509</v>
      </c>
      <c r="K619" s="1219" t="s">
        <v>3111</v>
      </c>
      <c r="L619" s="8">
        <v>22</v>
      </c>
      <c r="M619" s="8">
        <v>129</v>
      </c>
      <c r="N619" s="1169" t="s">
        <v>271</v>
      </c>
      <c r="P619" s="6" t="s">
        <v>3323</v>
      </c>
      <c r="Q619" s="1215" t="s">
        <v>253</v>
      </c>
      <c r="R619" s="1215" t="s">
        <v>255</v>
      </c>
      <c r="S619" s="1215" t="s">
        <v>534</v>
      </c>
      <c r="T619" s="1215" t="s">
        <v>533</v>
      </c>
      <c r="U619" s="6" t="s">
        <v>567</v>
      </c>
      <c r="V619" s="6" t="s">
        <v>35</v>
      </c>
      <c r="W619" s="6" t="s">
        <v>863</v>
      </c>
      <c r="X619" s="6" t="s">
        <v>193</v>
      </c>
    </row>
    <row r="620" spans="1:24" ht="15" customHeight="1" x14ac:dyDescent="0.3">
      <c r="A620" s="6" t="s">
        <v>533</v>
      </c>
      <c r="B620" s="6" t="s">
        <v>534</v>
      </c>
      <c r="C620" s="6" t="s">
        <v>35</v>
      </c>
      <c r="D620" s="1088" t="s">
        <v>567</v>
      </c>
      <c r="E620" s="6" t="s">
        <v>192</v>
      </c>
      <c r="F620" s="6" t="s">
        <v>853</v>
      </c>
      <c r="G620" s="6" t="s">
        <v>1170</v>
      </c>
      <c r="H620" s="6" t="s">
        <v>1315</v>
      </c>
      <c r="J620" s="1215" t="s">
        <v>509</v>
      </c>
      <c r="K620" s="1219" t="s">
        <v>3112</v>
      </c>
      <c r="L620" s="8">
        <v>2</v>
      </c>
      <c r="M620" s="8">
        <v>7</v>
      </c>
      <c r="N620" s="1169" t="s">
        <v>271</v>
      </c>
      <c r="O620" s="1088"/>
      <c r="P620" s="6" t="s">
        <v>3323</v>
      </c>
      <c r="Q620" s="1215" t="s">
        <v>253</v>
      </c>
      <c r="R620" s="1215" t="s">
        <v>255</v>
      </c>
      <c r="S620" s="1215" t="s">
        <v>534</v>
      </c>
      <c r="T620" s="1215" t="s">
        <v>533</v>
      </c>
      <c r="U620" s="6" t="s">
        <v>567</v>
      </c>
      <c r="V620" s="6" t="s">
        <v>35</v>
      </c>
      <c r="W620" s="6" t="s">
        <v>863</v>
      </c>
      <c r="X620" s="6" t="s">
        <v>193</v>
      </c>
    </row>
    <row r="621" spans="1:24" ht="15" customHeight="1" x14ac:dyDescent="0.3">
      <c r="A621" s="6" t="s">
        <v>533</v>
      </c>
      <c r="B621" s="6" t="s">
        <v>534</v>
      </c>
      <c r="C621" s="6" t="s">
        <v>35</v>
      </c>
      <c r="D621" s="1088" t="s">
        <v>567</v>
      </c>
      <c r="E621" s="6" t="s">
        <v>192</v>
      </c>
      <c r="F621" s="6" t="s">
        <v>853</v>
      </c>
      <c r="G621" s="6" t="s">
        <v>1168</v>
      </c>
      <c r="H621" s="6" t="s">
        <v>1413</v>
      </c>
      <c r="J621" s="1215" t="s">
        <v>509</v>
      </c>
      <c r="K621" s="1219" t="s">
        <v>3109</v>
      </c>
      <c r="L621" s="8">
        <v>20</v>
      </c>
      <c r="M621" s="8">
        <v>51</v>
      </c>
      <c r="N621" s="1169" t="s">
        <v>271</v>
      </c>
      <c r="P621" s="6" t="s">
        <v>3323</v>
      </c>
      <c r="Q621" s="1215" t="s">
        <v>253</v>
      </c>
      <c r="R621" s="1215" t="s">
        <v>255</v>
      </c>
      <c r="S621" s="1215" t="s">
        <v>534</v>
      </c>
      <c r="T621" s="1215" t="s">
        <v>533</v>
      </c>
      <c r="U621" s="6" t="s">
        <v>567</v>
      </c>
      <c r="V621" s="6" t="s">
        <v>35</v>
      </c>
      <c r="W621" s="6" t="s">
        <v>863</v>
      </c>
      <c r="X621" s="6" t="s">
        <v>193</v>
      </c>
    </row>
    <row r="622" spans="1:24" ht="15" customHeight="1" x14ac:dyDescent="0.3">
      <c r="A622" s="6" t="s">
        <v>533</v>
      </c>
      <c r="B622" s="6" t="s">
        <v>534</v>
      </c>
      <c r="C622" s="6" t="s">
        <v>35</v>
      </c>
      <c r="D622" s="1088" t="s">
        <v>567</v>
      </c>
      <c r="E622" s="6" t="s">
        <v>192</v>
      </c>
      <c r="F622" s="6" t="s">
        <v>853</v>
      </c>
      <c r="G622" s="6" t="s">
        <v>1168</v>
      </c>
      <c r="H622" s="6" t="s">
        <v>1413</v>
      </c>
      <c r="J622" s="1215" t="s">
        <v>509</v>
      </c>
      <c r="K622" s="1219" t="s">
        <v>3110</v>
      </c>
      <c r="L622" s="8">
        <v>25</v>
      </c>
      <c r="M622" s="8">
        <v>75</v>
      </c>
      <c r="N622" s="1169" t="s">
        <v>271</v>
      </c>
      <c r="P622" s="6" t="s">
        <v>3323</v>
      </c>
      <c r="Q622" s="1215" t="s">
        <v>253</v>
      </c>
      <c r="R622" s="1215" t="s">
        <v>255</v>
      </c>
      <c r="S622" s="1215" t="s">
        <v>534</v>
      </c>
      <c r="T622" s="1215" t="s">
        <v>533</v>
      </c>
      <c r="U622" s="6" t="s">
        <v>567</v>
      </c>
      <c r="V622" s="6" t="s">
        <v>35</v>
      </c>
      <c r="W622" s="6" t="s">
        <v>863</v>
      </c>
      <c r="X622" s="6" t="s">
        <v>193</v>
      </c>
    </row>
    <row r="623" spans="1:24" ht="15" customHeight="1" x14ac:dyDescent="0.3">
      <c r="A623" s="6" t="s">
        <v>533</v>
      </c>
      <c r="B623" s="6" t="s">
        <v>534</v>
      </c>
      <c r="C623" s="6" t="s">
        <v>35</v>
      </c>
      <c r="D623" s="1088" t="s">
        <v>567</v>
      </c>
      <c r="E623" s="6" t="s">
        <v>192</v>
      </c>
      <c r="F623" s="6" t="s">
        <v>853</v>
      </c>
      <c r="G623" s="6" t="s">
        <v>1168</v>
      </c>
      <c r="H623" s="6" t="s">
        <v>1413</v>
      </c>
      <c r="J623" s="1215" t="s">
        <v>509</v>
      </c>
      <c r="K623" s="1219" t="s">
        <v>3111</v>
      </c>
      <c r="L623" s="8">
        <v>104</v>
      </c>
      <c r="M623" s="8">
        <v>497</v>
      </c>
      <c r="N623" s="1169" t="s">
        <v>271</v>
      </c>
      <c r="P623" s="6" t="s">
        <v>3323</v>
      </c>
      <c r="Q623" s="1215" t="s">
        <v>253</v>
      </c>
      <c r="R623" s="1215" t="s">
        <v>255</v>
      </c>
      <c r="S623" s="1215" t="s">
        <v>534</v>
      </c>
      <c r="T623" s="1215" t="s">
        <v>533</v>
      </c>
      <c r="U623" s="6" t="s">
        <v>567</v>
      </c>
      <c r="V623" s="6" t="s">
        <v>35</v>
      </c>
      <c r="W623" s="6" t="s">
        <v>863</v>
      </c>
      <c r="X623" s="6" t="s">
        <v>193</v>
      </c>
    </row>
    <row r="624" spans="1:24" ht="15" customHeight="1" x14ac:dyDescent="0.3">
      <c r="A624" s="6" t="s">
        <v>533</v>
      </c>
      <c r="B624" s="6" t="s">
        <v>534</v>
      </c>
      <c r="C624" s="6" t="s">
        <v>35</v>
      </c>
      <c r="D624" s="1088" t="s">
        <v>567</v>
      </c>
      <c r="E624" s="6" t="s">
        <v>192</v>
      </c>
      <c r="F624" s="6" t="s">
        <v>853</v>
      </c>
      <c r="G624" s="6" t="s">
        <v>1168</v>
      </c>
      <c r="H624" s="6" t="s">
        <v>1413</v>
      </c>
      <c r="J624" s="1215" t="s">
        <v>509</v>
      </c>
      <c r="K624" s="1219" t="s">
        <v>3112</v>
      </c>
      <c r="L624" s="8">
        <v>19</v>
      </c>
      <c r="M624" s="8">
        <v>92</v>
      </c>
      <c r="N624" s="1169" t="s">
        <v>271</v>
      </c>
      <c r="P624" s="6" t="s">
        <v>3323</v>
      </c>
      <c r="Q624" s="1215" t="s">
        <v>253</v>
      </c>
      <c r="R624" s="1215" t="s">
        <v>255</v>
      </c>
      <c r="S624" s="1215" t="s">
        <v>534</v>
      </c>
      <c r="T624" s="1215" t="s">
        <v>533</v>
      </c>
      <c r="U624" s="6" t="s">
        <v>567</v>
      </c>
      <c r="V624" s="6" t="s">
        <v>35</v>
      </c>
      <c r="W624" s="6" t="s">
        <v>863</v>
      </c>
      <c r="X624" s="6" t="s">
        <v>193</v>
      </c>
    </row>
    <row r="625" spans="1:24" ht="15" customHeight="1" x14ac:dyDescent="0.3">
      <c r="A625" s="6" t="s">
        <v>533</v>
      </c>
      <c r="B625" s="6" t="s">
        <v>534</v>
      </c>
      <c r="C625" s="6" t="s">
        <v>31</v>
      </c>
      <c r="D625" s="1088" t="s">
        <v>549</v>
      </c>
      <c r="E625" s="6" t="s">
        <v>170</v>
      </c>
      <c r="F625" s="6" t="s">
        <v>866</v>
      </c>
      <c r="G625" s="6" t="s">
        <v>2005</v>
      </c>
      <c r="H625" s="6" t="s">
        <v>1913</v>
      </c>
      <c r="J625" s="1215" t="s">
        <v>509</v>
      </c>
      <c r="K625" s="1219" t="s">
        <v>3112</v>
      </c>
      <c r="L625" s="8">
        <v>10</v>
      </c>
      <c r="M625" s="8">
        <v>120</v>
      </c>
      <c r="N625" s="1169" t="s">
        <v>272</v>
      </c>
      <c r="P625" s="6" t="s">
        <v>3324</v>
      </c>
      <c r="Q625" s="1215" t="s">
        <v>253</v>
      </c>
      <c r="R625" s="1215" t="s">
        <v>255</v>
      </c>
      <c r="S625" s="1215" t="s">
        <v>534</v>
      </c>
      <c r="T625" s="1215" t="s">
        <v>533</v>
      </c>
      <c r="U625" s="6" t="s">
        <v>549</v>
      </c>
      <c r="V625" s="6" t="s">
        <v>31</v>
      </c>
      <c r="W625" s="6" t="s">
        <v>866</v>
      </c>
      <c r="X625" s="6" t="s">
        <v>170</v>
      </c>
    </row>
    <row r="626" spans="1:24" ht="15" customHeight="1" x14ac:dyDescent="0.3">
      <c r="A626" s="6" t="s">
        <v>533</v>
      </c>
      <c r="B626" s="6" t="s">
        <v>534</v>
      </c>
      <c r="C626" s="6" t="s">
        <v>34</v>
      </c>
      <c r="D626" s="1088" t="s">
        <v>539</v>
      </c>
      <c r="E626" s="6" t="s">
        <v>188</v>
      </c>
      <c r="F626" s="6" t="s">
        <v>546</v>
      </c>
      <c r="G626" s="6" t="s">
        <v>987</v>
      </c>
      <c r="H626" s="6" t="s">
        <v>611</v>
      </c>
      <c r="J626" s="1215" t="s">
        <v>509</v>
      </c>
      <c r="K626" s="1219" t="s">
        <v>3033</v>
      </c>
      <c r="L626" s="8">
        <v>161</v>
      </c>
      <c r="M626" s="8">
        <v>630</v>
      </c>
      <c r="N626" s="1169" t="s">
        <v>271</v>
      </c>
      <c r="P626" s="6" t="s">
        <v>3324</v>
      </c>
      <c r="Q626" s="1215" t="s">
        <v>253</v>
      </c>
      <c r="R626" s="1215" t="s">
        <v>255</v>
      </c>
      <c r="S626" s="1215" t="s">
        <v>534</v>
      </c>
      <c r="T626" s="1215" t="s">
        <v>533</v>
      </c>
      <c r="U626" s="6" t="s">
        <v>539</v>
      </c>
      <c r="V626" s="6" t="s">
        <v>34</v>
      </c>
      <c r="W626" s="6" t="s">
        <v>546</v>
      </c>
      <c r="X626" s="6" t="s">
        <v>188</v>
      </c>
    </row>
    <row r="627" spans="1:24" ht="15" customHeight="1" x14ac:dyDescent="0.3">
      <c r="A627" s="6" t="s">
        <v>533</v>
      </c>
      <c r="B627" s="6" t="s">
        <v>534</v>
      </c>
      <c r="C627" s="6" t="s">
        <v>34</v>
      </c>
      <c r="D627" s="1088" t="s">
        <v>539</v>
      </c>
      <c r="E627" s="6" t="s">
        <v>188</v>
      </c>
      <c r="F627" s="6" t="s">
        <v>546</v>
      </c>
      <c r="G627" s="6" t="s">
        <v>987</v>
      </c>
      <c r="H627" s="6" t="s">
        <v>611</v>
      </c>
      <c r="J627" s="1215" t="s">
        <v>509</v>
      </c>
      <c r="K627" s="1219" t="s">
        <v>3109</v>
      </c>
      <c r="L627" s="8">
        <v>135</v>
      </c>
      <c r="M627" s="8">
        <v>940</v>
      </c>
      <c r="N627" s="1169" t="s">
        <v>271</v>
      </c>
      <c r="P627" s="6" t="s">
        <v>3324</v>
      </c>
      <c r="Q627" s="1215" t="s">
        <v>253</v>
      </c>
      <c r="R627" s="1215" t="s">
        <v>255</v>
      </c>
      <c r="S627" s="1215" t="s">
        <v>534</v>
      </c>
      <c r="T627" s="1215" t="s">
        <v>533</v>
      </c>
      <c r="U627" s="6" t="s">
        <v>539</v>
      </c>
      <c r="V627" s="6" t="s">
        <v>34</v>
      </c>
      <c r="W627" s="6" t="s">
        <v>546</v>
      </c>
      <c r="X627" s="6" t="s">
        <v>188</v>
      </c>
    </row>
    <row r="628" spans="1:24" ht="15" customHeight="1" x14ac:dyDescent="0.3">
      <c r="A628" s="6" t="s">
        <v>533</v>
      </c>
      <c r="B628" s="6" t="s">
        <v>534</v>
      </c>
      <c r="C628" s="6" t="s">
        <v>34</v>
      </c>
      <c r="D628" s="1088" t="s">
        <v>539</v>
      </c>
      <c r="E628" s="1088" t="s">
        <v>188</v>
      </c>
      <c r="F628" s="6" t="s">
        <v>546</v>
      </c>
      <c r="G628" s="6" t="s">
        <v>987</v>
      </c>
      <c r="H628" s="6" t="s">
        <v>611</v>
      </c>
      <c r="J628" s="1215" t="s">
        <v>509</v>
      </c>
      <c r="K628" s="1219" t="s">
        <v>3110</v>
      </c>
      <c r="L628" s="8">
        <v>75</v>
      </c>
      <c r="M628" s="8">
        <v>567</v>
      </c>
      <c r="N628" s="1169" t="s">
        <v>271</v>
      </c>
      <c r="P628" s="6" t="s">
        <v>3324</v>
      </c>
      <c r="Q628" s="1215" t="s">
        <v>253</v>
      </c>
      <c r="R628" s="1215" t="s">
        <v>255</v>
      </c>
      <c r="S628" s="1215" t="s">
        <v>534</v>
      </c>
      <c r="T628" s="1215" t="s">
        <v>533</v>
      </c>
      <c r="U628" s="6" t="s">
        <v>539</v>
      </c>
      <c r="V628" s="6" t="s">
        <v>34</v>
      </c>
      <c r="W628" s="6" t="s">
        <v>546</v>
      </c>
      <c r="X628" s="6" t="s">
        <v>188</v>
      </c>
    </row>
    <row r="629" spans="1:24" ht="15" customHeight="1" x14ac:dyDescent="0.3">
      <c r="A629" s="6" t="s">
        <v>533</v>
      </c>
      <c r="B629" s="6" t="s">
        <v>534</v>
      </c>
      <c r="C629" s="6" t="s">
        <v>34</v>
      </c>
      <c r="D629" s="1088" t="s">
        <v>539</v>
      </c>
      <c r="E629" s="6" t="s">
        <v>188</v>
      </c>
      <c r="F629" s="6" t="s">
        <v>546</v>
      </c>
      <c r="G629" s="6" t="s">
        <v>987</v>
      </c>
      <c r="H629" s="6" t="s">
        <v>611</v>
      </c>
      <c r="J629" s="1215" t="s">
        <v>509</v>
      </c>
      <c r="K629" s="1219" t="s">
        <v>3111</v>
      </c>
      <c r="L629" s="8">
        <v>3</v>
      </c>
      <c r="M629" s="8">
        <v>34</v>
      </c>
      <c r="N629" s="1169" t="s">
        <v>271</v>
      </c>
      <c r="P629" s="6" t="s">
        <v>3324</v>
      </c>
      <c r="Q629" s="1215" t="s">
        <v>253</v>
      </c>
      <c r="R629" s="1215" t="s">
        <v>255</v>
      </c>
      <c r="S629" s="1215" t="s">
        <v>534</v>
      </c>
      <c r="T629" s="1215" t="s">
        <v>533</v>
      </c>
      <c r="U629" s="6" t="s">
        <v>539</v>
      </c>
      <c r="V629" s="6" t="s">
        <v>34</v>
      </c>
      <c r="W629" s="6" t="s">
        <v>546</v>
      </c>
      <c r="X629" s="6" t="s">
        <v>188</v>
      </c>
    </row>
    <row r="630" spans="1:24" ht="15" customHeight="1" x14ac:dyDescent="0.3">
      <c r="A630" s="6" t="s">
        <v>533</v>
      </c>
      <c r="B630" s="6" t="s">
        <v>534</v>
      </c>
      <c r="C630" s="6" t="s">
        <v>34</v>
      </c>
      <c r="D630" s="1088" t="s">
        <v>539</v>
      </c>
      <c r="E630" s="6" t="s">
        <v>188</v>
      </c>
      <c r="F630" s="6" t="s">
        <v>546</v>
      </c>
      <c r="G630" s="6" t="s">
        <v>987</v>
      </c>
      <c r="H630" s="6" t="s">
        <v>611</v>
      </c>
      <c r="J630" s="1215" t="s">
        <v>509</v>
      </c>
      <c r="K630" s="1219" t="s">
        <v>3112</v>
      </c>
      <c r="L630" s="8">
        <v>0</v>
      </c>
      <c r="M630" s="8">
        <v>28</v>
      </c>
      <c r="N630" s="1169" t="s">
        <v>271</v>
      </c>
      <c r="P630" s="6" t="s">
        <v>3324</v>
      </c>
      <c r="Q630" s="1215" t="s">
        <v>253</v>
      </c>
      <c r="R630" s="1215" t="s">
        <v>255</v>
      </c>
      <c r="S630" s="1215" t="s">
        <v>534</v>
      </c>
      <c r="T630" s="1215" t="s">
        <v>533</v>
      </c>
      <c r="U630" s="6" t="s">
        <v>539</v>
      </c>
      <c r="V630" s="6" t="s">
        <v>34</v>
      </c>
      <c r="W630" s="6" t="s">
        <v>546</v>
      </c>
      <c r="X630" s="6" t="s">
        <v>188</v>
      </c>
    </row>
    <row r="631" spans="1:24" ht="15" customHeight="1" x14ac:dyDescent="0.3">
      <c r="A631" s="6" t="s">
        <v>533</v>
      </c>
      <c r="B631" s="6" t="s">
        <v>534</v>
      </c>
      <c r="C631" s="6" t="s">
        <v>31</v>
      </c>
      <c r="D631" s="1088" t="s">
        <v>549</v>
      </c>
      <c r="E631" s="6" t="s">
        <v>170</v>
      </c>
      <c r="F631" s="6" t="s">
        <v>866</v>
      </c>
      <c r="G631" s="6" t="s">
        <v>1912</v>
      </c>
      <c r="H631" s="6" t="s">
        <v>2098</v>
      </c>
      <c r="J631" s="1215" t="s">
        <v>509</v>
      </c>
      <c r="K631" s="1219" t="s">
        <v>3033</v>
      </c>
      <c r="L631" s="8">
        <v>15</v>
      </c>
      <c r="M631" s="8">
        <v>32</v>
      </c>
      <c r="N631" s="1169" t="s">
        <v>271</v>
      </c>
      <c r="P631" s="6" t="s">
        <v>3323</v>
      </c>
      <c r="Q631" s="1215" t="s">
        <v>253</v>
      </c>
      <c r="R631" s="1215" t="s">
        <v>255</v>
      </c>
      <c r="S631" s="1215" t="s">
        <v>534</v>
      </c>
      <c r="T631" s="1215" t="s">
        <v>533</v>
      </c>
      <c r="U631" s="6" t="s">
        <v>549</v>
      </c>
      <c r="V631" s="6" t="s">
        <v>31</v>
      </c>
      <c r="W631" s="6" t="s">
        <v>844</v>
      </c>
      <c r="X631" s="6" t="s">
        <v>166</v>
      </c>
    </row>
    <row r="632" spans="1:24" ht="15" customHeight="1" x14ac:dyDescent="0.3">
      <c r="A632" s="6" t="s">
        <v>533</v>
      </c>
      <c r="B632" s="6" t="s">
        <v>534</v>
      </c>
      <c r="C632" s="6" t="s">
        <v>31</v>
      </c>
      <c r="D632" s="1088" t="s">
        <v>549</v>
      </c>
      <c r="E632" s="6" t="s">
        <v>170</v>
      </c>
      <c r="F632" s="6" t="s">
        <v>866</v>
      </c>
      <c r="G632" s="6" t="s">
        <v>1912</v>
      </c>
      <c r="H632" s="6" t="s">
        <v>2098</v>
      </c>
      <c r="J632" s="1215" t="s">
        <v>509</v>
      </c>
      <c r="K632" s="1219" t="s">
        <v>3109</v>
      </c>
      <c r="L632" s="8">
        <v>2</v>
      </c>
      <c r="M632" s="8">
        <v>16</v>
      </c>
      <c r="N632" s="1169" t="s">
        <v>271</v>
      </c>
      <c r="P632" s="6" t="s">
        <v>3323</v>
      </c>
      <c r="Q632" s="1215" t="s">
        <v>253</v>
      </c>
      <c r="R632" s="1215" t="s">
        <v>255</v>
      </c>
      <c r="S632" s="1215" t="s">
        <v>534</v>
      </c>
      <c r="T632" s="1215" t="s">
        <v>533</v>
      </c>
      <c r="U632" s="6" t="s">
        <v>549</v>
      </c>
      <c r="V632" s="6" t="s">
        <v>31</v>
      </c>
      <c r="W632" s="6" t="s">
        <v>844</v>
      </c>
      <c r="X632" s="6" t="s">
        <v>166</v>
      </c>
    </row>
    <row r="633" spans="1:24" ht="15" customHeight="1" x14ac:dyDescent="0.3">
      <c r="A633" s="6" t="s">
        <v>533</v>
      </c>
      <c r="B633" s="6" t="s">
        <v>534</v>
      </c>
      <c r="C633" s="6" t="s">
        <v>31</v>
      </c>
      <c r="D633" s="1088" t="s">
        <v>549</v>
      </c>
      <c r="E633" s="6" t="s">
        <v>170</v>
      </c>
      <c r="F633" s="6" t="s">
        <v>866</v>
      </c>
      <c r="G633" s="6" t="s">
        <v>1912</v>
      </c>
      <c r="H633" s="6" t="s">
        <v>2098</v>
      </c>
      <c r="J633" s="1215" t="s">
        <v>509</v>
      </c>
      <c r="K633" s="1219" t="s">
        <v>3110</v>
      </c>
      <c r="L633" s="8">
        <v>1</v>
      </c>
      <c r="M633" s="8">
        <v>8</v>
      </c>
      <c r="N633" s="1169" t="s">
        <v>271</v>
      </c>
      <c r="P633" s="6" t="s">
        <v>3323</v>
      </c>
      <c r="Q633" s="1215" t="s">
        <v>253</v>
      </c>
      <c r="R633" s="1215" t="s">
        <v>255</v>
      </c>
      <c r="S633" s="1215" t="s">
        <v>534</v>
      </c>
      <c r="T633" s="1215" t="s">
        <v>533</v>
      </c>
      <c r="U633" s="6" t="s">
        <v>549</v>
      </c>
      <c r="V633" s="6" t="s">
        <v>31</v>
      </c>
      <c r="W633" s="6" t="s">
        <v>844</v>
      </c>
      <c r="X633" s="6" t="s">
        <v>166</v>
      </c>
    </row>
    <row r="634" spans="1:24" ht="15" customHeight="1" x14ac:dyDescent="0.3">
      <c r="A634" s="6" t="s">
        <v>533</v>
      </c>
      <c r="B634" s="6" t="s">
        <v>534</v>
      </c>
      <c r="C634" s="6" t="s">
        <v>31</v>
      </c>
      <c r="D634" s="1088" t="s">
        <v>549</v>
      </c>
      <c r="E634" s="6" t="s">
        <v>170</v>
      </c>
      <c r="F634" s="6" t="s">
        <v>866</v>
      </c>
      <c r="G634" s="6" t="s">
        <v>1912</v>
      </c>
      <c r="H634" s="6" t="s">
        <v>2098</v>
      </c>
      <c r="J634" s="1215" t="s">
        <v>509</v>
      </c>
      <c r="K634" s="1219" t="s">
        <v>3111</v>
      </c>
      <c r="L634" s="8">
        <v>2</v>
      </c>
      <c r="M634" s="8">
        <v>14</v>
      </c>
      <c r="N634" s="1169" t="s">
        <v>274</v>
      </c>
      <c r="P634" s="6" t="s">
        <v>3323</v>
      </c>
      <c r="Q634" s="1215" t="s">
        <v>253</v>
      </c>
      <c r="R634" s="1215" t="s">
        <v>255</v>
      </c>
      <c r="S634" s="1215" t="s">
        <v>534</v>
      </c>
      <c r="T634" s="1215" t="s">
        <v>533</v>
      </c>
      <c r="U634" s="6" t="s">
        <v>549</v>
      </c>
      <c r="V634" s="6" t="s">
        <v>31</v>
      </c>
      <c r="W634" s="6" t="s">
        <v>673</v>
      </c>
      <c r="X634" s="6" t="s">
        <v>169</v>
      </c>
    </row>
    <row r="635" spans="1:24" ht="15" customHeight="1" x14ac:dyDescent="0.3">
      <c r="A635" s="6" t="s">
        <v>533</v>
      </c>
      <c r="B635" s="6" t="s">
        <v>534</v>
      </c>
      <c r="C635" s="6" t="s">
        <v>31</v>
      </c>
      <c r="D635" s="1088" t="s">
        <v>549</v>
      </c>
      <c r="E635" s="6" t="s">
        <v>170</v>
      </c>
      <c r="F635" s="6" t="s">
        <v>866</v>
      </c>
      <c r="G635" s="6" t="s">
        <v>1912</v>
      </c>
      <c r="H635" s="6" t="s">
        <v>2098</v>
      </c>
      <c r="J635" s="1215" t="s">
        <v>509</v>
      </c>
      <c r="K635" s="1219" t="s">
        <v>3112</v>
      </c>
      <c r="L635" s="8">
        <v>1</v>
      </c>
      <c r="M635" s="8">
        <v>8</v>
      </c>
      <c r="N635" s="1169" t="s">
        <v>272</v>
      </c>
      <c r="P635" s="6" t="s">
        <v>3323</v>
      </c>
      <c r="Q635" s="1215" t="s">
        <v>253</v>
      </c>
      <c r="R635" s="1215" t="s">
        <v>255</v>
      </c>
      <c r="S635" s="1215" t="s">
        <v>534</v>
      </c>
      <c r="T635" s="1215" t="s">
        <v>533</v>
      </c>
      <c r="U635" s="6" t="s">
        <v>549</v>
      </c>
      <c r="V635" s="6" t="s">
        <v>31</v>
      </c>
      <c r="W635" s="6" t="s">
        <v>673</v>
      </c>
      <c r="X635" s="6" t="s">
        <v>169</v>
      </c>
    </row>
    <row r="636" spans="1:24" ht="15" customHeight="1" x14ac:dyDescent="0.3">
      <c r="A636" s="6" t="s">
        <v>533</v>
      </c>
      <c r="B636" s="6" t="s">
        <v>534</v>
      </c>
      <c r="C636" s="6" t="s">
        <v>31</v>
      </c>
      <c r="D636" s="1088" t="s">
        <v>549</v>
      </c>
      <c r="E636" s="1088" t="s">
        <v>171</v>
      </c>
      <c r="F636" s="6" t="s">
        <v>634</v>
      </c>
      <c r="G636" s="6" t="s">
        <v>2837</v>
      </c>
      <c r="H636" s="6" t="s">
        <v>1078</v>
      </c>
      <c r="J636" s="1215" t="s">
        <v>509</v>
      </c>
      <c r="K636" s="1219" t="s">
        <v>3033</v>
      </c>
      <c r="L636" s="8">
        <v>18</v>
      </c>
      <c r="M636" s="8">
        <v>119</v>
      </c>
      <c r="N636" s="1169" t="s">
        <v>271</v>
      </c>
      <c r="P636" s="6" t="s">
        <v>3323</v>
      </c>
      <c r="Q636" s="1215" t="s">
        <v>253</v>
      </c>
      <c r="R636" s="1215" t="s">
        <v>255</v>
      </c>
      <c r="S636" s="1215" t="s">
        <v>534</v>
      </c>
      <c r="T636" s="1215" t="s">
        <v>533</v>
      </c>
      <c r="U636" s="6" t="s">
        <v>549</v>
      </c>
      <c r="V636" s="6" t="s">
        <v>31</v>
      </c>
      <c r="W636" s="6" t="s">
        <v>844</v>
      </c>
      <c r="X636" s="6" t="s">
        <v>166</v>
      </c>
    </row>
    <row r="637" spans="1:24" ht="15" customHeight="1" x14ac:dyDescent="0.3">
      <c r="A637" s="6" t="s">
        <v>533</v>
      </c>
      <c r="B637" s="6" t="s">
        <v>534</v>
      </c>
      <c r="C637" s="6" t="s">
        <v>31</v>
      </c>
      <c r="D637" s="1088" t="s">
        <v>549</v>
      </c>
      <c r="E637" s="6" t="s">
        <v>171</v>
      </c>
      <c r="F637" s="6" t="s">
        <v>634</v>
      </c>
      <c r="G637" s="6" t="s">
        <v>2837</v>
      </c>
      <c r="H637" s="6" t="s">
        <v>1078</v>
      </c>
      <c r="J637" s="1215" t="s">
        <v>509</v>
      </c>
      <c r="K637" s="1219" t="s">
        <v>3109</v>
      </c>
      <c r="L637" s="8">
        <v>0</v>
      </c>
      <c r="M637" s="8">
        <v>17</v>
      </c>
      <c r="N637" s="1169" t="s">
        <v>271</v>
      </c>
      <c r="P637" s="6" t="s">
        <v>3323</v>
      </c>
      <c r="Q637" s="1215" t="s">
        <v>253</v>
      </c>
      <c r="R637" s="1215" t="s">
        <v>255</v>
      </c>
      <c r="S637" s="1215" t="s">
        <v>534</v>
      </c>
      <c r="T637" s="1215" t="s">
        <v>533</v>
      </c>
      <c r="U637" s="6" t="s">
        <v>549</v>
      </c>
      <c r="V637" s="6" t="s">
        <v>31</v>
      </c>
      <c r="W637" s="6" t="s">
        <v>844</v>
      </c>
      <c r="X637" s="6" t="s">
        <v>166</v>
      </c>
    </row>
    <row r="638" spans="1:24" ht="15" customHeight="1" x14ac:dyDescent="0.3">
      <c r="A638" s="6" t="s">
        <v>533</v>
      </c>
      <c r="B638" s="6" t="s">
        <v>534</v>
      </c>
      <c r="C638" s="6" t="s">
        <v>31</v>
      </c>
      <c r="D638" s="1088" t="s">
        <v>549</v>
      </c>
      <c r="E638" s="6" t="s">
        <v>171</v>
      </c>
      <c r="F638" s="6" t="s">
        <v>634</v>
      </c>
      <c r="G638" s="6" t="s">
        <v>2837</v>
      </c>
      <c r="H638" s="6" t="s">
        <v>1078</v>
      </c>
      <c r="J638" s="1215" t="s">
        <v>509</v>
      </c>
      <c r="K638" s="1219" t="s">
        <v>3111</v>
      </c>
      <c r="L638" s="8">
        <v>30</v>
      </c>
      <c r="M638" s="8">
        <v>166</v>
      </c>
      <c r="N638" s="1169" t="s">
        <v>274</v>
      </c>
      <c r="P638" s="6" t="s">
        <v>3323</v>
      </c>
      <c r="Q638" s="1215" t="s">
        <v>253</v>
      </c>
      <c r="R638" s="1215" t="s">
        <v>255</v>
      </c>
      <c r="S638" s="1215" t="s">
        <v>534</v>
      </c>
      <c r="T638" s="1215" t="s">
        <v>533</v>
      </c>
      <c r="U638" s="6" t="s">
        <v>549</v>
      </c>
      <c r="V638" s="6" t="s">
        <v>31</v>
      </c>
      <c r="W638" s="6" t="s">
        <v>673</v>
      </c>
      <c r="X638" s="6" t="s">
        <v>169</v>
      </c>
    </row>
    <row r="639" spans="1:24" ht="15" customHeight="1" x14ac:dyDescent="0.3">
      <c r="A639" s="6" t="s">
        <v>533</v>
      </c>
      <c r="B639" s="6" t="s">
        <v>534</v>
      </c>
      <c r="C639" s="6" t="s">
        <v>31</v>
      </c>
      <c r="D639" s="1088" t="s">
        <v>549</v>
      </c>
      <c r="E639" s="1088" t="s">
        <v>171</v>
      </c>
      <c r="F639" s="6" t="s">
        <v>634</v>
      </c>
      <c r="G639" s="6" t="s">
        <v>2837</v>
      </c>
      <c r="H639" s="6" t="s">
        <v>1078</v>
      </c>
      <c r="J639" s="1215" t="s">
        <v>509</v>
      </c>
      <c r="K639" s="1219" t="s">
        <v>3112</v>
      </c>
      <c r="L639" s="8">
        <v>0</v>
      </c>
      <c r="M639" s="8">
        <v>6</v>
      </c>
      <c r="N639" s="1169" t="s">
        <v>274</v>
      </c>
      <c r="P639" s="6" t="s">
        <v>3323</v>
      </c>
      <c r="Q639" s="1215" t="s">
        <v>253</v>
      </c>
      <c r="R639" s="1215" t="s">
        <v>255</v>
      </c>
      <c r="S639" s="1215" t="s">
        <v>534</v>
      </c>
      <c r="T639" s="1215" t="s">
        <v>533</v>
      </c>
      <c r="U639" s="6" t="s">
        <v>549</v>
      </c>
      <c r="V639" s="6" t="s">
        <v>31</v>
      </c>
      <c r="W639" s="6" t="s">
        <v>673</v>
      </c>
      <c r="X639" s="6" t="s">
        <v>169</v>
      </c>
    </row>
    <row r="640" spans="1:24" ht="15" customHeight="1" x14ac:dyDescent="0.3">
      <c r="A640" s="6" t="s">
        <v>533</v>
      </c>
      <c r="B640" s="6" t="s">
        <v>534</v>
      </c>
      <c r="C640" s="6" t="s">
        <v>33</v>
      </c>
      <c r="D640" s="1088" t="s">
        <v>561</v>
      </c>
      <c r="E640" s="1088" t="s">
        <v>183</v>
      </c>
      <c r="F640" s="6" t="s">
        <v>562</v>
      </c>
      <c r="G640" s="6" t="s">
        <v>2196</v>
      </c>
      <c r="H640" s="6" t="s">
        <v>2197</v>
      </c>
      <c r="J640" s="1215" t="s">
        <v>509</v>
      </c>
      <c r="K640" s="1219" t="s">
        <v>3033</v>
      </c>
      <c r="L640" s="8">
        <v>40</v>
      </c>
      <c r="M640" s="8">
        <v>98</v>
      </c>
      <c r="N640" s="1169" t="s">
        <v>271</v>
      </c>
      <c r="P640" s="6" t="s">
        <v>3322</v>
      </c>
      <c r="Q640" s="1215" t="s">
        <v>253</v>
      </c>
      <c r="R640" s="1215" t="s">
        <v>255</v>
      </c>
      <c r="S640" s="1215" t="s">
        <v>534</v>
      </c>
      <c r="T640" s="1215" t="s">
        <v>533</v>
      </c>
      <c r="U640" s="6" t="s">
        <v>539</v>
      </c>
      <c r="V640" s="6" t="s">
        <v>34</v>
      </c>
    </row>
    <row r="641" spans="1:24" ht="15" customHeight="1" x14ac:dyDescent="0.3">
      <c r="A641" s="6" t="s">
        <v>533</v>
      </c>
      <c r="B641" s="6" t="s">
        <v>534</v>
      </c>
      <c r="C641" s="6" t="s">
        <v>30</v>
      </c>
      <c r="D641" s="1088" t="s">
        <v>535</v>
      </c>
      <c r="E641" s="6" t="s">
        <v>162</v>
      </c>
      <c r="F641" s="6" t="s">
        <v>536</v>
      </c>
      <c r="G641" s="6" t="s">
        <v>3018</v>
      </c>
      <c r="H641" s="6" t="s">
        <v>653</v>
      </c>
      <c r="J641" s="1215" t="s">
        <v>509</v>
      </c>
      <c r="K641" s="1219" t="s">
        <v>3033</v>
      </c>
      <c r="L641" s="8">
        <v>3</v>
      </c>
      <c r="M641" s="8">
        <v>21</v>
      </c>
      <c r="N641" s="1169" t="s">
        <v>271</v>
      </c>
      <c r="P641" s="6" t="s">
        <v>3322</v>
      </c>
      <c r="Q641" s="1215" t="s">
        <v>253</v>
      </c>
      <c r="R641" s="1215" t="s">
        <v>255</v>
      </c>
      <c r="S641" s="1215" t="s">
        <v>534</v>
      </c>
      <c r="T641" s="1215" t="s">
        <v>533</v>
      </c>
      <c r="U641" s="6" t="s">
        <v>539</v>
      </c>
      <c r="V641" s="6" t="s">
        <v>34</v>
      </c>
    </row>
    <row r="642" spans="1:24" ht="15" customHeight="1" x14ac:dyDescent="0.3">
      <c r="A642" s="6" t="s">
        <v>533</v>
      </c>
      <c r="B642" s="6" t="s">
        <v>534</v>
      </c>
      <c r="C642" s="6" t="s">
        <v>33</v>
      </c>
      <c r="D642" s="1088" t="s">
        <v>561</v>
      </c>
      <c r="E642" s="6" t="s">
        <v>183</v>
      </c>
      <c r="F642" s="6" t="s">
        <v>562</v>
      </c>
      <c r="G642" s="6" t="s">
        <v>744</v>
      </c>
      <c r="H642" s="6" t="s">
        <v>745</v>
      </c>
      <c r="J642" s="1215" t="s">
        <v>509</v>
      </c>
      <c r="K642" s="1219" t="s">
        <v>3033</v>
      </c>
      <c r="L642" s="8">
        <v>82</v>
      </c>
      <c r="M642" s="8">
        <v>637</v>
      </c>
      <c r="N642" s="1169" t="s">
        <v>274</v>
      </c>
      <c r="P642" s="6" t="s">
        <v>743</v>
      </c>
      <c r="Q642" s="1215" t="s">
        <v>253</v>
      </c>
      <c r="R642" s="1215" t="s">
        <v>255</v>
      </c>
      <c r="S642" s="1088" t="s">
        <v>3405</v>
      </c>
      <c r="T642" s="1215" t="s">
        <v>3326</v>
      </c>
    </row>
    <row r="643" spans="1:24" ht="15" customHeight="1" x14ac:dyDescent="0.3">
      <c r="A643" s="6" t="s">
        <v>533</v>
      </c>
      <c r="B643" s="6" t="s">
        <v>534</v>
      </c>
      <c r="C643" s="6" t="s">
        <v>31</v>
      </c>
      <c r="D643" s="1088" t="s">
        <v>549</v>
      </c>
      <c r="E643" s="6" t="s">
        <v>169</v>
      </c>
      <c r="F643" s="6" t="s">
        <v>673</v>
      </c>
      <c r="G643" s="6" t="s">
        <v>2866</v>
      </c>
      <c r="H643" s="6" t="s">
        <v>2342</v>
      </c>
      <c r="J643" s="1215" t="s">
        <v>509</v>
      </c>
      <c r="K643" s="1219" t="s">
        <v>3112</v>
      </c>
      <c r="L643" s="8">
        <v>25</v>
      </c>
      <c r="M643" s="8">
        <v>250</v>
      </c>
      <c r="N643" s="1169" t="s">
        <v>272</v>
      </c>
      <c r="P643" s="6" t="s">
        <v>3324</v>
      </c>
      <c r="Q643" s="1215" t="s">
        <v>253</v>
      </c>
      <c r="R643" s="1215" t="s">
        <v>255</v>
      </c>
      <c r="S643" s="1215" t="s">
        <v>534</v>
      </c>
      <c r="T643" s="1215" t="s">
        <v>533</v>
      </c>
      <c r="U643" s="6" t="s">
        <v>549</v>
      </c>
      <c r="V643" s="6" t="s">
        <v>31</v>
      </c>
      <c r="W643" s="6" t="s">
        <v>673</v>
      </c>
      <c r="X643" s="6" t="s">
        <v>169</v>
      </c>
    </row>
    <row r="644" spans="1:24" ht="15" customHeight="1" x14ac:dyDescent="0.3">
      <c r="A644" s="6" t="s">
        <v>533</v>
      </c>
      <c r="B644" s="6" t="s">
        <v>534</v>
      </c>
      <c r="C644" s="6" t="s">
        <v>31</v>
      </c>
      <c r="D644" s="1088" t="s">
        <v>549</v>
      </c>
      <c r="E644" s="1088" t="s">
        <v>169</v>
      </c>
      <c r="F644" s="6" t="s">
        <v>673</v>
      </c>
      <c r="G644" s="6" t="s">
        <v>2941</v>
      </c>
      <c r="H644" s="6" t="s">
        <v>2344</v>
      </c>
      <c r="J644" s="1215" t="s">
        <v>509</v>
      </c>
      <c r="K644" s="1219" t="s">
        <v>3112</v>
      </c>
      <c r="L644" s="8">
        <v>3</v>
      </c>
      <c r="M644" s="8">
        <v>9</v>
      </c>
      <c r="N644" s="1169" t="s">
        <v>272</v>
      </c>
      <c r="P644" s="6" t="s">
        <v>3322</v>
      </c>
      <c r="Q644" s="1215" t="s">
        <v>253</v>
      </c>
      <c r="R644" s="1215" t="s">
        <v>255</v>
      </c>
      <c r="S644" s="1215" t="s">
        <v>534</v>
      </c>
      <c r="T644" s="1215" t="s">
        <v>533</v>
      </c>
      <c r="U644" s="6" t="s">
        <v>542</v>
      </c>
      <c r="V644" s="6" t="s">
        <v>32</v>
      </c>
    </row>
    <row r="645" spans="1:24" ht="15" customHeight="1" x14ac:dyDescent="0.3">
      <c r="A645" s="6" t="s">
        <v>533</v>
      </c>
      <c r="B645" s="6" t="s">
        <v>534</v>
      </c>
      <c r="C645" s="6" t="s">
        <v>31</v>
      </c>
      <c r="D645" s="1088" t="s">
        <v>549</v>
      </c>
      <c r="E645" s="6" t="s">
        <v>169</v>
      </c>
      <c r="F645" s="6" t="s">
        <v>673</v>
      </c>
      <c r="G645" s="6" t="s">
        <v>550</v>
      </c>
      <c r="H645" s="6" t="s">
        <v>3124</v>
      </c>
      <c r="I645" s="6" t="s">
        <v>3124</v>
      </c>
      <c r="J645" s="1215" t="s">
        <v>509</v>
      </c>
      <c r="K645" s="1219" t="s">
        <v>3112</v>
      </c>
      <c r="L645" s="8">
        <v>15</v>
      </c>
      <c r="M645" s="8">
        <v>50</v>
      </c>
      <c r="N645" s="1169" t="s">
        <v>272</v>
      </c>
      <c r="P645" s="6" t="s">
        <v>3324</v>
      </c>
      <c r="Q645" s="1215" t="s">
        <v>253</v>
      </c>
      <c r="R645" s="1215" t="s">
        <v>255</v>
      </c>
      <c r="S645" s="1215" t="s">
        <v>534</v>
      </c>
      <c r="T645" s="1215" t="s">
        <v>533</v>
      </c>
      <c r="U645" s="6" t="s">
        <v>549</v>
      </c>
      <c r="V645" s="6" t="s">
        <v>31</v>
      </c>
      <c r="W645" s="6" t="s">
        <v>673</v>
      </c>
      <c r="X645" s="6" t="s">
        <v>169</v>
      </c>
    </row>
    <row r="646" spans="1:24" ht="15" customHeight="1" x14ac:dyDescent="0.3">
      <c r="A646" s="6" t="s">
        <v>533</v>
      </c>
      <c r="B646" s="6" t="s">
        <v>534</v>
      </c>
      <c r="C646" s="6" t="s">
        <v>31</v>
      </c>
      <c r="D646" s="1088" t="s">
        <v>549</v>
      </c>
      <c r="E646" s="6" t="s">
        <v>169</v>
      </c>
      <c r="F646" s="6" t="s">
        <v>673</v>
      </c>
      <c r="G646" s="6" t="s">
        <v>2948</v>
      </c>
      <c r="H646" s="6" t="s">
        <v>1524</v>
      </c>
      <c r="J646" s="1215" t="s">
        <v>509</v>
      </c>
      <c r="K646" s="1219" t="s">
        <v>3033</v>
      </c>
      <c r="L646" s="8">
        <v>10</v>
      </c>
      <c r="M646" s="8">
        <v>55</v>
      </c>
      <c r="N646" s="1169" t="s">
        <v>271</v>
      </c>
      <c r="P646" s="6" t="s">
        <v>3323</v>
      </c>
      <c r="Q646" s="1215" t="s">
        <v>253</v>
      </c>
      <c r="R646" s="1215" t="s">
        <v>255</v>
      </c>
      <c r="S646" s="1215" t="s">
        <v>534</v>
      </c>
      <c r="T646" s="1215" t="s">
        <v>533</v>
      </c>
      <c r="U646" s="6" t="s">
        <v>549</v>
      </c>
      <c r="V646" s="6" t="s">
        <v>31</v>
      </c>
      <c r="W646" s="6" t="s">
        <v>706</v>
      </c>
      <c r="X646" s="1215" t="s">
        <v>172</v>
      </c>
    </row>
    <row r="647" spans="1:24" ht="15" customHeight="1" x14ac:dyDescent="0.3">
      <c r="A647" s="6" t="s">
        <v>533</v>
      </c>
      <c r="B647" s="6" t="s">
        <v>534</v>
      </c>
      <c r="C647" s="6" t="s">
        <v>31</v>
      </c>
      <c r="D647" s="1088" t="s">
        <v>549</v>
      </c>
      <c r="E647" s="6" t="s">
        <v>171</v>
      </c>
      <c r="F647" s="6" t="s">
        <v>634</v>
      </c>
      <c r="G647" s="6" t="s">
        <v>2999</v>
      </c>
      <c r="H647" s="6" t="s">
        <v>1977</v>
      </c>
      <c r="J647" s="1215" t="s">
        <v>509</v>
      </c>
      <c r="K647" s="1219" t="s">
        <v>3033</v>
      </c>
      <c r="L647" s="8">
        <v>11</v>
      </c>
      <c r="M647" s="8">
        <v>40</v>
      </c>
      <c r="N647" s="1169" t="s">
        <v>271</v>
      </c>
      <c r="P647" s="6" t="s">
        <v>3323</v>
      </c>
      <c r="Q647" s="1215" t="s">
        <v>253</v>
      </c>
      <c r="R647" s="1215" t="s">
        <v>255</v>
      </c>
      <c r="S647" s="1215" t="s">
        <v>534</v>
      </c>
      <c r="T647" s="1215" t="s">
        <v>533</v>
      </c>
      <c r="U647" s="6" t="s">
        <v>549</v>
      </c>
      <c r="V647" s="6" t="s">
        <v>31</v>
      </c>
      <c r="W647" s="6" t="s">
        <v>844</v>
      </c>
      <c r="X647" s="6" t="s">
        <v>166</v>
      </c>
    </row>
    <row r="648" spans="1:24" ht="15" customHeight="1" x14ac:dyDescent="0.3">
      <c r="A648" s="6" t="s">
        <v>533</v>
      </c>
      <c r="B648" s="6" t="s">
        <v>534</v>
      </c>
      <c r="C648" s="6" t="s">
        <v>31</v>
      </c>
      <c r="D648" s="1088" t="s">
        <v>549</v>
      </c>
      <c r="E648" s="6" t="s">
        <v>171</v>
      </c>
      <c r="F648" s="6" t="s">
        <v>634</v>
      </c>
      <c r="G648" s="6" t="s">
        <v>2999</v>
      </c>
      <c r="H648" s="6" t="s">
        <v>1977</v>
      </c>
      <c r="J648" s="1215" t="s">
        <v>509</v>
      </c>
      <c r="K648" s="1219" t="s">
        <v>3110</v>
      </c>
      <c r="L648" s="8">
        <v>0</v>
      </c>
      <c r="M648" s="8">
        <v>17</v>
      </c>
      <c r="N648" s="1169" t="s">
        <v>271</v>
      </c>
      <c r="P648" s="6" t="s">
        <v>3323</v>
      </c>
      <c r="Q648" s="1215" t="s">
        <v>253</v>
      </c>
      <c r="R648" s="1215" t="s">
        <v>255</v>
      </c>
      <c r="S648" s="1215" t="s">
        <v>534</v>
      </c>
      <c r="T648" s="1215" t="s">
        <v>533</v>
      </c>
      <c r="U648" s="6" t="s">
        <v>549</v>
      </c>
      <c r="V648" s="6" t="s">
        <v>31</v>
      </c>
      <c r="W648" s="6" t="s">
        <v>844</v>
      </c>
      <c r="X648" s="6" t="s">
        <v>166</v>
      </c>
    </row>
    <row r="649" spans="1:24" ht="15" customHeight="1" x14ac:dyDescent="0.3">
      <c r="A649" s="6" t="s">
        <v>533</v>
      </c>
      <c r="B649" s="6" t="s">
        <v>534</v>
      </c>
      <c r="C649" s="6" t="s">
        <v>31</v>
      </c>
      <c r="D649" s="1088" t="s">
        <v>549</v>
      </c>
      <c r="E649" s="6" t="s">
        <v>171</v>
      </c>
      <c r="F649" s="6" t="s">
        <v>634</v>
      </c>
      <c r="G649" s="6" t="s">
        <v>2927</v>
      </c>
      <c r="H649" s="6" t="s">
        <v>1853</v>
      </c>
      <c r="J649" s="1215" t="s">
        <v>509</v>
      </c>
      <c r="K649" s="1219" t="s">
        <v>3033</v>
      </c>
      <c r="L649" s="8">
        <v>20</v>
      </c>
      <c r="M649" s="8">
        <v>56</v>
      </c>
      <c r="N649" s="1169" t="s">
        <v>271</v>
      </c>
      <c r="P649" s="6" t="s">
        <v>3323</v>
      </c>
      <c r="Q649" s="1215" t="s">
        <v>253</v>
      </c>
      <c r="R649" s="1215" t="s">
        <v>255</v>
      </c>
      <c r="S649" s="1215" t="s">
        <v>534</v>
      </c>
      <c r="T649" s="1215" t="s">
        <v>533</v>
      </c>
      <c r="U649" s="6" t="s">
        <v>549</v>
      </c>
      <c r="V649" s="6" t="s">
        <v>31</v>
      </c>
      <c r="W649" s="6" t="s">
        <v>844</v>
      </c>
      <c r="X649" s="6" t="s">
        <v>166</v>
      </c>
    </row>
    <row r="650" spans="1:24" ht="15" customHeight="1" x14ac:dyDescent="0.3">
      <c r="A650" s="6" t="s">
        <v>533</v>
      </c>
      <c r="B650" s="6" t="s">
        <v>534</v>
      </c>
      <c r="C650" s="6" t="s">
        <v>35</v>
      </c>
      <c r="D650" s="1088" t="s">
        <v>567</v>
      </c>
      <c r="E650" s="6" t="s">
        <v>192</v>
      </c>
      <c r="F650" s="6" t="s">
        <v>853</v>
      </c>
      <c r="G650" s="6" t="s">
        <v>1316</v>
      </c>
      <c r="H650" s="6" t="s">
        <v>901</v>
      </c>
      <c r="J650" s="1215" t="s">
        <v>509</v>
      </c>
      <c r="K650" s="1219" t="s">
        <v>3033</v>
      </c>
      <c r="L650" s="8">
        <v>23</v>
      </c>
      <c r="M650" s="8">
        <v>84</v>
      </c>
      <c r="N650" s="1169" t="s">
        <v>271</v>
      </c>
      <c r="P650" s="6" t="s">
        <v>3323</v>
      </c>
      <c r="Q650" s="1215" t="s">
        <v>253</v>
      </c>
      <c r="R650" s="1215" t="s">
        <v>255</v>
      </c>
      <c r="S650" s="1215" t="s">
        <v>534</v>
      </c>
      <c r="T650" s="1215" t="s">
        <v>533</v>
      </c>
      <c r="U650" s="6" t="s">
        <v>567</v>
      </c>
      <c r="V650" s="6" t="s">
        <v>35</v>
      </c>
      <c r="W650" s="6" t="s">
        <v>863</v>
      </c>
      <c r="X650" s="6" t="s">
        <v>193</v>
      </c>
    </row>
    <row r="651" spans="1:24" ht="15" customHeight="1" x14ac:dyDescent="0.3">
      <c r="A651" s="6" t="s">
        <v>533</v>
      </c>
      <c r="B651" s="6" t="s">
        <v>534</v>
      </c>
      <c r="C651" s="6" t="s">
        <v>35</v>
      </c>
      <c r="D651" s="1088" t="s">
        <v>567</v>
      </c>
      <c r="E651" s="6" t="s">
        <v>192</v>
      </c>
      <c r="F651" s="6" t="s">
        <v>853</v>
      </c>
      <c r="G651" s="6" t="s">
        <v>1316</v>
      </c>
      <c r="H651" s="6" t="s">
        <v>901</v>
      </c>
      <c r="J651" s="1215" t="s">
        <v>509</v>
      </c>
      <c r="K651" s="1219" t="s">
        <v>3111</v>
      </c>
      <c r="L651" s="8">
        <v>1</v>
      </c>
      <c r="M651" s="8">
        <v>3</v>
      </c>
      <c r="N651" s="1169" t="s">
        <v>271</v>
      </c>
      <c r="P651" s="6" t="s">
        <v>3323</v>
      </c>
      <c r="Q651" s="1215" t="s">
        <v>253</v>
      </c>
      <c r="R651" s="1215" t="s">
        <v>255</v>
      </c>
      <c r="S651" s="1215" t="s">
        <v>534</v>
      </c>
      <c r="T651" s="1215" t="s">
        <v>533</v>
      </c>
      <c r="U651" s="6" t="s">
        <v>567</v>
      </c>
      <c r="V651" s="6" t="s">
        <v>35</v>
      </c>
      <c r="W651" s="6" t="s">
        <v>863</v>
      </c>
      <c r="X651" s="6" t="s">
        <v>193</v>
      </c>
    </row>
    <row r="652" spans="1:24" ht="15" customHeight="1" x14ac:dyDescent="0.3">
      <c r="A652" s="6" t="s">
        <v>533</v>
      </c>
      <c r="B652" s="6" t="s">
        <v>534</v>
      </c>
      <c r="C652" s="6" t="s">
        <v>35</v>
      </c>
      <c r="D652" s="1088" t="s">
        <v>567</v>
      </c>
      <c r="E652" s="6" t="s">
        <v>192</v>
      </c>
      <c r="F652" s="6" t="s">
        <v>853</v>
      </c>
      <c r="G652" s="6" t="s">
        <v>1316</v>
      </c>
      <c r="H652" s="6" t="s">
        <v>901</v>
      </c>
      <c r="J652" s="1215" t="s">
        <v>509</v>
      </c>
      <c r="K652" s="1219" t="s">
        <v>3112</v>
      </c>
      <c r="L652" s="8">
        <v>3</v>
      </c>
      <c r="M652" s="8">
        <v>14</v>
      </c>
      <c r="N652" s="1169" t="s">
        <v>271</v>
      </c>
      <c r="P652" s="6" t="s">
        <v>3323</v>
      </c>
      <c r="Q652" s="1215" t="s">
        <v>253</v>
      </c>
      <c r="R652" s="1215" t="s">
        <v>255</v>
      </c>
      <c r="S652" s="1215" t="s">
        <v>534</v>
      </c>
      <c r="T652" s="1215" t="s">
        <v>533</v>
      </c>
      <c r="U652" s="6" t="s">
        <v>567</v>
      </c>
      <c r="V652" s="6" t="s">
        <v>35</v>
      </c>
      <c r="W652" s="6" t="s">
        <v>863</v>
      </c>
      <c r="X652" s="6" t="s">
        <v>193</v>
      </c>
    </row>
    <row r="653" spans="1:24" ht="15" customHeight="1" x14ac:dyDescent="0.3">
      <c r="A653" s="6" t="s">
        <v>533</v>
      </c>
      <c r="B653" s="6" t="s">
        <v>534</v>
      </c>
      <c r="C653" s="6" t="s">
        <v>35</v>
      </c>
      <c r="D653" s="1088" t="s">
        <v>567</v>
      </c>
      <c r="E653" s="6" t="s">
        <v>192</v>
      </c>
      <c r="F653" s="6" t="s">
        <v>853</v>
      </c>
      <c r="G653" s="6" t="s">
        <v>1316</v>
      </c>
      <c r="H653" s="6" t="s">
        <v>901</v>
      </c>
      <c r="J653" s="1215" t="s">
        <v>509</v>
      </c>
      <c r="K653" s="1219" t="s">
        <v>3110</v>
      </c>
      <c r="L653" s="8">
        <v>3</v>
      </c>
      <c r="M653" s="8">
        <v>12</v>
      </c>
      <c r="N653" s="1169" t="s">
        <v>271</v>
      </c>
      <c r="P653" s="6" t="s">
        <v>3323</v>
      </c>
      <c r="Q653" s="1215" t="s">
        <v>253</v>
      </c>
      <c r="R653" s="1215" t="s">
        <v>255</v>
      </c>
      <c r="S653" s="1215" t="s">
        <v>534</v>
      </c>
      <c r="T653" s="1215" t="s">
        <v>533</v>
      </c>
      <c r="U653" s="6" t="s">
        <v>567</v>
      </c>
      <c r="V653" s="6" t="s">
        <v>35</v>
      </c>
      <c r="W653" s="6" t="s">
        <v>863</v>
      </c>
      <c r="X653" s="6" t="s">
        <v>193</v>
      </c>
    </row>
    <row r="654" spans="1:24" ht="15" customHeight="1" x14ac:dyDescent="0.3">
      <c r="A654" s="6" t="s">
        <v>533</v>
      </c>
      <c r="B654" s="6" t="s">
        <v>534</v>
      </c>
      <c r="C654" s="6" t="s">
        <v>35</v>
      </c>
      <c r="D654" s="1088" t="s">
        <v>567</v>
      </c>
      <c r="E654" s="6" t="s">
        <v>192</v>
      </c>
      <c r="F654" s="6" t="s">
        <v>853</v>
      </c>
      <c r="G654" s="6" t="s">
        <v>1004</v>
      </c>
      <c r="H654" s="6" t="s">
        <v>903</v>
      </c>
      <c r="J654" s="1215" t="s">
        <v>509</v>
      </c>
      <c r="K654" s="1219" t="s">
        <v>3033</v>
      </c>
      <c r="L654" s="8">
        <v>60</v>
      </c>
      <c r="M654" s="8">
        <v>472</v>
      </c>
      <c r="N654" s="1169" t="s">
        <v>271</v>
      </c>
      <c r="P654" s="6" t="s">
        <v>3323</v>
      </c>
      <c r="Q654" s="1215" t="s">
        <v>253</v>
      </c>
      <c r="R654" s="1215" t="s">
        <v>255</v>
      </c>
      <c r="S654" s="1215" t="s">
        <v>534</v>
      </c>
      <c r="T654" s="1215" t="s">
        <v>533</v>
      </c>
      <c r="U654" s="6" t="s">
        <v>567</v>
      </c>
      <c r="V654" s="6" t="s">
        <v>35</v>
      </c>
      <c r="W654" s="6" t="s">
        <v>863</v>
      </c>
      <c r="X654" s="6" t="s">
        <v>193</v>
      </c>
    </row>
    <row r="655" spans="1:24" ht="15" customHeight="1" x14ac:dyDescent="0.3">
      <c r="A655" s="6" t="s">
        <v>533</v>
      </c>
      <c r="B655" s="6" t="s">
        <v>534</v>
      </c>
      <c r="C655" s="6" t="s">
        <v>35</v>
      </c>
      <c r="D655" s="1088" t="s">
        <v>567</v>
      </c>
      <c r="E655" s="6" t="s">
        <v>192</v>
      </c>
      <c r="F655" s="6" t="s">
        <v>853</v>
      </c>
      <c r="G655" s="6" t="s">
        <v>1004</v>
      </c>
      <c r="H655" s="6" t="s">
        <v>903</v>
      </c>
      <c r="J655" s="1215" t="s">
        <v>509</v>
      </c>
      <c r="K655" s="1219" t="s">
        <v>3110</v>
      </c>
      <c r="L655" s="8">
        <v>5</v>
      </c>
      <c r="M655" s="8">
        <v>35</v>
      </c>
      <c r="N655" s="1169" t="s">
        <v>271</v>
      </c>
      <c r="P655" s="6" t="s">
        <v>3323</v>
      </c>
      <c r="Q655" s="1215" t="s">
        <v>253</v>
      </c>
      <c r="R655" s="1215" t="s">
        <v>255</v>
      </c>
      <c r="S655" s="1215" t="s">
        <v>534</v>
      </c>
      <c r="T655" s="1215" t="s">
        <v>533</v>
      </c>
      <c r="U655" s="6" t="s">
        <v>567</v>
      </c>
      <c r="V655" s="6" t="s">
        <v>35</v>
      </c>
      <c r="W655" s="6" t="s">
        <v>863</v>
      </c>
      <c r="X655" s="6" t="s">
        <v>193</v>
      </c>
    </row>
    <row r="656" spans="1:24" ht="15" customHeight="1" x14ac:dyDescent="0.3">
      <c r="A656" s="6" t="s">
        <v>533</v>
      </c>
      <c r="B656" s="6" t="s">
        <v>534</v>
      </c>
      <c r="C656" s="6" t="s">
        <v>35</v>
      </c>
      <c r="D656" s="1088" t="s">
        <v>567</v>
      </c>
      <c r="E656" s="6" t="s">
        <v>192</v>
      </c>
      <c r="F656" s="6" t="s">
        <v>853</v>
      </c>
      <c r="G656" s="6" t="s">
        <v>1004</v>
      </c>
      <c r="H656" s="6" t="s">
        <v>903</v>
      </c>
      <c r="J656" s="1215" t="s">
        <v>509</v>
      </c>
      <c r="K656" s="1219" t="s">
        <v>3111</v>
      </c>
      <c r="L656" s="8">
        <v>1</v>
      </c>
      <c r="M656" s="8">
        <v>7</v>
      </c>
      <c r="N656" s="1169" t="s">
        <v>271</v>
      </c>
      <c r="P656" s="6" t="s">
        <v>3323</v>
      </c>
      <c r="Q656" s="1215" t="s">
        <v>253</v>
      </c>
      <c r="R656" s="1215" t="s">
        <v>255</v>
      </c>
      <c r="S656" s="1215" t="s">
        <v>534</v>
      </c>
      <c r="T656" s="1215" t="s">
        <v>533</v>
      </c>
      <c r="U656" s="6" t="s">
        <v>567</v>
      </c>
      <c r="V656" s="6" t="s">
        <v>35</v>
      </c>
      <c r="W656" s="6" t="s">
        <v>863</v>
      </c>
      <c r="X656" s="6" t="s">
        <v>193</v>
      </c>
    </row>
    <row r="657" spans="1:24" ht="15" customHeight="1" x14ac:dyDescent="0.3">
      <c r="A657" s="6" t="s">
        <v>533</v>
      </c>
      <c r="B657" s="6" t="s">
        <v>534</v>
      </c>
      <c r="C657" s="6" t="s">
        <v>35</v>
      </c>
      <c r="D657" s="1088" t="s">
        <v>567</v>
      </c>
      <c r="E657" s="6" t="s">
        <v>192</v>
      </c>
      <c r="F657" s="6" t="s">
        <v>853</v>
      </c>
      <c r="G657" s="6" t="s">
        <v>1004</v>
      </c>
      <c r="H657" s="6" t="s">
        <v>903</v>
      </c>
      <c r="J657" s="1215" t="s">
        <v>509</v>
      </c>
      <c r="K657" s="1219" t="s">
        <v>3112</v>
      </c>
      <c r="L657" s="8">
        <v>7</v>
      </c>
      <c r="M657" s="8">
        <v>35</v>
      </c>
      <c r="N657" s="1169" t="s">
        <v>271</v>
      </c>
      <c r="P657" s="6" t="s">
        <v>3323</v>
      </c>
      <c r="Q657" s="1215" t="s">
        <v>253</v>
      </c>
      <c r="R657" s="1215" t="s">
        <v>255</v>
      </c>
      <c r="S657" s="1215" t="s">
        <v>534</v>
      </c>
      <c r="T657" s="1215" t="s">
        <v>533</v>
      </c>
      <c r="U657" s="6" t="s">
        <v>567</v>
      </c>
      <c r="V657" s="6" t="s">
        <v>35</v>
      </c>
      <c r="W657" s="6" t="s">
        <v>863</v>
      </c>
      <c r="X657" s="6" t="s">
        <v>193</v>
      </c>
    </row>
    <row r="658" spans="1:24" ht="15" customHeight="1" x14ac:dyDescent="0.3">
      <c r="A658" s="6" t="s">
        <v>533</v>
      </c>
      <c r="B658" s="6" t="s">
        <v>534</v>
      </c>
      <c r="C658" s="6" t="s">
        <v>35</v>
      </c>
      <c r="D658" s="1088" t="s">
        <v>567</v>
      </c>
      <c r="E658" s="6" t="s">
        <v>192</v>
      </c>
      <c r="F658" s="6" t="s">
        <v>853</v>
      </c>
      <c r="G658" s="6" t="s">
        <v>1004</v>
      </c>
      <c r="H658" s="6" t="s">
        <v>903</v>
      </c>
      <c r="J658" s="1215" t="s">
        <v>509</v>
      </c>
      <c r="K658" s="1219" t="s">
        <v>3109</v>
      </c>
      <c r="L658" s="8">
        <v>4</v>
      </c>
      <c r="M658" s="8">
        <v>16</v>
      </c>
      <c r="N658" s="1169" t="s">
        <v>271</v>
      </c>
      <c r="P658" s="6" t="s">
        <v>3323</v>
      </c>
      <c r="Q658" s="1215" t="s">
        <v>253</v>
      </c>
      <c r="R658" s="1215" t="s">
        <v>255</v>
      </c>
      <c r="S658" s="1215" t="s">
        <v>534</v>
      </c>
      <c r="T658" s="1215" t="s">
        <v>533</v>
      </c>
      <c r="U658" s="6" t="s">
        <v>567</v>
      </c>
      <c r="V658" s="6" t="s">
        <v>35</v>
      </c>
      <c r="W658" s="6" t="s">
        <v>863</v>
      </c>
      <c r="X658" s="6" t="s">
        <v>193</v>
      </c>
    </row>
    <row r="659" spans="1:24" ht="15" customHeight="1" x14ac:dyDescent="0.3">
      <c r="A659" s="6" t="s">
        <v>533</v>
      </c>
      <c r="B659" s="6" t="s">
        <v>534</v>
      </c>
      <c r="C659" s="6" t="s">
        <v>35</v>
      </c>
      <c r="D659" s="1088" t="s">
        <v>567</v>
      </c>
      <c r="E659" s="6" t="s">
        <v>192</v>
      </c>
      <c r="F659" s="6" t="s">
        <v>853</v>
      </c>
      <c r="G659" s="6" t="s">
        <v>1525</v>
      </c>
      <c r="H659" s="6" t="s">
        <v>1317</v>
      </c>
      <c r="J659" s="1215" t="s">
        <v>509</v>
      </c>
      <c r="K659" s="1219" t="s">
        <v>3033</v>
      </c>
      <c r="L659" s="8">
        <v>70</v>
      </c>
      <c r="M659" s="8">
        <v>472</v>
      </c>
      <c r="N659" s="1169" t="s">
        <v>271</v>
      </c>
      <c r="P659" s="6" t="s">
        <v>3323</v>
      </c>
      <c r="Q659" s="1215" t="s">
        <v>253</v>
      </c>
      <c r="R659" s="1215" t="s">
        <v>255</v>
      </c>
      <c r="S659" s="1215" t="s">
        <v>534</v>
      </c>
      <c r="T659" s="1215" t="s">
        <v>533</v>
      </c>
      <c r="U659" s="6" t="s">
        <v>567</v>
      </c>
      <c r="V659" s="6" t="s">
        <v>35</v>
      </c>
      <c r="W659" s="6" t="s">
        <v>863</v>
      </c>
      <c r="X659" s="6" t="s">
        <v>193</v>
      </c>
    </row>
    <row r="660" spans="1:24" ht="15" customHeight="1" x14ac:dyDescent="0.3">
      <c r="A660" s="6" t="s">
        <v>533</v>
      </c>
      <c r="B660" s="6" t="s">
        <v>534</v>
      </c>
      <c r="C660" s="6" t="s">
        <v>35</v>
      </c>
      <c r="D660" s="1088" t="s">
        <v>567</v>
      </c>
      <c r="E660" s="6" t="s">
        <v>192</v>
      </c>
      <c r="F660" s="6" t="s">
        <v>853</v>
      </c>
      <c r="G660" s="6" t="s">
        <v>1525</v>
      </c>
      <c r="H660" s="6" t="s">
        <v>1317</v>
      </c>
      <c r="J660" s="1215" t="s">
        <v>509</v>
      </c>
      <c r="K660" s="1219" t="s">
        <v>3109</v>
      </c>
      <c r="L660" s="8">
        <v>0</v>
      </c>
      <c r="M660" s="8">
        <v>8</v>
      </c>
      <c r="N660" s="1169" t="s">
        <v>271</v>
      </c>
      <c r="P660" s="6" t="s">
        <v>3323</v>
      </c>
      <c r="Q660" s="1215" t="s">
        <v>253</v>
      </c>
      <c r="R660" s="1215" t="s">
        <v>255</v>
      </c>
      <c r="S660" s="1215" t="s">
        <v>534</v>
      </c>
      <c r="T660" s="1215" t="s">
        <v>533</v>
      </c>
      <c r="U660" s="6" t="s">
        <v>567</v>
      </c>
      <c r="V660" s="6" t="s">
        <v>35</v>
      </c>
      <c r="W660" s="6" t="s">
        <v>863</v>
      </c>
      <c r="X660" s="6" t="s">
        <v>193</v>
      </c>
    </row>
    <row r="661" spans="1:24" ht="15" customHeight="1" x14ac:dyDescent="0.3">
      <c r="A661" s="6" t="s">
        <v>533</v>
      </c>
      <c r="B661" s="6" t="s">
        <v>534</v>
      </c>
      <c r="C661" s="6" t="s">
        <v>35</v>
      </c>
      <c r="D661" s="1088" t="s">
        <v>567</v>
      </c>
      <c r="E661" s="6" t="s">
        <v>192</v>
      </c>
      <c r="F661" s="6" t="s">
        <v>853</v>
      </c>
      <c r="G661" s="6" t="s">
        <v>1525</v>
      </c>
      <c r="H661" s="6" t="s">
        <v>1317</v>
      </c>
      <c r="J661" s="1215" t="s">
        <v>509</v>
      </c>
      <c r="K661" s="1219" t="s">
        <v>3110</v>
      </c>
      <c r="L661" s="8">
        <v>35</v>
      </c>
      <c r="M661" s="8">
        <v>70</v>
      </c>
      <c r="N661" s="1169" t="s">
        <v>271</v>
      </c>
      <c r="P661" s="6" t="s">
        <v>3323</v>
      </c>
      <c r="Q661" s="1215" t="s">
        <v>253</v>
      </c>
      <c r="R661" s="1215" t="s">
        <v>255</v>
      </c>
      <c r="S661" s="1215" t="s">
        <v>534</v>
      </c>
      <c r="T661" s="1215" t="s">
        <v>533</v>
      </c>
      <c r="U661" s="6" t="s">
        <v>567</v>
      </c>
      <c r="V661" s="6" t="s">
        <v>35</v>
      </c>
      <c r="W661" s="6" t="s">
        <v>863</v>
      </c>
      <c r="X661" s="6" t="s">
        <v>193</v>
      </c>
    </row>
    <row r="662" spans="1:24" ht="15" customHeight="1" x14ac:dyDescent="0.3">
      <c r="A662" s="6" t="s">
        <v>533</v>
      </c>
      <c r="B662" s="6" t="s">
        <v>534</v>
      </c>
      <c r="C662" s="6" t="s">
        <v>35</v>
      </c>
      <c r="D662" s="1088" t="s">
        <v>567</v>
      </c>
      <c r="E662" s="6" t="s">
        <v>192</v>
      </c>
      <c r="F662" s="6" t="s">
        <v>853</v>
      </c>
      <c r="G662" s="6" t="s">
        <v>1525</v>
      </c>
      <c r="H662" s="6" t="s">
        <v>1317</v>
      </c>
      <c r="J662" s="1215" t="s">
        <v>509</v>
      </c>
      <c r="K662" s="1219" t="s">
        <v>3111</v>
      </c>
      <c r="L662" s="8">
        <v>14</v>
      </c>
      <c r="M662" s="8">
        <v>50</v>
      </c>
      <c r="N662" s="1169" t="s">
        <v>271</v>
      </c>
      <c r="P662" s="6" t="s">
        <v>3323</v>
      </c>
      <c r="Q662" s="1215" t="s">
        <v>253</v>
      </c>
      <c r="R662" s="1215" t="s">
        <v>255</v>
      </c>
      <c r="S662" s="1215" t="s">
        <v>534</v>
      </c>
      <c r="T662" s="1215" t="s">
        <v>533</v>
      </c>
      <c r="U662" s="6" t="s">
        <v>567</v>
      </c>
      <c r="V662" s="6" t="s">
        <v>35</v>
      </c>
      <c r="W662" s="6" t="s">
        <v>863</v>
      </c>
      <c r="X662" s="6" t="s">
        <v>193</v>
      </c>
    </row>
    <row r="663" spans="1:24" ht="15" customHeight="1" x14ac:dyDescent="0.3">
      <c r="A663" s="6" t="s">
        <v>533</v>
      </c>
      <c r="B663" s="6" t="s">
        <v>534</v>
      </c>
      <c r="C663" s="6" t="s">
        <v>35</v>
      </c>
      <c r="D663" s="1088" t="s">
        <v>567</v>
      </c>
      <c r="E663" s="6" t="s">
        <v>192</v>
      </c>
      <c r="F663" s="6" t="s">
        <v>853</v>
      </c>
      <c r="G663" s="6" t="s">
        <v>1525</v>
      </c>
      <c r="H663" s="6" t="s">
        <v>1317</v>
      </c>
      <c r="J663" s="1215" t="s">
        <v>509</v>
      </c>
      <c r="K663" s="1219" t="s">
        <v>3112</v>
      </c>
      <c r="L663" s="8">
        <v>10</v>
      </c>
      <c r="M663" s="8">
        <v>67</v>
      </c>
      <c r="N663" s="1169" t="s">
        <v>271</v>
      </c>
      <c r="P663" s="6" t="s">
        <v>3323</v>
      </c>
      <c r="Q663" s="1215" t="s">
        <v>253</v>
      </c>
      <c r="R663" s="1215" t="s">
        <v>255</v>
      </c>
      <c r="S663" s="1215" t="s">
        <v>534</v>
      </c>
      <c r="T663" s="1215" t="s">
        <v>533</v>
      </c>
      <c r="U663" s="6" t="s">
        <v>567</v>
      </c>
      <c r="V663" s="6" t="s">
        <v>35</v>
      </c>
      <c r="W663" s="6" t="s">
        <v>863</v>
      </c>
      <c r="X663" s="6" t="s">
        <v>193</v>
      </c>
    </row>
    <row r="664" spans="1:24" ht="15" customHeight="1" x14ac:dyDescent="0.3">
      <c r="A664" s="6" t="s">
        <v>533</v>
      </c>
      <c r="B664" s="6" t="s">
        <v>534</v>
      </c>
      <c r="C664" s="6" t="s">
        <v>35</v>
      </c>
      <c r="D664" s="1088" t="s">
        <v>567</v>
      </c>
      <c r="E664" s="6" t="s">
        <v>192</v>
      </c>
      <c r="F664" s="6" t="s">
        <v>853</v>
      </c>
      <c r="G664" s="6" t="s">
        <v>943</v>
      </c>
      <c r="H664" s="6" t="s">
        <v>989</v>
      </c>
      <c r="J664" s="1215" t="s">
        <v>509</v>
      </c>
      <c r="K664" s="1219" t="s">
        <v>3033</v>
      </c>
      <c r="L664" s="8">
        <v>98</v>
      </c>
      <c r="M664" s="8">
        <v>795</v>
      </c>
      <c r="N664" s="1169" t="s">
        <v>271</v>
      </c>
      <c r="P664" s="6" t="s">
        <v>3323</v>
      </c>
      <c r="Q664" s="1215" t="s">
        <v>253</v>
      </c>
      <c r="R664" s="1215" t="s">
        <v>255</v>
      </c>
      <c r="S664" s="1215" t="s">
        <v>534</v>
      </c>
      <c r="T664" s="1215" t="s">
        <v>533</v>
      </c>
      <c r="U664" s="6" t="s">
        <v>567</v>
      </c>
      <c r="V664" s="6" t="s">
        <v>35</v>
      </c>
      <c r="W664" s="6" t="s">
        <v>863</v>
      </c>
      <c r="X664" s="6" t="s">
        <v>193</v>
      </c>
    </row>
    <row r="665" spans="1:24" ht="15" customHeight="1" x14ac:dyDescent="0.3">
      <c r="A665" s="6" t="s">
        <v>533</v>
      </c>
      <c r="B665" s="6" t="s">
        <v>534</v>
      </c>
      <c r="C665" s="6" t="s">
        <v>35</v>
      </c>
      <c r="D665" s="1088" t="s">
        <v>567</v>
      </c>
      <c r="E665" s="6" t="s">
        <v>192</v>
      </c>
      <c r="F665" s="6" t="s">
        <v>853</v>
      </c>
      <c r="G665" s="6" t="s">
        <v>943</v>
      </c>
      <c r="H665" s="6" t="s">
        <v>989</v>
      </c>
      <c r="J665" s="1215" t="s">
        <v>509</v>
      </c>
      <c r="K665" s="1219" t="s">
        <v>3109</v>
      </c>
      <c r="L665" s="8">
        <v>0</v>
      </c>
      <c r="M665" s="8">
        <v>10</v>
      </c>
      <c r="N665" s="1169" t="s">
        <v>271</v>
      </c>
      <c r="P665" s="6" t="s">
        <v>3323</v>
      </c>
      <c r="Q665" s="1215" t="s">
        <v>253</v>
      </c>
      <c r="R665" s="1215" t="s">
        <v>255</v>
      </c>
      <c r="S665" s="1215" t="s">
        <v>534</v>
      </c>
      <c r="T665" s="1215" t="s">
        <v>533</v>
      </c>
      <c r="U665" s="6" t="s">
        <v>567</v>
      </c>
      <c r="V665" s="6" t="s">
        <v>35</v>
      </c>
      <c r="W665" s="6" t="s">
        <v>863</v>
      </c>
      <c r="X665" s="6" t="s">
        <v>193</v>
      </c>
    </row>
    <row r="666" spans="1:24" ht="15" customHeight="1" x14ac:dyDescent="0.3">
      <c r="A666" s="6" t="s">
        <v>533</v>
      </c>
      <c r="B666" s="6" t="s">
        <v>534</v>
      </c>
      <c r="C666" s="6" t="s">
        <v>35</v>
      </c>
      <c r="D666" s="1088" t="s">
        <v>567</v>
      </c>
      <c r="E666" s="6" t="s">
        <v>192</v>
      </c>
      <c r="F666" s="6" t="s">
        <v>853</v>
      </c>
      <c r="G666" s="6" t="s">
        <v>943</v>
      </c>
      <c r="H666" s="6" t="s">
        <v>989</v>
      </c>
      <c r="J666" s="1215" t="s">
        <v>509</v>
      </c>
      <c r="K666" s="1219" t="s">
        <v>3110</v>
      </c>
      <c r="L666" s="8">
        <v>10</v>
      </c>
      <c r="M666" s="8">
        <v>37</v>
      </c>
      <c r="N666" s="1169" t="s">
        <v>271</v>
      </c>
      <c r="P666" s="6" t="s">
        <v>3323</v>
      </c>
      <c r="Q666" s="1215" t="s">
        <v>253</v>
      </c>
      <c r="R666" s="1215" t="s">
        <v>255</v>
      </c>
      <c r="S666" s="1215" t="s">
        <v>534</v>
      </c>
      <c r="T666" s="1215" t="s">
        <v>533</v>
      </c>
      <c r="U666" s="6" t="s">
        <v>567</v>
      </c>
      <c r="V666" s="6" t="s">
        <v>35</v>
      </c>
      <c r="W666" s="6" t="s">
        <v>863</v>
      </c>
      <c r="X666" s="6" t="s">
        <v>193</v>
      </c>
    </row>
    <row r="667" spans="1:24" ht="15" customHeight="1" x14ac:dyDescent="0.3">
      <c r="A667" s="6" t="s">
        <v>533</v>
      </c>
      <c r="B667" s="6" t="s">
        <v>534</v>
      </c>
      <c r="C667" s="6" t="s">
        <v>35</v>
      </c>
      <c r="D667" s="1088" t="s">
        <v>567</v>
      </c>
      <c r="E667" s="6" t="s">
        <v>192</v>
      </c>
      <c r="F667" s="6" t="s">
        <v>853</v>
      </c>
      <c r="G667" s="6" t="s">
        <v>943</v>
      </c>
      <c r="H667" s="6" t="s">
        <v>989</v>
      </c>
      <c r="J667" s="1215" t="s">
        <v>509</v>
      </c>
      <c r="K667" s="1219" t="s">
        <v>3111</v>
      </c>
      <c r="L667" s="8">
        <v>51</v>
      </c>
      <c r="M667" s="8">
        <v>320</v>
      </c>
      <c r="N667" s="1169" t="s">
        <v>271</v>
      </c>
      <c r="P667" s="6" t="s">
        <v>3323</v>
      </c>
      <c r="Q667" s="1215" t="s">
        <v>253</v>
      </c>
      <c r="R667" s="1215" t="s">
        <v>255</v>
      </c>
      <c r="S667" s="1215" t="s">
        <v>534</v>
      </c>
      <c r="T667" s="1215" t="s">
        <v>533</v>
      </c>
      <c r="U667" s="6" t="s">
        <v>567</v>
      </c>
      <c r="V667" s="6" t="s">
        <v>35</v>
      </c>
      <c r="W667" s="6" t="s">
        <v>863</v>
      </c>
      <c r="X667" s="6" t="s">
        <v>193</v>
      </c>
    </row>
    <row r="668" spans="1:24" ht="15" customHeight="1" x14ac:dyDescent="0.3">
      <c r="A668" s="6" t="s">
        <v>533</v>
      </c>
      <c r="B668" s="6" t="s">
        <v>534</v>
      </c>
      <c r="C668" s="6" t="s">
        <v>35</v>
      </c>
      <c r="D668" s="1088" t="s">
        <v>567</v>
      </c>
      <c r="E668" s="6" t="s">
        <v>192</v>
      </c>
      <c r="F668" s="6" t="s">
        <v>853</v>
      </c>
      <c r="G668" s="6" t="s">
        <v>943</v>
      </c>
      <c r="H668" s="6" t="s">
        <v>989</v>
      </c>
      <c r="J668" s="1215" t="s">
        <v>509</v>
      </c>
      <c r="K668" s="1219" t="s">
        <v>3112</v>
      </c>
      <c r="L668" s="8">
        <v>2</v>
      </c>
      <c r="M668" s="8">
        <v>15</v>
      </c>
      <c r="N668" s="1169" t="s">
        <v>271</v>
      </c>
      <c r="P668" s="6" t="s">
        <v>3323</v>
      </c>
      <c r="Q668" s="1215" t="s">
        <v>253</v>
      </c>
      <c r="R668" s="1215" t="s">
        <v>255</v>
      </c>
      <c r="S668" s="1215" t="s">
        <v>534</v>
      </c>
      <c r="T668" s="1215" t="s">
        <v>533</v>
      </c>
      <c r="U668" s="6" t="s">
        <v>567</v>
      </c>
      <c r="V668" s="6" t="s">
        <v>35</v>
      </c>
      <c r="W668" s="6" t="s">
        <v>863</v>
      </c>
      <c r="X668" s="6" t="s">
        <v>193</v>
      </c>
    </row>
    <row r="669" spans="1:24" ht="15" customHeight="1" x14ac:dyDescent="0.3">
      <c r="A669" s="6" t="s">
        <v>533</v>
      </c>
      <c r="B669" s="6" t="s">
        <v>534</v>
      </c>
      <c r="C669" s="6" t="s">
        <v>35</v>
      </c>
      <c r="D669" s="1088" t="s">
        <v>567</v>
      </c>
      <c r="E669" s="6" t="s">
        <v>192</v>
      </c>
      <c r="F669" s="6" t="s">
        <v>853</v>
      </c>
      <c r="G669" s="6" t="s">
        <v>1454</v>
      </c>
      <c r="H669" s="6" t="s">
        <v>1457</v>
      </c>
      <c r="J669" s="1215" t="s">
        <v>509</v>
      </c>
      <c r="K669" s="1219" t="s">
        <v>3033</v>
      </c>
      <c r="L669" s="8">
        <v>142</v>
      </c>
      <c r="M669" s="8">
        <v>925</v>
      </c>
      <c r="N669" s="1169" t="s">
        <v>271</v>
      </c>
      <c r="P669" s="6" t="s">
        <v>3323</v>
      </c>
      <c r="Q669" s="1215" t="s">
        <v>253</v>
      </c>
      <c r="R669" s="1215" t="s">
        <v>255</v>
      </c>
      <c r="S669" s="1215" t="s">
        <v>534</v>
      </c>
      <c r="T669" s="1215" t="s">
        <v>533</v>
      </c>
      <c r="U669" s="6" t="s">
        <v>567</v>
      </c>
      <c r="V669" s="6" t="s">
        <v>35</v>
      </c>
      <c r="W669" s="6" t="s">
        <v>863</v>
      </c>
      <c r="X669" s="6" t="s">
        <v>193</v>
      </c>
    </row>
    <row r="670" spans="1:24" ht="15" customHeight="1" x14ac:dyDescent="0.3">
      <c r="A670" s="6" t="s">
        <v>533</v>
      </c>
      <c r="B670" s="6" t="s">
        <v>534</v>
      </c>
      <c r="C670" s="6" t="s">
        <v>35</v>
      </c>
      <c r="D670" s="1088" t="s">
        <v>567</v>
      </c>
      <c r="E670" s="6" t="s">
        <v>192</v>
      </c>
      <c r="F670" s="6" t="s">
        <v>853</v>
      </c>
      <c r="G670" s="6" t="s">
        <v>1454</v>
      </c>
      <c r="H670" s="6" t="s">
        <v>1457</v>
      </c>
      <c r="J670" s="1215" t="s">
        <v>509</v>
      </c>
      <c r="K670" s="1219" t="s">
        <v>3109</v>
      </c>
      <c r="L670" s="8">
        <v>20</v>
      </c>
      <c r="M670" s="8">
        <v>60</v>
      </c>
      <c r="N670" s="1169" t="s">
        <v>271</v>
      </c>
      <c r="P670" s="6" t="s">
        <v>3323</v>
      </c>
      <c r="Q670" s="1215" t="s">
        <v>253</v>
      </c>
      <c r="R670" s="1215" t="s">
        <v>255</v>
      </c>
      <c r="S670" s="1215" t="s">
        <v>534</v>
      </c>
      <c r="T670" s="1215" t="s">
        <v>533</v>
      </c>
      <c r="U670" s="6" t="s">
        <v>567</v>
      </c>
      <c r="V670" s="6" t="s">
        <v>35</v>
      </c>
      <c r="W670" s="6" t="s">
        <v>863</v>
      </c>
      <c r="X670" s="6" t="s">
        <v>193</v>
      </c>
    </row>
    <row r="671" spans="1:24" ht="15" customHeight="1" x14ac:dyDescent="0.3">
      <c r="A671" s="6" t="s">
        <v>533</v>
      </c>
      <c r="B671" s="6" t="s">
        <v>534</v>
      </c>
      <c r="C671" s="6" t="s">
        <v>35</v>
      </c>
      <c r="D671" s="1088" t="s">
        <v>567</v>
      </c>
      <c r="E671" s="1088" t="s">
        <v>192</v>
      </c>
      <c r="F671" s="6" t="s">
        <v>853</v>
      </c>
      <c r="G671" s="6" t="s">
        <v>1454</v>
      </c>
      <c r="H671" s="6" t="s">
        <v>1457</v>
      </c>
      <c r="J671" s="1215" t="s">
        <v>509</v>
      </c>
      <c r="K671" s="1219" t="s">
        <v>3110</v>
      </c>
      <c r="L671" s="8">
        <v>27</v>
      </c>
      <c r="M671" s="8">
        <v>60</v>
      </c>
      <c r="N671" s="1169" t="s">
        <v>271</v>
      </c>
      <c r="P671" s="6" t="s">
        <v>3323</v>
      </c>
      <c r="Q671" s="1215" t="s">
        <v>253</v>
      </c>
      <c r="R671" s="1215" t="s">
        <v>255</v>
      </c>
      <c r="S671" s="1215" t="s">
        <v>534</v>
      </c>
      <c r="T671" s="1215" t="s">
        <v>533</v>
      </c>
      <c r="U671" s="6" t="s">
        <v>567</v>
      </c>
      <c r="V671" s="6" t="s">
        <v>35</v>
      </c>
      <c r="W671" s="6" t="s">
        <v>863</v>
      </c>
      <c r="X671" s="6" t="s">
        <v>193</v>
      </c>
    </row>
    <row r="672" spans="1:24" ht="15" customHeight="1" x14ac:dyDescent="0.3">
      <c r="A672" s="6" t="s">
        <v>533</v>
      </c>
      <c r="B672" s="6" t="s">
        <v>534</v>
      </c>
      <c r="C672" s="6" t="s">
        <v>35</v>
      </c>
      <c r="D672" s="1088" t="s">
        <v>567</v>
      </c>
      <c r="E672" s="6" t="s">
        <v>192</v>
      </c>
      <c r="F672" s="6" t="s">
        <v>853</v>
      </c>
      <c r="G672" s="6" t="s">
        <v>1454</v>
      </c>
      <c r="H672" s="6" t="s">
        <v>1457</v>
      </c>
      <c r="J672" s="1215" t="s">
        <v>509</v>
      </c>
      <c r="K672" s="1219" t="s">
        <v>3111</v>
      </c>
      <c r="L672" s="8">
        <v>7</v>
      </c>
      <c r="M672" s="8">
        <v>35</v>
      </c>
      <c r="N672" s="1169" t="s">
        <v>271</v>
      </c>
      <c r="P672" s="6" t="s">
        <v>3323</v>
      </c>
      <c r="Q672" s="1215" t="s">
        <v>253</v>
      </c>
      <c r="R672" s="1215" t="s">
        <v>255</v>
      </c>
      <c r="S672" s="1215" t="s">
        <v>534</v>
      </c>
      <c r="T672" s="1215" t="s">
        <v>533</v>
      </c>
      <c r="U672" s="6" t="s">
        <v>567</v>
      </c>
      <c r="V672" s="6" t="s">
        <v>35</v>
      </c>
      <c r="W672" s="6" t="s">
        <v>863</v>
      </c>
      <c r="X672" s="6" t="s">
        <v>193</v>
      </c>
    </row>
    <row r="673" spans="1:24" ht="15" customHeight="1" x14ac:dyDescent="0.3">
      <c r="A673" s="6" t="s">
        <v>533</v>
      </c>
      <c r="B673" s="6" t="s">
        <v>534</v>
      </c>
      <c r="C673" s="6" t="s">
        <v>35</v>
      </c>
      <c r="D673" s="1088" t="s">
        <v>567</v>
      </c>
      <c r="E673" s="6" t="s">
        <v>192</v>
      </c>
      <c r="F673" s="6" t="s">
        <v>853</v>
      </c>
      <c r="G673" s="6" t="s">
        <v>1454</v>
      </c>
      <c r="H673" s="6" t="s">
        <v>1457</v>
      </c>
      <c r="J673" s="1215" t="s">
        <v>509</v>
      </c>
      <c r="K673" s="1219" t="s">
        <v>3112</v>
      </c>
      <c r="L673" s="8">
        <v>6</v>
      </c>
      <c r="M673" s="8">
        <v>89</v>
      </c>
      <c r="N673" s="1169" t="s">
        <v>271</v>
      </c>
      <c r="P673" s="6" t="s">
        <v>3323</v>
      </c>
      <c r="Q673" s="1215" t="s">
        <v>253</v>
      </c>
      <c r="R673" s="1215" t="s">
        <v>255</v>
      </c>
      <c r="S673" s="1215" t="s">
        <v>534</v>
      </c>
      <c r="T673" s="1215" t="s">
        <v>533</v>
      </c>
      <c r="U673" s="6" t="s">
        <v>567</v>
      </c>
      <c r="V673" s="6" t="s">
        <v>35</v>
      </c>
      <c r="W673" s="6" t="s">
        <v>863</v>
      </c>
      <c r="X673" s="6" t="s">
        <v>193</v>
      </c>
    </row>
    <row r="674" spans="1:24" ht="15" customHeight="1" x14ac:dyDescent="0.3">
      <c r="A674" s="6" t="s">
        <v>533</v>
      </c>
      <c r="B674" s="6" t="s">
        <v>534</v>
      </c>
      <c r="C674" s="6" t="s">
        <v>35</v>
      </c>
      <c r="D674" s="1088" t="s">
        <v>567</v>
      </c>
      <c r="E674" s="6" t="s">
        <v>192</v>
      </c>
      <c r="F674" s="6" t="s">
        <v>853</v>
      </c>
      <c r="G674" s="6" t="s">
        <v>1402</v>
      </c>
      <c r="H674" s="6" t="s">
        <v>1389</v>
      </c>
      <c r="J674" s="1215" t="s">
        <v>509</v>
      </c>
      <c r="K674" s="1219" t="s">
        <v>3033</v>
      </c>
      <c r="L674" s="8">
        <v>61</v>
      </c>
      <c r="M674" s="8">
        <v>492</v>
      </c>
      <c r="N674" s="1169" t="s">
        <v>271</v>
      </c>
      <c r="P674" s="6" t="s">
        <v>3323</v>
      </c>
      <c r="Q674" s="1215" t="s">
        <v>253</v>
      </c>
      <c r="R674" s="1215" t="s">
        <v>255</v>
      </c>
      <c r="S674" s="1215" t="s">
        <v>534</v>
      </c>
      <c r="T674" s="1215" t="s">
        <v>533</v>
      </c>
      <c r="U674" s="6" t="s">
        <v>567</v>
      </c>
      <c r="V674" s="6" t="s">
        <v>35</v>
      </c>
      <c r="W674" s="6" t="s">
        <v>863</v>
      </c>
      <c r="X674" s="6" t="s">
        <v>193</v>
      </c>
    </row>
    <row r="675" spans="1:24" ht="15" customHeight="1" x14ac:dyDescent="0.3">
      <c r="A675" s="6" t="s">
        <v>533</v>
      </c>
      <c r="B675" s="6" t="s">
        <v>534</v>
      </c>
      <c r="C675" s="6" t="s">
        <v>35</v>
      </c>
      <c r="D675" s="1088" t="s">
        <v>567</v>
      </c>
      <c r="E675" s="1088" t="s">
        <v>192</v>
      </c>
      <c r="F675" s="6" t="s">
        <v>853</v>
      </c>
      <c r="G675" s="6" t="s">
        <v>1402</v>
      </c>
      <c r="H675" s="6" t="s">
        <v>1389</v>
      </c>
      <c r="J675" s="1215" t="s">
        <v>509</v>
      </c>
      <c r="K675" s="1219" t="s">
        <v>3109</v>
      </c>
      <c r="L675" s="8">
        <v>8</v>
      </c>
      <c r="M675" s="8">
        <v>36</v>
      </c>
      <c r="N675" s="1169" t="s">
        <v>271</v>
      </c>
      <c r="P675" s="6" t="s">
        <v>3323</v>
      </c>
      <c r="Q675" s="1215" t="s">
        <v>253</v>
      </c>
      <c r="R675" s="1215" t="s">
        <v>255</v>
      </c>
      <c r="S675" s="1215" t="s">
        <v>534</v>
      </c>
      <c r="T675" s="1215" t="s">
        <v>533</v>
      </c>
      <c r="U675" s="6" t="s">
        <v>567</v>
      </c>
      <c r="V675" s="6" t="s">
        <v>35</v>
      </c>
      <c r="W675" s="6" t="s">
        <v>863</v>
      </c>
      <c r="X675" s="6" t="s">
        <v>193</v>
      </c>
    </row>
    <row r="676" spans="1:24" ht="15" customHeight="1" x14ac:dyDescent="0.3">
      <c r="A676" s="6" t="s">
        <v>533</v>
      </c>
      <c r="B676" s="6" t="s">
        <v>534</v>
      </c>
      <c r="C676" s="6" t="s">
        <v>35</v>
      </c>
      <c r="D676" s="1088" t="s">
        <v>567</v>
      </c>
      <c r="E676" s="6" t="s">
        <v>192</v>
      </c>
      <c r="F676" s="6" t="s">
        <v>853</v>
      </c>
      <c r="G676" s="6" t="s">
        <v>1402</v>
      </c>
      <c r="H676" s="6" t="s">
        <v>1389</v>
      </c>
      <c r="J676" s="1215" t="s">
        <v>509</v>
      </c>
      <c r="K676" s="1219" t="s">
        <v>3111</v>
      </c>
      <c r="L676" s="8">
        <v>30</v>
      </c>
      <c r="M676" s="8">
        <v>57</v>
      </c>
      <c r="N676" s="1169" t="s">
        <v>271</v>
      </c>
      <c r="P676" s="6" t="s">
        <v>3323</v>
      </c>
      <c r="Q676" s="1215" t="s">
        <v>253</v>
      </c>
      <c r="R676" s="1215" t="s">
        <v>255</v>
      </c>
      <c r="S676" s="1215" t="s">
        <v>534</v>
      </c>
      <c r="T676" s="1215" t="s">
        <v>533</v>
      </c>
      <c r="U676" s="6" t="s">
        <v>567</v>
      </c>
      <c r="V676" s="6" t="s">
        <v>35</v>
      </c>
      <c r="W676" s="6" t="s">
        <v>863</v>
      </c>
      <c r="X676" s="6" t="s">
        <v>193</v>
      </c>
    </row>
    <row r="677" spans="1:24" ht="15" customHeight="1" x14ac:dyDescent="0.3">
      <c r="A677" s="6" t="s">
        <v>533</v>
      </c>
      <c r="B677" s="6" t="s">
        <v>534</v>
      </c>
      <c r="C677" s="6" t="s">
        <v>35</v>
      </c>
      <c r="D677" s="1088" t="s">
        <v>567</v>
      </c>
      <c r="E677" s="6" t="s">
        <v>192</v>
      </c>
      <c r="F677" s="6" t="s">
        <v>853</v>
      </c>
      <c r="G677" s="6" t="s">
        <v>1402</v>
      </c>
      <c r="H677" s="6" t="s">
        <v>1389</v>
      </c>
      <c r="J677" s="1215" t="s">
        <v>509</v>
      </c>
      <c r="K677" s="1219" t="s">
        <v>3112</v>
      </c>
      <c r="L677" s="8">
        <v>15</v>
      </c>
      <c r="M677" s="8">
        <v>75</v>
      </c>
      <c r="N677" s="1169" t="s">
        <v>271</v>
      </c>
      <c r="P677" s="6" t="s">
        <v>3323</v>
      </c>
      <c r="Q677" s="1215" t="s">
        <v>253</v>
      </c>
      <c r="R677" s="1215" t="s">
        <v>255</v>
      </c>
      <c r="S677" s="1215" t="s">
        <v>534</v>
      </c>
      <c r="T677" s="1215" t="s">
        <v>533</v>
      </c>
      <c r="U677" s="6" t="s">
        <v>567</v>
      </c>
      <c r="V677" s="6" t="s">
        <v>35</v>
      </c>
      <c r="W677" s="6" t="s">
        <v>863</v>
      </c>
      <c r="X677" s="6" t="s">
        <v>193</v>
      </c>
    </row>
    <row r="678" spans="1:24" ht="15" customHeight="1" x14ac:dyDescent="0.3">
      <c r="A678" s="6" t="s">
        <v>533</v>
      </c>
      <c r="B678" s="6" t="s">
        <v>534</v>
      </c>
      <c r="C678" s="6" t="s">
        <v>35</v>
      </c>
      <c r="D678" s="1088" t="s">
        <v>567</v>
      </c>
      <c r="E678" s="6" t="s">
        <v>192</v>
      </c>
      <c r="F678" s="6" t="s">
        <v>853</v>
      </c>
      <c r="G678" s="6" t="s">
        <v>1402</v>
      </c>
      <c r="H678" s="6" t="s">
        <v>1389</v>
      </c>
      <c r="J678" s="1215" t="s">
        <v>509</v>
      </c>
      <c r="K678" s="1219" t="s">
        <v>3110</v>
      </c>
      <c r="L678" s="8">
        <v>5</v>
      </c>
      <c r="M678" s="8">
        <v>26</v>
      </c>
      <c r="N678" s="1169" t="s">
        <v>271</v>
      </c>
      <c r="P678" s="6" t="s">
        <v>3323</v>
      </c>
      <c r="Q678" s="1215" t="s">
        <v>253</v>
      </c>
      <c r="R678" s="1215" t="s">
        <v>255</v>
      </c>
      <c r="S678" s="1215" t="s">
        <v>534</v>
      </c>
      <c r="T678" s="1215" t="s">
        <v>533</v>
      </c>
      <c r="U678" s="6" t="s">
        <v>567</v>
      </c>
      <c r="V678" s="6" t="s">
        <v>35</v>
      </c>
      <c r="W678" s="6" t="s">
        <v>863</v>
      </c>
      <c r="X678" s="6" t="s">
        <v>193</v>
      </c>
    </row>
    <row r="679" spans="1:24" ht="15" customHeight="1" x14ac:dyDescent="0.3">
      <c r="A679" s="6" t="s">
        <v>533</v>
      </c>
      <c r="B679" s="6" t="s">
        <v>534</v>
      </c>
      <c r="C679" s="6" t="s">
        <v>35</v>
      </c>
      <c r="D679" s="1088" t="s">
        <v>567</v>
      </c>
      <c r="E679" s="6" t="s">
        <v>192</v>
      </c>
      <c r="F679" s="6" t="s">
        <v>853</v>
      </c>
      <c r="G679" s="6" t="s">
        <v>902</v>
      </c>
      <c r="H679" s="6" t="s">
        <v>1391</v>
      </c>
      <c r="J679" s="1215" t="s">
        <v>509</v>
      </c>
      <c r="K679" s="1219" t="s">
        <v>3033</v>
      </c>
      <c r="L679" s="8">
        <v>66</v>
      </c>
      <c r="M679" s="8">
        <v>408</v>
      </c>
      <c r="N679" s="1169" t="s">
        <v>271</v>
      </c>
      <c r="P679" s="6" t="s">
        <v>3323</v>
      </c>
      <c r="Q679" s="1215" t="s">
        <v>253</v>
      </c>
      <c r="R679" s="1215" t="s">
        <v>255</v>
      </c>
      <c r="S679" s="1215" t="s">
        <v>534</v>
      </c>
      <c r="T679" s="1215" t="s">
        <v>533</v>
      </c>
      <c r="U679" s="6" t="s">
        <v>567</v>
      </c>
      <c r="V679" s="6" t="s">
        <v>35</v>
      </c>
      <c r="W679" s="6" t="s">
        <v>863</v>
      </c>
      <c r="X679" s="6" t="s">
        <v>193</v>
      </c>
    </row>
    <row r="680" spans="1:24" ht="15" customHeight="1" x14ac:dyDescent="0.3">
      <c r="A680" s="6" t="s">
        <v>533</v>
      </c>
      <c r="B680" s="6" t="s">
        <v>534</v>
      </c>
      <c r="C680" s="6" t="s">
        <v>35</v>
      </c>
      <c r="D680" s="1088" t="s">
        <v>567</v>
      </c>
      <c r="E680" s="6" t="s">
        <v>192</v>
      </c>
      <c r="F680" s="6" t="s">
        <v>853</v>
      </c>
      <c r="G680" s="6" t="s">
        <v>902</v>
      </c>
      <c r="H680" s="6" t="s">
        <v>1391</v>
      </c>
      <c r="J680" s="1215" t="s">
        <v>509</v>
      </c>
      <c r="K680" s="1219" t="s">
        <v>3109</v>
      </c>
      <c r="L680" s="8">
        <v>9</v>
      </c>
      <c r="M680" s="8">
        <v>50</v>
      </c>
      <c r="N680" s="1169" t="s">
        <v>271</v>
      </c>
      <c r="P680" s="6" t="s">
        <v>3323</v>
      </c>
      <c r="Q680" s="1215" t="s">
        <v>253</v>
      </c>
      <c r="R680" s="1215" t="s">
        <v>255</v>
      </c>
      <c r="S680" s="1215" t="s">
        <v>534</v>
      </c>
      <c r="T680" s="1215" t="s">
        <v>533</v>
      </c>
      <c r="U680" s="6" t="s">
        <v>567</v>
      </c>
      <c r="V680" s="6" t="s">
        <v>35</v>
      </c>
      <c r="W680" s="6" t="s">
        <v>863</v>
      </c>
      <c r="X680" s="6" t="s">
        <v>193</v>
      </c>
    </row>
    <row r="681" spans="1:24" ht="15" customHeight="1" x14ac:dyDescent="0.3">
      <c r="A681" s="6" t="s">
        <v>533</v>
      </c>
      <c r="B681" s="6" t="s">
        <v>534</v>
      </c>
      <c r="C681" s="6" t="s">
        <v>35</v>
      </c>
      <c r="D681" s="1088" t="s">
        <v>567</v>
      </c>
      <c r="E681" s="6" t="s">
        <v>192</v>
      </c>
      <c r="F681" s="6" t="s">
        <v>853</v>
      </c>
      <c r="G681" s="6" t="s">
        <v>902</v>
      </c>
      <c r="H681" s="6" t="s">
        <v>1391</v>
      </c>
      <c r="J681" s="1215" t="s">
        <v>509</v>
      </c>
      <c r="K681" s="1219" t="s">
        <v>3110</v>
      </c>
      <c r="L681" s="8">
        <v>10</v>
      </c>
      <c r="M681" s="8">
        <v>29</v>
      </c>
      <c r="N681" s="1169" t="s">
        <v>271</v>
      </c>
      <c r="P681" s="6" t="s">
        <v>3323</v>
      </c>
      <c r="Q681" s="1215" t="s">
        <v>253</v>
      </c>
      <c r="R681" s="1215" t="s">
        <v>255</v>
      </c>
      <c r="S681" s="1215" t="s">
        <v>534</v>
      </c>
      <c r="T681" s="1215" t="s">
        <v>533</v>
      </c>
      <c r="U681" s="6" t="s">
        <v>567</v>
      </c>
      <c r="V681" s="6" t="s">
        <v>35</v>
      </c>
      <c r="W681" s="6" t="s">
        <v>863</v>
      </c>
      <c r="X681" s="6" t="s">
        <v>193</v>
      </c>
    </row>
    <row r="682" spans="1:24" ht="15" customHeight="1" x14ac:dyDescent="0.3">
      <c r="A682" s="6" t="s">
        <v>533</v>
      </c>
      <c r="B682" s="6" t="s">
        <v>534</v>
      </c>
      <c r="C682" s="6" t="s">
        <v>35</v>
      </c>
      <c r="D682" s="1088" t="s">
        <v>567</v>
      </c>
      <c r="E682" s="6" t="s">
        <v>192</v>
      </c>
      <c r="F682" s="6" t="s">
        <v>853</v>
      </c>
      <c r="G682" s="6" t="s">
        <v>902</v>
      </c>
      <c r="H682" s="6" t="s">
        <v>1391</v>
      </c>
      <c r="J682" s="1215" t="s">
        <v>509</v>
      </c>
      <c r="K682" s="1219" t="s">
        <v>3111</v>
      </c>
      <c r="L682" s="8">
        <v>40</v>
      </c>
      <c r="M682" s="8">
        <v>110</v>
      </c>
      <c r="N682" s="1169" t="s">
        <v>271</v>
      </c>
      <c r="P682" s="6" t="s">
        <v>3323</v>
      </c>
      <c r="Q682" s="1215" t="s">
        <v>253</v>
      </c>
      <c r="R682" s="1215" t="s">
        <v>255</v>
      </c>
      <c r="S682" s="1215" t="s">
        <v>534</v>
      </c>
      <c r="T682" s="1215" t="s">
        <v>533</v>
      </c>
      <c r="U682" s="6" t="s">
        <v>567</v>
      </c>
      <c r="V682" s="6" t="s">
        <v>35</v>
      </c>
      <c r="W682" s="6" t="s">
        <v>863</v>
      </c>
      <c r="X682" s="6" t="s">
        <v>193</v>
      </c>
    </row>
    <row r="683" spans="1:24" ht="15" customHeight="1" x14ac:dyDescent="0.3">
      <c r="A683" s="6" t="s">
        <v>533</v>
      </c>
      <c r="B683" s="6" t="s">
        <v>534</v>
      </c>
      <c r="C683" s="6" t="s">
        <v>35</v>
      </c>
      <c r="D683" s="1088" t="s">
        <v>567</v>
      </c>
      <c r="E683" s="6" t="s">
        <v>192</v>
      </c>
      <c r="F683" s="6" t="s">
        <v>853</v>
      </c>
      <c r="G683" s="6" t="s">
        <v>902</v>
      </c>
      <c r="H683" s="6" t="s">
        <v>1391</v>
      </c>
      <c r="J683" s="1215" t="s">
        <v>509</v>
      </c>
      <c r="K683" s="1219" t="s">
        <v>3112</v>
      </c>
      <c r="L683" s="8">
        <v>8</v>
      </c>
      <c r="M683" s="8">
        <v>43</v>
      </c>
      <c r="N683" s="1169" t="s">
        <v>271</v>
      </c>
      <c r="P683" s="6" t="s">
        <v>3323</v>
      </c>
      <c r="Q683" s="1215" t="s">
        <v>253</v>
      </c>
      <c r="R683" s="1215" t="s">
        <v>255</v>
      </c>
      <c r="S683" s="1215" t="s">
        <v>534</v>
      </c>
      <c r="T683" s="1215" t="s">
        <v>533</v>
      </c>
      <c r="U683" s="6" t="s">
        <v>567</v>
      </c>
      <c r="V683" s="6" t="s">
        <v>35</v>
      </c>
      <c r="W683" s="6" t="s">
        <v>863</v>
      </c>
      <c r="X683" s="6" t="s">
        <v>193</v>
      </c>
    </row>
    <row r="684" spans="1:24" ht="15" customHeight="1" x14ac:dyDescent="0.3">
      <c r="A684" s="6" t="s">
        <v>533</v>
      </c>
      <c r="B684" s="6" t="s">
        <v>534</v>
      </c>
      <c r="C684" s="6" t="s">
        <v>35</v>
      </c>
      <c r="D684" s="1088" t="s">
        <v>567</v>
      </c>
      <c r="E684" s="6" t="s">
        <v>192</v>
      </c>
      <c r="F684" s="6" t="s">
        <v>853</v>
      </c>
      <c r="G684" s="6" t="s">
        <v>949</v>
      </c>
      <c r="H684" s="6" t="s">
        <v>1171</v>
      </c>
      <c r="J684" s="1215" t="s">
        <v>509</v>
      </c>
      <c r="K684" s="1219" t="s">
        <v>3033</v>
      </c>
      <c r="L684" s="8">
        <v>32</v>
      </c>
      <c r="M684" s="8">
        <v>184</v>
      </c>
      <c r="N684" s="1169" t="s">
        <v>271</v>
      </c>
      <c r="P684" s="6" t="s">
        <v>3323</v>
      </c>
      <c r="Q684" s="1215" t="s">
        <v>253</v>
      </c>
      <c r="R684" s="1215" t="s">
        <v>255</v>
      </c>
      <c r="S684" s="1215" t="s">
        <v>534</v>
      </c>
      <c r="T684" s="1215" t="s">
        <v>533</v>
      </c>
      <c r="U684" s="6" t="s">
        <v>567</v>
      </c>
      <c r="V684" s="6" t="s">
        <v>35</v>
      </c>
      <c r="W684" s="6" t="s">
        <v>863</v>
      </c>
      <c r="X684" s="6" t="s">
        <v>193</v>
      </c>
    </row>
    <row r="685" spans="1:24" ht="15" customHeight="1" x14ac:dyDescent="0.3">
      <c r="A685" s="6" t="s">
        <v>533</v>
      </c>
      <c r="B685" s="6" t="s">
        <v>534</v>
      </c>
      <c r="C685" s="6" t="s">
        <v>35</v>
      </c>
      <c r="D685" s="1088" t="s">
        <v>567</v>
      </c>
      <c r="E685" s="6" t="s">
        <v>192</v>
      </c>
      <c r="F685" s="6" t="s">
        <v>853</v>
      </c>
      <c r="G685" s="6" t="s">
        <v>949</v>
      </c>
      <c r="H685" s="6" t="s">
        <v>1171</v>
      </c>
      <c r="J685" s="1215" t="s">
        <v>509</v>
      </c>
      <c r="K685" s="1219" t="s">
        <v>3109</v>
      </c>
      <c r="L685" s="8">
        <v>6</v>
      </c>
      <c r="M685" s="8">
        <v>30</v>
      </c>
      <c r="N685" s="1169" t="s">
        <v>271</v>
      </c>
      <c r="P685" s="6" t="s">
        <v>3323</v>
      </c>
      <c r="Q685" s="1215" t="s">
        <v>253</v>
      </c>
      <c r="R685" s="1215" t="s">
        <v>255</v>
      </c>
      <c r="S685" s="1215" t="s">
        <v>534</v>
      </c>
      <c r="T685" s="1215" t="s">
        <v>533</v>
      </c>
      <c r="U685" s="6" t="s">
        <v>567</v>
      </c>
      <c r="V685" s="6" t="s">
        <v>35</v>
      </c>
      <c r="W685" s="6" t="s">
        <v>863</v>
      </c>
      <c r="X685" s="6" t="s">
        <v>193</v>
      </c>
    </row>
    <row r="686" spans="1:24" ht="15" customHeight="1" x14ac:dyDescent="0.3">
      <c r="A686" s="6" t="s">
        <v>533</v>
      </c>
      <c r="B686" s="6" t="s">
        <v>534</v>
      </c>
      <c r="C686" s="6" t="s">
        <v>35</v>
      </c>
      <c r="D686" s="1088" t="s">
        <v>567</v>
      </c>
      <c r="E686" s="6" t="s">
        <v>192</v>
      </c>
      <c r="F686" s="6" t="s">
        <v>853</v>
      </c>
      <c r="G686" s="6" t="s">
        <v>949</v>
      </c>
      <c r="H686" s="6" t="s">
        <v>1171</v>
      </c>
      <c r="J686" s="1215" t="s">
        <v>509</v>
      </c>
      <c r="K686" s="1219" t="s">
        <v>3110</v>
      </c>
      <c r="L686" s="8">
        <v>8</v>
      </c>
      <c r="M686" s="8">
        <v>20</v>
      </c>
      <c r="N686" s="1169" t="s">
        <v>271</v>
      </c>
      <c r="P686" s="6" t="s">
        <v>3323</v>
      </c>
      <c r="Q686" s="1215" t="s">
        <v>253</v>
      </c>
      <c r="R686" s="1215" t="s">
        <v>255</v>
      </c>
      <c r="S686" s="1215" t="s">
        <v>534</v>
      </c>
      <c r="T686" s="1215" t="s">
        <v>533</v>
      </c>
      <c r="U686" s="6" t="s">
        <v>567</v>
      </c>
      <c r="V686" s="6" t="s">
        <v>35</v>
      </c>
      <c r="W686" s="6" t="s">
        <v>863</v>
      </c>
      <c r="X686" s="6" t="s">
        <v>193</v>
      </c>
    </row>
    <row r="687" spans="1:24" ht="15" customHeight="1" x14ac:dyDescent="0.3">
      <c r="A687" s="6" t="s">
        <v>533</v>
      </c>
      <c r="B687" s="6" t="s">
        <v>534</v>
      </c>
      <c r="C687" s="6" t="s">
        <v>35</v>
      </c>
      <c r="D687" s="1088" t="s">
        <v>567</v>
      </c>
      <c r="E687" s="1088" t="s">
        <v>192</v>
      </c>
      <c r="F687" s="6" t="s">
        <v>853</v>
      </c>
      <c r="G687" s="6" t="s">
        <v>949</v>
      </c>
      <c r="H687" s="6" t="s">
        <v>1171</v>
      </c>
      <c r="J687" s="1215" t="s">
        <v>509</v>
      </c>
      <c r="K687" s="1219" t="s">
        <v>3111</v>
      </c>
      <c r="L687" s="8">
        <v>0</v>
      </c>
      <c r="M687" s="8">
        <v>4</v>
      </c>
      <c r="N687" s="1169" t="s">
        <v>271</v>
      </c>
      <c r="P687" s="6" t="s">
        <v>3323</v>
      </c>
      <c r="Q687" s="1215" t="s">
        <v>253</v>
      </c>
      <c r="R687" s="1215" t="s">
        <v>255</v>
      </c>
      <c r="S687" s="1215" t="s">
        <v>534</v>
      </c>
      <c r="T687" s="1215" t="s">
        <v>533</v>
      </c>
      <c r="U687" s="6" t="s">
        <v>567</v>
      </c>
      <c r="V687" s="6" t="s">
        <v>35</v>
      </c>
      <c r="W687" s="6" t="s">
        <v>863</v>
      </c>
      <c r="X687" s="6" t="s">
        <v>193</v>
      </c>
    </row>
    <row r="688" spans="1:24" ht="15" customHeight="1" x14ac:dyDescent="0.3">
      <c r="A688" s="6" t="s">
        <v>533</v>
      </c>
      <c r="B688" s="6" t="s">
        <v>534</v>
      </c>
      <c r="C688" s="6" t="s">
        <v>35</v>
      </c>
      <c r="D688" s="1088" t="s">
        <v>567</v>
      </c>
      <c r="E688" s="6" t="s">
        <v>192</v>
      </c>
      <c r="F688" s="6" t="s">
        <v>853</v>
      </c>
      <c r="G688" s="6" t="s">
        <v>949</v>
      </c>
      <c r="H688" s="6" t="s">
        <v>1171</v>
      </c>
      <c r="J688" s="1215" t="s">
        <v>509</v>
      </c>
      <c r="K688" s="1219" t="s">
        <v>3112</v>
      </c>
      <c r="L688" s="8">
        <v>4</v>
      </c>
      <c r="M688" s="8">
        <v>28</v>
      </c>
      <c r="N688" s="1169" t="s">
        <v>271</v>
      </c>
      <c r="P688" s="6" t="s">
        <v>3323</v>
      </c>
      <c r="Q688" s="1215" t="s">
        <v>253</v>
      </c>
      <c r="R688" s="1215" t="s">
        <v>255</v>
      </c>
      <c r="S688" s="1215" t="s">
        <v>534</v>
      </c>
      <c r="T688" s="1215" t="s">
        <v>533</v>
      </c>
      <c r="U688" s="6" t="s">
        <v>567</v>
      </c>
      <c r="V688" s="6" t="s">
        <v>35</v>
      </c>
      <c r="W688" s="6" t="s">
        <v>863</v>
      </c>
      <c r="X688" s="6" t="s">
        <v>193</v>
      </c>
    </row>
    <row r="689" spans="1:24" ht="15" customHeight="1" x14ac:dyDescent="0.3">
      <c r="A689" s="6" t="s">
        <v>533</v>
      </c>
      <c r="B689" s="6" t="s">
        <v>534</v>
      </c>
      <c r="C689" s="6" t="s">
        <v>34</v>
      </c>
      <c r="D689" s="1088" t="s">
        <v>539</v>
      </c>
      <c r="E689" s="6" t="s">
        <v>188</v>
      </c>
      <c r="F689" s="6" t="s">
        <v>546</v>
      </c>
      <c r="G689" s="6" t="s">
        <v>2852</v>
      </c>
      <c r="H689" s="6" t="s">
        <v>1489</v>
      </c>
      <c r="J689" s="1215" t="s">
        <v>509</v>
      </c>
      <c r="K689" s="1219" t="s">
        <v>3033</v>
      </c>
      <c r="L689" s="8">
        <v>73</v>
      </c>
      <c r="M689" s="8">
        <v>534</v>
      </c>
      <c r="N689" s="1169" t="s">
        <v>271</v>
      </c>
      <c r="P689" s="6" t="s">
        <v>3324</v>
      </c>
      <c r="Q689" s="1215" t="s">
        <v>253</v>
      </c>
      <c r="R689" s="1215" t="s">
        <v>255</v>
      </c>
      <c r="S689" s="1215" t="s">
        <v>534</v>
      </c>
      <c r="T689" s="1215" t="s">
        <v>533</v>
      </c>
      <c r="U689" s="6" t="s">
        <v>539</v>
      </c>
      <c r="V689" s="6" t="s">
        <v>34</v>
      </c>
      <c r="W689" s="6" t="s">
        <v>546</v>
      </c>
      <c r="X689" s="6" t="s">
        <v>188</v>
      </c>
    </row>
    <row r="690" spans="1:24" ht="15" customHeight="1" x14ac:dyDescent="0.3">
      <c r="A690" s="6" t="s">
        <v>533</v>
      </c>
      <c r="B690" s="6" t="s">
        <v>534</v>
      </c>
      <c r="C690" s="6" t="s">
        <v>34</v>
      </c>
      <c r="D690" s="1088" t="s">
        <v>539</v>
      </c>
      <c r="E690" s="1088" t="s">
        <v>188</v>
      </c>
      <c r="F690" s="6" t="s">
        <v>546</v>
      </c>
      <c r="G690" s="6" t="s">
        <v>2852</v>
      </c>
      <c r="H690" s="6" t="s">
        <v>1489</v>
      </c>
      <c r="J690" s="1215" t="s">
        <v>509</v>
      </c>
      <c r="K690" s="1219" t="s">
        <v>3109</v>
      </c>
      <c r="L690" s="8">
        <v>6</v>
      </c>
      <c r="M690" s="8">
        <v>38</v>
      </c>
      <c r="N690" s="1169" t="s">
        <v>271</v>
      </c>
      <c r="P690" s="6" t="s">
        <v>3324</v>
      </c>
      <c r="Q690" s="1215" t="s">
        <v>253</v>
      </c>
      <c r="R690" s="1215" t="s">
        <v>255</v>
      </c>
      <c r="S690" s="1215" t="s">
        <v>534</v>
      </c>
      <c r="T690" s="1215" t="s">
        <v>533</v>
      </c>
      <c r="U690" s="6" t="s">
        <v>539</v>
      </c>
      <c r="V690" s="6" t="s">
        <v>34</v>
      </c>
      <c r="W690" s="6" t="s">
        <v>546</v>
      </c>
      <c r="X690" s="6" t="s">
        <v>188</v>
      </c>
    </row>
    <row r="691" spans="1:24" ht="15" customHeight="1" x14ac:dyDescent="0.3">
      <c r="A691" s="6" t="s">
        <v>533</v>
      </c>
      <c r="B691" s="6" t="s">
        <v>534</v>
      </c>
      <c r="C691" s="6" t="s">
        <v>34</v>
      </c>
      <c r="D691" s="1088" t="s">
        <v>539</v>
      </c>
      <c r="E691" s="6" t="s">
        <v>188</v>
      </c>
      <c r="F691" s="6" t="s">
        <v>546</v>
      </c>
      <c r="G691" s="6" t="s">
        <v>2852</v>
      </c>
      <c r="H691" s="6" t="s">
        <v>1489</v>
      </c>
      <c r="J691" s="1215" t="s">
        <v>509</v>
      </c>
      <c r="K691" s="1219" t="s">
        <v>3111</v>
      </c>
      <c r="L691" s="8">
        <v>15</v>
      </c>
      <c r="M691" s="8">
        <v>171</v>
      </c>
      <c r="N691" s="6" t="s">
        <v>271</v>
      </c>
      <c r="P691" s="6" t="s">
        <v>3324</v>
      </c>
      <c r="Q691" s="1215" t="s">
        <v>253</v>
      </c>
      <c r="R691" s="1215" t="s">
        <v>255</v>
      </c>
      <c r="S691" s="1215" t="s">
        <v>534</v>
      </c>
      <c r="T691" s="1215" t="s">
        <v>533</v>
      </c>
      <c r="U691" s="6" t="s">
        <v>539</v>
      </c>
      <c r="V691" s="6" t="s">
        <v>34</v>
      </c>
      <c r="W691" s="6" t="s">
        <v>546</v>
      </c>
      <c r="X691" s="6" t="s">
        <v>188</v>
      </c>
    </row>
    <row r="692" spans="1:24" ht="15" customHeight="1" x14ac:dyDescent="0.3">
      <c r="A692" s="6" t="s">
        <v>533</v>
      </c>
      <c r="B692" s="6" t="s">
        <v>534</v>
      </c>
      <c r="C692" s="6" t="s">
        <v>34</v>
      </c>
      <c r="D692" s="1088" t="s">
        <v>539</v>
      </c>
      <c r="E692" s="6" t="s">
        <v>188</v>
      </c>
      <c r="F692" s="6" t="s">
        <v>546</v>
      </c>
      <c r="G692" s="6" t="s">
        <v>2852</v>
      </c>
      <c r="H692" s="6" t="s">
        <v>1489</v>
      </c>
      <c r="J692" s="1215" t="s">
        <v>509</v>
      </c>
      <c r="K692" s="1219" t="s">
        <v>3112</v>
      </c>
      <c r="L692" s="8">
        <v>4</v>
      </c>
      <c r="M692" s="8">
        <v>51</v>
      </c>
      <c r="N692" s="6" t="s">
        <v>271</v>
      </c>
      <c r="P692" s="6" t="s">
        <v>3324</v>
      </c>
      <c r="Q692" s="1215" t="s">
        <v>253</v>
      </c>
      <c r="R692" s="1215" t="s">
        <v>255</v>
      </c>
      <c r="S692" s="1215" t="s">
        <v>534</v>
      </c>
      <c r="T692" s="1215" t="s">
        <v>533</v>
      </c>
      <c r="U692" s="6" t="s">
        <v>539</v>
      </c>
      <c r="V692" s="6" t="s">
        <v>34</v>
      </c>
      <c r="W692" s="6" t="s">
        <v>546</v>
      </c>
      <c r="X692" s="6" t="s">
        <v>188</v>
      </c>
    </row>
    <row r="693" spans="1:24" ht="15" customHeight="1" x14ac:dyDescent="0.3">
      <c r="A693" s="6" t="s">
        <v>533</v>
      </c>
      <c r="B693" s="6" t="s">
        <v>534</v>
      </c>
      <c r="C693" s="6" t="s">
        <v>34</v>
      </c>
      <c r="D693" s="1088" t="s">
        <v>539</v>
      </c>
      <c r="E693" s="6" t="s">
        <v>188</v>
      </c>
      <c r="F693" s="6" t="s">
        <v>546</v>
      </c>
      <c r="G693" s="6" t="s">
        <v>1266</v>
      </c>
      <c r="H693" s="6" t="s">
        <v>977</v>
      </c>
      <c r="J693" s="1215" t="s">
        <v>509</v>
      </c>
      <c r="K693" s="1219" t="s">
        <v>3033</v>
      </c>
      <c r="L693" s="8">
        <v>41</v>
      </c>
      <c r="M693" s="8">
        <v>353</v>
      </c>
      <c r="N693" s="6" t="s">
        <v>271</v>
      </c>
      <c r="P693" s="6" t="s">
        <v>3324</v>
      </c>
      <c r="Q693" s="1215" t="s">
        <v>253</v>
      </c>
      <c r="R693" s="1215" t="s">
        <v>255</v>
      </c>
      <c r="S693" s="1215" t="s">
        <v>534</v>
      </c>
      <c r="T693" s="1215" t="s">
        <v>533</v>
      </c>
      <c r="U693" s="6" t="s">
        <v>539</v>
      </c>
      <c r="V693" s="6" t="s">
        <v>34</v>
      </c>
      <c r="W693" s="6" t="s">
        <v>546</v>
      </c>
      <c r="X693" s="6" t="s">
        <v>188</v>
      </c>
    </row>
    <row r="694" spans="1:24" ht="15" customHeight="1" x14ac:dyDescent="0.3">
      <c r="A694" s="6" t="s">
        <v>533</v>
      </c>
      <c r="B694" s="6" t="s">
        <v>534</v>
      </c>
      <c r="C694" s="6" t="s">
        <v>34</v>
      </c>
      <c r="D694" s="1088" t="s">
        <v>539</v>
      </c>
      <c r="E694" s="6" t="s">
        <v>188</v>
      </c>
      <c r="F694" s="6" t="s">
        <v>546</v>
      </c>
      <c r="G694" s="6" t="s">
        <v>1266</v>
      </c>
      <c r="H694" s="6" t="s">
        <v>977</v>
      </c>
      <c r="J694" s="1215" t="s">
        <v>509</v>
      </c>
      <c r="K694" s="1219" t="s">
        <v>3110</v>
      </c>
      <c r="L694" s="8">
        <v>0</v>
      </c>
      <c r="M694" s="8">
        <v>4</v>
      </c>
      <c r="N694" s="6" t="s">
        <v>271</v>
      </c>
      <c r="P694" s="6" t="s">
        <v>3324</v>
      </c>
      <c r="Q694" s="1215" t="s">
        <v>253</v>
      </c>
      <c r="R694" s="1215" t="s">
        <v>255</v>
      </c>
      <c r="S694" s="1215" t="s">
        <v>534</v>
      </c>
      <c r="T694" s="1215" t="s">
        <v>533</v>
      </c>
      <c r="U694" s="6" t="s">
        <v>539</v>
      </c>
      <c r="V694" s="6" t="s">
        <v>34</v>
      </c>
      <c r="W694" s="6" t="s">
        <v>546</v>
      </c>
      <c r="X694" s="6" t="s">
        <v>188</v>
      </c>
    </row>
    <row r="695" spans="1:24" ht="15" customHeight="1" x14ac:dyDescent="0.3">
      <c r="A695" s="6" t="s">
        <v>533</v>
      </c>
      <c r="B695" s="6" t="s">
        <v>534</v>
      </c>
      <c r="C695" s="6" t="s">
        <v>34</v>
      </c>
      <c r="D695" s="1088" t="s">
        <v>539</v>
      </c>
      <c r="E695" s="6" t="s">
        <v>188</v>
      </c>
      <c r="F695" s="6" t="s">
        <v>546</v>
      </c>
      <c r="G695" s="6" t="s">
        <v>1266</v>
      </c>
      <c r="H695" s="6" t="s">
        <v>977</v>
      </c>
      <c r="J695" s="1215" t="s">
        <v>509</v>
      </c>
      <c r="K695" s="1219" t="s">
        <v>3111</v>
      </c>
      <c r="L695" s="8">
        <v>0</v>
      </c>
      <c r="M695" s="8">
        <v>1</v>
      </c>
      <c r="N695" s="6" t="s">
        <v>271</v>
      </c>
      <c r="P695" s="6" t="s">
        <v>3324</v>
      </c>
      <c r="Q695" s="1215" t="s">
        <v>253</v>
      </c>
      <c r="R695" s="1215" t="s">
        <v>255</v>
      </c>
      <c r="S695" s="1215" t="s">
        <v>534</v>
      </c>
      <c r="T695" s="1215" t="s">
        <v>533</v>
      </c>
      <c r="U695" s="6" t="s">
        <v>539</v>
      </c>
      <c r="V695" s="6" t="s">
        <v>34</v>
      </c>
      <c r="W695" s="6" t="s">
        <v>546</v>
      </c>
      <c r="X695" s="6" t="s">
        <v>188</v>
      </c>
    </row>
    <row r="696" spans="1:24" ht="15" customHeight="1" x14ac:dyDescent="0.3">
      <c r="A696" s="6" t="s">
        <v>533</v>
      </c>
      <c r="B696" s="6" t="s">
        <v>534</v>
      </c>
      <c r="C696" s="6" t="s">
        <v>34</v>
      </c>
      <c r="D696" s="1088" t="s">
        <v>539</v>
      </c>
      <c r="E696" s="6" t="s">
        <v>188</v>
      </c>
      <c r="F696" s="6" t="s">
        <v>546</v>
      </c>
      <c r="G696" s="6" t="s">
        <v>1266</v>
      </c>
      <c r="H696" s="6" t="s">
        <v>977</v>
      </c>
      <c r="J696" s="1215" t="s">
        <v>509</v>
      </c>
      <c r="K696" s="1219" t="s">
        <v>3112</v>
      </c>
      <c r="L696" s="8">
        <v>0</v>
      </c>
      <c r="M696" s="8">
        <v>5</v>
      </c>
      <c r="N696" s="1169" t="s">
        <v>271</v>
      </c>
      <c r="P696" s="6" t="s">
        <v>3324</v>
      </c>
      <c r="Q696" s="1215" t="s">
        <v>253</v>
      </c>
      <c r="R696" s="1215" t="s">
        <v>255</v>
      </c>
      <c r="S696" s="1215" t="s">
        <v>534</v>
      </c>
      <c r="T696" s="1215" t="s">
        <v>533</v>
      </c>
      <c r="U696" s="6" t="s">
        <v>539</v>
      </c>
      <c r="V696" s="6" t="s">
        <v>34</v>
      </c>
      <c r="W696" s="6" t="s">
        <v>546</v>
      </c>
      <c r="X696" s="6" t="s">
        <v>188</v>
      </c>
    </row>
    <row r="697" spans="1:24" ht="15" customHeight="1" x14ac:dyDescent="0.3">
      <c r="A697" s="6" t="s">
        <v>533</v>
      </c>
      <c r="B697" s="6" t="s">
        <v>534</v>
      </c>
      <c r="C697" s="6" t="s">
        <v>34</v>
      </c>
      <c r="D697" s="1088" t="s">
        <v>539</v>
      </c>
      <c r="E697" s="6" t="s">
        <v>188</v>
      </c>
      <c r="F697" s="6" t="s">
        <v>546</v>
      </c>
      <c r="G697" s="6" t="s">
        <v>1006</v>
      </c>
      <c r="H697" s="6" t="s">
        <v>781</v>
      </c>
      <c r="J697" s="1215" t="s">
        <v>509</v>
      </c>
      <c r="K697" s="1219" t="s">
        <v>3109</v>
      </c>
      <c r="L697" s="8">
        <v>0</v>
      </c>
      <c r="M697" s="8">
        <v>1</v>
      </c>
      <c r="N697" s="1169" t="s">
        <v>271</v>
      </c>
      <c r="P697" s="6" t="s">
        <v>3324</v>
      </c>
      <c r="Q697" s="1215" t="s">
        <v>253</v>
      </c>
      <c r="R697" s="1215" t="s">
        <v>255</v>
      </c>
      <c r="S697" s="1215" t="s">
        <v>534</v>
      </c>
      <c r="T697" s="1215" t="s">
        <v>533</v>
      </c>
      <c r="U697" s="6" t="s">
        <v>539</v>
      </c>
      <c r="V697" s="6" t="s">
        <v>34</v>
      </c>
      <c r="W697" s="6" t="s">
        <v>546</v>
      </c>
      <c r="X697" s="6" t="s">
        <v>188</v>
      </c>
    </row>
    <row r="698" spans="1:24" ht="15" customHeight="1" x14ac:dyDescent="0.3">
      <c r="A698" s="6" t="s">
        <v>533</v>
      </c>
      <c r="B698" s="6" t="s">
        <v>534</v>
      </c>
      <c r="C698" s="6" t="s">
        <v>34</v>
      </c>
      <c r="D698" s="1088" t="s">
        <v>539</v>
      </c>
      <c r="E698" s="6" t="s">
        <v>188</v>
      </c>
      <c r="F698" s="6" t="s">
        <v>546</v>
      </c>
      <c r="G698" s="6" t="s">
        <v>1006</v>
      </c>
      <c r="H698" s="6" t="s">
        <v>781</v>
      </c>
      <c r="J698" s="1215" t="s">
        <v>509</v>
      </c>
      <c r="K698" s="1219" t="s">
        <v>3110</v>
      </c>
      <c r="L698" s="8">
        <v>49</v>
      </c>
      <c r="M698" s="8">
        <v>290</v>
      </c>
      <c r="N698" s="1169" t="s">
        <v>271</v>
      </c>
      <c r="P698" s="6" t="s">
        <v>3324</v>
      </c>
      <c r="Q698" s="1215" t="s">
        <v>253</v>
      </c>
      <c r="R698" s="1215" t="s">
        <v>255</v>
      </c>
      <c r="S698" s="1215" t="s">
        <v>534</v>
      </c>
      <c r="T698" s="1215" t="s">
        <v>533</v>
      </c>
      <c r="U698" s="6" t="s">
        <v>539</v>
      </c>
      <c r="V698" s="6" t="s">
        <v>34</v>
      </c>
      <c r="W698" s="6" t="s">
        <v>546</v>
      </c>
      <c r="X698" s="6" t="s">
        <v>188</v>
      </c>
    </row>
    <row r="699" spans="1:24" ht="15" customHeight="1" x14ac:dyDescent="0.3">
      <c r="A699" s="6" t="s">
        <v>533</v>
      </c>
      <c r="B699" s="6" t="s">
        <v>534</v>
      </c>
      <c r="C699" s="6" t="s">
        <v>34</v>
      </c>
      <c r="D699" s="6" t="s">
        <v>539</v>
      </c>
      <c r="E699" s="1088" t="s">
        <v>188</v>
      </c>
      <c r="F699" s="6" t="s">
        <v>546</v>
      </c>
      <c r="G699" s="6" t="s">
        <v>1006</v>
      </c>
      <c r="H699" s="6" t="s">
        <v>781</v>
      </c>
      <c r="J699" s="1215" t="s">
        <v>509</v>
      </c>
      <c r="K699" s="1219" t="s">
        <v>3111</v>
      </c>
      <c r="L699" s="8">
        <v>0</v>
      </c>
      <c r="M699" s="8">
        <v>22</v>
      </c>
      <c r="N699" s="1169" t="s">
        <v>271</v>
      </c>
      <c r="P699" s="6" t="s">
        <v>3324</v>
      </c>
      <c r="Q699" s="1215" t="s">
        <v>253</v>
      </c>
      <c r="R699" s="1215" t="s">
        <v>255</v>
      </c>
      <c r="S699" s="1215" t="s">
        <v>534</v>
      </c>
      <c r="T699" s="1215" t="s">
        <v>533</v>
      </c>
      <c r="U699" s="6" t="s">
        <v>539</v>
      </c>
      <c r="V699" s="6" t="s">
        <v>34</v>
      </c>
      <c r="W699" s="6" t="s">
        <v>546</v>
      </c>
      <c r="X699" s="6" t="s">
        <v>188</v>
      </c>
    </row>
    <row r="700" spans="1:24" ht="15" customHeight="1" x14ac:dyDescent="0.3">
      <c r="A700" s="6" t="s">
        <v>533</v>
      </c>
      <c r="B700" s="6" t="s">
        <v>534</v>
      </c>
      <c r="C700" s="6" t="s">
        <v>34</v>
      </c>
      <c r="D700" s="1088" t="s">
        <v>539</v>
      </c>
      <c r="E700" s="6" t="s">
        <v>188</v>
      </c>
      <c r="F700" s="6" t="s">
        <v>546</v>
      </c>
      <c r="G700" s="6" t="s">
        <v>1006</v>
      </c>
      <c r="H700" s="6" t="s">
        <v>781</v>
      </c>
      <c r="J700" s="1215" t="s">
        <v>509</v>
      </c>
      <c r="K700" s="1219" t="s">
        <v>3112</v>
      </c>
      <c r="L700" s="8">
        <v>0</v>
      </c>
      <c r="M700" s="8">
        <v>2</v>
      </c>
      <c r="N700" s="1169" t="s">
        <v>271</v>
      </c>
      <c r="P700" s="6" t="s">
        <v>3324</v>
      </c>
      <c r="Q700" s="1215" t="s">
        <v>253</v>
      </c>
      <c r="R700" s="1215" t="s">
        <v>255</v>
      </c>
      <c r="S700" s="1215" t="s">
        <v>534</v>
      </c>
      <c r="T700" s="1215" t="s">
        <v>533</v>
      </c>
      <c r="U700" s="6" t="s">
        <v>539</v>
      </c>
      <c r="V700" s="6" t="s">
        <v>34</v>
      </c>
      <c r="W700" s="6" t="s">
        <v>546</v>
      </c>
      <c r="X700" s="6" t="s">
        <v>188</v>
      </c>
    </row>
    <row r="701" spans="1:24" ht="15" customHeight="1" x14ac:dyDescent="0.3">
      <c r="A701" s="6" t="s">
        <v>533</v>
      </c>
      <c r="B701" s="6" t="s">
        <v>534</v>
      </c>
      <c r="C701" s="6" t="s">
        <v>31</v>
      </c>
      <c r="D701" s="1088" t="s">
        <v>549</v>
      </c>
      <c r="E701" s="6" t="s">
        <v>166</v>
      </c>
      <c r="F701" s="6" t="s">
        <v>844</v>
      </c>
      <c r="G701" s="6" t="s">
        <v>2935</v>
      </c>
      <c r="H701" s="6" t="s">
        <v>1517</v>
      </c>
      <c r="J701" s="1215" t="s">
        <v>509</v>
      </c>
      <c r="K701" s="1219" t="s">
        <v>3033</v>
      </c>
      <c r="L701" s="8">
        <v>13</v>
      </c>
      <c r="M701" s="8">
        <v>112</v>
      </c>
      <c r="N701" s="1169" t="s">
        <v>271</v>
      </c>
      <c r="P701" s="6" t="s">
        <v>3324</v>
      </c>
      <c r="Q701" s="1215" t="s">
        <v>253</v>
      </c>
      <c r="R701" s="1215" t="s">
        <v>255</v>
      </c>
      <c r="S701" s="1215" t="s">
        <v>534</v>
      </c>
      <c r="T701" s="1215" t="s">
        <v>533</v>
      </c>
      <c r="U701" s="6" t="s">
        <v>549</v>
      </c>
      <c r="V701" s="6" t="s">
        <v>31</v>
      </c>
      <c r="W701" s="6" t="s">
        <v>844</v>
      </c>
      <c r="X701" s="6" t="s">
        <v>166</v>
      </c>
    </row>
    <row r="702" spans="1:24" ht="15" customHeight="1" x14ac:dyDescent="0.3">
      <c r="A702" s="6" t="s">
        <v>533</v>
      </c>
      <c r="B702" s="6" t="s">
        <v>534</v>
      </c>
      <c r="C702" s="6" t="s">
        <v>31</v>
      </c>
      <c r="D702" s="1088" t="s">
        <v>549</v>
      </c>
      <c r="E702" s="6" t="s">
        <v>164</v>
      </c>
      <c r="F702" s="6" t="s">
        <v>748</v>
      </c>
      <c r="G702" s="6" t="s">
        <v>909</v>
      </c>
      <c r="H702" s="6" t="s">
        <v>910</v>
      </c>
      <c r="J702" s="1215" t="s">
        <v>509</v>
      </c>
      <c r="K702" s="1219" t="s">
        <v>3033</v>
      </c>
      <c r="L702" s="8">
        <v>14</v>
      </c>
      <c r="M702" s="8">
        <v>38</v>
      </c>
      <c r="N702" s="1169" t="s">
        <v>271</v>
      </c>
      <c r="P702" s="6" t="s">
        <v>3324</v>
      </c>
      <c r="Q702" s="1215" t="s">
        <v>253</v>
      </c>
      <c r="R702" s="1215" t="s">
        <v>255</v>
      </c>
      <c r="S702" s="1215" t="s">
        <v>534</v>
      </c>
      <c r="T702" s="1215" t="s">
        <v>533</v>
      </c>
      <c r="U702" s="6" t="s">
        <v>549</v>
      </c>
      <c r="V702" s="6" t="s">
        <v>31</v>
      </c>
      <c r="W702" s="6" t="s">
        <v>748</v>
      </c>
      <c r="X702" s="6" t="s">
        <v>164</v>
      </c>
    </row>
    <row r="703" spans="1:24" ht="15" customHeight="1" x14ac:dyDescent="0.3">
      <c r="A703" s="6" t="s">
        <v>533</v>
      </c>
      <c r="B703" s="6" t="s">
        <v>534</v>
      </c>
      <c r="C703" s="6" t="s">
        <v>31</v>
      </c>
      <c r="D703" s="1088" t="s">
        <v>549</v>
      </c>
      <c r="E703" s="6" t="s">
        <v>164</v>
      </c>
      <c r="F703" s="6" t="s">
        <v>748</v>
      </c>
      <c r="G703" s="6" t="s">
        <v>2038</v>
      </c>
      <c r="H703" s="6" t="s">
        <v>2039</v>
      </c>
      <c r="J703" s="1215" t="s">
        <v>509</v>
      </c>
      <c r="K703" s="1219" t="s">
        <v>3033</v>
      </c>
      <c r="L703" s="8">
        <v>900</v>
      </c>
      <c r="M703" s="8">
        <v>5010</v>
      </c>
      <c r="N703" s="1169" t="s">
        <v>271</v>
      </c>
      <c r="P703" s="6" t="s">
        <v>3323</v>
      </c>
      <c r="Q703" s="1215" t="s">
        <v>253</v>
      </c>
      <c r="R703" s="1215" t="s">
        <v>255</v>
      </c>
      <c r="S703" s="1215" t="s">
        <v>534</v>
      </c>
      <c r="T703" s="1215" t="s">
        <v>533</v>
      </c>
      <c r="U703" s="6" t="s">
        <v>549</v>
      </c>
      <c r="V703" s="6" t="s">
        <v>31</v>
      </c>
      <c r="W703" s="6" t="s">
        <v>844</v>
      </c>
      <c r="X703" s="6" t="s">
        <v>166</v>
      </c>
    </row>
    <row r="704" spans="1:24" ht="15" customHeight="1" x14ac:dyDescent="0.3">
      <c r="A704" s="6" t="s">
        <v>533</v>
      </c>
      <c r="B704" s="6" t="s">
        <v>534</v>
      </c>
      <c r="C704" s="6" t="s">
        <v>31</v>
      </c>
      <c r="D704" s="1088" t="s">
        <v>549</v>
      </c>
      <c r="E704" s="6" t="s">
        <v>170</v>
      </c>
      <c r="F704" s="6" t="s">
        <v>866</v>
      </c>
      <c r="G704" s="6" t="s">
        <v>2089</v>
      </c>
      <c r="H704" s="6" t="s">
        <v>1703</v>
      </c>
      <c r="J704" s="1215" t="s">
        <v>509</v>
      </c>
      <c r="K704" s="1219" t="s">
        <v>3112</v>
      </c>
      <c r="L704" s="8">
        <v>105</v>
      </c>
      <c r="M704" s="8">
        <v>301</v>
      </c>
      <c r="N704" s="1169" t="s">
        <v>272</v>
      </c>
      <c r="P704" s="6" t="s">
        <v>3324</v>
      </c>
      <c r="Q704" s="1215" t="s">
        <v>253</v>
      </c>
      <c r="R704" s="1215" t="s">
        <v>255</v>
      </c>
      <c r="S704" s="1215" t="s">
        <v>534</v>
      </c>
      <c r="T704" s="1215" t="s">
        <v>533</v>
      </c>
      <c r="U704" s="6" t="s">
        <v>549</v>
      </c>
      <c r="V704" s="6" t="s">
        <v>31</v>
      </c>
      <c r="W704" s="6" t="s">
        <v>866</v>
      </c>
      <c r="X704" s="6" t="s">
        <v>170</v>
      </c>
    </row>
    <row r="705" spans="1:24" ht="15" customHeight="1" x14ac:dyDescent="0.3">
      <c r="A705" s="6" t="s">
        <v>533</v>
      </c>
      <c r="B705" s="6" t="s">
        <v>534</v>
      </c>
      <c r="C705" s="6" t="s">
        <v>31</v>
      </c>
      <c r="D705" s="1088" t="s">
        <v>549</v>
      </c>
      <c r="E705" s="6" t="s">
        <v>170</v>
      </c>
      <c r="F705" s="6" t="s">
        <v>866</v>
      </c>
      <c r="G705" s="6" t="s">
        <v>1369</v>
      </c>
      <c r="H705" s="6" t="s">
        <v>1370</v>
      </c>
      <c r="J705" s="1215" t="s">
        <v>509</v>
      </c>
      <c r="K705" s="1219" t="s">
        <v>3033</v>
      </c>
      <c r="L705" s="8">
        <v>60</v>
      </c>
      <c r="M705" s="8">
        <v>200</v>
      </c>
      <c r="N705" s="6" t="s">
        <v>271</v>
      </c>
      <c r="P705" s="6" t="s">
        <v>3324</v>
      </c>
      <c r="Q705" s="1215" t="s">
        <v>253</v>
      </c>
      <c r="R705" s="1215" t="s">
        <v>255</v>
      </c>
      <c r="S705" s="1215" t="s">
        <v>534</v>
      </c>
      <c r="T705" s="1215" t="s">
        <v>533</v>
      </c>
      <c r="U705" s="6" t="s">
        <v>549</v>
      </c>
      <c r="V705" s="6" t="s">
        <v>31</v>
      </c>
      <c r="W705" s="6" t="s">
        <v>866</v>
      </c>
      <c r="X705" s="6" t="s">
        <v>170</v>
      </c>
    </row>
    <row r="706" spans="1:24" ht="15" customHeight="1" x14ac:dyDescent="0.3">
      <c r="A706" s="6" t="s">
        <v>533</v>
      </c>
      <c r="B706" s="6" t="s">
        <v>534</v>
      </c>
      <c r="C706" s="6" t="s">
        <v>31</v>
      </c>
      <c r="D706" s="1088" t="s">
        <v>549</v>
      </c>
      <c r="E706" s="6" t="s">
        <v>170</v>
      </c>
      <c r="F706" s="6" t="s">
        <v>866</v>
      </c>
      <c r="G706" s="6" t="s">
        <v>1369</v>
      </c>
      <c r="H706" s="6" t="s">
        <v>1370</v>
      </c>
      <c r="J706" s="1215" t="s">
        <v>509</v>
      </c>
      <c r="K706" s="1219" t="s">
        <v>3112</v>
      </c>
      <c r="L706" s="8">
        <v>40</v>
      </c>
      <c r="M706" s="8">
        <v>155</v>
      </c>
      <c r="N706" s="1169" t="s">
        <v>272</v>
      </c>
      <c r="P706" s="6" t="s">
        <v>3324</v>
      </c>
      <c r="Q706" s="1215" t="s">
        <v>253</v>
      </c>
      <c r="R706" s="1215" t="s">
        <v>255</v>
      </c>
      <c r="S706" s="1215" t="s">
        <v>534</v>
      </c>
      <c r="T706" s="1215" t="s">
        <v>533</v>
      </c>
      <c r="U706" s="6" t="s">
        <v>549</v>
      </c>
      <c r="V706" s="6" t="s">
        <v>31</v>
      </c>
      <c r="W706" s="6" t="s">
        <v>866</v>
      </c>
      <c r="X706" s="6" t="s">
        <v>170</v>
      </c>
    </row>
    <row r="707" spans="1:24" ht="15" customHeight="1" x14ac:dyDescent="0.3">
      <c r="A707" s="6" t="s">
        <v>533</v>
      </c>
      <c r="B707" s="6" t="s">
        <v>534</v>
      </c>
      <c r="C707" s="6" t="s">
        <v>31</v>
      </c>
      <c r="D707" s="1088" t="s">
        <v>549</v>
      </c>
      <c r="E707" s="6" t="s">
        <v>171</v>
      </c>
      <c r="F707" s="6" t="s">
        <v>634</v>
      </c>
      <c r="G707" s="6" t="s">
        <v>1151</v>
      </c>
      <c r="H707" s="6" t="s">
        <v>1395</v>
      </c>
      <c r="J707" s="1215" t="s">
        <v>509</v>
      </c>
      <c r="K707" s="1219" t="s">
        <v>3110</v>
      </c>
      <c r="L707" s="8">
        <v>15</v>
      </c>
      <c r="M707" s="8">
        <v>48</v>
      </c>
      <c r="N707" s="1169" t="s">
        <v>271</v>
      </c>
      <c r="P707" s="6" t="s">
        <v>3323</v>
      </c>
      <c r="Q707" s="1215" t="s">
        <v>253</v>
      </c>
      <c r="R707" s="1215" t="s">
        <v>255</v>
      </c>
      <c r="S707" s="1215" t="s">
        <v>534</v>
      </c>
      <c r="T707" s="1215" t="s">
        <v>533</v>
      </c>
      <c r="U707" s="6" t="s">
        <v>549</v>
      </c>
      <c r="V707" s="6" t="s">
        <v>31</v>
      </c>
      <c r="W707" s="6" t="s">
        <v>844</v>
      </c>
      <c r="X707" s="6" t="s">
        <v>166</v>
      </c>
    </row>
    <row r="708" spans="1:24" ht="15" customHeight="1" x14ac:dyDescent="0.3">
      <c r="A708" s="6" t="s">
        <v>533</v>
      </c>
      <c r="B708" s="6" t="s">
        <v>534</v>
      </c>
      <c r="C708" s="6" t="s">
        <v>31</v>
      </c>
      <c r="D708" s="1088" t="s">
        <v>549</v>
      </c>
      <c r="E708" s="6" t="s">
        <v>171</v>
      </c>
      <c r="F708" s="6" t="s">
        <v>634</v>
      </c>
      <c r="G708" s="6" t="s">
        <v>1151</v>
      </c>
      <c r="H708" s="6" t="s">
        <v>1395</v>
      </c>
      <c r="J708" s="1215" t="s">
        <v>509</v>
      </c>
      <c r="K708" s="1219" t="s">
        <v>3111</v>
      </c>
      <c r="L708" s="8">
        <v>15</v>
      </c>
      <c r="M708" s="8">
        <v>59</v>
      </c>
      <c r="N708" s="1169" t="s">
        <v>271</v>
      </c>
      <c r="P708" s="6" t="s">
        <v>3324</v>
      </c>
      <c r="Q708" s="1215" t="s">
        <v>253</v>
      </c>
      <c r="R708" s="1215" t="s">
        <v>255</v>
      </c>
      <c r="S708" s="1215" t="s">
        <v>534</v>
      </c>
      <c r="T708" s="1215" t="s">
        <v>533</v>
      </c>
      <c r="U708" s="6" t="s">
        <v>549</v>
      </c>
      <c r="V708" s="6" t="s">
        <v>31</v>
      </c>
      <c r="W708" s="6" t="s">
        <v>634</v>
      </c>
      <c r="X708" s="6" t="s">
        <v>171</v>
      </c>
    </row>
    <row r="709" spans="1:24" ht="15" customHeight="1" x14ac:dyDescent="0.3">
      <c r="A709" s="6" t="s">
        <v>533</v>
      </c>
      <c r="B709" s="6" t="s">
        <v>534</v>
      </c>
      <c r="C709" s="6" t="s">
        <v>31</v>
      </c>
      <c r="D709" s="1088" t="s">
        <v>549</v>
      </c>
      <c r="E709" s="6" t="s">
        <v>170</v>
      </c>
      <c r="F709" s="6" t="s">
        <v>866</v>
      </c>
      <c r="G709" s="6" t="s">
        <v>550</v>
      </c>
      <c r="H709" s="6" t="s">
        <v>3180</v>
      </c>
      <c r="I709" s="6" t="s">
        <v>3180</v>
      </c>
      <c r="J709" s="1215" t="s">
        <v>509</v>
      </c>
      <c r="K709" s="1219" t="s">
        <v>3033</v>
      </c>
      <c r="L709" s="8">
        <v>200</v>
      </c>
      <c r="M709" s="8">
        <v>377</v>
      </c>
      <c r="N709" s="1169" t="s">
        <v>271</v>
      </c>
      <c r="P709" s="6" t="s">
        <v>3323</v>
      </c>
      <c r="Q709" s="1215" t="s">
        <v>253</v>
      </c>
      <c r="R709" s="1215" t="s">
        <v>255</v>
      </c>
      <c r="S709" s="1215" t="s">
        <v>534</v>
      </c>
      <c r="T709" s="1215" t="s">
        <v>533</v>
      </c>
      <c r="U709" s="6" t="s">
        <v>549</v>
      </c>
      <c r="V709" s="6" t="s">
        <v>31</v>
      </c>
      <c r="W709" s="6" t="s">
        <v>844</v>
      </c>
      <c r="X709" s="6" t="s">
        <v>166</v>
      </c>
    </row>
    <row r="710" spans="1:24" ht="15" customHeight="1" x14ac:dyDescent="0.3">
      <c r="A710" s="6" t="s">
        <v>533</v>
      </c>
      <c r="B710" s="6" t="s">
        <v>534</v>
      </c>
      <c r="C710" s="6" t="s">
        <v>31</v>
      </c>
      <c r="D710" s="1088" t="s">
        <v>549</v>
      </c>
      <c r="E710" s="6" t="s">
        <v>170</v>
      </c>
      <c r="F710" s="6" t="s">
        <v>866</v>
      </c>
      <c r="G710" s="6" t="s">
        <v>550</v>
      </c>
      <c r="H710" s="6" t="s">
        <v>3180</v>
      </c>
      <c r="I710" s="6" t="s">
        <v>3180</v>
      </c>
      <c r="J710" s="1215" t="s">
        <v>509</v>
      </c>
      <c r="K710" s="1219" t="s">
        <v>3112</v>
      </c>
      <c r="L710" s="8">
        <v>100</v>
      </c>
      <c r="M710" s="8">
        <v>200</v>
      </c>
      <c r="N710" s="1169" t="s">
        <v>272</v>
      </c>
      <c r="P710" s="6" t="s">
        <v>3323</v>
      </c>
      <c r="Q710" s="1215" t="s">
        <v>253</v>
      </c>
      <c r="R710" s="1215" t="s">
        <v>255</v>
      </c>
      <c r="S710" s="1215" t="s">
        <v>534</v>
      </c>
      <c r="T710" s="1215" t="s">
        <v>533</v>
      </c>
      <c r="U710" s="6" t="s">
        <v>549</v>
      </c>
      <c r="V710" s="6" t="s">
        <v>31</v>
      </c>
      <c r="W710" s="6" t="s">
        <v>673</v>
      </c>
      <c r="X710" s="6" t="s">
        <v>169</v>
      </c>
    </row>
    <row r="711" spans="1:24" ht="15" customHeight="1" x14ac:dyDescent="0.3">
      <c r="A711" s="6" t="s">
        <v>533</v>
      </c>
      <c r="B711" s="6" t="s">
        <v>534</v>
      </c>
      <c r="C711" s="6" t="s">
        <v>34</v>
      </c>
      <c r="D711" s="1088" t="s">
        <v>539</v>
      </c>
      <c r="E711" s="6" t="s">
        <v>188</v>
      </c>
      <c r="F711" s="6" t="s">
        <v>546</v>
      </c>
      <c r="G711" s="6" t="s">
        <v>2849</v>
      </c>
      <c r="H711" s="6" t="s">
        <v>1498</v>
      </c>
      <c r="J711" s="1215" t="s">
        <v>509</v>
      </c>
      <c r="K711" s="1219" t="s">
        <v>3033</v>
      </c>
      <c r="L711" s="8">
        <v>136</v>
      </c>
      <c r="M711" s="8">
        <v>656</v>
      </c>
      <c r="N711" s="1169" t="s">
        <v>271</v>
      </c>
      <c r="P711" s="6" t="s">
        <v>3324</v>
      </c>
      <c r="Q711" s="1215" t="s">
        <v>253</v>
      </c>
      <c r="R711" s="1215" t="s">
        <v>255</v>
      </c>
      <c r="S711" s="1215" t="s">
        <v>534</v>
      </c>
      <c r="T711" s="1215" t="s">
        <v>533</v>
      </c>
      <c r="U711" s="6" t="s">
        <v>539</v>
      </c>
      <c r="V711" s="6" t="s">
        <v>34</v>
      </c>
      <c r="W711" s="6" t="s">
        <v>546</v>
      </c>
      <c r="X711" s="6" t="s">
        <v>188</v>
      </c>
    </row>
    <row r="712" spans="1:24" ht="15" customHeight="1" x14ac:dyDescent="0.3">
      <c r="A712" s="6" t="s">
        <v>533</v>
      </c>
      <c r="B712" s="6" t="s">
        <v>534</v>
      </c>
      <c r="C712" s="6" t="s">
        <v>34</v>
      </c>
      <c r="D712" s="1088" t="s">
        <v>539</v>
      </c>
      <c r="E712" s="6" t="s">
        <v>188</v>
      </c>
      <c r="F712" s="6" t="s">
        <v>546</v>
      </c>
      <c r="G712" s="6" t="s">
        <v>2849</v>
      </c>
      <c r="H712" s="6" t="s">
        <v>1498</v>
      </c>
      <c r="J712" s="1215" t="s">
        <v>509</v>
      </c>
      <c r="K712" s="1219" t="s">
        <v>3110</v>
      </c>
      <c r="L712" s="8">
        <v>0</v>
      </c>
      <c r="M712" s="8">
        <v>20</v>
      </c>
      <c r="N712" s="1169" t="s">
        <v>271</v>
      </c>
      <c r="P712" s="6" t="s">
        <v>3324</v>
      </c>
      <c r="Q712" s="1215" t="s">
        <v>253</v>
      </c>
      <c r="R712" s="1215" t="s">
        <v>255</v>
      </c>
      <c r="S712" s="1215" t="s">
        <v>534</v>
      </c>
      <c r="T712" s="1215" t="s">
        <v>533</v>
      </c>
      <c r="U712" s="6" t="s">
        <v>539</v>
      </c>
      <c r="V712" s="6" t="s">
        <v>34</v>
      </c>
      <c r="W712" s="6" t="s">
        <v>546</v>
      </c>
      <c r="X712" s="6" t="s">
        <v>188</v>
      </c>
    </row>
    <row r="713" spans="1:24" ht="15" customHeight="1" x14ac:dyDescent="0.3">
      <c r="A713" s="6" t="s">
        <v>533</v>
      </c>
      <c r="B713" s="6" t="s">
        <v>534</v>
      </c>
      <c r="C713" s="6" t="s">
        <v>34</v>
      </c>
      <c r="D713" s="1088" t="s">
        <v>539</v>
      </c>
      <c r="E713" s="6" t="s">
        <v>188</v>
      </c>
      <c r="F713" s="6" t="s">
        <v>546</v>
      </c>
      <c r="G713" s="6" t="s">
        <v>2849</v>
      </c>
      <c r="H713" s="6" t="s">
        <v>1498</v>
      </c>
      <c r="J713" s="1215" t="s">
        <v>509</v>
      </c>
      <c r="K713" s="1219" t="s">
        <v>3111</v>
      </c>
      <c r="L713" s="8">
        <v>0</v>
      </c>
      <c r="M713" s="8">
        <v>4</v>
      </c>
      <c r="N713" s="1169" t="s">
        <v>271</v>
      </c>
      <c r="P713" s="6" t="s">
        <v>3324</v>
      </c>
      <c r="Q713" s="1215" t="s">
        <v>253</v>
      </c>
      <c r="R713" s="1215" t="s">
        <v>255</v>
      </c>
      <c r="S713" s="1215" t="s">
        <v>534</v>
      </c>
      <c r="T713" s="1215" t="s">
        <v>533</v>
      </c>
      <c r="U713" s="6" t="s">
        <v>539</v>
      </c>
      <c r="V713" s="6" t="s">
        <v>34</v>
      </c>
      <c r="W713" s="6" t="s">
        <v>546</v>
      </c>
      <c r="X713" s="6" t="s">
        <v>188</v>
      </c>
    </row>
    <row r="714" spans="1:24" ht="15" customHeight="1" x14ac:dyDescent="0.3">
      <c r="A714" s="6" t="s">
        <v>533</v>
      </c>
      <c r="B714" s="6" t="s">
        <v>534</v>
      </c>
      <c r="C714" s="6" t="s">
        <v>34</v>
      </c>
      <c r="D714" s="1088" t="s">
        <v>539</v>
      </c>
      <c r="E714" s="6" t="s">
        <v>188</v>
      </c>
      <c r="F714" s="6" t="s">
        <v>546</v>
      </c>
      <c r="G714" s="6" t="s">
        <v>1529</v>
      </c>
      <c r="H714" s="6" t="s">
        <v>1182</v>
      </c>
      <c r="J714" s="1215" t="s">
        <v>509</v>
      </c>
      <c r="K714" s="1219" t="s">
        <v>3033</v>
      </c>
      <c r="L714" s="8">
        <v>430</v>
      </c>
      <c r="M714" s="8">
        <v>1917</v>
      </c>
      <c r="N714" s="1169" t="s">
        <v>271</v>
      </c>
      <c r="P714" s="6" t="s">
        <v>3324</v>
      </c>
      <c r="Q714" s="1215" t="s">
        <v>253</v>
      </c>
      <c r="R714" s="1215" t="s">
        <v>255</v>
      </c>
      <c r="S714" s="1215" t="s">
        <v>534</v>
      </c>
      <c r="T714" s="1215" t="s">
        <v>533</v>
      </c>
      <c r="U714" s="6" t="s">
        <v>539</v>
      </c>
      <c r="V714" s="6" t="s">
        <v>34</v>
      </c>
      <c r="W714" s="6" t="s">
        <v>546</v>
      </c>
      <c r="X714" s="6" t="s">
        <v>188</v>
      </c>
    </row>
    <row r="715" spans="1:24" ht="15" customHeight="1" x14ac:dyDescent="0.3">
      <c r="A715" s="6" t="s">
        <v>533</v>
      </c>
      <c r="B715" s="6" t="s">
        <v>534</v>
      </c>
      <c r="C715" s="6" t="s">
        <v>34</v>
      </c>
      <c r="D715" s="1088" t="s">
        <v>539</v>
      </c>
      <c r="E715" s="6" t="s">
        <v>188</v>
      </c>
      <c r="F715" s="6" t="s">
        <v>546</v>
      </c>
      <c r="G715" s="6" t="s">
        <v>1529</v>
      </c>
      <c r="H715" s="6" t="s">
        <v>1182</v>
      </c>
      <c r="J715" s="1215" t="s">
        <v>509</v>
      </c>
      <c r="K715" s="1219" t="s">
        <v>3109</v>
      </c>
      <c r="L715" s="8">
        <v>100</v>
      </c>
      <c r="M715" s="8">
        <v>400</v>
      </c>
      <c r="N715" s="1169" t="s">
        <v>271</v>
      </c>
      <c r="P715" s="6" t="s">
        <v>3324</v>
      </c>
      <c r="Q715" s="1215" t="s">
        <v>253</v>
      </c>
      <c r="R715" s="1215" t="s">
        <v>255</v>
      </c>
      <c r="S715" s="1215" t="s">
        <v>534</v>
      </c>
      <c r="T715" s="1215" t="s">
        <v>533</v>
      </c>
      <c r="U715" s="6" t="s">
        <v>539</v>
      </c>
      <c r="V715" s="6" t="s">
        <v>34</v>
      </c>
      <c r="W715" s="6" t="s">
        <v>546</v>
      </c>
      <c r="X715" s="6" t="s">
        <v>188</v>
      </c>
    </row>
    <row r="716" spans="1:24" ht="15" customHeight="1" x14ac:dyDescent="0.3">
      <c r="A716" s="6" t="s">
        <v>533</v>
      </c>
      <c r="B716" s="6" t="s">
        <v>534</v>
      </c>
      <c r="C716" s="6" t="s">
        <v>34</v>
      </c>
      <c r="D716" s="1088" t="s">
        <v>539</v>
      </c>
      <c r="E716" s="6" t="s">
        <v>188</v>
      </c>
      <c r="F716" s="6" t="s">
        <v>546</v>
      </c>
      <c r="G716" s="6" t="s">
        <v>1529</v>
      </c>
      <c r="H716" s="6" t="s">
        <v>1182</v>
      </c>
      <c r="J716" s="1215" t="s">
        <v>509</v>
      </c>
      <c r="K716" s="1219" t="s">
        <v>3110</v>
      </c>
      <c r="L716" s="8">
        <v>9</v>
      </c>
      <c r="M716" s="8">
        <v>73</v>
      </c>
      <c r="N716" s="6" t="s">
        <v>271</v>
      </c>
      <c r="P716" s="6" t="s">
        <v>3324</v>
      </c>
      <c r="Q716" s="1215" t="s">
        <v>253</v>
      </c>
      <c r="R716" s="1215" t="s">
        <v>255</v>
      </c>
      <c r="S716" s="1215" t="s">
        <v>534</v>
      </c>
      <c r="T716" s="1215" t="s">
        <v>533</v>
      </c>
      <c r="U716" s="6" t="s">
        <v>539</v>
      </c>
      <c r="V716" s="6" t="s">
        <v>34</v>
      </c>
      <c r="W716" s="6" t="s">
        <v>546</v>
      </c>
      <c r="X716" s="6" t="s">
        <v>188</v>
      </c>
    </row>
    <row r="717" spans="1:24" ht="15" customHeight="1" x14ac:dyDescent="0.3">
      <c r="A717" s="6" t="s">
        <v>533</v>
      </c>
      <c r="B717" s="6" t="s">
        <v>534</v>
      </c>
      <c r="C717" s="6" t="s">
        <v>34</v>
      </c>
      <c r="D717" s="1088" t="s">
        <v>539</v>
      </c>
      <c r="E717" s="6" t="s">
        <v>188</v>
      </c>
      <c r="F717" s="6" t="s">
        <v>546</v>
      </c>
      <c r="G717" s="6" t="s">
        <v>1529</v>
      </c>
      <c r="H717" s="6" t="s">
        <v>1182</v>
      </c>
      <c r="J717" s="1215" t="s">
        <v>509</v>
      </c>
      <c r="K717" s="1219" t="s">
        <v>3111</v>
      </c>
      <c r="L717" s="8">
        <v>0</v>
      </c>
      <c r="M717" s="8">
        <v>45</v>
      </c>
      <c r="N717" s="6" t="s">
        <v>271</v>
      </c>
      <c r="P717" s="6" t="s">
        <v>3324</v>
      </c>
      <c r="Q717" s="1215" t="s">
        <v>253</v>
      </c>
      <c r="R717" s="1215" t="s">
        <v>255</v>
      </c>
      <c r="S717" s="1215" t="s">
        <v>534</v>
      </c>
      <c r="T717" s="1215" t="s">
        <v>533</v>
      </c>
      <c r="U717" s="6" t="s">
        <v>539</v>
      </c>
      <c r="V717" s="6" t="s">
        <v>34</v>
      </c>
      <c r="W717" s="6" t="s">
        <v>546</v>
      </c>
      <c r="X717" s="6" t="s">
        <v>188</v>
      </c>
    </row>
    <row r="718" spans="1:24" ht="15" customHeight="1" x14ac:dyDescent="0.3">
      <c r="A718" s="6" t="s">
        <v>533</v>
      </c>
      <c r="B718" s="6" t="s">
        <v>534</v>
      </c>
      <c r="C718" s="6" t="s">
        <v>34</v>
      </c>
      <c r="D718" s="1088" t="s">
        <v>539</v>
      </c>
      <c r="E718" s="1088" t="s">
        <v>188</v>
      </c>
      <c r="F718" s="6" t="s">
        <v>546</v>
      </c>
      <c r="G718" s="6" t="s">
        <v>1529</v>
      </c>
      <c r="H718" s="6" t="s">
        <v>1182</v>
      </c>
      <c r="J718" s="1215" t="s">
        <v>509</v>
      </c>
      <c r="K718" s="1219" t="s">
        <v>3112</v>
      </c>
      <c r="L718" s="8">
        <v>0</v>
      </c>
      <c r="M718" s="8">
        <v>30</v>
      </c>
      <c r="N718" s="1088" t="s">
        <v>271</v>
      </c>
      <c r="P718" s="6" t="s">
        <v>3324</v>
      </c>
      <c r="Q718" s="1215" t="s">
        <v>253</v>
      </c>
      <c r="R718" s="1215" t="s">
        <v>255</v>
      </c>
      <c r="S718" s="1215" t="s">
        <v>534</v>
      </c>
      <c r="T718" s="1215" t="s">
        <v>533</v>
      </c>
      <c r="U718" s="6" t="s">
        <v>539</v>
      </c>
      <c r="V718" s="6" t="s">
        <v>34</v>
      </c>
      <c r="W718" s="6" t="s">
        <v>546</v>
      </c>
      <c r="X718" s="6" t="s">
        <v>188</v>
      </c>
    </row>
    <row r="719" spans="1:24" ht="15" customHeight="1" x14ac:dyDescent="0.3">
      <c r="A719" s="6" t="s">
        <v>533</v>
      </c>
      <c r="B719" s="6" t="s">
        <v>534</v>
      </c>
      <c r="C719" s="6" t="s">
        <v>31</v>
      </c>
      <c r="D719" s="6" t="s">
        <v>549</v>
      </c>
      <c r="E719" s="1088" t="s">
        <v>2797</v>
      </c>
      <c r="F719" s="6" t="s">
        <v>767</v>
      </c>
      <c r="G719" s="6" t="s">
        <v>770</v>
      </c>
      <c r="H719" s="6" t="s">
        <v>771</v>
      </c>
      <c r="J719" s="1215" t="s">
        <v>509</v>
      </c>
      <c r="K719" s="1219" t="s">
        <v>3033</v>
      </c>
      <c r="L719" s="8">
        <v>16</v>
      </c>
      <c r="M719" s="8">
        <v>119</v>
      </c>
      <c r="N719" s="1169" t="s">
        <v>271</v>
      </c>
      <c r="P719" s="6" t="s">
        <v>3324</v>
      </c>
      <c r="Q719" s="1215" t="s">
        <v>253</v>
      </c>
      <c r="R719" s="1215" t="s">
        <v>255</v>
      </c>
      <c r="S719" s="1215" t="s">
        <v>534</v>
      </c>
      <c r="T719" s="1215" t="s">
        <v>533</v>
      </c>
      <c r="U719" s="6" t="s">
        <v>549</v>
      </c>
      <c r="V719" s="6" t="s">
        <v>31</v>
      </c>
      <c r="W719" s="6" t="s">
        <v>767</v>
      </c>
      <c r="X719" s="6" t="s">
        <v>2797</v>
      </c>
    </row>
    <row r="720" spans="1:24" ht="15" customHeight="1" x14ac:dyDescent="0.3">
      <c r="A720" s="6" t="s">
        <v>533</v>
      </c>
      <c r="B720" s="6" t="s">
        <v>534</v>
      </c>
      <c r="C720" s="6" t="s">
        <v>31</v>
      </c>
      <c r="D720" s="1088" t="s">
        <v>549</v>
      </c>
      <c r="E720" s="6" t="s">
        <v>2797</v>
      </c>
      <c r="F720" s="6" t="s">
        <v>767</v>
      </c>
      <c r="G720" s="6" t="s">
        <v>770</v>
      </c>
      <c r="H720" s="6" t="s">
        <v>771</v>
      </c>
      <c r="J720" s="1215" t="s">
        <v>509</v>
      </c>
      <c r="K720" s="1219" t="s">
        <v>3111</v>
      </c>
      <c r="L720" s="8">
        <v>5</v>
      </c>
      <c r="M720" s="8">
        <v>40</v>
      </c>
      <c r="N720" s="1169" t="s">
        <v>271</v>
      </c>
      <c r="P720" s="6" t="s">
        <v>3324</v>
      </c>
      <c r="Q720" s="1215" t="s">
        <v>253</v>
      </c>
      <c r="R720" s="1215" t="s">
        <v>255</v>
      </c>
      <c r="S720" s="1215" t="s">
        <v>534</v>
      </c>
      <c r="T720" s="1215" t="s">
        <v>533</v>
      </c>
      <c r="U720" s="6" t="s">
        <v>549</v>
      </c>
      <c r="V720" s="6" t="s">
        <v>31</v>
      </c>
      <c r="W720" s="6" t="s">
        <v>767</v>
      </c>
      <c r="X720" s="6" t="s">
        <v>2797</v>
      </c>
    </row>
    <row r="721" spans="1:24" ht="15" customHeight="1" x14ac:dyDescent="0.3">
      <c r="A721" s="6" t="s">
        <v>533</v>
      </c>
      <c r="B721" s="6" t="s">
        <v>534</v>
      </c>
      <c r="C721" s="6" t="s">
        <v>31</v>
      </c>
      <c r="D721" s="1088" t="s">
        <v>549</v>
      </c>
      <c r="E721" s="6" t="s">
        <v>2797</v>
      </c>
      <c r="F721" s="6" t="s">
        <v>767</v>
      </c>
      <c r="G721" s="6" t="s">
        <v>770</v>
      </c>
      <c r="H721" s="6" t="s">
        <v>771</v>
      </c>
      <c r="J721" s="1215" t="s">
        <v>509</v>
      </c>
      <c r="K721" s="1219" t="s">
        <v>3112</v>
      </c>
      <c r="L721" s="8">
        <v>10</v>
      </c>
      <c r="M721" s="8">
        <v>100</v>
      </c>
      <c r="N721" s="1169" t="s">
        <v>271</v>
      </c>
      <c r="P721" s="6" t="s">
        <v>3324</v>
      </c>
      <c r="Q721" s="1215" t="s">
        <v>253</v>
      </c>
      <c r="R721" s="1215" t="s">
        <v>255</v>
      </c>
      <c r="S721" s="1215" t="s">
        <v>534</v>
      </c>
      <c r="T721" s="1215" t="s">
        <v>533</v>
      </c>
      <c r="U721" s="6" t="s">
        <v>549</v>
      </c>
      <c r="V721" s="6" t="s">
        <v>31</v>
      </c>
      <c r="W721" s="6" t="s">
        <v>767</v>
      </c>
      <c r="X721" s="6" t="s">
        <v>2797</v>
      </c>
    </row>
    <row r="722" spans="1:24" ht="15" customHeight="1" x14ac:dyDescent="0.3">
      <c r="A722" s="6" t="s">
        <v>533</v>
      </c>
      <c r="B722" s="6" t="s">
        <v>534</v>
      </c>
      <c r="C722" s="6" t="s">
        <v>31</v>
      </c>
      <c r="D722" s="1088" t="s">
        <v>549</v>
      </c>
      <c r="E722" s="6" t="s">
        <v>171</v>
      </c>
      <c r="F722" s="6" t="s">
        <v>634</v>
      </c>
      <c r="G722" s="6" t="s">
        <v>1982</v>
      </c>
      <c r="H722" s="6" t="s">
        <v>841</v>
      </c>
      <c r="J722" s="1215" t="s">
        <v>509</v>
      </c>
      <c r="K722" s="1219" t="s">
        <v>3033</v>
      </c>
      <c r="L722" s="8">
        <v>27</v>
      </c>
      <c r="M722" s="8">
        <v>208</v>
      </c>
      <c r="N722" s="1169" t="s">
        <v>271</v>
      </c>
      <c r="P722" s="6" t="s">
        <v>3323</v>
      </c>
      <c r="Q722" s="1215" t="s">
        <v>253</v>
      </c>
      <c r="R722" s="1215" t="s">
        <v>255</v>
      </c>
      <c r="S722" s="1215" t="s">
        <v>534</v>
      </c>
      <c r="T722" s="1215" t="s">
        <v>533</v>
      </c>
      <c r="U722" s="6" t="s">
        <v>549</v>
      </c>
      <c r="V722" s="6" t="s">
        <v>31</v>
      </c>
      <c r="W722" s="6" t="s">
        <v>844</v>
      </c>
      <c r="X722" s="6" t="s">
        <v>166</v>
      </c>
    </row>
    <row r="723" spans="1:24" ht="15" customHeight="1" x14ac:dyDescent="0.3">
      <c r="A723" s="6" t="s">
        <v>533</v>
      </c>
      <c r="B723" s="6" t="s">
        <v>534</v>
      </c>
      <c r="C723" s="6" t="s">
        <v>31</v>
      </c>
      <c r="D723" s="1088" t="s">
        <v>549</v>
      </c>
      <c r="E723" s="6" t="s">
        <v>171</v>
      </c>
      <c r="F723" s="6" t="s">
        <v>634</v>
      </c>
      <c r="G723" s="6" t="s">
        <v>2063</v>
      </c>
      <c r="H723" s="6" t="s">
        <v>937</v>
      </c>
      <c r="J723" s="1215" t="s">
        <v>509</v>
      </c>
      <c r="K723" s="1219" t="s">
        <v>3033</v>
      </c>
      <c r="L723" s="8">
        <v>4</v>
      </c>
      <c r="M723" s="8">
        <v>20</v>
      </c>
      <c r="N723" s="1169" t="s">
        <v>271</v>
      </c>
      <c r="P723" s="6" t="s">
        <v>3323</v>
      </c>
      <c r="Q723" s="1215" t="s">
        <v>253</v>
      </c>
      <c r="R723" s="1215" t="s">
        <v>255</v>
      </c>
      <c r="S723" s="1215" t="s">
        <v>534</v>
      </c>
      <c r="T723" s="1215" t="s">
        <v>533</v>
      </c>
      <c r="U723" s="6" t="s">
        <v>549</v>
      </c>
      <c r="V723" s="6" t="s">
        <v>31</v>
      </c>
      <c r="W723" s="6" t="s">
        <v>844</v>
      </c>
      <c r="X723" s="6" t="s">
        <v>166</v>
      </c>
    </row>
    <row r="724" spans="1:24" ht="15" customHeight="1" x14ac:dyDescent="0.3">
      <c r="A724" s="6" t="s">
        <v>533</v>
      </c>
      <c r="B724" s="6" t="s">
        <v>534</v>
      </c>
      <c r="C724" s="6" t="s">
        <v>31</v>
      </c>
      <c r="D724" s="1088" t="s">
        <v>549</v>
      </c>
      <c r="E724" s="6" t="s">
        <v>171</v>
      </c>
      <c r="F724" s="6" t="s">
        <v>634</v>
      </c>
      <c r="G724" s="6" t="s">
        <v>1745</v>
      </c>
      <c r="H724" s="6" t="s">
        <v>933</v>
      </c>
      <c r="J724" s="1215" t="s">
        <v>509</v>
      </c>
      <c r="K724" s="1219" t="s">
        <v>3033</v>
      </c>
      <c r="L724" s="8">
        <v>4</v>
      </c>
      <c r="M724" s="8">
        <v>15</v>
      </c>
      <c r="N724" s="1169" t="s">
        <v>271</v>
      </c>
      <c r="P724" s="6" t="s">
        <v>3323</v>
      </c>
      <c r="Q724" s="1215" t="s">
        <v>253</v>
      </c>
      <c r="R724" s="1215" t="s">
        <v>255</v>
      </c>
      <c r="S724" s="1215" t="s">
        <v>534</v>
      </c>
      <c r="T724" s="1215" t="s">
        <v>533</v>
      </c>
      <c r="U724" s="6" t="s">
        <v>549</v>
      </c>
      <c r="V724" s="6" t="s">
        <v>31</v>
      </c>
      <c r="W724" s="6" t="s">
        <v>844</v>
      </c>
      <c r="X724" s="6" t="s">
        <v>166</v>
      </c>
    </row>
    <row r="725" spans="1:24" ht="15" customHeight="1" x14ac:dyDescent="0.3">
      <c r="A725" s="6" t="s">
        <v>533</v>
      </c>
      <c r="B725" s="6" t="s">
        <v>534</v>
      </c>
      <c r="C725" s="6" t="s">
        <v>31</v>
      </c>
      <c r="D725" s="1088" t="s">
        <v>549</v>
      </c>
      <c r="E725" s="6" t="s">
        <v>171</v>
      </c>
      <c r="F725" s="6" t="s">
        <v>634</v>
      </c>
      <c r="G725" s="6" t="s">
        <v>2823</v>
      </c>
      <c r="H725" s="6" t="s">
        <v>1277</v>
      </c>
      <c r="J725" s="1215" t="s">
        <v>509</v>
      </c>
      <c r="K725" s="1219" t="s">
        <v>3033</v>
      </c>
      <c r="L725" s="8">
        <v>7</v>
      </c>
      <c r="M725" s="8">
        <v>20</v>
      </c>
      <c r="N725" s="1169" t="s">
        <v>271</v>
      </c>
      <c r="P725" s="6" t="s">
        <v>3323</v>
      </c>
      <c r="Q725" s="1215" t="s">
        <v>253</v>
      </c>
      <c r="R725" s="1215" t="s">
        <v>255</v>
      </c>
      <c r="S725" s="1215" t="s">
        <v>534</v>
      </c>
      <c r="T725" s="1215" t="s">
        <v>533</v>
      </c>
      <c r="U725" s="6" t="s">
        <v>549</v>
      </c>
      <c r="V725" s="6" t="s">
        <v>31</v>
      </c>
      <c r="W725" s="6" t="s">
        <v>844</v>
      </c>
      <c r="X725" s="6" t="s">
        <v>166</v>
      </c>
    </row>
    <row r="726" spans="1:24" ht="15" customHeight="1" x14ac:dyDescent="0.3">
      <c r="A726" s="6" t="s">
        <v>533</v>
      </c>
      <c r="B726" s="6" t="s">
        <v>534</v>
      </c>
      <c r="C726" s="6" t="s">
        <v>31</v>
      </c>
      <c r="D726" s="1088" t="s">
        <v>549</v>
      </c>
      <c r="E726" s="6" t="s">
        <v>165</v>
      </c>
      <c r="F726" s="6" t="s">
        <v>881</v>
      </c>
      <c r="G726" s="6" t="s">
        <v>2026</v>
      </c>
      <c r="H726" s="6" t="s">
        <v>1294</v>
      </c>
      <c r="J726" s="1215" t="s">
        <v>509</v>
      </c>
      <c r="K726" s="1219" t="s">
        <v>3110</v>
      </c>
      <c r="L726" s="8">
        <v>33</v>
      </c>
      <c r="M726" s="8">
        <v>134</v>
      </c>
      <c r="N726" s="1169" t="s">
        <v>271</v>
      </c>
      <c r="P726" s="6" t="s">
        <v>3324</v>
      </c>
      <c r="Q726" s="1215" t="s">
        <v>253</v>
      </c>
      <c r="R726" s="1215" t="s">
        <v>255</v>
      </c>
      <c r="S726" s="1215" t="s">
        <v>534</v>
      </c>
      <c r="T726" s="1215" t="s">
        <v>533</v>
      </c>
      <c r="U726" s="6" t="s">
        <v>549</v>
      </c>
      <c r="V726" s="6" t="s">
        <v>31</v>
      </c>
      <c r="W726" s="6" t="s">
        <v>881</v>
      </c>
      <c r="X726" s="6" t="s">
        <v>165</v>
      </c>
    </row>
    <row r="727" spans="1:24" ht="15" customHeight="1" x14ac:dyDescent="0.3">
      <c r="A727" s="6" t="s">
        <v>533</v>
      </c>
      <c r="B727" s="6" t="s">
        <v>534</v>
      </c>
      <c r="C727" s="6" t="s">
        <v>31</v>
      </c>
      <c r="D727" s="1088" t="s">
        <v>549</v>
      </c>
      <c r="E727" s="6" t="s">
        <v>165</v>
      </c>
      <c r="F727" s="6" t="s">
        <v>881</v>
      </c>
      <c r="G727" s="6" t="s">
        <v>2026</v>
      </c>
      <c r="H727" s="6" t="s">
        <v>1294</v>
      </c>
      <c r="J727" s="1215" t="s">
        <v>509</v>
      </c>
      <c r="K727" s="1219" t="s">
        <v>3112</v>
      </c>
      <c r="L727" s="8">
        <v>710</v>
      </c>
      <c r="M727" s="8">
        <v>3365</v>
      </c>
      <c r="N727" s="1169" t="s">
        <v>271</v>
      </c>
      <c r="P727" s="6" t="s">
        <v>3324</v>
      </c>
      <c r="Q727" s="1215" t="s">
        <v>253</v>
      </c>
      <c r="R727" s="1215" t="s">
        <v>255</v>
      </c>
      <c r="S727" s="1215" t="s">
        <v>534</v>
      </c>
      <c r="T727" s="1215" t="s">
        <v>533</v>
      </c>
      <c r="U727" s="6" t="s">
        <v>549</v>
      </c>
      <c r="V727" s="6" t="s">
        <v>31</v>
      </c>
      <c r="W727" s="6" t="s">
        <v>881</v>
      </c>
      <c r="X727" s="6" t="s">
        <v>165</v>
      </c>
    </row>
    <row r="728" spans="1:24" ht="15" customHeight="1" x14ac:dyDescent="0.3">
      <c r="A728" s="6" t="s">
        <v>533</v>
      </c>
      <c r="B728" s="6" t="s">
        <v>534</v>
      </c>
      <c r="C728" s="6" t="s">
        <v>31</v>
      </c>
      <c r="D728" s="1088" t="s">
        <v>549</v>
      </c>
      <c r="E728" s="6" t="s">
        <v>165</v>
      </c>
      <c r="F728" s="6" t="s">
        <v>881</v>
      </c>
      <c r="G728" s="6" t="s">
        <v>1846</v>
      </c>
      <c r="H728" s="6" t="s">
        <v>3263</v>
      </c>
      <c r="J728" s="1215" t="s">
        <v>509</v>
      </c>
      <c r="K728" s="1219" t="s">
        <v>3112</v>
      </c>
      <c r="L728" s="8">
        <v>50</v>
      </c>
      <c r="M728" s="8">
        <v>270</v>
      </c>
      <c r="N728" s="1169" t="s">
        <v>271</v>
      </c>
      <c r="P728" s="6" t="s">
        <v>3324</v>
      </c>
      <c r="Q728" s="1215" t="s">
        <v>253</v>
      </c>
      <c r="R728" s="1215" t="s">
        <v>255</v>
      </c>
      <c r="S728" s="1215" t="s">
        <v>534</v>
      </c>
      <c r="T728" s="1215" t="s">
        <v>533</v>
      </c>
      <c r="U728" s="6" t="s">
        <v>549</v>
      </c>
      <c r="V728" s="6" t="s">
        <v>31</v>
      </c>
      <c r="W728" s="6" t="s">
        <v>881</v>
      </c>
      <c r="X728" s="6" t="s">
        <v>165</v>
      </c>
    </row>
    <row r="729" spans="1:24" ht="15" customHeight="1" x14ac:dyDescent="0.3">
      <c r="A729" s="6" t="s">
        <v>533</v>
      </c>
      <c r="B729" s="6" t="s">
        <v>534</v>
      </c>
      <c r="C729" s="6" t="s">
        <v>31</v>
      </c>
      <c r="D729" s="1088" t="s">
        <v>549</v>
      </c>
      <c r="E729" s="6" t="s">
        <v>165</v>
      </c>
      <c r="F729" s="6" t="s">
        <v>881</v>
      </c>
      <c r="G729" s="6" t="s">
        <v>1850</v>
      </c>
      <c r="H729" s="6" t="s">
        <v>2027</v>
      </c>
      <c r="J729" s="1215" t="s">
        <v>509</v>
      </c>
      <c r="K729" s="1219" t="s">
        <v>3112</v>
      </c>
      <c r="L729" s="8">
        <v>70</v>
      </c>
      <c r="M729" s="8">
        <v>350</v>
      </c>
      <c r="N729" s="1169" t="s">
        <v>271</v>
      </c>
      <c r="P729" s="6" t="s">
        <v>3324</v>
      </c>
      <c r="Q729" s="1215" t="s">
        <v>253</v>
      </c>
      <c r="R729" s="1215" t="s">
        <v>255</v>
      </c>
      <c r="S729" s="1215" t="s">
        <v>534</v>
      </c>
      <c r="T729" s="1215" t="s">
        <v>533</v>
      </c>
      <c r="U729" s="6" t="s">
        <v>549</v>
      </c>
      <c r="V729" s="6" t="s">
        <v>31</v>
      </c>
      <c r="W729" s="6" t="s">
        <v>881</v>
      </c>
      <c r="X729" s="6" t="s">
        <v>165</v>
      </c>
    </row>
    <row r="730" spans="1:24" ht="15" customHeight="1" x14ac:dyDescent="0.3">
      <c r="A730" s="6" t="s">
        <v>533</v>
      </c>
      <c r="B730" s="6" t="s">
        <v>534</v>
      </c>
      <c r="C730" s="6" t="s">
        <v>31</v>
      </c>
      <c r="D730" s="1088" t="s">
        <v>549</v>
      </c>
      <c r="E730" s="1088" t="s">
        <v>165</v>
      </c>
      <c r="F730" s="6" t="s">
        <v>881</v>
      </c>
      <c r="G730" s="6" t="s">
        <v>2032</v>
      </c>
      <c r="H730" s="6" t="s">
        <v>2033</v>
      </c>
      <c r="J730" s="1215" t="s">
        <v>509</v>
      </c>
      <c r="K730" s="1219" t="s">
        <v>3033</v>
      </c>
      <c r="L730" s="8">
        <v>80</v>
      </c>
      <c r="M730" s="8">
        <v>572</v>
      </c>
      <c r="N730" s="1169" t="s">
        <v>271</v>
      </c>
      <c r="P730" s="6" t="s">
        <v>3323</v>
      </c>
      <c r="Q730" s="1215" t="s">
        <v>253</v>
      </c>
      <c r="R730" s="1215" t="s">
        <v>255</v>
      </c>
      <c r="S730" s="1215" t="s">
        <v>534</v>
      </c>
      <c r="T730" s="1215" t="s">
        <v>533</v>
      </c>
      <c r="U730" s="6" t="s">
        <v>549</v>
      </c>
      <c r="V730" s="6" t="s">
        <v>31</v>
      </c>
      <c r="X730" s="6" t="s">
        <v>2797</v>
      </c>
    </row>
    <row r="731" spans="1:24" ht="15" customHeight="1" x14ac:dyDescent="0.3">
      <c r="A731" s="6" t="s">
        <v>533</v>
      </c>
      <c r="B731" s="6" t="s">
        <v>534</v>
      </c>
      <c r="C731" s="6" t="s">
        <v>35</v>
      </c>
      <c r="D731" s="1088" t="s">
        <v>567</v>
      </c>
      <c r="E731" s="6" t="s">
        <v>195</v>
      </c>
      <c r="F731" s="6" t="s">
        <v>733</v>
      </c>
      <c r="G731" s="6" t="s">
        <v>2140</v>
      </c>
      <c r="H731" s="6" t="s">
        <v>2141</v>
      </c>
      <c r="J731" s="1215" t="s">
        <v>509</v>
      </c>
      <c r="K731" s="1219" t="s">
        <v>3033</v>
      </c>
      <c r="L731" s="8">
        <v>46</v>
      </c>
      <c r="M731" s="8">
        <v>176</v>
      </c>
      <c r="N731" s="1169" t="s">
        <v>271</v>
      </c>
      <c r="P731" s="6" t="s">
        <v>3324</v>
      </c>
      <c r="Q731" s="1215" t="s">
        <v>253</v>
      </c>
      <c r="R731" s="1215" t="s">
        <v>255</v>
      </c>
      <c r="S731" s="1215" t="s">
        <v>534</v>
      </c>
      <c r="T731" s="1215" t="s">
        <v>533</v>
      </c>
      <c r="U731" s="6" t="s">
        <v>567</v>
      </c>
      <c r="V731" s="6" t="s">
        <v>35</v>
      </c>
      <c r="W731" s="6" t="s">
        <v>733</v>
      </c>
      <c r="X731" s="6" t="s">
        <v>195</v>
      </c>
    </row>
    <row r="732" spans="1:24" ht="15" customHeight="1" x14ac:dyDescent="0.3">
      <c r="A732" s="6" t="s">
        <v>533</v>
      </c>
      <c r="B732" s="6" t="s">
        <v>534</v>
      </c>
      <c r="C732" s="6" t="s">
        <v>35</v>
      </c>
      <c r="D732" s="1088" t="s">
        <v>567</v>
      </c>
      <c r="E732" s="6" t="s">
        <v>195</v>
      </c>
      <c r="F732" s="6" t="s">
        <v>733</v>
      </c>
      <c r="G732" s="6" t="s">
        <v>2140</v>
      </c>
      <c r="H732" s="6" t="s">
        <v>2141</v>
      </c>
      <c r="J732" s="1215" t="s">
        <v>509</v>
      </c>
      <c r="K732" s="1219" t="s">
        <v>3109</v>
      </c>
      <c r="L732" s="8">
        <v>15</v>
      </c>
      <c r="M732" s="8">
        <v>112</v>
      </c>
      <c r="N732" s="1169" t="s">
        <v>271</v>
      </c>
      <c r="P732" s="6" t="s">
        <v>3324</v>
      </c>
      <c r="Q732" s="1215" t="s">
        <v>253</v>
      </c>
      <c r="R732" s="1215" t="s">
        <v>255</v>
      </c>
      <c r="S732" s="1215" t="s">
        <v>534</v>
      </c>
      <c r="T732" s="1215" t="s">
        <v>533</v>
      </c>
      <c r="U732" s="6" t="s">
        <v>567</v>
      </c>
      <c r="V732" s="6" t="s">
        <v>35</v>
      </c>
      <c r="W732" s="6" t="s">
        <v>733</v>
      </c>
      <c r="X732" s="6" t="s">
        <v>195</v>
      </c>
    </row>
    <row r="733" spans="1:24" ht="15" customHeight="1" x14ac:dyDescent="0.3">
      <c r="A733" s="6" t="s">
        <v>533</v>
      </c>
      <c r="B733" s="6" t="s">
        <v>534</v>
      </c>
      <c r="C733" s="6" t="s">
        <v>35</v>
      </c>
      <c r="D733" s="1088" t="s">
        <v>567</v>
      </c>
      <c r="E733" s="6" t="s">
        <v>195</v>
      </c>
      <c r="F733" s="6" t="s">
        <v>733</v>
      </c>
      <c r="G733" s="6" t="s">
        <v>2140</v>
      </c>
      <c r="H733" s="6" t="s">
        <v>2141</v>
      </c>
      <c r="J733" s="1215" t="s">
        <v>509</v>
      </c>
      <c r="K733" s="1219" t="s">
        <v>3110</v>
      </c>
      <c r="L733" s="8">
        <v>3</v>
      </c>
      <c r="M733" s="8">
        <v>21</v>
      </c>
      <c r="N733" s="1169" t="s">
        <v>271</v>
      </c>
      <c r="P733" s="6" t="s">
        <v>3324</v>
      </c>
      <c r="Q733" s="1215" t="s">
        <v>253</v>
      </c>
      <c r="R733" s="1215" t="s">
        <v>255</v>
      </c>
      <c r="S733" s="1215" t="s">
        <v>534</v>
      </c>
      <c r="T733" s="1215" t="s">
        <v>533</v>
      </c>
      <c r="U733" s="6" t="s">
        <v>567</v>
      </c>
      <c r="V733" s="6" t="s">
        <v>35</v>
      </c>
      <c r="W733" s="6" t="s">
        <v>733</v>
      </c>
      <c r="X733" s="6" t="s">
        <v>195</v>
      </c>
    </row>
    <row r="734" spans="1:24" ht="15" customHeight="1" x14ac:dyDescent="0.3">
      <c r="A734" s="6" t="s">
        <v>533</v>
      </c>
      <c r="B734" s="6" t="s">
        <v>534</v>
      </c>
      <c r="C734" s="6" t="s">
        <v>35</v>
      </c>
      <c r="D734" s="1088" t="s">
        <v>567</v>
      </c>
      <c r="E734" s="6" t="s">
        <v>195</v>
      </c>
      <c r="F734" s="6" t="s">
        <v>733</v>
      </c>
      <c r="G734" s="6" t="s">
        <v>2140</v>
      </c>
      <c r="H734" s="6" t="s">
        <v>2141</v>
      </c>
      <c r="J734" s="1215" t="s">
        <v>509</v>
      </c>
      <c r="K734" s="1219" t="s">
        <v>3111</v>
      </c>
      <c r="L734" s="8">
        <v>1</v>
      </c>
      <c r="M734" s="8">
        <v>3</v>
      </c>
      <c r="N734" s="1169" t="s">
        <v>271</v>
      </c>
      <c r="P734" s="6" t="s">
        <v>3324</v>
      </c>
      <c r="Q734" s="1215" t="s">
        <v>253</v>
      </c>
      <c r="R734" s="1215" t="s">
        <v>255</v>
      </c>
      <c r="S734" s="1215" t="s">
        <v>534</v>
      </c>
      <c r="T734" s="1215" t="s">
        <v>533</v>
      </c>
      <c r="U734" s="6" t="s">
        <v>567</v>
      </c>
      <c r="V734" s="6" t="s">
        <v>35</v>
      </c>
      <c r="W734" s="6" t="s">
        <v>733</v>
      </c>
      <c r="X734" s="6" t="s">
        <v>195</v>
      </c>
    </row>
    <row r="735" spans="1:24" ht="15" customHeight="1" x14ac:dyDescent="0.3">
      <c r="A735" s="6" t="s">
        <v>533</v>
      </c>
      <c r="B735" s="6" t="s">
        <v>534</v>
      </c>
      <c r="C735" s="6" t="s">
        <v>35</v>
      </c>
      <c r="D735" s="1088" t="s">
        <v>567</v>
      </c>
      <c r="E735" s="6" t="s">
        <v>195</v>
      </c>
      <c r="F735" s="6" t="s">
        <v>733</v>
      </c>
      <c r="G735" s="6" t="s">
        <v>2140</v>
      </c>
      <c r="H735" s="6" t="s">
        <v>2141</v>
      </c>
      <c r="J735" s="1215" t="s">
        <v>509</v>
      </c>
      <c r="K735" s="1219" t="s">
        <v>3112</v>
      </c>
      <c r="L735" s="8">
        <v>2</v>
      </c>
      <c r="M735" s="8">
        <v>6</v>
      </c>
      <c r="N735" s="1169" t="s">
        <v>271</v>
      </c>
      <c r="P735" s="6" t="s">
        <v>3324</v>
      </c>
      <c r="Q735" s="1215" t="s">
        <v>253</v>
      </c>
      <c r="R735" s="1215" t="s">
        <v>255</v>
      </c>
      <c r="S735" s="1215" t="s">
        <v>534</v>
      </c>
      <c r="T735" s="1215" t="s">
        <v>533</v>
      </c>
      <c r="U735" s="6" t="s">
        <v>567</v>
      </c>
      <c r="V735" s="6" t="s">
        <v>35</v>
      </c>
      <c r="W735" s="6" t="s">
        <v>733</v>
      </c>
      <c r="X735" s="6" t="s">
        <v>195</v>
      </c>
    </row>
    <row r="736" spans="1:24" ht="15" customHeight="1" x14ac:dyDescent="0.3">
      <c r="A736" s="6" t="s">
        <v>533</v>
      </c>
      <c r="B736" s="6" t="s">
        <v>534</v>
      </c>
      <c r="C736" s="6" t="s">
        <v>35</v>
      </c>
      <c r="D736" s="1088" t="s">
        <v>567</v>
      </c>
      <c r="E736" s="6" t="s">
        <v>195</v>
      </c>
      <c r="F736" s="6" t="s">
        <v>733</v>
      </c>
      <c r="G736" s="6" t="s">
        <v>2364</v>
      </c>
      <c r="H736" s="6" t="s">
        <v>2365</v>
      </c>
      <c r="J736" s="1215" t="s">
        <v>509</v>
      </c>
      <c r="K736" s="1219" t="s">
        <v>3111</v>
      </c>
      <c r="L736" s="8">
        <v>2</v>
      </c>
      <c r="M736" s="8">
        <v>14</v>
      </c>
      <c r="N736" s="1169" t="s">
        <v>271</v>
      </c>
      <c r="P736" s="6" t="s">
        <v>3324</v>
      </c>
      <c r="Q736" s="1215" t="s">
        <v>253</v>
      </c>
      <c r="R736" s="1215" t="s">
        <v>255</v>
      </c>
      <c r="S736" s="1215" t="s">
        <v>534</v>
      </c>
      <c r="T736" s="1215" t="s">
        <v>533</v>
      </c>
      <c r="U736" s="6" t="s">
        <v>567</v>
      </c>
      <c r="V736" s="6" t="s">
        <v>35</v>
      </c>
      <c r="W736" s="6" t="s">
        <v>733</v>
      </c>
      <c r="X736" s="6" t="s">
        <v>195</v>
      </c>
    </row>
    <row r="737" spans="1:24" ht="15" customHeight="1" x14ac:dyDescent="0.3">
      <c r="A737" s="6" t="s">
        <v>533</v>
      </c>
      <c r="B737" s="6" t="s">
        <v>534</v>
      </c>
      <c r="C737" s="6" t="s">
        <v>35</v>
      </c>
      <c r="D737" s="1088" t="s">
        <v>567</v>
      </c>
      <c r="E737" s="6" t="s">
        <v>195</v>
      </c>
      <c r="F737" s="6" t="s">
        <v>733</v>
      </c>
      <c r="G737" s="6" t="s">
        <v>2364</v>
      </c>
      <c r="H737" s="6" t="s">
        <v>2365</v>
      </c>
      <c r="J737" s="1215" t="s">
        <v>509</v>
      </c>
      <c r="K737" s="1219" t="s">
        <v>3112</v>
      </c>
      <c r="L737" s="8">
        <v>1</v>
      </c>
      <c r="M737" s="8">
        <v>3</v>
      </c>
      <c r="N737" s="1169" t="s">
        <v>271</v>
      </c>
      <c r="P737" s="6" t="s">
        <v>3324</v>
      </c>
      <c r="Q737" s="1215" t="s">
        <v>253</v>
      </c>
      <c r="R737" s="1215" t="s">
        <v>255</v>
      </c>
      <c r="S737" s="1215" t="s">
        <v>534</v>
      </c>
      <c r="T737" s="1215" t="s">
        <v>533</v>
      </c>
      <c r="U737" s="6" t="s">
        <v>567</v>
      </c>
      <c r="V737" s="6" t="s">
        <v>35</v>
      </c>
      <c r="W737" s="6" t="s">
        <v>733</v>
      </c>
      <c r="X737" s="6" t="s">
        <v>195</v>
      </c>
    </row>
    <row r="738" spans="1:24" ht="15" customHeight="1" x14ac:dyDescent="0.3">
      <c r="A738" s="6" t="s">
        <v>533</v>
      </c>
      <c r="B738" s="6" t="s">
        <v>534</v>
      </c>
      <c r="C738" s="6" t="s">
        <v>35</v>
      </c>
      <c r="D738" s="1088" t="s">
        <v>567</v>
      </c>
      <c r="E738" s="6" t="s">
        <v>191</v>
      </c>
      <c r="F738" s="6" t="s">
        <v>659</v>
      </c>
      <c r="G738" s="6" t="s">
        <v>1814</v>
      </c>
      <c r="H738" s="6" t="s">
        <v>1815</v>
      </c>
      <c r="J738" s="1215" t="s">
        <v>509</v>
      </c>
      <c r="K738" s="1219" t="s">
        <v>3033</v>
      </c>
      <c r="L738" s="8">
        <v>2</v>
      </c>
      <c r="M738" s="8">
        <v>16</v>
      </c>
      <c r="N738" s="1169" t="s">
        <v>271</v>
      </c>
      <c r="P738" s="6" t="s">
        <v>3323</v>
      </c>
      <c r="Q738" s="1215" t="s">
        <v>253</v>
      </c>
      <c r="R738" s="1215" t="s">
        <v>255</v>
      </c>
      <c r="S738" s="1215" t="s">
        <v>534</v>
      </c>
      <c r="T738" s="1215" t="s">
        <v>533</v>
      </c>
      <c r="U738" s="6" t="s">
        <v>567</v>
      </c>
      <c r="V738" s="6" t="s">
        <v>35</v>
      </c>
      <c r="W738" s="6" t="s">
        <v>863</v>
      </c>
      <c r="X738" s="6" t="s">
        <v>193</v>
      </c>
    </row>
    <row r="739" spans="1:24" ht="15" customHeight="1" x14ac:dyDescent="0.3">
      <c r="A739" s="6" t="s">
        <v>533</v>
      </c>
      <c r="B739" s="6" t="s">
        <v>534</v>
      </c>
      <c r="C739" s="6" t="s">
        <v>35</v>
      </c>
      <c r="D739" s="1088" t="s">
        <v>567</v>
      </c>
      <c r="E739" s="6" t="s">
        <v>191</v>
      </c>
      <c r="F739" s="6" t="s">
        <v>659</v>
      </c>
      <c r="G739" s="6" t="s">
        <v>1814</v>
      </c>
      <c r="H739" s="6" t="s">
        <v>1815</v>
      </c>
      <c r="J739" s="1215" t="s">
        <v>509</v>
      </c>
      <c r="K739" s="1219" t="s">
        <v>3110</v>
      </c>
      <c r="L739" s="8">
        <v>5</v>
      </c>
      <c r="M739" s="8">
        <v>33</v>
      </c>
      <c r="N739" s="1169" t="s">
        <v>271</v>
      </c>
      <c r="P739" s="6" t="s">
        <v>3323</v>
      </c>
      <c r="Q739" s="1215" t="s">
        <v>253</v>
      </c>
      <c r="R739" s="1215" t="s">
        <v>255</v>
      </c>
      <c r="S739" s="1215" t="s">
        <v>534</v>
      </c>
      <c r="T739" s="1215" t="s">
        <v>533</v>
      </c>
      <c r="U739" s="6" t="s">
        <v>567</v>
      </c>
      <c r="V739" s="6" t="s">
        <v>35</v>
      </c>
      <c r="W739" s="6" t="s">
        <v>863</v>
      </c>
      <c r="X739" s="6" t="s">
        <v>193</v>
      </c>
    </row>
    <row r="740" spans="1:24" ht="15" customHeight="1" x14ac:dyDescent="0.3">
      <c r="A740" s="6" t="s">
        <v>533</v>
      </c>
      <c r="B740" s="6" t="s">
        <v>534</v>
      </c>
      <c r="C740" s="6" t="s">
        <v>35</v>
      </c>
      <c r="D740" s="1088" t="s">
        <v>567</v>
      </c>
      <c r="E740" s="6" t="s">
        <v>191</v>
      </c>
      <c r="F740" s="6" t="s">
        <v>659</v>
      </c>
      <c r="G740" s="6" t="s">
        <v>1814</v>
      </c>
      <c r="H740" s="6" t="s">
        <v>1815</v>
      </c>
      <c r="J740" s="1215" t="s">
        <v>509</v>
      </c>
      <c r="K740" s="1219" t="s">
        <v>3112</v>
      </c>
      <c r="L740" s="8">
        <v>6</v>
      </c>
      <c r="M740" s="8">
        <v>28</v>
      </c>
      <c r="N740" s="1169" t="s">
        <v>271</v>
      </c>
      <c r="P740" s="6" t="s">
        <v>3324</v>
      </c>
      <c r="Q740" s="1215" t="s">
        <v>253</v>
      </c>
      <c r="R740" s="1215" t="s">
        <v>255</v>
      </c>
      <c r="S740" s="1215" t="s">
        <v>534</v>
      </c>
      <c r="T740" s="1215" t="s">
        <v>533</v>
      </c>
      <c r="U740" s="6" t="s">
        <v>567</v>
      </c>
      <c r="V740" s="6" t="s">
        <v>35</v>
      </c>
      <c r="W740" s="6" t="s">
        <v>659</v>
      </c>
      <c r="X740" s="6" t="s">
        <v>191</v>
      </c>
    </row>
    <row r="741" spans="1:24" ht="15" customHeight="1" x14ac:dyDescent="0.3">
      <c r="A741" s="6" t="s">
        <v>533</v>
      </c>
      <c r="B741" s="6" t="s">
        <v>534</v>
      </c>
      <c r="C741" s="6" t="s">
        <v>35</v>
      </c>
      <c r="D741" s="1088" t="s">
        <v>567</v>
      </c>
      <c r="E741" s="6" t="s">
        <v>191</v>
      </c>
      <c r="F741" s="6" t="s">
        <v>659</v>
      </c>
      <c r="G741" s="6" t="s">
        <v>1814</v>
      </c>
      <c r="H741" s="6" t="s">
        <v>1815</v>
      </c>
      <c r="J741" s="1215" t="s">
        <v>509</v>
      </c>
      <c r="K741" s="1219" t="s">
        <v>3111</v>
      </c>
      <c r="L741" s="8">
        <v>15</v>
      </c>
      <c r="M741" s="8">
        <v>45</v>
      </c>
      <c r="N741" s="1169" t="s">
        <v>271</v>
      </c>
      <c r="P741" s="6" t="s">
        <v>3324</v>
      </c>
      <c r="Q741" s="1215" t="s">
        <v>253</v>
      </c>
      <c r="R741" s="1215" t="s">
        <v>255</v>
      </c>
      <c r="S741" s="1215" t="s">
        <v>534</v>
      </c>
      <c r="T741" s="1215" t="s">
        <v>533</v>
      </c>
      <c r="U741" s="6" t="s">
        <v>567</v>
      </c>
      <c r="V741" s="6" t="s">
        <v>35</v>
      </c>
      <c r="W741" s="6" t="s">
        <v>659</v>
      </c>
      <c r="X741" s="6" t="s">
        <v>191</v>
      </c>
    </row>
    <row r="742" spans="1:24" ht="15" customHeight="1" x14ac:dyDescent="0.3">
      <c r="A742" s="6" t="s">
        <v>533</v>
      </c>
      <c r="B742" s="6" t="s">
        <v>534</v>
      </c>
      <c r="C742" s="6" t="s">
        <v>35</v>
      </c>
      <c r="D742" s="1088" t="s">
        <v>567</v>
      </c>
      <c r="E742" s="6" t="s">
        <v>191</v>
      </c>
      <c r="F742" s="6" t="s">
        <v>659</v>
      </c>
      <c r="G742" s="6" t="s">
        <v>660</v>
      </c>
      <c r="H742" s="6" t="s">
        <v>661</v>
      </c>
      <c r="J742" s="1215" t="s">
        <v>509</v>
      </c>
      <c r="K742" s="1219" t="s">
        <v>3033</v>
      </c>
      <c r="L742" s="8">
        <v>25</v>
      </c>
      <c r="M742" s="8">
        <v>144</v>
      </c>
      <c r="N742" s="1169" t="s">
        <v>271</v>
      </c>
      <c r="P742" s="6" t="s">
        <v>3323</v>
      </c>
      <c r="Q742" s="1215" t="s">
        <v>253</v>
      </c>
      <c r="R742" s="1215" t="s">
        <v>255</v>
      </c>
      <c r="S742" s="1215" t="s">
        <v>534</v>
      </c>
      <c r="T742" s="1215" t="s">
        <v>533</v>
      </c>
      <c r="U742" s="6" t="s">
        <v>567</v>
      </c>
      <c r="V742" s="6" t="s">
        <v>35</v>
      </c>
      <c r="W742" s="6" t="s">
        <v>863</v>
      </c>
      <c r="X742" s="6" t="s">
        <v>193</v>
      </c>
    </row>
    <row r="743" spans="1:24" ht="15" customHeight="1" x14ac:dyDescent="0.3">
      <c r="A743" s="6" t="s">
        <v>533</v>
      </c>
      <c r="B743" s="6" t="s">
        <v>534</v>
      </c>
      <c r="C743" s="6" t="s">
        <v>35</v>
      </c>
      <c r="D743" s="1088" t="s">
        <v>567</v>
      </c>
      <c r="E743" s="6" t="s">
        <v>191</v>
      </c>
      <c r="F743" s="6" t="s">
        <v>659</v>
      </c>
      <c r="G743" s="6" t="s">
        <v>660</v>
      </c>
      <c r="H743" s="6" t="s">
        <v>661</v>
      </c>
      <c r="J743" s="1215" t="s">
        <v>509</v>
      </c>
      <c r="K743" s="1219" t="s">
        <v>3109</v>
      </c>
      <c r="L743" s="8">
        <v>5</v>
      </c>
      <c r="M743" s="8">
        <v>31</v>
      </c>
      <c r="N743" s="1169" t="s">
        <v>271</v>
      </c>
      <c r="P743" s="6" t="s">
        <v>3323</v>
      </c>
      <c r="Q743" s="1215" t="s">
        <v>253</v>
      </c>
      <c r="R743" s="1215" t="s">
        <v>255</v>
      </c>
      <c r="S743" s="1215" t="s">
        <v>534</v>
      </c>
      <c r="T743" s="1215" t="s">
        <v>533</v>
      </c>
      <c r="U743" s="6" t="s">
        <v>567</v>
      </c>
      <c r="V743" s="6" t="s">
        <v>35</v>
      </c>
      <c r="W743" s="6" t="s">
        <v>863</v>
      </c>
      <c r="X743" s="6" t="s">
        <v>193</v>
      </c>
    </row>
    <row r="744" spans="1:24" ht="15" customHeight="1" x14ac:dyDescent="0.3">
      <c r="A744" s="6" t="s">
        <v>533</v>
      </c>
      <c r="B744" s="6" t="s">
        <v>534</v>
      </c>
      <c r="C744" s="6" t="s">
        <v>35</v>
      </c>
      <c r="D744" s="1088" t="s">
        <v>567</v>
      </c>
      <c r="E744" s="6" t="s">
        <v>191</v>
      </c>
      <c r="F744" s="6" t="s">
        <v>659</v>
      </c>
      <c r="G744" s="6" t="s">
        <v>660</v>
      </c>
      <c r="H744" s="6" t="s">
        <v>661</v>
      </c>
      <c r="J744" s="1215" t="s">
        <v>509</v>
      </c>
      <c r="K744" s="1219" t="s">
        <v>3110</v>
      </c>
      <c r="L744" s="8">
        <v>4</v>
      </c>
      <c r="M744" s="8">
        <v>35</v>
      </c>
      <c r="N744" s="1169" t="s">
        <v>271</v>
      </c>
      <c r="P744" s="6" t="s">
        <v>3323</v>
      </c>
      <c r="Q744" s="1215" t="s">
        <v>253</v>
      </c>
      <c r="R744" s="1215" t="s">
        <v>255</v>
      </c>
      <c r="S744" s="1215" t="s">
        <v>534</v>
      </c>
      <c r="T744" s="1215" t="s">
        <v>533</v>
      </c>
      <c r="U744" s="6" t="s">
        <v>567</v>
      </c>
      <c r="V744" s="6" t="s">
        <v>35</v>
      </c>
      <c r="W744" s="6" t="s">
        <v>568</v>
      </c>
      <c r="X744" s="1215" t="s">
        <v>196</v>
      </c>
    </row>
    <row r="745" spans="1:24" ht="15" customHeight="1" x14ac:dyDescent="0.3">
      <c r="A745" s="6" t="s">
        <v>533</v>
      </c>
      <c r="B745" s="6" t="s">
        <v>534</v>
      </c>
      <c r="C745" s="6" t="s">
        <v>35</v>
      </c>
      <c r="D745" s="1088" t="s">
        <v>567</v>
      </c>
      <c r="E745" s="6" t="s">
        <v>191</v>
      </c>
      <c r="F745" s="6" t="s">
        <v>659</v>
      </c>
      <c r="G745" s="6" t="s">
        <v>660</v>
      </c>
      <c r="H745" s="6" t="s">
        <v>661</v>
      </c>
      <c r="J745" s="1215" t="s">
        <v>509</v>
      </c>
      <c r="K745" s="1219" t="s">
        <v>3111</v>
      </c>
      <c r="L745" s="8">
        <v>7</v>
      </c>
      <c r="M745" s="8">
        <v>45</v>
      </c>
      <c r="N745" s="1169" t="s">
        <v>271</v>
      </c>
      <c r="P745" s="6" t="s">
        <v>3323</v>
      </c>
      <c r="Q745" s="1215" t="s">
        <v>253</v>
      </c>
      <c r="R745" s="1215" t="s">
        <v>255</v>
      </c>
      <c r="S745" s="1215" t="s">
        <v>534</v>
      </c>
      <c r="T745" s="1215" t="s">
        <v>533</v>
      </c>
      <c r="U745" s="6" t="s">
        <v>567</v>
      </c>
      <c r="V745" s="6" t="s">
        <v>35</v>
      </c>
      <c r="W745" s="6" t="s">
        <v>733</v>
      </c>
      <c r="X745" s="6" t="s">
        <v>195</v>
      </c>
    </row>
    <row r="746" spans="1:24" ht="15" customHeight="1" x14ac:dyDescent="0.3">
      <c r="A746" s="6" t="s">
        <v>533</v>
      </c>
      <c r="B746" s="6" t="s">
        <v>534</v>
      </c>
      <c r="C746" s="6" t="s">
        <v>35</v>
      </c>
      <c r="D746" s="1088" t="s">
        <v>567</v>
      </c>
      <c r="E746" s="1088" t="s">
        <v>191</v>
      </c>
      <c r="F746" s="6" t="s">
        <v>659</v>
      </c>
      <c r="G746" s="6" t="s">
        <v>660</v>
      </c>
      <c r="H746" s="6" t="s">
        <v>661</v>
      </c>
      <c r="J746" s="1215" t="s">
        <v>509</v>
      </c>
      <c r="K746" s="1219" t="s">
        <v>3112</v>
      </c>
      <c r="L746" s="8">
        <v>2</v>
      </c>
      <c r="M746" s="8">
        <v>9</v>
      </c>
      <c r="N746" s="1169" t="s">
        <v>271</v>
      </c>
      <c r="P746" s="6" t="s">
        <v>3323</v>
      </c>
      <c r="Q746" s="1215" t="s">
        <v>253</v>
      </c>
      <c r="R746" s="1215" t="s">
        <v>255</v>
      </c>
      <c r="S746" s="1215" t="s">
        <v>534</v>
      </c>
      <c r="T746" s="1215" t="s">
        <v>533</v>
      </c>
      <c r="U746" s="6" t="s">
        <v>567</v>
      </c>
      <c r="V746" s="6" t="s">
        <v>35</v>
      </c>
      <c r="W746" s="6" t="s">
        <v>733</v>
      </c>
      <c r="X746" s="6" t="s">
        <v>195</v>
      </c>
    </row>
    <row r="747" spans="1:24" ht="15" customHeight="1" x14ac:dyDescent="0.3">
      <c r="A747" s="6" t="s">
        <v>533</v>
      </c>
      <c r="B747" s="6" t="s">
        <v>534</v>
      </c>
      <c r="C747" s="6" t="s">
        <v>35</v>
      </c>
      <c r="D747" s="1088" t="s">
        <v>567</v>
      </c>
      <c r="E747" s="6" t="s">
        <v>191</v>
      </c>
      <c r="F747" s="6" t="s">
        <v>659</v>
      </c>
      <c r="G747" s="6" t="s">
        <v>2101</v>
      </c>
      <c r="H747" s="6" t="s">
        <v>2102</v>
      </c>
      <c r="J747" s="1215" t="s">
        <v>509</v>
      </c>
      <c r="K747" s="1219" t="s">
        <v>3112</v>
      </c>
      <c r="L747" s="8">
        <v>7</v>
      </c>
      <c r="M747" s="8">
        <v>23</v>
      </c>
      <c r="N747" s="1169" t="s">
        <v>271</v>
      </c>
      <c r="P747" s="6" t="s">
        <v>3323</v>
      </c>
      <c r="Q747" s="1215" t="s">
        <v>253</v>
      </c>
      <c r="R747" s="1215" t="s">
        <v>255</v>
      </c>
      <c r="S747" s="1215" t="s">
        <v>534</v>
      </c>
      <c r="T747" s="1215" t="s">
        <v>533</v>
      </c>
      <c r="U747" s="6" t="s">
        <v>567</v>
      </c>
      <c r="V747" s="6" t="s">
        <v>35</v>
      </c>
      <c r="W747" s="6" t="s">
        <v>863</v>
      </c>
      <c r="X747" s="6" t="s">
        <v>193</v>
      </c>
    </row>
    <row r="748" spans="1:24" ht="15" customHeight="1" x14ac:dyDescent="0.3">
      <c r="A748" s="6" t="s">
        <v>533</v>
      </c>
      <c r="B748" s="6" t="s">
        <v>534</v>
      </c>
      <c r="C748" s="6" t="s">
        <v>35</v>
      </c>
      <c r="D748" s="1088" t="s">
        <v>567</v>
      </c>
      <c r="E748" s="6" t="s">
        <v>191</v>
      </c>
      <c r="F748" s="6" t="s">
        <v>659</v>
      </c>
      <c r="G748" s="6" t="s">
        <v>2101</v>
      </c>
      <c r="H748" s="6" t="s">
        <v>2102</v>
      </c>
      <c r="J748" s="1215" t="s">
        <v>509</v>
      </c>
      <c r="K748" s="1219" t="s">
        <v>3033</v>
      </c>
      <c r="L748" s="8">
        <v>9</v>
      </c>
      <c r="M748" s="8">
        <v>23</v>
      </c>
      <c r="N748" s="1169" t="s">
        <v>271</v>
      </c>
      <c r="P748" s="6" t="s">
        <v>3323</v>
      </c>
      <c r="Q748" s="1215" t="s">
        <v>253</v>
      </c>
      <c r="R748" s="1215" t="s">
        <v>255</v>
      </c>
      <c r="S748" s="1215" t="s">
        <v>534</v>
      </c>
      <c r="T748" s="1215" t="s">
        <v>533</v>
      </c>
      <c r="U748" s="6" t="s">
        <v>567</v>
      </c>
      <c r="V748" s="6" t="s">
        <v>35</v>
      </c>
      <c r="W748" s="6" t="s">
        <v>733</v>
      </c>
      <c r="X748" s="6" t="s">
        <v>195</v>
      </c>
    </row>
    <row r="749" spans="1:24" ht="15" customHeight="1" x14ac:dyDescent="0.3">
      <c r="A749" s="6" t="s">
        <v>533</v>
      </c>
      <c r="B749" s="6" t="s">
        <v>534</v>
      </c>
      <c r="C749" s="6" t="s">
        <v>35</v>
      </c>
      <c r="D749" s="1088" t="s">
        <v>567</v>
      </c>
      <c r="E749" s="1088" t="s">
        <v>191</v>
      </c>
      <c r="F749" s="6" t="s">
        <v>659</v>
      </c>
      <c r="G749" s="6" t="s">
        <v>2306</v>
      </c>
      <c r="H749" s="6" t="s">
        <v>2307</v>
      </c>
      <c r="J749" s="1215" t="s">
        <v>509</v>
      </c>
      <c r="K749" s="1219" t="s">
        <v>3112</v>
      </c>
      <c r="L749" s="8">
        <v>1</v>
      </c>
      <c r="M749" s="8">
        <v>6</v>
      </c>
      <c r="N749" s="1169" t="s">
        <v>271</v>
      </c>
      <c r="P749" s="6" t="s">
        <v>3323</v>
      </c>
      <c r="Q749" s="1215" t="s">
        <v>253</v>
      </c>
      <c r="R749" s="1215" t="s">
        <v>255</v>
      </c>
      <c r="S749" s="1215" t="s">
        <v>534</v>
      </c>
      <c r="T749" s="1215" t="s">
        <v>533</v>
      </c>
      <c r="U749" s="6" t="s">
        <v>567</v>
      </c>
      <c r="V749" s="6" t="s">
        <v>35</v>
      </c>
      <c r="W749" s="6" t="s">
        <v>733</v>
      </c>
      <c r="X749" s="6" t="s">
        <v>195</v>
      </c>
    </row>
    <row r="750" spans="1:24" ht="15" customHeight="1" x14ac:dyDescent="0.3">
      <c r="A750" s="6" t="s">
        <v>533</v>
      </c>
      <c r="B750" s="6" t="s">
        <v>534</v>
      </c>
      <c r="C750" s="6" t="s">
        <v>35</v>
      </c>
      <c r="D750" s="1088" t="s">
        <v>567</v>
      </c>
      <c r="E750" s="6" t="s">
        <v>191</v>
      </c>
      <c r="F750" s="6" t="s">
        <v>659</v>
      </c>
      <c r="G750" s="6" t="s">
        <v>2067</v>
      </c>
      <c r="H750" s="6" t="s">
        <v>2068</v>
      </c>
      <c r="J750" s="1215" t="s">
        <v>509</v>
      </c>
      <c r="K750" s="1219" t="s">
        <v>3033</v>
      </c>
      <c r="L750" s="8">
        <v>18</v>
      </c>
      <c r="M750" s="8">
        <v>126</v>
      </c>
      <c r="N750" s="1169" t="s">
        <v>271</v>
      </c>
      <c r="P750" s="6" t="s">
        <v>3323</v>
      </c>
      <c r="Q750" s="1215" t="s">
        <v>253</v>
      </c>
      <c r="R750" s="1215" t="s">
        <v>255</v>
      </c>
      <c r="S750" s="1215" t="s">
        <v>534</v>
      </c>
      <c r="T750" s="1215" t="s">
        <v>533</v>
      </c>
      <c r="U750" s="6" t="s">
        <v>567</v>
      </c>
      <c r="V750" s="6" t="s">
        <v>35</v>
      </c>
      <c r="W750" s="6" t="s">
        <v>863</v>
      </c>
      <c r="X750" s="6" t="s">
        <v>193</v>
      </c>
    </row>
    <row r="751" spans="1:24" ht="15" customHeight="1" x14ac:dyDescent="0.3">
      <c r="A751" s="6" t="s">
        <v>533</v>
      </c>
      <c r="B751" s="6" t="s">
        <v>534</v>
      </c>
      <c r="C751" s="6" t="s">
        <v>35</v>
      </c>
      <c r="D751" s="1088" t="s">
        <v>567</v>
      </c>
      <c r="E751" s="6" t="s">
        <v>191</v>
      </c>
      <c r="F751" s="6" t="s">
        <v>659</v>
      </c>
      <c r="G751" s="6" t="s">
        <v>2067</v>
      </c>
      <c r="H751" s="6" t="s">
        <v>2068</v>
      </c>
      <c r="J751" s="1215" t="s">
        <v>509</v>
      </c>
      <c r="K751" s="1219" t="s">
        <v>3112</v>
      </c>
      <c r="L751" s="8">
        <v>0</v>
      </c>
      <c r="M751" s="8">
        <v>2</v>
      </c>
      <c r="N751" s="1169" t="s">
        <v>271</v>
      </c>
      <c r="P751" s="6" t="s">
        <v>3323</v>
      </c>
      <c r="Q751" s="1215" t="s">
        <v>253</v>
      </c>
      <c r="R751" s="1215" t="s">
        <v>255</v>
      </c>
      <c r="S751" s="1215" t="s">
        <v>534</v>
      </c>
      <c r="T751" s="1215" t="s">
        <v>533</v>
      </c>
      <c r="U751" s="6" t="s">
        <v>567</v>
      </c>
      <c r="V751" s="6" t="s">
        <v>35</v>
      </c>
      <c r="W751" s="6" t="s">
        <v>863</v>
      </c>
      <c r="X751" s="6" t="s">
        <v>193</v>
      </c>
    </row>
    <row r="752" spans="1:24" ht="15" customHeight="1" x14ac:dyDescent="0.3">
      <c r="A752" s="6" t="s">
        <v>533</v>
      </c>
      <c r="B752" s="6" t="s">
        <v>534</v>
      </c>
      <c r="C752" s="6" t="s">
        <v>35</v>
      </c>
      <c r="D752" s="1088" t="s">
        <v>567</v>
      </c>
      <c r="E752" s="6" t="s">
        <v>191</v>
      </c>
      <c r="F752" s="6" t="s">
        <v>659</v>
      </c>
      <c r="G752" s="6" t="s">
        <v>2067</v>
      </c>
      <c r="H752" s="6" t="s">
        <v>2068</v>
      </c>
      <c r="J752" s="1215" t="s">
        <v>509</v>
      </c>
      <c r="K752" s="1219" t="s">
        <v>3111</v>
      </c>
      <c r="L752" s="8">
        <v>2</v>
      </c>
      <c r="M752" s="8">
        <v>13</v>
      </c>
      <c r="N752" s="1169" t="s">
        <v>271</v>
      </c>
      <c r="P752" s="6" t="s">
        <v>3323</v>
      </c>
      <c r="Q752" s="1215" t="s">
        <v>253</v>
      </c>
      <c r="R752" s="1215" t="s">
        <v>255</v>
      </c>
      <c r="S752" s="1215" t="s">
        <v>534</v>
      </c>
      <c r="T752" s="1215" t="s">
        <v>533</v>
      </c>
      <c r="U752" s="6" t="s">
        <v>567</v>
      </c>
      <c r="V752" s="6" t="s">
        <v>35</v>
      </c>
      <c r="W752" s="6" t="s">
        <v>733</v>
      </c>
      <c r="X752" s="6" t="s">
        <v>195</v>
      </c>
    </row>
    <row r="753" spans="1:24" ht="15" customHeight="1" x14ac:dyDescent="0.3">
      <c r="A753" s="6" t="s">
        <v>533</v>
      </c>
      <c r="B753" s="6" t="s">
        <v>534</v>
      </c>
      <c r="C753" s="6" t="s">
        <v>35</v>
      </c>
      <c r="D753" s="1088" t="s">
        <v>567</v>
      </c>
      <c r="E753" s="6" t="s">
        <v>191</v>
      </c>
      <c r="F753" s="6" t="s">
        <v>659</v>
      </c>
      <c r="G753" s="6" t="s">
        <v>1462</v>
      </c>
      <c r="H753" s="6" t="s">
        <v>1463</v>
      </c>
      <c r="J753" s="1215" t="s">
        <v>509</v>
      </c>
      <c r="K753" s="1219" t="s">
        <v>3033</v>
      </c>
      <c r="L753" s="8">
        <v>7</v>
      </c>
      <c r="M753" s="8">
        <v>30</v>
      </c>
      <c r="N753" s="1169" t="s">
        <v>271</v>
      </c>
      <c r="P753" s="6" t="s">
        <v>3323</v>
      </c>
      <c r="Q753" s="1215" t="s">
        <v>253</v>
      </c>
      <c r="R753" s="1215" t="s">
        <v>255</v>
      </c>
      <c r="S753" s="1215" t="s">
        <v>534</v>
      </c>
      <c r="T753" s="1215" t="s">
        <v>533</v>
      </c>
      <c r="U753" s="6" t="s">
        <v>567</v>
      </c>
      <c r="V753" s="6" t="s">
        <v>35</v>
      </c>
      <c r="W753" s="6" t="s">
        <v>863</v>
      </c>
      <c r="X753" s="6" t="s">
        <v>193</v>
      </c>
    </row>
    <row r="754" spans="1:24" ht="15" customHeight="1" x14ac:dyDescent="0.3">
      <c r="A754" s="6" t="s">
        <v>533</v>
      </c>
      <c r="B754" s="6" t="s">
        <v>534</v>
      </c>
      <c r="C754" s="6" t="s">
        <v>35</v>
      </c>
      <c r="D754" s="1088" t="s">
        <v>567</v>
      </c>
      <c r="E754" s="6" t="s">
        <v>191</v>
      </c>
      <c r="F754" s="6" t="s">
        <v>659</v>
      </c>
      <c r="G754" s="6" t="s">
        <v>1462</v>
      </c>
      <c r="H754" s="6" t="s">
        <v>1463</v>
      </c>
      <c r="J754" s="1215" t="s">
        <v>509</v>
      </c>
      <c r="K754" s="1219" t="s">
        <v>3109</v>
      </c>
      <c r="L754" s="8">
        <v>3</v>
      </c>
      <c r="M754" s="8">
        <v>15</v>
      </c>
      <c r="N754" s="1169" t="s">
        <v>271</v>
      </c>
      <c r="P754" s="6" t="s">
        <v>3323</v>
      </c>
      <c r="Q754" s="1215" t="s">
        <v>253</v>
      </c>
      <c r="R754" s="1215" t="s">
        <v>255</v>
      </c>
      <c r="S754" s="1215" t="s">
        <v>534</v>
      </c>
      <c r="T754" s="1215" t="s">
        <v>533</v>
      </c>
      <c r="U754" s="6" t="s">
        <v>567</v>
      </c>
      <c r="V754" s="6" t="s">
        <v>35</v>
      </c>
      <c r="W754" s="6" t="s">
        <v>863</v>
      </c>
      <c r="X754" s="6" t="s">
        <v>193</v>
      </c>
    </row>
    <row r="755" spans="1:24" ht="15" customHeight="1" x14ac:dyDescent="0.3">
      <c r="A755" s="6" t="s">
        <v>533</v>
      </c>
      <c r="B755" s="6" t="s">
        <v>534</v>
      </c>
      <c r="C755" s="6" t="s">
        <v>35</v>
      </c>
      <c r="D755" s="1088" t="s">
        <v>567</v>
      </c>
      <c r="E755" s="6" t="s">
        <v>191</v>
      </c>
      <c r="F755" s="6" t="s">
        <v>659</v>
      </c>
      <c r="G755" s="6" t="s">
        <v>1462</v>
      </c>
      <c r="H755" s="6" t="s">
        <v>1463</v>
      </c>
      <c r="J755" s="1215" t="s">
        <v>509</v>
      </c>
      <c r="K755" s="1219" t="s">
        <v>3110</v>
      </c>
      <c r="L755" s="8">
        <v>1</v>
      </c>
      <c r="M755" s="8">
        <v>4</v>
      </c>
      <c r="N755" s="1169" t="s">
        <v>271</v>
      </c>
      <c r="P755" s="6" t="s">
        <v>3323</v>
      </c>
      <c r="Q755" s="1215" t="s">
        <v>253</v>
      </c>
      <c r="R755" s="1215" t="s">
        <v>255</v>
      </c>
      <c r="S755" s="1215" t="s">
        <v>534</v>
      </c>
      <c r="T755" s="1215" t="s">
        <v>533</v>
      </c>
      <c r="U755" s="6" t="s">
        <v>567</v>
      </c>
      <c r="V755" s="6" t="s">
        <v>35</v>
      </c>
      <c r="W755" s="6" t="s">
        <v>863</v>
      </c>
      <c r="X755" s="6" t="s">
        <v>193</v>
      </c>
    </row>
    <row r="756" spans="1:24" ht="15" customHeight="1" x14ac:dyDescent="0.3">
      <c r="A756" s="6" t="s">
        <v>533</v>
      </c>
      <c r="B756" s="6" t="s">
        <v>534</v>
      </c>
      <c r="C756" s="6" t="s">
        <v>35</v>
      </c>
      <c r="D756" s="1088" t="s">
        <v>567</v>
      </c>
      <c r="E756" s="6" t="s">
        <v>191</v>
      </c>
      <c r="F756" s="6" t="s">
        <v>659</v>
      </c>
      <c r="G756" s="6" t="s">
        <v>1462</v>
      </c>
      <c r="H756" s="6" t="s">
        <v>1463</v>
      </c>
      <c r="J756" s="1215" t="s">
        <v>509</v>
      </c>
      <c r="K756" s="1219" t="s">
        <v>3112</v>
      </c>
      <c r="L756" s="8">
        <v>4</v>
      </c>
      <c r="M756" s="8">
        <v>19</v>
      </c>
      <c r="N756" s="1169" t="s">
        <v>271</v>
      </c>
      <c r="P756" s="6" t="s">
        <v>3323</v>
      </c>
      <c r="Q756" s="1215" t="s">
        <v>253</v>
      </c>
      <c r="R756" s="1215" t="s">
        <v>255</v>
      </c>
      <c r="S756" s="1215" t="s">
        <v>534</v>
      </c>
      <c r="T756" s="1215" t="s">
        <v>533</v>
      </c>
      <c r="U756" s="6" t="s">
        <v>567</v>
      </c>
      <c r="V756" s="6" t="s">
        <v>35</v>
      </c>
      <c r="W756" s="6" t="s">
        <v>733</v>
      </c>
      <c r="X756" s="6" t="s">
        <v>195</v>
      </c>
    </row>
    <row r="757" spans="1:24" ht="15" customHeight="1" x14ac:dyDescent="0.3">
      <c r="A757" s="6" t="s">
        <v>533</v>
      </c>
      <c r="B757" s="6" t="s">
        <v>534</v>
      </c>
      <c r="C757" s="6" t="s">
        <v>35</v>
      </c>
      <c r="D757" s="1088" t="s">
        <v>567</v>
      </c>
      <c r="E757" s="6" t="s">
        <v>191</v>
      </c>
      <c r="F757" s="6" t="s">
        <v>659</v>
      </c>
      <c r="G757" s="6" t="s">
        <v>741</v>
      </c>
      <c r="H757" s="6" t="s">
        <v>742</v>
      </c>
      <c r="J757" s="1215" t="s">
        <v>509</v>
      </c>
      <c r="K757" s="1219" t="s">
        <v>3111</v>
      </c>
      <c r="L757" s="8">
        <v>1</v>
      </c>
      <c r="M757" s="8">
        <v>18</v>
      </c>
      <c r="N757" s="1169" t="s">
        <v>271</v>
      </c>
      <c r="P757" s="6" t="s">
        <v>3323</v>
      </c>
      <c r="Q757" s="1215" t="s">
        <v>253</v>
      </c>
      <c r="R757" s="1215" t="s">
        <v>255</v>
      </c>
      <c r="S757" s="1215" t="s">
        <v>534</v>
      </c>
      <c r="T757" s="1215" t="s">
        <v>533</v>
      </c>
      <c r="U757" s="6" t="s">
        <v>567</v>
      </c>
      <c r="V757" s="6" t="s">
        <v>35</v>
      </c>
      <c r="W757" s="6" t="s">
        <v>863</v>
      </c>
      <c r="X757" s="6" t="s">
        <v>193</v>
      </c>
    </row>
    <row r="758" spans="1:24" ht="15" customHeight="1" x14ac:dyDescent="0.3">
      <c r="A758" s="6" t="s">
        <v>533</v>
      </c>
      <c r="B758" s="6" t="s">
        <v>534</v>
      </c>
      <c r="C758" s="6" t="s">
        <v>35</v>
      </c>
      <c r="D758" s="1088" t="s">
        <v>567</v>
      </c>
      <c r="E758" s="6" t="s">
        <v>191</v>
      </c>
      <c r="F758" s="6" t="s">
        <v>659</v>
      </c>
      <c r="G758" s="6" t="s">
        <v>741</v>
      </c>
      <c r="H758" s="6" t="s">
        <v>742</v>
      </c>
      <c r="J758" s="1215" t="s">
        <v>509</v>
      </c>
      <c r="K758" s="1219" t="s">
        <v>3112</v>
      </c>
      <c r="L758" s="8">
        <v>1</v>
      </c>
      <c r="M758" s="8">
        <v>7</v>
      </c>
      <c r="N758" s="1169" t="s">
        <v>271</v>
      </c>
      <c r="P758" s="6" t="s">
        <v>3323</v>
      </c>
      <c r="Q758" s="1215" t="s">
        <v>253</v>
      </c>
      <c r="R758" s="1215" t="s">
        <v>255</v>
      </c>
      <c r="S758" s="1215" t="s">
        <v>534</v>
      </c>
      <c r="T758" s="1215" t="s">
        <v>533</v>
      </c>
      <c r="U758" s="6" t="s">
        <v>567</v>
      </c>
      <c r="V758" s="6" t="s">
        <v>35</v>
      </c>
      <c r="W758" s="6" t="s">
        <v>733</v>
      </c>
      <c r="X758" s="6" t="s">
        <v>195</v>
      </c>
    </row>
    <row r="759" spans="1:24" ht="15" customHeight="1" x14ac:dyDescent="0.3">
      <c r="A759" s="6" t="s">
        <v>533</v>
      </c>
      <c r="B759" s="6" t="s">
        <v>534</v>
      </c>
      <c r="C759" s="6" t="s">
        <v>35</v>
      </c>
      <c r="D759" s="1088" t="s">
        <v>567</v>
      </c>
      <c r="E759" s="6" t="s">
        <v>191</v>
      </c>
      <c r="F759" s="6" t="s">
        <v>659</v>
      </c>
      <c r="G759" s="6" t="s">
        <v>662</v>
      </c>
      <c r="H759" s="6" t="s">
        <v>663</v>
      </c>
      <c r="J759" s="1215" t="s">
        <v>509</v>
      </c>
      <c r="K759" s="1219" t="s">
        <v>3033</v>
      </c>
      <c r="L759" s="8">
        <v>8</v>
      </c>
      <c r="M759" s="8">
        <v>60</v>
      </c>
      <c r="N759" s="1169" t="s">
        <v>271</v>
      </c>
      <c r="P759" s="6" t="s">
        <v>3323</v>
      </c>
      <c r="Q759" s="1215" t="s">
        <v>253</v>
      </c>
      <c r="R759" s="1215" t="s">
        <v>255</v>
      </c>
      <c r="S759" s="1215" t="s">
        <v>534</v>
      </c>
      <c r="T759" s="1215" t="s">
        <v>533</v>
      </c>
      <c r="U759" s="6" t="s">
        <v>567</v>
      </c>
      <c r="V759" s="6" t="s">
        <v>35</v>
      </c>
      <c r="W759" s="6" t="s">
        <v>863</v>
      </c>
      <c r="X759" s="6" t="s">
        <v>193</v>
      </c>
    </row>
    <row r="760" spans="1:24" ht="15" customHeight="1" x14ac:dyDescent="0.3">
      <c r="A760" s="6" t="s">
        <v>533</v>
      </c>
      <c r="B760" s="6" t="s">
        <v>534</v>
      </c>
      <c r="C760" s="6" t="s">
        <v>35</v>
      </c>
      <c r="D760" s="1088" t="s">
        <v>567</v>
      </c>
      <c r="E760" s="6" t="s">
        <v>191</v>
      </c>
      <c r="F760" s="6" t="s">
        <v>659</v>
      </c>
      <c r="G760" s="6" t="s">
        <v>662</v>
      </c>
      <c r="H760" s="6" t="s">
        <v>663</v>
      </c>
      <c r="J760" s="1215" t="s">
        <v>509</v>
      </c>
      <c r="K760" s="1219" t="s">
        <v>3111</v>
      </c>
      <c r="L760" s="8">
        <v>0</v>
      </c>
      <c r="M760" s="8">
        <v>5</v>
      </c>
      <c r="N760" s="1169" t="s">
        <v>271</v>
      </c>
      <c r="P760" s="6" t="s">
        <v>3323</v>
      </c>
      <c r="Q760" s="1215" t="s">
        <v>253</v>
      </c>
      <c r="R760" s="1215" t="s">
        <v>255</v>
      </c>
      <c r="S760" s="1215" t="s">
        <v>534</v>
      </c>
      <c r="T760" s="1215" t="s">
        <v>533</v>
      </c>
      <c r="U760" s="6" t="s">
        <v>567</v>
      </c>
      <c r="V760" s="6" t="s">
        <v>35</v>
      </c>
      <c r="W760" s="6" t="s">
        <v>863</v>
      </c>
      <c r="X760" s="6" t="s">
        <v>193</v>
      </c>
    </row>
    <row r="761" spans="1:24" ht="15" customHeight="1" x14ac:dyDescent="0.3">
      <c r="A761" s="6" t="s">
        <v>533</v>
      </c>
      <c r="B761" s="6" t="s">
        <v>534</v>
      </c>
      <c r="C761" s="6" t="s">
        <v>35</v>
      </c>
      <c r="D761" s="1088" t="s">
        <v>567</v>
      </c>
      <c r="E761" s="6" t="s">
        <v>191</v>
      </c>
      <c r="F761" s="6" t="s">
        <v>659</v>
      </c>
      <c r="G761" s="6" t="s">
        <v>662</v>
      </c>
      <c r="H761" s="6" t="s">
        <v>663</v>
      </c>
      <c r="J761" s="1215" t="s">
        <v>509</v>
      </c>
      <c r="K761" s="1219" t="s">
        <v>3112</v>
      </c>
      <c r="L761" s="8">
        <v>4</v>
      </c>
      <c r="M761" s="8">
        <v>18</v>
      </c>
      <c r="N761" s="1169" t="s">
        <v>271</v>
      </c>
      <c r="P761" s="6" t="s">
        <v>3323</v>
      </c>
      <c r="Q761" s="1215" t="s">
        <v>253</v>
      </c>
      <c r="R761" s="1215" t="s">
        <v>255</v>
      </c>
      <c r="S761" s="1215" t="s">
        <v>534</v>
      </c>
      <c r="T761" s="1215" t="s">
        <v>533</v>
      </c>
      <c r="U761" s="6" t="s">
        <v>567</v>
      </c>
      <c r="V761" s="6" t="s">
        <v>35</v>
      </c>
      <c r="W761" s="6" t="s">
        <v>733</v>
      </c>
      <c r="X761" s="6" t="s">
        <v>195</v>
      </c>
    </row>
    <row r="762" spans="1:24" ht="15" customHeight="1" x14ac:dyDescent="0.3">
      <c r="A762" s="6" t="s">
        <v>533</v>
      </c>
      <c r="B762" s="6" t="s">
        <v>534</v>
      </c>
      <c r="C762" s="6" t="s">
        <v>31</v>
      </c>
      <c r="D762" s="1088" t="s">
        <v>549</v>
      </c>
      <c r="E762" s="6" t="s">
        <v>172</v>
      </c>
      <c r="F762" s="6" t="s">
        <v>706</v>
      </c>
      <c r="G762" s="6" t="s">
        <v>2702</v>
      </c>
      <c r="H762" s="6" t="s">
        <v>1972</v>
      </c>
      <c r="J762" s="1215" t="s">
        <v>509</v>
      </c>
      <c r="K762" s="1219" t="s">
        <v>3110</v>
      </c>
      <c r="L762" s="8">
        <v>20</v>
      </c>
      <c r="M762" s="8">
        <v>103</v>
      </c>
      <c r="N762" s="1169" t="s">
        <v>274</v>
      </c>
      <c r="P762" s="6" t="s">
        <v>3323</v>
      </c>
      <c r="Q762" s="1215" t="s">
        <v>253</v>
      </c>
      <c r="R762" s="1215" t="s">
        <v>255</v>
      </c>
      <c r="S762" s="1215" t="s">
        <v>534</v>
      </c>
      <c r="T762" s="1215" t="s">
        <v>533</v>
      </c>
      <c r="U762" s="6" t="s">
        <v>549</v>
      </c>
      <c r="V762" s="6" t="s">
        <v>31</v>
      </c>
      <c r="W762" s="6" t="s">
        <v>673</v>
      </c>
      <c r="X762" s="6" t="s">
        <v>169</v>
      </c>
    </row>
    <row r="763" spans="1:24" ht="15" customHeight="1" x14ac:dyDescent="0.3">
      <c r="A763" s="6" t="s">
        <v>533</v>
      </c>
      <c r="B763" s="6" t="s">
        <v>534</v>
      </c>
      <c r="C763" s="6" t="s">
        <v>31</v>
      </c>
      <c r="D763" s="6" t="s">
        <v>549</v>
      </c>
      <c r="E763" s="1088" t="s">
        <v>172</v>
      </c>
      <c r="F763" s="6" t="s">
        <v>706</v>
      </c>
      <c r="G763" s="6" t="s">
        <v>2131</v>
      </c>
      <c r="H763" s="6" t="s">
        <v>1161</v>
      </c>
      <c r="J763" s="1215" t="s">
        <v>509</v>
      </c>
      <c r="K763" s="1219" t="s">
        <v>3110</v>
      </c>
      <c r="L763" s="8">
        <v>40</v>
      </c>
      <c r="M763" s="8">
        <v>338</v>
      </c>
      <c r="N763" s="1169" t="s">
        <v>271</v>
      </c>
      <c r="P763" s="6" t="s">
        <v>3324</v>
      </c>
      <c r="Q763" s="1215" t="s">
        <v>253</v>
      </c>
      <c r="R763" s="1215" t="s">
        <v>255</v>
      </c>
      <c r="S763" s="1215" t="s">
        <v>534</v>
      </c>
      <c r="T763" s="1215" t="s">
        <v>533</v>
      </c>
      <c r="U763" s="6" t="s">
        <v>549</v>
      </c>
      <c r="V763" s="6" t="s">
        <v>31</v>
      </c>
      <c r="W763" s="6" t="s">
        <v>706</v>
      </c>
      <c r="X763" s="6" t="s">
        <v>172</v>
      </c>
    </row>
    <row r="764" spans="1:24" ht="15" customHeight="1" x14ac:dyDescent="0.3">
      <c r="A764" s="6" t="s">
        <v>533</v>
      </c>
      <c r="B764" s="6" t="s">
        <v>534</v>
      </c>
      <c r="C764" s="6" t="s">
        <v>31</v>
      </c>
      <c r="D764" s="1088" t="s">
        <v>549</v>
      </c>
      <c r="E764" s="6" t="s">
        <v>172</v>
      </c>
      <c r="F764" s="6" t="s">
        <v>706</v>
      </c>
      <c r="G764" s="6" t="s">
        <v>2131</v>
      </c>
      <c r="H764" s="6" t="s">
        <v>1161</v>
      </c>
      <c r="J764" s="1215" t="s">
        <v>509</v>
      </c>
      <c r="K764" s="1219" t="s">
        <v>3112</v>
      </c>
      <c r="L764" s="8">
        <v>0</v>
      </c>
      <c r="M764" s="8">
        <v>2</v>
      </c>
      <c r="N764" s="1169" t="s">
        <v>271</v>
      </c>
      <c r="P764" s="6" t="s">
        <v>3324</v>
      </c>
      <c r="Q764" s="1215" t="s">
        <v>253</v>
      </c>
      <c r="R764" s="1215" t="s">
        <v>255</v>
      </c>
      <c r="S764" s="1215" t="s">
        <v>534</v>
      </c>
      <c r="T764" s="1215" t="s">
        <v>533</v>
      </c>
      <c r="U764" s="6" t="s">
        <v>549</v>
      </c>
      <c r="V764" s="6" t="s">
        <v>31</v>
      </c>
      <c r="W764" s="6" t="s">
        <v>706</v>
      </c>
      <c r="X764" s="6" t="s">
        <v>172</v>
      </c>
    </row>
    <row r="765" spans="1:24" ht="15" customHeight="1" x14ac:dyDescent="0.3">
      <c r="A765" s="6" t="s">
        <v>533</v>
      </c>
      <c r="B765" s="6" t="s">
        <v>534</v>
      </c>
      <c r="C765" s="6" t="s">
        <v>31</v>
      </c>
      <c r="D765" s="1088" t="s">
        <v>549</v>
      </c>
      <c r="E765" s="1088" t="s">
        <v>171</v>
      </c>
      <c r="F765" s="6" t="s">
        <v>634</v>
      </c>
      <c r="G765" s="6" t="s">
        <v>2801</v>
      </c>
      <c r="H765" s="6" t="s">
        <v>1886</v>
      </c>
      <c r="J765" s="1215" t="s">
        <v>509</v>
      </c>
      <c r="K765" s="1219" t="s">
        <v>3111</v>
      </c>
      <c r="L765" s="8">
        <v>5</v>
      </c>
      <c r="M765" s="8">
        <v>15</v>
      </c>
      <c r="N765" s="1169" t="s">
        <v>274</v>
      </c>
      <c r="P765" s="6" t="s">
        <v>3323</v>
      </c>
      <c r="Q765" s="1215" t="s">
        <v>253</v>
      </c>
      <c r="R765" s="1215" t="s">
        <v>255</v>
      </c>
      <c r="S765" s="1215" t="s">
        <v>534</v>
      </c>
      <c r="T765" s="1215" t="s">
        <v>533</v>
      </c>
      <c r="U765" s="6" t="s">
        <v>549</v>
      </c>
      <c r="V765" s="6" t="s">
        <v>31</v>
      </c>
      <c r="W765" s="6" t="s">
        <v>881</v>
      </c>
      <c r="X765" s="6" t="s">
        <v>165</v>
      </c>
    </row>
    <row r="766" spans="1:24" ht="15" customHeight="1" x14ac:dyDescent="0.3">
      <c r="A766" s="6" t="s">
        <v>533</v>
      </c>
      <c r="B766" s="6" t="s">
        <v>534</v>
      </c>
      <c r="C766" s="6" t="s">
        <v>31</v>
      </c>
      <c r="D766" s="1088" t="s">
        <v>549</v>
      </c>
      <c r="E766" s="6" t="s">
        <v>171</v>
      </c>
      <c r="F766" s="6" t="s">
        <v>634</v>
      </c>
      <c r="G766" s="6" t="s">
        <v>2801</v>
      </c>
      <c r="H766" s="6" t="s">
        <v>1886</v>
      </c>
      <c r="J766" s="1215" t="s">
        <v>509</v>
      </c>
      <c r="K766" s="1219" t="s">
        <v>3112</v>
      </c>
      <c r="L766" s="8">
        <v>3</v>
      </c>
      <c r="M766" s="8">
        <v>17</v>
      </c>
      <c r="N766" s="1169" t="s">
        <v>272</v>
      </c>
      <c r="P766" s="6" t="s">
        <v>3323</v>
      </c>
      <c r="Q766" s="1215" t="s">
        <v>253</v>
      </c>
      <c r="R766" s="1215" t="s">
        <v>255</v>
      </c>
      <c r="S766" s="1215" t="s">
        <v>534</v>
      </c>
      <c r="T766" s="1215" t="s">
        <v>533</v>
      </c>
      <c r="U766" s="6" t="s">
        <v>549</v>
      </c>
      <c r="V766" s="6" t="s">
        <v>31</v>
      </c>
      <c r="W766" s="6" t="s">
        <v>748</v>
      </c>
      <c r="X766" s="1215" t="s">
        <v>164</v>
      </c>
    </row>
    <row r="767" spans="1:24" ht="15" customHeight="1" x14ac:dyDescent="0.3">
      <c r="A767" s="6" t="s">
        <v>533</v>
      </c>
      <c r="B767" s="6" t="s">
        <v>534</v>
      </c>
      <c r="C767" s="6" t="s">
        <v>31</v>
      </c>
      <c r="D767" s="1088" t="s">
        <v>549</v>
      </c>
      <c r="E767" s="6" t="s">
        <v>171</v>
      </c>
      <c r="F767" s="6" t="s">
        <v>634</v>
      </c>
      <c r="G767" s="6" t="s">
        <v>1212</v>
      </c>
      <c r="H767" s="6" t="s">
        <v>850</v>
      </c>
      <c r="J767" s="1215" t="s">
        <v>509</v>
      </c>
      <c r="K767" s="1219" t="s">
        <v>3111</v>
      </c>
      <c r="L767" s="8">
        <v>7</v>
      </c>
      <c r="M767" s="8">
        <v>40</v>
      </c>
      <c r="N767" s="1169" t="s">
        <v>274</v>
      </c>
      <c r="P767" s="6" t="s">
        <v>3324</v>
      </c>
      <c r="Q767" s="1215" t="s">
        <v>253</v>
      </c>
      <c r="R767" s="1215" t="s">
        <v>255</v>
      </c>
      <c r="S767" s="1215" t="s">
        <v>534</v>
      </c>
      <c r="T767" s="1215" t="s">
        <v>533</v>
      </c>
      <c r="U767" s="6" t="s">
        <v>549</v>
      </c>
      <c r="V767" s="6" t="s">
        <v>31</v>
      </c>
      <c r="W767" s="6" t="s">
        <v>634</v>
      </c>
      <c r="X767" s="6" t="s">
        <v>171</v>
      </c>
    </row>
    <row r="768" spans="1:24" ht="15" customHeight="1" x14ac:dyDescent="0.3">
      <c r="A768" s="6" t="s">
        <v>533</v>
      </c>
      <c r="B768" s="6" t="s">
        <v>534</v>
      </c>
      <c r="C768" s="6" t="s">
        <v>31</v>
      </c>
      <c r="D768" s="1088" t="s">
        <v>549</v>
      </c>
      <c r="E768" s="6" t="s">
        <v>171</v>
      </c>
      <c r="F768" s="6" t="s">
        <v>634</v>
      </c>
      <c r="G768" s="6" t="s">
        <v>1212</v>
      </c>
      <c r="H768" s="6" t="s">
        <v>850</v>
      </c>
      <c r="J768" s="1215" t="s">
        <v>509</v>
      </c>
      <c r="K768" s="1219" t="s">
        <v>3112</v>
      </c>
      <c r="L768" s="8">
        <v>4</v>
      </c>
      <c r="M768" s="8">
        <v>27</v>
      </c>
      <c r="N768" s="1169" t="s">
        <v>272</v>
      </c>
      <c r="P768" s="6" t="s">
        <v>3324</v>
      </c>
      <c r="Q768" s="1215" t="s">
        <v>253</v>
      </c>
      <c r="R768" s="1215" t="s">
        <v>255</v>
      </c>
      <c r="S768" s="1215" t="s">
        <v>534</v>
      </c>
      <c r="T768" s="1215" t="s">
        <v>533</v>
      </c>
      <c r="U768" s="6" t="s">
        <v>549</v>
      </c>
      <c r="V768" s="6" t="s">
        <v>31</v>
      </c>
      <c r="W768" s="6" t="s">
        <v>634</v>
      </c>
      <c r="X768" s="6" t="s">
        <v>171</v>
      </c>
    </row>
    <row r="769" spans="1:24" ht="15" customHeight="1" x14ac:dyDescent="0.3">
      <c r="A769" s="6" t="s">
        <v>533</v>
      </c>
      <c r="B769" s="6" t="s">
        <v>534</v>
      </c>
      <c r="C769" s="6" t="s">
        <v>31</v>
      </c>
      <c r="D769" s="1088" t="s">
        <v>549</v>
      </c>
      <c r="E769" s="6" t="s">
        <v>171</v>
      </c>
      <c r="F769" s="6" t="s">
        <v>634</v>
      </c>
      <c r="G769" s="6" t="s">
        <v>2020</v>
      </c>
      <c r="H769" s="6" t="s">
        <v>1919</v>
      </c>
      <c r="J769" s="1215" t="s">
        <v>509</v>
      </c>
      <c r="K769" s="1219" t="s">
        <v>3033</v>
      </c>
      <c r="L769" s="8">
        <v>3</v>
      </c>
      <c r="M769" s="8">
        <v>25</v>
      </c>
      <c r="N769" s="1169" t="s">
        <v>271</v>
      </c>
      <c r="P769" s="6" t="s">
        <v>3323</v>
      </c>
      <c r="Q769" s="1215" t="s">
        <v>253</v>
      </c>
      <c r="R769" s="1215" t="s">
        <v>255</v>
      </c>
      <c r="S769" s="1215" t="s">
        <v>534</v>
      </c>
      <c r="T769" s="1215" t="s">
        <v>533</v>
      </c>
      <c r="U769" s="6" t="s">
        <v>549</v>
      </c>
      <c r="V769" s="6" t="s">
        <v>31</v>
      </c>
      <c r="W769" s="6" t="s">
        <v>844</v>
      </c>
      <c r="X769" s="6" t="s">
        <v>166</v>
      </c>
    </row>
    <row r="770" spans="1:24" ht="15" customHeight="1" x14ac:dyDescent="0.3">
      <c r="A770" s="6" t="s">
        <v>533</v>
      </c>
      <c r="B770" s="6" t="s">
        <v>534</v>
      </c>
      <c r="C770" s="6" t="s">
        <v>31</v>
      </c>
      <c r="D770" s="1088" t="s">
        <v>549</v>
      </c>
      <c r="E770" s="6" t="s">
        <v>171</v>
      </c>
      <c r="F770" s="6" t="s">
        <v>634</v>
      </c>
      <c r="G770" s="6" t="s">
        <v>2020</v>
      </c>
      <c r="H770" s="6" t="s">
        <v>1919</v>
      </c>
      <c r="J770" s="1215" t="s">
        <v>509</v>
      </c>
      <c r="K770" s="1219" t="s">
        <v>3112</v>
      </c>
      <c r="L770" s="8">
        <v>2</v>
      </c>
      <c r="M770" s="8">
        <v>7</v>
      </c>
      <c r="N770" s="1169" t="s">
        <v>271</v>
      </c>
      <c r="P770" s="6" t="s">
        <v>3323</v>
      </c>
      <c r="Q770" s="1215" t="s">
        <v>253</v>
      </c>
      <c r="R770" s="1215" t="s">
        <v>255</v>
      </c>
      <c r="S770" s="1215" t="s">
        <v>534</v>
      </c>
      <c r="T770" s="1215" t="s">
        <v>533</v>
      </c>
      <c r="U770" s="6" t="s">
        <v>549</v>
      </c>
      <c r="V770" s="6" t="s">
        <v>31</v>
      </c>
      <c r="W770" s="6" t="s">
        <v>881</v>
      </c>
      <c r="X770" s="6" t="s">
        <v>165</v>
      </c>
    </row>
    <row r="771" spans="1:24" ht="15" customHeight="1" x14ac:dyDescent="0.3">
      <c r="A771" s="6" t="s">
        <v>533</v>
      </c>
      <c r="B771" s="6" t="s">
        <v>534</v>
      </c>
      <c r="C771" s="6" t="s">
        <v>31</v>
      </c>
      <c r="D771" s="1088" t="s">
        <v>549</v>
      </c>
      <c r="E771" s="6" t="s">
        <v>171</v>
      </c>
      <c r="F771" s="6" t="s">
        <v>634</v>
      </c>
      <c r="G771" s="6" t="s">
        <v>1780</v>
      </c>
      <c r="H771" s="6" t="s">
        <v>1717</v>
      </c>
      <c r="J771" s="1215" t="s">
        <v>509</v>
      </c>
      <c r="K771" s="1219" t="s">
        <v>3033</v>
      </c>
      <c r="L771" s="8">
        <v>55</v>
      </c>
      <c r="M771" s="8">
        <v>265</v>
      </c>
      <c r="N771" s="1169" t="s">
        <v>271</v>
      </c>
      <c r="P771" s="6" t="s">
        <v>3323</v>
      </c>
      <c r="Q771" s="1215" t="s">
        <v>253</v>
      </c>
      <c r="R771" s="1215" t="s">
        <v>255</v>
      </c>
      <c r="S771" s="1215" t="s">
        <v>534</v>
      </c>
      <c r="T771" s="1215" t="s">
        <v>533</v>
      </c>
      <c r="U771" s="6" t="s">
        <v>549</v>
      </c>
      <c r="V771" s="6" t="s">
        <v>31</v>
      </c>
      <c r="W771" s="6" t="s">
        <v>844</v>
      </c>
      <c r="X771" s="6" t="s">
        <v>166</v>
      </c>
    </row>
    <row r="772" spans="1:24" ht="15" customHeight="1" x14ac:dyDescent="0.3">
      <c r="A772" s="6" t="s">
        <v>533</v>
      </c>
      <c r="B772" s="6" t="s">
        <v>534</v>
      </c>
      <c r="C772" s="6" t="s">
        <v>31</v>
      </c>
      <c r="D772" s="1088" t="s">
        <v>549</v>
      </c>
      <c r="E772" s="6" t="s">
        <v>170</v>
      </c>
      <c r="F772" s="6" t="s">
        <v>866</v>
      </c>
      <c r="G772" s="6" t="s">
        <v>2972</v>
      </c>
      <c r="H772" s="6" t="s">
        <v>2174</v>
      </c>
      <c r="J772" s="1215" t="s">
        <v>509</v>
      </c>
      <c r="K772" s="1219" t="s">
        <v>3033</v>
      </c>
      <c r="L772" s="8">
        <v>4</v>
      </c>
      <c r="M772" s="8">
        <v>24</v>
      </c>
      <c r="N772" s="1169" t="s">
        <v>271</v>
      </c>
      <c r="P772" s="6" t="s">
        <v>3323</v>
      </c>
      <c r="Q772" s="1215" t="s">
        <v>253</v>
      </c>
      <c r="R772" s="1215" t="s">
        <v>255</v>
      </c>
      <c r="S772" s="1215" t="s">
        <v>534</v>
      </c>
      <c r="T772" s="1215" t="s">
        <v>533</v>
      </c>
      <c r="U772" s="6" t="s">
        <v>549</v>
      </c>
      <c r="V772" s="6" t="s">
        <v>31</v>
      </c>
      <c r="W772" s="6" t="s">
        <v>844</v>
      </c>
      <c r="X772" s="6" t="s">
        <v>166</v>
      </c>
    </row>
    <row r="773" spans="1:24" ht="15" customHeight="1" x14ac:dyDescent="0.3">
      <c r="A773" s="6" t="s">
        <v>533</v>
      </c>
      <c r="B773" s="6" t="s">
        <v>534</v>
      </c>
      <c r="C773" s="6" t="s">
        <v>31</v>
      </c>
      <c r="D773" s="6" t="s">
        <v>549</v>
      </c>
      <c r="E773" s="1088" t="s">
        <v>170</v>
      </c>
      <c r="F773" s="6" t="s">
        <v>866</v>
      </c>
      <c r="G773" s="6" t="s">
        <v>2972</v>
      </c>
      <c r="H773" s="6" t="s">
        <v>2174</v>
      </c>
      <c r="J773" s="1215" t="s">
        <v>509</v>
      </c>
      <c r="K773" s="1219" t="s">
        <v>3109</v>
      </c>
      <c r="L773" s="8">
        <v>1</v>
      </c>
      <c r="M773" s="8">
        <v>6</v>
      </c>
      <c r="N773" s="1169" t="s">
        <v>271</v>
      </c>
      <c r="P773" s="6" t="s">
        <v>3323</v>
      </c>
      <c r="Q773" s="1215" t="s">
        <v>253</v>
      </c>
      <c r="R773" s="1215" t="s">
        <v>255</v>
      </c>
      <c r="S773" s="1215" t="s">
        <v>534</v>
      </c>
      <c r="T773" s="1215" t="s">
        <v>533</v>
      </c>
      <c r="U773" s="6" t="s">
        <v>549</v>
      </c>
      <c r="V773" s="6" t="s">
        <v>31</v>
      </c>
      <c r="W773" s="6" t="s">
        <v>844</v>
      </c>
      <c r="X773" s="6" t="s">
        <v>166</v>
      </c>
    </row>
    <row r="774" spans="1:24" ht="15" customHeight="1" x14ac:dyDescent="0.3">
      <c r="A774" s="6" t="s">
        <v>533</v>
      </c>
      <c r="B774" s="6" t="s">
        <v>534</v>
      </c>
      <c r="C774" s="6" t="s">
        <v>31</v>
      </c>
      <c r="D774" s="1088" t="s">
        <v>549</v>
      </c>
      <c r="E774" s="6" t="s">
        <v>170</v>
      </c>
      <c r="F774" s="6" t="s">
        <v>866</v>
      </c>
      <c r="G774" s="6" t="s">
        <v>2972</v>
      </c>
      <c r="H774" s="6" t="s">
        <v>2174</v>
      </c>
      <c r="J774" s="1215" t="s">
        <v>509</v>
      </c>
      <c r="K774" s="1219" t="s">
        <v>3110</v>
      </c>
      <c r="L774" s="8">
        <v>1</v>
      </c>
      <c r="M774" s="8">
        <v>6</v>
      </c>
      <c r="N774" s="1169" t="s">
        <v>271</v>
      </c>
      <c r="P774" s="6" t="s">
        <v>3323</v>
      </c>
      <c r="Q774" s="1215" t="s">
        <v>253</v>
      </c>
      <c r="R774" s="1215" t="s">
        <v>255</v>
      </c>
      <c r="S774" s="1215" t="s">
        <v>534</v>
      </c>
      <c r="T774" s="1215" t="s">
        <v>533</v>
      </c>
      <c r="U774" s="6" t="s">
        <v>549</v>
      </c>
      <c r="V774" s="6" t="s">
        <v>31</v>
      </c>
      <c r="W774" s="6" t="s">
        <v>844</v>
      </c>
      <c r="X774" s="6" t="s">
        <v>166</v>
      </c>
    </row>
    <row r="775" spans="1:24" ht="15" customHeight="1" x14ac:dyDescent="0.3">
      <c r="A775" s="6" t="s">
        <v>533</v>
      </c>
      <c r="B775" s="6" t="s">
        <v>534</v>
      </c>
      <c r="C775" s="6" t="s">
        <v>31</v>
      </c>
      <c r="D775" s="6" t="s">
        <v>549</v>
      </c>
      <c r="E775" s="1088" t="s">
        <v>170</v>
      </c>
      <c r="F775" s="6" t="s">
        <v>866</v>
      </c>
      <c r="G775" s="6" t="s">
        <v>2972</v>
      </c>
      <c r="H775" s="6" t="s">
        <v>2174</v>
      </c>
      <c r="J775" s="1215" t="s">
        <v>509</v>
      </c>
      <c r="K775" s="1219" t="s">
        <v>3111</v>
      </c>
      <c r="L775" s="8">
        <v>1</v>
      </c>
      <c r="M775" s="8">
        <v>4</v>
      </c>
      <c r="N775" s="1169" t="s">
        <v>274</v>
      </c>
      <c r="P775" s="6" t="s">
        <v>3323</v>
      </c>
      <c r="Q775" s="1215" t="s">
        <v>253</v>
      </c>
      <c r="R775" s="1215" t="s">
        <v>255</v>
      </c>
      <c r="S775" s="1215" t="s">
        <v>534</v>
      </c>
      <c r="T775" s="1215" t="s">
        <v>533</v>
      </c>
      <c r="U775" s="6" t="s">
        <v>549</v>
      </c>
      <c r="V775" s="6" t="s">
        <v>31</v>
      </c>
      <c r="W775" s="6" t="s">
        <v>673</v>
      </c>
      <c r="X775" s="6" t="s">
        <v>169</v>
      </c>
    </row>
    <row r="776" spans="1:24" ht="15" customHeight="1" x14ac:dyDescent="0.3">
      <c r="A776" s="6" t="s">
        <v>533</v>
      </c>
      <c r="B776" s="6" t="s">
        <v>534</v>
      </c>
      <c r="C776" s="6" t="s">
        <v>31</v>
      </c>
      <c r="D776" s="1088" t="s">
        <v>549</v>
      </c>
      <c r="E776" s="6" t="s">
        <v>170</v>
      </c>
      <c r="F776" s="6" t="s">
        <v>866</v>
      </c>
      <c r="G776" s="6" t="s">
        <v>2972</v>
      </c>
      <c r="H776" s="6" t="s">
        <v>2174</v>
      </c>
      <c r="J776" s="1215" t="s">
        <v>509</v>
      </c>
      <c r="K776" s="1219" t="s">
        <v>3112</v>
      </c>
      <c r="L776" s="8">
        <v>1</v>
      </c>
      <c r="M776" s="8">
        <v>5</v>
      </c>
      <c r="N776" s="6" t="s">
        <v>272</v>
      </c>
      <c r="P776" s="6" t="s">
        <v>3323</v>
      </c>
      <c r="Q776" s="1215" t="s">
        <v>253</v>
      </c>
      <c r="R776" s="1215" t="s">
        <v>255</v>
      </c>
      <c r="S776" s="1215" t="s">
        <v>534</v>
      </c>
      <c r="T776" s="1215" t="s">
        <v>533</v>
      </c>
      <c r="U776" s="6" t="s">
        <v>549</v>
      </c>
      <c r="V776" s="6" t="s">
        <v>31</v>
      </c>
      <c r="W776" s="6" t="s">
        <v>673</v>
      </c>
      <c r="X776" s="6" t="s">
        <v>169</v>
      </c>
    </row>
    <row r="777" spans="1:24" ht="15" customHeight="1" x14ac:dyDescent="0.3">
      <c r="A777" s="6" t="s">
        <v>533</v>
      </c>
      <c r="B777" s="6" t="s">
        <v>534</v>
      </c>
      <c r="C777" s="6" t="s">
        <v>31</v>
      </c>
      <c r="D777" s="1088" t="s">
        <v>549</v>
      </c>
      <c r="E777" s="6" t="s">
        <v>169</v>
      </c>
      <c r="F777" s="6" t="s">
        <v>673</v>
      </c>
      <c r="G777" s="6" t="s">
        <v>1639</v>
      </c>
      <c r="H777" s="6" t="s">
        <v>841</v>
      </c>
      <c r="J777" s="1215" t="s">
        <v>509</v>
      </c>
      <c r="K777" s="1219" t="s">
        <v>3033</v>
      </c>
      <c r="L777" s="8">
        <v>22</v>
      </c>
      <c r="M777" s="8">
        <v>90</v>
      </c>
      <c r="N777" s="1169" t="s">
        <v>271</v>
      </c>
      <c r="P777" s="6" t="s">
        <v>3324</v>
      </c>
      <c r="Q777" s="1215" t="s">
        <v>253</v>
      </c>
      <c r="R777" s="1215" t="s">
        <v>255</v>
      </c>
      <c r="S777" s="1215" t="s">
        <v>534</v>
      </c>
      <c r="T777" s="1215" t="s">
        <v>533</v>
      </c>
      <c r="U777" s="6" t="s">
        <v>549</v>
      </c>
      <c r="V777" s="6" t="s">
        <v>31</v>
      </c>
      <c r="W777" s="6" t="s">
        <v>673</v>
      </c>
      <c r="X777" s="6" t="s">
        <v>169</v>
      </c>
    </row>
    <row r="778" spans="1:24" ht="15" customHeight="1" x14ac:dyDescent="0.3">
      <c r="A778" s="6" t="s">
        <v>533</v>
      </c>
      <c r="B778" s="6" t="s">
        <v>534</v>
      </c>
      <c r="C778" s="6" t="s">
        <v>31</v>
      </c>
      <c r="D778" s="1088" t="s">
        <v>549</v>
      </c>
      <c r="E778" s="6" t="s">
        <v>170</v>
      </c>
      <c r="F778" s="6" t="s">
        <v>866</v>
      </c>
      <c r="G778" s="6" t="s">
        <v>1501</v>
      </c>
      <c r="H778" s="6" t="s">
        <v>1861</v>
      </c>
      <c r="J778" s="1215" t="s">
        <v>509</v>
      </c>
      <c r="K778" s="1219" t="s">
        <v>3033</v>
      </c>
      <c r="L778" s="8">
        <v>43</v>
      </c>
      <c r="M778" s="8">
        <v>90</v>
      </c>
      <c r="N778" s="1169" t="s">
        <v>274</v>
      </c>
      <c r="P778" s="6" t="s">
        <v>3323</v>
      </c>
      <c r="Q778" s="1215" t="s">
        <v>253</v>
      </c>
      <c r="R778" s="1215" t="s">
        <v>255</v>
      </c>
      <c r="S778" s="1215" t="s">
        <v>534</v>
      </c>
      <c r="T778" s="1215" t="s">
        <v>533</v>
      </c>
      <c r="U778" s="6" t="s">
        <v>549</v>
      </c>
      <c r="V778" s="6" t="s">
        <v>31</v>
      </c>
      <c r="W778" s="6" t="s">
        <v>844</v>
      </c>
      <c r="X778" s="6" t="s">
        <v>166</v>
      </c>
    </row>
    <row r="779" spans="1:24" ht="15" customHeight="1" x14ac:dyDescent="0.3">
      <c r="A779" s="6" t="s">
        <v>533</v>
      </c>
      <c r="B779" s="6" t="s">
        <v>534</v>
      </c>
      <c r="C779" s="6" t="s">
        <v>31</v>
      </c>
      <c r="D779" s="1088" t="s">
        <v>549</v>
      </c>
      <c r="E779" s="1088" t="s">
        <v>170</v>
      </c>
      <c r="F779" s="6" t="s">
        <v>866</v>
      </c>
      <c r="G779" s="6" t="s">
        <v>1501</v>
      </c>
      <c r="H779" s="6" t="s">
        <v>1861</v>
      </c>
      <c r="J779" s="1215" t="s">
        <v>509</v>
      </c>
      <c r="K779" s="1219" t="s">
        <v>3109</v>
      </c>
      <c r="L779" s="8">
        <v>13</v>
      </c>
      <c r="M779" s="8">
        <v>50</v>
      </c>
      <c r="N779" s="1169" t="s">
        <v>271</v>
      </c>
      <c r="P779" s="6" t="s">
        <v>3323</v>
      </c>
      <c r="Q779" s="1215" t="s">
        <v>253</v>
      </c>
      <c r="R779" s="1215" t="s">
        <v>255</v>
      </c>
      <c r="S779" s="1215" t="s">
        <v>534</v>
      </c>
      <c r="T779" s="1215" t="s">
        <v>533</v>
      </c>
      <c r="U779" s="6" t="s">
        <v>549</v>
      </c>
      <c r="V779" s="6" t="s">
        <v>31</v>
      </c>
      <c r="W779" s="6" t="s">
        <v>844</v>
      </c>
      <c r="X779" s="1088" t="s">
        <v>166</v>
      </c>
    </row>
    <row r="780" spans="1:24" ht="15" customHeight="1" x14ac:dyDescent="0.3">
      <c r="A780" s="6" t="s">
        <v>533</v>
      </c>
      <c r="B780" s="6" t="s">
        <v>534</v>
      </c>
      <c r="C780" s="6" t="s">
        <v>31</v>
      </c>
      <c r="D780" s="1088" t="s">
        <v>549</v>
      </c>
      <c r="E780" s="1088" t="s">
        <v>170</v>
      </c>
      <c r="F780" s="6" t="s">
        <v>866</v>
      </c>
      <c r="G780" s="6" t="s">
        <v>1501</v>
      </c>
      <c r="H780" s="6" t="s">
        <v>1861</v>
      </c>
      <c r="J780" s="1215" t="s">
        <v>509</v>
      </c>
      <c r="K780" s="1219" t="s">
        <v>3110</v>
      </c>
      <c r="L780" s="8">
        <v>4</v>
      </c>
      <c r="M780" s="8">
        <v>30</v>
      </c>
      <c r="N780" s="6" t="s">
        <v>271</v>
      </c>
      <c r="P780" s="6" t="s">
        <v>3323</v>
      </c>
      <c r="Q780" s="1215" t="s">
        <v>253</v>
      </c>
      <c r="R780" s="1215" t="s">
        <v>255</v>
      </c>
      <c r="S780" s="1215" t="s">
        <v>534</v>
      </c>
      <c r="T780" s="1215" t="s">
        <v>533</v>
      </c>
      <c r="U780" s="6" t="s">
        <v>549</v>
      </c>
      <c r="V780" s="6" t="s">
        <v>31</v>
      </c>
      <c r="W780" s="6" t="s">
        <v>844</v>
      </c>
      <c r="X780" s="1088" t="s">
        <v>166</v>
      </c>
    </row>
    <row r="781" spans="1:24" ht="15" customHeight="1" x14ac:dyDescent="0.3">
      <c r="A781" s="6" t="s">
        <v>533</v>
      </c>
      <c r="B781" s="6" t="s">
        <v>534</v>
      </c>
      <c r="C781" s="6" t="s">
        <v>31</v>
      </c>
      <c r="D781" s="1088" t="s">
        <v>549</v>
      </c>
      <c r="E781" s="1088" t="s">
        <v>170</v>
      </c>
      <c r="F781" s="6" t="s">
        <v>866</v>
      </c>
      <c r="G781" s="6" t="s">
        <v>1501</v>
      </c>
      <c r="H781" s="6" t="s">
        <v>1861</v>
      </c>
      <c r="J781" s="1215" t="s">
        <v>509</v>
      </c>
      <c r="K781" s="1219" t="s">
        <v>3111</v>
      </c>
      <c r="L781" s="8">
        <v>15</v>
      </c>
      <c r="M781" s="8">
        <v>90</v>
      </c>
      <c r="N781" s="1169" t="s">
        <v>274</v>
      </c>
      <c r="P781" s="6" t="s">
        <v>3323</v>
      </c>
      <c r="Q781" s="1215" t="s">
        <v>253</v>
      </c>
      <c r="R781" s="1215" t="s">
        <v>255</v>
      </c>
      <c r="S781" s="1215" t="s">
        <v>534</v>
      </c>
      <c r="T781" s="1215" t="s">
        <v>533</v>
      </c>
      <c r="U781" s="6" t="s">
        <v>549</v>
      </c>
      <c r="V781" s="6" t="s">
        <v>31</v>
      </c>
      <c r="W781" s="6" t="s">
        <v>673</v>
      </c>
      <c r="X781" s="1088" t="s">
        <v>169</v>
      </c>
    </row>
    <row r="782" spans="1:24" ht="15" customHeight="1" x14ac:dyDescent="0.3">
      <c r="A782" s="6" t="s">
        <v>533</v>
      </c>
      <c r="B782" s="6" t="s">
        <v>534</v>
      </c>
      <c r="C782" s="6" t="s">
        <v>31</v>
      </c>
      <c r="D782" s="1088" t="s">
        <v>549</v>
      </c>
      <c r="E782" s="1088" t="s">
        <v>170</v>
      </c>
      <c r="F782" s="6" t="s">
        <v>866</v>
      </c>
      <c r="G782" s="6" t="s">
        <v>1501</v>
      </c>
      <c r="H782" s="6" t="s">
        <v>1861</v>
      </c>
      <c r="J782" s="1215" t="s">
        <v>509</v>
      </c>
      <c r="K782" s="1219" t="s">
        <v>3112</v>
      </c>
      <c r="L782" s="8">
        <v>2</v>
      </c>
      <c r="M782" s="8">
        <v>20</v>
      </c>
      <c r="N782" s="1169" t="s">
        <v>272</v>
      </c>
      <c r="P782" s="6" t="s">
        <v>3323</v>
      </c>
      <c r="Q782" s="1215" t="s">
        <v>253</v>
      </c>
      <c r="R782" s="1215" t="s">
        <v>255</v>
      </c>
      <c r="S782" s="1215" t="s">
        <v>534</v>
      </c>
      <c r="T782" s="1215" t="s">
        <v>533</v>
      </c>
      <c r="U782" s="6" t="s">
        <v>549</v>
      </c>
      <c r="V782" s="6" t="s">
        <v>31</v>
      </c>
      <c r="W782" s="6" t="s">
        <v>673</v>
      </c>
      <c r="X782" s="1088" t="s">
        <v>169</v>
      </c>
    </row>
    <row r="783" spans="1:24" ht="15" customHeight="1" x14ac:dyDescent="0.3">
      <c r="A783" s="6" t="s">
        <v>533</v>
      </c>
      <c r="B783" s="6" t="s">
        <v>534</v>
      </c>
      <c r="C783" s="6" t="s">
        <v>31</v>
      </c>
      <c r="D783" s="1088" t="s">
        <v>549</v>
      </c>
      <c r="E783" s="6" t="s">
        <v>171</v>
      </c>
      <c r="F783" s="6" t="s">
        <v>634</v>
      </c>
      <c r="G783" s="6" t="s">
        <v>918</v>
      </c>
      <c r="H783" s="6" t="s">
        <v>1290</v>
      </c>
      <c r="J783" s="1215" t="s">
        <v>509</v>
      </c>
      <c r="K783" s="1219" t="s">
        <v>3033</v>
      </c>
      <c r="L783" s="8">
        <v>12</v>
      </c>
      <c r="M783" s="8">
        <v>82</v>
      </c>
      <c r="N783" s="1169" t="s">
        <v>271</v>
      </c>
      <c r="P783" s="6" t="s">
        <v>3323</v>
      </c>
      <c r="Q783" s="1215" t="s">
        <v>253</v>
      </c>
      <c r="R783" s="1215" t="s">
        <v>255</v>
      </c>
      <c r="S783" s="1215" t="s">
        <v>534</v>
      </c>
      <c r="T783" s="1215" t="s">
        <v>533</v>
      </c>
      <c r="U783" s="6" t="s">
        <v>549</v>
      </c>
      <c r="V783" s="6" t="s">
        <v>31</v>
      </c>
      <c r="W783" s="6" t="s">
        <v>844</v>
      </c>
      <c r="X783" s="6" t="s">
        <v>166</v>
      </c>
    </row>
    <row r="784" spans="1:24" ht="15" customHeight="1" x14ac:dyDescent="0.3">
      <c r="A784" s="6" t="s">
        <v>533</v>
      </c>
      <c r="B784" s="6" t="s">
        <v>534</v>
      </c>
      <c r="C784" s="6" t="s">
        <v>31</v>
      </c>
      <c r="D784" s="1088" t="s">
        <v>549</v>
      </c>
      <c r="E784" s="6" t="s">
        <v>171</v>
      </c>
      <c r="F784" s="6" t="s">
        <v>634</v>
      </c>
      <c r="G784" s="6" t="s">
        <v>918</v>
      </c>
      <c r="H784" s="6" t="s">
        <v>1290</v>
      </c>
      <c r="J784" s="1215" t="s">
        <v>509</v>
      </c>
      <c r="K784" s="1219" t="s">
        <v>3110</v>
      </c>
      <c r="L784" s="8">
        <v>4</v>
      </c>
      <c r="M784" s="8">
        <v>27</v>
      </c>
      <c r="N784" s="1169" t="s">
        <v>271</v>
      </c>
      <c r="P784" s="6" t="s">
        <v>3323</v>
      </c>
      <c r="Q784" s="1215" t="s">
        <v>253</v>
      </c>
      <c r="R784" s="1215" t="s">
        <v>255</v>
      </c>
      <c r="S784" s="1215" t="s">
        <v>534</v>
      </c>
      <c r="T784" s="1215" t="s">
        <v>533</v>
      </c>
      <c r="U784" s="6" t="s">
        <v>549</v>
      </c>
      <c r="V784" s="6" t="s">
        <v>31</v>
      </c>
      <c r="W784" s="6" t="s">
        <v>881</v>
      </c>
      <c r="X784" s="6" t="s">
        <v>165</v>
      </c>
    </row>
    <row r="785" spans="1:24" ht="15" customHeight="1" x14ac:dyDescent="0.3">
      <c r="A785" s="6" t="s">
        <v>533</v>
      </c>
      <c r="B785" s="6" t="s">
        <v>534</v>
      </c>
      <c r="C785" s="6" t="s">
        <v>31</v>
      </c>
      <c r="D785" s="1088" t="s">
        <v>549</v>
      </c>
      <c r="E785" s="6" t="s">
        <v>171</v>
      </c>
      <c r="F785" s="6" t="s">
        <v>634</v>
      </c>
      <c r="G785" s="6" t="s">
        <v>871</v>
      </c>
      <c r="H785" s="6" t="s">
        <v>1286</v>
      </c>
      <c r="J785" s="1215" t="s">
        <v>509</v>
      </c>
      <c r="K785" s="1219" t="s">
        <v>3033</v>
      </c>
      <c r="L785" s="8">
        <v>35</v>
      </c>
      <c r="M785" s="8">
        <v>139</v>
      </c>
      <c r="N785" s="1169" t="s">
        <v>271</v>
      </c>
      <c r="P785" s="6" t="s">
        <v>3324</v>
      </c>
      <c r="Q785" s="1215" t="s">
        <v>253</v>
      </c>
      <c r="R785" s="1215" t="s">
        <v>255</v>
      </c>
      <c r="S785" s="1215" t="s">
        <v>534</v>
      </c>
      <c r="T785" s="1215" t="s">
        <v>533</v>
      </c>
      <c r="U785" s="6" t="s">
        <v>549</v>
      </c>
      <c r="V785" s="6" t="s">
        <v>31</v>
      </c>
      <c r="W785" s="6" t="s">
        <v>634</v>
      </c>
      <c r="X785" s="6" t="s">
        <v>171</v>
      </c>
    </row>
    <row r="786" spans="1:24" ht="15" customHeight="1" x14ac:dyDescent="0.3">
      <c r="A786" s="6" t="s">
        <v>533</v>
      </c>
      <c r="B786" s="6" t="s">
        <v>534</v>
      </c>
      <c r="C786" s="6" t="s">
        <v>31</v>
      </c>
      <c r="D786" s="1088" t="s">
        <v>549</v>
      </c>
      <c r="E786" s="6" t="s">
        <v>171</v>
      </c>
      <c r="F786" s="6" t="s">
        <v>634</v>
      </c>
      <c r="G786" s="6" t="s">
        <v>871</v>
      </c>
      <c r="H786" s="6" t="s">
        <v>1286</v>
      </c>
      <c r="J786" s="1215" t="s">
        <v>509</v>
      </c>
      <c r="K786" s="1219" t="s">
        <v>3110</v>
      </c>
      <c r="L786" s="8">
        <v>2</v>
      </c>
      <c r="M786" s="8">
        <v>7</v>
      </c>
      <c r="N786" s="1169" t="s">
        <v>271</v>
      </c>
      <c r="P786" s="6" t="s">
        <v>3323</v>
      </c>
      <c r="Q786" s="1215" t="s">
        <v>253</v>
      </c>
      <c r="R786" s="1215" t="s">
        <v>255</v>
      </c>
      <c r="S786" s="1215" t="s">
        <v>534</v>
      </c>
      <c r="T786" s="1215" t="s">
        <v>533</v>
      </c>
      <c r="U786" s="6" t="s">
        <v>549</v>
      </c>
      <c r="V786" s="6" t="s">
        <v>31</v>
      </c>
      <c r="W786" s="6" t="s">
        <v>844</v>
      </c>
      <c r="X786" s="6" t="s">
        <v>166</v>
      </c>
    </row>
    <row r="787" spans="1:24" ht="15" customHeight="1" x14ac:dyDescent="0.3">
      <c r="A787" s="6" t="s">
        <v>533</v>
      </c>
      <c r="B787" s="6" t="s">
        <v>534</v>
      </c>
      <c r="C787" s="6" t="s">
        <v>31</v>
      </c>
      <c r="D787" s="1088" t="s">
        <v>549</v>
      </c>
      <c r="E787" s="6" t="s">
        <v>171</v>
      </c>
      <c r="F787" s="6" t="s">
        <v>634</v>
      </c>
      <c r="G787" s="6" t="s">
        <v>1540</v>
      </c>
      <c r="H787" s="6" t="s">
        <v>3242</v>
      </c>
      <c r="J787" s="1215" t="s">
        <v>509</v>
      </c>
      <c r="K787" s="1219" t="s">
        <v>3111</v>
      </c>
      <c r="L787" s="8">
        <v>153</v>
      </c>
      <c r="M787" s="8">
        <v>837</v>
      </c>
      <c r="N787" s="1169" t="s">
        <v>271</v>
      </c>
      <c r="P787" s="6" t="s">
        <v>3324</v>
      </c>
      <c r="Q787" s="1215" t="s">
        <v>253</v>
      </c>
      <c r="R787" s="1215" t="s">
        <v>255</v>
      </c>
      <c r="S787" s="1215" t="s">
        <v>534</v>
      </c>
      <c r="T787" s="1215" t="s">
        <v>533</v>
      </c>
      <c r="U787" s="6" t="s">
        <v>549</v>
      </c>
      <c r="V787" s="6" t="s">
        <v>31</v>
      </c>
      <c r="W787" s="6" t="s">
        <v>634</v>
      </c>
      <c r="X787" s="6" t="s">
        <v>171</v>
      </c>
    </row>
    <row r="788" spans="1:24" ht="15" customHeight="1" x14ac:dyDescent="0.3">
      <c r="A788" s="6" t="s">
        <v>533</v>
      </c>
      <c r="B788" s="6" t="s">
        <v>534</v>
      </c>
      <c r="C788" s="6" t="s">
        <v>31</v>
      </c>
      <c r="D788" s="1088" t="s">
        <v>549</v>
      </c>
      <c r="E788" s="6" t="s">
        <v>171</v>
      </c>
      <c r="F788" s="6" t="s">
        <v>634</v>
      </c>
      <c r="G788" s="6" t="s">
        <v>2022</v>
      </c>
      <c r="H788" s="6" t="s">
        <v>1752</v>
      </c>
      <c r="J788" s="1215" t="s">
        <v>509</v>
      </c>
      <c r="K788" s="1219" t="s">
        <v>3111</v>
      </c>
      <c r="L788" s="8">
        <v>49</v>
      </c>
      <c r="M788" s="8">
        <v>367</v>
      </c>
      <c r="N788" s="1169" t="s">
        <v>272</v>
      </c>
      <c r="P788" s="6" t="s">
        <v>3324</v>
      </c>
      <c r="Q788" s="1215" t="s">
        <v>253</v>
      </c>
      <c r="R788" s="1215" t="s">
        <v>255</v>
      </c>
      <c r="S788" s="1215" t="s">
        <v>534</v>
      </c>
      <c r="T788" s="1215" t="s">
        <v>533</v>
      </c>
      <c r="U788" s="6" t="s">
        <v>549</v>
      </c>
      <c r="V788" s="6" t="s">
        <v>31</v>
      </c>
      <c r="W788" s="6" t="s">
        <v>634</v>
      </c>
      <c r="X788" s="6" t="s">
        <v>171</v>
      </c>
    </row>
    <row r="789" spans="1:24" ht="15" customHeight="1" x14ac:dyDescent="0.3">
      <c r="A789" s="6" t="s">
        <v>533</v>
      </c>
      <c r="B789" s="6" t="s">
        <v>534</v>
      </c>
      <c r="C789" s="6" t="s">
        <v>31</v>
      </c>
      <c r="D789" s="1088" t="s">
        <v>549</v>
      </c>
      <c r="E789" s="1088" t="s">
        <v>171</v>
      </c>
      <c r="F789" s="6" t="s">
        <v>634</v>
      </c>
      <c r="G789" s="6" t="s">
        <v>2022</v>
      </c>
      <c r="H789" s="6" t="s">
        <v>1752</v>
      </c>
      <c r="J789" s="1215" t="s">
        <v>509</v>
      </c>
      <c r="K789" s="1219" t="s">
        <v>3112</v>
      </c>
      <c r="L789" s="8">
        <v>1</v>
      </c>
      <c r="M789" s="8">
        <v>2</v>
      </c>
      <c r="N789" s="1169" t="s">
        <v>272</v>
      </c>
      <c r="P789" s="6" t="s">
        <v>3324</v>
      </c>
      <c r="Q789" s="1215" t="s">
        <v>253</v>
      </c>
      <c r="R789" s="1215" t="s">
        <v>255</v>
      </c>
      <c r="S789" s="1215" t="s">
        <v>534</v>
      </c>
      <c r="T789" s="1215" t="s">
        <v>533</v>
      </c>
      <c r="U789" s="6" t="s">
        <v>549</v>
      </c>
      <c r="V789" s="6" t="s">
        <v>31</v>
      </c>
      <c r="W789" s="6" t="s">
        <v>634</v>
      </c>
      <c r="X789" s="6" t="s">
        <v>171</v>
      </c>
    </row>
    <row r="790" spans="1:24" ht="15" customHeight="1" x14ac:dyDescent="0.3">
      <c r="A790" s="6" t="s">
        <v>533</v>
      </c>
      <c r="B790" s="6" t="s">
        <v>534</v>
      </c>
      <c r="C790" s="6" t="s">
        <v>31</v>
      </c>
      <c r="D790" s="1088" t="s">
        <v>549</v>
      </c>
      <c r="E790" s="1088" t="s">
        <v>164</v>
      </c>
      <c r="F790" s="6" t="s">
        <v>748</v>
      </c>
      <c r="G790" s="6" t="s">
        <v>751</v>
      </c>
      <c r="H790" s="6" t="s">
        <v>3244</v>
      </c>
      <c r="J790" s="1215" t="s">
        <v>509</v>
      </c>
      <c r="K790" s="1219" t="s">
        <v>3033</v>
      </c>
      <c r="L790" s="8">
        <v>118</v>
      </c>
      <c r="M790" s="8">
        <v>1500</v>
      </c>
      <c r="N790" s="1169" t="s">
        <v>272</v>
      </c>
      <c r="P790" s="6" t="s">
        <v>3324</v>
      </c>
      <c r="Q790" s="1215" t="s">
        <v>253</v>
      </c>
      <c r="R790" s="1215" t="s">
        <v>255</v>
      </c>
      <c r="S790" s="1215" t="s">
        <v>534</v>
      </c>
      <c r="T790" s="1215" t="s">
        <v>533</v>
      </c>
      <c r="U790" s="6" t="s">
        <v>549</v>
      </c>
      <c r="V790" s="6" t="s">
        <v>31</v>
      </c>
      <c r="W790" s="6" t="s">
        <v>748</v>
      </c>
      <c r="X790" s="6" t="s">
        <v>164</v>
      </c>
    </row>
    <row r="791" spans="1:24" ht="15" customHeight="1" x14ac:dyDescent="0.3">
      <c r="A791" s="6" t="s">
        <v>533</v>
      </c>
      <c r="B791" s="6" t="s">
        <v>534</v>
      </c>
      <c r="C791" s="6" t="s">
        <v>31</v>
      </c>
      <c r="D791" s="1088" t="s">
        <v>549</v>
      </c>
      <c r="E791" s="1088" t="s">
        <v>164</v>
      </c>
      <c r="F791" s="6" t="s">
        <v>748</v>
      </c>
      <c r="G791" s="6" t="s">
        <v>751</v>
      </c>
      <c r="H791" s="6" t="s">
        <v>3244</v>
      </c>
      <c r="J791" s="1215" t="s">
        <v>509</v>
      </c>
      <c r="K791" s="1219" t="s">
        <v>3112</v>
      </c>
      <c r="L791" s="8">
        <v>5</v>
      </c>
      <c r="M791" s="8">
        <v>53</v>
      </c>
      <c r="N791" s="1169" t="s">
        <v>271</v>
      </c>
      <c r="P791" s="6" t="s">
        <v>3323</v>
      </c>
      <c r="Q791" s="1215" t="s">
        <v>253</v>
      </c>
      <c r="R791" s="1215" t="s">
        <v>255</v>
      </c>
      <c r="S791" s="1215" t="s">
        <v>534</v>
      </c>
      <c r="T791" s="1215" t="s">
        <v>533</v>
      </c>
      <c r="U791" s="6" t="s">
        <v>549</v>
      </c>
      <c r="V791" s="6" t="s">
        <v>31</v>
      </c>
      <c r="W791" s="6" t="s">
        <v>881</v>
      </c>
      <c r="X791" s="6" t="s">
        <v>165</v>
      </c>
    </row>
    <row r="792" spans="1:24" ht="15" customHeight="1" x14ac:dyDescent="0.3">
      <c r="A792" s="6" t="s">
        <v>533</v>
      </c>
      <c r="B792" s="6" t="s">
        <v>534</v>
      </c>
      <c r="C792" s="6" t="s">
        <v>31</v>
      </c>
      <c r="D792" s="1088" t="s">
        <v>549</v>
      </c>
      <c r="E792" s="6" t="s">
        <v>164</v>
      </c>
      <c r="F792" s="6" t="s">
        <v>748</v>
      </c>
      <c r="G792" s="6" t="s">
        <v>1970</v>
      </c>
      <c r="H792" s="6" t="s">
        <v>1971</v>
      </c>
      <c r="J792" s="1215" t="s">
        <v>509</v>
      </c>
      <c r="K792" s="1219" t="s">
        <v>3033</v>
      </c>
      <c r="L792" s="8">
        <v>11</v>
      </c>
      <c r="M792" s="8">
        <v>26</v>
      </c>
      <c r="N792" s="1169" t="s">
        <v>271</v>
      </c>
      <c r="P792" s="6" t="s">
        <v>3324</v>
      </c>
      <c r="Q792" s="1215" t="s">
        <v>253</v>
      </c>
      <c r="R792" s="1215" t="s">
        <v>255</v>
      </c>
      <c r="S792" s="1215" t="s">
        <v>534</v>
      </c>
      <c r="T792" s="1215" t="s">
        <v>533</v>
      </c>
      <c r="U792" s="6" t="s">
        <v>549</v>
      </c>
      <c r="V792" s="6" t="s">
        <v>31</v>
      </c>
      <c r="W792" s="6" t="s">
        <v>748</v>
      </c>
      <c r="X792" s="6" t="s">
        <v>164</v>
      </c>
    </row>
    <row r="793" spans="1:24" ht="15" customHeight="1" x14ac:dyDescent="0.3">
      <c r="A793" s="6" t="s">
        <v>533</v>
      </c>
      <c r="B793" s="6" t="s">
        <v>534</v>
      </c>
      <c r="C793" s="6" t="s">
        <v>31</v>
      </c>
      <c r="D793" s="1088" t="s">
        <v>549</v>
      </c>
      <c r="E793" s="1088" t="s">
        <v>164</v>
      </c>
      <c r="F793" s="6" t="s">
        <v>748</v>
      </c>
      <c r="G793" s="6" t="s">
        <v>1970</v>
      </c>
      <c r="H793" s="6" t="s">
        <v>1971</v>
      </c>
      <c r="J793" s="1215" t="s">
        <v>509</v>
      </c>
      <c r="K793" s="1219" t="s">
        <v>3112</v>
      </c>
      <c r="L793" s="8">
        <v>5</v>
      </c>
      <c r="M793" s="8">
        <v>25</v>
      </c>
      <c r="N793" s="1169" t="s">
        <v>271</v>
      </c>
      <c r="P793" s="6" t="s">
        <v>3323</v>
      </c>
      <c r="Q793" s="1215" t="s">
        <v>253</v>
      </c>
      <c r="R793" s="1215" t="s">
        <v>255</v>
      </c>
      <c r="S793" s="1215" t="s">
        <v>534</v>
      </c>
      <c r="T793" s="1215" t="s">
        <v>533</v>
      </c>
      <c r="U793" s="6" t="s">
        <v>549</v>
      </c>
      <c r="V793" s="6" t="s">
        <v>31</v>
      </c>
      <c r="W793" s="1215" t="s">
        <v>634</v>
      </c>
      <c r="X793" s="6" t="s">
        <v>171</v>
      </c>
    </row>
    <row r="794" spans="1:24" ht="15" customHeight="1" x14ac:dyDescent="0.3">
      <c r="A794" s="6" t="s">
        <v>533</v>
      </c>
      <c r="B794" s="6" t="s">
        <v>534</v>
      </c>
      <c r="C794" s="6" t="s">
        <v>31</v>
      </c>
      <c r="D794" s="1088" t="s">
        <v>549</v>
      </c>
      <c r="E794" s="1088" t="s">
        <v>171</v>
      </c>
      <c r="F794" s="6" t="s">
        <v>634</v>
      </c>
      <c r="G794" s="6" t="s">
        <v>1320</v>
      </c>
      <c r="H794" s="6" t="s">
        <v>1321</v>
      </c>
      <c r="J794" s="1215" t="s">
        <v>509</v>
      </c>
      <c r="K794" s="1219" t="s">
        <v>3111</v>
      </c>
      <c r="L794" s="8">
        <v>6</v>
      </c>
      <c r="M794" s="8">
        <v>35</v>
      </c>
      <c r="N794" s="1169" t="s">
        <v>271</v>
      </c>
      <c r="P794" s="6" t="s">
        <v>3323</v>
      </c>
      <c r="Q794" s="1215" t="s">
        <v>253</v>
      </c>
      <c r="R794" s="1215" t="s">
        <v>255</v>
      </c>
      <c r="S794" s="1215" t="s">
        <v>534</v>
      </c>
      <c r="T794" s="1215" t="s">
        <v>533</v>
      </c>
      <c r="U794" s="6" t="s">
        <v>549</v>
      </c>
      <c r="V794" s="6" t="s">
        <v>31</v>
      </c>
      <c r="W794" s="6" t="s">
        <v>881</v>
      </c>
      <c r="X794" s="6" t="s">
        <v>165</v>
      </c>
    </row>
    <row r="795" spans="1:24" ht="15" customHeight="1" x14ac:dyDescent="0.3">
      <c r="A795" s="6" t="s">
        <v>533</v>
      </c>
      <c r="B795" s="6" t="s">
        <v>534</v>
      </c>
      <c r="C795" s="6" t="s">
        <v>31</v>
      </c>
      <c r="D795" s="1088" t="s">
        <v>549</v>
      </c>
      <c r="E795" s="1088" t="s">
        <v>171</v>
      </c>
      <c r="F795" s="6" t="s">
        <v>634</v>
      </c>
      <c r="G795" s="6" t="s">
        <v>1320</v>
      </c>
      <c r="H795" s="6" t="s">
        <v>1321</v>
      </c>
      <c r="J795" s="1215" t="s">
        <v>509</v>
      </c>
      <c r="K795" s="1219" t="s">
        <v>3112</v>
      </c>
      <c r="L795" s="8">
        <v>10</v>
      </c>
      <c r="M795" s="8">
        <v>57</v>
      </c>
      <c r="N795" s="1169" t="s">
        <v>271</v>
      </c>
      <c r="P795" s="6" t="s">
        <v>3323</v>
      </c>
      <c r="Q795" s="1215" t="s">
        <v>253</v>
      </c>
      <c r="R795" s="1215" t="s">
        <v>255</v>
      </c>
      <c r="S795" s="1215" t="s">
        <v>534</v>
      </c>
      <c r="T795" s="1215" t="s">
        <v>533</v>
      </c>
      <c r="U795" s="6" t="s">
        <v>549</v>
      </c>
      <c r="V795" s="6" t="s">
        <v>31</v>
      </c>
      <c r="W795" s="6" t="s">
        <v>748</v>
      </c>
      <c r="X795" s="6" t="s">
        <v>164</v>
      </c>
    </row>
    <row r="796" spans="1:24" ht="15" customHeight="1" x14ac:dyDescent="0.3">
      <c r="A796" s="6" t="s">
        <v>533</v>
      </c>
      <c r="B796" s="6" t="s">
        <v>534</v>
      </c>
      <c r="C796" s="6" t="s">
        <v>31</v>
      </c>
      <c r="D796" s="1088" t="s">
        <v>549</v>
      </c>
      <c r="E796" s="1088" t="s">
        <v>171</v>
      </c>
      <c r="F796" s="6" t="s">
        <v>634</v>
      </c>
      <c r="G796" s="6" t="s">
        <v>1250</v>
      </c>
      <c r="H796" s="6" t="s">
        <v>1251</v>
      </c>
      <c r="J796" s="1215" t="s">
        <v>509</v>
      </c>
      <c r="K796" s="1219" t="s">
        <v>3111</v>
      </c>
      <c r="L796" s="8">
        <v>3</v>
      </c>
      <c r="M796" s="8">
        <v>15</v>
      </c>
      <c r="N796" s="6" t="s">
        <v>271</v>
      </c>
      <c r="P796" s="6" t="s">
        <v>3323</v>
      </c>
      <c r="Q796" s="1215" t="s">
        <v>253</v>
      </c>
      <c r="R796" s="1215" t="s">
        <v>255</v>
      </c>
      <c r="S796" s="1215" t="s">
        <v>534</v>
      </c>
      <c r="T796" s="1215" t="s">
        <v>533</v>
      </c>
      <c r="U796" s="6" t="s">
        <v>549</v>
      </c>
      <c r="V796" s="6" t="s">
        <v>31</v>
      </c>
      <c r="W796" s="6" t="s">
        <v>881</v>
      </c>
      <c r="X796" s="6" t="s">
        <v>165</v>
      </c>
    </row>
    <row r="797" spans="1:24" ht="15" customHeight="1" x14ac:dyDescent="0.3">
      <c r="A797" s="6" t="s">
        <v>533</v>
      </c>
      <c r="B797" s="6" t="s">
        <v>534</v>
      </c>
      <c r="C797" s="6" t="s">
        <v>31</v>
      </c>
      <c r="D797" s="1088" t="s">
        <v>549</v>
      </c>
      <c r="E797" s="6" t="s">
        <v>171</v>
      </c>
      <c r="F797" s="6" t="s">
        <v>634</v>
      </c>
      <c r="G797" s="6" t="s">
        <v>1250</v>
      </c>
      <c r="H797" s="6" t="s">
        <v>1251</v>
      </c>
      <c r="J797" s="1215" t="s">
        <v>509</v>
      </c>
      <c r="K797" s="1219" t="s">
        <v>3112</v>
      </c>
      <c r="L797" s="8">
        <v>8</v>
      </c>
      <c r="M797" s="8">
        <v>38</v>
      </c>
      <c r="N797" s="1169" t="s">
        <v>271</v>
      </c>
      <c r="P797" s="6" t="s">
        <v>3323</v>
      </c>
      <c r="Q797" s="1215" t="s">
        <v>253</v>
      </c>
      <c r="R797" s="1215" t="s">
        <v>255</v>
      </c>
      <c r="S797" s="1215" t="s">
        <v>534</v>
      </c>
      <c r="T797" s="1215" t="s">
        <v>533</v>
      </c>
      <c r="U797" s="6" t="s">
        <v>549</v>
      </c>
      <c r="V797" s="6" t="s">
        <v>31</v>
      </c>
      <c r="W797" s="6" t="s">
        <v>844</v>
      </c>
      <c r="X797" s="6" t="s">
        <v>166</v>
      </c>
    </row>
    <row r="798" spans="1:24" ht="15" customHeight="1" x14ac:dyDescent="0.3">
      <c r="A798" s="6" t="s">
        <v>533</v>
      </c>
      <c r="B798" s="6" t="s">
        <v>534</v>
      </c>
      <c r="C798" s="6" t="s">
        <v>35</v>
      </c>
      <c r="D798" s="1088" t="s">
        <v>567</v>
      </c>
      <c r="E798" s="6" t="s">
        <v>192</v>
      </c>
      <c r="F798" s="6" t="s">
        <v>853</v>
      </c>
      <c r="G798" s="6" t="s">
        <v>945</v>
      </c>
      <c r="H798" s="6" t="s">
        <v>1005</v>
      </c>
      <c r="J798" s="1215" t="s">
        <v>509</v>
      </c>
      <c r="K798" s="1219" t="s">
        <v>3109</v>
      </c>
      <c r="L798" s="8">
        <v>44</v>
      </c>
      <c r="M798" s="8">
        <v>274</v>
      </c>
      <c r="N798" s="1169" t="s">
        <v>271</v>
      </c>
      <c r="P798" s="6" t="s">
        <v>3324</v>
      </c>
      <c r="Q798" s="1215" t="s">
        <v>253</v>
      </c>
      <c r="R798" s="1215" t="s">
        <v>255</v>
      </c>
      <c r="S798" s="1215" t="s">
        <v>534</v>
      </c>
      <c r="T798" s="1215" t="s">
        <v>533</v>
      </c>
      <c r="U798" s="6" t="s">
        <v>567</v>
      </c>
      <c r="V798" s="6" t="s">
        <v>35</v>
      </c>
      <c r="W798" s="6" t="s">
        <v>853</v>
      </c>
      <c r="X798" s="6" t="s">
        <v>192</v>
      </c>
    </row>
    <row r="799" spans="1:24" ht="15" customHeight="1" x14ac:dyDescent="0.3">
      <c r="A799" s="6" t="s">
        <v>533</v>
      </c>
      <c r="B799" s="6" t="s">
        <v>534</v>
      </c>
      <c r="C799" s="6" t="s">
        <v>35</v>
      </c>
      <c r="D799" s="1088" t="s">
        <v>567</v>
      </c>
      <c r="E799" s="6" t="s">
        <v>192</v>
      </c>
      <c r="F799" s="6" t="s">
        <v>853</v>
      </c>
      <c r="G799" s="6" t="s">
        <v>945</v>
      </c>
      <c r="H799" s="6" t="s">
        <v>1005</v>
      </c>
      <c r="J799" s="1215" t="s">
        <v>509</v>
      </c>
      <c r="K799" s="1219" t="s">
        <v>3110</v>
      </c>
      <c r="L799" s="8">
        <v>52</v>
      </c>
      <c r="M799" s="8">
        <v>301</v>
      </c>
      <c r="N799" s="1169" t="s">
        <v>271</v>
      </c>
      <c r="P799" s="6" t="s">
        <v>3324</v>
      </c>
      <c r="Q799" s="1215" t="s">
        <v>253</v>
      </c>
      <c r="R799" s="1215" t="s">
        <v>255</v>
      </c>
      <c r="S799" s="1215" t="s">
        <v>534</v>
      </c>
      <c r="T799" s="1215" t="s">
        <v>533</v>
      </c>
      <c r="U799" s="6" t="s">
        <v>567</v>
      </c>
      <c r="V799" s="6" t="s">
        <v>35</v>
      </c>
      <c r="W799" s="6" t="s">
        <v>853</v>
      </c>
      <c r="X799" s="6" t="s">
        <v>192</v>
      </c>
    </row>
    <row r="800" spans="1:24" ht="15" customHeight="1" x14ac:dyDescent="0.3">
      <c r="A800" s="6" t="s">
        <v>533</v>
      </c>
      <c r="B800" s="6" t="s">
        <v>534</v>
      </c>
      <c r="C800" s="6" t="s">
        <v>35</v>
      </c>
      <c r="D800" s="1088" t="s">
        <v>567</v>
      </c>
      <c r="E800" s="6" t="s">
        <v>192</v>
      </c>
      <c r="F800" s="6" t="s">
        <v>853</v>
      </c>
      <c r="G800" s="6" t="s">
        <v>945</v>
      </c>
      <c r="H800" s="6" t="s">
        <v>1005</v>
      </c>
      <c r="J800" s="1215" t="s">
        <v>509</v>
      </c>
      <c r="K800" s="1219" t="s">
        <v>3111</v>
      </c>
      <c r="L800" s="8">
        <v>52</v>
      </c>
      <c r="M800" s="8">
        <v>296</v>
      </c>
      <c r="N800" s="1169" t="s">
        <v>271</v>
      </c>
      <c r="P800" s="6" t="s">
        <v>3324</v>
      </c>
      <c r="Q800" s="1215" t="s">
        <v>253</v>
      </c>
      <c r="R800" s="1215" t="s">
        <v>255</v>
      </c>
      <c r="S800" s="1215" t="s">
        <v>534</v>
      </c>
      <c r="T800" s="1215" t="s">
        <v>533</v>
      </c>
      <c r="U800" s="6" t="s">
        <v>567</v>
      </c>
      <c r="V800" s="6" t="s">
        <v>35</v>
      </c>
      <c r="W800" s="6" t="s">
        <v>853</v>
      </c>
      <c r="X800" s="6" t="s">
        <v>192</v>
      </c>
    </row>
    <row r="801" spans="1:24" ht="15" customHeight="1" x14ac:dyDescent="0.3">
      <c r="A801" s="6" t="s">
        <v>533</v>
      </c>
      <c r="B801" s="6" t="s">
        <v>534</v>
      </c>
      <c r="C801" s="6" t="s">
        <v>35</v>
      </c>
      <c r="D801" s="1088" t="s">
        <v>567</v>
      </c>
      <c r="E801" s="6" t="s">
        <v>192</v>
      </c>
      <c r="F801" s="6" t="s">
        <v>853</v>
      </c>
      <c r="G801" s="6" t="s">
        <v>945</v>
      </c>
      <c r="H801" s="6" t="s">
        <v>1005</v>
      </c>
      <c r="J801" s="1215" t="s">
        <v>509</v>
      </c>
      <c r="K801" s="1219" t="s">
        <v>3112</v>
      </c>
      <c r="L801" s="8">
        <v>13</v>
      </c>
      <c r="M801" s="8">
        <v>57</v>
      </c>
      <c r="N801" s="1169" t="s">
        <v>271</v>
      </c>
      <c r="P801" s="6" t="s">
        <v>3324</v>
      </c>
      <c r="Q801" s="1215" t="s">
        <v>253</v>
      </c>
      <c r="R801" s="1215" t="s">
        <v>255</v>
      </c>
      <c r="S801" s="1215" t="s">
        <v>534</v>
      </c>
      <c r="T801" s="1215" t="s">
        <v>533</v>
      </c>
      <c r="U801" s="6" t="s">
        <v>567</v>
      </c>
      <c r="V801" s="6" t="s">
        <v>35</v>
      </c>
      <c r="W801" s="6" t="s">
        <v>853</v>
      </c>
      <c r="X801" s="6" t="s">
        <v>192</v>
      </c>
    </row>
    <row r="802" spans="1:24" ht="15" customHeight="1" x14ac:dyDescent="0.3">
      <c r="A802" s="6" t="s">
        <v>533</v>
      </c>
      <c r="B802" s="6" t="s">
        <v>534</v>
      </c>
      <c r="C802" s="6" t="s">
        <v>35</v>
      </c>
      <c r="D802" s="1088" t="s">
        <v>567</v>
      </c>
      <c r="E802" s="6" t="s">
        <v>192</v>
      </c>
      <c r="F802" s="6" t="s">
        <v>853</v>
      </c>
      <c r="G802" s="6" t="s">
        <v>1532</v>
      </c>
      <c r="H802" s="6" t="s">
        <v>1611</v>
      </c>
      <c r="J802" s="1215" t="s">
        <v>509</v>
      </c>
      <c r="K802" s="1219" t="s">
        <v>3109</v>
      </c>
      <c r="L802" s="8">
        <v>79</v>
      </c>
      <c r="M802" s="8">
        <v>555</v>
      </c>
      <c r="N802" s="1169" t="s">
        <v>271</v>
      </c>
      <c r="P802" s="6" t="s">
        <v>3324</v>
      </c>
      <c r="Q802" s="1215" t="s">
        <v>253</v>
      </c>
      <c r="R802" s="1215" t="s">
        <v>255</v>
      </c>
      <c r="S802" s="1215" t="s">
        <v>534</v>
      </c>
      <c r="T802" s="1215" t="s">
        <v>533</v>
      </c>
      <c r="U802" s="6" t="s">
        <v>567</v>
      </c>
      <c r="V802" s="6" t="s">
        <v>35</v>
      </c>
      <c r="W802" s="6" t="s">
        <v>853</v>
      </c>
      <c r="X802" s="6" t="s">
        <v>192</v>
      </c>
    </row>
    <row r="803" spans="1:24" ht="15" customHeight="1" x14ac:dyDescent="0.3">
      <c r="A803" s="6" t="s">
        <v>533</v>
      </c>
      <c r="B803" s="6" t="s">
        <v>534</v>
      </c>
      <c r="C803" s="6" t="s">
        <v>35</v>
      </c>
      <c r="D803" s="1088" t="s">
        <v>567</v>
      </c>
      <c r="E803" s="6" t="s">
        <v>192</v>
      </c>
      <c r="F803" s="6" t="s">
        <v>853</v>
      </c>
      <c r="G803" s="6" t="s">
        <v>1532</v>
      </c>
      <c r="H803" s="6" t="s">
        <v>1611</v>
      </c>
      <c r="J803" s="1215" t="s">
        <v>509</v>
      </c>
      <c r="K803" s="1219" t="s">
        <v>3110</v>
      </c>
      <c r="L803" s="8">
        <v>83</v>
      </c>
      <c r="M803" s="8">
        <v>572</v>
      </c>
      <c r="N803" s="1169" t="s">
        <v>271</v>
      </c>
      <c r="P803" s="6" t="s">
        <v>3324</v>
      </c>
      <c r="Q803" s="1215" t="s">
        <v>253</v>
      </c>
      <c r="R803" s="1215" t="s">
        <v>255</v>
      </c>
      <c r="S803" s="1215" t="s">
        <v>534</v>
      </c>
      <c r="T803" s="1215" t="s">
        <v>533</v>
      </c>
      <c r="U803" s="6" t="s">
        <v>567</v>
      </c>
      <c r="V803" s="6" t="s">
        <v>35</v>
      </c>
      <c r="W803" s="6" t="s">
        <v>853</v>
      </c>
      <c r="X803" s="6" t="s">
        <v>192</v>
      </c>
    </row>
    <row r="804" spans="1:24" ht="15" customHeight="1" x14ac:dyDescent="0.3">
      <c r="A804" s="6" t="s">
        <v>533</v>
      </c>
      <c r="B804" s="6" t="s">
        <v>534</v>
      </c>
      <c r="C804" s="6" t="s">
        <v>35</v>
      </c>
      <c r="D804" s="1088" t="s">
        <v>567</v>
      </c>
      <c r="E804" s="6" t="s">
        <v>192</v>
      </c>
      <c r="F804" s="6" t="s">
        <v>853</v>
      </c>
      <c r="G804" s="6" t="s">
        <v>1532</v>
      </c>
      <c r="H804" s="6" t="s">
        <v>1611</v>
      </c>
      <c r="J804" s="1215" t="s">
        <v>509</v>
      </c>
      <c r="K804" s="1219" t="s">
        <v>3111</v>
      </c>
      <c r="L804" s="8">
        <v>95</v>
      </c>
      <c r="M804" s="8">
        <v>609</v>
      </c>
      <c r="N804" s="6" t="s">
        <v>271</v>
      </c>
      <c r="P804" s="6" t="s">
        <v>3324</v>
      </c>
      <c r="Q804" s="1215" t="s">
        <v>253</v>
      </c>
      <c r="R804" s="1215" t="s">
        <v>255</v>
      </c>
      <c r="S804" s="1215" t="s">
        <v>534</v>
      </c>
      <c r="T804" s="1215" t="s">
        <v>533</v>
      </c>
      <c r="U804" s="6" t="s">
        <v>567</v>
      </c>
      <c r="V804" s="6" t="s">
        <v>35</v>
      </c>
      <c r="W804" s="6" t="s">
        <v>853</v>
      </c>
      <c r="X804" s="6" t="s">
        <v>192</v>
      </c>
    </row>
    <row r="805" spans="1:24" ht="15" customHeight="1" x14ac:dyDescent="0.3">
      <c r="A805" s="6" t="s">
        <v>533</v>
      </c>
      <c r="B805" s="6" t="s">
        <v>534</v>
      </c>
      <c r="C805" s="6" t="s">
        <v>35</v>
      </c>
      <c r="D805" s="1088" t="s">
        <v>567</v>
      </c>
      <c r="E805" s="6" t="s">
        <v>192</v>
      </c>
      <c r="F805" s="6" t="s">
        <v>853</v>
      </c>
      <c r="G805" s="6" t="s">
        <v>1532</v>
      </c>
      <c r="H805" s="6" t="s">
        <v>1611</v>
      </c>
      <c r="J805" s="1215" t="s">
        <v>509</v>
      </c>
      <c r="K805" s="1219" t="s">
        <v>3112</v>
      </c>
      <c r="L805" s="8">
        <v>20</v>
      </c>
      <c r="M805" s="8">
        <v>127</v>
      </c>
      <c r="N805" s="1169" t="s">
        <v>271</v>
      </c>
      <c r="P805" s="6" t="s">
        <v>3324</v>
      </c>
      <c r="Q805" s="1215" t="s">
        <v>253</v>
      </c>
      <c r="R805" s="1215" t="s">
        <v>255</v>
      </c>
      <c r="S805" s="1215" t="s">
        <v>534</v>
      </c>
      <c r="T805" s="1215" t="s">
        <v>533</v>
      </c>
      <c r="U805" s="6" t="s">
        <v>567</v>
      </c>
      <c r="V805" s="6" t="s">
        <v>35</v>
      </c>
      <c r="W805" s="6" t="s">
        <v>853</v>
      </c>
      <c r="X805" s="6" t="s">
        <v>192</v>
      </c>
    </row>
    <row r="806" spans="1:24" ht="15" customHeight="1" x14ac:dyDescent="0.3">
      <c r="A806" s="6" t="s">
        <v>533</v>
      </c>
      <c r="B806" s="6" t="s">
        <v>534</v>
      </c>
      <c r="C806" s="6" t="s">
        <v>35</v>
      </c>
      <c r="D806" s="1088" t="s">
        <v>567</v>
      </c>
      <c r="E806" s="6" t="s">
        <v>192</v>
      </c>
      <c r="F806" s="6" t="s">
        <v>853</v>
      </c>
      <c r="G806" s="6" t="s">
        <v>1166</v>
      </c>
      <c r="H806" s="6" t="s">
        <v>855</v>
      </c>
      <c r="J806" s="1215" t="s">
        <v>509</v>
      </c>
      <c r="K806" s="1219" t="s">
        <v>3112</v>
      </c>
      <c r="L806" s="8">
        <v>280</v>
      </c>
      <c r="M806" s="8">
        <v>1718</v>
      </c>
      <c r="N806" s="1169" t="s">
        <v>271</v>
      </c>
      <c r="P806" s="6" t="s">
        <v>3323</v>
      </c>
      <c r="Q806" s="1215" t="s">
        <v>253</v>
      </c>
      <c r="R806" s="1215" t="s">
        <v>255</v>
      </c>
      <c r="S806" s="1215" t="s">
        <v>534</v>
      </c>
      <c r="T806" s="1215" t="s">
        <v>533</v>
      </c>
      <c r="U806" s="6" t="s">
        <v>567</v>
      </c>
      <c r="V806" s="6" t="s">
        <v>35</v>
      </c>
      <c r="W806" s="6" t="s">
        <v>863</v>
      </c>
      <c r="X806" s="6" t="s">
        <v>193</v>
      </c>
    </row>
    <row r="807" spans="1:24" ht="15" customHeight="1" x14ac:dyDescent="0.3">
      <c r="A807" s="6" t="s">
        <v>533</v>
      </c>
      <c r="B807" s="6" t="s">
        <v>534</v>
      </c>
      <c r="C807" s="6" t="s">
        <v>35</v>
      </c>
      <c r="D807" s="1088" t="s">
        <v>567</v>
      </c>
      <c r="E807" s="6" t="s">
        <v>192</v>
      </c>
      <c r="F807" s="6" t="s">
        <v>853</v>
      </c>
      <c r="G807" s="6" t="s">
        <v>1166</v>
      </c>
      <c r="H807" s="6" t="s">
        <v>855</v>
      </c>
      <c r="J807" s="1215" t="s">
        <v>509</v>
      </c>
      <c r="K807" s="1219" t="s">
        <v>3111</v>
      </c>
      <c r="L807" s="8">
        <v>297</v>
      </c>
      <c r="M807" s="8">
        <v>1780</v>
      </c>
      <c r="N807" s="1169" t="s">
        <v>271</v>
      </c>
      <c r="P807" s="6" t="s">
        <v>3324</v>
      </c>
      <c r="Q807" s="1215" t="s">
        <v>253</v>
      </c>
      <c r="R807" s="1215" t="s">
        <v>255</v>
      </c>
      <c r="S807" s="1215" t="s">
        <v>534</v>
      </c>
      <c r="T807" s="1215" t="s">
        <v>533</v>
      </c>
      <c r="U807" s="6" t="s">
        <v>567</v>
      </c>
      <c r="V807" s="6" t="s">
        <v>35</v>
      </c>
      <c r="W807" s="6" t="s">
        <v>853</v>
      </c>
      <c r="X807" s="6" t="s">
        <v>192</v>
      </c>
    </row>
    <row r="808" spans="1:24" ht="15" customHeight="1" x14ac:dyDescent="0.3">
      <c r="A808" s="6" t="s">
        <v>533</v>
      </c>
      <c r="B808" s="6" t="s">
        <v>534</v>
      </c>
      <c r="C808" s="6" t="s">
        <v>35</v>
      </c>
      <c r="D808" s="1088" t="s">
        <v>567</v>
      </c>
      <c r="E808" s="6" t="s">
        <v>192</v>
      </c>
      <c r="F808" s="6" t="s">
        <v>853</v>
      </c>
      <c r="G808" s="6" t="s">
        <v>1166</v>
      </c>
      <c r="H808" s="6" t="s">
        <v>855</v>
      </c>
      <c r="J808" s="1215" t="s">
        <v>509</v>
      </c>
      <c r="K808" s="1219" t="s">
        <v>3110</v>
      </c>
      <c r="L808" s="8">
        <v>355</v>
      </c>
      <c r="M808" s="8">
        <v>2118</v>
      </c>
      <c r="N808" s="1169" t="s">
        <v>271</v>
      </c>
      <c r="P808" s="6" t="s">
        <v>3324</v>
      </c>
      <c r="Q808" s="1215" t="s">
        <v>253</v>
      </c>
      <c r="R808" s="1215" t="s">
        <v>255</v>
      </c>
      <c r="S808" s="1215" t="s">
        <v>534</v>
      </c>
      <c r="T808" s="1215" t="s">
        <v>533</v>
      </c>
      <c r="U808" s="6" t="s">
        <v>567</v>
      </c>
      <c r="V808" s="6" t="s">
        <v>35</v>
      </c>
      <c r="W808" s="6" t="s">
        <v>853</v>
      </c>
      <c r="X808" s="6" t="s">
        <v>192</v>
      </c>
    </row>
    <row r="809" spans="1:24" ht="15" customHeight="1" x14ac:dyDescent="0.3">
      <c r="A809" s="6" t="s">
        <v>533</v>
      </c>
      <c r="B809" s="6" t="s">
        <v>534</v>
      </c>
      <c r="C809" s="6" t="s">
        <v>35</v>
      </c>
      <c r="D809" s="1088" t="s">
        <v>567</v>
      </c>
      <c r="E809" s="6" t="s">
        <v>192</v>
      </c>
      <c r="F809" s="6" t="s">
        <v>853</v>
      </c>
      <c r="G809" s="6" t="s">
        <v>1166</v>
      </c>
      <c r="H809" s="6" t="s">
        <v>855</v>
      </c>
      <c r="J809" s="1215" t="s">
        <v>509</v>
      </c>
      <c r="K809" s="1219" t="s">
        <v>3109</v>
      </c>
      <c r="L809" s="8">
        <v>13</v>
      </c>
      <c r="M809" s="8">
        <v>72</v>
      </c>
      <c r="N809" s="1169" t="s">
        <v>271</v>
      </c>
      <c r="P809" s="6" t="s">
        <v>3324</v>
      </c>
      <c r="Q809" s="1215" t="s">
        <v>253</v>
      </c>
      <c r="R809" s="1215" t="s">
        <v>255</v>
      </c>
      <c r="S809" s="1215" t="s">
        <v>534</v>
      </c>
      <c r="T809" s="1215" t="s">
        <v>533</v>
      </c>
      <c r="U809" s="6" t="s">
        <v>567</v>
      </c>
      <c r="V809" s="6" t="s">
        <v>35</v>
      </c>
      <c r="W809" s="6" t="s">
        <v>853</v>
      </c>
      <c r="X809" s="6" t="s">
        <v>192</v>
      </c>
    </row>
    <row r="810" spans="1:24" ht="15" customHeight="1" x14ac:dyDescent="0.3">
      <c r="A810" s="6" t="s">
        <v>533</v>
      </c>
      <c r="B810" s="6" t="s">
        <v>534</v>
      </c>
      <c r="C810" s="6" t="s">
        <v>35</v>
      </c>
      <c r="D810" s="1088" t="s">
        <v>567</v>
      </c>
      <c r="E810" s="6" t="s">
        <v>192</v>
      </c>
      <c r="F810" s="6" t="s">
        <v>853</v>
      </c>
      <c r="G810" s="6" t="s">
        <v>1505</v>
      </c>
      <c r="H810" s="6" t="s">
        <v>1169</v>
      </c>
      <c r="J810" s="1215" t="s">
        <v>509</v>
      </c>
      <c r="K810" s="1219" t="s">
        <v>3111</v>
      </c>
      <c r="L810" s="8">
        <v>43</v>
      </c>
      <c r="M810" s="8">
        <v>310</v>
      </c>
      <c r="N810" s="1169" t="s">
        <v>271</v>
      </c>
      <c r="P810" s="6" t="s">
        <v>3324</v>
      </c>
      <c r="Q810" s="1215" t="s">
        <v>253</v>
      </c>
      <c r="R810" s="1215" t="s">
        <v>255</v>
      </c>
      <c r="S810" s="1215" t="s">
        <v>534</v>
      </c>
      <c r="T810" s="1215" t="s">
        <v>533</v>
      </c>
      <c r="U810" s="6" t="s">
        <v>567</v>
      </c>
      <c r="V810" s="6" t="s">
        <v>35</v>
      </c>
      <c r="W810" s="6" t="s">
        <v>853</v>
      </c>
      <c r="X810" s="6" t="s">
        <v>192</v>
      </c>
    </row>
    <row r="811" spans="1:24" ht="15" customHeight="1" x14ac:dyDescent="0.3">
      <c r="A811" s="6" t="s">
        <v>533</v>
      </c>
      <c r="B811" s="6" t="s">
        <v>534</v>
      </c>
      <c r="C811" s="6" t="s">
        <v>35</v>
      </c>
      <c r="D811" s="1088" t="s">
        <v>567</v>
      </c>
      <c r="E811" s="6" t="s">
        <v>192</v>
      </c>
      <c r="F811" s="6" t="s">
        <v>853</v>
      </c>
      <c r="G811" s="6" t="s">
        <v>1505</v>
      </c>
      <c r="H811" s="6" t="s">
        <v>1169</v>
      </c>
      <c r="J811" s="1215" t="s">
        <v>509</v>
      </c>
      <c r="K811" s="1219" t="s">
        <v>3112</v>
      </c>
      <c r="L811" s="8">
        <v>6</v>
      </c>
      <c r="M811" s="8">
        <v>40</v>
      </c>
      <c r="N811" s="1169" t="s">
        <v>271</v>
      </c>
      <c r="P811" s="6" t="s">
        <v>3323</v>
      </c>
      <c r="Q811" s="1215" t="s">
        <v>253</v>
      </c>
      <c r="R811" s="1215" t="s">
        <v>255</v>
      </c>
      <c r="S811" s="1215" t="s">
        <v>534</v>
      </c>
      <c r="T811" s="1215" t="s">
        <v>533</v>
      </c>
      <c r="U811" s="6" t="s">
        <v>567</v>
      </c>
      <c r="V811" s="6" t="s">
        <v>35</v>
      </c>
      <c r="W811" s="6" t="s">
        <v>863</v>
      </c>
      <c r="X811" s="6" t="s">
        <v>193</v>
      </c>
    </row>
    <row r="812" spans="1:24" ht="15" customHeight="1" x14ac:dyDescent="0.3">
      <c r="A812" s="6" t="s">
        <v>533</v>
      </c>
      <c r="B812" s="6" t="s">
        <v>534</v>
      </c>
      <c r="C812" s="6" t="s">
        <v>31</v>
      </c>
      <c r="D812" s="1088" t="s">
        <v>549</v>
      </c>
      <c r="E812" s="6" t="s">
        <v>171</v>
      </c>
      <c r="F812" s="6" t="s">
        <v>634</v>
      </c>
      <c r="G812" s="6" t="s">
        <v>1147</v>
      </c>
      <c r="H812" s="6" t="s">
        <v>1148</v>
      </c>
      <c r="J812" s="1215" t="s">
        <v>509</v>
      </c>
      <c r="K812" s="1219" t="s">
        <v>3033</v>
      </c>
      <c r="L812" s="8">
        <v>86</v>
      </c>
      <c r="M812" s="8">
        <v>300</v>
      </c>
      <c r="N812" s="1169" t="s">
        <v>271</v>
      </c>
      <c r="P812" s="6" t="s">
        <v>3324</v>
      </c>
      <c r="Q812" s="1215" t="s">
        <v>253</v>
      </c>
      <c r="R812" s="1215" t="s">
        <v>255</v>
      </c>
      <c r="S812" s="1215" t="s">
        <v>534</v>
      </c>
      <c r="T812" s="1215" t="s">
        <v>533</v>
      </c>
      <c r="U812" s="6" t="s">
        <v>549</v>
      </c>
      <c r="V812" s="6" t="s">
        <v>31</v>
      </c>
      <c r="W812" s="6" t="s">
        <v>634</v>
      </c>
      <c r="X812" s="6" t="s">
        <v>171</v>
      </c>
    </row>
    <row r="813" spans="1:24" ht="15" customHeight="1" x14ac:dyDescent="0.3">
      <c r="A813" s="6" t="s">
        <v>533</v>
      </c>
      <c r="B813" s="6" t="s">
        <v>534</v>
      </c>
      <c r="C813" s="6" t="s">
        <v>31</v>
      </c>
      <c r="D813" s="1088" t="s">
        <v>549</v>
      </c>
      <c r="E813" s="6" t="s">
        <v>171</v>
      </c>
      <c r="F813" s="6" t="s">
        <v>634</v>
      </c>
      <c r="G813" s="6" t="s">
        <v>2168</v>
      </c>
      <c r="H813" s="6" t="s">
        <v>1152</v>
      </c>
      <c r="J813" s="1215" t="s">
        <v>509</v>
      </c>
      <c r="K813" s="1219" t="s">
        <v>3033</v>
      </c>
      <c r="L813" s="8">
        <v>7</v>
      </c>
      <c r="M813" s="8">
        <v>30</v>
      </c>
      <c r="N813" s="1169" t="s">
        <v>271</v>
      </c>
      <c r="P813" s="6" t="s">
        <v>3324</v>
      </c>
      <c r="Q813" s="1215" t="s">
        <v>253</v>
      </c>
      <c r="R813" s="1215" t="s">
        <v>255</v>
      </c>
      <c r="S813" s="1215" t="s">
        <v>534</v>
      </c>
      <c r="T813" s="1215" t="s">
        <v>533</v>
      </c>
      <c r="U813" s="6" t="s">
        <v>549</v>
      </c>
      <c r="V813" s="6" t="s">
        <v>31</v>
      </c>
      <c r="W813" s="6" t="s">
        <v>634</v>
      </c>
      <c r="X813" s="6" t="s">
        <v>171</v>
      </c>
    </row>
    <row r="814" spans="1:24" ht="15" customHeight="1" x14ac:dyDescent="0.3">
      <c r="A814" s="6" t="s">
        <v>533</v>
      </c>
      <c r="B814" s="6" t="s">
        <v>534</v>
      </c>
      <c r="C814" s="6" t="s">
        <v>31</v>
      </c>
      <c r="D814" s="1088" t="s">
        <v>549</v>
      </c>
      <c r="E814" s="6" t="s">
        <v>171</v>
      </c>
      <c r="F814" s="6" t="s">
        <v>634</v>
      </c>
      <c r="G814" s="6" t="s">
        <v>2179</v>
      </c>
      <c r="H814" s="6" t="s">
        <v>1154</v>
      </c>
      <c r="J814" s="1215" t="s">
        <v>509</v>
      </c>
      <c r="K814" s="1219" t="s">
        <v>3033</v>
      </c>
      <c r="L814" s="8">
        <v>4</v>
      </c>
      <c r="M814" s="8">
        <v>30</v>
      </c>
      <c r="N814" s="1169" t="s">
        <v>271</v>
      </c>
      <c r="P814" s="6" t="s">
        <v>3324</v>
      </c>
      <c r="Q814" s="1215" t="s">
        <v>253</v>
      </c>
      <c r="R814" s="1215" t="s">
        <v>255</v>
      </c>
      <c r="S814" s="1215" t="s">
        <v>534</v>
      </c>
      <c r="T814" s="1215" t="s">
        <v>533</v>
      </c>
      <c r="U814" s="6" t="s">
        <v>549</v>
      </c>
      <c r="V814" s="6" t="s">
        <v>31</v>
      </c>
      <c r="W814" s="6" t="s">
        <v>634</v>
      </c>
      <c r="X814" s="6" t="s">
        <v>171</v>
      </c>
    </row>
    <row r="815" spans="1:24" ht="15" customHeight="1" x14ac:dyDescent="0.3">
      <c r="A815" s="6" t="s">
        <v>533</v>
      </c>
      <c r="B815" s="6" t="s">
        <v>534</v>
      </c>
      <c r="C815" s="6" t="s">
        <v>31</v>
      </c>
      <c r="D815" s="1088" t="s">
        <v>549</v>
      </c>
      <c r="E815" s="6" t="s">
        <v>171</v>
      </c>
      <c r="F815" s="6" t="s">
        <v>634</v>
      </c>
      <c r="G815" s="6" t="s">
        <v>2592</v>
      </c>
      <c r="H815" s="6" t="s">
        <v>1964</v>
      </c>
      <c r="J815" s="1215" t="s">
        <v>509</v>
      </c>
      <c r="K815" s="1219" t="s">
        <v>3033</v>
      </c>
      <c r="L815" s="8">
        <v>9</v>
      </c>
      <c r="M815" s="8">
        <v>71</v>
      </c>
      <c r="N815" s="1169" t="s">
        <v>271</v>
      </c>
      <c r="P815" s="6" t="s">
        <v>3324</v>
      </c>
      <c r="Q815" s="1215" t="s">
        <v>253</v>
      </c>
      <c r="R815" s="1215" t="s">
        <v>255</v>
      </c>
      <c r="S815" s="1215" t="s">
        <v>534</v>
      </c>
      <c r="T815" s="1215" t="s">
        <v>533</v>
      </c>
      <c r="U815" s="6" t="s">
        <v>549</v>
      </c>
      <c r="V815" s="6" t="s">
        <v>31</v>
      </c>
      <c r="W815" s="6" t="s">
        <v>634</v>
      </c>
      <c r="X815" s="6" t="s">
        <v>171</v>
      </c>
    </row>
    <row r="816" spans="1:24" ht="15" customHeight="1" x14ac:dyDescent="0.3">
      <c r="A816" s="6" t="s">
        <v>533</v>
      </c>
      <c r="B816" s="6" t="s">
        <v>534</v>
      </c>
      <c r="C816" s="6" t="s">
        <v>31</v>
      </c>
      <c r="D816" s="1088" t="s">
        <v>549</v>
      </c>
      <c r="E816" s="6" t="s">
        <v>171</v>
      </c>
      <c r="F816" s="6" t="s">
        <v>634</v>
      </c>
      <c r="G816" s="6" t="s">
        <v>923</v>
      </c>
      <c r="H816" s="6" t="s">
        <v>1962</v>
      </c>
      <c r="J816" s="1215" t="s">
        <v>509</v>
      </c>
      <c r="K816" s="1219" t="s">
        <v>3033</v>
      </c>
      <c r="L816" s="8">
        <v>8</v>
      </c>
      <c r="M816" s="8">
        <v>29</v>
      </c>
      <c r="N816" s="1169" t="s">
        <v>271</v>
      </c>
      <c r="P816" s="6" t="s">
        <v>3324</v>
      </c>
      <c r="Q816" s="1215" t="s">
        <v>253</v>
      </c>
      <c r="R816" s="1215" t="s">
        <v>255</v>
      </c>
      <c r="S816" s="1215" t="s">
        <v>534</v>
      </c>
      <c r="T816" s="1215" t="s">
        <v>533</v>
      </c>
      <c r="U816" s="6" t="s">
        <v>549</v>
      </c>
      <c r="V816" s="6" t="s">
        <v>31</v>
      </c>
      <c r="W816" s="6" t="s">
        <v>634</v>
      </c>
      <c r="X816" s="6" t="s">
        <v>171</v>
      </c>
    </row>
    <row r="817" spans="1:24" ht="15" customHeight="1" x14ac:dyDescent="0.3">
      <c r="A817" s="6" t="s">
        <v>533</v>
      </c>
      <c r="B817" s="6" t="s">
        <v>534</v>
      </c>
      <c r="C817" s="6" t="s">
        <v>31</v>
      </c>
      <c r="D817" s="1088" t="s">
        <v>549</v>
      </c>
      <c r="E817" s="6" t="s">
        <v>171</v>
      </c>
      <c r="F817" s="6" t="s">
        <v>634</v>
      </c>
      <c r="G817" s="6" t="s">
        <v>2610</v>
      </c>
      <c r="H817" s="6" t="s">
        <v>1150</v>
      </c>
      <c r="J817" s="1215" t="s">
        <v>509</v>
      </c>
      <c r="K817" s="1219" t="s">
        <v>3033</v>
      </c>
      <c r="L817" s="8">
        <v>5</v>
      </c>
      <c r="M817" s="8">
        <v>15</v>
      </c>
      <c r="N817" s="1169" t="s">
        <v>271</v>
      </c>
      <c r="P817" s="6" t="s">
        <v>3324</v>
      </c>
      <c r="Q817" s="1215" t="s">
        <v>253</v>
      </c>
      <c r="R817" s="1215" t="s">
        <v>255</v>
      </c>
      <c r="S817" s="1215" t="s">
        <v>534</v>
      </c>
      <c r="T817" s="1215" t="s">
        <v>533</v>
      </c>
      <c r="U817" s="6" t="s">
        <v>549</v>
      </c>
      <c r="V817" s="6" t="s">
        <v>31</v>
      </c>
      <c r="W817" s="6" t="s">
        <v>634</v>
      </c>
      <c r="X817" s="6" t="s">
        <v>171</v>
      </c>
    </row>
    <row r="818" spans="1:24" ht="15" customHeight="1" x14ac:dyDescent="0.3">
      <c r="A818" s="6" t="s">
        <v>533</v>
      </c>
      <c r="B818" s="6" t="s">
        <v>534</v>
      </c>
      <c r="C818" s="6" t="s">
        <v>31</v>
      </c>
      <c r="D818" s="1088" t="s">
        <v>549</v>
      </c>
      <c r="E818" s="1088" t="s">
        <v>171</v>
      </c>
      <c r="F818" s="6" t="s">
        <v>634</v>
      </c>
      <c r="G818" s="6" t="s">
        <v>2851</v>
      </c>
      <c r="H818" s="6" t="s">
        <v>1754</v>
      </c>
      <c r="J818" s="1215" t="s">
        <v>509</v>
      </c>
      <c r="K818" s="1219" t="s">
        <v>3033</v>
      </c>
      <c r="L818" s="8">
        <v>2</v>
      </c>
      <c r="M818" s="8">
        <v>8</v>
      </c>
      <c r="N818" s="1169" t="s">
        <v>271</v>
      </c>
      <c r="P818" s="6" t="s">
        <v>3324</v>
      </c>
      <c r="Q818" s="1215" t="s">
        <v>253</v>
      </c>
      <c r="R818" s="1215" t="s">
        <v>255</v>
      </c>
      <c r="S818" s="1215" t="s">
        <v>534</v>
      </c>
      <c r="T818" s="1215" t="s">
        <v>533</v>
      </c>
      <c r="U818" s="6" t="s">
        <v>549</v>
      </c>
      <c r="V818" s="6" t="s">
        <v>31</v>
      </c>
      <c r="W818" s="6" t="s">
        <v>634</v>
      </c>
      <c r="X818" s="6" t="s">
        <v>171</v>
      </c>
    </row>
    <row r="819" spans="1:24" ht="15" customHeight="1" x14ac:dyDescent="0.3">
      <c r="A819" s="6" t="s">
        <v>533</v>
      </c>
      <c r="B819" s="6" t="s">
        <v>534</v>
      </c>
      <c r="C819" s="6" t="s">
        <v>31</v>
      </c>
      <c r="D819" s="1088" t="s">
        <v>549</v>
      </c>
      <c r="E819" s="1088" t="s">
        <v>171</v>
      </c>
      <c r="F819" s="6" t="s">
        <v>634</v>
      </c>
      <c r="G819" s="6" t="s">
        <v>1155</v>
      </c>
      <c r="H819" s="6" t="s">
        <v>1156</v>
      </c>
      <c r="J819" s="1215" t="s">
        <v>509</v>
      </c>
      <c r="K819" s="1219" t="s">
        <v>3033</v>
      </c>
      <c r="L819" s="8">
        <v>4</v>
      </c>
      <c r="M819" s="8">
        <v>20</v>
      </c>
      <c r="N819" s="6" t="s">
        <v>271</v>
      </c>
      <c r="P819" s="6" t="s">
        <v>3324</v>
      </c>
      <c r="Q819" s="1215" t="s">
        <v>253</v>
      </c>
      <c r="R819" s="1215" t="s">
        <v>255</v>
      </c>
      <c r="S819" s="1215" t="s">
        <v>534</v>
      </c>
      <c r="T819" s="1215" t="s">
        <v>533</v>
      </c>
      <c r="U819" s="6" t="s">
        <v>549</v>
      </c>
      <c r="V819" s="6" t="s">
        <v>31</v>
      </c>
      <c r="W819" s="6" t="s">
        <v>634</v>
      </c>
      <c r="X819" s="6" t="s">
        <v>171</v>
      </c>
    </row>
    <row r="820" spans="1:24" ht="15" customHeight="1" x14ac:dyDescent="0.3">
      <c r="A820" s="6" t="s">
        <v>533</v>
      </c>
      <c r="B820" s="6" t="s">
        <v>534</v>
      </c>
      <c r="C820" s="6" t="s">
        <v>31</v>
      </c>
      <c r="D820" s="1088" t="s">
        <v>549</v>
      </c>
      <c r="E820" s="1088" t="s">
        <v>171</v>
      </c>
      <c r="F820" s="6" t="s">
        <v>634</v>
      </c>
      <c r="G820" s="6" t="s">
        <v>1155</v>
      </c>
      <c r="H820" s="6" t="s">
        <v>1156</v>
      </c>
      <c r="J820" s="1215" t="s">
        <v>509</v>
      </c>
      <c r="K820" s="1219" t="s">
        <v>3112</v>
      </c>
      <c r="L820" s="8">
        <v>1</v>
      </c>
      <c r="M820" s="8">
        <v>2</v>
      </c>
      <c r="N820" s="6" t="s">
        <v>275</v>
      </c>
      <c r="O820" s="6" t="s">
        <v>3333</v>
      </c>
      <c r="P820" s="6" t="s">
        <v>3323</v>
      </c>
      <c r="Q820" s="1215" t="s">
        <v>253</v>
      </c>
      <c r="R820" s="1215" t="s">
        <v>255</v>
      </c>
      <c r="S820" s="1215" t="s">
        <v>534</v>
      </c>
      <c r="T820" s="1215" t="s">
        <v>533</v>
      </c>
      <c r="U820" s="6" t="s">
        <v>549</v>
      </c>
      <c r="V820" s="6" t="s">
        <v>31</v>
      </c>
      <c r="W820" s="6" t="s">
        <v>673</v>
      </c>
      <c r="X820" s="1088" t="s">
        <v>169</v>
      </c>
    </row>
    <row r="821" spans="1:24" ht="15" customHeight="1" x14ac:dyDescent="0.3">
      <c r="A821" s="6" t="s">
        <v>533</v>
      </c>
      <c r="B821" s="6" t="s">
        <v>534</v>
      </c>
      <c r="C821" s="6" t="s">
        <v>35</v>
      </c>
      <c r="D821" s="1088" t="s">
        <v>567</v>
      </c>
      <c r="E821" s="1088" t="s">
        <v>195</v>
      </c>
      <c r="F821" s="6" t="s">
        <v>733</v>
      </c>
      <c r="G821" s="6" t="s">
        <v>959</v>
      </c>
      <c r="H821" s="6" t="s">
        <v>960</v>
      </c>
      <c r="J821" s="1215" t="s">
        <v>509</v>
      </c>
      <c r="K821" s="1219" t="s">
        <v>3033</v>
      </c>
      <c r="L821" s="8">
        <v>16</v>
      </c>
      <c r="M821" s="8">
        <v>86</v>
      </c>
      <c r="N821" s="1169" t="s">
        <v>271</v>
      </c>
      <c r="P821" s="6" t="s">
        <v>3324</v>
      </c>
      <c r="Q821" s="1215" t="s">
        <v>253</v>
      </c>
      <c r="R821" s="1215" t="s">
        <v>255</v>
      </c>
      <c r="S821" s="1215" t="s">
        <v>534</v>
      </c>
      <c r="T821" s="1215" t="s">
        <v>533</v>
      </c>
      <c r="U821" s="6" t="s">
        <v>567</v>
      </c>
      <c r="V821" s="6" t="s">
        <v>35</v>
      </c>
      <c r="W821" s="6" t="s">
        <v>733</v>
      </c>
      <c r="X821" s="6" t="s">
        <v>195</v>
      </c>
    </row>
    <row r="822" spans="1:24" ht="15" customHeight="1" x14ac:dyDescent="0.3">
      <c r="A822" s="6" t="s">
        <v>533</v>
      </c>
      <c r="B822" s="6" t="s">
        <v>534</v>
      </c>
      <c r="C822" s="6" t="s">
        <v>35</v>
      </c>
      <c r="D822" s="1088" t="s">
        <v>567</v>
      </c>
      <c r="E822" s="1088" t="s">
        <v>195</v>
      </c>
      <c r="F822" s="6" t="s">
        <v>733</v>
      </c>
      <c r="G822" s="6" t="s">
        <v>959</v>
      </c>
      <c r="H822" s="6" t="s">
        <v>960</v>
      </c>
      <c r="J822" s="1215" t="s">
        <v>509</v>
      </c>
      <c r="K822" s="1219" t="s">
        <v>3111</v>
      </c>
      <c r="L822" s="8">
        <v>9</v>
      </c>
      <c r="M822" s="8">
        <v>34</v>
      </c>
      <c r="N822" s="1169" t="s">
        <v>271</v>
      </c>
      <c r="P822" s="6" t="s">
        <v>3324</v>
      </c>
      <c r="Q822" s="1215" t="s">
        <v>253</v>
      </c>
      <c r="R822" s="1215" t="s">
        <v>255</v>
      </c>
      <c r="S822" s="1215" t="s">
        <v>534</v>
      </c>
      <c r="T822" s="1215" t="s">
        <v>533</v>
      </c>
      <c r="U822" s="6" t="s">
        <v>567</v>
      </c>
      <c r="V822" s="6" t="s">
        <v>35</v>
      </c>
      <c r="W822" s="6" t="s">
        <v>733</v>
      </c>
      <c r="X822" s="6" t="s">
        <v>195</v>
      </c>
    </row>
    <row r="823" spans="1:24" ht="15" customHeight="1" x14ac:dyDescent="0.3">
      <c r="A823" s="6" t="s">
        <v>533</v>
      </c>
      <c r="B823" s="6" t="s">
        <v>534</v>
      </c>
      <c r="C823" s="6" t="s">
        <v>35</v>
      </c>
      <c r="D823" s="1088" t="s">
        <v>567</v>
      </c>
      <c r="E823" s="6" t="s">
        <v>195</v>
      </c>
      <c r="F823" s="6" t="s">
        <v>733</v>
      </c>
      <c r="G823" s="6" t="s">
        <v>959</v>
      </c>
      <c r="H823" s="6" t="s">
        <v>960</v>
      </c>
      <c r="J823" s="1215" t="s">
        <v>509</v>
      </c>
      <c r="K823" s="1219" t="s">
        <v>3112</v>
      </c>
      <c r="L823" s="8">
        <v>5</v>
      </c>
      <c r="M823" s="8">
        <v>16</v>
      </c>
      <c r="N823" s="1169" t="s">
        <v>271</v>
      </c>
      <c r="P823" s="6" t="s">
        <v>3324</v>
      </c>
      <c r="Q823" s="1215" t="s">
        <v>253</v>
      </c>
      <c r="R823" s="1215" t="s">
        <v>255</v>
      </c>
      <c r="S823" s="1215" t="s">
        <v>534</v>
      </c>
      <c r="T823" s="1215" t="s">
        <v>533</v>
      </c>
      <c r="U823" s="6" t="s">
        <v>567</v>
      </c>
      <c r="V823" s="6" t="s">
        <v>35</v>
      </c>
      <c r="W823" s="6" t="s">
        <v>733</v>
      </c>
      <c r="X823" s="6" t="s">
        <v>195</v>
      </c>
    </row>
    <row r="824" spans="1:24" ht="15" customHeight="1" x14ac:dyDescent="0.3">
      <c r="A824" s="6" t="s">
        <v>533</v>
      </c>
      <c r="B824" s="6" t="s">
        <v>534</v>
      </c>
      <c r="C824" s="6" t="s">
        <v>34</v>
      </c>
      <c r="D824" s="1088" t="s">
        <v>539</v>
      </c>
      <c r="E824" s="6" t="s">
        <v>188</v>
      </c>
      <c r="F824" s="6" t="s">
        <v>546</v>
      </c>
      <c r="G824" s="6" t="s">
        <v>1264</v>
      </c>
      <c r="H824" s="6" t="s">
        <v>1043</v>
      </c>
      <c r="J824" s="1215" t="s">
        <v>509</v>
      </c>
      <c r="K824" s="1219" t="s">
        <v>3033</v>
      </c>
      <c r="L824" s="8">
        <v>54</v>
      </c>
      <c r="M824" s="8">
        <v>366</v>
      </c>
      <c r="N824" s="6" t="s">
        <v>271</v>
      </c>
      <c r="P824" s="6" t="s">
        <v>3324</v>
      </c>
      <c r="Q824" s="1215" t="s">
        <v>253</v>
      </c>
      <c r="R824" s="1215" t="s">
        <v>255</v>
      </c>
      <c r="S824" s="1215" t="s">
        <v>534</v>
      </c>
      <c r="T824" s="1215" t="s">
        <v>533</v>
      </c>
      <c r="U824" s="6" t="s">
        <v>539</v>
      </c>
      <c r="V824" s="6" t="s">
        <v>34</v>
      </c>
      <c r="W824" s="6" t="s">
        <v>546</v>
      </c>
      <c r="X824" s="6" t="s">
        <v>188</v>
      </c>
    </row>
    <row r="825" spans="1:24" ht="15" customHeight="1" x14ac:dyDescent="0.3">
      <c r="A825" s="6" t="s">
        <v>533</v>
      </c>
      <c r="B825" s="6" t="s">
        <v>534</v>
      </c>
      <c r="C825" s="6" t="s">
        <v>34</v>
      </c>
      <c r="D825" s="1088" t="s">
        <v>539</v>
      </c>
      <c r="E825" s="6" t="s">
        <v>188</v>
      </c>
      <c r="F825" s="6" t="s">
        <v>546</v>
      </c>
      <c r="G825" s="6" t="s">
        <v>1264</v>
      </c>
      <c r="H825" s="6" t="s">
        <v>1043</v>
      </c>
      <c r="J825" s="1215" t="s">
        <v>509</v>
      </c>
      <c r="K825" s="1219" t="s">
        <v>3109</v>
      </c>
      <c r="L825" s="8">
        <v>21</v>
      </c>
      <c r="M825" s="8">
        <v>106</v>
      </c>
      <c r="N825" s="1169" t="s">
        <v>271</v>
      </c>
      <c r="P825" s="6" t="s">
        <v>3324</v>
      </c>
      <c r="Q825" s="1215" t="s">
        <v>253</v>
      </c>
      <c r="R825" s="1215" t="s">
        <v>255</v>
      </c>
      <c r="S825" s="1215" t="s">
        <v>534</v>
      </c>
      <c r="T825" s="1215" t="s">
        <v>533</v>
      </c>
      <c r="U825" s="6" t="s">
        <v>539</v>
      </c>
      <c r="V825" s="6" t="s">
        <v>34</v>
      </c>
      <c r="W825" s="6" t="s">
        <v>546</v>
      </c>
      <c r="X825" s="6" t="s">
        <v>188</v>
      </c>
    </row>
    <row r="826" spans="1:24" ht="15" customHeight="1" x14ac:dyDescent="0.3">
      <c r="A826" s="6" t="s">
        <v>533</v>
      </c>
      <c r="B826" s="6" t="s">
        <v>534</v>
      </c>
      <c r="C826" s="6" t="s">
        <v>34</v>
      </c>
      <c r="D826" s="1088" t="s">
        <v>539</v>
      </c>
      <c r="E826" s="6" t="s">
        <v>188</v>
      </c>
      <c r="F826" s="6" t="s">
        <v>546</v>
      </c>
      <c r="G826" s="6" t="s">
        <v>1264</v>
      </c>
      <c r="H826" s="6" t="s">
        <v>1043</v>
      </c>
      <c r="J826" s="1215" t="s">
        <v>509</v>
      </c>
      <c r="K826" s="1219" t="s">
        <v>3110</v>
      </c>
      <c r="L826" s="8">
        <v>0</v>
      </c>
      <c r="M826" s="8">
        <v>42</v>
      </c>
      <c r="N826" s="1169" t="s">
        <v>271</v>
      </c>
      <c r="P826" s="6" t="s">
        <v>3324</v>
      </c>
      <c r="Q826" s="1215" t="s">
        <v>253</v>
      </c>
      <c r="R826" s="1215" t="s">
        <v>255</v>
      </c>
      <c r="S826" s="1215" t="s">
        <v>534</v>
      </c>
      <c r="T826" s="1215" t="s">
        <v>533</v>
      </c>
      <c r="U826" s="6" t="s">
        <v>539</v>
      </c>
      <c r="V826" s="6" t="s">
        <v>34</v>
      </c>
      <c r="W826" s="6" t="s">
        <v>546</v>
      </c>
      <c r="X826" s="6" t="s">
        <v>188</v>
      </c>
    </row>
    <row r="827" spans="1:24" ht="15" customHeight="1" x14ac:dyDescent="0.3">
      <c r="A827" s="6" t="s">
        <v>533</v>
      </c>
      <c r="B827" s="6" t="s">
        <v>534</v>
      </c>
      <c r="C827" s="6" t="s">
        <v>34</v>
      </c>
      <c r="D827" s="6" t="s">
        <v>539</v>
      </c>
      <c r="E827" s="6" t="s">
        <v>188</v>
      </c>
      <c r="F827" s="6" t="s">
        <v>546</v>
      </c>
      <c r="G827" s="6" t="s">
        <v>1264</v>
      </c>
      <c r="H827" s="6" t="s">
        <v>1043</v>
      </c>
      <c r="J827" s="1215" t="s">
        <v>509</v>
      </c>
      <c r="K827" s="1219" t="s">
        <v>3111</v>
      </c>
      <c r="L827" s="8">
        <v>2</v>
      </c>
      <c r="M827" s="8">
        <v>47</v>
      </c>
      <c r="N827" s="1169" t="s">
        <v>271</v>
      </c>
      <c r="P827" s="6" t="s">
        <v>3324</v>
      </c>
      <c r="Q827" s="1215" t="s">
        <v>253</v>
      </c>
      <c r="R827" s="1215" t="s">
        <v>255</v>
      </c>
      <c r="S827" s="1215" t="s">
        <v>534</v>
      </c>
      <c r="T827" s="1215" t="s">
        <v>533</v>
      </c>
      <c r="U827" s="6" t="s">
        <v>539</v>
      </c>
      <c r="V827" s="6" t="s">
        <v>34</v>
      </c>
      <c r="W827" s="6" t="s">
        <v>546</v>
      </c>
      <c r="X827" s="6" t="s">
        <v>188</v>
      </c>
    </row>
    <row r="828" spans="1:24" ht="15" customHeight="1" x14ac:dyDescent="0.3">
      <c r="A828" s="6" t="s">
        <v>533</v>
      </c>
      <c r="B828" s="6" t="s">
        <v>534</v>
      </c>
      <c r="C828" s="6" t="s">
        <v>34</v>
      </c>
      <c r="D828" s="1088" t="s">
        <v>539</v>
      </c>
      <c r="E828" s="6" t="s">
        <v>188</v>
      </c>
      <c r="F828" s="6" t="s">
        <v>546</v>
      </c>
      <c r="G828" s="6" t="s">
        <v>1264</v>
      </c>
      <c r="H828" s="6" t="s">
        <v>1043</v>
      </c>
      <c r="J828" s="1215" t="s">
        <v>509</v>
      </c>
      <c r="K828" s="1219" t="s">
        <v>3112</v>
      </c>
      <c r="L828" s="8">
        <v>0</v>
      </c>
      <c r="M828" s="8">
        <v>28</v>
      </c>
      <c r="N828" s="1169" t="s">
        <v>271</v>
      </c>
      <c r="P828" s="6" t="s">
        <v>3324</v>
      </c>
      <c r="Q828" s="1215" t="s">
        <v>253</v>
      </c>
      <c r="R828" s="1215" t="s">
        <v>255</v>
      </c>
      <c r="S828" s="1215" t="s">
        <v>534</v>
      </c>
      <c r="T828" s="1215" t="s">
        <v>533</v>
      </c>
      <c r="U828" s="6" t="s">
        <v>539</v>
      </c>
      <c r="V828" s="6" t="s">
        <v>34</v>
      </c>
      <c r="W828" s="6" t="s">
        <v>546</v>
      </c>
      <c r="X828" s="6" t="s">
        <v>188</v>
      </c>
    </row>
    <row r="829" spans="1:24" ht="15" customHeight="1" x14ac:dyDescent="0.3">
      <c r="A829" s="6" t="s">
        <v>533</v>
      </c>
      <c r="B829" s="6" t="s">
        <v>534</v>
      </c>
      <c r="C829" s="6" t="s">
        <v>34</v>
      </c>
      <c r="D829" s="1088" t="s">
        <v>539</v>
      </c>
      <c r="E829" s="6" t="s">
        <v>188</v>
      </c>
      <c r="F829" s="6" t="s">
        <v>546</v>
      </c>
      <c r="G829" s="6" t="s">
        <v>757</v>
      </c>
      <c r="H829" s="6" t="s">
        <v>805</v>
      </c>
      <c r="J829" s="1215" t="s">
        <v>509</v>
      </c>
      <c r="K829" s="1219" t="s">
        <v>3033</v>
      </c>
      <c r="L829" s="8">
        <v>128</v>
      </c>
      <c r="M829" s="8">
        <v>472</v>
      </c>
      <c r="N829" s="1169" t="s">
        <v>271</v>
      </c>
      <c r="P829" s="6" t="s">
        <v>3324</v>
      </c>
      <c r="Q829" s="1215" t="s">
        <v>253</v>
      </c>
      <c r="R829" s="1215" t="s">
        <v>255</v>
      </c>
      <c r="S829" s="1215" t="s">
        <v>534</v>
      </c>
      <c r="T829" s="1215" t="s">
        <v>533</v>
      </c>
      <c r="U829" s="6" t="s">
        <v>539</v>
      </c>
      <c r="V829" s="6" t="s">
        <v>34</v>
      </c>
      <c r="W829" s="6" t="s">
        <v>546</v>
      </c>
      <c r="X829" s="6" t="s">
        <v>188</v>
      </c>
    </row>
    <row r="830" spans="1:24" ht="15" customHeight="1" x14ac:dyDescent="0.3">
      <c r="A830" s="6" t="s">
        <v>533</v>
      </c>
      <c r="B830" s="6" t="s">
        <v>534</v>
      </c>
      <c r="C830" s="6" t="s">
        <v>34</v>
      </c>
      <c r="D830" s="1088" t="s">
        <v>539</v>
      </c>
      <c r="E830" s="1088" t="s">
        <v>188</v>
      </c>
      <c r="F830" s="6" t="s">
        <v>546</v>
      </c>
      <c r="G830" s="6" t="s">
        <v>757</v>
      </c>
      <c r="H830" s="6" t="s">
        <v>805</v>
      </c>
      <c r="J830" s="1215" t="s">
        <v>509</v>
      </c>
      <c r="K830" s="1219" t="s">
        <v>3109</v>
      </c>
      <c r="L830" s="8">
        <v>3</v>
      </c>
      <c r="M830" s="8">
        <v>52</v>
      </c>
      <c r="N830" s="1169" t="s">
        <v>271</v>
      </c>
      <c r="P830" s="6" t="s">
        <v>3324</v>
      </c>
      <c r="Q830" s="1215" t="s">
        <v>253</v>
      </c>
      <c r="R830" s="1215" t="s">
        <v>255</v>
      </c>
      <c r="S830" s="1215" t="s">
        <v>534</v>
      </c>
      <c r="T830" s="1215" t="s">
        <v>533</v>
      </c>
      <c r="U830" s="6" t="s">
        <v>539</v>
      </c>
      <c r="V830" s="6" t="s">
        <v>34</v>
      </c>
      <c r="W830" s="6" t="s">
        <v>546</v>
      </c>
      <c r="X830" s="6" t="s">
        <v>188</v>
      </c>
    </row>
    <row r="831" spans="1:24" ht="15" customHeight="1" x14ac:dyDescent="0.3">
      <c r="A831" s="6" t="s">
        <v>533</v>
      </c>
      <c r="B831" s="6" t="s">
        <v>534</v>
      </c>
      <c r="C831" s="6" t="s">
        <v>34</v>
      </c>
      <c r="D831" s="1088" t="s">
        <v>539</v>
      </c>
      <c r="E831" s="6" t="s">
        <v>188</v>
      </c>
      <c r="F831" s="6" t="s">
        <v>546</v>
      </c>
      <c r="G831" s="6" t="s">
        <v>757</v>
      </c>
      <c r="H831" s="6" t="s">
        <v>805</v>
      </c>
      <c r="J831" s="1215" t="s">
        <v>509</v>
      </c>
      <c r="K831" s="1219" t="s">
        <v>3110</v>
      </c>
      <c r="L831" s="8">
        <v>12</v>
      </c>
      <c r="M831" s="8">
        <v>68</v>
      </c>
      <c r="N831" s="1169" t="s">
        <v>271</v>
      </c>
      <c r="P831" s="6" t="s">
        <v>3324</v>
      </c>
      <c r="Q831" s="1215" t="s">
        <v>253</v>
      </c>
      <c r="R831" s="1215" t="s">
        <v>255</v>
      </c>
      <c r="S831" s="1215" t="s">
        <v>534</v>
      </c>
      <c r="T831" s="1215" t="s">
        <v>533</v>
      </c>
      <c r="U831" s="6" t="s">
        <v>539</v>
      </c>
      <c r="V831" s="6" t="s">
        <v>34</v>
      </c>
      <c r="W831" s="6" t="s">
        <v>546</v>
      </c>
      <c r="X831" s="6" t="s">
        <v>188</v>
      </c>
    </row>
    <row r="832" spans="1:24" ht="15" customHeight="1" x14ac:dyDescent="0.3">
      <c r="A832" s="6" t="s">
        <v>533</v>
      </c>
      <c r="B832" s="6" t="s">
        <v>534</v>
      </c>
      <c r="C832" s="6" t="s">
        <v>34</v>
      </c>
      <c r="D832" s="1088" t="s">
        <v>539</v>
      </c>
      <c r="E832" s="6" t="s">
        <v>188</v>
      </c>
      <c r="F832" s="6" t="s">
        <v>546</v>
      </c>
      <c r="G832" s="6" t="s">
        <v>757</v>
      </c>
      <c r="H832" s="6" t="s">
        <v>805</v>
      </c>
      <c r="J832" s="1215" t="s">
        <v>509</v>
      </c>
      <c r="K832" s="1219" t="s">
        <v>3111</v>
      </c>
      <c r="L832" s="8">
        <v>13</v>
      </c>
      <c r="M832" s="8">
        <v>103</v>
      </c>
      <c r="N832" s="1169" t="s">
        <v>271</v>
      </c>
      <c r="P832" s="6" t="s">
        <v>3324</v>
      </c>
      <c r="Q832" s="1215" t="s">
        <v>253</v>
      </c>
      <c r="R832" s="1215" t="s">
        <v>255</v>
      </c>
      <c r="S832" s="1215" t="s">
        <v>534</v>
      </c>
      <c r="T832" s="1215" t="s">
        <v>533</v>
      </c>
      <c r="U832" s="6" t="s">
        <v>539</v>
      </c>
      <c r="V832" s="6" t="s">
        <v>34</v>
      </c>
      <c r="W832" s="6" t="s">
        <v>546</v>
      </c>
      <c r="X832" s="6" t="s">
        <v>188</v>
      </c>
    </row>
    <row r="833" spans="1:24" ht="15" customHeight="1" x14ac:dyDescent="0.3">
      <c r="A833" s="6" t="s">
        <v>533</v>
      </c>
      <c r="B833" s="6" t="s">
        <v>534</v>
      </c>
      <c r="C833" s="6" t="s">
        <v>34</v>
      </c>
      <c r="D833" s="1088" t="s">
        <v>539</v>
      </c>
      <c r="E833" s="6" t="s">
        <v>188</v>
      </c>
      <c r="F833" s="6" t="s">
        <v>546</v>
      </c>
      <c r="G833" s="6" t="s">
        <v>757</v>
      </c>
      <c r="H833" s="6" t="s">
        <v>805</v>
      </c>
      <c r="J833" s="1215" t="s">
        <v>509</v>
      </c>
      <c r="K833" s="1219" t="s">
        <v>3112</v>
      </c>
      <c r="L833" s="8">
        <v>4</v>
      </c>
      <c r="M833" s="8">
        <v>37</v>
      </c>
      <c r="N833" s="1169" t="s">
        <v>271</v>
      </c>
      <c r="P833" s="6" t="s">
        <v>3324</v>
      </c>
      <c r="Q833" s="1215" t="s">
        <v>253</v>
      </c>
      <c r="R833" s="1215" t="s">
        <v>255</v>
      </c>
      <c r="S833" s="1215" t="s">
        <v>534</v>
      </c>
      <c r="T833" s="1215" t="s">
        <v>533</v>
      </c>
      <c r="U833" s="6" t="s">
        <v>539</v>
      </c>
      <c r="V833" s="6" t="s">
        <v>34</v>
      </c>
      <c r="W833" s="6" t="s">
        <v>546</v>
      </c>
      <c r="X833" s="6" t="s">
        <v>188</v>
      </c>
    </row>
    <row r="834" spans="1:24" ht="15" customHeight="1" x14ac:dyDescent="0.3">
      <c r="A834" s="6" t="s">
        <v>533</v>
      </c>
      <c r="B834" s="6" t="s">
        <v>534</v>
      </c>
      <c r="C834" s="6" t="s">
        <v>31</v>
      </c>
      <c r="D834" s="1088" t="s">
        <v>549</v>
      </c>
      <c r="E834" s="6" t="s">
        <v>164</v>
      </c>
      <c r="F834" s="6" t="s">
        <v>748</v>
      </c>
      <c r="G834" s="6" t="s">
        <v>1189</v>
      </c>
      <c r="H834" s="6" t="s">
        <v>1190</v>
      </c>
      <c r="J834" s="1215" t="s">
        <v>509</v>
      </c>
      <c r="K834" s="1219" t="s">
        <v>3033</v>
      </c>
      <c r="L834" s="8">
        <v>6</v>
      </c>
      <c r="M834" s="8">
        <v>46</v>
      </c>
      <c r="N834" s="1169" t="s">
        <v>271</v>
      </c>
      <c r="P834" s="6" t="s">
        <v>3323</v>
      </c>
      <c r="Q834" s="1215" t="s">
        <v>253</v>
      </c>
      <c r="R834" s="1215" t="s">
        <v>255</v>
      </c>
      <c r="S834" s="1215" t="s">
        <v>534</v>
      </c>
      <c r="T834" s="1215" t="s">
        <v>533</v>
      </c>
      <c r="U834" s="6" t="s">
        <v>549</v>
      </c>
      <c r="V834" s="6" t="s">
        <v>31</v>
      </c>
      <c r="W834" s="6" t="s">
        <v>844</v>
      </c>
      <c r="X834" s="6" t="s">
        <v>166</v>
      </c>
    </row>
    <row r="835" spans="1:24" ht="15" customHeight="1" x14ac:dyDescent="0.3">
      <c r="A835" s="6" t="s">
        <v>533</v>
      </c>
      <c r="B835" s="6" t="s">
        <v>534</v>
      </c>
      <c r="C835" s="6" t="s">
        <v>35</v>
      </c>
      <c r="D835" s="1088" t="s">
        <v>567</v>
      </c>
      <c r="E835" s="1088" t="s">
        <v>195</v>
      </c>
      <c r="F835" s="6" t="s">
        <v>733</v>
      </c>
      <c r="G835" s="6" t="s">
        <v>1776</v>
      </c>
      <c r="H835" s="6" t="s">
        <v>1033</v>
      </c>
      <c r="J835" s="1215" t="s">
        <v>509</v>
      </c>
      <c r="K835" s="1219" t="s">
        <v>3033</v>
      </c>
      <c r="L835" s="8">
        <v>263</v>
      </c>
      <c r="M835" s="8">
        <v>1337</v>
      </c>
      <c r="N835" s="1169" t="s">
        <v>271</v>
      </c>
      <c r="P835" s="6" t="s">
        <v>3324</v>
      </c>
      <c r="Q835" s="1215" t="s">
        <v>253</v>
      </c>
      <c r="R835" s="1215" t="s">
        <v>255</v>
      </c>
      <c r="S835" s="1215" t="s">
        <v>534</v>
      </c>
      <c r="T835" s="1215" t="s">
        <v>533</v>
      </c>
      <c r="U835" s="6" t="s">
        <v>567</v>
      </c>
      <c r="V835" s="6" t="s">
        <v>35</v>
      </c>
      <c r="W835" s="6" t="s">
        <v>733</v>
      </c>
      <c r="X835" s="6" t="s">
        <v>195</v>
      </c>
    </row>
    <row r="836" spans="1:24" ht="15" customHeight="1" x14ac:dyDescent="0.3">
      <c r="A836" s="6" t="s">
        <v>533</v>
      </c>
      <c r="B836" s="6" t="s">
        <v>534</v>
      </c>
      <c r="C836" s="6" t="s">
        <v>35</v>
      </c>
      <c r="D836" s="1088" t="s">
        <v>567</v>
      </c>
      <c r="E836" s="6" t="s">
        <v>195</v>
      </c>
      <c r="F836" s="6" t="s">
        <v>733</v>
      </c>
      <c r="G836" s="6" t="s">
        <v>1776</v>
      </c>
      <c r="H836" s="6" t="s">
        <v>1033</v>
      </c>
      <c r="J836" s="1215" t="s">
        <v>509</v>
      </c>
      <c r="K836" s="1219" t="s">
        <v>3112</v>
      </c>
      <c r="L836" s="8">
        <v>3</v>
      </c>
      <c r="M836" s="8">
        <v>13</v>
      </c>
      <c r="N836" s="6" t="s">
        <v>271</v>
      </c>
      <c r="P836" s="6" t="s">
        <v>3324</v>
      </c>
      <c r="Q836" s="1215" t="s">
        <v>253</v>
      </c>
      <c r="R836" s="1215" t="s">
        <v>255</v>
      </c>
      <c r="S836" s="1215" t="s">
        <v>534</v>
      </c>
      <c r="T836" s="1215" t="s">
        <v>533</v>
      </c>
      <c r="U836" s="6" t="s">
        <v>567</v>
      </c>
      <c r="V836" s="6" t="s">
        <v>35</v>
      </c>
      <c r="W836" s="6" t="s">
        <v>733</v>
      </c>
      <c r="X836" s="6" t="s">
        <v>195</v>
      </c>
    </row>
    <row r="837" spans="1:24" ht="15" customHeight="1" x14ac:dyDescent="0.3">
      <c r="A837" s="6" t="s">
        <v>533</v>
      </c>
      <c r="B837" s="6" t="s">
        <v>534</v>
      </c>
      <c r="C837" s="6" t="s">
        <v>31</v>
      </c>
      <c r="D837" s="1088" t="s">
        <v>549</v>
      </c>
      <c r="E837" s="6" t="s">
        <v>170</v>
      </c>
      <c r="F837" s="6" t="s">
        <v>866</v>
      </c>
      <c r="G837" s="6" t="s">
        <v>1860</v>
      </c>
      <c r="H837" s="6" t="s">
        <v>1857</v>
      </c>
      <c r="J837" s="1215" t="s">
        <v>509</v>
      </c>
      <c r="K837" s="1219" t="s">
        <v>3033</v>
      </c>
      <c r="L837" s="8">
        <v>39</v>
      </c>
      <c r="M837" s="8">
        <v>192</v>
      </c>
      <c r="N837" s="1169" t="s">
        <v>271</v>
      </c>
      <c r="P837" s="6" t="s">
        <v>3323</v>
      </c>
      <c r="Q837" s="1215" t="s">
        <v>253</v>
      </c>
      <c r="R837" s="1215" t="s">
        <v>255</v>
      </c>
      <c r="S837" s="1215" t="s">
        <v>534</v>
      </c>
      <c r="T837" s="1215" t="s">
        <v>533</v>
      </c>
      <c r="U837" s="6" t="s">
        <v>549</v>
      </c>
      <c r="V837" s="6" t="s">
        <v>31</v>
      </c>
      <c r="W837" s="6" t="s">
        <v>844</v>
      </c>
      <c r="X837" s="6" t="s">
        <v>166</v>
      </c>
    </row>
    <row r="838" spans="1:24" ht="15" customHeight="1" x14ac:dyDescent="0.3">
      <c r="A838" s="6" t="s">
        <v>533</v>
      </c>
      <c r="B838" s="6" t="s">
        <v>534</v>
      </c>
      <c r="C838" s="6" t="s">
        <v>31</v>
      </c>
      <c r="D838" s="1088" t="s">
        <v>549</v>
      </c>
      <c r="E838" s="1088" t="s">
        <v>170</v>
      </c>
      <c r="F838" s="6" t="s">
        <v>866</v>
      </c>
      <c r="G838" s="6" t="s">
        <v>1860</v>
      </c>
      <c r="H838" s="6" t="s">
        <v>1857</v>
      </c>
      <c r="J838" s="1215" t="s">
        <v>509</v>
      </c>
      <c r="K838" s="1219" t="s">
        <v>3109</v>
      </c>
      <c r="L838" s="8">
        <v>18</v>
      </c>
      <c r="M838" s="8">
        <v>100</v>
      </c>
      <c r="N838" s="1169" t="s">
        <v>271</v>
      </c>
      <c r="P838" s="6" t="s">
        <v>3323</v>
      </c>
      <c r="Q838" s="1215" t="s">
        <v>253</v>
      </c>
      <c r="R838" s="1215" t="s">
        <v>255</v>
      </c>
      <c r="S838" s="1215" t="s">
        <v>534</v>
      </c>
      <c r="T838" s="1215" t="s">
        <v>533</v>
      </c>
      <c r="U838" s="6" t="s">
        <v>549</v>
      </c>
      <c r="V838" s="6" t="s">
        <v>31</v>
      </c>
      <c r="W838" s="6" t="s">
        <v>844</v>
      </c>
      <c r="X838" s="6" t="s">
        <v>166</v>
      </c>
    </row>
    <row r="839" spans="1:24" ht="15" customHeight="1" x14ac:dyDescent="0.3">
      <c r="A839" s="6" t="s">
        <v>533</v>
      </c>
      <c r="B839" s="6" t="s">
        <v>534</v>
      </c>
      <c r="C839" s="6" t="s">
        <v>31</v>
      </c>
      <c r="D839" s="1088" t="s">
        <v>549</v>
      </c>
      <c r="E839" s="6" t="s">
        <v>170</v>
      </c>
      <c r="F839" s="6" t="s">
        <v>866</v>
      </c>
      <c r="G839" s="6" t="s">
        <v>1860</v>
      </c>
      <c r="H839" s="6" t="s">
        <v>1857</v>
      </c>
      <c r="J839" s="1215" t="s">
        <v>509</v>
      </c>
      <c r="K839" s="1219" t="s">
        <v>3111</v>
      </c>
      <c r="L839" s="8">
        <v>7</v>
      </c>
      <c r="M839" s="8">
        <v>80</v>
      </c>
      <c r="N839" s="6" t="s">
        <v>274</v>
      </c>
      <c r="P839" s="6" t="s">
        <v>3323</v>
      </c>
      <c r="Q839" s="1215" t="s">
        <v>253</v>
      </c>
      <c r="R839" s="1215" t="s">
        <v>255</v>
      </c>
      <c r="S839" s="1215" t="s">
        <v>534</v>
      </c>
      <c r="T839" s="1215" t="s">
        <v>533</v>
      </c>
      <c r="U839" s="6" t="s">
        <v>549</v>
      </c>
      <c r="V839" s="6" t="s">
        <v>31</v>
      </c>
      <c r="W839" s="6" t="s">
        <v>673</v>
      </c>
      <c r="X839" s="6" t="s">
        <v>169</v>
      </c>
    </row>
    <row r="840" spans="1:24" ht="15" customHeight="1" x14ac:dyDescent="0.3">
      <c r="A840" s="6" t="s">
        <v>533</v>
      </c>
      <c r="B840" s="6" t="s">
        <v>534</v>
      </c>
      <c r="C840" s="6" t="s">
        <v>31</v>
      </c>
      <c r="D840" s="1088" t="s">
        <v>549</v>
      </c>
      <c r="E840" s="6" t="s">
        <v>170</v>
      </c>
      <c r="F840" s="6" t="s">
        <v>866</v>
      </c>
      <c r="G840" s="6" t="s">
        <v>1860</v>
      </c>
      <c r="H840" s="6" t="s">
        <v>1857</v>
      </c>
      <c r="J840" s="1215" t="s">
        <v>509</v>
      </c>
      <c r="K840" s="1219" t="s">
        <v>3112</v>
      </c>
      <c r="L840" s="8">
        <v>3</v>
      </c>
      <c r="M840" s="8">
        <v>50</v>
      </c>
      <c r="N840" s="1169" t="s">
        <v>272</v>
      </c>
      <c r="P840" s="6" t="s">
        <v>3323</v>
      </c>
      <c r="Q840" s="1215" t="s">
        <v>253</v>
      </c>
      <c r="R840" s="1215" t="s">
        <v>255</v>
      </c>
      <c r="S840" s="1215" t="s">
        <v>534</v>
      </c>
      <c r="T840" s="1215" t="s">
        <v>533</v>
      </c>
      <c r="U840" s="6" t="s">
        <v>549</v>
      </c>
      <c r="V840" s="6" t="s">
        <v>31</v>
      </c>
      <c r="W840" s="6" t="s">
        <v>673</v>
      </c>
      <c r="X840" s="6" t="s">
        <v>169</v>
      </c>
    </row>
    <row r="841" spans="1:24" ht="15" customHeight="1" x14ac:dyDescent="0.3">
      <c r="A841" s="6" t="s">
        <v>533</v>
      </c>
      <c r="B841" s="6" t="s">
        <v>534</v>
      </c>
      <c r="C841" s="6" t="s">
        <v>31</v>
      </c>
      <c r="D841" s="1088" t="s">
        <v>549</v>
      </c>
      <c r="E841" s="6" t="s">
        <v>170</v>
      </c>
      <c r="F841" s="6" t="s">
        <v>866</v>
      </c>
      <c r="G841" s="6" t="s">
        <v>550</v>
      </c>
      <c r="H841" s="6" t="s">
        <v>3177</v>
      </c>
      <c r="I841" s="6" t="s">
        <v>3177</v>
      </c>
      <c r="J841" s="1215" t="s">
        <v>509</v>
      </c>
      <c r="K841" s="1219" t="s">
        <v>3112</v>
      </c>
      <c r="L841" s="8">
        <v>100</v>
      </c>
      <c r="M841" s="8">
        <v>1150</v>
      </c>
      <c r="N841" s="6" t="s">
        <v>272</v>
      </c>
      <c r="P841" s="6" t="s">
        <v>3324</v>
      </c>
      <c r="Q841" s="1215" t="s">
        <v>253</v>
      </c>
      <c r="R841" s="1215" t="s">
        <v>255</v>
      </c>
      <c r="S841" s="1215" t="s">
        <v>534</v>
      </c>
      <c r="T841" s="1215" t="s">
        <v>533</v>
      </c>
      <c r="U841" s="6" t="s">
        <v>549</v>
      </c>
      <c r="V841" s="6" t="s">
        <v>31</v>
      </c>
      <c r="W841" s="6" t="s">
        <v>866</v>
      </c>
      <c r="X841" s="6" t="s">
        <v>170</v>
      </c>
    </row>
    <row r="842" spans="1:24" ht="15" customHeight="1" x14ac:dyDescent="0.3">
      <c r="A842" s="6" t="s">
        <v>533</v>
      </c>
      <c r="B842" s="6" t="s">
        <v>534</v>
      </c>
      <c r="C842" s="6" t="s">
        <v>31</v>
      </c>
      <c r="D842" s="1088" t="s">
        <v>549</v>
      </c>
      <c r="E842" s="1088" t="s">
        <v>170</v>
      </c>
      <c r="F842" s="6" t="s">
        <v>866</v>
      </c>
      <c r="G842" s="6" t="s">
        <v>1955</v>
      </c>
      <c r="H842" s="6" t="s">
        <v>1577</v>
      </c>
      <c r="J842" s="1215" t="s">
        <v>509</v>
      </c>
      <c r="K842" s="1219" t="s">
        <v>3112</v>
      </c>
      <c r="L842" s="8">
        <v>11</v>
      </c>
      <c r="M842" s="8">
        <v>80</v>
      </c>
      <c r="N842" s="1169" t="s">
        <v>272</v>
      </c>
      <c r="P842" s="6" t="s">
        <v>3324</v>
      </c>
      <c r="Q842" s="1215" t="s">
        <v>253</v>
      </c>
      <c r="R842" s="1215" t="s">
        <v>255</v>
      </c>
      <c r="S842" s="1215" t="s">
        <v>534</v>
      </c>
      <c r="T842" s="1215" t="s">
        <v>533</v>
      </c>
      <c r="U842" s="6" t="s">
        <v>549</v>
      </c>
      <c r="V842" s="6" t="s">
        <v>31</v>
      </c>
      <c r="W842" s="6" t="s">
        <v>866</v>
      </c>
      <c r="X842" s="6" t="s">
        <v>170</v>
      </c>
    </row>
    <row r="843" spans="1:24" ht="15" customHeight="1" x14ac:dyDescent="0.3">
      <c r="A843" s="6" t="s">
        <v>533</v>
      </c>
      <c r="B843" s="6" t="s">
        <v>534</v>
      </c>
      <c r="C843" s="6" t="s">
        <v>35</v>
      </c>
      <c r="D843" s="1088" t="s">
        <v>567</v>
      </c>
      <c r="E843" s="1088" t="s">
        <v>195</v>
      </c>
      <c r="F843" s="6" t="s">
        <v>733</v>
      </c>
      <c r="G843" s="6" t="s">
        <v>2146</v>
      </c>
      <c r="H843" s="6" t="s">
        <v>1036</v>
      </c>
      <c r="J843" s="1215" t="s">
        <v>509</v>
      </c>
      <c r="K843" s="1219" t="s">
        <v>3109</v>
      </c>
      <c r="L843" s="8">
        <v>160</v>
      </c>
      <c r="M843" s="8">
        <v>726</v>
      </c>
      <c r="N843" s="1169" t="s">
        <v>271</v>
      </c>
      <c r="P843" s="6" t="s">
        <v>3324</v>
      </c>
      <c r="Q843" s="1215" t="s">
        <v>253</v>
      </c>
      <c r="R843" s="1215" t="s">
        <v>255</v>
      </c>
      <c r="S843" s="1215" t="s">
        <v>534</v>
      </c>
      <c r="T843" s="1215" t="s">
        <v>533</v>
      </c>
      <c r="U843" s="6" t="s">
        <v>567</v>
      </c>
      <c r="V843" s="6" t="s">
        <v>35</v>
      </c>
      <c r="W843" s="6" t="s">
        <v>733</v>
      </c>
      <c r="X843" s="6" t="s">
        <v>195</v>
      </c>
    </row>
    <row r="844" spans="1:24" ht="15" customHeight="1" x14ac:dyDescent="0.3">
      <c r="A844" s="6" t="s">
        <v>533</v>
      </c>
      <c r="B844" s="6" t="s">
        <v>534</v>
      </c>
      <c r="C844" s="6" t="s">
        <v>35</v>
      </c>
      <c r="D844" s="1088" t="s">
        <v>567</v>
      </c>
      <c r="E844" s="6" t="s">
        <v>195</v>
      </c>
      <c r="F844" s="6" t="s">
        <v>733</v>
      </c>
      <c r="G844" s="6" t="s">
        <v>2146</v>
      </c>
      <c r="H844" s="6" t="s">
        <v>1036</v>
      </c>
      <c r="J844" s="1215" t="s">
        <v>509</v>
      </c>
      <c r="K844" s="1219" t="s">
        <v>3112</v>
      </c>
      <c r="L844" s="8">
        <v>35</v>
      </c>
      <c r="M844" s="8">
        <v>80</v>
      </c>
      <c r="N844" s="1169" t="s">
        <v>271</v>
      </c>
      <c r="P844" s="6" t="s">
        <v>3324</v>
      </c>
      <c r="Q844" s="1215" t="s">
        <v>253</v>
      </c>
      <c r="R844" s="1215" t="s">
        <v>255</v>
      </c>
      <c r="S844" s="1215" t="s">
        <v>534</v>
      </c>
      <c r="T844" s="1215" t="s">
        <v>533</v>
      </c>
      <c r="U844" s="6" t="s">
        <v>567</v>
      </c>
      <c r="V844" s="6" t="s">
        <v>35</v>
      </c>
      <c r="W844" s="6" t="s">
        <v>733</v>
      </c>
      <c r="X844" s="6" t="s">
        <v>195</v>
      </c>
    </row>
    <row r="845" spans="1:24" ht="15" customHeight="1" x14ac:dyDescent="0.3">
      <c r="A845" s="6" t="s">
        <v>533</v>
      </c>
      <c r="B845" s="6" t="s">
        <v>534</v>
      </c>
      <c r="C845" s="6" t="s">
        <v>35</v>
      </c>
      <c r="D845" s="1088" t="s">
        <v>567</v>
      </c>
      <c r="E845" s="6" t="s">
        <v>193</v>
      </c>
      <c r="F845" s="6" t="s">
        <v>863</v>
      </c>
      <c r="G845" s="6" t="s">
        <v>1584</v>
      </c>
      <c r="H845" s="6" t="s">
        <v>995</v>
      </c>
      <c r="J845" s="1215" t="s">
        <v>509</v>
      </c>
      <c r="K845" s="1219" t="s">
        <v>3033</v>
      </c>
      <c r="L845" s="8">
        <v>21</v>
      </c>
      <c r="M845" s="8">
        <v>108</v>
      </c>
      <c r="N845" s="1169" t="s">
        <v>271</v>
      </c>
      <c r="P845" s="6" t="s">
        <v>3324</v>
      </c>
      <c r="Q845" s="1215" t="s">
        <v>253</v>
      </c>
      <c r="R845" s="1215" t="s">
        <v>255</v>
      </c>
      <c r="S845" s="1215" t="s">
        <v>534</v>
      </c>
      <c r="T845" s="1215" t="s">
        <v>533</v>
      </c>
      <c r="U845" s="6" t="s">
        <v>567</v>
      </c>
      <c r="V845" s="6" t="s">
        <v>35</v>
      </c>
      <c r="W845" s="6" t="s">
        <v>863</v>
      </c>
      <c r="X845" s="6" t="s">
        <v>193</v>
      </c>
    </row>
    <row r="846" spans="1:24" ht="15" customHeight="1" x14ac:dyDescent="0.3">
      <c r="A846" s="6" t="s">
        <v>533</v>
      </c>
      <c r="B846" s="6" t="s">
        <v>534</v>
      </c>
      <c r="C846" s="6" t="s">
        <v>35</v>
      </c>
      <c r="D846" s="6" t="s">
        <v>567</v>
      </c>
      <c r="E846" s="1088" t="s">
        <v>193</v>
      </c>
      <c r="F846" s="6" t="s">
        <v>863</v>
      </c>
      <c r="G846" s="6" t="s">
        <v>1584</v>
      </c>
      <c r="H846" s="6" t="s">
        <v>995</v>
      </c>
      <c r="J846" s="1215" t="s">
        <v>509</v>
      </c>
      <c r="K846" s="1219" t="s">
        <v>3109</v>
      </c>
      <c r="L846" s="8">
        <v>15</v>
      </c>
      <c r="M846" s="8">
        <v>22</v>
      </c>
      <c r="N846" s="1169" t="s">
        <v>271</v>
      </c>
      <c r="P846" s="6" t="s">
        <v>3324</v>
      </c>
      <c r="Q846" s="1215" t="s">
        <v>253</v>
      </c>
      <c r="R846" s="1215" t="s">
        <v>255</v>
      </c>
      <c r="S846" s="1215" t="s">
        <v>534</v>
      </c>
      <c r="T846" s="1215" t="s">
        <v>533</v>
      </c>
      <c r="U846" s="6" t="s">
        <v>567</v>
      </c>
      <c r="V846" s="6" t="s">
        <v>35</v>
      </c>
      <c r="W846" s="6" t="s">
        <v>863</v>
      </c>
      <c r="X846" s="6" t="s">
        <v>193</v>
      </c>
    </row>
    <row r="847" spans="1:24" ht="15" customHeight="1" x14ac:dyDescent="0.3">
      <c r="A847" s="6" t="s">
        <v>533</v>
      </c>
      <c r="B847" s="6" t="s">
        <v>534</v>
      </c>
      <c r="C847" s="6" t="s">
        <v>35</v>
      </c>
      <c r="D847" s="1088" t="s">
        <v>567</v>
      </c>
      <c r="E847" s="6" t="s">
        <v>193</v>
      </c>
      <c r="F847" s="6" t="s">
        <v>863</v>
      </c>
      <c r="G847" s="6" t="s">
        <v>1584</v>
      </c>
      <c r="H847" s="6" t="s">
        <v>995</v>
      </c>
      <c r="J847" s="1215" t="s">
        <v>509</v>
      </c>
      <c r="K847" s="1219" t="s">
        <v>3111</v>
      </c>
      <c r="L847" s="8">
        <v>18</v>
      </c>
      <c r="M847" s="8">
        <v>54</v>
      </c>
      <c r="N847" s="1169" t="s">
        <v>271</v>
      </c>
      <c r="P847" s="6" t="s">
        <v>3324</v>
      </c>
      <c r="Q847" s="1215" t="s">
        <v>253</v>
      </c>
      <c r="R847" s="1215" t="s">
        <v>255</v>
      </c>
      <c r="S847" s="1215" t="s">
        <v>534</v>
      </c>
      <c r="T847" s="1215" t="s">
        <v>533</v>
      </c>
      <c r="U847" s="6" t="s">
        <v>567</v>
      </c>
      <c r="V847" s="6" t="s">
        <v>35</v>
      </c>
      <c r="W847" s="6" t="s">
        <v>863</v>
      </c>
      <c r="X847" s="6" t="s">
        <v>193</v>
      </c>
    </row>
    <row r="848" spans="1:24" ht="15" customHeight="1" x14ac:dyDescent="0.3">
      <c r="A848" s="6" t="s">
        <v>533</v>
      </c>
      <c r="B848" s="6" t="s">
        <v>534</v>
      </c>
      <c r="C848" s="6" t="s">
        <v>35</v>
      </c>
      <c r="D848" s="6" t="s">
        <v>567</v>
      </c>
      <c r="E848" s="6" t="s">
        <v>193</v>
      </c>
      <c r="F848" s="6" t="s">
        <v>863</v>
      </c>
      <c r="G848" s="6" t="s">
        <v>1584</v>
      </c>
      <c r="H848" s="6" t="s">
        <v>995</v>
      </c>
      <c r="J848" s="1215" t="s">
        <v>509</v>
      </c>
      <c r="K848" s="1219" t="s">
        <v>3112</v>
      </c>
      <c r="L848" s="8">
        <v>20</v>
      </c>
      <c r="M848" s="8">
        <v>210</v>
      </c>
      <c r="N848" s="1169" t="s">
        <v>271</v>
      </c>
      <c r="P848" s="6" t="s">
        <v>3324</v>
      </c>
      <c r="Q848" s="1215" t="s">
        <v>253</v>
      </c>
      <c r="R848" s="1215" t="s">
        <v>255</v>
      </c>
      <c r="S848" s="1215" t="s">
        <v>534</v>
      </c>
      <c r="T848" s="1215" t="s">
        <v>533</v>
      </c>
      <c r="U848" s="6" t="s">
        <v>567</v>
      </c>
      <c r="V848" s="6" t="s">
        <v>35</v>
      </c>
      <c r="W848" s="6" t="s">
        <v>863</v>
      </c>
      <c r="X848" s="6" t="s">
        <v>193</v>
      </c>
    </row>
    <row r="849" spans="1:24" ht="15" customHeight="1" x14ac:dyDescent="0.3">
      <c r="A849" s="6" t="s">
        <v>533</v>
      </c>
      <c r="B849" s="6" t="s">
        <v>534</v>
      </c>
      <c r="C849" s="6" t="s">
        <v>31</v>
      </c>
      <c r="D849" s="6" t="s">
        <v>549</v>
      </c>
      <c r="E849" s="6" t="s">
        <v>171</v>
      </c>
      <c r="F849" s="6" t="s">
        <v>634</v>
      </c>
      <c r="G849" s="6" t="s">
        <v>2604</v>
      </c>
      <c r="H849" s="6" t="s">
        <v>1217</v>
      </c>
      <c r="J849" s="1215" t="s">
        <v>509</v>
      </c>
      <c r="K849" s="1219" t="s">
        <v>3033</v>
      </c>
      <c r="L849" s="8">
        <v>35</v>
      </c>
      <c r="M849" s="8">
        <v>300</v>
      </c>
      <c r="N849" s="1169" t="s">
        <v>271</v>
      </c>
      <c r="P849" s="6" t="s">
        <v>3324</v>
      </c>
      <c r="Q849" s="1215" t="s">
        <v>253</v>
      </c>
      <c r="R849" s="1215" t="s">
        <v>255</v>
      </c>
      <c r="S849" s="1215" t="s">
        <v>534</v>
      </c>
      <c r="T849" s="1215" t="s">
        <v>533</v>
      </c>
      <c r="U849" s="6" t="s">
        <v>549</v>
      </c>
      <c r="V849" s="6" t="s">
        <v>31</v>
      </c>
      <c r="W849" s="6" t="s">
        <v>634</v>
      </c>
      <c r="X849" s="6" t="s">
        <v>171</v>
      </c>
    </row>
    <row r="850" spans="1:24" ht="15" customHeight="1" x14ac:dyDescent="0.3">
      <c r="A850" s="6" t="s">
        <v>533</v>
      </c>
      <c r="B850" s="6" t="s">
        <v>534</v>
      </c>
      <c r="C850" s="6" t="s">
        <v>31</v>
      </c>
      <c r="D850" s="1088" t="s">
        <v>549</v>
      </c>
      <c r="E850" s="6" t="s">
        <v>171</v>
      </c>
      <c r="F850" s="6" t="s">
        <v>634</v>
      </c>
      <c r="G850" s="6" t="s">
        <v>2604</v>
      </c>
      <c r="H850" s="6" t="s">
        <v>1217</v>
      </c>
      <c r="J850" s="1215" t="s">
        <v>509</v>
      </c>
      <c r="K850" s="1219" t="s">
        <v>3112</v>
      </c>
      <c r="L850" s="8">
        <v>0</v>
      </c>
      <c r="M850" s="8">
        <v>8</v>
      </c>
      <c r="N850" s="1169" t="s">
        <v>275</v>
      </c>
      <c r="O850" s="6" t="s">
        <v>3334</v>
      </c>
      <c r="P850" s="6" t="s">
        <v>3324</v>
      </c>
      <c r="Q850" s="1215" t="s">
        <v>253</v>
      </c>
      <c r="R850" s="1215" t="s">
        <v>255</v>
      </c>
      <c r="S850" s="1215" t="s">
        <v>534</v>
      </c>
      <c r="T850" s="1215" t="s">
        <v>533</v>
      </c>
      <c r="U850" s="6" t="s">
        <v>549</v>
      </c>
      <c r="V850" s="6" t="s">
        <v>31</v>
      </c>
      <c r="W850" s="6" t="s">
        <v>634</v>
      </c>
      <c r="X850" s="6" t="s">
        <v>171</v>
      </c>
    </row>
    <row r="851" spans="1:24" ht="15" customHeight="1" x14ac:dyDescent="0.3">
      <c r="A851" s="6" t="s">
        <v>533</v>
      </c>
      <c r="B851" s="6" t="s">
        <v>534</v>
      </c>
      <c r="C851" s="6" t="s">
        <v>31</v>
      </c>
      <c r="D851" s="1088" t="s">
        <v>549</v>
      </c>
      <c r="E851" s="6" t="s">
        <v>171</v>
      </c>
      <c r="F851" s="6" t="s">
        <v>634</v>
      </c>
      <c r="G851" s="6" t="s">
        <v>1820</v>
      </c>
      <c r="H851" s="6" t="s">
        <v>1219</v>
      </c>
      <c r="J851" s="1215" t="s">
        <v>509</v>
      </c>
      <c r="K851" s="1219" t="s">
        <v>3033</v>
      </c>
      <c r="L851" s="8">
        <v>46</v>
      </c>
      <c r="M851" s="8">
        <v>250</v>
      </c>
      <c r="N851" s="1169" t="s">
        <v>271</v>
      </c>
      <c r="P851" s="6" t="s">
        <v>3324</v>
      </c>
      <c r="Q851" s="1215" t="s">
        <v>253</v>
      </c>
      <c r="R851" s="1215" t="s">
        <v>255</v>
      </c>
      <c r="S851" s="1215" t="s">
        <v>534</v>
      </c>
      <c r="T851" s="1215" t="s">
        <v>533</v>
      </c>
      <c r="U851" s="6" t="s">
        <v>549</v>
      </c>
      <c r="V851" s="6" t="s">
        <v>31</v>
      </c>
      <c r="W851" s="6" t="s">
        <v>634</v>
      </c>
      <c r="X851" s="6" t="s">
        <v>171</v>
      </c>
    </row>
    <row r="852" spans="1:24" ht="15" customHeight="1" x14ac:dyDescent="0.3">
      <c r="A852" s="6" t="s">
        <v>533</v>
      </c>
      <c r="B852" s="6" t="s">
        <v>534</v>
      </c>
      <c r="C852" s="6" t="s">
        <v>31</v>
      </c>
      <c r="D852" s="1088" t="s">
        <v>549</v>
      </c>
      <c r="E852" s="1169" t="s">
        <v>171</v>
      </c>
      <c r="F852" s="6" t="s">
        <v>634</v>
      </c>
      <c r="G852" s="6" t="s">
        <v>1820</v>
      </c>
      <c r="H852" s="6" t="s">
        <v>1219</v>
      </c>
      <c r="J852" s="1215" t="s">
        <v>509</v>
      </c>
      <c r="K852" s="1219" t="s">
        <v>3112</v>
      </c>
      <c r="L852" s="8">
        <v>5</v>
      </c>
      <c r="M852" s="8">
        <v>30</v>
      </c>
      <c r="N852" s="1169" t="s">
        <v>272</v>
      </c>
      <c r="P852" s="6" t="s">
        <v>3324</v>
      </c>
      <c r="Q852" s="1215" t="s">
        <v>253</v>
      </c>
      <c r="R852" s="1215" t="s">
        <v>255</v>
      </c>
      <c r="S852" s="1215" t="s">
        <v>534</v>
      </c>
      <c r="T852" s="1215" t="s">
        <v>533</v>
      </c>
      <c r="U852" s="6" t="s">
        <v>549</v>
      </c>
      <c r="V852" s="6" t="s">
        <v>31</v>
      </c>
      <c r="W852" s="6" t="s">
        <v>634</v>
      </c>
      <c r="X852" s="6" t="s">
        <v>171</v>
      </c>
    </row>
    <row r="853" spans="1:24" ht="15" customHeight="1" x14ac:dyDescent="0.3">
      <c r="A853" s="6" t="s">
        <v>533</v>
      </c>
      <c r="B853" s="6" t="s">
        <v>534</v>
      </c>
      <c r="C853" s="6" t="s">
        <v>35</v>
      </c>
      <c r="D853" s="1088" t="s">
        <v>567</v>
      </c>
      <c r="E853" s="1169" t="s">
        <v>193</v>
      </c>
      <c r="F853" s="6" t="s">
        <v>863</v>
      </c>
      <c r="G853" s="6" t="s">
        <v>550</v>
      </c>
      <c r="H853" s="6" t="s">
        <v>3191</v>
      </c>
      <c r="I853" s="6" t="s">
        <v>3191</v>
      </c>
      <c r="J853" s="1215" t="s">
        <v>509</v>
      </c>
      <c r="K853" s="1219" t="s">
        <v>3112</v>
      </c>
      <c r="L853" s="8">
        <v>30</v>
      </c>
      <c r="M853" s="8">
        <v>150</v>
      </c>
      <c r="N853" s="1169" t="s">
        <v>271</v>
      </c>
      <c r="P853" s="6" t="s">
        <v>3324</v>
      </c>
      <c r="Q853" s="1215" t="s">
        <v>253</v>
      </c>
      <c r="R853" s="1215" t="s">
        <v>255</v>
      </c>
      <c r="S853" s="1215" t="s">
        <v>534</v>
      </c>
      <c r="T853" s="1215" t="s">
        <v>533</v>
      </c>
      <c r="U853" s="6" t="s">
        <v>567</v>
      </c>
      <c r="V853" s="6" t="s">
        <v>35</v>
      </c>
      <c r="W853" s="6" t="s">
        <v>863</v>
      </c>
      <c r="X853" s="6" t="s">
        <v>193</v>
      </c>
    </row>
    <row r="854" spans="1:24" ht="15" customHeight="1" x14ac:dyDescent="0.3">
      <c r="A854" s="6" t="s">
        <v>533</v>
      </c>
      <c r="B854" s="6" t="s">
        <v>534</v>
      </c>
      <c r="C854" s="6" t="s">
        <v>31</v>
      </c>
      <c r="D854" s="1088" t="s">
        <v>549</v>
      </c>
      <c r="E854" s="1169" t="s">
        <v>171</v>
      </c>
      <c r="F854" s="6" t="s">
        <v>634</v>
      </c>
      <c r="G854" s="6" t="s">
        <v>2888</v>
      </c>
      <c r="H854" s="6" t="s">
        <v>1960</v>
      </c>
      <c r="J854" s="1215" t="s">
        <v>509</v>
      </c>
      <c r="K854" s="1219" t="s">
        <v>3033</v>
      </c>
      <c r="L854" s="8">
        <v>13</v>
      </c>
      <c r="M854" s="8">
        <v>127</v>
      </c>
      <c r="N854" s="1169" t="s">
        <v>271</v>
      </c>
      <c r="P854" s="6" t="s">
        <v>3324</v>
      </c>
      <c r="Q854" s="1215" t="s">
        <v>253</v>
      </c>
      <c r="R854" s="1215" t="s">
        <v>255</v>
      </c>
      <c r="S854" s="1215" t="s">
        <v>534</v>
      </c>
      <c r="T854" s="1215" t="s">
        <v>533</v>
      </c>
      <c r="U854" s="6" t="s">
        <v>549</v>
      </c>
      <c r="V854" s="6" t="s">
        <v>31</v>
      </c>
      <c r="W854" s="6" t="s">
        <v>634</v>
      </c>
      <c r="X854" s="6" t="s">
        <v>171</v>
      </c>
    </row>
    <row r="855" spans="1:24" ht="15" customHeight="1" x14ac:dyDescent="0.3">
      <c r="A855" s="6" t="s">
        <v>533</v>
      </c>
      <c r="B855" s="1168" t="s">
        <v>534</v>
      </c>
      <c r="C855" s="6" t="s">
        <v>31</v>
      </c>
      <c r="D855" s="1088" t="s">
        <v>549</v>
      </c>
      <c r="E855" s="1169" t="s">
        <v>171</v>
      </c>
      <c r="F855" s="6" t="s">
        <v>634</v>
      </c>
      <c r="G855" s="6" t="s">
        <v>1784</v>
      </c>
      <c r="H855" s="6" t="s">
        <v>1157</v>
      </c>
      <c r="J855" s="1215" t="s">
        <v>509</v>
      </c>
      <c r="K855" s="1219" t="s">
        <v>3033</v>
      </c>
      <c r="L855" s="8">
        <v>2</v>
      </c>
      <c r="M855" s="8">
        <v>19</v>
      </c>
      <c r="N855" s="1169" t="s">
        <v>271</v>
      </c>
      <c r="P855" s="6" t="s">
        <v>3324</v>
      </c>
      <c r="Q855" s="1215" t="s">
        <v>253</v>
      </c>
      <c r="R855" s="1215" t="s">
        <v>255</v>
      </c>
      <c r="S855" s="1215" t="s">
        <v>534</v>
      </c>
      <c r="T855" s="1215" t="s">
        <v>533</v>
      </c>
      <c r="U855" s="6" t="s">
        <v>549</v>
      </c>
      <c r="V855" s="6" t="s">
        <v>31</v>
      </c>
      <c r="W855" s="6" t="s">
        <v>634</v>
      </c>
      <c r="X855" s="6" t="s">
        <v>171</v>
      </c>
    </row>
    <row r="856" spans="1:24" ht="15" customHeight="1" x14ac:dyDescent="0.3">
      <c r="A856" s="6" t="s">
        <v>533</v>
      </c>
      <c r="B856" s="6" t="s">
        <v>534</v>
      </c>
      <c r="C856" s="6" t="s">
        <v>31</v>
      </c>
      <c r="D856" s="1088" t="s">
        <v>549</v>
      </c>
      <c r="E856" s="6" t="s">
        <v>2797</v>
      </c>
      <c r="F856" s="6" t="s">
        <v>767</v>
      </c>
      <c r="G856" s="6" t="s">
        <v>550</v>
      </c>
      <c r="H856" s="6" t="s">
        <v>3169</v>
      </c>
      <c r="I856" s="6" t="s">
        <v>3169</v>
      </c>
      <c r="J856" s="1215" t="s">
        <v>509</v>
      </c>
      <c r="K856" s="1219" t="s">
        <v>3112</v>
      </c>
      <c r="L856" s="8">
        <v>100</v>
      </c>
      <c r="M856" s="8">
        <v>700</v>
      </c>
      <c r="N856" s="1169" t="s">
        <v>271</v>
      </c>
      <c r="P856" s="6" t="s">
        <v>3324</v>
      </c>
      <c r="Q856" s="1215" t="s">
        <v>253</v>
      </c>
      <c r="R856" s="1215" t="s">
        <v>255</v>
      </c>
      <c r="S856" s="1215" t="s">
        <v>534</v>
      </c>
      <c r="T856" s="1215" t="s">
        <v>533</v>
      </c>
      <c r="U856" s="6" t="s">
        <v>549</v>
      </c>
      <c r="V856" s="6" t="s">
        <v>31</v>
      </c>
      <c r="W856" s="6" t="s">
        <v>767</v>
      </c>
      <c r="X856" s="6" t="s">
        <v>2797</v>
      </c>
    </row>
    <row r="857" spans="1:24" ht="15" customHeight="1" x14ac:dyDescent="0.3">
      <c r="A857" s="6" t="s">
        <v>533</v>
      </c>
      <c r="B857" s="6" t="s">
        <v>534</v>
      </c>
      <c r="C857" s="6" t="s">
        <v>31</v>
      </c>
      <c r="D857" s="1088" t="s">
        <v>549</v>
      </c>
      <c r="E857" s="6" t="s">
        <v>2797</v>
      </c>
      <c r="F857" s="6" t="s">
        <v>767</v>
      </c>
      <c r="G857" s="6" t="s">
        <v>2929</v>
      </c>
      <c r="H857" s="6" t="s">
        <v>1201</v>
      </c>
      <c r="J857" s="1215" t="s">
        <v>509</v>
      </c>
      <c r="K857" s="1219" t="s">
        <v>3112</v>
      </c>
      <c r="L857" s="8">
        <v>9</v>
      </c>
      <c r="M857" s="8">
        <v>98</v>
      </c>
      <c r="N857" s="1169" t="s">
        <v>271</v>
      </c>
      <c r="P857" s="6" t="s">
        <v>3324</v>
      </c>
      <c r="Q857" s="1215" t="s">
        <v>253</v>
      </c>
      <c r="R857" s="1215" t="s">
        <v>255</v>
      </c>
      <c r="S857" s="1215" t="s">
        <v>534</v>
      </c>
      <c r="T857" s="1215" t="s">
        <v>533</v>
      </c>
      <c r="U857" s="6" t="s">
        <v>549</v>
      </c>
      <c r="V857" s="6" t="s">
        <v>31</v>
      </c>
      <c r="W857" s="6" t="s">
        <v>767</v>
      </c>
      <c r="X857" s="6" t="s">
        <v>2797</v>
      </c>
    </row>
    <row r="858" spans="1:24" ht="15" customHeight="1" x14ac:dyDescent="0.3">
      <c r="A858" s="6" t="s">
        <v>533</v>
      </c>
      <c r="B858" s="6" t="s">
        <v>534</v>
      </c>
      <c r="C858" s="6" t="s">
        <v>31</v>
      </c>
      <c r="D858" s="1088" t="s">
        <v>549</v>
      </c>
      <c r="E858" s="6" t="s">
        <v>2797</v>
      </c>
      <c r="F858" s="6" t="s">
        <v>767</v>
      </c>
      <c r="G858" s="6" t="s">
        <v>2929</v>
      </c>
      <c r="H858" s="6" t="s">
        <v>1201</v>
      </c>
      <c r="J858" s="1215" t="s">
        <v>509</v>
      </c>
      <c r="K858" s="1219" t="s">
        <v>3033</v>
      </c>
      <c r="L858" s="8">
        <v>10</v>
      </c>
      <c r="M858" s="8">
        <v>70</v>
      </c>
      <c r="N858" s="6" t="s">
        <v>271</v>
      </c>
      <c r="P858" s="6" t="s">
        <v>3324</v>
      </c>
      <c r="Q858" s="1215" t="s">
        <v>253</v>
      </c>
      <c r="R858" s="1215" t="s">
        <v>255</v>
      </c>
      <c r="S858" s="1215" t="s">
        <v>534</v>
      </c>
      <c r="T858" s="1215" t="s">
        <v>533</v>
      </c>
      <c r="U858" s="6" t="s">
        <v>549</v>
      </c>
      <c r="V858" s="6" t="s">
        <v>31</v>
      </c>
      <c r="W858" s="6" t="s">
        <v>767</v>
      </c>
      <c r="X858" s="6" t="s">
        <v>2797</v>
      </c>
    </row>
    <row r="859" spans="1:24" ht="15" customHeight="1" x14ac:dyDescent="0.3">
      <c r="A859" s="6" t="s">
        <v>533</v>
      </c>
      <c r="B859" s="6" t="s">
        <v>534</v>
      </c>
      <c r="C859" s="6" t="s">
        <v>31</v>
      </c>
      <c r="D859" s="1088" t="s">
        <v>549</v>
      </c>
      <c r="E859" s="6" t="s">
        <v>2797</v>
      </c>
      <c r="F859" s="6" t="s">
        <v>767</v>
      </c>
      <c r="G859" s="6" t="s">
        <v>2929</v>
      </c>
      <c r="H859" s="6" t="s">
        <v>1201</v>
      </c>
      <c r="J859" s="1215" t="s">
        <v>509</v>
      </c>
      <c r="K859" s="1219" t="s">
        <v>3110</v>
      </c>
      <c r="L859" s="8">
        <v>61</v>
      </c>
      <c r="M859" s="8">
        <v>366</v>
      </c>
      <c r="N859" s="6" t="s">
        <v>271</v>
      </c>
      <c r="P859" s="6" t="s">
        <v>3324</v>
      </c>
      <c r="Q859" s="1215" t="s">
        <v>253</v>
      </c>
      <c r="R859" s="1215" t="s">
        <v>255</v>
      </c>
      <c r="S859" s="1215" t="s">
        <v>534</v>
      </c>
      <c r="T859" s="1215" t="s">
        <v>533</v>
      </c>
      <c r="U859" s="6" t="s">
        <v>549</v>
      </c>
      <c r="V859" s="6" t="s">
        <v>31</v>
      </c>
      <c r="W859" s="6" t="s">
        <v>767</v>
      </c>
      <c r="X859" s="6" t="s">
        <v>2797</v>
      </c>
    </row>
    <row r="860" spans="1:24" ht="15" customHeight="1" x14ac:dyDescent="0.3">
      <c r="A860" s="6" t="s">
        <v>533</v>
      </c>
      <c r="B860" s="6" t="s">
        <v>534</v>
      </c>
      <c r="C860" s="6" t="s">
        <v>31</v>
      </c>
      <c r="D860" s="1088" t="s">
        <v>549</v>
      </c>
      <c r="E860" s="6" t="s">
        <v>2797</v>
      </c>
      <c r="F860" s="6" t="s">
        <v>767</v>
      </c>
      <c r="G860" s="6" t="s">
        <v>1087</v>
      </c>
      <c r="H860" s="6" t="s">
        <v>663</v>
      </c>
      <c r="J860" s="1215" t="s">
        <v>509</v>
      </c>
      <c r="K860" s="1219" t="s">
        <v>3033</v>
      </c>
      <c r="L860" s="8">
        <v>9</v>
      </c>
      <c r="M860" s="8">
        <v>79</v>
      </c>
      <c r="N860" s="1169" t="s">
        <v>271</v>
      </c>
      <c r="P860" s="6" t="s">
        <v>3324</v>
      </c>
      <c r="Q860" s="1215" t="s">
        <v>253</v>
      </c>
      <c r="R860" s="1215" t="s">
        <v>255</v>
      </c>
      <c r="S860" s="1215" t="s">
        <v>534</v>
      </c>
      <c r="T860" s="1215" t="s">
        <v>533</v>
      </c>
      <c r="U860" s="6" t="s">
        <v>549</v>
      </c>
      <c r="V860" s="6" t="s">
        <v>31</v>
      </c>
      <c r="W860" s="6" t="s">
        <v>767</v>
      </c>
      <c r="X860" s="6" t="s">
        <v>2797</v>
      </c>
    </row>
    <row r="861" spans="1:24" ht="15" customHeight="1" x14ac:dyDescent="0.3">
      <c r="A861" s="6" t="s">
        <v>533</v>
      </c>
      <c r="B861" s="6" t="s">
        <v>534</v>
      </c>
      <c r="C861" s="6" t="s">
        <v>31</v>
      </c>
      <c r="D861" s="1088" t="s">
        <v>549</v>
      </c>
      <c r="E861" s="6" t="s">
        <v>2797</v>
      </c>
      <c r="F861" s="6" t="s">
        <v>767</v>
      </c>
      <c r="G861" s="6" t="s">
        <v>1087</v>
      </c>
      <c r="H861" s="6" t="s">
        <v>663</v>
      </c>
      <c r="J861" s="1215" t="s">
        <v>509</v>
      </c>
      <c r="K861" s="1219" t="s">
        <v>3110</v>
      </c>
      <c r="L861" s="8">
        <v>5</v>
      </c>
      <c r="M861" s="8">
        <v>16</v>
      </c>
      <c r="N861" s="1169" t="s">
        <v>271</v>
      </c>
      <c r="P861" s="6" t="s">
        <v>3324</v>
      </c>
      <c r="Q861" s="1215" t="s">
        <v>253</v>
      </c>
      <c r="R861" s="1215" t="s">
        <v>255</v>
      </c>
      <c r="S861" s="1215" t="s">
        <v>534</v>
      </c>
      <c r="T861" s="1215" t="s">
        <v>533</v>
      </c>
      <c r="U861" s="6" t="s">
        <v>549</v>
      </c>
      <c r="V861" s="6" t="s">
        <v>31</v>
      </c>
      <c r="W861" s="6" t="s">
        <v>767</v>
      </c>
      <c r="X861" s="6" t="s">
        <v>2797</v>
      </c>
    </row>
    <row r="862" spans="1:24" ht="15" customHeight="1" x14ac:dyDescent="0.3">
      <c r="A862" s="6" t="s">
        <v>533</v>
      </c>
      <c r="B862" s="6" t="s">
        <v>534</v>
      </c>
      <c r="C862" s="6" t="s">
        <v>31</v>
      </c>
      <c r="D862" s="1088" t="s">
        <v>549</v>
      </c>
      <c r="E862" s="6" t="s">
        <v>2797</v>
      </c>
      <c r="F862" s="6" t="s">
        <v>767</v>
      </c>
      <c r="G862" s="6" t="s">
        <v>1087</v>
      </c>
      <c r="H862" s="6" t="s">
        <v>663</v>
      </c>
      <c r="J862" s="1215" t="s">
        <v>509</v>
      </c>
      <c r="K862" s="1219" t="s">
        <v>3112</v>
      </c>
      <c r="L862" s="8">
        <v>115</v>
      </c>
      <c r="M862" s="8">
        <v>805</v>
      </c>
      <c r="N862" s="6" t="s">
        <v>271</v>
      </c>
      <c r="P862" s="6" t="s">
        <v>3324</v>
      </c>
      <c r="Q862" s="1215" t="s">
        <v>253</v>
      </c>
      <c r="R862" s="1215" t="s">
        <v>255</v>
      </c>
      <c r="S862" s="1215" t="s">
        <v>534</v>
      </c>
      <c r="T862" s="1215" t="s">
        <v>533</v>
      </c>
      <c r="U862" s="6" t="s">
        <v>549</v>
      </c>
      <c r="V862" s="6" t="s">
        <v>31</v>
      </c>
      <c r="W862" s="6" t="s">
        <v>767</v>
      </c>
      <c r="X862" s="6" t="s">
        <v>2797</v>
      </c>
    </row>
    <row r="863" spans="1:24" ht="15" customHeight="1" x14ac:dyDescent="0.3">
      <c r="A863" s="6" t="s">
        <v>533</v>
      </c>
      <c r="B863" s="6" t="s">
        <v>534</v>
      </c>
      <c r="C863" s="6" t="s">
        <v>31</v>
      </c>
      <c r="D863" s="1088" t="s">
        <v>549</v>
      </c>
      <c r="E863" s="6" t="s">
        <v>167</v>
      </c>
      <c r="F863" s="6" t="s">
        <v>1113</v>
      </c>
      <c r="G863" s="6" t="s">
        <v>2052</v>
      </c>
      <c r="H863" s="6" t="s">
        <v>2053</v>
      </c>
      <c r="J863" s="1215" t="s">
        <v>509</v>
      </c>
      <c r="K863" s="1219" t="s">
        <v>3111</v>
      </c>
      <c r="L863" s="8">
        <v>50</v>
      </c>
      <c r="M863" s="8">
        <v>50</v>
      </c>
      <c r="N863" s="1169" t="s">
        <v>271</v>
      </c>
      <c r="P863" s="6" t="s">
        <v>3324</v>
      </c>
      <c r="Q863" s="1215" t="s">
        <v>253</v>
      </c>
      <c r="R863" s="1215" t="s">
        <v>255</v>
      </c>
      <c r="S863" s="1215" t="s">
        <v>534</v>
      </c>
      <c r="T863" s="1215" t="s">
        <v>533</v>
      </c>
      <c r="U863" s="6" t="s">
        <v>549</v>
      </c>
      <c r="V863" s="6" t="s">
        <v>31</v>
      </c>
      <c r="W863" s="6" t="s">
        <v>1113</v>
      </c>
      <c r="X863" s="6" t="s">
        <v>167</v>
      </c>
    </row>
    <row r="864" spans="1:24" ht="15" customHeight="1" x14ac:dyDescent="0.3">
      <c r="A864" s="6" t="s">
        <v>533</v>
      </c>
      <c r="B864" s="6" t="s">
        <v>534</v>
      </c>
      <c r="C864" s="6" t="s">
        <v>31</v>
      </c>
      <c r="D864" s="1088" t="s">
        <v>549</v>
      </c>
      <c r="E864" s="6" t="s">
        <v>167</v>
      </c>
      <c r="F864" s="6" t="s">
        <v>1113</v>
      </c>
      <c r="G864" s="6" t="s">
        <v>2059</v>
      </c>
      <c r="H864" s="6" t="s">
        <v>2076</v>
      </c>
      <c r="J864" s="1215" t="s">
        <v>509</v>
      </c>
      <c r="K864" s="1219" t="s">
        <v>3110</v>
      </c>
      <c r="L864" s="8">
        <v>60</v>
      </c>
      <c r="M864" s="8">
        <v>60</v>
      </c>
      <c r="N864" s="1169" t="s">
        <v>271</v>
      </c>
      <c r="P864" s="6" t="s">
        <v>3324</v>
      </c>
      <c r="Q864" s="1215" t="s">
        <v>253</v>
      </c>
      <c r="R864" s="1215" t="s">
        <v>255</v>
      </c>
      <c r="S864" s="1215" t="s">
        <v>534</v>
      </c>
      <c r="T864" s="1215" t="s">
        <v>533</v>
      </c>
      <c r="U864" s="6" t="s">
        <v>549</v>
      </c>
      <c r="V864" s="6" t="s">
        <v>31</v>
      </c>
      <c r="W864" s="6" t="s">
        <v>1113</v>
      </c>
      <c r="X864" s="6" t="s">
        <v>167</v>
      </c>
    </row>
    <row r="865" spans="1:24" ht="15" customHeight="1" x14ac:dyDescent="0.3">
      <c r="A865" s="6" t="s">
        <v>533</v>
      </c>
      <c r="B865" s="6" t="s">
        <v>534</v>
      </c>
      <c r="C865" s="6" t="s">
        <v>31</v>
      </c>
      <c r="D865" s="1088" t="s">
        <v>549</v>
      </c>
      <c r="E865" s="6" t="s">
        <v>167</v>
      </c>
      <c r="F865" s="6" t="s">
        <v>1113</v>
      </c>
      <c r="G865" s="6" t="s">
        <v>2043</v>
      </c>
      <c r="H865" s="6" t="s">
        <v>1790</v>
      </c>
      <c r="J865" s="1215" t="s">
        <v>509</v>
      </c>
      <c r="K865" s="1219" t="s">
        <v>3111</v>
      </c>
      <c r="L865" s="8">
        <v>55</v>
      </c>
      <c r="M865" s="8">
        <v>55</v>
      </c>
      <c r="N865" s="1169" t="s">
        <v>271</v>
      </c>
      <c r="P865" s="6" t="s">
        <v>3324</v>
      </c>
      <c r="Q865" s="1215" t="s">
        <v>253</v>
      </c>
      <c r="R865" s="1215" t="s">
        <v>255</v>
      </c>
      <c r="S865" s="1215" t="s">
        <v>534</v>
      </c>
      <c r="T865" s="1215" t="s">
        <v>533</v>
      </c>
      <c r="U865" s="6" t="s">
        <v>549</v>
      </c>
      <c r="V865" s="6" t="s">
        <v>31</v>
      </c>
      <c r="W865" s="6" t="s">
        <v>1113</v>
      </c>
      <c r="X865" s="6" t="s">
        <v>167</v>
      </c>
    </row>
    <row r="866" spans="1:24" ht="15" customHeight="1" x14ac:dyDescent="0.3">
      <c r="A866" s="6" t="s">
        <v>533</v>
      </c>
      <c r="B866" s="6" t="s">
        <v>534</v>
      </c>
      <c r="C866" s="6" t="s">
        <v>31</v>
      </c>
      <c r="D866" s="1088" t="s">
        <v>549</v>
      </c>
      <c r="E866" s="6" t="s">
        <v>167</v>
      </c>
      <c r="F866" s="6" t="s">
        <v>1113</v>
      </c>
      <c r="G866" s="6" t="s">
        <v>1937</v>
      </c>
      <c r="H866" s="6" t="s">
        <v>2531</v>
      </c>
      <c r="J866" s="1215" t="s">
        <v>509</v>
      </c>
      <c r="K866" s="1219" t="s">
        <v>3111</v>
      </c>
      <c r="L866" s="8">
        <v>40</v>
      </c>
      <c r="M866" s="8">
        <v>40</v>
      </c>
      <c r="N866" s="1169" t="s">
        <v>271</v>
      </c>
      <c r="P866" s="6" t="s">
        <v>3324</v>
      </c>
      <c r="Q866" s="1215" t="s">
        <v>253</v>
      </c>
      <c r="R866" s="1215" t="s">
        <v>255</v>
      </c>
      <c r="S866" s="1215" t="s">
        <v>534</v>
      </c>
      <c r="T866" s="1215" t="s">
        <v>533</v>
      </c>
      <c r="U866" s="6" t="s">
        <v>549</v>
      </c>
      <c r="V866" s="6" t="s">
        <v>31</v>
      </c>
      <c r="W866" s="6" t="s">
        <v>1113</v>
      </c>
      <c r="X866" s="6" t="s">
        <v>167</v>
      </c>
    </row>
    <row r="867" spans="1:24" ht="15" customHeight="1" x14ac:dyDescent="0.3">
      <c r="A867" s="6" t="s">
        <v>533</v>
      </c>
      <c r="B867" s="6" t="s">
        <v>534</v>
      </c>
      <c r="C867" s="6" t="s">
        <v>31</v>
      </c>
      <c r="D867" s="1088" t="s">
        <v>549</v>
      </c>
      <c r="E867" s="1088" t="s">
        <v>167</v>
      </c>
      <c r="F867" s="6" t="s">
        <v>1113</v>
      </c>
      <c r="G867" s="6" t="s">
        <v>2279</v>
      </c>
      <c r="H867" s="6" t="s">
        <v>2186</v>
      </c>
      <c r="J867" s="1215" t="s">
        <v>509</v>
      </c>
      <c r="K867" s="1219" t="s">
        <v>3111</v>
      </c>
      <c r="L867" s="8">
        <v>10</v>
      </c>
      <c r="M867" s="8">
        <v>10</v>
      </c>
      <c r="N867" s="1169" t="s">
        <v>271</v>
      </c>
      <c r="P867" s="6" t="s">
        <v>3324</v>
      </c>
      <c r="Q867" s="1215" t="s">
        <v>253</v>
      </c>
      <c r="R867" s="1215" t="s">
        <v>255</v>
      </c>
      <c r="S867" s="1215" t="s">
        <v>534</v>
      </c>
      <c r="T867" s="1215" t="s">
        <v>533</v>
      </c>
      <c r="U867" s="6" t="s">
        <v>549</v>
      </c>
      <c r="V867" s="6" t="s">
        <v>31</v>
      </c>
      <c r="W867" s="6" t="s">
        <v>1113</v>
      </c>
      <c r="X867" s="6" t="s">
        <v>167</v>
      </c>
    </row>
    <row r="868" spans="1:24" ht="15" customHeight="1" x14ac:dyDescent="0.3">
      <c r="A868" s="6" t="s">
        <v>533</v>
      </c>
      <c r="B868" s="6" t="s">
        <v>534</v>
      </c>
      <c r="C868" s="6" t="s">
        <v>31</v>
      </c>
      <c r="D868" s="1088" t="s">
        <v>549</v>
      </c>
      <c r="E868" s="1088" t="s">
        <v>167</v>
      </c>
      <c r="F868" s="6" t="s">
        <v>1113</v>
      </c>
      <c r="G868" s="6" t="s">
        <v>1825</v>
      </c>
      <c r="H868" s="6" t="s">
        <v>1930</v>
      </c>
      <c r="J868" s="1215" t="s">
        <v>509</v>
      </c>
      <c r="K868" s="1219" t="s">
        <v>3111</v>
      </c>
      <c r="L868" s="8">
        <v>30</v>
      </c>
      <c r="M868" s="8">
        <v>30</v>
      </c>
      <c r="N868" s="1169" t="s">
        <v>271</v>
      </c>
      <c r="P868" s="6" t="s">
        <v>3324</v>
      </c>
      <c r="Q868" s="1215" t="s">
        <v>253</v>
      </c>
      <c r="R868" s="1215" t="s">
        <v>255</v>
      </c>
      <c r="S868" s="1215" t="s">
        <v>534</v>
      </c>
      <c r="T868" s="1215" t="s">
        <v>533</v>
      </c>
      <c r="U868" s="6" t="s">
        <v>549</v>
      </c>
      <c r="V868" s="6" t="s">
        <v>31</v>
      </c>
      <c r="W868" s="6" t="s">
        <v>1113</v>
      </c>
      <c r="X868" s="6" t="s">
        <v>167</v>
      </c>
    </row>
    <row r="869" spans="1:24" ht="15" customHeight="1" x14ac:dyDescent="0.3">
      <c r="A869" s="6" t="s">
        <v>533</v>
      </c>
      <c r="B869" s="6" t="s">
        <v>534</v>
      </c>
      <c r="C869" s="6" t="s">
        <v>31</v>
      </c>
      <c r="D869" s="1088" t="s">
        <v>549</v>
      </c>
      <c r="E869" s="1088" t="s">
        <v>171</v>
      </c>
      <c r="F869" s="6" t="s">
        <v>634</v>
      </c>
      <c r="G869" s="6" t="s">
        <v>2618</v>
      </c>
      <c r="H869" s="6" t="s">
        <v>1213</v>
      </c>
      <c r="J869" s="1215" t="s">
        <v>509</v>
      </c>
      <c r="K869" s="1219" t="s">
        <v>3033</v>
      </c>
      <c r="L869" s="8">
        <v>6</v>
      </c>
      <c r="M869" s="8">
        <v>63</v>
      </c>
      <c r="N869" s="6" t="s">
        <v>271</v>
      </c>
      <c r="P869" s="6" t="s">
        <v>3324</v>
      </c>
      <c r="Q869" s="1215" t="s">
        <v>253</v>
      </c>
      <c r="R869" s="1215" t="s">
        <v>255</v>
      </c>
      <c r="S869" s="1215" t="s">
        <v>534</v>
      </c>
      <c r="T869" s="1215" t="s">
        <v>533</v>
      </c>
      <c r="U869" s="6" t="s">
        <v>549</v>
      </c>
      <c r="V869" s="6" t="s">
        <v>31</v>
      </c>
      <c r="W869" s="6" t="s">
        <v>634</v>
      </c>
      <c r="X869" s="6" t="s">
        <v>171</v>
      </c>
    </row>
    <row r="870" spans="1:24" ht="15" customHeight="1" x14ac:dyDescent="0.3">
      <c r="A870" s="6" t="s">
        <v>533</v>
      </c>
      <c r="B870" s="6" t="s">
        <v>534</v>
      </c>
      <c r="C870" s="6" t="s">
        <v>31</v>
      </c>
      <c r="D870" s="1088" t="s">
        <v>549</v>
      </c>
      <c r="E870" s="6" t="s">
        <v>171</v>
      </c>
      <c r="F870" s="6" t="s">
        <v>634</v>
      </c>
      <c r="G870" s="6" t="s">
        <v>2618</v>
      </c>
      <c r="H870" s="6" t="s">
        <v>1213</v>
      </c>
      <c r="J870" s="1215" t="s">
        <v>509</v>
      </c>
      <c r="K870" s="1219" t="s">
        <v>3112</v>
      </c>
      <c r="L870" s="8">
        <v>4</v>
      </c>
      <c r="M870" s="8">
        <v>12</v>
      </c>
      <c r="N870" s="1169" t="s">
        <v>272</v>
      </c>
      <c r="P870" s="6" t="s">
        <v>3324</v>
      </c>
      <c r="Q870" s="1215" t="s">
        <v>253</v>
      </c>
      <c r="R870" s="1215" t="s">
        <v>255</v>
      </c>
      <c r="S870" s="1215" t="s">
        <v>534</v>
      </c>
      <c r="T870" s="1215" t="s">
        <v>533</v>
      </c>
      <c r="U870" s="6" t="s">
        <v>549</v>
      </c>
      <c r="V870" s="6" t="s">
        <v>31</v>
      </c>
      <c r="W870" s="6" t="s">
        <v>634</v>
      </c>
      <c r="X870" s="6" t="s">
        <v>171</v>
      </c>
    </row>
    <row r="871" spans="1:24" ht="15" customHeight="1" x14ac:dyDescent="0.3">
      <c r="A871" s="6" t="s">
        <v>533</v>
      </c>
      <c r="B871" s="6" t="s">
        <v>534</v>
      </c>
      <c r="C871" s="6" t="s">
        <v>31</v>
      </c>
      <c r="D871" s="1088" t="s">
        <v>549</v>
      </c>
      <c r="E871" s="6" t="s">
        <v>171</v>
      </c>
      <c r="F871" s="6" t="s">
        <v>634</v>
      </c>
      <c r="G871" s="6" t="s">
        <v>790</v>
      </c>
      <c r="H871" s="6" t="s">
        <v>1023</v>
      </c>
      <c r="J871" s="1215" t="s">
        <v>509</v>
      </c>
      <c r="K871" s="1219" t="s">
        <v>3033</v>
      </c>
      <c r="L871" s="8">
        <v>10</v>
      </c>
      <c r="M871" s="8">
        <v>62</v>
      </c>
      <c r="N871" s="1169" t="s">
        <v>271</v>
      </c>
      <c r="P871" s="6" t="s">
        <v>3324</v>
      </c>
      <c r="Q871" s="1215" t="s">
        <v>253</v>
      </c>
      <c r="R871" s="1215" t="s">
        <v>255</v>
      </c>
      <c r="S871" s="1215" t="s">
        <v>534</v>
      </c>
      <c r="T871" s="1215" t="s">
        <v>533</v>
      </c>
      <c r="U871" s="6" t="s">
        <v>549</v>
      </c>
      <c r="V871" s="6" t="s">
        <v>31</v>
      </c>
      <c r="W871" s="6" t="s">
        <v>634</v>
      </c>
      <c r="X871" s="6" t="s">
        <v>171</v>
      </c>
    </row>
    <row r="872" spans="1:24" ht="15" customHeight="1" x14ac:dyDescent="0.3">
      <c r="A872" s="6" t="s">
        <v>533</v>
      </c>
      <c r="B872" s="6" t="s">
        <v>534</v>
      </c>
      <c r="C872" s="6" t="s">
        <v>31</v>
      </c>
      <c r="D872" s="1088" t="s">
        <v>549</v>
      </c>
      <c r="E872" s="6" t="s">
        <v>171</v>
      </c>
      <c r="F872" s="6" t="s">
        <v>634</v>
      </c>
      <c r="G872" s="6" t="s">
        <v>796</v>
      </c>
      <c r="H872" s="6" t="s">
        <v>1025</v>
      </c>
      <c r="J872" s="1215" t="s">
        <v>509</v>
      </c>
      <c r="K872" s="1219" t="s">
        <v>3033</v>
      </c>
      <c r="L872" s="8">
        <v>4</v>
      </c>
      <c r="M872" s="8">
        <v>79</v>
      </c>
      <c r="N872" s="1169" t="s">
        <v>271</v>
      </c>
      <c r="P872" s="6" t="s">
        <v>3324</v>
      </c>
      <c r="Q872" s="1215" t="s">
        <v>253</v>
      </c>
      <c r="R872" s="1215" t="s">
        <v>255</v>
      </c>
      <c r="S872" s="1215" t="s">
        <v>534</v>
      </c>
      <c r="T872" s="1215" t="s">
        <v>533</v>
      </c>
      <c r="U872" s="6" t="s">
        <v>549</v>
      </c>
      <c r="V872" s="6" t="s">
        <v>31</v>
      </c>
      <c r="W872" s="6" t="s">
        <v>634</v>
      </c>
      <c r="X872" s="6" t="s">
        <v>171</v>
      </c>
    </row>
    <row r="873" spans="1:24" ht="15" customHeight="1" x14ac:dyDescent="0.3">
      <c r="A873" s="6" t="s">
        <v>533</v>
      </c>
      <c r="B873" s="6" t="s">
        <v>534</v>
      </c>
      <c r="C873" s="6" t="s">
        <v>31</v>
      </c>
      <c r="D873" s="1088" t="s">
        <v>549</v>
      </c>
      <c r="E873" s="1088" t="s">
        <v>171</v>
      </c>
      <c r="F873" s="6" t="s">
        <v>634</v>
      </c>
      <c r="G873" s="6" t="s">
        <v>2845</v>
      </c>
      <c r="H873" s="6" t="s">
        <v>791</v>
      </c>
      <c r="J873" s="1215" t="s">
        <v>509</v>
      </c>
      <c r="K873" s="1219" t="s">
        <v>3033</v>
      </c>
      <c r="L873" s="8">
        <v>27</v>
      </c>
      <c r="M873" s="8">
        <v>153</v>
      </c>
      <c r="N873" s="6" t="s">
        <v>271</v>
      </c>
      <c r="P873" s="6" t="s">
        <v>3323</v>
      </c>
      <c r="Q873" s="1215" t="s">
        <v>253</v>
      </c>
      <c r="R873" s="1215" t="s">
        <v>255</v>
      </c>
      <c r="S873" s="1215" t="s">
        <v>534</v>
      </c>
      <c r="T873" s="1215" t="s">
        <v>533</v>
      </c>
      <c r="U873" s="6" t="s">
        <v>549</v>
      </c>
      <c r="V873" s="6" t="s">
        <v>31</v>
      </c>
      <c r="W873" s="6" t="s">
        <v>844</v>
      </c>
      <c r="X873" s="6" t="s">
        <v>166</v>
      </c>
    </row>
    <row r="874" spans="1:24" ht="15" customHeight="1" x14ac:dyDescent="0.3">
      <c r="A874" s="6" t="s">
        <v>533</v>
      </c>
      <c r="B874" s="6" t="s">
        <v>534</v>
      </c>
      <c r="C874" s="6" t="s">
        <v>31</v>
      </c>
      <c r="D874" s="1088" t="s">
        <v>549</v>
      </c>
      <c r="E874" s="1088" t="s">
        <v>171</v>
      </c>
      <c r="F874" s="6" t="s">
        <v>634</v>
      </c>
      <c r="G874" s="6" t="s">
        <v>2845</v>
      </c>
      <c r="H874" s="6" t="s">
        <v>791</v>
      </c>
      <c r="J874" s="1215" t="s">
        <v>509</v>
      </c>
      <c r="K874" s="1219" t="s">
        <v>3109</v>
      </c>
      <c r="L874" s="8">
        <v>0</v>
      </c>
      <c r="M874" s="8">
        <v>14</v>
      </c>
      <c r="N874" s="6" t="s">
        <v>271</v>
      </c>
      <c r="P874" s="6" t="s">
        <v>3323</v>
      </c>
      <c r="Q874" s="1215" t="s">
        <v>253</v>
      </c>
      <c r="R874" s="1215" t="s">
        <v>255</v>
      </c>
      <c r="S874" s="1215" t="s">
        <v>534</v>
      </c>
      <c r="T874" s="1215" t="s">
        <v>533</v>
      </c>
      <c r="U874" s="6" t="s">
        <v>549</v>
      </c>
      <c r="V874" s="6" t="s">
        <v>31</v>
      </c>
      <c r="W874" s="6" t="s">
        <v>844</v>
      </c>
      <c r="X874" s="6" t="s">
        <v>166</v>
      </c>
    </row>
    <row r="875" spans="1:24" ht="15" customHeight="1" x14ac:dyDescent="0.3">
      <c r="A875" s="6" t="s">
        <v>533</v>
      </c>
      <c r="B875" s="6" t="s">
        <v>534</v>
      </c>
      <c r="C875" s="6" t="s">
        <v>31</v>
      </c>
      <c r="D875" s="1088" t="s">
        <v>549</v>
      </c>
      <c r="E875" s="6" t="s">
        <v>171</v>
      </c>
      <c r="F875" s="6" t="s">
        <v>634</v>
      </c>
      <c r="G875" s="6" t="s">
        <v>2845</v>
      </c>
      <c r="H875" s="6" t="s">
        <v>791</v>
      </c>
      <c r="J875" s="1215" t="s">
        <v>509</v>
      </c>
      <c r="K875" s="1219" t="s">
        <v>3112</v>
      </c>
      <c r="L875" s="8">
        <v>0</v>
      </c>
      <c r="M875" s="8">
        <v>6</v>
      </c>
      <c r="N875" s="1169" t="s">
        <v>274</v>
      </c>
      <c r="P875" s="6" t="s">
        <v>3323</v>
      </c>
      <c r="Q875" s="1215" t="s">
        <v>253</v>
      </c>
      <c r="R875" s="1215" t="s">
        <v>255</v>
      </c>
      <c r="S875" s="1215" t="s">
        <v>534</v>
      </c>
      <c r="T875" s="1215" t="s">
        <v>533</v>
      </c>
      <c r="U875" s="6" t="s">
        <v>549</v>
      </c>
      <c r="V875" s="6" t="s">
        <v>31</v>
      </c>
      <c r="W875" s="6" t="s">
        <v>673</v>
      </c>
      <c r="X875" s="6" t="s">
        <v>169</v>
      </c>
    </row>
    <row r="876" spans="1:24" ht="15" customHeight="1" x14ac:dyDescent="0.3">
      <c r="A876" s="6" t="s">
        <v>533</v>
      </c>
      <c r="B876" s="6" t="s">
        <v>534</v>
      </c>
      <c r="C876" s="6" t="s">
        <v>31</v>
      </c>
      <c r="D876" s="1088" t="s">
        <v>549</v>
      </c>
      <c r="E876" s="6" t="s">
        <v>171</v>
      </c>
      <c r="F876" s="6" t="s">
        <v>634</v>
      </c>
      <c r="G876" s="6" t="s">
        <v>2845</v>
      </c>
      <c r="H876" s="6" t="s">
        <v>791</v>
      </c>
      <c r="J876" s="1215" t="s">
        <v>509</v>
      </c>
      <c r="K876" s="1219" t="s">
        <v>3111</v>
      </c>
      <c r="L876" s="8">
        <v>0</v>
      </c>
      <c r="M876" s="8">
        <v>7</v>
      </c>
      <c r="N876" s="1169" t="s">
        <v>271</v>
      </c>
      <c r="P876" s="6" t="s">
        <v>3323</v>
      </c>
      <c r="Q876" s="1215" t="s">
        <v>253</v>
      </c>
      <c r="R876" s="1215" t="s">
        <v>255</v>
      </c>
      <c r="S876" s="1215" t="s">
        <v>534</v>
      </c>
      <c r="T876" s="1215" t="s">
        <v>533</v>
      </c>
      <c r="U876" s="6" t="s">
        <v>549</v>
      </c>
      <c r="V876" s="6" t="s">
        <v>31</v>
      </c>
      <c r="W876" s="6" t="s">
        <v>844</v>
      </c>
      <c r="X876" s="6" t="s">
        <v>166</v>
      </c>
    </row>
    <row r="877" spans="1:24" ht="15" customHeight="1" x14ac:dyDescent="0.3">
      <c r="A877" s="6" t="s">
        <v>533</v>
      </c>
      <c r="B877" s="6" t="s">
        <v>534</v>
      </c>
      <c r="C877" s="6" t="s">
        <v>34</v>
      </c>
      <c r="D877" s="1088" t="s">
        <v>539</v>
      </c>
      <c r="E877" s="6" t="s">
        <v>189</v>
      </c>
      <c r="F877" s="6" t="s">
        <v>590</v>
      </c>
      <c r="G877" s="6" t="s">
        <v>755</v>
      </c>
      <c r="H877" s="6" t="s">
        <v>756</v>
      </c>
      <c r="J877" s="1215" t="s">
        <v>509</v>
      </c>
      <c r="K877" s="1219" t="s">
        <v>3033</v>
      </c>
      <c r="L877" s="8">
        <v>10</v>
      </c>
      <c r="M877" s="8">
        <v>74</v>
      </c>
      <c r="N877" s="1169" t="s">
        <v>271</v>
      </c>
      <c r="P877" s="6" t="s">
        <v>3324</v>
      </c>
      <c r="Q877" s="1215" t="s">
        <v>253</v>
      </c>
      <c r="R877" s="1215" t="s">
        <v>255</v>
      </c>
      <c r="S877" s="1215" t="s">
        <v>534</v>
      </c>
      <c r="T877" s="1215" t="s">
        <v>533</v>
      </c>
      <c r="U877" s="6" t="s">
        <v>539</v>
      </c>
      <c r="V877" s="6" t="s">
        <v>34</v>
      </c>
      <c r="W877" s="6" t="s">
        <v>590</v>
      </c>
      <c r="X877" s="6" t="s">
        <v>189</v>
      </c>
    </row>
    <row r="878" spans="1:24" ht="15" customHeight="1" x14ac:dyDescent="0.3">
      <c r="A878" s="6" t="s">
        <v>533</v>
      </c>
      <c r="B878" s="6" t="s">
        <v>534</v>
      </c>
      <c r="C878" s="6" t="s">
        <v>34</v>
      </c>
      <c r="D878" s="1088" t="s">
        <v>539</v>
      </c>
      <c r="E878" s="6" t="s">
        <v>189</v>
      </c>
      <c r="F878" s="6" t="s">
        <v>590</v>
      </c>
      <c r="G878" s="6" t="s">
        <v>755</v>
      </c>
      <c r="H878" s="6" t="s">
        <v>756</v>
      </c>
      <c r="J878" s="1215" t="s">
        <v>509</v>
      </c>
      <c r="K878" s="1219" t="s">
        <v>3109</v>
      </c>
      <c r="L878" s="8">
        <v>0</v>
      </c>
      <c r="M878" s="8">
        <v>21</v>
      </c>
      <c r="N878" s="1169" t="s">
        <v>271</v>
      </c>
      <c r="P878" s="6" t="s">
        <v>3324</v>
      </c>
      <c r="Q878" s="1215" t="s">
        <v>253</v>
      </c>
      <c r="R878" s="1215" t="s">
        <v>255</v>
      </c>
      <c r="S878" s="1215" t="s">
        <v>534</v>
      </c>
      <c r="T878" s="1215" t="s">
        <v>533</v>
      </c>
      <c r="U878" s="6" t="s">
        <v>539</v>
      </c>
      <c r="V878" s="6" t="s">
        <v>34</v>
      </c>
      <c r="W878" s="6" t="s">
        <v>590</v>
      </c>
      <c r="X878" s="6" t="s">
        <v>189</v>
      </c>
    </row>
    <row r="879" spans="1:24" ht="15" customHeight="1" x14ac:dyDescent="0.3">
      <c r="A879" s="6" t="s">
        <v>533</v>
      </c>
      <c r="B879" s="6" t="s">
        <v>534</v>
      </c>
      <c r="C879" s="6" t="s">
        <v>34</v>
      </c>
      <c r="D879" s="1088" t="s">
        <v>539</v>
      </c>
      <c r="E879" s="6" t="s">
        <v>189</v>
      </c>
      <c r="F879" s="6" t="s">
        <v>590</v>
      </c>
      <c r="G879" s="6" t="s">
        <v>755</v>
      </c>
      <c r="H879" s="6" t="s">
        <v>756</v>
      </c>
      <c r="J879" s="1215" t="s">
        <v>509</v>
      </c>
      <c r="K879" s="1219" t="s">
        <v>3110</v>
      </c>
      <c r="L879" s="8">
        <v>0</v>
      </c>
      <c r="M879" s="8">
        <v>26</v>
      </c>
      <c r="N879" s="1169" t="s">
        <v>271</v>
      </c>
      <c r="P879" s="6" t="s">
        <v>3324</v>
      </c>
      <c r="Q879" s="1215" t="s">
        <v>253</v>
      </c>
      <c r="R879" s="1215" t="s">
        <v>255</v>
      </c>
      <c r="S879" s="1215" t="s">
        <v>534</v>
      </c>
      <c r="T879" s="1215" t="s">
        <v>533</v>
      </c>
      <c r="U879" s="6" t="s">
        <v>539</v>
      </c>
      <c r="V879" s="6" t="s">
        <v>34</v>
      </c>
      <c r="W879" s="6" t="s">
        <v>590</v>
      </c>
      <c r="X879" s="6" t="s">
        <v>189</v>
      </c>
    </row>
    <row r="880" spans="1:24" ht="15" customHeight="1" x14ac:dyDescent="0.3">
      <c r="A880" s="6" t="s">
        <v>533</v>
      </c>
      <c r="B880" s="6" t="s">
        <v>534</v>
      </c>
      <c r="C880" s="6" t="s">
        <v>34</v>
      </c>
      <c r="D880" s="1088" t="s">
        <v>539</v>
      </c>
      <c r="E880" s="6" t="s">
        <v>189</v>
      </c>
      <c r="F880" s="6" t="s">
        <v>590</v>
      </c>
      <c r="G880" s="6" t="s">
        <v>755</v>
      </c>
      <c r="H880" s="6" t="s">
        <v>756</v>
      </c>
      <c r="J880" s="1215" t="s">
        <v>509</v>
      </c>
      <c r="K880" s="1219" t="s">
        <v>3111</v>
      </c>
      <c r="L880" s="8">
        <v>0</v>
      </c>
      <c r="M880" s="8">
        <v>15</v>
      </c>
      <c r="N880" s="1169" t="s">
        <v>271</v>
      </c>
      <c r="P880" s="6" t="s">
        <v>3324</v>
      </c>
      <c r="Q880" s="1215" t="s">
        <v>253</v>
      </c>
      <c r="R880" s="1215" t="s">
        <v>255</v>
      </c>
      <c r="S880" s="1215" t="s">
        <v>534</v>
      </c>
      <c r="T880" s="1215" t="s">
        <v>533</v>
      </c>
      <c r="U880" s="6" t="s">
        <v>539</v>
      </c>
      <c r="V880" s="6" t="s">
        <v>34</v>
      </c>
      <c r="W880" s="6" t="s">
        <v>590</v>
      </c>
      <c r="X880" s="6" t="s">
        <v>189</v>
      </c>
    </row>
    <row r="881" spans="1:24" ht="15" customHeight="1" x14ac:dyDescent="0.3">
      <c r="A881" s="6" t="s">
        <v>533</v>
      </c>
      <c r="B881" s="6" t="s">
        <v>534</v>
      </c>
      <c r="C881" s="6" t="s">
        <v>34</v>
      </c>
      <c r="D881" s="1088" t="s">
        <v>539</v>
      </c>
      <c r="E881" s="1088" t="s">
        <v>189</v>
      </c>
      <c r="F881" s="6" t="s">
        <v>590</v>
      </c>
      <c r="G881" s="6" t="s">
        <v>755</v>
      </c>
      <c r="H881" s="6" t="s">
        <v>756</v>
      </c>
      <c r="J881" s="1215" t="s">
        <v>509</v>
      </c>
      <c r="K881" s="1219" t="s">
        <v>3112</v>
      </c>
      <c r="L881" s="8">
        <v>0</v>
      </c>
      <c r="M881" s="8">
        <v>8</v>
      </c>
      <c r="N881" s="1169" t="s">
        <v>271</v>
      </c>
      <c r="P881" s="6" t="s">
        <v>3324</v>
      </c>
      <c r="Q881" s="1215" t="s">
        <v>253</v>
      </c>
      <c r="R881" s="1215" t="s">
        <v>255</v>
      </c>
      <c r="S881" s="1215" t="s">
        <v>534</v>
      </c>
      <c r="T881" s="1215" t="s">
        <v>533</v>
      </c>
      <c r="U881" s="6" t="s">
        <v>539</v>
      </c>
      <c r="V881" s="6" t="s">
        <v>34</v>
      </c>
      <c r="W881" s="6" t="s">
        <v>590</v>
      </c>
      <c r="X881" s="6" t="s">
        <v>189</v>
      </c>
    </row>
    <row r="882" spans="1:24" ht="15" customHeight="1" x14ac:dyDescent="0.3">
      <c r="A882" s="6" t="s">
        <v>533</v>
      </c>
      <c r="B882" s="6" t="s">
        <v>534</v>
      </c>
      <c r="C882" s="6" t="s">
        <v>31</v>
      </c>
      <c r="D882" s="1088" t="s">
        <v>549</v>
      </c>
      <c r="E882" s="6" t="s">
        <v>171</v>
      </c>
      <c r="F882" s="6" t="s">
        <v>634</v>
      </c>
      <c r="G882" s="6" t="s">
        <v>849</v>
      </c>
      <c r="H882" s="6" t="s">
        <v>1159</v>
      </c>
      <c r="J882" s="1215" t="s">
        <v>509</v>
      </c>
      <c r="K882" s="1219" t="s">
        <v>3033</v>
      </c>
      <c r="L882" s="8">
        <v>21</v>
      </c>
      <c r="M882" s="8">
        <v>119</v>
      </c>
      <c r="N882" s="1169" t="s">
        <v>271</v>
      </c>
      <c r="P882" s="6" t="s">
        <v>3324</v>
      </c>
      <c r="Q882" s="1215" t="s">
        <v>253</v>
      </c>
      <c r="R882" s="1215" t="s">
        <v>255</v>
      </c>
      <c r="S882" s="1215" t="s">
        <v>534</v>
      </c>
      <c r="T882" s="1215" t="s">
        <v>533</v>
      </c>
      <c r="U882" s="6" t="s">
        <v>549</v>
      </c>
      <c r="V882" s="6" t="s">
        <v>31</v>
      </c>
      <c r="W882" s="6" t="s">
        <v>634</v>
      </c>
      <c r="X882" s="6" t="s">
        <v>171</v>
      </c>
    </row>
    <row r="883" spans="1:24" ht="15" customHeight="1" x14ac:dyDescent="0.3">
      <c r="A883" s="6" t="s">
        <v>533</v>
      </c>
      <c r="B883" s="6" t="s">
        <v>534</v>
      </c>
      <c r="C883" s="6" t="s">
        <v>31</v>
      </c>
      <c r="D883" s="1088" t="s">
        <v>549</v>
      </c>
      <c r="E883" s="6" t="s">
        <v>171</v>
      </c>
      <c r="F883" s="6" t="s">
        <v>634</v>
      </c>
      <c r="G883" s="6" t="s">
        <v>1922</v>
      </c>
      <c r="H883" s="6" t="s">
        <v>2187</v>
      </c>
      <c r="J883" s="1215" t="s">
        <v>509</v>
      </c>
      <c r="K883" s="1219" t="s">
        <v>3033</v>
      </c>
      <c r="L883" s="8">
        <v>2</v>
      </c>
      <c r="M883" s="8">
        <v>10</v>
      </c>
      <c r="N883" s="1169" t="s">
        <v>271</v>
      </c>
      <c r="P883" s="6" t="s">
        <v>3324</v>
      </c>
      <c r="Q883" s="1215" t="s">
        <v>253</v>
      </c>
      <c r="R883" s="1215" t="s">
        <v>255</v>
      </c>
      <c r="S883" s="1215" t="s">
        <v>534</v>
      </c>
      <c r="T883" s="1215" t="s">
        <v>533</v>
      </c>
      <c r="U883" s="6" t="s">
        <v>549</v>
      </c>
      <c r="V883" s="6" t="s">
        <v>31</v>
      </c>
      <c r="W883" s="6" t="s">
        <v>634</v>
      </c>
      <c r="X883" s="6" t="s">
        <v>171</v>
      </c>
    </row>
    <row r="884" spans="1:24" ht="15" customHeight="1" x14ac:dyDescent="0.3">
      <c r="A884" s="6" t="s">
        <v>533</v>
      </c>
      <c r="B884" s="6" t="s">
        <v>534</v>
      </c>
      <c r="C884" s="6" t="s">
        <v>35</v>
      </c>
      <c r="D884" s="1088" t="s">
        <v>567</v>
      </c>
      <c r="E884" s="6" t="s">
        <v>192</v>
      </c>
      <c r="F884" s="6" t="s">
        <v>853</v>
      </c>
      <c r="G884" s="6" t="s">
        <v>1452</v>
      </c>
      <c r="H884" s="6" t="s">
        <v>948</v>
      </c>
      <c r="J884" s="1215" t="s">
        <v>509</v>
      </c>
      <c r="K884" s="1219" t="s">
        <v>3033</v>
      </c>
      <c r="L884" s="8">
        <v>181</v>
      </c>
      <c r="M884" s="8">
        <v>1275</v>
      </c>
      <c r="N884" s="1169" t="s">
        <v>271</v>
      </c>
      <c r="P884" s="6" t="s">
        <v>3324</v>
      </c>
      <c r="Q884" s="1215" t="s">
        <v>253</v>
      </c>
      <c r="R884" s="1215" t="s">
        <v>255</v>
      </c>
      <c r="S884" s="1215" t="s">
        <v>534</v>
      </c>
      <c r="T884" s="1215" t="s">
        <v>533</v>
      </c>
      <c r="U884" s="6" t="s">
        <v>567</v>
      </c>
      <c r="V884" s="6" t="s">
        <v>35</v>
      </c>
      <c r="W884" s="6" t="s">
        <v>853</v>
      </c>
      <c r="X884" s="6" t="s">
        <v>192</v>
      </c>
    </row>
    <row r="885" spans="1:24" ht="15" customHeight="1" x14ac:dyDescent="0.3">
      <c r="A885" s="6" t="s">
        <v>533</v>
      </c>
      <c r="B885" s="6" t="s">
        <v>534</v>
      </c>
      <c r="C885" s="6" t="s">
        <v>35</v>
      </c>
      <c r="D885" s="1088" t="s">
        <v>567</v>
      </c>
      <c r="E885" s="6" t="s">
        <v>192</v>
      </c>
      <c r="F885" s="6" t="s">
        <v>853</v>
      </c>
      <c r="G885" s="6" t="s">
        <v>1452</v>
      </c>
      <c r="H885" s="6" t="s">
        <v>948</v>
      </c>
      <c r="J885" s="1215" t="s">
        <v>509</v>
      </c>
      <c r="K885" s="1219" t="s">
        <v>3109</v>
      </c>
      <c r="L885" s="8">
        <v>7</v>
      </c>
      <c r="M885" s="8">
        <v>50</v>
      </c>
      <c r="N885" s="1169" t="s">
        <v>271</v>
      </c>
      <c r="P885" s="6" t="s">
        <v>3324</v>
      </c>
      <c r="Q885" s="1215" t="s">
        <v>253</v>
      </c>
      <c r="R885" s="1215" t="s">
        <v>255</v>
      </c>
      <c r="S885" s="1215" t="s">
        <v>534</v>
      </c>
      <c r="T885" s="1215" t="s">
        <v>533</v>
      </c>
      <c r="U885" s="6" t="s">
        <v>567</v>
      </c>
      <c r="V885" s="6" t="s">
        <v>35</v>
      </c>
      <c r="W885" s="6" t="s">
        <v>853</v>
      </c>
      <c r="X885" s="6" t="s">
        <v>192</v>
      </c>
    </row>
    <row r="886" spans="1:24" ht="15" customHeight="1" x14ac:dyDescent="0.3">
      <c r="A886" s="6" t="s">
        <v>533</v>
      </c>
      <c r="B886" s="6" t="s">
        <v>534</v>
      </c>
      <c r="C886" s="6" t="s">
        <v>35</v>
      </c>
      <c r="D886" s="1088" t="s">
        <v>567</v>
      </c>
      <c r="E886" s="6" t="s">
        <v>192</v>
      </c>
      <c r="F886" s="6" t="s">
        <v>853</v>
      </c>
      <c r="G886" s="6" t="s">
        <v>1452</v>
      </c>
      <c r="H886" s="6" t="s">
        <v>948</v>
      </c>
      <c r="J886" s="1215" t="s">
        <v>509</v>
      </c>
      <c r="K886" s="1219" t="s">
        <v>3110</v>
      </c>
      <c r="L886" s="8">
        <v>7</v>
      </c>
      <c r="M886" s="8">
        <v>34</v>
      </c>
      <c r="N886" s="1169" t="s">
        <v>271</v>
      </c>
      <c r="P886" s="6" t="s">
        <v>3324</v>
      </c>
      <c r="Q886" s="1215" t="s">
        <v>253</v>
      </c>
      <c r="R886" s="1215" t="s">
        <v>255</v>
      </c>
      <c r="S886" s="1215" t="s">
        <v>534</v>
      </c>
      <c r="T886" s="1215" t="s">
        <v>533</v>
      </c>
      <c r="U886" s="6" t="s">
        <v>567</v>
      </c>
      <c r="V886" s="6" t="s">
        <v>35</v>
      </c>
      <c r="W886" s="6" t="s">
        <v>853</v>
      </c>
      <c r="X886" s="6" t="s">
        <v>192</v>
      </c>
    </row>
    <row r="887" spans="1:24" ht="15" customHeight="1" x14ac:dyDescent="0.3">
      <c r="A887" s="6" t="s">
        <v>533</v>
      </c>
      <c r="B887" s="6" t="s">
        <v>534</v>
      </c>
      <c r="C887" s="6" t="s">
        <v>35</v>
      </c>
      <c r="D887" s="1088" t="s">
        <v>567</v>
      </c>
      <c r="E887" s="6" t="s">
        <v>192</v>
      </c>
      <c r="F887" s="6" t="s">
        <v>853</v>
      </c>
      <c r="G887" s="6" t="s">
        <v>1452</v>
      </c>
      <c r="H887" s="6" t="s">
        <v>948</v>
      </c>
      <c r="J887" s="1215" t="s">
        <v>509</v>
      </c>
      <c r="K887" s="1219" t="s">
        <v>3111</v>
      </c>
      <c r="L887" s="8">
        <v>3</v>
      </c>
      <c r="M887" s="8">
        <v>11</v>
      </c>
      <c r="N887" s="1169" t="s">
        <v>271</v>
      </c>
      <c r="P887" s="6" t="s">
        <v>3324</v>
      </c>
      <c r="Q887" s="1215" t="s">
        <v>253</v>
      </c>
      <c r="R887" s="1215" t="s">
        <v>255</v>
      </c>
      <c r="S887" s="1215" t="s">
        <v>534</v>
      </c>
      <c r="T887" s="1215" t="s">
        <v>533</v>
      </c>
      <c r="U887" s="6" t="s">
        <v>567</v>
      </c>
      <c r="V887" s="6" t="s">
        <v>35</v>
      </c>
      <c r="W887" s="6" t="s">
        <v>853</v>
      </c>
      <c r="X887" s="6" t="s">
        <v>192</v>
      </c>
    </row>
    <row r="888" spans="1:24" ht="15" customHeight="1" x14ac:dyDescent="0.3">
      <c r="A888" s="6" t="s">
        <v>533</v>
      </c>
      <c r="B888" s="6" t="s">
        <v>534</v>
      </c>
      <c r="C888" s="6" t="s">
        <v>35</v>
      </c>
      <c r="D888" s="1088" t="s">
        <v>567</v>
      </c>
      <c r="E888" s="6" t="s">
        <v>192</v>
      </c>
      <c r="F888" s="6" t="s">
        <v>853</v>
      </c>
      <c r="G888" s="6" t="s">
        <v>1452</v>
      </c>
      <c r="H888" s="6" t="s">
        <v>948</v>
      </c>
      <c r="J888" s="1215" t="s">
        <v>509</v>
      </c>
      <c r="K888" s="1219" t="s">
        <v>3112</v>
      </c>
      <c r="L888" s="8">
        <v>4</v>
      </c>
      <c r="M888" s="8">
        <v>15</v>
      </c>
      <c r="N888" s="1169" t="s">
        <v>271</v>
      </c>
      <c r="P888" s="6" t="s">
        <v>3324</v>
      </c>
      <c r="Q888" s="1215" t="s">
        <v>253</v>
      </c>
      <c r="R888" s="1215" t="s">
        <v>255</v>
      </c>
      <c r="S888" s="1215" t="s">
        <v>534</v>
      </c>
      <c r="T888" s="1215" t="s">
        <v>533</v>
      </c>
      <c r="U888" s="6" t="s">
        <v>567</v>
      </c>
      <c r="V888" s="6" t="s">
        <v>35</v>
      </c>
      <c r="W888" s="6" t="s">
        <v>853</v>
      </c>
      <c r="X888" s="6" t="s">
        <v>192</v>
      </c>
    </row>
    <row r="889" spans="1:24" ht="15" customHeight="1" x14ac:dyDescent="0.3">
      <c r="A889" s="6" t="s">
        <v>533</v>
      </c>
      <c r="B889" s="6" t="s">
        <v>534</v>
      </c>
      <c r="C889" s="6" t="s">
        <v>35</v>
      </c>
      <c r="D889" s="1088" t="s">
        <v>567</v>
      </c>
      <c r="E889" s="6" t="s">
        <v>192</v>
      </c>
      <c r="F889" s="6" t="s">
        <v>853</v>
      </c>
      <c r="G889" s="6" t="s">
        <v>1404</v>
      </c>
      <c r="H889" s="6" t="s">
        <v>950</v>
      </c>
      <c r="J889" s="1215" t="s">
        <v>509</v>
      </c>
      <c r="K889" s="1219" t="s">
        <v>3033</v>
      </c>
      <c r="L889" s="8">
        <v>100</v>
      </c>
      <c r="M889" s="8">
        <v>640</v>
      </c>
      <c r="N889" s="1169" t="s">
        <v>271</v>
      </c>
      <c r="P889" s="6" t="s">
        <v>3324</v>
      </c>
      <c r="Q889" s="1215" t="s">
        <v>253</v>
      </c>
      <c r="R889" s="1215" t="s">
        <v>255</v>
      </c>
      <c r="S889" s="1215" t="s">
        <v>534</v>
      </c>
      <c r="T889" s="1215" t="s">
        <v>533</v>
      </c>
      <c r="U889" s="6" t="s">
        <v>567</v>
      </c>
      <c r="V889" s="6" t="s">
        <v>35</v>
      </c>
      <c r="W889" s="6" t="s">
        <v>853</v>
      </c>
      <c r="X889" s="6" t="s">
        <v>192</v>
      </c>
    </row>
    <row r="890" spans="1:24" ht="15" customHeight="1" x14ac:dyDescent="0.3">
      <c r="A890" s="6" t="s">
        <v>533</v>
      </c>
      <c r="B890" s="6" t="s">
        <v>534</v>
      </c>
      <c r="C890" s="6" t="s">
        <v>35</v>
      </c>
      <c r="D890" s="1088" t="s">
        <v>567</v>
      </c>
      <c r="E890" s="6" t="s">
        <v>192</v>
      </c>
      <c r="F890" s="6" t="s">
        <v>853</v>
      </c>
      <c r="G890" s="6" t="s">
        <v>1404</v>
      </c>
      <c r="H890" s="6" t="s">
        <v>950</v>
      </c>
      <c r="J890" s="1215" t="s">
        <v>509</v>
      </c>
      <c r="K890" s="1219" t="s">
        <v>3109</v>
      </c>
      <c r="L890" s="8">
        <v>7</v>
      </c>
      <c r="M890" s="8">
        <v>111</v>
      </c>
      <c r="N890" s="1169" t="s">
        <v>271</v>
      </c>
      <c r="P890" s="6" t="s">
        <v>3324</v>
      </c>
      <c r="Q890" s="1215" t="s">
        <v>253</v>
      </c>
      <c r="R890" s="1215" t="s">
        <v>255</v>
      </c>
      <c r="S890" s="1215" t="s">
        <v>534</v>
      </c>
      <c r="T890" s="1215" t="s">
        <v>533</v>
      </c>
      <c r="U890" s="6" t="s">
        <v>567</v>
      </c>
      <c r="V890" s="6" t="s">
        <v>35</v>
      </c>
      <c r="W890" s="6" t="s">
        <v>853</v>
      </c>
      <c r="X890" s="6" t="s">
        <v>192</v>
      </c>
    </row>
    <row r="891" spans="1:24" ht="15" customHeight="1" x14ac:dyDescent="0.3">
      <c r="A891" s="6" t="s">
        <v>533</v>
      </c>
      <c r="B891" s="6" t="s">
        <v>534</v>
      </c>
      <c r="C891" s="6" t="s">
        <v>35</v>
      </c>
      <c r="D891" s="1088" t="s">
        <v>567</v>
      </c>
      <c r="E891" s="6" t="s">
        <v>192</v>
      </c>
      <c r="F891" s="6" t="s">
        <v>853</v>
      </c>
      <c r="G891" s="6" t="s">
        <v>1404</v>
      </c>
      <c r="H891" s="6" t="s">
        <v>950</v>
      </c>
      <c r="J891" s="1215" t="s">
        <v>509</v>
      </c>
      <c r="K891" s="1219" t="s">
        <v>3110</v>
      </c>
      <c r="L891" s="8">
        <v>2</v>
      </c>
      <c r="M891" s="8">
        <v>27</v>
      </c>
      <c r="N891" s="1169" t="s">
        <v>271</v>
      </c>
      <c r="P891" s="6" t="s">
        <v>3324</v>
      </c>
      <c r="Q891" s="1215" t="s">
        <v>253</v>
      </c>
      <c r="R891" s="1215" t="s">
        <v>255</v>
      </c>
      <c r="S891" s="1215" t="s">
        <v>534</v>
      </c>
      <c r="T891" s="1215" t="s">
        <v>533</v>
      </c>
      <c r="U891" s="6" t="s">
        <v>567</v>
      </c>
      <c r="V891" s="6" t="s">
        <v>35</v>
      </c>
      <c r="W891" s="6" t="s">
        <v>853</v>
      </c>
      <c r="X891" s="6" t="s">
        <v>192</v>
      </c>
    </row>
    <row r="892" spans="1:24" ht="15" customHeight="1" x14ac:dyDescent="0.3">
      <c r="A892" s="6" t="s">
        <v>533</v>
      </c>
      <c r="B892" s="6" t="s">
        <v>534</v>
      </c>
      <c r="C892" s="6" t="s">
        <v>35</v>
      </c>
      <c r="D892" s="1088" t="s">
        <v>567</v>
      </c>
      <c r="E892" s="6" t="s">
        <v>192</v>
      </c>
      <c r="F892" s="6" t="s">
        <v>853</v>
      </c>
      <c r="G892" s="6" t="s">
        <v>1404</v>
      </c>
      <c r="H892" s="6" t="s">
        <v>950</v>
      </c>
      <c r="J892" s="1215" t="s">
        <v>509</v>
      </c>
      <c r="K892" s="1219" t="s">
        <v>3111</v>
      </c>
      <c r="L892" s="8">
        <v>3</v>
      </c>
      <c r="M892" s="8">
        <v>13</v>
      </c>
      <c r="N892" s="1169" t="s">
        <v>271</v>
      </c>
      <c r="P892" s="6" t="s">
        <v>3324</v>
      </c>
      <c r="Q892" s="1215" t="s">
        <v>253</v>
      </c>
      <c r="R892" s="1215" t="s">
        <v>255</v>
      </c>
      <c r="S892" s="1215" t="s">
        <v>534</v>
      </c>
      <c r="T892" s="1215" t="s">
        <v>533</v>
      </c>
      <c r="U892" s="6" t="s">
        <v>567</v>
      </c>
      <c r="V892" s="6" t="s">
        <v>35</v>
      </c>
      <c r="W892" s="6" t="s">
        <v>853</v>
      </c>
      <c r="X892" s="6" t="s">
        <v>192</v>
      </c>
    </row>
    <row r="893" spans="1:24" ht="15" customHeight="1" x14ac:dyDescent="0.3">
      <c r="A893" s="6" t="s">
        <v>533</v>
      </c>
      <c r="B893" s="6" t="s">
        <v>534</v>
      </c>
      <c r="C893" s="6" t="s">
        <v>35</v>
      </c>
      <c r="D893" s="1088" t="s">
        <v>567</v>
      </c>
      <c r="E893" s="6" t="s">
        <v>192</v>
      </c>
      <c r="F893" s="6" t="s">
        <v>853</v>
      </c>
      <c r="G893" s="6" t="s">
        <v>1404</v>
      </c>
      <c r="H893" s="6" t="s">
        <v>950</v>
      </c>
      <c r="J893" s="1215" t="s">
        <v>509</v>
      </c>
      <c r="K893" s="1219" t="s">
        <v>3112</v>
      </c>
      <c r="L893" s="8">
        <v>3</v>
      </c>
      <c r="M893" s="8">
        <v>11</v>
      </c>
      <c r="N893" s="1169" t="s">
        <v>271</v>
      </c>
      <c r="P893" s="6" t="s">
        <v>3324</v>
      </c>
      <c r="Q893" s="1215" t="s">
        <v>253</v>
      </c>
      <c r="R893" s="1215" t="s">
        <v>255</v>
      </c>
      <c r="S893" s="1215" t="s">
        <v>534</v>
      </c>
      <c r="T893" s="1215" t="s">
        <v>533</v>
      </c>
      <c r="U893" s="6" t="s">
        <v>567</v>
      </c>
      <c r="V893" s="6" t="s">
        <v>35</v>
      </c>
      <c r="W893" s="6" t="s">
        <v>853</v>
      </c>
      <c r="X893" s="6" t="s">
        <v>192</v>
      </c>
    </row>
    <row r="894" spans="1:24" ht="15" customHeight="1" x14ac:dyDescent="0.3">
      <c r="A894" s="6" t="s">
        <v>533</v>
      </c>
      <c r="B894" s="6" t="s">
        <v>534</v>
      </c>
      <c r="C894" s="6" t="s">
        <v>35</v>
      </c>
      <c r="D894" s="1088" t="s">
        <v>567</v>
      </c>
      <c r="E894" s="6" t="s">
        <v>192</v>
      </c>
      <c r="F894" s="6" t="s">
        <v>853</v>
      </c>
      <c r="G894" s="6" t="s">
        <v>2867</v>
      </c>
      <c r="H894" s="6" t="s">
        <v>944</v>
      </c>
      <c r="J894" s="1215" t="s">
        <v>509</v>
      </c>
      <c r="K894" s="1219" t="s">
        <v>3033</v>
      </c>
      <c r="L894" s="8">
        <v>44</v>
      </c>
      <c r="M894" s="8">
        <v>204</v>
      </c>
      <c r="N894" s="1169" t="s">
        <v>271</v>
      </c>
      <c r="P894" s="6" t="s">
        <v>3323</v>
      </c>
      <c r="Q894" s="1215" t="s">
        <v>253</v>
      </c>
      <c r="R894" s="1215" t="s">
        <v>255</v>
      </c>
      <c r="S894" s="1215" t="s">
        <v>534</v>
      </c>
      <c r="T894" s="1215" t="s">
        <v>533</v>
      </c>
      <c r="U894" s="6" t="s">
        <v>567</v>
      </c>
      <c r="V894" s="6" t="s">
        <v>35</v>
      </c>
      <c r="W894" s="6" t="s">
        <v>863</v>
      </c>
      <c r="X894" s="6" t="s">
        <v>193</v>
      </c>
    </row>
    <row r="895" spans="1:24" ht="15" customHeight="1" x14ac:dyDescent="0.3">
      <c r="A895" s="6" t="s">
        <v>533</v>
      </c>
      <c r="B895" s="6" t="s">
        <v>534</v>
      </c>
      <c r="C895" s="6" t="s">
        <v>35</v>
      </c>
      <c r="D895" s="1088" t="s">
        <v>567</v>
      </c>
      <c r="E895" s="6" t="s">
        <v>192</v>
      </c>
      <c r="F895" s="6" t="s">
        <v>853</v>
      </c>
      <c r="G895" s="6" t="s">
        <v>2867</v>
      </c>
      <c r="H895" s="6" t="s">
        <v>944</v>
      </c>
      <c r="J895" s="1215" t="s">
        <v>509</v>
      </c>
      <c r="K895" s="1219" t="s">
        <v>3110</v>
      </c>
      <c r="L895" s="8">
        <v>7</v>
      </c>
      <c r="M895" s="8">
        <v>28</v>
      </c>
      <c r="N895" s="1169" t="s">
        <v>271</v>
      </c>
      <c r="P895" s="6" t="s">
        <v>3323</v>
      </c>
      <c r="Q895" s="1215" t="s">
        <v>253</v>
      </c>
      <c r="R895" s="1215" t="s">
        <v>255</v>
      </c>
      <c r="S895" s="1215" t="s">
        <v>534</v>
      </c>
      <c r="T895" s="1215" t="s">
        <v>533</v>
      </c>
      <c r="U895" s="6" t="s">
        <v>567</v>
      </c>
      <c r="V895" s="6" t="s">
        <v>35</v>
      </c>
      <c r="W895" s="6" t="s">
        <v>863</v>
      </c>
      <c r="X895" s="6" t="s">
        <v>193</v>
      </c>
    </row>
    <row r="896" spans="1:24" ht="15" customHeight="1" x14ac:dyDescent="0.3">
      <c r="A896" s="6" t="s">
        <v>533</v>
      </c>
      <c r="B896" s="6" t="s">
        <v>534</v>
      </c>
      <c r="C896" s="6" t="s">
        <v>35</v>
      </c>
      <c r="D896" s="1088" t="s">
        <v>567</v>
      </c>
      <c r="E896" s="6" t="s">
        <v>192</v>
      </c>
      <c r="F896" s="6" t="s">
        <v>853</v>
      </c>
      <c r="G896" s="6" t="s">
        <v>2867</v>
      </c>
      <c r="H896" s="6" t="s">
        <v>944</v>
      </c>
      <c r="J896" s="1215" t="s">
        <v>509</v>
      </c>
      <c r="K896" s="1219" t="s">
        <v>3109</v>
      </c>
      <c r="L896" s="8">
        <v>35</v>
      </c>
      <c r="M896" s="8">
        <v>150</v>
      </c>
      <c r="N896" s="1169" t="s">
        <v>271</v>
      </c>
      <c r="P896" s="6" t="s">
        <v>3323</v>
      </c>
      <c r="Q896" s="1215" t="s">
        <v>253</v>
      </c>
      <c r="R896" s="1215" t="s">
        <v>255</v>
      </c>
      <c r="S896" s="1215" t="s">
        <v>534</v>
      </c>
      <c r="T896" s="1215" t="s">
        <v>533</v>
      </c>
      <c r="U896" s="6" t="s">
        <v>567</v>
      </c>
      <c r="V896" s="6" t="s">
        <v>35</v>
      </c>
      <c r="W896" s="6" t="s">
        <v>863</v>
      </c>
      <c r="X896" s="6" t="s">
        <v>193</v>
      </c>
    </row>
    <row r="897" spans="1:24" ht="15" customHeight="1" x14ac:dyDescent="0.3">
      <c r="A897" s="6" t="s">
        <v>533</v>
      </c>
      <c r="B897" s="6" t="s">
        <v>534</v>
      </c>
      <c r="C897" s="6" t="s">
        <v>35</v>
      </c>
      <c r="D897" s="1088" t="s">
        <v>567</v>
      </c>
      <c r="E897" s="6" t="s">
        <v>192</v>
      </c>
      <c r="F897" s="6" t="s">
        <v>853</v>
      </c>
      <c r="G897" s="6" t="s">
        <v>2867</v>
      </c>
      <c r="H897" s="6" t="s">
        <v>944</v>
      </c>
      <c r="J897" s="1215" t="s">
        <v>509</v>
      </c>
      <c r="K897" s="1219" t="s">
        <v>3111</v>
      </c>
      <c r="L897" s="8">
        <v>2</v>
      </c>
      <c r="M897" s="8">
        <v>11</v>
      </c>
      <c r="N897" s="1169" t="s">
        <v>271</v>
      </c>
      <c r="P897" s="6" t="s">
        <v>3323</v>
      </c>
      <c r="Q897" s="1215" t="s">
        <v>253</v>
      </c>
      <c r="R897" s="1215" t="s">
        <v>255</v>
      </c>
      <c r="S897" s="1215" t="s">
        <v>534</v>
      </c>
      <c r="T897" s="1215" t="s">
        <v>533</v>
      </c>
      <c r="U897" s="6" t="s">
        <v>567</v>
      </c>
      <c r="V897" s="6" t="s">
        <v>35</v>
      </c>
      <c r="W897" s="6" t="s">
        <v>863</v>
      </c>
      <c r="X897" s="6" t="s">
        <v>193</v>
      </c>
    </row>
    <row r="898" spans="1:24" ht="15" customHeight="1" x14ac:dyDescent="0.3">
      <c r="A898" s="6" t="s">
        <v>533</v>
      </c>
      <c r="B898" s="6" t="s">
        <v>534</v>
      </c>
      <c r="C898" s="6" t="s">
        <v>35</v>
      </c>
      <c r="D898" s="6" t="s">
        <v>567</v>
      </c>
      <c r="E898" s="1088" t="s">
        <v>192</v>
      </c>
      <c r="F898" s="6" t="s">
        <v>853</v>
      </c>
      <c r="G898" s="6" t="s">
        <v>2867</v>
      </c>
      <c r="H898" s="6" t="s">
        <v>944</v>
      </c>
      <c r="J898" s="1215" t="s">
        <v>509</v>
      </c>
      <c r="K898" s="1219" t="s">
        <v>3112</v>
      </c>
      <c r="L898" s="8">
        <v>7</v>
      </c>
      <c r="M898" s="8">
        <v>50</v>
      </c>
      <c r="N898" s="1169" t="s">
        <v>271</v>
      </c>
      <c r="P898" s="6" t="s">
        <v>3323</v>
      </c>
      <c r="Q898" s="1215" t="s">
        <v>253</v>
      </c>
      <c r="R898" s="1215" t="s">
        <v>255</v>
      </c>
      <c r="S898" s="1215" t="s">
        <v>534</v>
      </c>
      <c r="T898" s="1215" t="s">
        <v>533</v>
      </c>
      <c r="U898" s="6" t="s">
        <v>567</v>
      </c>
      <c r="V898" s="6" t="s">
        <v>35</v>
      </c>
      <c r="W898" s="6" t="s">
        <v>863</v>
      </c>
      <c r="X898" s="6" t="s">
        <v>193</v>
      </c>
    </row>
    <row r="899" spans="1:24" ht="15" customHeight="1" x14ac:dyDescent="0.3">
      <c r="A899" s="6" t="s">
        <v>533</v>
      </c>
      <c r="B899" s="6" t="s">
        <v>534</v>
      </c>
      <c r="C899" s="6" t="s">
        <v>35</v>
      </c>
      <c r="D899" s="6" t="s">
        <v>567</v>
      </c>
      <c r="E899" s="1088" t="s">
        <v>192</v>
      </c>
      <c r="F899" s="6" t="s">
        <v>853</v>
      </c>
      <c r="G899" s="6" t="s">
        <v>1410</v>
      </c>
      <c r="H899" s="6" t="s">
        <v>1407</v>
      </c>
      <c r="J899" s="1215" t="s">
        <v>509</v>
      </c>
      <c r="K899" s="1219" t="s">
        <v>3033</v>
      </c>
      <c r="L899" s="8">
        <v>22</v>
      </c>
      <c r="M899" s="8">
        <v>160</v>
      </c>
      <c r="N899" s="1169" t="s">
        <v>271</v>
      </c>
      <c r="P899" s="6" t="s">
        <v>3324</v>
      </c>
      <c r="Q899" s="1215" t="s">
        <v>253</v>
      </c>
      <c r="R899" s="1215" t="s">
        <v>255</v>
      </c>
      <c r="S899" s="1215" t="s">
        <v>534</v>
      </c>
      <c r="T899" s="1215" t="s">
        <v>533</v>
      </c>
      <c r="U899" s="6" t="s">
        <v>567</v>
      </c>
      <c r="V899" s="6" t="s">
        <v>35</v>
      </c>
      <c r="W899" s="6" t="s">
        <v>853</v>
      </c>
      <c r="X899" s="6" t="s">
        <v>192</v>
      </c>
    </row>
    <row r="900" spans="1:24" ht="15" customHeight="1" x14ac:dyDescent="0.3">
      <c r="A900" s="6" t="s">
        <v>533</v>
      </c>
      <c r="B900" s="6" t="s">
        <v>534</v>
      </c>
      <c r="C900" s="6" t="s">
        <v>35</v>
      </c>
      <c r="D900" s="1088" t="s">
        <v>567</v>
      </c>
      <c r="E900" s="6" t="s">
        <v>192</v>
      </c>
      <c r="F900" s="6" t="s">
        <v>853</v>
      </c>
      <c r="G900" s="6" t="s">
        <v>1410</v>
      </c>
      <c r="H900" s="6" t="s">
        <v>1407</v>
      </c>
      <c r="J900" s="1215" t="s">
        <v>509</v>
      </c>
      <c r="K900" s="1219" t="s">
        <v>3109</v>
      </c>
      <c r="L900" s="8">
        <v>13</v>
      </c>
      <c r="M900" s="8">
        <v>100</v>
      </c>
      <c r="N900" s="1169" t="s">
        <v>271</v>
      </c>
      <c r="P900" s="6" t="s">
        <v>3324</v>
      </c>
      <c r="Q900" s="1215" t="s">
        <v>253</v>
      </c>
      <c r="R900" s="1215" t="s">
        <v>255</v>
      </c>
      <c r="S900" s="1215" t="s">
        <v>534</v>
      </c>
      <c r="T900" s="1215" t="s">
        <v>533</v>
      </c>
      <c r="U900" s="6" t="s">
        <v>567</v>
      </c>
      <c r="V900" s="6" t="s">
        <v>35</v>
      </c>
      <c r="W900" s="6" t="s">
        <v>853</v>
      </c>
      <c r="X900" s="6" t="s">
        <v>192</v>
      </c>
    </row>
    <row r="901" spans="1:24" ht="15" customHeight="1" x14ac:dyDescent="0.3">
      <c r="A901" s="6" t="s">
        <v>533</v>
      </c>
      <c r="B901" s="6" t="s">
        <v>534</v>
      </c>
      <c r="C901" s="6" t="s">
        <v>35</v>
      </c>
      <c r="D901" s="1088" t="s">
        <v>567</v>
      </c>
      <c r="E901" s="6" t="s">
        <v>192</v>
      </c>
      <c r="F901" s="6" t="s">
        <v>853</v>
      </c>
      <c r="G901" s="6" t="s">
        <v>1410</v>
      </c>
      <c r="H901" s="6" t="s">
        <v>1407</v>
      </c>
      <c r="J901" s="1215" t="s">
        <v>509</v>
      </c>
      <c r="K901" s="1219" t="s">
        <v>3110</v>
      </c>
      <c r="L901" s="8">
        <v>13</v>
      </c>
      <c r="M901" s="8">
        <v>110</v>
      </c>
      <c r="N901" s="1169" t="s">
        <v>271</v>
      </c>
      <c r="P901" s="6" t="s">
        <v>3324</v>
      </c>
      <c r="Q901" s="1215" t="s">
        <v>253</v>
      </c>
      <c r="R901" s="1215" t="s">
        <v>255</v>
      </c>
      <c r="S901" s="1215" t="s">
        <v>534</v>
      </c>
      <c r="T901" s="1215" t="s">
        <v>533</v>
      </c>
      <c r="U901" s="6" t="s">
        <v>567</v>
      </c>
      <c r="V901" s="6" t="s">
        <v>35</v>
      </c>
      <c r="W901" s="6" t="s">
        <v>853</v>
      </c>
      <c r="X901" s="6" t="s">
        <v>192</v>
      </c>
    </row>
    <row r="902" spans="1:24" ht="15" customHeight="1" x14ac:dyDescent="0.3">
      <c r="A902" s="6" t="s">
        <v>533</v>
      </c>
      <c r="B902" s="6" t="s">
        <v>534</v>
      </c>
      <c r="C902" s="6" t="s">
        <v>35</v>
      </c>
      <c r="D902" s="1088" t="s">
        <v>567</v>
      </c>
      <c r="E902" s="6" t="s">
        <v>192</v>
      </c>
      <c r="F902" s="6" t="s">
        <v>853</v>
      </c>
      <c r="G902" s="6" t="s">
        <v>1410</v>
      </c>
      <c r="H902" s="6" t="s">
        <v>1407</v>
      </c>
      <c r="J902" s="1215" t="s">
        <v>509</v>
      </c>
      <c r="K902" s="1219" t="s">
        <v>3111</v>
      </c>
      <c r="L902" s="8">
        <v>16</v>
      </c>
      <c r="M902" s="8">
        <v>113</v>
      </c>
      <c r="N902" s="1169" t="s">
        <v>271</v>
      </c>
      <c r="P902" s="6" t="s">
        <v>3324</v>
      </c>
      <c r="Q902" s="1215" t="s">
        <v>253</v>
      </c>
      <c r="R902" s="1215" t="s">
        <v>255</v>
      </c>
      <c r="S902" s="1215" t="s">
        <v>534</v>
      </c>
      <c r="T902" s="1215" t="s">
        <v>533</v>
      </c>
      <c r="U902" s="6" t="s">
        <v>567</v>
      </c>
      <c r="V902" s="6" t="s">
        <v>35</v>
      </c>
      <c r="W902" s="6" t="s">
        <v>853</v>
      </c>
      <c r="X902" s="6" t="s">
        <v>192</v>
      </c>
    </row>
    <row r="903" spans="1:24" ht="15" customHeight="1" x14ac:dyDescent="0.3">
      <c r="A903" s="6" t="s">
        <v>533</v>
      </c>
      <c r="B903" s="6" t="s">
        <v>534</v>
      </c>
      <c r="C903" s="6" t="s">
        <v>35</v>
      </c>
      <c r="D903" s="1088" t="s">
        <v>567</v>
      </c>
      <c r="E903" s="6" t="s">
        <v>192</v>
      </c>
      <c r="F903" s="6" t="s">
        <v>853</v>
      </c>
      <c r="G903" s="6" t="s">
        <v>1410</v>
      </c>
      <c r="H903" s="6" t="s">
        <v>1407</v>
      </c>
      <c r="J903" s="1215" t="s">
        <v>509</v>
      </c>
      <c r="K903" s="1219" t="s">
        <v>3112</v>
      </c>
      <c r="L903" s="8">
        <v>28</v>
      </c>
      <c r="M903" s="8">
        <v>162</v>
      </c>
      <c r="N903" s="1169" t="s">
        <v>271</v>
      </c>
      <c r="P903" s="6" t="s">
        <v>3324</v>
      </c>
      <c r="Q903" s="1215" t="s">
        <v>253</v>
      </c>
      <c r="R903" s="1215" t="s">
        <v>255</v>
      </c>
      <c r="S903" s="1215" t="s">
        <v>534</v>
      </c>
      <c r="T903" s="1215" t="s">
        <v>533</v>
      </c>
      <c r="U903" s="6" t="s">
        <v>567</v>
      </c>
      <c r="V903" s="6" t="s">
        <v>35</v>
      </c>
      <c r="W903" s="6" t="s">
        <v>853</v>
      </c>
      <c r="X903" s="6" t="s">
        <v>192</v>
      </c>
    </row>
    <row r="904" spans="1:24" ht="15" customHeight="1" x14ac:dyDescent="0.3">
      <c r="A904" s="6" t="s">
        <v>533</v>
      </c>
      <c r="B904" s="6" t="s">
        <v>534</v>
      </c>
      <c r="C904" s="6" t="s">
        <v>35</v>
      </c>
      <c r="D904" s="1088" t="s">
        <v>567</v>
      </c>
      <c r="E904" s="6" t="s">
        <v>192</v>
      </c>
      <c r="F904" s="6" t="s">
        <v>853</v>
      </c>
      <c r="G904" s="6" t="s">
        <v>899</v>
      </c>
      <c r="H904" s="6" t="s">
        <v>1405</v>
      </c>
      <c r="J904" s="1215" t="s">
        <v>509</v>
      </c>
      <c r="K904" s="1219" t="s">
        <v>3033</v>
      </c>
      <c r="L904" s="8">
        <v>230</v>
      </c>
      <c r="M904" s="8">
        <v>1484</v>
      </c>
      <c r="N904" s="1169" t="s">
        <v>271</v>
      </c>
      <c r="P904" s="6" t="s">
        <v>3323</v>
      </c>
      <c r="Q904" s="1215" t="s">
        <v>253</v>
      </c>
      <c r="R904" s="1215" t="s">
        <v>255</v>
      </c>
      <c r="S904" s="1215" t="s">
        <v>534</v>
      </c>
      <c r="T904" s="1215" t="s">
        <v>533</v>
      </c>
      <c r="U904" s="6" t="s">
        <v>567</v>
      </c>
      <c r="V904" s="6" t="s">
        <v>35</v>
      </c>
      <c r="W904" s="6" t="s">
        <v>863</v>
      </c>
      <c r="X904" s="6" t="s">
        <v>193</v>
      </c>
    </row>
    <row r="905" spans="1:24" ht="15" customHeight="1" x14ac:dyDescent="0.3">
      <c r="A905" s="6" t="s">
        <v>533</v>
      </c>
      <c r="B905" s="6" t="s">
        <v>534</v>
      </c>
      <c r="C905" s="6" t="s">
        <v>35</v>
      </c>
      <c r="D905" s="1088" t="s">
        <v>567</v>
      </c>
      <c r="E905" s="1088" t="s">
        <v>192</v>
      </c>
      <c r="F905" s="6" t="s">
        <v>853</v>
      </c>
      <c r="G905" s="6" t="s">
        <v>899</v>
      </c>
      <c r="H905" s="6" t="s">
        <v>1405</v>
      </c>
      <c r="J905" s="1215" t="s">
        <v>509</v>
      </c>
      <c r="K905" s="1219" t="s">
        <v>3109</v>
      </c>
      <c r="L905" s="8">
        <v>15</v>
      </c>
      <c r="M905" s="8">
        <v>128</v>
      </c>
      <c r="N905" s="1169" t="s">
        <v>271</v>
      </c>
      <c r="P905" s="6" t="s">
        <v>3323</v>
      </c>
      <c r="Q905" s="1215" t="s">
        <v>253</v>
      </c>
      <c r="R905" s="1215" t="s">
        <v>255</v>
      </c>
      <c r="S905" s="1215" t="s">
        <v>534</v>
      </c>
      <c r="T905" s="1215" t="s">
        <v>533</v>
      </c>
      <c r="U905" s="6" t="s">
        <v>567</v>
      </c>
      <c r="V905" s="6" t="s">
        <v>35</v>
      </c>
      <c r="W905" s="6" t="s">
        <v>863</v>
      </c>
      <c r="X905" s="6" t="s">
        <v>193</v>
      </c>
    </row>
    <row r="906" spans="1:24" ht="15" customHeight="1" x14ac:dyDescent="0.3">
      <c r="A906" s="6" t="s">
        <v>533</v>
      </c>
      <c r="B906" s="6" t="s">
        <v>534</v>
      </c>
      <c r="C906" s="6" t="s">
        <v>35</v>
      </c>
      <c r="D906" s="1088" t="s">
        <v>567</v>
      </c>
      <c r="E906" s="6" t="s">
        <v>192</v>
      </c>
      <c r="F906" s="6" t="s">
        <v>853</v>
      </c>
      <c r="G906" s="6" t="s">
        <v>899</v>
      </c>
      <c r="H906" s="6" t="s">
        <v>1405</v>
      </c>
      <c r="J906" s="1215" t="s">
        <v>509</v>
      </c>
      <c r="K906" s="1219" t="s">
        <v>3110</v>
      </c>
      <c r="L906" s="8">
        <v>13</v>
      </c>
      <c r="M906" s="8">
        <v>49</v>
      </c>
      <c r="N906" s="1169" t="s">
        <v>271</v>
      </c>
      <c r="P906" s="6" t="s">
        <v>3323</v>
      </c>
      <c r="Q906" s="1215" t="s">
        <v>253</v>
      </c>
      <c r="R906" s="1215" t="s">
        <v>255</v>
      </c>
      <c r="S906" s="1215" t="s">
        <v>534</v>
      </c>
      <c r="T906" s="1215" t="s">
        <v>533</v>
      </c>
      <c r="U906" s="6" t="s">
        <v>567</v>
      </c>
      <c r="V906" s="6" t="s">
        <v>35</v>
      </c>
      <c r="W906" s="6" t="s">
        <v>863</v>
      </c>
      <c r="X906" s="6" t="s">
        <v>193</v>
      </c>
    </row>
    <row r="907" spans="1:24" ht="15" customHeight="1" x14ac:dyDescent="0.3">
      <c r="A907" s="6" t="s">
        <v>533</v>
      </c>
      <c r="B907" s="6" t="s">
        <v>534</v>
      </c>
      <c r="C907" s="6" t="s">
        <v>35</v>
      </c>
      <c r="D907" s="1088" t="s">
        <v>567</v>
      </c>
      <c r="E907" s="6" t="s">
        <v>192</v>
      </c>
      <c r="F907" s="6" t="s">
        <v>853</v>
      </c>
      <c r="G907" s="6" t="s">
        <v>899</v>
      </c>
      <c r="H907" s="6" t="s">
        <v>1405</v>
      </c>
      <c r="J907" s="1215" t="s">
        <v>509</v>
      </c>
      <c r="K907" s="1219" t="s">
        <v>3111</v>
      </c>
      <c r="L907" s="8">
        <v>27</v>
      </c>
      <c r="M907" s="8">
        <v>90</v>
      </c>
      <c r="N907" s="1169" t="s">
        <v>271</v>
      </c>
      <c r="P907" s="6" t="s">
        <v>3323</v>
      </c>
      <c r="Q907" s="1215" t="s">
        <v>253</v>
      </c>
      <c r="R907" s="1215" t="s">
        <v>255</v>
      </c>
      <c r="S907" s="1215" t="s">
        <v>534</v>
      </c>
      <c r="T907" s="1215" t="s">
        <v>533</v>
      </c>
      <c r="U907" s="6" t="s">
        <v>567</v>
      </c>
      <c r="V907" s="6" t="s">
        <v>35</v>
      </c>
      <c r="W907" s="6" t="s">
        <v>863</v>
      </c>
      <c r="X907" s="6" t="s">
        <v>193</v>
      </c>
    </row>
    <row r="908" spans="1:24" ht="15" customHeight="1" x14ac:dyDescent="0.3">
      <c r="A908" s="6" t="s">
        <v>533</v>
      </c>
      <c r="B908" s="6" t="s">
        <v>534</v>
      </c>
      <c r="C908" s="6" t="s">
        <v>35</v>
      </c>
      <c r="D908" s="1088" t="s">
        <v>567</v>
      </c>
      <c r="E908" s="6" t="s">
        <v>192</v>
      </c>
      <c r="F908" s="6" t="s">
        <v>853</v>
      </c>
      <c r="G908" s="6" t="s">
        <v>899</v>
      </c>
      <c r="H908" s="6" t="s">
        <v>1405</v>
      </c>
      <c r="J908" s="1215" t="s">
        <v>509</v>
      </c>
      <c r="K908" s="1219" t="s">
        <v>3112</v>
      </c>
      <c r="L908" s="8">
        <v>4</v>
      </c>
      <c r="M908" s="8">
        <v>15</v>
      </c>
      <c r="N908" s="1169" t="s">
        <v>271</v>
      </c>
      <c r="P908" s="6" t="s">
        <v>3323</v>
      </c>
      <c r="Q908" s="1215" t="s">
        <v>253</v>
      </c>
      <c r="R908" s="1215" t="s">
        <v>255</v>
      </c>
      <c r="S908" s="1215" t="s">
        <v>534</v>
      </c>
      <c r="T908" s="1215" t="s">
        <v>533</v>
      </c>
      <c r="U908" s="6" t="s">
        <v>567</v>
      </c>
      <c r="V908" s="6" t="s">
        <v>35</v>
      </c>
      <c r="W908" s="6" t="s">
        <v>863</v>
      </c>
      <c r="X908" s="6" t="s">
        <v>193</v>
      </c>
    </row>
    <row r="909" spans="1:24" ht="15" customHeight="1" x14ac:dyDescent="0.3">
      <c r="A909" s="6" t="s">
        <v>533</v>
      </c>
      <c r="B909" s="6" t="s">
        <v>534</v>
      </c>
      <c r="C909" s="6" t="s">
        <v>35</v>
      </c>
      <c r="D909" s="1088" t="s">
        <v>567</v>
      </c>
      <c r="E909" s="6" t="s">
        <v>192</v>
      </c>
      <c r="F909" s="6" t="s">
        <v>853</v>
      </c>
      <c r="G909" s="6" t="s">
        <v>1312</v>
      </c>
      <c r="H909" s="6" t="s">
        <v>1403</v>
      </c>
      <c r="J909" s="1215" t="s">
        <v>509</v>
      </c>
      <c r="K909" s="1219" t="s">
        <v>3033</v>
      </c>
      <c r="L909" s="8">
        <v>97</v>
      </c>
      <c r="M909" s="8">
        <v>440</v>
      </c>
      <c r="N909" s="1169" t="s">
        <v>271</v>
      </c>
      <c r="P909" s="6" t="s">
        <v>3323</v>
      </c>
      <c r="Q909" s="1215" t="s">
        <v>253</v>
      </c>
      <c r="R909" s="1215" t="s">
        <v>255</v>
      </c>
      <c r="S909" s="1215" t="s">
        <v>534</v>
      </c>
      <c r="T909" s="1215" t="s">
        <v>533</v>
      </c>
      <c r="U909" s="6" t="s">
        <v>567</v>
      </c>
      <c r="V909" s="6" t="s">
        <v>35</v>
      </c>
      <c r="W909" s="6" t="s">
        <v>863</v>
      </c>
      <c r="X909" s="6" t="s">
        <v>193</v>
      </c>
    </row>
    <row r="910" spans="1:24" ht="15" customHeight="1" x14ac:dyDescent="0.3">
      <c r="A910" s="6" t="s">
        <v>533</v>
      </c>
      <c r="B910" s="6" t="s">
        <v>534</v>
      </c>
      <c r="C910" s="6" t="s">
        <v>35</v>
      </c>
      <c r="D910" s="1088" t="s">
        <v>567</v>
      </c>
      <c r="E910" s="6" t="s">
        <v>192</v>
      </c>
      <c r="F910" s="6" t="s">
        <v>853</v>
      </c>
      <c r="G910" s="6" t="s">
        <v>1312</v>
      </c>
      <c r="H910" s="6" t="s">
        <v>1403</v>
      </c>
      <c r="J910" s="1215" t="s">
        <v>509</v>
      </c>
      <c r="K910" s="1219" t="s">
        <v>3109</v>
      </c>
      <c r="L910" s="8">
        <v>10</v>
      </c>
      <c r="M910" s="8">
        <v>50</v>
      </c>
      <c r="N910" s="1169" t="s">
        <v>271</v>
      </c>
      <c r="P910" s="6" t="s">
        <v>3323</v>
      </c>
      <c r="Q910" s="1215" t="s">
        <v>253</v>
      </c>
      <c r="R910" s="1215" t="s">
        <v>255</v>
      </c>
      <c r="S910" s="1215" t="s">
        <v>534</v>
      </c>
      <c r="T910" s="1215" t="s">
        <v>533</v>
      </c>
      <c r="U910" s="6" t="s">
        <v>567</v>
      </c>
      <c r="V910" s="6" t="s">
        <v>35</v>
      </c>
      <c r="W910" s="6" t="s">
        <v>863</v>
      </c>
      <c r="X910" s="6" t="s">
        <v>193</v>
      </c>
    </row>
    <row r="911" spans="1:24" ht="15" customHeight="1" x14ac:dyDescent="0.3">
      <c r="A911" s="6" t="s">
        <v>533</v>
      </c>
      <c r="B911" s="6" t="s">
        <v>534</v>
      </c>
      <c r="C911" s="6" t="s">
        <v>35</v>
      </c>
      <c r="D911" s="1088" t="s">
        <v>567</v>
      </c>
      <c r="E911" s="6" t="s">
        <v>192</v>
      </c>
      <c r="F911" s="6" t="s">
        <v>853</v>
      </c>
      <c r="G911" s="6" t="s">
        <v>1312</v>
      </c>
      <c r="H911" s="6" t="s">
        <v>1403</v>
      </c>
      <c r="J911" s="1215" t="s">
        <v>509</v>
      </c>
      <c r="K911" s="1219" t="s">
        <v>3110</v>
      </c>
      <c r="L911" s="8">
        <v>10</v>
      </c>
      <c r="M911" s="8">
        <v>43</v>
      </c>
      <c r="N911" s="1169" t="s">
        <v>271</v>
      </c>
      <c r="P911" s="6" t="s">
        <v>3323</v>
      </c>
      <c r="Q911" s="1215" t="s">
        <v>253</v>
      </c>
      <c r="R911" s="1215" t="s">
        <v>255</v>
      </c>
      <c r="S911" s="1215" t="s">
        <v>534</v>
      </c>
      <c r="T911" s="1215" t="s">
        <v>533</v>
      </c>
      <c r="U911" s="6" t="s">
        <v>567</v>
      </c>
      <c r="V911" s="6" t="s">
        <v>35</v>
      </c>
      <c r="W911" s="6" t="s">
        <v>863</v>
      </c>
      <c r="X911" s="6" t="s">
        <v>193</v>
      </c>
    </row>
    <row r="912" spans="1:24" ht="15" customHeight="1" x14ac:dyDescent="0.3">
      <c r="A912" s="6" t="s">
        <v>533</v>
      </c>
      <c r="B912" s="6" t="s">
        <v>534</v>
      </c>
      <c r="C912" s="6" t="s">
        <v>35</v>
      </c>
      <c r="D912" s="1088" t="s">
        <v>567</v>
      </c>
      <c r="E912" s="6" t="s">
        <v>192</v>
      </c>
      <c r="F912" s="6" t="s">
        <v>853</v>
      </c>
      <c r="G912" s="6" t="s">
        <v>1312</v>
      </c>
      <c r="H912" s="6" t="s">
        <v>1403</v>
      </c>
      <c r="J912" s="1215" t="s">
        <v>509</v>
      </c>
      <c r="K912" s="1219" t="s">
        <v>3111</v>
      </c>
      <c r="L912" s="8">
        <v>15</v>
      </c>
      <c r="M912" s="8">
        <v>50</v>
      </c>
      <c r="N912" s="1169" t="s">
        <v>271</v>
      </c>
      <c r="P912" s="6" t="s">
        <v>3323</v>
      </c>
      <c r="Q912" s="1215" t="s">
        <v>253</v>
      </c>
      <c r="R912" s="1215" t="s">
        <v>255</v>
      </c>
      <c r="S912" s="1215" t="s">
        <v>534</v>
      </c>
      <c r="T912" s="1215" t="s">
        <v>533</v>
      </c>
      <c r="U912" s="6" t="s">
        <v>567</v>
      </c>
      <c r="V912" s="6" t="s">
        <v>35</v>
      </c>
      <c r="W912" s="6" t="s">
        <v>863</v>
      </c>
      <c r="X912" s="6" t="s">
        <v>193</v>
      </c>
    </row>
    <row r="913" spans="1:24" ht="15" customHeight="1" x14ac:dyDescent="0.3">
      <c r="A913" s="6" t="s">
        <v>533</v>
      </c>
      <c r="B913" s="6" t="s">
        <v>534</v>
      </c>
      <c r="C913" s="6" t="s">
        <v>35</v>
      </c>
      <c r="D913" s="1088" t="s">
        <v>567</v>
      </c>
      <c r="E913" s="6" t="s">
        <v>192</v>
      </c>
      <c r="F913" s="6" t="s">
        <v>853</v>
      </c>
      <c r="G913" s="6" t="s">
        <v>1406</v>
      </c>
      <c r="H913" s="6" t="s">
        <v>1401</v>
      </c>
      <c r="J913" s="1215" t="s">
        <v>509</v>
      </c>
      <c r="K913" s="1219" t="s">
        <v>3033</v>
      </c>
      <c r="L913" s="8">
        <v>121</v>
      </c>
      <c r="M913" s="8">
        <v>888</v>
      </c>
      <c r="N913" s="1169" t="s">
        <v>271</v>
      </c>
      <c r="P913" s="6" t="s">
        <v>3323</v>
      </c>
      <c r="Q913" s="1215" t="s">
        <v>253</v>
      </c>
      <c r="R913" s="1215" t="s">
        <v>255</v>
      </c>
      <c r="S913" s="1215" t="s">
        <v>534</v>
      </c>
      <c r="T913" s="1215" t="s">
        <v>533</v>
      </c>
      <c r="U913" s="6" t="s">
        <v>567</v>
      </c>
      <c r="V913" s="6" t="s">
        <v>35</v>
      </c>
      <c r="W913" s="6" t="s">
        <v>863</v>
      </c>
      <c r="X913" s="6" t="s">
        <v>193</v>
      </c>
    </row>
    <row r="914" spans="1:24" ht="15" customHeight="1" x14ac:dyDescent="0.3">
      <c r="A914" s="6" t="s">
        <v>533</v>
      </c>
      <c r="B914" s="6" t="s">
        <v>534</v>
      </c>
      <c r="C914" s="6" t="s">
        <v>35</v>
      </c>
      <c r="D914" s="1088" t="s">
        <v>567</v>
      </c>
      <c r="E914" s="6" t="s">
        <v>192</v>
      </c>
      <c r="F914" s="6" t="s">
        <v>853</v>
      </c>
      <c r="G914" s="6" t="s">
        <v>1406</v>
      </c>
      <c r="H914" s="6" t="s">
        <v>1401</v>
      </c>
      <c r="J914" s="1215" t="s">
        <v>509</v>
      </c>
      <c r="K914" s="1219" t="s">
        <v>3109</v>
      </c>
      <c r="L914" s="8">
        <v>27</v>
      </c>
      <c r="M914" s="8">
        <v>50</v>
      </c>
      <c r="N914" s="1169" t="s">
        <v>271</v>
      </c>
      <c r="P914" s="6" t="s">
        <v>3323</v>
      </c>
      <c r="Q914" s="1215" t="s">
        <v>253</v>
      </c>
      <c r="R914" s="1215" t="s">
        <v>255</v>
      </c>
      <c r="S914" s="1215" t="s">
        <v>534</v>
      </c>
      <c r="T914" s="1215" t="s">
        <v>533</v>
      </c>
      <c r="U914" s="6" t="s">
        <v>567</v>
      </c>
      <c r="V914" s="6" t="s">
        <v>35</v>
      </c>
      <c r="W914" s="6" t="s">
        <v>863</v>
      </c>
      <c r="X914" s="6" t="s">
        <v>193</v>
      </c>
    </row>
    <row r="915" spans="1:24" ht="15" customHeight="1" x14ac:dyDescent="0.3">
      <c r="A915" s="6" t="s">
        <v>533</v>
      </c>
      <c r="B915" s="6" t="s">
        <v>534</v>
      </c>
      <c r="C915" s="6" t="s">
        <v>35</v>
      </c>
      <c r="D915" s="1088" t="s">
        <v>567</v>
      </c>
      <c r="E915" s="6" t="s">
        <v>192</v>
      </c>
      <c r="F915" s="6" t="s">
        <v>853</v>
      </c>
      <c r="G915" s="6" t="s">
        <v>1406</v>
      </c>
      <c r="H915" s="6" t="s">
        <v>1401</v>
      </c>
      <c r="J915" s="1215" t="s">
        <v>509</v>
      </c>
      <c r="K915" s="1219" t="s">
        <v>3110</v>
      </c>
      <c r="L915" s="8">
        <v>100</v>
      </c>
      <c r="M915" s="8">
        <v>540</v>
      </c>
      <c r="N915" s="1169" t="s">
        <v>271</v>
      </c>
      <c r="P915" s="6" t="s">
        <v>3323</v>
      </c>
      <c r="Q915" s="1215" t="s">
        <v>253</v>
      </c>
      <c r="R915" s="1215" t="s">
        <v>255</v>
      </c>
      <c r="S915" s="1215" t="s">
        <v>534</v>
      </c>
      <c r="T915" s="1215" t="s">
        <v>533</v>
      </c>
      <c r="U915" s="6" t="s">
        <v>567</v>
      </c>
      <c r="V915" s="6" t="s">
        <v>35</v>
      </c>
      <c r="W915" s="6" t="s">
        <v>863</v>
      </c>
      <c r="X915" s="6" t="s">
        <v>193</v>
      </c>
    </row>
    <row r="916" spans="1:24" ht="15" customHeight="1" x14ac:dyDescent="0.3">
      <c r="A916" s="6" t="s">
        <v>533</v>
      </c>
      <c r="B916" s="6" t="s">
        <v>534</v>
      </c>
      <c r="C916" s="6" t="s">
        <v>35</v>
      </c>
      <c r="D916" s="1088" t="s">
        <v>567</v>
      </c>
      <c r="E916" s="1088" t="s">
        <v>192</v>
      </c>
      <c r="F916" s="6" t="s">
        <v>853</v>
      </c>
      <c r="G916" s="6" t="s">
        <v>1406</v>
      </c>
      <c r="H916" s="6" t="s">
        <v>1401</v>
      </c>
      <c r="J916" s="1215" t="s">
        <v>509</v>
      </c>
      <c r="K916" s="1219" t="s">
        <v>3111</v>
      </c>
      <c r="L916" s="8">
        <v>21</v>
      </c>
      <c r="M916" s="8">
        <v>55</v>
      </c>
      <c r="N916" s="1169" t="s">
        <v>271</v>
      </c>
      <c r="P916" s="6" t="s">
        <v>3323</v>
      </c>
      <c r="Q916" s="1215" t="s">
        <v>253</v>
      </c>
      <c r="R916" s="1215" t="s">
        <v>255</v>
      </c>
      <c r="S916" s="1215" t="s">
        <v>534</v>
      </c>
      <c r="T916" s="1215" t="s">
        <v>533</v>
      </c>
      <c r="U916" s="6" t="s">
        <v>567</v>
      </c>
      <c r="V916" s="6" t="s">
        <v>35</v>
      </c>
      <c r="W916" s="6" t="s">
        <v>863</v>
      </c>
      <c r="X916" s="6" t="s">
        <v>193</v>
      </c>
    </row>
    <row r="917" spans="1:24" ht="15" customHeight="1" x14ac:dyDescent="0.3">
      <c r="A917" s="6" t="s">
        <v>533</v>
      </c>
      <c r="B917" s="6" t="s">
        <v>534</v>
      </c>
      <c r="C917" s="6" t="s">
        <v>35</v>
      </c>
      <c r="D917" s="1088" t="s">
        <v>567</v>
      </c>
      <c r="E917" s="1088" t="s">
        <v>192</v>
      </c>
      <c r="F917" s="6" t="s">
        <v>853</v>
      </c>
      <c r="G917" s="6" t="s">
        <v>1406</v>
      </c>
      <c r="H917" s="6" t="s">
        <v>1401</v>
      </c>
      <c r="J917" s="1215" t="s">
        <v>509</v>
      </c>
      <c r="K917" s="1219" t="s">
        <v>3112</v>
      </c>
      <c r="L917" s="8">
        <v>3</v>
      </c>
      <c r="M917" s="8">
        <v>14</v>
      </c>
      <c r="N917" s="1169" t="s">
        <v>271</v>
      </c>
      <c r="P917" s="6" t="s">
        <v>3323</v>
      </c>
      <c r="Q917" s="1215" t="s">
        <v>253</v>
      </c>
      <c r="R917" s="1215" t="s">
        <v>255</v>
      </c>
      <c r="S917" s="1215" t="s">
        <v>534</v>
      </c>
      <c r="T917" s="1215" t="s">
        <v>533</v>
      </c>
      <c r="U917" s="6" t="s">
        <v>567</v>
      </c>
      <c r="V917" s="6" t="s">
        <v>35</v>
      </c>
      <c r="W917" s="6" t="s">
        <v>863</v>
      </c>
      <c r="X917" s="6" t="s">
        <v>193</v>
      </c>
    </row>
    <row r="918" spans="1:24" ht="15" customHeight="1" x14ac:dyDescent="0.3">
      <c r="A918" s="6" t="s">
        <v>533</v>
      </c>
      <c r="B918" s="6" t="s">
        <v>534</v>
      </c>
      <c r="C918" s="6" t="s">
        <v>30</v>
      </c>
      <c r="D918" s="1088" t="s">
        <v>535</v>
      </c>
      <c r="E918" s="6" t="s">
        <v>161</v>
      </c>
      <c r="F918" s="6" t="s">
        <v>587</v>
      </c>
      <c r="G918" s="6" t="s">
        <v>626</v>
      </c>
      <c r="H918" s="6" t="s">
        <v>627</v>
      </c>
      <c r="J918" s="1215" t="s">
        <v>509</v>
      </c>
      <c r="K918" s="1219" t="s">
        <v>3033</v>
      </c>
      <c r="L918" s="8">
        <v>109</v>
      </c>
      <c r="M918" s="8">
        <v>570</v>
      </c>
      <c r="N918" s="1169" t="s">
        <v>271</v>
      </c>
      <c r="P918" s="6" t="s">
        <v>3322</v>
      </c>
      <c r="Q918" s="1215" t="s">
        <v>253</v>
      </c>
      <c r="R918" s="1215" t="s">
        <v>255</v>
      </c>
      <c r="S918" s="1215" t="s">
        <v>534</v>
      </c>
      <c r="T918" s="1215" t="s">
        <v>533</v>
      </c>
      <c r="U918" s="6" t="s">
        <v>539</v>
      </c>
      <c r="V918" s="6" t="s">
        <v>34</v>
      </c>
    </row>
    <row r="919" spans="1:24" ht="15" customHeight="1" x14ac:dyDescent="0.3">
      <c r="A919" s="6" t="s">
        <v>533</v>
      </c>
      <c r="B919" s="6" t="s">
        <v>534</v>
      </c>
      <c r="C919" s="6" t="s">
        <v>30</v>
      </c>
      <c r="D919" s="1088" t="s">
        <v>535</v>
      </c>
      <c r="E919" s="6" t="s">
        <v>161</v>
      </c>
      <c r="F919" s="6" t="s">
        <v>587</v>
      </c>
      <c r="G919" s="6" t="s">
        <v>626</v>
      </c>
      <c r="H919" s="6" t="s">
        <v>627</v>
      </c>
      <c r="J919" s="1215" t="s">
        <v>509</v>
      </c>
      <c r="K919" s="1219" t="s">
        <v>3112</v>
      </c>
      <c r="L919" s="8">
        <v>2</v>
      </c>
      <c r="M919" s="8">
        <v>10</v>
      </c>
      <c r="N919" s="1169" t="s">
        <v>275</v>
      </c>
      <c r="O919" s="6" t="s">
        <v>3335</v>
      </c>
      <c r="P919" s="6" t="s">
        <v>3323</v>
      </c>
      <c r="Q919" s="1215" t="s">
        <v>253</v>
      </c>
      <c r="R919" s="1215" t="s">
        <v>255</v>
      </c>
      <c r="S919" s="1215" t="s">
        <v>534</v>
      </c>
      <c r="T919" s="1215" t="s">
        <v>533</v>
      </c>
      <c r="U919" s="6" t="s">
        <v>535</v>
      </c>
      <c r="V919" s="6" t="s">
        <v>30</v>
      </c>
      <c r="W919" s="1215" t="s">
        <v>555</v>
      </c>
      <c r="X919" s="1215" t="s">
        <v>160</v>
      </c>
    </row>
    <row r="920" spans="1:24" ht="15" customHeight="1" x14ac:dyDescent="0.3">
      <c r="A920" s="6" t="s">
        <v>533</v>
      </c>
      <c r="B920" s="6" t="s">
        <v>534</v>
      </c>
      <c r="C920" s="6" t="s">
        <v>30</v>
      </c>
      <c r="D920" s="1088" t="s">
        <v>535</v>
      </c>
      <c r="E920" s="1088" t="s">
        <v>163</v>
      </c>
      <c r="F920" s="6" t="s">
        <v>713</v>
      </c>
      <c r="G920" s="6" t="s">
        <v>714</v>
      </c>
      <c r="H920" s="6" t="s">
        <v>715</v>
      </c>
      <c r="J920" s="1215" t="s">
        <v>509</v>
      </c>
      <c r="K920" s="1219" t="s">
        <v>3033</v>
      </c>
      <c r="L920" s="8">
        <v>8</v>
      </c>
      <c r="M920" s="8">
        <v>79</v>
      </c>
      <c r="N920" s="1169" t="s">
        <v>271</v>
      </c>
      <c r="P920" s="6" t="s">
        <v>3322</v>
      </c>
      <c r="Q920" s="1215" t="s">
        <v>253</v>
      </c>
      <c r="R920" s="1215" t="s">
        <v>255</v>
      </c>
      <c r="S920" s="1215" t="s">
        <v>534</v>
      </c>
      <c r="T920" s="1215" t="s">
        <v>533</v>
      </c>
      <c r="U920" s="6" t="s">
        <v>539</v>
      </c>
      <c r="V920" s="6" t="s">
        <v>34</v>
      </c>
    </row>
    <row r="921" spans="1:24" ht="15" customHeight="1" x14ac:dyDescent="0.3">
      <c r="A921" s="6" t="s">
        <v>533</v>
      </c>
      <c r="B921" s="6" t="s">
        <v>534</v>
      </c>
      <c r="C921" s="6" t="s">
        <v>30</v>
      </c>
      <c r="D921" s="1088" t="s">
        <v>535</v>
      </c>
      <c r="E921" s="1088" t="s">
        <v>163</v>
      </c>
      <c r="F921" s="6" t="s">
        <v>713</v>
      </c>
      <c r="G921" s="6" t="s">
        <v>716</v>
      </c>
      <c r="H921" s="6" t="s">
        <v>717</v>
      </c>
      <c r="J921" s="1215" t="s">
        <v>509</v>
      </c>
      <c r="K921" s="1219" t="s">
        <v>3033</v>
      </c>
      <c r="L921" s="8">
        <v>3</v>
      </c>
      <c r="M921" s="8">
        <v>23</v>
      </c>
      <c r="N921" s="1169" t="s">
        <v>271</v>
      </c>
      <c r="P921" s="6" t="s">
        <v>3322</v>
      </c>
      <c r="Q921" s="1215" t="s">
        <v>253</v>
      </c>
      <c r="R921" s="1215" t="s">
        <v>255</v>
      </c>
      <c r="S921" s="1215" t="s">
        <v>534</v>
      </c>
      <c r="T921" s="1215" t="s">
        <v>533</v>
      </c>
      <c r="U921" s="6" t="s">
        <v>539</v>
      </c>
      <c r="V921" s="6" t="s">
        <v>34</v>
      </c>
    </row>
    <row r="922" spans="1:24" ht="15" customHeight="1" x14ac:dyDescent="0.3">
      <c r="A922" s="6" t="s">
        <v>533</v>
      </c>
      <c r="B922" s="6" t="s">
        <v>534</v>
      </c>
      <c r="C922" s="6" t="s">
        <v>30</v>
      </c>
      <c r="D922" s="1088" t="s">
        <v>535</v>
      </c>
      <c r="E922" s="1088" t="s">
        <v>160</v>
      </c>
      <c r="F922" s="6" t="s">
        <v>555</v>
      </c>
      <c r="G922" s="6" t="s">
        <v>689</v>
      </c>
      <c r="H922" s="6" t="s">
        <v>596</v>
      </c>
      <c r="J922" s="1215" t="s">
        <v>509</v>
      </c>
      <c r="K922" s="1219" t="s">
        <v>3033</v>
      </c>
      <c r="L922" s="8">
        <v>21</v>
      </c>
      <c r="M922" s="8">
        <v>136</v>
      </c>
      <c r="N922" s="1169" t="s">
        <v>271</v>
      </c>
      <c r="P922" s="6" t="s">
        <v>3322</v>
      </c>
      <c r="Q922" s="1215" t="s">
        <v>253</v>
      </c>
      <c r="R922" s="1215" t="s">
        <v>255</v>
      </c>
      <c r="S922" s="1215" t="s">
        <v>534</v>
      </c>
      <c r="T922" s="1215" t="s">
        <v>533</v>
      </c>
      <c r="U922" s="6" t="s">
        <v>539</v>
      </c>
      <c r="V922" s="6" t="s">
        <v>34</v>
      </c>
    </row>
    <row r="923" spans="1:24" ht="15" customHeight="1" x14ac:dyDescent="0.3">
      <c r="A923" s="6" t="s">
        <v>533</v>
      </c>
      <c r="B923" s="6" t="s">
        <v>534</v>
      </c>
      <c r="C923" s="6" t="s">
        <v>34</v>
      </c>
      <c r="D923" s="1088" t="s">
        <v>539</v>
      </c>
      <c r="E923" s="6" t="s">
        <v>189</v>
      </c>
      <c r="F923" s="6" t="s">
        <v>590</v>
      </c>
      <c r="G923" s="6" t="s">
        <v>1373</v>
      </c>
      <c r="H923" s="6" t="s">
        <v>1374</v>
      </c>
      <c r="J923" s="1215" t="s">
        <v>509</v>
      </c>
      <c r="K923" s="1219" t="s">
        <v>3033</v>
      </c>
      <c r="L923" s="8">
        <v>38</v>
      </c>
      <c r="M923" s="8">
        <v>226</v>
      </c>
      <c r="N923" s="1169" t="s">
        <v>271</v>
      </c>
      <c r="P923" s="6" t="s">
        <v>3324</v>
      </c>
      <c r="Q923" s="1215" t="s">
        <v>253</v>
      </c>
      <c r="R923" s="1215" t="s">
        <v>255</v>
      </c>
      <c r="S923" s="1215" t="s">
        <v>534</v>
      </c>
      <c r="T923" s="1215" t="s">
        <v>533</v>
      </c>
      <c r="U923" s="6" t="s">
        <v>539</v>
      </c>
      <c r="V923" s="6" t="s">
        <v>34</v>
      </c>
      <c r="W923" s="6" t="s">
        <v>590</v>
      </c>
      <c r="X923" s="6" t="s">
        <v>189</v>
      </c>
    </row>
    <row r="924" spans="1:24" ht="15" customHeight="1" x14ac:dyDescent="0.3">
      <c r="A924" s="6" t="s">
        <v>533</v>
      </c>
      <c r="B924" s="6" t="s">
        <v>534</v>
      </c>
      <c r="C924" s="6" t="s">
        <v>34</v>
      </c>
      <c r="D924" s="1088" t="s">
        <v>539</v>
      </c>
      <c r="E924" s="6" t="s">
        <v>189</v>
      </c>
      <c r="F924" s="6" t="s">
        <v>590</v>
      </c>
      <c r="G924" s="6" t="s">
        <v>1373</v>
      </c>
      <c r="H924" s="6" t="s">
        <v>1374</v>
      </c>
      <c r="J924" s="1215" t="s">
        <v>509</v>
      </c>
      <c r="K924" s="1219" t="s">
        <v>3109</v>
      </c>
      <c r="L924" s="8">
        <v>0</v>
      </c>
      <c r="M924" s="8">
        <v>17</v>
      </c>
      <c r="N924" s="1169" t="s">
        <v>271</v>
      </c>
      <c r="P924" s="6" t="s">
        <v>3324</v>
      </c>
      <c r="Q924" s="1215" t="s">
        <v>253</v>
      </c>
      <c r="R924" s="1215" t="s">
        <v>255</v>
      </c>
      <c r="S924" s="1215" t="s">
        <v>534</v>
      </c>
      <c r="T924" s="1215" t="s">
        <v>533</v>
      </c>
      <c r="U924" s="6" t="s">
        <v>539</v>
      </c>
      <c r="V924" s="6" t="s">
        <v>34</v>
      </c>
      <c r="W924" s="6" t="s">
        <v>590</v>
      </c>
      <c r="X924" s="6" t="s">
        <v>189</v>
      </c>
    </row>
    <row r="925" spans="1:24" ht="15" customHeight="1" x14ac:dyDescent="0.3">
      <c r="A925" s="6" t="s">
        <v>533</v>
      </c>
      <c r="B925" s="6" t="s">
        <v>534</v>
      </c>
      <c r="C925" s="6" t="s">
        <v>34</v>
      </c>
      <c r="D925" s="1088" t="s">
        <v>539</v>
      </c>
      <c r="E925" s="6" t="s">
        <v>189</v>
      </c>
      <c r="F925" s="6" t="s">
        <v>590</v>
      </c>
      <c r="G925" s="6" t="s">
        <v>1373</v>
      </c>
      <c r="H925" s="6" t="s">
        <v>1374</v>
      </c>
      <c r="J925" s="1215" t="s">
        <v>509</v>
      </c>
      <c r="K925" s="1219" t="s">
        <v>3110</v>
      </c>
      <c r="L925" s="8">
        <v>0</v>
      </c>
      <c r="M925" s="8">
        <v>49</v>
      </c>
      <c r="N925" s="1169" t="s">
        <v>271</v>
      </c>
      <c r="P925" s="6" t="s">
        <v>3324</v>
      </c>
      <c r="Q925" s="1215" t="s">
        <v>253</v>
      </c>
      <c r="R925" s="1215" t="s">
        <v>255</v>
      </c>
      <c r="S925" s="1215" t="s">
        <v>534</v>
      </c>
      <c r="T925" s="1215" t="s">
        <v>533</v>
      </c>
      <c r="U925" s="6" t="s">
        <v>539</v>
      </c>
      <c r="V925" s="6" t="s">
        <v>34</v>
      </c>
      <c r="W925" s="6" t="s">
        <v>590</v>
      </c>
      <c r="X925" s="6" t="s">
        <v>189</v>
      </c>
    </row>
    <row r="926" spans="1:24" ht="15" customHeight="1" x14ac:dyDescent="0.3">
      <c r="A926" s="6" t="s">
        <v>533</v>
      </c>
      <c r="B926" s="6" t="s">
        <v>534</v>
      </c>
      <c r="C926" s="6" t="s">
        <v>34</v>
      </c>
      <c r="D926" s="1088" t="s">
        <v>539</v>
      </c>
      <c r="E926" s="6" t="s">
        <v>189</v>
      </c>
      <c r="F926" s="6" t="s">
        <v>590</v>
      </c>
      <c r="G926" s="6" t="s">
        <v>1373</v>
      </c>
      <c r="H926" s="6" t="s">
        <v>1374</v>
      </c>
      <c r="J926" s="1215" t="s">
        <v>509</v>
      </c>
      <c r="K926" s="1219" t="s">
        <v>3111</v>
      </c>
      <c r="L926" s="8">
        <v>0</v>
      </c>
      <c r="M926" s="8">
        <v>16</v>
      </c>
      <c r="N926" s="1169" t="s">
        <v>271</v>
      </c>
      <c r="P926" s="6" t="s">
        <v>3324</v>
      </c>
      <c r="Q926" s="1215" t="s">
        <v>253</v>
      </c>
      <c r="R926" s="1215" t="s">
        <v>255</v>
      </c>
      <c r="S926" s="1215" t="s">
        <v>534</v>
      </c>
      <c r="T926" s="1215" t="s">
        <v>533</v>
      </c>
      <c r="U926" s="6" t="s">
        <v>539</v>
      </c>
      <c r="V926" s="6" t="s">
        <v>34</v>
      </c>
      <c r="W926" s="6" t="s">
        <v>590</v>
      </c>
      <c r="X926" s="6" t="s">
        <v>189</v>
      </c>
    </row>
    <row r="927" spans="1:24" ht="15" customHeight="1" x14ac:dyDescent="0.3">
      <c r="A927" s="6" t="s">
        <v>533</v>
      </c>
      <c r="B927" s="6" t="s">
        <v>534</v>
      </c>
      <c r="C927" s="6" t="s">
        <v>34</v>
      </c>
      <c r="D927" s="1088" t="s">
        <v>539</v>
      </c>
      <c r="E927" s="6" t="s">
        <v>189</v>
      </c>
      <c r="F927" s="6" t="s">
        <v>590</v>
      </c>
      <c r="G927" s="6" t="s">
        <v>1373</v>
      </c>
      <c r="H927" s="6" t="s">
        <v>1374</v>
      </c>
      <c r="J927" s="1215" t="s">
        <v>509</v>
      </c>
      <c r="K927" s="1219" t="s">
        <v>3112</v>
      </c>
      <c r="L927" s="8">
        <v>0</v>
      </c>
      <c r="M927" s="8">
        <v>11</v>
      </c>
      <c r="N927" s="1169" t="s">
        <v>271</v>
      </c>
      <c r="P927" s="6" t="s">
        <v>3324</v>
      </c>
      <c r="Q927" s="1215" t="s">
        <v>253</v>
      </c>
      <c r="R927" s="1215" t="s">
        <v>255</v>
      </c>
      <c r="S927" s="1215" t="s">
        <v>534</v>
      </c>
      <c r="T927" s="1215" t="s">
        <v>533</v>
      </c>
      <c r="U927" s="6" t="s">
        <v>539</v>
      </c>
      <c r="V927" s="6" t="s">
        <v>34</v>
      </c>
      <c r="W927" s="6" t="s">
        <v>590</v>
      </c>
      <c r="X927" s="6" t="s">
        <v>189</v>
      </c>
    </row>
    <row r="928" spans="1:24" ht="15" customHeight="1" x14ac:dyDescent="0.3">
      <c r="A928" s="6" t="s">
        <v>533</v>
      </c>
      <c r="B928" s="6" t="s">
        <v>534</v>
      </c>
      <c r="C928" s="6" t="s">
        <v>34</v>
      </c>
      <c r="D928" s="1088" t="s">
        <v>539</v>
      </c>
      <c r="E928" s="6" t="s">
        <v>189</v>
      </c>
      <c r="F928" s="6" t="s">
        <v>590</v>
      </c>
      <c r="G928" s="6" t="s">
        <v>1375</v>
      </c>
      <c r="H928" s="6" t="s">
        <v>1376</v>
      </c>
      <c r="J928" s="1215" t="s">
        <v>509</v>
      </c>
      <c r="K928" s="1219" t="s">
        <v>3033</v>
      </c>
      <c r="L928" s="8">
        <v>36</v>
      </c>
      <c r="M928" s="8">
        <v>72</v>
      </c>
      <c r="N928" s="1169" t="s">
        <v>271</v>
      </c>
      <c r="P928" s="6" t="s">
        <v>3324</v>
      </c>
      <c r="Q928" s="1215" t="s">
        <v>253</v>
      </c>
      <c r="R928" s="1215" t="s">
        <v>255</v>
      </c>
      <c r="S928" s="1215" t="s">
        <v>534</v>
      </c>
      <c r="T928" s="1215" t="s">
        <v>533</v>
      </c>
      <c r="U928" s="6" t="s">
        <v>539</v>
      </c>
      <c r="V928" s="6" t="s">
        <v>34</v>
      </c>
      <c r="W928" s="6" t="s">
        <v>590</v>
      </c>
      <c r="X928" s="6" t="s">
        <v>189</v>
      </c>
    </row>
    <row r="929" spans="1:24" ht="15" customHeight="1" x14ac:dyDescent="0.3">
      <c r="A929" s="6" t="s">
        <v>533</v>
      </c>
      <c r="B929" s="6" t="s">
        <v>534</v>
      </c>
      <c r="C929" s="6" t="s">
        <v>34</v>
      </c>
      <c r="D929" s="1088" t="s">
        <v>539</v>
      </c>
      <c r="E929" s="6" t="s">
        <v>189</v>
      </c>
      <c r="F929" s="6" t="s">
        <v>590</v>
      </c>
      <c r="G929" s="6" t="s">
        <v>1375</v>
      </c>
      <c r="H929" s="6" t="s">
        <v>1376</v>
      </c>
      <c r="J929" s="1215" t="s">
        <v>509</v>
      </c>
      <c r="K929" s="1219" t="s">
        <v>3109</v>
      </c>
      <c r="L929" s="8">
        <v>0</v>
      </c>
      <c r="M929" s="8">
        <v>4</v>
      </c>
      <c r="N929" s="1169" t="s">
        <v>271</v>
      </c>
      <c r="P929" s="6" t="s">
        <v>3324</v>
      </c>
      <c r="Q929" s="1215" t="s">
        <v>253</v>
      </c>
      <c r="R929" s="1215" t="s">
        <v>255</v>
      </c>
      <c r="S929" s="1215" t="s">
        <v>534</v>
      </c>
      <c r="T929" s="1215" t="s">
        <v>533</v>
      </c>
      <c r="U929" s="6" t="s">
        <v>539</v>
      </c>
      <c r="V929" s="6" t="s">
        <v>34</v>
      </c>
      <c r="W929" s="6" t="s">
        <v>590</v>
      </c>
      <c r="X929" s="6" t="s">
        <v>189</v>
      </c>
    </row>
    <row r="930" spans="1:24" ht="15" customHeight="1" x14ac:dyDescent="0.3">
      <c r="A930" s="6" t="s">
        <v>533</v>
      </c>
      <c r="B930" s="6" t="s">
        <v>534</v>
      </c>
      <c r="C930" s="6" t="s">
        <v>34</v>
      </c>
      <c r="D930" s="1088" t="s">
        <v>539</v>
      </c>
      <c r="E930" s="6" t="s">
        <v>189</v>
      </c>
      <c r="F930" s="6" t="s">
        <v>590</v>
      </c>
      <c r="G930" s="6" t="s">
        <v>1375</v>
      </c>
      <c r="H930" s="6" t="s">
        <v>1376</v>
      </c>
      <c r="J930" s="1215" t="s">
        <v>509</v>
      </c>
      <c r="K930" s="1219" t="s">
        <v>3110</v>
      </c>
      <c r="L930" s="8">
        <v>0</v>
      </c>
      <c r="M930" s="8">
        <v>75</v>
      </c>
      <c r="N930" s="1169" t="s">
        <v>271</v>
      </c>
      <c r="P930" s="6" t="s">
        <v>3324</v>
      </c>
      <c r="Q930" s="1215" t="s">
        <v>253</v>
      </c>
      <c r="R930" s="1215" t="s">
        <v>255</v>
      </c>
      <c r="S930" s="1215" t="s">
        <v>534</v>
      </c>
      <c r="T930" s="1215" t="s">
        <v>533</v>
      </c>
      <c r="U930" s="6" t="s">
        <v>539</v>
      </c>
      <c r="V930" s="6" t="s">
        <v>34</v>
      </c>
      <c r="W930" s="6" t="s">
        <v>590</v>
      </c>
      <c r="X930" s="6" t="s">
        <v>189</v>
      </c>
    </row>
    <row r="931" spans="1:24" ht="15" customHeight="1" x14ac:dyDescent="0.3">
      <c r="A931" s="6" t="s">
        <v>533</v>
      </c>
      <c r="B931" s="6" t="s">
        <v>534</v>
      </c>
      <c r="C931" s="6" t="s">
        <v>34</v>
      </c>
      <c r="D931" s="1088" t="s">
        <v>539</v>
      </c>
      <c r="E931" s="6" t="s">
        <v>189</v>
      </c>
      <c r="F931" s="6" t="s">
        <v>590</v>
      </c>
      <c r="G931" s="6" t="s">
        <v>1375</v>
      </c>
      <c r="H931" s="6" t="s">
        <v>1376</v>
      </c>
      <c r="J931" s="1215" t="s">
        <v>509</v>
      </c>
      <c r="K931" s="1219" t="s">
        <v>3111</v>
      </c>
      <c r="L931" s="8">
        <v>0</v>
      </c>
      <c r="M931" s="8">
        <v>20</v>
      </c>
      <c r="N931" s="1169" t="s">
        <v>271</v>
      </c>
      <c r="P931" s="6" t="s">
        <v>3324</v>
      </c>
      <c r="Q931" s="1215" t="s">
        <v>253</v>
      </c>
      <c r="R931" s="1215" t="s">
        <v>255</v>
      </c>
      <c r="S931" s="1215" t="s">
        <v>534</v>
      </c>
      <c r="T931" s="1215" t="s">
        <v>533</v>
      </c>
      <c r="U931" s="6" t="s">
        <v>539</v>
      </c>
      <c r="V931" s="6" t="s">
        <v>34</v>
      </c>
      <c r="W931" s="6" t="s">
        <v>590</v>
      </c>
      <c r="X931" s="6" t="s">
        <v>189</v>
      </c>
    </row>
    <row r="932" spans="1:24" ht="15" customHeight="1" x14ac:dyDescent="0.3">
      <c r="A932" s="6" t="s">
        <v>533</v>
      </c>
      <c r="B932" s="6" t="s">
        <v>534</v>
      </c>
      <c r="C932" s="6" t="s">
        <v>34</v>
      </c>
      <c r="D932" s="1088" t="s">
        <v>539</v>
      </c>
      <c r="E932" s="6" t="s">
        <v>189</v>
      </c>
      <c r="F932" s="6" t="s">
        <v>590</v>
      </c>
      <c r="G932" s="6" t="s">
        <v>1375</v>
      </c>
      <c r="H932" s="6" t="s">
        <v>1376</v>
      </c>
      <c r="J932" s="1215" t="s">
        <v>509</v>
      </c>
      <c r="K932" s="1219" t="s">
        <v>3112</v>
      </c>
      <c r="L932" s="8">
        <v>0</v>
      </c>
      <c r="M932" s="8">
        <v>11</v>
      </c>
      <c r="N932" s="1169" t="s">
        <v>271</v>
      </c>
      <c r="P932" s="6" t="s">
        <v>3324</v>
      </c>
      <c r="Q932" s="1215" t="s">
        <v>253</v>
      </c>
      <c r="R932" s="1215" t="s">
        <v>255</v>
      </c>
      <c r="S932" s="1215" t="s">
        <v>534</v>
      </c>
      <c r="T932" s="1215" t="s">
        <v>533</v>
      </c>
      <c r="U932" s="6" t="s">
        <v>539</v>
      </c>
      <c r="V932" s="6" t="s">
        <v>34</v>
      </c>
      <c r="W932" s="6" t="s">
        <v>590</v>
      </c>
      <c r="X932" s="6" t="s">
        <v>189</v>
      </c>
    </row>
    <row r="933" spans="1:24" ht="15" customHeight="1" x14ac:dyDescent="0.3">
      <c r="A933" s="6" t="s">
        <v>533</v>
      </c>
      <c r="B933" s="6" t="s">
        <v>534</v>
      </c>
      <c r="C933" s="6" t="s">
        <v>34</v>
      </c>
      <c r="D933" s="1088" t="s">
        <v>539</v>
      </c>
      <c r="E933" s="1088" t="s">
        <v>188</v>
      </c>
      <c r="F933" s="6" t="s">
        <v>546</v>
      </c>
      <c r="G933" s="6" t="s">
        <v>2949</v>
      </c>
      <c r="H933" s="6" t="s">
        <v>1384</v>
      </c>
      <c r="J933" s="1215" t="s">
        <v>509</v>
      </c>
      <c r="K933" s="1219" t="s">
        <v>3033</v>
      </c>
      <c r="L933" s="8">
        <v>80</v>
      </c>
      <c r="M933" s="8">
        <v>342</v>
      </c>
      <c r="N933" s="1169" t="s">
        <v>271</v>
      </c>
      <c r="P933" s="6" t="s">
        <v>3324</v>
      </c>
      <c r="Q933" s="1215" t="s">
        <v>253</v>
      </c>
      <c r="R933" s="1215" t="s">
        <v>255</v>
      </c>
      <c r="S933" s="1215" t="s">
        <v>534</v>
      </c>
      <c r="T933" s="1215" t="s">
        <v>533</v>
      </c>
      <c r="U933" s="6" t="s">
        <v>539</v>
      </c>
      <c r="V933" s="6" t="s">
        <v>34</v>
      </c>
      <c r="W933" s="6" t="s">
        <v>546</v>
      </c>
      <c r="X933" s="6" t="s">
        <v>188</v>
      </c>
    </row>
    <row r="934" spans="1:24" ht="15" customHeight="1" x14ac:dyDescent="0.3">
      <c r="A934" s="6" t="s">
        <v>533</v>
      </c>
      <c r="B934" s="6" t="s">
        <v>534</v>
      </c>
      <c r="C934" s="6" t="s">
        <v>34</v>
      </c>
      <c r="D934" s="1088" t="s">
        <v>539</v>
      </c>
      <c r="E934" s="6" t="s">
        <v>188</v>
      </c>
      <c r="F934" s="6" t="s">
        <v>546</v>
      </c>
      <c r="G934" s="6" t="s">
        <v>2949</v>
      </c>
      <c r="H934" s="6" t="s">
        <v>1384</v>
      </c>
      <c r="J934" s="1215" t="s">
        <v>509</v>
      </c>
      <c r="K934" s="1219" t="s">
        <v>3109</v>
      </c>
      <c r="L934" s="8">
        <v>0</v>
      </c>
      <c r="M934" s="8">
        <v>6</v>
      </c>
      <c r="N934" s="1169" t="s">
        <v>271</v>
      </c>
      <c r="P934" s="6" t="s">
        <v>3324</v>
      </c>
      <c r="Q934" s="1215" t="s">
        <v>253</v>
      </c>
      <c r="R934" s="1215" t="s">
        <v>255</v>
      </c>
      <c r="S934" s="1215" t="s">
        <v>534</v>
      </c>
      <c r="T934" s="1215" t="s">
        <v>533</v>
      </c>
      <c r="U934" s="6" t="s">
        <v>539</v>
      </c>
      <c r="V934" s="6" t="s">
        <v>34</v>
      </c>
      <c r="W934" s="6" t="s">
        <v>546</v>
      </c>
      <c r="X934" s="6" t="s">
        <v>188</v>
      </c>
    </row>
    <row r="935" spans="1:24" ht="15" customHeight="1" x14ac:dyDescent="0.3">
      <c r="A935" s="6" t="s">
        <v>533</v>
      </c>
      <c r="B935" s="6" t="s">
        <v>534</v>
      </c>
      <c r="C935" s="6" t="s">
        <v>34</v>
      </c>
      <c r="D935" s="1088" t="s">
        <v>539</v>
      </c>
      <c r="E935" s="1088" t="s">
        <v>188</v>
      </c>
      <c r="F935" s="6" t="s">
        <v>546</v>
      </c>
      <c r="G935" s="6" t="s">
        <v>2949</v>
      </c>
      <c r="H935" s="6" t="s">
        <v>1384</v>
      </c>
      <c r="J935" s="1215" t="s">
        <v>509</v>
      </c>
      <c r="K935" s="1219" t="s">
        <v>3110</v>
      </c>
      <c r="L935" s="8">
        <v>6</v>
      </c>
      <c r="M935" s="8">
        <v>24</v>
      </c>
      <c r="N935" s="1169" t="s">
        <v>271</v>
      </c>
      <c r="P935" s="6" t="s">
        <v>3324</v>
      </c>
      <c r="Q935" s="1215" t="s">
        <v>253</v>
      </c>
      <c r="R935" s="1215" t="s">
        <v>255</v>
      </c>
      <c r="S935" s="1215" t="s">
        <v>534</v>
      </c>
      <c r="T935" s="1215" t="s">
        <v>533</v>
      </c>
      <c r="U935" s="6" t="s">
        <v>539</v>
      </c>
      <c r="V935" s="6" t="s">
        <v>34</v>
      </c>
      <c r="W935" s="6" t="s">
        <v>546</v>
      </c>
      <c r="X935" s="6" t="s">
        <v>188</v>
      </c>
    </row>
    <row r="936" spans="1:24" ht="15" customHeight="1" x14ac:dyDescent="0.3">
      <c r="A936" s="6" t="s">
        <v>533</v>
      </c>
      <c r="B936" s="6" t="s">
        <v>534</v>
      </c>
      <c r="C936" s="6" t="s">
        <v>34</v>
      </c>
      <c r="D936" s="1088" t="s">
        <v>539</v>
      </c>
      <c r="E936" s="1088" t="s">
        <v>188</v>
      </c>
      <c r="F936" s="6" t="s">
        <v>546</v>
      </c>
      <c r="G936" s="6" t="s">
        <v>2949</v>
      </c>
      <c r="H936" s="6" t="s">
        <v>1384</v>
      </c>
      <c r="J936" s="1215" t="s">
        <v>509</v>
      </c>
      <c r="K936" s="1219" t="s">
        <v>3111</v>
      </c>
      <c r="L936" s="8">
        <v>0</v>
      </c>
      <c r="M936" s="8">
        <v>30</v>
      </c>
      <c r="N936" s="1169" t="s">
        <v>271</v>
      </c>
      <c r="P936" s="6" t="s">
        <v>3324</v>
      </c>
      <c r="Q936" s="1215" t="s">
        <v>253</v>
      </c>
      <c r="R936" s="1215" t="s">
        <v>255</v>
      </c>
      <c r="S936" s="1215" t="s">
        <v>534</v>
      </c>
      <c r="T936" s="1215" t="s">
        <v>533</v>
      </c>
      <c r="U936" s="6" t="s">
        <v>539</v>
      </c>
      <c r="V936" s="6" t="s">
        <v>34</v>
      </c>
      <c r="W936" s="6" t="s">
        <v>546</v>
      </c>
      <c r="X936" s="6" t="s">
        <v>188</v>
      </c>
    </row>
    <row r="937" spans="1:24" ht="15" customHeight="1" x14ac:dyDescent="0.3">
      <c r="A937" s="6" t="s">
        <v>533</v>
      </c>
      <c r="B937" s="6" t="s">
        <v>534</v>
      </c>
      <c r="C937" s="6" t="s">
        <v>34</v>
      </c>
      <c r="D937" s="1088" t="s">
        <v>539</v>
      </c>
      <c r="E937" s="6" t="s">
        <v>188</v>
      </c>
      <c r="F937" s="6" t="s">
        <v>546</v>
      </c>
      <c r="G937" s="6" t="s">
        <v>2949</v>
      </c>
      <c r="H937" s="6" t="s">
        <v>1384</v>
      </c>
      <c r="J937" s="1215" t="s">
        <v>509</v>
      </c>
      <c r="K937" s="1219" t="s">
        <v>3112</v>
      </c>
      <c r="L937" s="8">
        <v>0</v>
      </c>
      <c r="M937" s="8">
        <v>1</v>
      </c>
      <c r="N937" s="1169" t="s">
        <v>271</v>
      </c>
      <c r="P937" s="6" t="s">
        <v>3324</v>
      </c>
      <c r="Q937" s="1215" t="s">
        <v>253</v>
      </c>
      <c r="R937" s="1215" t="s">
        <v>255</v>
      </c>
      <c r="S937" s="1215" t="s">
        <v>534</v>
      </c>
      <c r="T937" s="1215" t="s">
        <v>533</v>
      </c>
      <c r="U937" s="6" t="s">
        <v>539</v>
      </c>
      <c r="V937" s="6" t="s">
        <v>34</v>
      </c>
      <c r="W937" s="6" t="s">
        <v>546</v>
      </c>
      <c r="X937" s="6" t="s">
        <v>188</v>
      </c>
    </row>
    <row r="938" spans="1:24" ht="15" customHeight="1" x14ac:dyDescent="0.3">
      <c r="A938" s="6" t="s">
        <v>533</v>
      </c>
      <c r="B938" s="6" t="s">
        <v>534</v>
      </c>
      <c r="C938" s="6" t="s">
        <v>34</v>
      </c>
      <c r="D938" s="1088" t="s">
        <v>539</v>
      </c>
      <c r="E938" s="1088" t="s">
        <v>189</v>
      </c>
      <c r="F938" s="6" t="s">
        <v>590</v>
      </c>
      <c r="G938" s="6" t="s">
        <v>1052</v>
      </c>
      <c r="H938" s="6" t="s">
        <v>3258</v>
      </c>
      <c r="J938" s="1215" t="s">
        <v>509</v>
      </c>
      <c r="K938" s="1219" t="s">
        <v>3109</v>
      </c>
      <c r="L938" s="8">
        <v>129</v>
      </c>
      <c r="M938" s="8">
        <v>1009</v>
      </c>
      <c r="N938" s="1169" t="s">
        <v>271</v>
      </c>
      <c r="P938" s="6" t="s">
        <v>3324</v>
      </c>
      <c r="Q938" s="1215" t="s">
        <v>253</v>
      </c>
      <c r="R938" s="1215" t="s">
        <v>255</v>
      </c>
      <c r="S938" s="1215" t="s">
        <v>534</v>
      </c>
      <c r="T938" s="1215" t="s">
        <v>533</v>
      </c>
      <c r="U938" s="6" t="s">
        <v>539</v>
      </c>
      <c r="V938" s="6" t="s">
        <v>34</v>
      </c>
      <c r="W938" s="6" t="s">
        <v>590</v>
      </c>
      <c r="X938" s="6" t="s">
        <v>189</v>
      </c>
    </row>
    <row r="939" spans="1:24" ht="15" customHeight="1" x14ac:dyDescent="0.3">
      <c r="A939" s="6" t="s">
        <v>533</v>
      </c>
      <c r="B939" s="6" t="s">
        <v>534</v>
      </c>
      <c r="C939" s="6" t="s">
        <v>34</v>
      </c>
      <c r="D939" s="1088" t="s">
        <v>539</v>
      </c>
      <c r="E939" s="1088" t="s">
        <v>189</v>
      </c>
      <c r="F939" s="6" t="s">
        <v>590</v>
      </c>
      <c r="G939" s="6" t="s">
        <v>1052</v>
      </c>
      <c r="H939" s="6" t="s">
        <v>3258</v>
      </c>
      <c r="J939" s="1215" t="s">
        <v>509</v>
      </c>
      <c r="K939" s="1219" t="s">
        <v>3110</v>
      </c>
      <c r="L939" s="8">
        <v>3</v>
      </c>
      <c r="M939" s="8">
        <v>41</v>
      </c>
      <c r="N939" s="1169" t="s">
        <v>271</v>
      </c>
      <c r="P939" s="6" t="s">
        <v>3324</v>
      </c>
      <c r="Q939" s="1215" t="s">
        <v>253</v>
      </c>
      <c r="R939" s="1215" t="s">
        <v>255</v>
      </c>
      <c r="S939" s="1215" t="s">
        <v>534</v>
      </c>
      <c r="T939" s="1215" t="s">
        <v>533</v>
      </c>
      <c r="U939" s="6" t="s">
        <v>539</v>
      </c>
      <c r="V939" s="6" t="s">
        <v>34</v>
      </c>
      <c r="W939" s="6" t="s">
        <v>590</v>
      </c>
      <c r="X939" s="6" t="s">
        <v>189</v>
      </c>
    </row>
    <row r="940" spans="1:24" ht="15" customHeight="1" x14ac:dyDescent="0.3">
      <c r="A940" s="6" t="s">
        <v>533</v>
      </c>
      <c r="B940" s="6" t="s">
        <v>534</v>
      </c>
      <c r="C940" s="6" t="s">
        <v>34</v>
      </c>
      <c r="D940" s="1088" t="s">
        <v>539</v>
      </c>
      <c r="E940" s="1088" t="s">
        <v>189</v>
      </c>
      <c r="F940" s="6" t="s">
        <v>590</v>
      </c>
      <c r="G940" s="6" t="s">
        <v>1052</v>
      </c>
      <c r="H940" s="6" t="s">
        <v>3258</v>
      </c>
      <c r="J940" s="1215" t="s">
        <v>509</v>
      </c>
      <c r="K940" s="1219" t="s">
        <v>3111</v>
      </c>
      <c r="L940" s="8">
        <v>13</v>
      </c>
      <c r="M940" s="8">
        <v>140</v>
      </c>
      <c r="N940" s="1169" t="s">
        <v>271</v>
      </c>
      <c r="P940" s="6" t="s">
        <v>3324</v>
      </c>
      <c r="Q940" s="1215" t="s">
        <v>253</v>
      </c>
      <c r="R940" s="1215" t="s">
        <v>255</v>
      </c>
      <c r="S940" s="1215" t="s">
        <v>534</v>
      </c>
      <c r="T940" s="1215" t="s">
        <v>533</v>
      </c>
      <c r="U940" s="6" t="s">
        <v>539</v>
      </c>
      <c r="V940" s="6" t="s">
        <v>34</v>
      </c>
      <c r="W940" s="6" t="s">
        <v>590</v>
      </c>
      <c r="X940" s="6" t="s">
        <v>189</v>
      </c>
    </row>
    <row r="941" spans="1:24" ht="15" customHeight="1" x14ac:dyDescent="0.3">
      <c r="A941" s="6" t="s">
        <v>533</v>
      </c>
      <c r="B941" s="6" t="s">
        <v>534</v>
      </c>
      <c r="C941" s="6" t="s">
        <v>34</v>
      </c>
      <c r="D941" s="1088" t="s">
        <v>539</v>
      </c>
      <c r="E941" s="6" t="s">
        <v>189</v>
      </c>
      <c r="F941" s="6" t="s">
        <v>590</v>
      </c>
      <c r="G941" s="6" t="s">
        <v>1052</v>
      </c>
      <c r="H941" s="6" t="s">
        <v>3258</v>
      </c>
      <c r="J941" s="1215" t="s">
        <v>509</v>
      </c>
      <c r="K941" s="1219" t="s">
        <v>3112</v>
      </c>
      <c r="L941" s="8">
        <v>12</v>
      </c>
      <c r="M941" s="8">
        <v>86</v>
      </c>
      <c r="N941" s="1169" t="s">
        <v>271</v>
      </c>
      <c r="P941" s="6" t="s">
        <v>3324</v>
      </c>
      <c r="Q941" s="1215" t="s">
        <v>253</v>
      </c>
      <c r="R941" s="1215" t="s">
        <v>255</v>
      </c>
      <c r="S941" s="1215" t="s">
        <v>534</v>
      </c>
      <c r="T941" s="1215" t="s">
        <v>533</v>
      </c>
      <c r="U941" s="6" t="s">
        <v>539</v>
      </c>
      <c r="V941" s="6" t="s">
        <v>34</v>
      </c>
      <c r="W941" s="6" t="s">
        <v>590</v>
      </c>
      <c r="X941" s="6" t="s">
        <v>189</v>
      </c>
    </row>
    <row r="942" spans="1:24" ht="15" customHeight="1" x14ac:dyDescent="0.3">
      <c r="A942" s="6" t="s">
        <v>533</v>
      </c>
      <c r="B942" s="6" t="s">
        <v>534</v>
      </c>
      <c r="C942" s="6" t="s">
        <v>34</v>
      </c>
      <c r="D942" s="1088" t="s">
        <v>539</v>
      </c>
      <c r="E942" s="1088" t="s">
        <v>189</v>
      </c>
      <c r="F942" s="6" t="s">
        <v>590</v>
      </c>
      <c r="G942" s="6" t="s">
        <v>1377</v>
      </c>
      <c r="H942" s="6" t="s">
        <v>1378</v>
      </c>
      <c r="J942" s="1215" t="s">
        <v>509</v>
      </c>
      <c r="K942" s="1219" t="s">
        <v>3109</v>
      </c>
      <c r="L942" s="8">
        <v>27</v>
      </c>
      <c r="M942" s="8">
        <v>189</v>
      </c>
      <c r="N942" s="1169" t="s">
        <v>271</v>
      </c>
      <c r="P942" s="6" t="s">
        <v>3324</v>
      </c>
      <c r="Q942" s="1215" t="s">
        <v>253</v>
      </c>
      <c r="R942" s="1215" t="s">
        <v>255</v>
      </c>
      <c r="S942" s="1215" t="s">
        <v>534</v>
      </c>
      <c r="T942" s="1215" t="s">
        <v>533</v>
      </c>
      <c r="U942" s="6" t="s">
        <v>539</v>
      </c>
      <c r="V942" s="6" t="s">
        <v>34</v>
      </c>
      <c r="W942" s="6" t="s">
        <v>590</v>
      </c>
      <c r="X942" s="6" t="s">
        <v>189</v>
      </c>
    </row>
    <row r="943" spans="1:24" ht="15" customHeight="1" x14ac:dyDescent="0.3">
      <c r="A943" s="6" t="s">
        <v>533</v>
      </c>
      <c r="B943" s="6" t="s">
        <v>534</v>
      </c>
      <c r="C943" s="6" t="s">
        <v>34</v>
      </c>
      <c r="D943" s="1088" t="s">
        <v>539</v>
      </c>
      <c r="E943" s="6" t="s">
        <v>189</v>
      </c>
      <c r="F943" s="6" t="s">
        <v>590</v>
      </c>
      <c r="G943" s="6" t="s">
        <v>1377</v>
      </c>
      <c r="H943" s="6" t="s">
        <v>1378</v>
      </c>
      <c r="J943" s="1215" t="s">
        <v>509</v>
      </c>
      <c r="K943" s="1219" t="s">
        <v>3110</v>
      </c>
      <c r="L943" s="8">
        <v>0</v>
      </c>
      <c r="M943" s="8">
        <v>29</v>
      </c>
      <c r="N943" s="1169" t="s">
        <v>271</v>
      </c>
      <c r="P943" s="6" t="s">
        <v>3324</v>
      </c>
      <c r="Q943" s="1215" t="s">
        <v>253</v>
      </c>
      <c r="R943" s="1215" t="s">
        <v>255</v>
      </c>
      <c r="S943" s="1215" t="s">
        <v>534</v>
      </c>
      <c r="T943" s="1215" t="s">
        <v>533</v>
      </c>
      <c r="U943" s="6" t="s">
        <v>539</v>
      </c>
      <c r="V943" s="6" t="s">
        <v>34</v>
      </c>
      <c r="W943" s="6" t="s">
        <v>590</v>
      </c>
      <c r="X943" s="6" t="s">
        <v>189</v>
      </c>
    </row>
    <row r="944" spans="1:24" ht="15" customHeight="1" x14ac:dyDescent="0.3">
      <c r="A944" s="6" t="s">
        <v>533</v>
      </c>
      <c r="B944" s="6" t="s">
        <v>534</v>
      </c>
      <c r="C944" s="6" t="s">
        <v>34</v>
      </c>
      <c r="D944" s="1088" t="s">
        <v>539</v>
      </c>
      <c r="E944" s="6" t="s">
        <v>189</v>
      </c>
      <c r="F944" s="6" t="s">
        <v>590</v>
      </c>
      <c r="G944" s="6" t="s">
        <v>1377</v>
      </c>
      <c r="H944" s="6" t="s">
        <v>1378</v>
      </c>
      <c r="J944" s="1215" t="s">
        <v>509</v>
      </c>
      <c r="K944" s="1219" t="s">
        <v>3111</v>
      </c>
      <c r="L944" s="8">
        <v>0</v>
      </c>
      <c r="M944" s="8">
        <v>24</v>
      </c>
      <c r="N944" s="1169" t="s">
        <v>271</v>
      </c>
      <c r="P944" s="6" t="s">
        <v>3324</v>
      </c>
      <c r="Q944" s="1215" t="s">
        <v>253</v>
      </c>
      <c r="R944" s="1215" t="s">
        <v>255</v>
      </c>
      <c r="S944" s="1215" t="s">
        <v>534</v>
      </c>
      <c r="T944" s="1215" t="s">
        <v>533</v>
      </c>
      <c r="U944" s="6" t="s">
        <v>539</v>
      </c>
      <c r="V944" s="6" t="s">
        <v>34</v>
      </c>
      <c r="W944" s="6" t="s">
        <v>590</v>
      </c>
      <c r="X944" s="6" t="s">
        <v>189</v>
      </c>
    </row>
    <row r="945" spans="1:24" ht="15" customHeight="1" x14ac:dyDescent="0.3">
      <c r="A945" s="6" t="s">
        <v>533</v>
      </c>
      <c r="B945" s="6" t="s">
        <v>534</v>
      </c>
      <c r="C945" s="6" t="s">
        <v>34</v>
      </c>
      <c r="D945" s="1088" t="s">
        <v>539</v>
      </c>
      <c r="E945" s="6" t="s">
        <v>189</v>
      </c>
      <c r="F945" s="6" t="s">
        <v>590</v>
      </c>
      <c r="G945" s="6" t="s">
        <v>1377</v>
      </c>
      <c r="H945" s="6" t="s">
        <v>1378</v>
      </c>
      <c r="J945" s="1215" t="s">
        <v>509</v>
      </c>
      <c r="K945" s="1219" t="s">
        <v>3112</v>
      </c>
      <c r="L945" s="8">
        <v>0</v>
      </c>
      <c r="M945" s="8">
        <v>8</v>
      </c>
      <c r="N945" s="6" t="s">
        <v>271</v>
      </c>
      <c r="P945" s="6" t="s">
        <v>3324</v>
      </c>
      <c r="Q945" s="1215" t="s">
        <v>253</v>
      </c>
      <c r="R945" s="1215" t="s">
        <v>255</v>
      </c>
      <c r="S945" s="1215" t="s">
        <v>534</v>
      </c>
      <c r="T945" s="1215" t="s">
        <v>533</v>
      </c>
      <c r="U945" s="6" t="s">
        <v>539</v>
      </c>
      <c r="V945" s="6" t="s">
        <v>34</v>
      </c>
      <c r="W945" s="6" t="s">
        <v>590</v>
      </c>
      <c r="X945" s="6" t="s">
        <v>189</v>
      </c>
    </row>
    <row r="946" spans="1:24" ht="15" customHeight="1" x14ac:dyDescent="0.3">
      <c r="A946" s="6" t="s">
        <v>533</v>
      </c>
      <c r="B946" s="6" t="s">
        <v>534</v>
      </c>
      <c r="C946" s="6" t="s">
        <v>34</v>
      </c>
      <c r="D946" s="1088" t="s">
        <v>539</v>
      </c>
      <c r="E946" s="1088" t="s">
        <v>189</v>
      </c>
      <c r="F946" s="6" t="s">
        <v>590</v>
      </c>
      <c r="G946" s="6" t="s">
        <v>1371</v>
      </c>
      <c r="H946" s="6" t="s">
        <v>1372</v>
      </c>
      <c r="J946" s="1215" t="s">
        <v>509</v>
      </c>
      <c r="K946" s="1219" t="s">
        <v>3033</v>
      </c>
      <c r="L946" s="8">
        <v>6</v>
      </c>
      <c r="M946" s="8">
        <v>54</v>
      </c>
      <c r="N946" s="1169" t="s">
        <v>271</v>
      </c>
      <c r="P946" s="6" t="s">
        <v>3324</v>
      </c>
      <c r="Q946" s="1215" t="s">
        <v>253</v>
      </c>
      <c r="R946" s="1215" t="s">
        <v>255</v>
      </c>
      <c r="S946" s="1215" t="s">
        <v>534</v>
      </c>
      <c r="T946" s="1215" t="s">
        <v>533</v>
      </c>
      <c r="U946" s="6" t="s">
        <v>539</v>
      </c>
      <c r="V946" s="6" t="s">
        <v>34</v>
      </c>
      <c r="W946" s="6" t="s">
        <v>590</v>
      </c>
      <c r="X946" s="6" t="s">
        <v>189</v>
      </c>
    </row>
    <row r="947" spans="1:24" ht="15" customHeight="1" x14ac:dyDescent="0.3">
      <c r="A947" s="6" t="s">
        <v>533</v>
      </c>
      <c r="B947" s="6" t="s">
        <v>534</v>
      </c>
      <c r="C947" s="6" t="s">
        <v>34</v>
      </c>
      <c r="D947" s="1088" t="s">
        <v>539</v>
      </c>
      <c r="E947" s="6" t="s">
        <v>189</v>
      </c>
      <c r="F947" s="6" t="s">
        <v>590</v>
      </c>
      <c r="G947" s="6" t="s">
        <v>1371</v>
      </c>
      <c r="H947" s="6" t="s">
        <v>1372</v>
      </c>
      <c r="J947" s="1215" t="s">
        <v>509</v>
      </c>
      <c r="K947" s="1219" t="s">
        <v>3109</v>
      </c>
      <c r="L947" s="8">
        <v>4</v>
      </c>
      <c r="M947" s="8">
        <v>20</v>
      </c>
      <c r="N947" s="1169" t="s">
        <v>271</v>
      </c>
      <c r="P947" s="6" t="s">
        <v>3324</v>
      </c>
      <c r="Q947" s="1215" t="s">
        <v>253</v>
      </c>
      <c r="R947" s="1215" t="s">
        <v>255</v>
      </c>
      <c r="S947" s="1215" t="s">
        <v>534</v>
      </c>
      <c r="T947" s="1215" t="s">
        <v>533</v>
      </c>
      <c r="U947" s="6" t="s">
        <v>539</v>
      </c>
      <c r="V947" s="6" t="s">
        <v>34</v>
      </c>
      <c r="W947" s="6" t="s">
        <v>590</v>
      </c>
      <c r="X947" s="6" t="s">
        <v>189</v>
      </c>
    </row>
    <row r="948" spans="1:24" ht="15" customHeight="1" x14ac:dyDescent="0.3">
      <c r="A948" s="6" t="s">
        <v>533</v>
      </c>
      <c r="B948" s="6" t="s">
        <v>534</v>
      </c>
      <c r="C948" s="6" t="s">
        <v>34</v>
      </c>
      <c r="D948" s="6" t="s">
        <v>539</v>
      </c>
      <c r="E948" s="1088" t="s">
        <v>189</v>
      </c>
      <c r="F948" s="6" t="s">
        <v>590</v>
      </c>
      <c r="G948" s="6" t="s">
        <v>1371</v>
      </c>
      <c r="H948" s="6" t="s">
        <v>1372</v>
      </c>
      <c r="J948" s="1215" t="s">
        <v>509</v>
      </c>
      <c r="K948" s="1219" t="s">
        <v>3110</v>
      </c>
      <c r="L948" s="8">
        <v>0</v>
      </c>
      <c r="M948" s="8">
        <v>30</v>
      </c>
      <c r="N948" s="1169" t="s">
        <v>271</v>
      </c>
      <c r="O948" s="1088"/>
      <c r="P948" s="6" t="s">
        <v>3324</v>
      </c>
      <c r="Q948" s="1215" t="s">
        <v>253</v>
      </c>
      <c r="R948" s="1215" t="s">
        <v>255</v>
      </c>
      <c r="S948" s="1215" t="s">
        <v>534</v>
      </c>
      <c r="T948" s="1215" t="s">
        <v>533</v>
      </c>
      <c r="U948" s="6" t="s">
        <v>539</v>
      </c>
      <c r="V948" s="6" t="s">
        <v>34</v>
      </c>
      <c r="W948" s="6" t="s">
        <v>590</v>
      </c>
      <c r="X948" s="6" t="s">
        <v>189</v>
      </c>
    </row>
    <row r="949" spans="1:24" ht="15" customHeight="1" x14ac:dyDescent="0.3">
      <c r="A949" s="6" t="s">
        <v>533</v>
      </c>
      <c r="B949" s="6" t="s">
        <v>534</v>
      </c>
      <c r="C949" s="6" t="s">
        <v>34</v>
      </c>
      <c r="D949" s="6" t="s">
        <v>539</v>
      </c>
      <c r="E949" s="1088" t="s">
        <v>189</v>
      </c>
      <c r="F949" s="6" t="s">
        <v>590</v>
      </c>
      <c r="G949" s="6" t="s">
        <v>1371</v>
      </c>
      <c r="H949" s="6" t="s">
        <v>1372</v>
      </c>
      <c r="J949" s="1215" t="s">
        <v>509</v>
      </c>
      <c r="K949" s="1219" t="s">
        <v>3111</v>
      </c>
      <c r="L949" s="8">
        <v>0</v>
      </c>
      <c r="M949" s="8">
        <v>14</v>
      </c>
      <c r="N949" s="1169" t="s">
        <v>271</v>
      </c>
      <c r="O949" s="1088"/>
      <c r="P949" s="6" t="s">
        <v>3324</v>
      </c>
      <c r="Q949" s="1215" t="s">
        <v>253</v>
      </c>
      <c r="R949" s="1215" t="s">
        <v>255</v>
      </c>
      <c r="S949" s="1215" t="s">
        <v>534</v>
      </c>
      <c r="T949" s="1215" t="s">
        <v>533</v>
      </c>
      <c r="U949" s="6" t="s">
        <v>539</v>
      </c>
      <c r="V949" s="6" t="s">
        <v>34</v>
      </c>
      <c r="W949" s="6" t="s">
        <v>590</v>
      </c>
      <c r="X949" s="6" t="s">
        <v>189</v>
      </c>
    </row>
    <row r="950" spans="1:24" ht="15" customHeight="1" x14ac:dyDescent="0.3">
      <c r="A950" s="6" t="s">
        <v>533</v>
      </c>
      <c r="B950" s="6" t="s">
        <v>534</v>
      </c>
      <c r="C950" s="6" t="s">
        <v>34</v>
      </c>
      <c r="D950" s="6" t="s">
        <v>539</v>
      </c>
      <c r="E950" s="1088" t="s">
        <v>189</v>
      </c>
      <c r="F950" s="6" t="s">
        <v>590</v>
      </c>
      <c r="G950" s="6" t="s">
        <v>1371</v>
      </c>
      <c r="H950" s="6" t="s">
        <v>1372</v>
      </c>
      <c r="J950" s="1215" t="s">
        <v>509</v>
      </c>
      <c r="K950" s="1219" t="s">
        <v>3112</v>
      </c>
      <c r="L950" s="8">
        <v>0</v>
      </c>
      <c r="M950" s="8">
        <v>6</v>
      </c>
      <c r="N950" s="1169" t="s">
        <v>271</v>
      </c>
      <c r="O950" s="1088"/>
      <c r="P950" s="6" t="s">
        <v>3324</v>
      </c>
      <c r="Q950" s="1215" t="s">
        <v>253</v>
      </c>
      <c r="R950" s="1215" t="s">
        <v>255</v>
      </c>
      <c r="S950" s="1215" t="s">
        <v>534</v>
      </c>
      <c r="T950" s="1215" t="s">
        <v>533</v>
      </c>
      <c r="U950" s="6" t="s">
        <v>539</v>
      </c>
      <c r="V950" s="6" t="s">
        <v>34</v>
      </c>
      <c r="W950" s="6" t="s">
        <v>590</v>
      </c>
      <c r="X950" s="6" t="s">
        <v>189</v>
      </c>
    </row>
    <row r="951" spans="1:24" ht="15" customHeight="1" x14ac:dyDescent="0.3">
      <c r="A951" s="6" t="s">
        <v>533</v>
      </c>
      <c r="B951" s="6" t="s">
        <v>534</v>
      </c>
      <c r="C951" s="6" t="s">
        <v>34</v>
      </c>
      <c r="D951" s="1088" t="s">
        <v>539</v>
      </c>
      <c r="E951" s="1169" t="s">
        <v>189</v>
      </c>
      <c r="F951" s="6" t="s">
        <v>590</v>
      </c>
      <c r="G951" s="6" t="s">
        <v>1050</v>
      </c>
      <c r="H951" s="6" t="s">
        <v>1051</v>
      </c>
      <c r="J951" s="1215" t="s">
        <v>509</v>
      </c>
      <c r="K951" s="1219" t="s">
        <v>3033</v>
      </c>
      <c r="L951" s="8">
        <v>10</v>
      </c>
      <c r="M951" s="8">
        <v>96</v>
      </c>
      <c r="N951" s="1169" t="s">
        <v>271</v>
      </c>
      <c r="P951" s="6" t="s">
        <v>3324</v>
      </c>
      <c r="Q951" s="1215" t="s">
        <v>253</v>
      </c>
      <c r="R951" s="1215" t="s">
        <v>255</v>
      </c>
      <c r="S951" s="1215" t="s">
        <v>534</v>
      </c>
      <c r="T951" s="1215" t="s">
        <v>533</v>
      </c>
      <c r="U951" s="6" t="s">
        <v>539</v>
      </c>
      <c r="V951" s="6" t="s">
        <v>34</v>
      </c>
      <c r="W951" s="6" t="s">
        <v>590</v>
      </c>
      <c r="X951" s="6" t="s">
        <v>189</v>
      </c>
    </row>
    <row r="952" spans="1:24" ht="15" customHeight="1" x14ac:dyDescent="0.3">
      <c r="A952" s="6" t="s">
        <v>533</v>
      </c>
      <c r="B952" s="6" t="s">
        <v>534</v>
      </c>
      <c r="C952" s="6" t="s">
        <v>34</v>
      </c>
      <c r="D952" s="6" t="s">
        <v>539</v>
      </c>
      <c r="E952" s="1169" t="s">
        <v>189</v>
      </c>
      <c r="F952" s="6" t="s">
        <v>590</v>
      </c>
      <c r="G952" s="6" t="s">
        <v>1050</v>
      </c>
      <c r="H952" s="6" t="s">
        <v>1051</v>
      </c>
      <c r="J952" s="1215" t="s">
        <v>509</v>
      </c>
      <c r="K952" s="1219" t="s">
        <v>3109</v>
      </c>
      <c r="L952" s="8">
        <v>0</v>
      </c>
      <c r="M952" s="8">
        <v>25</v>
      </c>
      <c r="N952" s="1169" t="s">
        <v>271</v>
      </c>
      <c r="P952" s="6" t="s">
        <v>3324</v>
      </c>
      <c r="Q952" s="1215" t="s">
        <v>253</v>
      </c>
      <c r="R952" s="1215" t="s">
        <v>255</v>
      </c>
      <c r="S952" s="1215" t="s">
        <v>534</v>
      </c>
      <c r="T952" s="1215" t="s">
        <v>533</v>
      </c>
      <c r="U952" s="6" t="s">
        <v>539</v>
      </c>
      <c r="V952" s="6" t="s">
        <v>34</v>
      </c>
      <c r="W952" s="6" t="s">
        <v>590</v>
      </c>
      <c r="X952" s="6" t="s">
        <v>189</v>
      </c>
    </row>
    <row r="953" spans="1:24" ht="15" customHeight="1" x14ac:dyDescent="0.3">
      <c r="A953" s="6" t="s">
        <v>533</v>
      </c>
      <c r="B953" s="6" t="s">
        <v>534</v>
      </c>
      <c r="C953" s="6" t="s">
        <v>34</v>
      </c>
      <c r="D953" s="1088" t="s">
        <v>539</v>
      </c>
      <c r="E953" s="6" t="s">
        <v>189</v>
      </c>
      <c r="F953" s="6" t="s">
        <v>590</v>
      </c>
      <c r="G953" s="6" t="s">
        <v>1050</v>
      </c>
      <c r="H953" s="6" t="s">
        <v>1051</v>
      </c>
      <c r="J953" s="1215" t="s">
        <v>509</v>
      </c>
      <c r="K953" s="1219" t="s">
        <v>3110</v>
      </c>
      <c r="L953" s="8">
        <v>0</v>
      </c>
      <c r="M953" s="8">
        <v>28</v>
      </c>
      <c r="N953" s="1169" t="s">
        <v>271</v>
      </c>
      <c r="P953" s="6" t="s">
        <v>3324</v>
      </c>
      <c r="Q953" s="1215" t="s">
        <v>253</v>
      </c>
      <c r="R953" s="1215" t="s">
        <v>255</v>
      </c>
      <c r="S953" s="1215" t="s">
        <v>534</v>
      </c>
      <c r="T953" s="1215" t="s">
        <v>533</v>
      </c>
      <c r="U953" s="6" t="s">
        <v>539</v>
      </c>
      <c r="V953" s="6" t="s">
        <v>34</v>
      </c>
      <c r="W953" s="6" t="s">
        <v>590</v>
      </c>
      <c r="X953" s="6" t="s">
        <v>189</v>
      </c>
    </row>
    <row r="954" spans="1:24" ht="15" customHeight="1" x14ac:dyDescent="0.3">
      <c r="A954" s="6" t="s">
        <v>533</v>
      </c>
      <c r="B954" s="6" t="s">
        <v>534</v>
      </c>
      <c r="C954" s="6" t="s">
        <v>34</v>
      </c>
      <c r="D954" s="1088" t="s">
        <v>539</v>
      </c>
      <c r="E954" s="6" t="s">
        <v>189</v>
      </c>
      <c r="F954" s="6" t="s">
        <v>590</v>
      </c>
      <c r="G954" s="6" t="s">
        <v>1050</v>
      </c>
      <c r="H954" s="6" t="s">
        <v>1051</v>
      </c>
      <c r="J954" s="1215" t="s">
        <v>509</v>
      </c>
      <c r="K954" s="1219" t="s">
        <v>3111</v>
      </c>
      <c r="L954" s="8">
        <v>0</v>
      </c>
      <c r="M954" s="8">
        <v>41</v>
      </c>
      <c r="N954" s="1169" t="s">
        <v>271</v>
      </c>
      <c r="P954" s="6" t="s">
        <v>3324</v>
      </c>
      <c r="Q954" s="1215" t="s">
        <v>253</v>
      </c>
      <c r="R954" s="1215" t="s">
        <v>255</v>
      </c>
      <c r="S954" s="1215" t="s">
        <v>534</v>
      </c>
      <c r="T954" s="1215" t="s">
        <v>533</v>
      </c>
      <c r="U954" s="6" t="s">
        <v>539</v>
      </c>
      <c r="V954" s="6" t="s">
        <v>34</v>
      </c>
      <c r="W954" s="6" t="s">
        <v>590</v>
      </c>
      <c r="X954" s="6" t="s">
        <v>189</v>
      </c>
    </row>
    <row r="955" spans="1:24" ht="15" customHeight="1" x14ac:dyDescent="0.3">
      <c r="A955" s="6" t="s">
        <v>533</v>
      </c>
      <c r="B955" s="6" t="s">
        <v>534</v>
      </c>
      <c r="C955" s="6" t="s">
        <v>34</v>
      </c>
      <c r="D955" s="6" t="s">
        <v>539</v>
      </c>
      <c r="E955" s="1088" t="s">
        <v>189</v>
      </c>
      <c r="F955" s="6" t="s">
        <v>590</v>
      </c>
      <c r="G955" s="6" t="s">
        <v>1050</v>
      </c>
      <c r="H955" s="6" t="s">
        <v>1051</v>
      </c>
      <c r="J955" s="1215" t="s">
        <v>509</v>
      </c>
      <c r="K955" s="1219" t="s">
        <v>3112</v>
      </c>
      <c r="L955" s="8">
        <v>0</v>
      </c>
      <c r="M955" s="8">
        <v>13</v>
      </c>
      <c r="N955" s="6" t="s">
        <v>271</v>
      </c>
      <c r="P955" s="6" t="s">
        <v>3324</v>
      </c>
      <c r="Q955" s="1215" t="s">
        <v>253</v>
      </c>
      <c r="R955" s="1215" t="s">
        <v>255</v>
      </c>
      <c r="S955" s="1215" t="s">
        <v>534</v>
      </c>
      <c r="T955" s="1215" t="s">
        <v>533</v>
      </c>
      <c r="U955" s="6" t="s">
        <v>539</v>
      </c>
      <c r="V955" s="6" t="s">
        <v>34</v>
      </c>
      <c r="W955" s="6" t="s">
        <v>590</v>
      </c>
      <c r="X955" s="6" t="s">
        <v>189</v>
      </c>
    </row>
    <row r="956" spans="1:24" ht="15" customHeight="1" x14ac:dyDescent="0.3">
      <c r="A956" s="6" t="s">
        <v>533</v>
      </c>
      <c r="B956" s="6" t="s">
        <v>534</v>
      </c>
      <c r="C956" s="6" t="s">
        <v>31</v>
      </c>
      <c r="D956" s="1088" t="s">
        <v>549</v>
      </c>
      <c r="E956" s="1088" t="s">
        <v>169</v>
      </c>
      <c r="F956" s="6" t="s">
        <v>673</v>
      </c>
      <c r="G956" s="6" t="s">
        <v>2981</v>
      </c>
      <c r="H956" s="6" t="s">
        <v>1633</v>
      </c>
      <c r="J956" s="1215" t="s">
        <v>509</v>
      </c>
      <c r="K956" s="1219" t="s">
        <v>3111</v>
      </c>
      <c r="L956" s="8">
        <v>10</v>
      </c>
      <c r="M956" s="8">
        <v>50</v>
      </c>
      <c r="N956" s="1169" t="s">
        <v>274</v>
      </c>
      <c r="P956" s="6" t="s">
        <v>3324</v>
      </c>
      <c r="Q956" s="1215" t="s">
        <v>253</v>
      </c>
      <c r="R956" s="1215" t="s">
        <v>255</v>
      </c>
      <c r="S956" s="1215" t="s">
        <v>534</v>
      </c>
      <c r="T956" s="1215" t="s">
        <v>533</v>
      </c>
      <c r="U956" s="6" t="s">
        <v>549</v>
      </c>
      <c r="V956" s="6" t="s">
        <v>31</v>
      </c>
      <c r="W956" s="6" t="s">
        <v>673</v>
      </c>
      <c r="X956" s="6" t="s">
        <v>169</v>
      </c>
    </row>
    <row r="957" spans="1:24" ht="15" customHeight="1" x14ac:dyDescent="0.3">
      <c r="A957" s="6" t="s">
        <v>533</v>
      </c>
      <c r="B957" s="6" t="s">
        <v>534</v>
      </c>
      <c r="C957" s="6" t="s">
        <v>34</v>
      </c>
      <c r="D957" s="6" t="s">
        <v>539</v>
      </c>
      <c r="E957" s="1088" t="s">
        <v>189</v>
      </c>
      <c r="F957" s="6" t="s">
        <v>590</v>
      </c>
      <c r="G957" s="6" t="s">
        <v>1054</v>
      </c>
      <c r="H957" s="6" t="s">
        <v>1055</v>
      </c>
      <c r="J957" s="1215" t="s">
        <v>509</v>
      </c>
      <c r="K957" s="1219" t="s">
        <v>3033</v>
      </c>
      <c r="L957" s="8">
        <v>24</v>
      </c>
      <c r="M957" s="8">
        <v>183</v>
      </c>
      <c r="N957" s="1169" t="s">
        <v>271</v>
      </c>
      <c r="P957" s="6" t="s">
        <v>3324</v>
      </c>
      <c r="Q957" s="1215" t="s">
        <v>253</v>
      </c>
      <c r="R957" s="1215" t="s">
        <v>255</v>
      </c>
      <c r="S957" s="1215" t="s">
        <v>534</v>
      </c>
      <c r="T957" s="1215" t="s">
        <v>533</v>
      </c>
      <c r="U957" s="6" t="s">
        <v>539</v>
      </c>
      <c r="V957" s="6" t="s">
        <v>34</v>
      </c>
      <c r="W957" s="6" t="s">
        <v>590</v>
      </c>
      <c r="X957" s="6" t="s">
        <v>189</v>
      </c>
    </row>
    <row r="958" spans="1:24" ht="15" customHeight="1" x14ac:dyDescent="0.3">
      <c r="A958" s="6" t="s">
        <v>533</v>
      </c>
      <c r="B958" s="6" t="s">
        <v>534</v>
      </c>
      <c r="C958" s="6" t="s">
        <v>34</v>
      </c>
      <c r="D958" s="1088" t="s">
        <v>539</v>
      </c>
      <c r="E958" s="1088" t="s">
        <v>189</v>
      </c>
      <c r="F958" s="6" t="s">
        <v>590</v>
      </c>
      <c r="G958" s="6" t="s">
        <v>1054</v>
      </c>
      <c r="H958" s="6" t="s">
        <v>1055</v>
      </c>
      <c r="J958" s="1215" t="s">
        <v>509</v>
      </c>
      <c r="K958" s="1219" t="s">
        <v>3109</v>
      </c>
      <c r="L958" s="8">
        <v>4</v>
      </c>
      <c r="M958" s="8">
        <v>36</v>
      </c>
      <c r="N958" s="1169" t="s">
        <v>271</v>
      </c>
      <c r="P958" s="6" t="s">
        <v>3324</v>
      </c>
      <c r="Q958" s="1215" t="s">
        <v>253</v>
      </c>
      <c r="R958" s="1215" t="s">
        <v>255</v>
      </c>
      <c r="S958" s="1215" t="s">
        <v>534</v>
      </c>
      <c r="T958" s="1215" t="s">
        <v>533</v>
      </c>
      <c r="U958" s="6" t="s">
        <v>539</v>
      </c>
      <c r="V958" s="6" t="s">
        <v>34</v>
      </c>
      <c r="W958" s="6" t="s">
        <v>590</v>
      </c>
      <c r="X958" s="6" t="s">
        <v>189</v>
      </c>
    </row>
    <row r="959" spans="1:24" ht="15" customHeight="1" x14ac:dyDescent="0.3">
      <c r="A959" s="6" t="s">
        <v>533</v>
      </c>
      <c r="B959" s="6" t="s">
        <v>534</v>
      </c>
      <c r="C959" s="6" t="s">
        <v>34</v>
      </c>
      <c r="D959" s="6" t="s">
        <v>539</v>
      </c>
      <c r="E959" s="6" t="s">
        <v>189</v>
      </c>
      <c r="F959" s="6" t="s">
        <v>590</v>
      </c>
      <c r="G959" s="6" t="s">
        <v>1054</v>
      </c>
      <c r="H959" s="6" t="s">
        <v>1055</v>
      </c>
      <c r="J959" s="1215" t="s">
        <v>509</v>
      </c>
      <c r="K959" s="1219" t="s">
        <v>3110</v>
      </c>
      <c r="L959" s="8">
        <v>0</v>
      </c>
      <c r="M959" s="8">
        <v>30</v>
      </c>
      <c r="N959" s="1169" t="s">
        <v>271</v>
      </c>
      <c r="P959" s="6" t="s">
        <v>3324</v>
      </c>
      <c r="Q959" s="1215" t="s">
        <v>253</v>
      </c>
      <c r="R959" s="1215" t="s">
        <v>255</v>
      </c>
      <c r="S959" s="1215" t="s">
        <v>534</v>
      </c>
      <c r="T959" s="1215" t="s">
        <v>533</v>
      </c>
      <c r="U959" s="6" t="s">
        <v>539</v>
      </c>
      <c r="V959" s="6" t="s">
        <v>34</v>
      </c>
      <c r="W959" s="6" t="s">
        <v>590</v>
      </c>
      <c r="X959" s="6" t="s">
        <v>189</v>
      </c>
    </row>
    <row r="960" spans="1:24" ht="15" customHeight="1" x14ac:dyDescent="0.3">
      <c r="A960" s="6" t="s">
        <v>533</v>
      </c>
      <c r="B960" s="6" t="s">
        <v>534</v>
      </c>
      <c r="C960" s="6" t="s">
        <v>34</v>
      </c>
      <c r="D960" s="6" t="s">
        <v>539</v>
      </c>
      <c r="E960" s="6" t="s">
        <v>189</v>
      </c>
      <c r="F960" s="6" t="s">
        <v>590</v>
      </c>
      <c r="G960" s="6" t="s">
        <v>1054</v>
      </c>
      <c r="H960" s="6" t="s">
        <v>1055</v>
      </c>
      <c r="J960" s="1215" t="s">
        <v>509</v>
      </c>
      <c r="K960" s="1219" t="s">
        <v>3111</v>
      </c>
      <c r="L960" s="8">
        <v>2</v>
      </c>
      <c r="M960" s="8">
        <v>41</v>
      </c>
      <c r="N960" s="1169" t="s">
        <v>271</v>
      </c>
      <c r="P960" s="6" t="s">
        <v>3324</v>
      </c>
      <c r="Q960" s="1215" t="s">
        <v>253</v>
      </c>
      <c r="R960" s="1215" t="s">
        <v>255</v>
      </c>
      <c r="S960" s="1215" t="s">
        <v>534</v>
      </c>
      <c r="T960" s="1215" t="s">
        <v>533</v>
      </c>
      <c r="U960" s="6" t="s">
        <v>539</v>
      </c>
      <c r="V960" s="6" t="s">
        <v>34</v>
      </c>
      <c r="W960" s="6" t="s">
        <v>590</v>
      </c>
      <c r="X960" s="6" t="s">
        <v>189</v>
      </c>
    </row>
    <row r="961" spans="1:24" ht="15" customHeight="1" x14ac:dyDescent="0.3">
      <c r="A961" s="6" t="s">
        <v>533</v>
      </c>
      <c r="B961" s="6" t="s">
        <v>534</v>
      </c>
      <c r="C961" s="6" t="s">
        <v>34</v>
      </c>
      <c r="D961" s="1088" t="s">
        <v>539</v>
      </c>
      <c r="E961" s="6" t="s">
        <v>189</v>
      </c>
      <c r="F961" s="6" t="s">
        <v>590</v>
      </c>
      <c r="G961" s="6" t="s">
        <v>1054</v>
      </c>
      <c r="H961" s="6" t="s">
        <v>1055</v>
      </c>
      <c r="J961" s="1215" t="s">
        <v>509</v>
      </c>
      <c r="K961" s="1219" t="s">
        <v>3112</v>
      </c>
      <c r="L961" s="8">
        <v>0</v>
      </c>
      <c r="M961" s="8">
        <v>9</v>
      </c>
      <c r="N961" s="1169" t="s">
        <v>271</v>
      </c>
      <c r="P961" s="6" t="s">
        <v>3324</v>
      </c>
      <c r="Q961" s="1215" t="s">
        <v>253</v>
      </c>
      <c r="R961" s="1215" t="s">
        <v>255</v>
      </c>
      <c r="S961" s="1215" t="s">
        <v>534</v>
      </c>
      <c r="T961" s="1215" t="s">
        <v>533</v>
      </c>
      <c r="U961" s="6" t="s">
        <v>539</v>
      </c>
      <c r="V961" s="6" t="s">
        <v>34</v>
      </c>
      <c r="W961" s="6" t="s">
        <v>590</v>
      </c>
      <c r="X961" s="6" t="s">
        <v>189</v>
      </c>
    </row>
    <row r="962" spans="1:24" ht="15" customHeight="1" x14ac:dyDescent="0.3">
      <c r="A962" s="6" t="s">
        <v>533</v>
      </c>
      <c r="B962" s="6" t="s">
        <v>534</v>
      </c>
      <c r="C962" s="6" t="s">
        <v>31</v>
      </c>
      <c r="D962" s="1088" t="s">
        <v>549</v>
      </c>
      <c r="E962" s="6" t="s">
        <v>171</v>
      </c>
      <c r="F962" s="6" t="s">
        <v>634</v>
      </c>
      <c r="G962" s="6" t="s">
        <v>2200</v>
      </c>
      <c r="H962" s="6" t="s">
        <v>1249</v>
      </c>
      <c r="J962" s="1215" t="s">
        <v>509</v>
      </c>
      <c r="K962" s="1219" t="s">
        <v>3033</v>
      </c>
      <c r="L962" s="8">
        <v>315</v>
      </c>
      <c r="M962" s="8">
        <v>3120</v>
      </c>
      <c r="N962" s="1169" t="s">
        <v>271</v>
      </c>
      <c r="P962" s="6" t="s">
        <v>3324</v>
      </c>
      <c r="Q962" s="1215" t="s">
        <v>253</v>
      </c>
      <c r="R962" s="1215" t="s">
        <v>255</v>
      </c>
      <c r="S962" s="1215" t="s">
        <v>534</v>
      </c>
      <c r="T962" s="1215" t="s">
        <v>533</v>
      </c>
      <c r="U962" s="6" t="s">
        <v>549</v>
      </c>
      <c r="V962" s="6" t="s">
        <v>31</v>
      </c>
      <c r="W962" s="6" t="s">
        <v>634</v>
      </c>
      <c r="X962" s="6" t="s">
        <v>171</v>
      </c>
    </row>
    <row r="963" spans="1:24" ht="15" customHeight="1" x14ac:dyDescent="0.3">
      <c r="A963" s="6" t="s">
        <v>533</v>
      </c>
      <c r="B963" s="6" t="s">
        <v>534</v>
      </c>
      <c r="C963" s="6" t="s">
        <v>31</v>
      </c>
      <c r="D963" s="1088" t="s">
        <v>549</v>
      </c>
      <c r="E963" s="1088" t="s">
        <v>171</v>
      </c>
      <c r="F963" s="6" t="s">
        <v>634</v>
      </c>
      <c r="G963" s="6" t="s">
        <v>2200</v>
      </c>
      <c r="H963" s="6" t="s">
        <v>1249</v>
      </c>
      <c r="J963" s="1215" t="s">
        <v>509</v>
      </c>
      <c r="K963" s="1219" t="s">
        <v>3111</v>
      </c>
      <c r="L963" s="8">
        <v>11</v>
      </c>
      <c r="M963" s="8">
        <v>23</v>
      </c>
      <c r="N963" s="1169" t="s">
        <v>271</v>
      </c>
      <c r="P963" s="6" t="s">
        <v>3323</v>
      </c>
      <c r="Q963" s="1215" t="s">
        <v>253</v>
      </c>
      <c r="R963" s="1215" t="s">
        <v>255</v>
      </c>
      <c r="S963" s="1215" t="s">
        <v>534</v>
      </c>
      <c r="T963" s="1215" t="s">
        <v>533</v>
      </c>
      <c r="U963" s="6" t="s">
        <v>549</v>
      </c>
      <c r="V963" s="6" t="s">
        <v>31</v>
      </c>
      <c r="X963" s="6" t="s">
        <v>2797</v>
      </c>
    </row>
    <row r="964" spans="1:24" ht="15" customHeight="1" x14ac:dyDescent="0.3">
      <c r="A964" s="6" t="s">
        <v>533</v>
      </c>
      <c r="B964" s="6" t="s">
        <v>534</v>
      </c>
      <c r="C964" s="6" t="s">
        <v>31</v>
      </c>
      <c r="D964" s="1088" t="s">
        <v>549</v>
      </c>
      <c r="E964" s="6" t="s">
        <v>171</v>
      </c>
      <c r="F964" s="6" t="s">
        <v>634</v>
      </c>
      <c r="G964" s="6" t="s">
        <v>1829</v>
      </c>
      <c r="H964" s="6" t="s">
        <v>1358</v>
      </c>
      <c r="J964" s="1215" t="s">
        <v>509</v>
      </c>
      <c r="K964" s="1219" t="s">
        <v>3033</v>
      </c>
      <c r="L964" s="8">
        <v>176</v>
      </c>
      <c r="M964" s="8">
        <v>843</v>
      </c>
      <c r="N964" s="1169" t="s">
        <v>271</v>
      </c>
      <c r="P964" s="6" t="s">
        <v>3324</v>
      </c>
      <c r="Q964" s="1215" t="s">
        <v>253</v>
      </c>
      <c r="R964" s="1215" t="s">
        <v>255</v>
      </c>
      <c r="S964" s="1215" t="s">
        <v>534</v>
      </c>
      <c r="T964" s="1215" t="s">
        <v>533</v>
      </c>
      <c r="U964" s="6" t="s">
        <v>549</v>
      </c>
      <c r="V964" s="6" t="s">
        <v>31</v>
      </c>
      <c r="W964" s="6" t="s">
        <v>634</v>
      </c>
      <c r="X964" s="6" t="s">
        <v>171</v>
      </c>
    </row>
    <row r="965" spans="1:24" ht="15" customHeight="1" x14ac:dyDescent="0.3">
      <c r="A965" s="6" t="s">
        <v>533</v>
      </c>
      <c r="B965" s="6" t="s">
        <v>534</v>
      </c>
      <c r="C965" s="6" t="s">
        <v>31</v>
      </c>
      <c r="D965" s="1088" t="s">
        <v>549</v>
      </c>
      <c r="E965" s="6" t="s">
        <v>171</v>
      </c>
      <c r="F965" s="6" t="s">
        <v>634</v>
      </c>
      <c r="G965" s="6" t="s">
        <v>1829</v>
      </c>
      <c r="H965" s="6" t="s">
        <v>1358</v>
      </c>
      <c r="J965" s="1215" t="s">
        <v>509</v>
      </c>
      <c r="K965" s="1219" t="s">
        <v>3111</v>
      </c>
      <c r="L965" s="8">
        <v>225</v>
      </c>
      <c r="M965" s="8">
        <v>330</v>
      </c>
      <c r="N965" s="1169" t="s">
        <v>271</v>
      </c>
      <c r="P965" s="6" t="s">
        <v>3323</v>
      </c>
      <c r="Q965" s="1215" t="s">
        <v>253</v>
      </c>
      <c r="R965" s="1215" t="s">
        <v>255</v>
      </c>
      <c r="S965" s="1215" t="s">
        <v>534</v>
      </c>
      <c r="T965" s="1215" t="s">
        <v>533</v>
      </c>
      <c r="U965" s="6" t="s">
        <v>549</v>
      </c>
      <c r="V965" s="6" t="s">
        <v>31</v>
      </c>
      <c r="X965" s="6" t="s">
        <v>2797</v>
      </c>
    </row>
    <row r="966" spans="1:24" ht="15" customHeight="1" x14ac:dyDescent="0.3">
      <c r="A966" s="6" t="s">
        <v>533</v>
      </c>
      <c r="B966" s="6" t="s">
        <v>534</v>
      </c>
      <c r="C966" s="6" t="s">
        <v>34</v>
      </c>
      <c r="D966" s="1088" t="s">
        <v>539</v>
      </c>
      <c r="E966" s="6" t="s">
        <v>188</v>
      </c>
      <c r="F966" s="6" t="s">
        <v>546</v>
      </c>
      <c r="G966" s="6" t="s">
        <v>1070</v>
      </c>
      <c r="H966" s="6" t="s">
        <v>1178</v>
      </c>
      <c r="J966" s="1215" t="s">
        <v>509</v>
      </c>
      <c r="K966" s="1219" t="s">
        <v>3033</v>
      </c>
      <c r="L966" s="8">
        <v>41</v>
      </c>
      <c r="M966" s="8">
        <v>236</v>
      </c>
      <c r="N966" s="1169" t="s">
        <v>271</v>
      </c>
      <c r="P966" s="6" t="s">
        <v>3324</v>
      </c>
      <c r="Q966" s="1215" t="s">
        <v>253</v>
      </c>
      <c r="R966" s="1215" t="s">
        <v>255</v>
      </c>
      <c r="S966" s="1215" t="s">
        <v>534</v>
      </c>
      <c r="T966" s="1215" t="s">
        <v>533</v>
      </c>
      <c r="U966" s="6" t="s">
        <v>539</v>
      </c>
      <c r="V966" s="6" t="s">
        <v>34</v>
      </c>
      <c r="W966" s="6" t="s">
        <v>546</v>
      </c>
      <c r="X966" s="6" t="s">
        <v>188</v>
      </c>
    </row>
    <row r="967" spans="1:24" ht="15" customHeight="1" x14ac:dyDescent="0.3">
      <c r="A967" s="6" t="s">
        <v>533</v>
      </c>
      <c r="B967" s="6" t="s">
        <v>534</v>
      </c>
      <c r="C967" s="6" t="s">
        <v>34</v>
      </c>
      <c r="D967" s="1088" t="s">
        <v>539</v>
      </c>
      <c r="E967" s="6" t="s">
        <v>188</v>
      </c>
      <c r="F967" s="6" t="s">
        <v>546</v>
      </c>
      <c r="G967" s="6" t="s">
        <v>1070</v>
      </c>
      <c r="H967" s="6" t="s">
        <v>1178</v>
      </c>
      <c r="J967" s="1215" t="s">
        <v>509</v>
      </c>
      <c r="K967" s="1219" t="s">
        <v>3109</v>
      </c>
      <c r="L967" s="8">
        <v>38</v>
      </c>
      <c r="M967" s="8">
        <v>178</v>
      </c>
      <c r="N967" s="1169" t="s">
        <v>271</v>
      </c>
      <c r="P967" s="6" t="s">
        <v>3324</v>
      </c>
      <c r="Q967" s="1215" t="s">
        <v>253</v>
      </c>
      <c r="R967" s="1215" t="s">
        <v>255</v>
      </c>
      <c r="S967" s="1215" t="s">
        <v>534</v>
      </c>
      <c r="T967" s="1215" t="s">
        <v>533</v>
      </c>
      <c r="U967" s="6" t="s">
        <v>539</v>
      </c>
      <c r="V967" s="6" t="s">
        <v>34</v>
      </c>
      <c r="W967" s="6" t="s">
        <v>546</v>
      </c>
      <c r="X967" s="6" t="s">
        <v>188</v>
      </c>
    </row>
    <row r="968" spans="1:24" ht="15" customHeight="1" x14ac:dyDescent="0.3">
      <c r="A968" s="6" t="s">
        <v>533</v>
      </c>
      <c r="B968" s="6" t="s">
        <v>534</v>
      </c>
      <c r="C968" s="6" t="s">
        <v>34</v>
      </c>
      <c r="D968" s="1088" t="s">
        <v>539</v>
      </c>
      <c r="E968" s="6" t="s">
        <v>188</v>
      </c>
      <c r="F968" s="6" t="s">
        <v>546</v>
      </c>
      <c r="G968" s="6" t="s">
        <v>1070</v>
      </c>
      <c r="H968" s="6" t="s">
        <v>1178</v>
      </c>
      <c r="J968" s="1215" t="s">
        <v>509</v>
      </c>
      <c r="K968" s="1219" t="s">
        <v>3110</v>
      </c>
      <c r="L968" s="8">
        <v>2</v>
      </c>
      <c r="M968" s="8">
        <v>19</v>
      </c>
      <c r="N968" s="1169" t="s">
        <v>271</v>
      </c>
      <c r="P968" s="6" t="s">
        <v>3324</v>
      </c>
      <c r="Q968" s="1215" t="s">
        <v>253</v>
      </c>
      <c r="R968" s="1215" t="s">
        <v>255</v>
      </c>
      <c r="S968" s="1215" t="s">
        <v>534</v>
      </c>
      <c r="T968" s="1215" t="s">
        <v>533</v>
      </c>
      <c r="U968" s="6" t="s">
        <v>539</v>
      </c>
      <c r="V968" s="6" t="s">
        <v>34</v>
      </c>
      <c r="W968" s="6" t="s">
        <v>546</v>
      </c>
      <c r="X968" s="6" t="s">
        <v>188</v>
      </c>
    </row>
    <row r="969" spans="1:24" ht="15" customHeight="1" x14ac:dyDescent="0.3">
      <c r="A969" s="6" t="s">
        <v>533</v>
      </c>
      <c r="B969" s="6" t="s">
        <v>534</v>
      </c>
      <c r="C969" s="6" t="s">
        <v>34</v>
      </c>
      <c r="D969" s="1088" t="s">
        <v>539</v>
      </c>
      <c r="E969" s="6" t="s">
        <v>188</v>
      </c>
      <c r="F969" s="6" t="s">
        <v>546</v>
      </c>
      <c r="G969" s="6" t="s">
        <v>1070</v>
      </c>
      <c r="H969" s="6" t="s">
        <v>1178</v>
      </c>
      <c r="J969" s="1215" t="s">
        <v>509</v>
      </c>
      <c r="K969" s="1219" t="s">
        <v>3111</v>
      </c>
      <c r="L969" s="8">
        <v>2</v>
      </c>
      <c r="M969" s="8">
        <v>33</v>
      </c>
      <c r="N969" s="1169" t="s">
        <v>271</v>
      </c>
      <c r="P969" s="6" t="s">
        <v>3324</v>
      </c>
      <c r="Q969" s="1215" t="s">
        <v>253</v>
      </c>
      <c r="R969" s="1215" t="s">
        <v>255</v>
      </c>
      <c r="S969" s="1215" t="s">
        <v>534</v>
      </c>
      <c r="T969" s="1215" t="s">
        <v>533</v>
      </c>
      <c r="U969" s="6" t="s">
        <v>539</v>
      </c>
      <c r="V969" s="6" t="s">
        <v>34</v>
      </c>
      <c r="W969" s="6" t="s">
        <v>546</v>
      </c>
      <c r="X969" s="6" t="s">
        <v>188</v>
      </c>
    </row>
    <row r="970" spans="1:24" ht="15" customHeight="1" x14ac:dyDescent="0.3">
      <c r="A970" s="6" t="s">
        <v>533</v>
      </c>
      <c r="B970" s="6" t="s">
        <v>534</v>
      </c>
      <c r="C970" s="6" t="s">
        <v>34</v>
      </c>
      <c r="D970" s="1088" t="s">
        <v>539</v>
      </c>
      <c r="E970" s="6" t="s">
        <v>188</v>
      </c>
      <c r="F970" s="6" t="s">
        <v>546</v>
      </c>
      <c r="G970" s="6" t="s">
        <v>1070</v>
      </c>
      <c r="H970" s="6" t="s">
        <v>1178</v>
      </c>
      <c r="J970" s="1215" t="s">
        <v>509</v>
      </c>
      <c r="K970" s="1219" t="s">
        <v>3112</v>
      </c>
      <c r="L970" s="8">
        <v>0</v>
      </c>
      <c r="M970" s="8">
        <v>10</v>
      </c>
      <c r="N970" s="1169" t="s">
        <v>271</v>
      </c>
      <c r="P970" s="6" t="s">
        <v>3324</v>
      </c>
      <c r="Q970" s="1215" t="s">
        <v>253</v>
      </c>
      <c r="R970" s="1215" t="s">
        <v>255</v>
      </c>
      <c r="S970" s="1215" t="s">
        <v>534</v>
      </c>
      <c r="T970" s="1215" t="s">
        <v>533</v>
      </c>
      <c r="U970" s="6" t="s">
        <v>539</v>
      </c>
      <c r="V970" s="6" t="s">
        <v>34</v>
      </c>
      <c r="W970" s="6" t="s">
        <v>546</v>
      </c>
      <c r="X970" s="6" t="s">
        <v>188</v>
      </c>
    </row>
    <row r="971" spans="1:24" ht="15" customHeight="1" x14ac:dyDescent="0.3">
      <c r="A971" s="6" t="s">
        <v>533</v>
      </c>
      <c r="B971" s="6" t="s">
        <v>534</v>
      </c>
      <c r="C971" s="6" t="s">
        <v>34</v>
      </c>
      <c r="D971" s="1088" t="s">
        <v>539</v>
      </c>
      <c r="E971" s="6" t="s">
        <v>188</v>
      </c>
      <c r="F971" s="6" t="s">
        <v>546</v>
      </c>
      <c r="G971" s="6" t="s">
        <v>2660</v>
      </c>
      <c r="H971" s="6" t="s">
        <v>1431</v>
      </c>
      <c r="J971" s="1215" t="s">
        <v>509</v>
      </c>
      <c r="K971" s="1219" t="s">
        <v>3033</v>
      </c>
      <c r="L971" s="8">
        <v>57</v>
      </c>
      <c r="M971" s="8">
        <v>380</v>
      </c>
      <c r="N971" s="1169" t="s">
        <v>271</v>
      </c>
      <c r="P971" s="6" t="s">
        <v>3324</v>
      </c>
      <c r="Q971" s="1215" t="s">
        <v>253</v>
      </c>
      <c r="R971" s="1215" t="s">
        <v>255</v>
      </c>
      <c r="S971" s="1215" t="s">
        <v>534</v>
      </c>
      <c r="T971" s="1215" t="s">
        <v>533</v>
      </c>
      <c r="U971" s="6" t="s">
        <v>539</v>
      </c>
      <c r="V971" s="6" t="s">
        <v>34</v>
      </c>
      <c r="W971" s="6" t="s">
        <v>546</v>
      </c>
      <c r="X971" s="6" t="s">
        <v>188</v>
      </c>
    </row>
    <row r="972" spans="1:24" ht="15" customHeight="1" x14ac:dyDescent="0.3">
      <c r="A972" s="6" t="s">
        <v>533</v>
      </c>
      <c r="B972" s="6" t="s">
        <v>534</v>
      </c>
      <c r="C972" s="6" t="s">
        <v>34</v>
      </c>
      <c r="D972" s="1088" t="s">
        <v>539</v>
      </c>
      <c r="E972" s="6" t="s">
        <v>188</v>
      </c>
      <c r="F972" s="6" t="s">
        <v>546</v>
      </c>
      <c r="G972" s="6" t="s">
        <v>2660</v>
      </c>
      <c r="H972" s="6" t="s">
        <v>1431</v>
      </c>
      <c r="J972" s="1215" t="s">
        <v>509</v>
      </c>
      <c r="K972" s="1219" t="s">
        <v>3109</v>
      </c>
      <c r="L972" s="8">
        <v>0</v>
      </c>
      <c r="M972" s="8">
        <v>4</v>
      </c>
      <c r="N972" s="1169" t="s">
        <v>271</v>
      </c>
      <c r="P972" s="6" t="s">
        <v>3324</v>
      </c>
      <c r="Q972" s="1215" t="s">
        <v>253</v>
      </c>
      <c r="R972" s="1215" t="s">
        <v>255</v>
      </c>
      <c r="S972" s="1215" t="s">
        <v>534</v>
      </c>
      <c r="T972" s="1215" t="s">
        <v>533</v>
      </c>
      <c r="U972" s="6" t="s">
        <v>539</v>
      </c>
      <c r="V972" s="6" t="s">
        <v>34</v>
      </c>
      <c r="W972" s="6" t="s">
        <v>546</v>
      </c>
      <c r="X972" s="6" t="s">
        <v>188</v>
      </c>
    </row>
    <row r="973" spans="1:24" ht="15" customHeight="1" x14ac:dyDescent="0.3">
      <c r="A973" s="6" t="s">
        <v>533</v>
      </c>
      <c r="B973" s="6" t="s">
        <v>534</v>
      </c>
      <c r="C973" s="6" t="s">
        <v>34</v>
      </c>
      <c r="D973" s="6" t="s">
        <v>539</v>
      </c>
      <c r="E973" s="1088" t="s">
        <v>188</v>
      </c>
      <c r="F973" s="6" t="s">
        <v>546</v>
      </c>
      <c r="G973" s="6" t="s">
        <v>2660</v>
      </c>
      <c r="H973" s="6" t="s">
        <v>1431</v>
      </c>
      <c r="J973" s="1215" t="s">
        <v>509</v>
      </c>
      <c r="K973" s="1219" t="s">
        <v>3110</v>
      </c>
      <c r="L973" s="8">
        <v>0</v>
      </c>
      <c r="M973" s="8">
        <v>13</v>
      </c>
      <c r="N973" s="1169" t="s">
        <v>271</v>
      </c>
      <c r="O973" s="1088"/>
      <c r="P973" s="6" t="s">
        <v>3324</v>
      </c>
      <c r="Q973" s="1215" t="s">
        <v>253</v>
      </c>
      <c r="R973" s="1215" t="s">
        <v>255</v>
      </c>
      <c r="S973" s="1215" t="s">
        <v>534</v>
      </c>
      <c r="T973" s="1215" t="s">
        <v>533</v>
      </c>
      <c r="U973" s="6" t="s">
        <v>539</v>
      </c>
      <c r="V973" s="6" t="s">
        <v>34</v>
      </c>
      <c r="W973" s="6" t="s">
        <v>546</v>
      </c>
      <c r="X973" s="6" t="s">
        <v>188</v>
      </c>
    </row>
    <row r="974" spans="1:24" ht="15" customHeight="1" x14ac:dyDescent="0.3">
      <c r="A974" s="6" t="s">
        <v>533</v>
      </c>
      <c r="B974" s="6" t="s">
        <v>534</v>
      </c>
      <c r="C974" s="6" t="s">
        <v>34</v>
      </c>
      <c r="D974" s="1088" t="s">
        <v>539</v>
      </c>
      <c r="E974" s="1088" t="s">
        <v>188</v>
      </c>
      <c r="F974" s="6" t="s">
        <v>546</v>
      </c>
      <c r="G974" s="6" t="s">
        <v>2660</v>
      </c>
      <c r="H974" s="6" t="s">
        <v>1431</v>
      </c>
      <c r="J974" s="1215" t="s">
        <v>509</v>
      </c>
      <c r="K974" s="1219" t="s">
        <v>3111</v>
      </c>
      <c r="L974" s="8">
        <v>4</v>
      </c>
      <c r="M974" s="8">
        <v>44</v>
      </c>
      <c r="N974" s="1169" t="s">
        <v>271</v>
      </c>
      <c r="P974" s="6" t="s">
        <v>3324</v>
      </c>
      <c r="Q974" s="1215" t="s">
        <v>253</v>
      </c>
      <c r="R974" s="1215" t="s">
        <v>255</v>
      </c>
      <c r="S974" s="1215" t="s">
        <v>534</v>
      </c>
      <c r="T974" s="1215" t="s">
        <v>533</v>
      </c>
      <c r="U974" s="6" t="s">
        <v>539</v>
      </c>
      <c r="V974" s="6" t="s">
        <v>34</v>
      </c>
      <c r="W974" s="6" t="s">
        <v>546</v>
      </c>
      <c r="X974" s="6" t="s">
        <v>188</v>
      </c>
    </row>
    <row r="975" spans="1:24" ht="15" customHeight="1" x14ac:dyDescent="0.3">
      <c r="A975" s="6" t="s">
        <v>533</v>
      </c>
      <c r="B975" s="6" t="s">
        <v>534</v>
      </c>
      <c r="C975" s="6" t="s">
        <v>34</v>
      </c>
      <c r="D975" s="1088" t="s">
        <v>539</v>
      </c>
      <c r="E975" s="1088" t="s">
        <v>188</v>
      </c>
      <c r="F975" s="6" t="s">
        <v>546</v>
      </c>
      <c r="G975" s="6" t="s">
        <v>2660</v>
      </c>
      <c r="H975" s="6" t="s">
        <v>1431</v>
      </c>
      <c r="J975" s="1215" t="s">
        <v>509</v>
      </c>
      <c r="K975" s="1219" t="s">
        <v>3112</v>
      </c>
      <c r="L975" s="8">
        <v>0</v>
      </c>
      <c r="M975" s="8">
        <v>12</v>
      </c>
      <c r="N975" s="1169" t="s">
        <v>271</v>
      </c>
      <c r="P975" s="6" t="s">
        <v>3324</v>
      </c>
      <c r="Q975" s="1215" t="s">
        <v>253</v>
      </c>
      <c r="R975" s="1215" t="s">
        <v>255</v>
      </c>
      <c r="S975" s="1215" t="s">
        <v>534</v>
      </c>
      <c r="T975" s="1215" t="s">
        <v>533</v>
      </c>
      <c r="U975" s="6" t="s">
        <v>539</v>
      </c>
      <c r="V975" s="6" t="s">
        <v>34</v>
      </c>
      <c r="W975" s="6" t="s">
        <v>546</v>
      </c>
      <c r="X975" s="6" t="s">
        <v>188</v>
      </c>
    </row>
    <row r="976" spans="1:24" ht="15" customHeight="1" x14ac:dyDescent="0.3">
      <c r="A976" s="6" t="s">
        <v>533</v>
      </c>
      <c r="B976" s="6" t="s">
        <v>534</v>
      </c>
      <c r="C976" s="6" t="s">
        <v>34</v>
      </c>
      <c r="D976" s="1088" t="s">
        <v>539</v>
      </c>
      <c r="E976" s="6" t="s">
        <v>188</v>
      </c>
      <c r="F976" s="6" t="s">
        <v>546</v>
      </c>
      <c r="G976" s="6" t="s">
        <v>1421</v>
      </c>
      <c r="H976" s="6" t="s">
        <v>1632</v>
      </c>
      <c r="J976" s="1215" t="s">
        <v>509</v>
      </c>
      <c r="K976" s="1219" t="s">
        <v>3109</v>
      </c>
      <c r="L976" s="8">
        <v>20</v>
      </c>
      <c r="M976" s="8">
        <v>94</v>
      </c>
      <c r="N976" s="1169" t="s">
        <v>271</v>
      </c>
      <c r="P976" s="6" t="s">
        <v>3324</v>
      </c>
      <c r="Q976" s="1215" t="s">
        <v>253</v>
      </c>
      <c r="R976" s="1215" t="s">
        <v>255</v>
      </c>
      <c r="S976" s="1215" t="s">
        <v>534</v>
      </c>
      <c r="T976" s="1215" t="s">
        <v>533</v>
      </c>
      <c r="U976" s="6" t="s">
        <v>539</v>
      </c>
      <c r="V976" s="6" t="s">
        <v>34</v>
      </c>
      <c r="W976" s="6" t="s">
        <v>546</v>
      </c>
      <c r="X976" s="6" t="s">
        <v>188</v>
      </c>
    </row>
    <row r="977" spans="1:24" ht="15" customHeight="1" x14ac:dyDescent="0.3">
      <c r="A977" s="6" t="s">
        <v>533</v>
      </c>
      <c r="B977" s="6" t="s">
        <v>534</v>
      </c>
      <c r="C977" s="6" t="s">
        <v>34</v>
      </c>
      <c r="D977" s="1088" t="s">
        <v>539</v>
      </c>
      <c r="E977" s="6" t="s">
        <v>188</v>
      </c>
      <c r="F977" s="6" t="s">
        <v>546</v>
      </c>
      <c r="G977" s="6" t="s">
        <v>1421</v>
      </c>
      <c r="H977" s="6" t="s">
        <v>1632</v>
      </c>
      <c r="J977" s="1215" t="s">
        <v>509</v>
      </c>
      <c r="K977" s="1219" t="s">
        <v>3110</v>
      </c>
      <c r="L977" s="8">
        <v>3</v>
      </c>
      <c r="M977" s="8">
        <v>42</v>
      </c>
      <c r="N977" s="1169" t="s">
        <v>271</v>
      </c>
      <c r="P977" s="6" t="s">
        <v>3324</v>
      </c>
      <c r="Q977" s="1215" t="s">
        <v>253</v>
      </c>
      <c r="R977" s="1215" t="s">
        <v>255</v>
      </c>
      <c r="S977" s="1215" t="s">
        <v>534</v>
      </c>
      <c r="T977" s="1215" t="s">
        <v>533</v>
      </c>
      <c r="U977" s="6" t="s">
        <v>539</v>
      </c>
      <c r="V977" s="6" t="s">
        <v>34</v>
      </c>
      <c r="W977" s="6" t="s">
        <v>546</v>
      </c>
      <c r="X977" s="6" t="s">
        <v>188</v>
      </c>
    </row>
    <row r="978" spans="1:24" ht="15" customHeight="1" x14ac:dyDescent="0.3">
      <c r="A978" s="6" t="s">
        <v>533</v>
      </c>
      <c r="B978" s="6" t="s">
        <v>534</v>
      </c>
      <c r="C978" s="6" t="s">
        <v>34</v>
      </c>
      <c r="D978" s="1088" t="s">
        <v>539</v>
      </c>
      <c r="E978" s="6" t="s">
        <v>188</v>
      </c>
      <c r="F978" s="6" t="s">
        <v>546</v>
      </c>
      <c r="G978" s="6" t="s">
        <v>1421</v>
      </c>
      <c r="H978" s="6" t="s">
        <v>1632</v>
      </c>
      <c r="J978" s="1215" t="s">
        <v>509</v>
      </c>
      <c r="K978" s="1219" t="s">
        <v>3111</v>
      </c>
      <c r="L978" s="8">
        <v>0</v>
      </c>
      <c r="M978" s="8">
        <v>15</v>
      </c>
      <c r="N978" s="1169" t="s">
        <v>271</v>
      </c>
      <c r="P978" s="6" t="s">
        <v>3324</v>
      </c>
      <c r="Q978" s="1215" t="s">
        <v>253</v>
      </c>
      <c r="R978" s="1215" t="s">
        <v>255</v>
      </c>
      <c r="S978" s="1215" t="s">
        <v>534</v>
      </c>
      <c r="T978" s="1215" t="s">
        <v>533</v>
      </c>
      <c r="U978" s="6" t="s">
        <v>539</v>
      </c>
      <c r="V978" s="6" t="s">
        <v>34</v>
      </c>
      <c r="W978" s="6" t="s">
        <v>546</v>
      </c>
      <c r="X978" s="6" t="s">
        <v>188</v>
      </c>
    </row>
    <row r="979" spans="1:24" ht="15" customHeight="1" x14ac:dyDescent="0.3">
      <c r="A979" s="6" t="s">
        <v>533</v>
      </c>
      <c r="B979" s="6" t="s">
        <v>534</v>
      </c>
      <c r="C979" s="6" t="s">
        <v>34</v>
      </c>
      <c r="D979" s="1088" t="s">
        <v>539</v>
      </c>
      <c r="E979" s="6" t="s">
        <v>188</v>
      </c>
      <c r="F979" s="6" t="s">
        <v>546</v>
      </c>
      <c r="G979" s="6" t="s">
        <v>1421</v>
      </c>
      <c r="H979" s="6" t="s">
        <v>1632</v>
      </c>
      <c r="J979" s="1215" t="s">
        <v>509</v>
      </c>
      <c r="K979" s="1219" t="s">
        <v>3112</v>
      </c>
      <c r="L979" s="8">
        <v>0</v>
      </c>
      <c r="M979" s="8">
        <v>9</v>
      </c>
      <c r="N979" s="1169" t="s">
        <v>271</v>
      </c>
      <c r="P979" s="6" t="s">
        <v>3324</v>
      </c>
      <c r="Q979" s="1215" t="s">
        <v>253</v>
      </c>
      <c r="R979" s="1215" t="s">
        <v>255</v>
      </c>
      <c r="S979" s="1215" t="s">
        <v>534</v>
      </c>
      <c r="T979" s="1215" t="s">
        <v>533</v>
      </c>
      <c r="U979" s="6" t="s">
        <v>539</v>
      </c>
      <c r="V979" s="6" t="s">
        <v>34</v>
      </c>
      <c r="W979" s="6" t="s">
        <v>546</v>
      </c>
      <c r="X979" s="6" t="s">
        <v>188</v>
      </c>
    </row>
    <row r="980" spans="1:24" ht="15" customHeight="1" x14ac:dyDescent="0.3">
      <c r="A980" s="6" t="s">
        <v>533</v>
      </c>
      <c r="B980" s="6" t="s">
        <v>534</v>
      </c>
      <c r="C980" s="6" t="s">
        <v>34</v>
      </c>
      <c r="D980" s="1088" t="s">
        <v>539</v>
      </c>
      <c r="E980" s="6" t="s">
        <v>188</v>
      </c>
      <c r="F980" s="6" t="s">
        <v>546</v>
      </c>
      <c r="G980" s="6" t="s">
        <v>763</v>
      </c>
      <c r="H980" s="6" t="s">
        <v>1382</v>
      </c>
      <c r="J980" s="1215" t="s">
        <v>509</v>
      </c>
      <c r="K980" s="1219" t="s">
        <v>3033</v>
      </c>
      <c r="L980" s="8">
        <v>59</v>
      </c>
      <c r="M980" s="8">
        <v>222</v>
      </c>
      <c r="N980" s="1169" t="s">
        <v>271</v>
      </c>
      <c r="P980" s="6" t="s">
        <v>3324</v>
      </c>
      <c r="Q980" s="1215" t="s">
        <v>253</v>
      </c>
      <c r="R980" s="1215" t="s">
        <v>255</v>
      </c>
      <c r="S980" s="1215" t="s">
        <v>534</v>
      </c>
      <c r="T980" s="1215" t="s">
        <v>533</v>
      </c>
      <c r="U980" s="6" t="s">
        <v>539</v>
      </c>
      <c r="V980" s="6" t="s">
        <v>34</v>
      </c>
      <c r="W980" s="6" t="s">
        <v>546</v>
      </c>
      <c r="X980" s="6" t="s">
        <v>188</v>
      </c>
    </row>
    <row r="981" spans="1:24" ht="15" customHeight="1" x14ac:dyDescent="0.3">
      <c r="A981" s="6" t="s">
        <v>533</v>
      </c>
      <c r="B981" s="6" t="s">
        <v>534</v>
      </c>
      <c r="C981" s="6" t="s">
        <v>34</v>
      </c>
      <c r="D981" s="1088" t="s">
        <v>539</v>
      </c>
      <c r="E981" s="6" t="s">
        <v>188</v>
      </c>
      <c r="F981" s="6" t="s">
        <v>546</v>
      </c>
      <c r="G981" s="6" t="s">
        <v>763</v>
      </c>
      <c r="H981" s="6" t="s">
        <v>1382</v>
      </c>
      <c r="J981" s="1215" t="s">
        <v>509</v>
      </c>
      <c r="K981" s="1219" t="s">
        <v>3109</v>
      </c>
      <c r="L981" s="8">
        <v>0</v>
      </c>
      <c r="M981" s="8">
        <v>9</v>
      </c>
      <c r="N981" s="1169" t="s">
        <v>271</v>
      </c>
      <c r="P981" s="6" t="s">
        <v>3324</v>
      </c>
      <c r="Q981" s="1215" t="s">
        <v>253</v>
      </c>
      <c r="R981" s="1215" t="s">
        <v>255</v>
      </c>
      <c r="S981" s="1215" t="s">
        <v>534</v>
      </c>
      <c r="T981" s="1215" t="s">
        <v>533</v>
      </c>
      <c r="U981" s="6" t="s">
        <v>539</v>
      </c>
      <c r="V981" s="6" t="s">
        <v>34</v>
      </c>
      <c r="W981" s="6" t="s">
        <v>546</v>
      </c>
      <c r="X981" s="6" t="s">
        <v>188</v>
      </c>
    </row>
    <row r="982" spans="1:24" ht="15" customHeight="1" x14ac:dyDescent="0.3">
      <c r="A982" s="6" t="s">
        <v>533</v>
      </c>
      <c r="B982" s="6" t="s">
        <v>534</v>
      </c>
      <c r="C982" s="6" t="s">
        <v>34</v>
      </c>
      <c r="D982" s="1088" t="s">
        <v>539</v>
      </c>
      <c r="E982" s="1088" t="s">
        <v>188</v>
      </c>
      <c r="F982" s="6" t="s">
        <v>546</v>
      </c>
      <c r="G982" s="6" t="s">
        <v>763</v>
      </c>
      <c r="H982" s="6" t="s">
        <v>1382</v>
      </c>
      <c r="J982" s="1215" t="s">
        <v>509</v>
      </c>
      <c r="K982" s="1219" t="s">
        <v>3110</v>
      </c>
      <c r="L982" s="8">
        <v>0</v>
      </c>
      <c r="M982" s="8">
        <v>8</v>
      </c>
      <c r="N982" s="1169" t="s">
        <v>271</v>
      </c>
      <c r="P982" s="6" t="s">
        <v>3324</v>
      </c>
      <c r="Q982" s="1215" t="s">
        <v>253</v>
      </c>
      <c r="R982" s="1215" t="s">
        <v>255</v>
      </c>
      <c r="S982" s="1215" t="s">
        <v>534</v>
      </c>
      <c r="T982" s="1215" t="s">
        <v>533</v>
      </c>
      <c r="U982" s="6" t="s">
        <v>539</v>
      </c>
      <c r="V982" s="6" t="s">
        <v>34</v>
      </c>
      <c r="W982" s="6" t="s">
        <v>546</v>
      </c>
      <c r="X982" s="6" t="s">
        <v>188</v>
      </c>
    </row>
    <row r="983" spans="1:24" ht="15" customHeight="1" x14ac:dyDescent="0.3">
      <c r="A983" s="6" t="s">
        <v>533</v>
      </c>
      <c r="B983" s="6" t="s">
        <v>534</v>
      </c>
      <c r="C983" s="6" t="s">
        <v>34</v>
      </c>
      <c r="D983" s="1088" t="s">
        <v>539</v>
      </c>
      <c r="E983" s="6" t="s">
        <v>188</v>
      </c>
      <c r="F983" s="6" t="s">
        <v>546</v>
      </c>
      <c r="G983" s="6" t="s">
        <v>763</v>
      </c>
      <c r="H983" s="6" t="s">
        <v>1382</v>
      </c>
      <c r="J983" s="1215" t="s">
        <v>509</v>
      </c>
      <c r="K983" s="1219" t="s">
        <v>3111</v>
      </c>
      <c r="L983" s="8">
        <v>0</v>
      </c>
      <c r="M983" s="8">
        <v>32</v>
      </c>
      <c r="N983" s="1169" t="s">
        <v>271</v>
      </c>
      <c r="P983" s="6" t="s">
        <v>3324</v>
      </c>
      <c r="Q983" s="1215" t="s">
        <v>253</v>
      </c>
      <c r="R983" s="1215" t="s">
        <v>255</v>
      </c>
      <c r="S983" s="1215" t="s">
        <v>534</v>
      </c>
      <c r="T983" s="1215" t="s">
        <v>533</v>
      </c>
      <c r="U983" s="6" t="s">
        <v>539</v>
      </c>
      <c r="V983" s="6" t="s">
        <v>34</v>
      </c>
      <c r="W983" s="6" t="s">
        <v>546</v>
      </c>
      <c r="X983" s="6" t="s">
        <v>188</v>
      </c>
    </row>
    <row r="984" spans="1:24" ht="15" customHeight="1" x14ac:dyDescent="0.3">
      <c r="A984" s="6" t="s">
        <v>533</v>
      </c>
      <c r="B984" s="6" t="s">
        <v>534</v>
      </c>
      <c r="C984" s="6" t="s">
        <v>34</v>
      </c>
      <c r="D984" s="1088" t="s">
        <v>539</v>
      </c>
      <c r="E984" s="6" t="s">
        <v>188</v>
      </c>
      <c r="F984" s="6" t="s">
        <v>546</v>
      </c>
      <c r="G984" s="6" t="s">
        <v>763</v>
      </c>
      <c r="H984" s="6" t="s">
        <v>1382</v>
      </c>
      <c r="J984" s="1215" t="s">
        <v>509</v>
      </c>
      <c r="K984" s="1219" t="s">
        <v>3112</v>
      </c>
      <c r="L984" s="8">
        <v>0</v>
      </c>
      <c r="M984" s="8">
        <v>22</v>
      </c>
      <c r="N984" s="1169" t="s">
        <v>271</v>
      </c>
      <c r="P984" s="6" t="s">
        <v>3324</v>
      </c>
      <c r="Q984" s="1215" t="s">
        <v>253</v>
      </c>
      <c r="R984" s="1215" t="s">
        <v>255</v>
      </c>
      <c r="S984" s="1215" t="s">
        <v>534</v>
      </c>
      <c r="T984" s="1215" t="s">
        <v>533</v>
      </c>
      <c r="U984" s="6" t="s">
        <v>539</v>
      </c>
      <c r="V984" s="6" t="s">
        <v>34</v>
      </c>
      <c r="W984" s="6" t="s">
        <v>546</v>
      </c>
      <c r="X984" s="6" t="s">
        <v>188</v>
      </c>
    </row>
    <row r="985" spans="1:24" ht="15" customHeight="1" x14ac:dyDescent="0.3">
      <c r="A985" s="6" t="s">
        <v>533</v>
      </c>
      <c r="B985" s="6" t="s">
        <v>534</v>
      </c>
      <c r="C985" s="6" t="s">
        <v>31</v>
      </c>
      <c r="D985" s="1088" t="s">
        <v>549</v>
      </c>
      <c r="E985" s="6" t="s">
        <v>166</v>
      </c>
      <c r="F985" s="6" t="s">
        <v>844</v>
      </c>
      <c r="G985" s="6" t="s">
        <v>2878</v>
      </c>
      <c r="H985" s="6" t="s">
        <v>1140</v>
      </c>
      <c r="J985" s="1215" t="s">
        <v>509</v>
      </c>
      <c r="K985" s="1219" t="s">
        <v>3033</v>
      </c>
      <c r="L985" s="8">
        <v>10</v>
      </c>
      <c r="M985" s="8">
        <v>99</v>
      </c>
      <c r="N985" s="1169" t="s">
        <v>271</v>
      </c>
      <c r="P985" s="6" t="s">
        <v>3324</v>
      </c>
      <c r="Q985" s="1215" t="s">
        <v>253</v>
      </c>
      <c r="R985" s="1215" t="s">
        <v>255</v>
      </c>
      <c r="S985" s="1215" t="s">
        <v>534</v>
      </c>
      <c r="T985" s="1215" t="s">
        <v>533</v>
      </c>
      <c r="U985" s="6" t="s">
        <v>549</v>
      </c>
      <c r="V985" s="6" t="s">
        <v>31</v>
      </c>
      <c r="W985" s="6" t="s">
        <v>844</v>
      </c>
      <c r="X985" s="6" t="s">
        <v>166</v>
      </c>
    </row>
    <row r="986" spans="1:24" ht="15" customHeight="1" x14ac:dyDescent="0.3">
      <c r="A986" s="6" t="s">
        <v>533</v>
      </c>
      <c r="B986" s="6" t="s">
        <v>534</v>
      </c>
      <c r="C986" s="6" t="s">
        <v>34</v>
      </c>
      <c r="D986" s="1088" t="s">
        <v>539</v>
      </c>
      <c r="E986" s="6" t="s">
        <v>189</v>
      </c>
      <c r="F986" s="6" t="s">
        <v>590</v>
      </c>
      <c r="G986" s="6" t="s">
        <v>1324</v>
      </c>
      <c r="H986" s="6" t="s">
        <v>1325</v>
      </c>
      <c r="J986" s="1215" t="s">
        <v>509</v>
      </c>
      <c r="K986" s="1219" t="s">
        <v>3033</v>
      </c>
      <c r="L986" s="8">
        <v>138</v>
      </c>
      <c r="M986" s="8">
        <v>270</v>
      </c>
      <c r="N986" s="1169" t="s">
        <v>271</v>
      </c>
      <c r="P986" s="6" t="s">
        <v>3324</v>
      </c>
      <c r="Q986" s="1215" t="s">
        <v>253</v>
      </c>
      <c r="R986" s="1215" t="s">
        <v>255</v>
      </c>
      <c r="S986" s="1215" t="s">
        <v>534</v>
      </c>
      <c r="T986" s="1215" t="s">
        <v>533</v>
      </c>
      <c r="U986" s="6" t="s">
        <v>539</v>
      </c>
      <c r="V986" s="6" t="s">
        <v>34</v>
      </c>
      <c r="W986" s="6" t="s">
        <v>590</v>
      </c>
      <c r="X986" s="6" t="s">
        <v>189</v>
      </c>
    </row>
    <row r="987" spans="1:24" ht="15" customHeight="1" x14ac:dyDescent="0.3">
      <c r="A987" s="6" t="s">
        <v>533</v>
      </c>
      <c r="B987" s="6" t="s">
        <v>534</v>
      </c>
      <c r="C987" s="6" t="s">
        <v>34</v>
      </c>
      <c r="D987" s="1088" t="s">
        <v>539</v>
      </c>
      <c r="E987" s="6" t="s">
        <v>189</v>
      </c>
      <c r="F987" s="6" t="s">
        <v>590</v>
      </c>
      <c r="G987" s="6" t="s">
        <v>1324</v>
      </c>
      <c r="H987" s="6" t="s">
        <v>1325</v>
      </c>
      <c r="J987" s="1215" t="s">
        <v>509</v>
      </c>
      <c r="K987" s="1219" t="s">
        <v>3109</v>
      </c>
      <c r="L987" s="8">
        <v>0</v>
      </c>
      <c r="M987" s="8">
        <v>45</v>
      </c>
      <c r="N987" s="1169" t="s">
        <v>271</v>
      </c>
      <c r="P987" s="6" t="s">
        <v>3324</v>
      </c>
      <c r="Q987" s="1215" t="s">
        <v>253</v>
      </c>
      <c r="R987" s="1215" t="s">
        <v>255</v>
      </c>
      <c r="S987" s="1215" t="s">
        <v>534</v>
      </c>
      <c r="T987" s="1215" t="s">
        <v>533</v>
      </c>
      <c r="U987" s="6" t="s">
        <v>539</v>
      </c>
      <c r="V987" s="6" t="s">
        <v>34</v>
      </c>
      <c r="W987" s="6" t="s">
        <v>590</v>
      </c>
      <c r="X987" s="6" t="s">
        <v>189</v>
      </c>
    </row>
    <row r="988" spans="1:24" ht="15" customHeight="1" x14ac:dyDescent="0.3">
      <c r="A988" s="6" t="s">
        <v>533</v>
      </c>
      <c r="B988" s="6" t="s">
        <v>534</v>
      </c>
      <c r="C988" s="6" t="s">
        <v>34</v>
      </c>
      <c r="D988" s="1088" t="s">
        <v>539</v>
      </c>
      <c r="E988" s="6" t="s">
        <v>189</v>
      </c>
      <c r="F988" s="6" t="s">
        <v>590</v>
      </c>
      <c r="G988" s="6" t="s">
        <v>1324</v>
      </c>
      <c r="H988" s="6" t="s">
        <v>1325</v>
      </c>
      <c r="J988" s="1215" t="s">
        <v>509</v>
      </c>
      <c r="K988" s="1219" t="s">
        <v>3110</v>
      </c>
      <c r="L988" s="8">
        <v>0</v>
      </c>
      <c r="M988" s="8">
        <v>30</v>
      </c>
      <c r="N988" s="1169" t="s">
        <v>271</v>
      </c>
      <c r="P988" s="6" t="s">
        <v>3324</v>
      </c>
      <c r="Q988" s="1215" t="s">
        <v>253</v>
      </c>
      <c r="R988" s="1215" t="s">
        <v>255</v>
      </c>
      <c r="S988" s="1215" t="s">
        <v>534</v>
      </c>
      <c r="T988" s="1215" t="s">
        <v>533</v>
      </c>
      <c r="U988" s="6" t="s">
        <v>539</v>
      </c>
      <c r="V988" s="6" t="s">
        <v>34</v>
      </c>
      <c r="W988" s="6" t="s">
        <v>590</v>
      </c>
      <c r="X988" s="6" t="s">
        <v>189</v>
      </c>
    </row>
    <row r="989" spans="1:24" ht="15" customHeight="1" x14ac:dyDescent="0.3">
      <c r="A989" s="6" t="s">
        <v>533</v>
      </c>
      <c r="B989" s="6" t="s">
        <v>534</v>
      </c>
      <c r="C989" s="6" t="s">
        <v>34</v>
      </c>
      <c r="D989" s="1088" t="s">
        <v>539</v>
      </c>
      <c r="E989" s="1088" t="s">
        <v>189</v>
      </c>
      <c r="F989" s="6" t="s">
        <v>590</v>
      </c>
      <c r="G989" s="6" t="s">
        <v>1324</v>
      </c>
      <c r="H989" s="6" t="s">
        <v>1325</v>
      </c>
      <c r="J989" s="1215" t="s">
        <v>509</v>
      </c>
      <c r="K989" s="1219" t="s">
        <v>3111</v>
      </c>
      <c r="L989" s="8">
        <v>0</v>
      </c>
      <c r="M989" s="8">
        <v>18</v>
      </c>
      <c r="N989" s="1169" t="s">
        <v>271</v>
      </c>
      <c r="P989" s="6" t="s">
        <v>3324</v>
      </c>
      <c r="Q989" s="1215" t="s">
        <v>253</v>
      </c>
      <c r="R989" s="1215" t="s">
        <v>255</v>
      </c>
      <c r="S989" s="1215" t="s">
        <v>534</v>
      </c>
      <c r="T989" s="1215" t="s">
        <v>533</v>
      </c>
      <c r="U989" s="6" t="s">
        <v>539</v>
      </c>
      <c r="V989" s="6" t="s">
        <v>34</v>
      </c>
      <c r="W989" s="6" t="s">
        <v>590</v>
      </c>
      <c r="X989" s="6" t="s">
        <v>189</v>
      </c>
    </row>
    <row r="990" spans="1:24" ht="15" customHeight="1" x14ac:dyDescent="0.3">
      <c r="A990" s="6" t="s">
        <v>533</v>
      </c>
      <c r="B990" s="6" t="s">
        <v>534</v>
      </c>
      <c r="C990" s="6" t="s">
        <v>34</v>
      </c>
      <c r="D990" s="1088" t="s">
        <v>539</v>
      </c>
      <c r="E990" s="1088" t="s">
        <v>189</v>
      </c>
      <c r="F990" s="6" t="s">
        <v>590</v>
      </c>
      <c r="G990" s="6" t="s">
        <v>1324</v>
      </c>
      <c r="H990" s="6" t="s">
        <v>1325</v>
      </c>
      <c r="J990" s="1215" t="s">
        <v>509</v>
      </c>
      <c r="K990" s="1219" t="s">
        <v>3112</v>
      </c>
      <c r="L990" s="8">
        <v>0</v>
      </c>
      <c r="M990" s="8">
        <v>11</v>
      </c>
      <c r="N990" s="1169" t="s">
        <v>271</v>
      </c>
      <c r="P990" s="6" t="s">
        <v>3324</v>
      </c>
      <c r="Q990" s="1215" t="s">
        <v>253</v>
      </c>
      <c r="R990" s="1215" t="s">
        <v>255</v>
      </c>
      <c r="S990" s="1215" t="s">
        <v>534</v>
      </c>
      <c r="T990" s="1215" t="s">
        <v>533</v>
      </c>
      <c r="U990" s="6" t="s">
        <v>539</v>
      </c>
      <c r="V990" s="6" t="s">
        <v>34</v>
      </c>
      <c r="W990" s="6" t="s">
        <v>590</v>
      </c>
      <c r="X990" s="6" t="s">
        <v>189</v>
      </c>
    </row>
    <row r="991" spans="1:24" ht="15" customHeight="1" x14ac:dyDescent="0.3">
      <c r="A991" s="6" t="s">
        <v>533</v>
      </c>
      <c r="B991" s="6" t="s">
        <v>534</v>
      </c>
      <c r="C991" s="6" t="s">
        <v>31</v>
      </c>
      <c r="D991" s="1088" t="s">
        <v>549</v>
      </c>
      <c r="E991" s="1088" t="s">
        <v>170</v>
      </c>
      <c r="F991" s="6" t="s">
        <v>866</v>
      </c>
      <c r="G991" s="6" t="s">
        <v>1858</v>
      </c>
      <c r="H991" s="6" t="s">
        <v>1859</v>
      </c>
      <c r="J991" s="1215" t="s">
        <v>509</v>
      </c>
      <c r="K991" s="1219" t="s">
        <v>3033</v>
      </c>
      <c r="L991" s="8">
        <v>21</v>
      </c>
      <c r="M991" s="8">
        <v>110</v>
      </c>
      <c r="N991" s="1169" t="s">
        <v>271</v>
      </c>
      <c r="P991" s="6" t="s">
        <v>3323</v>
      </c>
      <c r="Q991" s="1215" t="s">
        <v>253</v>
      </c>
      <c r="R991" s="1215" t="s">
        <v>255</v>
      </c>
      <c r="S991" s="1215" t="s">
        <v>534</v>
      </c>
      <c r="T991" s="1215" t="s">
        <v>533</v>
      </c>
      <c r="U991" s="6" t="s">
        <v>549</v>
      </c>
      <c r="V991" s="6" t="s">
        <v>31</v>
      </c>
      <c r="W991" s="6" t="s">
        <v>844</v>
      </c>
      <c r="X991" s="6" t="s">
        <v>166</v>
      </c>
    </row>
    <row r="992" spans="1:24" ht="15" customHeight="1" x14ac:dyDescent="0.3">
      <c r="A992" s="6" t="s">
        <v>533</v>
      </c>
      <c r="B992" s="6" t="s">
        <v>534</v>
      </c>
      <c r="C992" s="6" t="s">
        <v>31</v>
      </c>
      <c r="D992" s="1088" t="s">
        <v>549</v>
      </c>
      <c r="E992" s="1088" t="s">
        <v>170</v>
      </c>
      <c r="F992" s="6" t="s">
        <v>866</v>
      </c>
      <c r="G992" s="6" t="s">
        <v>1858</v>
      </c>
      <c r="H992" s="6" t="s">
        <v>1859</v>
      </c>
      <c r="J992" s="1215" t="s">
        <v>509</v>
      </c>
      <c r="K992" s="1219" t="s">
        <v>3109</v>
      </c>
      <c r="L992" s="8">
        <v>11</v>
      </c>
      <c r="M992" s="8">
        <v>50</v>
      </c>
      <c r="N992" s="1169" t="s">
        <v>271</v>
      </c>
      <c r="P992" s="6" t="s">
        <v>3323</v>
      </c>
      <c r="Q992" s="1215" t="s">
        <v>253</v>
      </c>
      <c r="R992" s="1215" t="s">
        <v>255</v>
      </c>
      <c r="S992" s="1215" t="s">
        <v>534</v>
      </c>
      <c r="T992" s="1215" t="s">
        <v>533</v>
      </c>
      <c r="U992" s="6" t="s">
        <v>549</v>
      </c>
      <c r="V992" s="6" t="s">
        <v>31</v>
      </c>
      <c r="W992" s="6" t="s">
        <v>844</v>
      </c>
      <c r="X992" s="6" t="s">
        <v>166</v>
      </c>
    </row>
    <row r="993" spans="1:24" ht="15" customHeight="1" x14ac:dyDescent="0.3">
      <c r="A993" s="6" t="s">
        <v>533</v>
      </c>
      <c r="B993" s="6" t="s">
        <v>534</v>
      </c>
      <c r="C993" s="6" t="s">
        <v>31</v>
      </c>
      <c r="D993" s="1088" t="s">
        <v>549</v>
      </c>
      <c r="E993" s="6" t="s">
        <v>170</v>
      </c>
      <c r="F993" s="6" t="s">
        <v>866</v>
      </c>
      <c r="G993" s="6" t="s">
        <v>1858</v>
      </c>
      <c r="H993" s="6" t="s">
        <v>1859</v>
      </c>
      <c r="J993" s="1215" t="s">
        <v>509</v>
      </c>
      <c r="K993" s="1219" t="s">
        <v>3110</v>
      </c>
      <c r="L993" s="8">
        <v>9</v>
      </c>
      <c r="M993" s="8">
        <v>50</v>
      </c>
      <c r="N993" s="1169" t="s">
        <v>271</v>
      </c>
      <c r="P993" s="6" t="s">
        <v>3323</v>
      </c>
      <c r="Q993" s="1215" t="s">
        <v>253</v>
      </c>
      <c r="R993" s="1215" t="s">
        <v>255</v>
      </c>
      <c r="S993" s="1215" t="s">
        <v>534</v>
      </c>
      <c r="T993" s="1215" t="s">
        <v>533</v>
      </c>
      <c r="U993" s="6" t="s">
        <v>549</v>
      </c>
      <c r="V993" s="6" t="s">
        <v>31</v>
      </c>
      <c r="W993" s="6" t="s">
        <v>844</v>
      </c>
      <c r="X993" s="6" t="s">
        <v>166</v>
      </c>
    </row>
    <row r="994" spans="1:24" ht="15" customHeight="1" x14ac:dyDescent="0.3">
      <c r="A994" s="6" t="s">
        <v>533</v>
      </c>
      <c r="B994" s="6" t="s">
        <v>534</v>
      </c>
      <c r="C994" s="6" t="s">
        <v>31</v>
      </c>
      <c r="D994" s="1088" t="s">
        <v>549</v>
      </c>
      <c r="E994" s="6" t="s">
        <v>170</v>
      </c>
      <c r="F994" s="6" t="s">
        <v>866</v>
      </c>
      <c r="G994" s="6" t="s">
        <v>1858</v>
      </c>
      <c r="H994" s="6" t="s">
        <v>1859</v>
      </c>
      <c r="J994" s="1215" t="s">
        <v>509</v>
      </c>
      <c r="K994" s="1219" t="s">
        <v>3111</v>
      </c>
      <c r="L994" s="8">
        <v>9</v>
      </c>
      <c r="M994" s="8">
        <v>44</v>
      </c>
      <c r="N994" s="1169" t="s">
        <v>274</v>
      </c>
      <c r="P994" s="6" t="s">
        <v>3323</v>
      </c>
      <c r="Q994" s="1215" t="s">
        <v>253</v>
      </c>
      <c r="R994" s="1215" t="s">
        <v>255</v>
      </c>
      <c r="S994" s="1215" t="s">
        <v>534</v>
      </c>
      <c r="T994" s="1215" t="s">
        <v>533</v>
      </c>
      <c r="U994" s="6" t="s">
        <v>549</v>
      </c>
      <c r="V994" s="6" t="s">
        <v>31</v>
      </c>
      <c r="W994" s="6" t="s">
        <v>673</v>
      </c>
      <c r="X994" s="6" t="s">
        <v>169</v>
      </c>
    </row>
    <row r="995" spans="1:24" ht="15" customHeight="1" x14ac:dyDescent="0.3">
      <c r="A995" s="6" t="s">
        <v>533</v>
      </c>
      <c r="B995" s="6" t="s">
        <v>534</v>
      </c>
      <c r="C995" s="6" t="s">
        <v>31</v>
      </c>
      <c r="D995" s="1088" t="s">
        <v>549</v>
      </c>
      <c r="E995" s="6" t="s">
        <v>170</v>
      </c>
      <c r="F995" s="6" t="s">
        <v>866</v>
      </c>
      <c r="G995" s="6" t="s">
        <v>1858</v>
      </c>
      <c r="H995" s="6" t="s">
        <v>1859</v>
      </c>
      <c r="J995" s="1215" t="s">
        <v>509</v>
      </c>
      <c r="K995" s="1219" t="s">
        <v>3112</v>
      </c>
      <c r="L995" s="8">
        <v>2</v>
      </c>
      <c r="M995" s="8">
        <v>18</v>
      </c>
      <c r="N995" s="1169" t="s">
        <v>272</v>
      </c>
      <c r="P995" s="6" t="s">
        <v>3323</v>
      </c>
      <c r="Q995" s="1215" t="s">
        <v>253</v>
      </c>
      <c r="R995" s="1215" t="s">
        <v>255</v>
      </c>
      <c r="S995" s="1215" t="s">
        <v>534</v>
      </c>
      <c r="T995" s="1215" t="s">
        <v>533</v>
      </c>
      <c r="U995" s="6" t="s">
        <v>549</v>
      </c>
      <c r="V995" s="6" t="s">
        <v>31</v>
      </c>
      <c r="W995" s="6" t="s">
        <v>673</v>
      </c>
      <c r="X995" s="6" t="s">
        <v>169</v>
      </c>
    </row>
    <row r="996" spans="1:24" ht="15" customHeight="1" x14ac:dyDescent="0.3">
      <c r="A996" s="6" t="s">
        <v>533</v>
      </c>
      <c r="B996" s="6" t="s">
        <v>534</v>
      </c>
      <c r="C996" s="6" t="s">
        <v>34</v>
      </c>
      <c r="D996" s="1088" t="s">
        <v>539</v>
      </c>
      <c r="E996" s="6" t="s">
        <v>189</v>
      </c>
      <c r="F996" s="6" t="s">
        <v>590</v>
      </c>
      <c r="G996" s="6" t="s">
        <v>1493</v>
      </c>
      <c r="H996" s="6" t="s">
        <v>1494</v>
      </c>
      <c r="J996" s="1215" t="s">
        <v>509</v>
      </c>
      <c r="K996" s="1219" t="s">
        <v>3033</v>
      </c>
      <c r="L996" s="8">
        <v>9</v>
      </c>
      <c r="M996" s="8">
        <v>55</v>
      </c>
      <c r="N996" s="1169" t="s">
        <v>271</v>
      </c>
      <c r="P996" s="6" t="s">
        <v>3324</v>
      </c>
      <c r="Q996" s="1215" t="s">
        <v>253</v>
      </c>
      <c r="R996" s="1215" t="s">
        <v>255</v>
      </c>
      <c r="S996" s="1215" t="s">
        <v>534</v>
      </c>
      <c r="T996" s="1215" t="s">
        <v>533</v>
      </c>
      <c r="U996" s="6" t="s">
        <v>539</v>
      </c>
      <c r="V996" s="6" t="s">
        <v>34</v>
      </c>
      <c r="W996" s="6" t="s">
        <v>590</v>
      </c>
      <c r="X996" s="6" t="s">
        <v>189</v>
      </c>
    </row>
    <row r="997" spans="1:24" ht="15" customHeight="1" x14ac:dyDescent="0.3">
      <c r="A997" s="6" t="s">
        <v>533</v>
      </c>
      <c r="B997" s="6" t="s">
        <v>534</v>
      </c>
      <c r="C997" s="6" t="s">
        <v>34</v>
      </c>
      <c r="D997" s="1088" t="s">
        <v>539</v>
      </c>
      <c r="E997" s="6" t="s">
        <v>189</v>
      </c>
      <c r="F997" s="6" t="s">
        <v>590</v>
      </c>
      <c r="G997" s="6" t="s">
        <v>1493</v>
      </c>
      <c r="H997" s="6" t="s">
        <v>1494</v>
      </c>
      <c r="J997" s="1215" t="s">
        <v>509</v>
      </c>
      <c r="K997" s="1219" t="s">
        <v>3109</v>
      </c>
      <c r="L997" s="8">
        <v>0</v>
      </c>
      <c r="M997" s="8">
        <v>11</v>
      </c>
      <c r="N997" s="1169" t="s">
        <v>271</v>
      </c>
      <c r="P997" s="6" t="s">
        <v>3324</v>
      </c>
      <c r="Q997" s="1215" t="s">
        <v>253</v>
      </c>
      <c r="R997" s="1215" t="s">
        <v>255</v>
      </c>
      <c r="S997" s="1215" t="s">
        <v>534</v>
      </c>
      <c r="T997" s="1215" t="s">
        <v>533</v>
      </c>
      <c r="U997" s="6" t="s">
        <v>539</v>
      </c>
      <c r="V997" s="6" t="s">
        <v>34</v>
      </c>
      <c r="W997" s="6" t="s">
        <v>590</v>
      </c>
      <c r="X997" s="6" t="s">
        <v>189</v>
      </c>
    </row>
    <row r="998" spans="1:24" ht="15" customHeight="1" x14ac:dyDescent="0.3">
      <c r="A998" s="6" t="s">
        <v>533</v>
      </c>
      <c r="B998" s="6" t="s">
        <v>534</v>
      </c>
      <c r="C998" s="6" t="s">
        <v>34</v>
      </c>
      <c r="D998" s="1088" t="s">
        <v>539</v>
      </c>
      <c r="E998" s="6" t="s">
        <v>189</v>
      </c>
      <c r="F998" s="6" t="s">
        <v>590</v>
      </c>
      <c r="G998" s="6" t="s">
        <v>1493</v>
      </c>
      <c r="H998" s="6" t="s">
        <v>1494</v>
      </c>
      <c r="J998" s="1215" t="s">
        <v>509</v>
      </c>
      <c r="K998" s="1219" t="s">
        <v>3110</v>
      </c>
      <c r="L998" s="8">
        <v>0</v>
      </c>
      <c r="M998" s="8">
        <v>42</v>
      </c>
      <c r="N998" s="1169" t="s">
        <v>271</v>
      </c>
      <c r="P998" s="6" t="s">
        <v>3324</v>
      </c>
      <c r="Q998" s="1215" t="s">
        <v>253</v>
      </c>
      <c r="R998" s="1215" t="s">
        <v>255</v>
      </c>
      <c r="S998" s="1215" t="s">
        <v>534</v>
      </c>
      <c r="T998" s="1215" t="s">
        <v>533</v>
      </c>
      <c r="U998" s="6" t="s">
        <v>539</v>
      </c>
      <c r="V998" s="6" t="s">
        <v>34</v>
      </c>
      <c r="W998" s="6" t="s">
        <v>590</v>
      </c>
      <c r="X998" s="6" t="s">
        <v>189</v>
      </c>
    </row>
    <row r="999" spans="1:24" ht="15" customHeight="1" x14ac:dyDescent="0.3">
      <c r="A999" s="6" t="s">
        <v>533</v>
      </c>
      <c r="B999" s="6" t="s">
        <v>534</v>
      </c>
      <c r="C999" s="6" t="s">
        <v>34</v>
      </c>
      <c r="D999" s="1088" t="s">
        <v>539</v>
      </c>
      <c r="E999" s="6" t="s">
        <v>189</v>
      </c>
      <c r="F999" s="6" t="s">
        <v>590</v>
      </c>
      <c r="G999" s="6" t="s">
        <v>1493</v>
      </c>
      <c r="H999" s="6" t="s">
        <v>1494</v>
      </c>
      <c r="J999" s="1215" t="s">
        <v>509</v>
      </c>
      <c r="K999" s="1219" t="s">
        <v>3111</v>
      </c>
      <c r="L999" s="8">
        <v>0</v>
      </c>
      <c r="M999" s="8">
        <v>15</v>
      </c>
      <c r="N999" s="1169" t="s">
        <v>271</v>
      </c>
      <c r="P999" s="6" t="s">
        <v>3324</v>
      </c>
      <c r="Q999" s="1215" t="s">
        <v>253</v>
      </c>
      <c r="R999" s="1215" t="s">
        <v>255</v>
      </c>
      <c r="S999" s="1215" t="s">
        <v>534</v>
      </c>
      <c r="T999" s="1215" t="s">
        <v>533</v>
      </c>
      <c r="U999" s="6" t="s">
        <v>539</v>
      </c>
      <c r="V999" s="6" t="s">
        <v>34</v>
      </c>
      <c r="W999" s="6" t="s">
        <v>590</v>
      </c>
      <c r="X999" s="6" t="s">
        <v>189</v>
      </c>
    </row>
    <row r="1000" spans="1:24" ht="15" customHeight="1" x14ac:dyDescent="0.3">
      <c r="A1000" s="6" t="s">
        <v>533</v>
      </c>
      <c r="B1000" s="6" t="s">
        <v>534</v>
      </c>
      <c r="C1000" s="6" t="s">
        <v>34</v>
      </c>
      <c r="D1000" s="1088" t="s">
        <v>539</v>
      </c>
      <c r="E1000" s="6" t="s">
        <v>189</v>
      </c>
      <c r="F1000" s="6" t="s">
        <v>590</v>
      </c>
      <c r="G1000" s="6" t="s">
        <v>1493</v>
      </c>
      <c r="H1000" s="6" t="s">
        <v>1494</v>
      </c>
      <c r="J1000" s="1215" t="s">
        <v>509</v>
      </c>
      <c r="K1000" s="1219" t="s">
        <v>3112</v>
      </c>
      <c r="L1000" s="8">
        <v>3</v>
      </c>
      <c r="M1000" s="8">
        <v>10</v>
      </c>
      <c r="N1000" s="1169" t="s">
        <v>271</v>
      </c>
      <c r="P1000" s="6" t="s">
        <v>3324</v>
      </c>
      <c r="Q1000" s="1215" t="s">
        <v>253</v>
      </c>
      <c r="R1000" s="1215" t="s">
        <v>255</v>
      </c>
      <c r="S1000" s="1215" t="s">
        <v>534</v>
      </c>
      <c r="T1000" s="1215" t="s">
        <v>533</v>
      </c>
      <c r="U1000" s="6" t="s">
        <v>539</v>
      </c>
      <c r="V1000" s="6" t="s">
        <v>34</v>
      </c>
      <c r="W1000" s="6" t="s">
        <v>590</v>
      </c>
      <c r="X1000" s="6" t="s">
        <v>189</v>
      </c>
    </row>
    <row r="1001" spans="1:24" ht="15" customHeight="1" x14ac:dyDescent="0.3">
      <c r="A1001" s="6" t="s">
        <v>533</v>
      </c>
      <c r="B1001" s="6" t="s">
        <v>534</v>
      </c>
      <c r="C1001" s="6" t="s">
        <v>31</v>
      </c>
      <c r="D1001" s="1088" t="s">
        <v>549</v>
      </c>
      <c r="E1001" s="6" t="s">
        <v>171</v>
      </c>
      <c r="F1001" s="6" t="s">
        <v>634</v>
      </c>
      <c r="G1001" s="6" t="s">
        <v>1357</v>
      </c>
      <c r="H1001" s="6" t="s">
        <v>1279</v>
      </c>
      <c r="J1001" s="1215" t="s">
        <v>509</v>
      </c>
      <c r="K1001" s="1219" t="s">
        <v>3033</v>
      </c>
      <c r="L1001" s="8">
        <v>6</v>
      </c>
      <c r="M1001" s="8">
        <v>21</v>
      </c>
      <c r="N1001" s="1169" t="s">
        <v>271</v>
      </c>
      <c r="P1001" s="6" t="s">
        <v>3323</v>
      </c>
      <c r="Q1001" s="1215" t="s">
        <v>253</v>
      </c>
      <c r="R1001" s="1215" t="s">
        <v>255</v>
      </c>
      <c r="S1001" s="1215" t="s">
        <v>534</v>
      </c>
      <c r="T1001" s="1215" t="s">
        <v>533</v>
      </c>
      <c r="U1001" s="6" t="s">
        <v>549</v>
      </c>
      <c r="V1001" s="6" t="s">
        <v>31</v>
      </c>
      <c r="W1001" s="6" t="s">
        <v>844</v>
      </c>
      <c r="X1001" s="6" t="s">
        <v>166</v>
      </c>
    </row>
    <row r="1002" spans="1:24" ht="15" customHeight="1" x14ac:dyDescent="0.3">
      <c r="A1002" s="6" t="s">
        <v>533</v>
      </c>
      <c r="B1002" s="6" t="s">
        <v>534</v>
      </c>
      <c r="C1002" s="6" t="s">
        <v>31</v>
      </c>
      <c r="D1002" s="1088" t="s">
        <v>549</v>
      </c>
      <c r="E1002" s="6" t="s">
        <v>171</v>
      </c>
      <c r="F1002" s="6" t="s">
        <v>634</v>
      </c>
      <c r="G1002" s="6" t="s">
        <v>1939</v>
      </c>
      <c r="H1002" s="6" t="s">
        <v>935</v>
      </c>
      <c r="J1002" s="1215" t="s">
        <v>509</v>
      </c>
      <c r="K1002" s="1219" t="s">
        <v>3033</v>
      </c>
      <c r="L1002" s="8">
        <v>10</v>
      </c>
      <c r="M1002" s="8">
        <v>56</v>
      </c>
      <c r="N1002" s="1169" t="s">
        <v>271</v>
      </c>
      <c r="P1002" s="6" t="s">
        <v>3323</v>
      </c>
      <c r="Q1002" s="1215" t="s">
        <v>253</v>
      </c>
      <c r="R1002" s="1215" t="s">
        <v>255</v>
      </c>
      <c r="S1002" s="1215" t="s">
        <v>534</v>
      </c>
      <c r="T1002" s="1215" t="s">
        <v>533</v>
      </c>
      <c r="U1002" s="6" t="s">
        <v>549</v>
      </c>
      <c r="V1002" s="6" t="s">
        <v>31</v>
      </c>
      <c r="W1002" s="6" t="s">
        <v>844</v>
      </c>
      <c r="X1002" s="6" t="s">
        <v>166</v>
      </c>
    </row>
    <row r="1003" spans="1:24" ht="15" customHeight="1" x14ac:dyDescent="0.3">
      <c r="A1003" s="6" t="s">
        <v>533</v>
      </c>
      <c r="B1003" s="6" t="s">
        <v>534</v>
      </c>
      <c r="C1003" s="6" t="s">
        <v>31</v>
      </c>
      <c r="D1003" s="1088" t="s">
        <v>549</v>
      </c>
      <c r="E1003" s="1088" t="s">
        <v>171</v>
      </c>
      <c r="F1003" s="6" t="s">
        <v>634</v>
      </c>
      <c r="G1003" s="6" t="s">
        <v>974</v>
      </c>
      <c r="H1003" s="6" t="s">
        <v>843</v>
      </c>
      <c r="J1003" s="1215" t="s">
        <v>509</v>
      </c>
      <c r="K1003" s="1219" t="s">
        <v>3033</v>
      </c>
      <c r="L1003" s="8">
        <v>12</v>
      </c>
      <c r="M1003" s="8">
        <v>157</v>
      </c>
      <c r="N1003" s="1169" t="s">
        <v>271</v>
      </c>
      <c r="P1003" s="6" t="s">
        <v>3323</v>
      </c>
      <c r="Q1003" s="1215" t="s">
        <v>253</v>
      </c>
      <c r="R1003" s="1215" t="s">
        <v>255</v>
      </c>
      <c r="S1003" s="1215" t="s">
        <v>534</v>
      </c>
      <c r="T1003" s="1215" t="s">
        <v>533</v>
      </c>
      <c r="U1003" s="6" t="s">
        <v>549</v>
      </c>
      <c r="V1003" s="6" t="s">
        <v>31</v>
      </c>
      <c r="W1003" s="6" t="s">
        <v>844</v>
      </c>
      <c r="X1003" s="6" t="s">
        <v>166</v>
      </c>
    </row>
    <row r="1004" spans="1:24" ht="15" customHeight="1" x14ac:dyDescent="0.3">
      <c r="A1004" s="6" t="s">
        <v>533</v>
      </c>
      <c r="B1004" s="6" t="s">
        <v>534</v>
      </c>
      <c r="C1004" s="6" t="s">
        <v>34</v>
      </c>
      <c r="D1004" s="1088" t="s">
        <v>539</v>
      </c>
      <c r="E1004" s="1088" t="s">
        <v>189</v>
      </c>
      <c r="F1004" s="6" t="s">
        <v>590</v>
      </c>
      <c r="G1004" s="6" t="s">
        <v>765</v>
      </c>
      <c r="H1004" s="6" t="s">
        <v>766</v>
      </c>
      <c r="J1004" s="1215" t="s">
        <v>509</v>
      </c>
      <c r="K1004" s="1219" t="s">
        <v>3033</v>
      </c>
      <c r="L1004" s="8">
        <v>18</v>
      </c>
      <c r="M1004" s="8">
        <v>89</v>
      </c>
      <c r="N1004" s="1169" t="s">
        <v>271</v>
      </c>
      <c r="P1004" s="6" t="s">
        <v>3324</v>
      </c>
      <c r="Q1004" s="1215" t="s">
        <v>253</v>
      </c>
      <c r="R1004" s="1215" t="s">
        <v>255</v>
      </c>
      <c r="S1004" s="1215" t="s">
        <v>534</v>
      </c>
      <c r="T1004" s="1215" t="s">
        <v>533</v>
      </c>
      <c r="U1004" s="6" t="s">
        <v>539</v>
      </c>
      <c r="V1004" s="6" t="s">
        <v>34</v>
      </c>
      <c r="W1004" s="6" t="s">
        <v>590</v>
      </c>
      <c r="X1004" s="6" t="s">
        <v>189</v>
      </c>
    </row>
    <row r="1005" spans="1:24" ht="15" customHeight="1" x14ac:dyDescent="0.3">
      <c r="A1005" s="6" t="s">
        <v>533</v>
      </c>
      <c r="B1005" s="6" t="s">
        <v>534</v>
      </c>
      <c r="C1005" s="6" t="s">
        <v>34</v>
      </c>
      <c r="D1005" s="1088" t="s">
        <v>539</v>
      </c>
      <c r="E1005" s="6" t="s">
        <v>189</v>
      </c>
      <c r="F1005" s="6" t="s">
        <v>590</v>
      </c>
      <c r="G1005" s="6" t="s">
        <v>765</v>
      </c>
      <c r="H1005" s="6" t="s">
        <v>766</v>
      </c>
      <c r="J1005" s="1215" t="s">
        <v>509</v>
      </c>
      <c r="K1005" s="1219" t="s">
        <v>3109</v>
      </c>
      <c r="L1005" s="8">
        <v>0</v>
      </c>
      <c r="M1005" s="8">
        <v>13</v>
      </c>
      <c r="N1005" s="1169" t="s">
        <v>271</v>
      </c>
      <c r="P1005" s="6" t="s">
        <v>3324</v>
      </c>
      <c r="Q1005" s="1215" t="s">
        <v>253</v>
      </c>
      <c r="R1005" s="1215" t="s">
        <v>255</v>
      </c>
      <c r="S1005" s="1215" t="s">
        <v>534</v>
      </c>
      <c r="T1005" s="1215" t="s">
        <v>533</v>
      </c>
      <c r="U1005" s="6" t="s">
        <v>539</v>
      </c>
      <c r="V1005" s="6" t="s">
        <v>34</v>
      </c>
      <c r="W1005" s="6" t="s">
        <v>590</v>
      </c>
      <c r="X1005" s="6" t="s">
        <v>189</v>
      </c>
    </row>
    <row r="1006" spans="1:24" ht="15" customHeight="1" x14ac:dyDescent="0.3">
      <c r="A1006" s="6" t="s">
        <v>533</v>
      </c>
      <c r="B1006" s="6" t="s">
        <v>534</v>
      </c>
      <c r="C1006" s="6" t="s">
        <v>34</v>
      </c>
      <c r="D1006" s="1088" t="s">
        <v>539</v>
      </c>
      <c r="E1006" s="6" t="s">
        <v>189</v>
      </c>
      <c r="F1006" s="6" t="s">
        <v>590</v>
      </c>
      <c r="G1006" s="6" t="s">
        <v>765</v>
      </c>
      <c r="H1006" s="6" t="s">
        <v>766</v>
      </c>
      <c r="J1006" s="1215" t="s">
        <v>509</v>
      </c>
      <c r="K1006" s="1219" t="s">
        <v>3110</v>
      </c>
      <c r="L1006" s="8">
        <v>0</v>
      </c>
      <c r="M1006" s="8">
        <v>35</v>
      </c>
      <c r="N1006" s="1169" t="s">
        <v>271</v>
      </c>
      <c r="P1006" s="6" t="s">
        <v>3324</v>
      </c>
      <c r="Q1006" s="1215" t="s">
        <v>253</v>
      </c>
      <c r="R1006" s="1215" t="s">
        <v>255</v>
      </c>
      <c r="S1006" s="1215" t="s">
        <v>534</v>
      </c>
      <c r="T1006" s="1215" t="s">
        <v>533</v>
      </c>
      <c r="U1006" s="6" t="s">
        <v>539</v>
      </c>
      <c r="V1006" s="6" t="s">
        <v>34</v>
      </c>
      <c r="W1006" s="6" t="s">
        <v>590</v>
      </c>
      <c r="X1006" s="6" t="s">
        <v>189</v>
      </c>
    </row>
    <row r="1007" spans="1:24" ht="15" customHeight="1" x14ac:dyDescent="0.3">
      <c r="A1007" s="6" t="s">
        <v>533</v>
      </c>
      <c r="B1007" s="6" t="s">
        <v>534</v>
      </c>
      <c r="C1007" s="6" t="s">
        <v>34</v>
      </c>
      <c r="D1007" s="1088" t="s">
        <v>539</v>
      </c>
      <c r="E1007" s="1088" t="s">
        <v>189</v>
      </c>
      <c r="F1007" s="6" t="s">
        <v>590</v>
      </c>
      <c r="G1007" s="6" t="s">
        <v>765</v>
      </c>
      <c r="H1007" s="6" t="s">
        <v>766</v>
      </c>
      <c r="J1007" s="1215" t="s">
        <v>509</v>
      </c>
      <c r="K1007" s="1219" t="s">
        <v>3111</v>
      </c>
      <c r="L1007" s="8">
        <v>0</v>
      </c>
      <c r="M1007" s="8">
        <v>11</v>
      </c>
      <c r="N1007" s="1169" t="s">
        <v>271</v>
      </c>
      <c r="P1007" s="6" t="s">
        <v>3324</v>
      </c>
      <c r="Q1007" s="1215" t="s">
        <v>253</v>
      </c>
      <c r="R1007" s="1215" t="s">
        <v>255</v>
      </c>
      <c r="S1007" s="1215" t="s">
        <v>534</v>
      </c>
      <c r="T1007" s="1215" t="s">
        <v>533</v>
      </c>
      <c r="U1007" s="6" t="s">
        <v>539</v>
      </c>
      <c r="V1007" s="6" t="s">
        <v>34</v>
      </c>
      <c r="W1007" s="6" t="s">
        <v>590</v>
      </c>
      <c r="X1007" s="6" t="s">
        <v>189</v>
      </c>
    </row>
    <row r="1008" spans="1:24" ht="15" customHeight="1" x14ac:dyDescent="0.3">
      <c r="A1008" s="6" t="s">
        <v>533</v>
      </c>
      <c r="B1008" s="6" t="s">
        <v>534</v>
      </c>
      <c r="C1008" s="6" t="s">
        <v>34</v>
      </c>
      <c r="D1008" s="1088" t="s">
        <v>539</v>
      </c>
      <c r="E1008" s="6" t="s">
        <v>189</v>
      </c>
      <c r="F1008" s="6" t="s">
        <v>590</v>
      </c>
      <c r="G1008" s="6" t="s">
        <v>765</v>
      </c>
      <c r="H1008" s="6" t="s">
        <v>766</v>
      </c>
      <c r="J1008" s="1215" t="s">
        <v>509</v>
      </c>
      <c r="K1008" s="1219" t="s">
        <v>3112</v>
      </c>
      <c r="L1008" s="8">
        <v>0</v>
      </c>
      <c r="M1008" s="8">
        <v>10</v>
      </c>
      <c r="N1008" s="1169" t="s">
        <v>271</v>
      </c>
      <c r="P1008" s="6" t="s">
        <v>3324</v>
      </c>
      <c r="Q1008" s="1215" t="s">
        <v>253</v>
      </c>
      <c r="R1008" s="1215" t="s">
        <v>255</v>
      </c>
      <c r="S1008" s="1215" t="s">
        <v>534</v>
      </c>
      <c r="T1008" s="1215" t="s">
        <v>533</v>
      </c>
      <c r="U1008" s="6" t="s">
        <v>539</v>
      </c>
      <c r="V1008" s="6" t="s">
        <v>34</v>
      </c>
      <c r="W1008" s="6" t="s">
        <v>590</v>
      </c>
      <c r="X1008" s="6" t="s">
        <v>189</v>
      </c>
    </row>
    <row r="1009" spans="1:24" ht="15" customHeight="1" x14ac:dyDescent="0.3">
      <c r="A1009" s="6" t="s">
        <v>533</v>
      </c>
      <c r="B1009" s="6" t="s">
        <v>534</v>
      </c>
      <c r="C1009" s="6" t="s">
        <v>33</v>
      </c>
      <c r="D1009" s="1088" t="s">
        <v>561</v>
      </c>
      <c r="E1009" s="1088" t="s">
        <v>183</v>
      </c>
      <c r="F1009" s="6" t="s">
        <v>562</v>
      </c>
      <c r="G1009" s="6" t="s">
        <v>598</v>
      </c>
      <c r="H1009" s="6" t="s">
        <v>599</v>
      </c>
      <c r="J1009" s="1215" t="s">
        <v>509</v>
      </c>
      <c r="K1009" s="1219" t="s">
        <v>3033</v>
      </c>
      <c r="L1009" s="8">
        <v>4</v>
      </c>
      <c r="M1009" s="8">
        <v>26</v>
      </c>
      <c r="N1009" s="1169" t="s">
        <v>272</v>
      </c>
      <c r="P1009" s="6" t="s">
        <v>3322</v>
      </c>
      <c r="Q1009" s="1215" t="s">
        <v>253</v>
      </c>
      <c r="R1009" s="1215" t="s">
        <v>255</v>
      </c>
      <c r="S1009" s="1215" t="s">
        <v>534</v>
      </c>
      <c r="T1009" s="1215" t="s">
        <v>533</v>
      </c>
      <c r="U1009" s="6" t="s">
        <v>542</v>
      </c>
      <c r="V1009" s="6" t="s">
        <v>32</v>
      </c>
    </row>
    <row r="1010" spans="1:24" ht="15" customHeight="1" x14ac:dyDescent="0.3">
      <c r="A1010" s="6" t="s">
        <v>533</v>
      </c>
      <c r="B1010" s="6" t="s">
        <v>534</v>
      </c>
      <c r="C1010" s="6" t="s">
        <v>35</v>
      </c>
      <c r="D1010" s="1088" t="s">
        <v>567</v>
      </c>
      <c r="E1010" s="6" t="s">
        <v>192</v>
      </c>
      <c r="F1010" s="6" t="s">
        <v>853</v>
      </c>
      <c r="G1010" s="6" t="s">
        <v>1408</v>
      </c>
      <c r="H1010" s="6" t="s">
        <v>1637</v>
      </c>
      <c r="J1010" s="1215" t="s">
        <v>509</v>
      </c>
      <c r="K1010" s="1219" t="s">
        <v>3112</v>
      </c>
      <c r="L1010" s="8">
        <v>10</v>
      </c>
      <c r="M1010" s="8">
        <v>87</v>
      </c>
      <c r="N1010" s="1169" t="s">
        <v>271</v>
      </c>
      <c r="P1010" s="6" t="s">
        <v>3323</v>
      </c>
      <c r="Q1010" s="1215" t="s">
        <v>253</v>
      </c>
      <c r="R1010" s="1215" t="s">
        <v>255</v>
      </c>
      <c r="S1010" s="1215" t="s">
        <v>534</v>
      </c>
      <c r="T1010" s="1215" t="s">
        <v>533</v>
      </c>
      <c r="U1010" s="6" t="s">
        <v>567</v>
      </c>
      <c r="V1010" s="6" t="s">
        <v>35</v>
      </c>
      <c r="W1010" s="6" t="s">
        <v>863</v>
      </c>
      <c r="X1010" s="6" t="s">
        <v>193</v>
      </c>
    </row>
    <row r="1011" spans="1:24" ht="15" customHeight="1" x14ac:dyDescent="0.3">
      <c r="A1011" s="6" t="s">
        <v>533</v>
      </c>
      <c r="B1011" s="6" t="s">
        <v>534</v>
      </c>
      <c r="C1011" s="6" t="s">
        <v>35</v>
      </c>
      <c r="D1011" s="1088" t="s">
        <v>567</v>
      </c>
      <c r="E1011" s="1088" t="s">
        <v>192</v>
      </c>
      <c r="F1011" s="6" t="s">
        <v>853</v>
      </c>
      <c r="G1011" s="6" t="s">
        <v>1408</v>
      </c>
      <c r="H1011" s="6" t="s">
        <v>1637</v>
      </c>
      <c r="J1011" s="1215" t="s">
        <v>509</v>
      </c>
      <c r="K1011" s="1219" t="s">
        <v>3111</v>
      </c>
      <c r="L1011" s="8">
        <v>5</v>
      </c>
      <c r="M1011" s="8">
        <v>20</v>
      </c>
      <c r="N1011" s="1169" t="s">
        <v>271</v>
      </c>
      <c r="P1011" s="6" t="s">
        <v>3323</v>
      </c>
      <c r="Q1011" s="1215" t="s">
        <v>253</v>
      </c>
      <c r="R1011" s="1215" t="s">
        <v>255</v>
      </c>
      <c r="S1011" s="1215" t="s">
        <v>534</v>
      </c>
      <c r="T1011" s="1215" t="s">
        <v>533</v>
      </c>
      <c r="U1011" s="6" t="s">
        <v>567</v>
      </c>
      <c r="V1011" s="6" t="s">
        <v>35</v>
      </c>
      <c r="W1011" s="6" t="s">
        <v>863</v>
      </c>
      <c r="X1011" s="6" t="s">
        <v>193</v>
      </c>
    </row>
    <row r="1012" spans="1:24" ht="15" customHeight="1" x14ac:dyDescent="0.3">
      <c r="A1012" s="6" t="s">
        <v>533</v>
      </c>
      <c r="B1012" s="6" t="s">
        <v>534</v>
      </c>
      <c r="C1012" s="6" t="s">
        <v>35</v>
      </c>
      <c r="D1012" s="1088" t="s">
        <v>567</v>
      </c>
      <c r="E1012" s="6" t="s">
        <v>192</v>
      </c>
      <c r="F1012" s="6" t="s">
        <v>853</v>
      </c>
      <c r="G1012" s="6" t="s">
        <v>1408</v>
      </c>
      <c r="H1012" s="6" t="s">
        <v>1637</v>
      </c>
      <c r="J1012" s="1215" t="s">
        <v>509</v>
      </c>
      <c r="K1012" s="1219" t="s">
        <v>3110</v>
      </c>
      <c r="L1012" s="8">
        <v>6</v>
      </c>
      <c r="M1012" s="8">
        <v>42</v>
      </c>
      <c r="N1012" s="1169" t="s">
        <v>271</v>
      </c>
      <c r="P1012" s="6" t="s">
        <v>3323</v>
      </c>
      <c r="Q1012" s="1215" t="s">
        <v>253</v>
      </c>
      <c r="R1012" s="1215" t="s">
        <v>255</v>
      </c>
      <c r="S1012" s="1215" t="s">
        <v>534</v>
      </c>
      <c r="T1012" s="1215" t="s">
        <v>533</v>
      </c>
      <c r="U1012" s="6" t="s">
        <v>567</v>
      </c>
      <c r="V1012" s="6" t="s">
        <v>35</v>
      </c>
      <c r="W1012" s="6" t="s">
        <v>863</v>
      </c>
      <c r="X1012" s="6" t="s">
        <v>193</v>
      </c>
    </row>
    <row r="1013" spans="1:24" ht="15" customHeight="1" x14ac:dyDescent="0.3">
      <c r="A1013" s="6" t="s">
        <v>533</v>
      </c>
      <c r="B1013" s="6" t="s">
        <v>534</v>
      </c>
      <c r="C1013" s="6" t="s">
        <v>35</v>
      </c>
      <c r="D1013" s="1088" t="s">
        <v>567</v>
      </c>
      <c r="E1013" s="6" t="s">
        <v>192</v>
      </c>
      <c r="F1013" s="6" t="s">
        <v>853</v>
      </c>
      <c r="G1013" s="6" t="s">
        <v>3208</v>
      </c>
      <c r="H1013" s="6" t="s">
        <v>2794</v>
      </c>
      <c r="J1013" s="1215" t="s">
        <v>509</v>
      </c>
      <c r="K1013" s="1219" t="s">
        <v>3112</v>
      </c>
      <c r="L1013" s="8">
        <v>16</v>
      </c>
      <c r="M1013" s="8">
        <v>96</v>
      </c>
      <c r="N1013" s="1169" t="s">
        <v>271</v>
      </c>
      <c r="P1013" s="6" t="s">
        <v>3323</v>
      </c>
      <c r="Q1013" s="1215" t="s">
        <v>253</v>
      </c>
      <c r="R1013" s="1215" t="s">
        <v>255</v>
      </c>
      <c r="S1013" s="1215" t="s">
        <v>534</v>
      </c>
      <c r="T1013" s="1215" t="s">
        <v>533</v>
      </c>
      <c r="U1013" s="6" t="s">
        <v>567</v>
      </c>
      <c r="V1013" s="6" t="s">
        <v>35</v>
      </c>
      <c r="W1013" s="6" t="s">
        <v>863</v>
      </c>
      <c r="X1013" s="6" t="s">
        <v>193</v>
      </c>
    </row>
    <row r="1014" spans="1:24" ht="15" customHeight="1" x14ac:dyDescent="0.3">
      <c r="A1014" s="6" t="s">
        <v>533</v>
      </c>
      <c r="B1014" s="6" t="s">
        <v>534</v>
      </c>
      <c r="C1014" s="6" t="s">
        <v>35</v>
      </c>
      <c r="D1014" s="1088" t="s">
        <v>567</v>
      </c>
      <c r="E1014" s="6" t="s">
        <v>192</v>
      </c>
      <c r="F1014" s="6" t="s">
        <v>853</v>
      </c>
      <c r="G1014" s="6" t="s">
        <v>3208</v>
      </c>
      <c r="H1014" s="6" t="s">
        <v>2794</v>
      </c>
      <c r="J1014" s="1215" t="s">
        <v>509</v>
      </c>
      <c r="K1014" s="1219" t="s">
        <v>3111</v>
      </c>
      <c r="L1014" s="8">
        <v>9</v>
      </c>
      <c r="M1014" s="8">
        <v>67</v>
      </c>
      <c r="N1014" s="1169" t="s">
        <v>271</v>
      </c>
      <c r="P1014" s="6" t="s">
        <v>3323</v>
      </c>
      <c r="Q1014" s="1215" t="s">
        <v>253</v>
      </c>
      <c r="R1014" s="1215" t="s">
        <v>255</v>
      </c>
      <c r="S1014" s="1215" t="s">
        <v>534</v>
      </c>
      <c r="T1014" s="1215" t="s">
        <v>533</v>
      </c>
      <c r="U1014" s="6" t="s">
        <v>567</v>
      </c>
      <c r="V1014" s="6" t="s">
        <v>35</v>
      </c>
      <c r="W1014" s="6" t="s">
        <v>863</v>
      </c>
      <c r="X1014" s="6" t="s">
        <v>193</v>
      </c>
    </row>
    <row r="1015" spans="1:24" ht="15" customHeight="1" x14ac:dyDescent="0.3">
      <c r="A1015" s="6" t="s">
        <v>533</v>
      </c>
      <c r="B1015" s="6" t="s">
        <v>534</v>
      </c>
      <c r="C1015" s="6" t="s">
        <v>35</v>
      </c>
      <c r="D1015" s="1088" t="s">
        <v>567</v>
      </c>
      <c r="E1015" s="6" t="s">
        <v>192</v>
      </c>
      <c r="F1015" s="6" t="s">
        <v>853</v>
      </c>
      <c r="G1015" s="6" t="s">
        <v>550</v>
      </c>
      <c r="H1015" s="6" t="s">
        <v>3125</v>
      </c>
      <c r="I1015" s="6" t="s">
        <v>3125</v>
      </c>
      <c r="J1015" s="1215" t="s">
        <v>509</v>
      </c>
      <c r="K1015" s="1219" t="s">
        <v>3112</v>
      </c>
      <c r="L1015" s="8">
        <v>34</v>
      </c>
      <c r="M1015" s="8">
        <v>79</v>
      </c>
      <c r="N1015" s="1169" t="s">
        <v>271</v>
      </c>
      <c r="P1015" s="6" t="s">
        <v>3323</v>
      </c>
      <c r="Q1015" s="1215" t="s">
        <v>253</v>
      </c>
      <c r="R1015" s="1215" t="s">
        <v>255</v>
      </c>
      <c r="S1015" s="1215" t="s">
        <v>534</v>
      </c>
      <c r="T1015" s="1215" t="s">
        <v>533</v>
      </c>
      <c r="U1015" s="6" t="s">
        <v>567</v>
      </c>
      <c r="V1015" s="6" t="s">
        <v>35</v>
      </c>
      <c r="W1015" s="6" t="s">
        <v>863</v>
      </c>
      <c r="X1015" s="6" t="s">
        <v>193</v>
      </c>
    </row>
    <row r="1016" spans="1:24" ht="15" customHeight="1" x14ac:dyDescent="0.3">
      <c r="A1016" s="6" t="s">
        <v>533</v>
      </c>
      <c r="B1016" s="6" t="s">
        <v>534</v>
      </c>
      <c r="C1016" s="6" t="s">
        <v>34</v>
      </c>
      <c r="D1016" s="1088" t="s">
        <v>539</v>
      </c>
      <c r="E1016" s="1088" t="s">
        <v>188</v>
      </c>
      <c r="F1016" s="6" t="s">
        <v>546</v>
      </c>
      <c r="G1016" s="6" t="s">
        <v>976</v>
      </c>
      <c r="H1016" s="6" t="s">
        <v>1045</v>
      </c>
      <c r="J1016" s="1215" t="s">
        <v>509</v>
      </c>
      <c r="K1016" s="1219" t="s">
        <v>3033</v>
      </c>
      <c r="L1016" s="8">
        <v>50</v>
      </c>
      <c r="M1016" s="8">
        <v>161</v>
      </c>
      <c r="N1016" s="1169" t="s">
        <v>271</v>
      </c>
      <c r="P1016" s="6" t="s">
        <v>3324</v>
      </c>
      <c r="Q1016" s="1215" t="s">
        <v>253</v>
      </c>
      <c r="R1016" s="1215" t="s">
        <v>255</v>
      </c>
      <c r="S1016" s="1215" t="s">
        <v>534</v>
      </c>
      <c r="T1016" s="1215" t="s">
        <v>533</v>
      </c>
      <c r="U1016" s="6" t="s">
        <v>539</v>
      </c>
      <c r="V1016" s="6" t="s">
        <v>34</v>
      </c>
      <c r="W1016" s="6" t="s">
        <v>546</v>
      </c>
      <c r="X1016" s="6" t="s">
        <v>188</v>
      </c>
    </row>
    <row r="1017" spans="1:24" ht="15" customHeight="1" x14ac:dyDescent="0.3">
      <c r="A1017" s="6" t="s">
        <v>533</v>
      </c>
      <c r="B1017" s="6" t="s">
        <v>534</v>
      </c>
      <c r="C1017" s="6" t="s">
        <v>34</v>
      </c>
      <c r="D1017" s="1088" t="s">
        <v>539</v>
      </c>
      <c r="E1017" s="1088" t="s">
        <v>188</v>
      </c>
      <c r="F1017" s="6" t="s">
        <v>546</v>
      </c>
      <c r="G1017" s="6" t="s">
        <v>976</v>
      </c>
      <c r="H1017" s="6" t="s">
        <v>1045</v>
      </c>
      <c r="J1017" s="1215" t="s">
        <v>509</v>
      </c>
      <c r="K1017" s="1219" t="s">
        <v>3109</v>
      </c>
      <c r="L1017" s="8">
        <v>1</v>
      </c>
      <c r="M1017" s="8">
        <v>4</v>
      </c>
      <c r="N1017" s="1169" t="s">
        <v>271</v>
      </c>
      <c r="P1017" s="6" t="s">
        <v>3324</v>
      </c>
      <c r="Q1017" s="1215" t="s">
        <v>253</v>
      </c>
      <c r="R1017" s="1215" t="s">
        <v>255</v>
      </c>
      <c r="S1017" s="1215" t="s">
        <v>534</v>
      </c>
      <c r="T1017" s="1215" t="s">
        <v>533</v>
      </c>
      <c r="U1017" s="6" t="s">
        <v>539</v>
      </c>
      <c r="V1017" s="6" t="s">
        <v>34</v>
      </c>
      <c r="W1017" s="6" t="s">
        <v>546</v>
      </c>
      <c r="X1017" s="6" t="s">
        <v>188</v>
      </c>
    </row>
    <row r="1018" spans="1:24" ht="15" customHeight="1" x14ac:dyDescent="0.3">
      <c r="A1018" s="6" t="s">
        <v>533</v>
      </c>
      <c r="B1018" s="6" t="s">
        <v>534</v>
      </c>
      <c r="C1018" s="6" t="s">
        <v>34</v>
      </c>
      <c r="D1018" s="1088" t="s">
        <v>539</v>
      </c>
      <c r="E1018" s="6" t="s">
        <v>188</v>
      </c>
      <c r="F1018" s="6" t="s">
        <v>546</v>
      </c>
      <c r="G1018" s="6" t="s">
        <v>976</v>
      </c>
      <c r="H1018" s="6" t="s">
        <v>1045</v>
      </c>
      <c r="J1018" s="1215" t="s">
        <v>509</v>
      </c>
      <c r="K1018" s="1219" t="s">
        <v>3110</v>
      </c>
      <c r="L1018" s="8">
        <v>55</v>
      </c>
      <c r="M1018" s="8">
        <v>264</v>
      </c>
      <c r="N1018" s="1169" t="s">
        <v>271</v>
      </c>
      <c r="P1018" s="6" t="s">
        <v>3324</v>
      </c>
      <c r="Q1018" s="1215" t="s">
        <v>253</v>
      </c>
      <c r="R1018" s="1215" t="s">
        <v>255</v>
      </c>
      <c r="S1018" s="1215" t="s">
        <v>534</v>
      </c>
      <c r="T1018" s="1215" t="s">
        <v>533</v>
      </c>
      <c r="U1018" s="6" t="s">
        <v>539</v>
      </c>
      <c r="V1018" s="6" t="s">
        <v>34</v>
      </c>
      <c r="W1018" s="6" t="s">
        <v>546</v>
      </c>
      <c r="X1018" s="6" t="s">
        <v>188</v>
      </c>
    </row>
    <row r="1019" spans="1:24" ht="15" customHeight="1" x14ac:dyDescent="0.3">
      <c r="A1019" s="6" t="s">
        <v>533</v>
      </c>
      <c r="B1019" s="6" t="s">
        <v>534</v>
      </c>
      <c r="C1019" s="6" t="s">
        <v>34</v>
      </c>
      <c r="D1019" s="1088" t="s">
        <v>539</v>
      </c>
      <c r="E1019" s="6" t="s">
        <v>188</v>
      </c>
      <c r="F1019" s="6" t="s">
        <v>546</v>
      </c>
      <c r="G1019" s="6" t="s">
        <v>976</v>
      </c>
      <c r="H1019" s="6" t="s">
        <v>1045</v>
      </c>
      <c r="J1019" s="1215" t="s">
        <v>509</v>
      </c>
      <c r="K1019" s="1219" t="s">
        <v>3111</v>
      </c>
      <c r="L1019" s="8">
        <v>0</v>
      </c>
      <c r="M1019" s="8">
        <v>40</v>
      </c>
      <c r="N1019" s="1169" t="s">
        <v>271</v>
      </c>
      <c r="P1019" s="6" t="s">
        <v>3324</v>
      </c>
      <c r="Q1019" s="1215" t="s">
        <v>253</v>
      </c>
      <c r="R1019" s="1215" t="s">
        <v>255</v>
      </c>
      <c r="S1019" s="1215" t="s">
        <v>534</v>
      </c>
      <c r="T1019" s="1215" t="s">
        <v>533</v>
      </c>
      <c r="U1019" s="6" t="s">
        <v>539</v>
      </c>
      <c r="V1019" s="6" t="s">
        <v>34</v>
      </c>
      <c r="W1019" s="6" t="s">
        <v>546</v>
      </c>
      <c r="X1019" s="6" t="s">
        <v>188</v>
      </c>
    </row>
    <row r="1020" spans="1:24" ht="15" customHeight="1" x14ac:dyDescent="0.3">
      <c r="A1020" s="6" t="s">
        <v>533</v>
      </c>
      <c r="B1020" s="6" t="s">
        <v>534</v>
      </c>
      <c r="C1020" s="6" t="s">
        <v>34</v>
      </c>
      <c r="D1020" s="1088" t="s">
        <v>539</v>
      </c>
      <c r="E1020" s="6" t="s">
        <v>188</v>
      </c>
      <c r="F1020" s="6" t="s">
        <v>546</v>
      </c>
      <c r="G1020" s="6" t="s">
        <v>976</v>
      </c>
      <c r="H1020" s="6" t="s">
        <v>1045</v>
      </c>
      <c r="J1020" s="1215" t="s">
        <v>509</v>
      </c>
      <c r="K1020" s="1219" t="s">
        <v>3112</v>
      </c>
      <c r="L1020" s="8">
        <v>3</v>
      </c>
      <c r="M1020" s="8">
        <v>25</v>
      </c>
      <c r="N1020" s="1169" t="s">
        <v>271</v>
      </c>
      <c r="P1020" s="6" t="s">
        <v>3324</v>
      </c>
      <c r="Q1020" s="1215" t="s">
        <v>253</v>
      </c>
      <c r="R1020" s="1215" t="s">
        <v>255</v>
      </c>
      <c r="S1020" s="1215" t="s">
        <v>534</v>
      </c>
      <c r="T1020" s="1215" t="s">
        <v>533</v>
      </c>
      <c r="U1020" s="6" t="s">
        <v>539</v>
      </c>
      <c r="V1020" s="6" t="s">
        <v>34</v>
      </c>
      <c r="W1020" s="6" t="s">
        <v>546</v>
      </c>
      <c r="X1020" s="6" t="s">
        <v>188</v>
      </c>
    </row>
    <row r="1021" spans="1:24" ht="15" customHeight="1" x14ac:dyDescent="0.3">
      <c r="A1021" s="6" t="s">
        <v>533</v>
      </c>
      <c r="B1021" s="6" t="s">
        <v>534</v>
      </c>
      <c r="C1021" s="6" t="s">
        <v>34</v>
      </c>
      <c r="D1021" s="1088" t="s">
        <v>539</v>
      </c>
      <c r="E1021" s="6" t="s">
        <v>188</v>
      </c>
      <c r="F1021" s="6" t="s">
        <v>546</v>
      </c>
      <c r="G1021" s="6" t="s">
        <v>2658</v>
      </c>
      <c r="H1021" s="6" t="s">
        <v>1510</v>
      </c>
      <c r="J1021" s="1215" t="s">
        <v>509</v>
      </c>
      <c r="K1021" s="1219" t="s">
        <v>3033</v>
      </c>
      <c r="L1021" s="8">
        <v>41</v>
      </c>
      <c r="M1021" s="8">
        <v>201</v>
      </c>
      <c r="N1021" s="1169" t="s">
        <v>271</v>
      </c>
      <c r="P1021" s="6" t="s">
        <v>3324</v>
      </c>
      <c r="Q1021" s="1215" t="s">
        <v>253</v>
      </c>
      <c r="R1021" s="1215" t="s">
        <v>255</v>
      </c>
      <c r="S1021" s="1215" t="s">
        <v>534</v>
      </c>
      <c r="T1021" s="1215" t="s">
        <v>533</v>
      </c>
      <c r="U1021" s="6" t="s">
        <v>539</v>
      </c>
      <c r="V1021" s="6" t="s">
        <v>34</v>
      </c>
      <c r="W1021" s="6" t="s">
        <v>546</v>
      </c>
      <c r="X1021" s="6" t="s">
        <v>188</v>
      </c>
    </row>
    <row r="1022" spans="1:24" ht="15" customHeight="1" x14ac:dyDescent="0.3">
      <c r="A1022" s="6" t="s">
        <v>533</v>
      </c>
      <c r="B1022" s="6" t="s">
        <v>534</v>
      </c>
      <c r="C1022" s="6" t="s">
        <v>34</v>
      </c>
      <c r="D1022" s="1088" t="s">
        <v>539</v>
      </c>
      <c r="E1022" s="6" t="s">
        <v>188</v>
      </c>
      <c r="F1022" s="6" t="s">
        <v>546</v>
      </c>
      <c r="G1022" s="6" t="s">
        <v>2658</v>
      </c>
      <c r="H1022" s="6" t="s">
        <v>1510</v>
      </c>
      <c r="J1022" s="1215" t="s">
        <v>509</v>
      </c>
      <c r="K1022" s="1219" t="s">
        <v>3109</v>
      </c>
      <c r="L1022" s="8">
        <v>2</v>
      </c>
      <c r="M1022" s="8">
        <v>11</v>
      </c>
      <c r="N1022" s="6" t="s">
        <v>271</v>
      </c>
      <c r="P1022" s="6" t="s">
        <v>3324</v>
      </c>
      <c r="Q1022" s="1215" t="s">
        <v>253</v>
      </c>
      <c r="R1022" s="1215" t="s">
        <v>255</v>
      </c>
      <c r="S1022" s="1215" t="s">
        <v>534</v>
      </c>
      <c r="T1022" s="1215" t="s">
        <v>533</v>
      </c>
      <c r="U1022" s="6" t="s">
        <v>539</v>
      </c>
      <c r="V1022" s="6" t="s">
        <v>34</v>
      </c>
      <c r="W1022" s="6" t="s">
        <v>546</v>
      </c>
      <c r="X1022" s="6" t="s">
        <v>188</v>
      </c>
    </row>
    <row r="1023" spans="1:24" ht="15" customHeight="1" x14ac:dyDescent="0.3">
      <c r="A1023" s="6" t="s">
        <v>533</v>
      </c>
      <c r="B1023" s="6" t="s">
        <v>534</v>
      </c>
      <c r="C1023" s="6" t="s">
        <v>34</v>
      </c>
      <c r="D1023" s="1088" t="s">
        <v>539</v>
      </c>
      <c r="E1023" s="6" t="s">
        <v>188</v>
      </c>
      <c r="F1023" s="6" t="s">
        <v>546</v>
      </c>
      <c r="G1023" s="6" t="s">
        <v>2658</v>
      </c>
      <c r="H1023" s="6" t="s">
        <v>1510</v>
      </c>
      <c r="J1023" s="1215" t="s">
        <v>509</v>
      </c>
      <c r="K1023" s="1219" t="s">
        <v>3110</v>
      </c>
      <c r="L1023" s="8">
        <v>3</v>
      </c>
      <c r="M1023" s="8">
        <v>34</v>
      </c>
      <c r="N1023" s="6" t="s">
        <v>271</v>
      </c>
      <c r="P1023" s="6" t="s">
        <v>3324</v>
      </c>
      <c r="Q1023" s="1215" t="s">
        <v>253</v>
      </c>
      <c r="R1023" s="1215" t="s">
        <v>255</v>
      </c>
      <c r="S1023" s="1215" t="s">
        <v>534</v>
      </c>
      <c r="T1023" s="1215" t="s">
        <v>533</v>
      </c>
      <c r="U1023" s="6" t="s">
        <v>539</v>
      </c>
      <c r="V1023" s="6" t="s">
        <v>34</v>
      </c>
      <c r="W1023" s="6" t="s">
        <v>546</v>
      </c>
      <c r="X1023" s="6" t="s">
        <v>188</v>
      </c>
    </row>
    <row r="1024" spans="1:24" ht="15" customHeight="1" x14ac:dyDescent="0.3">
      <c r="A1024" s="6" t="s">
        <v>533</v>
      </c>
      <c r="B1024" s="6" t="s">
        <v>534</v>
      </c>
      <c r="C1024" s="6" t="s">
        <v>34</v>
      </c>
      <c r="D1024" s="1088" t="s">
        <v>539</v>
      </c>
      <c r="E1024" s="6" t="s">
        <v>188</v>
      </c>
      <c r="F1024" s="6" t="s">
        <v>546</v>
      </c>
      <c r="G1024" s="6" t="s">
        <v>2658</v>
      </c>
      <c r="H1024" s="6" t="s">
        <v>1510</v>
      </c>
      <c r="J1024" s="1215" t="s">
        <v>509</v>
      </c>
      <c r="K1024" s="1219" t="s">
        <v>3111</v>
      </c>
      <c r="L1024" s="8">
        <v>10</v>
      </c>
      <c r="M1024" s="8">
        <v>105</v>
      </c>
      <c r="N1024" s="1169" t="s">
        <v>271</v>
      </c>
      <c r="P1024" s="6" t="s">
        <v>3324</v>
      </c>
      <c r="Q1024" s="1215" t="s">
        <v>253</v>
      </c>
      <c r="R1024" s="1215" t="s">
        <v>255</v>
      </c>
      <c r="S1024" s="1215" t="s">
        <v>534</v>
      </c>
      <c r="T1024" s="1215" t="s">
        <v>533</v>
      </c>
      <c r="U1024" s="6" t="s">
        <v>539</v>
      </c>
      <c r="V1024" s="6" t="s">
        <v>34</v>
      </c>
      <c r="W1024" s="6" t="s">
        <v>546</v>
      </c>
      <c r="X1024" s="6" t="s">
        <v>188</v>
      </c>
    </row>
    <row r="1025" spans="1:24" ht="15" customHeight="1" x14ac:dyDescent="0.3">
      <c r="A1025" s="6" t="s">
        <v>533</v>
      </c>
      <c r="B1025" s="6" t="s">
        <v>534</v>
      </c>
      <c r="C1025" s="6" t="s">
        <v>34</v>
      </c>
      <c r="D1025" s="1088" t="s">
        <v>539</v>
      </c>
      <c r="E1025" s="6" t="s">
        <v>188</v>
      </c>
      <c r="F1025" s="6" t="s">
        <v>546</v>
      </c>
      <c r="G1025" s="6" t="s">
        <v>2658</v>
      </c>
      <c r="H1025" s="6" t="s">
        <v>1510</v>
      </c>
      <c r="J1025" s="1215" t="s">
        <v>509</v>
      </c>
      <c r="K1025" s="1219" t="s">
        <v>3112</v>
      </c>
      <c r="L1025" s="8">
        <v>0</v>
      </c>
      <c r="M1025" s="8">
        <v>3</v>
      </c>
      <c r="N1025" s="1169" t="s">
        <v>271</v>
      </c>
      <c r="P1025" s="6" t="s">
        <v>3324</v>
      </c>
      <c r="Q1025" s="1215" t="s">
        <v>253</v>
      </c>
      <c r="R1025" s="1215" t="s">
        <v>255</v>
      </c>
      <c r="S1025" s="1215" t="s">
        <v>534</v>
      </c>
      <c r="T1025" s="1215" t="s">
        <v>533</v>
      </c>
      <c r="U1025" s="6" t="s">
        <v>539</v>
      </c>
      <c r="V1025" s="6" t="s">
        <v>34</v>
      </c>
      <c r="W1025" s="6" t="s">
        <v>546</v>
      </c>
      <c r="X1025" s="6" t="s">
        <v>188</v>
      </c>
    </row>
    <row r="1026" spans="1:24" ht="15" customHeight="1" x14ac:dyDescent="0.3">
      <c r="A1026" s="6" t="s">
        <v>533</v>
      </c>
      <c r="B1026" s="6" t="s">
        <v>534</v>
      </c>
      <c r="C1026" s="6" t="s">
        <v>31</v>
      </c>
      <c r="D1026" s="1088" t="s">
        <v>549</v>
      </c>
      <c r="E1026" s="6" t="s">
        <v>167</v>
      </c>
      <c r="F1026" s="6" t="s">
        <v>1113</v>
      </c>
      <c r="G1026" s="6" t="s">
        <v>2297</v>
      </c>
      <c r="H1026" s="6" t="s">
        <v>2127</v>
      </c>
      <c r="J1026" s="1215" t="s">
        <v>509</v>
      </c>
      <c r="K1026" s="1219" t="s">
        <v>3109</v>
      </c>
      <c r="L1026" s="8">
        <v>10</v>
      </c>
      <c r="M1026" s="8">
        <v>40</v>
      </c>
      <c r="N1026" s="1169" t="s">
        <v>274</v>
      </c>
      <c r="P1026" s="6" t="s">
        <v>3323</v>
      </c>
      <c r="Q1026" s="1215" t="s">
        <v>253</v>
      </c>
      <c r="R1026" s="1215" t="s">
        <v>255</v>
      </c>
      <c r="S1026" s="1215" t="s">
        <v>534</v>
      </c>
      <c r="T1026" s="1215" t="s">
        <v>533</v>
      </c>
      <c r="U1026" s="6" t="s">
        <v>549</v>
      </c>
      <c r="V1026" s="6" t="s">
        <v>31</v>
      </c>
      <c r="W1026" s="6" t="s">
        <v>673</v>
      </c>
      <c r="X1026" s="6" t="s">
        <v>169</v>
      </c>
    </row>
    <row r="1027" spans="1:24" ht="15" customHeight="1" x14ac:dyDescent="0.3">
      <c r="A1027" s="6" t="s">
        <v>533</v>
      </c>
      <c r="B1027" s="6" t="s">
        <v>534</v>
      </c>
      <c r="C1027" s="6" t="s">
        <v>31</v>
      </c>
      <c r="D1027" s="1088" t="s">
        <v>549</v>
      </c>
      <c r="E1027" s="6" t="s">
        <v>164</v>
      </c>
      <c r="F1027" s="6" t="s">
        <v>748</v>
      </c>
      <c r="G1027" s="6" t="s">
        <v>2825</v>
      </c>
      <c r="H1027" s="6" t="s">
        <v>2040</v>
      </c>
      <c r="J1027" s="1215" t="s">
        <v>509</v>
      </c>
      <c r="K1027" s="1219" t="s">
        <v>3033</v>
      </c>
      <c r="L1027" s="8">
        <v>4</v>
      </c>
      <c r="M1027" s="8">
        <v>28</v>
      </c>
      <c r="N1027" s="1169" t="s">
        <v>271</v>
      </c>
      <c r="P1027" s="6" t="s">
        <v>3323</v>
      </c>
      <c r="Q1027" s="1215" t="s">
        <v>253</v>
      </c>
      <c r="R1027" s="1215" t="s">
        <v>255</v>
      </c>
      <c r="S1027" s="1215" t="s">
        <v>534</v>
      </c>
      <c r="T1027" s="1215" t="s">
        <v>533</v>
      </c>
      <c r="U1027" s="6" t="s">
        <v>549</v>
      </c>
      <c r="V1027" s="6" t="s">
        <v>31</v>
      </c>
      <c r="W1027" s="6" t="s">
        <v>881</v>
      </c>
      <c r="X1027" s="6" t="s">
        <v>165</v>
      </c>
    </row>
    <row r="1028" spans="1:24" ht="15" customHeight="1" x14ac:dyDescent="0.3">
      <c r="A1028" s="6" t="s">
        <v>533</v>
      </c>
      <c r="B1028" s="6" t="s">
        <v>534</v>
      </c>
      <c r="C1028" s="6" t="s">
        <v>31</v>
      </c>
      <c r="D1028" s="1088" t="s">
        <v>549</v>
      </c>
      <c r="E1028" s="1088" t="s">
        <v>170</v>
      </c>
      <c r="F1028" s="6" t="s">
        <v>866</v>
      </c>
      <c r="G1028" s="6" t="s">
        <v>1578</v>
      </c>
      <c r="H1028" s="6" t="s">
        <v>1020</v>
      </c>
      <c r="J1028" s="1215" t="s">
        <v>509</v>
      </c>
      <c r="K1028" s="1219" t="s">
        <v>3033</v>
      </c>
      <c r="L1028" s="8">
        <v>60</v>
      </c>
      <c r="M1028" s="8">
        <v>250</v>
      </c>
      <c r="N1028" s="1169" t="s">
        <v>271</v>
      </c>
      <c r="P1028" s="6" t="s">
        <v>3323</v>
      </c>
      <c r="Q1028" s="1215" t="s">
        <v>253</v>
      </c>
      <c r="R1028" s="1215" t="s">
        <v>255</v>
      </c>
      <c r="S1028" s="1215" t="s">
        <v>534</v>
      </c>
      <c r="T1028" s="1215" t="s">
        <v>533</v>
      </c>
      <c r="U1028" s="6" t="s">
        <v>549</v>
      </c>
      <c r="V1028" s="6" t="s">
        <v>31</v>
      </c>
      <c r="W1028" s="6" t="s">
        <v>844</v>
      </c>
      <c r="X1028" s="6" t="s">
        <v>166</v>
      </c>
    </row>
    <row r="1029" spans="1:24" ht="15" customHeight="1" x14ac:dyDescent="0.3">
      <c r="A1029" s="6" t="s">
        <v>533</v>
      </c>
      <c r="B1029" s="6" t="s">
        <v>534</v>
      </c>
      <c r="C1029" s="6" t="s">
        <v>31</v>
      </c>
      <c r="D1029" s="1088" t="s">
        <v>549</v>
      </c>
      <c r="E1029" s="1088" t="s">
        <v>170</v>
      </c>
      <c r="F1029" s="6" t="s">
        <v>866</v>
      </c>
      <c r="G1029" s="6" t="s">
        <v>1578</v>
      </c>
      <c r="H1029" s="6" t="s">
        <v>1020</v>
      </c>
      <c r="J1029" s="1215" t="s">
        <v>509</v>
      </c>
      <c r="K1029" s="1219" t="s">
        <v>3109</v>
      </c>
      <c r="L1029" s="8">
        <v>30</v>
      </c>
      <c r="M1029" s="8">
        <v>140</v>
      </c>
      <c r="N1029" s="1169" t="s">
        <v>271</v>
      </c>
      <c r="P1029" s="6" t="s">
        <v>3323</v>
      </c>
      <c r="Q1029" s="1215" t="s">
        <v>253</v>
      </c>
      <c r="R1029" s="1215" t="s">
        <v>255</v>
      </c>
      <c r="S1029" s="1215" t="s">
        <v>534</v>
      </c>
      <c r="T1029" s="1215" t="s">
        <v>533</v>
      </c>
      <c r="U1029" s="6" t="s">
        <v>549</v>
      </c>
      <c r="V1029" s="6" t="s">
        <v>31</v>
      </c>
      <c r="W1029" s="6" t="s">
        <v>844</v>
      </c>
      <c r="X1029" s="6" t="s">
        <v>166</v>
      </c>
    </row>
    <row r="1030" spans="1:24" ht="15" customHeight="1" x14ac:dyDescent="0.3">
      <c r="A1030" s="6" t="s">
        <v>533</v>
      </c>
      <c r="B1030" s="6" t="s">
        <v>534</v>
      </c>
      <c r="C1030" s="6" t="s">
        <v>31</v>
      </c>
      <c r="D1030" s="1088" t="s">
        <v>549</v>
      </c>
      <c r="E1030" s="1088" t="s">
        <v>170</v>
      </c>
      <c r="F1030" s="6" t="s">
        <v>866</v>
      </c>
      <c r="G1030" s="6" t="s">
        <v>1578</v>
      </c>
      <c r="H1030" s="6" t="s">
        <v>1020</v>
      </c>
      <c r="J1030" s="1215" t="s">
        <v>509</v>
      </c>
      <c r="K1030" s="1219" t="s">
        <v>3110</v>
      </c>
      <c r="L1030" s="8">
        <v>12</v>
      </c>
      <c r="M1030" s="8">
        <v>70</v>
      </c>
      <c r="N1030" s="6" t="s">
        <v>271</v>
      </c>
      <c r="P1030" s="6" t="s">
        <v>3323</v>
      </c>
      <c r="Q1030" s="1215" t="s">
        <v>253</v>
      </c>
      <c r="R1030" s="1215" t="s">
        <v>255</v>
      </c>
      <c r="S1030" s="1215" t="s">
        <v>534</v>
      </c>
      <c r="T1030" s="1215" t="s">
        <v>533</v>
      </c>
      <c r="U1030" s="6" t="s">
        <v>549</v>
      </c>
      <c r="V1030" s="6" t="s">
        <v>31</v>
      </c>
      <c r="W1030" s="6" t="s">
        <v>844</v>
      </c>
      <c r="X1030" s="6" t="s">
        <v>166</v>
      </c>
    </row>
    <row r="1031" spans="1:24" ht="15" customHeight="1" x14ac:dyDescent="0.3">
      <c r="A1031" s="6" t="s">
        <v>533</v>
      </c>
      <c r="B1031" s="6" t="s">
        <v>534</v>
      </c>
      <c r="C1031" s="6" t="s">
        <v>31</v>
      </c>
      <c r="D1031" s="1088" t="s">
        <v>549</v>
      </c>
      <c r="E1031" s="1088" t="s">
        <v>170</v>
      </c>
      <c r="F1031" s="6" t="s">
        <v>866</v>
      </c>
      <c r="G1031" s="6" t="s">
        <v>1578</v>
      </c>
      <c r="H1031" s="6" t="s">
        <v>1020</v>
      </c>
      <c r="J1031" s="1215" t="s">
        <v>509</v>
      </c>
      <c r="K1031" s="1219" t="s">
        <v>3111</v>
      </c>
      <c r="L1031" s="8">
        <v>17</v>
      </c>
      <c r="M1031" s="8">
        <v>152</v>
      </c>
      <c r="N1031" s="1169" t="s">
        <v>274</v>
      </c>
      <c r="P1031" s="6" t="s">
        <v>3323</v>
      </c>
      <c r="Q1031" s="1215" t="s">
        <v>253</v>
      </c>
      <c r="R1031" s="1215" t="s">
        <v>255</v>
      </c>
      <c r="S1031" s="1215" t="s">
        <v>534</v>
      </c>
      <c r="T1031" s="1215" t="s">
        <v>533</v>
      </c>
      <c r="U1031" s="6" t="s">
        <v>549</v>
      </c>
      <c r="V1031" s="6" t="s">
        <v>31</v>
      </c>
      <c r="W1031" s="6" t="s">
        <v>673</v>
      </c>
      <c r="X1031" s="6" t="s">
        <v>169</v>
      </c>
    </row>
    <row r="1032" spans="1:24" ht="15" customHeight="1" x14ac:dyDescent="0.3">
      <c r="A1032" s="6" t="s">
        <v>533</v>
      </c>
      <c r="B1032" s="6" t="s">
        <v>534</v>
      </c>
      <c r="C1032" s="6" t="s">
        <v>31</v>
      </c>
      <c r="D1032" s="1088" t="s">
        <v>549</v>
      </c>
      <c r="E1032" s="1088" t="s">
        <v>170</v>
      </c>
      <c r="F1032" s="6" t="s">
        <v>866</v>
      </c>
      <c r="G1032" s="6" t="s">
        <v>1578</v>
      </c>
      <c r="H1032" s="6" t="s">
        <v>1020</v>
      </c>
      <c r="J1032" s="1215" t="s">
        <v>509</v>
      </c>
      <c r="K1032" s="1219" t="s">
        <v>3112</v>
      </c>
      <c r="L1032" s="8">
        <v>3</v>
      </c>
      <c r="M1032" s="8">
        <v>26</v>
      </c>
      <c r="N1032" s="1169" t="s">
        <v>272</v>
      </c>
      <c r="P1032" s="6" t="s">
        <v>3323</v>
      </c>
      <c r="Q1032" s="1215" t="s">
        <v>253</v>
      </c>
      <c r="R1032" s="1215" t="s">
        <v>255</v>
      </c>
      <c r="S1032" s="1215" t="s">
        <v>534</v>
      </c>
      <c r="T1032" s="1215" t="s">
        <v>533</v>
      </c>
      <c r="U1032" s="6" t="s">
        <v>549</v>
      </c>
      <c r="V1032" s="6" t="s">
        <v>31</v>
      </c>
      <c r="W1032" s="6" t="s">
        <v>673</v>
      </c>
      <c r="X1032" s="6" t="s">
        <v>169</v>
      </c>
    </row>
    <row r="1033" spans="1:24" ht="15" customHeight="1" x14ac:dyDescent="0.3">
      <c r="A1033" s="6" t="s">
        <v>533</v>
      </c>
      <c r="B1033" s="6" t="s">
        <v>534</v>
      </c>
      <c r="C1033" s="6" t="s">
        <v>31</v>
      </c>
      <c r="D1033" s="1088" t="s">
        <v>549</v>
      </c>
      <c r="E1033" s="6" t="s">
        <v>171</v>
      </c>
      <c r="F1033" s="6" t="s">
        <v>634</v>
      </c>
      <c r="G1033" s="6" t="s">
        <v>2835</v>
      </c>
      <c r="H1033" s="6" t="s">
        <v>2180</v>
      </c>
      <c r="J1033" s="1215" t="s">
        <v>509</v>
      </c>
      <c r="K1033" s="1219" t="s">
        <v>3111</v>
      </c>
      <c r="L1033" s="8">
        <v>10</v>
      </c>
      <c r="M1033" s="8">
        <v>29</v>
      </c>
      <c r="N1033" s="1169" t="s">
        <v>271</v>
      </c>
      <c r="P1033" s="6" t="s">
        <v>3324</v>
      </c>
      <c r="Q1033" s="1215" t="s">
        <v>253</v>
      </c>
      <c r="R1033" s="1215" t="s">
        <v>255</v>
      </c>
      <c r="S1033" s="1215" t="s">
        <v>534</v>
      </c>
      <c r="T1033" s="1215" t="s">
        <v>533</v>
      </c>
      <c r="U1033" s="6" t="s">
        <v>549</v>
      </c>
      <c r="V1033" s="6" t="s">
        <v>31</v>
      </c>
      <c r="W1033" s="6" t="s">
        <v>634</v>
      </c>
      <c r="X1033" s="6" t="s">
        <v>171</v>
      </c>
    </row>
    <row r="1034" spans="1:24" ht="15" customHeight="1" x14ac:dyDescent="0.3">
      <c r="A1034" s="6" t="s">
        <v>533</v>
      </c>
      <c r="B1034" s="6" t="s">
        <v>534</v>
      </c>
      <c r="C1034" s="6" t="s">
        <v>31</v>
      </c>
      <c r="D1034" s="1088" t="s">
        <v>549</v>
      </c>
      <c r="E1034" s="6" t="s">
        <v>171</v>
      </c>
      <c r="F1034" s="6" t="s">
        <v>634</v>
      </c>
      <c r="G1034" s="6" t="s">
        <v>2606</v>
      </c>
      <c r="H1034" s="6" t="s">
        <v>2169</v>
      </c>
      <c r="J1034" s="1215" t="s">
        <v>509</v>
      </c>
      <c r="K1034" s="1219" t="s">
        <v>3111</v>
      </c>
      <c r="L1034" s="8">
        <v>11</v>
      </c>
      <c r="M1034" s="8">
        <v>50</v>
      </c>
      <c r="N1034" s="1169" t="s">
        <v>271</v>
      </c>
      <c r="P1034" s="6" t="s">
        <v>3324</v>
      </c>
      <c r="Q1034" s="1215" t="s">
        <v>253</v>
      </c>
      <c r="R1034" s="1215" t="s">
        <v>255</v>
      </c>
      <c r="S1034" s="1215" t="s">
        <v>534</v>
      </c>
      <c r="T1034" s="1215" t="s">
        <v>533</v>
      </c>
      <c r="U1034" s="6" t="s">
        <v>549</v>
      </c>
      <c r="V1034" s="6" t="s">
        <v>31</v>
      </c>
      <c r="W1034" s="6" t="s">
        <v>634</v>
      </c>
      <c r="X1034" s="6" t="s">
        <v>171</v>
      </c>
    </row>
    <row r="1035" spans="1:24" ht="15" customHeight="1" x14ac:dyDescent="0.3">
      <c r="A1035" s="6" t="s">
        <v>533</v>
      </c>
      <c r="B1035" s="6" t="s">
        <v>534</v>
      </c>
      <c r="C1035" s="6" t="s">
        <v>31</v>
      </c>
      <c r="D1035" s="1088" t="s">
        <v>549</v>
      </c>
      <c r="E1035" s="6" t="s">
        <v>171</v>
      </c>
      <c r="F1035" s="6" t="s">
        <v>634</v>
      </c>
      <c r="G1035" s="6" t="s">
        <v>2980</v>
      </c>
      <c r="H1035" s="6" t="s">
        <v>927</v>
      </c>
      <c r="J1035" s="1215" t="s">
        <v>509</v>
      </c>
      <c r="K1035" s="1219" t="s">
        <v>3111</v>
      </c>
      <c r="L1035" s="8">
        <v>14</v>
      </c>
      <c r="M1035" s="8">
        <v>110</v>
      </c>
      <c r="N1035" s="1169" t="s">
        <v>271</v>
      </c>
      <c r="P1035" s="6" t="s">
        <v>3324</v>
      </c>
      <c r="Q1035" s="1215" t="s">
        <v>253</v>
      </c>
      <c r="R1035" s="1215" t="s">
        <v>255</v>
      </c>
      <c r="S1035" s="1215" t="s">
        <v>534</v>
      </c>
      <c r="T1035" s="1215" t="s">
        <v>533</v>
      </c>
      <c r="U1035" s="6" t="s">
        <v>549</v>
      </c>
      <c r="V1035" s="6" t="s">
        <v>31</v>
      </c>
      <c r="W1035" s="6" t="s">
        <v>634</v>
      </c>
      <c r="X1035" s="6" t="s">
        <v>171</v>
      </c>
    </row>
    <row r="1036" spans="1:24" ht="15" customHeight="1" x14ac:dyDescent="0.3">
      <c r="A1036" s="6" t="s">
        <v>533</v>
      </c>
      <c r="B1036" s="6" t="s">
        <v>534</v>
      </c>
      <c r="C1036" s="6" t="s">
        <v>31</v>
      </c>
      <c r="D1036" s="1088" t="s">
        <v>549</v>
      </c>
      <c r="E1036" s="6" t="s">
        <v>171</v>
      </c>
      <c r="F1036" s="6" t="s">
        <v>634</v>
      </c>
      <c r="G1036" s="6" t="s">
        <v>2133</v>
      </c>
      <c r="H1036" s="6" t="s">
        <v>1709</v>
      </c>
      <c r="J1036" s="1215" t="s">
        <v>509</v>
      </c>
      <c r="K1036" s="1219" t="s">
        <v>3111</v>
      </c>
      <c r="L1036" s="8">
        <v>37</v>
      </c>
      <c r="M1036" s="8">
        <v>339</v>
      </c>
      <c r="N1036" s="1169" t="s">
        <v>271</v>
      </c>
      <c r="P1036" s="6" t="s">
        <v>3324</v>
      </c>
      <c r="Q1036" s="1215" t="s">
        <v>253</v>
      </c>
      <c r="R1036" s="1215" t="s">
        <v>255</v>
      </c>
      <c r="S1036" s="1215" t="s">
        <v>534</v>
      </c>
      <c r="T1036" s="1215" t="s">
        <v>533</v>
      </c>
      <c r="U1036" s="6" t="s">
        <v>549</v>
      </c>
      <c r="V1036" s="6" t="s">
        <v>31</v>
      </c>
      <c r="W1036" s="6" t="s">
        <v>634</v>
      </c>
      <c r="X1036" s="6" t="s">
        <v>171</v>
      </c>
    </row>
    <row r="1037" spans="1:24" ht="15" customHeight="1" x14ac:dyDescent="0.3">
      <c r="A1037" s="6" t="s">
        <v>533</v>
      </c>
      <c r="B1037" s="6" t="s">
        <v>534</v>
      </c>
      <c r="C1037" s="6" t="s">
        <v>31</v>
      </c>
      <c r="D1037" s="1088" t="s">
        <v>549</v>
      </c>
      <c r="E1037" s="6" t="s">
        <v>171</v>
      </c>
      <c r="F1037" s="6" t="s">
        <v>634</v>
      </c>
      <c r="G1037" s="6" t="s">
        <v>1392</v>
      </c>
      <c r="H1037" s="6" t="s">
        <v>1539</v>
      </c>
      <c r="J1037" s="1215" t="s">
        <v>509</v>
      </c>
      <c r="K1037" s="1219" t="s">
        <v>3111</v>
      </c>
      <c r="L1037" s="8">
        <v>130</v>
      </c>
      <c r="M1037" s="8">
        <v>246</v>
      </c>
      <c r="N1037" s="1169" t="s">
        <v>271</v>
      </c>
      <c r="P1037" s="6" t="s">
        <v>3324</v>
      </c>
      <c r="Q1037" s="1215" t="s">
        <v>253</v>
      </c>
      <c r="R1037" s="1215" t="s">
        <v>255</v>
      </c>
      <c r="S1037" s="1215" t="s">
        <v>534</v>
      </c>
      <c r="T1037" s="1215" t="s">
        <v>533</v>
      </c>
      <c r="U1037" s="6" t="s">
        <v>549</v>
      </c>
      <c r="V1037" s="6" t="s">
        <v>31</v>
      </c>
      <c r="W1037" s="6" t="s">
        <v>634</v>
      </c>
      <c r="X1037" s="6" t="s">
        <v>171</v>
      </c>
    </row>
    <row r="1038" spans="1:24" ht="15" customHeight="1" x14ac:dyDescent="0.3">
      <c r="A1038" s="6" t="s">
        <v>533</v>
      </c>
      <c r="B1038" s="6" t="s">
        <v>534</v>
      </c>
      <c r="C1038" s="6" t="s">
        <v>31</v>
      </c>
      <c r="D1038" s="1088" t="s">
        <v>549</v>
      </c>
      <c r="E1038" s="1088" t="s">
        <v>171</v>
      </c>
      <c r="F1038" s="6" t="s">
        <v>634</v>
      </c>
      <c r="G1038" s="6" t="s">
        <v>1278</v>
      </c>
      <c r="H1038" s="6" t="s">
        <v>1543</v>
      </c>
      <c r="J1038" s="1215" t="s">
        <v>509</v>
      </c>
      <c r="K1038" s="1219" t="s">
        <v>3111</v>
      </c>
      <c r="L1038" s="8">
        <v>24</v>
      </c>
      <c r="M1038" s="8">
        <v>182</v>
      </c>
      <c r="N1038" s="1169" t="s">
        <v>271</v>
      </c>
      <c r="P1038" s="6" t="s">
        <v>3324</v>
      </c>
      <c r="Q1038" s="1215" t="s">
        <v>253</v>
      </c>
      <c r="R1038" s="1215" t="s">
        <v>255</v>
      </c>
      <c r="S1038" s="1215" t="s">
        <v>534</v>
      </c>
      <c r="T1038" s="1215" t="s">
        <v>533</v>
      </c>
      <c r="U1038" s="6" t="s">
        <v>549</v>
      </c>
      <c r="V1038" s="6" t="s">
        <v>31</v>
      </c>
      <c r="W1038" s="6" t="s">
        <v>634</v>
      </c>
      <c r="X1038" s="6" t="s">
        <v>171</v>
      </c>
    </row>
    <row r="1039" spans="1:24" ht="15" customHeight="1" x14ac:dyDescent="0.3">
      <c r="A1039" s="6" t="s">
        <v>533</v>
      </c>
      <c r="B1039" s="6" t="s">
        <v>534</v>
      </c>
      <c r="C1039" s="6" t="s">
        <v>31</v>
      </c>
      <c r="D1039" s="1088" t="s">
        <v>549</v>
      </c>
      <c r="E1039" s="1088" t="s">
        <v>171</v>
      </c>
      <c r="F1039" s="6" t="s">
        <v>634</v>
      </c>
      <c r="G1039" s="6" t="s">
        <v>2928</v>
      </c>
      <c r="H1039" s="6" t="s">
        <v>3279</v>
      </c>
      <c r="J1039" s="1215" t="s">
        <v>509</v>
      </c>
      <c r="K1039" s="1219" t="s">
        <v>3111</v>
      </c>
      <c r="L1039" s="8">
        <v>87</v>
      </c>
      <c r="M1039" s="8">
        <v>1048</v>
      </c>
      <c r="N1039" s="1169" t="s">
        <v>271</v>
      </c>
      <c r="P1039" s="6" t="s">
        <v>3324</v>
      </c>
      <c r="Q1039" s="1215" t="s">
        <v>253</v>
      </c>
      <c r="R1039" s="1215" t="s">
        <v>255</v>
      </c>
      <c r="S1039" s="1215" t="s">
        <v>534</v>
      </c>
      <c r="T1039" s="1215" t="s">
        <v>533</v>
      </c>
      <c r="U1039" s="6" t="s">
        <v>549</v>
      </c>
      <c r="V1039" s="6" t="s">
        <v>31</v>
      </c>
      <c r="W1039" s="6" t="s">
        <v>634</v>
      </c>
      <c r="X1039" s="6" t="s">
        <v>171</v>
      </c>
    </row>
    <row r="1040" spans="1:24" ht="15" customHeight="1" x14ac:dyDescent="0.3">
      <c r="A1040" s="6" t="s">
        <v>533</v>
      </c>
      <c r="B1040" s="6" t="s">
        <v>534</v>
      </c>
      <c r="C1040" s="6" t="s">
        <v>31</v>
      </c>
      <c r="D1040" s="1088" t="s">
        <v>549</v>
      </c>
      <c r="E1040" s="1088" t="s">
        <v>171</v>
      </c>
      <c r="F1040" s="6" t="s">
        <v>634</v>
      </c>
      <c r="G1040" s="6" t="s">
        <v>1011</v>
      </c>
      <c r="H1040" s="6" t="s">
        <v>3241</v>
      </c>
      <c r="J1040" s="1215" t="s">
        <v>509</v>
      </c>
      <c r="K1040" s="1219" t="s">
        <v>3033</v>
      </c>
      <c r="L1040" s="8">
        <v>49</v>
      </c>
      <c r="M1040" s="8">
        <v>485</v>
      </c>
      <c r="N1040" s="1169" t="s">
        <v>271</v>
      </c>
      <c r="P1040" s="6" t="s">
        <v>3324</v>
      </c>
      <c r="Q1040" s="1215" t="s">
        <v>253</v>
      </c>
      <c r="R1040" s="1215" t="s">
        <v>255</v>
      </c>
      <c r="S1040" s="1215" t="s">
        <v>534</v>
      </c>
      <c r="T1040" s="1215" t="s">
        <v>533</v>
      </c>
      <c r="U1040" s="6" t="s">
        <v>549</v>
      </c>
      <c r="V1040" s="6" t="s">
        <v>31</v>
      </c>
      <c r="W1040" s="6" t="s">
        <v>634</v>
      </c>
      <c r="X1040" s="6" t="s">
        <v>171</v>
      </c>
    </row>
    <row r="1041" spans="1:24" ht="15" customHeight="1" x14ac:dyDescent="0.3">
      <c r="A1041" s="6" t="s">
        <v>533</v>
      </c>
      <c r="B1041" s="6" t="s">
        <v>534</v>
      </c>
      <c r="C1041" s="6" t="s">
        <v>31</v>
      </c>
      <c r="D1041" s="1088" t="s">
        <v>549</v>
      </c>
      <c r="E1041" s="6" t="s">
        <v>166</v>
      </c>
      <c r="F1041" s="6" t="s">
        <v>844</v>
      </c>
      <c r="G1041" s="6" t="s">
        <v>1118</v>
      </c>
      <c r="H1041" s="6" t="s">
        <v>942</v>
      </c>
      <c r="J1041" s="1215" t="s">
        <v>509</v>
      </c>
      <c r="K1041" s="1219" t="s">
        <v>3033</v>
      </c>
      <c r="L1041" s="8">
        <v>1</v>
      </c>
      <c r="M1041" s="8">
        <v>8</v>
      </c>
      <c r="N1041" s="1169" t="s">
        <v>271</v>
      </c>
      <c r="P1041" s="6" t="s">
        <v>3324</v>
      </c>
      <c r="Q1041" s="1215" t="s">
        <v>253</v>
      </c>
      <c r="R1041" s="1215" t="s">
        <v>255</v>
      </c>
      <c r="S1041" s="1215" t="s">
        <v>534</v>
      </c>
      <c r="T1041" s="1215" t="s">
        <v>533</v>
      </c>
      <c r="U1041" s="6" t="s">
        <v>549</v>
      </c>
      <c r="V1041" s="6" t="s">
        <v>31</v>
      </c>
      <c r="W1041" s="6" t="s">
        <v>844</v>
      </c>
      <c r="X1041" s="6" t="s">
        <v>166</v>
      </c>
    </row>
    <row r="1042" spans="1:24" ht="15" customHeight="1" x14ac:dyDescent="0.3">
      <c r="A1042" s="6" t="s">
        <v>533</v>
      </c>
      <c r="B1042" s="6" t="s">
        <v>534</v>
      </c>
      <c r="C1042" s="6" t="s">
        <v>31</v>
      </c>
      <c r="D1042" s="1088" t="s">
        <v>549</v>
      </c>
      <c r="E1042" s="6" t="s">
        <v>166</v>
      </c>
      <c r="F1042" s="6" t="s">
        <v>844</v>
      </c>
      <c r="G1042" s="6" t="s">
        <v>2824</v>
      </c>
      <c r="H1042" s="6" t="s">
        <v>1014</v>
      </c>
      <c r="J1042" s="1215" t="s">
        <v>509</v>
      </c>
      <c r="K1042" s="1219" t="s">
        <v>3110</v>
      </c>
      <c r="L1042" s="8">
        <v>75</v>
      </c>
      <c r="M1042" s="8">
        <v>428</v>
      </c>
      <c r="N1042" s="1169" t="s">
        <v>271</v>
      </c>
      <c r="P1042" s="6" t="s">
        <v>3324</v>
      </c>
      <c r="Q1042" s="1215" t="s">
        <v>253</v>
      </c>
      <c r="R1042" s="1215" t="s">
        <v>255</v>
      </c>
      <c r="S1042" s="1215" t="s">
        <v>534</v>
      </c>
      <c r="T1042" s="1215" t="s">
        <v>533</v>
      </c>
      <c r="U1042" s="6" t="s">
        <v>549</v>
      </c>
      <c r="V1042" s="6" t="s">
        <v>31</v>
      </c>
      <c r="W1042" s="6" t="s">
        <v>844</v>
      </c>
      <c r="X1042" s="6" t="s">
        <v>166</v>
      </c>
    </row>
    <row r="1043" spans="1:24" ht="15" customHeight="1" x14ac:dyDescent="0.3">
      <c r="A1043" s="6" t="s">
        <v>533</v>
      </c>
      <c r="B1043" s="6" t="s">
        <v>534</v>
      </c>
      <c r="C1043" s="6" t="s">
        <v>31</v>
      </c>
      <c r="D1043" s="1088" t="s">
        <v>549</v>
      </c>
      <c r="E1043" s="6" t="s">
        <v>166</v>
      </c>
      <c r="F1043" s="6" t="s">
        <v>844</v>
      </c>
      <c r="G1043" s="6" t="s">
        <v>2512</v>
      </c>
      <c r="H1043" s="6" t="s">
        <v>966</v>
      </c>
      <c r="J1043" s="1215" t="s">
        <v>509</v>
      </c>
      <c r="K1043" s="1219" t="s">
        <v>3033</v>
      </c>
      <c r="L1043" s="8">
        <v>63</v>
      </c>
      <c r="M1043" s="8">
        <v>403</v>
      </c>
      <c r="N1043" s="1169" t="s">
        <v>271</v>
      </c>
      <c r="P1043" s="6" t="s">
        <v>3324</v>
      </c>
      <c r="Q1043" s="1215" t="s">
        <v>253</v>
      </c>
      <c r="R1043" s="1215" t="s">
        <v>255</v>
      </c>
      <c r="S1043" s="1215" t="s">
        <v>534</v>
      </c>
      <c r="T1043" s="1215" t="s">
        <v>533</v>
      </c>
      <c r="U1043" s="6" t="s">
        <v>549</v>
      </c>
      <c r="V1043" s="6" t="s">
        <v>31</v>
      </c>
      <c r="W1043" s="6" t="s">
        <v>844</v>
      </c>
      <c r="X1043" s="6" t="s">
        <v>166</v>
      </c>
    </row>
    <row r="1044" spans="1:24" ht="15" customHeight="1" x14ac:dyDescent="0.3">
      <c r="A1044" s="6" t="s">
        <v>533</v>
      </c>
      <c r="B1044" s="6" t="s">
        <v>534</v>
      </c>
      <c r="C1044" s="6" t="s">
        <v>31</v>
      </c>
      <c r="D1044" s="1088" t="s">
        <v>549</v>
      </c>
      <c r="E1044" s="6" t="s">
        <v>166</v>
      </c>
      <c r="F1044" s="6" t="s">
        <v>844</v>
      </c>
      <c r="G1044" s="6" t="s">
        <v>2512</v>
      </c>
      <c r="H1044" s="6" t="s">
        <v>966</v>
      </c>
      <c r="J1044" s="1215" t="s">
        <v>509</v>
      </c>
      <c r="K1044" s="1219" t="s">
        <v>3110</v>
      </c>
      <c r="L1044" s="8">
        <v>4</v>
      </c>
      <c r="M1044" s="8">
        <v>16</v>
      </c>
      <c r="N1044" s="1169" t="s">
        <v>271</v>
      </c>
      <c r="P1044" s="6" t="s">
        <v>3324</v>
      </c>
      <c r="Q1044" s="1215" t="s">
        <v>253</v>
      </c>
      <c r="R1044" s="1215" t="s">
        <v>255</v>
      </c>
      <c r="S1044" s="1215" t="s">
        <v>534</v>
      </c>
      <c r="T1044" s="1215" t="s">
        <v>533</v>
      </c>
      <c r="U1044" s="6" t="s">
        <v>549</v>
      </c>
      <c r="V1044" s="6" t="s">
        <v>31</v>
      </c>
      <c r="W1044" s="6" t="s">
        <v>844</v>
      </c>
      <c r="X1044" s="6" t="s">
        <v>166</v>
      </c>
    </row>
    <row r="1045" spans="1:24" ht="15" customHeight="1" x14ac:dyDescent="0.3">
      <c r="A1045" s="6" t="s">
        <v>533</v>
      </c>
      <c r="B1045" s="6" t="s">
        <v>534</v>
      </c>
      <c r="C1045" s="6" t="s">
        <v>31</v>
      </c>
      <c r="D1045" s="1088" t="s">
        <v>549</v>
      </c>
      <c r="E1045" s="6" t="s">
        <v>166</v>
      </c>
      <c r="F1045" s="6" t="s">
        <v>844</v>
      </c>
      <c r="G1045" s="6" t="s">
        <v>2495</v>
      </c>
      <c r="H1045" s="6" t="s">
        <v>2171</v>
      </c>
      <c r="J1045" s="1215" t="s">
        <v>509</v>
      </c>
      <c r="K1045" s="1219" t="s">
        <v>3033</v>
      </c>
      <c r="L1045" s="8">
        <v>10</v>
      </c>
      <c r="M1045" s="8">
        <v>59</v>
      </c>
      <c r="N1045" s="1169" t="s">
        <v>271</v>
      </c>
      <c r="P1045" s="6" t="s">
        <v>3324</v>
      </c>
      <c r="Q1045" s="1215" t="s">
        <v>253</v>
      </c>
      <c r="R1045" s="1215" t="s">
        <v>255</v>
      </c>
      <c r="S1045" s="1215" t="s">
        <v>534</v>
      </c>
      <c r="T1045" s="1215" t="s">
        <v>533</v>
      </c>
      <c r="U1045" s="6" t="s">
        <v>549</v>
      </c>
      <c r="V1045" s="6" t="s">
        <v>31</v>
      </c>
      <c r="W1045" s="6" t="s">
        <v>844</v>
      </c>
      <c r="X1045" s="6" t="s">
        <v>166</v>
      </c>
    </row>
    <row r="1046" spans="1:24" ht="15" customHeight="1" x14ac:dyDescent="0.3">
      <c r="A1046" s="6" t="s">
        <v>533</v>
      </c>
      <c r="B1046" s="6" t="s">
        <v>534</v>
      </c>
      <c r="C1046" s="6" t="s">
        <v>31</v>
      </c>
      <c r="D1046" s="1088" t="s">
        <v>549</v>
      </c>
      <c r="E1046" s="6" t="s">
        <v>171</v>
      </c>
      <c r="F1046" s="6" t="s">
        <v>634</v>
      </c>
      <c r="G1046" s="6" t="s">
        <v>1823</v>
      </c>
      <c r="H1046" s="6" t="s">
        <v>1698</v>
      </c>
      <c r="J1046" s="1215" t="s">
        <v>509</v>
      </c>
      <c r="K1046" s="1219" t="s">
        <v>3033</v>
      </c>
      <c r="L1046" s="8">
        <v>21</v>
      </c>
      <c r="M1046" s="8">
        <v>77</v>
      </c>
      <c r="N1046" s="1169" t="s">
        <v>271</v>
      </c>
      <c r="P1046" s="6" t="s">
        <v>3324</v>
      </c>
      <c r="Q1046" s="1215" t="s">
        <v>253</v>
      </c>
      <c r="R1046" s="1215" t="s">
        <v>255</v>
      </c>
      <c r="S1046" s="1215" t="s">
        <v>534</v>
      </c>
      <c r="T1046" s="1215" t="s">
        <v>533</v>
      </c>
      <c r="U1046" s="6" t="s">
        <v>549</v>
      </c>
      <c r="V1046" s="6" t="s">
        <v>31</v>
      </c>
      <c r="W1046" s="6" t="s">
        <v>634</v>
      </c>
      <c r="X1046" s="6" t="s">
        <v>171</v>
      </c>
    </row>
    <row r="1047" spans="1:24" ht="15" customHeight="1" x14ac:dyDescent="0.3">
      <c r="A1047" s="6" t="s">
        <v>533</v>
      </c>
      <c r="B1047" s="6" t="s">
        <v>534</v>
      </c>
      <c r="C1047" s="6" t="s">
        <v>31</v>
      </c>
      <c r="D1047" s="1088" t="s">
        <v>549</v>
      </c>
      <c r="E1047" s="6" t="s">
        <v>171</v>
      </c>
      <c r="F1047" s="6" t="s">
        <v>634</v>
      </c>
      <c r="G1047" s="6" t="s">
        <v>1153</v>
      </c>
      <c r="H1047" s="6" t="s">
        <v>1721</v>
      </c>
      <c r="J1047" s="1215" t="s">
        <v>509</v>
      </c>
      <c r="K1047" s="1219" t="s">
        <v>3033</v>
      </c>
      <c r="L1047" s="8">
        <v>3</v>
      </c>
      <c r="M1047" s="8">
        <v>47</v>
      </c>
      <c r="N1047" s="1169" t="s">
        <v>271</v>
      </c>
      <c r="P1047" s="6" t="s">
        <v>3324</v>
      </c>
      <c r="Q1047" s="1215" t="s">
        <v>253</v>
      </c>
      <c r="R1047" s="1215" t="s">
        <v>255</v>
      </c>
      <c r="S1047" s="1215" t="s">
        <v>534</v>
      </c>
      <c r="T1047" s="1215" t="s">
        <v>533</v>
      </c>
      <c r="U1047" s="6" t="s">
        <v>549</v>
      </c>
      <c r="V1047" s="6" t="s">
        <v>31</v>
      </c>
      <c r="W1047" s="6" t="s">
        <v>634</v>
      </c>
      <c r="X1047" s="6" t="s">
        <v>171</v>
      </c>
    </row>
    <row r="1048" spans="1:24" ht="15" customHeight="1" x14ac:dyDescent="0.3">
      <c r="A1048" s="6" t="s">
        <v>533</v>
      </c>
      <c r="B1048" s="6" t="s">
        <v>534</v>
      </c>
      <c r="C1048" s="6" t="s">
        <v>34</v>
      </c>
      <c r="D1048" s="1088" t="s">
        <v>539</v>
      </c>
      <c r="E1048" s="6" t="s">
        <v>187</v>
      </c>
      <c r="F1048" s="6" t="s">
        <v>951</v>
      </c>
      <c r="G1048" s="6" t="s">
        <v>2546</v>
      </c>
      <c r="H1048" s="6" t="s">
        <v>1594</v>
      </c>
      <c r="J1048" s="1215" t="s">
        <v>509</v>
      </c>
      <c r="K1048" s="1219" t="s">
        <v>3033</v>
      </c>
      <c r="L1048" s="8">
        <v>559</v>
      </c>
      <c r="M1048" s="8">
        <v>4482</v>
      </c>
      <c r="N1048" s="1169" t="s">
        <v>271</v>
      </c>
      <c r="P1048" s="6" t="s">
        <v>3324</v>
      </c>
      <c r="Q1048" s="1215" t="s">
        <v>253</v>
      </c>
      <c r="R1048" s="1215" t="s">
        <v>255</v>
      </c>
      <c r="S1048" s="1215" t="s">
        <v>534</v>
      </c>
      <c r="T1048" s="1215" t="s">
        <v>533</v>
      </c>
      <c r="U1048" s="6" t="s">
        <v>539</v>
      </c>
      <c r="V1048" s="6" t="s">
        <v>34</v>
      </c>
      <c r="W1048" s="6" t="s">
        <v>951</v>
      </c>
      <c r="X1048" s="6" t="s">
        <v>187</v>
      </c>
    </row>
    <row r="1049" spans="1:24" ht="15" customHeight="1" x14ac:dyDescent="0.3">
      <c r="A1049" s="6" t="s">
        <v>533</v>
      </c>
      <c r="B1049" s="6" t="s">
        <v>534</v>
      </c>
      <c r="C1049" s="6" t="s">
        <v>34</v>
      </c>
      <c r="D1049" s="1088" t="s">
        <v>539</v>
      </c>
      <c r="E1049" s="6" t="s">
        <v>187</v>
      </c>
      <c r="F1049" s="6" t="s">
        <v>951</v>
      </c>
      <c r="G1049" s="6" t="s">
        <v>2546</v>
      </c>
      <c r="H1049" s="6" t="s">
        <v>1594</v>
      </c>
      <c r="J1049" s="1215" t="s">
        <v>509</v>
      </c>
      <c r="K1049" s="1219" t="s">
        <v>3109</v>
      </c>
      <c r="L1049" s="8">
        <v>6</v>
      </c>
      <c r="M1049" s="8">
        <v>43</v>
      </c>
      <c r="N1049" s="1169" t="s">
        <v>271</v>
      </c>
      <c r="P1049" s="6" t="s">
        <v>3324</v>
      </c>
      <c r="Q1049" s="1215" t="s">
        <v>253</v>
      </c>
      <c r="R1049" s="1215" t="s">
        <v>255</v>
      </c>
      <c r="S1049" s="1215" t="s">
        <v>534</v>
      </c>
      <c r="T1049" s="1215" t="s">
        <v>533</v>
      </c>
      <c r="U1049" s="6" t="s">
        <v>539</v>
      </c>
      <c r="V1049" s="6" t="s">
        <v>34</v>
      </c>
      <c r="W1049" s="6" t="s">
        <v>951</v>
      </c>
      <c r="X1049" s="6" t="s">
        <v>187</v>
      </c>
    </row>
    <row r="1050" spans="1:24" ht="15" customHeight="1" x14ac:dyDescent="0.3">
      <c r="A1050" s="6" t="s">
        <v>533</v>
      </c>
      <c r="B1050" s="6" t="s">
        <v>534</v>
      </c>
      <c r="C1050" s="6" t="s">
        <v>34</v>
      </c>
      <c r="D1050" s="1088" t="s">
        <v>539</v>
      </c>
      <c r="E1050" s="6" t="s">
        <v>187</v>
      </c>
      <c r="F1050" s="6" t="s">
        <v>951</v>
      </c>
      <c r="G1050" s="6" t="s">
        <v>2546</v>
      </c>
      <c r="H1050" s="6" t="s">
        <v>1594</v>
      </c>
      <c r="J1050" s="1215" t="s">
        <v>509</v>
      </c>
      <c r="K1050" s="1219" t="s">
        <v>3110</v>
      </c>
      <c r="L1050" s="8">
        <v>193</v>
      </c>
      <c r="M1050" s="8">
        <v>916</v>
      </c>
      <c r="N1050" s="1169" t="s">
        <v>271</v>
      </c>
      <c r="P1050" s="6" t="s">
        <v>3324</v>
      </c>
      <c r="Q1050" s="1215" t="s">
        <v>253</v>
      </c>
      <c r="R1050" s="1215" t="s">
        <v>255</v>
      </c>
      <c r="S1050" s="1215" t="s">
        <v>534</v>
      </c>
      <c r="T1050" s="1215" t="s">
        <v>533</v>
      </c>
      <c r="U1050" s="6" t="s">
        <v>539</v>
      </c>
      <c r="V1050" s="6" t="s">
        <v>34</v>
      </c>
      <c r="W1050" s="6" t="s">
        <v>951</v>
      </c>
      <c r="X1050" s="6" t="s">
        <v>187</v>
      </c>
    </row>
    <row r="1051" spans="1:24" ht="15" customHeight="1" x14ac:dyDescent="0.3">
      <c r="A1051" s="6" t="s">
        <v>533</v>
      </c>
      <c r="B1051" s="6" t="s">
        <v>534</v>
      </c>
      <c r="C1051" s="6" t="s">
        <v>34</v>
      </c>
      <c r="D1051" s="1088" t="s">
        <v>539</v>
      </c>
      <c r="E1051" s="6" t="s">
        <v>187</v>
      </c>
      <c r="F1051" s="6" t="s">
        <v>951</v>
      </c>
      <c r="G1051" s="6" t="s">
        <v>2546</v>
      </c>
      <c r="H1051" s="6" t="s">
        <v>1594</v>
      </c>
      <c r="J1051" s="1215" t="s">
        <v>509</v>
      </c>
      <c r="K1051" s="1219" t="s">
        <v>3111</v>
      </c>
      <c r="L1051" s="8">
        <v>45</v>
      </c>
      <c r="M1051" s="8">
        <v>525</v>
      </c>
      <c r="N1051" s="1169" t="s">
        <v>271</v>
      </c>
      <c r="P1051" s="6" t="s">
        <v>3324</v>
      </c>
      <c r="Q1051" s="1215" t="s">
        <v>253</v>
      </c>
      <c r="R1051" s="1215" t="s">
        <v>255</v>
      </c>
      <c r="S1051" s="1215" t="s">
        <v>534</v>
      </c>
      <c r="T1051" s="1215" t="s">
        <v>533</v>
      </c>
      <c r="U1051" s="6" t="s">
        <v>539</v>
      </c>
      <c r="V1051" s="6" t="s">
        <v>34</v>
      </c>
      <c r="W1051" s="6" t="s">
        <v>951</v>
      </c>
      <c r="X1051" s="6" t="s">
        <v>187</v>
      </c>
    </row>
    <row r="1052" spans="1:24" ht="15" customHeight="1" x14ac:dyDescent="0.3">
      <c r="A1052" s="6" t="s">
        <v>533</v>
      </c>
      <c r="B1052" s="6" t="s">
        <v>534</v>
      </c>
      <c r="C1052" s="6" t="s">
        <v>34</v>
      </c>
      <c r="D1052" s="1088" t="s">
        <v>539</v>
      </c>
      <c r="E1052" s="6" t="s">
        <v>187</v>
      </c>
      <c r="F1052" s="6" t="s">
        <v>951</v>
      </c>
      <c r="G1052" s="6" t="s">
        <v>2546</v>
      </c>
      <c r="H1052" s="6" t="s">
        <v>1594</v>
      </c>
      <c r="J1052" s="1215" t="s">
        <v>509</v>
      </c>
      <c r="K1052" s="1219" t="s">
        <v>3112</v>
      </c>
      <c r="L1052" s="8">
        <v>0</v>
      </c>
      <c r="M1052" s="8">
        <v>80</v>
      </c>
      <c r="N1052" s="1169" t="s">
        <v>271</v>
      </c>
      <c r="P1052" s="6" t="s">
        <v>3324</v>
      </c>
      <c r="Q1052" s="1215" t="s">
        <v>253</v>
      </c>
      <c r="R1052" s="1215" t="s">
        <v>255</v>
      </c>
      <c r="S1052" s="1215" t="s">
        <v>534</v>
      </c>
      <c r="T1052" s="1215" t="s">
        <v>533</v>
      </c>
      <c r="U1052" s="6" t="s">
        <v>539</v>
      </c>
      <c r="V1052" s="6" t="s">
        <v>34</v>
      </c>
      <c r="W1052" s="6" t="s">
        <v>951</v>
      </c>
      <c r="X1052" s="6" t="s">
        <v>187</v>
      </c>
    </row>
    <row r="1053" spans="1:24" ht="15" customHeight="1" x14ac:dyDescent="0.3">
      <c r="A1053" s="6" t="s">
        <v>533</v>
      </c>
      <c r="B1053" s="6" t="s">
        <v>534</v>
      </c>
      <c r="C1053" s="6" t="s">
        <v>35</v>
      </c>
      <c r="D1053" s="1088" t="s">
        <v>567</v>
      </c>
      <c r="E1053" s="6" t="s">
        <v>192</v>
      </c>
      <c r="F1053" s="6" t="s">
        <v>853</v>
      </c>
      <c r="G1053" s="6" t="s">
        <v>1456</v>
      </c>
      <c r="H1053" s="6" t="s">
        <v>1167</v>
      </c>
      <c r="J1053" s="1215" t="s">
        <v>509</v>
      </c>
      <c r="K1053" s="1219" t="s">
        <v>3033</v>
      </c>
      <c r="L1053" s="8">
        <v>1</v>
      </c>
      <c r="M1053" s="8">
        <v>6</v>
      </c>
      <c r="N1053" s="1169" t="s">
        <v>271</v>
      </c>
      <c r="P1053" s="6" t="s">
        <v>3323</v>
      </c>
      <c r="Q1053" s="1215" t="s">
        <v>253</v>
      </c>
      <c r="R1053" s="1215" t="s">
        <v>255</v>
      </c>
      <c r="S1053" s="1215" t="s">
        <v>534</v>
      </c>
      <c r="T1053" s="1215" t="s">
        <v>533</v>
      </c>
      <c r="U1053" s="6" t="s">
        <v>567</v>
      </c>
      <c r="V1053" s="6" t="s">
        <v>35</v>
      </c>
      <c r="W1053" s="6" t="s">
        <v>863</v>
      </c>
      <c r="X1053" s="6" t="s">
        <v>193</v>
      </c>
    </row>
    <row r="1054" spans="1:24" ht="15" customHeight="1" x14ac:dyDescent="0.3">
      <c r="A1054" s="6" t="s">
        <v>533</v>
      </c>
      <c r="B1054" s="6" t="s">
        <v>534</v>
      </c>
      <c r="C1054" s="6" t="s">
        <v>35</v>
      </c>
      <c r="D1054" s="1088" t="s">
        <v>567</v>
      </c>
      <c r="E1054" s="6" t="s">
        <v>192</v>
      </c>
      <c r="F1054" s="6" t="s">
        <v>853</v>
      </c>
      <c r="G1054" s="6" t="s">
        <v>1456</v>
      </c>
      <c r="H1054" s="6" t="s">
        <v>1167</v>
      </c>
      <c r="J1054" s="1215" t="s">
        <v>509</v>
      </c>
      <c r="K1054" s="1219" t="s">
        <v>3111</v>
      </c>
      <c r="L1054" s="8">
        <v>36</v>
      </c>
      <c r="M1054" s="8">
        <v>250</v>
      </c>
      <c r="N1054" s="1169" t="s">
        <v>271</v>
      </c>
      <c r="P1054" s="6" t="s">
        <v>3323</v>
      </c>
      <c r="Q1054" s="1215" t="s">
        <v>253</v>
      </c>
      <c r="R1054" s="1215" t="s">
        <v>255</v>
      </c>
      <c r="S1054" s="1215" t="s">
        <v>534</v>
      </c>
      <c r="T1054" s="1215" t="s">
        <v>533</v>
      </c>
      <c r="U1054" s="6" t="s">
        <v>567</v>
      </c>
      <c r="V1054" s="6" t="s">
        <v>35</v>
      </c>
      <c r="W1054" s="6" t="s">
        <v>863</v>
      </c>
      <c r="X1054" s="6" t="s">
        <v>193</v>
      </c>
    </row>
    <row r="1055" spans="1:24" ht="15" customHeight="1" x14ac:dyDescent="0.3">
      <c r="A1055" s="6" t="s">
        <v>533</v>
      </c>
      <c r="B1055" s="6" t="s">
        <v>534</v>
      </c>
      <c r="C1055" s="6" t="s">
        <v>35</v>
      </c>
      <c r="D1055" s="1088" t="s">
        <v>567</v>
      </c>
      <c r="E1055" s="6" t="s">
        <v>192</v>
      </c>
      <c r="F1055" s="6" t="s">
        <v>853</v>
      </c>
      <c r="G1055" s="6" t="s">
        <v>1456</v>
      </c>
      <c r="H1055" s="6" t="s">
        <v>1167</v>
      </c>
      <c r="J1055" s="1215" t="s">
        <v>509</v>
      </c>
      <c r="K1055" s="1219" t="s">
        <v>3112</v>
      </c>
      <c r="L1055" s="8">
        <v>3</v>
      </c>
      <c r="M1055" s="8">
        <v>12</v>
      </c>
      <c r="N1055" s="1169" t="s">
        <v>271</v>
      </c>
      <c r="P1055" s="6" t="s">
        <v>3323</v>
      </c>
      <c r="Q1055" s="1215" t="s">
        <v>253</v>
      </c>
      <c r="R1055" s="1215" t="s">
        <v>255</v>
      </c>
      <c r="S1055" s="1215" t="s">
        <v>534</v>
      </c>
      <c r="T1055" s="1215" t="s">
        <v>533</v>
      </c>
      <c r="U1055" s="6" t="s">
        <v>567</v>
      </c>
      <c r="V1055" s="6" t="s">
        <v>35</v>
      </c>
      <c r="W1055" s="6" t="s">
        <v>863</v>
      </c>
      <c r="X1055" s="6" t="s">
        <v>193</v>
      </c>
    </row>
    <row r="1056" spans="1:24" ht="15" customHeight="1" x14ac:dyDescent="0.3">
      <c r="A1056" s="6" t="s">
        <v>533</v>
      </c>
      <c r="B1056" s="6" t="s">
        <v>534</v>
      </c>
      <c r="C1056" s="6" t="s">
        <v>35</v>
      </c>
      <c r="D1056" s="1088" t="s">
        <v>567</v>
      </c>
      <c r="E1056" s="6" t="s">
        <v>192</v>
      </c>
      <c r="F1056" s="6" t="s">
        <v>853</v>
      </c>
      <c r="G1056" s="6" t="s">
        <v>1952</v>
      </c>
      <c r="H1056" s="6" t="s">
        <v>1533</v>
      </c>
      <c r="J1056" s="1215" t="s">
        <v>509</v>
      </c>
      <c r="K1056" s="1219" t="s">
        <v>3111</v>
      </c>
      <c r="L1056" s="8">
        <v>164</v>
      </c>
      <c r="M1056" s="8">
        <v>701</v>
      </c>
      <c r="N1056" s="1169" t="s">
        <v>271</v>
      </c>
      <c r="P1056" s="6" t="s">
        <v>3323</v>
      </c>
      <c r="Q1056" s="1215" t="s">
        <v>253</v>
      </c>
      <c r="R1056" s="1215" t="s">
        <v>255</v>
      </c>
      <c r="S1056" s="1215" t="s">
        <v>534</v>
      </c>
      <c r="T1056" s="1215" t="s">
        <v>533</v>
      </c>
      <c r="U1056" s="6" t="s">
        <v>567</v>
      </c>
      <c r="V1056" s="6" t="s">
        <v>35</v>
      </c>
      <c r="W1056" s="6" t="s">
        <v>863</v>
      </c>
      <c r="X1056" s="6" t="s">
        <v>193</v>
      </c>
    </row>
    <row r="1057" spans="1:24" ht="15" customHeight="1" x14ac:dyDescent="0.3">
      <c r="A1057" s="6" t="s">
        <v>533</v>
      </c>
      <c r="B1057" s="6" t="s">
        <v>534</v>
      </c>
      <c r="C1057" s="6" t="s">
        <v>35</v>
      </c>
      <c r="D1057" s="1088" t="s">
        <v>567</v>
      </c>
      <c r="E1057" s="6" t="s">
        <v>192</v>
      </c>
      <c r="F1057" s="6" t="s">
        <v>853</v>
      </c>
      <c r="G1057" s="6" t="s">
        <v>1952</v>
      </c>
      <c r="H1057" s="6" t="s">
        <v>1533</v>
      </c>
      <c r="J1057" s="1215" t="s">
        <v>509</v>
      </c>
      <c r="K1057" s="1219" t="s">
        <v>3112</v>
      </c>
      <c r="L1057" s="8">
        <v>176</v>
      </c>
      <c r="M1057" s="8">
        <v>1464</v>
      </c>
      <c r="N1057" s="1169" t="s">
        <v>271</v>
      </c>
      <c r="P1057" s="6" t="s">
        <v>3324</v>
      </c>
      <c r="Q1057" s="1215" t="s">
        <v>253</v>
      </c>
      <c r="R1057" s="1215" t="s">
        <v>255</v>
      </c>
      <c r="S1057" s="1215" t="s">
        <v>534</v>
      </c>
      <c r="T1057" s="1215" t="s">
        <v>533</v>
      </c>
      <c r="U1057" s="6" t="s">
        <v>567</v>
      </c>
      <c r="V1057" s="6" t="s">
        <v>35</v>
      </c>
      <c r="W1057" s="6" t="s">
        <v>853</v>
      </c>
      <c r="X1057" s="6" t="s">
        <v>192</v>
      </c>
    </row>
    <row r="1058" spans="1:24" ht="15" customHeight="1" x14ac:dyDescent="0.3">
      <c r="A1058" s="6" t="s">
        <v>533</v>
      </c>
      <c r="B1058" s="6" t="s">
        <v>534</v>
      </c>
      <c r="C1058" s="6" t="s">
        <v>35</v>
      </c>
      <c r="D1058" s="1088" t="s">
        <v>567</v>
      </c>
      <c r="E1058" s="6" t="s">
        <v>192</v>
      </c>
      <c r="F1058" s="6" t="s">
        <v>853</v>
      </c>
      <c r="G1058" s="6" t="s">
        <v>2947</v>
      </c>
      <c r="H1058" s="6" t="s">
        <v>900</v>
      </c>
      <c r="J1058" s="1215" t="s">
        <v>509</v>
      </c>
      <c r="K1058" s="1219" t="s">
        <v>3110</v>
      </c>
      <c r="L1058" s="8">
        <v>25</v>
      </c>
      <c r="M1058" s="8">
        <v>200</v>
      </c>
      <c r="N1058" s="1169" t="s">
        <v>271</v>
      </c>
      <c r="P1058" s="6" t="s">
        <v>3323</v>
      </c>
      <c r="Q1058" s="1215" t="s">
        <v>253</v>
      </c>
      <c r="R1058" s="1215" t="s">
        <v>255</v>
      </c>
      <c r="S1058" s="1215" t="s">
        <v>534</v>
      </c>
      <c r="T1058" s="1215" t="s">
        <v>533</v>
      </c>
      <c r="U1058" s="6" t="s">
        <v>567</v>
      </c>
      <c r="V1058" s="6" t="s">
        <v>35</v>
      </c>
      <c r="W1058" s="6" t="s">
        <v>863</v>
      </c>
      <c r="X1058" s="6" t="s">
        <v>193</v>
      </c>
    </row>
    <row r="1059" spans="1:24" ht="15" customHeight="1" x14ac:dyDescent="0.3">
      <c r="A1059" s="6" t="s">
        <v>533</v>
      </c>
      <c r="B1059" s="6" t="s">
        <v>534</v>
      </c>
      <c r="C1059" s="6" t="s">
        <v>35</v>
      </c>
      <c r="D1059" s="1088" t="s">
        <v>567</v>
      </c>
      <c r="E1059" s="6" t="s">
        <v>192</v>
      </c>
      <c r="F1059" s="6" t="s">
        <v>853</v>
      </c>
      <c r="G1059" s="6" t="s">
        <v>2947</v>
      </c>
      <c r="H1059" s="6" t="s">
        <v>900</v>
      </c>
      <c r="J1059" s="1215" t="s">
        <v>509</v>
      </c>
      <c r="K1059" s="1219" t="s">
        <v>3111</v>
      </c>
      <c r="L1059" s="8">
        <v>86</v>
      </c>
      <c r="M1059" s="8">
        <v>609</v>
      </c>
      <c r="N1059" s="1169" t="s">
        <v>271</v>
      </c>
      <c r="P1059" s="6" t="s">
        <v>3323</v>
      </c>
      <c r="Q1059" s="1215" t="s">
        <v>253</v>
      </c>
      <c r="R1059" s="1215" t="s">
        <v>255</v>
      </c>
      <c r="S1059" s="1215" t="s">
        <v>534</v>
      </c>
      <c r="T1059" s="1215" t="s">
        <v>533</v>
      </c>
      <c r="U1059" s="6" t="s">
        <v>567</v>
      </c>
      <c r="V1059" s="6" t="s">
        <v>35</v>
      </c>
      <c r="W1059" s="6" t="s">
        <v>863</v>
      </c>
      <c r="X1059" s="6" t="s">
        <v>193</v>
      </c>
    </row>
    <row r="1060" spans="1:24" ht="15" customHeight="1" x14ac:dyDescent="0.3">
      <c r="A1060" s="6" t="s">
        <v>533</v>
      </c>
      <c r="B1060" s="6" t="s">
        <v>534</v>
      </c>
      <c r="C1060" s="6" t="s">
        <v>35</v>
      </c>
      <c r="D1060" s="1088" t="s">
        <v>567</v>
      </c>
      <c r="E1060" s="6" t="s">
        <v>192</v>
      </c>
      <c r="F1060" s="6" t="s">
        <v>853</v>
      </c>
      <c r="G1060" s="6" t="s">
        <v>2947</v>
      </c>
      <c r="H1060" s="6" t="s">
        <v>900</v>
      </c>
      <c r="J1060" s="1215" t="s">
        <v>509</v>
      </c>
      <c r="K1060" s="1219" t="s">
        <v>3112</v>
      </c>
      <c r="L1060" s="8">
        <v>51</v>
      </c>
      <c r="M1060" s="8">
        <v>260</v>
      </c>
      <c r="N1060" s="6" t="s">
        <v>271</v>
      </c>
      <c r="P1060" s="6" t="s">
        <v>3323</v>
      </c>
      <c r="Q1060" s="1215" t="s">
        <v>253</v>
      </c>
      <c r="R1060" s="1215" t="s">
        <v>255</v>
      </c>
      <c r="S1060" s="1215" t="s">
        <v>534</v>
      </c>
      <c r="T1060" s="1215" t="s">
        <v>533</v>
      </c>
      <c r="U1060" s="6" t="s">
        <v>567</v>
      </c>
      <c r="V1060" s="6" t="s">
        <v>35</v>
      </c>
      <c r="W1060" s="6" t="s">
        <v>863</v>
      </c>
      <c r="X1060" s="6" t="s">
        <v>193</v>
      </c>
    </row>
    <row r="1061" spans="1:24" ht="15" customHeight="1" x14ac:dyDescent="0.3">
      <c r="A1061" s="6" t="s">
        <v>533</v>
      </c>
      <c r="B1061" s="6" t="s">
        <v>534</v>
      </c>
      <c r="C1061" s="6" t="s">
        <v>35</v>
      </c>
      <c r="D1061" s="1088" t="s">
        <v>567</v>
      </c>
      <c r="E1061" s="6" t="s">
        <v>192</v>
      </c>
      <c r="F1061" s="6" t="s">
        <v>853</v>
      </c>
      <c r="G1061" s="6" t="s">
        <v>1515</v>
      </c>
      <c r="H1061" s="6" t="s">
        <v>1034</v>
      </c>
      <c r="J1061" s="1215" t="s">
        <v>509</v>
      </c>
      <c r="K1061" s="1219" t="s">
        <v>3110</v>
      </c>
      <c r="L1061" s="8">
        <v>0</v>
      </c>
      <c r="M1061" s="8">
        <v>15</v>
      </c>
      <c r="N1061" s="6" t="s">
        <v>271</v>
      </c>
      <c r="P1061" s="6" t="s">
        <v>3323</v>
      </c>
      <c r="Q1061" s="1215" t="s">
        <v>253</v>
      </c>
      <c r="R1061" s="1215" t="s">
        <v>255</v>
      </c>
      <c r="S1061" s="1215" t="s">
        <v>534</v>
      </c>
      <c r="T1061" s="1215" t="s">
        <v>533</v>
      </c>
      <c r="U1061" s="6" t="s">
        <v>567</v>
      </c>
      <c r="V1061" s="6" t="s">
        <v>35</v>
      </c>
      <c r="W1061" s="6" t="s">
        <v>863</v>
      </c>
      <c r="X1061" s="6" t="s">
        <v>193</v>
      </c>
    </row>
    <row r="1062" spans="1:24" ht="15" customHeight="1" x14ac:dyDescent="0.3">
      <c r="A1062" s="6" t="s">
        <v>533</v>
      </c>
      <c r="B1062" s="6" t="s">
        <v>534</v>
      </c>
      <c r="C1062" s="6" t="s">
        <v>35</v>
      </c>
      <c r="D1062" s="1088" t="s">
        <v>567</v>
      </c>
      <c r="E1062" s="1088" t="s">
        <v>192</v>
      </c>
      <c r="F1062" s="6" t="s">
        <v>853</v>
      </c>
      <c r="G1062" s="6" t="s">
        <v>1515</v>
      </c>
      <c r="H1062" s="6" t="s">
        <v>1034</v>
      </c>
      <c r="J1062" s="1215" t="s">
        <v>509</v>
      </c>
      <c r="K1062" s="1219" t="s">
        <v>3111</v>
      </c>
      <c r="L1062" s="8">
        <v>92</v>
      </c>
      <c r="M1062" s="8">
        <v>445</v>
      </c>
      <c r="N1062" s="6" t="s">
        <v>271</v>
      </c>
      <c r="P1062" s="6" t="s">
        <v>3323</v>
      </c>
      <c r="Q1062" s="1215" t="s">
        <v>253</v>
      </c>
      <c r="R1062" s="1215" t="s">
        <v>255</v>
      </c>
      <c r="S1062" s="1215" t="s">
        <v>534</v>
      </c>
      <c r="T1062" s="1215" t="s">
        <v>533</v>
      </c>
      <c r="U1062" s="6" t="s">
        <v>567</v>
      </c>
      <c r="V1062" s="6" t="s">
        <v>35</v>
      </c>
      <c r="W1062" s="6" t="s">
        <v>863</v>
      </c>
      <c r="X1062" s="6" t="s">
        <v>193</v>
      </c>
    </row>
    <row r="1063" spans="1:24" ht="15" customHeight="1" x14ac:dyDescent="0.3">
      <c r="A1063" s="6" t="s">
        <v>533</v>
      </c>
      <c r="B1063" s="6" t="s">
        <v>534</v>
      </c>
      <c r="C1063" s="6" t="s">
        <v>35</v>
      </c>
      <c r="D1063" s="1088" t="s">
        <v>567</v>
      </c>
      <c r="E1063" s="6" t="s">
        <v>192</v>
      </c>
      <c r="F1063" s="6" t="s">
        <v>853</v>
      </c>
      <c r="G1063" s="6" t="s">
        <v>1515</v>
      </c>
      <c r="H1063" s="6" t="s">
        <v>1034</v>
      </c>
      <c r="J1063" s="1215" t="s">
        <v>509</v>
      </c>
      <c r="K1063" s="1219" t="s">
        <v>3112</v>
      </c>
      <c r="L1063" s="8">
        <v>23</v>
      </c>
      <c r="M1063" s="8">
        <v>176</v>
      </c>
      <c r="N1063" s="1169" t="s">
        <v>271</v>
      </c>
      <c r="P1063" s="6" t="s">
        <v>3323</v>
      </c>
      <c r="Q1063" s="1215" t="s">
        <v>253</v>
      </c>
      <c r="R1063" s="1215" t="s">
        <v>255</v>
      </c>
      <c r="S1063" s="1215" t="s">
        <v>534</v>
      </c>
      <c r="T1063" s="1215" t="s">
        <v>533</v>
      </c>
      <c r="U1063" s="6" t="s">
        <v>567</v>
      </c>
      <c r="V1063" s="6" t="s">
        <v>35</v>
      </c>
      <c r="W1063" s="6" t="s">
        <v>863</v>
      </c>
      <c r="X1063" s="6" t="s">
        <v>193</v>
      </c>
    </row>
    <row r="1064" spans="1:24" ht="15" customHeight="1" x14ac:dyDescent="0.3">
      <c r="A1064" s="6" t="s">
        <v>533</v>
      </c>
      <c r="B1064" s="6" t="s">
        <v>534</v>
      </c>
      <c r="C1064" s="6" t="s">
        <v>31</v>
      </c>
      <c r="D1064" s="1088" t="s">
        <v>549</v>
      </c>
      <c r="E1064" s="6" t="s">
        <v>2797</v>
      </c>
      <c r="F1064" s="6" t="s">
        <v>767</v>
      </c>
      <c r="G1064" s="6" t="s">
        <v>1231</v>
      </c>
      <c r="H1064" s="6" t="s">
        <v>788</v>
      </c>
      <c r="J1064" s="1215" t="s">
        <v>509</v>
      </c>
      <c r="K1064" s="1219" t="s">
        <v>3033</v>
      </c>
      <c r="L1064" s="8">
        <v>5</v>
      </c>
      <c r="M1064" s="8">
        <v>35</v>
      </c>
      <c r="N1064" s="1169" t="s">
        <v>271</v>
      </c>
      <c r="P1064" s="6" t="s">
        <v>3324</v>
      </c>
      <c r="Q1064" s="1215" t="s">
        <v>253</v>
      </c>
      <c r="R1064" s="1215" t="s">
        <v>255</v>
      </c>
      <c r="S1064" s="1215" t="s">
        <v>534</v>
      </c>
      <c r="T1064" s="1215" t="s">
        <v>533</v>
      </c>
      <c r="U1064" s="6" t="s">
        <v>549</v>
      </c>
      <c r="V1064" s="6" t="s">
        <v>31</v>
      </c>
      <c r="W1064" s="6" t="s">
        <v>767</v>
      </c>
      <c r="X1064" s="6" t="s">
        <v>2797</v>
      </c>
    </row>
    <row r="1065" spans="1:24" ht="15" customHeight="1" x14ac:dyDescent="0.3">
      <c r="A1065" s="6" t="s">
        <v>533</v>
      </c>
      <c r="B1065" s="6" t="s">
        <v>534</v>
      </c>
      <c r="C1065" s="6" t="s">
        <v>31</v>
      </c>
      <c r="D1065" s="1088" t="s">
        <v>549</v>
      </c>
      <c r="E1065" s="1088" t="s">
        <v>2797</v>
      </c>
      <c r="F1065" s="6" t="s">
        <v>767</v>
      </c>
      <c r="G1065" s="6" t="s">
        <v>1231</v>
      </c>
      <c r="H1065" s="6" t="s">
        <v>788</v>
      </c>
      <c r="J1065" s="1215" t="s">
        <v>509</v>
      </c>
      <c r="K1065" s="1219" t="s">
        <v>3112</v>
      </c>
      <c r="L1065" s="8">
        <v>6</v>
      </c>
      <c r="M1065" s="8">
        <v>42</v>
      </c>
      <c r="N1065" s="6" t="s">
        <v>271</v>
      </c>
      <c r="P1065" s="6" t="s">
        <v>3323</v>
      </c>
      <c r="Q1065" s="1215" t="s">
        <v>253</v>
      </c>
      <c r="R1065" s="1215" t="s">
        <v>255</v>
      </c>
      <c r="S1065" s="1215" t="s">
        <v>534</v>
      </c>
      <c r="T1065" s="1215" t="s">
        <v>533</v>
      </c>
      <c r="U1065" s="6" t="s">
        <v>549</v>
      </c>
      <c r="V1065" s="6" t="s">
        <v>31</v>
      </c>
      <c r="W1065" s="6" t="s">
        <v>881</v>
      </c>
      <c r="X1065" s="6" t="s">
        <v>165</v>
      </c>
    </row>
    <row r="1066" spans="1:24" ht="15" customHeight="1" x14ac:dyDescent="0.3">
      <c r="A1066" s="6" t="s">
        <v>533</v>
      </c>
      <c r="B1066" s="6" t="s">
        <v>534</v>
      </c>
      <c r="C1066" s="6" t="s">
        <v>31</v>
      </c>
      <c r="D1066" s="1088" t="s">
        <v>549</v>
      </c>
      <c r="E1066" s="1088" t="s">
        <v>2797</v>
      </c>
      <c r="F1066" s="6" t="s">
        <v>767</v>
      </c>
      <c r="G1066" s="6" t="s">
        <v>1227</v>
      </c>
      <c r="H1066" s="6" t="s">
        <v>789</v>
      </c>
      <c r="J1066" s="1215" t="s">
        <v>509</v>
      </c>
      <c r="K1066" s="1219" t="s">
        <v>3033</v>
      </c>
      <c r="L1066" s="8">
        <v>5</v>
      </c>
      <c r="M1066" s="8">
        <v>45</v>
      </c>
      <c r="N1066" s="6" t="s">
        <v>271</v>
      </c>
      <c r="P1066" s="6" t="s">
        <v>3324</v>
      </c>
      <c r="Q1066" s="1215" t="s">
        <v>253</v>
      </c>
      <c r="R1066" s="1215" t="s">
        <v>255</v>
      </c>
      <c r="S1066" s="1215" t="s">
        <v>534</v>
      </c>
      <c r="T1066" s="1215" t="s">
        <v>533</v>
      </c>
      <c r="U1066" s="6" t="s">
        <v>549</v>
      </c>
      <c r="V1066" s="6" t="s">
        <v>31</v>
      </c>
      <c r="W1066" s="6" t="s">
        <v>767</v>
      </c>
      <c r="X1066" s="6" t="s">
        <v>2797</v>
      </c>
    </row>
    <row r="1067" spans="1:24" ht="15" customHeight="1" x14ac:dyDescent="0.3">
      <c r="A1067" s="6" t="s">
        <v>533</v>
      </c>
      <c r="B1067" s="6" t="s">
        <v>534</v>
      </c>
      <c r="C1067" s="6" t="s">
        <v>31</v>
      </c>
      <c r="D1067" s="1088" t="s">
        <v>549</v>
      </c>
      <c r="E1067" s="1088" t="s">
        <v>2797</v>
      </c>
      <c r="F1067" s="6" t="s">
        <v>767</v>
      </c>
      <c r="G1067" s="6" t="s">
        <v>1227</v>
      </c>
      <c r="H1067" s="6" t="s">
        <v>789</v>
      </c>
      <c r="J1067" s="1215" t="s">
        <v>509</v>
      </c>
      <c r="K1067" s="1219" t="s">
        <v>3110</v>
      </c>
      <c r="L1067" s="8">
        <v>2</v>
      </c>
      <c r="M1067" s="8">
        <v>26</v>
      </c>
      <c r="N1067" s="6" t="s">
        <v>271</v>
      </c>
      <c r="P1067" s="6" t="s">
        <v>3324</v>
      </c>
      <c r="Q1067" s="1215" t="s">
        <v>253</v>
      </c>
      <c r="R1067" s="1215" t="s">
        <v>255</v>
      </c>
      <c r="S1067" s="1215" t="s">
        <v>534</v>
      </c>
      <c r="T1067" s="1215" t="s">
        <v>533</v>
      </c>
      <c r="U1067" s="6" t="s">
        <v>549</v>
      </c>
      <c r="V1067" s="6" t="s">
        <v>31</v>
      </c>
      <c r="W1067" s="6" t="s">
        <v>767</v>
      </c>
      <c r="X1067" s="6" t="s">
        <v>2797</v>
      </c>
    </row>
    <row r="1068" spans="1:24" ht="15" customHeight="1" x14ac:dyDescent="0.3">
      <c r="A1068" s="6" t="s">
        <v>533</v>
      </c>
      <c r="B1068" s="6" t="s">
        <v>534</v>
      </c>
      <c r="C1068" s="6" t="s">
        <v>31</v>
      </c>
      <c r="D1068" s="1088" t="s">
        <v>549</v>
      </c>
      <c r="E1068" s="1088" t="s">
        <v>2797</v>
      </c>
      <c r="F1068" s="6" t="s">
        <v>767</v>
      </c>
      <c r="G1068" s="6" t="s">
        <v>1227</v>
      </c>
      <c r="H1068" s="6" t="s">
        <v>789</v>
      </c>
      <c r="J1068" s="1215" t="s">
        <v>509</v>
      </c>
      <c r="K1068" s="1219" t="s">
        <v>3112</v>
      </c>
      <c r="L1068" s="8">
        <v>35</v>
      </c>
      <c r="M1068" s="8">
        <v>201</v>
      </c>
      <c r="N1068" s="6" t="s">
        <v>271</v>
      </c>
      <c r="P1068" s="6" t="s">
        <v>3323</v>
      </c>
      <c r="Q1068" s="1215" t="s">
        <v>253</v>
      </c>
      <c r="R1068" s="1215" t="s">
        <v>255</v>
      </c>
      <c r="S1068" s="1215" t="s">
        <v>534</v>
      </c>
      <c r="T1068" s="1215" t="s">
        <v>533</v>
      </c>
      <c r="U1068" s="6" t="s">
        <v>549</v>
      </c>
      <c r="V1068" s="6" t="s">
        <v>31</v>
      </c>
      <c r="W1068" s="6" t="s">
        <v>881</v>
      </c>
      <c r="X1068" s="6" t="s">
        <v>165</v>
      </c>
    </row>
    <row r="1069" spans="1:24" ht="15" customHeight="1" x14ac:dyDescent="0.3">
      <c r="A1069" s="6" t="s">
        <v>533</v>
      </c>
      <c r="B1069" s="6" t="s">
        <v>534</v>
      </c>
      <c r="C1069" s="6" t="s">
        <v>35</v>
      </c>
      <c r="D1069" s="1088" t="s">
        <v>567</v>
      </c>
      <c r="E1069" s="6" t="s">
        <v>193</v>
      </c>
      <c r="F1069" s="6" t="s">
        <v>863</v>
      </c>
      <c r="G1069" s="6" t="s">
        <v>1586</v>
      </c>
      <c r="H1069" s="6" t="s">
        <v>876</v>
      </c>
      <c r="J1069" s="1215" t="s">
        <v>509</v>
      </c>
      <c r="K1069" s="1219" t="s">
        <v>3112</v>
      </c>
      <c r="L1069" s="8">
        <v>8</v>
      </c>
      <c r="M1069" s="8">
        <v>137</v>
      </c>
      <c r="N1069" s="6" t="s">
        <v>271</v>
      </c>
      <c r="P1069" s="6" t="s">
        <v>3324</v>
      </c>
      <c r="Q1069" s="1215" t="s">
        <v>253</v>
      </c>
      <c r="R1069" s="1215" t="s">
        <v>255</v>
      </c>
      <c r="S1069" s="1215" t="s">
        <v>534</v>
      </c>
      <c r="T1069" s="1215" t="s">
        <v>533</v>
      </c>
      <c r="U1069" s="6" t="s">
        <v>567</v>
      </c>
      <c r="V1069" s="6" t="s">
        <v>35</v>
      </c>
      <c r="W1069" s="6" t="s">
        <v>863</v>
      </c>
      <c r="X1069" s="6" t="s">
        <v>193</v>
      </c>
    </row>
    <row r="1070" spans="1:24" ht="15" customHeight="1" x14ac:dyDescent="0.3">
      <c r="A1070" s="6" t="s">
        <v>533</v>
      </c>
      <c r="B1070" s="6" t="s">
        <v>534</v>
      </c>
      <c r="C1070" s="6" t="s">
        <v>35</v>
      </c>
      <c r="D1070" s="1088" t="s">
        <v>567</v>
      </c>
      <c r="E1070" s="6" t="s">
        <v>193</v>
      </c>
      <c r="F1070" s="6" t="s">
        <v>863</v>
      </c>
      <c r="G1070" s="6" t="s">
        <v>1586</v>
      </c>
      <c r="H1070" s="6" t="s">
        <v>876</v>
      </c>
      <c r="J1070" s="1215" t="s">
        <v>509</v>
      </c>
      <c r="K1070" s="1219" t="s">
        <v>3111</v>
      </c>
      <c r="L1070" s="8">
        <v>5</v>
      </c>
      <c r="M1070" s="8">
        <v>39</v>
      </c>
      <c r="N1070" s="1169" t="s">
        <v>271</v>
      </c>
      <c r="P1070" s="6" t="s">
        <v>3324</v>
      </c>
      <c r="Q1070" s="1215" t="s">
        <v>253</v>
      </c>
      <c r="R1070" s="1215" t="s">
        <v>255</v>
      </c>
      <c r="S1070" s="1215" t="s">
        <v>534</v>
      </c>
      <c r="T1070" s="1215" t="s">
        <v>533</v>
      </c>
      <c r="U1070" s="6" t="s">
        <v>567</v>
      </c>
      <c r="V1070" s="6" t="s">
        <v>35</v>
      </c>
      <c r="W1070" s="6" t="s">
        <v>863</v>
      </c>
      <c r="X1070" s="6" t="s">
        <v>193</v>
      </c>
    </row>
    <row r="1071" spans="1:24" ht="15" customHeight="1" x14ac:dyDescent="0.3">
      <c r="A1071" s="6" t="s">
        <v>533</v>
      </c>
      <c r="B1071" s="6" t="s">
        <v>534</v>
      </c>
      <c r="C1071" s="6" t="s">
        <v>35</v>
      </c>
      <c r="D1071" s="1088" t="s">
        <v>567</v>
      </c>
      <c r="E1071" s="6" t="s">
        <v>193</v>
      </c>
      <c r="F1071" s="6" t="s">
        <v>863</v>
      </c>
      <c r="G1071" s="6" t="s">
        <v>994</v>
      </c>
      <c r="H1071" s="6" t="s">
        <v>1608</v>
      </c>
      <c r="J1071" s="1215" t="s">
        <v>509</v>
      </c>
      <c r="K1071" s="1219" t="s">
        <v>3112</v>
      </c>
      <c r="L1071" s="8">
        <v>11</v>
      </c>
      <c r="M1071" s="8">
        <v>80</v>
      </c>
      <c r="N1071" s="1169" t="s">
        <v>271</v>
      </c>
      <c r="P1071" s="6" t="s">
        <v>3324</v>
      </c>
      <c r="Q1071" s="1215" t="s">
        <v>253</v>
      </c>
      <c r="R1071" s="1215" t="s">
        <v>255</v>
      </c>
      <c r="S1071" s="1215" t="s">
        <v>534</v>
      </c>
      <c r="T1071" s="1215" t="s">
        <v>533</v>
      </c>
      <c r="U1071" s="6" t="s">
        <v>567</v>
      </c>
      <c r="V1071" s="6" t="s">
        <v>35</v>
      </c>
      <c r="W1071" s="6" t="s">
        <v>863</v>
      </c>
      <c r="X1071" s="6" t="s">
        <v>193</v>
      </c>
    </row>
    <row r="1072" spans="1:24" ht="15" customHeight="1" x14ac:dyDescent="0.3">
      <c r="A1072" s="6" t="s">
        <v>533</v>
      </c>
      <c r="B1072" s="6" t="s">
        <v>534</v>
      </c>
      <c r="C1072" s="6" t="s">
        <v>35</v>
      </c>
      <c r="D1072" s="1088" t="s">
        <v>567</v>
      </c>
      <c r="E1072" s="6" t="s">
        <v>193</v>
      </c>
      <c r="F1072" s="6" t="s">
        <v>863</v>
      </c>
      <c r="G1072" s="6" t="s">
        <v>994</v>
      </c>
      <c r="H1072" s="6" t="s">
        <v>1608</v>
      </c>
      <c r="J1072" s="1215" t="s">
        <v>509</v>
      </c>
      <c r="K1072" s="1219" t="s">
        <v>3111</v>
      </c>
      <c r="L1072" s="8">
        <v>51</v>
      </c>
      <c r="M1072" s="8">
        <v>281</v>
      </c>
      <c r="N1072" s="1169" t="s">
        <v>271</v>
      </c>
      <c r="P1072" s="6" t="s">
        <v>3324</v>
      </c>
      <c r="Q1072" s="1215" t="s">
        <v>253</v>
      </c>
      <c r="R1072" s="1215" t="s">
        <v>255</v>
      </c>
      <c r="S1072" s="1215" t="s">
        <v>534</v>
      </c>
      <c r="T1072" s="1215" t="s">
        <v>533</v>
      </c>
      <c r="U1072" s="6" t="s">
        <v>567</v>
      </c>
      <c r="V1072" s="6" t="s">
        <v>35</v>
      </c>
      <c r="W1072" s="6" t="s">
        <v>863</v>
      </c>
      <c r="X1072" s="6" t="s">
        <v>193</v>
      </c>
    </row>
    <row r="1073" spans="1:24" ht="15" customHeight="1" x14ac:dyDescent="0.3">
      <c r="A1073" s="6" t="s">
        <v>533</v>
      </c>
      <c r="B1073" s="6" t="s">
        <v>534</v>
      </c>
      <c r="C1073" s="6" t="s">
        <v>35</v>
      </c>
      <c r="D1073" s="1088" t="s">
        <v>567</v>
      </c>
      <c r="E1073" s="6" t="s">
        <v>193</v>
      </c>
      <c r="F1073" s="6" t="s">
        <v>863</v>
      </c>
      <c r="G1073" s="6" t="s">
        <v>1297</v>
      </c>
      <c r="H1073" s="6" t="s">
        <v>1629</v>
      </c>
      <c r="J1073" s="1215" t="s">
        <v>509</v>
      </c>
      <c r="K1073" s="1219" t="s">
        <v>3111</v>
      </c>
      <c r="L1073" s="8">
        <v>6</v>
      </c>
      <c r="M1073" s="8">
        <v>27</v>
      </c>
      <c r="N1073" s="1169" t="s">
        <v>271</v>
      </c>
      <c r="P1073" s="6" t="s">
        <v>3324</v>
      </c>
      <c r="Q1073" s="1215" t="s">
        <v>253</v>
      </c>
      <c r="R1073" s="1215" t="s">
        <v>255</v>
      </c>
      <c r="S1073" s="1215" t="s">
        <v>534</v>
      </c>
      <c r="T1073" s="1215" t="s">
        <v>533</v>
      </c>
      <c r="U1073" s="6" t="s">
        <v>567</v>
      </c>
      <c r="V1073" s="6" t="s">
        <v>35</v>
      </c>
      <c r="W1073" s="6" t="s">
        <v>863</v>
      </c>
      <c r="X1073" s="6" t="s">
        <v>193</v>
      </c>
    </row>
    <row r="1074" spans="1:24" ht="15" customHeight="1" x14ac:dyDescent="0.3">
      <c r="A1074" s="6" t="s">
        <v>533</v>
      </c>
      <c r="B1074" s="6" t="s">
        <v>534</v>
      </c>
      <c r="C1074" s="6" t="s">
        <v>35</v>
      </c>
      <c r="D1074" s="1088" t="s">
        <v>567</v>
      </c>
      <c r="E1074" s="6" t="s">
        <v>193</v>
      </c>
      <c r="F1074" s="6" t="s">
        <v>863</v>
      </c>
      <c r="G1074" s="6" t="s">
        <v>1571</v>
      </c>
      <c r="H1074" s="6" t="s">
        <v>1572</v>
      </c>
      <c r="J1074" s="1215" t="s">
        <v>509</v>
      </c>
      <c r="K1074" s="1219" t="s">
        <v>3111</v>
      </c>
      <c r="L1074" s="8">
        <v>116</v>
      </c>
      <c r="M1074" s="8">
        <v>559</v>
      </c>
      <c r="N1074" s="1169" t="s">
        <v>271</v>
      </c>
      <c r="P1074" s="6" t="s">
        <v>3324</v>
      </c>
      <c r="Q1074" s="1215" t="s">
        <v>253</v>
      </c>
      <c r="R1074" s="1215" t="s">
        <v>255</v>
      </c>
      <c r="S1074" s="1215" t="s">
        <v>534</v>
      </c>
      <c r="T1074" s="1215" t="s">
        <v>533</v>
      </c>
      <c r="U1074" s="6" t="s">
        <v>567</v>
      </c>
      <c r="V1074" s="6" t="s">
        <v>35</v>
      </c>
      <c r="W1074" s="6" t="s">
        <v>863</v>
      </c>
      <c r="X1074" s="6" t="s">
        <v>193</v>
      </c>
    </row>
    <row r="1075" spans="1:24" ht="15" customHeight="1" x14ac:dyDescent="0.3">
      <c r="A1075" s="6" t="s">
        <v>533</v>
      </c>
      <c r="B1075" s="6" t="s">
        <v>534</v>
      </c>
      <c r="C1075" s="6" t="s">
        <v>35</v>
      </c>
      <c r="D1075" s="1088" t="s">
        <v>567</v>
      </c>
      <c r="E1075" s="1088" t="s">
        <v>193</v>
      </c>
      <c r="F1075" s="6" t="s">
        <v>863</v>
      </c>
      <c r="G1075" s="6" t="s">
        <v>1091</v>
      </c>
      <c r="H1075" s="6" t="s">
        <v>1587</v>
      </c>
      <c r="J1075" s="1215" t="s">
        <v>509</v>
      </c>
      <c r="K1075" s="1219" t="s">
        <v>3111</v>
      </c>
      <c r="L1075" s="8">
        <v>94</v>
      </c>
      <c r="M1075" s="8">
        <v>577</v>
      </c>
      <c r="N1075" s="1169" t="s">
        <v>271</v>
      </c>
      <c r="P1075" s="6" t="s">
        <v>3324</v>
      </c>
      <c r="Q1075" s="1215" t="s">
        <v>253</v>
      </c>
      <c r="R1075" s="1215" t="s">
        <v>255</v>
      </c>
      <c r="S1075" s="1215" t="s">
        <v>534</v>
      </c>
      <c r="T1075" s="1215" t="s">
        <v>533</v>
      </c>
      <c r="U1075" s="6" t="s">
        <v>567</v>
      </c>
      <c r="V1075" s="6" t="s">
        <v>35</v>
      </c>
      <c r="W1075" s="6" t="s">
        <v>863</v>
      </c>
      <c r="X1075" s="6" t="s">
        <v>193</v>
      </c>
    </row>
    <row r="1076" spans="1:24" ht="15" customHeight="1" x14ac:dyDescent="0.3">
      <c r="A1076" s="6" t="s">
        <v>533</v>
      </c>
      <c r="B1076" s="6" t="s">
        <v>534</v>
      </c>
      <c r="C1076" s="6" t="s">
        <v>35</v>
      </c>
      <c r="D1076" s="1088" t="s">
        <v>567</v>
      </c>
      <c r="E1076" s="1088" t="s">
        <v>193</v>
      </c>
      <c r="F1076" s="6" t="s">
        <v>863</v>
      </c>
      <c r="G1076" s="6" t="s">
        <v>1091</v>
      </c>
      <c r="H1076" s="6" t="s">
        <v>1587</v>
      </c>
      <c r="J1076" s="1215" t="s">
        <v>509</v>
      </c>
      <c r="K1076" s="1219" t="s">
        <v>3112</v>
      </c>
      <c r="L1076" s="8">
        <v>14</v>
      </c>
      <c r="M1076" s="8">
        <v>91</v>
      </c>
      <c r="N1076" s="1169" t="s">
        <v>271</v>
      </c>
      <c r="P1076" s="6" t="s">
        <v>3324</v>
      </c>
      <c r="Q1076" s="1215" t="s">
        <v>253</v>
      </c>
      <c r="R1076" s="1215" t="s">
        <v>255</v>
      </c>
      <c r="S1076" s="1215" t="s">
        <v>534</v>
      </c>
      <c r="T1076" s="1215" t="s">
        <v>533</v>
      </c>
      <c r="U1076" s="6" t="s">
        <v>567</v>
      </c>
      <c r="V1076" s="6" t="s">
        <v>35</v>
      </c>
      <c r="W1076" s="6" t="s">
        <v>863</v>
      </c>
      <c r="X1076" s="6" t="s">
        <v>193</v>
      </c>
    </row>
    <row r="1077" spans="1:24" ht="15" customHeight="1" x14ac:dyDescent="0.3">
      <c r="A1077" s="6" t="s">
        <v>533</v>
      </c>
      <c r="B1077" s="6" t="s">
        <v>534</v>
      </c>
      <c r="C1077" s="6" t="s">
        <v>35</v>
      </c>
      <c r="D1077" s="1088" t="s">
        <v>567</v>
      </c>
      <c r="E1077" s="6" t="s">
        <v>193</v>
      </c>
      <c r="F1077" s="6" t="s">
        <v>863</v>
      </c>
      <c r="G1077" s="6" t="s">
        <v>2982</v>
      </c>
      <c r="H1077" s="6" t="s">
        <v>3297</v>
      </c>
      <c r="J1077" s="1215" t="s">
        <v>509</v>
      </c>
      <c r="K1077" s="1219" t="s">
        <v>3111</v>
      </c>
      <c r="L1077" s="8">
        <v>65</v>
      </c>
      <c r="M1077" s="8">
        <v>680</v>
      </c>
      <c r="N1077" s="1169" t="s">
        <v>271</v>
      </c>
      <c r="P1077" s="6" t="s">
        <v>3324</v>
      </c>
      <c r="Q1077" s="1215" t="s">
        <v>253</v>
      </c>
      <c r="R1077" s="1215" t="s">
        <v>255</v>
      </c>
      <c r="S1077" s="1215" t="s">
        <v>534</v>
      </c>
      <c r="T1077" s="1215" t="s">
        <v>533</v>
      </c>
      <c r="U1077" s="6" t="s">
        <v>567</v>
      </c>
      <c r="V1077" s="6" t="s">
        <v>35</v>
      </c>
      <c r="W1077" s="6" t="s">
        <v>863</v>
      </c>
      <c r="X1077" s="6" t="s">
        <v>193</v>
      </c>
    </row>
    <row r="1078" spans="1:24" ht="15" customHeight="1" x14ac:dyDescent="0.3">
      <c r="A1078" s="6" t="s">
        <v>533</v>
      </c>
      <c r="B1078" s="6" t="s">
        <v>534</v>
      </c>
      <c r="C1078" s="6" t="s">
        <v>35</v>
      </c>
      <c r="D1078" s="1088" t="s">
        <v>567</v>
      </c>
      <c r="E1078" s="1088" t="s">
        <v>193</v>
      </c>
      <c r="F1078" s="6" t="s">
        <v>863</v>
      </c>
      <c r="G1078" s="6" t="s">
        <v>2982</v>
      </c>
      <c r="H1078" s="6" t="s">
        <v>3297</v>
      </c>
      <c r="J1078" s="1215" t="s">
        <v>509</v>
      </c>
      <c r="K1078" s="1219" t="s">
        <v>3112</v>
      </c>
      <c r="L1078" s="8">
        <v>7</v>
      </c>
      <c r="M1078" s="8">
        <v>21</v>
      </c>
      <c r="N1078" s="1169" t="s">
        <v>271</v>
      </c>
      <c r="P1078" s="6" t="s">
        <v>3324</v>
      </c>
      <c r="Q1078" s="1215" t="s">
        <v>253</v>
      </c>
      <c r="R1078" s="1215" t="s">
        <v>255</v>
      </c>
      <c r="S1078" s="1215" t="s">
        <v>534</v>
      </c>
      <c r="T1078" s="1215" t="s">
        <v>533</v>
      </c>
      <c r="U1078" s="6" t="s">
        <v>567</v>
      </c>
      <c r="V1078" s="6" t="s">
        <v>35</v>
      </c>
      <c r="W1078" s="6" t="s">
        <v>863</v>
      </c>
      <c r="X1078" s="6" t="s">
        <v>193</v>
      </c>
    </row>
    <row r="1079" spans="1:24" ht="15" customHeight="1" x14ac:dyDescent="0.3">
      <c r="A1079" s="6" t="s">
        <v>533</v>
      </c>
      <c r="B1079" s="6" t="s">
        <v>534</v>
      </c>
      <c r="C1079" s="6" t="s">
        <v>31</v>
      </c>
      <c r="D1079" s="1088" t="s">
        <v>549</v>
      </c>
      <c r="E1079" s="6" t="s">
        <v>2797</v>
      </c>
      <c r="F1079" s="6" t="s">
        <v>767</v>
      </c>
      <c r="G1079" s="6" t="s">
        <v>2540</v>
      </c>
      <c r="H1079" s="6" t="s">
        <v>787</v>
      </c>
      <c r="J1079" s="1215" t="s">
        <v>509</v>
      </c>
      <c r="K1079" s="1219" t="s">
        <v>3033</v>
      </c>
      <c r="L1079" s="8">
        <v>24</v>
      </c>
      <c r="M1079" s="8">
        <v>164</v>
      </c>
      <c r="N1079" s="1169" t="s">
        <v>271</v>
      </c>
      <c r="P1079" s="6" t="s">
        <v>3324</v>
      </c>
      <c r="Q1079" s="1215" t="s">
        <v>253</v>
      </c>
      <c r="R1079" s="1215" t="s">
        <v>255</v>
      </c>
      <c r="S1079" s="1215" t="s">
        <v>534</v>
      </c>
      <c r="T1079" s="1215" t="s">
        <v>533</v>
      </c>
      <c r="U1079" s="6" t="s">
        <v>549</v>
      </c>
      <c r="V1079" s="6" t="s">
        <v>31</v>
      </c>
      <c r="W1079" s="6" t="s">
        <v>767</v>
      </c>
      <c r="X1079" s="6" t="s">
        <v>2797</v>
      </c>
    </row>
    <row r="1080" spans="1:24" ht="15" customHeight="1" x14ac:dyDescent="0.3">
      <c r="A1080" s="6" t="s">
        <v>533</v>
      </c>
      <c r="B1080" s="6" t="s">
        <v>534</v>
      </c>
      <c r="C1080" s="6" t="s">
        <v>31</v>
      </c>
      <c r="D1080" s="1088" t="s">
        <v>549</v>
      </c>
      <c r="E1080" s="6" t="s">
        <v>2797</v>
      </c>
      <c r="F1080" s="6" t="s">
        <v>767</v>
      </c>
      <c r="G1080" s="6" t="s">
        <v>2540</v>
      </c>
      <c r="H1080" s="6" t="s">
        <v>787</v>
      </c>
      <c r="J1080" s="1215" t="s">
        <v>509</v>
      </c>
      <c r="K1080" s="1219" t="s">
        <v>3112</v>
      </c>
      <c r="L1080" s="8">
        <v>5</v>
      </c>
      <c r="M1080" s="8">
        <v>30</v>
      </c>
      <c r="N1080" s="1169" t="s">
        <v>271</v>
      </c>
      <c r="P1080" s="6" t="s">
        <v>3324</v>
      </c>
      <c r="Q1080" s="1215" t="s">
        <v>253</v>
      </c>
      <c r="R1080" s="1215" t="s">
        <v>255</v>
      </c>
      <c r="S1080" s="1215" t="s">
        <v>534</v>
      </c>
      <c r="T1080" s="1215" t="s">
        <v>533</v>
      </c>
      <c r="U1080" s="6" t="s">
        <v>549</v>
      </c>
      <c r="V1080" s="6" t="s">
        <v>31</v>
      </c>
      <c r="W1080" s="6" t="s">
        <v>767</v>
      </c>
      <c r="X1080" s="6" t="s">
        <v>2797</v>
      </c>
    </row>
    <row r="1081" spans="1:24" ht="15" customHeight="1" x14ac:dyDescent="0.3">
      <c r="A1081" s="6" t="s">
        <v>533</v>
      </c>
      <c r="B1081" s="6" t="s">
        <v>534</v>
      </c>
      <c r="C1081" s="6" t="s">
        <v>31</v>
      </c>
      <c r="D1081" s="1088" t="s">
        <v>549</v>
      </c>
      <c r="E1081" s="6" t="s">
        <v>171</v>
      </c>
      <c r="F1081" s="6" t="s">
        <v>634</v>
      </c>
      <c r="G1081" s="6" t="s">
        <v>1916</v>
      </c>
      <c r="H1081" s="6" t="s">
        <v>1744</v>
      </c>
      <c r="J1081" s="1215" t="s">
        <v>509</v>
      </c>
      <c r="K1081" s="1219" t="s">
        <v>3111</v>
      </c>
      <c r="L1081" s="8">
        <v>165</v>
      </c>
      <c r="M1081" s="8">
        <v>1229</v>
      </c>
      <c r="N1081" s="1169" t="s">
        <v>271</v>
      </c>
      <c r="P1081" s="6" t="s">
        <v>3324</v>
      </c>
      <c r="Q1081" s="1215" t="s">
        <v>253</v>
      </c>
      <c r="R1081" s="1215" t="s">
        <v>255</v>
      </c>
      <c r="S1081" s="1215" t="s">
        <v>534</v>
      </c>
      <c r="T1081" s="1215" t="s">
        <v>533</v>
      </c>
      <c r="U1081" s="6" t="s">
        <v>549</v>
      </c>
      <c r="V1081" s="6" t="s">
        <v>31</v>
      </c>
      <c r="W1081" s="6" t="s">
        <v>634</v>
      </c>
      <c r="X1081" s="6" t="s">
        <v>171</v>
      </c>
    </row>
    <row r="1082" spans="1:24" ht="15" customHeight="1" x14ac:dyDescent="0.3">
      <c r="A1082" s="6" t="s">
        <v>533</v>
      </c>
      <c r="B1082" s="6" t="s">
        <v>534</v>
      </c>
      <c r="C1082" s="6" t="s">
        <v>31</v>
      </c>
      <c r="D1082" s="1088" t="s">
        <v>549</v>
      </c>
      <c r="E1082" s="6" t="s">
        <v>171</v>
      </c>
      <c r="F1082" s="6" t="s">
        <v>634</v>
      </c>
      <c r="G1082" s="6" t="s">
        <v>2087</v>
      </c>
      <c r="H1082" s="6" t="s">
        <v>1746</v>
      </c>
      <c r="J1082" s="1215" t="s">
        <v>509</v>
      </c>
      <c r="K1082" s="1219" t="s">
        <v>3111</v>
      </c>
      <c r="L1082" s="8">
        <v>21</v>
      </c>
      <c r="M1082" s="8">
        <v>175</v>
      </c>
      <c r="N1082" s="1169" t="s">
        <v>271</v>
      </c>
      <c r="P1082" s="6" t="s">
        <v>3324</v>
      </c>
      <c r="Q1082" s="1215" t="s">
        <v>253</v>
      </c>
      <c r="R1082" s="1215" t="s">
        <v>255</v>
      </c>
      <c r="S1082" s="1215" t="s">
        <v>534</v>
      </c>
      <c r="T1082" s="1215" t="s">
        <v>533</v>
      </c>
      <c r="U1082" s="6" t="s">
        <v>549</v>
      </c>
      <c r="V1082" s="6" t="s">
        <v>31</v>
      </c>
      <c r="W1082" s="6" t="s">
        <v>634</v>
      </c>
      <c r="X1082" s="6" t="s">
        <v>171</v>
      </c>
    </row>
    <row r="1083" spans="1:24" ht="15" customHeight="1" x14ac:dyDescent="0.3">
      <c r="A1083" s="6" t="s">
        <v>533</v>
      </c>
      <c r="B1083" s="6" t="s">
        <v>534</v>
      </c>
      <c r="C1083" s="6" t="s">
        <v>31</v>
      </c>
      <c r="D1083" s="1088" t="s">
        <v>549</v>
      </c>
      <c r="E1083" s="6" t="s">
        <v>171</v>
      </c>
      <c r="F1083" s="6" t="s">
        <v>634</v>
      </c>
      <c r="G1083" s="6" t="s">
        <v>1542</v>
      </c>
      <c r="H1083" s="6" t="s">
        <v>1012</v>
      </c>
      <c r="J1083" s="1215" t="s">
        <v>509</v>
      </c>
      <c r="K1083" s="1219" t="s">
        <v>3111</v>
      </c>
      <c r="L1083" s="8">
        <v>12</v>
      </c>
      <c r="M1083" s="8">
        <v>87</v>
      </c>
      <c r="N1083" s="6" t="s">
        <v>271</v>
      </c>
      <c r="P1083" s="6" t="s">
        <v>3324</v>
      </c>
      <c r="Q1083" s="1215" t="s">
        <v>253</v>
      </c>
      <c r="R1083" s="1215" t="s">
        <v>255</v>
      </c>
      <c r="S1083" s="1215" t="s">
        <v>534</v>
      </c>
      <c r="T1083" s="1215" t="s">
        <v>533</v>
      </c>
      <c r="U1083" s="6" t="s">
        <v>549</v>
      </c>
      <c r="V1083" s="6" t="s">
        <v>31</v>
      </c>
      <c r="W1083" s="6" t="s">
        <v>634</v>
      </c>
      <c r="X1083" s="6" t="s">
        <v>171</v>
      </c>
    </row>
    <row r="1084" spans="1:24" ht="15" customHeight="1" x14ac:dyDescent="0.3">
      <c r="A1084" s="6" t="s">
        <v>533</v>
      </c>
      <c r="B1084" s="6" t="s">
        <v>534</v>
      </c>
      <c r="C1084" s="6" t="s">
        <v>31</v>
      </c>
      <c r="D1084" s="1088" t="s">
        <v>549</v>
      </c>
      <c r="E1084" s="6" t="s">
        <v>171</v>
      </c>
      <c r="F1084" s="6" t="s">
        <v>634</v>
      </c>
      <c r="G1084" s="6" t="s">
        <v>1318</v>
      </c>
      <c r="H1084" s="6" t="s">
        <v>1319</v>
      </c>
      <c r="J1084" s="1215" t="s">
        <v>509</v>
      </c>
      <c r="K1084" s="1219" t="s">
        <v>3111</v>
      </c>
      <c r="L1084" s="8">
        <v>931</v>
      </c>
      <c r="M1084" s="8">
        <v>8346</v>
      </c>
      <c r="N1084" s="1169" t="s">
        <v>271</v>
      </c>
      <c r="P1084" s="6" t="s">
        <v>3324</v>
      </c>
      <c r="Q1084" s="1215" t="s">
        <v>253</v>
      </c>
      <c r="R1084" s="1215" t="s">
        <v>255</v>
      </c>
      <c r="S1084" s="1215" t="s">
        <v>534</v>
      </c>
      <c r="T1084" s="1215" t="s">
        <v>533</v>
      </c>
      <c r="U1084" s="6" t="s">
        <v>549</v>
      </c>
      <c r="V1084" s="6" t="s">
        <v>31</v>
      </c>
      <c r="W1084" s="6" t="s">
        <v>634</v>
      </c>
      <c r="X1084" s="6" t="s">
        <v>171</v>
      </c>
    </row>
    <row r="1085" spans="1:24" ht="15" customHeight="1" x14ac:dyDescent="0.3">
      <c r="A1085" s="6" t="s">
        <v>533</v>
      </c>
      <c r="B1085" s="6" t="s">
        <v>534</v>
      </c>
      <c r="C1085" s="6" t="s">
        <v>31</v>
      </c>
      <c r="D1085" s="1088" t="s">
        <v>549</v>
      </c>
      <c r="E1085" s="6" t="s">
        <v>171</v>
      </c>
      <c r="F1085" s="6" t="s">
        <v>634</v>
      </c>
      <c r="G1085" s="6" t="s">
        <v>1318</v>
      </c>
      <c r="H1085" s="6" t="s">
        <v>1319</v>
      </c>
      <c r="J1085" s="1215" t="s">
        <v>509</v>
      </c>
      <c r="K1085" s="1219" t="s">
        <v>3112</v>
      </c>
      <c r="L1085" s="8">
        <v>5</v>
      </c>
      <c r="M1085" s="8">
        <v>15</v>
      </c>
      <c r="N1085" s="1169" t="s">
        <v>272</v>
      </c>
      <c r="P1085" s="6" t="s">
        <v>3324</v>
      </c>
      <c r="Q1085" s="1215" t="s">
        <v>253</v>
      </c>
      <c r="R1085" s="1215" t="s">
        <v>255</v>
      </c>
      <c r="S1085" s="1215" t="s">
        <v>534</v>
      </c>
      <c r="T1085" s="1215" t="s">
        <v>533</v>
      </c>
      <c r="U1085" s="6" t="s">
        <v>549</v>
      </c>
      <c r="V1085" s="6" t="s">
        <v>31</v>
      </c>
      <c r="W1085" s="6" t="s">
        <v>634</v>
      </c>
      <c r="X1085" s="6" t="s">
        <v>171</v>
      </c>
    </row>
    <row r="1086" spans="1:24" ht="15" customHeight="1" x14ac:dyDescent="0.3">
      <c r="A1086" s="6" t="s">
        <v>533</v>
      </c>
      <c r="B1086" s="6" t="s">
        <v>534</v>
      </c>
      <c r="C1086" s="6" t="s">
        <v>31</v>
      </c>
      <c r="D1086" s="1088" t="s">
        <v>549</v>
      </c>
      <c r="E1086" s="6" t="s">
        <v>171</v>
      </c>
      <c r="F1086" s="6" t="s">
        <v>634</v>
      </c>
      <c r="G1086" s="6" t="s">
        <v>1303</v>
      </c>
      <c r="H1086" s="6" t="s">
        <v>3235</v>
      </c>
      <c r="J1086" s="1215" t="s">
        <v>509</v>
      </c>
      <c r="K1086" s="1219" t="s">
        <v>3111</v>
      </c>
      <c r="L1086" s="8">
        <v>440</v>
      </c>
      <c r="M1086" s="8">
        <v>3776</v>
      </c>
      <c r="N1086" s="1169" t="s">
        <v>271</v>
      </c>
      <c r="P1086" s="6" t="s">
        <v>3324</v>
      </c>
      <c r="Q1086" s="1215" t="s">
        <v>253</v>
      </c>
      <c r="R1086" s="1215" t="s">
        <v>255</v>
      </c>
      <c r="S1086" s="1215" t="s">
        <v>534</v>
      </c>
      <c r="T1086" s="1215" t="s">
        <v>533</v>
      </c>
      <c r="U1086" s="6" t="s">
        <v>549</v>
      </c>
      <c r="V1086" s="6" t="s">
        <v>31</v>
      </c>
      <c r="W1086" s="6" t="s">
        <v>634</v>
      </c>
      <c r="X1086" s="6" t="s">
        <v>171</v>
      </c>
    </row>
    <row r="1087" spans="1:24" ht="15" customHeight="1" x14ac:dyDescent="0.3">
      <c r="A1087" s="6" t="s">
        <v>533</v>
      </c>
      <c r="B1087" s="6" t="s">
        <v>534</v>
      </c>
      <c r="C1087" s="6" t="s">
        <v>31</v>
      </c>
      <c r="D1087" s="1088" t="s">
        <v>549</v>
      </c>
      <c r="E1087" s="6" t="s">
        <v>171</v>
      </c>
      <c r="F1087" s="6" t="s">
        <v>634</v>
      </c>
      <c r="G1087" s="6" t="s">
        <v>1303</v>
      </c>
      <c r="H1087" s="6" t="s">
        <v>3235</v>
      </c>
      <c r="J1087" s="1215" t="s">
        <v>509</v>
      </c>
      <c r="K1087" s="1219" t="s">
        <v>3112</v>
      </c>
      <c r="L1087" s="8">
        <v>3</v>
      </c>
      <c r="M1087" s="8">
        <v>15</v>
      </c>
      <c r="N1087" s="1169" t="s">
        <v>272</v>
      </c>
      <c r="P1087" s="6" t="s">
        <v>3324</v>
      </c>
      <c r="Q1087" s="1215" t="s">
        <v>253</v>
      </c>
      <c r="R1087" s="1215" t="s">
        <v>255</v>
      </c>
      <c r="S1087" s="1215" t="s">
        <v>534</v>
      </c>
      <c r="T1087" s="1215" t="s">
        <v>533</v>
      </c>
      <c r="U1087" s="6" t="s">
        <v>549</v>
      </c>
      <c r="V1087" s="6" t="s">
        <v>31</v>
      </c>
      <c r="W1087" s="6" t="s">
        <v>634</v>
      </c>
      <c r="X1087" s="6" t="s">
        <v>171</v>
      </c>
    </row>
    <row r="1088" spans="1:24" ht="15" customHeight="1" x14ac:dyDescent="0.3">
      <c r="A1088" s="6" t="s">
        <v>533</v>
      </c>
      <c r="B1088" s="6" t="s">
        <v>534</v>
      </c>
      <c r="C1088" s="6" t="s">
        <v>31</v>
      </c>
      <c r="D1088" s="1088" t="s">
        <v>549</v>
      </c>
      <c r="E1088" s="6" t="s">
        <v>172</v>
      </c>
      <c r="F1088" s="6" t="s">
        <v>706</v>
      </c>
      <c r="G1088" s="6" t="s">
        <v>972</v>
      </c>
      <c r="H1088" s="6" t="s">
        <v>2791</v>
      </c>
      <c r="J1088" s="1215" t="s">
        <v>509</v>
      </c>
      <c r="K1088" s="1219" t="s">
        <v>3110</v>
      </c>
      <c r="L1088" s="8">
        <v>5</v>
      </c>
      <c r="M1088" s="8">
        <v>41</v>
      </c>
      <c r="N1088" s="1169" t="s">
        <v>274</v>
      </c>
      <c r="P1088" s="6" t="s">
        <v>3323</v>
      </c>
      <c r="Q1088" s="1215" t="s">
        <v>253</v>
      </c>
      <c r="R1088" s="1215" t="s">
        <v>255</v>
      </c>
      <c r="S1088" s="1215" t="s">
        <v>534</v>
      </c>
      <c r="T1088" s="1215" t="s">
        <v>533</v>
      </c>
      <c r="U1088" s="6" t="s">
        <v>549</v>
      </c>
      <c r="V1088" s="6" t="s">
        <v>31</v>
      </c>
      <c r="W1088" s="6" t="s">
        <v>673</v>
      </c>
      <c r="X1088" s="6" t="s">
        <v>169</v>
      </c>
    </row>
    <row r="1089" spans="1:24" ht="15" customHeight="1" x14ac:dyDescent="0.3">
      <c r="A1089" s="6" t="s">
        <v>533</v>
      </c>
      <c r="B1089" s="6" t="s">
        <v>534</v>
      </c>
      <c r="C1089" s="6" t="s">
        <v>31</v>
      </c>
      <c r="D1089" s="1088" t="s">
        <v>549</v>
      </c>
      <c r="E1089" s="6" t="s">
        <v>172</v>
      </c>
      <c r="F1089" s="6" t="s">
        <v>706</v>
      </c>
      <c r="G1089" s="6" t="s">
        <v>1193</v>
      </c>
      <c r="H1089" s="6" t="s">
        <v>1905</v>
      </c>
      <c r="J1089" s="1215" t="s">
        <v>509</v>
      </c>
      <c r="K1089" s="1219" t="s">
        <v>3110</v>
      </c>
      <c r="L1089" s="8">
        <v>11</v>
      </c>
      <c r="M1089" s="8">
        <v>66</v>
      </c>
      <c r="N1089" s="1169" t="s">
        <v>274</v>
      </c>
      <c r="P1089" s="6" t="s">
        <v>3323</v>
      </c>
      <c r="Q1089" s="1215" t="s">
        <v>253</v>
      </c>
      <c r="R1089" s="1215" t="s">
        <v>255</v>
      </c>
      <c r="S1089" s="1215" t="s">
        <v>534</v>
      </c>
      <c r="T1089" s="1215" t="s">
        <v>533</v>
      </c>
      <c r="U1089" s="6" t="s">
        <v>549</v>
      </c>
      <c r="V1089" s="6" t="s">
        <v>31</v>
      </c>
      <c r="W1089" s="6" t="s">
        <v>673</v>
      </c>
      <c r="X1089" s="6" t="s">
        <v>169</v>
      </c>
    </row>
    <row r="1090" spans="1:24" ht="15" customHeight="1" x14ac:dyDescent="0.3">
      <c r="A1090" s="6" t="s">
        <v>533</v>
      </c>
      <c r="B1090" s="6" t="s">
        <v>534</v>
      </c>
      <c r="C1090" s="6" t="s">
        <v>31</v>
      </c>
      <c r="D1090" s="1088" t="s">
        <v>549</v>
      </c>
      <c r="E1090" s="1088" t="s">
        <v>172</v>
      </c>
      <c r="F1090" s="6" t="s">
        <v>706</v>
      </c>
      <c r="G1090" s="6" t="s">
        <v>1030</v>
      </c>
      <c r="H1090" s="6" t="s">
        <v>1069</v>
      </c>
      <c r="J1090" s="1215" t="s">
        <v>509</v>
      </c>
      <c r="K1090" s="1219" t="s">
        <v>3110</v>
      </c>
      <c r="L1090" s="8">
        <v>20</v>
      </c>
      <c r="M1090" s="8">
        <v>99</v>
      </c>
      <c r="N1090" s="1169" t="s">
        <v>274</v>
      </c>
      <c r="P1090" s="6" t="s">
        <v>3323</v>
      </c>
      <c r="Q1090" s="1215" t="s">
        <v>253</v>
      </c>
      <c r="R1090" s="1215" t="s">
        <v>255</v>
      </c>
      <c r="S1090" s="1215" t="s">
        <v>534</v>
      </c>
      <c r="T1090" s="1215" t="s">
        <v>533</v>
      </c>
      <c r="U1090" s="6" t="s">
        <v>549</v>
      </c>
      <c r="V1090" s="6" t="s">
        <v>31</v>
      </c>
      <c r="W1090" s="6" t="s">
        <v>673</v>
      </c>
      <c r="X1090" s="6" t="s">
        <v>169</v>
      </c>
    </row>
    <row r="1091" spans="1:24" ht="15" customHeight="1" x14ac:dyDescent="0.3">
      <c r="A1091" s="6" t="s">
        <v>533</v>
      </c>
      <c r="B1091" s="6" t="s">
        <v>534</v>
      </c>
      <c r="C1091" s="6" t="s">
        <v>31</v>
      </c>
      <c r="D1091" s="1088" t="s">
        <v>549</v>
      </c>
      <c r="E1091" s="6" t="s">
        <v>169</v>
      </c>
      <c r="F1091" s="6" t="s">
        <v>673</v>
      </c>
      <c r="G1091" s="6" t="s">
        <v>1131</v>
      </c>
      <c r="H1091" s="6" t="s">
        <v>1475</v>
      </c>
      <c r="J1091" s="1215" t="s">
        <v>509</v>
      </c>
      <c r="K1091" s="1219" t="s">
        <v>3033</v>
      </c>
      <c r="L1091" s="8">
        <v>18</v>
      </c>
      <c r="M1091" s="8">
        <v>138</v>
      </c>
      <c r="N1091" s="1169" t="s">
        <v>271</v>
      </c>
      <c r="P1091" s="6" t="s">
        <v>3324</v>
      </c>
      <c r="Q1091" s="1215" t="s">
        <v>253</v>
      </c>
      <c r="R1091" s="1215" t="s">
        <v>255</v>
      </c>
      <c r="S1091" s="1215" t="s">
        <v>534</v>
      </c>
      <c r="T1091" s="1215" t="s">
        <v>533</v>
      </c>
      <c r="U1091" s="6" t="s">
        <v>549</v>
      </c>
      <c r="V1091" s="6" t="s">
        <v>31</v>
      </c>
      <c r="W1091" s="6" t="s">
        <v>673</v>
      </c>
      <c r="X1091" s="6" t="s">
        <v>169</v>
      </c>
    </row>
    <row r="1092" spans="1:24" ht="15" customHeight="1" x14ac:dyDescent="0.3">
      <c r="A1092" s="6" t="s">
        <v>533</v>
      </c>
      <c r="B1092" s="6" t="s">
        <v>534</v>
      </c>
      <c r="C1092" s="6" t="s">
        <v>31</v>
      </c>
      <c r="D1092" s="1088" t="s">
        <v>549</v>
      </c>
      <c r="E1092" s="6" t="s">
        <v>169</v>
      </c>
      <c r="F1092" s="6" t="s">
        <v>673</v>
      </c>
      <c r="G1092" s="6" t="s">
        <v>1564</v>
      </c>
      <c r="H1092" s="6" t="s">
        <v>1096</v>
      </c>
      <c r="J1092" s="1215" t="s">
        <v>509</v>
      </c>
      <c r="K1092" s="1219" t="s">
        <v>3033</v>
      </c>
      <c r="L1092" s="8">
        <v>84</v>
      </c>
      <c r="M1092" s="8">
        <v>465</v>
      </c>
      <c r="N1092" s="1169" t="s">
        <v>271</v>
      </c>
      <c r="P1092" s="6" t="s">
        <v>3324</v>
      </c>
      <c r="Q1092" s="1215" t="s">
        <v>253</v>
      </c>
      <c r="R1092" s="1215" t="s">
        <v>255</v>
      </c>
      <c r="S1092" s="1215" t="s">
        <v>534</v>
      </c>
      <c r="T1092" s="1215" t="s">
        <v>533</v>
      </c>
      <c r="U1092" s="6" t="s">
        <v>549</v>
      </c>
      <c r="V1092" s="6" t="s">
        <v>31</v>
      </c>
      <c r="W1092" s="6" t="s">
        <v>673</v>
      </c>
      <c r="X1092" s="6" t="s">
        <v>169</v>
      </c>
    </row>
    <row r="1093" spans="1:24" ht="15" customHeight="1" x14ac:dyDescent="0.3">
      <c r="A1093" s="6" t="s">
        <v>533</v>
      </c>
      <c r="B1093" s="6" t="s">
        <v>534</v>
      </c>
      <c r="C1093" s="6" t="s">
        <v>31</v>
      </c>
      <c r="D1093" s="1088" t="s">
        <v>549</v>
      </c>
      <c r="E1093" s="6" t="s">
        <v>169</v>
      </c>
      <c r="F1093" s="6" t="s">
        <v>673</v>
      </c>
      <c r="G1093" s="6" t="s">
        <v>1564</v>
      </c>
      <c r="H1093" s="6" t="s">
        <v>1096</v>
      </c>
      <c r="J1093" s="1215" t="s">
        <v>509</v>
      </c>
      <c r="K1093" s="1219" t="s">
        <v>3111</v>
      </c>
      <c r="L1093" s="8">
        <v>14</v>
      </c>
      <c r="M1093" s="8">
        <v>87</v>
      </c>
      <c r="N1093" s="1169" t="s">
        <v>271</v>
      </c>
      <c r="P1093" s="6" t="s">
        <v>3324</v>
      </c>
      <c r="Q1093" s="1215" t="s">
        <v>253</v>
      </c>
      <c r="R1093" s="1215" t="s">
        <v>255</v>
      </c>
      <c r="S1093" s="1215" t="s">
        <v>534</v>
      </c>
      <c r="T1093" s="1215" t="s">
        <v>533</v>
      </c>
      <c r="U1093" s="6" t="s">
        <v>549</v>
      </c>
      <c r="V1093" s="6" t="s">
        <v>31</v>
      </c>
      <c r="W1093" s="6" t="s">
        <v>673</v>
      </c>
      <c r="X1093" s="6" t="s">
        <v>169</v>
      </c>
    </row>
    <row r="1094" spans="1:24" ht="15" customHeight="1" x14ac:dyDescent="0.3">
      <c r="A1094" s="6" t="s">
        <v>533</v>
      </c>
      <c r="B1094" s="6" t="s">
        <v>534</v>
      </c>
      <c r="C1094" s="6" t="s">
        <v>31</v>
      </c>
      <c r="D1094" s="1088" t="s">
        <v>549</v>
      </c>
      <c r="E1094" s="6" t="s">
        <v>169</v>
      </c>
      <c r="F1094" s="6" t="s">
        <v>673</v>
      </c>
      <c r="G1094" s="6" t="s">
        <v>2968</v>
      </c>
      <c r="H1094" s="6" t="s">
        <v>1094</v>
      </c>
      <c r="J1094" s="1215" t="s">
        <v>509</v>
      </c>
      <c r="K1094" s="1219" t="s">
        <v>3033</v>
      </c>
      <c r="L1094" s="8">
        <v>4</v>
      </c>
      <c r="M1094" s="8">
        <v>40</v>
      </c>
      <c r="N1094" s="1169" t="s">
        <v>271</v>
      </c>
      <c r="P1094" s="6" t="s">
        <v>3324</v>
      </c>
      <c r="Q1094" s="1215" t="s">
        <v>253</v>
      </c>
      <c r="R1094" s="1215" t="s">
        <v>255</v>
      </c>
      <c r="S1094" s="1215" t="s">
        <v>534</v>
      </c>
      <c r="T1094" s="1215" t="s">
        <v>533</v>
      </c>
      <c r="U1094" s="6" t="s">
        <v>549</v>
      </c>
      <c r="V1094" s="6" t="s">
        <v>31</v>
      </c>
      <c r="W1094" s="6" t="s">
        <v>673</v>
      </c>
      <c r="X1094" s="6" t="s">
        <v>169</v>
      </c>
    </row>
    <row r="1095" spans="1:24" ht="15" customHeight="1" x14ac:dyDescent="0.3">
      <c r="A1095" s="6" t="s">
        <v>533</v>
      </c>
      <c r="B1095" s="6" t="s">
        <v>534</v>
      </c>
      <c r="C1095" s="6" t="s">
        <v>31</v>
      </c>
      <c r="D1095" s="1088" t="s">
        <v>549</v>
      </c>
      <c r="E1095" s="6" t="s">
        <v>169</v>
      </c>
      <c r="F1095" s="6" t="s">
        <v>673</v>
      </c>
      <c r="G1095" s="6" t="s">
        <v>2968</v>
      </c>
      <c r="H1095" s="6" t="s">
        <v>1094</v>
      </c>
      <c r="J1095" s="1215" t="s">
        <v>509</v>
      </c>
      <c r="K1095" s="1219" t="s">
        <v>3111</v>
      </c>
      <c r="L1095" s="8">
        <v>10</v>
      </c>
      <c r="M1095" s="8">
        <v>45</v>
      </c>
      <c r="N1095" s="1169" t="s">
        <v>271</v>
      </c>
      <c r="P1095" s="6" t="s">
        <v>3324</v>
      </c>
      <c r="Q1095" s="1215" t="s">
        <v>253</v>
      </c>
      <c r="R1095" s="1215" t="s">
        <v>255</v>
      </c>
      <c r="S1095" s="1215" t="s">
        <v>534</v>
      </c>
      <c r="T1095" s="1215" t="s">
        <v>533</v>
      </c>
      <c r="U1095" s="6" t="s">
        <v>549</v>
      </c>
      <c r="V1095" s="6" t="s">
        <v>31</v>
      </c>
      <c r="W1095" s="6" t="s">
        <v>673</v>
      </c>
      <c r="X1095" s="6" t="s">
        <v>169</v>
      </c>
    </row>
    <row r="1096" spans="1:24" ht="15" customHeight="1" x14ac:dyDescent="0.3">
      <c r="A1096" s="6" t="s">
        <v>533</v>
      </c>
      <c r="B1096" s="6" t="s">
        <v>534</v>
      </c>
      <c r="C1096" s="6" t="s">
        <v>31</v>
      </c>
      <c r="D1096" s="1088" t="s">
        <v>549</v>
      </c>
      <c r="E1096" s="6" t="s">
        <v>166</v>
      </c>
      <c r="F1096" s="6" t="s">
        <v>844</v>
      </c>
      <c r="G1096" s="6" t="s">
        <v>2879</v>
      </c>
      <c r="H1096" s="6" t="s">
        <v>1420</v>
      </c>
      <c r="J1096" s="1215" t="s">
        <v>509</v>
      </c>
      <c r="K1096" s="1219" t="s">
        <v>3033</v>
      </c>
      <c r="L1096" s="8">
        <v>15</v>
      </c>
      <c r="M1096" s="8">
        <v>42</v>
      </c>
      <c r="N1096" s="1169" t="s">
        <v>271</v>
      </c>
      <c r="P1096" s="6" t="s">
        <v>3324</v>
      </c>
      <c r="Q1096" s="1215" t="s">
        <v>253</v>
      </c>
      <c r="R1096" s="1215" t="s">
        <v>255</v>
      </c>
      <c r="S1096" s="1215" t="s">
        <v>534</v>
      </c>
      <c r="T1096" s="1215" t="s">
        <v>533</v>
      </c>
      <c r="U1096" s="6" t="s">
        <v>549</v>
      </c>
      <c r="V1096" s="6" t="s">
        <v>31</v>
      </c>
      <c r="W1096" s="6" t="s">
        <v>844</v>
      </c>
      <c r="X1096" s="6" t="s">
        <v>166</v>
      </c>
    </row>
    <row r="1097" spans="1:24" ht="15" customHeight="1" x14ac:dyDescent="0.3">
      <c r="A1097" s="6" t="s">
        <v>533</v>
      </c>
      <c r="B1097" s="6" t="s">
        <v>534</v>
      </c>
      <c r="C1097" s="6" t="s">
        <v>31</v>
      </c>
      <c r="D1097" s="1088" t="s">
        <v>549</v>
      </c>
      <c r="E1097" s="6" t="s">
        <v>172</v>
      </c>
      <c r="F1097" s="6" t="s">
        <v>706</v>
      </c>
      <c r="G1097" s="6" t="s">
        <v>3009</v>
      </c>
      <c r="H1097" s="6" t="s">
        <v>1308</v>
      </c>
      <c r="J1097" s="1215" t="s">
        <v>509</v>
      </c>
      <c r="K1097" s="1219" t="s">
        <v>3033</v>
      </c>
      <c r="L1097" s="8">
        <v>55</v>
      </c>
      <c r="M1097" s="8">
        <v>459</v>
      </c>
      <c r="N1097" s="1169" t="s">
        <v>271</v>
      </c>
      <c r="P1097" s="6" t="s">
        <v>3324</v>
      </c>
      <c r="Q1097" s="1215" t="s">
        <v>253</v>
      </c>
      <c r="R1097" s="1215" t="s">
        <v>255</v>
      </c>
      <c r="S1097" s="1215" t="s">
        <v>534</v>
      </c>
      <c r="T1097" s="1215" t="s">
        <v>533</v>
      </c>
      <c r="U1097" s="6" t="s">
        <v>549</v>
      </c>
      <c r="V1097" s="6" t="s">
        <v>31</v>
      </c>
      <c r="W1097" s="6" t="s">
        <v>706</v>
      </c>
      <c r="X1097" s="6" t="s">
        <v>172</v>
      </c>
    </row>
    <row r="1098" spans="1:24" ht="15" customHeight="1" x14ac:dyDescent="0.3">
      <c r="A1098" s="6" t="s">
        <v>533</v>
      </c>
      <c r="B1098" s="6" t="s">
        <v>534</v>
      </c>
      <c r="C1098" s="6" t="s">
        <v>31</v>
      </c>
      <c r="D1098" s="1088" t="s">
        <v>549</v>
      </c>
      <c r="E1098" s="6" t="s">
        <v>172</v>
      </c>
      <c r="F1098" s="6" t="s">
        <v>706</v>
      </c>
      <c r="G1098" s="6" t="s">
        <v>3009</v>
      </c>
      <c r="H1098" s="6" t="s">
        <v>1308</v>
      </c>
      <c r="J1098" s="1215" t="s">
        <v>509</v>
      </c>
      <c r="K1098" s="1219" t="s">
        <v>3109</v>
      </c>
      <c r="L1098" s="8">
        <v>0</v>
      </c>
      <c r="M1098" s="8">
        <v>2</v>
      </c>
      <c r="N1098" s="1169" t="s">
        <v>271</v>
      </c>
      <c r="P1098" s="6" t="s">
        <v>3324</v>
      </c>
      <c r="Q1098" s="1215" t="s">
        <v>253</v>
      </c>
      <c r="R1098" s="1215" t="s">
        <v>255</v>
      </c>
      <c r="S1098" s="1215" t="s">
        <v>534</v>
      </c>
      <c r="T1098" s="1215" t="s">
        <v>533</v>
      </c>
      <c r="U1098" s="6" t="s">
        <v>549</v>
      </c>
      <c r="V1098" s="6" t="s">
        <v>31</v>
      </c>
      <c r="W1098" s="6" t="s">
        <v>706</v>
      </c>
      <c r="X1098" s="6" t="s">
        <v>172</v>
      </c>
    </row>
    <row r="1099" spans="1:24" ht="15" customHeight="1" x14ac:dyDescent="0.3">
      <c r="A1099" s="6" t="s">
        <v>533</v>
      </c>
      <c r="B1099" s="6" t="s">
        <v>534</v>
      </c>
      <c r="C1099" s="6" t="s">
        <v>31</v>
      </c>
      <c r="D1099" s="1088" t="s">
        <v>549</v>
      </c>
      <c r="E1099" s="6" t="s">
        <v>164</v>
      </c>
      <c r="F1099" s="6" t="s">
        <v>748</v>
      </c>
      <c r="G1099" s="6" t="s">
        <v>1195</v>
      </c>
      <c r="H1099" s="6" t="s">
        <v>1196</v>
      </c>
      <c r="J1099" s="1215" t="s">
        <v>509</v>
      </c>
      <c r="K1099" s="1219" t="s">
        <v>3033</v>
      </c>
      <c r="L1099" s="8">
        <v>20</v>
      </c>
      <c r="M1099" s="8">
        <v>49</v>
      </c>
      <c r="N1099" s="1169" t="s">
        <v>271</v>
      </c>
      <c r="P1099" s="6" t="s">
        <v>3323</v>
      </c>
      <c r="Q1099" s="1215" t="s">
        <v>253</v>
      </c>
      <c r="R1099" s="1215" t="s">
        <v>255</v>
      </c>
      <c r="S1099" s="1215" t="s">
        <v>534</v>
      </c>
      <c r="T1099" s="1215" t="s">
        <v>533</v>
      </c>
      <c r="U1099" s="6" t="s">
        <v>549</v>
      </c>
      <c r="V1099" s="6" t="s">
        <v>31</v>
      </c>
      <c r="W1099" s="6" t="s">
        <v>844</v>
      </c>
      <c r="X1099" s="6" t="s">
        <v>166</v>
      </c>
    </row>
    <row r="1100" spans="1:24" ht="15" customHeight="1" x14ac:dyDescent="0.3">
      <c r="A1100" s="6" t="s">
        <v>533</v>
      </c>
      <c r="B1100" s="6" t="s">
        <v>534</v>
      </c>
      <c r="C1100" s="6" t="s">
        <v>31</v>
      </c>
      <c r="D1100" s="1088" t="s">
        <v>549</v>
      </c>
      <c r="E1100" s="6" t="s">
        <v>171</v>
      </c>
      <c r="F1100" s="6" t="s">
        <v>634</v>
      </c>
      <c r="G1100" s="6" t="s">
        <v>2012</v>
      </c>
      <c r="H1100" s="6" t="s">
        <v>3243</v>
      </c>
      <c r="J1100" s="1215" t="s">
        <v>509</v>
      </c>
      <c r="K1100" s="1219" t="s">
        <v>3033</v>
      </c>
      <c r="L1100" s="8">
        <v>60</v>
      </c>
      <c r="M1100" s="8">
        <v>100</v>
      </c>
      <c r="N1100" s="1169" t="s">
        <v>271</v>
      </c>
      <c r="P1100" s="6" t="s">
        <v>3324</v>
      </c>
      <c r="Q1100" s="1215" t="s">
        <v>253</v>
      </c>
      <c r="R1100" s="1215" t="s">
        <v>255</v>
      </c>
      <c r="S1100" s="1215" t="s">
        <v>534</v>
      </c>
      <c r="T1100" s="1215" t="s">
        <v>533</v>
      </c>
      <c r="U1100" s="6" t="s">
        <v>549</v>
      </c>
      <c r="V1100" s="6" t="s">
        <v>31</v>
      </c>
      <c r="W1100" s="6" t="s">
        <v>634</v>
      </c>
      <c r="X1100" s="6" t="s">
        <v>171</v>
      </c>
    </row>
    <row r="1101" spans="1:24" ht="15" customHeight="1" x14ac:dyDescent="0.3">
      <c r="A1101" s="6" t="s">
        <v>533</v>
      </c>
      <c r="B1101" s="6" t="s">
        <v>534</v>
      </c>
      <c r="C1101" s="6" t="s">
        <v>31</v>
      </c>
      <c r="D1101" s="1088" t="s">
        <v>549</v>
      </c>
      <c r="E1101" s="6" t="s">
        <v>171</v>
      </c>
      <c r="F1101" s="6" t="s">
        <v>634</v>
      </c>
      <c r="G1101" s="6" t="s">
        <v>2623</v>
      </c>
      <c r="H1101" s="6" t="s">
        <v>3278</v>
      </c>
      <c r="J1101" s="1215" t="s">
        <v>509</v>
      </c>
      <c r="K1101" s="1219" t="s">
        <v>3033</v>
      </c>
      <c r="L1101" s="8">
        <v>10</v>
      </c>
      <c r="M1101" s="8">
        <v>20</v>
      </c>
      <c r="N1101" s="1169" t="s">
        <v>271</v>
      </c>
      <c r="P1101" s="6" t="s">
        <v>3324</v>
      </c>
      <c r="Q1101" s="1215" t="s">
        <v>253</v>
      </c>
      <c r="R1101" s="1215" t="s">
        <v>255</v>
      </c>
      <c r="S1101" s="1215" t="s">
        <v>534</v>
      </c>
      <c r="T1101" s="1215" t="s">
        <v>533</v>
      </c>
      <c r="U1101" s="6" t="s">
        <v>549</v>
      </c>
      <c r="V1101" s="6" t="s">
        <v>31</v>
      </c>
      <c r="W1101" s="6" t="s">
        <v>634</v>
      </c>
      <c r="X1101" s="6" t="s">
        <v>171</v>
      </c>
    </row>
    <row r="1102" spans="1:24" ht="15" customHeight="1" x14ac:dyDescent="0.3">
      <c r="A1102" s="6" t="s">
        <v>533</v>
      </c>
      <c r="B1102" s="6" t="s">
        <v>534</v>
      </c>
      <c r="C1102" s="6" t="s">
        <v>31</v>
      </c>
      <c r="D1102" s="1088" t="s">
        <v>549</v>
      </c>
      <c r="E1102" s="6" t="s">
        <v>171</v>
      </c>
      <c r="F1102" s="6" t="s">
        <v>634</v>
      </c>
      <c r="G1102" s="6" t="s">
        <v>2202</v>
      </c>
      <c r="H1102" s="6" t="s">
        <v>1789</v>
      </c>
      <c r="J1102" s="1215" t="s">
        <v>509</v>
      </c>
      <c r="K1102" s="1219" t="s">
        <v>3111</v>
      </c>
      <c r="L1102" s="8">
        <v>4</v>
      </c>
      <c r="M1102" s="8">
        <v>22</v>
      </c>
      <c r="N1102" s="1169" t="s">
        <v>271</v>
      </c>
      <c r="P1102" s="6" t="s">
        <v>3323</v>
      </c>
      <c r="Q1102" s="1215" t="s">
        <v>253</v>
      </c>
      <c r="R1102" s="1215" t="s">
        <v>255</v>
      </c>
      <c r="S1102" s="1215" t="s">
        <v>534</v>
      </c>
      <c r="T1102" s="1215" t="s">
        <v>533</v>
      </c>
      <c r="U1102" s="6" t="s">
        <v>549</v>
      </c>
      <c r="V1102" s="6" t="s">
        <v>31</v>
      </c>
      <c r="W1102" s="6" t="s">
        <v>881</v>
      </c>
      <c r="X1102" s="6" t="s">
        <v>165</v>
      </c>
    </row>
    <row r="1103" spans="1:24" ht="15" customHeight="1" x14ac:dyDescent="0.3">
      <c r="A1103" s="6" t="s">
        <v>533</v>
      </c>
      <c r="B1103" s="6" t="s">
        <v>534</v>
      </c>
      <c r="C1103" s="6" t="s">
        <v>31</v>
      </c>
      <c r="D1103" s="1088" t="s">
        <v>549</v>
      </c>
      <c r="E1103" s="6" t="s">
        <v>171</v>
      </c>
      <c r="F1103" s="6" t="s">
        <v>634</v>
      </c>
      <c r="G1103" s="6" t="s">
        <v>1289</v>
      </c>
      <c r="H1103" s="6" t="s">
        <v>1805</v>
      </c>
      <c r="J1103" s="1215" t="s">
        <v>509</v>
      </c>
      <c r="K1103" s="1219" t="s">
        <v>3033</v>
      </c>
      <c r="L1103" s="8">
        <v>42</v>
      </c>
      <c r="M1103" s="8">
        <v>342</v>
      </c>
      <c r="N1103" s="1169" t="s">
        <v>271</v>
      </c>
      <c r="P1103" s="6" t="s">
        <v>3323</v>
      </c>
      <c r="Q1103" s="1215" t="s">
        <v>253</v>
      </c>
      <c r="R1103" s="1215" t="s">
        <v>255</v>
      </c>
      <c r="S1103" s="1215" t="s">
        <v>534</v>
      </c>
      <c r="T1103" s="1215" t="s">
        <v>533</v>
      </c>
      <c r="U1103" s="6" t="s">
        <v>549</v>
      </c>
      <c r="V1103" s="6" t="s">
        <v>31</v>
      </c>
      <c r="W1103" s="6" t="s">
        <v>844</v>
      </c>
      <c r="X1103" s="6" t="s">
        <v>166</v>
      </c>
    </row>
    <row r="1104" spans="1:24" ht="15" customHeight="1" x14ac:dyDescent="0.3">
      <c r="A1104" s="6" t="s">
        <v>533</v>
      </c>
      <c r="B1104" s="6" t="s">
        <v>534</v>
      </c>
      <c r="C1104" s="6" t="s">
        <v>31</v>
      </c>
      <c r="D1104" s="1088" t="s">
        <v>549</v>
      </c>
      <c r="E1104" s="6" t="s">
        <v>171</v>
      </c>
      <c r="F1104" s="6" t="s">
        <v>634</v>
      </c>
      <c r="G1104" s="6" t="s">
        <v>1289</v>
      </c>
      <c r="H1104" s="6" t="s">
        <v>1805</v>
      </c>
      <c r="J1104" s="1215" t="s">
        <v>509</v>
      </c>
      <c r="K1104" s="1219" t="s">
        <v>3110</v>
      </c>
      <c r="L1104" s="8">
        <v>0</v>
      </c>
      <c r="M1104" s="8">
        <v>9</v>
      </c>
      <c r="N1104" s="1169" t="s">
        <v>271</v>
      </c>
      <c r="P1104" s="6" t="s">
        <v>3324</v>
      </c>
      <c r="Q1104" s="1215" t="s">
        <v>253</v>
      </c>
      <c r="R1104" s="1215" t="s">
        <v>255</v>
      </c>
      <c r="S1104" s="1215" t="s">
        <v>534</v>
      </c>
      <c r="T1104" s="1215" t="s">
        <v>533</v>
      </c>
      <c r="U1104" s="6" t="s">
        <v>549</v>
      </c>
      <c r="V1104" s="6" t="s">
        <v>31</v>
      </c>
      <c r="W1104" s="6" t="s">
        <v>634</v>
      </c>
      <c r="X1104" s="6" t="s">
        <v>171</v>
      </c>
    </row>
    <row r="1105" spans="1:24" ht="15" customHeight="1" x14ac:dyDescent="0.3">
      <c r="A1105" s="6" t="s">
        <v>533</v>
      </c>
      <c r="B1105" s="6" t="s">
        <v>534</v>
      </c>
      <c r="C1105" s="6" t="s">
        <v>31</v>
      </c>
      <c r="D1105" s="1088" t="s">
        <v>549</v>
      </c>
      <c r="E1105" s="6" t="s">
        <v>171</v>
      </c>
      <c r="F1105" s="6" t="s">
        <v>634</v>
      </c>
      <c r="G1105" s="6" t="s">
        <v>1289</v>
      </c>
      <c r="H1105" s="6" t="s">
        <v>1805</v>
      </c>
      <c r="J1105" s="1215" t="s">
        <v>509</v>
      </c>
      <c r="K1105" s="1219" t="s">
        <v>3111</v>
      </c>
      <c r="L1105" s="8">
        <v>7</v>
      </c>
      <c r="M1105" s="8">
        <v>23</v>
      </c>
      <c r="N1105" s="1169" t="s">
        <v>271</v>
      </c>
      <c r="P1105" s="6" t="s">
        <v>3323</v>
      </c>
      <c r="Q1105" s="1215" t="s">
        <v>253</v>
      </c>
      <c r="R1105" s="1215" t="s">
        <v>255</v>
      </c>
      <c r="S1105" s="1215" t="s">
        <v>534</v>
      </c>
      <c r="T1105" s="1215" t="s">
        <v>533</v>
      </c>
      <c r="U1105" s="6" t="s">
        <v>549</v>
      </c>
      <c r="V1105" s="6" t="s">
        <v>31</v>
      </c>
      <c r="W1105" s="6" t="s">
        <v>844</v>
      </c>
      <c r="X1105" s="6" t="s">
        <v>166</v>
      </c>
    </row>
    <row r="1106" spans="1:24" ht="15" customHeight="1" x14ac:dyDescent="0.3">
      <c r="A1106" s="6" t="s">
        <v>533</v>
      </c>
      <c r="B1106" s="6" t="s">
        <v>534</v>
      </c>
      <c r="C1106" s="6" t="s">
        <v>31</v>
      </c>
      <c r="D1106" s="1088" t="s">
        <v>549</v>
      </c>
      <c r="E1106" s="6" t="s">
        <v>165</v>
      </c>
      <c r="F1106" s="6" t="s">
        <v>881</v>
      </c>
      <c r="G1106" s="6" t="s">
        <v>1187</v>
      </c>
      <c r="H1106" s="6" t="s">
        <v>3259</v>
      </c>
      <c r="J1106" s="1215" t="s">
        <v>509</v>
      </c>
      <c r="K1106" s="1219" t="s">
        <v>3112</v>
      </c>
      <c r="L1106" s="8">
        <v>150</v>
      </c>
      <c r="M1106" s="8">
        <v>600</v>
      </c>
      <c r="N1106" s="1169" t="s">
        <v>271</v>
      </c>
      <c r="P1106" s="6" t="s">
        <v>3324</v>
      </c>
      <c r="Q1106" s="1215" t="s">
        <v>253</v>
      </c>
      <c r="R1106" s="1215" t="s">
        <v>255</v>
      </c>
      <c r="S1106" s="1215" t="s">
        <v>534</v>
      </c>
      <c r="T1106" s="1215" t="s">
        <v>533</v>
      </c>
      <c r="U1106" s="6" t="s">
        <v>549</v>
      </c>
      <c r="V1106" s="6" t="s">
        <v>31</v>
      </c>
      <c r="W1106" s="6" t="s">
        <v>881</v>
      </c>
      <c r="X1106" s="6" t="s">
        <v>165</v>
      </c>
    </row>
    <row r="1107" spans="1:24" ht="15" customHeight="1" x14ac:dyDescent="0.3">
      <c r="A1107" s="6" t="s">
        <v>533</v>
      </c>
      <c r="B1107" s="6" t="s">
        <v>534</v>
      </c>
      <c r="C1107" s="6" t="s">
        <v>33</v>
      </c>
      <c r="D1107" s="1088" t="s">
        <v>561</v>
      </c>
      <c r="E1107" s="6" t="s">
        <v>183</v>
      </c>
      <c r="F1107" s="6" t="s">
        <v>562</v>
      </c>
      <c r="G1107" s="6" t="s">
        <v>550</v>
      </c>
      <c r="H1107" s="6" t="s">
        <v>3126</v>
      </c>
      <c r="I1107" s="6" t="s">
        <v>3126</v>
      </c>
      <c r="J1107" s="1215" t="s">
        <v>509</v>
      </c>
      <c r="K1107" s="1219" t="s">
        <v>3112</v>
      </c>
      <c r="L1107" s="8">
        <v>4</v>
      </c>
      <c r="M1107" s="8">
        <v>26</v>
      </c>
      <c r="N1107" s="1169" t="s">
        <v>271</v>
      </c>
      <c r="P1107" s="6" t="s">
        <v>3322</v>
      </c>
      <c r="Q1107" s="1215" t="s">
        <v>253</v>
      </c>
      <c r="R1107" s="1215" t="s">
        <v>255</v>
      </c>
      <c r="S1107" s="1215" t="s">
        <v>534</v>
      </c>
      <c r="T1107" s="1215" t="s">
        <v>533</v>
      </c>
      <c r="U1107" s="6" t="s">
        <v>567</v>
      </c>
      <c r="V1107" s="6" t="s">
        <v>35</v>
      </c>
    </row>
    <row r="1108" spans="1:24" ht="15" customHeight="1" x14ac:dyDescent="0.3">
      <c r="A1108" s="6" t="s">
        <v>533</v>
      </c>
      <c r="B1108" s="6" t="s">
        <v>534</v>
      </c>
      <c r="C1108" s="6" t="s">
        <v>33</v>
      </c>
      <c r="D1108" s="1088" t="s">
        <v>561</v>
      </c>
      <c r="E1108" s="6" t="s">
        <v>183</v>
      </c>
      <c r="F1108" s="6" t="s">
        <v>562</v>
      </c>
      <c r="G1108" s="6" t="s">
        <v>550</v>
      </c>
      <c r="H1108" s="6" t="s">
        <v>3127</v>
      </c>
      <c r="I1108" s="6" t="s">
        <v>3127</v>
      </c>
      <c r="J1108" s="1215" t="s">
        <v>509</v>
      </c>
      <c r="K1108" s="1219" t="s">
        <v>3112</v>
      </c>
      <c r="L1108" s="8">
        <v>15</v>
      </c>
      <c r="M1108" s="8">
        <v>100</v>
      </c>
      <c r="N1108" s="1169" t="s">
        <v>274</v>
      </c>
      <c r="P1108" s="6" t="s">
        <v>3322</v>
      </c>
      <c r="Q1108" s="1215" t="s">
        <v>253</v>
      </c>
      <c r="R1108" s="1215" t="s">
        <v>255</v>
      </c>
      <c r="S1108" s="1215" t="s">
        <v>534</v>
      </c>
      <c r="T1108" s="1215" t="s">
        <v>533</v>
      </c>
      <c r="U1108" s="6" t="s">
        <v>542</v>
      </c>
      <c r="V1108" s="6" t="s">
        <v>32</v>
      </c>
    </row>
    <row r="1109" spans="1:24" ht="15" customHeight="1" x14ac:dyDescent="0.3">
      <c r="A1109" s="6" t="s">
        <v>533</v>
      </c>
      <c r="B1109" s="6" t="s">
        <v>534</v>
      </c>
      <c r="C1109" s="6" t="s">
        <v>31</v>
      </c>
      <c r="D1109" s="1088" t="s">
        <v>549</v>
      </c>
      <c r="E1109" s="6" t="s">
        <v>171</v>
      </c>
      <c r="F1109" s="6" t="s">
        <v>634</v>
      </c>
      <c r="G1109" s="6" t="s">
        <v>2069</v>
      </c>
      <c r="H1109" s="6" t="s">
        <v>890</v>
      </c>
      <c r="J1109" s="1215" t="s">
        <v>509</v>
      </c>
      <c r="K1109" s="1219" t="s">
        <v>3033</v>
      </c>
      <c r="L1109" s="8">
        <v>4</v>
      </c>
      <c r="M1109" s="8">
        <v>24</v>
      </c>
      <c r="N1109" s="1169" t="s">
        <v>271</v>
      </c>
      <c r="P1109" s="6" t="s">
        <v>3324</v>
      </c>
      <c r="Q1109" s="1215" t="s">
        <v>253</v>
      </c>
      <c r="R1109" s="1215" t="s">
        <v>255</v>
      </c>
      <c r="S1109" s="1215" t="s">
        <v>534</v>
      </c>
      <c r="T1109" s="1215" t="s">
        <v>533</v>
      </c>
      <c r="U1109" s="6" t="s">
        <v>549</v>
      </c>
      <c r="V1109" s="6" t="s">
        <v>31</v>
      </c>
      <c r="W1109" s="6" t="s">
        <v>634</v>
      </c>
      <c r="X1109" s="6" t="s">
        <v>171</v>
      </c>
    </row>
    <row r="1110" spans="1:24" ht="15" customHeight="1" x14ac:dyDescent="0.3">
      <c r="A1110" s="6" t="s">
        <v>533</v>
      </c>
      <c r="B1110" s="6" t="s">
        <v>534</v>
      </c>
      <c r="C1110" s="6" t="s">
        <v>31</v>
      </c>
      <c r="D1110" s="1088" t="s">
        <v>549</v>
      </c>
      <c r="E1110" s="6" t="s">
        <v>171</v>
      </c>
      <c r="F1110" s="6" t="s">
        <v>634</v>
      </c>
      <c r="G1110" s="6" t="s">
        <v>2069</v>
      </c>
      <c r="H1110" s="6" t="s">
        <v>890</v>
      </c>
      <c r="J1110" s="1215" t="s">
        <v>509</v>
      </c>
      <c r="K1110" s="1219" t="s">
        <v>3112</v>
      </c>
      <c r="L1110" s="8">
        <v>2</v>
      </c>
      <c r="M1110" s="8">
        <v>6</v>
      </c>
      <c r="N1110" s="1169" t="s">
        <v>271</v>
      </c>
      <c r="P1110" s="6" t="s">
        <v>3324</v>
      </c>
      <c r="Q1110" s="1215" t="s">
        <v>253</v>
      </c>
      <c r="R1110" s="1215" t="s">
        <v>255</v>
      </c>
      <c r="S1110" s="1215" t="s">
        <v>534</v>
      </c>
      <c r="T1110" s="1215" t="s">
        <v>533</v>
      </c>
      <c r="U1110" s="6" t="s">
        <v>549</v>
      </c>
      <c r="V1110" s="6" t="s">
        <v>31</v>
      </c>
      <c r="W1110" s="6" t="s">
        <v>634</v>
      </c>
      <c r="X1110" s="6" t="s">
        <v>171</v>
      </c>
    </row>
    <row r="1111" spans="1:24" ht="15" customHeight="1" x14ac:dyDescent="0.3">
      <c r="A1111" s="6" t="s">
        <v>533</v>
      </c>
      <c r="B1111" s="6" t="s">
        <v>534</v>
      </c>
      <c r="C1111" s="6" t="s">
        <v>31</v>
      </c>
      <c r="D1111" s="1088" t="s">
        <v>549</v>
      </c>
      <c r="E1111" s="6" t="s">
        <v>171</v>
      </c>
      <c r="F1111" s="6" t="s">
        <v>634</v>
      </c>
      <c r="G1111" s="6" t="s">
        <v>2588</v>
      </c>
      <c r="H1111" s="6" t="s">
        <v>2589</v>
      </c>
      <c r="J1111" s="1215" t="s">
        <v>509</v>
      </c>
      <c r="K1111" s="1219" t="s">
        <v>3033</v>
      </c>
      <c r="L1111" s="8">
        <v>20</v>
      </c>
      <c r="M1111" s="8">
        <v>100</v>
      </c>
      <c r="N1111" s="1169" t="s">
        <v>271</v>
      </c>
      <c r="P1111" s="6" t="s">
        <v>3323</v>
      </c>
      <c r="Q1111" s="1215" t="s">
        <v>253</v>
      </c>
      <c r="R1111" s="1215" t="s">
        <v>255</v>
      </c>
      <c r="S1111" s="1215" t="s">
        <v>534</v>
      </c>
      <c r="T1111" s="1215" t="s">
        <v>533</v>
      </c>
      <c r="U1111" s="6" t="s">
        <v>549</v>
      </c>
      <c r="V1111" s="6" t="s">
        <v>31</v>
      </c>
      <c r="W1111" s="6" t="s">
        <v>844</v>
      </c>
      <c r="X1111" s="6" t="s">
        <v>166</v>
      </c>
    </row>
    <row r="1112" spans="1:24" ht="15" customHeight="1" x14ac:dyDescent="0.3">
      <c r="A1112" s="6" t="s">
        <v>533</v>
      </c>
      <c r="B1112" s="6" t="s">
        <v>534</v>
      </c>
      <c r="C1112" s="6" t="s">
        <v>31</v>
      </c>
      <c r="D1112" s="1088" t="s">
        <v>549</v>
      </c>
      <c r="E1112" s="6" t="s">
        <v>171</v>
      </c>
      <c r="F1112" s="6" t="s">
        <v>634</v>
      </c>
      <c r="G1112" s="6" t="s">
        <v>869</v>
      </c>
      <c r="H1112" s="6" t="s">
        <v>1223</v>
      </c>
      <c r="J1112" s="1215" t="s">
        <v>509</v>
      </c>
      <c r="K1112" s="1219" t="s">
        <v>3033</v>
      </c>
      <c r="L1112" s="8">
        <v>15</v>
      </c>
      <c r="M1112" s="8">
        <v>75</v>
      </c>
      <c r="N1112" s="1169" t="s">
        <v>271</v>
      </c>
      <c r="P1112" s="6" t="s">
        <v>3324</v>
      </c>
      <c r="Q1112" s="1215" t="s">
        <v>253</v>
      </c>
      <c r="R1112" s="1215" t="s">
        <v>255</v>
      </c>
      <c r="S1112" s="1215" t="s">
        <v>534</v>
      </c>
      <c r="T1112" s="1215" t="s">
        <v>533</v>
      </c>
      <c r="U1112" s="6" t="s">
        <v>549</v>
      </c>
      <c r="V1112" s="6" t="s">
        <v>31</v>
      </c>
      <c r="W1112" s="6" t="s">
        <v>634</v>
      </c>
      <c r="X1112" s="6" t="s">
        <v>171</v>
      </c>
    </row>
    <row r="1113" spans="1:24" ht="15" customHeight="1" x14ac:dyDescent="0.3">
      <c r="A1113" s="6" t="s">
        <v>533</v>
      </c>
      <c r="B1113" s="6" t="s">
        <v>534</v>
      </c>
      <c r="C1113" s="6" t="s">
        <v>31</v>
      </c>
      <c r="D1113" s="1088" t="s">
        <v>549</v>
      </c>
      <c r="E1113" s="6" t="s">
        <v>171</v>
      </c>
      <c r="F1113" s="6" t="s">
        <v>634</v>
      </c>
      <c r="G1113" s="6" t="s">
        <v>869</v>
      </c>
      <c r="H1113" s="6" t="s">
        <v>1223</v>
      </c>
      <c r="J1113" s="1215" t="s">
        <v>509</v>
      </c>
      <c r="K1113" s="1219" t="s">
        <v>3112</v>
      </c>
      <c r="L1113" s="8">
        <v>0</v>
      </c>
      <c r="M1113" s="8">
        <v>5</v>
      </c>
      <c r="N1113" s="1169" t="s">
        <v>275</v>
      </c>
      <c r="O1113" s="6" t="s">
        <v>3334</v>
      </c>
      <c r="P1113" s="6" t="s">
        <v>3324</v>
      </c>
      <c r="Q1113" s="1215" t="s">
        <v>253</v>
      </c>
      <c r="R1113" s="1215" t="s">
        <v>255</v>
      </c>
      <c r="S1113" s="1215" t="s">
        <v>534</v>
      </c>
      <c r="T1113" s="1215" t="s">
        <v>533</v>
      </c>
      <c r="U1113" s="6" t="s">
        <v>549</v>
      </c>
      <c r="V1113" s="6" t="s">
        <v>31</v>
      </c>
      <c r="W1113" s="6" t="s">
        <v>634</v>
      </c>
      <c r="X1113" s="6" t="s">
        <v>171</v>
      </c>
    </row>
    <row r="1114" spans="1:24" ht="15" customHeight="1" x14ac:dyDescent="0.3">
      <c r="A1114" s="6" t="s">
        <v>533</v>
      </c>
      <c r="B1114" s="6" t="s">
        <v>534</v>
      </c>
      <c r="C1114" s="6" t="s">
        <v>31</v>
      </c>
      <c r="D1114" s="1088" t="s">
        <v>549</v>
      </c>
      <c r="E1114" s="6" t="s">
        <v>171</v>
      </c>
      <c r="F1114" s="6" t="s">
        <v>634</v>
      </c>
      <c r="G1114" s="6" t="s">
        <v>1220</v>
      </c>
      <c r="H1114" s="6" t="s">
        <v>811</v>
      </c>
      <c r="J1114" s="1215" t="s">
        <v>509</v>
      </c>
      <c r="K1114" s="1219" t="s">
        <v>3033</v>
      </c>
      <c r="L1114" s="8">
        <v>43</v>
      </c>
      <c r="M1114" s="8">
        <v>231</v>
      </c>
      <c r="N1114" s="1169" t="s">
        <v>271</v>
      </c>
      <c r="P1114" s="6" t="s">
        <v>3324</v>
      </c>
      <c r="Q1114" s="1215" t="s">
        <v>253</v>
      </c>
      <c r="R1114" s="1215" t="s">
        <v>255</v>
      </c>
      <c r="S1114" s="1215" t="s">
        <v>534</v>
      </c>
      <c r="T1114" s="1215" t="s">
        <v>533</v>
      </c>
      <c r="U1114" s="6" t="s">
        <v>549</v>
      </c>
      <c r="V1114" s="6" t="s">
        <v>31</v>
      </c>
      <c r="W1114" s="6" t="s">
        <v>634</v>
      </c>
      <c r="X1114" s="6" t="s">
        <v>171</v>
      </c>
    </row>
    <row r="1115" spans="1:24" ht="15" customHeight="1" x14ac:dyDescent="0.3">
      <c r="A1115" s="6" t="s">
        <v>533</v>
      </c>
      <c r="B1115" s="6" t="s">
        <v>534</v>
      </c>
      <c r="C1115" s="6" t="s">
        <v>31</v>
      </c>
      <c r="D1115" s="1088" t="s">
        <v>549</v>
      </c>
      <c r="E1115" s="6" t="s">
        <v>171</v>
      </c>
      <c r="F1115" s="6" t="s">
        <v>634</v>
      </c>
      <c r="G1115" s="6" t="s">
        <v>1101</v>
      </c>
      <c r="H1115" s="6" t="s">
        <v>1284</v>
      </c>
      <c r="J1115" s="1215" t="s">
        <v>509</v>
      </c>
      <c r="K1115" s="1219" t="s">
        <v>3033</v>
      </c>
      <c r="L1115" s="8">
        <v>18</v>
      </c>
      <c r="M1115" s="8">
        <v>98</v>
      </c>
      <c r="N1115" s="1169" t="s">
        <v>271</v>
      </c>
      <c r="P1115" s="6" t="s">
        <v>3324</v>
      </c>
      <c r="Q1115" s="1215" t="s">
        <v>253</v>
      </c>
      <c r="R1115" s="1215" t="s">
        <v>255</v>
      </c>
      <c r="S1115" s="1215" t="s">
        <v>534</v>
      </c>
      <c r="T1115" s="1215" t="s">
        <v>533</v>
      </c>
      <c r="U1115" s="6" t="s">
        <v>549</v>
      </c>
      <c r="V1115" s="6" t="s">
        <v>31</v>
      </c>
      <c r="W1115" s="6" t="s">
        <v>634</v>
      </c>
      <c r="X1115" s="6" t="s">
        <v>171</v>
      </c>
    </row>
    <row r="1116" spans="1:24" ht="15" customHeight="1" x14ac:dyDescent="0.3">
      <c r="A1116" s="6" t="s">
        <v>533</v>
      </c>
      <c r="B1116" s="6" t="s">
        <v>534</v>
      </c>
      <c r="C1116" s="6" t="s">
        <v>31</v>
      </c>
      <c r="D1116" s="1088" t="s">
        <v>549</v>
      </c>
      <c r="E1116" s="6" t="s">
        <v>171</v>
      </c>
      <c r="F1116" s="6" t="s">
        <v>634</v>
      </c>
      <c r="G1116" s="6" t="s">
        <v>2614</v>
      </c>
      <c r="H1116" s="6" t="s">
        <v>797</v>
      </c>
      <c r="J1116" s="1215" t="s">
        <v>509</v>
      </c>
      <c r="K1116" s="1219" t="s">
        <v>3033</v>
      </c>
      <c r="L1116" s="8">
        <v>22</v>
      </c>
      <c r="M1116" s="8">
        <v>123</v>
      </c>
      <c r="N1116" s="1169" t="s">
        <v>271</v>
      </c>
      <c r="P1116" s="6" t="s">
        <v>3323</v>
      </c>
      <c r="Q1116" s="1215" t="s">
        <v>253</v>
      </c>
      <c r="R1116" s="1215" t="s">
        <v>255</v>
      </c>
      <c r="S1116" s="1215" t="s">
        <v>534</v>
      </c>
      <c r="T1116" s="1215" t="s">
        <v>533</v>
      </c>
      <c r="U1116" s="6" t="s">
        <v>549</v>
      </c>
      <c r="V1116" s="6" t="s">
        <v>31</v>
      </c>
      <c r="W1116" s="6" t="s">
        <v>706</v>
      </c>
      <c r="X1116" s="6" t="s">
        <v>172</v>
      </c>
    </row>
    <row r="1117" spans="1:24" ht="15" customHeight="1" x14ac:dyDescent="0.3">
      <c r="A1117" s="6" t="s">
        <v>533</v>
      </c>
      <c r="B1117" s="6" t="s">
        <v>534</v>
      </c>
      <c r="C1117" s="6" t="s">
        <v>31</v>
      </c>
      <c r="D1117" s="1088" t="s">
        <v>549</v>
      </c>
      <c r="E1117" s="6" t="s">
        <v>171</v>
      </c>
      <c r="F1117" s="6" t="s">
        <v>634</v>
      </c>
      <c r="G1117" s="6" t="s">
        <v>2614</v>
      </c>
      <c r="H1117" s="6" t="s">
        <v>797</v>
      </c>
      <c r="J1117" s="1215" t="s">
        <v>509</v>
      </c>
      <c r="K1117" s="1219" t="s">
        <v>3109</v>
      </c>
      <c r="L1117" s="8">
        <v>0</v>
      </c>
      <c r="M1117" s="8">
        <v>25</v>
      </c>
      <c r="N1117" s="1169" t="s">
        <v>271</v>
      </c>
      <c r="P1117" s="6" t="s">
        <v>3323</v>
      </c>
      <c r="Q1117" s="1215" t="s">
        <v>253</v>
      </c>
      <c r="R1117" s="1215" t="s">
        <v>255</v>
      </c>
      <c r="S1117" s="1215" t="s">
        <v>534</v>
      </c>
      <c r="T1117" s="1215" t="s">
        <v>533</v>
      </c>
      <c r="U1117" s="6" t="s">
        <v>549</v>
      </c>
      <c r="V1117" s="6" t="s">
        <v>31</v>
      </c>
      <c r="W1117" s="6" t="s">
        <v>706</v>
      </c>
      <c r="X1117" s="6" t="s">
        <v>172</v>
      </c>
    </row>
    <row r="1118" spans="1:24" ht="15" customHeight="1" x14ac:dyDescent="0.3">
      <c r="A1118" s="6" t="s">
        <v>533</v>
      </c>
      <c r="B1118" s="6" t="s">
        <v>534</v>
      </c>
      <c r="C1118" s="6" t="s">
        <v>31</v>
      </c>
      <c r="D1118" s="1088" t="s">
        <v>549</v>
      </c>
      <c r="E1118" s="6" t="s">
        <v>171</v>
      </c>
      <c r="F1118" s="6" t="s">
        <v>634</v>
      </c>
      <c r="G1118" s="6" t="s">
        <v>2614</v>
      </c>
      <c r="H1118" s="6" t="s">
        <v>797</v>
      </c>
      <c r="J1118" s="1215" t="s">
        <v>509</v>
      </c>
      <c r="K1118" s="1219" t="s">
        <v>3111</v>
      </c>
      <c r="L1118" s="8">
        <v>1</v>
      </c>
      <c r="M1118" s="8">
        <v>23</v>
      </c>
      <c r="N1118" s="6" t="s">
        <v>274</v>
      </c>
      <c r="P1118" s="6" t="s">
        <v>3323</v>
      </c>
      <c r="Q1118" s="1215" t="s">
        <v>253</v>
      </c>
      <c r="R1118" s="1215" t="s">
        <v>255</v>
      </c>
      <c r="S1118" s="1215" t="s">
        <v>534</v>
      </c>
      <c r="T1118" s="1215" t="s">
        <v>533</v>
      </c>
      <c r="U1118" s="6" t="s">
        <v>549</v>
      </c>
      <c r="V1118" s="6" t="s">
        <v>31</v>
      </c>
      <c r="W1118" s="6" t="s">
        <v>673</v>
      </c>
      <c r="X1118" s="6" t="s">
        <v>169</v>
      </c>
    </row>
    <row r="1119" spans="1:24" ht="15" customHeight="1" x14ac:dyDescent="0.3">
      <c r="A1119" s="6" t="s">
        <v>533</v>
      </c>
      <c r="B1119" s="6" t="s">
        <v>534</v>
      </c>
      <c r="C1119" s="6" t="s">
        <v>31</v>
      </c>
      <c r="D1119" s="1088" t="s">
        <v>549</v>
      </c>
      <c r="E1119" s="6" t="s">
        <v>171</v>
      </c>
      <c r="F1119" s="6" t="s">
        <v>634</v>
      </c>
      <c r="G1119" s="6" t="s">
        <v>2614</v>
      </c>
      <c r="H1119" s="6" t="s">
        <v>797</v>
      </c>
      <c r="J1119" s="1215" t="s">
        <v>509</v>
      </c>
      <c r="K1119" s="1219" t="s">
        <v>3112</v>
      </c>
      <c r="L1119" s="8">
        <v>0</v>
      </c>
      <c r="M1119" s="8">
        <v>2</v>
      </c>
      <c r="N1119" s="6" t="s">
        <v>271</v>
      </c>
      <c r="P1119" s="6" t="s">
        <v>3323</v>
      </c>
      <c r="Q1119" s="1215" t="s">
        <v>253</v>
      </c>
      <c r="R1119" s="1215" t="s">
        <v>255</v>
      </c>
      <c r="S1119" s="1215" t="s">
        <v>534</v>
      </c>
      <c r="T1119" s="1215" t="s">
        <v>533</v>
      </c>
      <c r="U1119" s="6" t="s">
        <v>549</v>
      </c>
      <c r="V1119" s="6" t="s">
        <v>31</v>
      </c>
      <c r="W1119" s="6" t="s">
        <v>706</v>
      </c>
      <c r="X1119" s="6" t="s">
        <v>172</v>
      </c>
    </row>
    <row r="1120" spans="1:24" ht="15" customHeight="1" x14ac:dyDescent="0.3">
      <c r="A1120" s="6" t="s">
        <v>533</v>
      </c>
      <c r="B1120" s="6" t="s">
        <v>534</v>
      </c>
      <c r="C1120" s="6" t="s">
        <v>31</v>
      </c>
      <c r="D1120" s="1088" t="s">
        <v>549</v>
      </c>
      <c r="E1120" s="1088" t="s">
        <v>164</v>
      </c>
      <c r="F1120" s="6" t="s">
        <v>748</v>
      </c>
      <c r="G1120" s="6" t="s">
        <v>1968</v>
      </c>
      <c r="H1120" s="6" t="s">
        <v>1969</v>
      </c>
      <c r="J1120" s="1215" t="s">
        <v>509</v>
      </c>
      <c r="K1120" s="1219" t="s">
        <v>3033</v>
      </c>
      <c r="L1120" s="8">
        <v>22</v>
      </c>
      <c r="M1120" s="8">
        <v>39</v>
      </c>
      <c r="N1120" s="6" t="s">
        <v>271</v>
      </c>
      <c r="P1120" s="6" t="s">
        <v>3323</v>
      </c>
      <c r="Q1120" s="1215" t="s">
        <v>253</v>
      </c>
      <c r="R1120" s="1215" t="s">
        <v>255</v>
      </c>
      <c r="S1120" s="1215" t="s">
        <v>534</v>
      </c>
      <c r="T1120" s="1215" t="s">
        <v>533</v>
      </c>
      <c r="U1120" s="6" t="s">
        <v>549</v>
      </c>
      <c r="V1120" s="6" t="s">
        <v>31</v>
      </c>
      <c r="W1120" s="6" t="s">
        <v>844</v>
      </c>
      <c r="X1120" s="6" t="s">
        <v>166</v>
      </c>
    </row>
    <row r="1121" spans="1:24" ht="15" customHeight="1" x14ac:dyDescent="0.3">
      <c r="A1121" s="6" t="s">
        <v>533</v>
      </c>
      <c r="B1121" s="6" t="s">
        <v>534</v>
      </c>
      <c r="C1121" s="6" t="s">
        <v>34</v>
      </c>
      <c r="D1121" s="1088" t="s">
        <v>539</v>
      </c>
      <c r="E1121" s="1088" t="s">
        <v>188</v>
      </c>
      <c r="F1121" s="6" t="s">
        <v>546</v>
      </c>
      <c r="G1121" s="6" t="s">
        <v>2911</v>
      </c>
      <c r="H1121" s="6" t="s">
        <v>1267</v>
      </c>
      <c r="J1121" s="1215" t="s">
        <v>509</v>
      </c>
      <c r="K1121" s="1219" t="s">
        <v>3033</v>
      </c>
      <c r="L1121" s="8">
        <v>3</v>
      </c>
      <c r="M1121" s="8">
        <v>25</v>
      </c>
      <c r="N1121" s="6" t="s">
        <v>271</v>
      </c>
      <c r="P1121" s="6" t="s">
        <v>3322</v>
      </c>
      <c r="Q1121" s="1215" t="s">
        <v>253</v>
      </c>
      <c r="R1121" s="1215" t="s">
        <v>255</v>
      </c>
      <c r="S1121" s="1215" t="s">
        <v>534</v>
      </c>
      <c r="T1121" s="1215" t="s">
        <v>533</v>
      </c>
      <c r="U1121" s="6" t="s">
        <v>549</v>
      </c>
      <c r="V1121" s="6" t="s">
        <v>31</v>
      </c>
    </row>
    <row r="1122" spans="1:24" ht="15" customHeight="1" x14ac:dyDescent="0.3">
      <c r="A1122" s="6" t="s">
        <v>533</v>
      </c>
      <c r="B1122" s="6" t="s">
        <v>534</v>
      </c>
      <c r="C1122" s="6" t="s">
        <v>34</v>
      </c>
      <c r="D1122" s="1088" t="s">
        <v>539</v>
      </c>
      <c r="E1122" s="1088" t="s">
        <v>188</v>
      </c>
      <c r="F1122" s="6" t="s">
        <v>546</v>
      </c>
      <c r="G1122" s="6" t="s">
        <v>2911</v>
      </c>
      <c r="H1122" s="6" t="s">
        <v>1267</v>
      </c>
      <c r="J1122" s="1215" t="s">
        <v>509</v>
      </c>
      <c r="K1122" s="1219" t="s">
        <v>3109</v>
      </c>
      <c r="L1122" s="8">
        <v>0</v>
      </c>
      <c r="M1122" s="8">
        <v>3</v>
      </c>
      <c r="N1122" s="6" t="s">
        <v>271</v>
      </c>
      <c r="P1122" s="6" t="s">
        <v>3324</v>
      </c>
      <c r="Q1122" s="1215" t="s">
        <v>253</v>
      </c>
      <c r="R1122" s="1215" t="s">
        <v>255</v>
      </c>
      <c r="S1122" s="1215" t="s">
        <v>534</v>
      </c>
      <c r="T1122" s="1215" t="s">
        <v>533</v>
      </c>
      <c r="U1122" s="6" t="s">
        <v>539</v>
      </c>
      <c r="V1122" s="6" t="s">
        <v>34</v>
      </c>
      <c r="W1122" s="6" t="s">
        <v>546</v>
      </c>
      <c r="X1122" s="6" t="s">
        <v>188</v>
      </c>
    </row>
    <row r="1123" spans="1:24" ht="15" customHeight="1" x14ac:dyDescent="0.3">
      <c r="A1123" s="6" t="s">
        <v>533</v>
      </c>
      <c r="B1123" s="6" t="s">
        <v>534</v>
      </c>
      <c r="C1123" s="6" t="s">
        <v>34</v>
      </c>
      <c r="D1123" s="1088" t="s">
        <v>539</v>
      </c>
      <c r="E1123" s="1088" t="s">
        <v>188</v>
      </c>
      <c r="F1123" s="6" t="s">
        <v>546</v>
      </c>
      <c r="G1123" s="6" t="s">
        <v>2911</v>
      </c>
      <c r="H1123" s="6" t="s">
        <v>1267</v>
      </c>
      <c r="J1123" s="1215" t="s">
        <v>509</v>
      </c>
      <c r="K1123" s="1219" t="s">
        <v>3110</v>
      </c>
      <c r="L1123" s="8">
        <v>0</v>
      </c>
      <c r="M1123" s="8">
        <v>2</v>
      </c>
      <c r="N1123" s="6" t="s">
        <v>271</v>
      </c>
      <c r="P1123" s="6" t="s">
        <v>3324</v>
      </c>
      <c r="Q1123" s="1215" t="s">
        <v>253</v>
      </c>
      <c r="R1123" s="1215" t="s">
        <v>255</v>
      </c>
      <c r="S1123" s="1215" t="s">
        <v>534</v>
      </c>
      <c r="T1123" s="1215" t="s">
        <v>533</v>
      </c>
      <c r="U1123" s="6" t="s">
        <v>539</v>
      </c>
      <c r="V1123" s="6" t="s">
        <v>34</v>
      </c>
      <c r="W1123" s="6" t="s">
        <v>546</v>
      </c>
      <c r="X1123" s="6" t="s">
        <v>188</v>
      </c>
    </row>
    <row r="1124" spans="1:24" ht="15" customHeight="1" x14ac:dyDescent="0.3">
      <c r="A1124" s="6" t="s">
        <v>533</v>
      </c>
      <c r="B1124" s="6" t="s">
        <v>534</v>
      </c>
      <c r="C1124" s="6" t="s">
        <v>34</v>
      </c>
      <c r="D1124" s="1088" t="s">
        <v>539</v>
      </c>
      <c r="E1124" s="6" t="s">
        <v>188</v>
      </c>
      <c r="F1124" s="6" t="s">
        <v>546</v>
      </c>
      <c r="G1124" s="6" t="s">
        <v>2911</v>
      </c>
      <c r="H1124" s="6" t="s">
        <v>1267</v>
      </c>
      <c r="J1124" s="1215" t="s">
        <v>509</v>
      </c>
      <c r="K1124" s="1219" t="s">
        <v>3111</v>
      </c>
      <c r="L1124" s="8">
        <v>0</v>
      </c>
      <c r="M1124" s="8">
        <v>1</v>
      </c>
      <c r="N1124" s="1169" t="s">
        <v>271</v>
      </c>
      <c r="P1124" s="6" t="s">
        <v>3324</v>
      </c>
      <c r="Q1124" s="1215" t="s">
        <v>253</v>
      </c>
      <c r="R1124" s="1215" t="s">
        <v>255</v>
      </c>
      <c r="S1124" s="1215" t="s">
        <v>534</v>
      </c>
      <c r="T1124" s="1215" t="s">
        <v>533</v>
      </c>
      <c r="U1124" s="6" t="s">
        <v>539</v>
      </c>
      <c r="V1124" s="6" t="s">
        <v>34</v>
      </c>
      <c r="W1124" s="6" t="s">
        <v>546</v>
      </c>
      <c r="X1124" s="6" t="s">
        <v>188</v>
      </c>
    </row>
    <row r="1125" spans="1:24" ht="15" customHeight="1" x14ac:dyDescent="0.3">
      <c r="A1125" s="6" t="s">
        <v>533</v>
      </c>
      <c r="B1125" s="6" t="s">
        <v>534</v>
      </c>
      <c r="C1125" s="6" t="s">
        <v>34</v>
      </c>
      <c r="D1125" s="1088" t="s">
        <v>539</v>
      </c>
      <c r="E1125" s="1088" t="s">
        <v>188</v>
      </c>
      <c r="F1125" s="6" t="s">
        <v>546</v>
      </c>
      <c r="G1125" s="6" t="s">
        <v>1513</v>
      </c>
      <c r="H1125" s="6" t="s">
        <v>1074</v>
      </c>
      <c r="J1125" s="1215" t="s">
        <v>509</v>
      </c>
      <c r="K1125" s="1219" t="s">
        <v>3033</v>
      </c>
      <c r="L1125" s="8">
        <v>11</v>
      </c>
      <c r="M1125" s="8">
        <v>62</v>
      </c>
      <c r="N1125" s="1169" t="s">
        <v>271</v>
      </c>
      <c r="P1125" s="6" t="s">
        <v>3324</v>
      </c>
      <c r="Q1125" s="1215" t="s">
        <v>253</v>
      </c>
      <c r="R1125" s="1215" t="s">
        <v>255</v>
      </c>
      <c r="S1125" s="1215" t="s">
        <v>534</v>
      </c>
      <c r="T1125" s="1215" t="s">
        <v>533</v>
      </c>
      <c r="U1125" s="6" t="s">
        <v>539</v>
      </c>
      <c r="V1125" s="6" t="s">
        <v>34</v>
      </c>
      <c r="W1125" s="6" t="s">
        <v>546</v>
      </c>
      <c r="X1125" s="6" t="s">
        <v>188</v>
      </c>
    </row>
    <row r="1126" spans="1:24" ht="15" customHeight="1" x14ac:dyDescent="0.3">
      <c r="A1126" s="6" t="s">
        <v>533</v>
      </c>
      <c r="B1126" s="6" t="s">
        <v>534</v>
      </c>
      <c r="C1126" s="6" t="s">
        <v>34</v>
      </c>
      <c r="D1126" s="1088" t="s">
        <v>539</v>
      </c>
      <c r="E1126" s="1088" t="s">
        <v>188</v>
      </c>
      <c r="F1126" s="6" t="s">
        <v>546</v>
      </c>
      <c r="G1126" s="6" t="s">
        <v>1513</v>
      </c>
      <c r="H1126" s="6" t="s">
        <v>1074</v>
      </c>
      <c r="J1126" s="1215" t="s">
        <v>509</v>
      </c>
      <c r="K1126" s="1219" t="s">
        <v>3109</v>
      </c>
      <c r="L1126" s="8">
        <v>4</v>
      </c>
      <c r="M1126" s="8">
        <v>19</v>
      </c>
      <c r="N1126" s="1169" t="s">
        <v>271</v>
      </c>
      <c r="P1126" s="6" t="s">
        <v>3324</v>
      </c>
      <c r="Q1126" s="1215" t="s">
        <v>253</v>
      </c>
      <c r="R1126" s="1215" t="s">
        <v>255</v>
      </c>
      <c r="S1126" s="1215" t="s">
        <v>534</v>
      </c>
      <c r="T1126" s="1215" t="s">
        <v>533</v>
      </c>
      <c r="U1126" s="6" t="s">
        <v>539</v>
      </c>
      <c r="V1126" s="6" t="s">
        <v>34</v>
      </c>
      <c r="W1126" s="6" t="s">
        <v>546</v>
      </c>
      <c r="X1126" s="6" t="s">
        <v>188</v>
      </c>
    </row>
    <row r="1127" spans="1:24" ht="15" customHeight="1" x14ac:dyDescent="0.3">
      <c r="A1127" s="6" t="s">
        <v>533</v>
      </c>
      <c r="B1127" s="6" t="s">
        <v>534</v>
      </c>
      <c r="C1127" s="6" t="s">
        <v>34</v>
      </c>
      <c r="D1127" s="1088" t="s">
        <v>539</v>
      </c>
      <c r="E1127" s="6" t="s">
        <v>188</v>
      </c>
      <c r="F1127" s="6" t="s">
        <v>546</v>
      </c>
      <c r="G1127" s="6" t="s">
        <v>1513</v>
      </c>
      <c r="H1127" s="6" t="s">
        <v>1074</v>
      </c>
      <c r="J1127" s="1215" t="s">
        <v>509</v>
      </c>
      <c r="K1127" s="1219" t="s">
        <v>3110</v>
      </c>
      <c r="L1127" s="8">
        <v>0</v>
      </c>
      <c r="M1127" s="8">
        <v>3</v>
      </c>
      <c r="N1127" s="1169" t="s">
        <v>271</v>
      </c>
      <c r="P1127" s="6" t="s">
        <v>3324</v>
      </c>
      <c r="Q1127" s="1215" t="s">
        <v>253</v>
      </c>
      <c r="R1127" s="1215" t="s">
        <v>255</v>
      </c>
      <c r="S1127" s="1215" t="s">
        <v>534</v>
      </c>
      <c r="T1127" s="1215" t="s">
        <v>533</v>
      </c>
      <c r="U1127" s="6" t="s">
        <v>539</v>
      </c>
      <c r="V1127" s="6" t="s">
        <v>34</v>
      </c>
      <c r="W1127" s="6" t="s">
        <v>546</v>
      </c>
      <c r="X1127" s="6" t="s">
        <v>188</v>
      </c>
    </row>
    <row r="1128" spans="1:24" ht="15" customHeight="1" x14ac:dyDescent="0.3">
      <c r="A1128" s="6" t="s">
        <v>533</v>
      </c>
      <c r="B1128" s="6" t="s">
        <v>534</v>
      </c>
      <c r="C1128" s="6" t="s">
        <v>34</v>
      </c>
      <c r="D1128" s="1088" t="s">
        <v>539</v>
      </c>
      <c r="E1128" s="1088" t="s">
        <v>188</v>
      </c>
      <c r="F1128" s="6" t="s">
        <v>546</v>
      </c>
      <c r="G1128" s="6" t="s">
        <v>1513</v>
      </c>
      <c r="H1128" s="6" t="s">
        <v>1074</v>
      </c>
      <c r="J1128" s="1215" t="s">
        <v>509</v>
      </c>
      <c r="K1128" s="1219" t="s">
        <v>3111</v>
      </c>
      <c r="L1128" s="8">
        <v>0</v>
      </c>
      <c r="M1128" s="8">
        <v>4</v>
      </c>
      <c r="N1128" s="1169" t="s">
        <v>271</v>
      </c>
      <c r="P1128" s="6" t="s">
        <v>3324</v>
      </c>
      <c r="Q1128" s="1215" t="s">
        <v>253</v>
      </c>
      <c r="R1128" s="1215" t="s">
        <v>255</v>
      </c>
      <c r="S1128" s="1215" t="s">
        <v>534</v>
      </c>
      <c r="T1128" s="1215" t="s">
        <v>533</v>
      </c>
      <c r="U1128" s="6" t="s">
        <v>539</v>
      </c>
      <c r="V1128" s="6" t="s">
        <v>34</v>
      </c>
      <c r="W1128" s="6" t="s">
        <v>546</v>
      </c>
      <c r="X1128" s="6" t="s">
        <v>188</v>
      </c>
    </row>
    <row r="1129" spans="1:24" ht="15" customHeight="1" x14ac:dyDescent="0.3">
      <c r="A1129" s="6" t="s">
        <v>533</v>
      </c>
      <c r="B1129" s="6" t="s">
        <v>534</v>
      </c>
      <c r="C1129" s="6" t="s">
        <v>34</v>
      </c>
      <c r="D1129" s="6" t="s">
        <v>539</v>
      </c>
      <c r="E1129" s="1088" t="s">
        <v>188</v>
      </c>
      <c r="F1129" s="6" t="s">
        <v>546</v>
      </c>
      <c r="G1129" s="6" t="s">
        <v>1513</v>
      </c>
      <c r="H1129" s="6" t="s">
        <v>1074</v>
      </c>
      <c r="J1129" s="1215" t="s">
        <v>509</v>
      </c>
      <c r="K1129" s="1219" t="s">
        <v>3112</v>
      </c>
      <c r="L1129" s="8">
        <v>0</v>
      </c>
      <c r="M1129" s="8">
        <v>5</v>
      </c>
      <c r="N1129" s="1169" t="s">
        <v>271</v>
      </c>
      <c r="P1129" s="6" t="s">
        <v>3324</v>
      </c>
      <c r="Q1129" s="1215" t="s">
        <v>253</v>
      </c>
      <c r="R1129" s="1215" t="s">
        <v>255</v>
      </c>
      <c r="S1129" s="1215" t="s">
        <v>534</v>
      </c>
      <c r="T1129" s="1215" t="s">
        <v>533</v>
      </c>
      <c r="U1129" s="6" t="s">
        <v>539</v>
      </c>
      <c r="V1129" s="6" t="s">
        <v>34</v>
      </c>
      <c r="W1129" s="6" t="s">
        <v>546</v>
      </c>
      <c r="X1129" s="6" t="s">
        <v>188</v>
      </c>
    </row>
    <row r="1130" spans="1:24" ht="15" customHeight="1" x14ac:dyDescent="0.3">
      <c r="A1130" s="6" t="s">
        <v>533</v>
      </c>
      <c r="B1130" s="6" t="s">
        <v>534</v>
      </c>
      <c r="C1130" s="6" t="s">
        <v>34</v>
      </c>
      <c r="D1130" s="1088" t="s">
        <v>539</v>
      </c>
      <c r="E1130" s="6" t="s">
        <v>188</v>
      </c>
      <c r="F1130" s="6" t="s">
        <v>546</v>
      </c>
      <c r="G1130" s="6" t="s">
        <v>2930</v>
      </c>
      <c r="H1130" s="6" t="s">
        <v>1330</v>
      </c>
      <c r="J1130" s="1215" t="s">
        <v>509</v>
      </c>
      <c r="K1130" s="1219" t="s">
        <v>3033</v>
      </c>
      <c r="L1130" s="8">
        <v>105</v>
      </c>
      <c r="M1130" s="8">
        <v>499</v>
      </c>
      <c r="N1130" s="1169" t="s">
        <v>271</v>
      </c>
      <c r="P1130" s="6" t="s">
        <v>3324</v>
      </c>
      <c r="Q1130" s="1215" t="s">
        <v>253</v>
      </c>
      <c r="R1130" s="1215" t="s">
        <v>255</v>
      </c>
      <c r="S1130" s="1215" t="s">
        <v>534</v>
      </c>
      <c r="T1130" s="1215" t="s">
        <v>533</v>
      </c>
      <c r="U1130" s="6" t="s">
        <v>539</v>
      </c>
      <c r="V1130" s="6" t="s">
        <v>34</v>
      </c>
      <c r="W1130" s="6" t="s">
        <v>546</v>
      </c>
      <c r="X1130" s="6" t="s">
        <v>188</v>
      </c>
    </row>
    <row r="1131" spans="1:24" ht="15" customHeight="1" x14ac:dyDescent="0.3">
      <c r="A1131" s="6" t="s">
        <v>533</v>
      </c>
      <c r="B1131" s="6" t="s">
        <v>534</v>
      </c>
      <c r="C1131" s="6" t="s">
        <v>34</v>
      </c>
      <c r="D1131" s="1088" t="s">
        <v>539</v>
      </c>
      <c r="E1131" s="6" t="s">
        <v>188</v>
      </c>
      <c r="F1131" s="6" t="s">
        <v>546</v>
      </c>
      <c r="G1131" s="6" t="s">
        <v>2930</v>
      </c>
      <c r="H1131" s="6" t="s">
        <v>1330</v>
      </c>
      <c r="J1131" s="1215" t="s">
        <v>509</v>
      </c>
      <c r="K1131" s="1219" t="s">
        <v>3109</v>
      </c>
      <c r="L1131" s="8">
        <v>16</v>
      </c>
      <c r="M1131" s="8">
        <v>31</v>
      </c>
      <c r="N1131" s="1169" t="s">
        <v>271</v>
      </c>
      <c r="P1131" s="6" t="s">
        <v>3324</v>
      </c>
      <c r="Q1131" s="1215" t="s">
        <v>253</v>
      </c>
      <c r="R1131" s="1215" t="s">
        <v>255</v>
      </c>
      <c r="S1131" s="1215" t="s">
        <v>534</v>
      </c>
      <c r="T1131" s="1215" t="s">
        <v>533</v>
      </c>
      <c r="U1131" s="6" t="s">
        <v>539</v>
      </c>
      <c r="V1131" s="6" t="s">
        <v>34</v>
      </c>
      <c r="W1131" s="6" t="s">
        <v>546</v>
      </c>
      <c r="X1131" s="6" t="s">
        <v>188</v>
      </c>
    </row>
    <row r="1132" spans="1:24" ht="15" customHeight="1" x14ac:dyDescent="0.3">
      <c r="A1132" s="6" t="s">
        <v>533</v>
      </c>
      <c r="B1132" s="6" t="s">
        <v>534</v>
      </c>
      <c r="C1132" s="6" t="s">
        <v>34</v>
      </c>
      <c r="D1132" s="1088" t="s">
        <v>539</v>
      </c>
      <c r="E1132" s="6" t="s">
        <v>188</v>
      </c>
      <c r="F1132" s="6" t="s">
        <v>546</v>
      </c>
      <c r="G1132" s="6" t="s">
        <v>2930</v>
      </c>
      <c r="H1132" s="6" t="s">
        <v>1330</v>
      </c>
      <c r="J1132" s="1215" t="s">
        <v>509</v>
      </c>
      <c r="K1132" s="1219" t="s">
        <v>3110</v>
      </c>
      <c r="L1132" s="8">
        <v>30</v>
      </c>
      <c r="M1132" s="8">
        <v>170</v>
      </c>
      <c r="N1132" s="1169" t="s">
        <v>271</v>
      </c>
      <c r="P1132" s="6" t="s">
        <v>3324</v>
      </c>
      <c r="Q1132" s="1215" t="s">
        <v>253</v>
      </c>
      <c r="R1132" s="1215" t="s">
        <v>255</v>
      </c>
      <c r="S1132" s="1215" t="s">
        <v>534</v>
      </c>
      <c r="T1132" s="1215" t="s">
        <v>533</v>
      </c>
      <c r="U1132" s="6" t="s">
        <v>539</v>
      </c>
      <c r="V1132" s="6" t="s">
        <v>34</v>
      </c>
      <c r="W1132" s="6" t="s">
        <v>546</v>
      </c>
      <c r="X1132" s="6" t="s">
        <v>188</v>
      </c>
    </row>
    <row r="1133" spans="1:24" ht="15" customHeight="1" x14ac:dyDescent="0.3">
      <c r="A1133" s="6" t="s">
        <v>533</v>
      </c>
      <c r="B1133" s="6" t="s">
        <v>534</v>
      </c>
      <c r="C1133" s="6" t="s">
        <v>34</v>
      </c>
      <c r="D1133" s="1088" t="s">
        <v>539</v>
      </c>
      <c r="E1133" s="6" t="s">
        <v>188</v>
      </c>
      <c r="F1133" s="6" t="s">
        <v>546</v>
      </c>
      <c r="G1133" s="6" t="s">
        <v>2930</v>
      </c>
      <c r="H1133" s="6" t="s">
        <v>1330</v>
      </c>
      <c r="J1133" s="1215" t="s">
        <v>509</v>
      </c>
      <c r="K1133" s="1219" t="s">
        <v>3111</v>
      </c>
      <c r="L1133" s="8">
        <v>0</v>
      </c>
      <c r="M1133" s="8">
        <v>40</v>
      </c>
      <c r="N1133" s="1169" t="s">
        <v>271</v>
      </c>
      <c r="P1133" s="6" t="s">
        <v>3324</v>
      </c>
      <c r="Q1133" s="1215" t="s">
        <v>253</v>
      </c>
      <c r="R1133" s="1215" t="s">
        <v>255</v>
      </c>
      <c r="S1133" s="1215" t="s">
        <v>534</v>
      </c>
      <c r="T1133" s="1215" t="s">
        <v>533</v>
      </c>
      <c r="U1133" s="6" t="s">
        <v>539</v>
      </c>
      <c r="V1133" s="6" t="s">
        <v>34</v>
      </c>
      <c r="W1133" s="6" t="s">
        <v>546</v>
      </c>
      <c r="X1133" s="6" t="s">
        <v>188</v>
      </c>
    </row>
    <row r="1134" spans="1:24" ht="15" customHeight="1" x14ac:dyDescent="0.3">
      <c r="A1134" s="6" t="s">
        <v>533</v>
      </c>
      <c r="B1134" s="6" t="s">
        <v>534</v>
      </c>
      <c r="C1134" s="6" t="s">
        <v>34</v>
      </c>
      <c r="D1134" s="1088" t="s">
        <v>539</v>
      </c>
      <c r="E1134" s="6" t="s">
        <v>188</v>
      </c>
      <c r="F1134" s="6" t="s">
        <v>546</v>
      </c>
      <c r="G1134" s="6" t="s">
        <v>2930</v>
      </c>
      <c r="H1134" s="6" t="s">
        <v>1330</v>
      </c>
      <c r="J1134" s="1215" t="s">
        <v>509</v>
      </c>
      <c r="K1134" s="1219" t="s">
        <v>3112</v>
      </c>
      <c r="L1134" s="8">
        <v>0</v>
      </c>
      <c r="M1134" s="8">
        <v>5</v>
      </c>
      <c r="N1134" s="1169" t="s">
        <v>271</v>
      </c>
      <c r="P1134" s="6" t="s">
        <v>3324</v>
      </c>
      <c r="Q1134" s="1215" t="s">
        <v>253</v>
      </c>
      <c r="R1134" s="1215" t="s">
        <v>255</v>
      </c>
      <c r="S1134" s="1215" t="s">
        <v>534</v>
      </c>
      <c r="T1134" s="1215" t="s">
        <v>533</v>
      </c>
      <c r="U1134" s="6" t="s">
        <v>539</v>
      </c>
      <c r="V1134" s="6" t="s">
        <v>34</v>
      </c>
      <c r="W1134" s="6" t="s">
        <v>546</v>
      </c>
      <c r="X1134" s="6" t="s">
        <v>188</v>
      </c>
    </row>
    <row r="1135" spans="1:24" ht="15" customHeight="1" x14ac:dyDescent="0.3">
      <c r="A1135" s="6" t="s">
        <v>533</v>
      </c>
      <c r="B1135" s="6" t="s">
        <v>534</v>
      </c>
      <c r="C1135" s="6" t="s">
        <v>35</v>
      </c>
      <c r="D1135" s="1088" t="s">
        <v>567</v>
      </c>
      <c r="E1135" s="6" t="s">
        <v>195</v>
      </c>
      <c r="F1135" s="6" t="s">
        <v>733</v>
      </c>
      <c r="G1135" s="6" t="s">
        <v>2946</v>
      </c>
      <c r="H1135" s="6" t="s">
        <v>840</v>
      </c>
      <c r="J1135" s="1215" t="s">
        <v>509</v>
      </c>
      <c r="K1135" s="1219" t="s">
        <v>3033</v>
      </c>
      <c r="L1135" s="8">
        <v>63</v>
      </c>
      <c r="M1135" s="8">
        <v>460</v>
      </c>
      <c r="N1135" s="1169" t="s">
        <v>271</v>
      </c>
      <c r="P1135" s="6" t="s">
        <v>3324</v>
      </c>
      <c r="Q1135" s="1215" t="s">
        <v>253</v>
      </c>
      <c r="R1135" s="1215" t="s">
        <v>255</v>
      </c>
      <c r="S1135" s="1215" t="s">
        <v>534</v>
      </c>
      <c r="T1135" s="1215" t="s">
        <v>533</v>
      </c>
      <c r="U1135" s="6" t="s">
        <v>567</v>
      </c>
      <c r="V1135" s="6" t="s">
        <v>35</v>
      </c>
      <c r="W1135" s="6" t="s">
        <v>733</v>
      </c>
      <c r="X1135" s="6" t="s">
        <v>195</v>
      </c>
    </row>
    <row r="1136" spans="1:24" ht="15" customHeight="1" x14ac:dyDescent="0.3">
      <c r="A1136" s="6" t="s">
        <v>533</v>
      </c>
      <c r="B1136" s="6" t="s">
        <v>534</v>
      </c>
      <c r="C1136" s="6" t="s">
        <v>35</v>
      </c>
      <c r="D1136" s="1088" t="s">
        <v>567</v>
      </c>
      <c r="E1136" s="6" t="s">
        <v>195</v>
      </c>
      <c r="F1136" s="6" t="s">
        <v>733</v>
      </c>
      <c r="G1136" s="6" t="s">
        <v>2946</v>
      </c>
      <c r="H1136" s="6" t="s">
        <v>840</v>
      </c>
      <c r="J1136" s="1215" t="s">
        <v>509</v>
      </c>
      <c r="K1136" s="1219" t="s">
        <v>3111</v>
      </c>
      <c r="L1136" s="8">
        <v>3</v>
      </c>
      <c r="M1136" s="8">
        <v>9</v>
      </c>
      <c r="N1136" s="6" t="s">
        <v>271</v>
      </c>
      <c r="P1136" s="6" t="s">
        <v>3324</v>
      </c>
      <c r="Q1136" s="1215" t="s">
        <v>253</v>
      </c>
      <c r="R1136" s="1215" t="s">
        <v>255</v>
      </c>
      <c r="S1136" s="1215" t="s">
        <v>534</v>
      </c>
      <c r="T1136" s="1215" t="s">
        <v>533</v>
      </c>
      <c r="U1136" s="6" t="s">
        <v>567</v>
      </c>
      <c r="V1136" s="6" t="s">
        <v>35</v>
      </c>
      <c r="W1136" s="6" t="s">
        <v>733</v>
      </c>
      <c r="X1136" s="6" t="s">
        <v>195</v>
      </c>
    </row>
    <row r="1137" spans="1:24" ht="15" customHeight="1" x14ac:dyDescent="0.3">
      <c r="A1137" s="6" t="s">
        <v>533</v>
      </c>
      <c r="B1137" s="6" t="s">
        <v>534</v>
      </c>
      <c r="C1137" s="6" t="s">
        <v>35</v>
      </c>
      <c r="D1137" s="1088" t="s">
        <v>567</v>
      </c>
      <c r="E1137" s="1088" t="s">
        <v>192</v>
      </c>
      <c r="F1137" s="6" t="s">
        <v>853</v>
      </c>
      <c r="G1137" s="6" t="s">
        <v>1388</v>
      </c>
      <c r="H1137" s="6" t="s">
        <v>1892</v>
      </c>
      <c r="J1137" s="1215" t="s">
        <v>509</v>
      </c>
      <c r="K1137" s="1219" t="s">
        <v>3109</v>
      </c>
      <c r="L1137" s="8">
        <v>21</v>
      </c>
      <c r="M1137" s="8">
        <v>126</v>
      </c>
      <c r="N1137" s="1169" t="s">
        <v>271</v>
      </c>
      <c r="P1137" s="6" t="s">
        <v>3323</v>
      </c>
      <c r="Q1137" s="1215" t="s">
        <v>253</v>
      </c>
      <c r="R1137" s="1215" t="s">
        <v>255</v>
      </c>
      <c r="S1137" s="1215" t="s">
        <v>534</v>
      </c>
      <c r="T1137" s="1215" t="s">
        <v>533</v>
      </c>
      <c r="U1137" s="6" t="s">
        <v>567</v>
      </c>
      <c r="V1137" s="6" t="s">
        <v>35</v>
      </c>
      <c r="W1137" s="6" t="s">
        <v>863</v>
      </c>
      <c r="X1137" s="6" t="s">
        <v>193</v>
      </c>
    </row>
    <row r="1138" spans="1:24" ht="15" customHeight="1" x14ac:dyDescent="0.3">
      <c r="A1138" s="6" t="s">
        <v>533</v>
      </c>
      <c r="B1138" s="6" t="s">
        <v>534</v>
      </c>
      <c r="C1138" s="6" t="s">
        <v>35</v>
      </c>
      <c r="D1138" s="1088" t="s">
        <v>567</v>
      </c>
      <c r="E1138" s="1088" t="s">
        <v>192</v>
      </c>
      <c r="F1138" s="6" t="s">
        <v>853</v>
      </c>
      <c r="G1138" s="6" t="s">
        <v>1388</v>
      </c>
      <c r="H1138" s="6" t="s">
        <v>1892</v>
      </c>
      <c r="J1138" s="1215" t="s">
        <v>509</v>
      </c>
      <c r="K1138" s="1219" t="s">
        <v>3110</v>
      </c>
      <c r="L1138" s="8">
        <v>37</v>
      </c>
      <c r="M1138" s="8">
        <v>216</v>
      </c>
      <c r="N1138" s="1169" t="s">
        <v>271</v>
      </c>
      <c r="P1138" s="6" t="s">
        <v>3324</v>
      </c>
      <c r="Q1138" s="1215" t="s">
        <v>253</v>
      </c>
      <c r="R1138" s="1215" t="s">
        <v>255</v>
      </c>
      <c r="S1138" s="1215" t="s">
        <v>534</v>
      </c>
      <c r="T1138" s="1215" t="s">
        <v>533</v>
      </c>
      <c r="U1138" s="6" t="s">
        <v>567</v>
      </c>
      <c r="V1138" s="6" t="s">
        <v>35</v>
      </c>
      <c r="W1138" s="6" t="s">
        <v>853</v>
      </c>
      <c r="X1138" s="6" t="s">
        <v>192</v>
      </c>
    </row>
    <row r="1139" spans="1:24" ht="15" customHeight="1" x14ac:dyDescent="0.3">
      <c r="A1139" s="6" t="s">
        <v>533</v>
      </c>
      <c r="B1139" s="6" t="s">
        <v>534</v>
      </c>
      <c r="C1139" s="6" t="s">
        <v>35</v>
      </c>
      <c r="D1139" s="1088" t="s">
        <v>567</v>
      </c>
      <c r="E1139" s="1088" t="s">
        <v>192</v>
      </c>
      <c r="F1139" s="6" t="s">
        <v>853</v>
      </c>
      <c r="G1139" s="6" t="s">
        <v>1388</v>
      </c>
      <c r="H1139" s="6" t="s">
        <v>1892</v>
      </c>
      <c r="J1139" s="1215" t="s">
        <v>509</v>
      </c>
      <c r="K1139" s="1219" t="s">
        <v>3111</v>
      </c>
      <c r="L1139" s="8">
        <v>9</v>
      </c>
      <c r="M1139" s="8">
        <v>42</v>
      </c>
      <c r="N1139" s="1169" t="s">
        <v>271</v>
      </c>
      <c r="P1139" s="6" t="s">
        <v>3324</v>
      </c>
      <c r="Q1139" s="1215" t="s">
        <v>253</v>
      </c>
      <c r="R1139" s="1215" t="s">
        <v>255</v>
      </c>
      <c r="S1139" s="1215" t="s">
        <v>534</v>
      </c>
      <c r="T1139" s="1215" t="s">
        <v>533</v>
      </c>
      <c r="U1139" s="6" t="s">
        <v>567</v>
      </c>
      <c r="V1139" s="6" t="s">
        <v>35</v>
      </c>
      <c r="W1139" s="6" t="s">
        <v>853</v>
      </c>
      <c r="X1139" s="6" t="s">
        <v>192</v>
      </c>
    </row>
    <row r="1140" spans="1:24" ht="15" customHeight="1" x14ac:dyDescent="0.3">
      <c r="A1140" s="6" t="s">
        <v>533</v>
      </c>
      <c r="B1140" s="6" t="s">
        <v>534</v>
      </c>
      <c r="C1140" s="6" t="s">
        <v>35</v>
      </c>
      <c r="D1140" s="1088" t="s">
        <v>567</v>
      </c>
      <c r="E1140" s="1088" t="s">
        <v>192</v>
      </c>
      <c r="F1140" s="6" t="s">
        <v>853</v>
      </c>
      <c r="G1140" s="6" t="s">
        <v>1388</v>
      </c>
      <c r="H1140" s="6" t="s">
        <v>1892</v>
      </c>
      <c r="J1140" s="1215" t="s">
        <v>509</v>
      </c>
      <c r="K1140" s="1219" t="s">
        <v>3112</v>
      </c>
      <c r="L1140" s="8">
        <v>13</v>
      </c>
      <c r="M1140" s="8">
        <v>71</v>
      </c>
      <c r="N1140" s="6" t="s">
        <v>271</v>
      </c>
      <c r="P1140" s="6" t="s">
        <v>3324</v>
      </c>
      <c r="Q1140" s="1215" t="s">
        <v>253</v>
      </c>
      <c r="R1140" s="1215" t="s">
        <v>255</v>
      </c>
      <c r="S1140" s="1215" t="s">
        <v>534</v>
      </c>
      <c r="T1140" s="1215" t="s">
        <v>533</v>
      </c>
      <c r="U1140" s="6" t="s">
        <v>567</v>
      </c>
      <c r="V1140" s="6" t="s">
        <v>35</v>
      </c>
      <c r="W1140" s="6" t="s">
        <v>853</v>
      </c>
      <c r="X1140" s="6" t="s">
        <v>192</v>
      </c>
    </row>
    <row r="1141" spans="1:24" ht="15" customHeight="1" x14ac:dyDescent="0.3">
      <c r="A1141" s="6" t="s">
        <v>533</v>
      </c>
      <c r="B1141" s="6" t="s">
        <v>534</v>
      </c>
      <c r="C1141" s="6" t="s">
        <v>35</v>
      </c>
      <c r="D1141" s="1088" t="s">
        <v>567</v>
      </c>
      <c r="E1141" s="6" t="s">
        <v>192</v>
      </c>
      <c r="F1141" s="6" t="s">
        <v>853</v>
      </c>
      <c r="G1141" s="6" t="s">
        <v>947</v>
      </c>
      <c r="H1141" s="6" t="s">
        <v>962</v>
      </c>
      <c r="J1141" s="1215" t="s">
        <v>509</v>
      </c>
      <c r="K1141" s="1219" t="s">
        <v>3109</v>
      </c>
      <c r="L1141" s="8">
        <v>69</v>
      </c>
      <c r="M1141" s="8">
        <v>412</v>
      </c>
      <c r="N1141" s="1169" t="s">
        <v>271</v>
      </c>
      <c r="P1141" s="6" t="s">
        <v>3324</v>
      </c>
      <c r="Q1141" s="1215" t="s">
        <v>253</v>
      </c>
      <c r="R1141" s="1215" t="s">
        <v>255</v>
      </c>
      <c r="S1141" s="1215" t="s">
        <v>534</v>
      </c>
      <c r="T1141" s="1215" t="s">
        <v>533</v>
      </c>
      <c r="U1141" s="6" t="s">
        <v>567</v>
      </c>
      <c r="V1141" s="6" t="s">
        <v>35</v>
      </c>
      <c r="W1141" s="6" t="s">
        <v>853</v>
      </c>
      <c r="X1141" s="6" t="s">
        <v>192</v>
      </c>
    </row>
    <row r="1142" spans="1:24" ht="15" customHeight="1" x14ac:dyDescent="0.3">
      <c r="A1142" s="6" t="s">
        <v>533</v>
      </c>
      <c r="B1142" s="6" t="s">
        <v>534</v>
      </c>
      <c r="C1142" s="6" t="s">
        <v>35</v>
      </c>
      <c r="D1142" s="1088" t="s">
        <v>567</v>
      </c>
      <c r="E1142" s="6" t="s">
        <v>192</v>
      </c>
      <c r="F1142" s="6" t="s">
        <v>853</v>
      </c>
      <c r="G1142" s="6" t="s">
        <v>947</v>
      </c>
      <c r="H1142" s="6" t="s">
        <v>962</v>
      </c>
      <c r="J1142" s="1215" t="s">
        <v>509</v>
      </c>
      <c r="K1142" s="1219" t="s">
        <v>3110</v>
      </c>
      <c r="L1142" s="8">
        <v>73</v>
      </c>
      <c r="M1142" s="8">
        <v>422</v>
      </c>
      <c r="N1142" s="1169" t="s">
        <v>271</v>
      </c>
      <c r="P1142" s="6" t="s">
        <v>3324</v>
      </c>
      <c r="Q1142" s="1215" t="s">
        <v>253</v>
      </c>
      <c r="R1142" s="1215" t="s">
        <v>255</v>
      </c>
      <c r="S1142" s="1215" t="s">
        <v>534</v>
      </c>
      <c r="T1142" s="1215" t="s">
        <v>533</v>
      </c>
      <c r="U1142" s="6" t="s">
        <v>567</v>
      </c>
      <c r="V1142" s="6" t="s">
        <v>35</v>
      </c>
      <c r="W1142" s="6" t="s">
        <v>853</v>
      </c>
      <c r="X1142" s="6" t="s">
        <v>192</v>
      </c>
    </row>
    <row r="1143" spans="1:24" ht="15" customHeight="1" x14ac:dyDescent="0.3">
      <c r="A1143" s="6" t="s">
        <v>533</v>
      </c>
      <c r="B1143" s="6" t="s">
        <v>534</v>
      </c>
      <c r="C1143" s="6" t="s">
        <v>35</v>
      </c>
      <c r="D1143" s="1088" t="s">
        <v>567</v>
      </c>
      <c r="E1143" s="1088" t="s">
        <v>192</v>
      </c>
      <c r="F1143" s="6" t="s">
        <v>853</v>
      </c>
      <c r="G1143" s="6" t="s">
        <v>947</v>
      </c>
      <c r="H1143" s="6" t="s">
        <v>962</v>
      </c>
      <c r="J1143" s="1215" t="s">
        <v>509</v>
      </c>
      <c r="K1143" s="1219" t="s">
        <v>3111</v>
      </c>
      <c r="L1143" s="8">
        <v>123</v>
      </c>
      <c r="M1143" s="8">
        <v>562</v>
      </c>
      <c r="N1143" s="1169" t="s">
        <v>271</v>
      </c>
      <c r="P1143" s="6" t="s">
        <v>3323</v>
      </c>
      <c r="Q1143" s="1215" t="s">
        <v>253</v>
      </c>
      <c r="R1143" s="1215" t="s">
        <v>255</v>
      </c>
      <c r="S1143" s="1215" t="s">
        <v>534</v>
      </c>
      <c r="T1143" s="1215" t="s">
        <v>533</v>
      </c>
      <c r="U1143" s="6" t="s">
        <v>567</v>
      </c>
      <c r="V1143" s="6" t="s">
        <v>35</v>
      </c>
      <c r="W1143" s="6" t="s">
        <v>863</v>
      </c>
      <c r="X1143" s="6" t="s">
        <v>193</v>
      </c>
    </row>
    <row r="1144" spans="1:24" ht="15" customHeight="1" x14ac:dyDescent="0.3">
      <c r="A1144" s="6" t="s">
        <v>533</v>
      </c>
      <c r="B1144" s="6" t="s">
        <v>534</v>
      </c>
      <c r="C1144" s="6" t="s">
        <v>35</v>
      </c>
      <c r="D1144" s="1088" t="s">
        <v>567</v>
      </c>
      <c r="E1144" s="6" t="s">
        <v>192</v>
      </c>
      <c r="F1144" s="6" t="s">
        <v>853</v>
      </c>
      <c r="G1144" s="6" t="s">
        <v>947</v>
      </c>
      <c r="H1144" s="6" t="s">
        <v>962</v>
      </c>
      <c r="J1144" s="1215" t="s">
        <v>509</v>
      </c>
      <c r="K1144" s="1219" t="s">
        <v>3112</v>
      </c>
      <c r="L1144" s="8">
        <v>45</v>
      </c>
      <c r="M1144" s="8">
        <v>225</v>
      </c>
      <c r="N1144" s="1169" t="s">
        <v>271</v>
      </c>
      <c r="P1144" s="6" t="s">
        <v>3324</v>
      </c>
      <c r="Q1144" s="1215" t="s">
        <v>253</v>
      </c>
      <c r="R1144" s="1215" t="s">
        <v>255</v>
      </c>
      <c r="S1144" s="1215" t="s">
        <v>534</v>
      </c>
      <c r="T1144" s="1215" t="s">
        <v>533</v>
      </c>
      <c r="U1144" s="6" t="s">
        <v>567</v>
      </c>
      <c r="V1144" s="6" t="s">
        <v>35</v>
      </c>
      <c r="W1144" s="6" t="s">
        <v>853</v>
      </c>
      <c r="X1144" s="6" t="s">
        <v>192</v>
      </c>
    </row>
    <row r="1145" spans="1:24" ht="15" customHeight="1" x14ac:dyDescent="0.3">
      <c r="A1145" s="6" t="s">
        <v>533</v>
      </c>
      <c r="B1145" s="6" t="s">
        <v>534</v>
      </c>
      <c r="C1145" s="6" t="s">
        <v>35</v>
      </c>
      <c r="D1145" s="1088" t="s">
        <v>567</v>
      </c>
      <c r="E1145" s="6" t="s">
        <v>195</v>
      </c>
      <c r="F1145" s="6" t="s">
        <v>733</v>
      </c>
      <c r="G1145" s="6" t="s">
        <v>1591</v>
      </c>
      <c r="H1145" s="6" t="s">
        <v>2304</v>
      </c>
      <c r="J1145" s="1215" t="s">
        <v>509</v>
      </c>
      <c r="K1145" s="1219" t="s">
        <v>3033</v>
      </c>
      <c r="L1145" s="8">
        <v>7</v>
      </c>
      <c r="M1145" s="8">
        <v>30</v>
      </c>
      <c r="N1145" s="1169" t="s">
        <v>271</v>
      </c>
      <c r="P1145" s="6" t="s">
        <v>3324</v>
      </c>
      <c r="Q1145" s="1215" t="s">
        <v>253</v>
      </c>
      <c r="R1145" s="1215" t="s">
        <v>255</v>
      </c>
      <c r="S1145" s="1215" t="s">
        <v>534</v>
      </c>
      <c r="T1145" s="1215" t="s">
        <v>533</v>
      </c>
      <c r="U1145" s="6" t="s">
        <v>567</v>
      </c>
      <c r="V1145" s="6" t="s">
        <v>35</v>
      </c>
      <c r="W1145" s="6" t="s">
        <v>733</v>
      </c>
      <c r="X1145" s="6" t="s">
        <v>195</v>
      </c>
    </row>
    <row r="1146" spans="1:24" ht="15" customHeight="1" x14ac:dyDescent="0.3">
      <c r="A1146" s="6" t="s">
        <v>533</v>
      </c>
      <c r="B1146" s="6" t="s">
        <v>534</v>
      </c>
      <c r="C1146" s="6" t="s">
        <v>35</v>
      </c>
      <c r="D1146" s="1088" t="s">
        <v>567</v>
      </c>
      <c r="E1146" s="6" t="s">
        <v>195</v>
      </c>
      <c r="F1146" s="6" t="s">
        <v>733</v>
      </c>
      <c r="G1146" s="6" t="s">
        <v>1591</v>
      </c>
      <c r="H1146" s="6" t="s">
        <v>2304</v>
      </c>
      <c r="J1146" s="1215" t="s">
        <v>509</v>
      </c>
      <c r="K1146" s="1219" t="s">
        <v>3112</v>
      </c>
      <c r="L1146" s="8">
        <v>25</v>
      </c>
      <c r="M1146" s="8">
        <v>243</v>
      </c>
      <c r="N1146" s="1169" t="s">
        <v>271</v>
      </c>
      <c r="P1146" s="6" t="s">
        <v>3324</v>
      </c>
      <c r="Q1146" s="1215" t="s">
        <v>253</v>
      </c>
      <c r="R1146" s="1215" t="s">
        <v>255</v>
      </c>
      <c r="S1146" s="1215" t="s">
        <v>534</v>
      </c>
      <c r="T1146" s="1215" t="s">
        <v>533</v>
      </c>
      <c r="U1146" s="6" t="s">
        <v>567</v>
      </c>
      <c r="V1146" s="6" t="s">
        <v>35</v>
      </c>
      <c r="W1146" s="6" t="s">
        <v>733</v>
      </c>
      <c r="X1146" s="6" t="s">
        <v>195</v>
      </c>
    </row>
    <row r="1147" spans="1:24" ht="15" customHeight="1" x14ac:dyDescent="0.3">
      <c r="A1147" s="6" t="s">
        <v>533</v>
      </c>
      <c r="B1147" s="6" t="s">
        <v>534</v>
      </c>
      <c r="C1147" s="6" t="s">
        <v>31</v>
      </c>
      <c r="D1147" s="1088" t="s">
        <v>549</v>
      </c>
      <c r="E1147" s="1088" t="s">
        <v>167</v>
      </c>
      <c r="F1147" s="6" t="s">
        <v>1113</v>
      </c>
      <c r="G1147" s="6" t="s">
        <v>1114</v>
      </c>
      <c r="H1147" s="6" t="s">
        <v>2051</v>
      </c>
      <c r="J1147" s="1215" t="s">
        <v>509</v>
      </c>
      <c r="K1147" s="1219" t="s">
        <v>3111</v>
      </c>
      <c r="L1147" s="8">
        <v>70</v>
      </c>
      <c r="M1147" s="8">
        <v>70</v>
      </c>
      <c r="N1147" s="1169" t="s">
        <v>271</v>
      </c>
      <c r="P1147" s="6" t="s">
        <v>3324</v>
      </c>
      <c r="Q1147" s="1215" t="s">
        <v>253</v>
      </c>
      <c r="R1147" s="1215" t="s">
        <v>255</v>
      </c>
      <c r="S1147" s="1215" t="s">
        <v>534</v>
      </c>
      <c r="T1147" s="1215" t="s">
        <v>533</v>
      </c>
      <c r="U1147" s="6" t="s">
        <v>549</v>
      </c>
      <c r="V1147" s="6" t="s">
        <v>31</v>
      </c>
      <c r="W1147" s="6" t="s">
        <v>1113</v>
      </c>
      <c r="X1147" s="6" t="s">
        <v>167</v>
      </c>
    </row>
    <row r="1148" spans="1:24" ht="15" customHeight="1" x14ac:dyDescent="0.3">
      <c r="A1148" s="6" t="s">
        <v>533</v>
      </c>
      <c r="B1148" s="6" t="s">
        <v>534</v>
      </c>
      <c r="C1148" s="6" t="s">
        <v>31</v>
      </c>
      <c r="D1148" s="1088" t="s">
        <v>549</v>
      </c>
      <c r="E1148" s="1088" t="s">
        <v>167</v>
      </c>
      <c r="F1148" s="6" t="s">
        <v>1113</v>
      </c>
      <c r="G1148" s="6" t="s">
        <v>2073</v>
      </c>
      <c r="H1148" s="6" t="s">
        <v>2074</v>
      </c>
      <c r="J1148" s="1215" t="s">
        <v>509</v>
      </c>
      <c r="K1148" s="1219" t="s">
        <v>3111</v>
      </c>
      <c r="L1148" s="8">
        <v>68</v>
      </c>
      <c r="M1148" s="8">
        <v>270</v>
      </c>
      <c r="N1148" s="1169" t="s">
        <v>271</v>
      </c>
      <c r="P1148" s="6" t="s">
        <v>3324</v>
      </c>
      <c r="Q1148" s="1215" t="s">
        <v>253</v>
      </c>
      <c r="R1148" s="1215" t="s">
        <v>255</v>
      </c>
      <c r="S1148" s="1215" t="s">
        <v>534</v>
      </c>
      <c r="T1148" s="1215" t="s">
        <v>533</v>
      </c>
      <c r="U1148" s="6" t="s">
        <v>549</v>
      </c>
      <c r="V1148" s="6" t="s">
        <v>31</v>
      </c>
      <c r="W1148" s="6" t="s">
        <v>1113</v>
      </c>
      <c r="X1148" s="6" t="s">
        <v>167</v>
      </c>
    </row>
    <row r="1149" spans="1:24" ht="15" customHeight="1" x14ac:dyDescent="0.3">
      <c r="A1149" s="6" t="s">
        <v>533</v>
      </c>
      <c r="B1149" s="6" t="s">
        <v>534</v>
      </c>
      <c r="C1149" s="6" t="s">
        <v>31</v>
      </c>
      <c r="D1149" s="1088" t="s">
        <v>549</v>
      </c>
      <c r="E1149" s="1088" t="s">
        <v>167</v>
      </c>
      <c r="F1149" s="6" t="s">
        <v>1113</v>
      </c>
      <c r="G1149" s="6" t="s">
        <v>2245</v>
      </c>
      <c r="H1149" s="6" t="s">
        <v>2044</v>
      </c>
      <c r="J1149" s="1215" t="s">
        <v>509</v>
      </c>
      <c r="K1149" s="1219" t="s">
        <v>3111</v>
      </c>
      <c r="L1149" s="8">
        <v>1</v>
      </c>
      <c r="M1149" s="8">
        <v>3</v>
      </c>
      <c r="N1149" s="1169" t="s">
        <v>271</v>
      </c>
      <c r="P1149" s="6" t="s">
        <v>3324</v>
      </c>
      <c r="Q1149" s="1215" t="s">
        <v>253</v>
      </c>
      <c r="R1149" s="1215" t="s">
        <v>255</v>
      </c>
      <c r="S1149" s="1215" t="s">
        <v>534</v>
      </c>
      <c r="T1149" s="1215" t="s">
        <v>533</v>
      </c>
      <c r="U1149" s="6" t="s">
        <v>549</v>
      </c>
      <c r="V1149" s="6" t="s">
        <v>31</v>
      </c>
      <c r="W1149" s="6" t="s">
        <v>1113</v>
      </c>
      <c r="X1149" s="6" t="s">
        <v>167</v>
      </c>
    </row>
    <row r="1150" spans="1:24" ht="15" customHeight="1" x14ac:dyDescent="0.3">
      <c r="A1150" s="6" t="s">
        <v>533</v>
      </c>
      <c r="B1150" s="6" t="s">
        <v>534</v>
      </c>
      <c r="C1150" s="6" t="s">
        <v>34</v>
      </c>
      <c r="D1150" s="1088" t="s">
        <v>539</v>
      </c>
      <c r="E1150" s="6" t="s">
        <v>188</v>
      </c>
      <c r="F1150" s="6" t="s">
        <v>546</v>
      </c>
      <c r="G1150" s="6" t="s">
        <v>2956</v>
      </c>
      <c r="H1150" s="6" t="s">
        <v>3286</v>
      </c>
      <c r="J1150" s="1215" t="s">
        <v>509</v>
      </c>
      <c r="K1150" s="1219" t="s">
        <v>3033</v>
      </c>
      <c r="L1150" s="8">
        <v>1012</v>
      </c>
      <c r="M1150" s="8">
        <v>4690</v>
      </c>
      <c r="N1150" s="1169" t="s">
        <v>271</v>
      </c>
      <c r="P1150" s="6" t="s">
        <v>3324</v>
      </c>
      <c r="Q1150" s="1215" t="s">
        <v>253</v>
      </c>
      <c r="R1150" s="1215" t="s">
        <v>255</v>
      </c>
      <c r="S1150" s="1215" t="s">
        <v>534</v>
      </c>
      <c r="T1150" s="1215" t="s">
        <v>533</v>
      </c>
      <c r="U1150" s="6" t="s">
        <v>539</v>
      </c>
      <c r="V1150" s="6" t="s">
        <v>34</v>
      </c>
      <c r="W1150" s="6" t="s">
        <v>546</v>
      </c>
      <c r="X1150" s="6" t="s">
        <v>188</v>
      </c>
    </row>
    <row r="1151" spans="1:24" ht="15" customHeight="1" x14ac:dyDescent="0.3">
      <c r="A1151" s="6" t="s">
        <v>533</v>
      </c>
      <c r="B1151" s="6" t="s">
        <v>534</v>
      </c>
      <c r="C1151" s="6" t="s">
        <v>34</v>
      </c>
      <c r="D1151" s="1088" t="s">
        <v>539</v>
      </c>
      <c r="E1151" s="6" t="s">
        <v>188</v>
      </c>
      <c r="F1151" s="6" t="s">
        <v>546</v>
      </c>
      <c r="G1151" s="6" t="s">
        <v>2956</v>
      </c>
      <c r="H1151" s="6" t="s">
        <v>3286</v>
      </c>
      <c r="J1151" s="1215" t="s">
        <v>509</v>
      </c>
      <c r="K1151" s="1219" t="s">
        <v>3109</v>
      </c>
      <c r="L1151" s="8">
        <v>70</v>
      </c>
      <c r="M1151" s="8">
        <v>255</v>
      </c>
      <c r="N1151" s="1169" t="s">
        <v>271</v>
      </c>
      <c r="P1151" s="6" t="s">
        <v>3324</v>
      </c>
      <c r="Q1151" s="1215" t="s">
        <v>253</v>
      </c>
      <c r="R1151" s="1215" t="s">
        <v>255</v>
      </c>
      <c r="S1151" s="1215" t="s">
        <v>534</v>
      </c>
      <c r="T1151" s="1215" t="s">
        <v>533</v>
      </c>
      <c r="U1151" s="6" t="s">
        <v>539</v>
      </c>
      <c r="V1151" s="6" t="s">
        <v>34</v>
      </c>
      <c r="W1151" s="6" t="s">
        <v>546</v>
      </c>
      <c r="X1151" s="6" t="s">
        <v>188</v>
      </c>
    </row>
    <row r="1152" spans="1:24" ht="15" customHeight="1" x14ac:dyDescent="0.3">
      <c r="A1152" s="6" t="s">
        <v>533</v>
      </c>
      <c r="B1152" s="6" t="s">
        <v>534</v>
      </c>
      <c r="C1152" s="6" t="s">
        <v>34</v>
      </c>
      <c r="D1152" s="1088" t="s">
        <v>539</v>
      </c>
      <c r="E1152" s="6" t="s">
        <v>188</v>
      </c>
      <c r="F1152" s="6" t="s">
        <v>546</v>
      </c>
      <c r="G1152" s="6" t="s">
        <v>2956</v>
      </c>
      <c r="H1152" s="6" t="s">
        <v>3286</v>
      </c>
      <c r="J1152" s="1215" t="s">
        <v>509</v>
      </c>
      <c r="K1152" s="1219" t="s">
        <v>3110</v>
      </c>
      <c r="L1152" s="8">
        <v>3</v>
      </c>
      <c r="M1152" s="8">
        <v>218</v>
      </c>
      <c r="N1152" s="1169" t="s">
        <v>271</v>
      </c>
      <c r="P1152" s="6" t="s">
        <v>3324</v>
      </c>
      <c r="Q1152" s="1215" t="s">
        <v>253</v>
      </c>
      <c r="R1152" s="1215" t="s">
        <v>255</v>
      </c>
      <c r="S1152" s="1215" t="s">
        <v>534</v>
      </c>
      <c r="T1152" s="1215" t="s">
        <v>533</v>
      </c>
      <c r="U1152" s="6" t="s">
        <v>539</v>
      </c>
      <c r="V1152" s="6" t="s">
        <v>34</v>
      </c>
      <c r="W1152" s="6" t="s">
        <v>546</v>
      </c>
      <c r="X1152" s="6" t="s">
        <v>188</v>
      </c>
    </row>
    <row r="1153" spans="1:24" ht="15" customHeight="1" x14ac:dyDescent="0.3">
      <c r="A1153" s="6" t="s">
        <v>533</v>
      </c>
      <c r="B1153" s="6" t="s">
        <v>534</v>
      </c>
      <c r="C1153" s="6" t="s">
        <v>34</v>
      </c>
      <c r="D1153" s="1088" t="s">
        <v>539</v>
      </c>
      <c r="E1153" s="6" t="s">
        <v>188</v>
      </c>
      <c r="F1153" s="6" t="s">
        <v>546</v>
      </c>
      <c r="G1153" s="6" t="s">
        <v>2956</v>
      </c>
      <c r="H1153" s="6" t="s">
        <v>3286</v>
      </c>
      <c r="J1153" s="1215" t="s">
        <v>509</v>
      </c>
      <c r="K1153" s="1219" t="s">
        <v>3111</v>
      </c>
      <c r="L1153" s="8">
        <v>3</v>
      </c>
      <c r="M1153" s="8">
        <v>252</v>
      </c>
      <c r="N1153" s="1169" t="s">
        <v>271</v>
      </c>
      <c r="P1153" s="6" t="s">
        <v>3324</v>
      </c>
      <c r="Q1153" s="1215" t="s">
        <v>253</v>
      </c>
      <c r="R1153" s="1215" t="s">
        <v>255</v>
      </c>
      <c r="S1153" s="1215" t="s">
        <v>534</v>
      </c>
      <c r="T1153" s="1215" t="s">
        <v>533</v>
      </c>
      <c r="U1153" s="6" t="s">
        <v>539</v>
      </c>
      <c r="V1153" s="6" t="s">
        <v>34</v>
      </c>
      <c r="W1153" s="6" t="s">
        <v>546</v>
      </c>
      <c r="X1153" s="6" t="s">
        <v>188</v>
      </c>
    </row>
    <row r="1154" spans="1:24" ht="15" customHeight="1" x14ac:dyDescent="0.3">
      <c r="A1154" s="6" t="s">
        <v>533</v>
      </c>
      <c r="B1154" s="6" t="s">
        <v>534</v>
      </c>
      <c r="C1154" s="6" t="s">
        <v>34</v>
      </c>
      <c r="D1154" s="1088" t="s">
        <v>539</v>
      </c>
      <c r="E1154" s="6" t="s">
        <v>188</v>
      </c>
      <c r="F1154" s="6" t="s">
        <v>546</v>
      </c>
      <c r="G1154" s="6" t="s">
        <v>2956</v>
      </c>
      <c r="H1154" s="6" t="s">
        <v>3286</v>
      </c>
      <c r="J1154" s="1215" t="s">
        <v>509</v>
      </c>
      <c r="K1154" s="1219" t="s">
        <v>3112</v>
      </c>
      <c r="L1154" s="8">
        <v>0</v>
      </c>
      <c r="M1154" s="8">
        <v>90</v>
      </c>
      <c r="N1154" s="1169" t="s">
        <v>271</v>
      </c>
      <c r="P1154" s="6" t="s">
        <v>3324</v>
      </c>
      <c r="Q1154" s="1215" t="s">
        <v>253</v>
      </c>
      <c r="R1154" s="1215" t="s">
        <v>255</v>
      </c>
      <c r="S1154" s="1215" t="s">
        <v>534</v>
      </c>
      <c r="T1154" s="1215" t="s">
        <v>533</v>
      </c>
      <c r="U1154" s="6" t="s">
        <v>539</v>
      </c>
      <c r="V1154" s="6" t="s">
        <v>34</v>
      </c>
      <c r="W1154" s="6" t="s">
        <v>546</v>
      </c>
      <c r="X1154" s="6" t="s">
        <v>188</v>
      </c>
    </row>
    <row r="1155" spans="1:24" ht="15" customHeight="1" x14ac:dyDescent="0.3">
      <c r="A1155" s="6" t="s">
        <v>533</v>
      </c>
      <c r="B1155" s="6" t="s">
        <v>534</v>
      </c>
      <c r="C1155" s="6" t="s">
        <v>34</v>
      </c>
      <c r="D1155" s="1088" t="s">
        <v>539</v>
      </c>
      <c r="E1155" s="6" t="s">
        <v>188</v>
      </c>
      <c r="F1155" s="6" t="s">
        <v>546</v>
      </c>
      <c r="G1155" s="6" t="s">
        <v>1507</v>
      </c>
      <c r="H1155" s="6" t="s">
        <v>3288</v>
      </c>
      <c r="J1155" s="1215" t="s">
        <v>509</v>
      </c>
      <c r="K1155" s="1219" t="s">
        <v>3033</v>
      </c>
      <c r="L1155" s="8">
        <v>8</v>
      </c>
      <c r="M1155" s="8">
        <v>33</v>
      </c>
      <c r="N1155" s="1169" t="s">
        <v>271</v>
      </c>
      <c r="P1155" s="6" t="s">
        <v>3324</v>
      </c>
      <c r="Q1155" s="1215" t="s">
        <v>253</v>
      </c>
      <c r="R1155" s="1215" t="s">
        <v>255</v>
      </c>
      <c r="S1155" s="1215" t="s">
        <v>534</v>
      </c>
      <c r="T1155" s="1215" t="s">
        <v>533</v>
      </c>
      <c r="U1155" s="6" t="s">
        <v>539</v>
      </c>
      <c r="V1155" s="6" t="s">
        <v>34</v>
      </c>
      <c r="W1155" s="6" t="s">
        <v>546</v>
      </c>
      <c r="X1155" s="6" t="s">
        <v>188</v>
      </c>
    </row>
    <row r="1156" spans="1:24" ht="15" customHeight="1" x14ac:dyDescent="0.3">
      <c r="A1156" s="6" t="s">
        <v>533</v>
      </c>
      <c r="B1156" s="6" t="s">
        <v>534</v>
      </c>
      <c r="C1156" s="6" t="s">
        <v>34</v>
      </c>
      <c r="D1156" s="1088" t="s">
        <v>539</v>
      </c>
      <c r="E1156" s="1088" t="s">
        <v>188</v>
      </c>
      <c r="F1156" s="6" t="s">
        <v>546</v>
      </c>
      <c r="G1156" s="6" t="s">
        <v>1507</v>
      </c>
      <c r="H1156" s="6" t="s">
        <v>3288</v>
      </c>
      <c r="J1156" s="1215" t="s">
        <v>509</v>
      </c>
      <c r="K1156" s="1219" t="s">
        <v>3110</v>
      </c>
      <c r="L1156" s="8">
        <v>3</v>
      </c>
      <c r="M1156" s="8">
        <v>27</v>
      </c>
      <c r="N1156" s="1169" t="s">
        <v>271</v>
      </c>
      <c r="P1156" s="6" t="s">
        <v>3324</v>
      </c>
      <c r="Q1156" s="1215" t="s">
        <v>253</v>
      </c>
      <c r="R1156" s="1215" t="s">
        <v>255</v>
      </c>
      <c r="S1156" s="1215" t="s">
        <v>534</v>
      </c>
      <c r="T1156" s="1215" t="s">
        <v>533</v>
      </c>
      <c r="U1156" s="6" t="s">
        <v>539</v>
      </c>
      <c r="V1156" s="6" t="s">
        <v>34</v>
      </c>
      <c r="W1156" s="6" t="s">
        <v>546</v>
      </c>
      <c r="X1156" s="6" t="s">
        <v>188</v>
      </c>
    </row>
    <row r="1157" spans="1:24" ht="15" customHeight="1" x14ac:dyDescent="0.3">
      <c r="A1157" s="6" t="s">
        <v>533</v>
      </c>
      <c r="B1157" s="6" t="s">
        <v>534</v>
      </c>
      <c r="C1157" s="6" t="s">
        <v>34</v>
      </c>
      <c r="D1157" s="1088" t="s">
        <v>539</v>
      </c>
      <c r="E1157" s="1088" t="s">
        <v>188</v>
      </c>
      <c r="F1157" s="6" t="s">
        <v>546</v>
      </c>
      <c r="G1157" s="6" t="s">
        <v>1507</v>
      </c>
      <c r="H1157" s="6" t="s">
        <v>3288</v>
      </c>
      <c r="J1157" s="1215" t="s">
        <v>509</v>
      </c>
      <c r="K1157" s="1219" t="s">
        <v>3111</v>
      </c>
      <c r="L1157" s="8">
        <v>4</v>
      </c>
      <c r="M1157" s="8">
        <v>44</v>
      </c>
      <c r="N1157" s="1169" t="s">
        <v>271</v>
      </c>
      <c r="P1157" s="6" t="s">
        <v>3324</v>
      </c>
      <c r="Q1157" s="1215" t="s">
        <v>253</v>
      </c>
      <c r="R1157" s="1215" t="s">
        <v>255</v>
      </c>
      <c r="S1157" s="1215" t="s">
        <v>534</v>
      </c>
      <c r="T1157" s="1215" t="s">
        <v>533</v>
      </c>
      <c r="U1157" s="6" t="s">
        <v>539</v>
      </c>
      <c r="V1157" s="6" t="s">
        <v>34</v>
      </c>
      <c r="W1157" s="6" t="s">
        <v>546</v>
      </c>
      <c r="X1157" s="6" t="s">
        <v>188</v>
      </c>
    </row>
    <row r="1158" spans="1:24" ht="15" customHeight="1" x14ac:dyDescent="0.3">
      <c r="A1158" s="6" t="s">
        <v>533</v>
      </c>
      <c r="B1158" s="6" t="s">
        <v>534</v>
      </c>
      <c r="C1158" s="6" t="s">
        <v>34</v>
      </c>
      <c r="D1158" s="1088" t="s">
        <v>539</v>
      </c>
      <c r="E1158" s="1088" t="s">
        <v>188</v>
      </c>
      <c r="F1158" s="6" t="s">
        <v>546</v>
      </c>
      <c r="G1158" s="6" t="s">
        <v>1507</v>
      </c>
      <c r="H1158" s="6" t="s">
        <v>3288</v>
      </c>
      <c r="J1158" s="1215" t="s">
        <v>509</v>
      </c>
      <c r="K1158" s="1219" t="s">
        <v>3112</v>
      </c>
      <c r="L1158" s="8">
        <v>2</v>
      </c>
      <c r="M1158" s="8">
        <v>17</v>
      </c>
      <c r="N1158" s="1169" t="s">
        <v>271</v>
      </c>
      <c r="P1158" s="6" t="s">
        <v>3324</v>
      </c>
      <c r="Q1158" s="1215" t="s">
        <v>253</v>
      </c>
      <c r="R1158" s="1215" t="s">
        <v>255</v>
      </c>
      <c r="S1158" s="1215" t="s">
        <v>534</v>
      </c>
      <c r="T1158" s="1215" t="s">
        <v>533</v>
      </c>
      <c r="U1158" s="6" t="s">
        <v>539</v>
      </c>
      <c r="V1158" s="6" t="s">
        <v>34</v>
      </c>
      <c r="W1158" s="6" t="s">
        <v>546</v>
      </c>
      <c r="X1158" s="6" t="s">
        <v>188</v>
      </c>
    </row>
    <row r="1159" spans="1:24" ht="15" customHeight="1" x14ac:dyDescent="0.3">
      <c r="A1159" s="6" t="s">
        <v>533</v>
      </c>
      <c r="B1159" s="6" t="s">
        <v>534</v>
      </c>
      <c r="C1159" s="6" t="s">
        <v>34</v>
      </c>
      <c r="D1159" s="1088" t="s">
        <v>539</v>
      </c>
      <c r="E1159" s="6" t="s">
        <v>188</v>
      </c>
      <c r="F1159" s="6" t="s">
        <v>546</v>
      </c>
      <c r="G1159" s="6" t="s">
        <v>1687</v>
      </c>
      <c r="H1159" s="6" t="s">
        <v>1492</v>
      </c>
      <c r="J1159" s="1215" t="s">
        <v>509</v>
      </c>
      <c r="K1159" s="1219" t="s">
        <v>3033</v>
      </c>
      <c r="L1159" s="8">
        <v>61</v>
      </c>
      <c r="M1159" s="8">
        <v>497</v>
      </c>
      <c r="N1159" s="1169" t="s">
        <v>271</v>
      </c>
      <c r="P1159" s="6" t="s">
        <v>3324</v>
      </c>
      <c r="Q1159" s="1215" t="s">
        <v>253</v>
      </c>
      <c r="R1159" s="1215" t="s">
        <v>255</v>
      </c>
      <c r="S1159" s="1215" t="s">
        <v>534</v>
      </c>
      <c r="T1159" s="1215" t="s">
        <v>533</v>
      </c>
      <c r="U1159" s="6" t="s">
        <v>539</v>
      </c>
      <c r="V1159" s="6" t="s">
        <v>34</v>
      </c>
      <c r="W1159" s="6" t="s">
        <v>546</v>
      </c>
      <c r="X1159" s="6" t="s">
        <v>188</v>
      </c>
    </row>
    <row r="1160" spans="1:24" ht="15" customHeight="1" x14ac:dyDescent="0.3">
      <c r="A1160" s="6" t="s">
        <v>533</v>
      </c>
      <c r="B1160" s="6" t="s">
        <v>534</v>
      </c>
      <c r="C1160" s="6" t="s">
        <v>34</v>
      </c>
      <c r="D1160" s="1088" t="s">
        <v>539</v>
      </c>
      <c r="E1160" s="6" t="s">
        <v>188</v>
      </c>
      <c r="F1160" s="6" t="s">
        <v>546</v>
      </c>
      <c r="G1160" s="6" t="s">
        <v>1687</v>
      </c>
      <c r="H1160" s="6" t="s">
        <v>1492</v>
      </c>
      <c r="J1160" s="1215" t="s">
        <v>509</v>
      </c>
      <c r="K1160" s="1219" t="s">
        <v>3109</v>
      </c>
      <c r="L1160" s="8">
        <v>20</v>
      </c>
      <c r="M1160" s="8">
        <v>145</v>
      </c>
      <c r="N1160" s="1169" t="s">
        <v>271</v>
      </c>
      <c r="P1160" s="6" t="s">
        <v>3324</v>
      </c>
      <c r="Q1160" s="1215" t="s">
        <v>253</v>
      </c>
      <c r="R1160" s="1215" t="s">
        <v>255</v>
      </c>
      <c r="S1160" s="1215" t="s">
        <v>534</v>
      </c>
      <c r="T1160" s="1215" t="s">
        <v>533</v>
      </c>
      <c r="U1160" s="6" t="s">
        <v>539</v>
      </c>
      <c r="V1160" s="6" t="s">
        <v>34</v>
      </c>
      <c r="W1160" s="6" t="s">
        <v>546</v>
      </c>
      <c r="X1160" s="6" t="s">
        <v>188</v>
      </c>
    </row>
    <row r="1161" spans="1:24" ht="15" customHeight="1" x14ac:dyDescent="0.3">
      <c r="A1161" s="6" t="s">
        <v>533</v>
      </c>
      <c r="B1161" s="6" t="s">
        <v>534</v>
      </c>
      <c r="C1161" s="6" t="s">
        <v>34</v>
      </c>
      <c r="D1161" s="1088" t="s">
        <v>539</v>
      </c>
      <c r="E1161" s="6" t="s">
        <v>188</v>
      </c>
      <c r="F1161" s="6" t="s">
        <v>546</v>
      </c>
      <c r="G1161" s="6" t="s">
        <v>1687</v>
      </c>
      <c r="H1161" s="6" t="s">
        <v>1492</v>
      </c>
      <c r="J1161" s="1215" t="s">
        <v>509</v>
      </c>
      <c r="K1161" s="1219" t="s">
        <v>3110</v>
      </c>
      <c r="L1161" s="8">
        <v>25</v>
      </c>
      <c r="M1161" s="8">
        <v>168</v>
      </c>
      <c r="N1161" s="1169" t="s">
        <v>271</v>
      </c>
      <c r="P1161" s="6" t="s">
        <v>3324</v>
      </c>
      <c r="Q1161" s="1215" t="s">
        <v>253</v>
      </c>
      <c r="R1161" s="1215" t="s">
        <v>255</v>
      </c>
      <c r="S1161" s="1215" t="s">
        <v>534</v>
      </c>
      <c r="T1161" s="1215" t="s">
        <v>533</v>
      </c>
      <c r="U1161" s="6" t="s">
        <v>539</v>
      </c>
      <c r="V1161" s="6" t="s">
        <v>34</v>
      </c>
      <c r="W1161" s="6" t="s">
        <v>546</v>
      </c>
      <c r="X1161" s="6" t="s">
        <v>188</v>
      </c>
    </row>
    <row r="1162" spans="1:24" ht="15" customHeight="1" x14ac:dyDescent="0.3">
      <c r="A1162" s="6" t="s">
        <v>533</v>
      </c>
      <c r="B1162" s="6" t="s">
        <v>534</v>
      </c>
      <c r="C1162" s="6" t="s">
        <v>34</v>
      </c>
      <c r="D1162" s="1088" t="s">
        <v>539</v>
      </c>
      <c r="E1162" s="6" t="s">
        <v>188</v>
      </c>
      <c r="F1162" s="6" t="s">
        <v>546</v>
      </c>
      <c r="G1162" s="6" t="s">
        <v>1687</v>
      </c>
      <c r="H1162" s="6" t="s">
        <v>1492</v>
      </c>
      <c r="J1162" s="1215" t="s">
        <v>509</v>
      </c>
      <c r="K1162" s="1219" t="s">
        <v>3111</v>
      </c>
      <c r="L1162" s="8">
        <v>3</v>
      </c>
      <c r="M1162" s="8">
        <v>40</v>
      </c>
      <c r="N1162" s="1169" t="s">
        <v>271</v>
      </c>
      <c r="P1162" s="6" t="s">
        <v>3324</v>
      </c>
      <c r="Q1162" s="1215" t="s">
        <v>253</v>
      </c>
      <c r="R1162" s="1215" t="s">
        <v>255</v>
      </c>
      <c r="S1162" s="1215" t="s">
        <v>534</v>
      </c>
      <c r="T1162" s="1215" t="s">
        <v>533</v>
      </c>
      <c r="U1162" s="6" t="s">
        <v>539</v>
      </c>
      <c r="V1162" s="6" t="s">
        <v>34</v>
      </c>
      <c r="W1162" s="6" t="s">
        <v>546</v>
      </c>
      <c r="X1162" s="6" t="s">
        <v>188</v>
      </c>
    </row>
    <row r="1163" spans="1:24" ht="15" customHeight="1" x14ac:dyDescent="0.3">
      <c r="A1163" s="6" t="s">
        <v>533</v>
      </c>
      <c r="B1163" s="6" t="s">
        <v>534</v>
      </c>
      <c r="C1163" s="6" t="s">
        <v>34</v>
      </c>
      <c r="D1163" s="1088" t="s">
        <v>539</v>
      </c>
      <c r="E1163" s="6" t="s">
        <v>188</v>
      </c>
      <c r="F1163" s="6" t="s">
        <v>546</v>
      </c>
      <c r="G1163" s="6" t="s">
        <v>1687</v>
      </c>
      <c r="H1163" s="6" t="s">
        <v>1492</v>
      </c>
      <c r="J1163" s="1215" t="s">
        <v>509</v>
      </c>
      <c r="K1163" s="1219" t="s">
        <v>3112</v>
      </c>
      <c r="L1163" s="8">
        <v>0</v>
      </c>
      <c r="M1163" s="8">
        <v>6</v>
      </c>
      <c r="N1163" s="1169" t="s">
        <v>271</v>
      </c>
      <c r="P1163" s="6" t="s">
        <v>3324</v>
      </c>
      <c r="Q1163" s="1215" t="s">
        <v>253</v>
      </c>
      <c r="R1163" s="1215" t="s">
        <v>255</v>
      </c>
      <c r="S1163" s="1215" t="s">
        <v>534</v>
      </c>
      <c r="T1163" s="1215" t="s">
        <v>533</v>
      </c>
      <c r="U1163" s="6" t="s">
        <v>539</v>
      </c>
      <c r="V1163" s="6" t="s">
        <v>34</v>
      </c>
      <c r="W1163" s="6" t="s">
        <v>546</v>
      </c>
      <c r="X1163" s="6" t="s">
        <v>188</v>
      </c>
    </row>
    <row r="1164" spans="1:24" ht="15" customHeight="1" x14ac:dyDescent="0.3">
      <c r="A1164" s="6" t="s">
        <v>533</v>
      </c>
      <c r="B1164" s="6" t="s">
        <v>534</v>
      </c>
      <c r="C1164" s="6" t="s">
        <v>31</v>
      </c>
      <c r="D1164" s="1088" t="s">
        <v>549</v>
      </c>
      <c r="E1164" s="6" t="s">
        <v>171</v>
      </c>
      <c r="F1164" s="6" t="s">
        <v>634</v>
      </c>
      <c r="G1164" s="6" t="s">
        <v>1753</v>
      </c>
      <c r="H1164" s="6" t="s">
        <v>1300</v>
      </c>
      <c r="J1164" s="1215" t="s">
        <v>509</v>
      </c>
      <c r="K1164" s="1219" t="s">
        <v>3033</v>
      </c>
      <c r="L1164" s="8">
        <v>9</v>
      </c>
      <c r="M1164" s="8">
        <v>79</v>
      </c>
      <c r="N1164" s="6" t="s">
        <v>271</v>
      </c>
      <c r="P1164" s="6" t="s">
        <v>3324</v>
      </c>
      <c r="Q1164" s="1215" t="s">
        <v>253</v>
      </c>
      <c r="R1164" s="1215" t="s">
        <v>255</v>
      </c>
      <c r="S1164" s="1215" t="s">
        <v>534</v>
      </c>
      <c r="T1164" s="1215" t="s">
        <v>533</v>
      </c>
      <c r="U1164" s="6" t="s">
        <v>549</v>
      </c>
      <c r="V1164" s="6" t="s">
        <v>31</v>
      </c>
      <c r="W1164" s="6" t="s">
        <v>634</v>
      </c>
      <c r="X1164" s="6" t="s">
        <v>171</v>
      </c>
    </row>
    <row r="1165" spans="1:24" ht="15" customHeight="1" x14ac:dyDescent="0.3">
      <c r="A1165" s="6" t="s">
        <v>533</v>
      </c>
      <c r="B1165" s="6" t="s">
        <v>534</v>
      </c>
      <c r="C1165" s="6" t="s">
        <v>31</v>
      </c>
      <c r="D1165" s="1088" t="s">
        <v>549</v>
      </c>
      <c r="E1165" s="6" t="s">
        <v>171</v>
      </c>
      <c r="F1165" s="6" t="s">
        <v>634</v>
      </c>
      <c r="G1165" s="6" t="s">
        <v>2798</v>
      </c>
      <c r="H1165" s="6" t="s">
        <v>2149</v>
      </c>
      <c r="J1165" s="1215" t="s">
        <v>509</v>
      </c>
      <c r="K1165" s="1219" t="s">
        <v>3112</v>
      </c>
      <c r="L1165" s="8">
        <v>2</v>
      </c>
      <c r="M1165" s="8">
        <v>19</v>
      </c>
      <c r="N1165" s="6" t="s">
        <v>271</v>
      </c>
      <c r="P1165" s="6" t="s">
        <v>3323</v>
      </c>
      <c r="Q1165" s="1215" t="s">
        <v>253</v>
      </c>
      <c r="R1165" s="1215" t="s">
        <v>255</v>
      </c>
      <c r="S1165" s="1215" t="s">
        <v>534</v>
      </c>
      <c r="T1165" s="1215" t="s">
        <v>533</v>
      </c>
      <c r="U1165" s="6" t="s">
        <v>549</v>
      </c>
      <c r="V1165" s="6" t="s">
        <v>31</v>
      </c>
      <c r="W1165" s="6" t="s">
        <v>748</v>
      </c>
      <c r="X1165" s="6" t="s">
        <v>164</v>
      </c>
    </row>
    <row r="1166" spans="1:24" ht="15" customHeight="1" x14ac:dyDescent="0.3">
      <c r="A1166" s="6" t="s">
        <v>533</v>
      </c>
      <c r="B1166" s="6" t="s">
        <v>534</v>
      </c>
      <c r="C1166" s="6" t="s">
        <v>31</v>
      </c>
      <c r="D1166" s="1088" t="s">
        <v>549</v>
      </c>
      <c r="E1166" s="6" t="s">
        <v>171</v>
      </c>
      <c r="F1166" s="6" t="s">
        <v>634</v>
      </c>
      <c r="G1166" s="6" t="s">
        <v>2974</v>
      </c>
      <c r="H1166" s="6" t="s">
        <v>636</v>
      </c>
      <c r="J1166" s="1215" t="s">
        <v>509</v>
      </c>
      <c r="K1166" s="1219" t="s">
        <v>3033</v>
      </c>
      <c r="L1166" s="8">
        <v>14</v>
      </c>
      <c r="M1166" s="8">
        <v>128</v>
      </c>
      <c r="N1166" s="6" t="s">
        <v>271</v>
      </c>
      <c r="P1166" s="6" t="s">
        <v>3322</v>
      </c>
      <c r="Q1166" s="1215" t="s">
        <v>253</v>
      </c>
      <c r="R1166" s="1215" t="s">
        <v>255</v>
      </c>
      <c r="S1166" s="1215" t="s">
        <v>534</v>
      </c>
      <c r="T1166" s="1215" t="s">
        <v>533</v>
      </c>
      <c r="U1166" s="6" t="s">
        <v>539</v>
      </c>
      <c r="V1166" s="6" t="s">
        <v>34</v>
      </c>
    </row>
    <row r="1167" spans="1:24" ht="15" customHeight="1" x14ac:dyDescent="0.3">
      <c r="A1167" s="6" t="s">
        <v>533</v>
      </c>
      <c r="B1167" s="6" t="s">
        <v>534</v>
      </c>
      <c r="C1167" s="6" t="s">
        <v>31</v>
      </c>
      <c r="D1167" s="1088" t="s">
        <v>549</v>
      </c>
      <c r="E1167" s="6" t="s">
        <v>171</v>
      </c>
      <c r="F1167" s="6" t="s">
        <v>634</v>
      </c>
      <c r="G1167" s="6" t="s">
        <v>1322</v>
      </c>
      <c r="H1167" s="6" t="s">
        <v>2002</v>
      </c>
      <c r="J1167" s="1215" t="s">
        <v>509</v>
      </c>
      <c r="K1167" s="1219" t="s">
        <v>3033</v>
      </c>
      <c r="L1167" s="8">
        <v>35</v>
      </c>
      <c r="M1167" s="8">
        <v>219</v>
      </c>
      <c r="N1167" s="6" t="s">
        <v>271</v>
      </c>
      <c r="P1167" s="6" t="s">
        <v>3323</v>
      </c>
      <c r="Q1167" s="1215" t="s">
        <v>253</v>
      </c>
      <c r="R1167" s="1215" t="s">
        <v>255</v>
      </c>
      <c r="S1167" s="1215" t="s">
        <v>534</v>
      </c>
      <c r="T1167" s="1215" t="s">
        <v>533</v>
      </c>
      <c r="U1167" s="6" t="s">
        <v>549</v>
      </c>
      <c r="V1167" s="6" t="s">
        <v>31</v>
      </c>
      <c r="W1167" s="6" t="s">
        <v>881</v>
      </c>
      <c r="X1167" s="6" t="s">
        <v>165</v>
      </c>
    </row>
    <row r="1168" spans="1:24" ht="15" customHeight="1" x14ac:dyDescent="0.3">
      <c r="A1168" s="6" t="s">
        <v>533</v>
      </c>
      <c r="B1168" s="6" t="s">
        <v>534</v>
      </c>
      <c r="C1168" s="6" t="s">
        <v>31</v>
      </c>
      <c r="D1168" s="1088" t="s">
        <v>549</v>
      </c>
      <c r="E1168" s="6" t="s">
        <v>171</v>
      </c>
      <c r="F1168" s="6" t="s">
        <v>634</v>
      </c>
      <c r="G1168" s="6" t="s">
        <v>1322</v>
      </c>
      <c r="H1168" s="6" t="s">
        <v>2002</v>
      </c>
      <c r="J1168" s="1215" t="s">
        <v>509</v>
      </c>
      <c r="K1168" s="1219" t="s">
        <v>3112</v>
      </c>
      <c r="L1168" s="8">
        <v>4</v>
      </c>
      <c r="M1168" s="8">
        <v>31</v>
      </c>
      <c r="N1168" s="6" t="s">
        <v>271</v>
      </c>
      <c r="P1168" s="6" t="s">
        <v>3323</v>
      </c>
      <c r="Q1168" s="1215" t="s">
        <v>253</v>
      </c>
      <c r="R1168" s="1215" t="s">
        <v>255</v>
      </c>
      <c r="S1168" s="1215" t="s">
        <v>534</v>
      </c>
      <c r="T1168" s="1215" t="s">
        <v>533</v>
      </c>
      <c r="U1168" s="6" t="s">
        <v>549</v>
      </c>
      <c r="V1168" s="6" t="s">
        <v>31</v>
      </c>
      <c r="W1168" s="6" t="s">
        <v>748</v>
      </c>
      <c r="X1168" s="6" t="s">
        <v>164</v>
      </c>
    </row>
    <row r="1169" spans="1:24" ht="15" customHeight="1" x14ac:dyDescent="0.3">
      <c r="A1169" s="6" t="s">
        <v>533</v>
      </c>
      <c r="B1169" s="6" t="s">
        <v>534</v>
      </c>
      <c r="C1169" s="6" t="s">
        <v>31</v>
      </c>
      <c r="D1169" s="1088" t="s">
        <v>549</v>
      </c>
      <c r="E1169" s="6" t="s">
        <v>171</v>
      </c>
      <c r="F1169" s="6" t="s">
        <v>634</v>
      </c>
      <c r="G1169" s="6" t="s">
        <v>1363</v>
      </c>
      <c r="H1169" s="6" t="s">
        <v>1781</v>
      </c>
      <c r="J1169" s="1215" t="s">
        <v>509</v>
      </c>
      <c r="K1169" s="1219" t="s">
        <v>3033</v>
      </c>
      <c r="L1169" s="8">
        <v>8</v>
      </c>
      <c r="M1169" s="8">
        <v>65</v>
      </c>
      <c r="N1169" s="1169" t="s">
        <v>271</v>
      </c>
      <c r="P1169" s="6" t="s">
        <v>3324</v>
      </c>
      <c r="Q1169" s="1215" t="s">
        <v>253</v>
      </c>
      <c r="R1169" s="1215" t="s">
        <v>255</v>
      </c>
      <c r="S1169" s="1215" t="s">
        <v>534</v>
      </c>
      <c r="T1169" s="1215" t="s">
        <v>533</v>
      </c>
      <c r="U1169" s="6" t="s">
        <v>549</v>
      </c>
      <c r="V1169" s="6" t="s">
        <v>31</v>
      </c>
      <c r="W1169" s="6" t="s">
        <v>634</v>
      </c>
      <c r="X1169" s="6" t="s">
        <v>171</v>
      </c>
    </row>
    <row r="1170" spans="1:24" ht="15" customHeight="1" x14ac:dyDescent="0.3">
      <c r="A1170" s="6" t="s">
        <v>533</v>
      </c>
      <c r="B1170" s="6" t="s">
        <v>534</v>
      </c>
      <c r="C1170" s="6" t="s">
        <v>31</v>
      </c>
      <c r="D1170" s="1088" t="s">
        <v>549</v>
      </c>
      <c r="E1170" s="6" t="s">
        <v>171</v>
      </c>
      <c r="F1170" s="6" t="s">
        <v>634</v>
      </c>
      <c r="G1170" s="6" t="s">
        <v>2876</v>
      </c>
      <c r="H1170" s="6" t="s">
        <v>1876</v>
      </c>
      <c r="J1170" s="1215" t="s">
        <v>509</v>
      </c>
      <c r="K1170" s="1219" t="s">
        <v>3110</v>
      </c>
      <c r="L1170" s="8">
        <v>2</v>
      </c>
      <c r="M1170" s="8">
        <v>15</v>
      </c>
      <c r="N1170" s="1169" t="s">
        <v>271</v>
      </c>
      <c r="P1170" s="6" t="s">
        <v>3323</v>
      </c>
      <c r="Q1170" s="1215" t="s">
        <v>253</v>
      </c>
      <c r="R1170" s="1215" t="s">
        <v>255</v>
      </c>
      <c r="S1170" s="1215" t="s">
        <v>534</v>
      </c>
      <c r="T1170" s="1215" t="s">
        <v>533</v>
      </c>
      <c r="U1170" s="6" t="s">
        <v>549</v>
      </c>
      <c r="V1170" s="6" t="s">
        <v>31</v>
      </c>
      <c r="W1170" s="6" t="s">
        <v>881</v>
      </c>
      <c r="X1170" s="6" t="s">
        <v>165</v>
      </c>
    </row>
    <row r="1171" spans="1:24" ht="15" customHeight="1" x14ac:dyDescent="0.3">
      <c r="A1171" s="6" t="s">
        <v>533</v>
      </c>
      <c r="B1171" s="6" t="s">
        <v>534</v>
      </c>
      <c r="C1171" s="6" t="s">
        <v>31</v>
      </c>
      <c r="D1171" s="1088" t="s">
        <v>549</v>
      </c>
      <c r="E1171" s="1169" t="s">
        <v>171</v>
      </c>
      <c r="F1171" s="6" t="s">
        <v>634</v>
      </c>
      <c r="G1171" s="6" t="s">
        <v>3025</v>
      </c>
      <c r="H1171" s="6" t="s">
        <v>906</v>
      </c>
      <c r="J1171" s="1215" t="s">
        <v>509</v>
      </c>
      <c r="K1171" s="1219" t="s">
        <v>3033</v>
      </c>
      <c r="L1171" s="8">
        <v>15</v>
      </c>
      <c r="M1171" s="8">
        <v>100</v>
      </c>
      <c r="N1171" s="1169" t="s">
        <v>271</v>
      </c>
      <c r="P1171" s="6" t="s">
        <v>3324</v>
      </c>
      <c r="Q1171" s="1215" t="s">
        <v>253</v>
      </c>
      <c r="R1171" s="1215" t="s">
        <v>255</v>
      </c>
      <c r="S1171" s="1215" t="s">
        <v>534</v>
      </c>
      <c r="T1171" s="1215" t="s">
        <v>533</v>
      </c>
      <c r="U1171" s="6" t="s">
        <v>549</v>
      </c>
      <c r="V1171" s="6" t="s">
        <v>31</v>
      </c>
      <c r="W1171" s="6" t="s">
        <v>634</v>
      </c>
      <c r="X1171" s="6" t="s">
        <v>171</v>
      </c>
    </row>
    <row r="1172" spans="1:24" ht="15" customHeight="1" x14ac:dyDescent="0.3">
      <c r="A1172" s="6" t="s">
        <v>533</v>
      </c>
      <c r="B1172" s="6" t="s">
        <v>534</v>
      </c>
      <c r="C1172" s="6" t="s">
        <v>31</v>
      </c>
      <c r="D1172" s="1088" t="s">
        <v>549</v>
      </c>
      <c r="E1172" s="1169" t="s">
        <v>171</v>
      </c>
      <c r="F1172" s="6" t="s">
        <v>634</v>
      </c>
      <c r="G1172" s="6" t="s">
        <v>1149</v>
      </c>
      <c r="H1172" s="6" t="s">
        <v>2070</v>
      </c>
      <c r="J1172" s="1215" t="s">
        <v>509</v>
      </c>
      <c r="K1172" s="1219" t="s">
        <v>3033</v>
      </c>
      <c r="L1172" s="8">
        <v>8</v>
      </c>
      <c r="M1172" s="8">
        <v>40</v>
      </c>
      <c r="N1172" s="1169" t="s">
        <v>271</v>
      </c>
      <c r="P1172" s="6" t="s">
        <v>3323</v>
      </c>
      <c r="Q1172" s="1215" t="s">
        <v>253</v>
      </c>
      <c r="R1172" s="1215" t="s">
        <v>255</v>
      </c>
      <c r="S1172" s="1215" t="s">
        <v>534</v>
      </c>
      <c r="T1172" s="1215" t="s">
        <v>533</v>
      </c>
      <c r="U1172" s="6" t="s">
        <v>549</v>
      </c>
      <c r="V1172" s="6" t="s">
        <v>31</v>
      </c>
      <c r="W1172" s="6" t="s">
        <v>844</v>
      </c>
      <c r="X1172" s="6" t="s">
        <v>166</v>
      </c>
    </row>
    <row r="1173" spans="1:24" ht="15" customHeight="1" x14ac:dyDescent="0.3">
      <c r="A1173" s="6" t="s">
        <v>533</v>
      </c>
      <c r="B1173" s="6" t="s">
        <v>534</v>
      </c>
      <c r="C1173" s="6" t="s">
        <v>31</v>
      </c>
      <c r="D1173" s="1088" t="s">
        <v>549</v>
      </c>
      <c r="E1173" s="1169" t="s">
        <v>171</v>
      </c>
      <c r="F1173" s="6" t="s">
        <v>634</v>
      </c>
      <c r="G1173" s="6" t="s">
        <v>856</v>
      </c>
      <c r="H1173" s="6" t="s">
        <v>857</v>
      </c>
      <c r="J1173" s="1215" t="s">
        <v>509</v>
      </c>
      <c r="K1173" s="1219" t="s">
        <v>3033</v>
      </c>
      <c r="L1173" s="8">
        <v>66</v>
      </c>
      <c r="M1173" s="8">
        <v>552</v>
      </c>
      <c r="N1173" s="1169" t="s">
        <v>271</v>
      </c>
      <c r="P1173" s="6" t="s">
        <v>3324</v>
      </c>
      <c r="Q1173" s="1215" t="s">
        <v>253</v>
      </c>
      <c r="R1173" s="1215" t="s">
        <v>255</v>
      </c>
      <c r="S1173" s="1215" t="s">
        <v>534</v>
      </c>
      <c r="T1173" s="1215" t="s">
        <v>533</v>
      </c>
      <c r="U1173" s="6" t="s">
        <v>549</v>
      </c>
      <c r="V1173" s="6" t="s">
        <v>31</v>
      </c>
      <c r="W1173" s="6" t="s">
        <v>634</v>
      </c>
      <c r="X1173" s="6" t="s">
        <v>171</v>
      </c>
    </row>
    <row r="1174" spans="1:24" ht="15" customHeight="1" x14ac:dyDescent="0.3">
      <c r="A1174" s="6" t="s">
        <v>533</v>
      </c>
      <c r="B1174" s="6" t="s">
        <v>534</v>
      </c>
      <c r="C1174" s="6" t="s">
        <v>31</v>
      </c>
      <c r="D1174" s="1088" t="s">
        <v>549</v>
      </c>
      <c r="E1174" s="1169" t="s">
        <v>171</v>
      </c>
      <c r="F1174" s="6" t="s">
        <v>634</v>
      </c>
      <c r="G1174" s="6" t="s">
        <v>861</v>
      </c>
      <c r="H1174" s="6" t="s">
        <v>862</v>
      </c>
      <c r="J1174" s="1215" t="s">
        <v>509</v>
      </c>
      <c r="K1174" s="1219" t="s">
        <v>3033</v>
      </c>
      <c r="L1174" s="8">
        <v>10</v>
      </c>
      <c r="M1174" s="8">
        <v>69</v>
      </c>
      <c r="N1174" s="1169" t="s">
        <v>271</v>
      </c>
      <c r="P1174" s="6" t="s">
        <v>3324</v>
      </c>
      <c r="Q1174" s="1215" t="s">
        <v>253</v>
      </c>
      <c r="R1174" s="1215" t="s">
        <v>255</v>
      </c>
      <c r="S1174" s="1215" t="s">
        <v>534</v>
      </c>
      <c r="T1174" s="1215" t="s">
        <v>533</v>
      </c>
      <c r="U1174" s="6" t="s">
        <v>549</v>
      </c>
      <c r="V1174" s="6" t="s">
        <v>31</v>
      </c>
      <c r="W1174" s="6" t="s">
        <v>634</v>
      </c>
      <c r="X1174" s="6" t="s">
        <v>171</v>
      </c>
    </row>
    <row r="1175" spans="1:24" ht="15" customHeight="1" x14ac:dyDescent="0.3">
      <c r="A1175" s="6" t="s">
        <v>533</v>
      </c>
      <c r="B1175" s="6" t="s">
        <v>534</v>
      </c>
      <c r="C1175" s="6" t="s">
        <v>31</v>
      </c>
      <c r="D1175" s="1088" t="s">
        <v>549</v>
      </c>
      <c r="E1175" s="1169" t="s">
        <v>2797</v>
      </c>
      <c r="F1175" s="6" t="s">
        <v>767</v>
      </c>
      <c r="G1175" s="6" t="s">
        <v>1423</v>
      </c>
      <c r="H1175" s="6" t="s">
        <v>1232</v>
      </c>
      <c r="J1175" s="1215" t="s">
        <v>509</v>
      </c>
      <c r="K1175" s="1219" t="s">
        <v>3033</v>
      </c>
      <c r="L1175" s="8">
        <v>7</v>
      </c>
      <c r="M1175" s="8">
        <v>57</v>
      </c>
      <c r="N1175" s="1169" t="s">
        <v>271</v>
      </c>
      <c r="P1175" s="6" t="s">
        <v>3324</v>
      </c>
      <c r="Q1175" s="1215" t="s">
        <v>253</v>
      </c>
      <c r="R1175" s="1215" t="s">
        <v>255</v>
      </c>
      <c r="S1175" s="1215" t="s">
        <v>534</v>
      </c>
      <c r="T1175" s="1215" t="s">
        <v>533</v>
      </c>
      <c r="U1175" s="6" t="s">
        <v>549</v>
      </c>
      <c r="V1175" s="6" t="s">
        <v>31</v>
      </c>
      <c r="W1175" s="6" t="s">
        <v>767</v>
      </c>
      <c r="X1175" s="6" t="s">
        <v>2797</v>
      </c>
    </row>
    <row r="1176" spans="1:24" ht="15" customHeight="1" x14ac:dyDescent="0.3">
      <c r="A1176" s="6" t="s">
        <v>533</v>
      </c>
      <c r="B1176" s="6" t="s">
        <v>534</v>
      </c>
      <c r="C1176" s="6" t="s">
        <v>31</v>
      </c>
      <c r="D1176" s="1088" t="s">
        <v>549</v>
      </c>
      <c r="E1176" s="1088" t="s">
        <v>2797</v>
      </c>
      <c r="F1176" s="6" t="s">
        <v>767</v>
      </c>
      <c r="G1176" s="6" t="s">
        <v>1423</v>
      </c>
      <c r="H1176" s="6" t="s">
        <v>1232</v>
      </c>
      <c r="J1176" s="1215" t="s">
        <v>509</v>
      </c>
      <c r="K1176" s="1219" t="s">
        <v>3111</v>
      </c>
      <c r="L1176" s="8">
        <v>2</v>
      </c>
      <c r="M1176" s="8">
        <v>14</v>
      </c>
      <c r="N1176" s="1169" t="s">
        <v>271</v>
      </c>
      <c r="P1176" s="6" t="s">
        <v>3324</v>
      </c>
      <c r="Q1176" s="1215" t="s">
        <v>253</v>
      </c>
      <c r="R1176" s="1215" t="s">
        <v>255</v>
      </c>
      <c r="S1176" s="1215" t="s">
        <v>534</v>
      </c>
      <c r="T1176" s="1215" t="s">
        <v>533</v>
      </c>
      <c r="U1176" s="6" t="s">
        <v>549</v>
      </c>
      <c r="V1176" s="6" t="s">
        <v>31</v>
      </c>
      <c r="W1176" s="6" t="s">
        <v>767</v>
      </c>
      <c r="X1176" s="6" t="s">
        <v>2797</v>
      </c>
    </row>
    <row r="1177" spans="1:24" ht="15" customHeight="1" x14ac:dyDescent="0.3">
      <c r="A1177" s="6" t="s">
        <v>533</v>
      </c>
      <c r="B1177" s="6" t="s">
        <v>534</v>
      </c>
      <c r="C1177" s="6" t="s">
        <v>31</v>
      </c>
      <c r="D1177" s="1088" t="s">
        <v>549</v>
      </c>
      <c r="E1177" s="1088" t="s">
        <v>2797</v>
      </c>
      <c r="F1177" s="6" t="s">
        <v>767</v>
      </c>
      <c r="G1177" s="6" t="s">
        <v>1423</v>
      </c>
      <c r="H1177" s="6" t="s">
        <v>1232</v>
      </c>
      <c r="J1177" s="1215" t="s">
        <v>509</v>
      </c>
      <c r="K1177" s="1219" t="s">
        <v>3112</v>
      </c>
      <c r="L1177" s="8">
        <v>20</v>
      </c>
      <c r="M1177" s="8">
        <v>140</v>
      </c>
      <c r="N1177" s="1169" t="s">
        <v>271</v>
      </c>
      <c r="P1177" s="6" t="s">
        <v>3323</v>
      </c>
      <c r="Q1177" s="1215" t="s">
        <v>253</v>
      </c>
      <c r="R1177" s="1215" t="s">
        <v>255</v>
      </c>
      <c r="S1177" s="1215" t="s">
        <v>534</v>
      </c>
      <c r="T1177" s="1215" t="s">
        <v>533</v>
      </c>
      <c r="U1177" s="6" t="s">
        <v>549</v>
      </c>
      <c r="V1177" s="6" t="s">
        <v>31</v>
      </c>
      <c r="W1177" s="6" t="s">
        <v>881</v>
      </c>
      <c r="X1177" s="6" t="s">
        <v>165</v>
      </c>
    </row>
    <row r="1178" spans="1:24" ht="15" customHeight="1" x14ac:dyDescent="0.3">
      <c r="A1178" s="6" t="s">
        <v>533</v>
      </c>
      <c r="B1178" s="6" t="s">
        <v>534</v>
      </c>
      <c r="C1178" s="6" t="s">
        <v>31</v>
      </c>
      <c r="D1178" s="1088" t="s">
        <v>549</v>
      </c>
      <c r="E1178" s="1088" t="s">
        <v>2797</v>
      </c>
      <c r="F1178" s="6" t="s">
        <v>767</v>
      </c>
      <c r="G1178" s="6" t="s">
        <v>1200</v>
      </c>
      <c r="H1178" s="6" t="s">
        <v>2214</v>
      </c>
      <c r="J1178" s="1215" t="s">
        <v>509</v>
      </c>
      <c r="K1178" s="1219" t="s">
        <v>3111</v>
      </c>
      <c r="L1178" s="8">
        <v>1</v>
      </c>
      <c r="M1178" s="8">
        <v>8</v>
      </c>
      <c r="N1178" s="1169" t="s">
        <v>271</v>
      </c>
      <c r="P1178" s="6" t="s">
        <v>3324</v>
      </c>
      <c r="Q1178" s="1215" t="s">
        <v>253</v>
      </c>
      <c r="R1178" s="1215" t="s">
        <v>255</v>
      </c>
      <c r="S1178" s="1215" t="s">
        <v>534</v>
      </c>
      <c r="T1178" s="1215" t="s">
        <v>533</v>
      </c>
      <c r="U1178" s="6" t="s">
        <v>549</v>
      </c>
      <c r="V1178" s="6" t="s">
        <v>31</v>
      </c>
      <c r="W1178" s="6" t="s">
        <v>767</v>
      </c>
      <c r="X1178" s="6" t="s">
        <v>2797</v>
      </c>
    </row>
    <row r="1179" spans="1:24" ht="15" customHeight="1" x14ac:dyDescent="0.3">
      <c r="A1179" s="6" t="s">
        <v>533</v>
      </c>
      <c r="B1179" s="6" t="s">
        <v>534</v>
      </c>
      <c r="C1179" s="6" t="s">
        <v>31</v>
      </c>
      <c r="D1179" s="1088" t="s">
        <v>549</v>
      </c>
      <c r="E1179" s="6" t="s">
        <v>2797</v>
      </c>
      <c r="F1179" s="6" t="s">
        <v>767</v>
      </c>
      <c r="G1179" s="6" t="s">
        <v>1200</v>
      </c>
      <c r="H1179" s="6" t="s">
        <v>2214</v>
      </c>
      <c r="J1179" s="1215" t="s">
        <v>509</v>
      </c>
      <c r="K1179" s="1219" t="s">
        <v>3112</v>
      </c>
      <c r="L1179" s="8">
        <v>50</v>
      </c>
      <c r="M1179" s="8">
        <v>300</v>
      </c>
      <c r="N1179" s="1169" t="s">
        <v>271</v>
      </c>
      <c r="P1179" s="6" t="s">
        <v>3323</v>
      </c>
      <c r="Q1179" s="1215" t="s">
        <v>253</v>
      </c>
      <c r="R1179" s="1215" t="s">
        <v>255</v>
      </c>
      <c r="S1179" s="1215" t="s">
        <v>534</v>
      </c>
      <c r="T1179" s="1215" t="s">
        <v>533</v>
      </c>
      <c r="U1179" s="6" t="s">
        <v>549</v>
      </c>
      <c r="V1179" s="6" t="s">
        <v>31</v>
      </c>
      <c r="W1179" s="6" t="s">
        <v>881</v>
      </c>
      <c r="X1179" s="6" t="s">
        <v>165</v>
      </c>
    </row>
    <row r="1180" spans="1:24" ht="15" customHeight="1" x14ac:dyDescent="0.3">
      <c r="A1180" s="6" t="s">
        <v>533</v>
      </c>
      <c r="B1180" s="6" t="s">
        <v>534</v>
      </c>
      <c r="C1180" s="6" t="s">
        <v>31</v>
      </c>
      <c r="D1180" s="1088" t="s">
        <v>549</v>
      </c>
      <c r="E1180" s="6" t="s">
        <v>166</v>
      </c>
      <c r="F1180" s="6" t="s">
        <v>844</v>
      </c>
      <c r="G1180" s="6" t="s">
        <v>969</v>
      </c>
      <c r="H1180" s="6" t="s">
        <v>954</v>
      </c>
      <c r="J1180" s="1215" t="s">
        <v>509</v>
      </c>
      <c r="K1180" s="1219" t="s">
        <v>3033</v>
      </c>
      <c r="L1180" s="8">
        <v>39</v>
      </c>
      <c r="M1180" s="8">
        <v>321</v>
      </c>
      <c r="N1180" s="1169" t="s">
        <v>271</v>
      </c>
      <c r="P1180" s="6" t="s">
        <v>3324</v>
      </c>
      <c r="Q1180" s="1215" t="s">
        <v>253</v>
      </c>
      <c r="R1180" s="1215" t="s">
        <v>255</v>
      </c>
      <c r="S1180" s="1215" t="s">
        <v>534</v>
      </c>
      <c r="T1180" s="1215" t="s">
        <v>533</v>
      </c>
      <c r="U1180" s="6" t="s">
        <v>549</v>
      </c>
      <c r="V1180" s="6" t="s">
        <v>31</v>
      </c>
      <c r="W1180" s="6" t="s">
        <v>844</v>
      </c>
      <c r="X1180" s="6" t="s">
        <v>166</v>
      </c>
    </row>
    <row r="1181" spans="1:24" ht="15" customHeight="1" x14ac:dyDescent="0.3">
      <c r="A1181" s="6" t="s">
        <v>533</v>
      </c>
      <c r="B1181" s="6" t="s">
        <v>534</v>
      </c>
      <c r="C1181" s="6" t="s">
        <v>31</v>
      </c>
      <c r="D1181" s="1088" t="s">
        <v>549</v>
      </c>
      <c r="E1181" s="6" t="s">
        <v>171</v>
      </c>
      <c r="F1181" s="6" t="s">
        <v>634</v>
      </c>
      <c r="G1181" s="6" t="s">
        <v>810</v>
      </c>
      <c r="H1181" s="6" t="s">
        <v>1302</v>
      </c>
      <c r="J1181" s="1215" t="s">
        <v>509</v>
      </c>
      <c r="K1181" s="1219" t="s">
        <v>3112</v>
      </c>
      <c r="L1181" s="8">
        <v>16</v>
      </c>
      <c r="M1181" s="8">
        <v>64</v>
      </c>
      <c r="N1181" s="1169" t="s">
        <v>272</v>
      </c>
      <c r="P1181" s="6" t="s">
        <v>3324</v>
      </c>
      <c r="Q1181" s="1215" t="s">
        <v>253</v>
      </c>
      <c r="R1181" s="1215" t="s">
        <v>255</v>
      </c>
      <c r="S1181" s="1215" t="s">
        <v>534</v>
      </c>
      <c r="T1181" s="1215" t="s">
        <v>533</v>
      </c>
      <c r="U1181" s="6" t="s">
        <v>549</v>
      </c>
      <c r="V1181" s="6" t="s">
        <v>31</v>
      </c>
      <c r="W1181" s="6" t="s">
        <v>634</v>
      </c>
      <c r="X1181" s="6" t="s">
        <v>171</v>
      </c>
    </row>
    <row r="1182" spans="1:24" ht="15" customHeight="1" x14ac:dyDescent="0.3">
      <c r="A1182" s="6" t="s">
        <v>533</v>
      </c>
      <c r="B1182" s="6" t="s">
        <v>534</v>
      </c>
      <c r="C1182" s="6" t="s">
        <v>34</v>
      </c>
      <c r="D1182" s="1088" t="s">
        <v>539</v>
      </c>
      <c r="E1182" s="6" t="s">
        <v>188</v>
      </c>
      <c r="F1182" s="6" t="s">
        <v>546</v>
      </c>
      <c r="G1182" s="6" t="s">
        <v>1486</v>
      </c>
      <c r="H1182" s="6" t="s">
        <v>1184</v>
      </c>
      <c r="J1182" s="1215" t="s">
        <v>509</v>
      </c>
      <c r="K1182" s="1219" t="s">
        <v>3033</v>
      </c>
      <c r="L1182" s="8">
        <v>790</v>
      </c>
      <c r="M1182" s="8">
        <v>10214</v>
      </c>
      <c r="N1182" s="1169" t="s">
        <v>271</v>
      </c>
      <c r="P1182" s="6" t="s">
        <v>3324</v>
      </c>
      <c r="Q1182" s="1215" t="s">
        <v>253</v>
      </c>
      <c r="R1182" s="1215" t="s">
        <v>255</v>
      </c>
      <c r="S1182" s="1215" t="s">
        <v>534</v>
      </c>
      <c r="T1182" s="1215" t="s">
        <v>533</v>
      </c>
      <c r="U1182" s="6" t="s">
        <v>539</v>
      </c>
      <c r="V1182" s="6" t="s">
        <v>34</v>
      </c>
      <c r="W1182" s="6" t="s">
        <v>546</v>
      </c>
      <c r="X1182" s="6" t="s">
        <v>188</v>
      </c>
    </row>
    <row r="1183" spans="1:24" ht="15" customHeight="1" x14ac:dyDescent="0.3">
      <c r="A1183" s="6" t="s">
        <v>533</v>
      </c>
      <c r="B1183" s="6" t="s">
        <v>534</v>
      </c>
      <c r="C1183" s="6" t="s">
        <v>34</v>
      </c>
      <c r="D1183" s="1088" t="s">
        <v>539</v>
      </c>
      <c r="E1183" s="6" t="s">
        <v>188</v>
      </c>
      <c r="F1183" s="6" t="s">
        <v>546</v>
      </c>
      <c r="G1183" s="6" t="s">
        <v>1486</v>
      </c>
      <c r="H1183" s="6" t="s">
        <v>1184</v>
      </c>
      <c r="J1183" s="1215" t="s">
        <v>509</v>
      </c>
      <c r="K1183" s="1219" t="s">
        <v>3109</v>
      </c>
      <c r="L1183" s="8">
        <v>90</v>
      </c>
      <c r="M1183" s="8">
        <v>503</v>
      </c>
      <c r="N1183" s="1169" t="s">
        <v>271</v>
      </c>
      <c r="P1183" s="6" t="s">
        <v>3324</v>
      </c>
      <c r="Q1183" s="1215" t="s">
        <v>253</v>
      </c>
      <c r="R1183" s="1215" t="s">
        <v>255</v>
      </c>
      <c r="S1183" s="1215" t="s">
        <v>534</v>
      </c>
      <c r="T1183" s="1215" t="s">
        <v>533</v>
      </c>
      <c r="U1183" s="6" t="s">
        <v>539</v>
      </c>
      <c r="V1183" s="6" t="s">
        <v>34</v>
      </c>
      <c r="W1183" s="6" t="s">
        <v>546</v>
      </c>
      <c r="X1183" s="6" t="s">
        <v>188</v>
      </c>
    </row>
    <row r="1184" spans="1:24" ht="15" customHeight="1" x14ac:dyDescent="0.3">
      <c r="A1184" s="6" t="s">
        <v>533</v>
      </c>
      <c r="B1184" s="6" t="s">
        <v>534</v>
      </c>
      <c r="C1184" s="6" t="s">
        <v>34</v>
      </c>
      <c r="D1184" s="1088" t="s">
        <v>539</v>
      </c>
      <c r="E1184" s="6" t="s">
        <v>188</v>
      </c>
      <c r="F1184" s="6" t="s">
        <v>546</v>
      </c>
      <c r="G1184" s="6" t="s">
        <v>1486</v>
      </c>
      <c r="H1184" s="6" t="s">
        <v>1184</v>
      </c>
      <c r="J1184" s="1215" t="s">
        <v>509</v>
      </c>
      <c r="K1184" s="1219" t="s">
        <v>3110</v>
      </c>
      <c r="L1184" s="8">
        <v>0</v>
      </c>
      <c r="M1184" s="8">
        <v>243</v>
      </c>
      <c r="N1184" s="1169" t="s">
        <v>271</v>
      </c>
      <c r="P1184" s="6" t="s">
        <v>3324</v>
      </c>
      <c r="Q1184" s="1215" t="s">
        <v>253</v>
      </c>
      <c r="R1184" s="1215" t="s">
        <v>255</v>
      </c>
      <c r="S1184" s="1215" t="s">
        <v>534</v>
      </c>
      <c r="T1184" s="1215" t="s">
        <v>533</v>
      </c>
      <c r="U1184" s="6" t="s">
        <v>539</v>
      </c>
      <c r="V1184" s="6" t="s">
        <v>34</v>
      </c>
      <c r="W1184" s="6" t="s">
        <v>546</v>
      </c>
      <c r="X1184" s="6" t="s">
        <v>188</v>
      </c>
    </row>
    <row r="1185" spans="1:24" ht="15" customHeight="1" x14ac:dyDescent="0.3">
      <c r="A1185" s="6" t="s">
        <v>533</v>
      </c>
      <c r="B1185" s="6" t="s">
        <v>534</v>
      </c>
      <c r="C1185" s="6" t="s">
        <v>34</v>
      </c>
      <c r="D1185" s="1088" t="s">
        <v>539</v>
      </c>
      <c r="E1185" s="6" t="s">
        <v>188</v>
      </c>
      <c r="F1185" s="6" t="s">
        <v>546</v>
      </c>
      <c r="G1185" s="6" t="s">
        <v>1486</v>
      </c>
      <c r="H1185" s="6" t="s">
        <v>1184</v>
      </c>
      <c r="J1185" s="1215" t="s">
        <v>509</v>
      </c>
      <c r="K1185" s="1219" t="s">
        <v>3111</v>
      </c>
      <c r="L1185" s="8">
        <v>40</v>
      </c>
      <c r="M1185" s="8">
        <v>340</v>
      </c>
      <c r="N1185" s="1169" t="s">
        <v>271</v>
      </c>
      <c r="P1185" s="6" t="s">
        <v>3324</v>
      </c>
      <c r="Q1185" s="1215" t="s">
        <v>253</v>
      </c>
      <c r="R1185" s="1215" t="s">
        <v>255</v>
      </c>
      <c r="S1185" s="1215" t="s">
        <v>534</v>
      </c>
      <c r="T1185" s="1215" t="s">
        <v>533</v>
      </c>
      <c r="U1185" s="6" t="s">
        <v>539</v>
      </c>
      <c r="V1185" s="6" t="s">
        <v>34</v>
      </c>
      <c r="W1185" s="6" t="s">
        <v>546</v>
      </c>
      <c r="X1185" s="6" t="s">
        <v>188</v>
      </c>
    </row>
    <row r="1186" spans="1:24" ht="15" customHeight="1" x14ac:dyDescent="0.3">
      <c r="A1186" s="6" t="s">
        <v>533</v>
      </c>
      <c r="B1186" s="6" t="s">
        <v>534</v>
      </c>
      <c r="C1186" s="6" t="s">
        <v>34</v>
      </c>
      <c r="D1186" s="1088" t="s">
        <v>539</v>
      </c>
      <c r="E1186" s="6" t="s">
        <v>188</v>
      </c>
      <c r="F1186" s="6" t="s">
        <v>546</v>
      </c>
      <c r="G1186" s="6" t="s">
        <v>1486</v>
      </c>
      <c r="H1186" s="6" t="s">
        <v>1184</v>
      </c>
      <c r="J1186" s="1215" t="s">
        <v>509</v>
      </c>
      <c r="K1186" s="1219" t="s">
        <v>3112</v>
      </c>
      <c r="L1186" s="8">
        <v>0</v>
      </c>
      <c r="M1186" s="8">
        <v>94</v>
      </c>
      <c r="N1186" s="1169" t="s">
        <v>271</v>
      </c>
      <c r="P1186" s="6" t="s">
        <v>3324</v>
      </c>
      <c r="Q1186" s="1215" t="s">
        <v>253</v>
      </c>
      <c r="R1186" s="1215" t="s">
        <v>255</v>
      </c>
      <c r="S1186" s="1215" t="s">
        <v>534</v>
      </c>
      <c r="T1186" s="1215" t="s">
        <v>533</v>
      </c>
      <c r="U1186" s="6" t="s">
        <v>539</v>
      </c>
      <c r="V1186" s="6" t="s">
        <v>34</v>
      </c>
      <c r="W1186" s="6" t="s">
        <v>546</v>
      </c>
      <c r="X1186" s="6" t="s">
        <v>188</v>
      </c>
    </row>
    <row r="1187" spans="1:24" ht="15" customHeight="1" x14ac:dyDescent="0.3">
      <c r="A1187" s="6" t="s">
        <v>533</v>
      </c>
      <c r="B1187" s="6" t="s">
        <v>534</v>
      </c>
      <c r="C1187" s="6" t="s">
        <v>34</v>
      </c>
      <c r="D1187" s="1088" t="s">
        <v>539</v>
      </c>
      <c r="E1187" s="6" t="s">
        <v>189</v>
      </c>
      <c r="F1187" s="6" t="s">
        <v>590</v>
      </c>
      <c r="G1187" s="6" t="s">
        <v>1002</v>
      </c>
      <c r="H1187" s="6" t="s">
        <v>1003</v>
      </c>
      <c r="J1187" s="1215" t="s">
        <v>509</v>
      </c>
      <c r="K1187" s="1219" t="s">
        <v>3033</v>
      </c>
      <c r="L1187" s="8">
        <v>31</v>
      </c>
      <c r="M1187" s="8">
        <v>431</v>
      </c>
      <c r="N1187" s="1169" t="s">
        <v>271</v>
      </c>
      <c r="P1187" s="6" t="s">
        <v>3324</v>
      </c>
      <c r="Q1187" s="1215" t="s">
        <v>253</v>
      </c>
      <c r="R1187" s="1215" t="s">
        <v>255</v>
      </c>
      <c r="S1187" s="1215" t="s">
        <v>534</v>
      </c>
      <c r="T1187" s="1215" t="s">
        <v>533</v>
      </c>
      <c r="U1187" s="6" t="s">
        <v>539</v>
      </c>
      <c r="V1187" s="6" t="s">
        <v>34</v>
      </c>
      <c r="W1187" s="6" t="s">
        <v>590</v>
      </c>
      <c r="X1187" s="6" t="s">
        <v>189</v>
      </c>
    </row>
    <row r="1188" spans="1:24" ht="15" customHeight="1" x14ac:dyDescent="0.3">
      <c r="A1188" s="6" t="s">
        <v>533</v>
      </c>
      <c r="B1188" s="6" t="s">
        <v>534</v>
      </c>
      <c r="C1188" s="6" t="s">
        <v>34</v>
      </c>
      <c r="D1188" s="1088" t="s">
        <v>539</v>
      </c>
      <c r="E1188" s="6" t="s">
        <v>189</v>
      </c>
      <c r="F1188" s="6" t="s">
        <v>590</v>
      </c>
      <c r="G1188" s="6" t="s">
        <v>1002</v>
      </c>
      <c r="H1188" s="6" t="s">
        <v>1003</v>
      </c>
      <c r="J1188" s="1215" t="s">
        <v>509</v>
      </c>
      <c r="K1188" s="1219" t="s">
        <v>3109</v>
      </c>
      <c r="L1188" s="8">
        <v>3</v>
      </c>
      <c r="M1188" s="8">
        <v>24</v>
      </c>
      <c r="N1188" s="1169" t="s">
        <v>271</v>
      </c>
      <c r="P1188" s="6" t="s">
        <v>3324</v>
      </c>
      <c r="Q1188" s="1215" t="s">
        <v>253</v>
      </c>
      <c r="R1188" s="1215" t="s">
        <v>255</v>
      </c>
      <c r="S1188" s="1215" t="s">
        <v>534</v>
      </c>
      <c r="T1188" s="1215" t="s">
        <v>533</v>
      </c>
      <c r="U1188" s="6" t="s">
        <v>539</v>
      </c>
      <c r="V1188" s="6" t="s">
        <v>34</v>
      </c>
      <c r="W1188" s="6" t="s">
        <v>590</v>
      </c>
      <c r="X1188" s="6" t="s">
        <v>189</v>
      </c>
    </row>
    <row r="1189" spans="1:24" ht="15" customHeight="1" x14ac:dyDescent="0.3">
      <c r="A1189" s="6" t="s">
        <v>533</v>
      </c>
      <c r="B1189" s="6" t="s">
        <v>534</v>
      </c>
      <c r="C1189" s="6" t="s">
        <v>34</v>
      </c>
      <c r="D1189" s="1088" t="s">
        <v>539</v>
      </c>
      <c r="E1189" s="6" t="s">
        <v>189</v>
      </c>
      <c r="F1189" s="6" t="s">
        <v>590</v>
      </c>
      <c r="G1189" s="6" t="s">
        <v>1002</v>
      </c>
      <c r="H1189" s="6" t="s">
        <v>1003</v>
      </c>
      <c r="J1189" s="1215" t="s">
        <v>509</v>
      </c>
      <c r="K1189" s="1219" t="s">
        <v>3110</v>
      </c>
      <c r="L1189" s="8">
        <v>0</v>
      </c>
      <c r="M1189" s="8">
        <v>80</v>
      </c>
      <c r="N1189" s="1169" t="s">
        <v>271</v>
      </c>
      <c r="P1189" s="6" t="s">
        <v>3324</v>
      </c>
      <c r="Q1189" s="1215" t="s">
        <v>253</v>
      </c>
      <c r="R1189" s="1215" t="s">
        <v>255</v>
      </c>
      <c r="S1189" s="1215" t="s">
        <v>534</v>
      </c>
      <c r="T1189" s="1215" t="s">
        <v>533</v>
      </c>
      <c r="U1189" s="6" t="s">
        <v>539</v>
      </c>
      <c r="V1189" s="6" t="s">
        <v>34</v>
      </c>
      <c r="W1189" s="6" t="s">
        <v>590</v>
      </c>
      <c r="X1189" s="6" t="s">
        <v>189</v>
      </c>
    </row>
    <row r="1190" spans="1:24" ht="15" customHeight="1" x14ac:dyDescent="0.3">
      <c r="A1190" s="6" t="s">
        <v>533</v>
      </c>
      <c r="B1190" s="6" t="s">
        <v>534</v>
      </c>
      <c r="C1190" s="6" t="s">
        <v>34</v>
      </c>
      <c r="D1190" s="1088" t="s">
        <v>539</v>
      </c>
      <c r="E1190" s="1088" t="s">
        <v>189</v>
      </c>
      <c r="F1190" s="6" t="s">
        <v>590</v>
      </c>
      <c r="G1190" s="6" t="s">
        <v>1002</v>
      </c>
      <c r="H1190" s="6" t="s">
        <v>1003</v>
      </c>
      <c r="J1190" s="1215" t="s">
        <v>509</v>
      </c>
      <c r="K1190" s="1219" t="s">
        <v>3111</v>
      </c>
      <c r="L1190" s="8">
        <v>7</v>
      </c>
      <c r="M1190" s="8">
        <v>51</v>
      </c>
      <c r="N1190" s="1169" t="s">
        <v>271</v>
      </c>
      <c r="P1190" s="6" t="s">
        <v>3324</v>
      </c>
      <c r="Q1190" s="1215" t="s">
        <v>253</v>
      </c>
      <c r="R1190" s="1215" t="s">
        <v>255</v>
      </c>
      <c r="S1190" s="1215" t="s">
        <v>534</v>
      </c>
      <c r="T1190" s="1215" t="s">
        <v>533</v>
      </c>
      <c r="U1190" s="6" t="s">
        <v>539</v>
      </c>
      <c r="V1190" s="6" t="s">
        <v>34</v>
      </c>
      <c r="W1190" s="6" t="s">
        <v>590</v>
      </c>
      <c r="X1190" s="6" t="s">
        <v>189</v>
      </c>
    </row>
    <row r="1191" spans="1:24" ht="15" customHeight="1" x14ac:dyDescent="0.3">
      <c r="A1191" s="6" t="s">
        <v>533</v>
      </c>
      <c r="B1191" s="6" t="s">
        <v>534</v>
      </c>
      <c r="C1191" s="6" t="s">
        <v>34</v>
      </c>
      <c r="D1191" s="1088" t="s">
        <v>539</v>
      </c>
      <c r="E1191" s="1088" t="s">
        <v>189</v>
      </c>
      <c r="F1191" s="6" t="s">
        <v>590</v>
      </c>
      <c r="G1191" s="6" t="s">
        <v>1002</v>
      </c>
      <c r="H1191" s="6" t="s">
        <v>1003</v>
      </c>
      <c r="J1191" s="1215" t="s">
        <v>509</v>
      </c>
      <c r="K1191" s="1219" t="s">
        <v>3112</v>
      </c>
      <c r="L1191" s="8">
        <v>0</v>
      </c>
      <c r="M1191" s="8">
        <v>3</v>
      </c>
      <c r="N1191" s="1169" t="s">
        <v>271</v>
      </c>
      <c r="P1191" s="6" t="s">
        <v>3324</v>
      </c>
      <c r="Q1191" s="1215" t="s">
        <v>253</v>
      </c>
      <c r="R1191" s="1215" t="s">
        <v>255</v>
      </c>
      <c r="S1191" s="1215" t="s">
        <v>534</v>
      </c>
      <c r="T1191" s="1215" t="s">
        <v>533</v>
      </c>
      <c r="U1191" s="6" t="s">
        <v>539</v>
      </c>
      <c r="V1191" s="6" t="s">
        <v>34</v>
      </c>
      <c r="W1191" s="6" t="s">
        <v>590</v>
      </c>
      <c r="X1191" s="6" t="s">
        <v>189</v>
      </c>
    </row>
    <row r="1192" spans="1:24" ht="15" customHeight="1" x14ac:dyDescent="0.3">
      <c r="A1192" s="6" t="s">
        <v>533</v>
      </c>
      <c r="B1192" s="6" t="s">
        <v>534</v>
      </c>
      <c r="C1192" s="6" t="s">
        <v>34</v>
      </c>
      <c r="D1192" s="1088" t="s">
        <v>539</v>
      </c>
      <c r="E1192" s="1088" t="s">
        <v>189</v>
      </c>
      <c r="F1192" s="6" t="s">
        <v>590</v>
      </c>
      <c r="G1192" s="6" t="s">
        <v>3010</v>
      </c>
      <c r="H1192" s="6" t="s">
        <v>591</v>
      </c>
      <c r="J1192" s="1215" t="s">
        <v>509</v>
      </c>
      <c r="K1192" s="1219" t="s">
        <v>3110</v>
      </c>
      <c r="L1192" s="8">
        <v>30</v>
      </c>
      <c r="M1192" s="8">
        <v>232</v>
      </c>
      <c r="N1192" s="1169" t="s">
        <v>271</v>
      </c>
      <c r="P1192" s="6" t="s">
        <v>3324</v>
      </c>
      <c r="Q1192" s="1215" t="s">
        <v>253</v>
      </c>
      <c r="R1192" s="1215" t="s">
        <v>255</v>
      </c>
      <c r="S1192" s="1215" t="s">
        <v>534</v>
      </c>
      <c r="T1192" s="1215" t="s">
        <v>533</v>
      </c>
      <c r="U1192" s="6" t="s">
        <v>539</v>
      </c>
      <c r="V1192" s="6" t="s">
        <v>34</v>
      </c>
      <c r="W1192" s="6" t="s">
        <v>590</v>
      </c>
      <c r="X1192" s="6" t="s">
        <v>189</v>
      </c>
    </row>
    <row r="1193" spans="1:24" ht="15" customHeight="1" x14ac:dyDescent="0.3">
      <c r="A1193" s="6" t="s">
        <v>533</v>
      </c>
      <c r="B1193" s="6" t="s">
        <v>534</v>
      </c>
      <c r="C1193" s="6" t="s">
        <v>34</v>
      </c>
      <c r="D1193" s="1088" t="s">
        <v>539</v>
      </c>
      <c r="E1193" s="1088" t="s">
        <v>189</v>
      </c>
      <c r="F1193" s="6" t="s">
        <v>590</v>
      </c>
      <c r="G1193" s="6" t="s">
        <v>3010</v>
      </c>
      <c r="H1193" s="6" t="s">
        <v>591</v>
      </c>
      <c r="J1193" s="1215" t="s">
        <v>509</v>
      </c>
      <c r="K1193" s="1219" t="s">
        <v>3111</v>
      </c>
      <c r="L1193" s="8">
        <v>0</v>
      </c>
      <c r="M1193" s="8">
        <v>7</v>
      </c>
      <c r="N1193" s="1169" t="s">
        <v>271</v>
      </c>
      <c r="P1193" s="6" t="s">
        <v>3324</v>
      </c>
      <c r="Q1193" s="1215" t="s">
        <v>253</v>
      </c>
      <c r="R1193" s="1215" t="s">
        <v>255</v>
      </c>
      <c r="S1193" s="1215" t="s">
        <v>534</v>
      </c>
      <c r="T1193" s="1215" t="s">
        <v>533</v>
      </c>
      <c r="U1193" s="6" t="s">
        <v>539</v>
      </c>
      <c r="V1193" s="6" t="s">
        <v>34</v>
      </c>
      <c r="W1193" s="6" t="s">
        <v>590</v>
      </c>
      <c r="X1193" s="6" t="s">
        <v>189</v>
      </c>
    </row>
    <row r="1194" spans="1:24" ht="15" customHeight="1" x14ac:dyDescent="0.3">
      <c r="A1194" s="6" t="s">
        <v>533</v>
      </c>
      <c r="B1194" s="6" t="s">
        <v>534</v>
      </c>
      <c r="C1194" s="6" t="s">
        <v>34</v>
      </c>
      <c r="D1194" s="1088" t="s">
        <v>539</v>
      </c>
      <c r="E1194" s="1088" t="s">
        <v>189</v>
      </c>
      <c r="F1194" s="6" t="s">
        <v>590</v>
      </c>
      <c r="G1194" s="6" t="s">
        <v>3010</v>
      </c>
      <c r="H1194" s="6" t="s">
        <v>591</v>
      </c>
      <c r="J1194" s="1215" t="s">
        <v>509</v>
      </c>
      <c r="K1194" s="1219" t="s">
        <v>3112</v>
      </c>
      <c r="L1194" s="8">
        <v>0</v>
      </c>
      <c r="M1194" s="8">
        <v>4</v>
      </c>
      <c r="N1194" s="1169" t="s">
        <v>271</v>
      </c>
      <c r="P1194" s="6" t="s">
        <v>3324</v>
      </c>
      <c r="Q1194" s="1215" t="s">
        <v>253</v>
      </c>
      <c r="R1194" s="1215" t="s">
        <v>255</v>
      </c>
      <c r="S1194" s="1215" t="s">
        <v>534</v>
      </c>
      <c r="T1194" s="1215" t="s">
        <v>533</v>
      </c>
      <c r="U1194" s="6" t="s">
        <v>539</v>
      </c>
      <c r="V1194" s="6" t="s">
        <v>34</v>
      </c>
      <c r="W1194" s="6" t="s">
        <v>590</v>
      </c>
      <c r="X1194" s="6" t="s">
        <v>189</v>
      </c>
    </row>
    <row r="1195" spans="1:24" ht="15" customHeight="1" x14ac:dyDescent="0.3">
      <c r="A1195" s="6" t="s">
        <v>533</v>
      </c>
      <c r="B1195" s="6" t="s">
        <v>534</v>
      </c>
      <c r="C1195" s="6" t="s">
        <v>34</v>
      </c>
      <c r="D1195" s="1088" t="s">
        <v>539</v>
      </c>
      <c r="E1195" s="1088" t="s">
        <v>189</v>
      </c>
      <c r="F1195" s="6" t="s">
        <v>590</v>
      </c>
      <c r="G1195" s="6" t="s">
        <v>1202</v>
      </c>
      <c r="H1195" s="6" t="s">
        <v>1203</v>
      </c>
      <c r="J1195" s="1215" t="s">
        <v>509</v>
      </c>
      <c r="K1195" s="1219" t="s">
        <v>3033</v>
      </c>
      <c r="L1195" s="8">
        <v>34</v>
      </c>
      <c r="M1195" s="8">
        <v>238</v>
      </c>
      <c r="N1195" s="1169" t="s">
        <v>271</v>
      </c>
      <c r="P1195" s="6" t="s">
        <v>3324</v>
      </c>
      <c r="Q1195" s="1215" t="s">
        <v>253</v>
      </c>
      <c r="R1195" s="1215" t="s">
        <v>255</v>
      </c>
      <c r="S1195" s="1215" t="s">
        <v>534</v>
      </c>
      <c r="T1195" s="1215" t="s">
        <v>533</v>
      </c>
      <c r="U1195" s="6" t="s">
        <v>539</v>
      </c>
      <c r="V1195" s="6" t="s">
        <v>34</v>
      </c>
      <c r="W1195" s="6" t="s">
        <v>590</v>
      </c>
      <c r="X1195" s="6" t="s">
        <v>189</v>
      </c>
    </row>
    <row r="1196" spans="1:24" ht="15" customHeight="1" x14ac:dyDescent="0.3">
      <c r="A1196" s="6" t="s">
        <v>533</v>
      </c>
      <c r="B1196" s="6" t="s">
        <v>534</v>
      </c>
      <c r="C1196" s="6" t="s">
        <v>34</v>
      </c>
      <c r="D1196" s="1088" t="s">
        <v>539</v>
      </c>
      <c r="E1196" s="1088" t="s">
        <v>189</v>
      </c>
      <c r="F1196" s="6" t="s">
        <v>590</v>
      </c>
      <c r="G1196" s="6" t="s">
        <v>1202</v>
      </c>
      <c r="H1196" s="6" t="s">
        <v>1203</v>
      </c>
      <c r="J1196" s="1215" t="s">
        <v>509</v>
      </c>
      <c r="K1196" s="1219" t="s">
        <v>3109</v>
      </c>
      <c r="L1196" s="8">
        <v>3</v>
      </c>
      <c r="M1196" s="8">
        <v>23</v>
      </c>
      <c r="N1196" s="1169" t="s">
        <v>271</v>
      </c>
      <c r="P1196" s="6" t="s">
        <v>3324</v>
      </c>
      <c r="Q1196" s="1215" t="s">
        <v>253</v>
      </c>
      <c r="R1196" s="1215" t="s">
        <v>255</v>
      </c>
      <c r="S1196" s="1215" t="s">
        <v>534</v>
      </c>
      <c r="T1196" s="1215" t="s">
        <v>533</v>
      </c>
      <c r="U1196" s="6" t="s">
        <v>539</v>
      </c>
      <c r="V1196" s="6" t="s">
        <v>34</v>
      </c>
      <c r="W1196" s="6" t="s">
        <v>590</v>
      </c>
      <c r="X1196" s="6" t="s">
        <v>189</v>
      </c>
    </row>
    <row r="1197" spans="1:24" ht="15" customHeight="1" x14ac:dyDescent="0.3">
      <c r="A1197" s="6" t="s">
        <v>533</v>
      </c>
      <c r="B1197" s="6" t="s">
        <v>534</v>
      </c>
      <c r="C1197" s="6" t="s">
        <v>34</v>
      </c>
      <c r="D1197" s="1088" t="s">
        <v>539</v>
      </c>
      <c r="E1197" s="6" t="s">
        <v>189</v>
      </c>
      <c r="F1197" s="6" t="s">
        <v>590</v>
      </c>
      <c r="G1197" s="6" t="s">
        <v>1202</v>
      </c>
      <c r="H1197" s="6" t="s">
        <v>1203</v>
      </c>
      <c r="J1197" s="1215" t="s">
        <v>509</v>
      </c>
      <c r="K1197" s="1219" t="s">
        <v>3110</v>
      </c>
      <c r="L1197" s="8">
        <v>0</v>
      </c>
      <c r="M1197" s="8">
        <v>34</v>
      </c>
      <c r="N1197" s="1169" t="s">
        <v>271</v>
      </c>
      <c r="P1197" s="6" t="s">
        <v>3324</v>
      </c>
      <c r="Q1197" s="1215" t="s">
        <v>253</v>
      </c>
      <c r="R1197" s="1215" t="s">
        <v>255</v>
      </c>
      <c r="S1197" s="1215" t="s">
        <v>534</v>
      </c>
      <c r="T1197" s="1215" t="s">
        <v>533</v>
      </c>
      <c r="U1197" s="6" t="s">
        <v>539</v>
      </c>
      <c r="V1197" s="6" t="s">
        <v>34</v>
      </c>
      <c r="W1197" s="6" t="s">
        <v>590</v>
      </c>
      <c r="X1197" s="6" t="s">
        <v>189</v>
      </c>
    </row>
    <row r="1198" spans="1:24" ht="15" customHeight="1" x14ac:dyDescent="0.3">
      <c r="A1198" s="6" t="s">
        <v>533</v>
      </c>
      <c r="B1198" s="6" t="s">
        <v>534</v>
      </c>
      <c r="C1198" s="6" t="s">
        <v>34</v>
      </c>
      <c r="D1198" s="1088" t="s">
        <v>539</v>
      </c>
      <c r="E1198" s="1088" t="s">
        <v>189</v>
      </c>
      <c r="F1198" s="6" t="s">
        <v>590</v>
      </c>
      <c r="G1198" s="6" t="s">
        <v>1202</v>
      </c>
      <c r="H1198" s="6" t="s">
        <v>1203</v>
      </c>
      <c r="J1198" s="1215" t="s">
        <v>509</v>
      </c>
      <c r="K1198" s="1219" t="s">
        <v>3111</v>
      </c>
      <c r="L1198" s="8">
        <v>0</v>
      </c>
      <c r="M1198" s="8">
        <v>11</v>
      </c>
      <c r="N1198" s="1088" t="s">
        <v>271</v>
      </c>
      <c r="P1198" s="6" t="s">
        <v>3324</v>
      </c>
      <c r="Q1198" s="1215" t="s">
        <v>253</v>
      </c>
      <c r="R1198" s="1215" t="s">
        <v>255</v>
      </c>
      <c r="S1198" s="1215" t="s">
        <v>534</v>
      </c>
      <c r="T1198" s="1215" t="s">
        <v>533</v>
      </c>
      <c r="U1198" s="6" t="s">
        <v>539</v>
      </c>
      <c r="V1198" s="6" t="s">
        <v>34</v>
      </c>
      <c r="W1198" s="6" t="s">
        <v>590</v>
      </c>
      <c r="X1198" s="6" t="s">
        <v>189</v>
      </c>
    </row>
    <row r="1199" spans="1:24" ht="15" customHeight="1" x14ac:dyDescent="0.3">
      <c r="A1199" s="6" t="s">
        <v>533</v>
      </c>
      <c r="B1199" s="6" t="s">
        <v>534</v>
      </c>
      <c r="C1199" s="6" t="s">
        <v>34</v>
      </c>
      <c r="D1199" s="1088" t="s">
        <v>539</v>
      </c>
      <c r="E1199" s="6" t="s">
        <v>189</v>
      </c>
      <c r="F1199" s="6" t="s">
        <v>590</v>
      </c>
      <c r="G1199" s="6" t="s">
        <v>1202</v>
      </c>
      <c r="H1199" s="6" t="s">
        <v>1203</v>
      </c>
      <c r="J1199" s="1215" t="s">
        <v>509</v>
      </c>
      <c r="K1199" s="1219" t="s">
        <v>3112</v>
      </c>
      <c r="L1199" s="8">
        <v>0</v>
      </c>
      <c r="M1199" s="8">
        <v>12</v>
      </c>
      <c r="N1199" s="6" t="s">
        <v>271</v>
      </c>
      <c r="P1199" s="6" t="s">
        <v>3324</v>
      </c>
      <c r="Q1199" s="1215" t="s">
        <v>253</v>
      </c>
      <c r="R1199" s="1215" t="s">
        <v>255</v>
      </c>
      <c r="S1199" s="1215" t="s">
        <v>534</v>
      </c>
      <c r="T1199" s="1215" t="s">
        <v>533</v>
      </c>
      <c r="U1199" s="6" t="s">
        <v>539</v>
      </c>
      <c r="V1199" s="6" t="s">
        <v>34</v>
      </c>
      <c r="W1199" s="6" t="s">
        <v>590</v>
      </c>
      <c r="X1199" s="6" t="s">
        <v>189</v>
      </c>
    </row>
    <row r="1200" spans="1:24" ht="15" customHeight="1" x14ac:dyDescent="0.3">
      <c r="A1200" s="6" t="s">
        <v>533</v>
      </c>
      <c r="B1200" s="6" t="s">
        <v>534</v>
      </c>
      <c r="C1200" s="6" t="s">
        <v>34</v>
      </c>
      <c r="D1200" s="1088" t="s">
        <v>539</v>
      </c>
      <c r="E1200" s="6" t="s">
        <v>188</v>
      </c>
      <c r="F1200" s="6" t="s">
        <v>546</v>
      </c>
      <c r="G1200" s="6" t="s">
        <v>1381</v>
      </c>
      <c r="H1200" s="6" t="s">
        <v>3275</v>
      </c>
      <c r="J1200" s="1215" t="s">
        <v>509</v>
      </c>
      <c r="K1200" s="1219" t="s">
        <v>3109</v>
      </c>
      <c r="L1200" s="8">
        <v>107</v>
      </c>
      <c r="M1200" s="8">
        <v>513</v>
      </c>
      <c r="N1200" s="6" t="s">
        <v>271</v>
      </c>
      <c r="P1200" s="6" t="s">
        <v>3324</v>
      </c>
      <c r="Q1200" s="1215" t="s">
        <v>253</v>
      </c>
      <c r="R1200" s="1215" t="s">
        <v>255</v>
      </c>
      <c r="S1200" s="1215" t="s">
        <v>534</v>
      </c>
      <c r="T1200" s="1215" t="s">
        <v>533</v>
      </c>
      <c r="U1200" s="6" t="s">
        <v>539</v>
      </c>
      <c r="V1200" s="6" t="s">
        <v>34</v>
      </c>
      <c r="W1200" s="6" t="s">
        <v>546</v>
      </c>
      <c r="X1200" s="6" t="s">
        <v>188</v>
      </c>
    </row>
    <row r="1201" spans="1:24" ht="15" customHeight="1" x14ac:dyDescent="0.3">
      <c r="A1201" s="6" t="s">
        <v>533</v>
      </c>
      <c r="B1201" s="6" t="s">
        <v>534</v>
      </c>
      <c r="C1201" s="6" t="s">
        <v>34</v>
      </c>
      <c r="D1201" s="1088" t="s">
        <v>539</v>
      </c>
      <c r="E1201" s="6" t="s">
        <v>188</v>
      </c>
      <c r="F1201" s="6" t="s">
        <v>546</v>
      </c>
      <c r="G1201" s="6" t="s">
        <v>1381</v>
      </c>
      <c r="H1201" s="6" t="s">
        <v>3275</v>
      </c>
      <c r="J1201" s="1215" t="s">
        <v>509</v>
      </c>
      <c r="K1201" s="1219" t="s">
        <v>3110</v>
      </c>
      <c r="L1201" s="8">
        <v>0</v>
      </c>
      <c r="M1201" s="8">
        <v>5</v>
      </c>
      <c r="N1201" s="1169" t="s">
        <v>271</v>
      </c>
      <c r="P1201" s="6" t="s">
        <v>3324</v>
      </c>
      <c r="Q1201" s="1215" t="s">
        <v>253</v>
      </c>
      <c r="R1201" s="1215" t="s">
        <v>255</v>
      </c>
      <c r="S1201" s="1215" t="s">
        <v>534</v>
      </c>
      <c r="T1201" s="1215" t="s">
        <v>533</v>
      </c>
      <c r="U1201" s="6" t="s">
        <v>539</v>
      </c>
      <c r="V1201" s="6" t="s">
        <v>34</v>
      </c>
      <c r="W1201" s="6" t="s">
        <v>546</v>
      </c>
      <c r="X1201" s="6" t="s">
        <v>188</v>
      </c>
    </row>
    <row r="1202" spans="1:24" ht="15" customHeight="1" x14ac:dyDescent="0.3">
      <c r="A1202" s="6" t="s">
        <v>533</v>
      </c>
      <c r="B1202" s="6" t="s">
        <v>534</v>
      </c>
      <c r="C1202" s="6" t="s">
        <v>34</v>
      </c>
      <c r="D1202" s="1088" t="s">
        <v>539</v>
      </c>
      <c r="E1202" s="1088" t="s">
        <v>188</v>
      </c>
      <c r="F1202" s="6" t="s">
        <v>546</v>
      </c>
      <c r="G1202" s="6" t="s">
        <v>1381</v>
      </c>
      <c r="H1202" s="6" t="s">
        <v>3275</v>
      </c>
      <c r="J1202" s="1215" t="s">
        <v>509</v>
      </c>
      <c r="K1202" s="1219" t="s">
        <v>3111</v>
      </c>
      <c r="L1202" s="8">
        <v>2</v>
      </c>
      <c r="M1202" s="8">
        <v>21</v>
      </c>
      <c r="N1202" s="1169" t="s">
        <v>271</v>
      </c>
      <c r="P1202" s="6" t="s">
        <v>3324</v>
      </c>
      <c r="Q1202" s="1215" t="s">
        <v>253</v>
      </c>
      <c r="R1202" s="1215" t="s">
        <v>255</v>
      </c>
      <c r="S1202" s="1215" t="s">
        <v>534</v>
      </c>
      <c r="T1202" s="1215" t="s">
        <v>533</v>
      </c>
      <c r="U1202" s="6" t="s">
        <v>539</v>
      </c>
      <c r="V1202" s="6" t="s">
        <v>34</v>
      </c>
      <c r="W1202" s="6" t="s">
        <v>546</v>
      </c>
      <c r="X1202" s="6" t="s">
        <v>188</v>
      </c>
    </row>
    <row r="1203" spans="1:24" ht="15" customHeight="1" x14ac:dyDescent="0.3">
      <c r="A1203" s="6" t="s">
        <v>533</v>
      </c>
      <c r="B1203" s="6" t="s">
        <v>534</v>
      </c>
      <c r="C1203" s="6" t="s">
        <v>34</v>
      </c>
      <c r="D1203" s="1088" t="s">
        <v>539</v>
      </c>
      <c r="E1203" s="1088" t="s">
        <v>188</v>
      </c>
      <c r="F1203" s="6" t="s">
        <v>546</v>
      </c>
      <c r="G1203" s="6" t="s">
        <v>1381</v>
      </c>
      <c r="H1203" s="6" t="s">
        <v>3275</v>
      </c>
      <c r="J1203" s="1215" t="s">
        <v>509</v>
      </c>
      <c r="K1203" s="1219" t="s">
        <v>3112</v>
      </c>
      <c r="L1203" s="8">
        <v>6</v>
      </c>
      <c r="M1203" s="8">
        <v>40</v>
      </c>
      <c r="N1203" s="1169" t="s">
        <v>271</v>
      </c>
      <c r="P1203" s="6" t="s">
        <v>3324</v>
      </c>
      <c r="Q1203" s="1215" t="s">
        <v>253</v>
      </c>
      <c r="R1203" s="1215" t="s">
        <v>255</v>
      </c>
      <c r="S1203" s="1215" t="s">
        <v>534</v>
      </c>
      <c r="T1203" s="1215" t="s">
        <v>533</v>
      </c>
      <c r="U1203" s="6" t="s">
        <v>539</v>
      </c>
      <c r="V1203" s="6" t="s">
        <v>34</v>
      </c>
      <c r="W1203" s="6" t="s">
        <v>546</v>
      </c>
      <c r="X1203" s="6" t="s">
        <v>188</v>
      </c>
    </row>
    <row r="1204" spans="1:24" ht="15" customHeight="1" x14ac:dyDescent="0.3">
      <c r="A1204" s="6" t="s">
        <v>533</v>
      </c>
      <c r="B1204" s="6" t="s">
        <v>534</v>
      </c>
      <c r="C1204" s="6" t="s">
        <v>34</v>
      </c>
      <c r="D1204" s="1088" t="s">
        <v>539</v>
      </c>
      <c r="E1204" s="1088" t="s">
        <v>188</v>
      </c>
      <c r="F1204" s="6" t="s">
        <v>546</v>
      </c>
      <c r="G1204" s="6" t="s">
        <v>1173</v>
      </c>
      <c r="H1204" s="6" t="s">
        <v>3274</v>
      </c>
      <c r="J1204" s="1215" t="s">
        <v>509</v>
      </c>
      <c r="K1204" s="1219" t="s">
        <v>3109</v>
      </c>
      <c r="L1204" s="8">
        <v>85</v>
      </c>
      <c r="M1204" s="8">
        <v>445</v>
      </c>
      <c r="N1204" s="1169" t="s">
        <v>271</v>
      </c>
      <c r="P1204" s="6" t="s">
        <v>3324</v>
      </c>
      <c r="Q1204" s="1215" t="s">
        <v>253</v>
      </c>
      <c r="R1204" s="1215" t="s">
        <v>255</v>
      </c>
      <c r="S1204" s="1215" t="s">
        <v>534</v>
      </c>
      <c r="T1204" s="1215" t="s">
        <v>533</v>
      </c>
      <c r="U1204" s="6" t="s">
        <v>539</v>
      </c>
      <c r="V1204" s="6" t="s">
        <v>34</v>
      </c>
      <c r="W1204" s="6" t="s">
        <v>546</v>
      </c>
      <c r="X1204" s="6" t="s">
        <v>188</v>
      </c>
    </row>
    <row r="1205" spans="1:24" ht="15" customHeight="1" x14ac:dyDescent="0.3">
      <c r="A1205" s="6" t="s">
        <v>533</v>
      </c>
      <c r="B1205" s="6" t="s">
        <v>534</v>
      </c>
      <c r="C1205" s="6" t="s">
        <v>34</v>
      </c>
      <c r="D1205" s="1088" t="s">
        <v>539</v>
      </c>
      <c r="E1205" s="6" t="s">
        <v>188</v>
      </c>
      <c r="F1205" s="6" t="s">
        <v>546</v>
      </c>
      <c r="G1205" s="6" t="s">
        <v>1173</v>
      </c>
      <c r="H1205" s="6" t="s">
        <v>3274</v>
      </c>
      <c r="J1205" s="1215" t="s">
        <v>509</v>
      </c>
      <c r="K1205" s="1219" t="s">
        <v>3110</v>
      </c>
      <c r="L1205" s="8">
        <v>0</v>
      </c>
      <c r="M1205" s="8">
        <v>10</v>
      </c>
      <c r="N1205" s="1169" t="s">
        <v>271</v>
      </c>
      <c r="P1205" s="6" t="s">
        <v>3324</v>
      </c>
      <c r="Q1205" s="1215" t="s">
        <v>253</v>
      </c>
      <c r="R1205" s="1215" t="s">
        <v>255</v>
      </c>
      <c r="S1205" s="1215" t="s">
        <v>534</v>
      </c>
      <c r="T1205" s="1215" t="s">
        <v>533</v>
      </c>
      <c r="U1205" s="6" t="s">
        <v>539</v>
      </c>
      <c r="V1205" s="6" t="s">
        <v>34</v>
      </c>
      <c r="W1205" s="6" t="s">
        <v>546</v>
      </c>
      <c r="X1205" s="6" t="s">
        <v>188</v>
      </c>
    </row>
    <row r="1206" spans="1:24" ht="15" customHeight="1" x14ac:dyDescent="0.3">
      <c r="A1206" s="6" t="s">
        <v>533</v>
      </c>
      <c r="B1206" s="6" t="s">
        <v>534</v>
      </c>
      <c r="C1206" s="6" t="s">
        <v>34</v>
      </c>
      <c r="D1206" s="1088" t="s">
        <v>539</v>
      </c>
      <c r="E1206" s="6" t="s">
        <v>188</v>
      </c>
      <c r="F1206" s="6" t="s">
        <v>546</v>
      </c>
      <c r="G1206" s="6" t="s">
        <v>1173</v>
      </c>
      <c r="H1206" s="6" t="s">
        <v>3274</v>
      </c>
      <c r="J1206" s="1215" t="s">
        <v>509</v>
      </c>
      <c r="K1206" s="1219" t="s">
        <v>3111</v>
      </c>
      <c r="L1206" s="8">
        <v>0</v>
      </c>
      <c r="M1206" s="8">
        <v>7</v>
      </c>
      <c r="N1206" s="1169" t="s">
        <v>271</v>
      </c>
      <c r="P1206" s="6" t="s">
        <v>3324</v>
      </c>
      <c r="Q1206" s="1215" t="s">
        <v>253</v>
      </c>
      <c r="R1206" s="1215" t="s">
        <v>255</v>
      </c>
      <c r="S1206" s="1215" t="s">
        <v>534</v>
      </c>
      <c r="T1206" s="1215" t="s">
        <v>533</v>
      </c>
      <c r="U1206" s="6" t="s">
        <v>539</v>
      </c>
      <c r="V1206" s="6" t="s">
        <v>34</v>
      </c>
      <c r="W1206" s="6" t="s">
        <v>546</v>
      </c>
      <c r="X1206" s="6" t="s">
        <v>188</v>
      </c>
    </row>
    <row r="1207" spans="1:24" ht="15" customHeight="1" x14ac:dyDescent="0.3">
      <c r="A1207" s="6" t="s">
        <v>533</v>
      </c>
      <c r="B1207" s="6" t="s">
        <v>534</v>
      </c>
      <c r="C1207" s="6" t="s">
        <v>34</v>
      </c>
      <c r="D1207" s="1088" t="s">
        <v>539</v>
      </c>
      <c r="E1207" s="6" t="s">
        <v>188</v>
      </c>
      <c r="F1207" s="6" t="s">
        <v>546</v>
      </c>
      <c r="G1207" s="6" t="s">
        <v>1173</v>
      </c>
      <c r="H1207" s="6" t="s">
        <v>3274</v>
      </c>
      <c r="J1207" s="1215" t="s">
        <v>509</v>
      </c>
      <c r="K1207" s="1219" t="s">
        <v>3112</v>
      </c>
      <c r="L1207" s="8">
        <v>5</v>
      </c>
      <c r="M1207" s="8">
        <v>25</v>
      </c>
      <c r="N1207" s="1169" t="s">
        <v>271</v>
      </c>
      <c r="P1207" s="6" t="s">
        <v>3324</v>
      </c>
      <c r="Q1207" s="1215" t="s">
        <v>253</v>
      </c>
      <c r="R1207" s="1215" t="s">
        <v>255</v>
      </c>
      <c r="S1207" s="1215" t="s">
        <v>534</v>
      </c>
      <c r="T1207" s="1215" t="s">
        <v>533</v>
      </c>
      <c r="U1207" s="6" t="s">
        <v>539</v>
      </c>
      <c r="V1207" s="6" t="s">
        <v>34</v>
      </c>
      <c r="W1207" s="6" t="s">
        <v>546</v>
      </c>
      <c r="X1207" s="6" t="s">
        <v>188</v>
      </c>
    </row>
    <row r="1208" spans="1:24" ht="15" customHeight="1" x14ac:dyDescent="0.3">
      <c r="A1208" s="6" t="s">
        <v>533</v>
      </c>
      <c r="B1208" s="6" t="s">
        <v>534</v>
      </c>
      <c r="C1208" s="6" t="s">
        <v>34</v>
      </c>
      <c r="D1208" s="1088" t="s">
        <v>539</v>
      </c>
      <c r="E1208" s="6" t="s">
        <v>188</v>
      </c>
      <c r="F1208" s="6" t="s">
        <v>546</v>
      </c>
      <c r="G1208" s="6" t="s">
        <v>1042</v>
      </c>
      <c r="H1208" s="6" t="s">
        <v>1627</v>
      </c>
      <c r="J1208" s="1215" t="s">
        <v>509</v>
      </c>
      <c r="K1208" s="1219" t="s">
        <v>3109</v>
      </c>
      <c r="L1208" s="8">
        <v>14</v>
      </c>
      <c r="M1208" s="8">
        <v>111</v>
      </c>
      <c r="N1208" s="1169" t="s">
        <v>271</v>
      </c>
      <c r="P1208" s="6" t="s">
        <v>3324</v>
      </c>
      <c r="Q1208" s="1215" t="s">
        <v>253</v>
      </c>
      <c r="R1208" s="1215" t="s">
        <v>255</v>
      </c>
      <c r="S1208" s="1215" t="s">
        <v>534</v>
      </c>
      <c r="T1208" s="1215" t="s">
        <v>533</v>
      </c>
      <c r="U1208" s="6" t="s">
        <v>539</v>
      </c>
      <c r="V1208" s="6" t="s">
        <v>34</v>
      </c>
      <c r="W1208" s="6" t="s">
        <v>546</v>
      </c>
      <c r="X1208" s="6" t="s">
        <v>188</v>
      </c>
    </row>
    <row r="1209" spans="1:24" ht="15" customHeight="1" x14ac:dyDescent="0.3">
      <c r="A1209" s="6" t="s">
        <v>533</v>
      </c>
      <c r="B1209" s="6" t="s">
        <v>534</v>
      </c>
      <c r="C1209" s="6" t="s">
        <v>34</v>
      </c>
      <c r="D1209" s="1088" t="s">
        <v>539</v>
      </c>
      <c r="E1209" s="6" t="s">
        <v>188</v>
      </c>
      <c r="F1209" s="6" t="s">
        <v>546</v>
      </c>
      <c r="G1209" s="6" t="s">
        <v>1042</v>
      </c>
      <c r="H1209" s="6" t="s">
        <v>1627</v>
      </c>
      <c r="J1209" s="1215" t="s">
        <v>509</v>
      </c>
      <c r="K1209" s="1219" t="s">
        <v>3110</v>
      </c>
      <c r="L1209" s="8">
        <v>5</v>
      </c>
      <c r="M1209" s="8">
        <v>26</v>
      </c>
      <c r="N1209" s="6" t="s">
        <v>271</v>
      </c>
      <c r="P1209" s="6" t="s">
        <v>3324</v>
      </c>
      <c r="Q1209" s="1215" t="s">
        <v>253</v>
      </c>
      <c r="R1209" s="1215" t="s">
        <v>255</v>
      </c>
      <c r="S1209" s="1215" t="s">
        <v>534</v>
      </c>
      <c r="T1209" s="1215" t="s">
        <v>533</v>
      </c>
      <c r="U1209" s="6" t="s">
        <v>539</v>
      </c>
      <c r="V1209" s="6" t="s">
        <v>34</v>
      </c>
      <c r="W1209" s="6" t="s">
        <v>546</v>
      </c>
      <c r="X1209" s="6" t="s">
        <v>188</v>
      </c>
    </row>
    <row r="1210" spans="1:24" ht="15" customHeight="1" x14ac:dyDescent="0.3">
      <c r="A1210" s="6" t="s">
        <v>533</v>
      </c>
      <c r="B1210" s="6" t="s">
        <v>534</v>
      </c>
      <c r="C1210" s="6" t="s">
        <v>34</v>
      </c>
      <c r="D1210" s="1088" t="s">
        <v>539</v>
      </c>
      <c r="E1210" s="6" t="s">
        <v>188</v>
      </c>
      <c r="F1210" s="6" t="s">
        <v>546</v>
      </c>
      <c r="G1210" s="6" t="s">
        <v>1042</v>
      </c>
      <c r="H1210" s="6" t="s">
        <v>1627</v>
      </c>
      <c r="J1210" s="1215" t="s">
        <v>509</v>
      </c>
      <c r="K1210" s="1219" t="s">
        <v>3111</v>
      </c>
      <c r="L1210" s="8">
        <v>17</v>
      </c>
      <c r="M1210" s="8">
        <v>88</v>
      </c>
      <c r="N1210" s="1169" t="s">
        <v>271</v>
      </c>
      <c r="P1210" s="6" t="s">
        <v>3324</v>
      </c>
      <c r="Q1210" s="1215" t="s">
        <v>253</v>
      </c>
      <c r="R1210" s="1215" t="s">
        <v>255</v>
      </c>
      <c r="S1210" s="1215" t="s">
        <v>534</v>
      </c>
      <c r="T1210" s="1215" t="s">
        <v>533</v>
      </c>
      <c r="U1210" s="6" t="s">
        <v>539</v>
      </c>
      <c r="V1210" s="6" t="s">
        <v>34</v>
      </c>
      <c r="W1210" s="6" t="s">
        <v>546</v>
      </c>
      <c r="X1210" s="6" t="s">
        <v>188</v>
      </c>
    </row>
    <row r="1211" spans="1:24" ht="15" customHeight="1" x14ac:dyDescent="0.3">
      <c r="A1211" s="6" t="s">
        <v>533</v>
      </c>
      <c r="B1211" s="6" t="s">
        <v>534</v>
      </c>
      <c r="C1211" s="6" t="s">
        <v>34</v>
      </c>
      <c r="D1211" s="1088" t="s">
        <v>539</v>
      </c>
      <c r="E1211" s="6" t="s">
        <v>188</v>
      </c>
      <c r="F1211" s="6" t="s">
        <v>546</v>
      </c>
      <c r="G1211" s="6" t="s">
        <v>1042</v>
      </c>
      <c r="H1211" s="6" t="s">
        <v>1627</v>
      </c>
      <c r="J1211" s="1215" t="s">
        <v>509</v>
      </c>
      <c r="K1211" s="1219" t="s">
        <v>3112</v>
      </c>
      <c r="L1211" s="8">
        <v>8</v>
      </c>
      <c r="M1211" s="8">
        <v>27</v>
      </c>
      <c r="N1211" s="1169" t="s">
        <v>271</v>
      </c>
      <c r="P1211" s="6" t="s">
        <v>3324</v>
      </c>
      <c r="Q1211" s="1215" t="s">
        <v>253</v>
      </c>
      <c r="R1211" s="1215" t="s">
        <v>255</v>
      </c>
      <c r="S1211" s="1215" t="s">
        <v>534</v>
      </c>
      <c r="T1211" s="1215" t="s">
        <v>533</v>
      </c>
      <c r="U1211" s="6" t="s">
        <v>539</v>
      </c>
      <c r="V1211" s="6" t="s">
        <v>34</v>
      </c>
      <c r="W1211" s="6" t="s">
        <v>546</v>
      </c>
      <c r="X1211" s="6" t="s">
        <v>188</v>
      </c>
    </row>
    <row r="1212" spans="1:24" ht="15" customHeight="1" x14ac:dyDescent="0.3">
      <c r="A1212" s="6" t="s">
        <v>533</v>
      </c>
      <c r="B1212" s="6" t="s">
        <v>534</v>
      </c>
      <c r="C1212" s="6" t="s">
        <v>35</v>
      </c>
      <c r="D1212" s="1088" t="s">
        <v>567</v>
      </c>
      <c r="E1212" s="6" t="s">
        <v>193</v>
      </c>
      <c r="F1212" s="6" t="s">
        <v>863</v>
      </c>
      <c r="G1212" s="6" t="s">
        <v>1569</v>
      </c>
      <c r="H1212" s="6" t="s">
        <v>1570</v>
      </c>
      <c r="J1212" s="1215" t="s">
        <v>509</v>
      </c>
      <c r="K1212" s="1219" t="s">
        <v>3033</v>
      </c>
      <c r="L1212" s="8">
        <v>89</v>
      </c>
      <c r="M1212" s="8">
        <v>409</v>
      </c>
      <c r="N1212" s="1169" t="s">
        <v>271</v>
      </c>
      <c r="P1212" s="6" t="s">
        <v>3324</v>
      </c>
      <c r="Q1212" s="1215" t="s">
        <v>253</v>
      </c>
      <c r="R1212" s="1215" t="s">
        <v>255</v>
      </c>
      <c r="S1212" s="1215" t="s">
        <v>534</v>
      </c>
      <c r="T1212" s="1215" t="s">
        <v>533</v>
      </c>
      <c r="U1212" s="6" t="s">
        <v>567</v>
      </c>
      <c r="V1212" s="6" t="s">
        <v>35</v>
      </c>
      <c r="W1212" s="6" t="s">
        <v>863</v>
      </c>
      <c r="X1212" s="6" t="s">
        <v>193</v>
      </c>
    </row>
    <row r="1213" spans="1:24" ht="15" customHeight="1" x14ac:dyDescent="0.3">
      <c r="A1213" s="6" t="s">
        <v>533</v>
      </c>
      <c r="B1213" s="6" t="s">
        <v>534</v>
      </c>
      <c r="C1213" s="6" t="s">
        <v>35</v>
      </c>
      <c r="D1213" s="1088" t="s">
        <v>567</v>
      </c>
      <c r="E1213" s="6" t="s">
        <v>193</v>
      </c>
      <c r="F1213" s="6" t="s">
        <v>863</v>
      </c>
      <c r="G1213" s="6" t="s">
        <v>1569</v>
      </c>
      <c r="H1213" s="6" t="s">
        <v>1570</v>
      </c>
      <c r="J1213" s="1215" t="s">
        <v>509</v>
      </c>
      <c r="K1213" s="1219" t="s">
        <v>3112</v>
      </c>
      <c r="L1213" s="8">
        <v>12</v>
      </c>
      <c r="M1213" s="8">
        <v>73</v>
      </c>
      <c r="N1213" s="1169" t="s">
        <v>271</v>
      </c>
      <c r="P1213" s="6" t="s">
        <v>3324</v>
      </c>
      <c r="Q1213" s="1215" t="s">
        <v>253</v>
      </c>
      <c r="R1213" s="1215" t="s">
        <v>255</v>
      </c>
      <c r="S1213" s="1215" t="s">
        <v>534</v>
      </c>
      <c r="T1213" s="1215" t="s">
        <v>533</v>
      </c>
      <c r="U1213" s="6" t="s">
        <v>567</v>
      </c>
      <c r="V1213" s="6" t="s">
        <v>35</v>
      </c>
      <c r="W1213" s="6" t="s">
        <v>863</v>
      </c>
      <c r="X1213" s="6" t="s">
        <v>193</v>
      </c>
    </row>
    <row r="1214" spans="1:24" ht="15" customHeight="1" x14ac:dyDescent="0.3">
      <c r="A1214" s="6" t="s">
        <v>533</v>
      </c>
      <c r="B1214" s="6" t="s">
        <v>534</v>
      </c>
      <c r="C1214" s="6" t="s">
        <v>35</v>
      </c>
      <c r="D1214" s="1088" t="s">
        <v>567</v>
      </c>
      <c r="E1214" s="6" t="s">
        <v>193</v>
      </c>
      <c r="F1214" s="6" t="s">
        <v>863</v>
      </c>
      <c r="G1214" s="6" t="s">
        <v>1566</v>
      </c>
      <c r="H1214" s="6" t="s">
        <v>1123</v>
      </c>
      <c r="J1214" s="1215" t="s">
        <v>509</v>
      </c>
      <c r="K1214" s="1219" t="s">
        <v>3111</v>
      </c>
      <c r="L1214" s="8">
        <v>99</v>
      </c>
      <c r="M1214" s="8">
        <v>468</v>
      </c>
      <c r="N1214" s="1169" t="s">
        <v>271</v>
      </c>
      <c r="P1214" s="6" t="s">
        <v>3324</v>
      </c>
      <c r="Q1214" s="1215" t="s">
        <v>253</v>
      </c>
      <c r="R1214" s="1215" t="s">
        <v>255</v>
      </c>
      <c r="S1214" s="1215" t="s">
        <v>534</v>
      </c>
      <c r="T1214" s="1215" t="s">
        <v>533</v>
      </c>
      <c r="U1214" s="6" t="s">
        <v>567</v>
      </c>
      <c r="V1214" s="6" t="s">
        <v>35</v>
      </c>
      <c r="W1214" s="6" t="s">
        <v>863</v>
      </c>
      <c r="X1214" s="6" t="s">
        <v>193</v>
      </c>
    </row>
    <row r="1215" spans="1:24" ht="15" customHeight="1" x14ac:dyDescent="0.3">
      <c r="A1215" s="6" t="s">
        <v>533</v>
      </c>
      <c r="B1215" s="6" t="s">
        <v>534</v>
      </c>
      <c r="C1215" s="6" t="s">
        <v>35</v>
      </c>
      <c r="D1215" s="1088" t="s">
        <v>567</v>
      </c>
      <c r="E1215" s="1088" t="s">
        <v>193</v>
      </c>
      <c r="F1215" s="6" t="s">
        <v>863</v>
      </c>
      <c r="G1215" s="6" t="s">
        <v>1566</v>
      </c>
      <c r="H1215" s="6" t="s">
        <v>1123</v>
      </c>
      <c r="J1215" s="1215" t="s">
        <v>509</v>
      </c>
      <c r="K1215" s="1219" t="s">
        <v>3112</v>
      </c>
      <c r="L1215" s="8">
        <v>9</v>
      </c>
      <c r="M1215" s="8">
        <v>32</v>
      </c>
      <c r="N1215" s="1169" t="s">
        <v>271</v>
      </c>
      <c r="P1215" s="6" t="s">
        <v>3324</v>
      </c>
      <c r="Q1215" s="1215" t="s">
        <v>253</v>
      </c>
      <c r="R1215" s="1215" t="s">
        <v>255</v>
      </c>
      <c r="S1215" s="1215" t="s">
        <v>534</v>
      </c>
      <c r="T1215" s="1215" t="s">
        <v>533</v>
      </c>
      <c r="U1215" s="6" t="s">
        <v>567</v>
      </c>
      <c r="V1215" s="6" t="s">
        <v>35</v>
      </c>
      <c r="W1215" s="6" t="s">
        <v>863</v>
      </c>
      <c r="X1215" s="6" t="s">
        <v>193</v>
      </c>
    </row>
    <row r="1216" spans="1:24" ht="15" customHeight="1" x14ac:dyDescent="0.3">
      <c r="A1216" s="6" t="s">
        <v>533</v>
      </c>
      <c r="B1216" s="6" t="s">
        <v>534</v>
      </c>
      <c r="C1216" s="6" t="s">
        <v>35</v>
      </c>
      <c r="D1216" s="1088" t="s">
        <v>567</v>
      </c>
      <c r="E1216" s="1088" t="s">
        <v>193</v>
      </c>
      <c r="F1216" s="6" t="s">
        <v>863</v>
      </c>
      <c r="G1216" s="6" t="s">
        <v>2855</v>
      </c>
      <c r="H1216" s="6" t="s">
        <v>2278</v>
      </c>
      <c r="J1216" s="1215" t="s">
        <v>509</v>
      </c>
      <c r="K1216" s="1219" t="s">
        <v>3033</v>
      </c>
      <c r="L1216" s="8">
        <v>90</v>
      </c>
      <c r="M1216" s="8">
        <v>544</v>
      </c>
      <c r="N1216" s="1169" t="s">
        <v>271</v>
      </c>
      <c r="P1216" s="6" t="s">
        <v>3324</v>
      </c>
      <c r="Q1216" s="1215" t="s">
        <v>253</v>
      </c>
      <c r="R1216" s="1215" t="s">
        <v>255</v>
      </c>
      <c r="S1216" s="1215" t="s">
        <v>534</v>
      </c>
      <c r="T1216" s="1215" t="s">
        <v>533</v>
      </c>
      <c r="U1216" s="6" t="s">
        <v>567</v>
      </c>
      <c r="V1216" s="6" t="s">
        <v>35</v>
      </c>
      <c r="W1216" s="6" t="s">
        <v>863</v>
      </c>
      <c r="X1216" s="6" t="s">
        <v>193</v>
      </c>
    </row>
    <row r="1217" spans="1:24" ht="15" customHeight="1" x14ac:dyDescent="0.3">
      <c r="A1217" s="6" t="s">
        <v>533</v>
      </c>
      <c r="B1217" s="6" t="s">
        <v>534</v>
      </c>
      <c r="C1217" s="6" t="s">
        <v>31</v>
      </c>
      <c r="D1217" s="1088" t="s">
        <v>549</v>
      </c>
      <c r="E1217" s="1088" t="s">
        <v>171</v>
      </c>
      <c r="F1217" s="6" t="s">
        <v>634</v>
      </c>
      <c r="G1217" s="6" t="s">
        <v>1879</v>
      </c>
      <c r="H1217" s="6" t="s">
        <v>1880</v>
      </c>
      <c r="J1217" s="1215" t="s">
        <v>509</v>
      </c>
      <c r="K1217" s="1219" t="s">
        <v>3033</v>
      </c>
      <c r="L1217" s="8">
        <v>6</v>
      </c>
      <c r="M1217" s="8">
        <v>27</v>
      </c>
      <c r="N1217" s="1169" t="s">
        <v>271</v>
      </c>
      <c r="P1217" s="6" t="s">
        <v>3323</v>
      </c>
      <c r="Q1217" s="1215" t="s">
        <v>253</v>
      </c>
      <c r="R1217" s="1215" t="s">
        <v>255</v>
      </c>
      <c r="S1217" s="1215" t="s">
        <v>534</v>
      </c>
      <c r="T1217" s="1215" t="s">
        <v>533</v>
      </c>
      <c r="U1217" s="6" t="s">
        <v>549</v>
      </c>
      <c r="V1217" s="6" t="s">
        <v>31</v>
      </c>
      <c r="W1217" s="6" t="s">
        <v>844</v>
      </c>
      <c r="X1217" s="6" t="s">
        <v>166</v>
      </c>
    </row>
    <row r="1218" spans="1:24" ht="15" customHeight="1" x14ac:dyDescent="0.3">
      <c r="A1218" s="6" t="s">
        <v>533</v>
      </c>
      <c r="B1218" s="6" t="s">
        <v>534</v>
      </c>
      <c r="C1218" s="6" t="s">
        <v>31</v>
      </c>
      <c r="D1218" s="1088" t="s">
        <v>549</v>
      </c>
      <c r="E1218" s="6" t="s">
        <v>171</v>
      </c>
      <c r="F1218" s="6" t="s">
        <v>634</v>
      </c>
      <c r="G1218" s="6" t="s">
        <v>1879</v>
      </c>
      <c r="H1218" s="6" t="s">
        <v>1880</v>
      </c>
      <c r="J1218" s="1215" t="s">
        <v>509</v>
      </c>
      <c r="K1218" s="1219" t="s">
        <v>3110</v>
      </c>
      <c r="L1218" s="8">
        <v>10</v>
      </c>
      <c r="M1218" s="8">
        <v>80</v>
      </c>
      <c r="N1218" s="1169" t="s">
        <v>271</v>
      </c>
      <c r="P1218" s="6" t="s">
        <v>3323</v>
      </c>
      <c r="Q1218" s="1215" t="s">
        <v>253</v>
      </c>
      <c r="R1218" s="1215" t="s">
        <v>255</v>
      </c>
      <c r="S1218" s="1215" t="s">
        <v>534</v>
      </c>
      <c r="T1218" s="1215" t="s">
        <v>533</v>
      </c>
      <c r="U1218" s="6" t="s">
        <v>549</v>
      </c>
      <c r="V1218" s="6" t="s">
        <v>31</v>
      </c>
      <c r="W1218" s="6" t="s">
        <v>844</v>
      </c>
      <c r="X1218" s="6" t="s">
        <v>166</v>
      </c>
    </row>
    <row r="1219" spans="1:24" ht="15" customHeight="1" x14ac:dyDescent="0.3">
      <c r="A1219" s="6" t="s">
        <v>533</v>
      </c>
      <c r="B1219" s="6" t="s">
        <v>534</v>
      </c>
      <c r="C1219" s="6" t="s">
        <v>31</v>
      </c>
      <c r="D1219" s="1088" t="s">
        <v>549</v>
      </c>
      <c r="E1219" s="6" t="s">
        <v>171</v>
      </c>
      <c r="F1219" s="6" t="s">
        <v>634</v>
      </c>
      <c r="G1219" s="6" t="s">
        <v>1879</v>
      </c>
      <c r="H1219" s="6" t="s">
        <v>1880</v>
      </c>
      <c r="J1219" s="1215" t="s">
        <v>509</v>
      </c>
      <c r="K1219" s="1219" t="s">
        <v>3111</v>
      </c>
      <c r="L1219" s="8">
        <v>0</v>
      </c>
      <c r="M1219" s="8">
        <v>2</v>
      </c>
      <c r="N1219" s="1169" t="s">
        <v>271</v>
      </c>
      <c r="P1219" s="6" t="s">
        <v>3323</v>
      </c>
      <c r="Q1219" s="1215" t="s">
        <v>253</v>
      </c>
      <c r="R1219" s="1215" t="s">
        <v>255</v>
      </c>
      <c r="S1219" s="1215" t="s">
        <v>534</v>
      </c>
      <c r="T1219" s="1215" t="s">
        <v>533</v>
      </c>
      <c r="U1219" s="6" t="s">
        <v>549</v>
      </c>
      <c r="V1219" s="6" t="s">
        <v>31</v>
      </c>
      <c r="W1219" s="6" t="s">
        <v>844</v>
      </c>
      <c r="X1219" s="6" t="s">
        <v>166</v>
      </c>
    </row>
    <row r="1220" spans="1:24" ht="15" customHeight="1" x14ac:dyDescent="0.3">
      <c r="A1220" s="6" t="s">
        <v>533</v>
      </c>
      <c r="B1220" s="6" t="s">
        <v>534</v>
      </c>
      <c r="C1220" s="6" t="s">
        <v>31</v>
      </c>
      <c r="D1220" s="1088" t="s">
        <v>549</v>
      </c>
      <c r="E1220" s="1088" t="s">
        <v>166</v>
      </c>
      <c r="F1220" s="6" t="s">
        <v>844</v>
      </c>
      <c r="G1220" s="6" t="s">
        <v>2516</v>
      </c>
      <c r="H1220" s="6" t="s">
        <v>1119</v>
      </c>
      <c r="J1220" s="1215" t="s">
        <v>509</v>
      </c>
      <c r="K1220" s="1219" t="s">
        <v>3033</v>
      </c>
      <c r="L1220" s="8">
        <v>7</v>
      </c>
      <c r="M1220" s="8">
        <v>55</v>
      </c>
      <c r="N1220" s="1169" t="s">
        <v>271</v>
      </c>
      <c r="P1220" s="6" t="s">
        <v>3324</v>
      </c>
      <c r="Q1220" s="1215" t="s">
        <v>253</v>
      </c>
      <c r="R1220" s="1215" t="s">
        <v>255</v>
      </c>
      <c r="S1220" s="1215" t="s">
        <v>534</v>
      </c>
      <c r="T1220" s="1215" t="s">
        <v>533</v>
      </c>
      <c r="U1220" s="6" t="s">
        <v>549</v>
      </c>
      <c r="V1220" s="6" t="s">
        <v>31</v>
      </c>
      <c r="W1220" s="6" t="s">
        <v>844</v>
      </c>
      <c r="X1220" s="6" t="s">
        <v>166</v>
      </c>
    </row>
    <row r="1221" spans="1:24" ht="15" customHeight="1" x14ac:dyDescent="0.3">
      <c r="A1221" s="6" t="s">
        <v>533</v>
      </c>
      <c r="B1221" s="6" t="s">
        <v>534</v>
      </c>
      <c r="C1221" s="6" t="s">
        <v>31</v>
      </c>
      <c r="D1221" s="6" t="s">
        <v>549</v>
      </c>
      <c r="E1221" s="1088" t="s">
        <v>171</v>
      </c>
      <c r="F1221" s="6" t="s">
        <v>634</v>
      </c>
      <c r="G1221" s="6" t="s">
        <v>2621</v>
      </c>
      <c r="H1221" s="6" t="s">
        <v>1785</v>
      </c>
      <c r="J1221" s="1215" t="s">
        <v>509</v>
      </c>
      <c r="K1221" s="1219" t="s">
        <v>3111</v>
      </c>
      <c r="L1221" s="8">
        <v>5</v>
      </c>
      <c r="M1221" s="8">
        <v>47</v>
      </c>
      <c r="N1221" s="1169" t="s">
        <v>274</v>
      </c>
      <c r="P1221" s="6" t="s">
        <v>3324</v>
      </c>
      <c r="Q1221" s="1215" t="s">
        <v>253</v>
      </c>
      <c r="R1221" s="1215" t="s">
        <v>255</v>
      </c>
      <c r="S1221" s="1215" t="s">
        <v>534</v>
      </c>
      <c r="T1221" s="1215" t="s">
        <v>533</v>
      </c>
      <c r="U1221" s="6" t="s">
        <v>549</v>
      </c>
      <c r="V1221" s="6" t="s">
        <v>31</v>
      </c>
      <c r="W1221" s="6" t="s">
        <v>634</v>
      </c>
      <c r="X1221" s="6" t="s">
        <v>171</v>
      </c>
    </row>
    <row r="1222" spans="1:24" ht="15" customHeight="1" x14ac:dyDescent="0.3">
      <c r="A1222" s="6" t="s">
        <v>533</v>
      </c>
      <c r="B1222" s="6" t="s">
        <v>534</v>
      </c>
      <c r="C1222" s="6" t="s">
        <v>31</v>
      </c>
      <c r="D1222" s="1088" t="s">
        <v>549</v>
      </c>
      <c r="E1222" s="6" t="s">
        <v>171</v>
      </c>
      <c r="F1222" s="6" t="s">
        <v>634</v>
      </c>
      <c r="G1222" s="6" t="s">
        <v>2621</v>
      </c>
      <c r="H1222" s="6" t="s">
        <v>1785</v>
      </c>
      <c r="J1222" s="1215" t="s">
        <v>509</v>
      </c>
      <c r="K1222" s="1219" t="s">
        <v>3112</v>
      </c>
      <c r="L1222" s="8">
        <v>3</v>
      </c>
      <c r="M1222" s="8">
        <v>27</v>
      </c>
      <c r="N1222" s="1169" t="s">
        <v>272</v>
      </c>
      <c r="P1222" s="6" t="s">
        <v>3324</v>
      </c>
      <c r="Q1222" s="1215" t="s">
        <v>253</v>
      </c>
      <c r="R1222" s="1215" t="s">
        <v>255</v>
      </c>
      <c r="S1222" s="1215" t="s">
        <v>534</v>
      </c>
      <c r="T1222" s="1215" t="s">
        <v>533</v>
      </c>
      <c r="U1222" s="6" t="s">
        <v>549</v>
      </c>
      <c r="V1222" s="6" t="s">
        <v>31</v>
      </c>
      <c r="W1222" s="6" t="s">
        <v>634</v>
      </c>
      <c r="X1222" s="6" t="s">
        <v>171</v>
      </c>
    </row>
    <row r="1223" spans="1:24" ht="15" customHeight="1" x14ac:dyDescent="0.3">
      <c r="A1223" s="6" t="s">
        <v>533</v>
      </c>
      <c r="B1223" s="6" t="s">
        <v>534</v>
      </c>
      <c r="C1223" s="6" t="s">
        <v>31</v>
      </c>
      <c r="D1223" s="1088" t="s">
        <v>549</v>
      </c>
      <c r="E1223" s="6" t="s">
        <v>171</v>
      </c>
      <c r="F1223" s="6" t="s">
        <v>634</v>
      </c>
      <c r="G1223" s="6" t="s">
        <v>1914</v>
      </c>
      <c r="H1223" s="6" t="s">
        <v>1263</v>
      </c>
      <c r="J1223" s="1215" t="s">
        <v>509</v>
      </c>
      <c r="K1223" s="1219" t="s">
        <v>3112</v>
      </c>
      <c r="L1223" s="8">
        <v>21</v>
      </c>
      <c r="M1223" s="8">
        <v>137</v>
      </c>
      <c r="N1223" s="1169" t="s">
        <v>274</v>
      </c>
      <c r="P1223" s="6" t="s">
        <v>3324</v>
      </c>
      <c r="Q1223" s="1215" t="s">
        <v>253</v>
      </c>
      <c r="R1223" s="1215" t="s">
        <v>255</v>
      </c>
      <c r="S1223" s="1215" t="s">
        <v>534</v>
      </c>
      <c r="T1223" s="1215" t="s">
        <v>533</v>
      </c>
      <c r="U1223" s="6" t="s">
        <v>549</v>
      </c>
      <c r="V1223" s="6" t="s">
        <v>31</v>
      </c>
      <c r="W1223" s="6" t="s">
        <v>634</v>
      </c>
      <c r="X1223" s="6" t="s">
        <v>171</v>
      </c>
    </row>
    <row r="1224" spans="1:24" ht="15" customHeight="1" x14ac:dyDescent="0.3">
      <c r="A1224" s="6" t="s">
        <v>533</v>
      </c>
      <c r="B1224" s="6" t="s">
        <v>534</v>
      </c>
      <c r="C1224" s="6" t="s">
        <v>31</v>
      </c>
      <c r="D1224" s="1088" t="s">
        <v>549</v>
      </c>
      <c r="E1224" s="6" t="s">
        <v>171</v>
      </c>
      <c r="F1224" s="6" t="s">
        <v>634</v>
      </c>
      <c r="G1224" s="6" t="s">
        <v>1914</v>
      </c>
      <c r="H1224" s="6" t="s">
        <v>1263</v>
      </c>
      <c r="J1224" s="1215" t="s">
        <v>509</v>
      </c>
      <c r="K1224" s="1219" t="s">
        <v>3111</v>
      </c>
      <c r="L1224" s="8">
        <v>6</v>
      </c>
      <c r="M1224" s="8">
        <v>27</v>
      </c>
      <c r="N1224" s="1169" t="s">
        <v>274</v>
      </c>
      <c r="P1224" s="6" t="s">
        <v>3324</v>
      </c>
      <c r="Q1224" s="1215" t="s">
        <v>253</v>
      </c>
      <c r="R1224" s="1215" t="s">
        <v>255</v>
      </c>
      <c r="S1224" s="1215" t="s">
        <v>534</v>
      </c>
      <c r="T1224" s="1215" t="s">
        <v>533</v>
      </c>
      <c r="U1224" s="6" t="s">
        <v>549</v>
      </c>
      <c r="V1224" s="6" t="s">
        <v>31</v>
      </c>
      <c r="W1224" s="6" t="s">
        <v>634</v>
      </c>
      <c r="X1224" s="6" t="s">
        <v>171</v>
      </c>
    </row>
    <row r="1225" spans="1:24" ht="15" customHeight="1" x14ac:dyDescent="0.3">
      <c r="A1225" s="6" t="s">
        <v>533</v>
      </c>
      <c r="B1225" s="6" t="s">
        <v>534</v>
      </c>
      <c r="C1225" s="6" t="s">
        <v>35</v>
      </c>
      <c r="D1225" s="1088" t="s">
        <v>567</v>
      </c>
      <c r="E1225" s="6" t="s">
        <v>195</v>
      </c>
      <c r="F1225" s="6" t="s">
        <v>733</v>
      </c>
      <c r="G1225" s="6" t="s">
        <v>1518</v>
      </c>
      <c r="H1225" s="6" t="s">
        <v>2142</v>
      </c>
      <c r="J1225" s="1215" t="s">
        <v>509</v>
      </c>
      <c r="K1225" s="1219" t="s">
        <v>3110</v>
      </c>
      <c r="L1225" s="8">
        <v>2</v>
      </c>
      <c r="M1225" s="8">
        <v>8</v>
      </c>
      <c r="N1225" s="1169" t="s">
        <v>271</v>
      </c>
      <c r="P1225" s="6" t="s">
        <v>3324</v>
      </c>
      <c r="Q1225" s="1215" t="s">
        <v>253</v>
      </c>
      <c r="R1225" s="1215" t="s">
        <v>255</v>
      </c>
      <c r="S1225" s="1215" t="s">
        <v>534</v>
      </c>
      <c r="T1225" s="1215" t="s">
        <v>533</v>
      </c>
      <c r="U1225" s="6" t="s">
        <v>567</v>
      </c>
      <c r="V1225" s="6" t="s">
        <v>35</v>
      </c>
      <c r="W1225" s="6" t="s">
        <v>733</v>
      </c>
      <c r="X1225" s="6" t="s">
        <v>195</v>
      </c>
    </row>
    <row r="1226" spans="1:24" ht="15" customHeight="1" x14ac:dyDescent="0.3">
      <c r="A1226" s="6" t="s">
        <v>533</v>
      </c>
      <c r="B1226" s="6" t="s">
        <v>534</v>
      </c>
      <c r="C1226" s="6" t="s">
        <v>35</v>
      </c>
      <c r="D1226" s="6" t="s">
        <v>567</v>
      </c>
      <c r="E1226" s="6" t="s">
        <v>195</v>
      </c>
      <c r="F1226" s="6" t="s">
        <v>733</v>
      </c>
      <c r="G1226" s="6" t="s">
        <v>1518</v>
      </c>
      <c r="H1226" s="6" t="s">
        <v>2142</v>
      </c>
      <c r="J1226" s="1215" t="s">
        <v>509</v>
      </c>
      <c r="K1226" s="1219" t="s">
        <v>3111</v>
      </c>
      <c r="L1226" s="8">
        <v>5</v>
      </c>
      <c r="M1226" s="8">
        <v>20</v>
      </c>
      <c r="N1226" s="1169" t="s">
        <v>271</v>
      </c>
      <c r="P1226" s="6" t="s">
        <v>3324</v>
      </c>
      <c r="Q1226" s="1215" t="s">
        <v>253</v>
      </c>
      <c r="R1226" s="1215" t="s">
        <v>255</v>
      </c>
      <c r="S1226" s="1215" t="s">
        <v>534</v>
      </c>
      <c r="T1226" s="1215" t="s">
        <v>533</v>
      </c>
      <c r="U1226" s="6" t="s">
        <v>567</v>
      </c>
      <c r="V1226" s="6" t="s">
        <v>35</v>
      </c>
      <c r="W1226" s="6" t="s">
        <v>733</v>
      </c>
      <c r="X1226" s="6" t="s">
        <v>195</v>
      </c>
    </row>
    <row r="1227" spans="1:24" ht="15" customHeight="1" x14ac:dyDescent="0.3">
      <c r="A1227" s="6" t="s">
        <v>533</v>
      </c>
      <c r="B1227" s="6" t="s">
        <v>534</v>
      </c>
      <c r="C1227" s="6" t="s">
        <v>35</v>
      </c>
      <c r="D1227" s="6" t="s">
        <v>567</v>
      </c>
      <c r="E1227" s="6" t="s">
        <v>195</v>
      </c>
      <c r="F1227" s="6" t="s">
        <v>733</v>
      </c>
      <c r="G1227" s="6" t="s">
        <v>1518</v>
      </c>
      <c r="H1227" s="6" t="s">
        <v>2142</v>
      </c>
      <c r="J1227" s="1215" t="s">
        <v>509</v>
      </c>
      <c r="K1227" s="1219" t="s">
        <v>3112</v>
      </c>
      <c r="L1227" s="8">
        <v>2</v>
      </c>
      <c r="M1227" s="8">
        <v>13</v>
      </c>
      <c r="N1227" s="1169" t="s">
        <v>271</v>
      </c>
      <c r="P1227" s="6" t="s">
        <v>3324</v>
      </c>
      <c r="Q1227" s="1215" t="s">
        <v>253</v>
      </c>
      <c r="R1227" s="1215" t="s">
        <v>255</v>
      </c>
      <c r="S1227" s="1215" t="s">
        <v>534</v>
      </c>
      <c r="T1227" s="1215" t="s">
        <v>533</v>
      </c>
      <c r="U1227" s="6" t="s">
        <v>567</v>
      </c>
      <c r="V1227" s="6" t="s">
        <v>35</v>
      </c>
      <c r="W1227" s="6" t="s">
        <v>733</v>
      </c>
      <c r="X1227" s="6" t="s">
        <v>195</v>
      </c>
    </row>
    <row r="1228" spans="1:24" ht="15" customHeight="1" x14ac:dyDescent="0.3">
      <c r="A1228" s="6" t="s">
        <v>533</v>
      </c>
      <c r="B1228" s="6" t="s">
        <v>534</v>
      </c>
      <c r="C1228" s="6" t="s">
        <v>35</v>
      </c>
      <c r="D1228" s="1088" t="s">
        <v>567</v>
      </c>
      <c r="E1228" s="6" t="s">
        <v>192</v>
      </c>
      <c r="F1228" s="6" t="s">
        <v>853</v>
      </c>
      <c r="G1228" s="6" t="s">
        <v>897</v>
      </c>
      <c r="H1228" s="6" t="s">
        <v>1638</v>
      </c>
      <c r="J1228" s="1215" t="s">
        <v>509</v>
      </c>
      <c r="K1228" s="1219" t="s">
        <v>3110</v>
      </c>
      <c r="L1228" s="8">
        <v>50</v>
      </c>
      <c r="M1228" s="8">
        <v>700</v>
      </c>
      <c r="N1228" s="1169" t="s">
        <v>271</v>
      </c>
      <c r="P1228" s="6" t="s">
        <v>3323</v>
      </c>
      <c r="Q1228" s="1215" t="s">
        <v>253</v>
      </c>
      <c r="R1228" s="1215" t="s">
        <v>255</v>
      </c>
      <c r="S1228" s="1215" t="s">
        <v>534</v>
      </c>
      <c r="T1228" s="1215" t="s">
        <v>533</v>
      </c>
      <c r="U1228" s="6" t="s">
        <v>567</v>
      </c>
      <c r="V1228" s="6" t="s">
        <v>35</v>
      </c>
      <c r="W1228" s="6" t="s">
        <v>863</v>
      </c>
      <c r="X1228" s="6" t="s">
        <v>193</v>
      </c>
    </row>
    <row r="1229" spans="1:24" ht="15" customHeight="1" x14ac:dyDescent="0.3">
      <c r="A1229" s="6" t="s">
        <v>533</v>
      </c>
      <c r="B1229" s="6" t="s">
        <v>534</v>
      </c>
      <c r="C1229" s="6" t="s">
        <v>35</v>
      </c>
      <c r="D1229" s="1088" t="s">
        <v>567</v>
      </c>
      <c r="E1229" s="6" t="s">
        <v>192</v>
      </c>
      <c r="F1229" s="6" t="s">
        <v>853</v>
      </c>
      <c r="G1229" s="6" t="s">
        <v>897</v>
      </c>
      <c r="H1229" s="6" t="s">
        <v>1638</v>
      </c>
      <c r="J1229" s="1215" t="s">
        <v>509</v>
      </c>
      <c r="K1229" s="1219" t="s">
        <v>3111</v>
      </c>
      <c r="L1229" s="8">
        <v>7</v>
      </c>
      <c r="M1229" s="8">
        <v>36</v>
      </c>
      <c r="N1229" s="1169" t="s">
        <v>271</v>
      </c>
      <c r="P1229" s="6" t="s">
        <v>3323</v>
      </c>
      <c r="Q1229" s="1215" t="s">
        <v>253</v>
      </c>
      <c r="R1229" s="1215" t="s">
        <v>255</v>
      </c>
      <c r="S1229" s="1215" t="s">
        <v>534</v>
      </c>
      <c r="T1229" s="1215" t="s">
        <v>533</v>
      </c>
      <c r="U1229" s="6" t="s">
        <v>567</v>
      </c>
      <c r="V1229" s="6" t="s">
        <v>35</v>
      </c>
      <c r="W1229" s="6" t="s">
        <v>863</v>
      </c>
      <c r="X1229" s="6" t="s">
        <v>193</v>
      </c>
    </row>
    <row r="1230" spans="1:24" ht="15" customHeight="1" x14ac:dyDescent="0.3">
      <c r="A1230" s="6" t="s">
        <v>533</v>
      </c>
      <c r="B1230" s="6" t="s">
        <v>534</v>
      </c>
      <c r="C1230" s="6" t="s">
        <v>35</v>
      </c>
      <c r="D1230" s="1088" t="s">
        <v>567</v>
      </c>
      <c r="E1230" s="6" t="s">
        <v>192</v>
      </c>
      <c r="F1230" s="6" t="s">
        <v>853</v>
      </c>
      <c r="G1230" s="6" t="s">
        <v>897</v>
      </c>
      <c r="H1230" s="6" t="s">
        <v>1638</v>
      </c>
      <c r="J1230" s="1215" t="s">
        <v>509</v>
      </c>
      <c r="K1230" s="1219" t="s">
        <v>3112</v>
      </c>
      <c r="L1230" s="8">
        <v>0</v>
      </c>
      <c r="M1230" s="8">
        <v>3</v>
      </c>
      <c r="N1230" s="1169" t="s">
        <v>271</v>
      </c>
      <c r="P1230" s="6" t="s">
        <v>3323</v>
      </c>
      <c r="Q1230" s="1215" t="s">
        <v>253</v>
      </c>
      <c r="R1230" s="1215" t="s">
        <v>255</v>
      </c>
      <c r="S1230" s="1215" t="s">
        <v>534</v>
      </c>
      <c r="T1230" s="1215" t="s">
        <v>533</v>
      </c>
      <c r="U1230" s="6" t="s">
        <v>567</v>
      </c>
      <c r="V1230" s="6" t="s">
        <v>35</v>
      </c>
      <c r="W1230" s="6" t="s">
        <v>863</v>
      </c>
      <c r="X1230" s="6" t="s">
        <v>193</v>
      </c>
    </row>
    <row r="1231" spans="1:24" ht="15" customHeight="1" x14ac:dyDescent="0.3">
      <c r="A1231" s="6" t="s">
        <v>533</v>
      </c>
      <c r="B1231" s="6" t="s">
        <v>534</v>
      </c>
      <c r="C1231" s="6" t="s">
        <v>31</v>
      </c>
      <c r="D1231" s="1088" t="s">
        <v>549</v>
      </c>
      <c r="E1231" s="6" t="s">
        <v>172</v>
      </c>
      <c r="F1231" s="6" t="s">
        <v>706</v>
      </c>
      <c r="G1231" s="6" t="s">
        <v>2696</v>
      </c>
      <c r="H1231" s="6" t="s">
        <v>3309</v>
      </c>
      <c r="J1231" s="1215" t="s">
        <v>509</v>
      </c>
      <c r="K1231" s="1219" t="s">
        <v>3112</v>
      </c>
      <c r="L1231" s="8">
        <v>0</v>
      </c>
      <c r="M1231" s="8">
        <v>0</v>
      </c>
      <c r="N1231" s="1169" t="s">
        <v>271</v>
      </c>
      <c r="P1231" s="6" t="s">
        <v>3324</v>
      </c>
      <c r="Q1231" s="1215" t="s">
        <v>253</v>
      </c>
      <c r="R1231" s="1215" t="s">
        <v>255</v>
      </c>
      <c r="S1231" s="1215" t="s">
        <v>534</v>
      </c>
      <c r="T1231" s="1215" t="s">
        <v>533</v>
      </c>
      <c r="U1231" s="6" t="s">
        <v>549</v>
      </c>
      <c r="V1231" s="6" t="s">
        <v>31</v>
      </c>
      <c r="W1231" s="6" t="s">
        <v>706</v>
      </c>
      <c r="X1231" s="6" t="s">
        <v>172</v>
      </c>
    </row>
    <row r="1232" spans="1:24" ht="15" customHeight="1" x14ac:dyDescent="0.3">
      <c r="A1232" s="6" t="s">
        <v>533</v>
      </c>
      <c r="B1232" s="6" t="s">
        <v>534</v>
      </c>
      <c r="C1232" s="6" t="s">
        <v>31</v>
      </c>
      <c r="D1232" s="1088" t="s">
        <v>549</v>
      </c>
      <c r="E1232" s="6" t="s">
        <v>172</v>
      </c>
      <c r="F1232" s="6" t="s">
        <v>706</v>
      </c>
      <c r="G1232" s="6" t="s">
        <v>2696</v>
      </c>
      <c r="H1232" s="6" t="s">
        <v>3309</v>
      </c>
      <c r="J1232" s="1215" t="s">
        <v>509</v>
      </c>
      <c r="K1232" s="1219" t="s">
        <v>3033</v>
      </c>
      <c r="L1232" s="8">
        <v>457</v>
      </c>
      <c r="M1232" s="8">
        <v>2767</v>
      </c>
      <c r="N1232" s="1169" t="s">
        <v>274</v>
      </c>
      <c r="P1232" s="6" t="s">
        <v>3323</v>
      </c>
      <c r="Q1232" s="1215" t="s">
        <v>253</v>
      </c>
      <c r="R1232" s="1215" t="s">
        <v>255</v>
      </c>
      <c r="S1232" s="1215" t="s">
        <v>534</v>
      </c>
      <c r="T1232" s="1215" t="s">
        <v>533</v>
      </c>
      <c r="U1232" s="6" t="s">
        <v>549</v>
      </c>
      <c r="V1232" s="6" t="s">
        <v>31</v>
      </c>
      <c r="W1232" s="6" t="s">
        <v>673</v>
      </c>
      <c r="X1232" s="6" t="s">
        <v>169</v>
      </c>
    </row>
    <row r="1233" spans="1:24" ht="15" customHeight="1" x14ac:dyDescent="0.3">
      <c r="A1233" s="6" t="s">
        <v>533</v>
      </c>
      <c r="B1233" s="6" t="s">
        <v>534</v>
      </c>
      <c r="C1233" s="6" t="s">
        <v>31</v>
      </c>
      <c r="D1233" s="1088" t="s">
        <v>549</v>
      </c>
      <c r="E1233" s="6" t="s">
        <v>172</v>
      </c>
      <c r="F1233" s="6" t="s">
        <v>706</v>
      </c>
      <c r="G1233" s="6" t="s">
        <v>2696</v>
      </c>
      <c r="H1233" s="6" t="s">
        <v>3309</v>
      </c>
      <c r="J1233" s="1215" t="s">
        <v>509</v>
      </c>
      <c r="K1233" s="1219" t="s">
        <v>3111</v>
      </c>
      <c r="L1233" s="8">
        <v>18</v>
      </c>
      <c r="M1233" s="8">
        <v>36</v>
      </c>
      <c r="N1233" s="1169" t="s">
        <v>271</v>
      </c>
      <c r="P1233" s="6" t="s">
        <v>3324</v>
      </c>
      <c r="Q1233" s="1215" t="s">
        <v>253</v>
      </c>
      <c r="R1233" s="1215" t="s">
        <v>255</v>
      </c>
      <c r="S1233" s="1215" t="s">
        <v>534</v>
      </c>
      <c r="T1233" s="1215" t="s">
        <v>533</v>
      </c>
      <c r="U1233" s="6" t="s">
        <v>549</v>
      </c>
      <c r="V1233" s="6" t="s">
        <v>31</v>
      </c>
      <c r="W1233" s="6" t="s">
        <v>706</v>
      </c>
      <c r="X1233" s="6" t="s">
        <v>172</v>
      </c>
    </row>
    <row r="1234" spans="1:24" ht="15" customHeight="1" x14ac:dyDescent="0.3">
      <c r="A1234" s="6" t="s">
        <v>533</v>
      </c>
      <c r="B1234" s="6" t="s">
        <v>534</v>
      </c>
      <c r="C1234" s="6" t="s">
        <v>31</v>
      </c>
      <c r="D1234" s="1088" t="s">
        <v>549</v>
      </c>
      <c r="E1234" s="6" t="s">
        <v>172</v>
      </c>
      <c r="F1234" s="6" t="s">
        <v>706</v>
      </c>
      <c r="G1234" s="6" t="s">
        <v>707</v>
      </c>
      <c r="H1234" s="6" t="s">
        <v>1306</v>
      </c>
      <c r="J1234" s="1215" t="s">
        <v>509</v>
      </c>
      <c r="K1234" s="1219" t="s">
        <v>3033</v>
      </c>
      <c r="L1234" s="8">
        <v>32</v>
      </c>
      <c r="M1234" s="8">
        <v>200</v>
      </c>
      <c r="N1234" s="6" t="s">
        <v>271</v>
      </c>
      <c r="P1234" s="6" t="s">
        <v>3322</v>
      </c>
      <c r="Q1234" s="1215" t="s">
        <v>253</v>
      </c>
      <c r="R1234" s="1215" t="s">
        <v>255</v>
      </c>
      <c r="S1234" s="1215" t="s">
        <v>534</v>
      </c>
      <c r="T1234" s="1215" t="s">
        <v>533</v>
      </c>
      <c r="U1234" s="6" t="s">
        <v>539</v>
      </c>
      <c r="V1234" s="6" t="s">
        <v>34</v>
      </c>
    </row>
    <row r="1235" spans="1:24" ht="15" customHeight="1" x14ac:dyDescent="0.3">
      <c r="A1235" s="6" t="s">
        <v>533</v>
      </c>
      <c r="B1235" s="6" t="s">
        <v>534</v>
      </c>
      <c r="C1235" s="6" t="s">
        <v>31</v>
      </c>
      <c r="D1235" s="1088" t="s">
        <v>549</v>
      </c>
      <c r="E1235" s="6" t="s">
        <v>172</v>
      </c>
      <c r="F1235" s="6" t="s">
        <v>706</v>
      </c>
      <c r="G1235" s="6" t="s">
        <v>967</v>
      </c>
      <c r="H1235" s="6" t="s">
        <v>2132</v>
      </c>
      <c r="J1235" s="1215" t="s">
        <v>509</v>
      </c>
      <c r="K1235" s="1219" t="s">
        <v>3111</v>
      </c>
      <c r="L1235" s="8">
        <v>39</v>
      </c>
      <c r="M1235" s="8">
        <v>351</v>
      </c>
      <c r="N1235" s="1169" t="s">
        <v>274</v>
      </c>
      <c r="P1235" s="6" t="s">
        <v>3323</v>
      </c>
      <c r="Q1235" s="1215" t="s">
        <v>253</v>
      </c>
      <c r="R1235" s="1215" t="s">
        <v>255</v>
      </c>
      <c r="S1235" s="1215" t="s">
        <v>534</v>
      </c>
      <c r="T1235" s="1215" t="s">
        <v>533</v>
      </c>
      <c r="U1235" s="6" t="s">
        <v>549</v>
      </c>
      <c r="V1235" s="6" t="s">
        <v>31</v>
      </c>
      <c r="W1235" s="6" t="s">
        <v>673</v>
      </c>
      <c r="X1235" s="6" t="s">
        <v>169</v>
      </c>
    </row>
    <row r="1236" spans="1:24" ht="15" customHeight="1" x14ac:dyDescent="0.3">
      <c r="A1236" s="6" t="s">
        <v>533</v>
      </c>
      <c r="B1236" s="6" t="s">
        <v>534</v>
      </c>
      <c r="C1236" s="6" t="s">
        <v>31</v>
      </c>
      <c r="D1236" s="6" t="s">
        <v>549</v>
      </c>
      <c r="E1236" s="1088" t="s">
        <v>2797</v>
      </c>
      <c r="F1236" s="6" t="s">
        <v>767</v>
      </c>
      <c r="G1236" s="6" t="s">
        <v>1198</v>
      </c>
      <c r="H1236" s="6" t="s">
        <v>1199</v>
      </c>
      <c r="J1236" s="1215" t="s">
        <v>509</v>
      </c>
      <c r="K1236" s="1219" t="s">
        <v>3033</v>
      </c>
      <c r="L1236" s="8">
        <v>27</v>
      </c>
      <c r="M1236" s="8">
        <v>230</v>
      </c>
      <c r="N1236" s="1169" t="s">
        <v>271</v>
      </c>
      <c r="P1236" s="6" t="s">
        <v>3324</v>
      </c>
      <c r="Q1236" s="1215" t="s">
        <v>253</v>
      </c>
      <c r="R1236" s="1215" t="s">
        <v>255</v>
      </c>
      <c r="S1236" s="1215" t="s">
        <v>534</v>
      </c>
      <c r="T1236" s="1215" t="s">
        <v>533</v>
      </c>
      <c r="U1236" s="6" t="s">
        <v>549</v>
      </c>
      <c r="V1236" s="6" t="s">
        <v>31</v>
      </c>
      <c r="W1236" s="6" t="s">
        <v>767</v>
      </c>
      <c r="X1236" s="6" t="s">
        <v>2797</v>
      </c>
    </row>
    <row r="1237" spans="1:24" ht="15" customHeight="1" x14ac:dyDescent="0.3">
      <c r="A1237" s="6" t="s">
        <v>533</v>
      </c>
      <c r="B1237" s="6" t="s">
        <v>534</v>
      </c>
      <c r="C1237" s="6" t="s">
        <v>31</v>
      </c>
      <c r="D1237" s="6" t="s">
        <v>549</v>
      </c>
      <c r="E1237" s="1088" t="s">
        <v>2797</v>
      </c>
      <c r="F1237" s="6" t="s">
        <v>767</v>
      </c>
      <c r="G1237" s="6" t="s">
        <v>1198</v>
      </c>
      <c r="H1237" s="6" t="s">
        <v>1199</v>
      </c>
      <c r="J1237" s="1215" t="s">
        <v>509</v>
      </c>
      <c r="K1237" s="1219" t="s">
        <v>3111</v>
      </c>
      <c r="L1237" s="8">
        <v>5</v>
      </c>
      <c r="M1237" s="8">
        <v>40</v>
      </c>
      <c r="N1237" s="1169" t="s">
        <v>271</v>
      </c>
      <c r="P1237" s="6" t="s">
        <v>3324</v>
      </c>
      <c r="Q1237" s="1215" t="s">
        <v>253</v>
      </c>
      <c r="R1237" s="1215" t="s">
        <v>255</v>
      </c>
      <c r="S1237" s="1215" t="s">
        <v>534</v>
      </c>
      <c r="T1237" s="1215" t="s">
        <v>533</v>
      </c>
      <c r="U1237" s="6" t="s">
        <v>549</v>
      </c>
      <c r="V1237" s="6" t="s">
        <v>31</v>
      </c>
      <c r="W1237" s="6" t="s">
        <v>767</v>
      </c>
      <c r="X1237" s="6" t="s">
        <v>2797</v>
      </c>
    </row>
    <row r="1238" spans="1:24" ht="15" customHeight="1" x14ac:dyDescent="0.3">
      <c r="A1238" s="6" t="s">
        <v>533</v>
      </c>
      <c r="B1238" s="6" t="s">
        <v>534</v>
      </c>
      <c r="C1238" s="6" t="s">
        <v>31</v>
      </c>
      <c r="D1238" s="6" t="s">
        <v>549</v>
      </c>
      <c r="E1238" s="1088" t="s">
        <v>2797</v>
      </c>
      <c r="F1238" s="6" t="s">
        <v>767</v>
      </c>
      <c r="G1238" s="6" t="s">
        <v>1198</v>
      </c>
      <c r="H1238" s="6" t="s">
        <v>1199</v>
      </c>
      <c r="J1238" s="1215" t="s">
        <v>509</v>
      </c>
      <c r="K1238" s="1219" t="s">
        <v>3112</v>
      </c>
      <c r="L1238" s="8">
        <v>25</v>
      </c>
      <c r="M1238" s="8">
        <v>150</v>
      </c>
      <c r="N1238" s="1088" t="s">
        <v>271</v>
      </c>
      <c r="P1238" s="6" t="s">
        <v>3323</v>
      </c>
      <c r="Q1238" s="1215" t="s">
        <v>253</v>
      </c>
      <c r="R1238" s="1215" t="s">
        <v>255</v>
      </c>
      <c r="S1238" s="1215" t="s">
        <v>534</v>
      </c>
      <c r="T1238" s="1215" t="s">
        <v>533</v>
      </c>
      <c r="U1238" s="6" t="s">
        <v>549</v>
      </c>
      <c r="V1238" s="6" t="s">
        <v>31</v>
      </c>
      <c r="W1238" s="6" t="s">
        <v>881</v>
      </c>
      <c r="X1238" s="6" t="s">
        <v>165</v>
      </c>
    </row>
    <row r="1239" spans="1:24" ht="15" customHeight="1" x14ac:dyDescent="0.3">
      <c r="A1239" s="6" t="s">
        <v>533</v>
      </c>
      <c r="B1239" s="6" t="s">
        <v>534</v>
      </c>
      <c r="C1239" s="6" t="s">
        <v>30</v>
      </c>
      <c r="D1239" s="6" t="s">
        <v>535</v>
      </c>
      <c r="E1239" s="1088" t="s">
        <v>159</v>
      </c>
      <c r="F1239" s="6" t="s">
        <v>574</v>
      </c>
      <c r="G1239" s="6" t="s">
        <v>581</v>
      </c>
      <c r="H1239" s="6" t="s">
        <v>582</v>
      </c>
      <c r="J1239" s="1215" t="s">
        <v>509</v>
      </c>
      <c r="K1239" s="1219" t="s">
        <v>3033</v>
      </c>
      <c r="L1239" s="8">
        <v>8</v>
      </c>
      <c r="M1239" s="8">
        <v>44</v>
      </c>
      <c r="N1239" s="1169" t="s">
        <v>271</v>
      </c>
      <c r="P1239" s="6" t="s">
        <v>3322</v>
      </c>
      <c r="Q1239" s="1215" t="s">
        <v>253</v>
      </c>
      <c r="R1239" s="1215" t="s">
        <v>255</v>
      </c>
      <c r="S1239" s="1215" t="s">
        <v>534</v>
      </c>
      <c r="T1239" s="1215" t="s">
        <v>533</v>
      </c>
      <c r="U1239" s="6" t="s">
        <v>539</v>
      </c>
      <c r="V1239" s="6" t="s">
        <v>34</v>
      </c>
    </row>
    <row r="1240" spans="1:24" ht="15" customHeight="1" x14ac:dyDescent="0.3">
      <c r="A1240" s="6" t="s">
        <v>533</v>
      </c>
      <c r="B1240" s="6" t="s">
        <v>534</v>
      </c>
      <c r="C1240" s="6" t="s">
        <v>31</v>
      </c>
      <c r="D1240" s="1088" t="s">
        <v>549</v>
      </c>
      <c r="E1240" s="6" t="s">
        <v>171</v>
      </c>
      <c r="F1240" s="6" t="s">
        <v>634</v>
      </c>
      <c r="G1240" s="6" t="s">
        <v>1244</v>
      </c>
      <c r="H1240" s="6" t="s">
        <v>1245</v>
      </c>
      <c r="J1240" s="1215" t="s">
        <v>509</v>
      </c>
      <c r="K1240" s="1219" t="s">
        <v>3033</v>
      </c>
      <c r="L1240" s="8">
        <v>36</v>
      </c>
      <c r="M1240" s="8">
        <v>155</v>
      </c>
      <c r="N1240" s="1169" t="s">
        <v>274</v>
      </c>
      <c r="P1240" s="6" t="s">
        <v>3323</v>
      </c>
      <c r="Q1240" s="1215" t="s">
        <v>253</v>
      </c>
      <c r="R1240" s="1215" t="s">
        <v>255</v>
      </c>
      <c r="S1240" s="1215" t="s">
        <v>534</v>
      </c>
      <c r="T1240" s="1215" t="s">
        <v>533</v>
      </c>
      <c r="U1240" s="6" t="s">
        <v>549</v>
      </c>
      <c r="V1240" s="6" t="s">
        <v>31</v>
      </c>
      <c r="W1240" s="6" t="s">
        <v>673</v>
      </c>
      <c r="X1240" s="6" t="s">
        <v>169</v>
      </c>
    </row>
    <row r="1241" spans="1:24" ht="15" customHeight="1" x14ac:dyDescent="0.3">
      <c r="A1241" s="6" t="s">
        <v>533</v>
      </c>
      <c r="B1241" s="6" t="s">
        <v>534</v>
      </c>
      <c r="C1241" s="6" t="s">
        <v>31</v>
      </c>
      <c r="D1241" s="1088" t="s">
        <v>549</v>
      </c>
      <c r="E1241" s="1088" t="s">
        <v>171</v>
      </c>
      <c r="F1241" s="6" t="s">
        <v>634</v>
      </c>
      <c r="G1241" s="6" t="s">
        <v>1244</v>
      </c>
      <c r="H1241" s="6" t="s">
        <v>1245</v>
      </c>
      <c r="J1241" s="1215" t="s">
        <v>509</v>
      </c>
      <c r="K1241" s="1219" t="s">
        <v>3112</v>
      </c>
      <c r="L1241" s="8">
        <v>7</v>
      </c>
      <c r="M1241" s="8">
        <v>30</v>
      </c>
      <c r="N1241" s="1169" t="s">
        <v>271</v>
      </c>
      <c r="P1241" s="6" t="s">
        <v>3323</v>
      </c>
      <c r="Q1241" s="1215" t="s">
        <v>253</v>
      </c>
      <c r="R1241" s="1215" t="s">
        <v>255</v>
      </c>
      <c r="S1241" s="1215" t="s">
        <v>534</v>
      </c>
      <c r="T1241" s="1215" t="s">
        <v>533</v>
      </c>
      <c r="U1241" s="6" t="s">
        <v>549</v>
      </c>
      <c r="V1241" s="6" t="s">
        <v>31</v>
      </c>
      <c r="W1241" s="6" t="s">
        <v>881</v>
      </c>
      <c r="X1241" s="6" t="s">
        <v>165</v>
      </c>
    </row>
    <row r="1242" spans="1:24" ht="15" customHeight="1" x14ac:dyDescent="0.3">
      <c r="A1242" s="6" t="s">
        <v>533</v>
      </c>
      <c r="B1242" s="6" t="s">
        <v>534</v>
      </c>
      <c r="C1242" s="6" t="s">
        <v>31</v>
      </c>
      <c r="D1242" s="1088" t="s">
        <v>549</v>
      </c>
      <c r="E1242" s="6" t="s">
        <v>171</v>
      </c>
      <c r="F1242" s="6" t="s">
        <v>634</v>
      </c>
      <c r="G1242" s="6" t="s">
        <v>1244</v>
      </c>
      <c r="H1242" s="6" t="s">
        <v>1245</v>
      </c>
      <c r="J1242" s="1215" t="s">
        <v>509</v>
      </c>
      <c r="K1242" s="1219" t="s">
        <v>3111</v>
      </c>
      <c r="L1242" s="8">
        <v>7</v>
      </c>
      <c r="M1242" s="8">
        <v>25</v>
      </c>
      <c r="N1242" s="1169" t="s">
        <v>274</v>
      </c>
      <c r="P1242" s="6" t="s">
        <v>3323</v>
      </c>
      <c r="Q1242" s="1215" t="s">
        <v>253</v>
      </c>
      <c r="R1242" s="1215" t="s">
        <v>255</v>
      </c>
      <c r="S1242" s="1215" t="s">
        <v>534</v>
      </c>
      <c r="T1242" s="1215" t="s">
        <v>533</v>
      </c>
      <c r="U1242" s="6" t="s">
        <v>549</v>
      </c>
      <c r="V1242" s="6" t="s">
        <v>31</v>
      </c>
      <c r="W1242" s="6" t="s">
        <v>673</v>
      </c>
      <c r="X1242" s="6" t="s">
        <v>169</v>
      </c>
    </row>
    <row r="1243" spans="1:24" ht="15" customHeight="1" x14ac:dyDescent="0.3">
      <c r="A1243" s="6" t="s">
        <v>533</v>
      </c>
      <c r="B1243" s="6" t="s">
        <v>534</v>
      </c>
      <c r="C1243" s="6" t="s">
        <v>31</v>
      </c>
      <c r="D1243" s="1088" t="s">
        <v>549</v>
      </c>
      <c r="E1243" s="1088" t="s">
        <v>171</v>
      </c>
      <c r="F1243" s="6" t="s">
        <v>634</v>
      </c>
      <c r="G1243" s="6" t="s">
        <v>802</v>
      </c>
      <c r="H1243" s="6" t="s">
        <v>1243</v>
      </c>
      <c r="J1243" s="1215" t="s">
        <v>509</v>
      </c>
      <c r="K1243" s="1219" t="s">
        <v>3033</v>
      </c>
      <c r="L1243" s="8">
        <v>5</v>
      </c>
      <c r="M1243" s="8">
        <v>27</v>
      </c>
      <c r="N1243" s="1169" t="s">
        <v>272</v>
      </c>
      <c r="P1243" s="6" t="s">
        <v>3324</v>
      </c>
      <c r="Q1243" s="1215" t="s">
        <v>253</v>
      </c>
      <c r="R1243" s="1215" t="s">
        <v>255</v>
      </c>
      <c r="S1243" s="1215" t="s">
        <v>534</v>
      </c>
      <c r="T1243" s="1215" t="s">
        <v>533</v>
      </c>
      <c r="U1243" s="6" t="s">
        <v>549</v>
      </c>
      <c r="V1243" s="6" t="s">
        <v>31</v>
      </c>
      <c r="W1243" s="6" t="s">
        <v>634</v>
      </c>
      <c r="X1243" s="6" t="s">
        <v>171</v>
      </c>
    </row>
    <row r="1244" spans="1:24" ht="15" customHeight="1" x14ac:dyDescent="0.3">
      <c r="A1244" s="6" t="s">
        <v>533</v>
      </c>
      <c r="B1244" s="6" t="s">
        <v>534</v>
      </c>
      <c r="C1244" s="6" t="s">
        <v>31</v>
      </c>
      <c r="D1244" s="1088" t="s">
        <v>549</v>
      </c>
      <c r="E1244" s="1088" t="s">
        <v>171</v>
      </c>
      <c r="F1244" s="6" t="s">
        <v>634</v>
      </c>
      <c r="G1244" s="6" t="s">
        <v>802</v>
      </c>
      <c r="H1244" s="6" t="s">
        <v>1243</v>
      </c>
      <c r="J1244" s="1215" t="s">
        <v>509</v>
      </c>
      <c r="K1244" s="1219" t="s">
        <v>3112</v>
      </c>
      <c r="L1244" s="8">
        <v>1</v>
      </c>
      <c r="M1244" s="8">
        <v>4</v>
      </c>
      <c r="N1244" s="1169" t="s">
        <v>272</v>
      </c>
      <c r="P1244" s="6" t="s">
        <v>3323</v>
      </c>
      <c r="Q1244" s="1215" t="s">
        <v>253</v>
      </c>
      <c r="R1244" s="1215" t="s">
        <v>255</v>
      </c>
      <c r="S1244" s="1215" t="s">
        <v>534</v>
      </c>
      <c r="T1244" s="1215" t="s">
        <v>533</v>
      </c>
      <c r="U1244" s="6" t="s">
        <v>549</v>
      </c>
      <c r="V1244" s="6" t="s">
        <v>31</v>
      </c>
      <c r="W1244" s="6" t="s">
        <v>881</v>
      </c>
      <c r="X1244" s="6" t="s">
        <v>165</v>
      </c>
    </row>
    <row r="1245" spans="1:24" ht="15" customHeight="1" x14ac:dyDescent="0.3">
      <c r="A1245" s="6" t="s">
        <v>533</v>
      </c>
      <c r="B1245" s="6" t="s">
        <v>534</v>
      </c>
      <c r="C1245" s="6" t="s">
        <v>31</v>
      </c>
      <c r="D1245" s="1088" t="s">
        <v>549</v>
      </c>
      <c r="E1245" s="1088" t="s">
        <v>164</v>
      </c>
      <c r="F1245" s="6" t="s">
        <v>748</v>
      </c>
      <c r="G1245" s="6" t="s">
        <v>1088</v>
      </c>
      <c r="H1245" s="6" t="s">
        <v>1089</v>
      </c>
      <c r="I1245" s="1088"/>
      <c r="J1245" s="1215" t="s">
        <v>509</v>
      </c>
      <c r="K1245" s="1219" t="s">
        <v>3033</v>
      </c>
      <c r="L1245" s="8">
        <v>7</v>
      </c>
      <c r="M1245" s="8">
        <v>48</v>
      </c>
      <c r="N1245" s="1169" t="s">
        <v>271</v>
      </c>
      <c r="P1245" s="6" t="s">
        <v>3323</v>
      </c>
      <c r="Q1245" s="1215" t="s">
        <v>253</v>
      </c>
      <c r="R1245" s="1215" t="s">
        <v>255</v>
      </c>
      <c r="S1245" s="1215" t="s">
        <v>534</v>
      </c>
      <c r="T1245" s="1215" t="s">
        <v>533</v>
      </c>
      <c r="U1245" s="6" t="s">
        <v>549</v>
      </c>
      <c r="V1245" s="6" t="s">
        <v>31</v>
      </c>
      <c r="W1245" s="6" t="s">
        <v>844</v>
      </c>
      <c r="X1245" s="6" t="s">
        <v>166</v>
      </c>
    </row>
    <row r="1246" spans="1:24" ht="15" customHeight="1" x14ac:dyDescent="0.3">
      <c r="A1246" s="6" t="s">
        <v>533</v>
      </c>
      <c r="B1246" s="6" t="s">
        <v>534</v>
      </c>
      <c r="C1246" s="6" t="s">
        <v>31</v>
      </c>
      <c r="D1246" s="1088" t="s">
        <v>549</v>
      </c>
      <c r="E1246" s="6" t="s">
        <v>164</v>
      </c>
      <c r="F1246" s="6" t="s">
        <v>748</v>
      </c>
      <c r="G1246" s="6" t="s">
        <v>1889</v>
      </c>
      <c r="H1246" s="6" t="s">
        <v>1890</v>
      </c>
      <c r="J1246" s="1215" t="s">
        <v>509</v>
      </c>
      <c r="K1246" s="1219" t="s">
        <v>3033</v>
      </c>
      <c r="L1246" s="8">
        <v>8</v>
      </c>
      <c r="M1246" s="8">
        <v>65</v>
      </c>
      <c r="N1246" s="1169" t="s">
        <v>271</v>
      </c>
      <c r="P1246" s="6" t="s">
        <v>3323</v>
      </c>
      <c r="Q1246" s="1215" t="s">
        <v>253</v>
      </c>
      <c r="R1246" s="1215" t="s">
        <v>255</v>
      </c>
      <c r="S1246" s="1215" t="s">
        <v>534</v>
      </c>
      <c r="T1246" s="1215" t="s">
        <v>533</v>
      </c>
      <c r="U1246" s="6" t="s">
        <v>549</v>
      </c>
      <c r="V1246" s="6" t="s">
        <v>31</v>
      </c>
      <c r="W1246" s="6" t="s">
        <v>844</v>
      </c>
      <c r="X1246" s="6" t="s">
        <v>166</v>
      </c>
    </row>
    <row r="1247" spans="1:24" ht="15" customHeight="1" x14ac:dyDescent="0.3">
      <c r="A1247" s="6" t="s">
        <v>533</v>
      </c>
      <c r="B1247" s="6" t="s">
        <v>534</v>
      </c>
      <c r="C1247" s="6" t="s">
        <v>31</v>
      </c>
      <c r="D1247" s="1088" t="s">
        <v>549</v>
      </c>
      <c r="E1247" s="6" t="s">
        <v>171</v>
      </c>
      <c r="F1247" s="6" t="s">
        <v>634</v>
      </c>
      <c r="G1247" s="6" t="s">
        <v>1782</v>
      </c>
      <c r="H1247" s="6" t="s">
        <v>1965</v>
      </c>
      <c r="J1247" s="1215" t="s">
        <v>509</v>
      </c>
      <c r="K1247" s="1219" t="s">
        <v>3033</v>
      </c>
      <c r="L1247" s="8">
        <v>1</v>
      </c>
      <c r="M1247" s="8">
        <v>4</v>
      </c>
      <c r="N1247" s="1169" t="s">
        <v>271</v>
      </c>
      <c r="P1247" s="6" t="s">
        <v>3324</v>
      </c>
      <c r="Q1247" s="1215" t="s">
        <v>253</v>
      </c>
      <c r="R1247" s="1215" t="s">
        <v>255</v>
      </c>
      <c r="S1247" s="1215" t="s">
        <v>534</v>
      </c>
      <c r="T1247" s="1215" t="s">
        <v>533</v>
      </c>
      <c r="U1247" s="6" t="s">
        <v>549</v>
      </c>
      <c r="V1247" s="6" t="s">
        <v>31</v>
      </c>
      <c r="W1247" s="6" t="s">
        <v>634</v>
      </c>
      <c r="X1247" s="6" t="s">
        <v>171</v>
      </c>
    </row>
    <row r="1248" spans="1:24" ht="15" customHeight="1" x14ac:dyDescent="0.3">
      <c r="A1248" s="6" t="s">
        <v>533</v>
      </c>
      <c r="B1248" s="6" t="s">
        <v>534</v>
      </c>
      <c r="C1248" s="6" t="s">
        <v>31</v>
      </c>
      <c r="D1248" s="1088" t="s">
        <v>549</v>
      </c>
      <c r="E1248" s="1088" t="s">
        <v>171</v>
      </c>
      <c r="F1248" s="6" t="s">
        <v>634</v>
      </c>
      <c r="G1248" s="6" t="s">
        <v>1066</v>
      </c>
      <c r="H1248" s="6" t="s">
        <v>1757</v>
      </c>
      <c r="J1248" s="1215" t="s">
        <v>509</v>
      </c>
      <c r="K1248" s="1219" t="s">
        <v>3033</v>
      </c>
      <c r="L1248" s="8">
        <v>110</v>
      </c>
      <c r="M1248" s="8">
        <v>1000</v>
      </c>
      <c r="N1248" s="1169" t="s">
        <v>271</v>
      </c>
      <c r="P1248" s="6" t="s">
        <v>3324</v>
      </c>
      <c r="Q1248" s="1215" t="s">
        <v>253</v>
      </c>
      <c r="R1248" s="1215" t="s">
        <v>255</v>
      </c>
      <c r="S1248" s="1215" t="s">
        <v>534</v>
      </c>
      <c r="T1248" s="1215" t="s">
        <v>533</v>
      </c>
      <c r="U1248" s="6" t="s">
        <v>549</v>
      </c>
      <c r="V1248" s="6" t="s">
        <v>31</v>
      </c>
      <c r="W1248" s="6" t="s">
        <v>634</v>
      </c>
      <c r="X1248" s="6" t="s">
        <v>171</v>
      </c>
    </row>
    <row r="1249" spans="1:24" ht="15" customHeight="1" x14ac:dyDescent="0.3">
      <c r="A1249" s="6" t="s">
        <v>533</v>
      </c>
      <c r="B1249" s="6" t="s">
        <v>534</v>
      </c>
      <c r="C1249" s="6" t="s">
        <v>31</v>
      </c>
      <c r="D1249" s="1088" t="s">
        <v>549</v>
      </c>
      <c r="E1249" s="1088" t="s">
        <v>171</v>
      </c>
      <c r="F1249" s="6" t="s">
        <v>634</v>
      </c>
      <c r="G1249" s="6" t="s">
        <v>891</v>
      </c>
      <c r="H1249" s="6" t="s">
        <v>1469</v>
      </c>
      <c r="J1249" s="1215" t="s">
        <v>509</v>
      </c>
      <c r="K1249" s="1219" t="s">
        <v>3033</v>
      </c>
      <c r="L1249" s="8">
        <v>5</v>
      </c>
      <c r="M1249" s="8">
        <v>20</v>
      </c>
      <c r="N1249" s="1169" t="s">
        <v>271</v>
      </c>
      <c r="P1249" s="6" t="s">
        <v>3324</v>
      </c>
      <c r="Q1249" s="1215" t="s">
        <v>253</v>
      </c>
      <c r="R1249" s="1215" t="s">
        <v>255</v>
      </c>
      <c r="S1249" s="1215" t="s">
        <v>534</v>
      </c>
      <c r="T1249" s="1215" t="s">
        <v>533</v>
      </c>
      <c r="U1249" s="6" t="s">
        <v>549</v>
      </c>
      <c r="V1249" s="6" t="s">
        <v>31</v>
      </c>
      <c r="W1249" s="6" t="s">
        <v>634</v>
      </c>
      <c r="X1249" s="6" t="s">
        <v>171</v>
      </c>
    </row>
    <row r="1250" spans="1:24" ht="15" customHeight="1" x14ac:dyDescent="0.3">
      <c r="A1250" s="6" t="s">
        <v>533</v>
      </c>
      <c r="B1250" s="6" t="s">
        <v>534</v>
      </c>
      <c r="C1250" s="6" t="s">
        <v>31</v>
      </c>
      <c r="D1250" s="1088" t="s">
        <v>549</v>
      </c>
      <c r="E1250" s="6" t="s">
        <v>164</v>
      </c>
      <c r="F1250" s="6" t="s">
        <v>748</v>
      </c>
      <c r="G1250" s="6" t="s">
        <v>1191</v>
      </c>
      <c r="H1250" s="6" t="s">
        <v>1192</v>
      </c>
      <c r="J1250" s="1215" t="s">
        <v>509</v>
      </c>
      <c r="K1250" s="1219" t="s">
        <v>3033</v>
      </c>
      <c r="L1250" s="8">
        <v>3</v>
      </c>
      <c r="M1250" s="8">
        <v>22</v>
      </c>
      <c r="N1250" s="1169" t="s">
        <v>271</v>
      </c>
      <c r="P1250" s="6" t="s">
        <v>3323</v>
      </c>
      <c r="Q1250" s="1215" t="s">
        <v>253</v>
      </c>
      <c r="R1250" s="1215" t="s">
        <v>255</v>
      </c>
      <c r="S1250" s="1215" t="s">
        <v>534</v>
      </c>
      <c r="T1250" s="1215" t="s">
        <v>533</v>
      </c>
      <c r="U1250" s="6" t="s">
        <v>549</v>
      </c>
      <c r="V1250" s="6" t="s">
        <v>31</v>
      </c>
      <c r="W1250" s="6" t="s">
        <v>844</v>
      </c>
      <c r="X1250" s="6" t="s">
        <v>166</v>
      </c>
    </row>
    <row r="1251" spans="1:24" ht="15" customHeight="1" x14ac:dyDescent="0.3">
      <c r="A1251" s="6" t="s">
        <v>533</v>
      </c>
      <c r="B1251" s="6" t="s">
        <v>534</v>
      </c>
      <c r="C1251" s="6" t="s">
        <v>31</v>
      </c>
      <c r="D1251" s="1088" t="s">
        <v>549</v>
      </c>
      <c r="E1251" s="6" t="s">
        <v>164</v>
      </c>
      <c r="F1251" s="6" t="s">
        <v>748</v>
      </c>
      <c r="G1251" s="6" t="s">
        <v>1191</v>
      </c>
      <c r="H1251" s="6" t="s">
        <v>1192</v>
      </c>
      <c r="J1251" s="1215" t="s">
        <v>509</v>
      </c>
      <c r="K1251" s="1219" t="s">
        <v>3111</v>
      </c>
      <c r="L1251" s="8">
        <v>1</v>
      </c>
      <c r="M1251" s="8">
        <v>5</v>
      </c>
      <c r="N1251" s="6" t="s">
        <v>272</v>
      </c>
      <c r="P1251" s="6" t="s">
        <v>3323</v>
      </c>
      <c r="Q1251" s="1215" t="s">
        <v>253</v>
      </c>
      <c r="R1251" s="1215" t="s">
        <v>255</v>
      </c>
      <c r="S1251" s="1215" t="s">
        <v>534</v>
      </c>
      <c r="T1251" s="1215" t="s">
        <v>533</v>
      </c>
      <c r="U1251" s="6" t="s">
        <v>549</v>
      </c>
      <c r="V1251" s="6" t="s">
        <v>31</v>
      </c>
      <c r="W1251" s="6" t="s">
        <v>881</v>
      </c>
      <c r="X1251" s="6" t="s">
        <v>165</v>
      </c>
    </row>
    <row r="1252" spans="1:24" ht="15" customHeight="1" x14ac:dyDescent="0.3">
      <c r="A1252" s="6" t="s">
        <v>533</v>
      </c>
      <c r="B1252" s="6" t="s">
        <v>534</v>
      </c>
      <c r="C1252" s="6" t="s">
        <v>31</v>
      </c>
      <c r="D1252" s="1088" t="s">
        <v>549</v>
      </c>
      <c r="E1252" s="6" t="s">
        <v>164</v>
      </c>
      <c r="F1252" s="6" t="s">
        <v>748</v>
      </c>
      <c r="G1252" s="6" t="s">
        <v>1191</v>
      </c>
      <c r="H1252" s="6" t="s">
        <v>1192</v>
      </c>
      <c r="J1252" s="1215" t="s">
        <v>509</v>
      </c>
      <c r="K1252" s="1219" t="s">
        <v>3112</v>
      </c>
      <c r="L1252" s="8">
        <v>2</v>
      </c>
      <c r="M1252" s="8">
        <v>14</v>
      </c>
      <c r="N1252" s="6" t="s">
        <v>272</v>
      </c>
      <c r="P1252" s="6" t="s">
        <v>3324</v>
      </c>
      <c r="Q1252" s="1215" t="s">
        <v>253</v>
      </c>
      <c r="R1252" s="1215" t="s">
        <v>255</v>
      </c>
      <c r="S1252" s="1215" t="s">
        <v>534</v>
      </c>
      <c r="T1252" s="1215" t="s">
        <v>533</v>
      </c>
      <c r="U1252" s="6" t="s">
        <v>549</v>
      </c>
      <c r="V1252" s="6" t="s">
        <v>31</v>
      </c>
      <c r="W1252" s="6" t="s">
        <v>748</v>
      </c>
      <c r="X1252" s="6" t="s">
        <v>164</v>
      </c>
    </row>
    <row r="1253" spans="1:24" ht="15" customHeight="1" x14ac:dyDescent="0.3">
      <c r="A1253" s="6" t="s">
        <v>533</v>
      </c>
      <c r="B1253" s="6" t="s">
        <v>534</v>
      </c>
      <c r="C1253" s="6" t="s">
        <v>35</v>
      </c>
      <c r="D1253" s="1088" t="s">
        <v>567</v>
      </c>
      <c r="E1253" s="6" t="s">
        <v>192</v>
      </c>
      <c r="F1253" s="6" t="s">
        <v>853</v>
      </c>
      <c r="G1253" s="6" t="s">
        <v>3027</v>
      </c>
      <c r="H1253" s="6" t="s">
        <v>1516</v>
      </c>
      <c r="J1253" s="1215" t="s">
        <v>509</v>
      </c>
      <c r="K1253" s="1219" t="s">
        <v>3110</v>
      </c>
      <c r="L1253" s="8">
        <v>14</v>
      </c>
      <c r="M1253" s="8">
        <v>68</v>
      </c>
      <c r="N1253" s="1169" t="s">
        <v>271</v>
      </c>
      <c r="P1253" s="6" t="s">
        <v>3323</v>
      </c>
      <c r="Q1253" s="1215" t="s">
        <v>253</v>
      </c>
      <c r="R1253" s="1215" t="s">
        <v>255</v>
      </c>
      <c r="S1253" s="1215" t="s">
        <v>534</v>
      </c>
      <c r="T1253" s="1215" t="s">
        <v>533</v>
      </c>
      <c r="U1253" s="6" t="s">
        <v>567</v>
      </c>
      <c r="V1253" s="6" t="s">
        <v>35</v>
      </c>
      <c r="W1253" s="6" t="s">
        <v>863</v>
      </c>
      <c r="X1253" s="6" t="s">
        <v>193</v>
      </c>
    </row>
    <row r="1254" spans="1:24" ht="15" customHeight="1" x14ac:dyDescent="0.3">
      <c r="A1254" s="6" t="s">
        <v>533</v>
      </c>
      <c r="B1254" s="6" t="s">
        <v>534</v>
      </c>
      <c r="C1254" s="6" t="s">
        <v>35</v>
      </c>
      <c r="D1254" s="1088" t="s">
        <v>567</v>
      </c>
      <c r="E1254" s="6" t="s">
        <v>192</v>
      </c>
      <c r="F1254" s="6" t="s">
        <v>853</v>
      </c>
      <c r="G1254" s="6" t="s">
        <v>3027</v>
      </c>
      <c r="H1254" s="6" t="s">
        <v>1516</v>
      </c>
      <c r="J1254" s="1215" t="s">
        <v>509</v>
      </c>
      <c r="K1254" s="1219" t="s">
        <v>3111</v>
      </c>
      <c r="L1254" s="8">
        <v>0</v>
      </c>
      <c r="M1254" s="8">
        <v>6</v>
      </c>
      <c r="N1254" s="6" t="s">
        <v>271</v>
      </c>
      <c r="P1254" s="6" t="s">
        <v>3323</v>
      </c>
      <c r="Q1254" s="1215" t="s">
        <v>253</v>
      </c>
      <c r="R1254" s="1215" t="s">
        <v>255</v>
      </c>
      <c r="S1254" s="1215" t="s">
        <v>534</v>
      </c>
      <c r="T1254" s="1215" t="s">
        <v>533</v>
      </c>
      <c r="U1254" s="6" t="s">
        <v>567</v>
      </c>
      <c r="V1254" s="6" t="s">
        <v>35</v>
      </c>
      <c r="W1254" s="6" t="s">
        <v>863</v>
      </c>
      <c r="X1254" s="6" t="s">
        <v>193</v>
      </c>
    </row>
    <row r="1255" spans="1:24" ht="15" customHeight="1" x14ac:dyDescent="0.3">
      <c r="A1255" s="6" t="s">
        <v>533</v>
      </c>
      <c r="B1255" s="6" t="s">
        <v>534</v>
      </c>
      <c r="C1255" s="6" t="s">
        <v>35</v>
      </c>
      <c r="D1255" s="1088" t="s">
        <v>567</v>
      </c>
      <c r="E1255" s="6" t="s">
        <v>192</v>
      </c>
      <c r="F1255" s="6" t="s">
        <v>853</v>
      </c>
      <c r="G1255" s="6" t="s">
        <v>3027</v>
      </c>
      <c r="H1255" s="6" t="s">
        <v>1516</v>
      </c>
      <c r="J1255" s="1215" t="s">
        <v>509</v>
      </c>
      <c r="K1255" s="1219" t="s">
        <v>3112</v>
      </c>
      <c r="L1255" s="8">
        <v>5</v>
      </c>
      <c r="M1255" s="8">
        <v>30</v>
      </c>
      <c r="N1255" s="1169" t="s">
        <v>271</v>
      </c>
      <c r="P1255" s="6" t="s">
        <v>3323</v>
      </c>
      <c r="Q1255" s="1215" t="s">
        <v>253</v>
      </c>
      <c r="R1255" s="1215" t="s">
        <v>255</v>
      </c>
      <c r="S1255" s="1215" t="s">
        <v>534</v>
      </c>
      <c r="T1255" s="1215" t="s">
        <v>533</v>
      </c>
      <c r="U1255" s="6" t="s">
        <v>567</v>
      </c>
      <c r="V1255" s="6" t="s">
        <v>35</v>
      </c>
      <c r="W1255" s="6" t="s">
        <v>863</v>
      </c>
      <c r="X1255" s="6" t="s">
        <v>193</v>
      </c>
    </row>
    <row r="1256" spans="1:24" ht="15" customHeight="1" x14ac:dyDescent="0.3">
      <c r="A1256" s="6" t="s">
        <v>533</v>
      </c>
      <c r="B1256" s="6" t="s">
        <v>534</v>
      </c>
      <c r="C1256" s="6" t="s">
        <v>35</v>
      </c>
      <c r="D1256" s="1088" t="s">
        <v>567</v>
      </c>
      <c r="E1256" s="6" t="s">
        <v>192</v>
      </c>
      <c r="F1256" s="6" t="s">
        <v>853</v>
      </c>
      <c r="G1256" s="6" t="s">
        <v>2854</v>
      </c>
      <c r="H1256" s="6" t="s">
        <v>1399</v>
      </c>
      <c r="J1256" s="1215" t="s">
        <v>509</v>
      </c>
      <c r="K1256" s="1219" t="s">
        <v>3033</v>
      </c>
      <c r="L1256" s="8">
        <v>47</v>
      </c>
      <c r="M1256" s="8">
        <v>244</v>
      </c>
      <c r="N1256" s="6" t="s">
        <v>271</v>
      </c>
      <c r="P1256" s="6" t="s">
        <v>3323</v>
      </c>
      <c r="Q1256" s="1215" t="s">
        <v>253</v>
      </c>
      <c r="R1256" s="1215" t="s">
        <v>255</v>
      </c>
      <c r="S1256" s="1215" t="s">
        <v>534</v>
      </c>
      <c r="T1256" s="1215" t="s">
        <v>533</v>
      </c>
      <c r="U1256" s="6" t="s">
        <v>567</v>
      </c>
      <c r="V1256" s="6" t="s">
        <v>35</v>
      </c>
      <c r="W1256" s="6" t="s">
        <v>863</v>
      </c>
      <c r="X1256" s="6" t="s">
        <v>193</v>
      </c>
    </row>
    <row r="1257" spans="1:24" ht="15" customHeight="1" x14ac:dyDescent="0.3">
      <c r="A1257" s="6" t="s">
        <v>533</v>
      </c>
      <c r="B1257" s="6" t="s">
        <v>534</v>
      </c>
      <c r="C1257" s="6" t="s">
        <v>35</v>
      </c>
      <c r="D1257" s="1088" t="s">
        <v>567</v>
      </c>
      <c r="E1257" s="6" t="s">
        <v>192</v>
      </c>
      <c r="F1257" s="6" t="s">
        <v>853</v>
      </c>
      <c r="G1257" s="6" t="s">
        <v>2854</v>
      </c>
      <c r="H1257" s="6" t="s">
        <v>1399</v>
      </c>
      <c r="J1257" s="1215" t="s">
        <v>509</v>
      </c>
      <c r="K1257" s="1219" t="s">
        <v>3109</v>
      </c>
      <c r="L1257" s="8">
        <v>2</v>
      </c>
      <c r="M1257" s="8">
        <v>18</v>
      </c>
      <c r="N1257" s="1169" t="s">
        <v>271</v>
      </c>
      <c r="P1257" s="6" t="s">
        <v>3323</v>
      </c>
      <c r="Q1257" s="1215" t="s">
        <v>253</v>
      </c>
      <c r="R1257" s="1215" t="s">
        <v>255</v>
      </c>
      <c r="S1257" s="1215" t="s">
        <v>534</v>
      </c>
      <c r="T1257" s="1215" t="s">
        <v>533</v>
      </c>
      <c r="U1257" s="6" t="s">
        <v>567</v>
      </c>
      <c r="V1257" s="6" t="s">
        <v>35</v>
      </c>
      <c r="W1257" s="6" t="s">
        <v>863</v>
      </c>
      <c r="X1257" s="6" t="s">
        <v>193</v>
      </c>
    </row>
    <row r="1258" spans="1:24" ht="15" customHeight="1" x14ac:dyDescent="0.3">
      <c r="A1258" s="6" t="s">
        <v>533</v>
      </c>
      <c r="B1258" s="6" t="s">
        <v>534</v>
      </c>
      <c r="C1258" s="6" t="s">
        <v>35</v>
      </c>
      <c r="D1258" s="1088" t="s">
        <v>567</v>
      </c>
      <c r="E1258" s="6" t="s">
        <v>192</v>
      </c>
      <c r="F1258" s="6" t="s">
        <v>853</v>
      </c>
      <c r="G1258" s="6" t="s">
        <v>2854</v>
      </c>
      <c r="H1258" s="6" t="s">
        <v>1399</v>
      </c>
      <c r="J1258" s="1215" t="s">
        <v>509</v>
      </c>
      <c r="K1258" s="1219" t="s">
        <v>3111</v>
      </c>
      <c r="L1258" s="8">
        <v>5</v>
      </c>
      <c r="M1258" s="8">
        <v>30</v>
      </c>
      <c r="N1258" s="1169" t="s">
        <v>271</v>
      </c>
      <c r="P1258" s="6" t="s">
        <v>3323</v>
      </c>
      <c r="Q1258" s="1215" t="s">
        <v>253</v>
      </c>
      <c r="R1258" s="1215" t="s">
        <v>255</v>
      </c>
      <c r="S1258" s="1215" t="s">
        <v>534</v>
      </c>
      <c r="T1258" s="1215" t="s">
        <v>533</v>
      </c>
      <c r="U1258" s="6" t="s">
        <v>567</v>
      </c>
      <c r="V1258" s="6" t="s">
        <v>35</v>
      </c>
      <c r="W1258" s="6" t="s">
        <v>863</v>
      </c>
      <c r="X1258" s="6" t="s">
        <v>193</v>
      </c>
    </row>
    <row r="1259" spans="1:24" ht="15" customHeight="1" x14ac:dyDescent="0.3">
      <c r="A1259" s="6" t="s">
        <v>533</v>
      </c>
      <c r="B1259" s="6" t="s">
        <v>534</v>
      </c>
      <c r="C1259" s="6" t="s">
        <v>35</v>
      </c>
      <c r="D1259" s="1088" t="s">
        <v>567</v>
      </c>
      <c r="E1259" s="6" t="s">
        <v>192</v>
      </c>
      <c r="F1259" s="6" t="s">
        <v>853</v>
      </c>
      <c r="G1259" s="6" t="s">
        <v>2854</v>
      </c>
      <c r="H1259" s="6" t="s">
        <v>1399</v>
      </c>
      <c r="J1259" s="1215" t="s">
        <v>509</v>
      </c>
      <c r="K1259" s="1219" t="s">
        <v>3112</v>
      </c>
      <c r="L1259" s="8">
        <v>2</v>
      </c>
      <c r="M1259" s="8">
        <v>7</v>
      </c>
      <c r="N1259" s="6" t="s">
        <v>271</v>
      </c>
      <c r="P1259" s="6" t="s">
        <v>3323</v>
      </c>
      <c r="Q1259" s="1215" t="s">
        <v>253</v>
      </c>
      <c r="R1259" s="1215" t="s">
        <v>255</v>
      </c>
      <c r="S1259" s="1215" t="s">
        <v>534</v>
      </c>
      <c r="T1259" s="1215" t="s">
        <v>533</v>
      </c>
      <c r="U1259" s="6" t="s">
        <v>567</v>
      </c>
      <c r="V1259" s="6" t="s">
        <v>35</v>
      </c>
      <c r="W1259" s="6" t="s">
        <v>863</v>
      </c>
      <c r="X1259" s="6" t="s">
        <v>193</v>
      </c>
    </row>
    <row r="1260" spans="1:24" ht="15" customHeight="1" x14ac:dyDescent="0.3">
      <c r="A1260" s="6" t="s">
        <v>533</v>
      </c>
      <c r="B1260" s="6" t="s">
        <v>534</v>
      </c>
      <c r="C1260" s="6" t="s">
        <v>35</v>
      </c>
      <c r="D1260" s="1088" t="s">
        <v>567</v>
      </c>
      <c r="E1260" s="6" t="s">
        <v>192</v>
      </c>
      <c r="F1260" s="6" t="s">
        <v>853</v>
      </c>
      <c r="G1260" s="6" t="s">
        <v>550</v>
      </c>
      <c r="H1260" s="6" t="s">
        <v>3129</v>
      </c>
      <c r="I1260" s="6" t="s">
        <v>3129</v>
      </c>
      <c r="J1260" s="1215" t="s">
        <v>509</v>
      </c>
      <c r="K1260" s="1219" t="s">
        <v>3112</v>
      </c>
      <c r="L1260" s="8">
        <v>40</v>
      </c>
      <c r="M1260" s="8">
        <v>150</v>
      </c>
      <c r="N1260" s="6" t="s">
        <v>271</v>
      </c>
      <c r="P1260" s="6" t="s">
        <v>3324</v>
      </c>
      <c r="Q1260" s="1215" t="s">
        <v>253</v>
      </c>
      <c r="R1260" s="1215" t="s">
        <v>255</v>
      </c>
      <c r="S1260" s="1215" t="s">
        <v>534</v>
      </c>
      <c r="T1260" s="1215" t="s">
        <v>533</v>
      </c>
      <c r="U1260" s="6" t="s">
        <v>567</v>
      </c>
      <c r="V1260" s="6" t="s">
        <v>35</v>
      </c>
      <c r="W1260" s="6" t="s">
        <v>853</v>
      </c>
      <c r="X1260" s="6" t="s">
        <v>192</v>
      </c>
    </row>
    <row r="1261" spans="1:24" ht="15" customHeight="1" x14ac:dyDescent="0.3">
      <c r="A1261" s="6" t="s">
        <v>533</v>
      </c>
      <c r="B1261" s="6" t="s">
        <v>534</v>
      </c>
      <c r="C1261" s="6" t="s">
        <v>35</v>
      </c>
      <c r="D1261" s="1088" t="s">
        <v>567</v>
      </c>
      <c r="E1261" s="6" t="s">
        <v>192</v>
      </c>
      <c r="F1261" s="6" t="s">
        <v>853</v>
      </c>
      <c r="G1261" s="6" t="s">
        <v>3227</v>
      </c>
      <c r="H1261" s="6" t="s">
        <v>2793</v>
      </c>
      <c r="J1261" s="1215" t="s">
        <v>509</v>
      </c>
      <c r="K1261" s="1219" t="s">
        <v>3111</v>
      </c>
      <c r="L1261" s="8">
        <v>25</v>
      </c>
      <c r="M1261" s="8">
        <v>136</v>
      </c>
      <c r="N1261" s="1169" t="s">
        <v>271</v>
      </c>
      <c r="P1261" s="6" t="s">
        <v>3324</v>
      </c>
      <c r="Q1261" s="1215" t="s">
        <v>253</v>
      </c>
      <c r="R1261" s="1215" t="s">
        <v>255</v>
      </c>
      <c r="S1261" s="1215" t="s">
        <v>534</v>
      </c>
      <c r="T1261" s="1215" t="s">
        <v>533</v>
      </c>
      <c r="U1261" s="6" t="s">
        <v>567</v>
      </c>
      <c r="V1261" s="6" t="s">
        <v>35</v>
      </c>
      <c r="W1261" s="6" t="s">
        <v>853</v>
      </c>
      <c r="X1261" s="6" t="s">
        <v>192</v>
      </c>
    </row>
    <row r="1262" spans="1:24" ht="15" customHeight="1" x14ac:dyDescent="0.3">
      <c r="A1262" s="6" t="s">
        <v>533</v>
      </c>
      <c r="B1262" s="6" t="s">
        <v>534</v>
      </c>
      <c r="C1262" s="6" t="s">
        <v>35</v>
      </c>
      <c r="D1262" s="1088" t="s">
        <v>567</v>
      </c>
      <c r="E1262" s="6" t="s">
        <v>192</v>
      </c>
      <c r="F1262" s="6" t="s">
        <v>853</v>
      </c>
      <c r="G1262" s="6" t="s">
        <v>3227</v>
      </c>
      <c r="H1262" s="6" t="s">
        <v>2793</v>
      </c>
      <c r="J1262" s="1215" t="s">
        <v>509</v>
      </c>
      <c r="K1262" s="1219" t="s">
        <v>3112</v>
      </c>
      <c r="L1262" s="8">
        <v>0</v>
      </c>
      <c r="M1262" s="8">
        <v>3</v>
      </c>
      <c r="N1262" s="1169" t="s">
        <v>271</v>
      </c>
      <c r="P1262" s="6" t="s">
        <v>3324</v>
      </c>
      <c r="Q1262" s="1215" t="s">
        <v>253</v>
      </c>
      <c r="R1262" s="1215" t="s">
        <v>255</v>
      </c>
      <c r="S1262" s="1215" t="s">
        <v>534</v>
      </c>
      <c r="T1262" s="1215" t="s">
        <v>533</v>
      </c>
      <c r="U1262" s="6" t="s">
        <v>567</v>
      </c>
      <c r="V1262" s="6" t="s">
        <v>35</v>
      </c>
      <c r="W1262" s="6" t="s">
        <v>853</v>
      </c>
      <c r="X1262" s="6" t="s">
        <v>192</v>
      </c>
    </row>
    <row r="1263" spans="1:24" ht="15" customHeight="1" x14ac:dyDescent="0.3">
      <c r="A1263" s="6" t="s">
        <v>533</v>
      </c>
      <c r="B1263" s="6" t="s">
        <v>534</v>
      </c>
      <c r="C1263" s="6" t="s">
        <v>31</v>
      </c>
      <c r="D1263" s="1088" t="s">
        <v>549</v>
      </c>
      <c r="E1263" s="6" t="s">
        <v>169</v>
      </c>
      <c r="F1263" s="6" t="s">
        <v>673</v>
      </c>
      <c r="G1263" s="6" t="s">
        <v>2967</v>
      </c>
      <c r="H1263" s="6" t="s">
        <v>815</v>
      </c>
      <c r="J1263" s="1215" t="s">
        <v>509</v>
      </c>
      <c r="K1263" s="1219" t="s">
        <v>3033</v>
      </c>
      <c r="L1263" s="8">
        <v>7</v>
      </c>
      <c r="M1263" s="8">
        <v>72</v>
      </c>
      <c r="N1263" s="1169" t="s">
        <v>271</v>
      </c>
      <c r="P1263" s="6" t="s">
        <v>3324</v>
      </c>
      <c r="Q1263" s="1215" t="s">
        <v>253</v>
      </c>
      <c r="R1263" s="1215" t="s">
        <v>255</v>
      </c>
      <c r="S1263" s="1215" t="s">
        <v>534</v>
      </c>
      <c r="T1263" s="1215" t="s">
        <v>533</v>
      </c>
      <c r="U1263" s="6" t="s">
        <v>549</v>
      </c>
      <c r="V1263" s="6" t="s">
        <v>31</v>
      </c>
      <c r="W1263" s="6" t="s">
        <v>673</v>
      </c>
      <c r="X1263" s="6" t="s">
        <v>169</v>
      </c>
    </row>
    <row r="1264" spans="1:24" ht="15" customHeight="1" x14ac:dyDescent="0.3">
      <c r="A1264" s="6" t="s">
        <v>533</v>
      </c>
      <c r="B1264" s="6" t="s">
        <v>534</v>
      </c>
      <c r="C1264" s="6" t="s">
        <v>35</v>
      </c>
      <c r="D1264" s="1088" t="s">
        <v>567</v>
      </c>
      <c r="E1264" s="6" t="s">
        <v>192</v>
      </c>
      <c r="F1264" s="6" t="s">
        <v>853</v>
      </c>
      <c r="G1264" s="6" t="s">
        <v>1400</v>
      </c>
      <c r="H1264" s="6" t="s">
        <v>1455</v>
      </c>
      <c r="J1264" s="1215" t="s">
        <v>509</v>
      </c>
      <c r="K1264" s="1219" t="s">
        <v>3033</v>
      </c>
      <c r="L1264" s="8">
        <v>42</v>
      </c>
      <c r="M1264" s="8">
        <v>252</v>
      </c>
      <c r="N1264" s="1169" t="s">
        <v>271</v>
      </c>
      <c r="P1264" s="6" t="s">
        <v>3323</v>
      </c>
      <c r="Q1264" s="1215" t="s">
        <v>253</v>
      </c>
      <c r="R1264" s="1215" t="s">
        <v>255</v>
      </c>
      <c r="S1264" s="1215" t="s">
        <v>534</v>
      </c>
      <c r="T1264" s="1215" t="s">
        <v>533</v>
      </c>
      <c r="U1264" s="6" t="s">
        <v>567</v>
      </c>
      <c r="V1264" s="6" t="s">
        <v>35</v>
      </c>
      <c r="W1264" s="6" t="s">
        <v>863</v>
      </c>
      <c r="X1264" s="6" t="s">
        <v>193</v>
      </c>
    </row>
    <row r="1265" spans="1:24" ht="15" customHeight="1" x14ac:dyDescent="0.3">
      <c r="A1265" s="6" t="s">
        <v>533</v>
      </c>
      <c r="B1265" s="6" t="s">
        <v>534</v>
      </c>
      <c r="C1265" s="6" t="s">
        <v>35</v>
      </c>
      <c r="D1265" s="1088" t="s">
        <v>567</v>
      </c>
      <c r="E1265" s="6" t="s">
        <v>192</v>
      </c>
      <c r="F1265" s="6" t="s">
        <v>853</v>
      </c>
      <c r="G1265" s="6" t="s">
        <v>1400</v>
      </c>
      <c r="H1265" s="6" t="s">
        <v>1455</v>
      </c>
      <c r="J1265" s="1215" t="s">
        <v>509</v>
      </c>
      <c r="K1265" s="1219" t="s">
        <v>3109</v>
      </c>
      <c r="L1265" s="8">
        <v>8</v>
      </c>
      <c r="M1265" s="8">
        <v>43</v>
      </c>
      <c r="N1265" s="1169" t="s">
        <v>271</v>
      </c>
      <c r="P1265" s="6" t="s">
        <v>3323</v>
      </c>
      <c r="Q1265" s="1215" t="s">
        <v>253</v>
      </c>
      <c r="R1265" s="1215" t="s">
        <v>255</v>
      </c>
      <c r="S1265" s="1215" t="s">
        <v>534</v>
      </c>
      <c r="T1265" s="1215" t="s">
        <v>533</v>
      </c>
      <c r="U1265" s="6" t="s">
        <v>567</v>
      </c>
      <c r="V1265" s="6" t="s">
        <v>35</v>
      </c>
      <c r="W1265" s="6" t="s">
        <v>863</v>
      </c>
      <c r="X1265" s="6" t="s">
        <v>193</v>
      </c>
    </row>
    <row r="1266" spans="1:24" ht="15" customHeight="1" x14ac:dyDescent="0.3">
      <c r="A1266" s="6" t="s">
        <v>533</v>
      </c>
      <c r="B1266" s="6" t="s">
        <v>534</v>
      </c>
      <c r="C1266" s="6" t="s">
        <v>35</v>
      </c>
      <c r="D1266" s="1088" t="s">
        <v>567</v>
      </c>
      <c r="E1266" s="6" t="s">
        <v>192</v>
      </c>
      <c r="F1266" s="6" t="s">
        <v>853</v>
      </c>
      <c r="G1266" s="6" t="s">
        <v>1400</v>
      </c>
      <c r="H1266" s="6" t="s">
        <v>1455</v>
      </c>
      <c r="J1266" s="1215" t="s">
        <v>509</v>
      </c>
      <c r="K1266" s="1219" t="s">
        <v>3110</v>
      </c>
      <c r="L1266" s="8">
        <v>10</v>
      </c>
      <c r="M1266" s="8">
        <v>30</v>
      </c>
      <c r="N1266" s="1169" t="s">
        <v>271</v>
      </c>
      <c r="P1266" s="6" t="s">
        <v>3323</v>
      </c>
      <c r="Q1266" s="1215" t="s">
        <v>253</v>
      </c>
      <c r="R1266" s="1215" t="s">
        <v>255</v>
      </c>
      <c r="S1266" s="1215" t="s">
        <v>534</v>
      </c>
      <c r="T1266" s="1215" t="s">
        <v>533</v>
      </c>
      <c r="U1266" s="6" t="s">
        <v>567</v>
      </c>
      <c r="V1266" s="6" t="s">
        <v>35</v>
      </c>
      <c r="W1266" s="6" t="s">
        <v>863</v>
      </c>
      <c r="X1266" s="6" t="s">
        <v>193</v>
      </c>
    </row>
    <row r="1267" spans="1:24" ht="15" customHeight="1" x14ac:dyDescent="0.3">
      <c r="A1267" s="6" t="s">
        <v>533</v>
      </c>
      <c r="B1267" s="6" t="s">
        <v>534</v>
      </c>
      <c r="C1267" s="6" t="s">
        <v>35</v>
      </c>
      <c r="D1267" s="1088" t="s">
        <v>567</v>
      </c>
      <c r="E1267" s="6" t="s">
        <v>192</v>
      </c>
      <c r="F1267" s="6" t="s">
        <v>853</v>
      </c>
      <c r="G1267" s="6" t="s">
        <v>1400</v>
      </c>
      <c r="H1267" s="6" t="s">
        <v>1455</v>
      </c>
      <c r="J1267" s="1215" t="s">
        <v>509</v>
      </c>
      <c r="K1267" s="1219" t="s">
        <v>3111</v>
      </c>
      <c r="L1267" s="8">
        <v>19</v>
      </c>
      <c r="M1267" s="8">
        <v>70</v>
      </c>
      <c r="N1267" s="1169" t="s">
        <v>271</v>
      </c>
      <c r="P1267" s="6" t="s">
        <v>3323</v>
      </c>
      <c r="Q1267" s="1215" t="s">
        <v>253</v>
      </c>
      <c r="R1267" s="1215" t="s">
        <v>255</v>
      </c>
      <c r="S1267" s="1215" t="s">
        <v>534</v>
      </c>
      <c r="T1267" s="1215" t="s">
        <v>533</v>
      </c>
      <c r="U1267" s="6" t="s">
        <v>567</v>
      </c>
      <c r="V1267" s="6" t="s">
        <v>35</v>
      </c>
      <c r="W1267" s="6" t="s">
        <v>863</v>
      </c>
      <c r="X1267" s="6" t="s">
        <v>193</v>
      </c>
    </row>
    <row r="1268" spans="1:24" ht="15" customHeight="1" x14ac:dyDescent="0.3">
      <c r="A1268" s="6" t="s">
        <v>533</v>
      </c>
      <c r="B1268" s="6" t="s">
        <v>534</v>
      </c>
      <c r="C1268" s="6" t="s">
        <v>35</v>
      </c>
      <c r="D1268" s="1088" t="s">
        <v>567</v>
      </c>
      <c r="E1268" s="6" t="s">
        <v>192</v>
      </c>
      <c r="F1268" s="6" t="s">
        <v>853</v>
      </c>
      <c r="G1268" s="6" t="s">
        <v>1400</v>
      </c>
      <c r="H1268" s="6" t="s">
        <v>1455</v>
      </c>
      <c r="J1268" s="1215" t="s">
        <v>509</v>
      </c>
      <c r="K1268" s="1219" t="s">
        <v>3112</v>
      </c>
      <c r="L1268" s="8">
        <v>4</v>
      </c>
      <c r="M1268" s="8">
        <v>32</v>
      </c>
      <c r="N1268" s="1169" t="s">
        <v>271</v>
      </c>
      <c r="P1268" s="6" t="s">
        <v>3323</v>
      </c>
      <c r="Q1268" s="1215" t="s">
        <v>253</v>
      </c>
      <c r="R1268" s="1215" t="s">
        <v>255</v>
      </c>
      <c r="S1268" s="1215" t="s">
        <v>534</v>
      </c>
      <c r="T1268" s="1215" t="s">
        <v>533</v>
      </c>
      <c r="U1268" s="6" t="s">
        <v>567</v>
      </c>
      <c r="V1268" s="6" t="s">
        <v>35</v>
      </c>
      <c r="W1268" s="6" t="s">
        <v>863</v>
      </c>
      <c r="X1268" s="6" t="s">
        <v>193</v>
      </c>
    </row>
    <row r="1269" spans="1:24" ht="15" customHeight="1" x14ac:dyDescent="0.3">
      <c r="A1269" s="6" t="s">
        <v>533</v>
      </c>
      <c r="B1269" s="6" t="s">
        <v>534</v>
      </c>
      <c r="C1269" s="6" t="s">
        <v>35</v>
      </c>
      <c r="D1269" s="1088" t="s">
        <v>567</v>
      </c>
      <c r="E1269" s="1088" t="s">
        <v>192</v>
      </c>
      <c r="F1269" s="6" t="s">
        <v>853</v>
      </c>
      <c r="G1269" s="6" t="s">
        <v>1610</v>
      </c>
      <c r="H1269" s="6" t="s">
        <v>946</v>
      </c>
      <c r="J1269" s="1215" t="s">
        <v>509</v>
      </c>
      <c r="K1269" s="1219" t="s">
        <v>3033</v>
      </c>
      <c r="L1269" s="8">
        <v>120</v>
      </c>
      <c r="M1269" s="8">
        <v>1013</v>
      </c>
      <c r="N1269" s="1169" t="s">
        <v>271</v>
      </c>
      <c r="P1269" s="6" t="s">
        <v>3323</v>
      </c>
      <c r="Q1269" s="1215" t="s">
        <v>253</v>
      </c>
      <c r="R1269" s="1215" t="s">
        <v>255</v>
      </c>
      <c r="S1269" s="1215" t="s">
        <v>534</v>
      </c>
      <c r="T1269" s="1215" t="s">
        <v>533</v>
      </c>
      <c r="U1269" s="6" t="s">
        <v>567</v>
      </c>
      <c r="V1269" s="6" t="s">
        <v>35</v>
      </c>
      <c r="W1269" s="6" t="s">
        <v>863</v>
      </c>
      <c r="X1269" s="6" t="s">
        <v>193</v>
      </c>
    </row>
    <row r="1270" spans="1:24" ht="15" customHeight="1" x14ac:dyDescent="0.3">
      <c r="A1270" s="6" t="s">
        <v>533</v>
      </c>
      <c r="B1270" s="6" t="s">
        <v>534</v>
      </c>
      <c r="C1270" s="6" t="s">
        <v>35</v>
      </c>
      <c r="D1270" s="1088" t="s">
        <v>567</v>
      </c>
      <c r="E1270" s="6" t="s">
        <v>192</v>
      </c>
      <c r="F1270" s="6" t="s">
        <v>853</v>
      </c>
      <c r="G1270" s="6" t="s">
        <v>1610</v>
      </c>
      <c r="H1270" s="6" t="s">
        <v>946</v>
      </c>
      <c r="J1270" s="1215" t="s">
        <v>509</v>
      </c>
      <c r="K1270" s="1219" t="s">
        <v>3109</v>
      </c>
      <c r="L1270" s="8">
        <v>28</v>
      </c>
      <c r="M1270" s="8">
        <v>113</v>
      </c>
      <c r="N1270" s="1169" t="s">
        <v>271</v>
      </c>
      <c r="P1270" s="6" t="s">
        <v>3323</v>
      </c>
      <c r="Q1270" s="1215" t="s">
        <v>253</v>
      </c>
      <c r="R1270" s="1215" t="s">
        <v>255</v>
      </c>
      <c r="S1270" s="1215" t="s">
        <v>534</v>
      </c>
      <c r="T1270" s="1215" t="s">
        <v>533</v>
      </c>
      <c r="U1270" s="6" t="s">
        <v>567</v>
      </c>
      <c r="V1270" s="6" t="s">
        <v>35</v>
      </c>
      <c r="W1270" s="6" t="s">
        <v>863</v>
      </c>
      <c r="X1270" s="6" t="s">
        <v>193</v>
      </c>
    </row>
    <row r="1271" spans="1:24" ht="15" customHeight="1" x14ac:dyDescent="0.3">
      <c r="A1271" s="6" t="s">
        <v>533</v>
      </c>
      <c r="B1271" s="6" t="s">
        <v>534</v>
      </c>
      <c r="C1271" s="6" t="s">
        <v>35</v>
      </c>
      <c r="D1271" s="1088" t="s">
        <v>567</v>
      </c>
      <c r="E1271" s="6" t="s">
        <v>192</v>
      </c>
      <c r="F1271" s="6" t="s">
        <v>853</v>
      </c>
      <c r="G1271" s="6" t="s">
        <v>1610</v>
      </c>
      <c r="H1271" s="6" t="s">
        <v>946</v>
      </c>
      <c r="J1271" s="1215" t="s">
        <v>509</v>
      </c>
      <c r="K1271" s="1219" t="s">
        <v>3110</v>
      </c>
      <c r="L1271" s="8">
        <v>0</v>
      </c>
      <c r="M1271" s="8">
        <v>6</v>
      </c>
      <c r="N1271" s="1088" t="s">
        <v>271</v>
      </c>
      <c r="P1271" s="6" t="s">
        <v>3323</v>
      </c>
      <c r="Q1271" s="1215" t="s">
        <v>253</v>
      </c>
      <c r="R1271" s="1215" t="s">
        <v>255</v>
      </c>
      <c r="S1271" s="1215" t="s">
        <v>534</v>
      </c>
      <c r="T1271" s="1215" t="s">
        <v>533</v>
      </c>
      <c r="U1271" s="6" t="s">
        <v>567</v>
      </c>
      <c r="V1271" s="6" t="s">
        <v>35</v>
      </c>
      <c r="W1271" s="6" t="s">
        <v>863</v>
      </c>
      <c r="X1271" s="6" t="s">
        <v>193</v>
      </c>
    </row>
    <row r="1272" spans="1:24" ht="15" customHeight="1" x14ac:dyDescent="0.3">
      <c r="A1272" s="6" t="s">
        <v>533</v>
      </c>
      <c r="B1272" s="6" t="s">
        <v>534</v>
      </c>
      <c r="C1272" s="6" t="s">
        <v>35</v>
      </c>
      <c r="D1272" s="1088" t="s">
        <v>567</v>
      </c>
      <c r="E1272" s="6" t="s">
        <v>192</v>
      </c>
      <c r="F1272" s="6" t="s">
        <v>853</v>
      </c>
      <c r="G1272" s="6" t="s">
        <v>1610</v>
      </c>
      <c r="H1272" s="6" t="s">
        <v>946</v>
      </c>
      <c r="J1272" s="1215" t="s">
        <v>509</v>
      </c>
      <c r="K1272" s="1219" t="s">
        <v>3111</v>
      </c>
      <c r="L1272" s="8">
        <v>5</v>
      </c>
      <c r="M1272" s="8">
        <v>25</v>
      </c>
      <c r="N1272" s="1169" t="s">
        <v>271</v>
      </c>
      <c r="P1272" s="6" t="s">
        <v>3323</v>
      </c>
      <c r="Q1272" s="1215" t="s">
        <v>253</v>
      </c>
      <c r="R1272" s="1215" t="s">
        <v>255</v>
      </c>
      <c r="S1272" s="1215" t="s">
        <v>534</v>
      </c>
      <c r="T1272" s="1215" t="s">
        <v>533</v>
      </c>
      <c r="U1272" s="6" t="s">
        <v>567</v>
      </c>
      <c r="V1272" s="6" t="s">
        <v>35</v>
      </c>
      <c r="W1272" s="6" t="s">
        <v>863</v>
      </c>
      <c r="X1272" s="6" t="s">
        <v>193</v>
      </c>
    </row>
    <row r="1273" spans="1:24" ht="15" customHeight="1" x14ac:dyDescent="0.3">
      <c r="A1273" s="6" t="s">
        <v>533</v>
      </c>
      <c r="B1273" s="6" t="s">
        <v>534</v>
      </c>
      <c r="C1273" s="6" t="s">
        <v>35</v>
      </c>
      <c r="D1273" s="1088" t="s">
        <v>567</v>
      </c>
      <c r="E1273" s="6" t="s">
        <v>192</v>
      </c>
      <c r="F1273" s="6" t="s">
        <v>853</v>
      </c>
      <c r="G1273" s="6" t="s">
        <v>1610</v>
      </c>
      <c r="H1273" s="6" t="s">
        <v>946</v>
      </c>
      <c r="J1273" s="1215" t="s">
        <v>509</v>
      </c>
      <c r="K1273" s="1219" t="s">
        <v>3112</v>
      </c>
      <c r="L1273" s="8">
        <v>17</v>
      </c>
      <c r="M1273" s="8">
        <v>57</v>
      </c>
      <c r="N1273" s="1169" t="s">
        <v>271</v>
      </c>
      <c r="P1273" s="6" t="s">
        <v>3323</v>
      </c>
      <c r="Q1273" s="1215" t="s">
        <v>253</v>
      </c>
      <c r="R1273" s="1215" t="s">
        <v>255</v>
      </c>
      <c r="S1273" s="1215" t="s">
        <v>534</v>
      </c>
      <c r="T1273" s="1215" t="s">
        <v>533</v>
      </c>
      <c r="U1273" s="6" t="s">
        <v>567</v>
      </c>
      <c r="V1273" s="6" t="s">
        <v>35</v>
      </c>
      <c r="W1273" s="6" t="s">
        <v>863</v>
      </c>
      <c r="X1273" s="6" t="s">
        <v>193</v>
      </c>
    </row>
    <row r="1274" spans="1:24" ht="15" customHeight="1" x14ac:dyDescent="0.3">
      <c r="A1274" s="6" t="s">
        <v>533</v>
      </c>
      <c r="B1274" s="6" t="s">
        <v>534</v>
      </c>
      <c r="C1274" s="6" t="s">
        <v>31</v>
      </c>
      <c r="D1274" s="1088" t="s">
        <v>549</v>
      </c>
      <c r="E1274" s="6" t="s">
        <v>172</v>
      </c>
      <c r="F1274" s="6" t="s">
        <v>706</v>
      </c>
      <c r="G1274" s="6" t="s">
        <v>1908</v>
      </c>
      <c r="H1274" s="6" t="s">
        <v>2000</v>
      </c>
      <c r="J1274" s="1215" t="s">
        <v>509</v>
      </c>
      <c r="K1274" s="1219" t="s">
        <v>3109</v>
      </c>
      <c r="L1274" s="8">
        <v>35</v>
      </c>
      <c r="M1274" s="8">
        <v>216</v>
      </c>
      <c r="N1274" s="1169" t="s">
        <v>271</v>
      </c>
      <c r="P1274" s="6" t="s">
        <v>3324</v>
      </c>
      <c r="Q1274" s="1215" t="s">
        <v>253</v>
      </c>
      <c r="R1274" s="1215" t="s">
        <v>255</v>
      </c>
      <c r="S1274" s="1215" t="s">
        <v>534</v>
      </c>
      <c r="T1274" s="1215" t="s">
        <v>533</v>
      </c>
      <c r="U1274" s="6" t="s">
        <v>549</v>
      </c>
      <c r="V1274" s="6" t="s">
        <v>31</v>
      </c>
      <c r="W1274" s="6" t="s">
        <v>706</v>
      </c>
      <c r="X1274" s="6" t="s">
        <v>172</v>
      </c>
    </row>
    <row r="1275" spans="1:24" ht="15" customHeight="1" x14ac:dyDescent="0.3">
      <c r="A1275" s="6" t="s">
        <v>533</v>
      </c>
      <c r="B1275" s="6" t="s">
        <v>534</v>
      </c>
      <c r="C1275" s="6" t="s">
        <v>31</v>
      </c>
      <c r="D1275" s="1088" t="s">
        <v>549</v>
      </c>
      <c r="E1275" s="6" t="s">
        <v>172</v>
      </c>
      <c r="F1275" s="6" t="s">
        <v>706</v>
      </c>
      <c r="G1275" s="6" t="s">
        <v>1908</v>
      </c>
      <c r="H1275" s="6" t="s">
        <v>2000</v>
      </c>
      <c r="J1275" s="1215" t="s">
        <v>509</v>
      </c>
      <c r="K1275" s="1219" t="s">
        <v>3112</v>
      </c>
      <c r="L1275" s="8">
        <v>0</v>
      </c>
      <c r="M1275" s="8">
        <v>5</v>
      </c>
      <c r="N1275" s="1169" t="s">
        <v>271</v>
      </c>
      <c r="P1275" s="6" t="s">
        <v>3324</v>
      </c>
      <c r="Q1275" s="1215" t="s">
        <v>253</v>
      </c>
      <c r="R1275" s="1215" t="s">
        <v>255</v>
      </c>
      <c r="S1275" s="1215" t="s">
        <v>534</v>
      </c>
      <c r="T1275" s="1215" t="s">
        <v>533</v>
      </c>
      <c r="U1275" s="6" t="s">
        <v>549</v>
      </c>
      <c r="V1275" s="6" t="s">
        <v>31</v>
      </c>
      <c r="W1275" s="6" t="s">
        <v>706</v>
      </c>
      <c r="X1275" s="6" t="s">
        <v>172</v>
      </c>
    </row>
    <row r="1276" spans="1:24" ht="15" customHeight="1" x14ac:dyDescent="0.3">
      <c r="A1276" s="6" t="s">
        <v>533</v>
      </c>
      <c r="B1276" s="6" t="s">
        <v>534</v>
      </c>
      <c r="C1276" s="6" t="s">
        <v>31</v>
      </c>
      <c r="D1276" s="1088" t="s">
        <v>549</v>
      </c>
      <c r="E1276" s="6" t="s">
        <v>171</v>
      </c>
      <c r="F1276" s="6" t="s">
        <v>634</v>
      </c>
      <c r="G1276" s="6" t="s">
        <v>1287</v>
      </c>
      <c r="H1276" s="6" t="s">
        <v>1356</v>
      </c>
      <c r="J1276" s="1215" t="s">
        <v>509</v>
      </c>
      <c r="K1276" s="1219" t="s">
        <v>3033</v>
      </c>
      <c r="L1276" s="8">
        <v>70</v>
      </c>
      <c r="M1276" s="8">
        <v>374</v>
      </c>
      <c r="N1276" s="1169" t="s">
        <v>271</v>
      </c>
      <c r="P1276" s="6" t="s">
        <v>3323</v>
      </c>
      <c r="Q1276" s="1215" t="s">
        <v>253</v>
      </c>
      <c r="R1276" s="1215" t="s">
        <v>255</v>
      </c>
      <c r="S1276" s="1215" t="s">
        <v>534</v>
      </c>
      <c r="T1276" s="1215" t="s">
        <v>533</v>
      </c>
      <c r="U1276" s="6" t="s">
        <v>549</v>
      </c>
      <c r="V1276" s="6" t="s">
        <v>31</v>
      </c>
      <c r="W1276" s="6" t="s">
        <v>881</v>
      </c>
      <c r="X1276" s="6" t="s">
        <v>165</v>
      </c>
    </row>
    <row r="1277" spans="1:24" ht="15" customHeight="1" x14ac:dyDescent="0.3">
      <c r="A1277" s="6" t="s">
        <v>533</v>
      </c>
      <c r="B1277" s="6" t="s">
        <v>534</v>
      </c>
      <c r="C1277" s="6" t="s">
        <v>31</v>
      </c>
      <c r="D1277" s="1088" t="s">
        <v>549</v>
      </c>
      <c r="E1277" s="1088" t="s">
        <v>171</v>
      </c>
      <c r="F1277" s="6" t="s">
        <v>634</v>
      </c>
      <c r="G1277" s="6" t="s">
        <v>1287</v>
      </c>
      <c r="H1277" s="6" t="s">
        <v>1356</v>
      </c>
      <c r="J1277" s="1215" t="s">
        <v>509</v>
      </c>
      <c r="K1277" s="1219" t="s">
        <v>3111</v>
      </c>
      <c r="L1277" s="8">
        <v>19</v>
      </c>
      <c r="M1277" s="8">
        <v>30</v>
      </c>
      <c r="N1277" s="1169" t="s">
        <v>271</v>
      </c>
      <c r="P1277" s="6" t="s">
        <v>3323</v>
      </c>
      <c r="Q1277" s="1215" t="s">
        <v>253</v>
      </c>
      <c r="R1277" s="1215" t="s">
        <v>255</v>
      </c>
      <c r="S1277" s="1215" t="s">
        <v>534</v>
      </c>
      <c r="T1277" s="1215" t="s">
        <v>533</v>
      </c>
      <c r="U1277" s="6" t="s">
        <v>549</v>
      </c>
      <c r="V1277" s="6" t="s">
        <v>31</v>
      </c>
      <c r="W1277" s="6" t="s">
        <v>881</v>
      </c>
      <c r="X1277" s="6" t="s">
        <v>165</v>
      </c>
    </row>
    <row r="1278" spans="1:24" ht="15" customHeight="1" x14ac:dyDescent="0.3">
      <c r="A1278" s="6" t="s">
        <v>533</v>
      </c>
      <c r="B1278" s="6" t="s">
        <v>534</v>
      </c>
      <c r="C1278" s="6" t="s">
        <v>31</v>
      </c>
      <c r="D1278" s="1088" t="s">
        <v>549</v>
      </c>
      <c r="E1278" s="6" t="s">
        <v>166</v>
      </c>
      <c r="F1278" s="6" t="s">
        <v>844</v>
      </c>
      <c r="G1278" s="6" t="s">
        <v>2926</v>
      </c>
      <c r="H1278" s="6" t="s">
        <v>663</v>
      </c>
      <c r="J1278" s="1215" t="s">
        <v>509</v>
      </c>
      <c r="K1278" s="1219" t="s">
        <v>3033</v>
      </c>
      <c r="L1278" s="8">
        <v>42</v>
      </c>
      <c r="M1278" s="8">
        <v>255</v>
      </c>
      <c r="N1278" s="1169" t="s">
        <v>271</v>
      </c>
      <c r="P1278" s="6" t="s">
        <v>3324</v>
      </c>
      <c r="Q1278" s="1215" t="s">
        <v>253</v>
      </c>
      <c r="R1278" s="1215" t="s">
        <v>255</v>
      </c>
      <c r="S1278" s="1215" t="s">
        <v>534</v>
      </c>
      <c r="T1278" s="1215" t="s">
        <v>533</v>
      </c>
      <c r="U1278" s="6" t="s">
        <v>549</v>
      </c>
      <c r="V1278" s="6" t="s">
        <v>31</v>
      </c>
      <c r="W1278" s="6" t="s">
        <v>844</v>
      </c>
      <c r="X1278" s="6" t="s">
        <v>166</v>
      </c>
    </row>
    <row r="1279" spans="1:24" ht="15" customHeight="1" x14ac:dyDescent="0.3">
      <c r="A1279" s="6" t="s">
        <v>533</v>
      </c>
      <c r="B1279" s="6" t="s">
        <v>534</v>
      </c>
      <c r="C1279" s="6" t="s">
        <v>31</v>
      </c>
      <c r="D1279" s="1088" t="s">
        <v>549</v>
      </c>
      <c r="E1279" s="6" t="s">
        <v>166</v>
      </c>
      <c r="F1279" s="6" t="s">
        <v>844</v>
      </c>
      <c r="G1279" s="6" t="s">
        <v>965</v>
      </c>
      <c r="H1279" s="6" t="s">
        <v>1701</v>
      </c>
      <c r="J1279" s="1215" t="s">
        <v>509</v>
      </c>
      <c r="K1279" s="1219" t="s">
        <v>3033</v>
      </c>
      <c r="L1279" s="8">
        <v>115</v>
      </c>
      <c r="M1279" s="8">
        <v>545</v>
      </c>
      <c r="N1279" s="1169" t="s">
        <v>271</v>
      </c>
      <c r="P1279" s="6" t="s">
        <v>3324</v>
      </c>
      <c r="Q1279" s="1215" t="s">
        <v>253</v>
      </c>
      <c r="R1279" s="1215" t="s">
        <v>255</v>
      </c>
      <c r="S1279" s="1215" t="s">
        <v>534</v>
      </c>
      <c r="T1279" s="1215" t="s">
        <v>533</v>
      </c>
      <c r="U1279" s="6" t="s">
        <v>549</v>
      </c>
      <c r="V1279" s="6" t="s">
        <v>31</v>
      </c>
      <c r="W1279" s="6" t="s">
        <v>844</v>
      </c>
      <c r="X1279" s="6" t="s">
        <v>166</v>
      </c>
    </row>
    <row r="1280" spans="1:24" ht="15" customHeight="1" x14ac:dyDescent="0.3">
      <c r="A1280" s="6" t="s">
        <v>533</v>
      </c>
      <c r="B1280" s="6" t="s">
        <v>534</v>
      </c>
      <c r="C1280" s="6" t="s">
        <v>31</v>
      </c>
      <c r="D1280" s="1088" t="s">
        <v>549</v>
      </c>
      <c r="E1280" s="6" t="s">
        <v>170</v>
      </c>
      <c r="F1280" s="6" t="s">
        <v>866</v>
      </c>
      <c r="G1280" s="6" t="s">
        <v>1704</v>
      </c>
      <c r="H1280" s="6" t="s">
        <v>1705</v>
      </c>
      <c r="J1280" s="1215" t="s">
        <v>509</v>
      </c>
      <c r="K1280" s="1219" t="s">
        <v>3033</v>
      </c>
      <c r="L1280" s="8">
        <v>273</v>
      </c>
      <c r="M1280" s="8">
        <v>890</v>
      </c>
      <c r="N1280" s="1169" t="s">
        <v>271</v>
      </c>
      <c r="P1280" s="6" t="s">
        <v>3323</v>
      </c>
      <c r="Q1280" s="1215" t="s">
        <v>253</v>
      </c>
      <c r="R1280" s="1215" t="s">
        <v>255</v>
      </c>
      <c r="S1280" s="1215" t="s">
        <v>534</v>
      </c>
      <c r="T1280" s="1215" t="s">
        <v>533</v>
      </c>
      <c r="U1280" s="6" t="s">
        <v>549</v>
      </c>
      <c r="V1280" s="6" t="s">
        <v>31</v>
      </c>
      <c r="W1280" s="6" t="s">
        <v>844</v>
      </c>
      <c r="X1280" s="6" t="s">
        <v>166</v>
      </c>
    </row>
    <row r="1281" spans="1:24" ht="15" customHeight="1" x14ac:dyDescent="0.3">
      <c r="A1281" s="6" t="s">
        <v>533</v>
      </c>
      <c r="B1281" s="6" t="s">
        <v>534</v>
      </c>
      <c r="C1281" s="6" t="s">
        <v>31</v>
      </c>
      <c r="D1281" s="1088" t="s">
        <v>549</v>
      </c>
      <c r="E1281" s="6" t="s">
        <v>170</v>
      </c>
      <c r="F1281" s="6" t="s">
        <v>866</v>
      </c>
      <c r="G1281" s="6" t="s">
        <v>1704</v>
      </c>
      <c r="H1281" s="6" t="s">
        <v>1705</v>
      </c>
      <c r="J1281" s="1215" t="s">
        <v>509</v>
      </c>
      <c r="K1281" s="1219" t="s">
        <v>3111</v>
      </c>
      <c r="L1281" s="8">
        <v>360</v>
      </c>
      <c r="M1281" s="8">
        <v>530</v>
      </c>
      <c r="N1281" s="1169" t="s">
        <v>274</v>
      </c>
      <c r="P1281" s="6" t="s">
        <v>3323</v>
      </c>
      <c r="Q1281" s="1215" t="s">
        <v>253</v>
      </c>
      <c r="R1281" s="1215" t="s">
        <v>255</v>
      </c>
      <c r="S1281" s="1215" t="s">
        <v>534</v>
      </c>
      <c r="T1281" s="1215" t="s">
        <v>533</v>
      </c>
      <c r="U1281" s="6" t="s">
        <v>549</v>
      </c>
      <c r="V1281" s="6" t="s">
        <v>31</v>
      </c>
      <c r="W1281" s="6" t="s">
        <v>673</v>
      </c>
      <c r="X1281" s="6" t="s">
        <v>169</v>
      </c>
    </row>
    <row r="1282" spans="1:24" ht="15" customHeight="1" x14ac:dyDescent="0.3">
      <c r="A1282" s="6" t="s">
        <v>533</v>
      </c>
      <c r="B1282" s="6" t="s">
        <v>534</v>
      </c>
      <c r="C1282" s="6" t="s">
        <v>31</v>
      </c>
      <c r="D1282" s="1088" t="s">
        <v>549</v>
      </c>
      <c r="E1282" s="6" t="s">
        <v>170</v>
      </c>
      <c r="F1282" s="6" t="s">
        <v>866</v>
      </c>
      <c r="G1282" s="6" t="s">
        <v>1704</v>
      </c>
      <c r="H1282" s="6" t="s">
        <v>1705</v>
      </c>
      <c r="J1282" s="1215" t="s">
        <v>509</v>
      </c>
      <c r="K1282" s="1219" t="s">
        <v>3112</v>
      </c>
      <c r="L1282" s="8">
        <v>50</v>
      </c>
      <c r="M1282" s="8">
        <v>1000</v>
      </c>
      <c r="N1282" s="1169" t="s">
        <v>272</v>
      </c>
      <c r="P1282" s="6" t="s">
        <v>3323</v>
      </c>
      <c r="Q1282" s="1215" t="s">
        <v>253</v>
      </c>
      <c r="R1282" s="1215" t="s">
        <v>255</v>
      </c>
      <c r="S1282" s="1215" t="s">
        <v>534</v>
      </c>
      <c r="T1282" s="1215" t="s">
        <v>533</v>
      </c>
      <c r="U1282" s="6" t="s">
        <v>549</v>
      </c>
      <c r="V1282" s="6" t="s">
        <v>31</v>
      </c>
      <c r="W1282" s="6" t="s">
        <v>673</v>
      </c>
      <c r="X1282" s="6" t="s">
        <v>169</v>
      </c>
    </row>
    <row r="1283" spans="1:24" ht="15" customHeight="1" x14ac:dyDescent="0.3">
      <c r="A1283" s="6" t="s">
        <v>533</v>
      </c>
      <c r="B1283" s="6" t="s">
        <v>534</v>
      </c>
      <c r="C1283" s="6" t="s">
        <v>31</v>
      </c>
      <c r="D1283" s="1088" t="s">
        <v>549</v>
      </c>
      <c r="E1283" s="1088" t="s">
        <v>166</v>
      </c>
      <c r="F1283" s="6" t="s">
        <v>844</v>
      </c>
      <c r="G1283" s="6" t="s">
        <v>845</v>
      </c>
      <c r="H1283" s="6" t="s">
        <v>1588</v>
      </c>
      <c r="J1283" s="1215" t="s">
        <v>509</v>
      </c>
      <c r="K1283" s="1219" t="s">
        <v>3033</v>
      </c>
      <c r="L1283" s="8">
        <v>18</v>
      </c>
      <c r="M1283" s="8">
        <v>150</v>
      </c>
      <c r="N1283" s="1169" t="s">
        <v>271</v>
      </c>
      <c r="P1283" s="6" t="s">
        <v>3324</v>
      </c>
      <c r="Q1283" s="1215" t="s">
        <v>253</v>
      </c>
      <c r="R1283" s="1215" t="s">
        <v>255</v>
      </c>
      <c r="S1283" s="1215" t="s">
        <v>534</v>
      </c>
      <c r="T1283" s="1215" t="s">
        <v>533</v>
      </c>
      <c r="U1283" s="6" t="s">
        <v>549</v>
      </c>
      <c r="V1283" s="6" t="s">
        <v>31</v>
      </c>
      <c r="W1283" s="6" t="s">
        <v>844</v>
      </c>
      <c r="X1283" s="6" t="s">
        <v>166</v>
      </c>
    </row>
    <row r="1284" spans="1:24" ht="15" customHeight="1" x14ac:dyDescent="0.3">
      <c r="A1284" s="6" t="s">
        <v>533</v>
      </c>
      <c r="B1284" s="6" t="s">
        <v>534</v>
      </c>
      <c r="C1284" s="6" t="s">
        <v>31</v>
      </c>
      <c r="D1284" s="1088" t="s">
        <v>549</v>
      </c>
      <c r="E1284" s="6" t="s">
        <v>166</v>
      </c>
      <c r="F1284" s="6" t="s">
        <v>844</v>
      </c>
      <c r="G1284" s="6" t="s">
        <v>1139</v>
      </c>
      <c r="H1284" s="6" t="s">
        <v>925</v>
      </c>
      <c r="J1284" s="1215" t="s">
        <v>509</v>
      </c>
      <c r="K1284" s="1219" t="s">
        <v>3033</v>
      </c>
      <c r="L1284" s="8">
        <v>38</v>
      </c>
      <c r="M1284" s="8">
        <v>124</v>
      </c>
      <c r="N1284" s="1169" t="s">
        <v>271</v>
      </c>
      <c r="P1284" s="6" t="s">
        <v>3324</v>
      </c>
      <c r="Q1284" s="1215" t="s">
        <v>253</v>
      </c>
      <c r="R1284" s="1215" t="s">
        <v>255</v>
      </c>
      <c r="S1284" s="1215" t="s">
        <v>534</v>
      </c>
      <c r="T1284" s="1215" t="s">
        <v>533</v>
      </c>
      <c r="U1284" s="6" t="s">
        <v>549</v>
      </c>
      <c r="V1284" s="6" t="s">
        <v>31</v>
      </c>
      <c r="W1284" s="6" t="s">
        <v>844</v>
      </c>
      <c r="X1284" s="6" t="s">
        <v>166</v>
      </c>
    </row>
    <row r="1285" spans="1:24" ht="15" customHeight="1" x14ac:dyDescent="0.3">
      <c r="A1285" s="6" t="s">
        <v>533</v>
      </c>
      <c r="B1285" s="6" t="s">
        <v>534</v>
      </c>
      <c r="C1285" s="6" t="s">
        <v>31</v>
      </c>
      <c r="D1285" s="1088" t="s">
        <v>549</v>
      </c>
      <c r="E1285" s="6" t="s">
        <v>166</v>
      </c>
      <c r="F1285" s="6" t="s">
        <v>844</v>
      </c>
      <c r="G1285" s="6" t="s">
        <v>1256</v>
      </c>
      <c r="H1285" s="6" t="s">
        <v>1197</v>
      </c>
      <c r="J1285" s="1215" t="s">
        <v>509</v>
      </c>
      <c r="K1285" s="1219" t="s">
        <v>3033</v>
      </c>
      <c r="L1285" s="8">
        <v>38</v>
      </c>
      <c r="M1285" s="8">
        <v>124</v>
      </c>
      <c r="N1285" s="1169" t="s">
        <v>271</v>
      </c>
      <c r="P1285" s="6" t="s">
        <v>3324</v>
      </c>
      <c r="Q1285" s="1215" t="s">
        <v>253</v>
      </c>
      <c r="R1285" s="1215" t="s">
        <v>255</v>
      </c>
      <c r="S1285" s="1215" t="s">
        <v>534</v>
      </c>
      <c r="T1285" s="1215" t="s">
        <v>533</v>
      </c>
      <c r="U1285" s="6" t="s">
        <v>549</v>
      </c>
      <c r="V1285" s="6" t="s">
        <v>31</v>
      </c>
      <c r="W1285" s="6" t="s">
        <v>844</v>
      </c>
      <c r="X1285" s="6" t="s">
        <v>166</v>
      </c>
    </row>
    <row r="1286" spans="1:24" ht="15" customHeight="1" x14ac:dyDescent="0.3">
      <c r="A1286" s="6" t="s">
        <v>533</v>
      </c>
      <c r="B1286" s="6" t="s">
        <v>534</v>
      </c>
      <c r="C1286" s="6" t="s">
        <v>31</v>
      </c>
      <c r="D1286" s="1088" t="s">
        <v>549</v>
      </c>
      <c r="E1286" s="6" t="s">
        <v>167</v>
      </c>
      <c r="F1286" s="6" t="s">
        <v>1113</v>
      </c>
      <c r="G1286" s="6" t="s">
        <v>2045</v>
      </c>
      <c r="H1286" s="6" t="s">
        <v>2060</v>
      </c>
      <c r="J1286" s="1215" t="s">
        <v>509</v>
      </c>
      <c r="K1286" s="1219" t="s">
        <v>3111</v>
      </c>
      <c r="L1286" s="8">
        <v>20</v>
      </c>
      <c r="M1286" s="8">
        <v>119</v>
      </c>
      <c r="N1286" s="1169" t="s">
        <v>271</v>
      </c>
      <c r="P1286" s="6" t="s">
        <v>3323</v>
      </c>
      <c r="Q1286" s="1215" t="s">
        <v>253</v>
      </c>
      <c r="R1286" s="1215" t="s">
        <v>255</v>
      </c>
      <c r="S1286" s="1215" t="s">
        <v>534</v>
      </c>
      <c r="T1286" s="1215" t="s">
        <v>533</v>
      </c>
      <c r="U1286" s="6" t="s">
        <v>549</v>
      </c>
      <c r="V1286" s="6" t="s">
        <v>31</v>
      </c>
      <c r="W1286" s="6" t="s">
        <v>844</v>
      </c>
      <c r="X1286" s="6" t="s">
        <v>166</v>
      </c>
    </row>
    <row r="1287" spans="1:24" ht="15" customHeight="1" x14ac:dyDescent="0.3">
      <c r="A1287" s="6" t="s">
        <v>533</v>
      </c>
      <c r="B1287" s="6" t="s">
        <v>534</v>
      </c>
      <c r="C1287" s="6" t="s">
        <v>31</v>
      </c>
      <c r="D1287" s="1088" t="s">
        <v>549</v>
      </c>
      <c r="E1287" s="6" t="s">
        <v>167</v>
      </c>
      <c r="F1287" s="6" t="s">
        <v>1113</v>
      </c>
      <c r="G1287" s="6" t="s">
        <v>2049</v>
      </c>
      <c r="H1287" s="6" t="s">
        <v>1934</v>
      </c>
      <c r="J1287" s="1215" t="s">
        <v>509</v>
      </c>
      <c r="K1287" s="1219" t="s">
        <v>3111</v>
      </c>
      <c r="L1287" s="8">
        <v>60</v>
      </c>
      <c r="M1287" s="8">
        <v>750</v>
      </c>
      <c r="N1287" s="1215" t="s">
        <v>273</v>
      </c>
      <c r="O1287" s="1215" t="s">
        <v>3382</v>
      </c>
      <c r="P1287" s="6" t="s">
        <v>3324</v>
      </c>
      <c r="Q1287" s="1215" t="s">
        <v>253</v>
      </c>
      <c r="R1287" s="1215" t="s">
        <v>255</v>
      </c>
      <c r="S1287" s="1215" t="s">
        <v>534</v>
      </c>
      <c r="T1287" s="1215" t="s">
        <v>533</v>
      </c>
      <c r="U1287" s="6" t="s">
        <v>549</v>
      </c>
      <c r="V1287" s="6" t="s">
        <v>31</v>
      </c>
      <c r="W1287" s="6" t="s">
        <v>1113</v>
      </c>
      <c r="X1287" s="6" t="s">
        <v>167</v>
      </c>
    </row>
    <row r="1288" spans="1:24" ht="15" customHeight="1" x14ac:dyDescent="0.3">
      <c r="A1288" s="6" t="s">
        <v>533</v>
      </c>
      <c r="B1288" s="6" t="s">
        <v>534</v>
      </c>
      <c r="C1288" s="6" t="s">
        <v>31</v>
      </c>
      <c r="D1288" s="1088" t="s">
        <v>549</v>
      </c>
      <c r="E1288" s="6" t="s">
        <v>167</v>
      </c>
      <c r="F1288" s="6" t="s">
        <v>1113</v>
      </c>
      <c r="G1288" s="6" t="s">
        <v>2075</v>
      </c>
      <c r="H1288" s="6" t="s">
        <v>2120</v>
      </c>
      <c r="J1288" s="1215" t="s">
        <v>509</v>
      </c>
      <c r="K1288" s="1219" t="s">
        <v>3111</v>
      </c>
      <c r="L1288" s="8">
        <v>2</v>
      </c>
      <c r="M1288" s="8">
        <v>4</v>
      </c>
      <c r="N1288" s="1169" t="s">
        <v>272</v>
      </c>
      <c r="P1288" s="6" t="s">
        <v>3324</v>
      </c>
      <c r="Q1288" s="1215" t="s">
        <v>253</v>
      </c>
      <c r="R1288" s="1215" t="s">
        <v>255</v>
      </c>
      <c r="S1288" s="1215" t="s">
        <v>534</v>
      </c>
      <c r="T1288" s="1215" t="s">
        <v>533</v>
      </c>
      <c r="U1288" s="6" t="s">
        <v>549</v>
      </c>
      <c r="V1288" s="6" t="s">
        <v>31</v>
      </c>
      <c r="W1288" s="6" t="s">
        <v>1113</v>
      </c>
      <c r="X1288" s="6" t="s">
        <v>167</v>
      </c>
    </row>
    <row r="1289" spans="1:24" ht="15" customHeight="1" x14ac:dyDescent="0.3">
      <c r="A1289" s="6" t="s">
        <v>533</v>
      </c>
      <c r="B1289" s="6" t="s">
        <v>534</v>
      </c>
      <c r="C1289" s="6" t="s">
        <v>31</v>
      </c>
      <c r="D1289" s="1088" t="s">
        <v>549</v>
      </c>
      <c r="E1289" s="6" t="s">
        <v>171</v>
      </c>
      <c r="F1289" s="6" t="s">
        <v>634</v>
      </c>
      <c r="G1289" s="6" t="s">
        <v>1048</v>
      </c>
      <c r="H1289" s="6" t="s">
        <v>745</v>
      </c>
      <c r="J1289" s="1215" t="s">
        <v>509</v>
      </c>
      <c r="K1289" s="1219" t="s">
        <v>3033</v>
      </c>
      <c r="L1289" s="8">
        <v>211</v>
      </c>
      <c r="M1289" s="8">
        <v>847</v>
      </c>
      <c r="N1289" s="1169" t="s">
        <v>271</v>
      </c>
      <c r="P1289" s="6" t="s">
        <v>3323</v>
      </c>
      <c r="Q1289" s="1215" t="s">
        <v>253</v>
      </c>
      <c r="R1289" s="1215" t="s">
        <v>255</v>
      </c>
      <c r="S1289" s="1215" t="s">
        <v>534</v>
      </c>
      <c r="T1289" s="1215" t="s">
        <v>533</v>
      </c>
      <c r="U1289" s="6" t="s">
        <v>549</v>
      </c>
      <c r="V1289" s="6" t="s">
        <v>31</v>
      </c>
      <c r="W1289" s="6" t="s">
        <v>844</v>
      </c>
      <c r="X1289" s="6" t="s">
        <v>166</v>
      </c>
    </row>
    <row r="1290" spans="1:24" ht="15" customHeight="1" x14ac:dyDescent="0.3">
      <c r="A1290" s="6" t="s">
        <v>533</v>
      </c>
      <c r="B1290" s="6" t="s">
        <v>534</v>
      </c>
      <c r="C1290" s="6" t="s">
        <v>31</v>
      </c>
      <c r="D1290" s="1088" t="s">
        <v>549</v>
      </c>
      <c r="E1290" s="6" t="s">
        <v>171</v>
      </c>
      <c r="F1290" s="6" t="s">
        <v>634</v>
      </c>
      <c r="G1290" s="6" t="s">
        <v>842</v>
      </c>
      <c r="H1290" s="6" t="s">
        <v>1255</v>
      </c>
      <c r="J1290" s="1215" t="s">
        <v>509</v>
      </c>
      <c r="K1290" s="1219" t="s">
        <v>3033</v>
      </c>
      <c r="L1290" s="8">
        <v>34</v>
      </c>
      <c r="M1290" s="8">
        <v>206</v>
      </c>
      <c r="N1290" s="1169" t="s">
        <v>271</v>
      </c>
      <c r="P1290" s="6" t="s">
        <v>3323</v>
      </c>
      <c r="Q1290" s="1215" t="s">
        <v>253</v>
      </c>
      <c r="R1290" s="1215" t="s">
        <v>255</v>
      </c>
      <c r="S1290" s="1215" t="s">
        <v>534</v>
      </c>
      <c r="T1290" s="1215" t="s">
        <v>533</v>
      </c>
      <c r="U1290" s="6" t="s">
        <v>549</v>
      </c>
      <c r="V1290" s="6" t="s">
        <v>31</v>
      </c>
      <c r="W1290" s="6" t="s">
        <v>844</v>
      </c>
      <c r="X1290" s="6" t="s">
        <v>166</v>
      </c>
    </row>
    <row r="1291" spans="1:24" ht="15" customHeight="1" x14ac:dyDescent="0.3">
      <c r="A1291" s="6" t="s">
        <v>533</v>
      </c>
      <c r="B1291" s="6" t="s">
        <v>534</v>
      </c>
      <c r="C1291" s="6" t="s">
        <v>31</v>
      </c>
      <c r="D1291" s="1088" t="s">
        <v>549</v>
      </c>
      <c r="E1291" s="6" t="s">
        <v>171</v>
      </c>
      <c r="F1291" s="6" t="s">
        <v>634</v>
      </c>
      <c r="G1291" s="6" t="s">
        <v>842</v>
      </c>
      <c r="H1291" s="6" t="s">
        <v>1255</v>
      </c>
      <c r="J1291" s="1215" t="s">
        <v>509</v>
      </c>
      <c r="K1291" s="1219" t="s">
        <v>3109</v>
      </c>
      <c r="L1291" s="8">
        <v>0</v>
      </c>
      <c r="M1291" s="8">
        <v>4</v>
      </c>
      <c r="N1291" s="1169" t="s">
        <v>271</v>
      </c>
      <c r="P1291" s="6" t="s">
        <v>3323</v>
      </c>
      <c r="Q1291" s="1215" t="s">
        <v>253</v>
      </c>
      <c r="R1291" s="1215" t="s">
        <v>255</v>
      </c>
      <c r="S1291" s="1215" t="s">
        <v>534</v>
      </c>
      <c r="T1291" s="1215" t="s">
        <v>533</v>
      </c>
      <c r="U1291" s="6" t="s">
        <v>549</v>
      </c>
      <c r="V1291" s="6" t="s">
        <v>31</v>
      </c>
      <c r="W1291" s="6" t="s">
        <v>844</v>
      </c>
      <c r="X1291" s="6" t="s">
        <v>166</v>
      </c>
    </row>
    <row r="1292" spans="1:24" ht="15" customHeight="1" x14ac:dyDescent="0.3">
      <c r="A1292" s="6" t="s">
        <v>533</v>
      </c>
      <c r="B1292" s="6" t="s">
        <v>534</v>
      </c>
      <c r="C1292" s="6" t="s">
        <v>31</v>
      </c>
      <c r="D1292" s="1088" t="s">
        <v>549</v>
      </c>
      <c r="E1292" s="1088" t="s">
        <v>171</v>
      </c>
      <c r="F1292" s="6" t="s">
        <v>634</v>
      </c>
      <c r="G1292" s="6" t="s">
        <v>842</v>
      </c>
      <c r="H1292" s="6" t="s">
        <v>1255</v>
      </c>
      <c r="J1292" s="1215" t="s">
        <v>509</v>
      </c>
      <c r="K1292" s="1219" t="s">
        <v>3110</v>
      </c>
      <c r="L1292" s="8">
        <v>5</v>
      </c>
      <c r="M1292" s="8">
        <v>34</v>
      </c>
      <c r="N1292" s="1169" t="s">
        <v>271</v>
      </c>
      <c r="P1292" s="6" t="s">
        <v>3323</v>
      </c>
      <c r="Q1292" s="1215" t="s">
        <v>253</v>
      </c>
      <c r="R1292" s="1215" t="s">
        <v>255</v>
      </c>
      <c r="S1292" s="1215" t="s">
        <v>534</v>
      </c>
      <c r="T1292" s="1215" t="s">
        <v>533</v>
      </c>
      <c r="U1292" s="6" t="s">
        <v>549</v>
      </c>
      <c r="V1292" s="6" t="s">
        <v>31</v>
      </c>
      <c r="W1292" s="6" t="s">
        <v>844</v>
      </c>
      <c r="X1292" s="6" t="s">
        <v>166</v>
      </c>
    </row>
    <row r="1293" spans="1:24" ht="15" customHeight="1" x14ac:dyDescent="0.3">
      <c r="A1293" s="6" t="s">
        <v>533</v>
      </c>
      <c r="B1293" s="6" t="s">
        <v>534</v>
      </c>
      <c r="C1293" s="6" t="s">
        <v>31</v>
      </c>
      <c r="D1293" s="1088" t="s">
        <v>549</v>
      </c>
      <c r="E1293" s="6" t="s">
        <v>171</v>
      </c>
      <c r="F1293" s="6" t="s">
        <v>634</v>
      </c>
      <c r="G1293" s="6" t="s">
        <v>842</v>
      </c>
      <c r="H1293" s="6" t="s">
        <v>1255</v>
      </c>
      <c r="J1293" s="1215" t="s">
        <v>509</v>
      </c>
      <c r="K1293" s="1219" t="s">
        <v>3111</v>
      </c>
      <c r="L1293" s="8">
        <v>0</v>
      </c>
      <c r="M1293" s="8">
        <v>3</v>
      </c>
      <c r="N1293" s="1169" t="s">
        <v>271</v>
      </c>
      <c r="P1293" s="6" t="s">
        <v>3323</v>
      </c>
      <c r="Q1293" s="1215" t="s">
        <v>253</v>
      </c>
      <c r="R1293" s="1215" t="s">
        <v>255</v>
      </c>
      <c r="S1293" s="1215" t="s">
        <v>534</v>
      </c>
      <c r="T1293" s="1215" t="s">
        <v>533</v>
      </c>
      <c r="U1293" s="6" t="s">
        <v>549</v>
      </c>
      <c r="V1293" s="6" t="s">
        <v>31</v>
      </c>
      <c r="W1293" s="6" t="s">
        <v>844</v>
      </c>
      <c r="X1293" s="6" t="s">
        <v>166</v>
      </c>
    </row>
    <row r="1294" spans="1:24" ht="15" customHeight="1" x14ac:dyDescent="0.3">
      <c r="A1294" s="6" t="s">
        <v>533</v>
      </c>
      <c r="B1294" s="6" t="s">
        <v>534</v>
      </c>
      <c r="C1294" s="6" t="s">
        <v>34</v>
      </c>
      <c r="D1294" s="1088" t="s">
        <v>539</v>
      </c>
      <c r="E1294" s="6" t="s">
        <v>188</v>
      </c>
      <c r="F1294" s="6" t="s">
        <v>546</v>
      </c>
      <c r="G1294" s="6" t="s">
        <v>1791</v>
      </c>
      <c r="H1294" s="6" t="s">
        <v>668</v>
      </c>
      <c r="J1294" s="1215" t="s">
        <v>509</v>
      </c>
      <c r="K1294" s="1219" t="s">
        <v>3033</v>
      </c>
      <c r="L1294" s="8">
        <v>14</v>
      </c>
      <c r="M1294" s="8">
        <v>41</v>
      </c>
      <c r="N1294" s="1169" t="s">
        <v>271</v>
      </c>
      <c r="P1294" s="6" t="s">
        <v>3324</v>
      </c>
      <c r="Q1294" s="1215" t="s">
        <v>253</v>
      </c>
      <c r="R1294" s="1215" t="s">
        <v>255</v>
      </c>
      <c r="S1294" s="1215" t="s">
        <v>534</v>
      </c>
      <c r="T1294" s="1215" t="s">
        <v>533</v>
      </c>
      <c r="U1294" s="6" t="s">
        <v>539</v>
      </c>
      <c r="V1294" s="6" t="s">
        <v>34</v>
      </c>
      <c r="W1294" s="6" t="s">
        <v>546</v>
      </c>
      <c r="X1294" s="6" t="s">
        <v>188</v>
      </c>
    </row>
    <row r="1295" spans="1:24" ht="15" customHeight="1" x14ac:dyDescent="0.3">
      <c r="A1295" s="6" t="s">
        <v>533</v>
      </c>
      <c r="B1295" s="6" t="s">
        <v>534</v>
      </c>
      <c r="C1295" s="6" t="s">
        <v>34</v>
      </c>
      <c r="D1295" s="1088" t="s">
        <v>539</v>
      </c>
      <c r="E1295" s="6" t="s">
        <v>188</v>
      </c>
      <c r="F1295" s="6" t="s">
        <v>546</v>
      </c>
      <c r="G1295" s="6" t="s">
        <v>1791</v>
      </c>
      <c r="H1295" s="6" t="s">
        <v>668</v>
      </c>
      <c r="J1295" s="1215" t="s">
        <v>509</v>
      </c>
      <c r="K1295" s="1219" t="s">
        <v>3109</v>
      </c>
      <c r="L1295" s="8">
        <v>0</v>
      </c>
      <c r="M1295" s="8">
        <v>5</v>
      </c>
      <c r="N1295" s="1169" t="s">
        <v>271</v>
      </c>
      <c r="P1295" s="6" t="s">
        <v>3324</v>
      </c>
      <c r="Q1295" s="1215" t="s">
        <v>253</v>
      </c>
      <c r="R1295" s="1215" t="s">
        <v>255</v>
      </c>
      <c r="S1295" s="1215" t="s">
        <v>534</v>
      </c>
      <c r="T1295" s="1215" t="s">
        <v>533</v>
      </c>
      <c r="U1295" s="6" t="s">
        <v>539</v>
      </c>
      <c r="V1295" s="6" t="s">
        <v>34</v>
      </c>
      <c r="W1295" s="6" t="s">
        <v>546</v>
      </c>
      <c r="X1295" s="6" t="s">
        <v>188</v>
      </c>
    </row>
    <row r="1296" spans="1:24" ht="15" customHeight="1" x14ac:dyDescent="0.3">
      <c r="A1296" s="6" t="s">
        <v>533</v>
      </c>
      <c r="B1296" s="6" t="s">
        <v>534</v>
      </c>
      <c r="C1296" s="6" t="s">
        <v>34</v>
      </c>
      <c r="D1296" s="1088" t="s">
        <v>539</v>
      </c>
      <c r="E1296" s="6" t="s">
        <v>188</v>
      </c>
      <c r="F1296" s="6" t="s">
        <v>546</v>
      </c>
      <c r="G1296" s="6" t="s">
        <v>1791</v>
      </c>
      <c r="H1296" s="6" t="s">
        <v>668</v>
      </c>
      <c r="J1296" s="1215" t="s">
        <v>509</v>
      </c>
      <c r="K1296" s="1219" t="s">
        <v>3110</v>
      </c>
      <c r="L1296" s="8">
        <v>0</v>
      </c>
      <c r="M1296" s="8">
        <v>7</v>
      </c>
      <c r="N1296" s="1169" t="s">
        <v>271</v>
      </c>
      <c r="P1296" s="6" t="s">
        <v>3324</v>
      </c>
      <c r="Q1296" s="1215" t="s">
        <v>253</v>
      </c>
      <c r="R1296" s="1215" t="s">
        <v>255</v>
      </c>
      <c r="S1296" s="1215" t="s">
        <v>534</v>
      </c>
      <c r="T1296" s="1215" t="s">
        <v>533</v>
      </c>
      <c r="U1296" s="6" t="s">
        <v>539</v>
      </c>
      <c r="V1296" s="6" t="s">
        <v>34</v>
      </c>
      <c r="W1296" s="6" t="s">
        <v>546</v>
      </c>
      <c r="X1296" s="6" t="s">
        <v>188</v>
      </c>
    </row>
    <row r="1297" spans="1:24" ht="15" customHeight="1" x14ac:dyDescent="0.3">
      <c r="A1297" s="6" t="s">
        <v>533</v>
      </c>
      <c r="B1297" s="6" t="s">
        <v>534</v>
      </c>
      <c r="C1297" s="6" t="s">
        <v>34</v>
      </c>
      <c r="D1297" s="1088" t="s">
        <v>539</v>
      </c>
      <c r="E1297" s="1088" t="s">
        <v>188</v>
      </c>
      <c r="F1297" s="6" t="s">
        <v>546</v>
      </c>
      <c r="G1297" s="6" t="s">
        <v>1791</v>
      </c>
      <c r="H1297" s="6" t="s">
        <v>668</v>
      </c>
      <c r="J1297" s="1215" t="s">
        <v>509</v>
      </c>
      <c r="K1297" s="1219" t="s">
        <v>3111</v>
      </c>
      <c r="L1297" s="8">
        <v>27</v>
      </c>
      <c r="M1297" s="8">
        <v>147</v>
      </c>
      <c r="N1297" s="1169" t="s">
        <v>271</v>
      </c>
      <c r="P1297" s="6" t="s">
        <v>3324</v>
      </c>
      <c r="Q1297" s="1215" t="s">
        <v>253</v>
      </c>
      <c r="R1297" s="1215" t="s">
        <v>255</v>
      </c>
      <c r="S1297" s="1215" t="s">
        <v>534</v>
      </c>
      <c r="T1297" s="1215" t="s">
        <v>533</v>
      </c>
      <c r="U1297" s="6" t="s">
        <v>539</v>
      </c>
      <c r="V1297" s="6" t="s">
        <v>34</v>
      </c>
      <c r="W1297" s="6" t="s">
        <v>546</v>
      </c>
      <c r="X1297" s="6" t="s">
        <v>188</v>
      </c>
    </row>
    <row r="1298" spans="1:24" ht="15" customHeight="1" x14ac:dyDescent="0.3">
      <c r="A1298" s="6" t="s">
        <v>533</v>
      </c>
      <c r="B1298" s="6" t="s">
        <v>534</v>
      </c>
      <c r="C1298" s="6" t="s">
        <v>34</v>
      </c>
      <c r="D1298" s="1088" t="s">
        <v>539</v>
      </c>
      <c r="E1298" s="1088" t="s">
        <v>188</v>
      </c>
      <c r="F1298" s="6" t="s">
        <v>546</v>
      </c>
      <c r="G1298" s="6" t="s">
        <v>1791</v>
      </c>
      <c r="H1298" s="6" t="s">
        <v>668</v>
      </c>
      <c r="J1298" s="1215" t="s">
        <v>509</v>
      </c>
      <c r="K1298" s="1219" t="s">
        <v>3112</v>
      </c>
      <c r="L1298" s="8">
        <v>0</v>
      </c>
      <c r="M1298" s="8">
        <v>12</v>
      </c>
      <c r="N1298" s="1169" t="s">
        <v>271</v>
      </c>
      <c r="P1298" s="6" t="s">
        <v>3324</v>
      </c>
      <c r="Q1298" s="1215" t="s">
        <v>253</v>
      </c>
      <c r="R1298" s="1215" t="s">
        <v>255</v>
      </c>
      <c r="S1298" s="1215" t="s">
        <v>534</v>
      </c>
      <c r="T1298" s="1215" t="s">
        <v>533</v>
      </c>
      <c r="U1298" s="6" t="s">
        <v>539</v>
      </c>
      <c r="V1298" s="6" t="s">
        <v>34</v>
      </c>
      <c r="W1298" s="6" t="s">
        <v>546</v>
      </c>
      <c r="X1298" s="6" t="s">
        <v>188</v>
      </c>
    </row>
    <row r="1299" spans="1:24" ht="15" customHeight="1" x14ac:dyDescent="0.3">
      <c r="A1299" s="6" t="s">
        <v>533</v>
      </c>
      <c r="B1299" s="6" t="s">
        <v>534</v>
      </c>
      <c r="C1299" s="6" t="s">
        <v>34</v>
      </c>
      <c r="D1299" s="1088" t="s">
        <v>539</v>
      </c>
      <c r="E1299" s="6" t="s">
        <v>188</v>
      </c>
      <c r="F1299" s="6" t="s">
        <v>546</v>
      </c>
      <c r="G1299" s="6" t="s">
        <v>1430</v>
      </c>
      <c r="H1299" s="6" t="s">
        <v>666</v>
      </c>
      <c r="J1299" s="1215" t="s">
        <v>509</v>
      </c>
      <c r="K1299" s="1219" t="s">
        <v>3033</v>
      </c>
      <c r="L1299" s="8">
        <v>4</v>
      </c>
      <c r="M1299" s="8">
        <v>14</v>
      </c>
      <c r="N1299" s="1169" t="s">
        <v>271</v>
      </c>
      <c r="P1299" s="6" t="s">
        <v>3324</v>
      </c>
      <c r="Q1299" s="1215" t="s">
        <v>253</v>
      </c>
      <c r="R1299" s="1215" t="s">
        <v>255</v>
      </c>
      <c r="S1299" s="1215" t="s">
        <v>534</v>
      </c>
      <c r="T1299" s="1215" t="s">
        <v>533</v>
      </c>
      <c r="U1299" s="6" t="s">
        <v>539</v>
      </c>
      <c r="V1299" s="6" t="s">
        <v>34</v>
      </c>
      <c r="W1299" s="6" t="s">
        <v>546</v>
      </c>
      <c r="X1299" s="6" t="s">
        <v>188</v>
      </c>
    </row>
    <row r="1300" spans="1:24" ht="15" customHeight="1" x14ac:dyDescent="0.3">
      <c r="A1300" s="6" t="s">
        <v>533</v>
      </c>
      <c r="B1300" s="6" t="s">
        <v>534</v>
      </c>
      <c r="C1300" s="6" t="s">
        <v>34</v>
      </c>
      <c r="D1300" s="1088" t="s">
        <v>539</v>
      </c>
      <c r="E1300" s="6" t="s">
        <v>188</v>
      </c>
      <c r="F1300" s="6" t="s">
        <v>546</v>
      </c>
      <c r="G1300" s="6" t="s">
        <v>1430</v>
      </c>
      <c r="H1300" s="6" t="s">
        <v>666</v>
      </c>
      <c r="J1300" s="1215" t="s">
        <v>509</v>
      </c>
      <c r="K1300" s="1219" t="s">
        <v>3110</v>
      </c>
      <c r="L1300" s="8">
        <v>0</v>
      </c>
      <c r="M1300" s="8">
        <v>3</v>
      </c>
      <c r="N1300" s="1169" t="s">
        <v>271</v>
      </c>
      <c r="P1300" s="6" t="s">
        <v>3324</v>
      </c>
      <c r="Q1300" s="1215" t="s">
        <v>253</v>
      </c>
      <c r="R1300" s="1215" t="s">
        <v>255</v>
      </c>
      <c r="S1300" s="1215" t="s">
        <v>534</v>
      </c>
      <c r="T1300" s="1215" t="s">
        <v>533</v>
      </c>
      <c r="U1300" s="6" t="s">
        <v>539</v>
      </c>
      <c r="V1300" s="6" t="s">
        <v>34</v>
      </c>
      <c r="W1300" s="6" t="s">
        <v>546</v>
      </c>
      <c r="X1300" s="6" t="s">
        <v>188</v>
      </c>
    </row>
    <row r="1301" spans="1:24" ht="15" customHeight="1" x14ac:dyDescent="0.3">
      <c r="A1301" s="6" t="s">
        <v>533</v>
      </c>
      <c r="B1301" s="6" t="s">
        <v>534</v>
      </c>
      <c r="C1301" s="6" t="s">
        <v>34</v>
      </c>
      <c r="D1301" s="1088" t="s">
        <v>539</v>
      </c>
      <c r="E1301" s="6" t="s">
        <v>188</v>
      </c>
      <c r="F1301" s="6" t="s">
        <v>546</v>
      </c>
      <c r="G1301" s="6" t="s">
        <v>1430</v>
      </c>
      <c r="H1301" s="6" t="s">
        <v>666</v>
      </c>
      <c r="J1301" s="1215" t="s">
        <v>509</v>
      </c>
      <c r="K1301" s="1219" t="s">
        <v>3111</v>
      </c>
      <c r="L1301" s="8">
        <v>16</v>
      </c>
      <c r="M1301" s="8">
        <v>88</v>
      </c>
      <c r="N1301" s="1169" t="s">
        <v>271</v>
      </c>
      <c r="P1301" s="6" t="s">
        <v>3324</v>
      </c>
      <c r="Q1301" s="1215" t="s">
        <v>253</v>
      </c>
      <c r="R1301" s="1215" t="s">
        <v>255</v>
      </c>
      <c r="S1301" s="1215" t="s">
        <v>534</v>
      </c>
      <c r="T1301" s="1215" t="s">
        <v>533</v>
      </c>
      <c r="U1301" s="6" t="s">
        <v>539</v>
      </c>
      <c r="V1301" s="6" t="s">
        <v>34</v>
      </c>
      <c r="W1301" s="6" t="s">
        <v>546</v>
      </c>
      <c r="X1301" s="6" t="s">
        <v>188</v>
      </c>
    </row>
    <row r="1302" spans="1:24" ht="15" customHeight="1" x14ac:dyDescent="0.3">
      <c r="A1302" s="6" t="s">
        <v>533</v>
      </c>
      <c r="B1302" s="6" t="s">
        <v>534</v>
      </c>
      <c r="C1302" s="6" t="s">
        <v>34</v>
      </c>
      <c r="D1302" s="1088" t="s">
        <v>539</v>
      </c>
      <c r="E1302" s="6" t="s">
        <v>188</v>
      </c>
      <c r="F1302" s="6" t="s">
        <v>546</v>
      </c>
      <c r="G1302" s="6" t="s">
        <v>1430</v>
      </c>
      <c r="H1302" s="6" t="s">
        <v>666</v>
      </c>
      <c r="J1302" s="1215" t="s">
        <v>509</v>
      </c>
      <c r="K1302" s="1219" t="s">
        <v>3112</v>
      </c>
      <c r="L1302" s="8">
        <v>0</v>
      </c>
      <c r="M1302" s="8">
        <v>5</v>
      </c>
      <c r="N1302" s="1169" t="s">
        <v>271</v>
      </c>
      <c r="P1302" s="6" t="s">
        <v>3324</v>
      </c>
      <c r="Q1302" s="1215" t="s">
        <v>253</v>
      </c>
      <c r="R1302" s="1215" t="s">
        <v>255</v>
      </c>
      <c r="S1302" s="1215" t="s">
        <v>534</v>
      </c>
      <c r="T1302" s="1215" t="s">
        <v>533</v>
      </c>
      <c r="U1302" s="6" t="s">
        <v>539</v>
      </c>
      <c r="V1302" s="6" t="s">
        <v>34</v>
      </c>
      <c r="W1302" s="6" t="s">
        <v>546</v>
      </c>
      <c r="X1302" s="6" t="s">
        <v>188</v>
      </c>
    </row>
    <row r="1303" spans="1:24" ht="15" customHeight="1" x14ac:dyDescent="0.3">
      <c r="A1303" s="6" t="s">
        <v>533</v>
      </c>
      <c r="B1303" s="6" t="s">
        <v>534</v>
      </c>
      <c r="C1303" s="6" t="s">
        <v>34</v>
      </c>
      <c r="D1303" s="1088" t="s">
        <v>539</v>
      </c>
      <c r="E1303" s="6" t="s">
        <v>188</v>
      </c>
      <c r="F1303" s="6" t="s">
        <v>546</v>
      </c>
      <c r="G1303" s="6" t="s">
        <v>2796</v>
      </c>
      <c r="H1303" s="6" t="s">
        <v>646</v>
      </c>
      <c r="J1303" s="1215" t="s">
        <v>509</v>
      </c>
      <c r="K1303" s="1219" t="s">
        <v>3033</v>
      </c>
      <c r="L1303" s="8">
        <v>293</v>
      </c>
      <c r="M1303" s="8">
        <v>974</v>
      </c>
      <c r="N1303" s="1169" t="s">
        <v>271</v>
      </c>
      <c r="P1303" s="6" t="s">
        <v>3324</v>
      </c>
      <c r="Q1303" s="1215" t="s">
        <v>253</v>
      </c>
      <c r="R1303" s="1215" t="s">
        <v>255</v>
      </c>
      <c r="S1303" s="1215" t="s">
        <v>534</v>
      </c>
      <c r="T1303" s="1215" t="s">
        <v>533</v>
      </c>
      <c r="U1303" s="6" t="s">
        <v>539</v>
      </c>
      <c r="V1303" s="6" t="s">
        <v>34</v>
      </c>
      <c r="W1303" s="6" t="s">
        <v>546</v>
      </c>
      <c r="X1303" s="6" t="s">
        <v>188</v>
      </c>
    </row>
    <row r="1304" spans="1:24" ht="15" customHeight="1" x14ac:dyDescent="0.3">
      <c r="A1304" s="6" t="s">
        <v>533</v>
      </c>
      <c r="B1304" s="6" t="s">
        <v>534</v>
      </c>
      <c r="C1304" s="6" t="s">
        <v>34</v>
      </c>
      <c r="D1304" s="1088" t="s">
        <v>539</v>
      </c>
      <c r="E1304" s="6" t="s">
        <v>188</v>
      </c>
      <c r="F1304" s="6" t="s">
        <v>546</v>
      </c>
      <c r="G1304" s="6" t="s">
        <v>2796</v>
      </c>
      <c r="H1304" s="6" t="s">
        <v>646</v>
      </c>
      <c r="J1304" s="1215" t="s">
        <v>509</v>
      </c>
      <c r="K1304" s="1219" t="s">
        <v>3109</v>
      </c>
      <c r="L1304" s="8">
        <v>125</v>
      </c>
      <c r="M1304" s="8">
        <v>507</v>
      </c>
      <c r="N1304" s="1169" t="s">
        <v>271</v>
      </c>
      <c r="P1304" s="6" t="s">
        <v>3324</v>
      </c>
      <c r="Q1304" s="1215" t="s">
        <v>253</v>
      </c>
      <c r="R1304" s="1215" t="s">
        <v>255</v>
      </c>
      <c r="S1304" s="1215" t="s">
        <v>534</v>
      </c>
      <c r="T1304" s="1215" t="s">
        <v>533</v>
      </c>
      <c r="U1304" s="6" t="s">
        <v>539</v>
      </c>
      <c r="V1304" s="6" t="s">
        <v>34</v>
      </c>
      <c r="W1304" s="6" t="s">
        <v>546</v>
      </c>
      <c r="X1304" s="6" t="s">
        <v>188</v>
      </c>
    </row>
    <row r="1305" spans="1:24" ht="15" customHeight="1" x14ac:dyDescent="0.3">
      <c r="A1305" s="6" t="s">
        <v>533</v>
      </c>
      <c r="B1305" s="6" t="s">
        <v>534</v>
      </c>
      <c r="C1305" s="6" t="s">
        <v>34</v>
      </c>
      <c r="D1305" s="1088" t="s">
        <v>539</v>
      </c>
      <c r="E1305" s="6" t="s">
        <v>188</v>
      </c>
      <c r="F1305" s="6" t="s">
        <v>546</v>
      </c>
      <c r="G1305" s="6" t="s">
        <v>2796</v>
      </c>
      <c r="H1305" s="6" t="s">
        <v>646</v>
      </c>
      <c r="J1305" s="1215" t="s">
        <v>509</v>
      </c>
      <c r="K1305" s="1219" t="s">
        <v>3110</v>
      </c>
      <c r="L1305" s="8">
        <v>20</v>
      </c>
      <c r="M1305" s="8">
        <v>128</v>
      </c>
      <c r="N1305" s="1169" t="s">
        <v>271</v>
      </c>
      <c r="P1305" s="6" t="s">
        <v>3324</v>
      </c>
      <c r="Q1305" s="1215" t="s">
        <v>253</v>
      </c>
      <c r="R1305" s="1215" t="s">
        <v>255</v>
      </c>
      <c r="S1305" s="1215" t="s">
        <v>534</v>
      </c>
      <c r="T1305" s="1215" t="s">
        <v>533</v>
      </c>
      <c r="U1305" s="6" t="s">
        <v>539</v>
      </c>
      <c r="V1305" s="6" t="s">
        <v>34</v>
      </c>
      <c r="W1305" s="6" t="s">
        <v>546</v>
      </c>
      <c r="X1305" s="6" t="s">
        <v>188</v>
      </c>
    </row>
    <row r="1306" spans="1:24" ht="15" customHeight="1" x14ac:dyDescent="0.3">
      <c r="A1306" s="6" t="s">
        <v>533</v>
      </c>
      <c r="B1306" s="6" t="s">
        <v>534</v>
      </c>
      <c r="C1306" s="6" t="s">
        <v>34</v>
      </c>
      <c r="D1306" s="1088" t="s">
        <v>539</v>
      </c>
      <c r="E1306" s="1088" t="s">
        <v>188</v>
      </c>
      <c r="F1306" s="6" t="s">
        <v>546</v>
      </c>
      <c r="G1306" s="6" t="s">
        <v>2796</v>
      </c>
      <c r="H1306" s="6" t="s">
        <v>646</v>
      </c>
      <c r="J1306" s="1215" t="s">
        <v>509</v>
      </c>
      <c r="K1306" s="1219" t="s">
        <v>3111</v>
      </c>
      <c r="L1306" s="8">
        <v>32</v>
      </c>
      <c r="M1306" s="8">
        <v>109</v>
      </c>
      <c r="N1306" s="1169" t="s">
        <v>271</v>
      </c>
      <c r="P1306" s="6" t="s">
        <v>3324</v>
      </c>
      <c r="Q1306" s="1215" t="s">
        <v>253</v>
      </c>
      <c r="R1306" s="1215" t="s">
        <v>255</v>
      </c>
      <c r="S1306" s="1215" t="s">
        <v>534</v>
      </c>
      <c r="T1306" s="1215" t="s">
        <v>533</v>
      </c>
      <c r="U1306" s="6" t="s">
        <v>539</v>
      </c>
      <c r="V1306" s="6" t="s">
        <v>34</v>
      </c>
      <c r="W1306" s="6" t="s">
        <v>546</v>
      </c>
      <c r="X1306" s="6" t="s">
        <v>188</v>
      </c>
    </row>
    <row r="1307" spans="1:24" ht="15" customHeight="1" x14ac:dyDescent="0.3">
      <c r="A1307" s="6" t="s">
        <v>533</v>
      </c>
      <c r="B1307" s="6" t="s">
        <v>534</v>
      </c>
      <c r="C1307" s="6" t="s">
        <v>34</v>
      </c>
      <c r="D1307" s="1088" t="s">
        <v>539</v>
      </c>
      <c r="E1307" s="1088" t="s">
        <v>188</v>
      </c>
      <c r="F1307" s="6" t="s">
        <v>546</v>
      </c>
      <c r="G1307" s="6" t="s">
        <v>2796</v>
      </c>
      <c r="H1307" s="6" t="s">
        <v>646</v>
      </c>
      <c r="J1307" s="1215" t="s">
        <v>509</v>
      </c>
      <c r="K1307" s="1219" t="s">
        <v>3112</v>
      </c>
      <c r="L1307" s="8">
        <v>0</v>
      </c>
      <c r="M1307" s="8">
        <v>15</v>
      </c>
      <c r="N1307" s="6" t="s">
        <v>271</v>
      </c>
      <c r="P1307" s="6" t="s">
        <v>3324</v>
      </c>
      <c r="Q1307" s="1215" t="s">
        <v>253</v>
      </c>
      <c r="R1307" s="1215" t="s">
        <v>255</v>
      </c>
      <c r="S1307" s="1215" t="s">
        <v>534</v>
      </c>
      <c r="T1307" s="1215" t="s">
        <v>533</v>
      </c>
      <c r="U1307" s="6" t="s">
        <v>539</v>
      </c>
      <c r="V1307" s="6" t="s">
        <v>34</v>
      </c>
      <c r="W1307" s="6" t="s">
        <v>546</v>
      </c>
      <c r="X1307" s="6" t="s">
        <v>188</v>
      </c>
    </row>
    <row r="1308" spans="1:24" ht="15" customHeight="1" x14ac:dyDescent="0.3">
      <c r="A1308" s="6" t="s">
        <v>533</v>
      </c>
      <c r="B1308" s="6" t="s">
        <v>534</v>
      </c>
      <c r="C1308" s="6" t="s">
        <v>35</v>
      </c>
      <c r="D1308" s="1088" t="s">
        <v>567</v>
      </c>
      <c r="E1308" s="6" t="s">
        <v>192</v>
      </c>
      <c r="F1308" s="6" t="s">
        <v>853</v>
      </c>
      <c r="G1308" s="6" t="s">
        <v>854</v>
      </c>
      <c r="H1308" s="6" t="s">
        <v>1953</v>
      </c>
      <c r="J1308" s="1215" t="s">
        <v>509</v>
      </c>
      <c r="K1308" s="1219" t="s">
        <v>3033</v>
      </c>
      <c r="L1308" s="8">
        <v>63</v>
      </c>
      <c r="M1308" s="8">
        <v>368</v>
      </c>
      <c r="N1308" s="1169" t="s">
        <v>271</v>
      </c>
      <c r="P1308" s="6" t="s">
        <v>3324</v>
      </c>
      <c r="Q1308" s="1215" t="s">
        <v>253</v>
      </c>
      <c r="R1308" s="1215" t="s">
        <v>255</v>
      </c>
      <c r="S1308" s="1215" t="s">
        <v>534</v>
      </c>
      <c r="T1308" s="1215" t="s">
        <v>533</v>
      </c>
      <c r="U1308" s="6" t="s">
        <v>567</v>
      </c>
      <c r="V1308" s="6" t="s">
        <v>35</v>
      </c>
      <c r="W1308" s="6" t="s">
        <v>853</v>
      </c>
      <c r="X1308" s="6" t="s">
        <v>192</v>
      </c>
    </row>
    <row r="1309" spans="1:24" ht="15" customHeight="1" x14ac:dyDescent="0.3">
      <c r="A1309" s="6" t="s">
        <v>533</v>
      </c>
      <c r="B1309" s="6" t="s">
        <v>534</v>
      </c>
      <c r="C1309" s="6" t="s">
        <v>35</v>
      </c>
      <c r="D1309" s="1088" t="s">
        <v>567</v>
      </c>
      <c r="E1309" s="1088" t="s">
        <v>192</v>
      </c>
      <c r="F1309" s="6" t="s">
        <v>853</v>
      </c>
      <c r="G1309" s="6" t="s">
        <v>854</v>
      </c>
      <c r="H1309" s="6" t="s">
        <v>1953</v>
      </c>
      <c r="J1309" s="1215" t="s">
        <v>509</v>
      </c>
      <c r="K1309" s="1219" t="s">
        <v>3110</v>
      </c>
      <c r="L1309" s="8">
        <v>56</v>
      </c>
      <c r="M1309" s="8">
        <v>314</v>
      </c>
      <c r="N1309" s="6" t="s">
        <v>271</v>
      </c>
      <c r="P1309" s="6" t="s">
        <v>3323</v>
      </c>
      <c r="Q1309" s="1215" t="s">
        <v>253</v>
      </c>
      <c r="R1309" s="1215" t="s">
        <v>255</v>
      </c>
      <c r="S1309" s="1215" t="s">
        <v>534</v>
      </c>
      <c r="T1309" s="1215" t="s">
        <v>533</v>
      </c>
      <c r="U1309" s="6" t="s">
        <v>567</v>
      </c>
      <c r="V1309" s="6" t="s">
        <v>35</v>
      </c>
      <c r="W1309" s="6" t="s">
        <v>863</v>
      </c>
      <c r="X1309" s="6" t="s">
        <v>193</v>
      </c>
    </row>
    <row r="1310" spans="1:24" ht="15" customHeight="1" x14ac:dyDescent="0.3">
      <c r="A1310" s="6" t="s">
        <v>533</v>
      </c>
      <c r="B1310" s="6" t="s">
        <v>534</v>
      </c>
      <c r="C1310" s="6" t="s">
        <v>35</v>
      </c>
      <c r="D1310" s="1088" t="s">
        <v>567</v>
      </c>
      <c r="E1310" s="1088" t="s">
        <v>192</v>
      </c>
      <c r="F1310" s="6" t="s">
        <v>853</v>
      </c>
      <c r="G1310" s="6" t="s">
        <v>854</v>
      </c>
      <c r="H1310" s="6" t="s">
        <v>1953</v>
      </c>
      <c r="J1310" s="1215" t="s">
        <v>509</v>
      </c>
      <c r="K1310" s="1219" t="s">
        <v>3111</v>
      </c>
      <c r="L1310" s="8">
        <v>69</v>
      </c>
      <c r="M1310" s="8">
        <v>396</v>
      </c>
      <c r="N1310" s="1169" t="s">
        <v>271</v>
      </c>
      <c r="P1310" s="6" t="s">
        <v>3324</v>
      </c>
      <c r="Q1310" s="1215" t="s">
        <v>253</v>
      </c>
      <c r="R1310" s="1215" t="s">
        <v>255</v>
      </c>
      <c r="S1310" s="1215" t="s">
        <v>534</v>
      </c>
      <c r="T1310" s="1215" t="s">
        <v>533</v>
      </c>
      <c r="U1310" s="6" t="s">
        <v>567</v>
      </c>
      <c r="V1310" s="6" t="s">
        <v>35</v>
      </c>
      <c r="W1310" s="6" t="s">
        <v>853</v>
      </c>
      <c r="X1310" s="6" t="s">
        <v>192</v>
      </c>
    </row>
    <row r="1311" spans="1:24" ht="15" customHeight="1" x14ac:dyDescent="0.3">
      <c r="A1311" s="6" t="s">
        <v>533</v>
      </c>
      <c r="B1311" s="6" t="s">
        <v>534</v>
      </c>
      <c r="C1311" s="6" t="s">
        <v>35</v>
      </c>
      <c r="D1311" s="1088" t="s">
        <v>567</v>
      </c>
      <c r="E1311" s="1088" t="s">
        <v>192</v>
      </c>
      <c r="F1311" s="6" t="s">
        <v>853</v>
      </c>
      <c r="G1311" s="6" t="s">
        <v>854</v>
      </c>
      <c r="H1311" s="6" t="s">
        <v>1953</v>
      </c>
      <c r="J1311" s="1215" t="s">
        <v>509</v>
      </c>
      <c r="K1311" s="1219" t="s">
        <v>3112</v>
      </c>
      <c r="L1311" s="8">
        <v>8</v>
      </c>
      <c r="M1311" s="8">
        <v>63</v>
      </c>
      <c r="N1311" s="1169" t="s">
        <v>271</v>
      </c>
      <c r="P1311" s="6" t="s">
        <v>3324</v>
      </c>
      <c r="Q1311" s="1215" t="s">
        <v>253</v>
      </c>
      <c r="R1311" s="1215" t="s">
        <v>255</v>
      </c>
      <c r="S1311" s="1215" t="s">
        <v>534</v>
      </c>
      <c r="T1311" s="1215" t="s">
        <v>533</v>
      </c>
      <c r="U1311" s="6" t="s">
        <v>567</v>
      </c>
      <c r="V1311" s="6" t="s">
        <v>35</v>
      </c>
      <c r="W1311" s="6" t="s">
        <v>853</v>
      </c>
      <c r="X1311" s="6" t="s">
        <v>192</v>
      </c>
    </row>
    <row r="1312" spans="1:24" ht="15" customHeight="1" x14ac:dyDescent="0.3">
      <c r="A1312" s="6" t="s">
        <v>533</v>
      </c>
      <c r="B1312" s="6" t="s">
        <v>534</v>
      </c>
      <c r="C1312" s="6" t="s">
        <v>35</v>
      </c>
      <c r="D1312" s="1088" t="s">
        <v>567</v>
      </c>
      <c r="E1312" s="1088" t="s">
        <v>192</v>
      </c>
      <c r="F1312" s="6" t="s">
        <v>853</v>
      </c>
      <c r="G1312" s="6" t="s">
        <v>1390</v>
      </c>
      <c r="H1312" s="6" t="s">
        <v>1453</v>
      </c>
      <c r="J1312" s="1215" t="s">
        <v>509</v>
      </c>
      <c r="K1312" s="1219" t="s">
        <v>3109</v>
      </c>
      <c r="L1312" s="8">
        <v>21</v>
      </c>
      <c r="M1312" s="8">
        <v>129</v>
      </c>
      <c r="N1312" s="6" t="s">
        <v>271</v>
      </c>
      <c r="P1312" s="6" t="s">
        <v>3323</v>
      </c>
      <c r="Q1312" s="1215" t="s">
        <v>253</v>
      </c>
      <c r="R1312" s="1215" t="s">
        <v>255</v>
      </c>
      <c r="S1312" s="1215" t="s">
        <v>534</v>
      </c>
      <c r="T1312" s="1215" t="s">
        <v>533</v>
      </c>
      <c r="U1312" s="6" t="s">
        <v>567</v>
      </c>
      <c r="V1312" s="6" t="s">
        <v>35</v>
      </c>
      <c r="W1312" s="6" t="s">
        <v>863</v>
      </c>
      <c r="X1312" s="6" t="s">
        <v>193</v>
      </c>
    </row>
    <row r="1313" spans="1:24" ht="15" customHeight="1" x14ac:dyDescent="0.3">
      <c r="A1313" s="6" t="s">
        <v>533</v>
      </c>
      <c r="B1313" s="6" t="s">
        <v>534</v>
      </c>
      <c r="C1313" s="6" t="s">
        <v>35</v>
      </c>
      <c r="D1313" s="1088" t="s">
        <v>567</v>
      </c>
      <c r="E1313" s="6" t="s">
        <v>192</v>
      </c>
      <c r="F1313" s="6" t="s">
        <v>853</v>
      </c>
      <c r="G1313" s="6" t="s">
        <v>1390</v>
      </c>
      <c r="H1313" s="6" t="s">
        <v>1453</v>
      </c>
      <c r="J1313" s="1215" t="s">
        <v>509</v>
      </c>
      <c r="K1313" s="1219" t="s">
        <v>3110</v>
      </c>
      <c r="L1313" s="8">
        <v>24</v>
      </c>
      <c r="M1313" s="8">
        <v>136</v>
      </c>
      <c r="N1313" s="1169" t="s">
        <v>271</v>
      </c>
      <c r="P1313" s="6" t="s">
        <v>3324</v>
      </c>
      <c r="Q1313" s="1215" t="s">
        <v>253</v>
      </c>
      <c r="R1313" s="1215" t="s">
        <v>255</v>
      </c>
      <c r="S1313" s="1215" t="s">
        <v>534</v>
      </c>
      <c r="T1313" s="1215" t="s">
        <v>533</v>
      </c>
      <c r="U1313" s="6" t="s">
        <v>567</v>
      </c>
      <c r="V1313" s="6" t="s">
        <v>35</v>
      </c>
      <c r="W1313" s="6" t="s">
        <v>853</v>
      </c>
      <c r="X1313" s="6" t="s">
        <v>192</v>
      </c>
    </row>
    <row r="1314" spans="1:24" ht="15" customHeight="1" x14ac:dyDescent="0.3">
      <c r="A1314" s="6" t="s">
        <v>533</v>
      </c>
      <c r="B1314" s="6" t="s">
        <v>534</v>
      </c>
      <c r="C1314" s="6" t="s">
        <v>35</v>
      </c>
      <c r="D1314" s="1088" t="s">
        <v>567</v>
      </c>
      <c r="E1314" s="6" t="s">
        <v>192</v>
      </c>
      <c r="F1314" s="6" t="s">
        <v>853</v>
      </c>
      <c r="G1314" s="6" t="s">
        <v>1390</v>
      </c>
      <c r="H1314" s="6" t="s">
        <v>1453</v>
      </c>
      <c r="J1314" s="1215" t="s">
        <v>509</v>
      </c>
      <c r="K1314" s="1219" t="s">
        <v>3111</v>
      </c>
      <c r="L1314" s="8">
        <v>32</v>
      </c>
      <c r="M1314" s="8">
        <v>171</v>
      </c>
      <c r="N1314" s="6" t="s">
        <v>271</v>
      </c>
      <c r="P1314" s="6" t="s">
        <v>3324</v>
      </c>
      <c r="Q1314" s="1215" t="s">
        <v>253</v>
      </c>
      <c r="R1314" s="1215" t="s">
        <v>255</v>
      </c>
      <c r="S1314" s="1215" t="s">
        <v>534</v>
      </c>
      <c r="T1314" s="1215" t="s">
        <v>533</v>
      </c>
      <c r="U1314" s="6" t="s">
        <v>567</v>
      </c>
      <c r="V1314" s="6" t="s">
        <v>35</v>
      </c>
      <c r="W1314" s="6" t="s">
        <v>853</v>
      </c>
      <c r="X1314" s="6" t="s">
        <v>192</v>
      </c>
    </row>
    <row r="1315" spans="1:24" ht="15" customHeight="1" x14ac:dyDescent="0.3">
      <c r="A1315" s="6" t="s">
        <v>533</v>
      </c>
      <c r="B1315" s="6" t="s">
        <v>534</v>
      </c>
      <c r="C1315" s="6" t="s">
        <v>35</v>
      </c>
      <c r="D1315" s="1088" t="s">
        <v>567</v>
      </c>
      <c r="E1315" s="1088" t="s">
        <v>192</v>
      </c>
      <c r="F1315" s="6" t="s">
        <v>853</v>
      </c>
      <c r="G1315" s="6" t="s">
        <v>1390</v>
      </c>
      <c r="H1315" s="6" t="s">
        <v>1453</v>
      </c>
      <c r="J1315" s="1215" t="s">
        <v>509</v>
      </c>
      <c r="K1315" s="1219" t="s">
        <v>3112</v>
      </c>
      <c r="L1315" s="8">
        <v>0</v>
      </c>
      <c r="M1315" s="8">
        <v>1</v>
      </c>
      <c r="N1315" s="1169" t="s">
        <v>271</v>
      </c>
      <c r="P1315" s="6" t="s">
        <v>3324</v>
      </c>
      <c r="Q1315" s="1215" t="s">
        <v>253</v>
      </c>
      <c r="R1315" s="1215" t="s">
        <v>255</v>
      </c>
      <c r="S1315" s="1215" t="s">
        <v>534</v>
      </c>
      <c r="T1315" s="1215" t="s">
        <v>533</v>
      </c>
      <c r="U1315" s="6" t="s">
        <v>567</v>
      </c>
      <c r="V1315" s="6" t="s">
        <v>35</v>
      </c>
      <c r="W1315" s="6" t="s">
        <v>853</v>
      </c>
      <c r="X1315" s="6" t="s">
        <v>192</v>
      </c>
    </row>
    <row r="1316" spans="1:24" ht="15" customHeight="1" x14ac:dyDescent="0.3">
      <c r="A1316" s="6" t="s">
        <v>533</v>
      </c>
      <c r="B1316" s="6" t="s">
        <v>534</v>
      </c>
      <c r="C1316" s="6" t="s">
        <v>35</v>
      </c>
      <c r="D1316" s="1088" t="s">
        <v>567</v>
      </c>
      <c r="E1316" s="6" t="s">
        <v>195</v>
      </c>
      <c r="F1316" s="6" t="s">
        <v>733</v>
      </c>
      <c r="G1316" s="6" t="s">
        <v>1836</v>
      </c>
      <c r="H1316" s="6" t="s">
        <v>738</v>
      </c>
      <c r="J1316" s="1215" t="s">
        <v>509</v>
      </c>
      <c r="K1316" s="1219" t="s">
        <v>3109</v>
      </c>
      <c r="L1316" s="8">
        <v>4</v>
      </c>
      <c r="M1316" s="8">
        <v>28</v>
      </c>
      <c r="N1316" s="1169" t="s">
        <v>271</v>
      </c>
      <c r="P1316" s="6" t="s">
        <v>3322</v>
      </c>
      <c r="Q1316" s="1215" t="s">
        <v>253</v>
      </c>
      <c r="R1316" s="1215" t="s">
        <v>255</v>
      </c>
      <c r="S1316" s="1215" t="s">
        <v>534</v>
      </c>
      <c r="T1316" s="1215" t="s">
        <v>533</v>
      </c>
      <c r="U1316" s="6" t="s">
        <v>539</v>
      </c>
      <c r="V1316" s="6" t="s">
        <v>34</v>
      </c>
    </row>
    <row r="1317" spans="1:24" ht="15" customHeight="1" x14ac:dyDescent="0.3">
      <c r="A1317" s="6" t="s">
        <v>533</v>
      </c>
      <c r="B1317" s="6" t="s">
        <v>534</v>
      </c>
      <c r="C1317" s="6" t="s">
        <v>35</v>
      </c>
      <c r="D1317" s="1088" t="s">
        <v>567</v>
      </c>
      <c r="E1317" s="6" t="s">
        <v>195</v>
      </c>
      <c r="F1317" s="6" t="s">
        <v>733</v>
      </c>
      <c r="G1317" s="6" t="s">
        <v>1836</v>
      </c>
      <c r="H1317" s="6" t="s">
        <v>738</v>
      </c>
      <c r="J1317" s="1215" t="s">
        <v>509</v>
      </c>
      <c r="K1317" s="1219" t="s">
        <v>3110</v>
      </c>
      <c r="L1317" s="8">
        <v>8</v>
      </c>
      <c r="M1317" s="8">
        <v>48</v>
      </c>
      <c r="N1317" s="1169" t="s">
        <v>271</v>
      </c>
      <c r="P1317" s="6" t="s">
        <v>3322</v>
      </c>
      <c r="Q1317" s="1215" t="s">
        <v>253</v>
      </c>
      <c r="R1317" s="1215" t="s">
        <v>255</v>
      </c>
      <c r="S1317" s="1215" t="s">
        <v>534</v>
      </c>
      <c r="T1317" s="1215" t="s">
        <v>533</v>
      </c>
      <c r="U1317" s="6" t="s">
        <v>539</v>
      </c>
      <c r="V1317" s="6" t="s">
        <v>34</v>
      </c>
    </row>
    <row r="1318" spans="1:24" ht="15" customHeight="1" x14ac:dyDescent="0.3">
      <c r="A1318" s="6" t="s">
        <v>533</v>
      </c>
      <c r="B1318" s="6" t="s">
        <v>534</v>
      </c>
      <c r="C1318" s="6" t="s">
        <v>35</v>
      </c>
      <c r="D1318" s="1088" t="s">
        <v>567</v>
      </c>
      <c r="E1318" s="6" t="s">
        <v>195</v>
      </c>
      <c r="F1318" s="6" t="s">
        <v>733</v>
      </c>
      <c r="G1318" s="6" t="s">
        <v>1836</v>
      </c>
      <c r="H1318" s="6" t="s">
        <v>738</v>
      </c>
      <c r="J1318" s="1215" t="s">
        <v>509</v>
      </c>
      <c r="K1318" s="1219" t="s">
        <v>3111</v>
      </c>
      <c r="L1318" s="8">
        <v>11</v>
      </c>
      <c r="M1318" s="8">
        <v>69</v>
      </c>
      <c r="N1318" s="1169" t="s">
        <v>271</v>
      </c>
      <c r="P1318" s="6" t="s">
        <v>3323</v>
      </c>
      <c r="Q1318" s="1215" t="s">
        <v>253</v>
      </c>
      <c r="R1318" s="1215" t="s">
        <v>255</v>
      </c>
      <c r="S1318" s="1215" t="s">
        <v>534</v>
      </c>
      <c r="T1318" s="1215" t="s">
        <v>533</v>
      </c>
      <c r="U1318" s="6" t="s">
        <v>567</v>
      </c>
      <c r="V1318" s="6" t="s">
        <v>35</v>
      </c>
      <c r="X1318" s="6" t="s">
        <v>192</v>
      </c>
    </row>
    <row r="1319" spans="1:24" ht="15" customHeight="1" x14ac:dyDescent="0.3">
      <c r="A1319" s="6" t="s">
        <v>533</v>
      </c>
      <c r="B1319" s="6" t="s">
        <v>534</v>
      </c>
      <c r="C1319" s="6" t="s">
        <v>34</v>
      </c>
      <c r="D1319" s="1088" t="s">
        <v>539</v>
      </c>
      <c r="E1319" s="1088" t="s">
        <v>188</v>
      </c>
      <c r="F1319" s="6" t="s">
        <v>546</v>
      </c>
      <c r="G1319" s="6" t="s">
        <v>3028</v>
      </c>
      <c r="H1319" s="6" t="s">
        <v>3310</v>
      </c>
      <c r="J1319" s="1215" t="s">
        <v>509</v>
      </c>
      <c r="K1319" s="1219" t="s">
        <v>3033</v>
      </c>
      <c r="L1319" s="8">
        <v>2</v>
      </c>
      <c r="M1319" s="8">
        <v>16</v>
      </c>
      <c r="N1319" s="1169" t="s">
        <v>271</v>
      </c>
      <c r="P1319" s="6" t="s">
        <v>3324</v>
      </c>
      <c r="Q1319" s="1215" t="s">
        <v>253</v>
      </c>
      <c r="R1319" s="1215" t="s">
        <v>255</v>
      </c>
      <c r="S1319" s="1215" t="s">
        <v>534</v>
      </c>
      <c r="T1319" s="1215" t="s">
        <v>533</v>
      </c>
      <c r="U1319" s="6" t="s">
        <v>539</v>
      </c>
      <c r="V1319" s="6" t="s">
        <v>34</v>
      </c>
      <c r="W1319" s="6" t="s">
        <v>546</v>
      </c>
      <c r="X1319" s="6" t="s">
        <v>188</v>
      </c>
    </row>
    <row r="1320" spans="1:24" ht="15" customHeight="1" x14ac:dyDescent="0.3">
      <c r="A1320" s="6" t="s">
        <v>533</v>
      </c>
      <c r="B1320" s="6" t="s">
        <v>534</v>
      </c>
      <c r="C1320" s="6" t="s">
        <v>34</v>
      </c>
      <c r="D1320" s="1088" t="s">
        <v>539</v>
      </c>
      <c r="E1320" s="6" t="s">
        <v>188</v>
      </c>
      <c r="F1320" s="6" t="s">
        <v>546</v>
      </c>
      <c r="G1320" s="6" t="s">
        <v>1499</v>
      </c>
      <c r="H1320" s="6" t="s">
        <v>1076</v>
      </c>
      <c r="J1320" s="1215" t="s">
        <v>509</v>
      </c>
      <c r="K1320" s="1219" t="s">
        <v>3033</v>
      </c>
      <c r="L1320" s="8">
        <v>56</v>
      </c>
      <c r="M1320" s="8">
        <v>225</v>
      </c>
      <c r="N1320" s="1169" t="s">
        <v>271</v>
      </c>
      <c r="P1320" s="6" t="s">
        <v>3324</v>
      </c>
      <c r="Q1320" s="1215" t="s">
        <v>253</v>
      </c>
      <c r="R1320" s="1215" t="s">
        <v>255</v>
      </c>
      <c r="S1320" s="1215" t="s">
        <v>534</v>
      </c>
      <c r="T1320" s="1215" t="s">
        <v>533</v>
      </c>
      <c r="U1320" s="6" t="s">
        <v>539</v>
      </c>
      <c r="V1320" s="6" t="s">
        <v>34</v>
      </c>
      <c r="W1320" s="6" t="s">
        <v>546</v>
      </c>
      <c r="X1320" s="6" t="s">
        <v>188</v>
      </c>
    </row>
    <row r="1321" spans="1:24" ht="15" customHeight="1" x14ac:dyDescent="0.3">
      <c r="A1321" s="6" t="s">
        <v>533</v>
      </c>
      <c r="B1321" s="6" t="s">
        <v>534</v>
      </c>
      <c r="C1321" s="6" t="s">
        <v>34</v>
      </c>
      <c r="D1321" s="6" t="s">
        <v>539</v>
      </c>
      <c r="E1321" s="1088" t="s">
        <v>188</v>
      </c>
      <c r="F1321" s="6" t="s">
        <v>546</v>
      </c>
      <c r="G1321" s="6" t="s">
        <v>1499</v>
      </c>
      <c r="H1321" s="6" t="s">
        <v>1076</v>
      </c>
      <c r="J1321" s="1215" t="s">
        <v>509</v>
      </c>
      <c r="K1321" s="1219" t="s">
        <v>3109</v>
      </c>
      <c r="L1321" s="8">
        <v>0</v>
      </c>
      <c r="M1321" s="8">
        <v>13</v>
      </c>
      <c r="N1321" s="1169" t="s">
        <v>271</v>
      </c>
      <c r="P1321" s="6" t="s">
        <v>3324</v>
      </c>
      <c r="Q1321" s="1215" t="s">
        <v>253</v>
      </c>
      <c r="R1321" s="1215" t="s">
        <v>255</v>
      </c>
      <c r="S1321" s="1215" t="s">
        <v>534</v>
      </c>
      <c r="T1321" s="1215" t="s">
        <v>533</v>
      </c>
      <c r="U1321" s="6" t="s">
        <v>539</v>
      </c>
      <c r="V1321" s="6" t="s">
        <v>34</v>
      </c>
      <c r="W1321" s="6" t="s">
        <v>546</v>
      </c>
      <c r="X1321" s="6" t="s">
        <v>188</v>
      </c>
    </row>
    <row r="1322" spans="1:24" ht="15" customHeight="1" x14ac:dyDescent="0.3">
      <c r="A1322" s="6" t="s">
        <v>533</v>
      </c>
      <c r="B1322" s="6" t="s">
        <v>534</v>
      </c>
      <c r="C1322" s="6" t="s">
        <v>34</v>
      </c>
      <c r="D1322" s="1088" t="s">
        <v>539</v>
      </c>
      <c r="E1322" s="6" t="s">
        <v>188</v>
      </c>
      <c r="F1322" s="6" t="s">
        <v>546</v>
      </c>
      <c r="G1322" s="6" t="s">
        <v>1499</v>
      </c>
      <c r="H1322" s="6" t="s">
        <v>1076</v>
      </c>
      <c r="J1322" s="1215" t="s">
        <v>509</v>
      </c>
      <c r="K1322" s="1219" t="s">
        <v>3110</v>
      </c>
      <c r="L1322" s="8">
        <v>0</v>
      </c>
      <c r="M1322" s="8">
        <v>6</v>
      </c>
      <c r="N1322" s="1169" t="s">
        <v>271</v>
      </c>
      <c r="P1322" s="6" t="s">
        <v>3324</v>
      </c>
      <c r="Q1322" s="1215" t="s">
        <v>253</v>
      </c>
      <c r="R1322" s="1215" t="s">
        <v>255</v>
      </c>
      <c r="S1322" s="1215" t="s">
        <v>534</v>
      </c>
      <c r="T1322" s="1215" t="s">
        <v>533</v>
      </c>
      <c r="U1322" s="6" t="s">
        <v>539</v>
      </c>
      <c r="V1322" s="6" t="s">
        <v>34</v>
      </c>
      <c r="W1322" s="6" t="s">
        <v>546</v>
      </c>
      <c r="X1322" s="6" t="s">
        <v>188</v>
      </c>
    </row>
    <row r="1323" spans="1:24" ht="15" customHeight="1" x14ac:dyDescent="0.3">
      <c r="A1323" s="6" t="s">
        <v>533</v>
      </c>
      <c r="B1323" s="6" t="s">
        <v>534</v>
      </c>
      <c r="C1323" s="6" t="s">
        <v>34</v>
      </c>
      <c r="D1323" s="1088" t="s">
        <v>539</v>
      </c>
      <c r="E1323" s="6" t="s">
        <v>188</v>
      </c>
      <c r="F1323" s="6" t="s">
        <v>546</v>
      </c>
      <c r="G1323" s="6" t="s">
        <v>1329</v>
      </c>
      <c r="H1323" s="6" t="s">
        <v>1555</v>
      </c>
      <c r="J1323" s="1215" t="s">
        <v>509</v>
      </c>
      <c r="K1323" s="1219" t="s">
        <v>3033</v>
      </c>
      <c r="L1323" s="8">
        <v>11</v>
      </c>
      <c r="M1323" s="8">
        <v>67</v>
      </c>
      <c r="N1323" s="1169" t="s">
        <v>271</v>
      </c>
      <c r="P1323" s="6" t="s">
        <v>3324</v>
      </c>
      <c r="Q1323" s="1215" t="s">
        <v>253</v>
      </c>
      <c r="R1323" s="1215" t="s">
        <v>255</v>
      </c>
      <c r="S1323" s="1215" t="s">
        <v>534</v>
      </c>
      <c r="T1323" s="1215" t="s">
        <v>533</v>
      </c>
      <c r="U1323" s="6" t="s">
        <v>539</v>
      </c>
      <c r="V1323" s="6" t="s">
        <v>34</v>
      </c>
      <c r="W1323" s="6" t="s">
        <v>546</v>
      </c>
      <c r="X1323" s="6" t="s">
        <v>188</v>
      </c>
    </row>
    <row r="1324" spans="1:24" ht="15" customHeight="1" x14ac:dyDescent="0.3">
      <c r="A1324" s="6" t="s">
        <v>533</v>
      </c>
      <c r="B1324" s="6" t="s">
        <v>534</v>
      </c>
      <c r="C1324" s="6" t="s">
        <v>34</v>
      </c>
      <c r="D1324" s="1088" t="s">
        <v>539</v>
      </c>
      <c r="E1324" s="1088" t="s">
        <v>188</v>
      </c>
      <c r="F1324" s="6" t="s">
        <v>546</v>
      </c>
      <c r="G1324" s="6" t="s">
        <v>1329</v>
      </c>
      <c r="H1324" s="6" t="s">
        <v>1555</v>
      </c>
      <c r="J1324" s="1215" t="s">
        <v>509</v>
      </c>
      <c r="K1324" s="1219" t="s">
        <v>3109</v>
      </c>
      <c r="L1324" s="8">
        <v>0</v>
      </c>
      <c r="M1324" s="8">
        <v>3</v>
      </c>
      <c r="N1324" s="1169" t="s">
        <v>271</v>
      </c>
      <c r="P1324" s="6" t="s">
        <v>3324</v>
      </c>
      <c r="Q1324" s="1215" t="s">
        <v>253</v>
      </c>
      <c r="R1324" s="1215" t="s">
        <v>255</v>
      </c>
      <c r="S1324" s="1215" t="s">
        <v>534</v>
      </c>
      <c r="T1324" s="1215" t="s">
        <v>533</v>
      </c>
      <c r="U1324" s="6" t="s">
        <v>539</v>
      </c>
      <c r="V1324" s="6" t="s">
        <v>34</v>
      </c>
      <c r="W1324" s="6" t="s">
        <v>546</v>
      </c>
      <c r="X1324" s="6" t="s">
        <v>188</v>
      </c>
    </row>
    <row r="1325" spans="1:24" ht="15" customHeight="1" x14ac:dyDescent="0.3">
      <c r="A1325" s="6" t="s">
        <v>533</v>
      </c>
      <c r="B1325" s="6" t="s">
        <v>534</v>
      </c>
      <c r="C1325" s="6" t="s">
        <v>34</v>
      </c>
      <c r="D1325" s="1088" t="s">
        <v>539</v>
      </c>
      <c r="E1325" s="1088" t="s">
        <v>188</v>
      </c>
      <c r="F1325" s="6" t="s">
        <v>546</v>
      </c>
      <c r="G1325" s="6" t="s">
        <v>1679</v>
      </c>
      <c r="H1325" s="6" t="s">
        <v>3271</v>
      </c>
      <c r="J1325" s="1215" t="s">
        <v>509</v>
      </c>
      <c r="K1325" s="1219" t="s">
        <v>3033</v>
      </c>
      <c r="L1325" s="8">
        <v>82</v>
      </c>
      <c r="M1325" s="8">
        <v>553</v>
      </c>
      <c r="N1325" s="1169" t="s">
        <v>271</v>
      </c>
      <c r="P1325" s="6" t="s">
        <v>3324</v>
      </c>
      <c r="Q1325" s="1215" t="s">
        <v>253</v>
      </c>
      <c r="R1325" s="1215" t="s">
        <v>255</v>
      </c>
      <c r="S1325" s="1215" t="s">
        <v>534</v>
      </c>
      <c r="T1325" s="1215" t="s">
        <v>533</v>
      </c>
      <c r="U1325" s="6" t="s">
        <v>539</v>
      </c>
      <c r="V1325" s="6" t="s">
        <v>34</v>
      </c>
      <c r="W1325" s="6" t="s">
        <v>546</v>
      </c>
      <c r="X1325" s="6" t="s">
        <v>188</v>
      </c>
    </row>
    <row r="1326" spans="1:24" ht="15" customHeight="1" x14ac:dyDescent="0.3">
      <c r="A1326" s="6" t="s">
        <v>533</v>
      </c>
      <c r="B1326" s="6" t="s">
        <v>534</v>
      </c>
      <c r="C1326" s="6" t="s">
        <v>34</v>
      </c>
      <c r="D1326" s="1088" t="s">
        <v>539</v>
      </c>
      <c r="E1326" s="6" t="s">
        <v>188</v>
      </c>
      <c r="F1326" s="6" t="s">
        <v>546</v>
      </c>
      <c r="G1326" s="6" t="s">
        <v>1679</v>
      </c>
      <c r="H1326" s="6" t="s">
        <v>3271</v>
      </c>
      <c r="J1326" s="1215" t="s">
        <v>509</v>
      </c>
      <c r="K1326" s="1219" t="s">
        <v>3109</v>
      </c>
      <c r="L1326" s="8">
        <v>0</v>
      </c>
      <c r="M1326" s="8">
        <v>8</v>
      </c>
      <c r="N1326" s="1169" t="s">
        <v>271</v>
      </c>
      <c r="P1326" s="6" t="s">
        <v>3324</v>
      </c>
      <c r="Q1326" s="1215" t="s">
        <v>253</v>
      </c>
      <c r="R1326" s="1215" t="s">
        <v>255</v>
      </c>
      <c r="S1326" s="1215" t="s">
        <v>534</v>
      </c>
      <c r="T1326" s="1215" t="s">
        <v>533</v>
      </c>
      <c r="U1326" s="6" t="s">
        <v>539</v>
      </c>
      <c r="V1326" s="6" t="s">
        <v>34</v>
      </c>
      <c r="W1326" s="6" t="s">
        <v>546</v>
      </c>
      <c r="X1326" s="6" t="s">
        <v>188</v>
      </c>
    </row>
    <row r="1327" spans="1:24" ht="15" customHeight="1" x14ac:dyDescent="0.3">
      <c r="A1327" s="6" t="s">
        <v>533</v>
      </c>
      <c r="B1327" s="6" t="s">
        <v>534</v>
      </c>
      <c r="C1327" s="6" t="s">
        <v>34</v>
      </c>
      <c r="D1327" s="1088" t="s">
        <v>539</v>
      </c>
      <c r="E1327" s="6" t="s">
        <v>188</v>
      </c>
      <c r="F1327" s="6" t="s">
        <v>546</v>
      </c>
      <c r="G1327" s="6" t="s">
        <v>1679</v>
      </c>
      <c r="H1327" s="6" t="s">
        <v>3271</v>
      </c>
      <c r="J1327" s="1215" t="s">
        <v>509</v>
      </c>
      <c r="K1327" s="1219" t="s">
        <v>3110</v>
      </c>
      <c r="L1327" s="8">
        <v>0</v>
      </c>
      <c r="M1327" s="8">
        <v>8</v>
      </c>
      <c r="N1327" s="1169" t="s">
        <v>271</v>
      </c>
      <c r="P1327" s="6" t="s">
        <v>3324</v>
      </c>
      <c r="Q1327" s="1215" t="s">
        <v>253</v>
      </c>
      <c r="R1327" s="1215" t="s">
        <v>255</v>
      </c>
      <c r="S1327" s="1215" t="s">
        <v>534</v>
      </c>
      <c r="T1327" s="1215" t="s">
        <v>533</v>
      </c>
      <c r="U1327" s="6" t="s">
        <v>539</v>
      </c>
      <c r="V1327" s="6" t="s">
        <v>34</v>
      </c>
      <c r="W1327" s="6" t="s">
        <v>546</v>
      </c>
      <c r="X1327" s="6" t="s">
        <v>188</v>
      </c>
    </row>
    <row r="1328" spans="1:24" ht="15" customHeight="1" x14ac:dyDescent="0.3">
      <c r="A1328" s="6" t="s">
        <v>533</v>
      </c>
      <c r="B1328" s="6" t="s">
        <v>534</v>
      </c>
      <c r="C1328" s="6" t="s">
        <v>34</v>
      </c>
      <c r="D1328" s="1088" t="s">
        <v>539</v>
      </c>
      <c r="E1328" s="6" t="s">
        <v>188</v>
      </c>
      <c r="F1328" s="6" t="s">
        <v>546</v>
      </c>
      <c r="G1328" s="6" t="s">
        <v>1679</v>
      </c>
      <c r="H1328" s="6" t="s">
        <v>3271</v>
      </c>
      <c r="J1328" s="1215" t="s">
        <v>509</v>
      </c>
      <c r="K1328" s="1219" t="s">
        <v>3111</v>
      </c>
      <c r="L1328" s="8">
        <v>0</v>
      </c>
      <c r="M1328" s="8">
        <v>11</v>
      </c>
      <c r="N1328" s="1169" t="s">
        <v>271</v>
      </c>
      <c r="P1328" s="6" t="s">
        <v>3324</v>
      </c>
      <c r="Q1328" s="1215" t="s">
        <v>253</v>
      </c>
      <c r="R1328" s="1215" t="s">
        <v>255</v>
      </c>
      <c r="S1328" s="1215" t="s">
        <v>534</v>
      </c>
      <c r="T1328" s="1215" t="s">
        <v>533</v>
      </c>
      <c r="U1328" s="6" t="s">
        <v>539</v>
      </c>
      <c r="V1328" s="6" t="s">
        <v>34</v>
      </c>
      <c r="W1328" s="6" t="s">
        <v>546</v>
      </c>
      <c r="X1328" s="6" t="s">
        <v>188</v>
      </c>
    </row>
    <row r="1329" spans="1:24" ht="15" customHeight="1" x14ac:dyDescent="0.3">
      <c r="A1329" s="6" t="s">
        <v>533</v>
      </c>
      <c r="B1329" s="6" t="s">
        <v>534</v>
      </c>
      <c r="C1329" s="6" t="s">
        <v>34</v>
      </c>
      <c r="D1329" s="1088" t="s">
        <v>539</v>
      </c>
      <c r="E1329" s="6" t="s">
        <v>188</v>
      </c>
      <c r="F1329" s="6" t="s">
        <v>546</v>
      </c>
      <c r="G1329" s="6" t="s">
        <v>1679</v>
      </c>
      <c r="H1329" s="6" t="s">
        <v>3271</v>
      </c>
      <c r="J1329" s="1215" t="s">
        <v>509</v>
      </c>
      <c r="K1329" s="1219" t="s">
        <v>3112</v>
      </c>
      <c r="L1329" s="8">
        <v>0</v>
      </c>
      <c r="M1329" s="8">
        <v>8</v>
      </c>
      <c r="N1329" s="1169" t="s">
        <v>271</v>
      </c>
      <c r="P1329" s="6" t="s">
        <v>3324</v>
      </c>
      <c r="Q1329" s="1215" t="s">
        <v>253</v>
      </c>
      <c r="R1329" s="1215" t="s">
        <v>255</v>
      </c>
      <c r="S1329" s="1215" t="s">
        <v>534</v>
      </c>
      <c r="T1329" s="1215" t="s">
        <v>533</v>
      </c>
      <c r="U1329" s="6" t="s">
        <v>539</v>
      </c>
      <c r="V1329" s="6" t="s">
        <v>34</v>
      </c>
      <c r="W1329" s="6" t="s">
        <v>546</v>
      </c>
      <c r="X1329" s="6" t="s">
        <v>188</v>
      </c>
    </row>
    <row r="1330" spans="1:24" ht="15" customHeight="1" x14ac:dyDescent="0.3">
      <c r="A1330" s="6" t="s">
        <v>533</v>
      </c>
      <c r="B1330" s="6" t="s">
        <v>534</v>
      </c>
      <c r="C1330" s="6" t="s">
        <v>34</v>
      </c>
      <c r="D1330" s="1088" t="s">
        <v>539</v>
      </c>
      <c r="E1330" s="6" t="s">
        <v>188</v>
      </c>
      <c r="F1330" s="6" t="s">
        <v>546</v>
      </c>
      <c r="G1330" s="6" t="s">
        <v>1044</v>
      </c>
      <c r="H1330" s="6" t="s">
        <v>1172</v>
      </c>
      <c r="J1330" s="1215" t="s">
        <v>509</v>
      </c>
      <c r="K1330" s="1219" t="s">
        <v>3110</v>
      </c>
      <c r="L1330" s="8">
        <v>120</v>
      </c>
      <c r="M1330" s="8">
        <v>841</v>
      </c>
      <c r="N1330" s="1169" t="s">
        <v>271</v>
      </c>
      <c r="P1330" s="6" t="s">
        <v>3324</v>
      </c>
      <c r="Q1330" s="1215" t="s">
        <v>253</v>
      </c>
      <c r="R1330" s="1215" t="s">
        <v>255</v>
      </c>
      <c r="S1330" s="1215" t="s">
        <v>534</v>
      </c>
      <c r="T1330" s="1215" t="s">
        <v>533</v>
      </c>
      <c r="U1330" s="6" t="s">
        <v>539</v>
      </c>
      <c r="V1330" s="6" t="s">
        <v>34</v>
      </c>
      <c r="W1330" s="6" t="s">
        <v>546</v>
      </c>
      <c r="X1330" s="6" t="s">
        <v>188</v>
      </c>
    </row>
    <row r="1331" spans="1:24" ht="15" customHeight="1" x14ac:dyDescent="0.3">
      <c r="A1331" s="6" t="s">
        <v>533</v>
      </c>
      <c r="B1331" s="6" t="s">
        <v>534</v>
      </c>
      <c r="C1331" s="6" t="s">
        <v>34</v>
      </c>
      <c r="D1331" s="1088" t="s">
        <v>539</v>
      </c>
      <c r="E1331" s="1088" t="s">
        <v>188</v>
      </c>
      <c r="F1331" s="6" t="s">
        <v>546</v>
      </c>
      <c r="G1331" s="6" t="s">
        <v>1044</v>
      </c>
      <c r="H1331" s="6" t="s">
        <v>1172</v>
      </c>
      <c r="J1331" s="1215" t="s">
        <v>509</v>
      </c>
      <c r="K1331" s="1219" t="s">
        <v>3111</v>
      </c>
      <c r="L1331" s="8">
        <v>0</v>
      </c>
      <c r="M1331" s="8">
        <v>15</v>
      </c>
      <c r="N1331" s="1169" t="s">
        <v>271</v>
      </c>
      <c r="P1331" s="6" t="s">
        <v>3324</v>
      </c>
      <c r="Q1331" s="1215" t="s">
        <v>253</v>
      </c>
      <c r="R1331" s="1215" t="s">
        <v>255</v>
      </c>
      <c r="S1331" s="1215" t="s">
        <v>534</v>
      </c>
      <c r="T1331" s="1215" t="s">
        <v>533</v>
      </c>
      <c r="U1331" s="6" t="s">
        <v>539</v>
      </c>
      <c r="V1331" s="6" t="s">
        <v>34</v>
      </c>
      <c r="W1331" s="6" t="s">
        <v>546</v>
      </c>
      <c r="X1331" s="6" t="s">
        <v>188</v>
      </c>
    </row>
    <row r="1332" spans="1:24" ht="15" customHeight="1" x14ac:dyDescent="0.3">
      <c r="A1332" s="6" t="s">
        <v>533</v>
      </c>
      <c r="B1332" s="6" t="s">
        <v>534</v>
      </c>
      <c r="C1332" s="6" t="s">
        <v>34</v>
      </c>
      <c r="D1332" s="1088" t="s">
        <v>539</v>
      </c>
      <c r="E1332" s="6" t="s">
        <v>188</v>
      </c>
      <c r="F1332" s="6" t="s">
        <v>546</v>
      </c>
      <c r="G1332" s="6" t="s">
        <v>1044</v>
      </c>
      <c r="H1332" s="6" t="s">
        <v>1172</v>
      </c>
      <c r="J1332" s="1215" t="s">
        <v>509</v>
      </c>
      <c r="K1332" s="1219" t="s">
        <v>3112</v>
      </c>
      <c r="L1332" s="8">
        <v>0</v>
      </c>
      <c r="M1332" s="8">
        <v>7</v>
      </c>
      <c r="N1332" s="1169" t="s">
        <v>271</v>
      </c>
      <c r="P1332" s="6" t="s">
        <v>3324</v>
      </c>
      <c r="Q1332" s="1215" t="s">
        <v>253</v>
      </c>
      <c r="R1332" s="1215" t="s">
        <v>255</v>
      </c>
      <c r="S1332" s="1215" t="s">
        <v>534</v>
      </c>
      <c r="T1332" s="1215" t="s">
        <v>533</v>
      </c>
      <c r="U1332" s="6" t="s">
        <v>539</v>
      </c>
      <c r="V1332" s="6" t="s">
        <v>34</v>
      </c>
      <c r="W1332" s="6" t="s">
        <v>546</v>
      </c>
      <c r="X1332" s="6" t="s">
        <v>188</v>
      </c>
    </row>
    <row r="1333" spans="1:24" ht="15" customHeight="1" x14ac:dyDescent="0.3">
      <c r="A1333" s="6" t="s">
        <v>533</v>
      </c>
      <c r="B1333" s="6" t="s">
        <v>534</v>
      </c>
      <c r="C1333" s="6" t="s">
        <v>34</v>
      </c>
      <c r="D1333" s="1088" t="s">
        <v>539</v>
      </c>
      <c r="E1333" s="6" t="s">
        <v>188</v>
      </c>
      <c r="F1333" s="6" t="s">
        <v>546</v>
      </c>
      <c r="G1333" s="6" t="s">
        <v>2907</v>
      </c>
      <c r="H1333" s="6" t="s">
        <v>985</v>
      </c>
      <c r="J1333" s="1215" t="s">
        <v>509</v>
      </c>
      <c r="K1333" s="1219" t="s">
        <v>3033</v>
      </c>
      <c r="L1333" s="8">
        <v>20</v>
      </c>
      <c r="M1333" s="8">
        <v>85</v>
      </c>
      <c r="N1333" s="1169" t="s">
        <v>271</v>
      </c>
      <c r="P1333" s="6" t="s">
        <v>3324</v>
      </c>
      <c r="Q1333" s="1215" t="s">
        <v>253</v>
      </c>
      <c r="R1333" s="1215" t="s">
        <v>255</v>
      </c>
      <c r="S1333" s="1215" t="s">
        <v>534</v>
      </c>
      <c r="T1333" s="1215" t="s">
        <v>533</v>
      </c>
      <c r="U1333" s="6" t="s">
        <v>539</v>
      </c>
      <c r="V1333" s="6" t="s">
        <v>34</v>
      </c>
      <c r="W1333" s="6" t="s">
        <v>546</v>
      </c>
      <c r="X1333" s="6" t="s">
        <v>188</v>
      </c>
    </row>
    <row r="1334" spans="1:24" ht="15" customHeight="1" x14ac:dyDescent="0.3">
      <c r="A1334" s="6" t="s">
        <v>533</v>
      </c>
      <c r="B1334" s="6" t="s">
        <v>534</v>
      </c>
      <c r="C1334" s="6" t="s">
        <v>34</v>
      </c>
      <c r="D1334" s="1088" t="s">
        <v>539</v>
      </c>
      <c r="E1334" s="6" t="s">
        <v>188</v>
      </c>
      <c r="F1334" s="6" t="s">
        <v>546</v>
      </c>
      <c r="G1334" s="6" t="s">
        <v>2907</v>
      </c>
      <c r="H1334" s="6" t="s">
        <v>985</v>
      </c>
      <c r="J1334" s="1215" t="s">
        <v>509</v>
      </c>
      <c r="K1334" s="1219" t="s">
        <v>3109</v>
      </c>
      <c r="L1334" s="8">
        <v>20</v>
      </c>
      <c r="M1334" s="8">
        <v>117</v>
      </c>
      <c r="N1334" s="1169" t="s">
        <v>271</v>
      </c>
      <c r="P1334" s="6" t="s">
        <v>3324</v>
      </c>
      <c r="Q1334" s="1215" t="s">
        <v>253</v>
      </c>
      <c r="R1334" s="1215" t="s">
        <v>255</v>
      </c>
      <c r="S1334" s="1215" t="s">
        <v>534</v>
      </c>
      <c r="T1334" s="1215" t="s">
        <v>533</v>
      </c>
      <c r="U1334" s="6" t="s">
        <v>539</v>
      </c>
      <c r="V1334" s="6" t="s">
        <v>34</v>
      </c>
      <c r="W1334" s="6" t="s">
        <v>546</v>
      </c>
      <c r="X1334" s="6" t="s">
        <v>188</v>
      </c>
    </row>
    <row r="1335" spans="1:24" ht="15" customHeight="1" x14ac:dyDescent="0.3">
      <c r="A1335" s="6" t="s">
        <v>533</v>
      </c>
      <c r="B1335" s="6" t="s">
        <v>534</v>
      </c>
      <c r="C1335" s="6" t="s">
        <v>34</v>
      </c>
      <c r="D1335" s="1088" t="s">
        <v>539</v>
      </c>
      <c r="E1335" s="1088" t="s">
        <v>188</v>
      </c>
      <c r="F1335" s="6" t="s">
        <v>546</v>
      </c>
      <c r="G1335" s="6" t="s">
        <v>2907</v>
      </c>
      <c r="H1335" s="6" t="s">
        <v>985</v>
      </c>
      <c r="J1335" s="1215" t="s">
        <v>509</v>
      </c>
      <c r="K1335" s="1219" t="s">
        <v>3110</v>
      </c>
      <c r="L1335" s="8">
        <v>0</v>
      </c>
      <c r="M1335" s="8">
        <v>32</v>
      </c>
      <c r="N1335" s="1169" t="s">
        <v>271</v>
      </c>
      <c r="P1335" s="6" t="s">
        <v>3324</v>
      </c>
      <c r="Q1335" s="1215" t="s">
        <v>253</v>
      </c>
      <c r="R1335" s="1215" t="s">
        <v>255</v>
      </c>
      <c r="S1335" s="1215" t="s">
        <v>534</v>
      </c>
      <c r="T1335" s="1215" t="s">
        <v>533</v>
      </c>
      <c r="U1335" s="6" t="s">
        <v>539</v>
      </c>
      <c r="V1335" s="6" t="s">
        <v>34</v>
      </c>
      <c r="W1335" s="6" t="s">
        <v>546</v>
      </c>
      <c r="X1335" s="6" t="s">
        <v>188</v>
      </c>
    </row>
    <row r="1336" spans="1:24" ht="15" customHeight="1" x14ac:dyDescent="0.3">
      <c r="A1336" s="6" t="s">
        <v>533</v>
      </c>
      <c r="B1336" s="6" t="s">
        <v>534</v>
      </c>
      <c r="C1336" s="6" t="s">
        <v>34</v>
      </c>
      <c r="D1336" s="1088" t="s">
        <v>539</v>
      </c>
      <c r="E1336" s="1088" t="s">
        <v>188</v>
      </c>
      <c r="F1336" s="6" t="s">
        <v>546</v>
      </c>
      <c r="G1336" s="6" t="s">
        <v>2907</v>
      </c>
      <c r="H1336" s="6" t="s">
        <v>985</v>
      </c>
      <c r="J1336" s="1215" t="s">
        <v>509</v>
      </c>
      <c r="K1336" s="1219" t="s">
        <v>3111</v>
      </c>
      <c r="L1336" s="8">
        <v>3</v>
      </c>
      <c r="M1336" s="8">
        <v>40</v>
      </c>
      <c r="N1336" s="1169" t="s">
        <v>271</v>
      </c>
      <c r="P1336" s="6" t="s">
        <v>3324</v>
      </c>
      <c r="Q1336" s="1215" t="s">
        <v>253</v>
      </c>
      <c r="R1336" s="1215" t="s">
        <v>255</v>
      </c>
      <c r="S1336" s="1215" t="s">
        <v>534</v>
      </c>
      <c r="T1336" s="1215" t="s">
        <v>533</v>
      </c>
      <c r="U1336" s="6" t="s">
        <v>539</v>
      </c>
      <c r="V1336" s="6" t="s">
        <v>34</v>
      </c>
      <c r="W1336" s="6" t="s">
        <v>546</v>
      </c>
      <c r="X1336" s="6" t="s">
        <v>188</v>
      </c>
    </row>
    <row r="1337" spans="1:24" ht="15" customHeight="1" x14ac:dyDescent="0.3">
      <c r="A1337" s="6" t="s">
        <v>533</v>
      </c>
      <c r="B1337" s="6" t="s">
        <v>534</v>
      </c>
      <c r="C1337" s="6" t="s">
        <v>34</v>
      </c>
      <c r="D1337" s="1088" t="s">
        <v>539</v>
      </c>
      <c r="E1337" s="6" t="s">
        <v>188</v>
      </c>
      <c r="F1337" s="6" t="s">
        <v>546</v>
      </c>
      <c r="G1337" s="6" t="s">
        <v>2907</v>
      </c>
      <c r="H1337" s="6" t="s">
        <v>985</v>
      </c>
      <c r="J1337" s="1215" t="s">
        <v>509</v>
      </c>
      <c r="K1337" s="1219" t="s">
        <v>3112</v>
      </c>
      <c r="L1337" s="8">
        <v>0</v>
      </c>
      <c r="M1337" s="8">
        <v>13</v>
      </c>
      <c r="N1337" s="1169" t="s">
        <v>271</v>
      </c>
      <c r="P1337" s="6" t="s">
        <v>3324</v>
      </c>
      <c r="Q1337" s="1215" t="s">
        <v>253</v>
      </c>
      <c r="R1337" s="1215" t="s">
        <v>255</v>
      </c>
      <c r="S1337" s="1215" t="s">
        <v>534</v>
      </c>
      <c r="T1337" s="1215" t="s">
        <v>533</v>
      </c>
      <c r="U1337" s="6" t="s">
        <v>539</v>
      </c>
      <c r="V1337" s="6" t="s">
        <v>34</v>
      </c>
      <c r="W1337" s="6" t="s">
        <v>546</v>
      </c>
      <c r="X1337" s="6" t="s">
        <v>188</v>
      </c>
    </row>
    <row r="1338" spans="1:24" ht="15" customHeight="1" x14ac:dyDescent="0.3">
      <c r="A1338" s="6" t="s">
        <v>533</v>
      </c>
      <c r="B1338" s="6" t="s">
        <v>534</v>
      </c>
      <c r="C1338" s="6" t="s">
        <v>31</v>
      </c>
      <c r="D1338" s="1088" t="s">
        <v>549</v>
      </c>
      <c r="E1338" s="6" t="s">
        <v>166</v>
      </c>
      <c r="F1338" s="6" t="s">
        <v>844</v>
      </c>
      <c r="G1338" s="6" t="s">
        <v>2501</v>
      </c>
      <c r="H1338" s="6" t="s">
        <v>2508</v>
      </c>
      <c r="J1338" s="1215" t="s">
        <v>509</v>
      </c>
      <c r="K1338" s="1219" t="s">
        <v>3033</v>
      </c>
      <c r="L1338" s="8">
        <v>29</v>
      </c>
      <c r="M1338" s="8">
        <v>159</v>
      </c>
      <c r="N1338" s="1169" t="s">
        <v>271</v>
      </c>
      <c r="P1338" s="6" t="s">
        <v>3324</v>
      </c>
      <c r="Q1338" s="1215" t="s">
        <v>253</v>
      </c>
      <c r="R1338" s="1215" t="s">
        <v>255</v>
      </c>
      <c r="S1338" s="1215" t="s">
        <v>534</v>
      </c>
      <c r="T1338" s="1215" t="s">
        <v>533</v>
      </c>
      <c r="U1338" s="6" t="s">
        <v>549</v>
      </c>
      <c r="V1338" s="6" t="s">
        <v>31</v>
      </c>
      <c r="W1338" s="6" t="s">
        <v>844</v>
      </c>
      <c r="X1338" s="6" t="s">
        <v>166</v>
      </c>
    </row>
    <row r="1339" spans="1:24" ht="15" customHeight="1" x14ac:dyDescent="0.3">
      <c r="A1339" s="6" t="s">
        <v>533</v>
      </c>
      <c r="B1339" s="6" t="s">
        <v>534</v>
      </c>
      <c r="C1339" s="6" t="s">
        <v>31</v>
      </c>
      <c r="D1339" s="1088" t="s">
        <v>549</v>
      </c>
      <c r="E1339" s="6" t="s">
        <v>166</v>
      </c>
      <c r="F1339" s="6" t="s">
        <v>844</v>
      </c>
      <c r="G1339" s="6" t="s">
        <v>2518</v>
      </c>
      <c r="H1339" s="6" t="s">
        <v>1301</v>
      </c>
      <c r="J1339" s="1215" t="s">
        <v>509</v>
      </c>
      <c r="K1339" s="1219" t="s">
        <v>3033</v>
      </c>
      <c r="L1339" s="8">
        <v>35</v>
      </c>
      <c r="M1339" s="8">
        <v>251</v>
      </c>
      <c r="N1339" s="1169" t="s">
        <v>271</v>
      </c>
      <c r="P1339" s="6" t="s">
        <v>3324</v>
      </c>
      <c r="Q1339" s="1215" t="s">
        <v>253</v>
      </c>
      <c r="R1339" s="1215" t="s">
        <v>255</v>
      </c>
      <c r="S1339" s="1215" t="s">
        <v>534</v>
      </c>
      <c r="T1339" s="1215" t="s">
        <v>533</v>
      </c>
      <c r="U1339" s="6" t="s">
        <v>549</v>
      </c>
      <c r="V1339" s="6" t="s">
        <v>31</v>
      </c>
      <c r="W1339" s="6" t="s">
        <v>844</v>
      </c>
      <c r="X1339" s="6" t="s">
        <v>166</v>
      </c>
    </row>
    <row r="1340" spans="1:24" ht="15" customHeight="1" x14ac:dyDescent="0.3">
      <c r="A1340" s="6" t="s">
        <v>533</v>
      </c>
      <c r="B1340" s="6" t="s">
        <v>534</v>
      </c>
      <c r="C1340" s="6" t="s">
        <v>31</v>
      </c>
      <c r="D1340" s="1088" t="s">
        <v>549</v>
      </c>
      <c r="E1340" s="6" t="s">
        <v>171</v>
      </c>
      <c r="F1340" s="6" t="s">
        <v>634</v>
      </c>
      <c r="G1340" s="6" t="s">
        <v>2625</v>
      </c>
      <c r="H1340" s="6" t="s">
        <v>1822</v>
      </c>
      <c r="J1340" s="1215" t="s">
        <v>509</v>
      </c>
      <c r="K1340" s="1219" t="s">
        <v>3033</v>
      </c>
      <c r="L1340" s="8">
        <v>50</v>
      </c>
      <c r="M1340" s="8">
        <v>390</v>
      </c>
      <c r="N1340" s="1169" t="s">
        <v>274</v>
      </c>
      <c r="P1340" s="6" t="s">
        <v>3324</v>
      </c>
      <c r="Q1340" s="1215" t="s">
        <v>253</v>
      </c>
      <c r="R1340" s="1215" t="s">
        <v>255</v>
      </c>
      <c r="S1340" s="1215" t="s">
        <v>534</v>
      </c>
      <c r="T1340" s="1215" t="s">
        <v>533</v>
      </c>
      <c r="U1340" s="6" t="s">
        <v>549</v>
      </c>
      <c r="V1340" s="6" t="s">
        <v>31</v>
      </c>
      <c r="W1340" s="6" t="s">
        <v>634</v>
      </c>
      <c r="X1340" s="6" t="s">
        <v>171</v>
      </c>
    </row>
    <row r="1341" spans="1:24" ht="15" customHeight="1" x14ac:dyDescent="0.3">
      <c r="A1341" s="6" t="s">
        <v>533</v>
      </c>
      <c r="B1341" s="6" t="s">
        <v>534</v>
      </c>
      <c r="C1341" s="6" t="s">
        <v>31</v>
      </c>
      <c r="D1341" s="1088" t="s">
        <v>549</v>
      </c>
      <c r="E1341" s="6" t="s">
        <v>171</v>
      </c>
      <c r="F1341" s="6" t="s">
        <v>634</v>
      </c>
      <c r="G1341" s="6" t="s">
        <v>2625</v>
      </c>
      <c r="H1341" s="6" t="s">
        <v>1822</v>
      </c>
      <c r="J1341" s="1215" t="s">
        <v>509</v>
      </c>
      <c r="K1341" s="1219" t="s">
        <v>3112</v>
      </c>
      <c r="L1341" s="8">
        <v>10</v>
      </c>
      <c r="M1341" s="8">
        <v>72</v>
      </c>
      <c r="N1341" s="1169" t="s">
        <v>272</v>
      </c>
      <c r="P1341" s="6" t="s">
        <v>3324</v>
      </c>
      <c r="Q1341" s="1215" t="s">
        <v>253</v>
      </c>
      <c r="R1341" s="1215" t="s">
        <v>255</v>
      </c>
      <c r="S1341" s="1215" t="s">
        <v>534</v>
      </c>
      <c r="T1341" s="1215" t="s">
        <v>533</v>
      </c>
      <c r="U1341" s="6" t="s">
        <v>549</v>
      </c>
      <c r="V1341" s="6" t="s">
        <v>31</v>
      </c>
      <c r="W1341" s="6" t="s">
        <v>634</v>
      </c>
      <c r="X1341" s="6" t="s">
        <v>171</v>
      </c>
    </row>
    <row r="1342" spans="1:24" ht="15" customHeight="1" x14ac:dyDescent="0.3">
      <c r="A1342" s="6" t="s">
        <v>533</v>
      </c>
      <c r="B1342" s="6" t="s">
        <v>534</v>
      </c>
      <c r="C1342" s="6" t="s">
        <v>31</v>
      </c>
      <c r="D1342" s="1088" t="s">
        <v>549</v>
      </c>
      <c r="E1342" s="6" t="s">
        <v>171</v>
      </c>
      <c r="F1342" s="6" t="s">
        <v>634</v>
      </c>
      <c r="G1342" s="6" t="s">
        <v>2938</v>
      </c>
      <c r="H1342" s="6" t="s">
        <v>1893</v>
      </c>
      <c r="J1342" s="1215" t="s">
        <v>509</v>
      </c>
      <c r="K1342" s="1219" t="s">
        <v>3033</v>
      </c>
      <c r="L1342" s="8">
        <v>10</v>
      </c>
      <c r="M1342" s="8">
        <v>167</v>
      </c>
      <c r="N1342" s="1169" t="s">
        <v>271</v>
      </c>
      <c r="P1342" s="6" t="s">
        <v>3324</v>
      </c>
      <c r="Q1342" s="1215" t="s">
        <v>253</v>
      </c>
      <c r="R1342" s="1215" t="s">
        <v>255</v>
      </c>
      <c r="S1342" s="1215" t="s">
        <v>534</v>
      </c>
      <c r="T1342" s="1215" t="s">
        <v>533</v>
      </c>
      <c r="U1342" s="6" t="s">
        <v>549</v>
      </c>
      <c r="V1342" s="6" t="s">
        <v>31</v>
      </c>
      <c r="W1342" s="6" t="s">
        <v>634</v>
      </c>
      <c r="X1342" s="6" t="s">
        <v>171</v>
      </c>
    </row>
    <row r="1343" spans="1:24" ht="15" customHeight="1" x14ac:dyDescent="0.3">
      <c r="A1343" s="6" t="s">
        <v>533</v>
      </c>
      <c r="B1343" s="6" t="s">
        <v>534</v>
      </c>
      <c r="C1343" s="6" t="s">
        <v>31</v>
      </c>
      <c r="D1343" s="1088" t="s">
        <v>549</v>
      </c>
      <c r="E1343" s="6" t="s">
        <v>171</v>
      </c>
      <c r="F1343" s="6" t="s">
        <v>634</v>
      </c>
      <c r="G1343" s="6" t="s">
        <v>2938</v>
      </c>
      <c r="H1343" s="6" t="s">
        <v>1893</v>
      </c>
      <c r="J1343" s="1215" t="s">
        <v>509</v>
      </c>
      <c r="K1343" s="1219" t="s">
        <v>3112</v>
      </c>
      <c r="L1343" s="8">
        <v>10</v>
      </c>
      <c r="M1343" s="8">
        <v>35</v>
      </c>
      <c r="N1343" s="1088" t="s">
        <v>272</v>
      </c>
      <c r="P1343" s="6" t="s">
        <v>3323</v>
      </c>
      <c r="Q1343" s="1215" t="s">
        <v>253</v>
      </c>
      <c r="R1343" s="1215" t="s">
        <v>255</v>
      </c>
      <c r="S1343" s="1215" t="s">
        <v>534</v>
      </c>
      <c r="T1343" s="1215" t="s">
        <v>533</v>
      </c>
      <c r="U1343" s="6" t="s">
        <v>549</v>
      </c>
      <c r="V1343" s="6" t="s">
        <v>31</v>
      </c>
      <c r="W1343" s="6" t="s">
        <v>1113</v>
      </c>
      <c r="X1343" s="1215" t="s">
        <v>167</v>
      </c>
    </row>
    <row r="1344" spans="1:24" ht="15" customHeight="1" x14ac:dyDescent="0.3">
      <c r="A1344" s="6" t="s">
        <v>533</v>
      </c>
      <c r="B1344" s="6" t="s">
        <v>534</v>
      </c>
      <c r="C1344" s="6" t="s">
        <v>35</v>
      </c>
      <c r="D1344" s="1088" t="s">
        <v>567</v>
      </c>
      <c r="E1344" s="6" t="s">
        <v>195</v>
      </c>
      <c r="F1344" s="6" t="s">
        <v>733</v>
      </c>
      <c r="G1344" s="6" t="s">
        <v>1838</v>
      </c>
      <c r="H1344" s="6" t="s">
        <v>1592</v>
      </c>
      <c r="J1344" s="1215" t="s">
        <v>509</v>
      </c>
      <c r="K1344" s="1219" t="s">
        <v>3033</v>
      </c>
      <c r="L1344" s="8">
        <v>38</v>
      </c>
      <c r="M1344" s="8">
        <v>208</v>
      </c>
      <c r="N1344" s="1169" t="s">
        <v>271</v>
      </c>
      <c r="P1344" s="6" t="s">
        <v>3324</v>
      </c>
      <c r="Q1344" s="1215" t="s">
        <v>253</v>
      </c>
      <c r="R1344" s="1215" t="s">
        <v>255</v>
      </c>
      <c r="S1344" s="1215" t="s">
        <v>534</v>
      </c>
      <c r="T1344" s="1215" t="s">
        <v>533</v>
      </c>
      <c r="U1344" s="6" t="s">
        <v>567</v>
      </c>
      <c r="V1344" s="6" t="s">
        <v>35</v>
      </c>
      <c r="W1344" s="6" t="s">
        <v>733</v>
      </c>
      <c r="X1344" s="6" t="s">
        <v>195</v>
      </c>
    </row>
    <row r="1345" spans="1:24" ht="15" customHeight="1" x14ac:dyDescent="0.3">
      <c r="A1345" s="6" t="s">
        <v>533</v>
      </c>
      <c r="B1345" s="6" t="s">
        <v>534</v>
      </c>
      <c r="C1345" s="6" t="s">
        <v>35</v>
      </c>
      <c r="D1345" s="1088" t="s">
        <v>567</v>
      </c>
      <c r="E1345" s="6" t="s">
        <v>195</v>
      </c>
      <c r="F1345" s="6" t="s">
        <v>733</v>
      </c>
      <c r="G1345" s="6" t="s">
        <v>1838</v>
      </c>
      <c r="H1345" s="6" t="s">
        <v>1592</v>
      </c>
      <c r="J1345" s="1215" t="s">
        <v>509</v>
      </c>
      <c r="K1345" s="1219" t="s">
        <v>3112</v>
      </c>
      <c r="L1345" s="8">
        <v>2</v>
      </c>
      <c r="M1345" s="8">
        <v>11</v>
      </c>
      <c r="N1345" s="1169" t="s">
        <v>271</v>
      </c>
      <c r="P1345" s="6" t="s">
        <v>3324</v>
      </c>
      <c r="Q1345" s="1215" t="s">
        <v>253</v>
      </c>
      <c r="R1345" s="1215" t="s">
        <v>255</v>
      </c>
      <c r="S1345" s="1215" t="s">
        <v>534</v>
      </c>
      <c r="T1345" s="1215" t="s">
        <v>533</v>
      </c>
      <c r="U1345" s="6" t="s">
        <v>567</v>
      </c>
      <c r="V1345" s="6" t="s">
        <v>35</v>
      </c>
      <c r="W1345" s="6" t="s">
        <v>733</v>
      </c>
      <c r="X1345" s="6" t="s">
        <v>195</v>
      </c>
    </row>
    <row r="1346" spans="1:24" ht="15" customHeight="1" x14ac:dyDescent="0.3">
      <c r="A1346" s="6" t="s">
        <v>533</v>
      </c>
      <c r="B1346" s="6" t="s">
        <v>534</v>
      </c>
      <c r="C1346" s="6" t="s">
        <v>31</v>
      </c>
      <c r="D1346" s="1088" t="s">
        <v>549</v>
      </c>
      <c r="E1346" s="6" t="s">
        <v>171</v>
      </c>
      <c r="F1346" s="6" t="s">
        <v>634</v>
      </c>
      <c r="G1346" s="6" t="s">
        <v>1341</v>
      </c>
      <c r="H1346" s="6" t="s">
        <v>1756</v>
      </c>
      <c r="J1346" s="1215" t="s">
        <v>509</v>
      </c>
      <c r="K1346" s="1219" t="s">
        <v>3111</v>
      </c>
      <c r="L1346" s="8">
        <v>18</v>
      </c>
      <c r="M1346" s="8">
        <v>109</v>
      </c>
      <c r="N1346" s="1169" t="s">
        <v>271</v>
      </c>
      <c r="P1346" s="6" t="s">
        <v>3324</v>
      </c>
      <c r="Q1346" s="1215" t="s">
        <v>253</v>
      </c>
      <c r="R1346" s="1215" t="s">
        <v>255</v>
      </c>
      <c r="S1346" s="1215" t="s">
        <v>534</v>
      </c>
      <c r="T1346" s="1215" t="s">
        <v>533</v>
      </c>
      <c r="U1346" s="6" t="s">
        <v>549</v>
      </c>
      <c r="V1346" s="6" t="s">
        <v>31</v>
      </c>
      <c r="W1346" s="6" t="s">
        <v>634</v>
      </c>
      <c r="X1346" s="6" t="s">
        <v>171</v>
      </c>
    </row>
    <row r="1347" spans="1:24" ht="15" customHeight="1" x14ac:dyDescent="0.3">
      <c r="A1347" s="6" t="s">
        <v>533</v>
      </c>
      <c r="B1347" s="6" t="s">
        <v>534</v>
      </c>
      <c r="C1347" s="6" t="s">
        <v>31</v>
      </c>
      <c r="D1347" s="1088" t="s">
        <v>549</v>
      </c>
      <c r="E1347" s="6" t="s">
        <v>171</v>
      </c>
      <c r="F1347" s="6" t="s">
        <v>634</v>
      </c>
      <c r="G1347" s="6" t="s">
        <v>2802</v>
      </c>
      <c r="H1347" s="6" t="s">
        <v>3238</v>
      </c>
      <c r="J1347" s="1215" t="s">
        <v>509</v>
      </c>
      <c r="K1347" s="1219" t="s">
        <v>3111</v>
      </c>
      <c r="L1347" s="8">
        <v>15</v>
      </c>
      <c r="M1347" s="8">
        <v>43</v>
      </c>
      <c r="N1347" s="1169" t="s">
        <v>271</v>
      </c>
      <c r="P1347" s="6" t="s">
        <v>3324</v>
      </c>
      <c r="Q1347" s="1215" t="s">
        <v>253</v>
      </c>
      <c r="R1347" s="1215" t="s">
        <v>255</v>
      </c>
      <c r="S1347" s="1215" t="s">
        <v>534</v>
      </c>
      <c r="T1347" s="1215" t="s">
        <v>533</v>
      </c>
      <c r="U1347" s="6" t="s">
        <v>549</v>
      </c>
      <c r="V1347" s="6" t="s">
        <v>31</v>
      </c>
      <c r="W1347" s="6" t="s">
        <v>634</v>
      </c>
      <c r="X1347" s="6" t="s">
        <v>171</v>
      </c>
    </row>
    <row r="1348" spans="1:24" ht="15" customHeight="1" x14ac:dyDescent="0.3">
      <c r="A1348" s="6" t="s">
        <v>533</v>
      </c>
      <c r="B1348" s="6" t="s">
        <v>534</v>
      </c>
      <c r="C1348" s="6" t="s">
        <v>31</v>
      </c>
      <c r="D1348" s="1088" t="s">
        <v>549</v>
      </c>
      <c r="E1348" s="6" t="s">
        <v>171</v>
      </c>
      <c r="F1348" s="6" t="s">
        <v>634</v>
      </c>
      <c r="G1348" s="6" t="s">
        <v>2010</v>
      </c>
      <c r="H1348" s="6" t="s">
        <v>1547</v>
      </c>
      <c r="J1348" s="1215" t="s">
        <v>509</v>
      </c>
      <c r="K1348" s="1219" t="s">
        <v>3111</v>
      </c>
      <c r="L1348" s="8">
        <v>32</v>
      </c>
      <c r="M1348" s="8">
        <v>132</v>
      </c>
      <c r="N1348" s="1169" t="s">
        <v>271</v>
      </c>
      <c r="P1348" s="6" t="s">
        <v>3324</v>
      </c>
      <c r="Q1348" s="1215" t="s">
        <v>253</v>
      </c>
      <c r="R1348" s="1215" t="s">
        <v>255</v>
      </c>
      <c r="S1348" s="1215" t="s">
        <v>534</v>
      </c>
      <c r="T1348" s="1215" t="s">
        <v>533</v>
      </c>
      <c r="U1348" s="6" t="s">
        <v>549</v>
      </c>
      <c r="V1348" s="6" t="s">
        <v>31</v>
      </c>
      <c r="W1348" s="6" t="s">
        <v>634</v>
      </c>
      <c r="X1348" s="6" t="s">
        <v>171</v>
      </c>
    </row>
    <row r="1349" spans="1:24" ht="15" customHeight="1" x14ac:dyDescent="0.3">
      <c r="A1349" s="6" t="s">
        <v>533</v>
      </c>
      <c r="B1349" s="6" t="s">
        <v>534</v>
      </c>
      <c r="C1349" s="6" t="s">
        <v>31</v>
      </c>
      <c r="D1349" s="1088" t="s">
        <v>549</v>
      </c>
      <c r="E1349" s="1088" t="s">
        <v>171</v>
      </c>
      <c r="F1349" s="6" t="s">
        <v>634</v>
      </c>
      <c r="G1349" s="6" t="s">
        <v>1064</v>
      </c>
      <c r="H1349" s="6" t="s">
        <v>3239</v>
      </c>
      <c r="J1349" s="1215" t="s">
        <v>509</v>
      </c>
      <c r="K1349" s="1219" t="s">
        <v>3111</v>
      </c>
      <c r="L1349" s="8">
        <v>45</v>
      </c>
      <c r="M1349" s="8">
        <v>427</v>
      </c>
      <c r="N1349" s="6" t="s">
        <v>271</v>
      </c>
      <c r="P1349" s="6" t="s">
        <v>3324</v>
      </c>
      <c r="Q1349" s="1215" t="s">
        <v>253</v>
      </c>
      <c r="R1349" s="1215" t="s">
        <v>255</v>
      </c>
      <c r="S1349" s="1215" t="s">
        <v>534</v>
      </c>
      <c r="T1349" s="1215" t="s">
        <v>533</v>
      </c>
      <c r="U1349" s="6" t="s">
        <v>549</v>
      </c>
      <c r="V1349" s="6" t="s">
        <v>31</v>
      </c>
      <c r="W1349" s="6" t="s">
        <v>634</v>
      </c>
      <c r="X1349" s="6" t="s">
        <v>171</v>
      </c>
    </row>
    <row r="1350" spans="1:24" ht="15" customHeight="1" x14ac:dyDescent="0.3">
      <c r="A1350" s="6" t="s">
        <v>533</v>
      </c>
      <c r="B1350" s="6" t="s">
        <v>534</v>
      </c>
      <c r="C1350" s="6" t="s">
        <v>31</v>
      </c>
      <c r="D1350" s="1088" t="s">
        <v>549</v>
      </c>
      <c r="E1350" s="1088" t="s">
        <v>171</v>
      </c>
      <c r="F1350" s="6" t="s">
        <v>634</v>
      </c>
      <c r="G1350" s="6" t="s">
        <v>1924</v>
      </c>
      <c r="H1350" s="6" t="s">
        <v>3305</v>
      </c>
      <c r="J1350" s="1215" t="s">
        <v>509</v>
      </c>
      <c r="K1350" s="1219" t="s">
        <v>3033</v>
      </c>
      <c r="L1350" s="8">
        <v>64</v>
      </c>
      <c r="M1350" s="8">
        <v>449</v>
      </c>
      <c r="N1350" s="1169" t="s">
        <v>271</v>
      </c>
      <c r="P1350" s="6" t="s">
        <v>3324</v>
      </c>
      <c r="Q1350" s="1215" t="s">
        <v>253</v>
      </c>
      <c r="R1350" s="1215" t="s">
        <v>255</v>
      </c>
      <c r="S1350" s="1215" t="s">
        <v>534</v>
      </c>
      <c r="T1350" s="1215" t="s">
        <v>533</v>
      </c>
      <c r="U1350" s="6" t="s">
        <v>549</v>
      </c>
      <c r="V1350" s="6" t="s">
        <v>31</v>
      </c>
      <c r="W1350" s="6" t="s">
        <v>634</v>
      </c>
      <c r="X1350" s="6" t="s">
        <v>171</v>
      </c>
    </row>
    <row r="1351" spans="1:24" ht="15" customHeight="1" x14ac:dyDescent="0.3">
      <c r="A1351" s="6" t="s">
        <v>533</v>
      </c>
      <c r="B1351" s="6" t="s">
        <v>534</v>
      </c>
      <c r="C1351" s="6" t="s">
        <v>31</v>
      </c>
      <c r="D1351" s="1088" t="s">
        <v>549</v>
      </c>
      <c r="E1351" s="6" t="s">
        <v>171</v>
      </c>
      <c r="F1351" s="6" t="s">
        <v>634</v>
      </c>
      <c r="G1351" s="6" t="s">
        <v>1924</v>
      </c>
      <c r="H1351" s="6" t="s">
        <v>3305</v>
      </c>
      <c r="J1351" s="1215" t="s">
        <v>509</v>
      </c>
      <c r="K1351" s="1219" t="s">
        <v>3109</v>
      </c>
      <c r="L1351" s="8">
        <v>8</v>
      </c>
      <c r="M1351" s="8">
        <v>73</v>
      </c>
      <c r="N1351" s="1169" t="s">
        <v>271</v>
      </c>
      <c r="P1351" s="6" t="s">
        <v>3324</v>
      </c>
      <c r="Q1351" s="1215" t="s">
        <v>253</v>
      </c>
      <c r="R1351" s="1215" t="s">
        <v>255</v>
      </c>
      <c r="S1351" s="1215" t="s">
        <v>534</v>
      </c>
      <c r="T1351" s="1215" t="s">
        <v>533</v>
      </c>
      <c r="U1351" s="6" t="s">
        <v>549</v>
      </c>
      <c r="V1351" s="6" t="s">
        <v>31</v>
      </c>
      <c r="W1351" s="6" t="s">
        <v>634</v>
      </c>
      <c r="X1351" s="6" t="s">
        <v>171</v>
      </c>
    </row>
    <row r="1352" spans="1:24" ht="15" customHeight="1" x14ac:dyDescent="0.3">
      <c r="A1352" s="6" t="s">
        <v>533</v>
      </c>
      <c r="B1352" s="6" t="s">
        <v>534</v>
      </c>
      <c r="C1352" s="6" t="s">
        <v>31</v>
      </c>
      <c r="D1352" s="1088" t="s">
        <v>549</v>
      </c>
      <c r="E1352" s="1088" t="s">
        <v>171</v>
      </c>
      <c r="F1352" s="6" t="s">
        <v>634</v>
      </c>
      <c r="G1352" s="6" t="s">
        <v>1924</v>
      </c>
      <c r="H1352" s="6" t="s">
        <v>3305</v>
      </c>
      <c r="J1352" s="1215" t="s">
        <v>509</v>
      </c>
      <c r="K1352" s="1219" t="s">
        <v>3110</v>
      </c>
      <c r="L1352" s="8">
        <v>0</v>
      </c>
      <c r="M1352" s="8">
        <v>8</v>
      </c>
      <c r="N1352" s="1169" t="s">
        <v>271</v>
      </c>
      <c r="P1352" s="6" t="s">
        <v>3324</v>
      </c>
      <c r="Q1352" s="1215" t="s">
        <v>253</v>
      </c>
      <c r="R1352" s="1215" t="s">
        <v>255</v>
      </c>
      <c r="S1352" s="1215" t="s">
        <v>534</v>
      </c>
      <c r="T1352" s="1215" t="s">
        <v>533</v>
      </c>
      <c r="U1352" s="6" t="s">
        <v>549</v>
      </c>
      <c r="V1352" s="6" t="s">
        <v>31</v>
      </c>
      <c r="W1352" s="6" t="s">
        <v>634</v>
      </c>
      <c r="X1352" s="6" t="s">
        <v>171</v>
      </c>
    </row>
    <row r="1353" spans="1:24" ht="15" customHeight="1" x14ac:dyDescent="0.3">
      <c r="A1353" s="6" t="s">
        <v>533</v>
      </c>
      <c r="B1353" s="6" t="s">
        <v>534</v>
      </c>
      <c r="C1353" s="6" t="s">
        <v>31</v>
      </c>
      <c r="D1353" s="1088" t="s">
        <v>549</v>
      </c>
      <c r="E1353" s="6" t="s">
        <v>171</v>
      </c>
      <c r="F1353" s="6" t="s">
        <v>634</v>
      </c>
      <c r="G1353" s="6" t="s">
        <v>1924</v>
      </c>
      <c r="H1353" s="6" t="s">
        <v>3305</v>
      </c>
      <c r="J1353" s="1215" t="s">
        <v>509</v>
      </c>
      <c r="K1353" s="1219" t="s">
        <v>3111</v>
      </c>
      <c r="L1353" s="8">
        <v>8</v>
      </c>
      <c r="M1353" s="8">
        <v>60</v>
      </c>
      <c r="N1353" s="1169" t="s">
        <v>274</v>
      </c>
      <c r="P1353" s="6" t="s">
        <v>3323</v>
      </c>
      <c r="Q1353" s="1215" t="s">
        <v>253</v>
      </c>
      <c r="R1353" s="1215" t="s">
        <v>255</v>
      </c>
      <c r="S1353" s="1215" t="s">
        <v>534</v>
      </c>
      <c r="T1353" s="1215" t="s">
        <v>533</v>
      </c>
      <c r="U1353" s="6" t="s">
        <v>549</v>
      </c>
      <c r="V1353" s="6" t="s">
        <v>31</v>
      </c>
      <c r="W1353" s="6" t="s">
        <v>673</v>
      </c>
      <c r="X1353" s="6" t="s">
        <v>169</v>
      </c>
    </row>
    <row r="1354" spans="1:24" ht="15" customHeight="1" x14ac:dyDescent="0.3">
      <c r="A1354" s="6" t="s">
        <v>533</v>
      </c>
      <c r="B1354" s="6" t="s">
        <v>534</v>
      </c>
      <c r="C1354" s="6" t="s">
        <v>31</v>
      </c>
      <c r="D1354" s="1088" t="s">
        <v>549</v>
      </c>
      <c r="E1354" s="6" t="s">
        <v>171</v>
      </c>
      <c r="F1354" s="6" t="s">
        <v>634</v>
      </c>
      <c r="G1354" s="6" t="s">
        <v>1924</v>
      </c>
      <c r="H1354" s="6" t="s">
        <v>3305</v>
      </c>
      <c r="J1354" s="1215" t="s">
        <v>509</v>
      </c>
      <c r="K1354" s="1219" t="s">
        <v>3112</v>
      </c>
      <c r="L1354" s="8">
        <v>0</v>
      </c>
      <c r="M1354" s="8">
        <v>7</v>
      </c>
      <c r="N1354" s="1169" t="s">
        <v>271</v>
      </c>
      <c r="P1354" s="6" t="s">
        <v>3324</v>
      </c>
      <c r="Q1354" s="1215" t="s">
        <v>253</v>
      </c>
      <c r="R1354" s="1215" t="s">
        <v>255</v>
      </c>
      <c r="S1354" s="1215" t="s">
        <v>534</v>
      </c>
      <c r="T1354" s="1215" t="s">
        <v>533</v>
      </c>
      <c r="U1354" s="6" t="s">
        <v>549</v>
      </c>
      <c r="V1354" s="6" t="s">
        <v>31</v>
      </c>
      <c r="W1354" s="6" t="s">
        <v>634</v>
      </c>
      <c r="X1354" s="6" t="s">
        <v>171</v>
      </c>
    </row>
    <row r="1355" spans="1:24" ht="15" customHeight="1" x14ac:dyDescent="0.3">
      <c r="A1355" s="6" t="s">
        <v>533</v>
      </c>
      <c r="B1355" s="6" t="s">
        <v>534</v>
      </c>
      <c r="C1355" s="6" t="s">
        <v>31</v>
      </c>
      <c r="D1355" s="1088" t="s">
        <v>549</v>
      </c>
      <c r="E1355" s="6" t="s">
        <v>171</v>
      </c>
      <c r="F1355" s="6" t="s">
        <v>634</v>
      </c>
      <c r="G1355" s="6" t="s">
        <v>1980</v>
      </c>
      <c r="H1355" s="6" t="s">
        <v>1366</v>
      </c>
      <c r="J1355" s="1215" t="s">
        <v>509</v>
      </c>
      <c r="K1355" s="1219" t="s">
        <v>3033</v>
      </c>
      <c r="L1355" s="8">
        <v>57</v>
      </c>
      <c r="M1355" s="8">
        <v>516</v>
      </c>
      <c r="N1355" s="1169" t="s">
        <v>271</v>
      </c>
      <c r="P1355" s="6" t="s">
        <v>3324</v>
      </c>
      <c r="Q1355" s="1215" t="s">
        <v>253</v>
      </c>
      <c r="R1355" s="1215" t="s">
        <v>255</v>
      </c>
      <c r="S1355" s="1215" t="s">
        <v>534</v>
      </c>
      <c r="T1355" s="1215" t="s">
        <v>533</v>
      </c>
      <c r="U1355" s="6" t="s">
        <v>549</v>
      </c>
      <c r="V1355" s="6" t="s">
        <v>31</v>
      </c>
      <c r="W1355" s="6" t="s">
        <v>634</v>
      </c>
      <c r="X1355" s="6" t="s">
        <v>171</v>
      </c>
    </row>
    <row r="1356" spans="1:24" ht="15" customHeight="1" x14ac:dyDescent="0.3">
      <c r="A1356" s="6" t="s">
        <v>533</v>
      </c>
      <c r="B1356" s="6" t="s">
        <v>534</v>
      </c>
      <c r="C1356" s="6" t="s">
        <v>31</v>
      </c>
      <c r="D1356" s="1088" t="s">
        <v>549</v>
      </c>
      <c r="E1356" s="6" t="s">
        <v>171</v>
      </c>
      <c r="F1356" s="6" t="s">
        <v>634</v>
      </c>
      <c r="G1356" s="6" t="s">
        <v>1980</v>
      </c>
      <c r="H1356" s="6" t="s">
        <v>1366</v>
      </c>
      <c r="J1356" s="1215" t="s">
        <v>509</v>
      </c>
      <c r="K1356" s="1219" t="s">
        <v>3109</v>
      </c>
      <c r="L1356" s="8">
        <v>0</v>
      </c>
      <c r="M1356" s="8">
        <v>17</v>
      </c>
      <c r="N1356" s="1169" t="s">
        <v>271</v>
      </c>
      <c r="P1356" s="6" t="s">
        <v>3324</v>
      </c>
      <c r="Q1356" s="1215" t="s">
        <v>253</v>
      </c>
      <c r="R1356" s="1215" t="s">
        <v>255</v>
      </c>
      <c r="S1356" s="1215" t="s">
        <v>534</v>
      </c>
      <c r="T1356" s="1215" t="s">
        <v>533</v>
      </c>
      <c r="U1356" s="6" t="s">
        <v>549</v>
      </c>
      <c r="V1356" s="6" t="s">
        <v>31</v>
      </c>
      <c r="W1356" s="6" t="s">
        <v>634</v>
      </c>
      <c r="X1356" s="6" t="s">
        <v>171</v>
      </c>
    </row>
    <row r="1357" spans="1:24" ht="15" customHeight="1" x14ac:dyDescent="0.3">
      <c r="A1357" s="6" t="s">
        <v>533</v>
      </c>
      <c r="B1357" s="6" t="s">
        <v>534</v>
      </c>
      <c r="C1357" s="6" t="s">
        <v>31</v>
      </c>
      <c r="D1357" s="1088" t="s">
        <v>549</v>
      </c>
      <c r="E1357" s="6" t="s">
        <v>171</v>
      </c>
      <c r="F1357" s="6" t="s">
        <v>634</v>
      </c>
      <c r="G1357" s="6" t="s">
        <v>1980</v>
      </c>
      <c r="H1357" s="6" t="s">
        <v>1366</v>
      </c>
      <c r="J1357" s="1215" t="s">
        <v>509</v>
      </c>
      <c r="K1357" s="1219" t="s">
        <v>3111</v>
      </c>
      <c r="L1357" s="8">
        <v>0</v>
      </c>
      <c r="M1357" s="8">
        <v>12</v>
      </c>
      <c r="N1357" s="1169" t="s">
        <v>271</v>
      </c>
      <c r="P1357" s="6" t="s">
        <v>3324</v>
      </c>
      <c r="Q1357" s="1215" t="s">
        <v>253</v>
      </c>
      <c r="R1357" s="1215" t="s">
        <v>255</v>
      </c>
      <c r="S1357" s="1215" t="s">
        <v>534</v>
      </c>
      <c r="T1357" s="1215" t="s">
        <v>533</v>
      </c>
      <c r="U1357" s="6" t="s">
        <v>549</v>
      </c>
      <c r="V1357" s="6" t="s">
        <v>31</v>
      </c>
      <c r="W1357" s="6" t="s">
        <v>634</v>
      </c>
      <c r="X1357" s="6" t="s">
        <v>171</v>
      </c>
    </row>
    <row r="1358" spans="1:24" ht="15" customHeight="1" x14ac:dyDescent="0.3">
      <c r="A1358" s="6" t="s">
        <v>533</v>
      </c>
      <c r="B1358" s="6" t="s">
        <v>534</v>
      </c>
      <c r="C1358" s="6" t="s">
        <v>31</v>
      </c>
      <c r="D1358" s="1088" t="s">
        <v>549</v>
      </c>
      <c r="E1358" s="6" t="s">
        <v>171</v>
      </c>
      <c r="F1358" s="6" t="s">
        <v>634</v>
      </c>
      <c r="G1358" s="6" t="s">
        <v>1980</v>
      </c>
      <c r="H1358" s="6" t="s">
        <v>1366</v>
      </c>
      <c r="J1358" s="1215" t="s">
        <v>509</v>
      </c>
      <c r="K1358" s="1219" t="s">
        <v>3112</v>
      </c>
      <c r="L1358" s="8">
        <v>0</v>
      </c>
      <c r="M1358" s="8">
        <v>10</v>
      </c>
      <c r="N1358" s="1169" t="s">
        <v>271</v>
      </c>
      <c r="P1358" s="6" t="s">
        <v>3324</v>
      </c>
      <c r="Q1358" s="1215" t="s">
        <v>253</v>
      </c>
      <c r="R1358" s="1215" t="s">
        <v>255</v>
      </c>
      <c r="S1358" s="1215" t="s">
        <v>534</v>
      </c>
      <c r="T1358" s="1215" t="s">
        <v>533</v>
      </c>
      <c r="U1358" s="6" t="s">
        <v>549</v>
      </c>
      <c r="V1358" s="6" t="s">
        <v>31</v>
      </c>
      <c r="W1358" s="6" t="s">
        <v>634</v>
      </c>
      <c r="X1358" s="6" t="s">
        <v>171</v>
      </c>
    </row>
    <row r="1359" spans="1:24" ht="15" customHeight="1" x14ac:dyDescent="0.3">
      <c r="A1359" s="6" t="s">
        <v>533</v>
      </c>
      <c r="B1359" s="6" t="s">
        <v>534</v>
      </c>
      <c r="C1359" s="6" t="s">
        <v>31</v>
      </c>
      <c r="D1359" s="1088" t="s">
        <v>549</v>
      </c>
      <c r="E1359" s="6" t="s">
        <v>167</v>
      </c>
      <c r="F1359" s="6" t="s">
        <v>1113</v>
      </c>
      <c r="G1359" s="6" t="s">
        <v>1991</v>
      </c>
      <c r="H1359" s="6" t="s">
        <v>2280</v>
      </c>
      <c r="J1359" s="1215" t="s">
        <v>509</v>
      </c>
      <c r="K1359" s="1219" t="s">
        <v>3111</v>
      </c>
      <c r="L1359" s="8">
        <v>8</v>
      </c>
      <c r="M1359" s="8">
        <v>16</v>
      </c>
      <c r="N1359" s="1169" t="s">
        <v>271</v>
      </c>
      <c r="P1359" s="6" t="s">
        <v>3324</v>
      </c>
      <c r="Q1359" s="1215" t="s">
        <v>253</v>
      </c>
      <c r="R1359" s="1215" t="s">
        <v>255</v>
      </c>
      <c r="S1359" s="1215" t="s">
        <v>534</v>
      </c>
      <c r="T1359" s="1215" t="s">
        <v>533</v>
      </c>
      <c r="U1359" s="6" t="s">
        <v>549</v>
      </c>
      <c r="V1359" s="6" t="s">
        <v>31</v>
      </c>
      <c r="W1359" s="6" t="s">
        <v>1113</v>
      </c>
      <c r="X1359" s="6" t="s">
        <v>167</v>
      </c>
    </row>
    <row r="1360" spans="1:24" ht="15" customHeight="1" x14ac:dyDescent="0.3">
      <c r="A1360" s="6" t="s">
        <v>533</v>
      </c>
      <c r="B1360" s="6" t="s">
        <v>534</v>
      </c>
      <c r="C1360" s="6" t="s">
        <v>31</v>
      </c>
      <c r="D1360" s="1088" t="s">
        <v>549</v>
      </c>
      <c r="E1360" s="6" t="s">
        <v>167</v>
      </c>
      <c r="F1360" s="6" t="s">
        <v>1113</v>
      </c>
      <c r="G1360" s="6" t="s">
        <v>2047</v>
      </c>
      <c r="H1360" s="6" t="s">
        <v>1947</v>
      </c>
      <c r="J1360" s="1215" t="s">
        <v>509</v>
      </c>
      <c r="K1360" s="1219" t="s">
        <v>3111</v>
      </c>
      <c r="L1360" s="8">
        <v>20</v>
      </c>
      <c r="M1360" s="8">
        <v>49</v>
      </c>
      <c r="N1360" s="1169" t="s">
        <v>271</v>
      </c>
      <c r="P1360" s="6" t="s">
        <v>3324</v>
      </c>
      <c r="Q1360" s="1215" t="s">
        <v>253</v>
      </c>
      <c r="R1360" s="1215" t="s">
        <v>255</v>
      </c>
      <c r="S1360" s="1215" t="s">
        <v>534</v>
      </c>
      <c r="T1360" s="1215" t="s">
        <v>533</v>
      </c>
      <c r="U1360" s="6" t="s">
        <v>549</v>
      </c>
      <c r="V1360" s="6" t="s">
        <v>31</v>
      </c>
      <c r="W1360" s="6" t="s">
        <v>1113</v>
      </c>
      <c r="X1360" s="6" t="s">
        <v>167</v>
      </c>
    </row>
    <row r="1361" spans="1:24" ht="15" customHeight="1" x14ac:dyDescent="0.3">
      <c r="A1361" s="6" t="s">
        <v>533</v>
      </c>
      <c r="B1361" s="6" t="s">
        <v>534</v>
      </c>
      <c r="C1361" s="6" t="s">
        <v>31</v>
      </c>
      <c r="D1361" s="1088" t="s">
        <v>549</v>
      </c>
      <c r="E1361" s="6" t="s">
        <v>167</v>
      </c>
      <c r="F1361" s="6" t="s">
        <v>1113</v>
      </c>
      <c r="G1361" s="6" t="s">
        <v>1900</v>
      </c>
      <c r="H1361" s="6" t="s">
        <v>2080</v>
      </c>
      <c r="J1361" s="1215" t="s">
        <v>509</v>
      </c>
      <c r="K1361" s="1219" t="s">
        <v>3111</v>
      </c>
      <c r="L1361" s="8">
        <v>3</v>
      </c>
      <c r="M1361" s="8">
        <v>12</v>
      </c>
      <c r="N1361" s="1169" t="s">
        <v>271</v>
      </c>
      <c r="P1361" s="6" t="s">
        <v>3324</v>
      </c>
      <c r="Q1361" s="1215" t="s">
        <v>253</v>
      </c>
      <c r="R1361" s="1215" t="s">
        <v>255</v>
      </c>
      <c r="S1361" s="1215" t="s">
        <v>534</v>
      </c>
      <c r="T1361" s="1215" t="s">
        <v>533</v>
      </c>
      <c r="U1361" s="6" t="s">
        <v>549</v>
      </c>
      <c r="V1361" s="6" t="s">
        <v>31</v>
      </c>
      <c r="W1361" s="6" t="s">
        <v>1113</v>
      </c>
      <c r="X1361" s="6" t="s">
        <v>167</v>
      </c>
    </row>
    <row r="1362" spans="1:24" ht="15" customHeight="1" x14ac:dyDescent="0.3">
      <c r="A1362" s="6" t="s">
        <v>533</v>
      </c>
      <c r="B1362" s="6" t="s">
        <v>534</v>
      </c>
      <c r="C1362" s="6" t="s">
        <v>34</v>
      </c>
      <c r="D1362" s="1088" t="s">
        <v>539</v>
      </c>
      <c r="E1362" s="6" t="s">
        <v>188</v>
      </c>
      <c r="F1362" s="6" t="s">
        <v>546</v>
      </c>
      <c r="G1362" s="6" t="s">
        <v>1181</v>
      </c>
      <c r="H1362" s="6" t="s">
        <v>758</v>
      </c>
      <c r="J1362" s="1215" t="s">
        <v>509</v>
      </c>
      <c r="K1362" s="1219" t="s">
        <v>3033</v>
      </c>
      <c r="L1362" s="8">
        <v>106</v>
      </c>
      <c r="M1362" s="8">
        <v>466</v>
      </c>
      <c r="N1362" s="1169" t="s">
        <v>271</v>
      </c>
      <c r="P1362" s="6" t="s">
        <v>3324</v>
      </c>
      <c r="Q1362" s="1215" t="s">
        <v>253</v>
      </c>
      <c r="R1362" s="1215" t="s">
        <v>255</v>
      </c>
      <c r="S1362" s="1215" t="s">
        <v>534</v>
      </c>
      <c r="T1362" s="1215" t="s">
        <v>533</v>
      </c>
      <c r="U1362" s="6" t="s">
        <v>539</v>
      </c>
      <c r="V1362" s="6" t="s">
        <v>34</v>
      </c>
      <c r="W1362" s="6" t="s">
        <v>546</v>
      </c>
      <c r="X1362" s="6" t="s">
        <v>188</v>
      </c>
    </row>
    <row r="1363" spans="1:24" ht="15" customHeight="1" x14ac:dyDescent="0.3">
      <c r="A1363" s="6" t="s">
        <v>533</v>
      </c>
      <c r="B1363" s="6" t="s">
        <v>534</v>
      </c>
      <c r="C1363" s="6" t="s">
        <v>34</v>
      </c>
      <c r="D1363" s="1088" t="s">
        <v>539</v>
      </c>
      <c r="E1363" s="6" t="s">
        <v>188</v>
      </c>
      <c r="F1363" s="6" t="s">
        <v>546</v>
      </c>
      <c r="G1363" s="6" t="s">
        <v>1181</v>
      </c>
      <c r="H1363" s="6" t="s">
        <v>758</v>
      </c>
      <c r="J1363" s="1215" t="s">
        <v>509</v>
      </c>
      <c r="K1363" s="1219" t="s">
        <v>3109</v>
      </c>
      <c r="L1363" s="8">
        <v>93</v>
      </c>
      <c r="M1363" s="8">
        <v>536</v>
      </c>
      <c r="N1363" s="1169" t="s">
        <v>271</v>
      </c>
      <c r="P1363" s="6" t="s">
        <v>3324</v>
      </c>
      <c r="Q1363" s="1215" t="s">
        <v>253</v>
      </c>
      <c r="R1363" s="1215" t="s">
        <v>255</v>
      </c>
      <c r="S1363" s="1215" t="s">
        <v>534</v>
      </c>
      <c r="T1363" s="1215" t="s">
        <v>533</v>
      </c>
      <c r="U1363" s="6" t="s">
        <v>539</v>
      </c>
      <c r="V1363" s="6" t="s">
        <v>34</v>
      </c>
      <c r="W1363" s="6" t="s">
        <v>546</v>
      </c>
      <c r="X1363" s="6" t="s">
        <v>188</v>
      </c>
    </row>
    <row r="1364" spans="1:24" ht="15" customHeight="1" x14ac:dyDescent="0.3">
      <c r="A1364" s="6" t="s">
        <v>533</v>
      </c>
      <c r="B1364" s="6" t="s">
        <v>534</v>
      </c>
      <c r="C1364" s="6" t="s">
        <v>34</v>
      </c>
      <c r="D1364" s="1088" t="s">
        <v>539</v>
      </c>
      <c r="E1364" s="6" t="s">
        <v>188</v>
      </c>
      <c r="F1364" s="6" t="s">
        <v>546</v>
      </c>
      <c r="G1364" s="6" t="s">
        <v>1181</v>
      </c>
      <c r="H1364" s="6" t="s">
        <v>758</v>
      </c>
      <c r="J1364" s="1215" t="s">
        <v>509</v>
      </c>
      <c r="K1364" s="1219" t="s">
        <v>3110</v>
      </c>
      <c r="L1364" s="8">
        <v>20</v>
      </c>
      <c r="M1364" s="8">
        <v>106</v>
      </c>
      <c r="N1364" s="1169" t="s">
        <v>271</v>
      </c>
      <c r="P1364" s="6" t="s">
        <v>3324</v>
      </c>
      <c r="Q1364" s="1215" t="s">
        <v>253</v>
      </c>
      <c r="R1364" s="1215" t="s">
        <v>255</v>
      </c>
      <c r="S1364" s="1215" t="s">
        <v>534</v>
      </c>
      <c r="T1364" s="1215" t="s">
        <v>533</v>
      </c>
      <c r="U1364" s="6" t="s">
        <v>539</v>
      </c>
      <c r="V1364" s="6" t="s">
        <v>34</v>
      </c>
      <c r="W1364" s="6" t="s">
        <v>546</v>
      </c>
      <c r="X1364" s="6" t="s">
        <v>188</v>
      </c>
    </row>
    <row r="1365" spans="1:24" ht="15" customHeight="1" x14ac:dyDescent="0.3">
      <c r="A1365" s="6" t="s">
        <v>533</v>
      </c>
      <c r="B1365" s="6" t="s">
        <v>534</v>
      </c>
      <c r="C1365" s="6" t="s">
        <v>34</v>
      </c>
      <c r="D1365" s="1088" t="s">
        <v>539</v>
      </c>
      <c r="E1365" s="1088" t="s">
        <v>188</v>
      </c>
      <c r="F1365" s="6" t="s">
        <v>546</v>
      </c>
      <c r="G1365" s="6" t="s">
        <v>1181</v>
      </c>
      <c r="H1365" s="6" t="s">
        <v>758</v>
      </c>
      <c r="J1365" s="1215" t="s">
        <v>509</v>
      </c>
      <c r="K1365" s="1219" t="s">
        <v>3111</v>
      </c>
      <c r="L1365" s="8">
        <v>18</v>
      </c>
      <c r="M1365" s="8">
        <v>110</v>
      </c>
      <c r="N1365" s="1169" t="s">
        <v>271</v>
      </c>
      <c r="P1365" s="6" t="s">
        <v>3324</v>
      </c>
      <c r="Q1365" s="1215" t="s">
        <v>253</v>
      </c>
      <c r="R1365" s="1215" t="s">
        <v>255</v>
      </c>
      <c r="S1365" s="1215" t="s">
        <v>534</v>
      </c>
      <c r="T1365" s="1215" t="s">
        <v>533</v>
      </c>
      <c r="U1365" s="6" t="s">
        <v>539</v>
      </c>
      <c r="V1365" s="6" t="s">
        <v>34</v>
      </c>
      <c r="W1365" s="6" t="s">
        <v>546</v>
      </c>
      <c r="X1365" s="6" t="s">
        <v>188</v>
      </c>
    </row>
    <row r="1366" spans="1:24" ht="15" customHeight="1" x14ac:dyDescent="0.3">
      <c r="A1366" s="6" t="s">
        <v>533</v>
      </c>
      <c r="B1366" s="6" t="s">
        <v>534</v>
      </c>
      <c r="C1366" s="6" t="s">
        <v>34</v>
      </c>
      <c r="D1366" s="1088" t="s">
        <v>539</v>
      </c>
      <c r="E1366" s="6" t="s">
        <v>188</v>
      </c>
      <c r="F1366" s="6" t="s">
        <v>546</v>
      </c>
      <c r="G1366" s="6" t="s">
        <v>1181</v>
      </c>
      <c r="H1366" s="6" t="s">
        <v>758</v>
      </c>
      <c r="J1366" s="1215" t="s">
        <v>509</v>
      </c>
      <c r="K1366" s="1219" t="s">
        <v>3112</v>
      </c>
      <c r="L1366" s="8">
        <v>10</v>
      </c>
      <c r="M1366" s="8">
        <v>39</v>
      </c>
      <c r="N1366" s="1169" t="s">
        <v>271</v>
      </c>
      <c r="P1366" s="6" t="s">
        <v>3324</v>
      </c>
      <c r="Q1366" s="1215" t="s">
        <v>253</v>
      </c>
      <c r="R1366" s="1215" t="s">
        <v>255</v>
      </c>
      <c r="S1366" s="1215" t="s">
        <v>534</v>
      </c>
      <c r="T1366" s="1215" t="s">
        <v>533</v>
      </c>
      <c r="U1366" s="6" t="s">
        <v>539</v>
      </c>
      <c r="V1366" s="6" t="s">
        <v>34</v>
      </c>
      <c r="W1366" s="6" t="s">
        <v>546</v>
      </c>
      <c r="X1366" s="6" t="s">
        <v>188</v>
      </c>
    </row>
    <row r="1367" spans="1:24" ht="15" customHeight="1" x14ac:dyDescent="0.3">
      <c r="A1367" s="6" t="s">
        <v>533</v>
      </c>
      <c r="B1367" s="6" t="s">
        <v>534</v>
      </c>
      <c r="C1367" s="6" t="s">
        <v>34</v>
      </c>
      <c r="D1367" s="1088" t="s">
        <v>539</v>
      </c>
      <c r="E1367" s="6" t="s">
        <v>188</v>
      </c>
      <c r="F1367" s="6" t="s">
        <v>546</v>
      </c>
      <c r="G1367" s="6" t="s">
        <v>3014</v>
      </c>
      <c r="H1367" s="6" t="s">
        <v>1186</v>
      </c>
      <c r="J1367" s="1215" t="s">
        <v>509</v>
      </c>
      <c r="K1367" s="1219" t="s">
        <v>3033</v>
      </c>
      <c r="L1367" s="8">
        <v>90</v>
      </c>
      <c r="M1367" s="8">
        <v>358</v>
      </c>
      <c r="N1367" s="1169" t="s">
        <v>271</v>
      </c>
      <c r="P1367" s="6" t="s">
        <v>3324</v>
      </c>
      <c r="Q1367" s="1215" t="s">
        <v>253</v>
      </c>
      <c r="R1367" s="1215" t="s">
        <v>255</v>
      </c>
      <c r="S1367" s="1215" t="s">
        <v>534</v>
      </c>
      <c r="T1367" s="1215" t="s">
        <v>533</v>
      </c>
      <c r="U1367" s="6" t="s">
        <v>539</v>
      </c>
      <c r="V1367" s="6" t="s">
        <v>34</v>
      </c>
      <c r="W1367" s="6" t="s">
        <v>546</v>
      </c>
      <c r="X1367" s="6" t="s">
        <v>188</v>
      </c>
    </row>
    <row r="1368" spans="1:24" ht="15" customHeight="1" x14ac:dyDescent="0.3">
      <c r="A1368" s="6" t="s">
        <v>533</v>
      </c>
      <c r="B1368" s="6" t="s">
        <v>534</v>
      </c>
      <c r="C1368" s="6" t="s">
        <v>34</v>
      </c>
      <c r="D1368" s="1088" t="s">
        <v>539</v>
      </c>
      <c r="E1368" s="6" t="s">
        <v>188</v>
      </c>
      <c r="F1368" s="6" t="s">
        <v>546</v>
      </c>
      <c r="G1368" s="6" t="s">
        <v>3014</v>
      </c>
      <c r="H1368" s="6" t="s">
        <v>1186</v>
      </c>
      <c r="J1368" s="1215" t="s">
        <v>509</v>
      </c>
      <c r="K1368" s="1219" t="s">
        <v>3110</v>
      </c>
      <c r="L1368" s="8">
        <v>15</v>
      </c>
      <c r="M1368" s="8">
        <v>82</v>
      </c>
      <c r="N1368" s="1169" t="s">
        <v>271</v>
      </c>
      <c r="P1368" s="6" t="s">
        <v>3324</v>
      </c>
      <c r="Q1368" s="1215" t="s">
        <v>253</v>
      </c>
      <c r="R1368" s="1215" t="s">
        <v>255</v>
      </c>
      <c r="S1368" s="1215" t="s">
        <v>534</v>
      </c>
      <c r="T1368" s="1215" t="s">
        <v>533</v>
      </c>
      <c r="U1368" s="6" t="s">
        <v>539</v>
      </c>
      <c r="V1368" s="6" t="s">
        <v>34</v>
      </c>
      <c r="W1368" s="6" t="s">
        <v>546</v>
      </c>
      <c r="X1368" s="6" t="s">
        <v>188</v>
      </c>
    </row>
    <row r="1369" spans="1:24" ht="15" customHeight="1" x14ac:dyDescent="0.3">
      <c r="A1369" s="6" t="s">
        <v>533</v>
      </c>
      <c r="B1369" s="6" t="s">
        <v>534</v>
      </c>
      <c r="C1369" s="6" t="s">
        <v>34</v>
      </c>
      <c r="D1369" s="1088" t="s">
        <v>539</v>
      </c>
      <c r="E1369" s="6" t="s">
        <v>188</v>
      </c>
      <c r="F1369" s="6" t="s">
        <v>546</v>
      </c>
      <c r="G1369" s="6" t="s">
        <v>3014</v>
      </c>
      <c r="H1369" s="6" t="s">
        <v>1186</v>
      </c>
      <c r="J1369" s="1215" t="s">
        <v>509</v>
      </c>
      <c r="K1369" s="1219" t="s">
        <v>3111</v>
      </c>
      <c r="L1369" s="8">
        <v>3</v>
      </c>
      <c r="M1369" s="8">
        <v>59</v>
      </c>
      <c r="N1369" s="1169" t="s">
        <v>271</v>
      </c>
      <c r="P1369" s="6" t="s">
        <v>3324</v>
      </c>
      <c r="Q1369" s="1215" t="s">
        <v>253</v>
      </c>
      <c r="R1369" s="1215" t="s">
        <v>255</v>
      </c>
      <c r="S1369" s="1215" t="s">
        <v>534</v>
      </c>
      <c r="T1369" s="1215" t="s">
        <v>533</v>
      </c>
      <c r="U1369" s="6" t="s">
        <v>539</v>
      </c>
      <c r="V1369" s="6" t="s">
        <v>34</v>
      </c>
      <c r="W1369" s="6" t="s">
        <v>546</v>
      </c>
      <c r="X1369" s="6" t="s">
        <v>188</v>
      </c>
    </row>
    <row r="1370" spans="1:24" ht="15" customHeight="1" x14ac:dyDescent="0.3">
      <c r="A1370" s="6" t="s">
        <v>533</v>
      </c>
      <c r="B1370" s="6" t="s">
        <v>534</v>
      </c>
      <c r="C1370" s="6" t="s">
        <v>34</v>
      </c>
      <c r="D1370" s="1088" t="s">
        <v>539</v>
      </c>
      <c r="E1370" s="1088" t="s">
        <v>188</v>
      </c>
      <c r="F1370" s="6" t="s">
        <v>546</v>
      </c>
      <c r="G1370" s="6" t="s">
        <v>3014</v>
      </c>
      <c r="H1370" s="6" t="s">
        <v>1186</v>
      </c>
      <c r="J1370" s="1215" t="s">
        <v>509</v>
      </c>
      <c r="K1370" s="1219" t="s">
        <v>3112</v>
      </c>
      <c r="L1370" s="8">
        <v>30</v>
      </c>
      <c r="M1370" s="8">
        <v>90</v>
      </c>
      <c r="N1370" s="1169" t="s">
        <v>271</v>
      </c>
      <c r="P1370" s="6" t="s">
        <v>3324</v>
      </c>
      <c r="Q1370" s="1215" t="s">
        <v>253</v>
      </c>
      <c r="R1370" s="1215" t="s">
        <v>255</v>
      </c>
      <c r="S1370" s="1215" t="s">
        <v>534</v>
      </c>
      <c r="T1370" s="1215" t="s">
        <v>533</v>
      </c>
      <c r="U1370" s="6" t="s">
        <v>539</v>
      </c>
      <c r="V1370" s="6" t="s">
        <v>34</v>
      </c>
      <c r="W1370" s="6" t="s">
        <v>546</v>
      </c>
      <c r="X1370" s="6" t="s">
        <v>188</v>
      </c>
    </row>
    <row r="1371" spans="1:24" ht="15" customHeight="1" x14ac:dyDescent="0.3">
      <c r="A1371" s="6" t="s">
        <v>533</v>
      </c>
      <c r="B1371" s="6" t="s">
        <v>534</v>
      </c>
      <c r="C1371" s="6" t="s">
        <v>34</v>
      </c>
      <c r="D1371" s="1088" t="s">
        <v>539</v>
      </c>
      <c r="E1371" s="6" t="s">
        <v>188</v>
      </c>
      <c r="F1371" s="6" t="s">
        <v>546</v>
      </c>
      <c r="G1371" s="6" t="s">
        <v>3014</v>
      </c>
      <c r="H1371" s="6" t="s">
        <v>1186</v>
      </c>
      <c r="J1371" s="1215" t="s">
        <v>509</v>
      </c>
      <c r="K1371" s="1219" t="s">
        <v>3109</v>
      </c>
      <c r="L1371" s="8">
        <v>50</v>
      </c>
      <c r="M1371" s="8">
        <v>306</v>
      </c>
      <c r="N1371" s="1169" t="s">
        <v>271</v>
      </c>
      <c r="P1371" s="6" t="s">
        <v>3324</v>
      </c>
      <c r="Q1371" s="1215" t="s">
        <v>253</v>
      </c>
      <c r="R1371" s="1215" t="s">
        <v>255</v>
      </c>
      <c r="S1371" s="1215" t="s">
        <v>534</v>
      </c>
      <c r="T1371" s="1215" t="s">
        <v>533</v>
      </c>
      <c r="U1371" s="6" t="s">
        <v>539</v>
      </c>
      <c r="V1371" s="6" t="s">
        <v>34</v>
      </c>
      <c r="W1371" s="6" t="s">
        <v>546</v>
      </c>
      <c r="X1371" s="6" t="s">
        <v>188</v>
      </c>
    </row>
    <row r="1372" spans="1:24" ht="15" customHeight="1" x14ac:dyDescent="0.3">
      <c r="A1372" s="6" t="s">
        <v>533</v>
      </c>
      <c r="B1372" s="6" t="s">
        <v>534</v>
      </c>
      <c r="C1372" s="6" t="s">
        <v>31</v>
      </c>
      <c r="D1372" s="1088" t="s">
        <v>549</v>
      </c>
      <c r="E1372" s="6" t="s">
        <v>169</v>
      </c>
      <c r="F1372" s="6" t="s">
        <v>673</v>
      </c>
      <c r="G1372" s="6" t="s">
        <v>3094</v>
      </c>
      <c r="H1372" s="6" t="s">
        <v>1009</v>
      </c>
      <c r="J1372" s="1215" t="s">
        <v>509</v>
      </c>
      <c r="K1372" s="1219" t="s">
        <v>3111</v>
      </c>
      <c r="L1372" s="8">
        <v>25</v>
      </c>
      <c r="M1372" s="8">
        <v>53</v>
      </c>
      <c r="N1372" s="1169" t="s">
        <v>274</v>
      </c>
      <c r="P1372" s="6" t="s">
        <v>3324</v>
      </c>
      <c r="Q1372" s="1215" t="s">
        <v>253</v>
      </c>
      <c r="R1372" s="1215" t="s">
        <v>255</v>
      </c>
      <c r="S1372" s="1215" t="s">
        <v>534</v>
      </c>
      <c r="T1372" s="1215" t="s">
        <v>533</v>
      </c>
      <c r="U1372" s="6" t="s">
        <v>549</v>
      </c>
      <c r="V1372" s="6" t="s">
        <v>31</v>
      </c>
      <c r="W1372" s="6" t="s">
        <v>673</v>
      </c>
      <c r="X1372" s="6" t="s">
        <v>169</v>
      </c>
    </row>
    <row r="1373" spans="1:24" ht="15" customHeight="1" x14ac:dyDescent="0.3">
      <c r="A1373" s="6" t="s">
        <v>533</v>
      </c>
      <c r="B1373" s="6" t="s">
        <v>534</v>
      </c>
      <c r="C1373" s="6" t="s">
        <v>35</v>
      </c>
      <c r="D1373" s="1088" t="s">
        <v>567</v>
      </c>
      <c r="E1373" s="6" t="s">
        <v>195</v>
      </c>
      <c r="F1373" s="6" t="s">
        <v>733</v>
      </c>
      <c r="G1373" s="6" t="s">
        <v>2003</v>
      </c>
      <c r="H1373" s="6" t="s">
        <v>3221</v>
      </c>
      <c r="J1373" s="1215" t="s">
        <v>509</v>
      </c>
      <c r="K1373" s="1219" t="s">
        <v>3112</v>
      </c>
      <c r="L1373" s="8">
        <v>5</v>
      </c>
      <c r="M1373" s="8">
        <v>15</v>
      </c>
      <c r="N1373" s="1169" t="s">
        <v>271</v>
      </c>
      <c r="P1373" s="6" t="s">
        <v>3322</v>
      </c>
      <c r="Q1373" s="1215" t="s">
        <v>253</v>
      </c>
      <c r="R1373" s="1215" t="s">
        <v>255</v>
      </c>
      <c r="S1373" s="1215" t="s">
        <v>534</v>
      </c>
      <c r="T1373" s="1215" t="s">
        <v>533</v>
      </c>
      <c r="U1373" s="6" t="s">
        <v>539</v>
      </c>
      <c r="V1373" s="6" t="s">
        <v>34</v>
      </c>
    </row>
    <row r="1374" spans="1:24" ht="15" customHeight="1" x14ac:dyDescent="0.3">
      <c r="A1374" s="6" t="s">
        <v>533</v>
      </c>
      <c r="B1374" s="6" t="s">
        <v>534</v>
      </c>
      <c r="C1374" s="6" t="s">
        <v>35</v>
      </c>
      <c r="D1374" s="1088" t="s">
        <v>567</v>
      </c>
      <c r="E1374" s="6" t="s">
        <v>195</v>
      </c>
      <c r="F1374" s="6" t="s">
        <v>733</v>
      </c>
      <c r="G1374" s="6" t="s">
        <v>2003</v>
      </c>
      <c r="H1374" s="6" t="s">
        <v>3221</v>
      </c>
      <c r="J1374" s="1215" t="s">
        <v>509</v>
      </c>
      <c r="K1374" s="1219" t="s">
        <v>3109</v>
      </c>
      <c r="L1374" s="8">
        <v>7</v>
      </c>
      <c r="M1374" s="8">
        <v>82</v>
      </c>
      <c r="N1374" s="1169" t="s">
        <v>271</v>
      </c>
      <c r="P1374" s="6" t="s">
        <v>3322</v>
      </c>
      <c r="Q1374" s="1215" t="s">
        <v>253</v>
      </c>
      <c r="R1374" s="1215" t="s">
        <v>255</v>
      </c>
      <c r="S1374" s="1215" t="s">
        <v>534</v>
      </c>
      <c r="T1374" s="1215" t="s">
        <v>533</v>
      </c>
      <c r="U1374" s="6" t="s">
        <v>539</v>
      </c>
      <c r="V1374" s="6" t="s">
        <v>34</v>
      </c>
    </row>
    <row r="1375" spans="1:24" ht="15" customHeight="1" x14ac:dyDescent="0.3">
      <c r="A1375" s="6" t="s">
        <v>533</v>
      </c>
      <c r="B1375" s="6" t="s">
        <v>534</v>
      </c>
      <c r="C1375" s="6" t="s">
        <v>35</v>
      </c>
      <c r="D1375" s="1088" t="s">
        <v>567</v>
      </c>
      <c r="E1375" s="6" t="s">
        <v>195</v>
      </c>
      <c r="F1375" s="6" t="s">
        <v>733</v>
      </c>
      <c r="G1375" s="6" t="s">
        <v>2003</v>
      </c>
      <c r="H1375" s="6" t="s">
        <v>3221</v>
      </c>
      <c r="J1375" s="1215" t="s">
        <v>509</v>
      </c>
      <c r="K1375" s="1219" t="s">
        <v>3110</v>
      </c>
      <c r="L1375" s="8">
        <v>7</v>
      </c>
      <c r="M1375" s="8">
        <v>14</v>
      </c>
      <c r="N1375" s="1169" t="s">
        <v>271</v>
      </c>
      <c r="P1375" s="6" t="s">
        <v>3322</v>
      </c>
      <c r="Q1375" s="1215" t="s">
        <v>253</v>
      </c>
      <c r="R1375" s="1215" t="s">
        <v>255</v>
      </c>
      <c r="S1375" s="1215" t="s">
        <v>534</v>
      </c>
      <c r="T1375" s="1215" t="s">
        <v>533</v>
      </c>
      <c r="U1375" s="6" t="s">
        <v>539</v>
      </c>
      <c r="V1375" s="6" t="s">
        <v>34</v>
      </c>
    </row>
    <row r="1376" spans="1:24" ht="15" customHeight="1" x14ac:dyDescent="0.3">
      <c r="A1376" s="6" t="s">
        <v>533</v>
      </c>
      <c r="B1376" s="6" t="s">
        <v>534</v>
      </c>
      <c r="C1376" s="6" t="s">
        <v>35</v>
      </c>
      <c r="D1376" s="1088" t="s">
        <v>567</v>
      </c>
      <c r="E1376" s="6" t="s">
        <v>195</v>
      </c>
      <c r="F1376" s="6" t="s">
        <v>733</v>
      </c>
      <c r="G1376" s="6" t="s">
        <v>2003</v>
      </c>
      <c r="H1376" s="6" t="s">
        <v>3221</v>
      </c>
      <c r="J1376" s="1215" t="s">
        <v>509</v>
      </c>
      <c r="K1376" s="1219" t="s">
        <v>3111</v>
      </c>
      <c r="L1376" s="8">
        <v>1</v>
      </c>
      <c r="M1376" s="8">
        <v>8</v>
      </c>
      <c r="N1376" s="1169" t="s">
        <v>271</v>
      </c>
      <c r="P1376" s="6" t="s">
        <v>3322</v>
      </c>
      <c r="Q1376" s="1215" t="s">
        <v>253</v>
      </c>
      <c r="R1376" s="1215" t="s">
        <v>255</v>
      </c>
      <c r="S1376" s="1215" t="s">
        <v>534</v>
      </c>
      <c r="T1376" s="1215" t="s">
        <v>533</v>
      </c>
      <c r="U1376" s="6" t="s">
        <v>539</v>
      </c>
      <c r="V1376" s="6" t="s">
        <v>34</v>
      </c>
    </row>
    <row r="1377" spans="1:24" ht="15" customHeight="1" x14ac:dyDescent="0.3">
      <c r="A1377" s="6" t="s">
        <v>533</v>
      </c>
      <c r="B1377" s="6" t="s">
        <v>534</v>
      </c>
      <c r="C1377" s="6" t="s">
        <v>35</v>
      </c>
      <c r="D1377" s="1088" t="s">
        <v>567</v>
      </c>
      <c r="E1377" s="1088" t="s">
        <v>195</v>
      </c>
      <c r="F1377" s="6" t="s">
        <v>733</v>
      </c>
      <c r="G1377" s="6" t="s">
        <v>734</v>
      </c>
      <c r="H1377" s="6" t="s">
        <v>1907</v>
      </c>
      <c r="J1377" s="1215" t="s">
        <v>509</v>
      </c>
      <c r="K1377" s="1219" t="s">
        <v>3109</v>
      </c>
      <c r="L1377" s="8">
        <v>52</v>
      </c>
      <c r="M1377" s="8">
        <v>297</v>
      </c>
      <c r="N1377" s="1169" t="s">
        <v>271</v>
      </c>
      <c r="P1377" s="6" t="s">
        <v>3323</v>
      </c>
      <c r="Q1377" s="1215" t="s">
        <v>253</v>
      </c>
      <c r="R1377" s="1215" t="s">
        <v>255</v>
      </c>
      <c r="S1377" s="1215" t="s">
        <v>534</v>
      </c>
      <c r="T1377" s="1215" t="s">
        <v>533</v>
      </c>
      <c r="U1377" s="6" t="s">
        <v>567</v>
      </c>
      <c r="V1377" s="6" t="s">
        <v>35</v>
      </c>
      <c r="W1377" s="6" t="s">
        <v>863</v>
      </c>
      <c r="X1377" s="6" t="s">
        <v>193</v>
      </c>
    </row>
    <row r="1378" spans="1:24" ht="15" customHeight="1" x14ac:dyDescent="0.3">
      <c r="A1378" s="6" t="s">
        <v>533</v>
      </c>
      <c r="B1378" s="6" t="s">
        <v>534</v>
      </c>
      <c r="C1378" s="6" t="s">
        <v>35</v>
      </c>
      <c r="D1378" s="1088" t="s">
        <v>567</v>
      </c>
      <c r="E1378" s="1088" t="s">
        <v>195</v>
      </c>
      <c r="F1378" s="6" t="s">
        <v>733</v>
      </c>
      <c r="G1378" s="6" t="s">
        <v>734</v>
      </c>
      <c r="H1378" s="6" t="s">
        <v>1907</v>
      </c>
      <c r="J1378" s="1215" t="s">
        <v>509</v>
      </c>
      <c r="K1378" s="1219" t="s">
        <v>3110</v>
      </c>
      <c r="L1378" s="8">
        <v>0</v>
      </c>
      <c r="M1378" s="8">
        <v>3</v>
      </c>
      <c r="N1378" s="1169" t="s">
        <v>271</v>
      </c>
      <c r="P1378" s="6" t="s">
        <v>3323</v>
      </c>
      <c r="Q1378" s="1215" t="s">
        <v>253</v>
      </c>
      <c r="R1378" s="1215" t="s">
        <v>255</v>
      </c>
      <c r="S1378" s="1215" t="s">
        <v>534</v>
      </c>
      <c r="T1378" s="1215" t="s">
        <v>533</v>
      </c>
      <c r="U1378" s="6" t="s">
        <v>567</v>
      </c>
      <c r="V1378" s="6" t="s">
        <v>35</v>
      </c>
      <c r="W1378" s="6" t="s">
        <v>863</v>
      </c>
      <c r="X1378" s="6" t="s">
        <v>193</v>
      </c>
    </row>
    <row r="1379" spans="1:24" ht="15" customHeight="1" x14ac:dyDescent="0.3">
      <c r="A1379" s="6" t="s">
        <v>533</v>
      </c>
      <c r="B1379" s="6" t="s">
        <v>534</v>
      </c>
      <c r="C1379" s="6" t="s">
        <v>35</v>
      </c>
      <c r="D1379" s="1088" t="s">
        <v>567</v>
      </c>
      <c r="E1379" s="1088" t="s">
        <v>195</v>
      </c>
      <c r="F1379" s="6" t="s">
        <v>733</v>
      </c>
      <c r="G1379" s="6" t="s">
        <v>734</v>
      </c>
      <c r="H1379" s="6" t="s">
        <v>1907</v>
      </c>
      <c r="J1379" s="1215" t="s">
        <v>509</v>
      </c>
      <c r="K1379" s="1219" t="s">
        <v>3112</v>
      </c>
      <c r="L1379" s="8">
        <v>100</v>
      </c>
      <c r="M1379" s="8">
        <v>300</v>
      </c>
      <c r="N1379" s="1169" t="s">
        <v>271</v>
      </c>
      <c r="P1379" s="6" t="s">
        <v>3323</v>
      </c>
      <c r="Q1379" s="1215" t="s">
        <v>253</v>
      </c>
      <c r="R1379" s="1215" t="s">
        <v>255</v>
      </c>
      <c r="S1379" s="1215" t="s">
        <v>534</v>
      </c>
      <c r="T1379" s="1215" t="s">
        <v>533</v>
      </c>
      <c r="U1379" s="6" t="s">
        <v>567</v>
      </c>
      <c r="V1379" s="6" t="s">
        <v>35</v>
      </c>
      <c r="W1379" s="6" t="s">
        <v>863</v>
      </c>
      <c r="X1379" s="6" t="s">
        <v>193</v>
      </c>
    </row>
    <row r="1380" spans="1:24" ht="15" customHeight="1" x14ac:dyDescent="0.3">
      <c r="A1380" s="6" t="s">
        <v>533</v>
      </c>
      <c r="B1380" s="6" t="s">
        <v>534</v>
      </c>
      <c r="C1380" s="6" t="s">
        <v>35</v>
      </c>
      <c r="D1380" s="1088" t="s">
        <v>567</v>
      </c>
      <c r="E1380" s="1088" t="s">
        <v>195</v>
      </c>
      <c r="F1380" s="6" t="s">
        <v>733</v>
      </c>
      <c r="G1380" s="6" t="s">
        <v>913</v>
      </c>
      <c r="H1380" s="6" t="s">
        <v>1690</v>
      </c>
      <c r="J1380" s="1215" t="s">
        <v>509</v>
      </c>
      <c r="K1380" s="1219" t="s">
        <v>3033</v>
      </c>
      <c r="L1380" s="8">
        <v>5</v>
      </c>
      <c r="M1380" s="8">
        <v>37</v>
      </c>
      <c r="N1380" s="1169" t="s">
        <v>271</v>
      </c>
      <c r="P1380" s="6" t="s">
        <v>3324</v>
      </c>
      <c r="Q1380" s="1215" t="s">
        <v>253</v>
      </c>
      <c r="R1380" s="1215" t="s">
        <v>255</v>
      </c>
      <c r="S1380" s="1215" t="s">
        <v>534</v>
      </c>
      <c r="T1380" s="1215" t="s">
        <v>533</v>
      </c>
      <c r="U1380" s="6" t="s">
        <v>567</v>
      </c>
      <c r="V1380" s="6" t="s">
        <v>35</v>
      </c>
      <c r="W1380" s="6" t="s">
        <v>733</v>
      </c>
      <c r="X1380" s="6" t="s">
        <v>195</v>
      </c>
    </row>
    <row r="1381" spans="1:24" ht="15" customHeight="1" x14ac:dyDescent="0.3">
      <c r="A1381" s="6" t="s">
        <v>533</v>
      </c>
      <c r="B1381" s="6" t="s">
        <v>534</v>
      </c>
      <c r="C1381" s="6" t="s">
        <v>35</v>
      </c>
      <c r="D1381" s="1088" t="s">
        <v>567</v>
      </c>
      <c r="E1381" s="1169" t="s">
        <v>195</v>
      </c>
      <c r="F1381" s="6" t="s">
        <v>733</v>
      </c>
      <c r="G1381" s="6" t="s">
        <v>913</v>
      </c>
      <c r="H1381" s="6" t="s">
        <v>1690</v>
      </c>
      <c r="J1381" s="1215" t="s">
        <v>509</v>
      </c>
      <c r="K1381" s="1219" t="s">
        <v>3109</v>
      </c>
      <c r="L1381" s="8">
        <v>11</v>
      </c>
      <c r="M1381" s="8">
        <v>82</v>
      </c>
      <c r="N1381" s="1169" t="s">
        <v>271</v>
      </c>
      <c r="P1381" s="6" t="s">
        <v>3324</v>
      </c>
      <c r="Q1381" s="1215" t="s">
        <v>253</v>
      </c>
      <c r="R1381" s="1215" t="s">
        <v>255</v>
      </c>
      <c r="S1381" s="1215" t="s">
        <v>534</v>
      </c>
      <c r="T1381" s="1215" t="s">
        <v>533</v>
      </c>
      <c r="U1381" s="6" t="s">
        <v>567</v>
      </c>
      <c r="V1381" s="6" t="s">
        <v>35</v>
      </c>
      <c r="W1381" s="6" t="s">
        <v>733</v>
      </c>
      <c r="X1381" s="6" t="s">
        <v>195</v>
      </c>
    </row>
    <row r="1382" spans="1:24" ht="15" customHeight="1" x14ac:dyDescent="0.3">
      <c r="A1382" s="6" t="s">
        <v>533</v>
      </c>
      <c r="B1382" s="6" t="s">
        <v>534</v>
      </c>
      <c r="C1382" s="6" t="s">
        <v>35</v>
      </c>
      <c r="D1382" s="1088" t="s">
        <v>567</v>
      </c>
      <c r="E1382" s="1169" t="s">
        <v>195</v>
      </c>
      <c r="F1382" s="6" t="s">
        <v>733</v>
      </c>
      <c r="G1382" s="6" t="s">
        <v>913</v>
      </c>
      <c r="H1382" s="6" t="s">
        <v>1690</v>
      </c>
      <c r="J1382" s="1215" t="s">
        <v>509</v>
      </c>
      <c r="K1382" s="1219" t="s">
        <v>3110</v>
      </c>
      <c r="L1382" s="8">
        <v>0</v>
      </c>
      <c r="M1382" s="8">
        <v>3</v>
      </c>
      <c r="N1382" s="1169" t="s">
        <v>271</v>
      </c>
      <c r="P1382" s="6" t="s">
        <v>3324</v>
      </c>
      <c r="Q1382" s="1215" t="s">
        <v>253</v>
      </c>
      <c r="R1382" s="1215" t="s">
        <v>255</v>
      </c>
      <c r="S1382" s="1215" t="s">
        <v>534</v>
      </c>
      <c r="T1382" s="1215" t="s">
        <v>533</v>
      </c>
      <c r="U1382" s="6" t="s">
        <v>567</v>
      </c>
      <c r="V1382" s="6" t="s">
        <v>35</v>
      </c>
      <c r="W1382" s="6" t="s">
        <v>733</v>
      </c>
      <c r="X1382" s="6" t="s">
        <v>195</v>
      </c>
    </row>
    <row r="1383" spans="1:24" ht="15" customHeight="1" x14ac:dyDescent="0.3">
      <c r="A1383" s="6" t="s">
        <v>533</v>
      </c>
      <c r="B1383" s="6" t="s">
        <v>534</v>
      </c>
      <c r="C1383" s="6" t="s">
        <v>35</v>
      </c>
      <c r="D1383" s="1088" t="s">
        <v>567</v>
      </c>
      <c r="E1383" s="1169" t="s">
        <v>195</v>
      </c>
      <c r="F1383" s="6" t="s">
        <v>733</v>
      </c>
      <c r="G1383" s="6" t="s">
        <v>913</v>
      </c>
      <c r="H1383" s="6" t="s">
        <v>1690</v>
      </c>
      <c r="J1383" s="1215" t="s">
        <v>509</v>
      </c>
      <c r="K1383" s="1219" t="s">
        <v>3111</v>
      </c>
      <c r="L1383" s="8">
        <v>18</v>
      </c>
      <c r="M1383" s="8">
        <v>144</v>
      </c>
      <c r="N1383" s="1169" t="s">
        <v>271</v>
      </c>
      <c r="P1383" s="6" t="s">
        <v>3324</v>
      </c>
      <c r="Q1383" s="1215" t="s">
        <v>253</v>
      </c>
      <c r="R1383" s="1215" t="s">
        <v>255</v>
      </c>
      <c r="S1383" s="1215" t="s">
        <v>534</v>
      </c>
      <c r="T1383" s="1215" t="s">
        <v>533</v>
      </c>
      <c r="U1383" s="6" t="s">
        <v>567</v>
      </c>
      <c r="V1383" s="6" t="s">
        <v>35</v>
      </c>
      <c r="W1383" s="6" t="s">
        <v>733</v>
      </c>
      <c r="X1383" s="6" t="s">
        <v>195</v>
      </c>
    </row>
    <row r="1384" spans="1:24" ht="15" customHeight="1" x14ac:dyDescent="0.3">
      <c r="A1384" s="6" t="s">
        <v>533</v>
      </c>
      <c r="B1384" s="6" t="s">
        <v>534</v>
      </c>
      <c r="C1384" s="6" t="s">
        <v>35</v>
      </c>
      <c r="D1384" s="1088" t="s">
        <v>567</v>
      </c>
      <c r="E1384" s="6" t="s">
        <v>195</v>
      </c>
      <c r="F1384" s="6" t="s">
        <v>733</v>
      </c>
      <c r="G1384" s="6" t="s">
        <v>913</v>
      </c>
      <c r="H1384" s="6" t="s">
        <v>1690</v>
      </c>
      <c r="J1384" s="1215" t="s">
        <v>509</v>
      </c>
      <c r="K1384" s="1219" t="s">
        <v>3112</v>
      </c>
      <c r="L1384" s="8">
        <v>6</v>
      </c>
      <c r="M1384" s="8">
        <v>27</v>
      </c>
      <c r="N1384" s="1169" t="s">
        <v>271</v>
      </c>
      <c r="P1384" s="6" t="s">
        <v>3324</v>
      </c>
      <c r="Q1384" s="1215" t="s">
        <v>253</v>
      </c>
      <c r="R1384" s="1215" t="s">
        <v>255</v>
      </c>
      <c r="S1384" s="1215" t="s">
        <v>534</v>
      </c>
      <c r="T1384" s="1215" t="s">
        <v>533</v>
      </c>
      <c r="U1384" s="6" t="s">
        <v>567</v>
      </c>
      <c r="V1384" s="6" t="s">
        <v>35</v>
      </c>
      <c r="W1384" s="6" t="s">
        <v>733</v>
      </c>
      <c r="X1384" s="6" t="s">
        <v>195</v>
      </c>
    </row>
    <row r="1385" spans="1:24" ht="15" customHeight="1" x14ac:dyDescent="0.3">
      <c r="A1385" s="6" t="s">
        <v>533</v>
      </c>
      <c r="B1385" s="6" t="s">
        <v>534</v>
      </c>
      <c r="C1385" s="6" t="s">
        <v>35</v>
      </c>
      <c r="D1385" s="1088" t="s">
        <v>567</v>
      </c>
      <c r="E1385" s="6" t="s">
        <v>195</v>
      </c>
      <c r="F1385" s="6" t="s">
        <v>733</v>
      </c>
      <c r="G1385" s="6" t="s">
        <v>1427</v>
      </c>
      <c r="H1385" s="6" t="s">
        <v>3311</v>
      </c>
      <c r="J1385" s="1215" t="s">
        <v>509</v>
      </c>
      <c r="K1385" s="1219" t="s">
        <v>3112</v>
      </c>
      <c r="L1385" s="8">
        <v>0</v>
      </c>
      <c r="M1385" s="8">
        <v>3</v>
      </c>
      <c r="N1385" s="1169" t="s">
        <v>271</v>
      </c>
      <c r="P1385" s="6" t="s">
        <v>3324</v>
      </c>
      <c r="Q1385" s="1215" t="s">
        <v>253</v>
      </c>
      <c r="R1385" s="1215" t="s">
        <v>255</v>
      </c>
      <c r="S1385" s="1215" t="s">
        <v>534</v>
      </c>
      <c r="T1385" s="1215" t="s">
        <v>533</v>
      </c>
      <c r="U1385" s="6" t="s">
        <v>567</v>
      </c>
      <c r="V1385" s="6" t="s">
        <v>35</v>
      </c>
      <c r="W1385" s="6" t="s">
        <v>733</v>
      </c>
      <c r="X1385" s="6" t="s">
        <v>195</v>
      </c>
    </row>
    <row r="1386" spans="1:24" ht="15" customHeight="1" x14ac:dyDescent="0.3">
      <c r="A1386" s="6" t="s">
        <v>533</v>
      </c>
      <c r="B1386" s="6" t="s">
        <v>534</v>
      </c>
      <c r="C1386" s="6" t="s">
        <v>35</v>
      </c>
      <c r="D1386" s="1088" t="s">
        <v>567</v>
      </c>
      <c r="E1386" s="6" t="s">
        <v>195</v>
      </c>
      <c r="F1386" s="6" t="s">
        <v>733</v>
      </c>
      <c r="G1386" s="6" t="s">
        <v>1427</v>
      </c>
      <c r="H1386" s="6" t="s">
        <v>3311</v>
      </c>
      <c r="J1386" s="1215" t="s">
        <v>509</v>
      </c>
      <c r="K1386" s="1219" t="s">
        <v>3111</v>
      </c>
      <c r="L1386" s="8">
        <v>0</v>
      </c>
      <c r="M1386" s="8">
        <v>2</v>
      </c>
      <c r="N1386" s="1169" t="s">
        <v>271</v>
      </c>
      <c r="P1386" s="6" t="s">
        <v>3324</v>
      </c>
      <c r="Q1386" s="1215" t="s">
        <v>253</v>
      </c>
      <c r="R1386" s="1215" t="s">
        <v>255</v>
      </c>
      <c r="S1386" s="1215" t="s">
        <v>534</v>
      </c>
      <c r="T1386" s="1215" t="s">
        <v>533</v>
      </c>
      <c r="U1386" s="6" t="s">
        <v>567</v>
      </c>
      <c r="V1386" s="6" t="s">
        <v>35</v>
      </c>
      <c r="W1386" s="6" t="s">
        <v>733</v>
      </c>
      <c r="X1386" s="6" t="s">
        <v>195</v>
      </c>
    </row>
    <row r="1387" spans="1:24" ht="15" customHeight="1" x14ac:dyDescent="0.3">
      <c r="A1387" s="6" t="s">
        <v>533</v>
      </c>
      <c r="B1387" s="6" t="s">
        <v>534</v>
      </c>
      <c r="C1387" s="6" t="s">
        <v>35</v>
      </c>
      <c r="D1387" s="1088" t="s">
        <v>567</v>
      </c>
      <c r="E1387" s="6" t="s">
        <v>195</v>
      </c>
      <c r="F1387" s="6" t="s">
        <v>733</v>
      </c>
      <c r="G1387" s="6" t="s">
        <v>1427</v>
      </c>
      <c r="H1387" s="6" t="s">
        <v>3311</v>
      </c>
      <c r="J1387" s="1215" t="s">
        <v>509</v>
      </c>
      <c r="K1387" s="1219" t="s">
        <v>3110</v>
      </c>
      <c r="L1387" s="8">
        <v>5</v>
      </c>
      <c r="M1387" s="8">
        <v>20</v>
      </c>
      <c r="N1387" s="1169" t="s">
        <v>271</v>
      </c>
      <c r="P1387" s="6" t="s">
        <v>3324</v>
      </c>
      <c r="Q1387" s="1215" t="s">
        <v>253</v>
      </c>
      <c r="R1387" s="1215" t="s">
        <v>255</v>
      </c>
      <c r="S1387" s="1215" t="s">
        <v>534</v>
      </c>
      <c r="T1387" s="1215" t="s">
        <v>533</v>
      </c>
      <c r="U1387" s="6" t="s">
        <v>567</v>
      </c>
      <c r="V1387" s="6" t="s">
        <v>35</v>
      </c>
      <c r="W1387" s="6" t="s">
        <v>733</v>
      </c>
      <c r="X1387" s="6" t="s">
        <v>195</v>
      </c>
    </row>
    <row r="1388" spans="1:24" ht="15" customHeight="1" x14ac:dyDescent="0.3">
      <c r="A1388" s="6" t="s">
        <v>533</v>
      </c>
      <c r="B1388" s="6" t="s">
        <v>534</v>
      </c>
      <c r="C1388" s="6" t="s">
        <v>35</v>
      </c>
      <c r="D1388" s="1088" t="s">
        <v>567</v>
      </c>
      <c r="E1388" s="1088" t="s">
        <v>195</v>
      </c>
      <c r="F1388" s="6" t="s">
        <v>733</v>
      </c>
      <c r="G1388" s="6" t="s">
        <v>1427</v>
      </c>
      <c r="H1388" s="6" t="s">
        <v>3311</v>
      </c>
      <c r="J1388" s="1215" t="s">
        <v>509</v>
      </c>
      <c r="K1388" s="1219" t="s">
        <v>3109</v>
      </c>
      <c r="L1388" s="8">
        <v>25</v>
      </c>
      <c r="M1388" s="8">
        <v>177</v>
      </c>
      <c r="N1388" s="1169" t="s">
        <v>271</v>
      </c>
      <c r="P1388" s="6" t="s">
        <v>3324</v>
      </c>
      <c r="Q1388" s="1215" t="s">
        <v>253</v>
      </c>
      <c r="R1388" s="1215" t="s">
        <v>255</v>
      </c>
      <c r="S1388" s="1215" t="s">
        <v>534</v>
      </c>
      <c r="T1388" s="1215" t="s">
        <v>533</v>
      </c>
      <c r="U1388" s="6" t="s">
        <v>567</v>
      </c>
      <c r="V1388" s="6" t="s">
        <v>35</v>
      </c>
      <c r="W1388" s="6" t="s">
        <v>733</v>
      </c>
      <c r="X1388" s="6" t="s">
        <v>195</v>
      </c>
    </row>
    <row r="1389" spans="1:24" ht="15" customHeight="1" x14ac:dyDescent="0.3">
      <c r="A1389" s="6" t="s">
        <v>533</v>
      </c>
      <c r="B1389" s="6" t="s">
        <v>534</v>
      </c>
      <c r="C1389" s="6" t="s">
        <v>35</v>
      </c>
      <c r="D1389" s="1088" t="s">
        <v>567</v>
      </c>
      <c r="E1389" s="6" t="s">
        <v>195</v>
      </c>
      <c r="F1389" s="6" t="s">
        <v>733</v>
      </c>
      <c r="G1389" s="6" t="s">
        <v>2093</v>
      </c>
      <c r="H1389" s="6" t="s">
        <v>1674</v>
      </c>
      <c r="J1389" s="1215" t="s">
        <v>509</v>
      </c>
      <c r="K1389" s="1219" t="s">
        <v>3112</v>
      </c>
      <c r="L1389" s="8">
        <v>0</v>
      </c>
      <c r="M1389" s="8">
        <v>3</v>
      </c>
      <c r="N1389" s="1169" t="s">
        <v>271</v>
      </c>
      <c r="P1389" s="6" t="s">
        <v>3324</v>
      </c>
      <c r="Q1389" s="1215" t="s">
        <v>253</v>
      </c>
      <c r="R1389" s="1215" t="s">
        <v>255</v>
      </c>
      <c r="S1389" s="1215" t="s">
        <v>534</v>
      </c>
      <c r="T1389" s="1215" t="s">
        <v>533</v>
      </c>
      <c r="U1389" s="6" t="s">
        <v>567</v>
      </c>
      <c r="V1389" s="6" t="s">
        <v>35</v>
      </c>
      <c r="W1389" s="6" t="s">
        <v>733</v>
      </c>
      <c r="X1389" s="6" t="s">
        <v>195</v>
      </c>
    </row>
    <row r="1390" spans="1:24" ht="15" customHeight="1" x14ac:dyDescent="0.3">
      <c r="A1390" s="6" t="s">
        <v>533</v>
      </c>
      <c r="B1390" s="6" t="s">
        <v>534</v>
      </c>
      <c r="C1390" s="6" t="s">
        <v>35</v>
      </c>
      <c r="D1390" s="1088" t="s">
        <v>567</v>
      </c>
      <c r="E1390" s="1169" t="s">
        <v>195</v>
      </c>
      <c r="F1390" s="6" t="s">
        <v>733</v>
      </c>
      <c r="G1390" s="6" t="s">
        <v>2093</v>
      </c>
      <c r="H1390" s="6" t="s">
        <v>1674</v>
      </c>
      <c r="J1390" s="1215" t="s">
        <v>509</v>
      </c>
      <c r="K1390" s="1219" t="s">
        <v>3111</v>
      </c>
      <c r="L1390" s="8">
        <v>10</v>
      </c>
      <c r="M1390" s="8">
        <v>50</v>
      </c>
      <c r="N1390" s="1169" t="s">
        <v>271</v>
      </c>
      <c r="P1390" s="6" t="s">
        <v>3324</v>
      </c>
      <c r="Q1390" s="1215" t="s">
        <v>253</v>
      </c>
      <c r="R1390" s="1215" t="s">
        <v>255</v>
      </c>
      <c r="S1390" s="1215" t="s">
        <v>534</v>
      </c>
      <c r="T1390" s="1215" t="s">
        <v>533</v>
      </c>
      <c r="U1390" s="6" t="s">
        <v>567</v>
      </c>
      <c r="V1390" s="6" t="s">
        <v>35</v>
      </c>
      <c r="W1390" s="6" t="s">
        <v>733</v>
      </c>
      <c r="X1390" s="6" t="s">
        <v>195</v>
      </c>
    </row>
    <row r="1391" spans="1:24" ht="15" customHeight="1" x14ac:dyDescent="0.3">
      <c r="A1391" s="6" t="s">
        <v>533</v>
      </c>
      <c r="B1391" s="6" t="s">
        <v>534</v>
      </c>
      <c r="C1391" s="6" t="s">
        <v>35</v>
      </c>
      <c r="D1391" s="1088" t="s">
        <v>567</v>
      </c>
      <c r="E1391" s="1169" t="s">
        <v>195</v>
      </c>
      <c r="F1391" s="6" t="s">
        <v>733</v>
      </c>
      <c r="G1391" s="6" t="s">
        <v>1482</v>
      </c>
      <c r="H1391" s="6" t="s">
        <v>3312</v>
      </c>
      <c r="J1391" s="1215" t="s">
        <v>509</v>
      </c>
      <c r="K1391" s="1219" t="s">
        <v>3112</v>
      </c>
      <c r="L1391" s="8">
        <v>0</v>
      </c>
      <c r="M1391" s="8">
        <v>2</v>
      </c>
      <c r="N1391" s="1169" t="s">
        <v>271</v>
      </c>
      <c r="P1391" s="6" t="s">
        <v>3324</v>
      </c>
      <c r="Q1391" s="1215" t="s">
        <v>253</v>
      </c>
      <c r="R1391" s="1215" t="s">
        <v>255</v>
      </c>
      <c r="S1391" s="1215" t="s">
        <v>534</v>
      </c>
      <c r="T1391" s="1215" t="s">
        <v>533</v>
      </c>
      <c r="U1391" s="6" t="s">
        <v>567</v>
      </c>
      <c r="V1391" s="6" t="s">
        <v>35</v>
      </c>
      <c r="W1391" s="6" t="s">
        <v>733</v>
      </c>
      <c r="X1391" s="6" t="s">
        <v>195</v>
      </c>
    </row>
    <row r="1392" spans="1:24" ht="15" customHeight="1" x14ac:dyDescent="0.3">
      <c r="A1392" s="6" t="s">
        <v>533</v>
      </c>
      <c r="B1392" s="6" t="s">
        <v>534</v>
      </c>
      <c r="C1392" s="6" t="s">
        <v>35</v>
      </c>
      <c r="D1392" s="1088" t="s">
        <v>567</v>
      </c>
      <c r="E1392" s="6" t="s">
        <v>195</v>
      </c>
      <c r="F1392" s="6" t="s">
        <v>733</v>
      </c>
      <c r="G1392" s="6" t="s">
        <v>1482</v>
      </c>
      <c r="H1392" s="6" t="s">
        <v>3312</v>
      </c>
      <c r="J1392" s="1215" t="s">
        <v>509</v>
      </c>
      <c r="K1392" s="1219" t="s">
        <v>3111</v>
      </c>
      <c r="L1392" s="8">
        <v>13</v>
      </c>
      <c r="M1392" s="8">
        <v>77</v>
      </c>
      <c r="N1392" s="1169" t="s">
        <v>271</v>
      </c>
      <c r="P1392" s="6" t="s">
        <v>3324</v>
      </c>
      <c r="Q1392" s="1215" t="s">
        <v>253</v>
      </c>
      <c r="R1392" s="1215" t="s">
        <v>255</v>
      </c>
      <c r="S1392" s="1215" t="s">
        <v>534</v>
      </c>
      <c r="T1392" s="1215" t="s">
        <v>533</v>
      </c>
      <c r="U1392" s="6" t="s">
        <v>567</v>
      </c>
      <c r="V1392" s="6" t="s">
        <v>35</v>
      </c>
      <c r="W1392" s="6" t="s">
        <v>733</v>
      </c>
      <c r="X1392" s="6" t="s">
        <v>195</v>
      </c>
    </row>
    <row r="1393" spans="1:24" ht="15" customHeight="1" x14ac:dyDescent="0.3">
      <c r="A1393" s="6" t="s">
        <v>533</v>
      </c>
      <c r="B1393" s="6" t="s">
        <v>534</v>
      </c>
      <c r="C1393" s="6" t="s">
        <v>35</v>
      </c>
      <c r="D1393" s="1088" t="s">
        <v>567</v>
      </c>
      <c r="E1393" s="6" t="s">
        <v>195</v>
      </c>
      <c r="F1393" s="6" t="s">
        <v>733</v>
      </c>
      <c r="G1393" s="6" t="s">
        <v>1482</v>
      </c>
      <c r="H1393" s="6" t="s">
        <v>3312</v>
      </c>
      <c r="J1393" s="1215" t="s">
        <v>509</v>
      </c>
      <c r="K1393" s="1219" t="s">
        <v>3110</v>
      </c>
      <c r="L1393" s="8">
        <v>25</v>
      </c>
      <c r="M1393" s="8">
        <v>85</v>
      </c>
      <c r="N1393" s="1169" t="s">
        <v>271</v>
      </c>
      <c r="P1393" s="6" t="s">
        <v>3324</v>
      </c>
      <c r="Q1393" s="1215" t="s">
        <v>253</v>
      </c>
      <c r="R1393" s="1215" t="s">
        <v>255</v>
      </c>
      <c r="S1393" s="1215" t="s">
        <v>534</v>
      </c>
      <c r="T1393" s="1215" t="s">
        <v>533</v>
      </c>
      <c r="U1393" s="6" t="s">
        <v>567</v>
      </c>
      <c r="V1393" s="6" t="s">
        <v>35</v>
      </c>
      <c r="W1393" s="6" t="s">
        <v>733</v>
      </c>
      <c r="X1393" s="6" t="s">
        <v>195</v>
      </c>
    </row>
    <row r="1394" spans="1:24" ht="15" customHeight="1" x14ac:dyDescent="0.3">
      <c r="A1394" s="6" t="s">
        <v>533</v>
      </c>
      <c r="B1394" s="6" t="s">
        <v>534</v>
      </c>
      <c r="C1394" s="6" t="s">
        <v>35</v>
      </c>
      <c r="D1394" s="1088" t="s">
        <v>567</v>
      </c>
      <c r="E1394" s="6" t="s">
        <v>195</v>
      </c>
      <c r="F1394" s="6" t="s">
        <v>733</v>
      </c>
      <c r="G1394" s="6" t="s">
        <v>1482</v>
      </c>
      <c r="H1394" s="6" t="s">
        <v>3312</v>
      </c>
      <c r="J1394" s="1215" t="s">
        <v>509</v>
      </c>
      <c r="K1394" s="1219" t="s">
        <v>3109</v>
      </c>
      <c r="L1394" s="8">
        <v>65</v>
      </c>
      <c r="M1394" s="8">
        <v>325</v>
      </c>
      <c r="N1394" s="1169" t="s">
        <v>271</v>
      </c>
      <c r="P1394" s="6" t="s">
        <v>3324</v>
      </c>
      <c r="Q1394" s="1215" t="s">
        <v>253</v>
      </c>
      <c r="R1394" s="1215" t="s">
        <v>255</v>
      </c>
      <c r="S1394" s="1215" t="s">
        <v>534</v>
      </c>
      <c r="T1394" s="1215" t="s">
        <v>533</v>
      </c>
      <c r="U1394" s="6" t="s">
        <v>567</v>
      </c>
      <c r="V1394" s="6" t="s">
        <v>35</v>
      </c>
      <c r="W1394" s="6" t="s">
        <v>733</v>
      </c>
      <c r="X1394" s="6" t="s">
        <v>195</v>
      </c>
    </row>
    <row r="1395" spans="1:24" ht="15" customHeight="1" x14ac:dyDescent="0.3">
      <c r="A1395" s="6" t="s">
        <v>533</v>
      </c>
      <c r="B1395" s="6" t="s">
        <v>534</v>
      </c>
      <c r="C1395" s="6" t="s">
        <v>35</v>
      </c>
      <c r="D1395" s="6" t="s">
        <v>567</v>
      </c>
      <c r="E1395" s="1088" t="s">
        <v>195</v>
      </c>
      <c r="F1395" s="6" t="s">
        <v>733</v>
      </c>
      <c r="G1395" s="6" t="s">
        <v>1480</v>
      </c>
      <c r="H1395" s="6" t="s">
        <v>3289</v>
      </c>
      <c r="J1395" s="1215" t="s">
        <v>509</v>
      </c>
      <c r="K1395" s="1219" t="s">
        <v>3112</v>
      </c>
      <c r="L1395" s="8">
        <v>54</v>
      </c>
      <c r="M1395" s="8">
        <v>227</v>
      </c>
      <c r="N1395" s="1169" t="s">
        <v>271</v>
      </c>
      <c r="P1395" s="6" t="s">
        <v>3324</v>
      </c>
      <c r="Q1395" s="1215" t="s">
        <v>253</v>
      </c>
      <c r="R1395" s="1215" t="s">
        <v>255</v>
      </c>
      <c r="S1395" s="1215" t="s">
        <v>534</v>
      </c>
      <c r="T1395" s="1215" t="s">
        <v>533</v>
      </c>
      <c r="U1395" s="6" t="s">
        <v>567</v>
      </c>
      <c r="V1395" s="6" t="s">
        <v>35</v>
      </c>
      <c r="W1395" s="6" t="s">
        <v>733</v>
      </c>
      <c r="X1395" s="6" t="s">
        <v>195</v>
      </c>
    </row>
    <row r="1396" spans="1:24" ht="15" customHeight="1" x14ac:dyDescent="0.3">
      <c r="A1396" s="6" t="s">
        <v>533</v>
      </c>
      <c r="B1396" s="6" t="s">
        <v>534</v>
      </c>
      <c r="C1396" s="6" t="s">
        <v>35</v>
      </c>
      <c r="D1396" s="1088" t="s">
        <v>567</v>
      </c>
      <c r="E1396" s="6" t="s">
        <v>195</v>
      </c>
      <c r="F1396" s="6" t="s">
        <v>733</v>
      </c>
      <c r="G1396" s="6" t="s">
        <v>1480</v>
      </c>
      <c r="H1396" s="6" t="s">
        <v>3289</v>
      </c>
      <c r="J1396" s="1215" t="s">
        <v>509</v>
      </c>
      <c r="K1396" s="1219" t="s">
        <v>3111</v>
      </c>
      <c r="L1396" s="8">
        <v>9</v>
      </c>
      <c r="M1396" s="8">
        <v>35</v>
      </c>
      <c r="N1396" s="1169" t="s">
        <v>271</v>
      </c>
      <c r="P1396" s="6" t="s">
        <v>3324</v>
      </c>
      <c r="Q1396" s="1215" t="s">
        <v>253</v>
      </c>
      <c r="R1396" s="1215" t="s">
        <v>255</v>
      </c>
      <c r="S1396" s="1215" t="s">
        <v>534</v>
      </c>
      <c r="T1396" s="1215" t="s">
        <v>533</v>
      </c>
      <c r="U1396" s="6" t="s">
        <v>567</v>
      </c>
      <c r="V1396" s="6" t="s">
        <v>35</v>
      </c>
      <c r="W1396" s="6" t="s">
        <v>733</v>
      </c>
      <c r="X1396" s="6" t="s">
        <v>195</v>
      </c>
    </row>
    <row r="1397" spans="1:24" ht="15" customHeight="1" x14ac:dyDescent="0.3">
      <c r="A1397" s="6" t="s">
        <v>533</v>
      </c>
      <c r="B1397" s="6" t="s">
        <v>534</v>
      </c>
      <c r="C1397" s="6" t="s">
        <v>35</v>
      </c>
      <c r="D1397" s="1088" t="s">
        <v>567</v>
      </c>
      <c r="E1397" s="1088" t="s">
        <v>195</v>
      </c>
      <c r="F1397" s="6" t="s">
        <v>733</v>
      </c>
      <c r="G1397" s="6" t="s">
        <v>1480</v>
      </c>
      <c r="H1397" s="6" t="s">
        <v>3289</v>
      </c>
      <c r="J1397" s="1215" t="s">
        <v>509</v>
      </c>
      <c r="K1397" s="1219" t="s">
        <v>3110</v>
      </c>
      <c r="L1397" s="8">
        <v>3</v>
      </c>
      <c r="M1397" s="8">
        <v>13</v>
      </c>
      <c r="N1397" s="1169" t="s">
        <v>271</v>
      </c>
      <c r="P1397" s="6" t="s">
        <v>3324</v>
      </c>
      <c r="Q1397" s="1215" t="s">
        <v>253</v>
      </c>
      <c r="R1397" s="1215" t="s">
        <v>255</v>
      </c>
      <c r="S1397" s="1215" t="s">
        <v>534</v>
      </c>
      <c r="T1397" s="1215" t="s">
        <v>533</v>
      </c>
      <c r="U1397" s="6" t="s">
        <v>567</v>
      </c>
      <c r="V1397" s="6" t="s">
        <v>35</v>
      </c>
      <c r="W1397" s="6" t="s">
        <v>733</v>
      </c>
      <c r="X1397" s="6" t="s">
        <v>195</v>
      </c>
    </row>
    <row r="1398" spans="1:24" ht="15" customHeight="1" x14ac:dyDescent="0.3">
      <c r="A1398" s="6" t="s">
        <v>533</v>
      </c>
      <c r="B1398" s="6" t="s">
        <v>534</v>
      </c>
      <c r="C1398" s="6" t="s">
        <v>35</v>
      </c>
      <c r="D1398" s="1088" t="s">
        <v>567</v>
      </c>
      <c r="E1398" s="6" t="s">
        <v>195</v>
      </c>
      <c r="F1398" s="6" t="s">
        <v>733</v>
      </c>
      <c r="G1398" s="6" t="s">
        <v>1480</v>
      </c>
      <c r="H1398" s="6" t="s">
        <v>3289</v>
      </c>
      <c r="J1398" s="1215" t="s">
        <v>509</v>
      </c>
      <c r="K1398" s="1219" t="s">
        <v>3109</v>
      </c>
      <c r="L1398" s="8">
        <v>50</v>
      </c>
      <c r="M1398" s="8">
        <v>225</v>
      </c>
      <c r="N1398" s="1169" t="s">
        <v>271</v>
      </c>
      <c r="P1398" s="6" t="s">
        <v>3324</v>
      </c>
      <c r="Q1398" s="1215" t="s">
        <v>253</v>
      </c>
      <c r="R1398" s="1215" t="s">
        <v>255</v>
      </c>
      <c r="S1398" s="1215" t="s">
        <v>534</v>
      </c>
      <c r="T1398" s="1215" t="s">
        <v>533</v>
      </c>
      <c r="U1398" s="6" t="s">
        <v>567</v>
      </c>
      <c r="V1398" s="6" t="s">
        <v>35</v>
      </c>
      <c r="W1398" s="6" t="s">
        <v>733</v>
      </c>
      <c r="X1398" s="6" t="s">
        <v>195</v>
      </c>
    </row>
    <row r="1399" spans="1:24" ht="15" customHeight="1" x14ac:dyDescent="0.3">
      <c r="A1399" s="6" t="s">
        <v>533</v>
      </c>
      <c r="B1399" s="6" t="s">
        <v>534</v>
      </c>
      <c r="C1399" s="6" t="s">
        <v>35</v>
      </c>
      <c r="D1399" s="1088" t="s">
        <v>567</v>
      </c>
      <c r="E1399" s="6" t="s">
        <v>195</v>
      </c>
      <c r="F1399" s="6" t="s">
        <v>733</v>
      </c>
      <c r="G1399" s="6" t="s">
        <v>2646</v>
      </c>
      <c r="H1399" s="6" t="s">
        <v>1519</v>
      </c>
      <c r="J1399" s="1215" t="s">
        <v>509</v>
      </c>
      <c r="K1399" s="1219" t="s">
        <v>3112</v>
      </c>
      <c r="L1399" s="8">
        <v>52</v>
      </c>
      <c r="M1399" s="8">
        <v>248</v>
      </c>
      <c r="N1399" s="1169" t="s">
        <v>271</v>
      </c>
      <c r="P1399" s="6" t="s">
        <v>3324</v>
      </c>
      <c r="Q1399" s="1215" t="s">
        <v>253</v>
      </c>
      <c r="R1399" s="1215" t="s">
        <v>255</v>
      </c>
      <c r="S1399" s="1215" t="s">
        <v>534</v>
      </c>
      <c r="T1399" s="1215" t="s">
        <v>533</v>
      </c>
      <c r="U1399" s="6" t="s">
        <v>567</v>
      </c>
      <c r="V1399" s="6" t="s">
        <v>35</v>
      </c>
      <c r="W1399" s="6" t="s">
        <v>733</v>
      </c>
      <c r="X1399" s="6" t="s">
        <v>195</v>
      </c>
    </row>
    <row r="1400" spans="1:24" ht="15" customHeight="1" x14ac:dyDescent="0.3">
      <c r="A1400" s="6" t="s">
        <v>533</v>
      </c>
      <c r="B1400" s="6" t="s">
        <v>534</v>
      </c>
      <c r="C1400" s="6" t="s">
        <v>35</v>
      </c>
      <c r="D1400" s="1088" t="s">
        <v>567</v>
      </c>
      <c r="E1400" s="1088" t="s">
        <v>195</v>
      </c>
      <c r="F1400" s="6" t="s">
        <v>733</v>
      </c>
      <c r="G1400" s="6" t="s">
        <v>2646</v>
      </c>
      <c r="H1400" s="6" t="s">
        <v>1519</v>
      </c>
      <c r="J1400" s="1215" t="s">
        <v>509</v>
      </c>
      <c r="K1400" s="1219" t="s">
        <v>3111</v>
      </c>
      <c r="L1400" s="8">
        <v>10</v>
      </c>
      <c r="M1400" s="8">
        <v>37</v>
      </c>
      <c r="N1400" s="1169" t="s">
        <v>271</v>
      </c>
      <c r="P1400" s="6" t="s">
        <v>3324</v>
      </c>
      <c r="Q1400" s="1215" t="s">
        <v>253</v>
      </c>
      <c r="R1400" s="1215" t="s">
        <v>255</v>
      </c>
      <c r="S1400" s="1215" t="s">
        <v>534</v>
      </c>
      <c r="T1400" s="1215" t="s">
        <v>533</v>
      </c>
      <c r="U1400" s="6" t="s">
        <v>567</v>
      </c>
      <c r="V1400" s="6" t="s">
        <v>35</v>
      </c>
      <c r="W1400" s="6" t="s">
        <v>733</v>
      </c>
      <c r="X1400" s="6" t="s">
        <v>195</v>
      </c>
    </row>
    <row r="1401" spans="1:24" ht="15" customHeight="1" x14ac:dyDescent="0.3">
      <c r="A1401" s="6" t="s">
        <v>533</v>
      </c>
      <c r="B1401" s="6" t="s">
        <v>534</v>
      </c>
      <c r="C1401" s="6" t="s">
        <v>35</v>
      </c>
      <c r="D1401" s="1088" t="s">
        <v>567</v>
      </c>
      <c r="E1401" s="1088" t="s">
        <v>195</v>
      </c>
      <c r="F1401" s="6" t="s">
        <v>733</v>
      </c>
      <c r="G1401" s="6" t="s">
        <v>2646</v>
      </c>
      <c r="H1401" s="6" t="s">
        <v>1519</v>
      </c>
      <c r="J1401" s="1215" t="s">
        <v>509</v>
      </c>
      <c r="K1401" s="1219" t="s">
        <v>3110</v>
      </c>
      <c r="L1401" s="8">
        <v>12</v>
      </c>
      <c r="M1401" s="8">
        <v>80</v>
      </c>
      <c r="N1401" s="1169" t="s">
        <v>271</v>
      </c>
      <c r="P1401" s="6" t="s">
        <v>3324</v>
      </c>
      <c r="Q1401" s="1215" t="s">
        <v>253</v>
      </c>
      <c r="R1401" s="1215" t="s">
        <v>255</v>
      </c>
      <c r="S1401" s="1215" t="s">
        <v>534</v>
      </c>
      <c r="T1401" s="1215" t="s">
        <v>533</v>
      </c>
      <c r="U1401" s="6" t="s">
        <v>567</v>
      </c>
      <c r="V1401" s="6" t="s">
        <v>35</v>
      </c>
      <c r="W1401" s="6" t="s">
        <v>733</v>
      </c>
      <c r="X1401" s="6" t="s">
        <v>195</v>
      </c>
    </row>
    <row r="1402" spans="1:24" ht="15" customHeight="1" x14ac:dyDescent="0.3">
      <c r="A1402" s="6" t="s">
        <v>533</v>
      </c>
      <c r="B1402" s="6" t="s">
        <v>534</v>
      </c>
      <c r="C1402" s="6" t="s">
        <v>35</v>
      </c>
      <c r="D1402" s="1088" t="s">
        <v>567</v>
      </c>
      <c r="E1402" s="6" t="s">
        <v>195</v>
      </c>
      <c r="F1402" s="6" t="s">
        <v>733</v>
      </c>
      <c r="G1402" s="6" t="s">
        <v>2646</v>
      </c>
      <c r="H1402" s="6" t="s">
        <v>1519</v>
      </c>
      <c r="J1402" s="1215" t="s">
        <v>509</v>
      </c>
      <c r="K1402" s="1219" t="s">
        <v>3109</v>
      </c>
      <c r="L1402" s="8">
        <v>68</v>
      </c>
      <c r="M1402" s="8">
        <v>483</v>
      </c>
      <c r="N1402" s="1169" t="s">
        <v>271</v>
      </c>
      <c r="P1402" s="6" t="s">
        <v>3324</v>
      </c>
      <c r="Q1402" s="1215" t="s">
        <v>253</v>
      </c>
      <c r="R1402" s="1215" t="s">
        <v>255</v>
      </c>
      <c r="S1402" s="1215" t="s">
        <v>534</v>
      </c>
      <c r="T1402" s="1215" t="s">
        <v>533</v>
      </c>
      <c r="U1402" s="6" t="s">
        <v>567</v>
      </c>
      <c r="V1402" s="6" t="s">
        <v>35</v>
      </c>
      <c r="W1402" s="6" t="s">
        <v>733</v>
      </c>
      <c r="X1402" s="6" t="s">
        <v>195</v>
      </c>
    </row>
    <row r="1403" spans="1:24" ht="15" customHeight="1" x14ac:dyDescent="0.3">
      <c r="A1403" s="6" t="s">
        <v>533</v>
      </c>
      <c r="B1403" s="6" t="s">
        <v>534</v>
      </c>
      <c r="C1403" s="6" t="s">
        <v>35</v>
      </c>
      <c r="D1403" s="1088" t="s">
        <v>567</v>
      </c>
      <c r="E1403" s="1088" t="s">
        <v>195</v>
      </c>
      <c r="F1403" s="6" t="s">
        <v>733</v>
      </c>
      <c r="G1403" s="6" t="s">
        <v>2994</v>
      </c>
      <c r="H1403" s="6" t="s">
        <v>3300</v>
      </c>
      <c r="J1403" s="1215" t="s">
        <v>509</v>
      </c>
      <c r="K1403" s="1219" t="s">
        <v>3112</v>
      </c>
      <c r="L1403" s="8">
        <v>100</v>
      </c>
      <c r="M1403" s="8">
        <v>416</v>
      </c>
      <c r="N1403" s="1169" t="s">
        <v>271</v>
      </c>
      <c r="P1403" s="6" t="s">
        <v>3324</v>
      </c>
      <c r="Q1403" s="1215" t="s">
        <v>253</v>
      </c>
      <c r="R1403" s="1215" t="s">
        <v>255</v>
      </c>
      <c r="S1403" s="1215" t="s">
        <v>534</v>
      </c>
      <c r="T1403" s="1215" t="s">
        <v>533</v>
      </c>
      <c r="U1403" s="6" t="s">
        <v>567</v>
      </c>
      <c r="V1403" s="6" t="s">
        <v>35</v>
      </c>
      <c r="W1403" s="6" t="s">
        <v>733</v>
      </c>
      <c r="X1403" s="6" t="s">
        <v>195</v>
      </c>
    </row>
    <row r="1404" spans="1:24" ht="15" customHeight="1" x14ac:dyDescent="0.3">
      <c r="A1404" s="6" t="s">
        <v>533</v>
      </c>
      <c r="B1404" s="6" t="s">
        <v>534</v>
      </c>
      <c r="C1404" s="6" t="s">
        <v>35</v>
      </c>
      <c r="D1404" s="1088" t="s">
        <v>567</v>
      </c>
      <c r="E1404" s="6" t="s">
        <v>195</v>
      </c>
      <c r="F1404" s="6" t="s">
        <v>733</v>
      </c>
      <c r="G1404" s="6" t="s">
        <v>2994</v>
      </c>
      <c r="H1404" s="6" t="s">
        <v>3300</v>
      </c>
      <c r="J1404" s="1215" t="s">
        <v>509</v>
      </c>
      <c r="K1404" s="1219" t="s">
        <v>3111</v>
      </c>
      <c r="L1404" s="8">
        <v>68</v>
      </c>
      <c r="M1404" s="8">
        <v>424</v>
      </c>
      <c r="N1404" s="1169" t="s">
        <v>271</v>
      </c>
      <c r="P1404" s="6" t="s">
        <v>3324</v>
      </c>
      <c r="Q1404" s="1215" t="s">
        <v>253</v>
      </c>
      <c r="R1404" s="1215" t="s">
        <v>255</v>
      </c>
      <c r="S1404" s="1215" t="s">
        <v>534</v>
      </c>
      <c r="T1404" s="1215" t="s">
        <v>533</v>
      </c>
      <c r="U1404" s="6" t="s">
        <v>567</v>
      </c>
      <c r="V1404" s="6" t="s">
        <v>35</v>
      </c>
      <c r="W1404" s="6" t="s">
        <v>733</v>
      </c>
      <c r="X1404" s="6" t="s">
        <v>195</v>
      </c>
    </row>
    <row r="1405" spans="1:24" ht="15" customHeight="1" x14ac:dyDescent="0.3">
      <c r="A1405" s="6" t="s">
        <v>533</v>
      </c>
      <c r="B1405" s="6" t="s">
        <v>534</v>
      </c>
      <c r="C1405" s="6" t="s">
        <v>35</v>
      </c>
      <c r="D1405" s="1088" t="s">
        <v>567</v>
      </c>
      <c r="E1405" s="6" t="s">
        <v>195</v>
      </c>
      <c r="F1405" s="6" t="s">
        <v>733</v>
      </c>
      <c r="G1405" s="6" t="s">
        <v>2994</v>
      </c>
      <c r="H1405" s="6" t="s">
        <v>3300</v>
      </c>
      <c r="J1405" s="1215" t="s">
        <v>509</v>
      </c>
      <c r="K1405" s="1219" t="s">
        <v>3109</v>
      </c>
      <c r="L1405" s="8">
        <v>45</v>
      </c>
      <c r="M1405" s="8">
        <v>964</v>
      </c>
      <c r="N1405" s="1169" t="s">
        <v>271</v>
      </c>
      <c r="P1405" s="6" t="s">
        <v>3324</v>
      </c>
      <c r="Q1405" s="1215" t="s">
        <v>253</v>
      </c>
      <c r="R1405" s="1215" t="s">
        <v>255</v>
      </c>
      <c r="S1405" s="1215" t="s">
        <v>534</v>
      </c>
      <c r="T1405" s="1215" t="s">
        <v>533</v>
      </c>
      <c r="U1405" s="6" t="s">
        <v>567</v>
      </c>
      <c r="V1405" s="6" t="s">
        <v>35</v>
      </c>
      <c r="W1405" s="6" t="s">
        <v>733</v>
      </c>
      <c r="X1405" s="6" t="s">
        <v>195</v>
      </c>
    </row>
    <row r="1406" spans="1:24" ht="15" customHeight="1" x14ac:dyDescent="0.3">
      <c r="A1406" s="6" t="s">
        <v>533</v>
      </c>
      <c r="B1406" s="6" t="s">
        <v>534</v>
      </c>
      <c r="C1406" s="6" t="s">
        <v>35</v>
      </c>
      <c r="D1406" s="1088" t="s">
        <v>567</v>
      </c>
      <c r="E1406" s="6" t="s">
        <v>195</v>
      </c>
      <c r="F1406" s="6" t="s">
        <v>733</v>
      </c>
      <c r="G1406" s="6" t="s">
        <v>2994</v>
      </c>
      <c r="H1406" s="6" t="s">
        <v>3300</v>
      </c>
      <c r="J1406" s="1215" t="s">
        <v>509</v>
      </c>
      <c r="K1406" s="1219" t="s">
        <v>3110</v>
      </c>
      <c r="L1406" s="8">
        <v>218</v>
      </c>
      <c r="M1406" s="8">
        <v>1029</v>
      </c>
      <c r="N1406" s="1169" t="s">
        <v>271</v>
      </c>
      <c r="P1406" s="6" t="s">
        <v>3324</v>
      </c>
      <c r="Q1406" s="1215" t="s">
        <v>253</v>
      </c>
      <c r="R1406" s="1215" t="s">
        <v>255</v>
      </c>
      <c r="S1406" s="1215" t="s">
        <v>534</v>
      </c>
      <c r="T1406" s="1215" t="s">
        <v>533</v>
      </c>
      <c r="U1406" s="6" t="s">
        <v>567</v>
      </c>
      <c r="V1406" s="6" t="s">
        <v>35</v>
      </c>
      <c r="W1406" s="6" t="s">
        <v>733</v>
      </c>
      <c r="X1406" s="6" t="s">
        <v>195</v>
      </c>
    </row>
    <row r="1407" spans="1:24" ht="15" customHeight="1" x14ac:dyDescent="0.3">
      <c r="A1407" s="6" t="s">
        <v>533</v>
      </c>
      <c r="B1407" s="6" t="s">
        <v>534</v>
      </c>
      <c r="C1407" s="6" t="s">
        <v>35</v>
      </c>
      <c r="D1407" s="1088" t="s">
        <v>567</v>
      </c>
      <c r="E1407" s="6" t="s">
        <v>195</v>
      </c>
      <c r="F1407" s="6" t="s">
        <v>733</v>
      </c>
      <c r="G1407" s="6" t="s">
        <v>2994</v>
      </c>
      <c r="H1407" s="6" t="s">
        <v>3300</v>
      </c>
      <c r="J1407" s="1215" t="s">
        <v>509</v>
      </c>
      <c r="K1407" s="1219" t="s">
        <v>3033</v>
      </c>
      <c r="L1407" s="8">
        <v>80</v>
      </c>
      <c r="M1407" s="8">
        <v>630</v>
      </c>
      <c r="N1407" s="1169" t="s">
        <v>271</v>
      </c>
      <c r="P1407" s="6" t="s">
        <v>3324</v>
      </c>
      <c r="Q1407" s="1215" t="s">
        <v>253</v>
      </c>
      <c r="R1407" s="1215" t="s">
        <v>255</v>
      </c>
      <c r="S1407" s="1215" t="s">
        <v>534</v>
      </c>
      <c r="T1407" s="1215" t="s">
        <v>533</v>
      </c>
      <c r="U1407" s="6" t="s">
        <v>567</v>
      </c>
      <c r="V1407" s="6" t="s">
        <v>35</v>
      </c>
      <c r="W1407" s="6" t="s">
        <v>733</v>
      </c>
      <c r="X1407" s="6" t="s">
        <v>195</v>
      </c>
    </row>
    <row r="1408" spans="1:24" ht="15" customHeight="1" x14ac:dyDescent="0.3">
      <c r="A1408" s="6" t="s">
        <v>533</v>
      </c>
      <c r="B1408" s="6" t="s">
        <v>534</v>
      </c>
      <c r="C1408" s="6" t="s">
        <v>35</v>
      </c>
      <c r="D1408" s="1088" t="s">
        <v>567</v>
      </c>
      <c r="E1408" s="6" t="s">
        <v>195</v>
      </c>
      <c r="F1408" s="6" t="s">
        <v>733</v>
      </c>
      <c r="G1408" s="6" t="s">
        <v>1794</v>
      </c>
      <c r="H1408" s="6" t="s">
        <v>1034</v>
      </c>
      <c r="J1408" s="1215" t="s">
        <v>509</v>
      </c>
      <c r="K1408" s="1219" t="s">
        <v>3112</v>
      </c>
      <c r="L1408" s="8">
        <v>15</v>
      </c>
      <c r="M1408" s="8">
        <v>100</v>
      </c>
      <c r="N1408" s="1169" t="s">
        <v>271</v>
      </c>
      <c r="P1408" s="6" t="s">
        <v>3324</v>
      </c>
      <c r="Q1408" s="1215" t="s">
        <v>253</v>
      </c>
      <c r="R1408" s="1215" t="s">
        <v>255</v>
      </c>
      <c r="S1408" s="1215" t="s">
        <v>534</v>
      </c>
      <c r="T1408" s="1215" t="s">
        <v>533</v>
      </c>
      <c r="U1408" s="6" t="s">
        <v>567</v>
      </c>
      <c r="V1408" s="6" t="s">
        <v>35</v>
      </c>
      <c r="W1408" s="6" t="s">
        <v>733</v>
      </c>
      <c r="X1408" s="6" t="s">
        <v>195</v>
      </c>
    </row>
    <row r="1409" spans="1:24" ht="15" customHeight="1" x14ac:dyDescent="0.3">
      <c r="A1409" s="6" t="s">
        <v>533</v>
      </c>
      <c r="B1409" s="6" t="s">
        <v>534</v>
      </c>
      <c r="C1409" s="6" t="s">
        <v>35</v>
      </c>
      <c r="D1409" s="6" t="s">
        <v>567</v>
      </c>
      <c r="E1409" s="1088" t="s">
        <v>195</v>
      </c>
      <c r="F1409" s="6" t="s">
        <v>733</v>
      </c>
      <c r="G1409" s="6" t="s">
        <v>1794</v>
      </c>
      <c r="H1409" s="6" t="s">
        <v>1034</v>
      </c>
      <c r="J1409" s="1215" t="s">
        <v>509</v>
      </c>
      <c r="K1409" s="1219" t="s">
        <v>3111</v>
      </c>
      <c r="L1409" s="8">
        <v>28</v>
      </c>
      <c r="M1409" s="8">
        <v>250</v>
      </c>
      <c r="N1409" s="1169" t="s">
        <v>271</v>
      </c>
      <c r="P1409" s="6" t="s">
        <v>3324</v>
      </c>
      <c r="Q1409" s="1215" t="s">
        <v>253</v>
      </c>
      <c r="R1409" s="1215" t="s">
        <v>255</v>
      </c>
      <c r="S1409" s="1215" t="s">
        <v>534</v>
      </c>
      <c r="T1409" s="1215" t="s">
        <v>533</v>
      </c>
      <c r="U1409" s="6" t="s">
        <v>567</v>
      </c>
      <c r="V1409" s="6" t="s">
        <v>35</v>
      </c>
      <c r="W1409" s="6" t="s">
        <v>733</v>
      </c>
      <c r="X1409" s="6" t="s">
        <v>195</v>
      </c>
    </row>
    <row r="1410" spans="1:24" ht="15" customHeight="1" x14ac:dyDescent="0.3">
      <c r="A1410" s="6" t="s">
        <v>533</v>
      </c>
      <c r="B1410" s="6" t="s">
        <v>534</v>
      </c>
      <c r="C1410" s="6" t="s">
        <v>35</v>
      </c>
      <c r="D1410" s="6" t="s">
        <v>567</v>
      </c>
      <c r="E1410" s="1088" t="s">
        <v>195</v>
      </c>
      <c r="F1410" s="6" t="s">
        <v>733</v>
      </c>
      <c r="G1410" s="6" t="s">
        <v>1794</v>
      </c>
      <c r="H1410" s="6" t="s">
        <v>1034</v>
      </c>
      <c r="J1410" s="1215" t="s">
        <v>509</v>
      </c>
      <c r="K1410" s="1219" t="s">
        <v>3110</v>
      </c>
      <c r="L1410" s="8">
        <v>18</v>
      </c>
      <c r="M1410" s="8">
        <v>57</v>
      </c>
      <c r="N1410" s="1169" t="s">
        <v>271</v>
      </c>
      <c r="P1410" s="6" t="s">
        <v>3324</v>
      </c>
      <c r="Q1410" s="1215" t="s">
        <v>253</v>
      </c>
      <c r="R1410" s="1215" t="s">
        <v>255</v>
      </c>
      <c r="S1410" s="1215" t="s">
        <v>534</v>
      </c>
      <c r="T1410" s="1215" t="s">
        <v>533</v>
      </c>
      <c r="U1410" s="6" t="s">
        <v>567</v>
      </c>
      <c r="V1410" s="6" t="s">
        <v>35</v>
      </c>
      <c r="W1410" s="6" t="s">
        <v>733</v>
      </c>
      <c r="X1410" s="6" t="s">
        <v>195</v>
      </c>
    </row>
    <row r="1411" spans="1:24" ht="15" customHeight="1" x14ac:dyDescent="0.3">
      <c r="A1411" s="6" t="s">
        <v>533</v>
      </c>
      <c r="B1411" s="6" t="s">
        <v>534</v>
      </c>
      <c r="C1411" s="6" t="s">
        <v>35</v>
      </c>
      <c r="D1411" s="6" t="s">
        <v>567</v>
      </c>
      <c r="E1411" s="1088" t="s">
        <v>195</v>
      </c>
      <c r="F1411" s="6" t="s">
        <v>733</v>
      </c>
      <c r="G1411" s="6" t="s">
        <v>1794</v>
      </c>
      <c r="H1411" s="6" t="s">
        <v>1034</v>
      </c>
      <c r="J1411" s="1215" t="s">
        <v>509</v>
      </c>
      <c r="K1411" s="1219" t="s">
        <v>3109</v>
      </c>
      <c r="L1411" s="8">
        <v>9</v>
      </c>
      <c r="M1411" s="8">
        <v>55</v>
      </c>
      <c r="N1411" s="1169" t="s">
        <v>271</v>
      </c>
      <c r="P1411" s="6" t="s">
        <v>3324</v>
      </c>
      <c r="Q1411" s="1215" t="s">
        <v>253</v>
      </c>
      <c r="R1411" s="1215" t="s">
        <v>255</v>
      </c>
      <c r="S1411" s="1215" t="s">
        <v>534</v>
      </c>
      <c r="T1411" s="1215" t="s">
        <v>533</v>
      </c>
      <c r="U1411" s="6" t="s">
        <v>567</v>
      </c>
      <c r="V1411" s="6" t="s">
        <v>35</v>
      </c>
      <c r="W1411" s="6" t="s">
        <v>733</v>
      </c>
      <c r="X1411" s="6" t="s">
        <v>195</v>
      </c>
    </row>
    <row r="1412" spans="1:24" ht="15" customHeight="1" x14ac:dyDescent="0.3">
      <c r="A1412" s="6" t="s">
        <v>533</v>
      </c>
      <c r="B1412" s="6" t="s">
        <v>534</v>
      </c>
      <c r="C1412" s="6" t="s">
        <v>31</v>
      </c>
      <c r="D1412" s="1088" t="s">
        <v>549</v>
      </c>
      <c r="E1412" s="1088" t="s">
        <v>170</v>
      </c>
      <c r="F1412" s="6" t="s">
        <v>866</v>
      </c>
      <c r="G1412" s="6" t="s">
        <v>940</v>
      </c>
      <c r="H1412" s="6" t="s">
        <v>795</v>
      </c>
      <c r="J1412" s="1215" t="s">
        <v>509</v>
      </c>
      <c r="K1412" s="1219" t="s">
        <v>3033</v>
      </c>
      <c r="L1412" s="8">
        <v>13</v>
      </c>
      <c r="M1412" s="8">
        <v>138</v>
      </c>
      <c r="N1412" s="1169" t="s">
        <v>271</v>
      </c>
      <c r="P1412" s="6" t="s">
        <v>3323</v>
      </c>
      <c r="Q1412" s="1215" t="s">
        <v>253</v>
      </c>
      <c r="R1412" s="1215" t="s">
        <v>255</v>
      </c>
      <c r="S1412" s="1215" t="s">
        <v>534</v>
      </c>
      <c r="T1412" s="1215" t="s">
        <v>533</v>
      </c>
      <c r="U1412" s="6" t="s">
        <v>549</v>
      </c>
      <c r="V1412" s="6" t="s">
        <v>31</v>
      </c>
      <c r="W1412" s="6" t="s">
        <v>844</v>
      </c>
      <c r="X1412" s="6" t="s">
        <v>166</v>
      </c>
    </row>
    <row r="1413" spans="1:24" ht="15" customHeight="1" x14ac:dyDescent="0.3">
      <c r="A1413" s="6" t="s">
        <v>533</v>
      </c>
      <c r="B1413" s="6" t="s">
        <v>534</v>
      </c>
      <c r="C1413" s="6" t="s">
        <v>31</v>
      </c>
      <c r="D1413" s="1088" t="s">
        <v>549</v>
      </c>
      <c r="E1413" s="1088" t="s">
        <v>170</v>
      </c>
      <c r="F1413" s="6" t="s">
        <v>866</v>
      </c>
      <c r="G1413" s="6" t="s">
        <v>940</v>
      </c>
      <c r="H1413" s="6" t="s">
        <v>795</v>
      </c>
      <c r="J1413" s="1215" t="s">
        <v>509</v>
      </c>
      <c r="K1413" s="1219" t="s">
        <v>3109</v>
      </c>
      <c r="L1413" s="8">
        <v>7</v>
      </c>
      <c r="M1413" s="8">
        <v>62</v>
      </c>
      <c r="N1413" s="6" t="s">
        <v>271</v>
      </c>
      <c r="P1413" s="6" t="s">
        <v>3323</v>
      </c>
      <c r="Q1413" s="1215" t="s">
        <v>253</v>
      </c>
      <c r="R1413" s="1215" t="s">
        <v>255</v>
      </c>
      <c r="S1413" s="1215" t="s">
        <v>534</v>
      </c>
      <c r="T1413" s="1215" t="s">
        <v>533</v>
      </c>
      <c r="U1413" s="6" t="s">
        <v>549</v>
      </c>
      <c r="V1413" s="6" t="s">
        <v>31</v>
      </c>
      <c r="W1413" s="6" t="s">
        <v>844</v>
      </c>
      <c r="X1413" s="6" t="s">
        <v>166</v>
      </c>
    </row>
    <row r="1414" spans="1:24" ht="15" customHeight="1" x14ac:dyDescent="0.3">
      <c r="A1414" s="6" t="s">
        <v>533</v>
      </c>
      <c r="B1414" s="6" t="s">
        <v>534</v>
      </c>
      <c r="C1414" s="6" t="s">
        <v>31</v>
      </c>
      <c r="D1414" s="1088" t="s">
        <v>549</v>
      </c>
      <c r="E1414" s="1088" t="s">
        <v>170</v>
      </c>
      <c r="F1414" s="6" t="s">
        <v>866</v>
      </c>
      <c r="G1414" s="6" t="s">
        <v>940</v>
      </c>
      <c r="H1414" s="6" t="s">
        <v>795</v>
      </c>
      <c r="J1414" s="1215" t="s">
        <v>509</v>
      </c>
      <c r="K1414" s="1219" t="s">
        <v>3110</v>
      </c>
      <c r="L1414" s="8">
        <v>3</v>
      </c>
      <c r="M1414" s="8">
        <v>20</v>
      </c>
      <c r="N1414" s="6" t="s">
        <v>271</v>
      </c>
      <c r="P1414" s="6" t="s">
        <v>3323</v>
      </c>
      <c r="Q1414" s="1215" t="s">
        <v>253</v>
      </c>
      <c r="R1414" s="1215" t="s">
        <v>255</v>
      </c>
      <c r="S1414" s="1215" t="s">
        <v>534</v>
      </c>
      <c r="T1414" s="1215" t="s">
        <v>533</v>
      </c>
      <c r="U1414" s="6" t="s">
        <v>549</v>
      </c>
      <c r="V1414" s="6" t="s">
        <v>31</v>
      </c>
      <c r="W1414" s="6" t="s">
        <v>844</v>
      </c>
      <c r="X1414" s="6" t="s">
        <v>166</v>
      </c>
    </row>
    <row r="1415" spans="1:24" ht="15" customHeight="1" x14ac:dyDescent="0.3">
      <c r="A1415" s="6" t="s">
        <v>533</v>
      </c>
      <c r="B1415" s="6" t="s">
        <v>534</v>
      </c>
      <c r="C1415" s="6" t="s">
        <v>31</v>
      </c>
      <c r="D1415" s="1088" t="s">
        <v>549</v>
      </c>
      <c r="E1415" s="6" t="s">
        <v>170</v>
      </c>
      <c r="F1415" s="6" t="s">
        <v>866</v>
      </c>
      <c r="G1415" s="6" t="s">
        <v>940</v>
      </c>
      <c r="H1415" s="6" t="s">
        <v>795</v>
      </c>
      <c r="J1415" s="1215" t="s">
        <v>509</v>
      </c>
      <c r="K1415" s="1219" t="s">
        <v>3111</v>
      </c>
      <c r="L1415" s="8">
        <v>6</v>
      </c>
      <c r="M1415" s="8">
        <v>52</v>
      </c>
      <c r="N1415" s="1169" t="s">
        <v>274</v>
      </c>
      <c r="P1415" s="6" t="s">
        <v>3323</v>
      </c>
      <c r="Q1415" s="1215" t="s">
        <v>253</v>
      </c>
      <c r="R1415" s="1215" t="s">
        <v>255</v>
      </c>
      <c r="S1415" s="1215" t="s">
        <v>534</v>
      </c>
      <c r="T1415" s="1215" t="s">
        <v>533</v>
      </c>
      <c r="U1415" s="6" t="s">
        <v>549</v>
      </c>
      <c r="V1415" s="6" t="s">
        <v>31</v>
      </c>
      <c r="W1415" s="6" t="s">
        <v>673</v>
      </c>
      <c r="X1415" s="6" t="s">
        <v>169</v>
      </c>
    </row>
    <row r="1416" spans="1:24" ht="15" customHeight="1" x14ac:dyDescent="0.3">
      <c r="A1416" s="6" t="s">
        <v>533</v>
      </c>
      <c r="B1416" s="6" t="s">
        <v>534</v>
      </c>
      <c r="C1416" s="6" t="s">
        <v>31</v>
      </c>
      <c r="D1416" s="1088" t="s">
        <v>549</v>
      </c>
      <c r="E1416" s="6" t="s">
        <v>170</v>
      </c>
      <c r="F1416" s="6" t="s">
        <v>866</v>
      </c>
      <c r="G1416" s="6" t="s">
        <v>940</v>
      </c>
      <c r="H1416" s="6" t="s">
        <v>795</v>
      </c>
      <c r="J1416" s="1215" t="s">
        <v>509</v>
      </c>
      <c r="K1416" s="1219" t="s">
        <v>3112</v>
      </c>
      <c r="L1416" s="8">
        <v>3</v>
      </c>
      <c r="M1416" s="8">
        <v>18</v>
      </c>
      <c r="N1416" s="1169" t="s">
        <v>272</v>
      </c>
      <c r="P1416" s="6" t="s">
        <v>3323</v>
      </c>
      <c r="Q1416" s="1215" t="s">
        <v>253</v>
      </c>
      <c r="R1416" s="1215" t="s">
        <v>255</v>
      </c>
      <c r="S1416" s="1215" t="s">
        <v>534</v>
      </c>
      <c r="T1416" s="1215" t="s">
        <v>533</v>
      </c>
      <c r="U1416" s="6" t="s">
        <v>549</v>
      </c>
      <c r="V1416" s="6" t="s">
        <v>31</v>
      </c>
      <c r="W1416" s="6" t="s">
        <v>673</v>
      </c>
      <c r="X1416" s="6" t="s">
        <v>169</v>
      </c>
    </row>
    <row r="1417" spans="1:24" ht="15" customHeight="1" x14ac:dyDescent="0.3">
      <c r="A1417" s="6" t="s">
        <v>533</v>
      </c>
      <c r="B1417" s="6" t="s">
        <v>534</v>
      </c>
      <c r="C1417" s="6" t="s">
        <v>31</v>
      </c>
      <c r="D1417" s="1088" t="s">
        <v>549</v>
      </c>
      <c r="E1417" s="6" t="s">
        <v>170</v>
      </c>
      <c r="F1417" s="6" t="s">
        <v>866</v>
      </c>
      <c r="G1417" s="6" t="s">
        <v>2016</v>
      </c>
      <c r="H1417" s="6" t="s">
        <v>2015</v>
      </c>
      <c r="J1417" s="1215" t="s">
        <v>509</v>
      </c>
      <c r="K1417" s="1219" t="s">
        <v>3033</v>
      </c>
      <c r="L1417" s="8">
        <v>38</v>
      </c>
      <c r="M1417" s="8">
        <v>172</v>
      </c>
      <c r="N1417" s="6" t="s">
        <v>271</v>
      </c>
      <c r="P1417" s="6" t="s">
        <v>3323</v>
      </c>
      <c r="Q1417" s="1215" t="s">
        <v>253</v>
      </c>
      <c r="R1417" s="1215" t="s">
        <v>255</v>
      </c>
      <c r="S1417" s="1215" t="s">
        <v>534</v>
      </c>
      <c r="T1417" s="1215" t="s">
        <v>533</v>
      </c>
      <c r="U1417" s="6" t="s">
        <v>549</v>
      </c>
      <c r="V1417" s="6" t="s">
        <v>31</v>
      </c>
      <c r="W1417" s="6" t="s">
        <v>844</v>
      </c>
      <c r="X1417" s="6" t="s">
        <v>166</v>
      </c>
    </row>
    <row r="1418" spans="1:24" ht="15" customHeight="1" x14ac:dyDescent="0.3">
      <c r="A1418" s="6" t="s">
        <v>533</v>
      </c>
      <c r="B1418" s="6" t="s">
        <v>534</v>
      </c>
      <c r="C1418" s="6" t="s">
        <v>31</v>
      </c>
      <c r="D1418" s="6" t="s">
        <v>549</v>
      </c>
      <c r="E1418" s="6" t="s">
        <v>170</v>
      </c>
      <c r="F1418" s="6" t="s">
        <v>866</v>
      </c>
      <c r="G1418" s="6" t="s">
        <v>2016</v>
      </c>
      <c r="H1418" s="6" t="s">
        <v>2015</v>
      </c>
      <c r="J1418" s="1215" t="s">
        <v>509</v>
      </c>
      <c r="K1418" s="1219" t="s">
        <v>3109</v>
      </c>
      <c r="L1418" s="8">
        <v>10</v>
      </c>
      <c r="M1418" s="8">
        <v>62</v>
      </c>
      <c r="N1418" s="1169" t="s">
        <v>271</v>
      </c>
      <c r="P1418" s="6" t="s">
        <v>3323</v>
      </c>
      <c r="Q1418" s="1215" t="s">
        <v>253</v>
      </c>
      <c r="R1418" s="1215" t="s">
        <v>255</v>
      </c>
      <c r="S1418" s="1215" t="s">
        <v>534</v>
      </c>
      <c r="T1418" s="1215" t="s">
        <v>533</v>
      </c>
      <c r="U1418" s="6" t="s">
        <v>549</v>
      </c>
      <c r="V1418" s="6" t="s">
        <v>31</v>
      </c>
      <c r="W1418" s="6" t="s">
        <v>844</v>
      </c>
      <c r="X1418" s="6" t="s">
        <v>166</v>
      </c>
    </row>
    <row r="1419" spans="1:24" ht="15" customHeight="1" x14ac:dyDescent="0.3">
      <c r="A1419" s="6" t="s">
        <v>533</v>
      </c>
      <c r="B1419" s="6" t="s">
        <v>534</v>
      </c>
      <c r="C1419" s="6" t="s">
        <v>31</v>
      </c>
      <c r="D1419" s="1088" t="s">
        <v>549</v>
      </c>
      <c r="E1419" s="6" t="s">
        <v>170</v>
      </c>
      <c r="F1419" s="6" t="s">
        <v>866</v>
      </c>
      <c r="G1419" s="6" t="s">
        <v>2016</v>
      </c>
      <c r="H1419" s="6" t="s">
        <v>2015</v>
      </c>
      <c r="J1419" s="1215" t="s">
        <v>509</v>
      </c>
      <c r="K1419" s="1219" t="s">
        <v>3110</v>
      </c>
      <c r="L1419" s="8">
        <v>6</v>
      </c>
      <c r="M1419" s="8">
        <v>47</v>
      </c>
      <c r="N1419" s="6" t="s">
        <v>271</v>
      </c>
      <c r="P1419" s="6" t="s">
        <v>3323</v>
      </c>
      <c r="Q1419" s="1215" t="s">
        <v>253</v>
      </c>
      <c r="R1419" s="1215" t="s">
        <v>255</v>
      </c>
      <c r="S1419" s="1215" t="s">
        <v>534</v>
      </c>
      <c r="T1419" s="1215" t="s">
        <v>533</v>
      </c>
      <c r="U1419" s="6" t="s">
        <v>549</v>
      </c>
      <c r="V1419" s="6" t="s">
        <v>31</v>
      </c>
      <c r="W1419" s="6" t="s">
        <v>844</v>
      </c>
      <c r="X1419" s="6" t="s">
        <v>166</v>
      </c>
    </row>
    <row r="1420" spans="1:24" ht="15" customHeight="1" x14ac:dyDescent="0.3">
      <c r="A1420" s="6" t="s">
        <v>533</v>
      </c>
      <c r="B1420" s="6" t="s">
        <v>534</v>
      </c>
      <c r="C1420" s="6" t="s">
        <v>31</v>
      </c>
      <c r="D1420" s="1088" t="s">
        <v>549</v>
      </c>
      <c r="E1420" s="6" t="s">
        <v>170</v>
      </c>
      <c r="F1420" s="6" t="s">
        <v>866</v>
      </c>
      <c r="G1420" s="6" t="s">
        <v>2016</v>
      </c>
      <c r="H1420" s="6" t="s">
        <v>2015</v>
      </c>
      <c r="J1420" s="1215" t="s">
        <v>509</v>
      </c>
      <c r="K1420" s="1219" t="s">
        <v>3111</v>
      </c>
      <c r="L1420" s="8">
        <v>12</v>
      </c>
      <c r="M1420" s="8">
        <v>60</v>
      </c>
      <c r="N1420" s="6" t="s">
        <v>274</v>
      </c>
      <c r="P1420" s="6" t="s">
        <v>3323</v>
      </c>
      <c r="Q1420" s="1215" t="s">
        <v>253</v>
      </c>
      <c r="R1420" s="1215" t="s">
        <v>255</v>
      </c>
      <c r="S1420" s="1215" t="s">
        <v>534</v>
      </c>
      <c r="T1420" s="1215" t="s">
        <v>533</v>
      </c>
      <c r="U1420" s="6" t="s">
        <v>549</v>
      </c>
      <c r="V1420" s="6" t="s">
        <v>31</v>
      </c>
      <c r="W1420" s="6" t="s">
        <v>673</v>
      </c>
      <c r="X1420" s="6" t="s">
        <v>169</v>
      </c>
    </row>
    <row r="1421" spans="1:24" ht="15" customHeight="1" x14ac:dyDescent="0.3">
      <c r="A1421" s="6" t="s">
        <v>533</v>
      </c>
      <c r="B1421" s="6" t="s">
        <v>534</v>
      </c>
      <c r="C1421" s="6" t="s">
        <v>31</v>
      </c>
      <c r="D1421" s="1088" t="s">
        <v>549</v>
      </c>
      <c r="E1421" s="6" t="s">
        <v>170</v>
      </c>
      <c r="F1421" s="6" t="s">
        <v>866</v>
      </c>
      <c r="G1421" s="6" t="s">
        <v>2016</v>
      </c>
      <c r="H1421" s="6" t="s">
        <v>2015</v>
      </c>
      <c r="J1421" s="1215" t="s">
        <v>509</v>
      </c>
      <c r="K1421" s="1219" t="s">
        <v>3112</v>
      </c>
      <c r="L1421" s="8">
        <v>2</v>
      </c>
      <c r="M1421" s="8">
        <v>18</v>
      </c>
      <c r="N1421" s="6" t="s">
        <v>272</v>
      </c>
      <c r="P1421" s="6" t="s">
        <v>3323</v>
      </c>
      <c r="Q1421" s="1215" t="s">
        <v>253</v>
      </c>
      <c r="R1421" s="1215" t="s">
        <v>255</v>
      </c>
      <c r="S1421" s="1215" t="s">
        <v>534</v>
      </c>
      <c r="T1421" s="1215" t="s">
        <v>533</v>
      </c>
      <c r="U1421" s="6" t="s">
        <v>549</v>
      </c>
      <c r="V1421" s="6" t="s">
        <v>31</v>
      </c>
      <c r="W1421" s="6" t="s">
        <v>673</v>
      </c>
      <c r="X1421" s="6" t="s">
        <v>169</v>
      </c>
    </row>
    <row r="1422" spans="1:24" ht="15" customHeight="1" x14ac:dyDescent="0.3">
      <c r="A1422" s="6" t="s">
        <v>533</v>
      </c>
      <c r="B1422" s="6" t="s">
        <v>534</v>
      </c>
      <c r="C1422" s="6" t="s">
        <v>34</v>
      </c>
      <c r="D1422" s="1088" t="s">
        <v>539</v>
      </c>
      <c r="E1422" s="6" t="s">
        <v>187</v>
      </c>
      <c r="F1422" s="6" t="s">
        <v>951</v>
      </c>
      <c r="G1422" s="6" t="s">
        <v>3006</v>
      </c>
      <c r="H1422" s="6" t="s">
        <v>1466</v>
      </c>
      <c r="J1422" s="1215" t="s">
        <v>509</v>
      </c>
      <c r="K1422" s="1219" t="s">
        <v>3109</v>
      </c>
      <c r="L1422" s="8">
        <v>279</v>
      </c>
      <c r="M1422" s="8">
        <v>2266</v>
      </c>
      <c r="N1422" s="1169" t="s">
        <v>271</v>
      </c>
      <c r="P1422" s="6" t="s">
        <v>3324</v>
      </c>
      <c r="Q1422" s="1215" t="s">
        <v>253</v>
      </c>
      <c r="R1422" s="1215" t="s">
        <v>255</v>
      </c>
      <c r="S1422" s="1215" t="s">
        <v>534</v>
      </c>
      <c r="T1422" s="1215" t="s">
        <v>533</v>
      </c>
      <c r="U1422" s="6" t="s">
        <v>539</v>
      </c>
      <c r="V1422" s="6" t="s">
        <v>34</v>
      </c>
      <c r="W1422" s="6" t="s">
        <v>951</v>
      </c>
      <c r="X1422" s="6" t="s">
        <v>187</v>
      </c>
    </row>
    <row r="1423" spans="1:24" ht="15" customHeight="1" x14ac:dyDescent="0.3">
      <c r="A1423" s="6" t="s">
        <v>533</v>
      </c>
      <c r="B1423" s="6" t="s">
        <v>534</v>
      </c>
      <c r="C1423" s="6" t="s">
        <v>34</v>
      </c>
      <c r="D1423" s="1088" t="s">
        <v>539</v>
      </c>
      <c r="E1423" s="6" t="s">
        <v>187</v>
      </c>
      <c r="F1423" s="6" t="s">
        <v>951</v>
      </c>
      <c r="G1423" s="6" t="s">
        <v>3006</v>
      </c>
      <c r="H1423" s="6" t="s">
        <v>1466</v>
      </c>
      <c r="J1423" s="1215" t="s">
        <v>509</v>
      </c>
      <c r="K1423" s="1219" t="s">
        <v>3110</v>
      </c>
      <c r="L1423" s="8">
        <v>0</v>
      </c>
      <c r="M1423" s="8">
        <v>12</v>
      </c>
      <c r="N1423" s="6" t="s">
        <v>271</v>
      </c>
      <c r="P1423" s="6" t="s">
        <v>3324</v>
      </c>
      <c r="Q1423" s="1215" t="s">
        <v>253</v>
      </c>
      <c r="R1423" s="1215" t="s">
        <v>255</v>
      </c>
      <c r="S1423" s="1215" t="s">
        <v>534</v>
      </c>
      <c r="T1423" s="1215" t="s">
        <v>533</v>
      </c>
      <c r="U1423" s="6" t="s">
        <v>539</v>
      </c>
      <c r="V1423" s="6" t="s">
        <v>34</v>
      </c>
      <c r="W1423" s="6" t="s">
        <v>951</v>
      </c>
      <c r="X1423" s="6" t="s">
        <v>187</v>
      </c>
    </row>
    <row r="1424" spans="1:24" ht="15" customHeight="1" x14ac:dyDescent="0.3">
      <c r="A1424" s="6" t="s">
        <v>533</v>
      </c>
      <c r="B1424" s="6" t="s">
        <v>534</v>
      </c>
      <c r="C1424" s="6" t="s">
        <v>34</v>
      </c>
      <c r="D1424" s="1088" t="s">
        <v>539</v>
      </c>
      <c r="E1424" s="1169" t="s">
        <v>187</v>
      </c>
      <c r="F1424" s="6" t="s">
        <v>951</v>
      </c>
      <c r="G1424" s="6" t="s">
        <v>3006</v>
      </c>
      <c r="H1424" s="6" t="s">
        <v>1466</v>
      </c>
      <c r="J1424" s="1215" t="s">
        <v>509</v>
      </c>
      <c r="K1424" s="1219" t="s">
        <v>3111</v>
      </c>
      <c r="L1424" s="8">
        <v>40</v>
      </c>
      <c r="M1424" s="8">
        <v>136</v>
      </c>
      <c r="N1424" s="1169" t="s">
        <v>271</v>
      </c>
      <c r="P1424" s="6" t="s">
        <v>3324</v>
      </c>
      <c r="Q1424" s="1215" t="s">
        <v>253</v>
      </c>
      <c r="R1424" s="1215" t="s">
        <v>255</v>
      </c>
      <c r="S1424" s="1215" t="s">
        <v>534</v>
      </c>
      <c r="T1424" s="1215" t="s">
        <v>533</v>
      </c>
      <c r="U1424" s="6" t="s">
        <v>539</v>
      </c>
      <c r="V1424" s="6" t="s">
        <v>34</v>
      </c>
      <c r="W1424" s="6" t="s">
        <v>951</v>
      </c>
      <c r="X1424" s="6" t="s">
        <v>187</v>
      </c>
    </row>
    <row r="1425" spans="1:24" ht="15" customHeight="1" x14ac:dyDescent="0.3">
      <c r="A1425" s="6" t="s">
        <v>533</v>
      </c>
      <c r="B1425" s="6" t="s">
        <v>534</v>
      </c>
      <c r="C1425" s="6" t="s">
        <v>34</v>
      </c>
      <c r="D1425" s="1088" t="s">
        <v>539</v>
      </c>
      <c r="E1425" s="6" t="s">
        <v>187</v>
      </c>
      <c r="F1425" s="6" t="s">
        <v>951</v>
      </c>
      <c r="G1425" s="6" t="s">
        <v>3006</v>
      </c>
      <c r="H1425" s="6" t="s">
        <v>1466</v>
      </c>
      <c r="J1425" s="1215" t="s">
        <v>509</v>
      </c>
      <c r="K1425" s="1219" t="s">
        <v>3112</v>
      </c>
      <c r="L1425" s="8">
        <v>35</v>
      </c>
      <c r="M1425" s="8">
        <v>263</v>
      </c>
      <c r="N1425" s="1169" t="s">
        <v>271</v>
      </c>
      <c r="P1425" s="6" t="s">
        <v>3324</v>
      </c>
      <c r="Q1425" s="1215" t="s">
        <v>253</v>
      </c>
      <c r="R1425" s="1215" t="s">
        <v>255</v>
      </c>
      <c r="S1425" s="1215" t="s">
        <v>534</v>
      </c>
      <c r="T1425" s="1215" t="s">
        <v>533</v>
      </c>
      <c r="U1425" s="6" t="s">
        <v>539</v>
      </c>
      <c r="V1425" s="6" t="s">
        <v>34</v>
      </c>
      <c r="W1425" s="6" t="s">
        <v>951</v>
      </c>
      <c r="X1425" s="6" t="s">
        <v>187</v>
      </c>
    </row>
    <row r="1426" spans="1:24" ht="15" customHeight="1" x14ac:dyDescent="0.3">
      <c r="A1426" s="6" t="s">
        <v>533</v>
      </c>
      <c r="B1426" s="6" t="s">
        <v>534</v>
      </c>
      <c r="C1426" s="6" t="s">
        <v>34</v>
      </c>
      <c r="D1426" s="1088" t="s">
        <v>539</v>
      </c>
      <c r="E1426" s="6" t="s">
        <v>187</v>
      </c>
      <c r="F1426" s="6" t="s">
        <v>951</v>
      </c>
      <c r="G1426" s="6" t="s">
        <v>3004</v>
      </c>
      <c r="H1426" s="6" t="s">
        <v>1379</v>
      </c>
      <c r="J1426" s="1215" t="s">
        <v>509</v>
      </c>
      <c r="K1426" s="1219" t="s">
        <v>3033</v>
      </c>
      <c r="L1426" s="8">
        <v>63</v>
      </c>
      <c r="M1426" s="8">
        <v>276</v>
      </c>
      <c r="N1426" s="1169" t="s">
        <v>271</v>
      </c>
      <c r="P1426" s="6" t="s">
        <v>3324</v>
      </c>
      <c r="Q1426" s="1215" t="s">
        <v>253</v>
      </c>
      <c r="R1426" s="1215" t="s">
        <v>255</v>
      </c>
      <c r="S1426" s="1215" t="s">
        <v>534</v>
      </c>
      <c r="T1426" s="1215" t="s">
        <v>533</v>
      </c>
      <c r="U1426" s="6" t="s">
        <v>539</v>
      </c>
      <c r="V1426" s="6" t="s">
        <v>34</v>
      </c>
      <c r="W1426" s="6" t="s">
        <v>951</v>
      </c>
      <c r="X1426" s="6" t="s">
        <v>187</v>
      </c>
    </row>
    <row r="1427" spans="1:24" ht="15" customHeight="1" x14ac:dyDescent="0.3">
      <c r="A1427" s="6" t="s">
        <v>533</v>
      </c>
      <c r="B1427" s="6" t="s">
        <v>534</v>
      </c>
      <c r="C1427" s="6" t="s">
        <v>34</v>
      </c>
      <c r="D1427" s="1088" t="s">
        <v>539</v>
      </c>
      <c r="E1427" s="6" t="s">
        <v>187</v>
      </c>
      <c r="F1427" s="6" t="s">
        <v>951</v>
      </c>
      <c r="G1427" s="6" t="s">
        <v>3004</v>
      </c>
      <c r="H1427" s="6" t="s">
        <v>1379</v>
      </c>
      <c r="J1427" s="1215" t="s">
        <v>509</v>
      </c>
      <c r="K1427" s="1219" t="s">
        <v>3109</v>
      </c>
      <c r="L1427" s="8">
        <v>0</v>
      </c>
      <c r="M1427" s="8">
        <v>4</v>
      </c>
      <c r="N1427" s="1169" t="s">
        <v>271</v>
      </c>
      <c r="P1427" s="6" t="s">
        <v>3324</v>
      </c>
      <c r="Q1427" s="1215" t="s">
        <v>253</v>
      </c>
      <c r="R1427" s="1215" t="s">
        <v>255</v>
      </c>
      <c r="S1427" s="1215" t="s">
        <v>534</v>
      </c>
      <c r="T1427" s="1215" t="s">
        <v>533</v>
      </c>
      <c r="U1427" s="6" t="s">
        <v>539</v>
      </c>
      <c r="V1427" s="6" t="s">
        <v>34</v>
      </c>
      <c r="W1427" s="6" t="s">
        <v>951</v>
      </c>
      <c r="X1427" s="6" t="s">
        <v>187</v>
      </c>
    </row>
    <row r="1428" spans="1:24" ht="15" customHeight="1" x14ac:dyDescent="0.3">
      <c r="A1428" s="6" t="s">
        <v>533</v>
      </c>
      <c r="B1428" s="6" t="s">
        <v>534</v>
      </c>
      <c r="C1428" s="6" t="s">
        <v>34</v>
      </c>
      <c r="D1428" s="1088" t="s">
        <v>539</v>
      </c>
      <c r="E1428" s="6" t="s">
        <v>187</v>
      </c>
      <c r="F1428" s="6" t="s">
        <v>951</v>
      </c>
      <c r="G1428" s="6" t="s">
        <v>3004</v>
      </c>
      <c r="H1428" s="6" t="s">
        <v>1379</v>
      </c>
      <c r="J1428" s="1215" t="s">
        <v>509</v>
      </c>
      <c r="K1428" s="1219" t="s">
        <v>3110</v>
      </c>
      <c r="L1428" s="8">
        <v>40</v>
      </c>
      <c r="M1428" s="8">
        <v>131</v>
      </c>
      <c r="N1428" s="1169" t="s">
        <v>271</v>
      </c>
      <c r="P1428" s="6" t="s">
        <v>3324</v>
      </c>
      <c r="Q1428" s="1215" t="s">
        <v>253</v>
      </c>
      <c r="R1428" s="1215" t="s">
        <v>255</v>
      </c>
      <c r="S1428" s="1215" t="s">
        <v>534</v>
      </c>
      <c r="T1428" s="1215" t="s">
        <v>533</v>
      </c>
      <c r="U1428" s="6" t="s">
        <v>539</v>
      </c>
      <c r="V1428" s="6" t="s">
        <v>34</v>
      </c>
      <c r="W1428" s="6" t="s">
        <v>951</v>
      </c>
      <c r="X1428" s="6" t="s">
        <v>187</v>
      </c>
    </row>
    <row r="1429" spans="1:24" ht="15" customHeight="1" x14ac:dyDescent="0.3">
      <c r="A1429" s="6" t="s">
        <v>533</v>
      </c>
      <c r="B1429" s="6" t="s">
        <v>534</v>
      </c>
      <c r="C1429" s="6" t="s">
        <v>34</v>
      </c>
      <c r="D1429" s="6" t="s">
        <v>539</v>
      </c>
      <c r="E1429" s="1088" t="s">
        <v>187</v>
      </c>
      <c r="F1429" s="6" t="s">
        <v>951</v>
      </c>
      <c r="G1429" s="6" t="s">
        <v>3004</v>
      </c>
      <c r="H1429" s="6" t="s">
        <v>1379</v>
      </c>
      <c r="J1429" s="1215" t="s">
        <v>509</v>
      </c>
      <c r="K1429" s="1219" t="s">
        <v>3111</v>
      </c>
      <c r="L1429" s="8">
        <v>0</v>
      </c>
      <c r="M1429" s="8">
        <v>50</v>
      </c>
      <c r="N1429" s="1169" t="s">
        <v>271</v>
      </c>
      <c r="P1429" s="6" t="s">
        <v>3324</v>
      </c>
      <c r="Q1429" s="1215" t="s">
        <v>253</v>
      </c>
      <c r="R1429" s="1215" t="s">
        <v>255</v>
      </c>
      <c r="S1429" s="1215" t="s">
        <v>534</v>
      </c>
      <c r="T1429" s="1215" t="s">
        <v>533</v>
      </c>
      <c r="U1429" s="6" t="s">
        <v>539</v>
      </c>
      <c r="V1429" s="6" t="s">
        <v>34</v>
      </c>
      <c r="W1429" s="6" t="s">
        <v>951</v>
      </c>
      <c r="X1429" s="6" t="s">
        <v>187</v>
      </c>
    </row>
    <row r="1430" spans="1:24" ht="15" customHeight="1" x14ac:dyDescent="0.3">
      <c r="A1430" s="6" t="s">
        <v>533</v>
      </c>
      <c r="B1430" s="6" t="s">
        <v>534</v>
      </c>
      <c r="C1430" s="6" t="s">
        <v>34</v>
      </c>
      <c r="D1430" s="1088" t="s">
        <v>539</v>
      </c>
      <c r="E1430" s="6" t="s">
        <v>187</v>
      </c>
      <c r="F1430" s="6" t="s">
        <v>951</v>
      </c>
      <c r="G1430" s="6" t="s">
        <v>3004</v>
      </c>
      <c r="H1430" s="6" t="s">
        <v>1379</v>
      </c>
      <c r="J1430" s="1215" t="s">
        <v>509</v>
      </c>
      <c r="K1430" s="1219" t="s">
        <v>3112</v>
      </c>
      <c r="L1430" s="8">
        <v>0</v>
      </c>
      <c r="M1430" s="8">
        <v>10</v>
      </c>
      <c r="N1430" s="1169" t="s">
        <v>271</v>
      </c>
      <c r="P1430" s="6" t="s">
        <v>3324</v>
      </c>
      <c r="Q1430" s="1215" t="s">
        <v>253</v>
      </c>
      <c r="R1430" s="1215" t="s">
        <v>255</v>
      </c>
      <c r="S1430" s="1215" t="s">
        <v>534</v>
      </c>
      <c r="T1430" s="1215" t="s">
        <v>533</v>
      </c>
      <c r="U1430" s="6" t="s">
        <v>539</v>
      </c>
      <c r="V1430" s="6" t="s">
        <v>34</v>
      </c>
      <c r="W1430" s="6" t="s">
        <v>951</v>
      </c>
      <c r="X1430" s="6" t="s">
        <v>187</v>
      </c>
    </row>
    <row r="1431" spans="1:24" ht="15" customHeight="1" x14ac:dyDescent="0.3">
      <c r="A1431" s="6" t="s">
        <v>533</v>
      </c>
      <c r="B1431" s="6" t="s">
        <v>534</v>
      </c>
      <c r="C1431" s="6" t="s">
        <v>31</v>
      </c>
      <c r="D1431" s="1088" t="s">
        <v>549</v>
      </c>
      <c r="E1431" s="6" t="s">
        <v>171</v>
      </c>
      <c r="F1431" s="6" t="s">
        <v>634</v>
      </c>
      <c r="G1431" s="6" t="s">
        <v>1396</v>
      </c>
      <c r="H1431" s="6" t="s">
        <v>1940</v>
      </c>
      <c r="J1431" s="1215" t="s">
        <v>509</v>
      </c>
      <c r="K1431" s="1219" t="s">
        <v>3111</v>
      </c>
      <c r="L1431" s="8">
        <v>27</v>
      </c>
      <c r="M1431" s="8">
        <v>145</v>
      </c>
      <c r="N1431" s="1169" t="s">
        <v>271</v>
      </c>
      <c r="P1431" s="6" t="s">
        <v>3323</v>
      </c>
      <c r="Q1431" s="1215" t="s">
        <v>253</v>
      </c>
      <c r="R1431" s="1215" t="s">
        <v>255</v>
      </c>
      <c r="S1431" s="1215" t="s">
        <v>534</v>
      </c>
      <c r="T1431" s="1215" t="s">
        <v>533</v>
      </c>
      <c r="U1431" s="6" t="s">
        <v>549</v>
      </c>
      <c r="V1431" s="6" t="s">
        <v>31</v>
      </c>
      <c r="W1431" s="6" t="s">
        <v>844</v>
      </c>
      <c r="X1431" s="6" t="s">
        <v>166</v>
      </c>
    </row>
    <row r="1432" spans="1:24" ht="15" customHeight="1" x14ac:dyDescent="0.3">
      <c r="A1432" s="6" t="s">
        <v>533</v>
      </c>
      <c r="B1432" s="6" t="s">
        <v>534</v>
      </c>
      <c r="C1432" s="6" t="s">
        <v>31</v>
      </c>
      <c r="D1432" s="1088" t="s">
        <v>549</v>
      </c>
      <c r="E1432" s="1088" t="s">
        <v>171</v>
      </c>
      <c r="F1432" s="6" t="s">
        <v>634</v>
      </c>
      <c r="G1432" s="6" t="s">
        <v>2594</v>
      </c>
      <c r="H1432" s="6" t="s">
        <v>1832</v>
      </c>
      <c r="J1432" s="1215" t="s">
        <v>509</v>
      </c>
      <c r="K1432" s="1219" t="s">
        <v>3111</v>
      </c>
      <c r="L1432" s="8">
        <v>10</v>
      </c>
      <c r="M1432" s="8">
        <v>82</v>
      </c>
      <c r="N1432" s="1169" t="s">
        <v>271</v>
      </c>
      <c r="P1432" s="6" t="s">
        <v>3323</v>
      </c>
      <c r="Q1432" s="1215" t="s">
        <v>253</v>
      </c>
      <c r="R1432" s="1215" t="s">
        <v>255</v>
      </c>
      <c r="S1432" s="1215" t="s">
        <v>534</v>
      </c>
      <c r="T1432" s="1215" t="s">
        <v>533</v>
      </c>
      <c r="U1432" s="6" t="s">
        <v>549</v>
      </c>
      <c r="V1432" s="6" t="s">
        <v>31</v>
      </c>
      <c r="W1432" s="6" t="s">
        <v>844</v>
      </c>
      <c r="X1432" s="6" t="s">
        <v>166</v>
      </c>
    </row>
    <row r="1433" spans="1:24" ht="15" customHeight="1" x14ac:dyDescent="0.3">
      <c r="A1433" s="6" t="s">
        <v>533</v>
      </c>
      <c r="B1433" s="6" t="s">
        <v>534</v>
      </c>
      <c r="C1433" s="6" t="s">
        <v>31</v>
      </c>
      <c r="D1433" s="1088" t="s">
        <v>549</v>
      </c>
      <c r="E1433" s="6" t="s">
        <v>170</v>
      </c>
      <c r="F1433" s="6" t="s">
        <v>866</v>
      </c>
      <c r="G1433" s="6" t="s">
        <v>1349</v>
      </c>
      <c r="H1433" s="6" t="s">
        <v>2124</v>
      </c>
      <c r="J1433" s="1215" t="s">
        <v>509</v>
      </c>
      <c r="K1433" s="1219" t="s">
        <v>3033</v>
      </c>
      <c r="L1433" s="8">
        <v>3</v>
      </c>
      <c r="M1433" s="8">
        <v>22</v>
      </c>
      <c r="N1433" s="1169" t="s">
        <v>271</v>
      </c>
      <c r="P1433" s="6" t="s">
        <v>3323</v>
      </c>
      <c r="Q1433" s="1215" t="s">
        <v>253</v>
      </c>
      <c r="R1433" s="1215" t="s">
        <v>255</v>
      </c>
      <c r="S1433" s="1215" t="s">
        <v>534</v>
      </c>
      <c r="T1433" s="1215" t="s">
        <v>533</v>
      </c>
      <c r="U1433" s="6" t="s">
        <v>549</v>
      </c>
      <c r="V1433" s="6" t="s">
        <v>31</v>
      </c>
      <c r="W1433" s="6" t="s">
        <v>844</v>
      </c>
      <c r="X1433" s="6" t="s">
        <v>166</v>
      </c>
    </row>
    <row r="1434" spans="1:24" ht="15" customHeight="1" x14ac:dyDescent="0.3">
      <c r="A1434" s="6" t="s">
        <v>533</v>
      </c>
      <c r="B1434" s="6" t="s">
        <v>534</v>
      </c>
      <c r="C1434" s="6" t="s">
        <v>31</v>
      </c>
      <c r="D1434" s="1088" t="s">
        <v>549</v>
      </c>
      <c r="E1434" s="6" t="s">
        <v>170</v>
      </c>
      <c r="F1434" s="6" t="s">
        <v>866</v>
      </c>
      <c r="G1434" s="6" t="s">
        <v>1349</v>
      </c>
      <c r="H1434" s="6" t="s">
        <v>2124</v>
      </c>
      <c r="J1434" s="1215" t="s">
        <v>509</v>
      </c>
      <c r="K1434" s="1219" t="s">
        <v>3109</v>
      </c>
      <c r="L1434" s="8">
        <v>2</v>
      </c>
      <c r="M1434" s="8">
        <v>16</v>
      </c>
      <c r="N1434" s="1169" t="s">
        <v>271</v>
      </c>
      <c r="P1434" s="6" t="s">
        <v>3323</v>
      </c>
      <c r="Q1434" s="1215" t="s">
        <v>253</v>
      </c>
      <c r="R1434" s="1215" t="s">
        <v>255</v>
      </c>
      <c r="S1434" s="1215" t="s">
        <v>534</v>
      </c>
      <c r="T1434" s="1215" t="s">
        <v>533</v>
      </c>
      <c r="U1434" s="6" t="s">
        <v>549</v>
      </c>
      <c r="V1434" s="6" t="s">
        <v>31</v>
      </c>
      <c r="W1434" s="6" t="s">
        <v>844</v>
      </c>
      <c r="X1434" s="6" t="s">
        <v>166</v>
      </c>
    </row>
    <row r="1435" spans="1:24" ht="15" customHeight="1" x14ac:dyDescent="0.3">
      <c r="A1435" s="6" t="s">
        <v>533</v>
      </c>
      <c r="B1435" s="6" t="s">
        <v>534</v>
      </c>
      <c r="C1435" s="6" t="s">
        <v>31</v>
      </c>
      <c r="D1435" s="1088" t="s">
        <v>549</v>
      </c>
      <c r="E1435" s="6" t="s">
        <v>170</v>
      </c>
      <c r="F1435" s="6" t="s">
        <v>866</v>
      </c>
      <c r="G1435" s="6" t="s">
        <v>1349</v>
      </c>
      <c r="H1435" s="6" t="s">
        <v>2124</v>
      </c>
      <c r="J1435" s="1215" t="s">
        <v>509</v>
      </c>
      <c r="K1435" s="1219" t="s">
        <v>3111</v>
      </c>
      <c r="L1435" s="8">
        <v>1</v>
      </c>
      <c r="M1435" s="8">
        <v>2</v>
      </c>
      <c r="N1435" s="1169" t="s">
        <v>274</v>
      </c>
      <c r="P1435" s="6" t="s">
        <v>3323</v>
      </c>
      <c r="Q1435" s="1215" t="s">
        <v>253</v>
      </c>
      <c r="R1435" s="1215" t="s">
        <v>255</v>
      </c>
      <c r="S1435" s="1215" t="s">
        <v>534</v>
      </c>
      <c r="T1435" s="1215" t="s">
        <v>533</v>
      </c>
      <c r="U1435" s="6" t="s">
        <v>549</v>
      </c>
      <c r="V1435" s="6" t="s">
        <v>31</v>
      </c>
      <c r="W1435" s="6" t="s">
        <v>673</v>
      </c>
      <c r="X1435" s="6" t="s">
        <v>169</v>
      </c>
    </row>
    <row r="1436" spans="1:24" ht="15" customHeight="1" x14ac:dyDescent="0.3">
      <c r="A1436" s="6" t="s">
        <v>533</v>
      </c>
      <c r="B1436" s="6" t="s">
        <v>534</v>
      </c>
      <c r="C1436" s="6" t="s">
        <v>31</v>
      </c>
      <c r="D1436" s="1088" t="s">
        <v>549</v>
      </c>
      <c r="E1436" s="6" t="s">
        <v>170</v>
      </c>
      <c r="F1436" s="6" t="s">
        <v>866</v>
      </c>
      <c r="G1436" s="6" t="s">
        <v>1349</v>
      </c>
      <c r="H1436" s="6" t="s">
        <v>2124</v>
      </c>
      <c r="J1436" s="1215" t="s">
        <v>509</v>
      </c>
      <c r="K1436" s="1219" t="s">
        <v>3112</v>
      </c>
      <c r="L1436" s="8">
        <v>1</v>
      </c>
      <c r="M1436" s="8">
        <v>8</v>
      </c>
      <c r="N1436" s="1169" t="s">
        <v>272</v>
      </c>
      <c r="P1436" s="6" t="s">
        <v>3323</v>
      </c>
      <c r="Q1436" s="1215" t="s">
        <v>253</v>
      </c>
      <c r="R1436" s="1215" t="s">
        <v>255</v>
      </c>
      <c r="S1436" s="1215" t="s">
        <v>534</v>
      </c>
      <c r="T1436" s="1215" t="s">
        <v>533</v>
      </c>
      <c r="U1436" s="6" t="s">
        <v>549</v>
      </c>
      <c r="V1436" s="6" t="s">
        <v>31</v>
      </c>
      <c r="W1436" s="6" t="s">
        <v>673</v>
      </c>
      <c r="X1436" s="6" t="s">
        <v>169</v>
      </c>
    </row>
    <row r="1437" spans="1:24" ht="15" customHeight="1" x14ac:dyDescent="0.3">
      <c r="A1437" s="6" t="s">
        <v>533</v>
      </c>
      <c r="B1437" s="6" t="s">
        <v>534</v>
      </c>
      <c r="C1437" s="6" t="s">
        <v>31</v>
      </c>
      <c r="D1437" s="1088" t="s">
        <v>549</v>
      </c>
      <c r="E1437" s="6" t="s">
        <v>170</v>
      </c>
      <c r="F1437" s="6" t="s">
        <v>866</v>
      </c>
      <c r="G1437" s="6" t="s">
        <v>2097</v>
      </c>
      <c r="H1437" s="6" t="s">
        <v>1557</v>
      </c>
      <c r="J1437" s="1215" t="s">
        <v>509</v>
      </c>
      <c r="K1437" s="1219" t="s">
        <v>3112</v>
      </c>
      <c r="L1437" s="8">
        <v>4</v>
      </c>
      <c r="M1437" s="8">
        <v>25</v>
      </c>
      <c r="N1437" s="1169" t="s">
        <v>272</v>
      </c>
      <c r="P1437" s="6" t="s">
        <v>3324</v>
      </c>
      <c r="Q1437" s="1215" t="s">
        <v>253</v>
      </c>
      <c r="R1437" s="1215" t="s">
        <v>255</v>
      </c>
      <c r="S1437" s="1215" t="s">
        <v>534</v>
      </c>
      <c r="T1437" s="1215" t="s">
        <v>533</v>
      </c>
      <c r="U1437" s="6" t="s">
        <v>549</v>
      </c>
      <c r="V1437" s="6" t="s">
        <v>31</v>
      </c>
      <c r="W1437" s="6" t="s">
        <v>866</v>
      </c>
      <c r="X1437" s="6" t="s">
        <v>170</v>
      </c>
    </row>
    <row r="1438" spans="1:24" ht="15" customHeight="1" x14ac:dyDescent="0.3">
      <c r="A1438" s="6" t="s">
        <v>533</v>
      </c>
      <c r="B1438" s="6" t="s">
        <v>534</v>
      </c>
      <c r="C1438" s="6" t="s">
        <v>31</v>
      </c>
      <c r="D1438" s="1088" t="s">
        <v>549</v>
      </c>
      <c r="E1438" s="1088" t="s">
        <v>170</v>
      </c>
      <c r="F1438" s="6" t="s">
        <v>866</v>
      </c>
      <c r="G1438" s="6" t="s">
        <v>2997</v>
      </c>
      <c r="H1438" s="6" t="s">
        <v>1238</v>
      </c>
      <c r="J1438" s="1215" t="s">
        <v>509</v>
      </c>
      <c r="K1438" s="1219" t="s">
        <v>3112</v>
      </c>
      <c r="L1438" s="8">
        <v>3</v>
      </c>
      <c r="M1438" s="8">
        <v>15</v>
      </c>
      <c r="N1438" s="1169" t="s">
        <v>272</v>
      </c>
      <c r="P1438" s="6" t="s">
        <v>3324</v>
      </c>
      <c r="Q1438" s="1215" t="s">
        <v>253</v>
      </c>
      <c r="R1438" s="1215" t="s">
        <v>255</v>
      </c>
      <c r="S1438" s="1215" t="s">
        <v>534</v>
      </c>
      <c r="T1438" s="1215" t="s">
        <v>533</v>
      </c>
      <c r="U1438" s="6" t="s">
        <v>549</v>
      </c>
      <c r="V1438" s="6" t="s">
        <v>31</v>
      </c>
      <c r="W1438" s="6" t="s">
        <v>866</v>
      </c>
      <c r="X1438" s="6" t="s">
        <v>170</v>
      </c>
    </row>
    <row r="1439" spans="1:24" ht="15" customHeight="1" x14ac:dyDescent="0.3">
      <c r="A1439" s="6" t="s">
        <v>533</v>
      </c>
      <c r="B1439" s="6" t="s">
        <v>534</v>
      </c>
      <c r="C1439" s="6" t="s">
        <v>34</v>
      </c>
      <c r="D1439" s="1088" t="s">
        <v>539</v>
      </c>
      <c r="E1439" s="6" t="s">
        <v>188</v>
      </c>
      <c r="F1439" s="6" t="s">
        <v>546</v>
      </c>
      <c r="G1439" s="6" t="s">
        <v>547</v>
      </c>
      <c r="H1439" s="6" t="s">
        <v>1332</v>
      </c>
      <c r="J1439" s="1215" t="s">
        <v>509</v>
      </c>
      <c r="K1439" s="1219" t="s">
        <v>3110</v>
      </c>
      <c r="L1439" s="8">
        <v>10</v>
      </c>
      <c r="M1439" s="8">
        <v>61</v>
      </c>
      <c r="N1439" s="1169" t="s">
        <v>271</v>
      </c>
      <c r="P1439" s="6" t="s">
        <v>3324</v>
      </c>
      <c r="Q1439" s="1215" t="s">
        <v>253</v>
      </c>
      <c r="R1439" s="1215" t="s">
        <v>255</v>
      </c>
      <c r="S1439" s="1215" t="s">
        <v>534</v>
      </c>
      <c r="T1439" s="1215" t="s">
        <v>533</v>
      </c>
      <c r="U1439" s="6" t="s">
        <v>539</v>
      </c>
      <c r="V1439" s="6" t="s">
        <v>34</v>
      </c>
      <c r="W1439" s="6" t="s">
        <v>546</v>
      </c>
      <c r="X1439" s="6" t="s">
        <v>188</v>
      </c>
    </row>
    <row r="1440" spans="1:24" ht="15" customHeight="1" x14ac:dyDescent="0.3">
      <c r="A1440" s="6" t="s">
        <v>533</v>
      </c>
      <c r="B1440" s="6" t="s">
        <v>534</v>
      </c>
      <c r="C1440" s="6" t="s">
        <v>34</v>
      </c>
      <c r="D1440" s="1088" t="s">
        <v>539</v>
      </c>
      <c r="E1440" s="6" t="s">
        <v>188</v>
      </c>
      <c r="F1440" s="6" t="s">
        <v>546</v>
      </c>
      <c r="G1440" s="6" t="s">
        <v>547</v>
      </c>
      <c r="H1440" s="6" t="s">
        <v>1332</v>
      </c>
      <c r="J1440" s="1215" t="s">
        <v>509</v>
      </c>
      <c r="K1440" s="1219" t="s">
        <v>3111</v>
      </c>
      <c r="L1440" s="8">
        <v>0</v>
      </c>
      <c r="M1440" s="8">
        <v>15</v>
      </c>
      <c r="N1440" s="1169" t="s">
        <v>271</v>
      </c>
      <c r="P1440" s="6" t="s">
        <v>3324</v>
      </c>
      <c r="Q1440" s="1215" t="s">
        <v>253</v>
      </c>
      <c r="R1440" s="1215" t="s">
        <v>255</v>
      </c>
      <c r="S1440" s="1215" t="s">
        <v>534</v>
      </c>
      <c r="T1440" s="1215" t="s">
        <v>533</v>
      </c>
      <c r="U1440" s="6" t="s">
        <v>539</v>
      </c>
      <c r="V1440" s="6" t="s">
        <v>34</v>
      </c>
      <c r="W1440" s="6" t="s">
        <v>546</v>
      </c>
      <c r="X1440" s="6" t="s">
        <v>188</v>
      </c>
    </row>
    <row r="1441" spans="1:24" ht="15" customHeight="1" x14ac:dyDescent="0.3">
      <c r="A1441" s="6" t="s">
        <v>533</v>
      </c>
      <c r="B1441" s="6" t="s">
        <v>534</v>
      </c>
      <c r="C1441" s="6" t="s">
        <v>34</v>
      </c>
      <c r="D1441" s="1088" t="s">
        <v>539</v>
      </c>
      <c r="E1441" s="6" t="s">
        <v>188</v>
      </c>
      <c r="F1441" s="6" t="s">
        <v>546</v>
      </c>
      <c r="G1441" s="6" t="s">
        <v>547</v>
      </c>
      <c r="H1441" s="6" t="s">
        <v>1332</v>
      </c>
      <c r="J1441" s="1215" t="s">
        <v>509</v>
      </c>
      <c r="K1441" s="1219" t="s">
        <v>3112</v>
      </c>
      <c r="L1441" s="8">
        <v>0</v>
      </c>
      <c r="M1441" s="8">
        <v>2</v>
      </c>
      <c r="N1441" s="1169" t="s">
        <v>271</v>
      </c>
      <c r="P1441" s="6" t="s">
        <v>3324</v>
      </c>
      <c r="Q1441" s="1215" t="s">
        <v>253</v>
      </c>
      <c r="R1441" s="1215" t="s">
        <v>255</v>
      </c>
      <c r="S1441" s="1215" t="s">
        <v>534</v>
      </c>
      <c r="T1441" s="1215" t="s">
        <v>533</v>
      </c>
      <c r="U1441" s="6" t="s">
        <v>539</v>
      </c>
      <c r="V1441" s="6" t="s">
        <v>34</v>
      </c>
      <c r="W1441" s="6" t="s">
        <v>546</v>
      </c>
      <c r="X1441" s="6" t="s">
        <v>188</v>
      </c>
    </row>
    <row r="1442" spans="1:24" ht="15" customHeight="1" x14ac:dyDescent="0.3">
      <c r="A1442" s="6" t="s">
        <v>533</v>
      </c>
      <c r="B1442" s="6" t="s">
        <v>534</v>
      </c>
      <c r="C1442" s="6" t="s">
        <v>34</v>
      </c>
      <c r="D1442" s="1088" t="s">
        <v>539</v>
      </c>
      <c r="E1442" s="6" t="s">
        <v>187</v>
      </c>
      <c r="F1442" s="6" t="s">
        <v>951</v>
      </c>
      <c r="G1442" s="6" t="s">
        <v>1595</v>
      </c>
      <c r="H1442" s="6" t="s">
        <v>1467</v>
      </c>
      <c r="J1442" s="1215" t="s">
        <v>509</v>
      </c>
      <c r="K1442" s="1219" t="s">
        <v>3111</v>
      </c>
      <c r="L1442" s="8">
        <v>8</v>
      </c>
      <c r="M1442" s="8">
        <v>86</v>
      </c>
      <c r="N1442" s="1169" t="s">
        <v>271</v>
      </c>
      <c r="P1442" s="6" t="s">
        <v>3324</v>
      </c>
      <c r="Q1442" s="1215" t="s">
        <v>253</v>
      </c>
      <c r="R1442" s="1215" t="s">
        <v>255</v>
      </c>
      <c r="S1442" s="1215" t="s">
        <v>534</v>
      </c>
      <c r="T1442" s="1215" t="s">
        <v>533</v>
      </c>
      <c r="U1442" s="6" t="s">
        <v>539</v>
      </c>
      <c r="V1442" s="6" t="s">
        <v>34</v>
      </c>
      <c r="W1442" s="6" t="s">
        <v>951</v>
      </c>
      <c r="X1442" s="6" t="s">
        <v>187</v>
      </c>
    </row>
    <row r="1443" spans="1:24" ht="15" customHeight="1" x14ac:dyDescent="0.3">
      <c r="A1443" s="6" t="s">
        <v>533</v>
      </c>
      <c r="B1443" s="6" t="s">
        <v>534</v>
      </c>
      <c r="C1443" s="6" t="s">
        <v>34</v>
      </c>
      <c r="D1443" s="1088" t="s">
        <v>539</v>
      </c>
      <c r="E1443" s="6" t="s">
        <v>187</v>
      </c>
      <c r="F1443" s="6" t="s">
        <v>951</v>
      </c>
      <c r="G1443" s="6" t="s">
        <v>1595</v>
      </c>
      <c r="H1443" s="6" t="s">
        <v>1467</v>
      </c>
      <c r="J1443" s="1215" t="s">
        <v>509</v>
      </c>
      <c r="K1443" s="1219" t="s">
        <v>3112</v>
      </c>
      <c r="L1443" s="8">
        <v>0</v>
      </c>
      <c r="M1443" s="8">
        <v>2</v>
      </c>
      <c r="N1443" s="1169" t="s">
        <v>271</v>
      </c>
      <c r="P1443" s="6" t="s">
        <v>3324</v>
      </c>
      <c r="Q1443" s="1215" t="s">
        <v>253</v>
      </c>
      <c r="R1443" s="1215" t="s">
        <v>255</v>
      </c>
      <c r="S1443" s="1215" t="s">
        <v>534</v>
      </c>
      <c r="T1443" s="1215" t="s">
        <v>533</v>
      </c>
      <c r="U1443" s="6" t="s">
        <v>539</v>
      </c>
      <c r="V1443" s="6" t="s">
        <v>34</v>
      </c>
      <c r="W1443" s="6" t="s">
        <v>951</v>
      </c>
      <c r="X1443" s="6" t="s">
        <v>187</v>
      </c>
    </row>
    <row r="1444" spans="1:24" ht="15" customHeight="1" x14ac:dyDescent="0.3">
      <c r="A1444" s="6" t="s">
        <v>533</v>
      </c>
      <c r="B1444" s="6" t="s">
        <v>534</v>
      </c>
      <c r="C1444" s="6" t="s">
        <v>34</v>
      </c>
      <c r="D1444" s="1088" t="s">
        <v>539</v>
      </c>
      <c r="E1444" s="6" t="s">
        <v>187</v>
      </c>
      <c r="F1444" s="6" t="s">
        <v>951</v>
      </c>
      <c r="G1444" s="6" t="s">
        <v>1595</v>
      </c>
      <c r="H1444" s="6" t="s">
        <v>1467</v>
      </c>
      <c r="J1444" s="1215" t="s">
        <v>509</v>
      </c>
      <c r="K1444" s="1219" t="s">
        <v>3110</v>
      </c>
      <c r="L1444" s="8">
        <v>55</v>
      </c>
      <c r="M1444" s="8">
        <v>297</v>
      </c>
      <c r="N1444" s="1169" t="s">
        <v>271</v>
      </c>
      <c r="P1444" s="6" t="s">
        <v>3324</v>
      </c>
      <c r="Q1444" s="1215" t="s">
        <v>253</v>
      </c>
      <c r="R1444" s="1215" t="s">
        <v>255</v>
      </c>
      <c r="S1444" s="1215" t="s">
        <v>534</v>
      </c>
      <c r="T1444" s="1215" t="s">
        <v>533</v>
      </c>
      <c r="U1444" s="6" t="s">
        <v>539</v>
      </c>
      <c r="V1444" s="6" t="s">
        <v>34</v>
      </c>
      <c r="W1444" s="6" t="s">
        <v>951</v>
      </c>
      <c r="X1444" s="6" t="s">
        <v>187</v>
      </c>
    </row>
    <row r="1445" spans="1:24" ht="15" customHeight="1" x14ac:dyDescent="0.3">
      <c r="A1445" s="6" t="s">
        <v>533</v>
      </c>
      <c r="B1445" s="6" t="s">
        <v>534</v>
      </c>
      <c r="C1445" s="6" t="s">
        <v>34</v>
      </c>
      <c r="D1445" s="1088" t="s">
        <v>539</v>
      </c>
      <c r="E1445" s="6" t="s">
        <v>187</v>
      </c>
      <c r="F1445" s="6" t="s">
        <v>951</v>
      </c>
      <c r="G1445" s="6" t="s">
        <v>2548</v>
      </c>
      <c r="H1445" s="6" t="s">
        <v>953</v>
      </c>
      <c r="J1445" s="1215" t="s">
        <v>509</v>
      </c>
      <c r="K1445" s="1219" t="s">
        <v>3110</v>
      </c>
      <c r="L1445" s="8">
        <v>0</v>
      </c>
      <c r="M1445" s="8">
        <v>50</v>
      </c>
      <c r="N1445" s="1169" t="s">
        <v>271</v>
      </c>
      <c r="P1445" s="6" t="s">
        <v>3324</v>
      </c>
      <c r="Q1445" s="1215" t="s">
        <v>253</v>
      </c>
      <c r="R1445" s="1215" t="s">
        <v>255</v>
      </c>
      <c r="S1445" s="1215" t="s">
        <v>534</v>
      </c>
      <c r="T1445" s="1215" t="s">
        <v>533</v>
      </c>
      <c r="U1445" s="6" t="s">
        <v>539</v>
      </c>
      <c r="V1445" s="6" t="s">
        <v>34</v>
      </c>
      <c r="W1445" s="6" t="s">
        <v>951</v>
      </c>
      <c r="X1445" s="6" t="s">
        <v>187</v>
      </c>
    </row>
    <row r="1446" spans="1:24" ht="15" customHeight="1" x14ac:dyDescent="0.3">
      <c r="A1446" s="6" t="s">
        <v>533</v>
      </c>
      <c r="B1446" s="6" t="s">
        <v>534</v>
      </c>
      <c r="C1446" s="6" t="s">
        <v>34</v>
      </c>
      <c r="D1446" s="1088" t="s">
        <v>539</v>
      </c>
      <c r="E1446" s="1088" t="s">
        <v>187</v>
      </c>
      <c r="F1446" s="6" t="s">
        <v>951</v>
      </c>
      <c r="G1446" s="6" t="s">
        <v>2548</v>
      </c>
      <c r="H1446" s="6" t="s">
        <v>953</v>
      </c>
      <c r="J1446" s="1215" t="s">
        <v>509</v>
      </c>
      <c r="K1446" s="1219" t="s">
        <v>3111</v>
      </c>
      <c r="L1446" s="8">
        <v>288</v>
      </c>
      <c r="M1446" s="8">
        <v>2086</v>
      </c>
      <c r="N1446" s="1169" t="s">
        <v>271</v>
      </c>
      <c r="P1446" s="6" t="s">
        <v>3324</v>
      </c>
      <c r="Q1446" s="1215" t="s">
        <v>253</v>
      </c>
      <c r="R1446" s="1215" t="s">
        <v>255</v>
      </c>
      <c r="S1446" s="1215" t="s">
        <v>534</v>
      </c>
      <c r="T1446" s="1215" t="s">
        <v>533</v>
      </c>
      <c r="U1446" s="6" t="s">
        <v>539</v>
      </c>
      <c r="V1446" s="6" t="s">
        <v>34</v>
      </c>
      <c r="W1446" s="6" t="s">
        <v>951</v>
      </c>
      <c r="X1446" s="6" t="s">
        <v>187</v>
      </c>
    </row>
    <row r="1447" spans="1:24" ht="15" customHeight="1" x14ac:dyDescent="0.3">
      <c r="A1447" s="6" t="s">
        <v>533</v>
      </c>
      <c r="B1447" s="6" t="s">
        <v>534</v>
      </c>
      <c r="C1447" s="6" t="s">
        <v>34</v>
      </c>
      <c r="D1447" s="1088" t="s">
        <v>539</v>
      </c>
      <c r="E1447" s="6" t="s">
        <v>187</v>
      </c>
      <c r="F1447" s="6" t="s">
        <v>951</v>
      </c>
      <c r="G1447" s="6" t="s">
        <v>2548</v>
      </c>
      <c r="H1447" s="6" t="s">
        <v>953</v>
      </c>
      <c r="J1447" s="1215" t="s">
        <v>509</v>
      </c>
      <c r="K1447" s="1219" t="s">
        <v>3033</v>
      </c>
      <c r="L1447" s="8">
        <v>109</v>
      </c>
      <c r="M1447" s="8">
        <v>720</v>
      </c>
      <c r="N1447" s="1169" t="s">
        <v>271</v>
      </c>
      <c r="P1447" s="6" t="s">
        <v>3324</v>
      </c>
      <c r="Q1447" s="1215" t="s">
        <v>253</v>
      </c>
      <c r="R1447" s="1215" t="s">
        <v>255</v>
      </c>
      <c r="S1447" s="1215" t="s">
        <v>534</v>
      </c>
      <c r="T1447" s="1215" t="s">
        <v>533</v>
      </c>
      <c r="U1447" s="6" t="s">
        <v>539</v>
      </c>
      <c r="V1447" s="6" t="s">
        <v>34</v>
      </c>
      <c r="W1447" s="6" t="s">
        <v>951</v>
      </c>
      <c r="X1447" s="6" t="s">
        <v>187</v>
      </c>
    </row>
    <row r="1448" spans="1:24" ht="15" customHeight="1" x14ac:dyDescent="0.3">
      <c r="A1448" s="6" t="s">
        <v>533</v>
      </c>
      <c r="B1448" s="6" t="s">
        <v>534</v>
      </c>
      <c r="C1448" s="6" t="s">
        <v>34</v>
      </c>
      <c r="D1448" s="1088" t="s">
        <v>539</v>
      </c>
      <c r="E1448" s="1088" t="s">
        <v>187</v>
      </c>
      <c r="F1448" s="6" t="s">
        <v>951</v>
      </c>
      <c r="G1448" s="6" t="s">
        <v>2548</v>
      </c>
      <c r="H1448" s="6" t="s">
        <v>953</v>
      </c>
      <c r="J1448" s="1215" t="s">
        <v>509</v>
      </c>
      <c r="K1448" s="1219" t="s">
        <v>3109</v>
      </c>
      <c r="L1448" s="8">
        <v>1555</v>
      </c>
      <c r="M1448" s="8">
        <v>9610</v>
      </c>
      <c r="N1448" s="1169" t="s">
        <v>271</v>
      </c>
      <c r="P1448" s="6" t="s">
        <v>3324</v>
      </c>
      <c r="Q1448" s="1215" t="s">
        <v>253</v>
      </c>
      <c r="R1448" s="1215" t="s">
        <v>255</v>
      </c>
      <c r="S1448" s="1215" t="s">
        <v>534</v>
      </c>
      <c r="T1448" s="1215" t="s">
        <v>533</v>
      </c>
      <c r="U1448" s="6" t="s">
        <v>539</v>
      </c>
      <c r="V1448" s="6" t="s">
        <v>34</v>
      </c>
      <c r="W1448" s="6" t="s">
        <v>951</v>
      </c>
      <c r="X1448" s="6" t="s">
        <v>187</v>
      </c>
    </row>
    <row r="1449" spans="1:24" ht="15" customHeight="1" x14ac:dyDescent="0.3">
      <c r="A1449" s="6" t="s">
        <v>533</v>
      </c>
      <c r="B1449" s="6" t="s">
        <v>534</v>
      </c>
      <c r="C1449" s="6" t="s">
        <v>31</v>
      </c>
      <c r="D1449" s="1088" t="s">
        <v>549</v>
      </c>
      <c r="E1449" s="6" t="s">
        <v>167</v>
      </c>
      <c r="F1449" s="6" t="s">
        <v>1113</v>
      </c>
      <c r="G1449" s="6" t="s">
        <v>2121</v>
      </c>
      <c r="H1449" s="6" t="s">
        <v>910</v>
      </c>
      <c r="J1449" s="1215" t="s">
        <v>509</v>
      </c>
      <c r="K1449" s="1219" t="s">
        <v>3111</v>
      </c>
      <c r="L1449" s="8">
        <v>52</v>
      </c>
      <c r="M1449" s="8">
        <v>300</v>
      </c>
      <c r="N1449" s="1169" t="s">
        <v>272</v>
      </c>
      <c r="P1449" s="6" t="s">
        <v>3324</v>
      </c>
      <c r="Q1449" s="1215" t="s">
        <v>253</v>
      </c>
      <c r="R1449" s="1215" t="s">
        <v>255</v>
      </c>
      <c r="S1449" s="1215" t="s">
        <v>534</v>
      </c>
      <c r="T1449" s="1215" t="s">
        <v>533</v>
      </c>
      <c r="U1449" s="6" t="s">
        <v>549</v>
      </c>
      <c r="V1449" s="6" t="s">
        <v>31</v>
      </c>
      <c r="W1449" s="6" t="s">
        <v>1113</v>
      </c>
      <c r="X1449" s="6" t="s">
        <v>167</v>
      </c>
    </row>
    <row r="1450" spans="1:24" ht="15" customHeight="1" x14ac:dyDescent="0.3">
      <c r="A1450" s="6" t="s">
        <v>533</v>
      </c>
      <c r="B1450" s="6" t="s">
        <v>534</v>
      </c>
      <c r="C1450" s="6" t="s">
        <v>31</v>
      </c>
      <c r="D1450" s="1088" t="s">
        <v>549</v>
      </c>
      <c r="E1450" s="6" t="s">
        <v>167</v>
      </c>
      <c r="F1450" s="6" t="s">
        <v>1113</v>
      </c>
      <c r="G1450" s="6" t="s">
        <v>1946</v>
      </c>
      <c r="H1450" s="6" t="s">
        <v>1090</v>
      </c>
      <c r="J1450" s="1215" t="s">
        <v>509</v>
      </c>
      <c r="K1450" s="1219" t="s">
        <v>3033</v>
      </c>
      <c r="L1450" s="8">
        <v>67</v>
      </c>
      <c r="M1450" s="8">
        <v>232</v>
      </c>
      <c r="N1450" s="1169" t="s">
        <v>271</v>
      </c>
      <c r="P1450" s="6" t="s">
        <v>3323</v>
      </c>
      <c r="Q1450" s="1215" t="s">
        <v>253</v>
      </c>
      <c r="R1450" s="1215" t="s">
        <v>255</v>
      </c>
      <c r="S1450" s="1215" t="s">
        <v>534</v>
      </c>
      <c r="T1450" s="1215" t="s">
        <v>533</v>
      </c>
      <c r="U1450" s="6" t="s">
        <v>549</v>
      </c>
      <c r="V1450" s="6" t="s">
        <v>31</v>
      </c>
      <c r="W1450" s="1215" t="s">
        <v>634</v>
      </c>
      <c r="X1450" s="6" t="s">
        <v>171</v>
      </c>
    </row>
    <row r="1451" spans="1:24" ht="15" customHeight="1" x14ac:dyDescent="0.3">
      <c r="A1451" s="6" t="s">
        <v>533</v>
      </c>
      <c r="B1451" s="6" t="s">
        <v>534</v>
      </c>
      <c r="C1451" s="6" t="s">
        <v>34</v>
      </c>
      <c r="D1451" s="1088" t="s">
        <v>539</v>
      </c>
      <c r="E1451" s="1088" t="s">
        <v>188</v>
      </c>
      <c r="F1451" s="6" t="s">
        <v>546</v>
      </c>
      <c r="G1451" s="6" t="s">
        <v>998</v>
      </c>
      <c r="H1451" s="6" t="s">
        <v>2118</v>
      </c>
      <c r="J1451" s="1215" t="s">
        <v>509</v>
      </c>
      <c r="K1451" s="1219" t="s">
        <v>3110</v>
      </c>
      <c r="L1451" s="8">
        <v>42</v>
      </c>
      <c r="M1451" s="8">
        <v>203</v>
      </c>
      <c r="N1451" s="1169" t="s">
        <v>271</v>
      </c>
      <c r="P1451" s="6" t="s">
        <v>3323</v>
      </c>
      <c r="Q1451" s="1215" t="s">
        <v>253</v>
      </c>
      <c r="R1451" s="1215" t="s">
        <v>255</v>
      </c>
      <c r="S1451" s="1215" t="s">
        <v>534</v>
      </c>
      <c r="T1451" s="1215" t="s">
        <v>533</v>
      </c>
      <c r="U1451" s="6" t="s">
        <v>539</v>
      </c>
      <c r="V1451" s="6" t="s">
        <v>34</v>
      </c>
      <c r="W1451" s="6" t="s">
        <v>951</v>
      </c>
      <c r="X1451" s="6" t="s">
        <v>187</v>
      </c>
    </row>
    <row r="1452" spans="1:24" ht="15" customHeight="1" x14ac:dyDescent="0.3">
      <c r="A1452" s="6" t="s">
        <v>533</v>
      </c>
      <c r="B1452" s="6" t="s">
        <v>534</v>
      </c>
      <c r="C1452" s="6" t="s">
        <v>34</v>
      </c>
      <c r="D1452" s="1088" t="s">
        <v>539</v>
      </c>
      <c r="E1452" s="6" t="s">
        <v>188</v>
      </c>
      <c r="F1452" s="6" t="s">
        <v>546</v>
      </c>
      <c r="G1452" s="6" t="s">
        <v>998</v>
      </c>
      <c r="H1452" s="6" t="s">
        <v>2118</v>
      </c>
      <c r="J1452" s="1215" t="s">
        <v>509</v>
      </c>
      <c r="K1452" s="1219" t="s">
        <v>3111</v>
      </c>
      <c r="L1452" s="8">
        <v>0</v>
      </c>
      <c r="M1452" s="8">
        <v>21</v>
      </c>
      <c r="N1452" s="1169" t="s">
        <v>275</v>
      </c>
      <c r="O1452" s="6" t="s">
        <v>3336</v>
      </c>
      <c r="P1452" s="6" t="s">
        <v>3324</v>
      </c>
      <c r="Q1452" s="1215" t="s">
        <v>253</v>
      </c>
      <c r="R1452" s="1215" t="s">
        <v>255</v>
      </c>
      <c r="S1452" s="1215" t="s">
        <v>534</v>
      </c>
      <c r="T1452" s="1215" t="s">
        <v>533</v>
      </c>
      <c r="U1452" s="6" t="s">
        <v>539</v>
      </c>
      <c r="V1452" s="6" t="s">
        <v>34</v>
      </c>
      <c r="W1452" s="6" t="s">
        <v>546</v>
      </c>
      <c r="X1452" s="6" t="s">
        <v>188</v>
      </c>
    </row>
    <row r="1453" spans="1:24" ht="15" customHeight="1" x14ac:dyDescent="0.3">
      <c r="A1453" s="6" t="s">
        <v>533</v>
      </c>
      <c r="B1453" s="6" t="s">
        <v>534</v>
      </c>
      <c r="C1453" s="6" t="s">
        <v>34</v>
      </c>
      <c r="D1453" s="1088" t="s">
        <v>539</v>
      </c>
      <c r="E1453" s="6" t="s">
        <v>188</v>
      </c>
      <c r="F1453" s="6" t="s">
        <v>546</v>
      </c>
      <c r="G1453" s="6" t="s">
        <v>998</v>
      </c>
      <c r="H1453" s="6" t="s">
        <v>2118</v>
      </c>
      <c r="J1453" s="1215" t="s">
        <v>509</v>
      </c>
      <c r="K1453" s="1219" t="s">
        <v>3112</v>
      </c>
      <c r="L1453" s="8">
        <v>0</v>
      </c>
      <c r="M1453" s="8">
        <v>3</v>
      </c>
      <c r="N1453" s="1169" t="s">
        <v>275</v>
      </c>
      <c r="O1453" s="6" t="s">
        <v>3336</v>
      </c>
      <c r="P1453" s="6" t="s">
        <v>3324</v>
      </c>
      <c r="Q1453" s="1215" t="s">
        <v>253</v>
      </c>
      <c r="R1453" s="1215" t="s">
        <v>255</v>
      </c>
      <c r="S1453" s="1215" t="s">
        <v>534</v>
      </c>
      <c r="T1453" s="1215" t="s">
        <v>533</v>
      </c>
      <c r="U1453" s="6" t="s">
        <v>539</v>
      </c>
      <c r="V1453" s="6" t="s">
        <v>34</v>
      </c>
      <c r="W1453" s="6" t="s">
        <v>546</v>
      </c>
      <c r="X1453" s="6" t="s">
        <v>188</v>
      </c>
    </row>
    <row r="1454" spans="1:24" ht="15" customHeight="1" x14ac:dyDescent="0.3">
      <c r="A1454" s="6" t="s">
        <v>533</v>
      </c>
      <c r="B1454" s="6" t="s">
        <v>534</v>
      </c>
      <c r="C1454" s="6" t="s">
        <v>34</v>
      </c>
      <c r="D1454" s="1088" t="s">
        <v>539</v>
      </c>
      <c r="E1454" s="1088" t="s">
        <v>188</v>
      </c>
      <c r="F1454" s="6" t="s">
        <v>546</v>
      </c>
      <c r="G1454" s="6" t="s">
        <v>2857</v>
      </c>
      <c r="H1454" s="6" t="s">
        <v>1530</v>
      </c>
      <c r="J1454" s="1215" t="s">
        <v>509</v>
      </c>
      <c r="K1454" s="1219" t="s">
        <v>3033</v>
      </c>
      <c r="L1454" s="8">
        <v>391</v>
      </c>
      <c r="M1454" s="8">
        <v>859</v>
      </c>
      <c r="N1454" s="1169" t="s">
        <v>271</v>
      </c>
      <c r="P1454" s="6" t="s">
        <v>3324</v>
      </c>
      <c r="Q1454" s="1215" t="s">
        <v>253</v>
      </c>
      <c r="R1454" s="1215" t="s">
        <v>255</v>
      </c>
      <c r="S1454" s="1215" t="s">
        <v>534</v>
      </c>
      <c r="T1454" s="1215" t="s">
        <v>533</v>
      </c>
      <c r="U1454" s="6" t="s">
        <v>539</v>
      </c>
      <c r="V1454" s="6" t="s">
        <v>34</v>
      </c>
      <c r="W1454" s="6" t="s">
        <v>546</v>
      </c>
      <c r="X1454" s="6" t="s">
        <v>188</v>
      </c>
    </row>
    <row r="1455" spans="1:24" ht="15" customHeight="1" x14ac:dyDescent="0.3">
      <c r="A1455" s="6" t="s">
        <v>533</v>
      </c>
      <c r="B1455" s="6" t="s">
        <v>534</v>
      </c>
      <c r="C1455" s="6" t="s">
        <v>34</v>
      </c>
      <c r="D1455" s="1088" t="s">
        <v>539</v>
      </c>
      <c r="E1455" s="1088" t="s">
        <v>188</v>
      </c>
      <c r="F1455" s="6" t="s">
        <v>546</v>
      </c>
      <c r="G1455" s="6" t="s">
        <v>2857</v>
      </c>
      <c r="H1455" s="6" t="s">
        <v>1530</v>
      </c>
      <c r="J1455" s="1215" t="s">
        <v>509</v>
      </c>
      <c r="K1455" s="1219" t="s">
        <v>3109</v>
      </c>
      <c r="L1455" s="8">
        <v>2</v>
      </c>
      <c r="M1455" s="8">
        <v>25</v>
      </c>
      <c r="N1455" s="1169" t="s">
        <v>271</v>
      </c>
      <c r="P1455" s="6" t="s">
        <v>3324</v>
      </c>
      <c r="Q1455" s="1215" t="s">
        <v>253</v>
      </c>
      <c r="R1455" s="1215" t="s">
        <v>255</v>
      </c>
      <c r="S1455" s="1215" t="s">
        <v>534</v>
      </c>
      <c r="T1455" s="1215" t="s">
        <v>533</v>
      </c>
      <c r="U1455" s="6" t="s">
        <v>539</v>
      </c>
      <c r="V1455" s="6" t="s">
        <v>34</v>
      </c>
      <c r="W1455" s="6" t="s">
        <v>546</v>
      </c>
      <c r="X1455" s="6" t="s">
        <v>188</v>
      </c>
    </row>
    <row r="1456" spans="1:24" ht="15" customHeight="1" x14ac:dyDescent="0.3">
      <c r="A1456" s="6" t="s">
        <v>533</v>
      </c>
      <c r="B1456" s="6" t="s">
        <v>534</v>
      </c>
      <c r="C1456" s="6" t="s">
        <v>34</v>
      </c>
      <c r="D1456" s="1088" t="s">
        <v>539</v>
      </c>
      <c r="E1456" s="6" t="s">
        <v>188</v>
      </c>
      <c r="F1456" s="6" t="s">
        <v>546</v>
      </c>
      <c r="G1456" s="6" t="s">
        <v>2857</v>
      </c>
      <c r="H1456" s="6" t="s">
        <v>1530</v>
      </c>
      <c r="J1456" s="1215" t="s">
        <v>509</v>
      </c>
      <c r="K1456" s="1219" t="s">
        <v>3110</v>
      </c>
      <c r="L1456" s="8">
        <v>23</v>
      </c>
      <c r="M1456" s="8">
        <v>149</v>
      </c>
      <c r="N1456" s="1169" t="s">
        <v>271</v>
      </c>
      <c r="P1456" s="6" t="s">
        <v>3324</v>
      </c>
      <c r="Q1456" s="1215" t="s">
        <v>253</v>
      </c>
      <c r="R1456" s="1215" t="s">
        <v>255</v>
      </c>
      <c r="S1456" s="1215" t="s">
        <v>534</v>
      </c>
      <c r="T1456" s="1215" t="s">
        <v>533</v>
      </c>
      <c r="U1456" s="6" t="s">
        <v>539</v>
      </c>
      <c r="V1456" s="6" t="s">
        <v>34</v>
      </c>
      <c r="W1456" s="6" t="s">
        <v>546</v>
      </c>
      <c r="X1456" s="6" t="s">
        <v>188</v>
      </c>
    </row>
    <row r="1457" spans="1:24" ht="15" customHeight="1" x14ac:dyDescent="0.3">
      <c r="A1457" s="6" t="s">
        <v>533</v>
      </c>
      <c r="B1457" s="6" t="s">
        <v>534</v>
      </c>
      <c r="C1457" s="6" t="s">
        <v>34</v>
      </c>
      <c r="D1457" s="1088" t="s">
        <v>539</v>
      </c>
      <c r="E1457" s="1088" t="s">
        <v>188</v>
      </c>
      <c r="F1457" s="6" t="s">
        <v>546</v>
      </c>
      <c r="G1457" s="6" t="s">
        <v>2857</v>
      </c>
      <c r="H1457" s="6" t="s">
        <v>1530</v>
      </c>
      <c r="J1457" s="1215" t="s">
        <v>509</v>
      </c>
      <c r="K1457" s="1219" t="s">
        <v>3111</v>
      </c>
      <c r="L1457" s="8">
        <v>13</v>
      </c>
      <c r="M1457" s="8">
        <v>68</v>
      </c>
      <c r="N1457" s="1169" t="s">
        <v>271</v>
      </c>
      <c r="P1457" s="6" t="s">
        <v>3324</v>
      </c>
      <c r="Q1457" s="1215" t="s">
        <v>253</v>
      </c>
      <c r="R1457" s="1215" t="s">
        <v>255</v>
      </c>
      <c r="S1457" s="1215" t="s">
        <v>534</v>
      </c>
      <c r="T1457" s="1215" t="s">
        <v>533</v>
      </c>
      <c r="U1457" s="6" t="s">
        <v>539</v>
      </c>
      <c r="V1457" s="6" t="s">
        <v>34</v>
      </c>
      <c r="W1457" s="6" t="s">
        <v>546</v>
      </c>
      <c r="X1457" s="6" t="s">
        <v>188</v>
      </c>
    </row>
    <row r="1458" spans="1:24" ht="15" customHeight="1" x14ac:dyDescent="0.3">
      <c r="A1458" s="6" t="s">
        <v>533</v>
      </c>
      <c r="B1458" s="6" t="s">
        <v>534</v>
      </c>
      <c r="C1458" s="6" t="s">
        <v>34</v>
      </c>
      <c r="D1458" s="1088" t="s">
        <v>539</v>
      </c>
      <c r="E1458" s="6" t="s">
        <v>188</v>
      </c>
      <c r="F1458" s="6" t="s">
        <v>546</v>
      </c>
      <c r="G1458" s="6" t="s">
        <v>2857</v>
      </c>
      <c r="H1458" s="6" t="s">
        <v>1530</v>
      </c>
      <c r="J1458" s="1215" t="s">
        <v>509</v>
      </c>
      <c r="K1458" s="1219" t="s">
        <v>3112</v>
      </c>
      <c r="L1458" s="8">
        <v>15</v>
      </c>
      <c r="M1458" s="8">
        <v>80</v>
      </c>
      <c r="N1458" s="1169" t="s">
        <v>271</v>
      </c>
      <c r="P1458" s="6" t="s">
        <v>3324</v>
      </c>
      <c r="Q1458" s="1215" t="s">
        <v>253</v>
      </c>
      <c r="R1458" s="1215" t="s">
        <v>255</v>
      </c>
      <c r="S1458" s="1215" t="s">
        <v>534</v>
      </c>
      <c r="T1458" s="1215" t="s">
        <v>533</v>
      </c>
      <c r="U1458" s="6" t="s">
        <v>539</v>
      </c>
      <c r="V1458" s="6" t="s">
        <v>34</v>
      </c>
      <c r="W1458" s="6" t="s">
        <v>546</v>
      </c>
      <c r="X1458" s="6" t="s">
        <v>188</v>
      </c>
    </row>
    <row r="1459" spans="1:24" ht="15" customHeight="1" x14ac:dyDescent="0.3">
      <c r="A1459" s="6" t="s">
        <v>533</v>
      </c>
      <c r="B1459" s="6" t="s">
        <v>534</v>
      </c>
      <c r="C1459" s="6" t="s">
        <v>34</v>
      </c>
      <c r="D1459" s="1088" t="s">
        <v>539</v>
      </c>
      <c r="E1459" s="1088" t="s">
        <v>188</v>
      </c>
      <c r="F1459" s="6" t="s">
        <v>546</v>
      </c>
      <c r="G1459" s="6" t="s">
        <v>1683</v>
      </c>
      <c r="H1459" s="6" t="s">
        <v>1684</v>
      </c>
      <c r="J1459" s="1215" t="s">
        <v>509</v>
      </c>
      <c r="K1459" s="1219" t="s">
        <v>3033</v>
      </c>
      <c r="L1459" s="8">
        <v>167</v>
      </c>
      <c r="M1459" s="8">
        <v>669</v>
      </c>
      <c r="N1459" s="1169" t="s">
        <v>271</v>
      </c>
      <c r="P1459" s="6" t="s">
        <v>3324</v>
      </c>
      <c r="Q1459" s="1215" t="s">
        <v>253</v>
      </c>
      <c r="R1459" s="1215" t="s">
        <v>255</v>
      </c>
      <c r="S1459" s="1215" t="s">
        <v>534</v>
      </c>
      <c r="T1459" s="1215" t="s">
        <v>533</v>
      </c>
      <c r="U1459" s="6" t="s">
        <v>539</v>
      </c>
      <c r="V1459" s="6" t="s">
        <v>34</v>
      </c>
      <c r="W1459" s="6" t="s">
        <v>546</v>
      </c>
      <c r="X1459" s="6" t="s">
        <v>188</v>
      </c>
    </row>
    <row r="1460" spans="1:24" ht="15" customHeight="1" x14ac:dyDescent="0.3">
      <c r="A1460" s="6" t="s">
        <v>533</v>
      </c>
      <c r="B1460" s="6" t="s">
        <v>534</v>
      </c>
      <c r="C1460" s="6" t="s">
        <v>34</v>
      </c>
      <c r="D1460" s="1088" t="s">
        <v>539</v>
      </c>
      <c r="E1460" s="6" t="s">
        <v>188</v>
      </c>
      <c r="F1460" s="6" t="s">
        <v>546</v>
      </c>
      <c r="G1460" s="6" t="s">
        <v>1683</v>
      </c>
      <c r="H1460" s="6" t="s">
        <v>1684</v>
      </c>
      <c r="J1460" s="1215" t="s">
        <v>509</v>
      </c>
      <c r="K1460" s="1219" t="s">
        <v>3109</v>
      </c>
      <c r="L1460" s="8">
        <v>75</v>
      </c>
      <c r="M1460" s="8">
        <v>380</v>
      </c>
      <c r="N1460" s="1169" t="s">
        <v>271</v>
      </c>
      <c r="P1460" s="6" t="s">
        <v>3324</v>
      </c>
      <c r="Q1460" s="1215" t="s">
        <v>253</v>
      </c>
      <c r="R1460" s="1215" t="s">
        <v>255</v>
      </c>
      <c r="S1460" s="1215" t="s">
        <v>534</v>
      </c>
      <c r="T1460" s="1215" t="s">
        <v>533</v>
      </c>
      <c r="U1460" s="6" t="s">
        <v>539</v>
      </c>
      <c r="V1460" s="6" t="s">
        <v>34</v>
      </c>
      <c r="W1460" s="6" t="s">
        <v>546</v>
      </c>
      <c r="X1460" s="6" t="s">
        <v>188</v>
      </c>
    </row>
    <row r="1461" spans="1:24" ht="15" customHeight="1" x14ac:dyDescent="0.3">
      <c r="A1461" s="6" t="s">
        <v>533</v>
      </c>
      <c r="B1461" s="6" t="s">
        <v>534</v>
      </c>
      <c r="C1461" s="6" t="s">
        <v>34</v>
      </c>
      <c r="D1461" s="1088" t="s">
        <v>539</v>
      </c>
      <c r="E1461" s="6" t="s">
        <v>188</v>
      </c>
      <c r="F1461" s="6" t="s">
        <v>546</v>
      </c>
      <c r="G1461" s="6" t="s">
        <v>1683</v>
      </c>
      <c r="H1461" s="6" t="s">
        <v>1684</v>
      </c>
      <c r="J1461" s="1215" t="s">
        <v>509</v>
      </c>
      <c r="K1461" s="1219" t="s">
        <v>3110</v>
      </c>
      <c r="L1461" s="8">
        <v>3</v>
      </c>
      <c r="M1461" s="8">
        <v>62</v>
      </c>
      <c r="N1461" s="1169" t="s">
        <v>271</v>
      </c>
      <c r="P1461" s="6" t="s">
        <v>3324</v>
      </c>
      <c r="Q1461" s="1215" t="s">
        <v>253</v>
      </c>
      <c r="R1461" s="1215" t="s">
        <v>255</v>
      </c>
      <c r="S1461" s="1215" t="s">
        <v>534</v>
      </c>
      <c r="T1461" s="1215" t="s">
        <v>533</v>
      </c>
      <c r="U1461" s="6" t="s">
        <v>539</v>
      </c>
      <c r="V1461" s="6" t="s">
        <v>34</v>
      </c>
      <c r="W1461" s="6" t="s">
        <v>546</v>
      </c>
      <c r="X1461" s="6" t="s">
        <v>188</v>
      </c>
    </row>
    <row r="1462" spans="1:24" ht="15" customHeight="1" x14ac:dyDescent="0.3">
      <c r="A1462" s="6" t="s">
        <v>533</v>
      </c>
      <c r="B1462" s="6" t="s">
        <v>534</v>
      </c>
      <c r="C1462" s="6" t="s">
        <v>34</v>
      </c>
      <c r="D1462" s="1088" t="s">
        <v>539</v>
      </c>
      <c r="E1462" s="6" t="s">
        <v>188</v>
      </c>
      <c r="F1462" s="6" t="s">
        <v>546</v>
      </c>
      <c r="G1462" s="6" t="s">
        <v>1683</v>
      </c>
      <c r="H1462" s="6" t="s">
        <v>1684</v>
      </c>
      <c r="J1462" s="1215" t="s">
        <v>509</v>
      </c>
      <c r="K1462" s="1219" t="s">
        <v>3111</v>
      </c>
      <c r="L1462" s="8">
        <v>0</v>
      </c>
      <c r="M1462" s="8">
        <v>13</v>
      </c>
      <c r="N1462" s="1169" t="s">
        <v>271</v>
      </c>
      <c r="P1462" s="6" t="s">
        <v>3324</v>
      </c>
      <c r="Q1462" s="1215" t="s">
        <v>253</v>
      </c>
      <c r="R1462" s="1215" t="s">
        <v>255</v>
      </c>
      <c r="S1462" s="1215" t="s">
        <v>534</v>
      </c>
      <c r="T1462" s="1215" t="s">
        <v>533</v>
      </c>
      <c r="U1462" s="6" t="s">
        <v>539</v>
      </c>
      <c r="V1462" s="6" t="s">
        <v>34</v>
      </c>
      <c r="W1462" s="6" t="s">
        <v>546</v>
      </c>
      <c r="X1462" s="6" t="s">
        <v>188</v>
      </c>
    </row>
    <row r="1463" spans="1:24" ht="15" customHeight="1" x14ac:dyDescent="0.3">
      <c r="A1463" s="6" t="s">
        <v>533</v>
      </c>
      <c r="B1463" s="6" t="s">
        <v>534</v>
      </c>
      <c r="C1463" s="6" t="s">
        <v>34</v>
      </c>
      <c r="D1463" s="1088" t="s">
        <v>539</v>
      </c>
      <c r="E1463" s="1088" t="s">
        <v>188</v>
      </c>
      <c r="F1463" s="6" t="s">
        <v>546</v>
      </c>
      <c r="G1463" s="6" t="s">
        <v>1683</v>
      </c>
      <c r="H1463" s="6" t="s">
        <v>1684</v>
      </c>
      <c r="J1463" s="1215" t="s">
        <v>509</v>
      </c>
      <c r="K1463" s="1219" t="s">
        <v>3112</v>
      </c>
      <c r="L1463" s="8">
        <v>40</v>
      </c>
      <c r="M1463" s="8">
        <v>320</v>
      </c>
      <c r="N1463" s="1169" t="s">
        <v>271</v>
      </c>
      <c r="P1463" s="6" t="s">
        <v>3324</v>
      </c>
      <c r="Q1463" s="1215" t="s">
        <v>253</v>
      </c>
      <c r="R1463" s="1215" t="s">
        <v>255</v>
      </c>
      <c r="S1463" s="1215" t="s">
        <v>534</v>
      </c>
      <c r="T1463" s="1215" t="s">
        <v>533</v>
      </c>
      <c r="U1463" s="6" t="s">
        <v>539</v>
      </c>
      <c r="V1463" s="6" t="s">
        <v>34</v>
      </c>
      <c r="W1463" s="6" t="s">
        <v>546</v>
      </c>
      <c r="X1463" s="6" t="s">
        <v>188</v>
      </c>
    </row>
    <row r="1464" spans="1:24" ht="15" customHeight="1" x14ac:dyDescent="0.3">
      <c r="A1464" s="6" t="s">
        <v>533</v>
      </c>
      <c r="B1464" s="6" t="s">
        <v>534</v>
      </c>
      <c r="C1464" s="6" t="s">
        <v>31</v>
      </c>
      <c r="D1464" s="1088" t="s">
        <v>549</v>
      </c>
      <c r="E1464" s="1088" t="s">
        <v>171</v>
      </c>
      <c r="F1464" s="6" t="s">
        <v>634</v>
      </c>
      <c r="G1464" s="6" t="s">
        <v>1978</v>
      </c>
      <c r="H1464" s="6" t="s">
        <v>1979</v>
      </c>
      <c r="J1464" s="1215" t="s">
        <v>509</v>
      </c>
      <c r="K1464" s="1219" t="s">
        <v>3033</v>
      </c>
      <c r="L1464" s="8">
        <v>12</v>
      </c>
      <c r="M1464" s="8">
        <v>56</v>
      </c>
      <c r="N1464" s="1169" t="s">
        <v>271</v>
      </c>
      <c r="P1464" s="6" t="s">
        <v>3323</v>
      </c>
      <c r="Q1464" s="1215" t="s">
        <v>253</v>
      </c>
      <c r="R1464" s="1215" t="s">
        <v>255</v>
      </c>
      <c r="S1464" s="1215" t="s">
        <v>534</v>
      </c>
      <c r="T1464" s="1215" t="s">
        <v>533</v>
      </c>
      <c r="U1464" s="6" t="s">
        <v>549</v>
      </c>
      <c r="V1464" s="6" t="s">
        <v>31</v>
      </c>
      <c r="W1464" s="6" t="s">
        <v>844</v>
      </c>
      <c r="X1464" s="6" t="s">
        <v>166</v>
      </c>
    </row>
    <row r="1465" spans="1:24" ht="15" customHeight="1" x14ac:dyDescent="0.3">
      <c r="A1465" s="6" t="s">
        <v>533</v>
      </c>
      <c r="B1465" s="6" t="s">
        <v>534</v>
      </c>
      <c r="C1465" s="6" t="s">
        <v>31</v>
      </c>
      <c r="D1465" s="1088" t="s">
        <v>549</v>
      </c>
      <c r="E1465" s="1088" t="s">
        <v>171</v>
      </c>
      <c r="F1465" s="6" t="s">
        <v>634</v>
      </c>
      <c r="G1465" s="6" t="s">
        <v>1978</v>
      </c>
      <c r="H1465" s="6" t="s">
        <v>1979</v>
      </c>
      <c r="J1465" s="1215" t="s">
        <v>509</v>
      </c>
      <c r="K1465" s="1219" t="s">
        <v>3109</v>
      </c>
      <c r="L1465" s="8">
        <v>0</v>
      </c>
      <c r="M1465" s="8">
        <v>3</v>
      </c>
      <c r="N1465" s="1169" t="s">
        <v>271</v>
      </c>
      <c r="P1465" s="6" t="s">
        <v>3323</v>
      </c>
      <c r="Q1465" s="1215" t="s">
        <v>253</v>
      </c>
      <c r="R1465" s="1215" t="s">
        <v>255</v>
      </c>
      <c r="S1465" s="1215" t="s">
        <v>534</v>
      </c>
      <c r="T1465" s="1215" t="s">
        <v>533</v>
      </c>
      <c r="U1465" s="6" t="s">
        <v>549</v>
      </c>
      <c r="V1465" s="6" t="s">
        <v>31</v>
      </c>
      <c r="W1465" s="6" t="s">
        <v>844</v>
      </c>
      <c r="X1465" s="6" t="s">
        <v>166</v>
      </c>
    </row>
    <row r="1466" spans="1:24" ht="15" customHeight="1" x14ac:dyDescent="0.3">
      <c r="A1466" s="6" t="s">
        <v>533</v>
      </c>
      <c r="B1466" s="6" t="s">
        <v>534</v>
      </c>
      <c r="C1466" s="6" t="s">
        <v>31</v>
      </c>
      <c r="D1466" s="1088" t="s">
        <v>549</v>
      </c>
      <c r="E1466" s="6" t="s">
        <v>171</v>
      </c>
      <c r="F1466" s="6" t="s">
        <v>634</v>
      </c>
      <c r="G1466" s="6" t="s">
        <v>1978</v>
      </c>
      <c r="H1466" s="6" t="s">
        <v>1979</v>
      </c>
      <c r="J1466" s="1215" t="s">
        <v>509</v>
      </c>
      <c r="K1466" s="1219" t="s">
        <v>3110</v>
      </c>
      <c r="L1466" s="8">
        <v>0</v>
      </c>
      <c r="M1466" s="8">
        <v>5</v>
      </c>
      <c r="N1466" s="1169" t="s">
        <v>271</v>
      </c>
      <c r="P1466" s="6" t="s">
        <v>3323</v>
      </c>
      <c r="Q1466" s="1215" t="s">
        <v>253</v>
      </c>
      <c r="R1466" s="1215" t="s">
        <v>255</v>
      </c>
      <c r="S1466" s="1215" t="s">
        <v>534</v>
      </c>
      <c r="T1466" s="1215" t="s">
        <v>533</v>
      </c>
      <c r="U1466" s="6" t="s">
        <v>549</v>
      </c>
      <c r="V1466" s="6" t="s">
        <v>31</v>
      </c>
      <c r="W1466" s="6" t="s">
        <v>844</v>
      </c>
      <c r="X1466" s="6" t="s">
        <v>166</v>
      </c>
    </row>
    <row r="1467" spans="1:24" ht="15" customHeight="1" x14ac:dyDescent="0.3">
      <c r="A1467" s="6" t="s">
        <v>533</v>
      </c>
      <c r="B1467" s="6" t="s">
        <v>534</v>
      </c>
      <c r="C1467" s="6" t="s">
        <v>31</v>
      </c>
      <c r="D1467" s="1088" t="s">
        <v>549</v>
      </c>
      <c r="E1467" s="6" t="s">
        <v>171</v>
      </c>
      <c r="F1467" s="6" t="s">
        <v>634</v>
      </c>
      <c r="G1467" s="6" t="s">
        <v>1978</v>
      </c>
      <c r="H1467" s="6" t="s">
        <v>1979</v>
      </c>
      <c r="J1467" s="1215" t="s">
        <v>509</v>
      </c>
      <c r="K1467" s="1219" t="s">
        <v>3111</v>
      </c>
      <c r="L1467" s="8">
        <v>8</v>
      </c>
      <c r="M1467" s="8">
        <v>59</v>
      </c>
      <c r="N1467" s="1169" t="s">
        <v>271</v>
      </c>
      <c r="P1467" s="6" t="s">
        <v>3323</v>
      </c>
      <c r="Q1467" s="1215" t="s">
        <v>253</v>
      </c>
      <c r="R1467" s="1215" t="s">
        <v>255</v>
      </c>
      <c r="S1467" s="1215" t="s">
        <v>534</v>
      </c>
      <c r="T1467" s="1215" t="s">
        <v>533</v>
      </c>
      <c r="U1467" s="6" t="s">
        <v>549</v>
      </c>
      <c r="V1467" s="6" t="s">
        <v>31</v>
      </c>
      <c r="W1467" s="6" t="s">
        <v>881</v>
      </c>
      <c r="X1467" s="6" t="s">
        <v>165</v>
      </c>
    </row>
    <row r="1468" spans="1:24" ht="15" customHeight="1" x14ac:dyDescent="0.3">
      <c r="A1468" s="6" t="s">
        <v>533</v>
      </c>
      <c r="B1468" s="6" t="s">
        <v>534</v>
      </c>
      <c r="C1468" s="6" t="s">
        <v>31</v>
      </c>
      <c r="D1468" s="1088" t="s">
        <v>549</v>
      </c>
      <c r="E1468" s="6" t="s">
        <v>171</v>
      </c>
      <c r="F1468" s="6" t="s">
        <v>634</v>
      </c>
      <c r="G1468" s="6" t="s">
        <v>1831</v>
      </c>
      <c r="H1468" s="6" t="s">
        <v>1397</v>
      </c>
      <c r="J1468" s="1215" t="s">
        <v>509</v>
      </c>
      <c r="K1468" s="1219" t="s">
        <v>3033</v>
      </c>
      <c r="L1468" s="8">
        <v>11</v>
      </c>
      <c r="M1468" s="8">
        <v>60</v>
      </c>
      <c r="N1468" s="1169" t="s">
        <v>271</v>
      </c>
      <c r="P1468" s="6" t="s">
        <v>3323</v>
      </c>
      <c r="Q1468" s="1215" t="s">
        <v>253</v>
      </c>
      <c r="R1468" s="1215" t="s">
        <v>255</v>
      </c>
      <c r="S1468" s="1215" t="s">
        <v>534</v>
      </c>
      <c r="T1468" s="1215" t="s">
        <v>533</v>
      </c>
      <c r="U1468" s="6" t="s">
        <v>549</v>
      </c>
      <c r="V1468" s="6" t="s">
        <v>31</v>
      </c>
      <c r="W1468" s="6" t="s">
        <v>844</v>
      </c>
      <c r="X1468" s="6" t="s">
        <v>166</v>
      </c>
    </row>
    <row r="1469" spans="1:24" ht="15" customHeight="1" x14ac:dyDescent="0.3">
      <c r="A1469" s="6" t="s">
        <v>533</v>
      </c>
      <c r="B1469" s="6" t="s">
        <v>534</v>
      </c>
      <c r="C1469" s="6" t="s">
        <v>31</v>
      </c>
      <c r="D1469" s="1088" t="s">
        <v>549</v>
      </c>
      <c r="E1469" s="6" t="s">
        <v>171</v>
      </c>
      <c r="F1469" s="6" t="s">
        <v>634</v>
      </c>
      <c r="G1469" s="6" t="s">
        <v>1394</v>
      </c>
      <c r="H1469" s="6" t="s">
        <v>1927</v>
      </c>
      <c r="J1469" s="1215" t="s">
        <v>509</v>
      </c>
      <c r="K1469" s="1219" t="s">
        <v>3033</v>
      </c>
      <c r="L1469" s="8">
        <v>16</v>
      </c>
      <c r="M1469" s="8">
        <v>83</v>
      </c>
      <c r="N1469" s="1169" t="s">
        <v>272</v>
      </c>
      <c r="P1469" s="6" t="s">
        <v>3324</v>
      </c>
      <c r="Q1469" s="1215" t="s">
        <v>253</v>
      </c>
      <c r="R1469" s="1215" t="s">
        <v>255</v>
      </c>
      <c r="S1469" s="1215" t="s">
        <v>534</v>
      </c>
      <c r="T1469" s="1215" t="s">
        <v>533</v>
      </c>
      <c r="U1469" s="6" t="s">
        <v>549</v>
      </c>
      <c r="V1469" s="6" t="s">
        <v>31</v>
      </c>
      <c r="W1469" s="6" t="s">
        <v>634</v>
      </c>
      <c r="X1469" s="6" t="s">
        <v>171</v>
      </c>
    </row>
    <row r="1470" spans="1:24" ht="15" customHeight="1" x14ac:dyDescent="0.3">
      <c r="A1470" s="6" t="s">
        <v>533</v>
      </c>
      <c r="B1470" s="6" t="s">
        <v>534</v>
      </c>
      <c r="C1470" s="6" t="s">
        <v>31</v>
      </c>
      <c r="D1470" s="1088" t="s">
        <v>549</v>
      </c>
      <c r="E1470" s="6" t="s">
        <v>171</v>
      </c>
      <c r="F1470" s="6" t="s">
        <v>634</v>
      </c>
      <c r="G1470" s="6" t="s">
        <v>1394</v>
      </c>
      <c r="H1470" s="6" t="s">
        <v>1927</v>
      </c>
      <c r="J1470" s="1215" t="s">
        <v>509</v>
      </c>
      <c r="K1470" s="1219" t="s">
        <v>3112</v>
      </c>
      <c r="L1470" s="8">
        <v>2</v>
      </c>
      <c r="M1470" s="8">
        <v>6</v>
      </c>
      <c r="N1470" s="1169" t="s">
        <v>272</v>
      </c>
      <c r="P1470" s="6" t="s">
        <v>3324</v>
      </c>
      <c r="Q1470" s="1215" t="s">
        <v>253</v>
      </c>
      <c r="R1470" s="1215" t="s">
        <v>255</v>
      </c>
      <c r="S1470" s="1215" t="s">
        <v>534</v>
      </c>
      <c r="T1470" s="1215" t="s">
        <v>533</v>
      </c>
      <c r="U1470" s="6" t="s">
        <v>549</v>
      </c>
      <c r="V1470" s="6" t="s">
        <v>31</v>
      </c>
      <c r="W1470" s="6" t="s">
        <v>634</v>
      </c>
      <c r="X1470" s="6" t="s">
        <v>171</v>
      </c>
    </row>
    <row r="1471" spans="1:24" ht="15" customHeight="1" x14ac:dyDescent="0.3">
      <c r="A1471" s="6" t="s">
        <v>533</v>
      </c>
      <c r="B1471" s="6" t="s">
        <v>534</v>
      </c>
      <c r="C1471" s="6" t="s">
        <v>33</v>
      </c>
      <c r="D1471" s="6" t="s">
        <v>561</v>
      </c>
      <c r="E1471" s="6" t="s">
        <v>185</v>
      </c>
      <c r="F1471" s="6" t="s">
        <v>656</v>
      </c>
      <c r="G1471" s="6" t="s">
        <v>657</v>
      </c>
      <c r="H1471" s="6" t="s">
        <v>658</v>
      </c>
      <c r="J1471" s="1215" t="s">
        <v>509</v>
      </c>
      <c r="K1471" s="1219" t="s">
        <v>3109</v>
      </c>
      <c r="L1471" s="8">
        <v>94</v>
      </c>
      <c r="M1471" s="8">
        <v>2328</v>
      </c>
      <c r="N1471" s="1169" t="s">
        <v>271</v>
      </c>
      <c r="P1471" s="6" t="s">
        <v>3322</v>
      </c>
      <c r="Q1471" s="1215" t="s">
        <v>253</v>
      </c>
      <c r="R1471" s="1215" t="s">
        <v>255</v>
      </c>
      <c r="S1471" s="1215" t="s">
        <v>534</v>
      </c>
      <c r="T1471" s="1215" t="s">
        <v>533</v>
      </c>
      <c r="U1471" s="6" t="s">
        <v>539</v>
      </c>
      <c r="V1471" s="6" t="s">
        <v>34</v>
      </c>
    </row>
    <row r="1472" spans="1:24" ht="15" customHeight="1" x14ac:dyDescent="0.3">
      <c r="A1472" s="6" t="s">
        <v>533</v>
      </c>
      <c r="B1472" s="6" t="s">
        <v>534</v>
      </c>
      <c r="C1472" s="6" t="s">
        <v>33</v>
      </c>
      <c r="D1472" s="6" t="s">
        <v>561</v>
      </c>
      <c r="E1472" s="6" t="s">
        <v>185</v>
      </c>
      <c r="F1472" s="6" t="s">
        <v>656</v>
      </c>
      <c r="G1472" s="6" t="s">
        <v>550</v>
      </c>
      <c r="H1472" s="6" t="s">
        <v>3133</v>
      </c>
      <c r="I1472" s="6" t="s">
        <v>3133</v>
      </c>
      <c r="J1472" s="1215" t="s">
        <v>509</v>
      </c>
      <c r="K1472" s="1219" t="s">
        <v>3111</v>
      </c>
      <c r="L1472" s="8">
        <v>28</v>
      </c>
      <c r="M1472" s="8">
        <v>206</v>
      </c>
      <c r="N1472" s="1169" t="s">
        <v>274</v>
      </c>
      <c r="O1472" s="1088"/>
      <c r="P1472" s="6" t="s">
        <v>3322</v>
      </c>
      <c r="Q1472" s="1215" t="s">
        <v>253</v>
      </c>
      <c r="R1472" s="1215" t="s">
        <v>255</v>
      </c>
      <c r="S1472" s="1215" t="s">
        <v>534</v>
      </c>
      <c r="T1472" s="1215" t="s">
        <v>533</v>
      </c>
      <c r="U1472" s="6" t="s">
        <v>542</v>
      </c>
      <c r="V1472" s="6" t="s">
        <v>32</v>
      </c>
    </row>
    <row r="1473" spans="1:24" ht="15" customHeight="1" x14ac:dyDescent="0.3">
      <c r="A1473" s="6" t="s">
        <v>533</v>
      </c>
      <c r="B1473" s="6" t="s">
        <v>534</v>
      </c>
      <c r="C1473" s="6" t="s">
        <v>31</v>
      </c>
      <c r="D1473" s="1088" t="s">
        <v>549</v>
      </c>
      <c r="E1473" s="6" t="s">
        <v>171</v>
      </c>
      <c r="F1473" s="6" t="s">
        <v>634</v>
      </c>
      <c r="G1473" s="6" t="s">
        <v>1961</v>
      </c>
      <c r="H1473" s="6" t="s">
        <v>872</v>
      </c>
      <c r="J1473" s="1215" t="s">
        <v>509</v>
      </c>
      <c r="K1473" s="1219" t="s">
        <v>3033</v>
      </c>
      <c r="L1473" s="8">
        <v>29</v>
      </c>
      <c r="M1473" s="8">
        <v>287</v>
      </c>
      <c r="N1473" s="1169" t="s">
        <v>271</v>
      </c>
      <c r="P1473" s="6" t="s">
        <v>3324</v>
      </c>
      <c r="Q1473" s="1215" t="s">
        <v>253</v>
      </c>
      <c r="R1473" s="1215" t="s">
        <v>255</v>
      </c>
      <c r="S1473" s="1215" t="s">
        <v>534</v>
      </c>
      <c r="T1473" s="1215" t="s">
        <v>533</v>
      </c>
      <c r="U1473" s="6" t="s">
        <v>549</v>
      </c>
      <c r="V1473" s="6" t="s">
        <v>31</v>
      </c>
      <c r="W1473" s="6" t="s">
        <v>634</v>
      </c>
      <c r="X1473" s="6" t="s">
        <v>171</v>
      </c>
    </row>
    <row r="1474" spans="1:24" ht="15" customHeight="1" x14ac:dyDescent="0.3">
      <c r="A1474" s="6" t="s">
        <v>533</v>
      </c>
      <c r="B1474" s="6" t="s">
        <v>534</v>
      </c>
      <c r="C1474" s="6" t="s">
        <v>31</v>
      </c>
      <c r="D1474" s="1088" t="s">
        <v>549</v>
      </c>
      <c r="E1474" s="6" t="s">
        <v>171</v>
      </c>
      <c r="F1474" s="6" t="s">
        <v>634</v>
      </c>
      <c r="G1474" s="6" t="s">
        <v>2893</v>
      </c>
      <c r="H1474" s="6" t="s">
        <v>1895</v>
      </c>
      <c r="J1474" s="1215" t="s">
        <v>509</v>
      </c>
      <c r="K1474" s="1219" t="s">
        <v>3033</v>
      </c>
      <c r="L1474" s="8">
        <v>30</v>
      </c>
      <c r="M1474" s="8">
        <v>82</v>
      </c>
      <c r="N1474" s="1169" t="s">
        <v>271</v>
      </c>
      <c r="P1474" s="6" t="s">
        <v>3324</v>
      </c>
      <c r="Q1474" s="1215" t="s">
        <v>253</v>
      </c>
      <c r="R1474" s="1215" t="s">
        <v>255</v>
      </c>
      <c r="S1474" s="1215" t="s">
        <v>534</v>
      </c>
      <c r="T1474" s="1215" t="s">
        <v>533</v>
      </c>
      <c r="U1474" s="6" t="s">
        <v>549</v>
      </c>
      <c r="V1474" s="6" t="s">
        <v>31</v>
      </c>
      <c r="W1474" s="6" t="s">
        <v>634</v>
      </c>
      <c r="X1474" s="6" t="s">
        <v>171</v>
      </c>
    </row>
    <row r="1475" spans="1:24" ht="15" customHeight="1" x14ac:dyDescent="0.3">
      <c r="A1475" s="6" t="s">
        <v>533</v>
      </c>
      <c r="B1475" s="6" t="s">
        <v>534</v>
      </c>
      <c r="C1475" s="6" t="s">
        <v>34</v>
      </c>
      <c r="D1475" s="1088" t="s">
        <v>539</v>
      </c>
      <c r="E1475" s="6" t="s">
        <v>188</v>
      </c>
      <c r="F1475" s="6" t="s">
        <v>546</v>
      </c>
      <c r="G1475" s="6" t="s">
        <v>1681</v>
      </c>
      <c r="H1475" s="6" t="s">
        <v>1792</v>
      </c>
      <c r="J1475" s="1215" t="s">
        <v>509</v>
      </c>
      <c r="K1475" s="1219" t="s">
        <v>3033</v>
      </c>
      <c r="L1475" s="8">
        <v>612</v>
      </c>
      <c r="M1475" s="8">
        <v>2925</v>
      </c>
      <c r="N1475" s="1169" t="s">
        <v>271</v>
      </c>
      <c r="P1475" s="6" t="s">
        <v>3324</v>
      </c>
      <c r="Q1475" s="1215" t="s">
        <v>253</v>
      </c>
      <c r="R1475" s="1215" t="s">
        <v>255</v>
      </c>
      <c r="S1475" s="1215" t="s">
        <v>534</v>
      </c>
      <c r="T1475" s="1215" t="s">
        <v>533</v>
      </c>
      <c r="U1475" s="6" t="s">
        <v>539</v>
      </c>
      <c r="V1475" s="6" t="s">
        <v>34</v>
      </c>
      <c r="W1475" s="6" t="s">
        <v>546</v>
      </c>
      <c r="X1475" s="6" t="s">
        <v>188</v>
      </c>
    </row>
    <row r="1476" spans="1:24" ht="15" customHeight="1" x14ac:dyDescent="0.3">
      <c r="A1476" s="6" t="s">
        <v>533</v>
      </c>
      <c r="B1476" s="6" t="s">
        <v>534</v>
      </c>
      <c r="C1476" s="6" t="s">
        <v>34</v>
      </c>
      <c r="D1476" s="1088" t="s">
        <v>539</v>
      </c>
      <c r="E1476" s="6" t="s">
        <v>188</v>
      </c>
      <c r="F1476" s="6" t="s">
        <v>546</v>
      </c>
      <c r="G1476" s="6" t="s">
        <v>1681</v>
      </c>
      <c r="H1476" s="6" t="s">
        <v>1792</v>
      </c>
      <c r="J1476" s="1215" t="s">
        <v>509</v>
      </c>
      <c r="K1476" s="1219" t="s">
        <v>3110</v>
      </c>
      <c r="L1476" s="8">
        <v>0</v>
      </c>
      <c r="M1476" s="8">
        <v>4</v>
      </c>
      <c r="N1476" s="1169" t="s">
        <v>271</v>
      </c>
      <c r="P1476" s="6" t="s">
        <v>3324</v>
      </c>
      <c r="Q1476" s="1215" t="s">
        <v>253</v>
      </c>
      <c r="R1476" s="1215" t="s">
        <v>255</v>
      </c>
      <c r="S1476" s="1215" t="s">
        <v>534</v>
      </c>
      <c r="T1476" s="1215" t="s">
        <v>533</v>
      </c>
      <c r="U1476" s="6" t="s">
        <v>539</v>
      </c>
      <c r="V1476" s="6" t="s">
        <v>34</v>
      </c>
      <c r="W1476" s="6" t="s">
        <v>546</v>
      </c>
      <c r="X1476" s="6" t="s">
        <v>188</v>
      </c>
    </row>
    <row r="1477" spans="1:24" ht="15" customHeight="1" x14ac:dyDescent="0.3">
      <c r="A1477" s="6" t="s">
        <v>533</v>
      </c>
      <c r="B1477" s="6" t="s">
        <v>534</v>
      </c>
      <c r="C1477" s="6" t="s">
        <v>34</v>
      </c>
      <c r="D1477" s="1088" t="s">
        <v>539</v>
      </c>
      <c r="E1477" s="6" t="s">
        <v>188</v>
      </c>
      <c r="F1477" s="6" t="s">
        <v>546</v>
      </c>
      <c r="G1477" s="6" t="s">
        <v>1681</v>
      </c>
      <c r="H1477" s="6" t="s">
        <v>1792</v>
      </c>
      <c r="J1477" s="1215" t="s">
        <v>509</v>
      </c>
      <c r="K1477" s="1219" t="s">
        <v>3111</v>
      </c>
      <c r="L1477" s="8">
        <v>0</v>
      </c>
      <c r="M1477" s="8">
        <v>8</v>
      </c>
      <c r="N1477" s="6" t="s">
        <v>271</v>
      </c>
      <c r="P1477" s="6" t="s">
        <v>3324</v>
      </c>
      <c r="Q1477" s="1215" t="s">
        <v>253</v>
      </c>
      <c r="R1477" s="1215" t="s">
        <v>255</v>
      </c>
      <c r="S1477" s="1215" t="s">
        <v>534</v>
      </c>
      <c r="T1477" s="1215" t="s">
        <v>533</v>
      </c>
      <c r="U1477" s="6" t="s">
        <v>539</v>
      </c>
      <c r="V1477" s="6" t="s">
        <v>34</v>
      </c>
      <c r="W1477" s="6" t="s">
        <v>546</v>
      </c>
      <c r="X1477" s="6" t="s">
        <v>188</v>
      </c>
    </row>
    <row r="1478" spans="1:24" ht="15" customHeight="1" x14ac:dyDescent="0.3">
      <c r="A1478" s="6" t="s">
        <v>533</v>
      </c>
      <c r="B1478" s="6" t="s">
        <v>534</v>
      </c>
      <c r="C1478" s="6" t="s">
        <v>31</v>
      </c>
      <c r="D1478" s="1088" t="s">
        <v>549</v>
      </c>
      <c r="E1478" s="6" t="s">
        <v>171</v>
      </c>
      <c r="F1478" s="6" t="s">
        <v>634</v>
      </c>
      <c r="G1478" s="6" t="s">
        <v>1254</v>
      </c>
      <c r="H1478" s="6" t="s">
        <v>2088</v>
      </c>
      <c r="J1478" s="1215" t="s">
        <v>509</v>
      </c>
      <c r="K1478" s="1219" t="s">
        <v>3033</v>
      </c>
      <c r="L1478" s="8">
        <v>19</v>
      </c>
      <c r="M1478" s="8">
        <v>171</v>
      </c>
      <c r="N1478" s="1169" t="s">
        <v>271</v>
      </c>
      <c r="P1478" s="6" t="s">
        <v>3323</v>
      </c>
      <c r="Q1478" s="1215" t="s">
        <v>253</v>
      </c>
      <c r="R1478" s="1215" t="s">
        <v>255</v>
      </c>
      <c r="S1478" s="1215" t="s">
        <v>534</v>
      </c>
      <c r="T1478" s="1215" t="s">
        <v>533</v>
      </c>
      <c r="U1478" s="6" t="s">
        <v>549</v>
      </c>
      <c r="V1478" s="6" t="s">
        <v>31</v>
      </c>
      <c r="W1478" s="6" t="s">
        <v>767</v>
      </c>
      <c r="X1478" s="1215" t="s">
        <v>2797</v>
      </c>
    </row>
    <row r="1479" spans="1:24" ht="15" customHeight="1" x14ac:dyDescent="0.3">
      <c r="A1479" s="6" t="s">
        <v>533</v>
      </c>
      <c r="B1479" s="6" t="s">
        <v>534</v>
      </c>
      <c r="C1479" s="6" t="s">
        <v>31</v>
      </c>
      <c r="D1479" s="1088" t="s">
        <v>549</v>
      </c>
      <c r="E1479" s="6" t="s">
        <v>171</v>
      </c>
      <c r="F1479" s="6" t="s">
        <v>634</v>
      </c>
      <c r="G1479" s="6" t="s">
        <v>889</v>
      </c>
      <c r="H1479" s="6" t="s">
        <v>925</v>
      </c>
      <c r="J1479" s="1215" t="s">
        <v>509</v>
      </c>
      <c r="K1479" s="1219" t="s">
        <v>3033</v>
      </c>
      <c r="L1479" s="8">
        <v>38</v>
      </c>
      <c r="M1479" s="8">
        <v>135</v>
      </c>
      <c r="N1479" s="6" t="s">
        <v>271</v>
      </c>
      <c r="P1479" s="6" t="s">
        <v>3323</v>
      </c>
      <c r="Q1479" s="1215" t="s">
        <v>253</v>
      </c>
      <c r="R1479" s="1215" t="s">
        <v>255</v>
      </c>
      <c r="S1479" s="1215" t="s">
        <v>534</v>
      </c>
      <c r="T1479" s="1215" t="s">
        <v>533</v>
      </c>
      <c r="U1479" s="6" t="s">
        <v>549</v>
      </c>
      <c r="V1479" s="6" t="s">
        <v>31</v>
      </c>
      <c r="W1479" s="6" t="s">
        <v>767</v>
      </c>
      <c r="X1479" s="6" t="s">
        <v>2797</v>
      </c>
    </row>
    <row r="1480" spans="1:24" ht="15" customHeight="1" x14ac:dyDescent="0.3">
      <c r="A1480" s="6" t="s">
        <v>533</v>
      </c>
      <c r="B1480" s="6" t="s">
        <v>534</v>
      </c>
      <c r="C1480" s="6" t="s">
        <v>31</v>
      </c>
      <c r="D1480" s="1088" t="s">
        <v>549</v>
      </c>
      <c r="E1480" s="6" t="s">
        <v>2797</v>
      </c>
      <c r="F1480" s="6" t="s">
        <v>767</v>
      </c>
      <c r="G1480" s="6" t="s">
        <v>1484</v>
      </c>
      <c r="H1480" s="6" t="s">
        <v>785</v>
      </c>
      <c r="J1480" s="1215" t="s">
        <v>509</v>
      </c>
      <c r="K1480" s="1219" t="s">
        <v>3033</v>
      </c>
      <c r="L1480" s="8">
        <v>20</v>
      </c>
      <c r="M1480" s="8">
        <v>161</v>
      </c>
      <c r="N1480" s="1169" t="s">
        <v>271</v>
      </c>
      <c r="P1480" s="6" t="s">
        <v>3324</v>
      </c>
      <c r="Q1480" s="1215" t="s">
        <v>253</v>
      </c>
      <c r="R1480" s="1215" t="s">
        <v>255</v>
      </c>
      <c r="S1480" s="1215" t="s">
        <v>534</v>
      </c>
      <c r="T1480" s="1215" t="s">
        <v>533</v>
      </c>
      <c r="U1480" s="6" t="s">
        <v>549</v>
      </c>
      <c r="V1480" s="6" t="s">
        <v>31</v>
      </c>
      <c r="W1480" s="6" t="s">
        <v>767</v>
      </c>
      <c r="X1480" s="6" t="s">
        <v>2797</v>
      </c>
    </row>
    <row r="1481" spans="1:24" ht="15" customHeight="1" x14ac:dyDescent="0.3">
      <c r="A1481" s="6" t="s">
        <v>533</v>
      </c>
      <c r="B1481" s="6" t="s">
        <v>534</v>
      </c>
      <c r="C1481" s="6" t="s">
        <v>31</v>
      </c>
      <c r="D1481" s="1088" t="s">
        <v>549</v>
      </c>
      <c r="E1481" s="6" t="s">
        <v>2797</v>
      </c>
      <c r="F1481" s="6" t="s">
        <v>767</v>
      </c>
      <c r="G1481" s="6" t="s">
        <v>1484</v>
      </c>
      <c r="H1481" s="6" t="s">
        <v>785</v>
      </c>
      <c r="J1481" s="1215" t="s">
        <v>509</v>
      </c>
      <c r="K1481" s="1219" t="s">
        <v>3111</v>
      </c>
      <c r="L1481" s="8">
        <v>1</v>
      </c>
      <c r="M1481" s="8">
        <v>3</v>
      </c>
      <c r="N1481" s="6" t="s">
        <v>271</v>
      </c>
      <c r="P1481" s="6" t="s">
        <v>3324</v>
      </c>
      <c r="Q1481" s="1215" t="s">
        <v>253</v>
      </c>
      <c r="R1481" s="1215" t="s">
        <v>255</v>
      </c>
      <c r="S1481" s="1215" t="s">
        <v>534</v>
      </c>
      <c r="T1481" s="1215" t="s">
        <v>533</v>
      </c>
      <c r="U1481" s="6" t="s">
        <v>549</v>
      </c>
      <c r="V1481" s="6" t="s">
        <v>31</v>
      </c>
      <c r="W1481" s="6" t="s">
        <v>767</v>
      </c>
      <c r="X1481" s="6" t="s">
        <v>2797</v>
      </c>
    </row>
    <row r="1482" spans="1:24" ht="15" customHeight="1" x14ac:dyDescent="0.3">
      <c r="A1482" s="6" t="s">
        <v>533</v>
      </c>
      <c r="B1482" s="6" t="s">
        <v>534</v>
      </c>
      <c r="C1482" s="6" t="s">
        <v>31</v>
      </c>
      <c r="D1482" s="1088" t="s">
        <v>549</v>
      </c>
      <c r="E1482" s="6" t="s">
        <v>2797</v>
      </c>
      <c r="F1482" s="6" t="s">
        <v>767</v>
      </c>
      <c r="G1482" s="6" t="s">
        <v>1484</v>
      </c>
      <c r="H1482" s="6" t="s">
        <v>785</v>
      </c>
      <c r="J1482" s="1215" t="s">
        <v>509</v>
      </c>
      <c r="K1482" s="1219" t="s">
        <v>3112</v>
      </c>
      <c r="L1482" s="8">
        <v>10</v>
      </c>
      <c r="M1482" s="8">
        <v>70</v>
      </c>
      <c r="N1482" s="1169" t="s">
        <v>271</v>
      </c>
      <c r="P1482" s="6" t="s">
        <v>3324</v>
      </c>
      <c r="Q1482" s="1215" t="s">
        <v>253</v>
      </c>
      <c r="R1482" s="1215" t="s">
        <v>255</v>
      </c>
      <c r="S1482" s="1215" t="s">
        <v>534</v>
      </c>
      <c r="T1482" s="1215" t="s">
        <v>533</v>
      </c>
      <c r="U1482" s="6" t="s">
        <v>549</v>
      </c>
      <c r="V1482" s="6" t="s">
        <v>31</v>
      </c>
      <c r="W1482" s="6" t="s">
        <v>767</v>
      </c>
      <c r="X1482" s="6" t="s">
        <v>2797</v>
      </c>
    </row>
    <row r="1483" spans="1:24" ht="15" customHeight="1" x14ac:dyDescent="0.3">
      <c r="A1483" s="6" t="s">
        <v>533</v>
      </c>
      <c r="B1483" s="6" t="s">
        <v>534</v>
      </c>
      <c r="C1483" s="6" t="s">
        <v>31</v>
      </c>
      <c r="D1483" s="1088" t="s">
        <v>549</v>
      </c>
      <c r="E1483" s="6" t="s">
        <v>2797</v>
      </c>
      <c r="F1483" s="6" t="s">
        <v>767</v>
      </c>
      <c r="G1483" s="6" t="s">
        <v>2880</v>
      </c>
      <c r="H1483" s="6" t="s">
        <v>1449</v>
      </c>
      <c r="J1483" s="1215" t="s">
        <v>509</v>
      </c>
      <c r="K1483" s="1219" t="s">
        <v>3033</v>
      </c>
      <c r="L1483" s="8">
        <v>21</v>
      </c>
      <c r="M1483" s="8">
        <v>157</v>
      </c>
      <c r="N1483" s="1169" t="s">
        <v>271</v>
      </c>
      <c r="P1483" s="6" t="s">
        <v>3324</v>
      </c>
      <c r="Q1483" s="1215" t="s">
        <v>253</v>
      </c>
      <c r="R1483" s="1215" t="s">
        <v>255</v>
      </c>
      <c r="S1483" s="1215" t="s">
        <v>534</v>
      </c>
      <c r="T1483" s="1215" t="s">
        <v>533</v>
      </c>
      <c r="U1483" s="6" t="s">
        <v>549</v>
      </c>
      <c r="V1483" s="6" t="s">
        <v>31</v>
      </c>
      <c r="W1483" s="6" t="s">
        <v>767</v>
      </c>
      <c r="X1483" s="6" t="s">
        <v>2797</v>
      </c>
    </row>
    <row r="1484" spans="1:24" ht="15" customHeight="1" x14ac:dyDescent="0.3">
      <c r="A1484" s="6" t="s">
        <v>533</v>
      </c>
      <c r="B1484" s="6" t="s">
        <v>534</v>
      </c>
      <c r="C1484" s="6" t="s">
        <v>34</v>
      </c>
      <c r="D1484" s="1088" t="s">
        <v>539</v>
      </c>
      <c r="E1484" s="6" t="s">
        <v>188</v>
      </c>
      <c r="F1484" s="6" t="s">
        <v>546</v>
      </c>
      <c r="G1484" s="6" t="s">
        <v>2662</v>
      </c>
      <c r="H1484" s="6" t="s">
        <v>1415</v>
      </c>
      <c r="J1484" s="1215" t="s">
        <v>509</v>
      </c>
      <c r="K1484" s="1219" t="s">
        <v>3033</v>
      </c>
      <c r="L1484" s="8">
        <v>37</v>
      </c>
      <c r="M1484" s="8">
        <v>355</v>
      </c>
      <c r="N1484" s="1169" t="s">
        <v>271</v>
      </c>
      <c r="P1484" s="6" t="s">
        <v>3324</v>
      </c>
      <c r="Q1484" s="1215" t="s">
        <v>253</v>
      </c>
      <c r="R1484" s="1215" t="s">
        <v>255</v>
      </c>
      <c r="S1484" s="1215" t="s">
        <v>534</v>
      </c>
      <c r="T1484" s="1215" t="s">
        <v>533</v>
      </c>
      <c r="U1484" s="6" t="s">
        <v>539</v>
      </c>
      <c r="V1484" s="6" t="s">
        <v>34</v>
      </c>
      <c r="W1484" s="6" t="s">
        <v>546</v>
      </c>
      <c r="X1484" s="6" t="s">
        <v>188</v>
      </c>
    </row>
    <row r="1485" spans="1:24" ht="15" customHeight="1" x14ac:dyDescent="0.3">
      <c r="A1485" s="6" t="s">
        <v>533</v>
      </c>
      <c r="B1485" s="6" t="s">
        <v>534</v>
      </c>
      <c r="C1485" s="6" t="s">
        <v>34</v>
      </c>
      <c r="D1485" s="1088" t="s">
        <v>539</v>
      </c>
      <c r="E1485" s="6" t="s">
        <v>188</v>
      </c>
      <c r="F1485" s="6" t="s">
        <v>546</v>
      </c>
      <c r="G1485" s="6" t="s">
        <v>2662</v>
      </c>
      <c r="H1485" s="6" t="s">
        <v>1415</v>
      </c>
      <c r="J1485" s="1215" t="s">
        <v>509</v>
      </c>
      <c r="K1485" s="1219" t="s">
        <v>3109</v>
      </c>
      <c r="L1485" s="8">
        <v>0</v>
      </c>
      <c r="M1485" s="8">
        <v>23</v>
      </c>
      <c r="N1485" s="1169" t="s">
        <v>271</v>
      </c>
      <c r="P1485" s="6" t="s">
        <v>3324</v>
      </c>
      <c r="Q1485" s="1215" t="s">
        <v>253</v>
      </c>
      <c r="R1485" s="1215" t="s">
        <v>255</v>
      </c>
      <c r="S1485" s="1215" t="s">
        <v>534</v>
      </c>
      <c r="T1485" s="1215" t="s">
        <v>533</v>
      </c>
      <c r="U1485" s="6" t="s">
        <v>539</v>
      </c>
      <c r="V1485" s="6" t="s">
        <v>34</v>
      </c>
      <c r="W1485" s="6" t="s">
        <v>546</v>
      </c>
      <c r="X1485" s="6" t="s">
        <v>188</v>
      </c>
    </row>
    <row r="1486" spans="1:24" ht="15" customHeight="1" x14ac:dyDescent="0.3">
      <c r="A1486" s="6" t="s">
        <v>533</v>
      </c>
      <c r="B1486" s="6" t="s">
        <v>534</v>
      </c>
      <c r="C1486" s="6" t="s">
        <v>34</v>
      </c>
      <c r="D1486" s="1088" t="s">
        <v>539</v>
      </c>
      <c r="E1486" s="6" t="s">
        <v>188</v>
      </c>
      <c r="F1486" s="6" t="s">
        <v>546</v>
      </c>
      <c r="G1486" s="6" t="s">
        <v>2662</v>
      </c>
      <c r="H1486" s="6" t="s">
        <v>1415</v>
      </c>
      <c r="J1486" s="1215" t="s">
        <v>509</v>
      </c>
      <c r="K1486" s="1219" t="s">
        <v>3110</v>
      </c>
      <c r="L1486" s="8">
        <v>0</v>
      </c>
      <c r="M1486" s="8">
        <v>46</v>
      </c>
      <c r="N1486" s="1169" t="s">
        <v>271</v>
      </c>
      <c r="P1486" s="6" t="s">
        <v>3324</v>
      </c>
      <c r="Q1486" s="1215" t="s">
        <v>253</v>
      </c>
      <c r="R1486" s="1215" t="s">
        <v>255</v>
      </c>
      <c r="S1486" s="1215" t="s">
        <v>534</v>
      </c>
      <c r="T1486" s="1215" t="s">
        <v>533</v>
      </c>
      <c r="U1486" s="6" t="s">
        <v>539</v>
      </c>
      <c r="V1486" s="6" t="s">
        <v>34</v>
      </c>
      <c r="W1486" s="6" t="s">
        <v>546</v>
      </c>
      <c r="X1486" s="6" t="s">
        <v>188</v>
      </c>
    </row>
    <row r="1487" spans="1:24" ht="15" customHeight="1" x14ac:dyDescent="0.3">
      <c r="A1487" s="6" t="s">
        <v>533</v>
      </c>
      <c r="B1487" s="6" t="s">
        <v>534</v>
      </c>
      <c r="C1487" s="6" t="s">
        <v>34</v>
      </c>
      <c r="D1487" s="1088" t="s">
        <v>539</v>
      </c>
      <c r="E1487" s="6" t="s">
        <v>188</v>
      </c>
      <c r="F1487" s="6" t="s">
        <v>546</v>
      </c>
      <c r="G1487" s="6" t="s">
        <v>2662</v>
      </c>
      <c r="H1487" s="6" t="s">
        <v>1415</v>
      </c>
      <c r="J1487" s="1215" t="s">
        <v>509</v>
      </c>
      <c r="K1487" s="1219" t="s">
        <v>3111</v>
      </c>
      <c r="L1487" s="8">
        <v>0</v>
      </c>
      <c r="M1487" s="8">
        <v>25</v>
      </c>
      <c r="N1487" s="1169" t="s">
        <v>271</v>
      </c>
      <c r="P1487" s="6" t="s">
        <v>3324</v>
      </c>
      <c r="Q1487" s="1215" t="s">
        <v>253</v>
      </c>
      <c r="R1487" s="1215" t="s">
        <v>255</v>
      </c>
      <c r="S1487" s="1215" t="s">
        <v>534</v>
      </c>
      <c r="T1487" s="1215" t="s">
        <v>533</v>
      </c>
      <c r="U1487" s="6" t="s">
        <v>539</v>
      </c>
      <c r="V1487" s="6" t="s">
        <v>34</v>
      </c>
      <c r="W1487" s="6" t="s">
        <v>546</v>
      </c>
      <c r="X1487" s="6" t="s">
        <v>188</v>
      </c>
    </row>
    <row r="1488" spans="1:24" ht="15" customHeight="1" x14ac:dyDescent="0.3">
      <c r="A1488" s="6" t="s">
        <v>533</v>
      </c>
      <c r="B1488" s="6" t="s">
        <v>534</v>
      </c>
      <c r="C1488" s="6" t="s">
        <v>34</v>
      </c>
      <c r="D1488" s="1088" t="s">
        <v>539</v>
      </c>
      <c r="E1488" s="6" t="s">
        <v>188</v>
      </c>
      <c r="F1488" s="6" t="s">
        <v>546</v>
      </c>
      <c r="G1488" s="6" t="s">
        <v>2662</v>
      </c>
      <c r="H1488" s="6" t="s">
        <v>1415</v>
      </c>
      <c r="J1488" s="1215" t="s">
        <v>509</v>
      </c>
      <c r="K1488" s="1219" t="s">
        <v>3112</v>
      </c>
      <c r="L1488" s="8">
        <v>5</v>
      </c>
      <c r="M1488" s="8">
        <v>37</v>
      </c>
      <c r="N1488" s="1169" t="s">
        <v>271</v>
      </c>
      <c r="P1488" s="6" t="s">
        <v>3324</v>
      </c>
      <c r="Q1488" s="1215" t="s">
        <v>253</v>
      </c>
      <c r="R1488" s="1215" t="s">
        <v>255</v>
      </c>
      <c r="S1488" s="1215" t="s">
        <v>534</v>
      </c>
      <c r="T1488" s="1215" t="s">
        <v>533</v>
      </c>
      <c r="U1488" s="6" t="s">
        <v>539</v>
      </c>
      <c r="V1488" s="6" t="s">
        <v>34</v>
      </c>
      <c r="W1488" s="6" t="s">
        <v>546</v>
      </c>
      <c r="X1488" s="6" t="s">
        <v>188</v>
      </c>
    </row>
    <row r="1489" spans="1:24" ht="15" customHeight="1" x14ac:dyDescent="0.3">
      <c r="A1489" s="6" t="s">
        <v>533</v>
      </c>
      <c r="B1489" s="6" t="s">
        <v>534</v>
      </c>
      <c r="C1489" s="6" t="s">
        <v>34</v>
      </c>
      <c r="D1489" s="1088" t="s">
        <v>539</v>
      </c>
      <c r="E1489" s="6" t="s">
        <v>188</v>
      </c>
      <c r="F1489" s="6" t="s">
        <v>546</v>
      </c>
      <c r="G1489" s="6" t="s">
        <v>1685</v>
      </c>
      <c r="H1489" s="6" t="s">
        <v>1071</v>
      </c>
      <c r="J1489" s="1215" t="s">
        <v>509</v>
      </c>
      <c r="K1489" s="1219" t="s">
        <v>3033</v>
      </c>
      <c r="L1489" s="8">
        <v>377</v>
      </c>
      <c r="M1489" s="8">
        <v>1755</v>
      </c>
      <c r="N1489" s="1169" t="s">
        <v>271</v>
      </c>
      <c r="P1489" s="6" t="s">
        <v>3324</v>
      </c>
      <c r="Q1489" s="1215" t="s">
        <v>253</v>
      </c>
      <c r="R1489" s="1215" t="s">
        <v>255</v>
      </c>
      <c r="S1489" s="1215" t="s">
        <v>534</v>
      </c>
      <c r="T1489" s="1215" t="s">
        <v>533</v>
      </c>
      <c r="U1489" s="6" t="s">
        <v>539</v>
      </c>
      <c r="V1489" s="6" t="s">
        <v>34</v>
      </c>
      <c r="W1489" s="6" t="s">
        <v>546</v>
      </c>
      <c r="X1489" s="6" t="s">
        <v>188</v>
      </c>
    </row>
    <row r="1490" spans="1:24" ht="15" customHeight="1" x14ac:dyDescent="0.3">
      <c r="A1490" s="6" t="s">
        <v>533</v>
      </c>
      <c r="B1490" s="6" t="s">
        <v>534</v>
      </c>
      <c r="C1490" s="6" t="s">
        <v>34</v>
      </c>
      <c r="D1490" s="1088" t="s">
        <v>539</v>
      </c>
      <c r="E1490" s="6" t="s">
        <v>188</v>
      </c>
      <c r="F1490" s="6" t="s">
        <v>546</v>
      </c>
      <c r="G1490" s="6" t="s">
        <v>1685</v>
      </c>
      <c r="H1490" s="6" t="s">
        <v>1071</v>
      </c>
      <c r="J1490" s="1215" t="s">
        <v>509</v>
      </c>
      <c r="K1490" s="1219" t="s">
        <v>3109</v>
      </c>
      <c r="L1490" s="8">
        <v>108</v>
      </c>
      <c r="M1490" s="8">
        <v>635</v>
      </c>
      <c r="N1490" s="1169" t="s">
        <v>271</v>
      </c>
      <c r="P1490" s="6" t="s">
        <v>3324</v>
      </c>
      <c r="Q1490" s="1215" t="s">
        <v>253</v>
      </c>
      <c r="R1490" s="1215" t="s">
        <v>255</v>
      </c>
      <c r="S1490" s="1215" t="s">
        <v>534</v>
      </c>
      <c r="T1490" s="1215" t="s">
        <v>533</v>
      </c>
      <c r="U1490" s="6" t="s">
        <v>539</v>
      </c>
      <c r="V1490" s="6" t="s">
        <v>34</v>
      </c>
      <c r="W1490" s="6" t="s">
        <v>546</v>
      </c>
      <c r="X1490" s="6" t="s">
        <v>188</v>
      </c>
    </row>
    <row r="1491" spans="1:24" ht="15" customHeight="1" x14ac:dyDescent="0.3">
      <c r="A1491" s="6" t="s">
        <v>533</v>
      </c>
      <c r="B1491" s="6" t="s">
        <v>534</v>
      </c>
      <c r="C1491" s="6" t="s">
        <v>34</v>
      </c>
      <c r="D1491" s="1088" t="s">
        <v>539</v>
      </c>
      <c r="E1491" s="6" t="s">
        <v>188</v>
      </c>
      <c r="F1491" s="6" t="s">
        <v>546</v>
      </c>
      <c r="G1491" s="6" t="s">
        <v>1685</v>
      </c>
      <c r="H1491" s="6" t="s">
        <v>1071</v>
      </c>
      <c r="J1491" s="1215" t="s">
        <v>509</v>
      </c>
      <c r="K1491" s="1219" t="s">
        <v>3110</v>
      </c>
      <c r="L1491" s="8">
        <v>118</v>
      </c>
      <c r="M1491" s="8">
        <v>733</v>
      </c>
      <c r="N1491" s="1169" t="s">
        <v>271</v>
      </c>
      <c r="P1491" s="6" t="s">
        <v>3324</v>
      </c>
      <c r="Q1491" s="1215" t="s">
        <v>253</v>
      </c>
      <c r="R1491" s="1215" t="s">
        <v>255</v>
      </c>
      <c r="S1491" s="1215" t="s">
        <v>534</v>
      </c>
      <c r="T1491" s="1215" t="s">
        <v>533</v>
      </c>
      <c r="U1491" s="6" t="s">
        <v>539</v>
      </c>
      <c r="V1491" s="6" t="s">
        <v>34</v>
      </c>
      <c r="W1491" s="6" t="s">
        <v>546</v>
      </c>
      <c r="X1491" s="6" t="s">
        <v>188</v>
      </c>
    </row>
    <row r="1492" spans="1:24" ht="15" customHeight="1" x14ac:dyDescent="0.3">
      <c r="A1492" s="6" t="s">
        <v>533</v>
      </c>
      <c r="B1492" s="6" t="s">
        <v>534</v>
      </c>
      <c r="C1492" s="6" t="s">
        <v>34</v>
      </c>
      <c r="D1492" s="1088" t="s">
        <v>539</v>
      </c>
      <c r="E1492" s="1088" t="s">
        <v>188</v>
      </c>
      <c r="F1492" s="6" t="s">
        <v>546</v>
      </c>
      <c r="G1492" s="6" t="s">
        <v>1685</v>
      </c>
      <c r="H1492" s="6" t="s">
        <v>1071</v>
      </c>
      <c r="J1492" s="1215" t="s">
        <v>509</v>
      </c>
      <c r="K1492" s="1219" t="s">
        <v>3111</v>
      </c>
      <c r="L1492" s="8">
        <v>35</v>
      </c>
      <c r="M1492" s="8">
        <v>333</v>
      </c>
      <c r="N1492" s="1169" t="s">
        <v>271</v>
      </c>
      <c r="P1492" s="6" t="s">
        <v>3324</v>
      </c>
      <c r="Q1492" s="1215" t="s">
        <v>253</v>
      </c>
      <c r="R1492" s="1215" t="s">
        <v>255</v>
      </c>
      <c r="S1492" s="1215" t="s">
        <v>534</v>
      </c>
      <c r="T1492" s="1215" t="s">
        <v>533</v>
      </c>
      <c r="U1492" s="6" t="s">
        <v>539</v>
      </c>
      <c r="V1492" s="6" t="s">
        <v>34</v>
      </c>
      <c r="W1492" s="6" t="s">
        <v>546</v>
      </c>
      <c r="X1492" s="6" t="s">
        <v>188</v>
      </c>
    </row>
    <row r="1493" spans="1:24" ht="15" customHeight="1" x14ac:dyDescent="0.3">
      <c r="A1493" s="6" t="s">
        <v>533</v>
      </c>
      <c r="B1493" s="6" t="s">
        <v>534</v>
      </c>
      <c r="C1493" s="6" t="s">
        <v>34</v>
      </c>
      <c r="D1493" s="1088" t="s">
        <v>539</v>
      </c>
      <c r="E1493" s="6" t="s">
        <v>188</v>
      </c>
      <c r="F1493" s="6" t="s">
        <v>546</v>
      </c>
      <c r="G1493" s="6" t="s">
        <v>1685</v>
      </c>
      <c r="H1493" s="6" t="s">
        <v>1071</v>
      </c>
      <c r="J1493" s="1215" t="s">
        <v>509</v>
      </c>
      <c r="K1493" s="1219" t="s">
        <v>3112</v>
      </c>
      <c r="L1493" s="8">
        <v>1</v>
      </c>
      <c r="M1493" s="8">
        <v>25</v>
      </c>
      <c r="N1493" s="1169" t="s">
        <v>271</v>
      </c>
      <c r="P1493" s="6" t="s">
        <v>3324</v>
      </c>
      <c r="Q1493" s="1215" t="s">
        <v>253</v>
      </c>
      <c r="R1493" s="1215" t="s">
        <v>255</v>
      </c>
      <c r="S1493" s="1215" t="s">
        <v>534</v>
      </c>
      <c r="T1493" s="1215" t="s">
        <v>533</v>
      </c>
      <c r="U1493" s="6" t="s">
        <v>539</v>
      </c>
      <c r="V1493" s="6" t="s">
        <v>34</v>
      </c>
      <c r="W1493" s="6" t="s">
        <v>546</v>
      </c>
      <c r="X1493" s="6" t="s">
        <v>188</v>
      </c>
    </row>
    <row r="1494" spans="1:24" ht="15" customHeight="1" x14ac:dyDescent="0.3">
      <c r="A1494" s="6" t="s">
        <v>533</v>
      </c>
      <c r="B1494" s="6" t="s">
        <v>534</v>
      </c>
      <c r="C1494" s="6" t="s">
        <v>34</v>
      </c>
      <c r="D1494" s="1088" t="s">
        <v>539</v>
      </c>
      <c r="E1494" s="6" t="s">
        <v>188</v>
      </c>
      <c r="F1494" s="6" t="s">
        <v>546</v>
      </c>
      <c r="G1494" s="6" t="s">
        <v>1491</v>
      </c>
      <c r="H1494" s="6" t="s">
        <v>754</v>
      </c>
      <c r="J1494" s="1215" t="s">
        <v>509</v>
      </c>
      <c r="K1494" s="1219" t="s">
        <v>3033</v>
      </c>
      <c r="L1494" s="8">
        <v>62</v>
      </c>
      <c r="M1494" s="8">
        <v>472</v>
      </c>
      <c r="N1494" s="1169" t="s">
        <v>271</v>
      </c>
      <c r="P1494" s="6" t="s">
        <v>3324</v>
      </c>
      <c r="Q1494" s="1215" t="s">
        <v>253</v>
      </c>
      <c r="R1494" s="1215" t="s">
        <v>255</v>
      </c>
      <c r="S1494" s="1215" t="s">
        <v>534</v>
      </c>
      <c r="T1494" s="1215" t="s">
        <v>533</v>
      </c>
      <c r="U1494" s="6" t="s">
        <v>539</v>
      </c>
      <c r="V1494" s="6" t="s">
        <v>34</v>
      </c>
      <c r="W1494" s="6" t="s">
        <v>546</v>
      </c>
      <c r="X1494" s="6" t="s">
        <v>188</v>
      </c>
    </row>
    <row r="1495" spans="1:24" ht="15" customHeight="1" x14ac:dyDescent="0.3">
      <c r="A1495" s="6" t="s">
        <v>533</v>
      </c>
      <c r="B1495" s="6" t="s">
        <v>534</v>
      </c>
      <c r="C1495" s="6" t="s">
        <v>34</v>
      </c>
      <c r="D1495" s="1088" t="s">
        <v>539</v>
      </c>
      <c r="E1495" s="6" t="s">
        <v>188</v>
      </c>
      <c r="F1495" s="6" t="s">
        <v>546</v>
      </c>
      <c r="G1495" s="6" t="s">
        <v>1491</v>
      </c>
      <c r="H1495" s="6" t="s">
        <v>754</v>
      </c>
      <c r="J1495" s="1215" t="s">
        <v>509</v>
      </c>
      <c r="K1495" s="1219" t="s">
        <v>3109</v>
      </c>
      <c r="L1495" s="8">
        <v>30</v>
      </c>
      <c r="M1495" s="8">
        <v>116</v>
      </c>
      <c r="N1495" s="1169" t="s">
        <v>271</v>
      </c>
      <c r="P1495" s="6" t="s">
        <v>3324</v>
      </c>
      <c r="Q1495" s="1215" t="s">
        <v>253</v>
      </c>
      <c r="R1495" s="1215" t="s">
        <v>255</v>
      </c>
      <c r="S1495" s="1215" t="s">
        <v>534</v>
      </c>
      <c r="T1495" s="1215" t="s">
        <v>533</v>
      </c>
      <c r="U1495" s="6" t="s">
        <v>539</v>
      </c>
      <c r="V1495" s="6" t="s">
        <v>34</v>
      </c>
      <c r="W1495" s="6" t="s">
        <v>546</v>
      </c>
      <c r="X1495" s="6" t="s">
        <v>188</v>
      </c>
    </row>
    <row r="1496" spans="1:24" ht="15" customHeight="1" x14ac:dyDescent="0.3">
      <c r="A1496" s="6" t="s">
        <v>533</v>
      </c>
      <c r="B1496" s="6" t="s">
        <v>534</v>
      </c>
      <c r="C1496" s="6" t="s">
        <v>34</v>
      </c>
      <c r="D1496" s="1088" t="s">
        <v>539</v>
      </c>
      <c r="E1496" s="6" t="s">
        <v>188</v>
      </c>
      <c r="F1496" s="6" t="s">
        <v>546</v>
      </c>
      <c r="G1496" s="6" t="s">
        <v>1491</v>
      </c>
      <c r="H1496" s="6" t="s">
        <v>754</v>
      </c>
      <c r="J1496" s="1215" t="s">
        <v>509</v>
      </c>
      <c r="K1496" s="1219" t="s">
        <v>3110</v>
      </c>
      <c r="L1496" s="8">
        <v>5</v>
      </c>
      <c r="M1496" s="8">
        <v>20</v>
      </c>
      <c r="N1496" s="6" t="s">
        <v>271</v>
      </c>
      <c r="P1496" s="6" t="s">
        <v>3324</v>
      </c>
      <c r="Q1496" s="1215" t="s">
        <v>253</v>
      </c>
      <c r="R1496" s="1215" t="s">
        <v>255</v>
      </c>
      <c r="S1496" s="1215" t="s">
        <v>534</v>
      </c>
      <c r="T1496" s="1215" t="s">
        <v>533</v>
      </c>
      <c r="U1496" s="6" t="s">
        <v>539</v>
      </c>
      <c r="V1496" s="6" t="s">
        <v>34</v>
      </c>
      <c r="W1496" s="6" t="s">
        <v>546</v>
      </c>
      <c r="X1496" s="6" t="s">
        <v>188</v>
      </c>
    </row>
    <row r="1497" spans="1:24" ht="15" customHeight="1" x14ac:dyDescent="0.3">
      <c r="A1497" s="6" t="s">
        <v>533</v>
      </c>
      <c r="B1497" s="6" t="s">
        <v>534</v>
      </c>
      <c r="C1497" s="6" t="s">
        <v>34</v>
      </c>
      <c r="D1497" s="1088" t="s">
        <v>539</v>
      </c>
      <c r="E1497" s="1088" t="s">
        <v>188</v>
      </c>
      <c r="F1497" s="6" t="s">
        <v>546</v>
      </c>
      <c r="G1497" s="6" t="s">
        <v>1491</v>
      </c>
      <c r="H1497" s="6" t="s">
        <v>754</v>
      </c>
      <c r="J1497" s="1215" t="s">
        <v>509</v>
      </c>
      <c r="K1497" s="1219" t="s">
        <v>3111</v>
      </c>
      <c r="L1497" s="8">
        <v>20</v>
      </c>
      <c r="M1497" s="8">
        <v>147</v>
      </c>
      <c r="N1497" s="6" t="s">
        <v>271</v>
      </c>
      <c r="P1497" s="6" t="s">
        <v>3324</v>
      </c>
      <c r="Q1497" s="1215" t="s">
        <v>253</v>
      </c>
      <c r="R1497" s="1215" t="s">
        <v>255</v>
      </c>
      <c r="S1497" s="1215" t="s">
        <v>534</v>
      </c>
      <c r="T1497" s="1215" t="s">
        <v>533</v>
      </c>
      <c r="U1497" s="6" t="s">
        <v>539</v>
      </c>
      <c r="V1497" s="6" t="s">
        <v>34</v>
      </c>
      <c r="W1497" s="6" t="s">
        <v>546</v>
      </c>
      <c r="X1497" s="6" t="s">
        <v>188</v>
      </c>
    </row>
    <row r="1498" spans="1:24" ht="15" customHeight="1" x14ac:dyDescent="0.3">
      <c r="A1498" s="6" t="s">
        <v>533</v>
      </c>
      <c r="B1498" s="6" t="s">
        <v>534</v>
      </c>
      <c r="C1498" s="6" t="s">
        <v>34</v>
      </c>
      <c r="D1498" s="1088" t="s">
        <v>539</v>
      </c>
      <c r="E1498" s="6" t="s">
        <v>188</v>
      </c>
      <c r="F1498" s="6" t="s">
        <v>546</v>
      </c>
      <c r="G1498" s="6" t="s">
        <v>1491</v>
      </c>
      <c r="H1498" s="6" t="s">
        <v>754</v>
      </c>
      <c r="J1498" s="1215" t="s">
        <v>509</v>
      </c>
      <c r="K1498" s="1219" t="s">
        <v>3112</v>
      </c>
      <c r="L1498" s="8">
        <v>5</v>
      </c>
      <c r="M1498" s="8">
        <v>21</v>
      </c>
      <c r="N1498" s="6" t="s">
        <v>271</v>
      </c>
      <c r="P1498" s="6" t="s">
        <v>3324</v>
      </c>
      <c r="Q1498" s="1215" t="s">
        <v>253</v>
      </c>
      <c r="R1498" s="1215" t="s">
        <v>255</v>
      </c>
      <c r="S1498" s="1215" t="s">
        <v>534</v>
      </c>
      <c r="T1498" s="1215" t="s">
        <v>533</v>
      </c>
      <c r="U1498" s="6" t="s">
        <v>539</v>
      </c>
      <c r="V1498" s="6" t="s">
        <v>34</v>
      </c>
      <c r="W1498" s="6" t="s">
        <v>546</v>
      </c>
      <c r="X1498" s="6" t="s">
        <v>188</v>
      </c>
    </row>
    <row r="1499" spans="1:24" ht="15" customHeight="1" x14ac:dyDescent="0.3">
      <c r="A1499" s="6" t="s">
        <v>533</v>
      </c>
      <c r="B1499" s="6" t="s">
        <v>534</v>
      </c>
      <c r="C1499" s="6" t="s">
        <v>34</v>
      </c>
      <c r="D1499" s="1088" t="s">
        <v>539</v>
      </c>
      <c r="E1499" s="1088" t="s">
        <v>188</v>
      </c>
      <c r="F1499" s="6" t="s">
        <v>546</v>
      </c>
      <c r="G1499" s="6" t="s">
        <v>2829</v>
      </c>
      <c r="H1499" s="6" t="s">
        <v>1354</v>
      </c>
      <c r="J1499" s="1215" t="s">
        <v>509</v>
      </c>
      <c r="K1499" s="1219" t="s">
        <v>3109</v>
      </c>
      <c r="L1499" s="8">
        <v>3</v>
      </c>
      <c r="M1499" s="8">
        <v>7</v>
      </c>
      <c r="N1499" s="1169" t="s">
        <v>271</v>
      </c>
      <c r="P1499" s="6" t="s">
        <v>3324</v>
      </c>
      <c r="Q1499" s="1215" t="s">
        <v>253</v>
      </c>
      <c r="R1499" s="1215" t="s">
        <v>255</v>
      </c>
      <c r="S1499" s="1215" t="s">
        <v>534</v>
      </c>
      <c r="T1499" s="1215" t="s">
        <v>533</v>
      </c>
      <c r="U1499" s="6" t="s">
        <v>539</v>
      </c>
      <c r="V1499" s="6" t="s">
        <v>34</v>
      </c>
      <c r="W1499" s="6" t="s">
        <v>546</v>
      </c>
      <c r="X1499" s="6" t="s">
        <v>188</v>
      </c>
    </row>
    <row r="1500" spans="1:24" ht="15" customHeight="1" x14ac:dyDescent="0.3">
      <c r="A1500" s="6" t="s">
        <v>533</v>
      </c>
      <c r="B1500" s="6" t="s">
        <v>534</v>
      </c>
      <c r="C1500" s="6" t="s">
        <v>34</v>
      </c>
      <c r="D1500" s="1088" t="s">
        <v>539</v>
      </c>
      <c r="E1500" s="1088" t="s">
        <v>188</v>
      </c>
      <c r="F1500" s="6" t="s">
        <v>546</v>
      </c>
      <c r="G1500" s="6" t="s">
        <v>2829</v>
      </c>
      <c r="H1500" s="6" t="s">
        <v>1354</v>
      </c>
      <c r="J1500" s="1215" t="s">
        <v>509</v>
      </c>
      <c r="K1500" s="1219" t="s">
        <v>3112</v>
      </c>
      <c r="L1500" s="8">
        <v>0</v>
      </c>
      <c r="M1500" s="8">
        <v>14</v>
      </c>
      <c r="N1500" s="1169" t="s">
        <v>271</v>
      </c>
      <c r="P1500" s="6" t="s">
        <v>3324</v>
      </c>
      <c r="Q1500" s="1215" t="s">
        <v>253</v>
      </c>
      <c r="R1500" s="1215" t="s">
        <v>255</v>
      </c>
      <c r="S1500" s="1215" t="s">
        <v>534</v>
      </c>
      <c r="T1500" s="1215" t="s">
        <v>533</v>
      </c>
      <c r="U1500" s="6" t="s">
        <v>539</v>
      </c>
      <c r="V1500" s="6" t="s">
        <v>34</v>
      </c>
      <c r="W1500" s="6" t="s">
        <v>546</v>
      </c>
      <c r="X1500" s="6" t="s">
        <v>188</v>
      </c>
    </row>
    <row r="1501" spans="1:24" ht="15" customHeight="1" x14ac:dyDescent="0.3">
      <c r="A1501" s="6" t="s">
        <v>533</v>
      </c>
      <c r="B1501" s="6" t="s">
        <v>534</v>
      </c>
      <c r="C1501" s="6" t="s">
        <v>34</v>
      </c>
      <c r="D1501" s="1088" t="s">
        <v>539</v>
      </c>
      <c r="E1501" s="6" t="s">
        <v>188</v>
      </c>
      <c r="F1501" s="6" t="s">
        <v>546</v>
      </c>
      <c r="G1501" s="6" t="s">
        <v>982</v>
      </c>
      <c r="H1501" s="6" t="s">
        <v>1422</v>
      </c>
      <c r="J1501" s="1215" t="s">
        <v>509</v>
      </c>
      <c r="K1501" s="1219" t="s">
        <v>3033</v>
      </c>
      <c r="L1501" s="8">
        <v>7</v>
      </c>
      <c r="M1501" s="8">
        <v>44</v>
      </c>
      <c r="N1501" s="1169" t="s">
        <v>271</v>
      </c>
      <c r="P1501" s="6" t="s">
        <v>3324</v>
      </c>
      <c r="Q1501" s="1215" t="s">
        <v>253</v>
      </c>
      <c r="R1501" s="1215" t="s">
        <v>255</v>
      </c>
      <c r="S1501" s="1215" t="s">
        <v>534</v>
      </c>
      <c r="T1501" s="1215" t="s">
        <v>533</v>
      </c>
      <c r="U1501" s="6" t="s">
        <v>539</v>
      </c>
      <c r="V1501" s="6" t="s">
        <v>34</v>
      </c>
      <c r="W1501" s="6" t="s">
        <v>546</v>
      </c>
      <c r="X1501" s="6" t="s">
        <v>188</v>
      </c>
    </row>
    <row r="1502" spans="1:24" ht="15" customHeight="1" x14ac:dyDescent="0.3">
      <c r="A1502" s="6" t="s">
        <v>533</v>
      </c>
      <c r="B1502" s="6" t="s">
        <v>534</v>
      </c>
      <c r="C1502" s="6" t="s">
        <v>34</v>
      </c>
      <c r="D1502" s="1088" t="s">
        <v>539</v>
      </c>
      <c r="E1502" s="6" t="s">
        <v>188</v>
      </c>
      <c r="F1502" s="6" t="s">
        <v>546</v>
      </c>
      <c r="G1502" s="6" t="s">
        <v>982</v>
      </c>
      <c r="H1502" s="6" t="s">
        <v>1422</v>
      </c>
      <c r="J1502" s="1215" t="s">
        <v>509</v>
      </c>
      <c r="K1502" s="1219" t="s">
        <v>3109</v>
      </c>
      <c r="L1502" s="8">
        <v>1</v>
      </c>
      <c r="M1502" s="8">
        <v>3</v>
      </c>
      <c r="N1502" s="1169" t="s">
        <v>271</v>
      </c>
      <c r="P1502" s="6" t="s">
        <v>3324</v>
      </c>
      <c r="Q1502" s="1215" t="s">
        <v>253</v>
      </c>
      <c r="R1502" s="1215" t="s">
        <v>255</v>
      </c>
      <c r="S1502" s="1215" t="s">
        <v>534</v>
      </c>
      <c r="T1502" s="1215" t="s">
        <v>533</v>
      </c>
      <c r="U1502" s="6" t="s">
        <v>539</v>
      </c>
      <c r="V1502" s="6" t="s">
        <v>34</v>
      </c>
      <c r="W1502" s="6" t="s">
        <v>546</v>
      </c>
      <c r="X1502" s="6" t="s">
        <v>188</v>
      </c>
    </row>
    <row r="1503" spans="1:24" ht="15" customHeight="1" x14ac:dyDescent="0.3">
      <c r="A1503" s="6" t="s">
        <v>533</v>
      </c>
      <c r="B1503" s="6" t="s">
        <v>534</v>
      </c>
      <c r="C1503" s="6" t="s">
        <v>34</v>
      </c>
      <c r="D1503" s="1088" t="s">
        <v>539</v>
      </c>
      <c r="E1503" s="6" t="s">
        <v>188</v>
      </c>
      <c r="F1503" s="6" t="s">
        <v>546</v>
      </c>
      <c r="G1503" s="6" t="s">
        <v>982</v>
      </c>
      <c r="H1503" s="6" t="s">
        <v>1422</v>
      </c>
      <c r="J1503" s="1215" t="s">
        <v>509</v>
      </c>
      <c r="K1503" s="1219" t="s">
        <v>3110</v>
      </c>
      <c r="L1503" s="8">
        <v>0</v>
      </c>
      <c r="M1503" s="8">
        <v>37</v>
      </c>
      <c r="N1503" s="1169" t="s">
        <v>271</v>
      </c>
      <c r="P1503" s="6" t="s">
        <v>3324</v>
      </c>
      <c r="Q1503" s="1215" t="s">
        <v>253</v>
      </c>
      <c r="R1503" s="1215" t="s">
        <v>255</v>
      </c>
      <c r="S1503" s="1215" t="s">
        <v>534</v>
      </c>
      <c r="T1503" s="1215" t="s">
        <v>533</v>
      </c>
      <c r="U1503" s="6" t="s">
        <v>539</v>
      </c>
      <c r="V1503" s="6" t="s">
        <v>34</v>
      </c>
      <c r="W1503" s="6" t="s">
        <v>546</v>
      </c>
      <c r="X1503" s="6" t="s">
        <v>188</v>
      </c>
    </row>
    <row r="1504" spans="1:24" ht="15" customHeight="1" x14ac:dyDescent="0.3">
      <c r="A1504" s="6" t="s">
        <v>533</v>
      </c>
      <c r="B1504" s="6" t="s">
        <v>534</v>
      </c>
      <c r="C1504" s="6" t="s">
        <v>34</v>
      </c>
      <c r="D1504" s="1088" t="s">
        <v>539</v>
      </c>
      <c r="E1504" s="6" t="s">
        <v>188</v>
      </c>
      <c r="F1504" s="6" t="s">
        <v>546</v>
      </c>
      <c r="G1504" s="6" t="s">
        <v>982</v>
      </c>
      <c r="H1504" s="6" t="s">
        <v>1422</v>
      </c>
      <c r="J1504" s="1215" t="s">
        <v>509</v>
      </c>
      <c r="K1504" s="1219" t="s">
        <v>3111</v>
      </c>
      <c r="L1504" s="8">
        <v>0</v>
      </c>
      <c r="M1504" s="8">
        <v>10</v>
      </c>
      <c r="N1504" s="1169" t="s">
        <v>271</v>
      </c>
      <c r="P1504" s="6" t="s">
        <v>3324</v>
      </c>
      <c r="Q1504" s="1215" t="s">
        <v>253</v>
      </c>
      <c r="R1504" s="1215" t="s">
        <v>255</v>
      </c>
      <c r="S1504" s="1215" t="s">
        <v>534</v>
      </c>
      <c r="T1504" s="1215" t="s">
        <v>533</v>
      </c>
      <c r="U1504" s="6" t="s">
        <v>539</v>
      </c>
      <c r="V1504" s="6" t="s">
        <v>34</v>
      </c>
      <c r="W1504" s="6" t="s">
        <v>546</v>
      </c>
      <c r="X1504" s="6" t="s">
        <v>188</v>
      </c>
    </row>
    <row r="1505" spans="1:24" ht="15" customHeight="1" x14ac:dyDescent="0.3">
      <c r="A1505" s="6" t="s">
        <v>533</v>
      </c>
      <c r="B1505" s="6" t="s">
        <v>534</v>
      </c>
      <c r="C1505" s="6" t="s">
        <v>34</v>
      </c>
      <c r="D1505" s="1088" t="s">
        <v>539</v>
      </c>
      <c r="E1505" s="6" t="s">
        <v>188</v>
      </c>
      <c r="F1505" s="6" t="s">
        <v>546</v>
      </c>
      <c r="G1505" s="6" t="s">
        <v>982</v>
      </c>
      <c r="H1505" s="6" t="s">
        <v>1422</v>
      </c>
      <c r="J1505" s="1215" t="s">
        <v>509</v>
      </c>
      <c r="K1505" s="1219" t="s">
        <v>3112</v>
      </c>
      <c r="L1505" s="8">
        <v>0</v>
      </c>
      <c r="M1505" s="8">
        <v>15</v>
      </c>
      <c r="N1505" s="1169" t="s">
        <v>271</v>
      </c>
      <c r="P1505" s="6" t="s">
        <v>3324</v>
      </c>
      <c r="Q1505" s="1215" t="s">
        <v>253</v>
      </c>
      <c r="R1505" s="1215" t="s">
        <v>255</v>
      </c>
      <c r="S1505" s="1215" t="s">
        <v>534</v>
      </c>
      <c r="T1505" s="1215" t="s">
        <v>533</v>
      </c>
      <c r="U1505" s="6" t="s">
        <v>539</v>
      </c>
      <c r="V1505" s="6" t="s">
        <v>34</v>
      </c>
      <c r="W1505" s="6" t="s">
        <v>546</v>
      </c>
      <c r="X1505" s="6" t="s">
        <v>188</v>
      </c>
    </row>
    <row r="1506" spans="1:24" ht="15" customHeight="1" x14ac:dyDescent="0.3">
      <c r="A1506" s="6" t="s">
        <v>533</v>
      </c>
      <c r="B1506" s="6" t="s">
        <v>534</v>
      </c>
      <c r="C1506" s="6" t="s">
        <v>34</v>
      </c>
      <c r="D1506" s="1088" t="s">
        <v>539</v>
      </c>
      <c r="E1506" s="6" t="s">
        <v>188</v>
      </c>
      <c r="F1506" s="6" t="s">
        <v>546</v>
      </c>
      <c r="G1506" s="6" t="s">
        <v>1233</v>
      </c>
      <c r="H1506" s="6" t="s">
        <v>1234</v>
      </c>
      <c r="J1506" s="1215" t="s">
        <v>509</v>
      </c>
      <c r="K1506" s="1219" t="s">
        <v>3033</v>
      </c>
      <c r="L1506" s="8">
        <v>41</v>
      </c>
      <c r="M1506" s="8">
        <v>185</v>
      </c>
      <c r="N1506" s="1169" t="s">
        <v>271</v>
      </c>
      <c r="P1506" s="6" t="s">
        <v>3324</v>
      </c>
      <c r="Q1506" s="1215" t="s">
        <v>253</v>
      </c>
      <c r="R1506" s="1215" t="s">
        <v>255</v>
      </c>
      <c r="S1506" s="1215" t="s">
        <v>534</v>
      </c>
      <c r="T1506" s="1215" t="s">
        <v>533</v>
      </c>
      <c r="U1506" s="6" t="s">
        <v>539</v>
      </c>
      <c r="V1506" s="6" t="s">
        <v>34</v>
      </c>
      <c r="W1506" s="6" t="s">
        <v>546</v>
      </c>
      <c r="X1506" s="6" t="s">
        <v>188</v>
      </c>
    </row>
    <row r="1507" spans="1:24" ht="15" customHeight="1" x14ac:dyDescent="0.3">
      <c r="A1507" s="6" t="s">
        <v>533</v>
      </c>
      <c r="B1507" s="6" t="s">
        <v>534</v>
      </c>
      <c r="C1507" s="6" t="s">
        <v>34</v>
      </c>
      <c r="D1507" s="1088" t="s">
        <v>539</v>
      </c>
      <c r="E1507" s="6" t="s">
        <v>188</v>
      </c>
      <c r="F1507" s="6" t="s">
        <v>546</v>
      </c>
      <c r="G1507" s="6" t="s">
        <v>1233</v>
      </c>
      <c r="H1507" s="6" t="s">
        <v>1234</v>
      </c>
      <c r="J1507" s="1215" t="s">
        <v>509</v>
      </c>
      <c r="K1507" s="1219" t="s">
        <v>3109</v>
      </c>
      <c r="L1507" s="8">
        <v>20</v>
      </c>
      <c r="M1507" s="8">
        <v>109</v>
      </c>
      <c r="N1507" s="1169" t="s">
        <v>271</v>
      </c>
      <c r="P1507" s="6" t="s">
        <v>3324</v>
      </c>
      <c r="Q1507" s="1215" t="s">
        <v>253</v>
      </c>
      <c r="R1507" s="1215" t="s">
        <v>255</v>
      </c>
      <c r="S1507" s="1215" t="s">
        <v>534</v>
      </c>
      <c r="T1507" s="1215" t="s">
        <v>533</v>
      </c>
      <c r="U1507" s="6" t="s">
        <v>539</v>
      </c>
      <c r="V1507" s="6" t="s">
        <v>34</v>
      </c>
      <c r="W1507" s="6" t="s">
        <v>546</v>
      </c>
      <c r="X1507" s="6" t="s">
        <v>188</v>
      </c>
    </row>
    <row r="1508" spans="1:24" ht="15" customHeight="1" x14ac:dyDescent="0.3">
      <c r="A1508" s="6" t="s">
        <v>533</v>
      </c>
      <c r="B1508" s="6" t="s">
        <v>534</v>
      </c>
      <c r="C1508" s="6" t="s">
        <v>34</v>
      </c>
      <c r="D1508" s="1088" t="s">
        <v>539</v>
      </c>
      <c r="E1508" s="6" t="s">
        <v>188</v>
      </c>
      <c r="F1508" s="6" t="s">
        <v>546</v>
      </c>
      <c r="G1508" s="6" t="s">
        <v>1233</v>
      </c>
      <c r="H1508" s="6" t="s">
        <v>1234</v>
      </c>
      <c r="J1508" s="1215" t="s">
        <v>509</v>
      </c>
      <c r="K1508" s="1219" t="s">
        <v>3110</v>
      </c>
      <c r="L1508" s="8">
        <v>3</v>
      </c>
      <c r="M1508" s="8">
        <v>37</v>
      </c>
      <c r="N1508" s="1169" t="s">
        <v>271</v>
      </c>
      <c r="P1508" s="6" t="s">
        <v>3324</v>
      </c>
      <c r="Q1508" s="1215" t="s">
        <v>253</v>
      </c>
      <c r="R1508" s="1215" t="s">
        <v>255</v>
      </c>
      <c r="S1508" s="1215" t="s">
        <v>534</v>
      </c>
      <c r="T1508" s="1215" t="s">
        <v>533</v>
      </c>
      <c r="U1508" s="6" t="s">
        <v>539</v>
      </c>
      <c r="V1508" s="6" t="s">
        <v>34</v>
      </c>
      <c r="W1508" s="6" t="s">
        <v>546</v>
      </c>
      <c r="X1508" s="6" t="s">
        <v>188</v>
      </c>
    </row>
    <row r="1509" spans="1:24" ht="15" customHeight="1" x14ac:dyDescent="0.3">
      <c r="A1509" s="6" t="s">
        <v>533</v>
      </c>
      <c r="B1509" s="6" t="s">
        <v>534</v>
      </c>
      <c r="C1509" s="6" t="s">
        <v>34</v>
      </c>
      <c r="D1509" s="1088" t="s">
        <v>539</v>
      </c>
      <c r="E1509" s="6" t="s">
        <v>188</v>
      </c>
      <c r="F1509" s="6" t="s">
        <v>546</v>
      </c>
      <c r="G1509" s="6" t="s">
        <v>1233</v>
      </c>
      <c r="H1509" s="6" t="s">
        <v>1234</v>
      </c>
      <c r="J1509" s="1215" t="s">
        <v>509</v>
      </c>
      <c r="K1509" s="1219" t="s">
        <v>3111</v>
      </c>
      <c r="L1509" s="8">
        <v>6</v>
      </c>
      <c r="M1509" s="8">
        <v>34</v>
      </c>
      <c r="N1509" s="1169" t="s">
        <v>271</v>
      </c>
      <c r="P1509" s="6" t="s">
        <v>3324</v>
      </c>
      <c r="Q1509" s="1215" t="s">
        <v>253</v>
      </c>
      <c r="R1509" s="1215" t="s">
        <v>255</v>
      </c>
      <c r="S1509" s="1215" t="s">
        <v>534</v>
      </c>
      <c r="T1509" s="1215" t="s">
        <v>533</v>
      </c>
      <c r="U1509" s="6" t="s">
        <v>539</v>
      </c>
      <c r="V1509" s="6" t="s">
        <v>34</v>
      </c>
      <c r="W1509" s="6" t="s">
        <v>546</v>
      </c>
      <c r="X1509" s="6" t="s">
        <v>188</v>
      </c>
    </row>
    <row r="1510" spans="1:24" ht="15" customHeight="1" x14ac:dyDescent="0.3">
      <c r="A1510" s="6" t="s">
        <v>533</v>
      </c>
      <c r="B1510" s="6" t="s">
        <v>534</v>
      </c>
      <c r="C1510" s="6" t="s">
        <v>34</v>
      </c>
      <c r="D1510" s="1088" t="s">
        <v>539</v>
      </c>
      <c r="E1510" s="6" t="s">
        <v>188</v>
      </c>
      <c r="F1510" s="6" t="s">
        <v>546</v>
      </c>
      <c r="G1510" s="6" t="s">
        <v>1233</v>
      </c>
      <c r="H1510" s="6" t="s">
        <v>1234</v>
      </c>
      <c r="J1510" s="1215" t="s">
        <v>509</v>
      </c>
      <c r="K1510" s="1219" t="s">
        <v>3112</v>
      </c>
      <c r="L1510" s="8">
        <v>0</v>
      </c>
      <c r="M1510" s="8">
        <v>3</v>
      </c>
      <c r="N1510" s="1169" t="s">
        <v>271</v>
      </c>
      <c r="P1510" s="6" t="s">
        <v>3324</v>
      </c>
      <c r="Q1510" s="1215" t="s">
        <v>253</v>
      </c>
      <c r="R1510" s="1215" t="s">
        <v>255</v>
      </c>
      <c r="S1510" s="1215" t="s">
        <v>534</v>
      </c>
      <c r="T1510" s="1215" t="s">
        <v>533</v>
      </c>
      <c r="U1510" s="6" t="s">
        <v>539</v>
      </c>
      <c r="V1510" s="6" t="s">
        <v>34</v>
      </c>
      <c r="W1510" s="6" t="s">
        <v>546</v>
      </c>
      <c r="X1510" s="6" t="s">
        <v>188</v>
      </c>
    </row>
    <row r="1511" spans="1:24" ht="15" customHeight="1" x14ac:dyDescent="0.3">
      <c r="A1511" s="6" t="s">
        <v>533</v>
      </c>
      <c r="B1511" s="6" t="s">
        <v>534</v>
      </c>
      <c r="C1511" s="6" t="s">
        <v>34</v>
      </c>
      <c r="D1511" s="1088" t="s">
        <v>539</v>
      </c>
      <c r="E1511" s="6" t="s">
        <v>188</v>
      </c>
      <c r="F1511" s="6" t="s">
        <v>546</v>
      </c>
      <c r="G1511" s="6" t="s">
        <v>804</v>
      </c>
      <c r="H1511" s="6" t="s">
        <v>1236</v>
      </c>
      <c r="J1511" s="1215" t="s">
        <v>509</v>
      </c>
      <c r="K1511" s="1219" t="s">
        <v>3033</v>
      </c>
      <c r="L1511" s="8">
        <v>37</v>
      </c>
      <c r="M1511" s="8">
        <v>166</v>
      </c>
      <c r="N1511" s="1169" t="s">
        <v>271</v>
      </c>
      <c r="P1511" s="6" t="s">
        <v>3324</v>
      </c>
      <c r="Q1511" s="1215" t="s">
        <v>253</v>
      </c>
      <c r="R1511" s="1215" t="s">
        <v>255</v>
      </c>
      <c r="S1511" s="1215" t="s">
        <v>534</v>
      </c>
      <c r="T1511" s="1215" t="s">
        <v>533</v>
      </c>
      <c r="U1511" s="6" t="s">
        <v>539</v>
      </c>
      <c r="V1511" s="6" t="s">
        <v>34</v>
      </c>
      <c r="W1511" s="6" t="s">
        <v>546</v>
      </c>
      <c r="X1511" s="6" t="s">
        <v>188</v>
      </c>
    </row>
    <row r="1512" spans="1:24" ht="15" customHeight="1" x14ac:dyDescent="0.3">
      <c r="A1512" s="6" t="s">
        <v>533</v>
      </c>
      <c r="B1512" s="6" t="s">
        <v>534</v>
      </c>
      <c r="C1512" s="6" t="s">
        <v>34</v>
      </c>
      <c r="D1512" s="1088" t="s">
        <v>539</v>
      </c>
      <c r="E1512" s="6" t="s">
        <v>188</v>
      </c>
      <c r="F1512" s="6" t="s">
        <v>546</v>
      </c>
      <c r="G1512" s="6" t="s">
        <v>804</v>
      </c>
      <c r="H1512" s="6" t="s">
        <v>1236</v>
      </c>
      <c r="J1512" s="1215" t="s">
        <v>509</v>
      </c>
      <c r="K1512" s="1219" t="s">
        <v>3109</v>
      </c>
      <c r="L1512" s="8">
        <v>83</v>
      </c>
      <c r="M1512" s="8">
        <v>427</v>
      </c>
      <c r="N1512" s="1169" t="s">
        <v>271</v>
      </c>
      <c r="P1512" s="6" t="s">
        <v>3324</v>
      </c>
      <c r="Q1512" s="1215" t="s">
        <v>253</v>
      </c>
      <c r="R1512" s="1215" t="s">
        <v>255</v>
      </c>
      <c r="S1512" s="1215" t="s">
        <v>534</v>
      </c>
      <c r="T1512" s="1215" t="s">
        <v>533</v>
      </c>
      <c r="U1512" s="6" t="s">
        <v>539</v>
      </c>
      <c r="V1512" s="6" t="s">
        <v>34</v>
      </c>
      <c r="W1512" s="6" t="s">
        <v>546</v>
      </c>
      <c r="X1512" s="6" t="s">
        <v>188</v>
      </c>
    </row>
    <row r="1513" spans="1:24" ht="15" customHeight="1" x14ac:dyDescent="0.3">
      <c r="A1513" s="6" t="s">
        <v>533</v>
      </c>
      <c r="B1513" s="6" t="s">
        <v>534</v>
      </c>
      <c r="C1513" s="6" t="s">
        <v>34</v>
      </c>
      <c r="D1513" s="1088" t="s">
        <v>539</v>
      </c>
      <c r="E1513" s="6" t="s">
        <v>188</v>
      </c>
      <c r="F1513" s="6" t="s">
        <v>546</v>
      </c>
      <c r="G1513" s="6" t="s">
        <v>804</v>
      </c>
      <c r="H1513" s="6" t="s">
        <v>1236</v>
      </c>
      <c r="J1513" s="1215" t="s">
        <v>509</v>
      </c>
      <c r="K1513" s="1219" t="s">
        <v>3110</v>
      </c>
      <c r="L1513" s="8">
        <v>15</v>
      </c>
      <c r="M1513" s="8">
        <v>114</v>
      </c>
      <c r="N1513" s="1169" t="s">
        <v>271</v>
      </c>
      <c r="P1513" s="6" t="s">
        <v>3324</v>
      </c>
      <c r="Q1513" s="1215" t="s">
        <v>253</v>
      </c>
      <c r="R1513" s="1215" t="s">
        <v>255</v>
      </c>
      <c r="S1513" s="1215" t="s">
        <v>534</v>
      </c>
      <c r="T1513" s="1215" t="s">
        <v>533</v>
      </c>
      <c r="U1513" s="6" t="s">
        <v>539</v>
      </c>
      <c r="V1513" s="6" t="s">
        <v>34</v>
      </c>
      <c r="W1513" s="6" t="s">
        <v>546</v>
      </c>
      <c r="X1513" s="6" t="s">
        <v>188</v>
      </c>
    </row>
    <row r="1514" spans="1:24" ht="15" customHeight="1" x14ac:dyDescent="0.3">
      <c r="A1514" s="6" t="s">
        <v>533</v>
      </c>
      <c r="B1514" s="6" t="s">
        <v>534</v>
      </c>
      <c r="C1514" s="6" t="s">
        <v>34</v>
      </c>
      <c r="D1514" s="1088" t="s">
        <v>539</v>
      </c>
      <c r="E1514" s="6" t="s">
        <v>188</v>
      </c>
      <c r="F1514" s="6" t="s">
        <v>546</v>
      </c>
      <c r="G1514" s="6" t="s">
        <v>804</v>
      </c>
      <c r="H1514" s="6" t="s">
        <v>1236</v>
      </c>
      <c r="J1514" s="1215" t="s">
        <v>509</v>
      </c>
      <c r="K1514" s="1219" t="s">
        <v>3111</v>
      </c>
      <c r="L1514" s="8">
        <v>12</v>
      </c>
      <c r="M1514" s="8">
        <v>75</v>
      </c>
      <c r="N1514" s="1169" t="s">
        <v>271</v>
      </c>
      <c r="P1514" s="6" t="s">
        <v>3324</v>
      </c>
      <c r="Q1514" s="1215" t="s">
        <v>253</v>
      </c>
      <c r="R1514" s="1215" t="s">
        <v>255</v>
      </c>
      <c r="S1514" s="1215" t="s">
        <v>534</v>
      </c>
      <c r="T1514" s="1215" t="s">
        <v>533</v>
      </c>
      <c r="U1514" s="6" t="s">
        <v>539</v>
      </c>
      <c r="V1514" s="6" t="s">
        <v>34</v>
      </c>
      <c r="W1514" s="6" t="s">
        <v>546</v>
      </c>
      <c r="X1514" s="6" t="s">
        <v>188</v>
      </c>
    </row>
    <row r="1515" spans="1:24" ht="15" customHeight="1" x14ac:dyDescent="0.3">
      <c r="A1515" s="6" t="s">
        <v>533</v>
      </c>
      <c r="B1515" s="6" t="s">
        <v>534</v>
      </c>
      <c r="C1515" s="6" t="s">
        <v>34</v>
      </c>
      <c r="D1515" s="1088" t="s">
        <v>539</v>
      </c>
      <c r="E1515" s="6" t="s">
        <v>188</v>
      </c>
      <c r="F1515" s="6" t="s">
        <v>546</v>
      </c>
      <c r="G1515" s="6" t="s">
        <v>804</v>
      </c>
      <c r="H1515" s="6" t="s">
        <v>1236</v>
      </c>
      <c r="J1515" s="1215" t="s">
        <v>509</v>
      </c>
      <c r="K1515" s="1219" t="s">
        <v>3112</v>
      </c>
      <c r="L1515" s="8">
        <v>17</v>
      </c>
      <c r="M1515" s="8">
        <v>61</v>
      </c>
      <c r="N1515" s="1169" t="s">
        <v>271</v>
      </c>
      <c r="P1515" s="6" t="s">
        <v>3324</v>
      </c>
      <c r="Q1515" s="1215" t="s">
        <v>253</v>
      </c>
      <c r="R1515" s="1215" t="s">
        <v>255</v>
      </c>
      <c r="S1515" s="1215" t="s">
        <v>534</v>
      </c>
      <c r="T1515" s="1215" t="s">
        <v>533</v>
      </c>
      <c r="U1515" s="6" t="s">
        <v>539</v>
      </c>
      <c r="V1515" s="6" t="s">
        <v>34</v>
      </c>
      <c r="W1515" s="6" t="s">
        <v>546</v>
      </c>
      <c r="X1515" s="6" t="s">
        <v>188</v>
      </c>
    </row>
    <row r="1516" spans="1:24" ht="15" customHeight="1" x14ac:dyDescent="0.3">
      <c r="A1516" s="6" t="s">
        <v>533</v>
      </c>
      <c r="B1516" s="6" t="s">
        <v>534</v>
      </c>
      <c r="C1516" s="6" t="s">
        <v>34</v>
      </c>
      <c r="D1516" s="1088" t="s">
        <v>539</v>
      </c>
      <c r="E1516" s="6" t="s">
        <v>188</v>
      </c>
      <c r="F1516" s="6" t="s">
        <v>546</v>
      </c>
      <c r="G1516" s="6" t="s">
        <v>753</v>
      </c>
      <c r="H1516" s="6" t="s">
        <v>1682</v>
      </c>
      <c r="J1516" s="1215" t="s">
        <v>509</v>
      </c>
      <c r="K1516" s="1219" t="s">
        <v>3033</v>
      </c>
      <c r="L1516" s="8">
        <v>240</v>
      </c>
      <c r="M1516" s="8">
        <v>282</v>
      </c>
      <c r="N1516" s="1169" t="s">
        <v>271</v>
      </c>
      <c r="P1516" s="6" t="s">
        <v>3324</v>
      </c>
      <c r="Q1516" s="1215" t="s">
        <v>253</v>
      </c>
      <c r="R1516" s="1215" t="s">
        <v>255</v>
      </c>
      <c r="S1516" s="1215" t="s">
        <v>534</v>
      </c>
      <c r="T1516" s="1215" t="s">
        <v>533</v>
      </c>
      <c r="U1516" s="6" t="s">
        <v>539</v>
      </c>
      <c r="V1516" s="6" t="s">
        <v>34</v>
      </c>
      <c r="W1516" s="6" t="s">
        <v>546</v>
      </c>
      <c r="X1516" s="6" t="s">
        <v>188</v>
      </c>
    </row>
    <row r="1517" spans="1:24" ht="15" customHeight="1" x14ac:dyDescent="0.3">
      <c r="A1517" s="6" t="s">
        <v>533</v>
      </c>
      <c r="B1517" s="6" t="s">
        <v>534</v>
      </c>
      <c r="C1517" s="6" t="s">
        <v>34</v>
      </c>
      <c r="D1517" s="1088" t="s">
        <v>539</v>
      </c>
      <c r="E1517" s="6" t="s">
        <v>188</v>
      </c>
      <c r="F1517" s="6" t="s">
        <v>546</v>
      </c>
      <c r="G1517" s="6" t="s">
        <v>753</v>
      </c>
      <c r="H1517" s="6" t="s">
        <v>1682</v>
      </c>
      <c r="J1517" s="1215" t="s">
        <v>509</v>
      </c>
      <c r="K1517" s="1219" t="s">
        <v>3109</v>
      </c>
      <c r="L1517" s="8">
        <v>20</v>
      </c>
      <c r="M1517" s="8">
        <v>151</v>
      </c>
      <c r="N1517" s="1169" t="s">
        <v>271</v>
      </c>
      <c r="P1517" s="6" t="s">
        <v>3324</v>
      </c>
      <c r="Q1517" s="1215" t="s">
        <v>253</v>
      </c>
      <c r="R1517" s="1215" t="s">
        <v>255</v>
      </c>
      <c r="S1517" s="1215" t="s">
        <v>534</v>
      </c>
      <c r="T1517" s="1215" t="s">
        <v>533</v>
      </c>
      <c r="U1517" s="6" t="s">
        <v>539</v>
      </c>
      <c r="V1517" s="6" t="s">
        <v>34</v>
      </c>
      <c r="W1517" s="6" t="s">
        <v>546</v>
      </c>
      <c r="X1517" s="6" t="s">
        <v>188</v>
      </c>
    </row>
    <row r="1518" spans="1:24" ht="15" customHeight="1" x14ac:dyDescent="0.3">
      <c r="A1518" s="6" t="s">
        <v>533</v>
      </c>
      <c r="B1518" s="6" t="s">
        <v>534</v>
      </c>
      <c r="C1518" s="6" t="s">
        <v>34</v>
      </c>
      <c r="D1518" s="1088" t="s">
        <v>539</v>
      </c>
      <c r="E1518" s="6" t="s">
        <v>188</v>
      </c>
      <c r="F1518" s="6" t="s">
        <v>546</v>
      </c>
      <c r="G1518" s="6" t="s">
        <v>753</v>
      </c>
      <c r="H1518" s="6" t="s">
        <v>1682</v>
      </c>
      <c r="J1518" s="1215" t="s">
        <v>509</v>
      </c>
      <c r="K1518" s="1219" t="s">
        <v>3110</v>
      </c>
      <c r="L1518" s="8">
        <v>20</v>
      </c>
      <c r="M1518" s="8">
        <v>100</v>
      </c>
      <c r="N1518" s="1169" t="s">
        <v>271</v>
      </c>
      <c r="P1518" s="6" t="s">
        <v>3324</v>
      </c>
      <c r="Q1518" s="1215" t="s">
        <v>253</v>
      </c>
      <c r="R1518" s="1215" t="s">
        <v>255</v>
      </c>
      <c r="S1518" s="1215" t="s">
        <v>534</v>
      </c>
      <c r="T1518" s="1215" t="s">
        <v>533</v>
      </c>
      <c r="U1518" s="6" t="s">
        <v>539</v>
      </c>
      <c r="V1518" s="6" t="s">
        <v>34</v>
      </c>
      <c r="W1518" s="6" t="s">
        <v>546</v>
      </c>
      <c r="X1518" s="6" t="s">
        <v>188</v>
      </c>
    </row>
    <row r="1519" spans="1:24" ht="15" customHeight="1" x14ac:dyDescent="0.3">
      <c r="A1519" s="6" t="s">
        <v>533</v>
      </c>
      <c r="B1519" s="6" t="s">
        <v>534</v>
      </c>
      <c r="C1519" s="6" t="s">
        <v>34</v>
      </c>
      <c r="D1519" s="1088" t="s">
        <v>539</v>
      </c>
      <c r="E1519" s="6" t="s">
        <v>188</v>
      </c>
      <c r="F1519" s="6" t="s">
        <v>546</v>
      </c>
      <c r="G1519" s="6" t="s">
        <v>753</v>
      </c>
      <c r="H1519" s="6" t="s">
        <v>1682</v>
      </c>
      <c r="J1519" s="1215" t="s">
        <v>509</v>
      </c>
      <c r="K1519" s="1219" t="s">
        <v>3111</v>
      </c>
      <c r="L1519" s="8">
        <v>28</v>
      </c>
      <c r="M1519" s="8">
        <v>160</v>
      </c>
      <c r="N1519" s="1169" t="s">
        <v>271</v>
      </c>
      <c r="P1519" s="6" t="s">
        <v>3324</v>
      </c>
      <c r="Q1519" s="1215" t="s">
        <v>253</v>
      </c>
      <c r="R1519" s="1215" t="s">
        <v>255</v>
      </c>
      <c r="S1519" s="1215" t="s">
        <v>534</v>
      </c>
      <c r="T1519" s="1215" t="s">
        <v>533</v>
      </c>
      <c r="U1519" s="6" t="s">
        <v>539</v>
      </c>
      <c r="V1519" s="6" t="s">
        <v>34</v>
      </c>
      <c r="W1519" s="6" t="s">
        <v>546</v>
      </c>
      <c r="X1519" s="6" t="s">
        <v>188</v>
      </c>
    </row>
    <row r="1520" spans="1:24" ht="15" customHeight="1" x14ac:dyDescent="0.3">
      <c r="A1520" s="6" t="s">
        <v>533</v>
      </c>
      <c r="B1520" s="6" t="s">
        <v>534</v>
      </c>
      <c r="C1520" s="6" t="s">
        <v>34</v>
      </c>
      <c r="D1520" s="1088" t="s">
        <v>539</v>
      </c>
      <c r="E1520" s="6" t="s">
        <v>188</v>
      </c>
      <c r="F1520" s="6" t="s">
        <v>546</v>
      </c>
      <c r="G1520" s="6" t="s">
        <v>753</v>
      </c>
      <c r="H1520" s="6" t="s">
        <v>1682</v>
      </c>
      <c r="J1520" s="1215" t="s">
        <v>509</v>
      </c>
      <c r="K1520" s="1219" t="s">
        <v>3112</v>
      </c>
      <c r="L1520" s="8">
        <v>0</v>
      </c>
      <c r="M1520" s="8">
        <v>3</v>
      </c>
      <c r="N1520" s="1169" t="s">
        <v>271</v>
      </c>
      <c r="P1520" s="6" t="s">
        <v>3324</v>
      </c>
      <c r="Q1520" s="1215" t="s">
        <v>253</v>
      </c>
      <c r="R1520" s="1215" t="s">
        <v>255</v>
      </c>
      <c r="S1520" s="1215" t="s">
        <v>534</v>
      </c>
      <c r="T1520" s="1215" t="s">
        <v>533</v>
      </c>
      <c r="U1520" s="6" t="s">
        <v>539</v>
      </c>
      <c r="V1520" s="6" t="s">
        <v>34</v>
      </c>
      <c r="W1520" s="6" t="s">
        <v>546</v>
      </c>
      <c r="X1520" s="6" t="s">
        <v>188</v>
      </c>
    </row>
    <row r="1521" spans="1:24" ht="15" customHeight="1" x14ac:dyDescent="0.3">
      <c r="A1521" s="6" t="s">
        <v>533</v>
      </c>
      <c r="B1521" s="6" t="s">
        <v>534</v>
      </c>
      <c r="C1521" s="6" t="s">
        <v>31</v>
      </c>
      <c r="D1521" s="1088" t="s">
        <v>549</v>
      </c>
      <c r="E1521" s="6" t="s">
        <v>171</v>
      </c>
      <c r="F1521" s="6" t="s">
        <v>634</v>
      </c>
      <c r="G1521" s="6" t="s">
        <v>1252</v>
      </c>
      <c r="H1521" s="6" t="s">
        <v>2019</v>
      </c>
      <c r="J1521" s="1215" t="s">
        <v>509</v>
      </c>
      <c r="K1521" s="1219" t="s">
        <v>3109</v>
      </c>
      <c r="L1521" s="8">
        <v>47</v>
      </c>
      <c r="M1521" s="8">
        <v>440</v>
      </c>
      <c r="N1521" s="1169" t="s">
        <v>271</v>
      </c>
      <c r="P1521" s="6" t="s">
        <v>3324</v>
      </c>
      <c r="Q1521" s="1215" t="s">
        <v>253</v>
      </c>
      <c r="R1521" s="1215" t="s">
        <v>255</v>
      </c>
      <c r="S1521" s="1215" t="s">
        <v>534</v>
      </c>
      <c r="T1521" s="1215" t="s">
        <v>533</v>
      </c>
      <c r="U1521" s="6" t="s">
        <v>549</v>
      </c>
      <c r="V1521" s="6" t="s">
        <v>31</v>
      </c>
      <c r="W1521" s="6" t="s">
        <v>634</v>
      </c>
      <c r="X1521" s="6" t="s">
        <v>171</v>
      </c>
    </row>
    <row r="1522" spans="1:24" ht="15" customHeight="1" x14ac:dyDescent="0.3">
      <c r="A1522" s="6" t="s">
        <v>533</v>
      </c>
      <c r="B1522" s="6" t="s">
        <v>534</v>
      </c>
      <c r="C1522" s="6" t="s">
        <v>31</v>
      </c>
      <c r="D1522" s="1088" t="s">
        <v>549</v>
      </c>
      <c r="E1522" s="6" t="s">
        <v>166</v>
      </c>
      <c r="F1522" s="6" t="s">
        <v>844</v>
      </c>
      <c r="G1522" s="6" t="s">
        <v>1224</v>
      </c>
      <c r="H1522" s="6" t="s">
        <v>1225</v>
      </c>
      <c r="J1522" s="1215" t="s">
        <v>509</v>
      </c>
      <c r="K1522" s="1219" t="s">
        <v>3033</v>
      </c>
      <c r="L1522" s="8">
        <v>22</v>
      </c>
      <c r="M1522" s="8">
        <v>158</v>
      </c>
      <c r="N1522" s="1169" t="s">
        <v>271</v>
      </c>
      <c r="P1522" s="6" t="s">
        <v>3324</v>
      </c>
      <c r="Q1522" s="1215" t="s">
        <v>253</v>
      </c>
      <c r="R1522" s="1215" t="s">
        <v>255</v>
      </c>
      <c r="S1522" s="1215" t="s">
        <v>534</v>
      </c>
      <c r="T1522" s="1215" t="s">
        <v>533</v>
      </c>
      <c r="U1522" s="6" t="s">
        <v>549</v>
      </c>
      <c r="V1522" s="6" t="s">
        <v>31</v>
      </c>
      <c r="W1522" s="6" t="s">
        <v>844</v>
      </c>
      <c r="X1522" s="6" t="s">
        <v>166</v>
      </c>
    </row>
    <row r="1523" spans="1:24" ht="15" customHeight="1" x14ac:dyDescent="0.3">
      <c r="A1523" s="6" t="s">
        <v>533</v>
      </c>
      <c r="B1523" s="6" t="s">
        <v>534</v>
      </c>
      <c r="C1523" s="6" t="s">
        <v>31</v>
      </c>
      <c r="D1523" s="1088" t="s">
        <v>549</v>
      </c>
      <c r="E1523" s="6" t="s">
        <v>169</v>
      </c>
      <c r="F1523" s="6" t="s">
        <v>673</v>
      </c>
      <c r="G1523" s="6" t="s">
        <v>1520</v>
      </c>
      <c r="H1523" s="6" t="s">
        <v>1128</v>
      </c>
      <c r="J1523" s="1215" t="s">
        <v>509</v>
      </c>
      <c r="K1523" s="1219" t="s">
        <v>3033</v>
      </c>
      <c r="L1523" s="8">
        <v>15</v>
      </c>
      <c r="M1523" s="8">
        <v>31</v>
      </c>
      <c r="N1523" s="1169" t="s">
        <v>271</v>
      </c>
      <c r="P1523" s="6" t="s">
        <v>3324</v>
      </c>
      <c r="Q1523" s="1215" t="s">
        <v>253</v>
      </c>
      <c r="R1523" s="1215" t="s">
        <v>255</v>
      </c>
      <c r="S1523" s="1215" t="s">
        <v>534</v>
      </c>
      <c r="T1523" s="1215" t="s">
        <v>533</v>
      </c>
      <c r="U1523" s="6" t="s">
        <v>549</v>
      </c>
      <c r="V1523" s="6" t="s">
        <v>31</v>
      </c>
      <c r="W1523" s="6" t="s">
        <v>673</v>
      </c>
      <c r="X1523" s="6" t="s">
        <v>169</v>
      </c>
    </row>
    <row r="1524" spans="1:24" ht="15" customHeight="1" x14ac:dyDescent="0.3">
      <c r="A1524" s="6" t="s">
        <v>533</v>
      </c>
      <c r="B1524" s="6" t="s">
        <v>534</v>
      </c>
      <c r="C1524" s="6" t="s">
        <v>31</v>
      </c>
      <c r="D1524" s="1088" t="s">
        <v>549</v>
      </c>
      <c r="E1524" s="6" t="s">
        <v>169</v>
      </c>
      <c r="F1524" s="6" t="s">
        <v>673</v>
      </c>
      <c r="G1524" s="6" t="s">
        <v>1268</v>
      </c>
      <c r="H1524" s="6" t="s">
        <v>3296</v>
      </c>
      <c r="J1524" s="1215" t="s">
        <v>509</v>
      </c>
      <c r="K1524" s="1219" t="s">
        <v>3033</v>
      </c>
      <c r="L1524" s="8">
        <v>31</v>
      </c>
      <c r="M1524" s="8">
        <v>207</v>
      </c>
      <c r="N1524" s="1169" t="s">
        <v>271</v>
      </c>
      <c r="P1524" s="6" t="s">
        <v>3324</v>
      </c>
      <c r="Q1524" s="1215" t="s">
        <v>253</v>
      </c>
      <c r="R1524" s="1215" t="s">
        <v>255</v>
      </c>
      <c r="S1524" s="1215" t="s">
        <v>534</v>
      </c>
      <c r="T1524" s="1215" t="s">
        <v>533</v>
      </c>
      <c r="U1524" s="6" t="s">
        <v>549</v>
      </c>
      <c r="V1524" s="6" t="s">
        <v>31</v>
      </c>
      <c r="W1524" s="6" t="s">
        <v>673</v>
      </c>
      <c r="X1524" s="6" t="s">
        <v>169</v>
      </c>
    </row>
    <row r="1525" spans="1:24" ht="15" customHeight="1" x14ac:dyDescent="0.3">
      <c r="A1525" s="6" t="s">
        <v>533</v>
      </c>
      <c r="B1525" s="6" t="s">
        <v>534</v>
      </c>
      <c r="C1525" s="6" t="s">
        <v>31</v>
      </c>
      <c r="D1525" s="1088" t="s">
        <v>549</v>
      </c>
      <c r="E1525" s="6" t="s">
        <v>167</v>
      </c>
      <c r="F1525" s="6" t="s">
        <v>1113</v>
      </c>
      <c r="G1525" s="6" t="s">
        <v>1903</v>
      </c>
      <c r="H1525" s="6" t="s">
        <v>1904</v>
      </c>
      <c r="J1525" s="1215" t="s">
        <v>509</v>
      </c>
      <c r="K1525" s="1219" t="s">
        <v>3033</v>
      </c>
      <c r="L1525" s="8">
        <v>5</v>
      </c>
      <c r="M1525" s="8">
        <v>35</v>
      </c>
      <c r="N1525" s="1169" t="s">
        <v>271</v>
      </c>
      <c r="P1525" s="6" t="s">
        <v>3323</v>
      </c>
      <c r="Q1525" s="1215" t="s">
        <v>253</v>
      </c>
      <c r="R1525" s="1215" t="s">
        <v>255</v>
      </c>
      <c r="S1525" s="1215" t="s">
        <v>534</v>
      </c>
      <c r="T1525" s="1215" t="s">
        <v>533</v>
      </c>
      <c r="U1525" s="6" t="s">
        <v>549</v>
      </c>
      <c r="V1525" s="6" t="s">
        <v>31</v>
      </c>
      <c r="W1525" s="6" t="s">
        <v>844</v>
      </c>
      <c r="X1525" s="6" t="s">
        <v>166</v>
      </c>
    </row>
    <row r="1526" spans="1:24" ht="15" customHeight="1" x14ac:dyDescent="0.3">
      <c r="A1526" s="6" t="s">
        <v>533</v>
      </c>
      <c r="B1526" s="6" t="s">
        <v>534</v>
      </c>
      <c r="C1526" s="6" t="s">
        <v>31</v>
      </c>
      <c r="D1526" s="1088" t="s">
        <v>549</v>
      </c>
      <c r="E1526" s="6" t="s">
        <v>167</v>
      </c>
      <c r="F1526" s="6" t="s">
        <v>1113</v>
      </c>
      <c r="G1526" s="6" t="s">
        <v>2940</v>
      </c>
      <c r="H1526" s="6" t="s">
        <v>1888</v>
      </c>
      <c r="J1526" s="1215" t="s">
        <v>509</v>
      </c>
      <c r="K1526" s="1219" t="s">
        <v>3033</v>
      </c>
      <c r="L1526" s="8">
        <v>3</v>
      </c>
      <c r="M1526" s="8">
        <v>15</v>
      </c>
      <c r="N1526" s="1169" t="s">
        <v>271</v>
      </c>
      <c r="P1526" s="6" t="s">
        <v>3323</v>
      </c>
      <c r="Q1526" s="1215" t="s">
        <v>253</v>
      </c>
      <c r="R1526" s="1215" t="s">
        <v>255</v>
      </c>
      <c r="S1526" s="1215" t="s">
        <v>534</v>
      </c>
      <c r="T1526" s="1215" t="s">
        <v>533</v>
      </c>
      <c r="U1526" s="6" t="s">
        <v>549</v>
      </c>
      <c r="V1526" s="6" t="s">
        <v>31</v>
      </c>
      <c r="W1526" s="6" t="s">
        <v>844</v>
      </c>
      <c r="X1526" s="6" t="s">
        <v>166</v>
      </c>
    </row>
    <row r="1527" spans="1:24" ht="15" customHeight="1" x14ac:dyDescent="0.3">
      <c r="A1527" s="6" t="s">
        <v>533</v>
      </c>
      <c r="B1527" s="6" t="s">
        <v>534</v>
      </c>
      <c r="C1527" s="6" t="s">
        <v>34</v>
      </c>
      <c r="D1527" s="1088" t="s">
        <v>539</v>
      </c>
      <c r="E1527" s="6" t="s">
        <v>187</v>
      </c>
      <c r="F1527" s="6" t="s">
        <v>951</v>
      </c>
      <c r="G1527" s="6" t="s">
        <v>2550</v>
      </c>
      <c r="H1527" s="6" t="s">
        <v>1596</v>
      </c>
      <c r="J1527" s="1215" t="s">
        <v>509</v>
      </c>
      <c r="K1527" s="1219" t="s">
        <v>3109</v>
      </c>
      <c r="L1527" s="8">
        <v>43</v>
      </c>
      <c r="M1527" s="8">
        <v>374</v>
      </c>
      <c r="N1527" s="1169" t="s">
        <v>271</v>
      </c>
      <c r="P1527" s="6" t="s">
        <v>3324</v>
      </c>
      <c r="Q1527" s="1215" t="s">
        <v>253</v>
      </c>
      <c r="R1527" s="1215" t="s">
        <v>255</v>
      </c>
      <c r="S1527" s="1215" t="s">
        <v>534</v>
      </c>
      <c r="T1527" s="1215" t="s">
        <v>533</v>
      </c>
      <c r="U1527" s="6" t="s">
        <v>539</v>
      </c>
      <c r="V1527" s="6" t="s">
        <v>34</v>
      </c>
      <c r="W1527" s="6" t="s">
        <v>951</v>
      </c>
      <c r="X1527" s="6" t="s">
        <v>187</v>
      </c>
    </row>
    <row r="1528" spans="1:24" ht="15" customHeight="1" x14ac:dyDescent="0.3">
      <c r="A1528" s="6" t="s">
        <v>533</v>
      </c>
      <c r="B1528" s="6" t="s">
        <v>534</v>
      </c>
      <c r="C1528" s="6" t="s">
        <v>34</v>
      </c>
      <c r="D1528" s="1088" t="s">
        <v>539</v>
      </c>
      <c r="E1528" s="6" t="s">
        <v>187</v>
      </c>
      <c r="F1528" s="6" t="s">
        <v>951</v>
      </c>
      <c r="G1528" s="6" t="s">
        <v>2550</v>
      </c>
      <c r="H1528" s="6" t="s">
        <v>1596</v>
      </c>
      <c r="J1528" s="1215" t="s">
        <v>509</v>
      </c>
      <c r="K1528" s="1219" t="s">
        <v>3110</v>
      </c>
      <c r="L1528" s="8">
        <v>7</v>
      </c>
      <c r="M1528" s="8">
        <v>79</v>
      </c>
      <c r="N1528" s="6" t="s">
        <v>271</v>
      </c>
      <c r="P1528" s="6" t="s">
        <v>3324</v>
      </c>
      <c r="Q1528" s="1215" t="s">
        <v>253</v>
      </c>
      <c r="R1528" s="1215" t="s">
        <v>255</v>
      </c>
      <c r="S1528" s="1215" t="s">
        <v>534</v>
      </c>
      <c r="T1528" s="1215" t="s">
        <v>533</v>
      </c>
      <c r="U1528" s="6" t="s">
        <v>539</v>
      </c>
      <c r="V1528" s="6" t="s">
        <v>34</v>
      </c>
      <c r="W1528" s="6" t="s">
        <v>951</v>
      </c>
      <c r="X1528" s="6" t="s">
        <v>187</v>
      </c>
    </row>
    <row r="1529" spans="1:24" ht="15" customHeight="1" x14ac:dyDescent="0.3">
      <c r="A1529" s="6" t="s">
        <v>533</v>
      </c>
      <c r="B1529" s="6" t="s">
        <v>534</v>
      </c>
      <c r="C1529" s="6" t="s">
        <v>34</v>
      </c>
      <c r="D1529" s="1088" t="s">
        <v>539</v>
      </c>
      <c r="E1529" s="6" t="s">
        <v>187</v>
      </c>
      <c r="F1529" s="6" t="s">
        <v>951</v>
      </c>
      <c r="G1529" s="6" t="s">
        <v>2550</v>
      </c>
      <c r="H1529" s="6" t="s">
        <v>1596</v>
      </c>
      <c r="J1529" s="1215" t="s">
        <v>509</v>
      </c>
      <c r="K1529" s="1219" t="s">
        <v>3111</v>
      </c>
      <c r="L1529" s="8">
        <v>0</v>
      </c>
      <c r="M1529" s="8">
        <v>30</v>
      </c>
      <c r="N1529" s="6" t="s">
        <v>271</v>
      </c>
      <c r="P1529" s="6" t="s">
        <v>3324</v>
      </c>
      <c r="Q1529" s="1215" t="s">
        <v>253</v>
      </c>
      <c r="R1529" s="1215" t="s">
        <v>255</v>
      </c>
      <c r="S1529" s="1215" t="s">
        <v>534</v>
      </c>
      <c r="T1529" s="1215" t="s">
        <v>533</v>
      </c>
      <c r="U1529" s="6" t="s">
        <v>539</v>
      </c>
      <c r="V1529" s="6" t="s">
        <v>34</v>
      </c>
      <c r="W1529" s="6" t="s">
        <v>951</v>
      </c>
      <c r="X1529" s="6" t="s">
        <v>187</v>
      </c>
    </row>
    <row r="1530" spans="1:24" ht="15" customHeight="1" x14ac:dyDescent="0.3">
      <c r="A1530" s="6" t="s">
        <v>533</v>
      </c>
      <c r="B1530" s="6" t="s">
        <v>534</v>
      </c>
      <c r="C1530" s="6" t="s">
        <v>34</v>
      </c>
      <c r="D1530" s="1088" t="s">
        <v>539</v>
      </c>
      <c r="E1530" s="6" t="s">
        <v>187</v>
      </c>
      <c r="F1530" s="6" t="s">
        <v>951</v>
      </c>
      <c r="G1530" s="6" t="s">
        <v>2550</v>
      </c>
      <c r="H1530" s="6" t="s">
        <v>1596</v>
      </c>
      <c r="J1530" s="1215" t="s">
        <v>509</v>
      </c>
      <c r="K1530" s="1219" t="s">
        <v>3112</v>
      </c>
      <c r="L1530" s="8">
        <v>0</v>
      </c>
      <c r="M1530" s="8">
        <v>3</v>
      </c>
      <c r="N1530" s="1169" t="s">
        <v>271</v>
      </c>
      <c r="P1530" s="6" t="s">
        <v>3324</v>
      </c>
      <c r="Q1530" s="1215" t="s">
        <v>253</v>
      </c>
      <c r="R1530" s="1215" t="s">
        <v>255</v>
      </c>
      <c r="S1530" s="1215" t="s">
        <v>534</v>
      </c>
      <c r="T1530" s="1215" t="s">
        <v>533</v>
      </c>
      <c r="U1530" s="6" t="s">
        <v>539</v>
      </c>
      <c r="V1530" s="6" t="s">
        <v>34</v>
      </c>
      <c r="W1530" s="6" t="s">
        <v>951</v>
      </c>
      <c r="X1530" s="6" t="s">
        <v>187</v>
      </c>
    </row>
    <row r="1531" spans="1:24" ht="15" customHeight="1" x14ac:dyDescent="0.3">
      <c r="A1531" s="6" t="s">
        <v>533</v>
      </c>
      <c r="B1531" s="6" t="s">
        <v>534</v>
      </c>
      <c r="C1531" s="6" t="s">
        <v>34</v>
      </c>
      <c r="D1531" s="1088" t="s">
        <v>539</v>
      </c>
      <c r="E1531" s="6" t="s">
        <v>187</v>
      </c>
      <c r="F1531" s="6" t="s">
        <v>951</v>
      </c>
      <c r="G1531" s="6" t="s">
        <v>2550</v>
      </c>
      <c r="H1531" s="6" t="s">
        <v>1596</v>
      </c>
      <c r="J1531" s="1215" t="s">
        <v>509</v>
      </c>
      <c r="K1531" s="1219" t="s">
        <v>3033</v>
      </c>
      <c r="L1531" s="8">
        <v>0</v>
      </c>
      <c r="M1531" s="8">
        <v>27</v>
      </c>
      <c r="N1531" s="1169" t="s">
        <v>271</v>
      </c>
      <c r="P1531" s="6" t="s">
        <v>3324</v>
      </c>
      <c r="Q1531" s="1215" t="s">
        <v>253</v>
      </c>
      <c r="R1531" s="1215" t="s">
        <v>255</v>
      </c>
      <c r="S1531" s="1215" t="s">
        <v>534</v>
      </c>
      <c r="T1531" s="1215" t="s">
        <v>533</v>
      </c>
      <c r="U1531" s="6" t="s">
        <v>539</v>
      </c>
      <c r="V1531" s="6" t="s">
        <v>34</v>
      </c>
      <c r="W1531" s="6" t="s">
        <v>951</v>
      </c>
      <c r="X1531" s="6" t="s">
        <v>187</v>
      </c>
    </row>
    <row r="1532" spans="1:24" ht="15" customHeight="1" x14ac:dyDescent="0.3">
      <c r="A1532" s="6" t="s">
        <v>533</v>
      </c>
      <c r="B1532" s="6" t="s">
        <v>534</v>
      </c>
      <c r="C1532" s="6" t="s">
        <v>31</v>
      </c>
      <c r="D1532" s="1088" t="s">
        <v>549</v>
      </c>
      <c r="E1532" s="6" t="s">
        <v>169</v>
      </c>
      <c r="F1532" s="6" t="s">
        <v>673</v>
      </c>
      <c r="G1532" s="6" t="s">
        <v>1562</v>
      </c>
      <c r="H1532" s="6" t="s">
        <v>2571</v>
      </c>
      <c r="J1532" s="1215" t="s">
        <v>509</v>
      </c>
      <c r="K1532" s="1219" t="s">
        <v>3033</v>
      </c>
      <c r="L1532" s="8">
        <v>22</v>
      </c>
      <c r="M1532" s="8">
        <v>107</v>
      </c>
      <c r="N1532" s="1169" t="s">
        <v>271</v>
      </c>
      <c r="P1532" s="6" t="s">
        <v>3323</v>
      </c>
      <c r="Q1532" s="1215" t="s">
        <v>253</v>
      </c>
      <c r="R1532" s="1215" t="s">
        <v>255</v>
      </c>
      <c r="S1532" s="1215" t="s">
        <v>534</v>
      </c>
      <c r="T1532" s="1215" t="s">
        <v>533</v>
      </c>
      <c r="U1532" s="6" t="s">
        <v>549</v>
      </c>
      <c r="V1532" s="6" t="s">
        <v>31</v>
      </c>
      <c r="W1532" s="6" t="s">
        <v>706</v>
      </c>
      <c r="X1532" s="6" t="s">
        <v>172</v>
      </c>
    </row>
    <row r="1533" spans="1:24" ht="15" customHeight="1" x14ac:dyDescent="0.3">
      <c r="A1533" s="6" t="s">
        <v>533</v>
      </c>
      <c r="B1533" s="6" t="s">
        <v>534</v>
      </c>
      <c r="C1533" s="6" t="s">
        <v>31</v>
      </c>
      <c r="D1533" s="1088" t="s">
        <v>549</v>
      </c>
      <c r="E1533" s="6" t="s">
        <v>169</v>
      </c>
      <c r="F1533" s="6" t="s">
        <v>673</v>
      </c>
      <c r="G1533" s="6" t="s">
        <v>1562</v>
      </c>
      <c r="H1533" s="6" t="s">
        <v>2571</v>
      </c>
      <c r="J1533" s="1215" t="s">
        <v>509</v>
      </c>
      <c r="K1533" s="1219" t="s">
        <v>3111</v>
      </c>
      <c r="L1533" s="8">
        <v>7</v>
      </c>
      <c r="M1533" s="8">
        <v>30</v>
      </c>
      <c r="N1533" s="1169" t="s">
        <v>274</v>
      </c>
      <c r="P1533" s="6" t="s">
        <v>3323</v>
      </c>
      <c r="Q1533" s="1215" t="s">
        <v>253</v>
      </c>
      <c r="R1533" s="1215" t="s">
        <v>255</v>
      </c>
      <c r="S1533" s="1215" t="s">
        <v>534</v>
      </c>
      <c r="T1533" s="1215" t="s">
        <v>533</v>
      </c>
      <c r="U1533" s="6" t="s">
        <v>549</v>
      </c>
      <c r="V1533" s="6" t="s">
        <v>31</v>
      </c>
      <c r="W1533" s="6" t="s">
        <v>556</v>
      </c>
      <c r="X1533" s="1215" t="s">
        <v>173</v>
      </c>
    </row>
    <row r="1534" spans="1:24" ht="15" customHeight="1" x14ac:dyDescent="0.3">
      <c r="A1534" s="6" t="s">
        <v>533</v>
      </c>
      <c r="B1534" s="6" t="s">
        <v>534</v>
      </c>
      <c r="C1534" s="6" t="s">
        <v>31</v>
      </c>
      <c r="D1534" s="1088" t="s">
        <v>549</v>
      </c>
      <c r="E1534" s="6" t="s">
        <v>169</v>
      </c>
      <c r="F1534" s="6" t="s">
        <v>673</v>
      </c>
      <c r="G1534" s="6" t="s">
        <v>1095</v>
      </c>
      <c r="H1534" s="6" t="s">
        <v>2573</v>
      </c>
      <c r="J1534" s="1215" t="s">
        <v>509</v>
      </c>
      <c r="K1534" s="1219" t="s">
        <v>3033</v>
      </c>
      <c r="L1534" s="8">
        <v>17</v>
      </c>
      <c r="M1534" s="8">
        <v>107</v>
      </c>
      <c r="N1534" s="1169" t="s">
        <v>271</v>
      </c>
      <c r="P1534" s="6" t="s">
        <v>3323</v>
      </c>
      <c r="Q1534" s="1215" t="s">
        <v>253</v>
      </c>
      <c r="R1534" s="1215" t="s">
        <v>255</v>
      </c>
      <c r="S1534" s="1215" t="s">
        <v>534</v>
      </c>
      <c r="T1534" s="1215" t="s">
        <v>533</v>
      </c>
      <c r="U1534" s="6" t="s">
        <v>549</v>
      </c>
      <c r="V1534" s="6" t="s">
        <v>31</v>
      </c>
      <c r="W1534" s="6" t="s">
        <v>706</v>
      </c>
      <c r="X1534" s="6" t="s">
        <v>172</v>
      </c>
    </row>
    <row r="1535" spans="1:24" ht="15" customHeight="1" x14ac:dyDescent="0.3">
      <c r="A1535" s="6" t="s">
        <v>533</v>
      </c>
      <c r="B1535" s="6" t="s">
        <v>534</v>
      </c>
      <c r="C1535" s="6" t="s">
        <v>31</v>
      </c>
      <c r="D1535" s="1088" t="s">
        <v>549</v>
      </c>
      <c r="E1535" s="6" t="s">
        <v>169</v>
      </c>
      <c r="F1535" s="6" t="s">
        <v>673</v>
      </c>
      <c r="G1535" s="6" t="s">
        <v>1079</v>
      </c>
      <c r="H1535" s="6" t="s">
        <v>1521</v>
      </c>
      <c r="J1535" s="1215" t="s">
        <v>509</v>
      </c>
      <c r="K1535" s="1219" t="s">
        <v>3033</v>
      </c>
      <c r="L1535" s="8">
        <v>33</v>
      </c>
      <c r="M1535" s="8">
        <v>209</v>
      </c>
      <c r="N1535" s="1169" t="s">
        <v>271</v>
      </c>
      <c r="P1535" s="6" t="s">
        <v>3323</v>
      </c>
      <c r="Q1535" s="1215" t="s">
        <v>253</v>
      </c>
      <c r="R1535" s="1215" t="s">
        <v>255</v>
      </c>
      <c r="S1535" s="1215" t="s">
        <v>534</v>
      </c>
      <c r="T1535" s="1215" t="s">
        <v>533</v>
      </c>
      <c r="U1535" s="6" t="s">
        <v>549</v>
      </c>
      <c r="V1535" s="6" t="s">
        <v>31</v>
      </c>
      <c r="W1535" s="6" t="s">
        <v>706</v>
      </c>
      <c r="X1535" s="6" t="s">
        <v>172</v>
      </c>
    </row>
    <row r="1536" spans="1:24" ht="15" customHeight="1" x14ac:dyDescent="0.3">
      <c r="A1536" s="6" t="s">
        <v>533</v>
      </c>
      <c r="B1536" s="6" t="s">
        <v>534</v>
      </c>
      <c r="C1536" s="6" t="s">
        <v>31</v>
      </c>
      <c r="D1536" s="1088" t="s">
        <v>549</v>
      </c>
      <c r="E1536" s="6" t="s">
        <v>169</v>
      </c>
      <c r="F1536" s="6" t="s">
        <v>673</v>
      </c>
      <c r="G1536" s="6" t="s">
        <v>2568</v>
      </c>
      <c r="H1536" s="6" t="s">
        <v>1523</v>
      </c>
      <c r="J1536" s="1215" t="s">
        <v>509</v>
      </c>
      <c r="K1536" s="1219" t="s">
        <v>3033</v>
      </c>
      <c r="L1536" s="8">
        <v>34</v>
      </c>
      <c r="M1536" s="8">
        <v>139</v>
      </c>
      <c r="N1536" s="1169" t="s">
        <v>271</v>
      </c>
      <c r="P1536" s="6" t="s">
        <v>3323</v>
      </c>
      <c r="Q1536" s="1215" t="s">
        <v>253</v>
      </c>
      <c r="R1536" s="1215" t="s">
        <v>255</v>
      </c>
      <c r="S1536" s="1215" t="s">
        <v>534</v>
      </c>
      <c r="T1536" s="1215" t="s">
        <v>533</v>
      </c>
      <c r="U1536" s="6" t="s">
        <v>549</v>
      </c>
      <c r="V1536" s="6" t="s">
        <v>31</v>
      </c>
      <c r="W1536" s="6" t="s">
        <v>706</v>
      </c>
      <c r="X1536" s="6" t="s">
        <v>172</v>
      </c>
    </row>
    <row r="1537" spans="1:24" ht="15" customHeight="1" x14ac:dyDescent="0.3">
      <c r="A1537" s="6" t="s">
        <v>533</v>
      </c>
      <c r="B1537" s="6" t="s">
        <v>534</v>
      </c>
      <c r="C1537" s="6" t="s">
        <v>31</v>
      </c>
      <c r="D1537" s="1088" t="s">
        <v>549</v>
      </c>
      <c r="E1537" s="6" t="s">
        <v>169</v>
      </c>
      <c r="F1537" s="6" t="s">
        <v>673</v>
      </c>
      <c r="G1537" s="6" t="s">
        <v>1733</v>
      </c>
      <c r="H1537" s="6" t="s">
        <v>1082</v>
      </c>
      <c r="J1537" s="1215" t="s">
        <v>509</v>
      </c>
      <c r="K1537" s="1219" t="s">
        <v>3033</v>
      </c>
      <c r="L1537" s="8">
        <v>98</v>
      </c>
      <c r="M1537" s="8">
        <v>492</v>
      </c>
      <c r="N1537" s="1169" t="s">
        <v>271</v>
      </c>
      <c r="P1537" s="6" t="s">
        <v>3324</v>
      </c>
      <c r="Q1537" s="1215" t="s">
        <v>253</v>
      </c>
      <c r="R1537" s="1215" t="s">
        <v>255</v>
      </c>
      <c r="S1537" s="1215" t="s">
        <v>534</v>
      </c>
      <c r="T1537" s="1215" t="s">
        <v>533</v>
      </c>
      <c r="U1537" s="6" t="s">
        <v>549</v>
      </c>
      <c r="V1537" s="6" t="s">
        <v>31</v>
      </c>
      <c r="W1537" s="6" t="s">
        <v>673</v>
      </c>
      <c r="X1537" s="6" t="s">
        <v>169</v>
      </c>
    </row>
    <row r="1538" spans="1:24" ht="15" customHeight="1" x14ac:dyDescent="0.3">
      <c r="A1538" s="6" t="s">
        <v>533</v>
      </c>
      <c r="B1538" s="6" t="s">
        <v>534</v>
      </c>
      <c r="C1538" s="6" t="s">
        <v>31</v>
      </c>
      <c r="D1538" s="1088" t="s">
        <v>549</v>
      </c>
      <c r="E1538" s="6" t="s">
        <v>169</v>
      </c>
      <c r="F1538" s="6" t="s">
        <v>673</v>
      </c>
      <c r="G1538" s="6" t="s">
        <v>1550</v>
      </c>
      <c r="H1538" s="6" t="s">
        <v>828</v>
      </c>
      <c r="J1538" s="1215" t="s">
        <v>509</v>
      </c>
      <c r="K1538" s="1219" t="s">
        <v>3033</v>
      </c>
      <c r="L1538" s="8">
        <v>22</v>
      </c>
      <c r="M1538" s="8">
        <v>148</v>
      </c>
      <c r="N1538" s="1169" t="s">
        <v>271</v>
      </c>
      <c r="P1538" s="6" t="s">
        <v>3323</v>
      </c>
      <c r="Q1538" s="1215" t="s">
        <v>253</v>
      </c>
      <c r="R1538" s="1215" t="s">
        <v>255</v>
      </c>
      <c r="S1538" s="1215" t="s">
        <v>534</v>
      </c>
      <c r="T1538" s="1215" t="s">
        <v>533</v>
      </c>
      <c r="U1538" s="6" t="s">
        <v>549</v>
      </c>
      <c r="V1538" s="6" t="s">
        <v>31</v>
      </c>
      <c r="W1538" s="6" t="s">
        <v>706</v>
      </c>
      <c r="X1538" s="6" t="s">
        <v>172</v>
      </c>
    </row>
    <row r="1539" spans="1:24" ht="15" customHeight="1" x14ac:dyDescent="0.3">
      <c r="A1539" s="6" t="s">
        <v>533</v>
      </c>
      <c r="B1539" s="6" t="s">
        <v>534</v>
      </c>
      <c r="C1539" s="6" t="s">
        <v>31</v>
      </c>
      <c r="D1539" s="1088" t="s">
        <v>549</v>
      </c>
      <c r="E1539" s="6" t="s">
        <v>169</v>
      </c>
      <c r="F1539" s="6" t="s">
        <v>673</v>
      </c>
      <c r="G1539" s="6" t="s">
        <v>2574</v>
      </c>
      <c r="H1539" s="6" t="s">
        <v>613</v>
      </c>
      <c r="J1539" s="1215" t="s">
        <v>509</v>
      </c>
      <c r="K1539" s="1219" t="s">
        <v>3111</v>
      </c>
      <c r="L1539" s="8">
        <v>8</v>
      </c>
      <c r="M1539" s="8">
        <v>39</v>
      </c>
      <c r="N1539" s="1169" t="s">
        <v>274</v>
      </c>
      <c r="P1539" s="6" t="s">
        <v>3324</v>
      </c>
      <c r="Q1539" s="1215" t="s">
        <v>253</v>
      </c>
      <c r="R1539" s="1215" t="s">
        <v>255</v>
      </c>
      <c r="S1539" s="1215" t="s">
        <v>534</v>
      </c>
      <c r="T1539" s="1215" t="s">
        <v>533</v>
      </c>
      <c r="U1539" s="6" t="s">
        <v>549</v>
      </c>
      <c r="V1539" s="6" t="s">
        <v>31</v>
      </c>
      <c r="W1539" s="6" t="s">
        <v>673</v>
      </c>
      <c r="X1539" s="6" t="s">
        <v>169</v>
      </c>
    </row>
    <row r="1540" spans="1:24" ht="15" customHeight="1" x14ac:dyDescent="0.3">
      <c r="A1540" s="6" t="s">
        <v>533</v>
      </c>
      <c r="B1540" s="6" t="s">
        <v>534</v>
      </c>
      <c r="C1540" s="6" t="s">
        <v>31</v>
      </c>
      <c r="D1540" s="1088" t="s">
        <v>549</v>
      </c>
      <c r="E1540" s="6" t="s">
        <v>169</v>
      </c>
      <c r="F1540" s="6" t="s">
        <v>673</v>
      </c>
      <c r="G1540" s="6" t="s">
        <v>3019</v>
      </c>
      <c r="H1540" s="6" t="s">
        <v>1080</v>
      </c>
      <c r="J1540" s="1215" t="s">
        <v>509</v>
      </c>
      <c r="K1540" s="1219" t="s">
        <v>3033</v>
      </c>
      <c r="L1540" s="8">
        <v>18</v>
      </c>
      <c r="M1540" s="8">
        <v>142</v>
      </c>
      <c r="N1540" s="1169" t="s">
        <v>271</v>
      </c>
      <c r="P1540" s="6" t="s">
        <v>3324</v>
      </c>
      <c r="Q1540" s="1215" t="s">
        <v>253</v>
      </c>
      <c r="R1540" s="1215" t="s">
        <v>255</v>
      </c>
      <c r="S1540" s="1215" t="s">
        <v>534</v>
      </c>
      <c r="T1540" s="1215" t="s">
        <v>533</v>
      </c>
      <c r="U1540" s="6" t="s">
        <v>549</v>
      </c>
      <c r="V1540" s="6" t="s">
        <v>31</v>
      </c>
      <c r="W1540" s="6" t="s">
        <v>673</v>
      </c>
      <c r="X1540" s="6" t="s">
        <v>169</v>
      </c>
    </row>
    <row r="1541" spans="1:24" ht="15" customHeight="1" x14ac:dyDescent="0.3">
      <c r="A1541" s="6" t="s">
        <v>533</v>
      </c>
      <c r="B1541" s="6" t="s">
        <v>534</v>
      </c>
      <c r="C1541" s="6" t="s">
        <v>31</v>
      </c>
      <c r="D1541" s="1088" t="s">
        <v>549</v>
      </c>
      <c r="E1541" s="6" t="s">
        <v>164</v>
      </c>
      <c r="F1541" s="6" t="s">
        <v>748</v>
      </c>
      <c r="G1541" s="6" t="s">
        <v>550</v>
      </c>
      <c r="H1541" s="6" t="s">
        <v>3172</v>
      </c>
      <c r="I1541" s="6" t="s">
        <v>3172</v>
      </c>
      <c r="J1541" s="1215" t="s">
        <v>509</v>
      </c>
      <c r="K1541" s="1219" t="s">
        <v>3112</v>
      </c>
      <c r="L1541" s="8">
        <v>29</v>
      </c>
      <c r="M1541" s="8">
        <v>116</v>
      </c>
      <c r="N1541" s="1169" t="s">
        <v>272</v>
      </c>
      <c r="P1541" s="6" t="s">
        <v>3324</v>
      </c>
      <c r="Q1541" s="1215" t="s">
        <v>253</v>
      </c>
      <c r="R1541" s="1215" t="s">
        <v>255</v>
      </c>
      <c r="S1541" s="1215" t="s">
        <v>534</v>
      </c>
      <c r="T1541" s="1215" t="s">
        <v>533</v>
      </c>
      <c r="U1541" s="6" t="s">
        <v>549</v>
      </c>
      <c r="V1541" s="6" t="s">
        <v>31</v>
      </c>
      <c r="W1541" s="6" t="s">
        <v>748</v>
      </c>
      <c r="X1541" s="6" t="s">
        <v>164</v>
      </c>
    </row>
    <row r="1542" spans="1:24" ht="15" customHeight="1" x14ac:dyDescent="0.3">
      <c r="A1542" s="6" t="s">
        <v>533</v>
      </c>
      <c r="B1542" s="6" t="s">
        <v>534</v>
      </c>
      <c r="C1542" s="6" t="s">
        <v>34</v>
      </c>
      <c r="D1542" s="1088" t="s">
        <v>539</v>
      </c>
      <c r="E1542" s="6" t="s">
        <v>187</v>
      </c>
      <c r="F1542" s="6" t="s">
        <v>951</v>
      </c>
      <c r="G1542" s="6" t="s">
        <v>2914</v>
      </c>
      <c r="H1542" s="6" t="s">
        <v>1618</v>
      </c>
      <c r="J1542" s="1215" t="s">
        <v>509</v>
      </c>
      <c r="K1542" s="1219" t="s">
        <v>3033</v>
      </c>
      <c r="L1542" s="8">
        <v>294</v>
      </c>
      <c r="M1542" s="8">
        <v>1287</v>
      </c>
      <c r="N1542" s="1169" t="s">
        <v>271</v>
      </c>
      <c r="P1542" s="6" t="s">
        <v>3324</v>
      </c>
      <c r="Q1542" s="1215" t="s">
        <v>253</v>
      </c>
      <c r="R1542" s="1215" t="s">
        <v>255</v>
      </c>
      <c r="S1542" s="1215" t="s">
        <v>534</v>
      </c>
      <c r="T1542" s="1215" t="s">
        <v>533</v>
      </c>
      <c r="U1542" s="6" t="s">
        <v>539</v>
      </c>
      <c r="V1542" s="6" t="s">
        <v>34</v>
      </c>
      <c r="W1542" s="6" t="s">
        <v>951</v>
      </c>
      <c r="X1542" s="6" t="s">
        <v>187</v>
      </c>
    </row>
    <row r="1543" spans="1:24" ht="15" customHeight="1" x14ac:dyDescent="0.3">
      <c r="A1543" s="6" t="s">
        <v>533</v>
      </c>
      <c r="B1543" s="6" t="s">
        <v>534</v>
      </c>
      <c r="C1543" s="6" t="s">
        <v>34</v>
      </c>
      <c r="D1543" s="1088" t="s">
        <v>539</v>
      </c>
      <c r="E1543" s="6" t="s">
        <v>187</v>
      </c>
      <c r="F1543" s="6" t="s">
        <v>951</v>
      </c>
      <c r="G1543" s="6" t="s">
        <v>2914</v>
      </c>
      <c r="H1543" s="6" t="s">
        <v>1618</v>
      </c>
      <c r="J1543" s="1215" t="s">
        <v>509</v>
      </c>
      <c r="K1543" s="1219" t="s">
        <v>3109</v>
      </c>
      <c r="L1543" s="8">
        <v>46</v>
      </c>
      <c r="M1543" s="8">
        <v>479</v>
      </c>
      <c r="N1543" s="1169" t="s">
        <v>271</v>
      </c>
      <c r="P1543" s="6" t="s">
        <v>3324</v>
      </c>
      <c r="Q1543" s="1215" t="s">
        <v>253</v>
      </c>
      <c r="R1543" s="1215" t="s">
        <v>255</v>
      </c>
      <c r="S1543" s="1215" t="s">
        <v>534</v>
      </c>
      <c r="T1543" s="1215" t="s">
        <v>533</v>
      </c>
      <c r="U1543" s="6" t="s">
        <v>539</v>
      </c>
      <c r="V1543" s="6" t="s">
        <v>34</v>
      </c>
      <c r="W1543" s="6" t="s">
        <v>951</v>
      </c>
      <c r="X1543" s="6" t="s">
        <v>187</v>
      </c>
    </row>
    <row r="1544" spans="1:24" ht="15" customHeight="1" x14ac:dyDescent="0.3">
      <c r="A1544" s="6" t="s">
        <v>533</v>
      </c>
      <c r="B1544" s="6" t="s">
        <v>534</v>
      </c>
      <c r="C1544" s="6" t="s">
        <v>34</v>
      </c>
      <c r="D1544" s="1088" t="s">
        <v>539</v>
      </c>
      <c r="E1544" s="1088" t="s">
        <v>187</v>
      </c>
      <c r="F1544" s="6" t="s">
        <v>951</v>
      </c>
      <c r="G1544" s="6" t="s">
        <v>2914</v>
      </c>
      <c r="H1544" s="6" t="s">
        <v>1618</v>
      </c>
      <c r="J1544" s="1215" t="s">
        <v>509</v>
      </c>
      <c r="K1544" s="1219" t="s">
        <v>3110</v>
      </c>
      <c r="L1544" s="8">
        <v>15</v>
      </c>
      <c r="M1544" s="8">
        <v>120</v>
      </c>
      <c r="N1544" s="1169" t="s">
        <v>271</v>
      </c>
      <c r="P1544" s="6" t="s">
        <v>3324</v>
      </c>
      <c r="Q1544" s="1215" t="s">
        <v>253</v>
      </c>
      <c r="R1544" s="1215" t="s">
        <v>255</v>
      </c>
      <c r="S1544" s="1215" t="s">
        <v>534</v>
      </c>
      <c r="T1544" s="1215" t="s">
        <v>533</v>
      </c>
      <c r="U1544" s="6" t="s">
        <v>539</v>
      </c>
      <c r="V1544" s="6" t="s">
        <v>34</v>
      </c>
      <c r="W1544" s="6" t="s">
        <v>951</v>
      </c>
      <c r="X1544" s="6" t="s">
        <v>187</v>
      </c>
    </row>
    <row r="1545" spans="1:24" ht="15" customHeight="1" x14ac:dyDescent="0.3">
      <c r="A1545" s="6" t="s">
        <v>533</v>
      </c>
      <c r="B1545" s="6" t="s">
        <v>534</v>
      </c>
      <c r="C1545" s="6" t="s">
        <v>34</v>
      </c>
      <c r="D1545" s="1088" t="s">
        <v>539</v>
      </c>
      <c r="E1545" s="6" t="s">
        <v>187</v>
      </c>
      <c r="F1545" s="6" t="s">
        <v>951</v>
      </c>
      <c r="G1545" s="6" t="s">
        <v>2914</v>
      </c>
      <c r="H1545" s="6" t="s">
        <v>1618</v>
      </c>
      <c r="J1545" s="1215" t="s">
        <v>509</v>
      </c>
      <c r="K1545" s="1219" t="s">
        <v>3111</v>
      </c>
      <c r="L1545" s="8">
        <v>0</v>
      </c>
      <c r="M1545" s="8">
        <v>24</v>
      </c>
      <c r="N1545" s="1169" t="s">
        <v>271</v>
      </c>
      <c r="P1545" s="6" t="s">
        <v>3324</v>
      </c>
      <c r="Q1545" s="1215" t="s">
        <v>253</v>
      </c>
      <c r="R1545" s="1215" t="s">
        <v>255</v>
      </c>
      <c r="S1545" s="1215" t="s">
        <v>534</v>
      </c>
      <c r="T1545" s="1215" t="s">
        <v>533</v>
      </c>
      <c r="U1545" s="6" t="s">
        <v>539</v>
      </c>
      <c r="V1545" s="6" t="s">
        <v>34</v>
      </c>
      <c r="W1545" s="6" t="s">
        <v>951</v>
      </c>
      <c r="X1545" s="6" t="s">
        <v>187</v>
      </c>
    </row>
    <row r="1546" spans="1:24" ht="15" customHeight="1" x14ac:dyDescent="0.3">
      <c r="A1546" s="6" t="s">
        <v>533</v>
      </c>
      <c r="B1546" s="6" t="s">
        <v>534</v>
      </c>
      <c r="C1546" s="6" t="s">
        <v>34</v>
      </c>
      <c r="D1546" s="1088" t="s">
        <v>539</v>
      </c>
      <c r="E1546" s="6" t="s">
        <v>187</v>
      </c>
      <c r="F1546" s="6" t="s">
        <v>951</v>
      </c>
      <c r="G1546" s="6" t="s">
        <v>2914</v>
      </c>
      <c r="H1546" s="6" t="s">
        <v>1618</v>
      </c>
      <c r="J1546" s="1215" t="s">
        <v>509</v>
      </c>
      <c r="K1546" s="1219" t="s">
        <v>3112</v>
      </c>
      <c r="L1546" s="8">
        <v>8</v>
      </c>
      <c r="M1546" s="8">
        <v>92</v>
      </c>
      <c r="N1546" s="1169" t="s">
        <v>271</v>
      </c>
      <c r="P1546" s="6" t="s">
        <v>3324</v>
      </c>
      <c r="Q1546" s="1215" t="s">
        <v>253</v>
      </c>
      <c r="R1546" s="1215" t="s">
        <v>255</v>
      </c>
      <c r="S1546" s="1215" t="s">
        <v>534</v>
      </c>
      <c r="T1546" s="1215" t="s">
        <v>533</v>
      </c>
      <c r="U1546" s="6" t="s">
        <v>539</v>
      </c>
      <c r="V1546" s="6" t="s">
        <v>34</v>
      </c>
      <c r="W1546" s="6" t="s">
        <v>951</v>
      </c>
      <c r="X1546" s="6" t="s">
        <v>187</v>
      </c>
    </row>
    <row r="1547" spans="1:24" ht="15" customHeight="1" x14ac:dyDescent="0.3">
      <c r="A1547" s="6" t="s">
        <v>533</v>
      </c>
      <c r="B1547" s="6" t="s">
        <v>534</v>
      </c>
      <c r="C1547" s="6" t="s">
        <v>31</v>
      </c>
      <c r="D1547" s="1088" t="s">
        <v>549</v>
      </c>
      <c r="E1547" s="6" t="s">
        <v>166</v>
      </c>
      <c r="F1547" s="6" t="s">
        <v>844</v>
      </c>
      <c r="G1547" s="6" t="s">
        <v>2984</v>
      </c>
      <c r="H1547" s="6" t="s">
        <v>2125</v>
      </c>
      <c r="J1547" s="1215" t="s">
        <v>509</v>
      </c>
      <c r="K1547" s="1219" t="s">
        <v>3033</v>
      </c>
      <c r="L1547" s="8">
        <v>150</v>
      </c>
      <c r="M1547" s="8">
        <v>450</v>
      </c>
      <c r="N1547" s="1169" t="s">
        <v>271</v>
      </c>
      <c r="P1547" s="6" t="s">
        <v>3324</v>
      </c>
      <c r="Q1547" s="1215" t="s">
        <v>253</v>
      </c>
      <c r="R1547" s="1215" t="s">
        <v>255</v>
      </c>
      <c r="S1547" s="1215" t="s">
        <v>534</v>
      </c>
      <c r="T1547" s="1215" t="s">
        <v>533</v>
      </c>
      <c r="U1547" s="6" t="s">
        <v>549</v>
      </c>
      <c r="V1547" s="6" t="s">
        <v>31</v>
      </c>
      <c r="W1547" s="6" t="s">
        <v>844</v>
      </c>
      <c r="X1547" s="6" t="s">
        <v>166</v>
      </c>
    </row>
    <row r="1548" spans="1:24" ht="15" customHeight="1" x14ac:dyDescent="0.3">
      <c r="A1548" s="6" t="s">
        <v>533</v>
      </c>
      <c r="B1548" s="6" t="s">
        <v>534</v>
      </c>
      <c r="C1548" s="6" t="s">
        <v>31</v>
      </c>
      <c r="D1548" s="1088" t="s">
        <v>549</v>
      </c>
      <c r="E1548" s="6" t="s">
        <v>166</v>
      </c>
      <c r="F1548" s="6" t="s">
        <v>844</v>
      </c>
      <c r="G1548" s="6" t="s">
        <v>2979</v>
      </c>
      <c r="H1548" s="6" t="s">
        <v>1179</v>
      </c>
      <c r="J1548" s="1215" t="s">
        <v>509</v>
      </c>
      <c r="K1548" s="1219" t="s">
        <v>3033</v>
      </c>
      <c r="L1548" s="8">
        <v>7</v>
      </c>
      <c r="M1548" s="8">
        <v>50</v>
      </c>
      <c r="N1548" s="1169" t="s">
        <v>271</v>
      </c>
      <c r="P1548" s="6" t="s">
        <v>3324</v>
      </c>
      <c r="Q1548" s="1215" t="s">
        <v>253</v>
      </c>
      <c r="R1548" s="1215" t="s">
        <v>255</v>
      </c>
      <c r="S1548" s="1215" t="s">
        <v>534</v>
      </c>
      <c r="T1548" s="1215" t="s">
        <v>533</v>
      </c>
      <c r="U1548" s="6" t="s">
        <v>549</v>
      </c>
      <c r="V1548" s="6" t="s">
        <v>31</v>
      </c>
      <c r="W1548" s="6" t="s">
        <v>844</v>
      </c>
      <c r="X1548" s="6" t="s">
        <v>166</v>
      </c>
    </row>
    <row r="1549" spans="1:24" ht="15" customHeight="1" x14ac:dyDescent="0.3">
      <c r="A1549" s="6" t="s">
        <v>533</v>
      </c>
      <c r="B1549" s="6" t="s">
        <v>534</v>
      </c>
      <c r="C1549" s="6" t="s">
        <v>31</v>
      </c>
      <c r="D1549" s="1088" t="s">
        <v>549</v>
      </c>
      <c r="E1549" s="1169" t="s">
        <v>166</v>
      </c>
      <c r="F1549" s="6" t="s">
        <v>844</v>
      </c>
      <c r="G1549" s="6" t="s">
        <v>2172</v>
      </c>
      <c r="H1549" s="6" t="s">
        <v>971</v>
      </c>
      <c r="J1549" s="1215" t="s">
        <v>509</v>
      </c>
      <c r="K1549" s="1219" t="s">
        <v>3033</v>
      </c>
      <c r="L1549" s="8">
        <v>40</v>
      </c>
      <c r="M1549" s="8">
        <v>85</v>
      </c>
      <c r="N1549" s="1169" t="s">
        <v>271</v>
      </c>
      <c r="P1549" s="6" t="s">
        <v>3324</v>
      </c>
      <c r="Q1549" s="1215" t="s">
        <v>253</v>
      </c>
      <c r="R1549" s="1215" t="s">
        <v>255</v>
      </c>
      <c r="S1549" s="1215" t="s">
        <v>534</v>
      </c>
      <c r="T1549" s="1215" t="s">
        <v>533</v>
      </c>
      <c r="U1549" s="6" t="s">
        <v>549</v>
      </c>
      <c r="V1549" s="6" t="s">
        <v>31</v>
      </c>
      <c r="W1549" s="6" t="s">
        <v>844</v>
      </c>
      <c r="X1549" s="6" t="s">
        <v>166</v>
      </c>
    </row>
    <row r="1550" spans="1:24" ht="15" customHeight="1" x14ac:dyDescent="0.3">
      <c r="A1550" s="6" t="s">
        <v>533</v>
      </c>
      <c r="B1550" s="6" t="s">
        <v>534</v>
      </c>
      <c r="C1550" s="6" t="s">
        <v>31</v>
      </c>
      <c r="D1550" s="1088" t="s">
        <v>549</v>
      </c>
      <c r="E1550" s="1169" t="s">
        <v>166</v>
      </c>
      <c r="F1550" s="6" t="s">
        <v>844</v>
      </c>
      <c r="G1550" s="6" t="s">
        <v>2514</v>
      </c>
      <c r="H1550" s="6" t="s">
        <v>3257</v>
      </c>
      <c r="J1550" s="1215" t="s">
        <v>509</v>
      </c>
      <c r="K1550" s="1219" t="s">
        <v>3033</v>
      </c>
      <c r="L1550" s="8">
        <v>51</v>
      </c>
      <c r="M1550" s="8">
        <v>233</v>
      </c>
      <c r="N1550" s="1169" t="s">
        <v>271</v>
      </c>
      <c r="P1550" s="6" t="s">
        <v>3324</v>
      </c>
      <c r="Q1550" s="1215" t="s">
        <v>253</v>
      </c>
      <c r="R1550" s="1215" t="s">
        <v>255</v>
      </c>
      <c r="S1550" s="1215" t="s">
        <v>534</v>
      </c>
      <c r="T1550" s="1215" t="s">
        <v>533</v>
      </c>
      <c r="U1550" s="6" t="s">
        <v>549</v>
      </c>
      <c r="V1550" s="6" t="s">
        <v>31</v>
      </c>
      <c r="W1550" s="6" t="s">
        <v>844</v>
      </c>
      <c r="X1550" s="6" t="s">
        <v>166</v>
      </c>
    </row>
    <row r="1551" spans="1:24" ht="15" customHeight="1" x14ac:dyDescent="0.3">
      <c r="A1551" s="6" t="s">
        <v>533</v>
      </c>
      <c r="B1551" s="6" t="s">
        <v>534</v>
      </c>
      <c r="C1551" s="6" t="s">
        <v>31</v>
      </c>
      <c r="D1551" s="1088" t="s">
        <v>549</v>
      </c>
      <c r="E1551" s="1169" t="s">
        <v>167</v>
      </c>
      <c r="F1551" s="6" t="s">
        <v>1113</v>
      </c>
      <c r="G1551" s="6" t="s">
        <v>2970</v>
      </c>
      <c r="H1551" s="6" t="s">
        <v>2058</v>
      </c>
      <c r="J1551" s="1215" t="s">
        <v>509</v>
      </c>
      <c r="K1551" s="1219" t="s">
        <v>3033</v>
      </c>
      <c r="L1551" s="8">
        <v>1</v>
      </c>
      <c r="M1551" s="8">
        <v>2</v>
      </c>
      <c r="N1551" s="1169" t="s">
        <v>271</v>
      </c>
      <c r="P1551" s="6" t="s">
        <v>3324</v>
      </c>
      <c r="Q1551" s="1215" t="s">
        <v>253</v>
      </c>
      <c r="R1551" s="1215" t="s">
        <v>255</v>
      </c>
      <c r="S1551" s="1215" t="s">
        <v>534</v>
      </c>
      <c r="T1551" s="1215" t="s">
        <v>533</v>
      </c>
      <c r="U1551" s="6" t="s">
        <v>549</v>
      </c>
      <c r="V1551" s="6" t="s">
        <v>31</v>
      </c>
      <c r="W1551" s="6" t="s">
        <v>1113</v>
      </c>
      <c r="X1551" s="6" t="s">
        <v>167</v>
      </c>
    </row>
    <row r="1552" spans="1:24" ht="15" customHeight="1" x14ac:dyDescent="0.3">
      <c r="A1552" s="6" t="s">
        <v>533</v>
      </c>
      <c r="B1552" s="6" t="s">
        <v>534</v>
      </c>
      <c r="C1552" s="6" t="s">
        <v>31</v>
      </c>
      <c r="D1552" s="1088" t="s">
        <v>549</v>
      </c>
      <c r="E1552" s="1169" t="s">
        <v>167</v>
      </c>
      <c r="F1552" s="6" t="s">
        <v>1113</v>
      </c>
      <c r="G1552" s="6" t="s">
        <v>1950</v>
      </c>
      <c r="H1552" s="6" t="s">
        <v>1911</v>
      </c>
      <c r="J1552" s="1215" t="s">
        <v>509</v>
      </c>
      <c r="K1552" s="1219" t="s">
        <v>3033</v>
      </c>
      <c r="L1552" s="8">
        <v>10</v>
      </c>
      <c r="M1552" s="8">
        <v>50</v>
      </c>
      <c r="N1552" s="1169" t="s">
        <v>271</v>
      </c>
      <c r="P1552" s="6" t="s">
        <v>3324</v>
      </c>
      <c r="Q1552" s="1215" t="s">
        <v>253</v>
      </c>
      <c r="R1552" s="1215" t="s">
        <v>255</v>
      </c>
      <c r="S1552" s="1215" t="s">
        <v>534</v>
      </c>
      <c r="T1552" s="1215" t="s">
        <v>533</v>
      </c>
      <c r="U1552" s="6" t="s">
        <v>549</v>
      </c>
      <c r="V1552" s="6" t="s">
        <v>31</v>
      </c>
      <c r="W1552" s="6" t="s">
        <v>1113</v>
      </c>
      <c r="X1552" s="6" t="s">
        <v>167</v>
      </c>
    </row>
    <row r="1553" spans="1:24" ht="15" customHeight="1" x14ac:dyDescent="0.3">
      <c r="A1553" s="6" t="s">
        <v>533</v>
      </c>
      <c r="B1553" s="6" t="s">
        <v>534</v>
      </c>
      <c r="C1553" s="6" t="s">
        <v>31</v>
      </c>
      <c r="D1553" s="1088" t="s">
        <v>549</v>
      </c>
      <c r="E1553" s="1169" t="s">
        <v>167</v>
      </c>
      <c r="F1553" s="6" t="s">
        <v>1113</v>
      </c>
      <c r="G1553" s="6" t="s">
        <v>1887</v>
      </c>
      <c r="H1553" s="6" t="s">
        <v>2326</v>
      </c>
      <c r="J1553" s="1215" t="s">
        <v>509</v>
      </c>
      <c r="K1553" s="1219" t="s">
        <v>3033</v>
      </c>
      <c r="L1553" s="8">
        <v>15</v>
      </c>
      <c r="M1553" s="8">
        <v>60</v>
      </c>
      <c r="N1553" s="1169" t="s">
        <v>271</v>
      </c>
      <c r="P1553" s="6" t="s">
        <v>3324</v>
      </c>
      <c r="Q1553" s="1215" t="s">
        <v>253</v>
      </c>
      <c r="R1553" s="1215" t="s">
        <v>255</v>
      </c>
      <c r="S1553" s="1215" t="s">
        <v>534</v>
      </c>
      <c r="T1553" s="1215" t="s">
        <v>533</v>
      </c>
      <c r="U1553" s="6" t="s">
        <v>549</v>
      </c>
      <c r="V1553" s="6" t="s">
        <v>31</v>
      </c>
      <c r="W1553" s="6" t="s">
        <v>1113</v>
      </c>
      <c r="X1553" s="6" t="s">
        <v>167</v>
      </c>
    </row>
    <row r="1554" spans="1:24" ht="15" customHeight="1" x14ac:dyDescent="0.3">
      <c r="A1554" s="6" t="s">
        <v>533</v>
      </c>
      <c r="B1554" s="6" t="s">
        <v>534</v>
      </c>
      <c r="C1554" s="6" t="s">
        <v>31</v>
      </c>
      <c r="D1554" s="1088" t="s">
        <v>549</v>
      </c>
      <c r="E1554" s="6" t="s">
        <v>167</v>
      </c>
      <c r="F1554" s="6" t="s">
        <v>1113</v>
      </c>
      <c r="G1554" s="6" t="s">
        <v>2528</v>
      </c>
      <c r="H1554" s="6" t="s">
        <v>2062</v>
      </c>
      <c r="J1554" s="1215" t="s">
        <v>509</v>
      </c>
      <c r="K1554" s="1219" t="s">
        <v>3033</v>
      </c>
      <c r="L1554" s="8">
        <v>16</v>
      </c>
      <c r="M1554" s="8">
        <v>106</v>
      </c>
      <c r="N1554" s="1169" t="s">
        <v>271</v>
      </c>
      <c r="P1554" s="6" t="s">
        <v>3324</v>
      </c>
      <c r="Q1554" s="1215" t="s">
        <v>253</v>
      </c>
      <c r="R1554" s="1215" t="s">
        <v>255</v>
      </c>
      <c r="S1554" s="1215" t="s">
        <v>534</v>
      </c>
      <c r="T1554" s="1215" t="s">
        <v>533</v>
      </c>
      <c r="U1554" s="6" t="s">
        <v>549</v>
      </c>
      <c r="V1554" s="6" t="s">
        <v>31</v>
      </c>
      <c r="W1554" s="6" t="s">
        <v>1113</v>
      </c>
      <c r="X1554" s="6" t="s">
        <v>167</v>
      </c>
    </row>
    <row r="1555" spans="1:24" ht="15" customHeight="1" x14ac:dyDescent="0.3">
      <c r="A1555" s="6" t="s">
        <v>533</v>
      </c>
      <c r="B1555" s="6" t="s">
        <v>534</v>
      </c>
      <c r="C1555" s="6" t="s">
        <v>31</v>
      </c>
      <c r="D1555" s="1088" t="s">
        <v>549</v>
      </c>
      <c r="E1555" s="6" t="s">
        <v>167</v>
      </c>
      <c r="F1555" s="6" t="s">
        <v>1113</v>
      </c>
      <c r="G1555" s="6" t="s">
        <v>1910</v>
      </c>
      <c r="H1555" s="6" t="s">
        <v>2048</v>
      </c>
      <c r="J1555" s="1215" t="s">
        <v>509</v>
      </c>
      <c r="K1555" s="1219" t="s">
        <v>3033</v>
      </c>
      <c r="L1555" s="8">
        <v>11</v>
      </c>
      <c r="M1555" s="8">
        <v>50</v>
      </c>
      <c r="N1555" s="6" t="s">
        <v>271</v>
      </c>
      <c r="P1555" s="6" t="s">
        <v>3324</v>
      </c>
      <c r="Q1555" s="1215" t="s">
        <v>253</v>
      </c>
      <c r="R1555" s="1215" t="s">
        <v>255</v>
      </c>
      <c r="S1555" s="1215" t="s">
        <v>534</v>
      </c>
      <c r="T1555" s="1215" t="s">
        <v>533</v>
      </c>
      <c r="U1555" s="6" t="s">
        <v>549</v>
      </c>
      <c r="V1555" s="6" t="s">
        <v>31</v>
      </c>
      <c r="W1555" s="6" t="s">
        <v>1113</v>
      </c>
      <c r="X1555" s="6" t="s">
        <v>167</v>
      </c>
    </row>
    <row r="1556" spans="1:24" ht="15" customHeight="1" x14ac:dyDescent="0.3">
      <c r="A1556" s="6" t="s">
        <v>533</v>
      </c>
      <c r="B1556" s="6" t="s">
        <v>534</v>
      </c>
      <c r="C1556" s="6" t="s">
        <v>31</v>
      </c>
      <c r="D1556" s="1088" t="s">
        <v>549</v>
      </c>
      <c r="E1556" s="6" t="s">
        <v>167</v>
      </c>
      <c r="F1556" s="6" t="s">
        <v>1113</v>
      </c>
      <c r="G1556" s="6" t="s">
        <v>2085</v>
      </c>
      <c r="H1556" s="6" t="s">
        <v>1949</v>
      </c>
      <c r="J1556" s="1215" t="s">
        <v>509</v>
      </c>
      <c r="K1556" s="1219" t="s">
        <v>3033</v>
      </c>
      <c r="L1556" s="8">
        <v>10</v>
      </c>
      <c r="M1556" s="8">
        <v>30</v>
      </c>
      <c r="N1556" s="1169" t="s">
        <v>271</v>
      </c>
      <c r="P1556" s="6" t="s">
        <v>3324</v>
      </c>
      <c r="Q1556" s="1215" t="s">
        <v>253</v>
      </c>
      <c r="R1556" s="1215" t="s">
        <v>255</v>
      </c>
      <c r="S1556" s="1215" t="s">
        <v>534</v>
      </c>
      <c r="T1556" s="1215" t="s">
        <v>533</v>
      </c>
      <c r="U1556" s="6" t="s">
        <v>549</v>
      </c>
      <c r="V1556" s="6" t="s">
        <v>31</v>
      </c>
      <c r="W1556" s="6" t="s">
        <v>1113</v>
      </c>
      <c r="X1556" s="6" t="s">
        <v>167</v>
      </c>
    </row>
    <row r="1557" spans="1:24" ht="15" customHeight="1" x14ac:dyDescent="0.3">
      <c r="A1557" s="6" t="s">
        <v>533</v>
      </c>
      <c r="B1557" s="6" t="s">
        <v>534</v>
      </c>
      <c r="C1557" s="6" t="s">
        <v>31</v>
      </c>
      <c r="D1557" s="1088" t="s">
        <v>549</v>
      </c>
      <c r="E1557" s="6" t="s">
        <v>167</v>
      </c>
      <c r="F1557" s="6" t="s">
        <v>1113</v>
      </c>
      <c r="G1557" s="6" t="s">
        <v>2081</v>
      </c>
      <c r="H1557" s="6" t="s">
        <v>1992</v>
      </c>
      <c r="J1557" s="1215" t="s">
        <v>509</v>
      </c>
      <c r="K1557" s="1219" t="s">
        <v>3033</v>
      </c>
      <c r="L1557" s="8">
        <v>22</v>
      </c>
      <c r="M1557" s="8">
        <v>185</v>
      </c>
      <c r="N1557" s="6" t="s">
        <v>271</v>
      </c>
      <c r="P1557" s="6" t="s">
        <v>3324</v>
      </c>
      <c r="Q1557" s="1215" t="s">
        <v>253</v>
      </c>
      <c r="R1557" s="1215" t="s">
        <v>255</v>
      </c>
      <c r="S1557" s="1215" t="s">
        <v>534</v>
      </c>
      <c r="T1557" s="1215" t="s">
        <v>533</v>
      </c>
      <c r="U1557" s="6" t="s">
        <v>549</v>
      </c>
      <c r="V1557" s="6" t="s">
        <v>31</v>
      </c>
      <c r="W1557" s="6" t="s">
        <v>1113</v>
      </c>
      <c r="X1557" s="6" t="s">
        <v>167</v>
      </c>
    </row>
    <row r="1558" spans="1:24" ht="15" customHeight="1" x14ac:dyDescent="0.3">
      <c r="A1558" s="6" t="s">
        <v>533</v>
      </c>
      <c r="B1558" s="6" t="s">
        <v>534</v>
      </c>
      <c r="C1558" s="6" t="s">
        <v>31</v>
      </c>
      <c r="D1558" s="1088" t="s">
        <v>549</v>
      </c>
      <c r="E1558" s="6" t="s">
        <v>167</v>
      </c>
      <c r="F1558" s="6" t="s">
        <v>1113</v>
      </c>
      <c r="G1558" s="6" t="s">
        <v>2079</v>
      </c>
      <c r="H1558" s="6" t="s">
        <v>2086</v>
      </c>
      <c r="J1558" s="1215" t="s">
        <v>509</v>
      </c>
      <c r="K1558" s="1219" t="s">
        <v>3033</v>
      </c>
      <c r="L1558" s="8">
        <v>18</v>
      </c>
      <c r="M1558" s="8">
        <v>50</v>
      </c>
      <c r="N1558" s="1169" t="s">
        <v>271</v>
      </c>
      <c r="P1558" s="6" t="s">
        <v>3324</v>
      </c>
      <c r="Q1558" s="1215" t="s">
        <v>253</v>
      </c>
      <c r="R1558" s="1215" t="s">
        <v>255</v>
      </c>
      <c r="S1558" s="1215" t="s">
        <v>534</v>
      </c>
      <c r="T1558" s="1215" t="s">
        <v>533</v>
      </c>
      <c r="U1558" s="6" t="s">
        <v>549</v>
      </c>
      <c r="V1558" s="6" t="s">
        <v>31</v>
      </c>
      <c r="W1558" s="6" t="s">
        <v>1113</v>
      </c>
      <c r="X1558" s="6" t="s">
        <v>167</v>
      </c>
    </row>
    <row r="1559" spans="1:24" ht="15" customHeight="1" x14ac:dyDescent="0.3">
      <c r="A1559" s="6" t="s">
        <v>533</v>
      </c>
      <c r="B1559" s="6" t="s">
        <v>534</v>
      </c>
      <c r="C1559" s="6" t="s">
        <v>35</v>
      </c>
      <c r="D1559" s="1088" t="s">
        <v>567</v>
      </c>
      <c r="E1559" s="6" t="s">
        <v>195</v>
      </c>
      <c r="F1559" s="6" t="s">
        <v>733</v>
      </c>
      <c r="G1559" s="6" t="s">
        <v>3291</v>
      </c>
      <c r="H1559" s="6" t="s">
        <v>3292</v>
      </c>
      <c r="J1559" s="1215" t="s">
        <v>509</v>
      </c>
      <c r="K1559" s="1219" t="s">
        <v>3112</v>
      </c>
      <c r="L1559" s="8">
        <v>25</v>
      </c>
      <c r="M1559" s="8">
        <v>243</v>
      </c>
      <c r="N1559" s="1088" t="s">
        <v>271</v>
      </c>
      <c r="P1559" s="6" t="s">
        <v>3324</v>
      </c>
      <c r="Q1559" s="1215" t="s">
        <v>253</v>
      </c>
      <c r="R1559" s="1215" t="s">
        <v>255</v>
      </c>
      <c r="S1559" s="1215" t="s">
        <v>534</v>
      </c>
      <c r="T1559" s="1215" t="s">
        <v>533</v>
      </c>
      <c r="U1559" s="6" t="s">
        <v>567</v>
      </c>
      <c r="V1559" s="6" t="s">
        <v>35</v>
      </c>
      <c r="W1559" s="6" t="s">
        <v>733</v>
      </c>
      <c r="X1559" s="6" t="s">
        <v>195</v>
      </c>
    </row>
    <row r="1560" spans="1:24" ht="15" customHeight="1" x14ac:dyDescent="0.3">
      <c r="A1560" s="6" t="s">
        <v>533</v>
      </c>
      <c r="B1560" s="6" t="s">
        <v>534</v>
      </c>
      <c r="C1560" s="6" t="s">
        <v>32</v>
      </c>
      <c r="D1560" s="1088" t="s">
        <v>542</v>
      </c>
      <c r="E1560" s="6" t="s">
        <v>178</v>
      </c>
      <c r="F1560" s="6" t="s">
        <v>543</v>
      </c>
      <c r="G1560" s="6" t="s">
        <v>761</v>
      </c>
      <c r="H1560" s="6" t="s">
        <v>3255</v>
      </c>
      <c r="J1560" s="1215" t="s">
        <v>509</v>
      </c>
      <c r="K1560" s="1219" t="s">
        <v>3033</v>
      </c>
      <c r="L1560" s="8">
        <v>102</v>
      </c>
      <c r="M1560" s="8">
        <v>1549</v>
      </c>
      <c r="N1560" s="1169" t="s">
        <v>272</v>
      </c>
      <c r="O1560" s="1088"/>
      <c r="P1560" s="6" t="s">
        <v>3324</v>
      </c>
      <c r="Q1560" s="1215" t="s">
        <v>253</v>
      </c>
      <c r="R1560" s="1215" t="s">
        <v>255</v>
      </c>
      <c r="S1560" s="1215" t="s">
        <v>534</v>
      </c>
      <c r="T1560" s="1215" t="s">
        <v>533</v>
      </c>
      <c r="U1560" s="6" t="s">
        <v>542</v>
      </c>
      <c r="V1560" s="6" t="s">
        <v>32</v>
      </c>
      <c r="W1560" s="6" t="s">
        <v>543</v>
      </c>
      <c r="X1560" s="6" t="s">
        <v>178</v>
      </c>
    </row>
    <row r="1561" spans="1:24" ht="15" customHeight="1" x14ac:dyDescent="0.3">
      <c r="A1561" s="6" t="s">
        <v>533</v>
      </c>
      <c r="B1561" s="6" t="s">
        <v>534</v>
      </c>
      <c r="C1561" s="6" t="s">
        <v>32</v>
      </c>
      <c r="D1561" s="1088" t="s">
        <v>542</v>
      </c>
      <c r="E1561" s="6" t="s">
        <v>178</v>
      </c>
      <c r="F1561" s="6" t="s">
        <v>543</v>
      </c>
      <c r="G1561" s="6" t="s">
        <v>761</v>
      </c>
      <c r="H1561" s="6" t="s">
        <v>3255</v>
      </c>
      <c r="J1561" s="1215" t="s">
        <v>509</v>
      </c>
      <c r="K1561" s="1219" t="s">
        <v>3109</v>
      </c>
      <c r="L1561" s="8">
        <v>0</v>
      </c>
      <c r="M1561" s="8">
        <v>35</v>
      </c>
      <c r="N1561" s="6" t="s">
        <v>272</v>
      </c>
      <c r="O1561" s="1088"/>
      <c r="P1561" s="6" t="s">
        <v>3324</v>
      </c>
      <c r="Q1561" s="1215" t="s">
        <v>253</v>
      </c>
      <c r="R1561" s="1215" t="s">
        <v>255</v>
      </c>
      <c r="S1561" s="1215" t="s">
        <v>534</v>
      </c>
      <c r="T1561" s="1215" t="s">
        <v>533</v>
      </c>
      <c r="U1561" s="6" t="s">
        <v>542</v>
      </c>
      <c r="V1561" s="6" t="s">
        <v>32</v>
      </c>
      <c r="W1561" s="6" t="s">
        <v>543</v>
      </c>
      <c r="X1561" s="6" t="s">
        <v>178</v>
      </c>
    </row>
    <row r="1562" spans="1:24" ht="15" customHeight="1" x14ac:dyDescent="0.3">
      <c r="A1562" s="6" t="s">
        <v>533</v>
      </c>
      <c r="B1562" s="6" t="s">
        <v>534</v>
      </c>
      <c r="C1562" s="6" t="s">
        <v>32</v>
      </c>
      <c r="D1562" s="1088" t="s">
        <v>542</v>
      </c>
      <c r="E1562" s="6" t="s">
        <v>178</v>
      </c>
      <c r="F1562" s="6" t="s">
        <v>543</v>
      </c>
      <c r="G1562" s="6" t="s">
        <v>761</v>
      </c>
      <c r="H1562" s="6" t="s">
        <v>3255</v>
      </c>
      <c r="J1562" s="1215" t="s">
        <v>509</v>
      </c>
      <c r="K1562" s="1219" t="s">
        <v>3110</v>
      </c>
      <c r="L1562" s="8">
        <v>0</v>
      </c>
      <c r="M1562" s="8">
        <v>31</v>
      </c>
      <c r="N1562" s="1169" t="s">
        <v>272</v>
      </c>
      <c r="P1562" s="6" t="s">
        <v>3324</v>
      </c>
      <c r="Q1562" s="1215" t="s">
        <v>253</v>
      </c>
      <c r="R1562" s="1215" t="s">
        <v>255</v>
      </c>
      <c r="S1562" s="1215" t="s">
        <v>534</v>
      </c>
      <c r="T1562" s="1215" t="s">
        <v>533</v>
      </c>
      <c r="U1562" s="6" t="s">
        <v>542</v>
      </c>
      <c r="V1562" s="6" t="s">
        <v>32</v>
      </c>
      <c r="W1562" s="6" t="s">
        <v>543</v>
      </c>
      <c r="X1562" s="6" t="s">
        <v>178</v>
      </c>
    </row>
    <row r="1563" spans="1:24" ht="15" customHeight="1" x14ac:dyDescent="0.3">
      <c r="A1563" s="6" t="s">
        <v>533</v>
      </c>
      <c r="B1563" s="6" t="s">
        <v>534</v>
      </c>
      <c r="C1563" s="6" t="s">
        <v>32</v>
      </c>
      <c r="D1563" s="1088" t="s">
        <v>542</v>
      </c>
      <c r="E1563" s="6" t="s">
        <v>178</v>
      </c>
      <c r="F1563" s="6" t="s">
        <v>543</v>
      </c>
      <c r="G1563" s="6" t="s">
        <v>761</v>
      </c>
      <c r="H1563" s="6" t="s">
        <v>3255</v>
      </c>
      <c r="J1563" s="1215" t="s">
        <v>509</v>
      </c>
      <c r="K1563" s="1219" t="s">
        <v>3111</v>
      </c>
      <c r="L1563" s="8">
        <v>0</v>
      </c>
      <c r="M1563" s="8">
        <v>36</v>
      </c>
      <c r="N1563" s="1169" t="s">
        <v>272</v>
      </c>
      <c r="P1563" s="6" t="s">
        <v>3324</v>
      </c>
      <c r="Q1563" s="1215" t="s">
        <v>253</v>
      </c>
      <c r="R1563" s="1215" t="s">
        <v>255</v>
      </c>
      <c r="S1563" s="1215" t="s">
        <v>534</v>
      </c>
      <c r="T1563" s="1215" t="s">
        <v>533</v>
      </c>
      <c r="U1563" s="6" t="s">
        <v>542</v>
      </c>
      <c r="V1563" s="6" t="s">
        <v>32</v>
      </c>
      <c r="W1563" s="6" t="s">
        <v>543</v>
      </c>
      <c r="X1563" s="6" t="s">
        <v>178</v>
      </c>
    </row>
    <row r="1564" spans="1:24" ht="15" customHeight="1" x14ac:dyDescent="0.3">
      <c r="A1564" s="6" t="s">
        <v>533</v>
      </c>
      <c r="B1564" s="6" t="s">
        <v>534</v>
      </c>
      <c r="C1564" s="6" t="s">
        <v>32</v>
      </c>
      <c r="D1564" s="1088" t="s">
        <v>542</v>
      </c>
      <c r="E1564" s="6" t="s">
        <v>178</v>
      </c>
      <c r="F1564" s="6" t="s">
        <v>543</v>
      </c>
      <c r="G1564" s="6" t="s">
        <v>761</v>
      </c>
      <c r="H1564" s="6" t="s">
        <v>3255</v>
      </c>
      <c r="J1564" s="1215" t="s">
        <v>509</v>
      </c>
      <c r="K1564" s="1219" t="s">
        <v>3112</v>
      </c>
      <c r="L1564" s="8">
        <v>0</v>
      </c>
      <c r="M1564" s="8">
        <v>19</v>
      </c>
      <c r="N1564" s="1169" t="s">
        <v>272</v>
      </c>
      <c r="P1564" s="6" t="s">
        <v>3324</v>
      </c>
      <c r="Q1564" s="1215" t="s">
        <v>253</v>
      </c>
      <c r="R1564" s="1215" t="s">
        <v>255</v>
      </c>
      <c r="S1564" s="1215" t="s">
        <v>534</v>
      </c>
      <c r="T1564" s="1215" t="s">
        <v>533</v>
      </c>
      <c r="U1564" s="6" t="s">
        <v>542</v>
      </c>
      <c r="V1564" s="6" t="s">
        <v>32</v>
      </c>
      <c r="W1564" s="6" t="s">
        <v>543</v>
      </c>
      <c r="X1564" s="6" t="s">
        <v>178</v>
      </c>
    </row>
    <row r="1565" spans="1:24" ht="15" customHeight="1" x14ac:dyDescent="0.3">
      <c r="A1565" s="6" t="s">
        <v>533</v>
      </c>
      <c r="B1565" s="6" t="s">
        <v>534</v>
      </c>
      <c r="C1565" s="6" t="s">
        <v>32</v>
      </c>
      <c r="D1565" s="1088" t="s">
        <v>542</v>
      </c>
      <c r="E1565" s="6" t="s">
        <v>178</v>
      </c>
      <c r="F1565" s="6" t="s">
        <v>543</v>
      </c>
      <c r="G1565" s="6" t="s">
        <v>1718</v>
      </c>
      <c r="H1565" s="6" t="s">
        <v>3254</v>
      </c>
      <c r="J1565" s="1215" t="s">
        <v>509</v>
      </c>
      <c r="K1565" s="1219" t="s">
        <v>3033</v>
      </c>
      <c r="L1565" s="8">
        <v>31</v>
      </c>
      <c r="M1565" s="8">
        <v>162</v>
      </c>
      <c r="N1565" s="1169" t="s">
        <v>272</v>
      </c>
      <c r="P1565" s="6" t="s">
        <v>3324</v>
      </c>
      <c r="Q1565" s="1215" t="s">
        <v>253</v>
      </c>
      <c r="R1565" s="1215" t="s">
        <v>255</v>
      </c>
      <c r="S1565" s="1215" t="s">
        <v>534</v>
      </c>
      <c r="T1565" s="1215" t="s">
        <v>533</v>
      </c>
      <c r="U1565" s="6" t="s">
        <v>542</v>
      </c>
      <c r="V1565" s="6" t="s">
        <v>32</v>
      </c>
      <c r="W1565" s="6" t="s">
        <v>543</v>
      </c>
      <c r="X1565" s="6" t="s">
        <v>178</v>
      </c>
    </row>
    <row r="1566" spans="1:24" ht="15" customHeight="1" x14ac:dyDescent="0.3">
      <c r="A1566" s="6" t="s">
        <v>533</v>
      </c>
      <c r="B1566" s="6" t="s">
        <v>534</v>
      </c>
      <c r="C1566" s="6" t="s">
        <v>32</v>
      </c>
      <c r="D1566" s="1088" t="s">
        <v>542</v>
      </c>
      <c r="E1566" s="6" t="s">
        <v>178</v>
      </c>
      <c r="F1566" s="6" t="s">
        <v>543</v>
      </c>
      <c r="G1566" s="6" t="s">
        <v>1718</v>
      </c>
      <c r="H1566" s="6" t="s">
        <v>3254</v>
      </c>
      <c r="J1566" s="1215" t="s">
        <v>509</v>
      </c>
      <c r="K1566" s="1219" t="s">
        <v>3110</v>
      </c>
      <c r="L1566" s="8">
        <v>0</v>
      </c>
      <c r="M1566" s="8">
        <v>3</v>
      </c>
      <c r="N1566" s="1169" t="s">
        <v>272</v>
      </c>
      <c r="P1566" s="6" t="s">
        <v>3324</v>
      </c>
      <c r="Q1566" s="1215" t="s">
        <v>253</v>
      </c>
      <c r="R1566" s="1215" t="s">
        <v>255</v>
      </c>
      <c r="S1566" s="1215" t="s">
        <v>534</v>
      </c>
      <c r="T1566" s="1215" t="s">
        <v>533</v>
      </c>
      <c r="U1566" s="6" t="s">
        <v>542</v>
      </c>
      <c r="V1566" s="6" t="s">
        <v>32</v>
      </c>
      <c r="W1566" s="6" t="s">
        <v>543</v>
      </c>
      <c r="X1566" s="6" t="s">
        <v>178</v>
      </c>
    </row>
    <row r="1567" spans="1:24" ht="15" customHeight="1" x14ac:dyDescent="0.3">
      <c r="A1567" s="6" t="s">
        <v>533</v>
      </c>
      <c r="B1567" s="6" t="s">
        <v>534</v>
      </c>
      <c r="C1567" s="6" t="s">
        <v>32</v>
      </c>
      <c r="D1567" s="1088" t="s">
        <v>542</v>
      </c>
      <c r="E1567" s="6" t="s">
        <v>178</v>
      </c>
      <c r="F1567" s="6" t="s">
        <v>543</v>
      </c>
      <c r="G1567" s="6" t="s">
        <v>1718</v>
      </c>
      <c r="H1567" s="6" t="s">
        <v>3254</v>
      </c>
      <c r="J1567" s="1215" t="s">
        <v>509</v>
      </c>
      <c r="K1567" s="1219" t="s">
        <v>3111</v>
      </c>
      <c r="L1567" s="8">
        <v>0</v>
      </c>
      <c r="M1567" s="8">
        <v>1</v>
      </c>
      <c r="N1567" s="1169" t="s">
        <v>272</v>
      </c>
      <c r="P1567" s="6" t="s">
        <v>3324</v>
      </c>
      <c r="Q1567" s="1215" t="s">
        <v>253</v>
      </c>
      <c r="R1567" s="1215" t="s">
        <v>255</v>
      </c>
      <c r="S1567" s="1215" t="s">
        <v>534</v>
      </c>
      <c r="T1567" s="1215" t="s">
        <v>533</v>
      </c>
      <c r="U1567" s="6" t="s">
        <v>542</v>
      </c>
      <c r="V1567" s="6" t="s">
        <v>32</v>
      </c>
      <c r="W1567" s="6" t="s">
        <v>543</v>
      </c>
      <c r="X1567" s="6" t="s">
        <v>178</v>
      </c>
    </row>
    <row r="1568" spans="1:24" ht="15" customHeight="1" x14ac:dyDescent="0.3">
      <c r="A1568" s="6" t="s">
        <v>533</v>
      </c>
      <c r="B1568" s="6" t="s">
        <v>534</v>
      </c>
      <c r="C1568" s="6" t="s">
        <v>32</v>
      </c>
      <c r="D1568" s="1088" t="s">
        <v>542</v>
      </c>
      <c r="E1568" s="6" t="s">
        <v>178</v>
      </c>
      <c r="F1568" s="6" t="s">
        <v>543</v>
      </c>
      <c r="G1568" s="6" t="s">
        <v>1718</v>
      </c>
      <c r="H1568" s="6" t="s">
        <v>3254</v>
      </c>
      <c r="J1568" s="1215" t="s">
        <v>509</v>
      </c>
      <c r="K1568" s="1219" t="s">
        <v>3112</v>
      </c>
      <c r="L1568" s="8">
        <v>0</v>
      </c>
      <c r="M1568" s="8">
        <v>5</v>
      </c>
      <c r="N1568" s="1169" t="s">
        <v>272</v>
      </c>
      <c r="O1568" s="1088"/>
      <c r="P1568" s="6" t="s">
        <v>3324</v>
      </c>
      <c r="Q1568" s="1215" t="s">
        <v>253</v>
      </c>
      <c r="R1568" s="1215" t="s">
        <v>255</v>
      </c>
      <c r="S1568" s="1215" t="s">
        <v>534</v>
      </c>
      <c r="T1568" s="1215" t="s">
        <v>533</v>
      </c>
      <c r="U1568" s="6" t="s">
        <v>542</v>
      </c>
      <c r="V1568" s="6" t="s">
        <v>32</v>
      </c>
      <c r="W1568" s="6" t="s">
        <v>543</v>
      </c>
      <c r="X1568" s="6" t="s">
        <v>178</v>
      </c>
    </row>
    <row r="1569" spans="1:24" ht="15" customHeight="1" x14ac:dyDescent="0.3">
      <c r="A1569" s="6" t="s">
        <v>533</v>
      </c>
      <c r="B1569" s="6" t="s">
        <v>534</v>
      </c>
      <c r="C1569" s="6" t="s">
        <v>32</v>
      </c>
      <c r="D1569" s="1088" t="s">
        <v>542</v>
      </c>
      <c r="E1569" s="6" t="s">
        <v>178</v>
      </c>
      <c r="F1569" s="6" t="s">
        <v>543</v>
      </c>
      <c r="G1569" s="6" t="s">
        <v>1260</v>
      </c>
      <c r="H1569" s="6" t="s">
        <v>1261</v>
      </c>
      <c r="J1569" s="1215" t="s">
        <v>509</v>
      </c>
      <c r="K1569" s="1219" t="s">
        <v>3033</v>
      </c>
      <c r="L1569" s="8">
        <v>12</v>
      </c>
      <c r="M1569" s="8">
        <v>110</v>
      </c>
      <c r="N1569" s="1169" t="s">
        <v>272</v>
      </c>
      <c r="P1569" s="6" t="s">
        <v>3324</v>
      </c>
      <c r="Q1569" s="1215" t="s">
        <v>253</v>
      </c>
      <c r="R1569" s="1215" t="s">
        <v>255</v>
      </c>
      <c r="S1569" s="1215" t="s">
        <v>534</v>
      </c>
      <c r="T1569" s="1215" t="s">
        <v>533</v>
      </c>
      <c r="U1569" s="6" t="s">
        <v>542</v>
      </c>
      <c r="V1569" s="6" t="s">
        <v>32</v>
      </c>
      <c r="W1569" s="6" t="s">
        <v>543</v>
      </c>
      <c r="X1569" s="6" t="s">
        <v>178</v>
      </c>
    </row>
    <row r="1570" spans="1:24" ht="15" customHeight="1" x14ac:dyDescent="0.3">
      <c r="A1570" s="6" t="s">
        <v>533</v>
      </c>
      <c r="B1570" s="6" t="s">
        <v>534</v>
      </c>
      <c r="C1570" s="6" t="s">
        <v>32</v>
      </c>
      <c r="D1570" s="1088" t="s">
        <v>542</v>
      </c>
      <c r="E1570" s="6" t="s">
        <v>178</v>
      </c>
      <c r="F1570" s="6" t="s">
        <v>543</v>
      </c>
      <c r="G1570" s="6" t="s">
        <v>1260</v>
      </c>
      <c r="H1570" s="6" t="s">
        <v>1261</v>
      </c>
      <c r="J1570" s="1215" t="s">
        <v>509</v>
      </c>
      <c r="K1570" s="1219" t="s">
        <v>3109</v>
      </c>
      <c r="L1570" s="8">
        <v>0</v>
      </c>
      <c r="M1570" s="8">
        <v>15</v>
      </c>
      <c r="N1570" s="1169" t="s">
        <v>272</v>
      </c>
      <c r="P1570" s="6" t="s">
        <v>3324</v>
      </c>
      <c r="Q1570" s="1215" t="s">
        <v>253</v>
      </c>
      <c r="R1570" s="1215" t="s">
        <v>255</v>
      </c>
      <c r="S1570" s="1215" t="s">
        <v>534</v>
      </c>
      <c r="T1570" s="1215" t="s">
        <v>533</v>
      </c>
      <c r="U1570" s="6" t="s">
        <v>542</v>
      </c>
      <c r="V1570" s="6" t="s">
        <v>32</v>
      </c>
      <c r="W1570" s="6" t="s">
        <v>543</v>
      </c>
      <c r="X1570" s="6" t="s">
        <v>178</v>
      </c>
    </row>
    <row r="1571" spans="1:24" ht="15" customHeight="1" x14ac:dyDescent="0.3">
      <c r="A1571" s="6" t="s">
        <v>533</v>
      </c>
      <c r="B1571" s="6" t="s">
        <v>534</v>
      </c>
      <c r="C1571" s="6" t="s">
        <v>32</v>
      </c>
      <c r="D1571" s="1088" t="s">
        <v>542</v>
      </c>
      <c r="E1571" s="6" t="s">
        <v>178</v>
      </c>
      <c r="F1571" s="6" t="s">
        <v>543</v>
      </c>
      <c r="G1571" s="6" t="s">
        <v>1260</v>
      </c>
      <c r="H1571" s="6" t="s">
        <v>1261</v>
      </c>
      <c r="J1571" s="1215" t="s">
        <v>509</v>
      </c>
      <c r="K1571" s="1219" t="s">
        <v>3110</v>
      </c>
      <c r="L1571" s="8">
        <v>0</v>
      </c>
      <c r="M1571" s="8">
        <v>10</v>
      </c>
      <c r="N1571" s="1169" t="s">
        <v>272</v>
      </c>
      <c r="P1571" s="6" t="s">
        <v>3324</v>
      </c>
      <c r="Q1571" s="1215" t="s">
        <v>253</v>
      </c>
      <c r="R1571" s="1215" t="s">
        <v>255</v>
      </c>
      <c r="S1571" s="1215" t="s">
        <v>534</v>
      </c>
      <c r="T1571" s="1215" t="s">
        <v>533</v>
      </c>
      <c r="U1571" s="6" t="s">
        <v>542</v>
      </c>
      <c r="V1571" s="6" t="s">
        <v>32</v>
      </c>
      <c r="W1571" s="6" t="s">
        <v>543</v>
      </c>
      <c r="X1571" s="6" t="s">
        <v>178</v>
      </c>
    </row>
    <row r="1572" spans="1:24" ht="15" customHeight="1" x14ac:dyDescent="0.3">
      <c r="A1572" s="6" t="s">
        <v>533</v>
      </c>
      <c r="B1572" s="6" t="s">
        <v>534</v>
      </c>
      <c r="C1572" s="6" t="s">
        <v>32</v>
      </c>
      <c r="D1572" s="1088" t="s">
        <v>542</v>
      </c>
      <c r="E1572" s="6" t="s">
        <v>178</v>
      </c>
      <c r="F1572" s="6" t="s">
        <v>543</v>
      </c>
      <c r="G1572" s="6" t="s">
        <v>1260</v>
      </c>
      <c r="H1572" s="6" t="s">
        <v>1261</v>
      </c>
      <c r="J1572" s="1215" t="s">
        <v>509</v>
      </c>
      <c r="K1572" s="1219" t="s">
        <v>3111</v>
      </c>
      <c r="L1572" s="8">
        <v>0</v>
      </c>
      <c r="M1572" s="8">
        <v>6</v>
      </c>
      <c r="N1572" s="1169" t="s">
        <v>272</v>
      </c>
      <c r="O1572" s="1088"/>
      <c r="P1572" s="6" t="s">
        <v>3324</v>
      </c>
      <c r="Q1572" s="1215" t="s">
        <v>253</v>
      </c>
      <c r="R1572" s="1215" t="s">
        <v>255</v>
      </c>
      <c r="S1572" s="1215" t="s">
        <v>534</v>
      </c>
      <c r="T1572" s="1215" t="s">
        <v>533</v>
      </c>
      <c r="U1572" s="6" t="s">
        <v>542</v>
      </c>
      <c r="V1572" s="6" t="s">
        <v>32</v>
      </c>
      <c r="W1572" s="6" t="s">
        <v>543</v>
      </c>
      <c r="X1572" s="6" t="s">
        <v>178</v>
      </c>
    </row>
    <row r="1573" spans="1:24" ht="15" customHeight="1" x14ac:dyDescent="0.3">
      <c r="A1573" s="6" t="s">
        <v>533</v>
      </c>
      <c r="B1573" s="6" t="s">
        <v>534</v>
      </c>
      <c r="C1573" s="6" t="s">
        <v>32</v>
      </c>
      <c r="D1573" s="1088" t="s">
        <v>542</v>
      </c>
      <c r="E1573" s="6" t="s">
        <v>178</v>
      </c>
      <c r="F1573" s="6" t="s">
        <v>543</v>
      </c>
      <c r="G1573" s="6" t="s">
        <v>1260</v>
      </c>
      <c r="H1573" s="6" t="s">
        <v>1261</v>
      </c>
      <c r="J1573" s="1215" t="s">
        <v>509</v>
      </c>
      <c r="K1573" s="1219" t="s">
        <v>3112</v>
      </c>
      <c r="L1573" s="8">
        <v>0</v>
      </c>
      <c r="M1573" s="8">
        <v>7</v>
      </c>
      <c r="N1573" s="1169" t="s">
        <v>272</v>
      </c>
      <c r="O1573" s="1088"/>
      <c r="P1573" s="6" t="s">
        <v>3324</v>
      </c>
      <c r="Q1573" s="1215" t="s">
        <v>253</v>
      </c>
      <c r="R1573" s="1215" t="s">
        <v>255</v>
      </c>
      <c r="S1573" s="1215" t="s">
        <v>534</v>
      </c>
      <c r="T1573" s="1215" t="s">
        <v>533</v>
      </c>
      <c r="U1573" s="6" t="s">
        <v>542</v>
      </c>
      <c r="V1573" s="6" t="s">
        <v>32</v>
      </c>
      <c r="W1573" s="6" t="s">
        <v>543</v>
      </c>
      <c r="X1573" s="6" t="s">
        <v>178</v>
      </c>
    </row>
    <row r="1574" spans="1:24" ht="15" customHeight="1" x14ac:dyDescent="0.3">
      <c r="A1574" s="6" t="s">
        <v>533</v>
      </c>
      <c r="B1574" s="6" t="s">
        <v>534</v>
      </c>
      <c r="C1574" s="6" t="s">
        <v>31</v>
      </c>
      <c r="D1574" s="1088" t="s">
        <v>549</v>
      </c>
      <c r="E1574" s="6" t="s">
        <v>171</v>
      </c>
      <c r="F1574" s="6" t="s">
        <v>634</v>
      </c>
      <c r="G1574" s="6" t="s">
        <v>934</v>
      </c>
      <c r="H1574" s="6" t="s">
        <v>2064</v>
      </c>
      <c r="J1574" s="1215" t="s">
        <v>509</v>
      </c>
      <c r="K1574" s="1219" t="s">
        <v>3033</v>
      </c>
      <c r="L1574" s="8">
        <v>20</v>
      </c>
      <c r="M1574" s="8">
        <v>420</v>
      </c>
      <c r="N1574" s="1169" t="s">
        <v>271</v>
      </c>
      <c r="P1574" s="6" t="s">
        <v>3324</v>
      </c>
      <c r="Q1574" s="1215" t="s">
        <v>253</v>
      </c>
      <c r="R1574" s="1215" t="s">
        <v>255</v>
      </c>
      <c r="S1574" s="1215" t="s">
        <v>534</v>
      </c>
      <c r="T1574" s="1215" t="s">
        <v>533</v>
      </c>
      <c r="U1574" s="6" t="s">
        <v>549</v>
      </c>
      <c r="V1574" s="6" t="s">
        <v>31</v>
      </c>
      <c r="W1574" s="6" t="s">
        <v>634</v>
      </c>
      <c r="X1574" s="6" t="s">
        <v>171</v>
      </c>
    </row>
    <row r="1575" spans="1:24" ht="15" customHeight="1" x14ac:dyDescent="0.3">
      <c r="A1575" s="6" t="s">
        <v>533</v>
      </c>
      <c r="B1575" s="6" t="s">
        <v>534</v>
      </c>
      <c r="C1575" s="6" t="s">
        <v>31</v>
      </c>
      <c r="D1575" s="1088" t="s">
        <v>549</v>
      </c>
      <c r="E1575" s="6" t="s">
        <v>171</v>
      </c>
      <c r="F1575" s="6" t="s">
        <v>634</v>
      </c>
      <c r="G1575" s="6" t="s">
        <v>934</v>
      </c>
      <c r="H1575" s="6" t="s">
        <v>2064</v>
      </c>
      <c r="J1575" s="1215" t="s">
        <v>509</v>
      </c>
      <c r="K1575" s="1219" t="s">
        <v>3112</v>
      </c>
      <c r="L1575" s="8">
        <v>20</v>
      </c>
      <c r="M1575" s="8">
        <v>250</v>
      </c>
      <c r="N1575" s="1169" t="s">
        <v>272</v>
      </c>
      <c r="O1575" s="1088"/>
      <c r="P1575" s="6" t="s">
        <v>3323</v>
      </c>
      <c r="Q1575" s="1215" t="s">
        <v>253</v>
      </c>
      <c r="R1575" s="1215" t="s">
        <v>255</v>
      </c>
      <c r="S1575" s="1215" t="s">
        <v>534</v>
      </c>
      <c r="T1575" s="1215" t="s">
        <v>533</v>
      </c>
      <c r="U1575" s="6" t="s">
        <v>549</v>
      </c>
      <c r="V1575" s="6" t="s">
        <v>31</v>
      </c>
      <c r="W1575" s="6" t="s">
        <v>1113</v>
      </c>
      <c r="X1575" s="6" t="s">
        <v>167</v>
      </c>
    </row>
    <row r="1576" spans="1:24" ht="15" customHeight="1" x14ac:dyDescent="0.3">
      <c r="A1576" s="6" t="s">
        <v>533</v>
      </c>
      <c r="B1576" s="6" t="s">
        <v>534</v>
      </c>
      <c r="C1576" s="6" t="s">
        <v>31</v>
      </c>
      <c r="D1576" s="6" t="s">
        <v>549</v>
      </c>
      <c r="E1576" s="1088" t="s">
        <v>171</v>
      </c>
      <c r="F1576" s="6" t="s">
        <v>634</v>
      </c>
      <c r="G1576" s="6" t="s">
        <v>1248</v>
      </c>
      <c r="H1576" s="6" t="s">
        <v>1793</v>
      </c>
      <c r="J1576" s="1215" t="s">
        <v>509</v>
      </c>
      <c r="K1576" s="1219" t="s">
        <v>3033</v>
      </c>
      <c r="L1576" s="8">
        <v>3</v>
      </c>
      <c r="M1576" s="8">
        <v>15</v>
      </c>
      <c r="N1576" s="1169" t="s">
        <v>271</v>
      </c>
      <c r="P1576" s="6" t="s">
        <v>3324</v>
      </c>
      <c r="Q1576" s="1215" t="s">
        <v>253</v>
      </c>
      <c r="R1576" s="1215" t="s">
        <v>255</v>
      </c>
      <c r="S1576" s="1215" t="s">
        <v>534</v>
      </c>
      <c r="T1576" s="1215" t="s">
        <v>533</v>
      </c>
      <c r="U1576" s="6" t="s">
        <v>549</v>
      </c>
      <c r="V1576" s="6" t="s">
        <v>31</v>
      </c>
      <c r="W1576" s="6" t="s">
        <v>634</v>
      </c>
      <c r="X1576" s="6" t="s">
        <v>171</v>
      </c>
    </row>
    <row r="1577" spans="1:24" ht="15" customHeight="1" x14ac:dyDescent="0.3">
      <c r="A1577" s="6" t="s">
        <v>533</v>
      </c>
      <c r="B1577" s="6" t="s">
        <v>534</v>
      </c>
      <c r="C1577" s="6" t="s">
        <v>31</v>
      </c>
      <c r="D1577" s="1088" t="s">
        <v>549</v>
      </c>
      <c r="E1577" s="6" t="s">
        <v>171</v>
      </c>
      <c r="F1577" s="6" t="s">
        <v>634</v>
      </c>
      <c r="G1577" s="6" t="s">
        <v>1248</v>
      </c>
      <c r="H1577" s="6" t="s">
        <v>1793</v>
      </c>
      <c r="J1577" s="1215" t="s">
        <v>509</v>
      </c>
      <c r="K1577" s="1219" t="s">
        <v>3112</v>
      </c>
      <c r="L1577" s="8">
        <v>10</v>
      </c>
      <c r="M1577" s="8">
        <v>27</v>
      </c>
      <c r="N1577" s="6" t="s">
        <v>272</v>
      </c>
      <c r="P1577" s="6" t="s">
        <v>3324</v>
      </c>
      <c r="Q1577" s="1215" t="s">
        <v>253</v>
      </c>
      <c r="R1577" s="1215" t="s">
        <v>255</v>
      </c>
      <c r="S1577" s="1215" t="s">
        <v>534</v>
      </c>
      <c r="T1577" s="1215" t="s">
        <v>533</v>
      </c>
      <c r="U1577" s="6" t="s">
        <v>549</v>
      </c>
      <c r="V1577" s="6" t="s">
        <v>31</v>
      </c>
      <c r="W1577" s="6" t="s">
        <v>634</v>
      </c>
      <c r="X1577" s="6" t="s">
        <v>171</v>
      </c>
    </row>
    <row r="1578" spans="1:24" ht="15" customHeight="1" x14ac:dyDescent="0.3">
      <c r="A1578" s="6" t="s">
        <v>533</v>
      </c>
      <c r="B1578" s="6" t="s">
        <v>534</v>
      </c>
      <c r="C1578" s="6" t="s">
        <v>31</v>
      </c>
      <c r="D1578" s="1088" t="s">
        <v>549</v>
      </c>
      <c r="E1578" s="6" t="s">
        <v>171</v>
      </c>
      <c r="F1578" s="6" t="s">
        <v>634</v>
      </c>
      <c r="G1578" s="6" t="s">
        <v>1808</v>
      </c>
      <c r="H1578" s="6" t="s">
        <v>1821</v>
      </c>
      <c r="J1578" s="1215" t="s">
        <v>509</v>
      </c>
      <c r="K1578" s="1219" t="s">
        <v>3111</v>
      </c>
      <c r="L1578" s="8">
        <v>5</v>
      </c>
      <c r="M1578" s="8">
        <v>20</v>
      </c>
      <c r="N1578" s="6" t="s">
        <v>271</v>
      </c>
      <c r="O1578" s="1088"/>
      <c r="P1578" s="6" t="s">
        <v>3323</v>
      </c>
      <c r="Q1578" s="1215" t="s">
        <v>253</v>
      </c>
      <c r="R1578" s="1215" t="s">
        <v>255</v>
      </c>
      <c r="S1578" s="1215" t="s">
        <v>534</v>
      </c>
      <c r="T1578" s="1215" t="s">
        <v>533</v>
      </c>
      <c r="U1578" s="6" t="s">
        <v>549</v>
      </c>
      <c r="V1578" s="6" t="s">
        <v>31</v>
      </c>
      <c r="W1578" s="6" t="s">
        <v>881</v>
      </c>
      <c r="X1578" s="6" t="s">
        <v>165</v>
      </c>
    </row>
    <row r="1579" spans="1:24" ht="15" customHeight="1" x14ac:dyDescent="0.3">
      <c r="A1579" s="6" t="s">
        <v>533</v>
      </c>
      <c r="B1579" s="6" t="s">
        <v>534</v>
      </c>
      <c r="C1579" s="6" t="s">
        <v>31</v>
      </c>
      <c r="D1579" s="1088" t="s">
        <v>549</v>
      </c>
      <c r="E1579" s="6" t="s">
        <v>171</v>
      </c>
      <c r="F1579" s="6" t="s">
        <v>634</v>
      </c>
      <c r="G1579" s="6" t="s">
        <v>1808</v>
      </c>
      <c r="H1579" s="6" t="s">
        <v>1821</v>
      </c>
      <c r="J1579" s="1215" t="s">
        <v>509</v>
      </c>
      <c r="K1579" s="1219" t="s">
        <v>3112</v>
      </c>
      <c r="L1579" s="8">
        <v>5</v>
      </c>
      <c r="M1579" s="8">
        <v>42</v>
      </c>
      <c r="N1579" s="6" t="s">
        <v>271</v>
      </c>
      <c r="O1579" s="1088"/>
      <c r="P1579" s="6" t="s">
        <v>3323</v>
      </c>
      <c r="Q1579" s="1215" t="s">
        <v>253</v>
      </c>
      <c r="R1579" s="1215" t="s">
        <v>255</v>
      </c>
      <c r="S1579" s="1215" t="s">
        <v>534</v>
      </c>
      <c r="T1579" s="1215" t="s">
        <v>533</v>
      </c>
      <c r="U1579" s="6" t="s">
        <v>549</v>
      </c>
      <c r="V1579" s="6" t="s">
        <v>31</v>
      </c>
      <c r="W1579" s="6" t="s">
        <v>1113</v>
      </c>
      <c r="X1579" s="6" t="s">
        <v>167</v>
      </c>
    </row>
    <row r="1580" spans="1:24" ht="15" customHeight="1" x14ac:dyDescent="0.3">
      <c r="A1580" s="6" t="s">
        <v>533</v>
      </c>
      <c r="B1580" s="6" t="s">
        <v>534</v>
      </c>
      <c r="C1580" s="6" t="s">
        <v>31</v>
      </c>
      <c r="D1580" s="1088" t="s">
        <v>549</v>
      </c>
      <c r="E1580" s="6" t="s">
        <v>171</v>
      </c>
      <c r="F1580" s="6" t="s">
        <v>634</v>
      </c>
      <c r="G1580" s="6" t="s">
        <v>1974</v>
      </c>
      <c r="H1580" s="6" t="s">
        <v>1817</v>
      </c>
      <c r="J1580" s="1215" t="s">
        <v>509</v>
      </c>
      <c r="K1580" s="1219" t="s">
        <v>3111</v>
      </c>
      <c r="L1580" s="8">
        <v>4</v>
      </c>
      <c r="M1580" s="8">
        <v>9</v>
      </c>
      <c r="N1580" s="1169" t="s">
        <v>271</v>
      </c>
      <c r="P1580" s="6" t="s">
        <v>3323</v>
      </c>
      <c r="Q1580" s="1215" t="s">
        <v>253</v>
      </c>
      <c r="R1580" s="1215" t="s">
        <v>255</v>
      </c>
      <c r="S1580" s="1215" t="s">
        <v>534</v>
      </c>
      <c r="T1580" s="1215" t="s">
        <v>533</v>
      </c>
      <c r="U1580" s="6" t="s">
        <v>549</v>
      </c>
      <c r="V1580" s="6" t="s">
        <v>31</v>
      </c>
      <c r="W1580" s="6" t="s">
        <v>844</v>
      </c>
      <c r="X1580" s="6" t="s">
        <v>166</v>
      </c>
    </row>
    <row r="1581" spans="1:24" ht="15" customHeight="1" x14ac:dyDescent="0.3">
      <c r="A1581" s="6" t="s">
        <v>533</v>
      </c>
      <c r="B1581" s="6" t="s">
        <v>534</v>
      </c>
      <c r="C1581" s="6" t="s">
        <v>31</v>
      </c>
      <c r="D1581" s="1088" t="s">
        <v>549</v>
      </c>
      <c r="E1581" s="6" t="s">
        <v>171</v>
      </c>
      <c r="F1581" s="6" t="s">
        <v>634</v>
      </c>
      <c r="G1581" s="6" t="s">
        <v>1974</v>
      </c>
      <c r="H1581" s="6" t="s">
        <v>1817</v>
      </c>
      <c r="J1581" s="1215" t="s">
        <v>509</v>
      </c>
      <c r="K1581" s="1219" t="s">
        <v>3112</v>
      </c>
      <c r="L1581" s="8">
        <v>10</v>
      </c>
      <c r="M1581" s="8">
        <v>59</v>
      </c>
      <c r="N1581" s="1169" t="s">
        <v>271</v>
      </c>
      <c r="P1581" s="6" t="s">
        <v>3323</v>
      </c>
      <c r="Q1581" s="1215" t="s">
        <v>253</v>
      </c>
      <c r="R1581" s="1215" t="s">
        <v>255</v>
      </c>
      <c r="S1581" s="1215" t="s">
        <v>534</v>
      </c>
      <c r="T1581" s="1215" t="s">
        <v>533</v>
      </c>
      <c r="U1581" s="6" t="s">
        <v>549</v>
      </c>
      <c r="V1581" s="6" t="s">
        <v>31</v>
      </c>
      <c r="W1581" s="6" t="s">
        <v>844</v>
      </c>
      <c r="X1581" s="6" t="s">
        <v>166</v>
      </c>
    </row>
    <row r="1582" spans="1:24" ht="15" customHeight="1" x14ac:dyDescent="0.3">
      <c r="A1582" s="6" t="s">
        <v>533</v>
      </c>
      <c r="B1582" s="6" t="s">
        <v>534</v>
      </c>
      <c r="C1582" s="6" t="s">
        <v>31</v>
      </c>
      <c r="D1582" s="1088" t="s">
        <v>549</v>
      </c>
      <c r="E1582" s="6" t="s">
        <v>171</v>
      </c>
      <c r="F1582" s="6" t="s">
        <v>634</v>
      </c>
      <c r="G1582" s="6" t="s">
        <v>1343</v>
      </c>
      <c r="H1582" s="6" t="s">
        <v>1828</v>
      </c>
      <c r="J1582" s="1215" t="s">
        <v>509</v>
      </c>
      <c r="K1582" s="1219" t="s">
        <v>3111</v>
      </c>
      <c r="L1582" s="8">
        <v>2</v>
      </c>
      <c r="M1582" s="8">
        <v>11</v>
      </c>
      <c r="N1582" s="1169" t="s">
        <v>271</v>
      </c>
      <c r="P1582" s="6" t="s">
        <v>3323</v>
      </c>
      <c r="Q1582" s="1215" t="s">
        <v>253</v>
      </c>
      <c r="R1582" s="1215" t="s">
        <v>255</v>
      </c>
      <c r="S1582" s="1215" t="s">
        <v>534</v>
      </c>
      <c r="T1582" s="1215" t="s">
        <v>533</v>
      </c>
      <c r="U1582" s="6" t="s">
        <v>549</v>
      </c>
      <c r="V1582" s="6" t="s">
        <v>31</v>
      </c>
      <c r="W1582" s="6" t="s">
        <v>881</v>
      </c>
      <c r="X1582" s="6" t="s">
        <v>165</v>
      </c>
    </row>
    <row r="1583" spans="1:24" ht="15" customHeight="1" x14ac:dyDescent="0.3">
      <c r="A1583" s="6" t="s">
        <v>533</v>
      </c>
      <c r="B1583" s="6" t="s">
        <v>534</v>
      </c>
      <c r="C1583" s="6" t="s">
        <v>31</v>
      </c>
      <c r="D1583" s="1088" t="s">
        <v>549</v>
      </c>
      <c r="E1583" s="6" t="s">
        <v>171</v>
      </c>
      <c r="F1583" s="6" t="s">
        <v>634</v>
      </c>
      <c r="G1583" s="6" t="s">
        <v>1343</v>
      </c>
      <c r="H1583" s="6" t="s">
        <v>1828</v>
      </c>
      <c r="J1583" s="1215" t="s">
        <v>509</v>
      </c>
      <c r="K1583" s="1219" t="s">
        <v>3112</v>
      </c>
      <c r="L1583" s="8">
        <v>4</v>
      </c>
      <c r="M1583" s="8">
        <v>32</v>
      </c>
      <c r="N1583" s="1169" t="s">
        <v>271</v>
      </c>
      <c r="O1583" s="1088"/>
      <c r="P1583" s="6" t="s">
        <v>3323</v>
      </c>
      <c r="Q1583" s="1215" t="s">
        <v>253</v>
      </c>
      <c r="R1583" s="1215" t="s">
        <v>255</v>
      </c>
      <c r="S1583" s="1215" t="s">
        <v>534</v>
      </c>
      <c r="T1583" s="1215" t="s">
        <v>533</v>
      </c>
      <c r="U1583" s="6" t="s">
        <v>549</v>
      </c>
      <c r="V1583" s="6" t="s">
        <v>31</v>
      </c>
      <c r="W1583" s="6" t="s">
        <v>844</v>
      </c>
      <c r="X1583" s="6" t="s">
        <v>166</v>
      </c>
    </row>
    <row r="1584" spans="1:24" ht="15" customHeight="1" x14ac:dyDescent="0.3">
      <c r="A1584" s="6" t="s">
        <v>533</v>
      </c>
      <c r="B1584" s="6" t="s">
        <v>534</v>
      </c>
      <c r="C1584" s="6" t="s">
        <v>31</v>
      </c>
      <c r="D1584" s="1088" t="s">
        <v>549</v>
      </c>
      <c r="E1584" s="6" t="s">
        <v>171</v>
      </c>
      <c r="F1584" s="6" t="s">
        <v>634</v>
      </c>
      <c r="G1584" s="6" t="s">
        <v>922</v>
      </c>
      <c r="H1584" s="6" t="s">
        <v>1253</v>
      </c>
      <c r="J1584" s="1215" t="s">
        <v>509</v>
      </c>
      <c r="K1584" s="1219" t="s">
        <v>3111</v>
      </c>
      <c r="L1584" s="8">
        <v>5</v>
      </c>
      <c r="M1584" s="8">
        <v>23</v>
      </c>
      <c r="N1584" s="1088" t="s">
        <v>271</v>
      </c>
      <c r="P1584" s="6" t="s">
        <v>3323</v>
      </c>
      <c r="Q1584" s="1215" t="s">
        <v>253</v>
      </c>
      <c r="R1584" s="1215" t="s">
        <v>255</v>
      </c>
      <c r="S1584" s="1215" t="s">
        <v>534</v>
      </c>
      <c r="T1584" s="1215" t="s">
        <v>533</v>
      </c>
      <c r="U1584" s="6" t="s">
        <v>549</v>
      </c>
      <c r="V1584" s="6" t="s">
        <v>31</v>
      </c>
      <c r="W1584" s="6" t="s">
        <v>881</v>
      </c>
      <c r="X1584" s="6" t="s">
        <v>165</v>
      </c>
    </row>
    <row r="1585" spans="1:24" ht="15" customHeight="1" x14ac:dyDescent="0.3">
      <c r="A1585" s="6" t="s">
        <v>533</v>
      </c>
      <c r="B1585" s="6" t="s">
        <v>534</v>
      </c>
      <c r="C1585" s="6" t="s">
        <v>31</v>
      </c>
      <c r="D1585" s="1088" t="s">
        <v>549</v>
      </c>
      <c r="E1585" s="6" t="s">
        <v>171</v>
      </c>
      <c r="F1585" s="6" t="s">
        <v>634</v>
      </c>
      <c r="G1585" s="6" t="s">
        <v>922</v>
      </c>
      <c r="H1585" s="6" t="s">
        <v>1253</v>
      </c>
      <c r="J1585" s="1215" t="s">
        <v>509</v>
      </c>
      <c r="K1585" s="1219" t="s">
        <v>3112</v>
      </c>
      <c r="L1585" s="8">
        <v>27</v>
      </c>
      <c r="M1585" s="8">
        <v>146</v>
      </c>
      <c r="N1585" s="1088" t="s">
        <v>271</v>
      </c>
      <c r="P1585" s="6" t="s">
        <v>3323</v>
      </c>
      <c r="Q1585" s="1215" t="s">
        <v>253</v>
      </c>
      <c r="R1585" s="1215" t="s">
        <v>255</v>
      </c>
      <c r="S1585" s="1215" t="s">
        <v>534</v>
      </c>
      <c r="T1585" s="1215" t="s">
        <v>533</v>
      </c>
      <c r="U1585" s="6" t="s">
        <v>549</v>
      </c>
      <c r="V1585" s="6" t="s">
        <v>31</v>
      </c>
      <c r="W1585" s="6" t="s">
        <v>844</v>
      </c>
      <c r="X1585" s="6" t="s">
        <v>166</v>
      </c>
    </row>
    <row r="1586" spans="1:24" ht="15" customHeight="1" x14ac:dyDescent="0.3">
      <c r="A1586" s="6" t="s">
        <v>533</v>
      </c>
      <c r="B1586" s="6" t="s">
        <v>534</v>
      </c>
      <c r="C1586" s="6" t="s">
        <v>31</v>
      </c>
      <c r="D1586" s="1088" t="s">
        <v>549</v>
      </c>
      <c r="E1586" s="6" t="s">
        <v>2797</v>
      </c>
      <c r="F1586" s="6" t="s">
        <v>767</v>
      </c>
      <c r="G1586" s="6" t="s">
        <v>550</v>
      </c>
      <c r="H1586" s="6" t="s">
        <v>3186</v>
      </c>
      <c r="I1586" s="6" t="s">
        <v>3186</v>
      </c>
      <c r="J1586" s="1215" t="s">
        <v>509</v>
      </c>
      <c r="K1586" s="1219" t="s">
        <v>3112</v>
      </c>
      <c r="L1586" s="8">
        <v>94</v>
      </c>
      <c r="M1586" s="8">
        <v>658</v>
      </c>
      <c r="N1586" s="1169" t="s">
        <v>271</v>
      </c>
      <c r="O1586" s="1088"/>
      <c r="P1586" s="6" t="s">
        <v>3323</v>
      </c>
      <c r="Q1586" s="1215" t="s">
        <v>253</v>
      </c>
      <c r="R1586" s="1215" t="s">
        <v>255</v>
      </c>
      <c r="S1586" s="1215" t="s">
        <v>534</v>
      </c>
      <c r="T1586" s="1215" t="s">
        <v>533</v>
      </c>
      <c r="U1586" s="6" t="s">
        <v>549</v>
      </c>
      <c r="V1586" s="6" t="s">
        <v>31</v>
      </c>
      <c r="W1586" s="6" t="s">
        <v>881</v>
      </c>
      <c r="X1586" s="6" t="s">
        <v>165</v>
      </c>
    </row>
    <row r="1587" spans="1:24" ht="15" customHeight="1" x14ac:dyDescent="0.3">
      <c r="A1587" s="6" t="s">
        <v>533</v>
      </c>
      <c r="B1587" s="6" t="s">
        <v>534</v>
      </c>
      <c r="C1587" s="6" t="s">
        <v>31</v>
      </c>
      <c r="D1587" s="1088" t="s">
        <v>549</v>
      </c>
      <c r="E1587" s="6" t="s">
        <v>2797</v>
      </c>
      <c r="F1587" s="6" t="s">
        <v>767</v>
      </c>
      <c r="G1587" s="6" t="s">
        <v>784</v>
      </c>
      <c r="H1587" s="6" t="s">
        <v>1228</v>
      </c>
      <c r="J1587" s="1215" t="s">
        <v>509</v>
      </c>
      <c r="K1587" s="1219" t="s">
        <v>3033</v>
      </c>
      <c r="L1587" s="8">
        <v>2</v>
      </c>
      <c r="M1587" s="8">
        <v>17</v>
      </c>
      <c r="N1587" s="1169" t="s">
        <v>271</v>
      </c>
      <c r="P1587" s="6" t="s">
        <v>3324</v>
      </c>
      <c r="Q1587" s="1215" t="s">
        <v>253</v>
      </c>
      <c r="R1587" s="1215" t="s">
        <v>255</v>
      </c>
      <c r="S1587" s="1215" t="s">
        <v>534</v>
      </c>
      <c r="T1587" s="1215" t="s">
        <v>533</v>
      </c>
      <c r="U1587" s="6" t="s">
        <v>549</v>
      </c>
      <c r="V1587" s="6" t="s">
        <v>31</v>
      </c>
      <c r="W1587" s="6" t="s">
        <v>767</v>
      </c>
      <c r="X1587" s="6" t="s">
        <v>2797</v>
      </c>
    </row>
    <row r="1588" spans="1:24" ht="15" customHeight="1" x14ac:dyDescent="0.3">
      <c r="A1588" s="6" t="s">
        <v>533</v>
      </c>
      <c r="B1588" s="6" t="s">
        <v>534</v>
      </c>
      <c r="C1588" s="6" t="s">
        <v>31</v>
      </c>
      <c r="D1588" s="1088" t="s">
        <v>549</v>
      </c>
      <c r="E1588" s="6" t="s">
        <v>2797</v>
      </c>
      <c r="F1588" s="6" t="s">
        <v>767</v>
      </c>
      <c r="G1588" s="6" t="s">
        <v>784</v>
      </c>
      <c r="H1588" s="6" t="s">
        <v>1228</v>
      </c>
      <c r="J1588" s="1215" t="s">
        <v>509</v>
      </c>
      <c r="K1588" s="1219" t="s">
        <v>3110</v>
      </c>
      <c r="L1588" s="8">
        <v>10</v>
      </c>
      <c r="M1588" s="8">
        <v>70</v>
      </c>
      <c r="N1588" s="1169" t="s">
        <v>271</v>
      </c>
      <c r="P1588" s="6" t="s">
        <v>3324</v>
      </c>
      <c r="Q1588" s="1215" t="s">
        <v>253</v>
      </c>
      <c r="R1588" s="1215" t="s">
        <v>255</v>
      </c>
      <c r="S1588" s="1215" t="s">
        <v>534</v>
      </c>
      <c r="T1588" s="1215" t="s">
        <v>533</v>
      </c>
      <c r="U1588" s="6" t="s">
        <v>549</v>
      </c>
      <c r="V1588" s="6" t="s">
        <v>31</v>
      </c>
      <c r="W1588" s="6" t="s">
        <v>767</v>
      </c>
      <c r="X1588" s="6" t="s">
        <v>2797</v>
      </c>
    </row>
    <row r="1589" spans="1:24" ht="15" customHeight="1" x14ac:dyDescent="0.3">
      <c r="A1589" s="6" t="s">
        <v>533</v>
      </c>
      <c r="B1589" s="6" t="s">
        <v>534</v>
      </c>
      <c r="C1589" s="6" t="s">
        <v>31</v>
      </c>
      <c r="D1589" s="1088" t="s">
        <v>549</v>
      </c>
      <c r="E1589" s="6" t="s">
        <v>2797</v>
      </c>
      <c r="F1589" s="6" t="s">
        <v>767</v>
      </c>
      <c r="G1589" s="6" t="s">
        <v>784</v>
      </c>
      <c r="H1589" s="6" t="s">
        <v>1228</v>
      </c>
      <c r="J1589" s="1215" t="s">
        <v>509</v>
      </c>
      <c r="K1589" s="1219" t="s">
        <v>3111</v>
      </c>
      <c r="L1589" s="8">
        <v>9</v>
      </c>
      <c r="M1589" s="8">
        <v>63</v>
      </c>
      <c r="N1589" s="1169" t="s">
        <v>271</v>
      </c>
      <c r="P1589" s="6" t="s">
        <v>3324</v>
      </c>
      <c r="Q1589" s="1215" t="s">
        <v>253</v>
      </c>
      <c r="R1589" s="1215" t="s">
        <v>255</v>
      </c>
      <c r="S1589" s="1215" t="s">
        <v>534</v>
      </c>
      <c r="T1589" s="1215" t="s">
        <v>533</v>
      </c>
      <c r="U1589" s="6" t="s">
        <v>549</v>
      </c>
      <c r="V1589" s="6" t="s">
        <v>31</v>
      </c>
      <c r="W1589" s="6" t="s">
        <v>767</v>
      </c>
      <c r="X1589" s="6" t="s">
        <v>2797</v>
      </c>
    </row>
    <row r="1590" spans="1:24" ht="15" customHeight="1" x14ac:dyDescent="0.3">
      <c r="A1590" s="6" t="s">
        <v>533</v>
      </c>
      <c r="B1590" s="6" t="s">
        <v>534</v>
      </c>
      <c r="C1590" s="6" t="s">
        <v>31</v>
      </c>
      <c r="D1590" s="1088" t="s">
        <v>549</v>
      </c>
      <c r="E1590" s="6" t="s">
        <v>2797</v>
      </c>
      <c r="F1590" s="6" t="s">
        <v>767</v>
      </c>
      <c r="G1590" s="6" t="s">
        <v>784</v>
      </c>
      <c r="H1590" s="6" t="s">
        <v>1228</v>
      </c>
      <c r="J1590" s="1215" t="s">
        <v>509</v>
      </c>
      <c r="K1590" s="1219" t="s">
        <v>3112</v>
      </c>
      <c r="L1590" s="8">
        <v>30</v>
      </c>
      <c r="M1590" s="8">
        <v>180</v>
      </c>
      <c r="N1590" s="1088" t="s">
        <v>271</v>
      </c>
      <c r="P1590" s="6" t="s">
        <v>3324</v>
      </c>
      <c r="Q1590" s="1215" t="s">
        <v>253</v>
      </c>
      <c r="R1590" s="1215" t="s">
        <v>255</v>
      </c>
      <c r="S1590" s="1215" t="s">
        <v>534</v>
      </c>
      <c r="T1590" s="1215" t="s">
        <v>533</v>
      </c>
      <c r="U1590" s="6" t="s">
        <v>549</v>
      </c>
      <c r="V1590" s="6" t="s">
        <v>31</v>
      </c>
      <c r="W1590" s="6" t="s">
        <v>767</v>
      </c>
      <c r="X1590" s="6" t="s">
        <v>2797</v>
      </c>
    </row>
    <row r="1591" spans="1:24" ht="15" customHeight="1" x14ac:dyDescent="0.3">
      <c r="A1591" s="6" t="s">
        <v>533</v>
      </c>
      <c r="B1591" s="6" t="s">
        <v>534</v>
      </c>
      <c r="C1591" s="6" t="s">
        <v>31</v>
      </c>
      <c r="D1591" s="1088" t="s">
        <v>549</v>
      </c>
      <c r="E1591" s="6" t="s">
        <v>2797</v>
      </c>
      <c r="F1591" s="6" t="s">
        <v>767</v>
      </c>
      <c r="G1591" s="6" t="s">
        <v>928</v>
      </c>
      <c r="H1591" s="6" t="s">
        <v>1863</v>
      </c>
      <c r="J1591" s="1215" t="s">
        <v>509</v>
      </c>
      <c r="K1591" s="1219" t="s">
        <v>3111</v>
      </c>
      <c r="L1591" s="8">
        <v>5</v>
      </c>
      <c r="M1591" s="8">
        <v>34</v>
      </c>
      <c r="N1591" s="1088" t="s">
        <v>271</v>
      </c>
      <c r="P1591" s="6" t="s">
        <v>3324</v>
      </c>
      <c r="Q1591" s="1215" t="s">
        <v>253</v>
      </c>
      <c r="R1591" s="1215" t="s">
        <v>255</v>
      </c>
      <c r="S1591" s="1215" t="s">
        <v>534</v>
      </c>
      <c r="T1591" s="1215" t="s">
        <v>533</v>
      </c>
      <c r="U1591" s="6" t="s">
        <v>549</v>
      </c>
      <c r="V1591" s="6" t="s">
        <v>31</v>
      </c>
      <c r="W1591" s="6" t="s">
        <v>767</v>
      </c>
      <c r="X1591" s="6" t="s">
        <v>2797</v>
      </c>
    </row>
    <row r="1592" spans="1:24" ht="15" customHeight="1" x14ac:dyDescent="0.3">
      <c r="A1592" s="6" t="s">
        <v>533</v>
      </c>
      <c r="B1592" s="6" t="s">
        <v>534</v>
      </c>
      <c r="C1592" s="6" t="s">
        <v>31</v>
      </c>
      <c r="D1592" s="1088" t="s">
        <v>549</v>
      </c>
      <c r="E1592" s="6" t="s">
        <v>2797</v>
      </c>
      <c r="F1592" s="6" t="s">
        <v>767</v>
      </c>
      <c r="G1592" s="6" t="s">
        <v>928</v>
      </c>
      <c r="H1592" s="6" t="s">
        <v>1863</v>
      </c>
      <c r="J1592" s="1215" t="s">
        <v>509</v>
      </c>
      <c r="K1592" s="1219" t="s">
        <v>3112</v>
      </c>
      <c r="L1592" s="8">
        <v>65</v>
      </c>
      <c r="M1592" s="8">
        <v>455</v>
      </c>
      <c r="N1592" s="1169" t="s">
        <v>271</v>
      </c>
      <c r="O1592" s="1088"/>
      <c r="P1592" s="6" t="s">
        <v>3324</v>
      </c>
      <c r="Q1592" s="1215" t="s">
        <v>253</v>
      </c>
      <c r="R1592" s="1215" t="s">
        <v>255</v>
      </c>
      <c r="S1592" s="1215" t="s">
        <v>534</v>
      </c>
      <c r="T1592" s="1215" t="s">
        <v>533</v>
      </c>
      <c r="U1592" s="6" t="s">
        <v>549</v>
      </c>
      <c r="V1592" s="6" t="s">
        <v>31</v>
      </c>
      <c r="W1592" s="6" t="s">
        <v>767</v>
      </c>
      <c r="X1592" s="6" t="s">
        <v>2797</v>
      </c>
    </row>
    <row r="1593" spans="1:24" ht="15" customHeight="1" x14ac:dyDescent="0.3">
      <c r="A1593" s="6" t="s">
        <v>533</v>
      </c>
      <c r="B1593" s="6" t="s">
        <v>534</v>
      </c>
      <c r="C1593" s="6" t="s">
        <v>31</v>
      </c>
      <c r="D1593" s="1088" t="s">
        <v>549</v>
      </c>
      <c r="E1593" s="6" t="s">
        <v>2797</v>
      </c>
      <c r="F1593" s="6" t="s">
        <v>767</v>
      </c>
      <c r="G1593" s="6" t="s">
        <v>2538</v>
      </c>
      <c r="H1593" s="6" t="s">
        <v>1485</v>
      </c>
      <c r="J1593" s="1215" t="s">
        <v>509</v>
      </c>
      <c r="K1593" s="1219" t="s">
        <v>3033</v>
      </c>
      <c r="L1593" s="8">
        <v>34</v>
      </c>
      <c r="M1593" s="8">
        <v>295</v>
      </c>
      <c r="N1593" s="1169" t="s">
        <v>271</v>
      </c>
      <c r="P1593" s="6" t="s">
        <v>3324</v>
      </c>
      <c r="Q1593" s="1215" t="s">
        <v>253</v>
      </c>
      <c r="R1593" s="1215" t="s">
        <v>255</v>
      </c>
      <c r="S1593" s="1215" t="s">
        <v>534</v>
      </c>
      <c r="T1593" s="1215" t="s">
        <v>533</v>
      </c>
      <c r="U1593" s="6" t="s">
        <v>549</v>
      </c>
      <c r="V1593" s="6" t="s">
        <v>31</v>
      </c>
      <c r="W1593" s="6" t="s">
        <v>767</v>
      </c>
      <c r="X1593" s="6" t="s">
        <v>2797</v>
      </c>
    </row>
    <row r="1594" spans="1:24" ht="15" customHeight="1" x14ac:dyDescent="0.3">
      <c r="A1594" s="6" t="s">
        <v>533</v>
      </c>
      <c r="B1594" s="6" t="s">
        <v>534</v>
      </c>
      <c r="C1594" s="6" t="s">
        <v>35</v>
      </c>
      <c r="D1594" s="1088" t="s">
        <v>567</v>
      </c>
      <c r="E1594" s="6" t="s">
        <v>193</v>
      </c>
      <c r="F1594" s="6" t="s">
        <v>863</v>
      </c>
      <c r="G1594" s="6" t="s">
        <v>2965</v>
      </c>
      <c r="H1594" s="6" t="s">
        <v>3295</v>
      </c>
      <c r="J1594" s="1215" t="s">
        <v>509</v>
      </c>
      <c r="K1594" s="1219" t="s">
        <v>3033</v>
      </c>
      <c r="L1594" s="8">
        <v>57</v>
      </c>
      <c r="M1594" s="8">
        <v>656</v>
      </c>
      <c r="N1594" s="1169" t="s">
        <v>271</v>
      </c>
      <c r="P1594" s="6" t="s">
        <v>3324</v>
      </c>
      <c r="Q1594" s="1215" t="s">
        <v>253</v>
      </c>
      <c r="R1594" s="1215" t="s">
        <v>255</v>
      </c>
      <c r="S1594" s="1215" t="s">
        <v>534</v>
      </c>
      <c r="T1594" s="1215" t="s">
        <v>533</v>
      </c>
      <c r="U1594" s="6" t="s">
        <v>567</v>
      </c>
      <c r="V1594" s="6" t="s">
        <v>35</v>
      </c>
      <c r="W1594" s="6" t="s">
        <v>863</v>
      </c>
      <c r="X1594" s="6" t="s">
        <v>193</v>
      </c>
    </row>
    <row r="1595" spans="1:24" ht="15" customHeight="1" x14ac:dyDescent="0.3">
      <c r="A1595" s="6" t="s">
        <v>533</v>
      </c>
      <c r="B1595" s="6" t="s">
        <v>534</v>
      </c>
      <c r="C1595" s="6" t="s">
        <v>35</v>
      </c>
      <c r="D1595" s="1088" t="s">
        <v>567</v>
      </c>
      <c r="E1595" s="6" t="s">
        <v>193</v>
      </c>
      <c r="F1595" s="6" t="s">
        <v>863</v>
      </c>
      <c r="G1595" s="6" t="s">
        <v>2965</v>
      </c>
      <c r="H1595" s="6" t="s">
        <v>3295</v>
      </c>
      <c r="J1595" s="1215" t="s">
        <v>509</v>
      </c>
      <c r="K1595" s="1219" t="s">
        <v>3109</v>
      </c>
      <c r="L1595" s="8">
        <v>0</v>
      </c>
      <c r="M1595" s="8">
        <v>20</v>
      </c>
      <c r="N1595" s="1169" t="s">
        <v>271</v>
      </c>
      <c r="P1595" s="6" t="s">
        <v>3324</v>
      </c>
      <c r="Q1595" s="1215" t="s">
        <v>253</v>
      </c>
      <c r="R1595" s="1215" t="s">
        <v>255</v>
      </c>
      <c r="S1595" s="1215" t="s">
        <v>534</v>
      </c>
      <c r="T1595" s="1215" t="s">
        <v>533</v>
      </c>
      <c r="U1595" s="6" t="s">
        <v>567</v>
      </c>
      <c r="V1595" s="6" t="s">
        <v>35</v>
      </c>
      <c r="W1595" s="6" t="s">
        <v>863</v>
      </c>
      <c r="X1595" s="6" t="s">
        <v>193</v>
      </c>
    </row>
    <row r="1596" spans="1:24" ht="15" customHeight="1" x14ac:dyDescent="0.3">
      <c r="A1596" s="6" t="s">
        <v>533</v>
      </c>
      <c r="B1596" s="6" t="s">
        <v>534</v>
      </c>
      <c r="C1596" s="6" t="s">
        <v>35</v>
      </c>
      <c r="D1596" s="1088" t="s">
        <v>567</v>
      </c>
      <c r="E1596" s="1088" t="s">
        <v>193</v>
      </c>
      <c r="F1596" s="6" t="s">
        <v>863</v>
      </c>
      <c r="G1596" s="6" t="s">
        <v>2965</v>
      </c>
      <c r="H1596" s="6" t="s">
        <v>3295</v>
      </c>
      <c r="J1596" s="1215" t="s">
        <v>509</v>
      </c>
      <c r="K1596" s="1219" t="s">
        <v>3110</v>
      </c>
      <c r="L1596" s="8">
        <v>19</v>
      </c>
      <c r="M1596" s="8">
        <v>43</v>
      </c>
      <c r="N1596" s="1169" t="s">
        <v>271</v>
      </c>
      <c r="O1596" s="1088"/>
      <c r="P1596" s="6" t="s">
        <v>3324</v>
      </c>
      <c r="Q1596" s="1215" t="s">
        <v>253</v>
      </c>
      <c r="R1596" s="1215" t="s">
        <v>255</v>
      </c>
      <c r="S1596" s="1215" t="s">
        <v>534</v>
      </c>
      <c r="T1596" s="1215" t="s">
        <v>533</v>
      </c>
      <c r="U1596" s="6" t="s">
        <v>567</v>
      </c>
      <c r="V1596" s="6" t="s">
        <v>35</v>
      </c>
      <c r="W1596" s="6" t="s">
        <v>863</v>
      </c>
      <c r="X1596" s="6" t="s">
        <v>193</v>
      </c>
    </row>
    <row r="1597" spans="1:24" ht="15" customHeight="1" x14ac:dyDescent="0.3">
      <c r="A1597" s="6" t="s">
        <v>533</v>
      </c>
      <c r="B1597" s="6" t="s">
        <v>534</v>
      </c>
      <c r="C1597" s="6" t="s">
        <v>35</v>
      </c>
      <c r="D1597" s="1088" t="s">
        <v>567</v>
      </c>
      <c r="E1597" s="1088" t="s">
        <v>193</v>
      </c>
      <c r="F1597" s="6" t="s">
        <v>863</v>
      </c>
      <c r="G1597" s="6" t="s">
        <v>2965</v>
      </c>
      <c r="H1597" s="6" t="s">
        <v>3295</v>
      </c>
      <c r="J1597" s="1215" t="s">
        <v>509</v>
      </c>
      <c r="K1597" s="1219" t="s">
        <v>3111</v>
      </c>
      <c r="L1597" s="8">
        <v>1</v>
      </c>
      <c r="M1597" s="8">
        <v>7</v>
      </c>
      <c r="N1597" s="1169" t="s">
        <v>271</v>
      </c>
      <c r="P1597" s="6" t="s">
        <v>3324</v>
      </c>
      <c r="Q1597" s="1215" t="s">
        <v>253</v>
      </c>
      <c r="R1597" s="1215" t="s">
        <v>255</v>
      </c>
      <c r="S1597" s="1215" t="s">
        <v>534</v>
      </c>
      <c r="T1597" s="1215" t="s">
        <v>533</v>
      </c>
      <c r="U1597" s="6" t="s">
        <v>567</v>
      </c>
      <c r="V1597" s="6" t="s">
        <v>35</v>
      </c>
      <c r="W1597" s="6" t="s">
        <v>863</v>
      </c>
      <c r="X1597" s="6" t="s">
        <v>193</v>
      </c>
    </row>
    <row r="1598" spans="1:24" ht="15" customHeight="1" x14ac:dyDescent="0.3">
      <c r="A1598" s="6" t="s">
        <v>533</v>
      </c>
      <c r="B1598" s="6" t="s">
        <v>534</v>
      </c>
      <c r="C1598" s="6" t="s">
        <v>35</v>
      </c>
      <c r="D1598" s="1088" t="s">
        <v>567</v>
      </c>
      <c r="E1598" s="1088" t="s">
        <v>193</v>
      </c>
      <c r="F1598" s="6" t="s">
        <v>863</v>
      </c>
      <c r="G1598" s="6" t="s">
        <v>2965</v>
      </c>
      <c r="H1598" s="6" t="s">
        <v>3295</v>
      </c>
      <c r="J1598" s="1215" t="s">
        <v>509</v>
      </c>
      <c r="K1598" s="1219" t="s">
        <v>3112</v>
      </c>
      <c r="L1598" s="8">
        <v>6</v>
      </c>
      <c r="M1598" s="8">
        <v>40</v>
      </c>
      <c r="N1598" s="1169" t="s">
        <v>271</v>
      </c>
      <c r="P1598" s="6" t="s">
        <v>3324</v>
      </c>
      <c r="Q1598" s="1215" t="s">
        <v>253</v>
      </c>
      <c r="R1598" s="1215" t="s">
        <v>255</v>
      </c>
      <c r="S1598" s="1215" t="s">
        <v>534</v>
      </c>
      <c r="T1598" s="1215" t="s">
        <v>533</v>
      </c>
      <c r="U1598" s="6" t="s">
        <v>567</v>
      </c>
      <c r="V1598" s="6" t="s">
        <v>35</v>
      </c>
      <c r="W1598" s="6" t="s">
        <v>863</v>
      </c>
      <c r="X1598" s="6" t="s">
        <v>193</v>
      </c>
    </row>
    <row r="1599" spans="1:24" ht="15" customHeight="1" x14ac:dyDescent="0.3">
      <c r="A1599" s="6" t="s">
        <v>533</v>
      </c>
      <c r="B1599" s="6" t="s">
        <v>534</v>
      </c>
      <c r="C1599" s="6" t="s">
        <v>35</v>
      </c>
      <c r="D1599" s="1088" t="s">
        <v>567</v>
      </c>
      <c r="E1599" s="1088" t="s">
        <v>193</v>
      </c>
      <c r="F1599" s="6" t="s">
        <v>863</v>
      </c>
      <c r="G1599" s="6" t="s">
        <v>1120</v>
      </c>
      <c r="H1599" s="6" t="s">
        <v>3264</v>
      </c>
      <c r="J1599" s="1215" t="s">
        <v>509</v>
      </c>
      <c r="K1599" s="1219" t="s">
        <v>3111</v>
      </c>
      <c r="L1599" s="8">
        <v>60</v>
      </c>
      <c r="M1599" s="8">
        <v>656</v>
      </c>
      <c r="N1599" s="1169" t="s">
        <v>271</v>
      </c>
      <c r="O1599" s="1088"/>
      <c r="P1599" s="6" t="s">
        <v>3324</v>
      </c>
      <c r="Q1599" s="1215" t="s">
        <v>253</v>
      </c>
      <c r="R1599" s="1215" t="s">
        <v>255</v>
      </c>
      <c r="S1599" s="1215" t="s">
        <v>534</v>
      </c>
      <c r="T1599" s="1215" t="s">
        <v>533</v>
      </c>
      <c r="U1599" s="6" t="s">
        <v>567</v>
      </c>
      <c r="V1599" s="6" t="s">
        <v>35</v>
      </c>
      <c r="W1599" s="6" t="s">
        <v>863</v>
      </c>
      <c r="X1599" s="6" t="s">
        <v>193</v>
      </c>
    </row>
    <row r="1600" spans="1:24" ht="15" customHeight="1" x14ac:dyDescent="0.3">
      <c r="A1600" s="6" t="s">
        <v>533</v>
      </c>
      <c r="B1600" s="6" t="s">
        <v>534</v>
      </c>
      <c r="C1600" s="6" t="s">
        <v>35</v>
      </c>
      <c r="D1600" s="1088" t="s">
        <v>567</v>
      </c>
      <c r="E1600" s="1088" t="s">
        <v>193</v>
      </c>
      <c r="F1600" s="6" t="s">
        <v>863</v>
      </c>
      <c r="G1600" s="6" t="s">
        <v>1120</v>
      </c>
      <c r="H1600" s="6" t="s">
        <v>3264</v>
      </c>
      <c r="J1600" s="1215" t="s">
        <v>509</v>
      </c>
      <c r="K1600" s="1219" t="s">
        <v>3112</v>
      </c>
      <c r="L1600" s="8">
        <v>10</v>
      </c>
      <c r="M1600" s="8">
        <v>40</v>
      </c>
      <c r="N1600" s="1169" t="s">
        <v>271</v>
      </c>
      <c r="P1600" s="6" t="s">
        <v>3324</v>
      </c>
      <c r="Q1600" s="1215" t="s">
        <v>253</v>
      </c>
      <c r="R1600" s="1215" t="s">
        <v>255</v>
      </c>
      <c r="S1600" s="1215" t="s">
        <v>534</v>
      </c>
      <c r="T1600" s="1215" t="s">
        <v>533</v>
      </c>
      <c r="U1600" s="6" t="s">
        <v>567</v>
      </c>
      <c r="V1600" s="6" t="s">
        <v>35</v>
      </c>
      <c r="W1600" s="6" t="s">
        <v>863</v>
      </c>
      <c r="X1600" s="6" t="s">
        <v>193</v>
      </c>
    </row>
    <row r="1601" spans="1:24" ht="15" customHeight="1" x14ac:dyDescent="0.3">
      <c r="A1601" s="6" t="s">
        <v>533</v>
      </c>
      <c r="B1601" s="6" t="s">
        <v>534</v>
      </c>
      <c r="C1601" s="6" t="s">
        <v>35</v>
      </c>
      <c r="D1601" s="1088" t="s">
        <v>567</v>
      </c>
      <c r="E1601" s="6" t="s">
        <v>193</v>
      </c>
      <c r="F1601" s="6" t="s">
        <v>863</v>
      </c>
      <c r="G1601" s="6" t="s">
        <v>1630</v>
      </c>
      <c r="H1601" s="6" t="s">
        <v>1631</v>
      </c>
      <c r="J1601" s="1215" t="s">
        <v>509</v>
      </c>
      <c r="K1601" s="1219" t="s">
        <v>3033</v>
      </c>
      <c r="L1601" s="8">
        <v>23</v>
      </c>
      <c r="M1601" s="8">
        <v>132</v>
      </c>
      <c r="N1601" s="1169" t="s">
        <v>271</v>
      </c>
      <c r="O1601" s="1088"/>
      <c r="P1601" s="6" t="s">
        <v>3324</v>
      </c>
      <c r="Q1601" s="1215" t="s">
        <v>253</v>
      </c>
      <c r="R1601" s="1215" t="s">
        <v>255</v>
      </c>
      <c r="S1601" s="1215" t="s">
        <v>534</v>
      </c>
      <c r="T1601" s="1215" t="s">
        <v>533</v>
      </c>
      <c r="U1601" s="6" t="s">
        <v>567</v>
      </c>
      <c r="V1601" s="6" t="s">
        <v>35</v>
      </c>
      <c r="W1601" s="6" t="s">
        <v>863</v>
      </c>
      <c r="X1601" s="6" t="s">
        <v>193</v>
      </c>
    </row>
    <row r="1602" spans="1:24" ht="15" customHeight="1" x14ac:dyDescent="0.3">
      <c r="A1602" s="6" t="s">
        <v>533</v>
      </c>
      <c r="B1602" s="6" t="s">
        <v>534</v>
      </c>
      <c r="C1602" s="6" t="s">
        <v>35</v>
      </c>
      <c r="D1602" s="1088" t="s">
        <v>567</v>
      </c>
      <c r="E1602" s="6" t="s">
        <v>193</v>
      </c>
      <c r="F1602" s="6" t="s">
        <v>863</v>
      </c>
      <c r="G1602" s="6" t="s">
        <v>1630</v>
      </c>
      <c r="H1602" s="6" t="s">
        <v>1631</v>
      </c>
      <c r="J1602" s="1215" t="s">
        <v>509</v>
      </c>
      <c r="K1602" s="1219" t="s">
        <v>3109</v>
      </c>
      <c r="L1602" s="8">
        <v>0</v>
      </c>
      <c r="M1602" s="8">
        <v>10</v>
      </c>
      <c r="N1602" s="1169" t="s">
        <v>271</v>
      </c>
      <c r="P1602" s="6" t="s">
        <v>3324</v>
      </c>
      <c r="Q1602" s="1215" t="s">
        <v>253</v>
      </c>
      <c r="R1602" s="1215" t="s">
        <v>255</v>
      </c>
      <c r="S1602" s="1215" t="s">
        <v>534</v>
      </c>
      <c r="T1602" s="1215" t="s">
        <v>533</v>
      </c>
      <c r="U1602" s="6" t="s">
        <v>567</v>
      </c>
      <c r="V1602" s="6" t="s">
        <v>35</v>
      </c>
      <c r="W1602" s="6" t="s">
        <v>863</v>
      </c>
      <c r="X1602" s="6" t="s">
        <v>193</v>
      </c>
    </row>
    <row r="1603" spans="1:24" ht="15" customHeight="1" x14ac:dyDescent="0.3">
      <c r="A1603" s="6" t="s">
        <v>533</v>
      </c>
      <c r="B1603" s="6" t="s">
        <v>534</v>
      </c>
      <c r="C1603" s="6" t="s">
        <v>35</v>
      </c>
      <c r="D1603" s="1088" t="s">
        <v>567</v>
      </c>
      <c r="E1603" s="6" t="s">
        <v>193</v>
      </c>
      <c r="F1603" s="6" t="s">
        <v>863</v>
      </c>
      <c r="G1603" s="6" t="s">
        <v>1630</v>
      </c>
      <c r="H1603" s="6" t="s">
        <v>1631</v>
      </c>
      <c r="J1603" s="1215" t="s">
        <v>509</v>
      </c>
      <c r="K1603" s="1219" t="s">
        <v>3110</v>
      </c>
      <c r="L1603" s="8">
        <v>2</v>
      </c>
      <c r="M1603" s="8">
        <v>23</v>
      </c>
      <c r="N1603" s="1169" t="s">
        <v>271</v>
      </c>
      <c r="P1603" s="6" t="s">
        <v>3324</v>
      </c>
      <c r="Q1603" s="1215" t="s">
        <v>253</v>
      </c>
      <c r="R1603" s="1215" t="s">
        <v>255</v>
      </c>
      <c r="S1603" s="1215" t="s">
        <v>534</v>
      </c>
      <c r="T1603" s="1215" t="s">
        <v>533</v>
      </c>
      <c r="U1603" s="6" t="s">
        <v>567</v>
      </c>
      <c r="V1603" s="6" t="s">
        <v>35</v>
      </c>
      <c r="W1603" s="6" t="s">
        <v>863</v>
      </c>
      <c r="X1603" s="6" t="s">
        <v>193</v>
      </c>
    </row>
    <row r="1604" spans="1:24" ht="15" customHeight="1" x14ac:dyDescent="0.3">
      <c r="A1604" s="6" t="s">
        <v>533</v>
      </c>
      <c r="B1604" s="6" t="s">
        <v>534</v>
      </c>
      <c r="C1604" s="6" t="s">
        <v>35</v>
      </c>
      <c r="D1604" s="1088" t="s">
        <v>567</v>
      </c>
      <c r="E1604" s="6" t="s">
        <v>193</v>
      </c>
      <c r="F1604" s="6" t="s">
        <v>863</v>
      </c>
      <c r="G1604" s="6" t="s">
        <v>1630</v>
      </c>
      <c r="H1604" s="6" t="s">
        <v>1631</v>
      </c>
      <c r="J1604" s="1215" t="s">
        <v>509</v>
      </c>
      <c r="K1604" s="1219" t="s">
        <v>3111</v>
      </c>
      <c r="L1604" s="8">
        <v>40</v>
      </c>
      <c r="M1604" s="8">
        <v>150</v>
      </c>
      <c r="N1604" s="1169" t="s">
        <v>271</v>
      </c>
      <c r="P1604" s="6" t="s">
        <v>3324</v>
      </c>
      <c r="Q1604" s="1215" t="s">
        <v>253</v>
      </c>
      <c r="R1604" s="1215" t="s">
        <v>255</v>
      </c>
      <c r="S1604" s="1215" t="s">
        <v>534</v>
      </c>
      <c r="T1604" s="1215" t="s">
        <v>533</v>
      </c>
      <c r="U1604" s="6" t="s">
        <v>567</v>
      </c>
      <c r="V1604" s="6" t="s">
        <v>35</v>
      </c>
      <c r="W1604" s="6" t="s">
        <v>863</v>
      </c>
      <c r="X1604" s="6" t="s">
        <v>193</v>
      </c>
    </row>
    <row r="1605" spans="1:24" ht="15" customHeight="1" x14ac:dyDescent="0.3">
      <c r="A1605" s="6" t="s">
        <v>533</v>
      </c>
      <c r="B1605" s="6" t="s">
        <v>534</v>
      </c>
      <c r="C1605" s="6" t="s">
        <v>35</v>
      </c>
      <c r="D1605" s="1088" t="s">
        <v>567</v>
      </c>
      <c r="E1605" s="6" t="s">
        <v>193</v>
      </c>
      <c r="F1605" s="6" t="s">
        <v>863</v>
      </c>
      <c r="G1605" s="6" t="s">
        <v>1630</v>
      </c>
      <c r="H1605" s="6" t="s">
        <v>1631</v>
      </c>
      <c r="J1605" s="1215" t="s">
        <v>509</v>
      </c>
      <c r="K1605" s="1219" t="s">
        <v>3112</v>
      </c>
      <c r="L1605" s="8">
        <v>50</v>
      </c>
      <c r="M1605" s="8">
        <v>170</v>
      </c>
      <c r="N1605" s="1169" t="s">
        <v>271</v>
      </c>
      <c r="P1605" s="6" t="s">
        <v>3324</v>
      </c>
      <c r="Q1605" s="1215" t="s">
        <v>253</v>
      </c>
      <c r="R1605" s="1215" t="s">
        <v>255</v>
      </c>
      <c r="S1605" s="1215" t="s">
        <v>534</v>
      </c>
      <c r="T1605" s="1215" t="s">
        <v>533</v>
      </c>
      <c r="U1605" s="6" t="s">
        <v>567</v>
      </c>
      <c r="V1605" s="6" t="s">
        <v>35</v>
      </c>
      <c r="W1605" s="6" t="s">
        <v>863</v>
      </c>
      <c r="X1605" s="6" t="s">
        <v>193</v>
      </c>
    </row>
    <row r="1606" spans="1:24" ht="15" customHeight="1" x14ac:dyDescent="0.3">
      <c r="A1606" s="6" t="s">
        <v>533</v>
      </c>
      <c r="B1606" s="6" t="s">
        <v>534</v>
      </c>
      <c r="C1606" s="6" t="s">
        <v>35</v>
      </c>
      <c r="D1606" s="1088" t="s">
        <v>567</v>
      </c>
      <c r="E1606" s="6" t="s">
        <v>193</v>
      </c>
      <c r="F1606" s="6" t="s">
        <v>863</v>
      </c>
      <c r="G1606" s="6" t="s">
        <v>3030</v>
      </c>
      <c r="H1606" s="6" t="s">
        <v>3092</v>
      </c>
      <c r="J1606" s="1215" t="s">
        <v>509</v>
      </c>
      <c r="K1606" s="1219" t="s">
        <v>3033</v>
      </c>
      <c r="L1606" s="8">
        <v>9</v>
      </c>
      <c r="M1606" s="8">
        <v>47</v>
      </c>
      <c r="N1606" s="1169" t="s">
        <v>271</v>
      </c>
      <c r="P1606" s="6" t="s">
        <v>3324</v>
      </c>
      <c r="Q1606" s="1215" t="s">
        <v>253</v>
      </c>
      <c r="R1606" s="1215" t="s">
        <v>255</v>
      </c>
      <c r="S1606" s="1215" t="s">
        <v>534</v>
      </c>
      <c r="T1606" s="1215" t="s">
        <v>533</v>
      </c>
      <c r="U1606" s="6" t="s">
        <v>567</v>
      </c>
      <c r="V1606" s="6" t="s">
        <v>35</v>
      </c>
      <c r="W1606" s="6" t="s">
        <v>863</v>
      </c>
      <c r="X1606" s="6" t="s">
        <v>193</v>
      </c>
    </row>
    <row r="1607" spans="1:24" ht="15" customHeight="1" x14ac:dyDescent="0.3">
      <c r="A1607" s="6" t="s">
        <v>533</v>
      </c>
      <c r="B1607" s="6" t="s">
        <v>534</v>
      </c>
      <c r="C1607" s="6" t="s">
        <v>35</v>
      </c>
      <c r="D1607" s="1088" t="s">
        <v>567</v>
      </c>
      <c r="E1607" s="6" t="s">
        <v>193</v>
      </c>
      <c r="F1607" s="6" t="s">
        <v>863</v>
      </c>
      <c r="G1607" s="6" t="s">
        <v>3030</v>
      </c>
      <c r="H1607" s="6" t="s">
        <v>3092</v>
      </c>
      <c r="J1607" s="1215" t="s">
        <v>509</v>
      </c>
      <c r="K1607" s="1219" t="s">
        <v>3112</v>
      </c>
      <c r="L1607" s="8">
        <v>0</v>
      </c>
      <c r="M1607" s="8">
        <v>15</v>
      </c>
      <c r="N1607" s="1169" t="s">
        <v>271</v>
      </c>
      <c r="P1607" s="6" t="s">
        <v>3324</v>
      </c>
      <c r="Q1607" s="1215" t="s">
        <v>253</v>
      </c>
      <c r="R1607" s="1215" t="s">
        <v>255</v>
      </c>
      <c r="S1607" s="1215" t="s">
        <v>534</v>
      </c>
      <c r="T1607" s="1215" t="s">
        <v>533</v>
      </c>
      <c r="U1607" s="6" t="s">
        <v>567</v>
      </c>
      <c r="V1607" s="6" t="s">
        <v>35</v>
      </c>
      <c r="W1607" s="6" t="s">
        <v>863</v>
      </c>
      <c r="X1607" s="6" t="s">
        <v>193</v>
      </c>
    </row>
    <row r="1608" spans="1:24" ht="15" customHeight="1" x14ac:dyDescent="0.3">
      <c r="A1608" s="6" t="s">
        <v>533</v>
      </c>
      <c r="B1608" s="6" t="s">
        <v>534</v>
      </c>
      <c r="C1608" s="6" t="s">
        <v>31</v>
      </c>
      <c r="D1608" s="1088" t="s">
        <v>549</v>
      </c>
      <c r="E1608" s="6" t="s">
        <v>170</v>
      </c>
      <c r="F1608" s="6" t="s">
        <v>866</v>
      </c>
      <c r="G1608" s="6" t="s">
        <v>2850</v>
      </c>
      <c r="H1608" s="6" t="s">
        <v>1636</v>
      </c>
      <c r="J1608" s="1215" t="s">
        <v>509</v>
      </c>
      <c r="K1608" s="1219" t="s">
        <v>3111</v>
      </c>
      <c r="L1608" s="8">
        <v>40</v>
      </c>
      <c r="M1608" s="8">
        <v>400</v>
      </c>
      <c r="N1608" s="1169" t="s">
        <v>272</v>
      </c>
      <c r="P1608" s="6" t="s">
        <v>3324</v>
      </c>
      <c r="Q1608" s="1215" t="s">
        <v>253</v>
      </c>
      <c r="R1608" s="1215" t="s">
        <v>255</v>
      </c>
      <c r="S1608" s="1215" t="s">
        <v>534</v>
      </c>
      <c r="T1608" s="1215" t="s">
        <v>533</v>
      </c>
      <c r="U1608" s="6" t="s">
        <v>549</v>
      </c>
      <c r="V1608" s="6" t="s">
        <v>31</v>
      </c>
      <c r="W1608" s="6" t="s">
        <v>866</v>
      </c>
      <c r="X1608" s="6" t="s">
        <v>170</v>
      </c>
    </row>
    <row r="1609" spans="1:24" ht="15" customHeight="1" x14ac:dyDescent="0.3">
      <c r="A1609" s="6" t="s">
        <v>533</v>
      </c>
      <c r="B1609" s="6" t="s">
        <v>534</v>
      </c>
      <c r="C1609" s="6" t="s">
        <v>31</v>
      </c>
      <c r="D1609" s="1088" t="s">
        <v>549</v>
      </c>
      <c r="E1609" s="6" t="s">
        <v>170</v>
      </c>
      <c r="F1609" s="6" t="s">
        <v>866</v>
      </c>
      <c r="G1609" s="6" t="s">
        <v>2850</v>
      </c>
      <c r="H1609" s="6" t="s">
        <v>1636</v>
      </c>
      <c r="J1609" s="1215" t="s">
        <v>509</v>
      </c>
      <c r="K1609" s="1219" t="s">
        <v>3112</v>
      </c>
      <c r="L1609" s="8">
        <v>60</v>
      </c>
      <c r="M1609" s="8">
        <v>500</v>
      </c>
      <c r="N1609" s="1169" t="s">
        <v>272</v>
      </c>
      <c r="P1609" s="6" t="s">
        <v>3324</v>
      </c>
      <c r="Q1609" s="1215" t="s">
        <v>253</v>
      </c>
      <c r="R1609" s="1215" t="s">
        <v>255</v>
      </c>
      <c r="S1609" s="1215" t="s">
        <v>534</v>
      </c>
      <c r="T1609" s="1215" t="s">
        <v>533</v>
      </c>
      <c r="U1609" s="6" t="s">
        <v>549</v>
      </c>
      <c r="V1609" s="6" t="s">
        <v>31</v>
      </c>
      <c r="W1609" s="6" t="s">
        <v>866</v>
      </c>
      <c r="X1609" s="6" t="s">
        <v>170</v>
      </c>
    </row>
    <row r="1610" spans="1:24" ht="15" customHeight="1" x14ac:dyDescent="0.3">
      <c r="A1610" s="6" t="s">
        <v>533</v>
      </c>
      <c r="B1610" s="6" t="s">
        <v>534</v>
      </c>
      <c r="C1610" s="6" t="s">
        <v>31</v>
      </c>
      <c r="D1610" s="1088" t="s">
        <v>549</v>
      </c>
      <c r="E1610" s="6" t="s">
        <v>170</v>
      </c>
      <c r="F1610" s="6" t="s">
        <v>866</v>
      </c>
      <c r="G1610" s="6" t="s">
        <v>957</v>
      </c>
      <c r="H1610" s="6" t="s">
        <v>2006</v>
      </c>
      <c r="J1610" s="1215" t="s">
        <v>509</v>
      </c>
      <c r="K1610" s="1219" t="s">
        <v>3112</v>
      </c>
      <c r="L1610" s="8">
        <v>10</v>
      </c>
      <c r="M1610" s="8">
        <v>100</v>
      </c>
      <c r="N1610" s="1169" t="s">
        <v>272</v>
      </c>
      <c r="P1610" s="6" t="s">
        <v>3324</v>
      </c>
      <c r="Q1610" s="1215" t="s">
        <v>253</v>
      </c>
      <c r="R1610" s="1215" t="s">
        <v>255</v>
      </c>
      <c r="S1610" s="1215" t="s">
        <v>534</v>
      </c>
      <c r="T1610" s="1215" t="s">
        <v>533</v>
      </c>
      <c r="U1610" s="6" t="s">
        <v>549</v>
      </c>
      <c r="V1610" s="6" t="s">
        <v>31</v>
      </c>
      <c r="W1610" s="6" t="s">
        <v>866</v>
      </c>
      <c r="X1610" s="6" t="s">
        <v>170</v>
      </c>
    </row>
    <row r="1611" spans="1:24" ht="15" customHeight="1" x14ac:dyDescent="0.3">
      <c r="A1611" s="6" t="s">
        <v>533</v>
      </c>
      <c r="B1611" s="6" t="s">
        <v>534</v>
      </c>
      <c r="C1611" s="6" t="s">
        <v>31</v>
      </c>
      <c r="D1611" s="1088" t="s">
        <v>549</v>
      </c>
      <c r="E1611" s="6" t="s">
        <v>170</v>
      </c>
      <c r="F1611" s="6" t="s">
        <v>866</v>
      </c>
      <c r="G1611" s="6" t="s">
        <v>1019</v>
      </c>
      <c r="H1611" s="6" t="s">
        <v>1855</v>
      </c>
      <c r="J1611" s="1215" t="s">
        <v>509</v>
      </c>
      <c r="K1611" s="1219" t="s">
        <v>3112</v>
      </c>
      <c r="L1611" s="8">
        <v>10</v>
      </c>
      <c r="M1611" s="8">
        <v>30</v>
      </c>
      <c r="N1611" s="1169" t="s">
        <v>272</v>
      </c>
      <c r="P1611" s="6" t="s">
        <v>3324</v>
      </c>
      <c r="Q1611" s="1215" t="s">
        <v>253</v>
      </c>
      <c r="R1611" s="1215" t="s">
        <v>255</v>
      </c>
      <c r="S1611" s="1215" t="s">
        <v>534</v>
      </c>
      <c r="T1611" s="1215" t="s">
        <v>533</v>
      </c>
      <c r="U1611" s="6" t="s">
        <v>549</v>
      </c>
      <c r="V1611" s="6" t="s">
        <v>31</v>
      </c>
      <c r="W1611" s="6" t="s">
        <v>866</v>
      </c>
      <c r="X1611" s="6" t="s">
        <v>170</v>
      </c>
    </row>
    <row r="1612" spans="1:24" ht="15" customHeight="1" x14ac:dyDescent="0.3">
      <c r="A1612" s="6" t="s">
        <v>533</v>
      </c>
      <c r="B1612" s="6" t="s">
        <v>534</v>
      </c>
      <c r="C1612" s="6" t="s">
        <v>31</v>
      </c>
      <c r="D1612" s="1088" t="s">
        <v>549</v>
      </c>
      <c r="E1612" s="6" t="s">
        <v>169</v>
      </c>
      <c r="F1612" s="6" t="s">
        <v>673</v>
      </c>
      <c r="G1612" s="6" t="s">
        <v>2942</v>
      </c>
      <c r="H1612" s="6" t="s">
        <v>830</v>
      </c>
      <c r="J1612" s="1215" t="s">
        <v>509</v>
      </c>
      <c r="K1612" s="1219" t="s">
        <v>3110</v>
      </c>
      <c r="L1612" s="8">
        <v>35</v>
      </c>
      <c r="M1612" s="8">
        <v>75</v>
      </c>
      <c r="N1612" s="1169" t="s">
        <v>271</v>
      </c>
      <c r="P1612" s="6" t="s">
        <v>3324</v>
      </c>
      <c r="Q1612" s="1215" t="s">
        <v>253</v>
      </c>
      <c r="R1612" s="1215" t="s">
        <v>255</v>
      </c>
      <c r="S1612" s="1215" t="s">
        <v>534</v>
      </c>
      <c r="T1612" s="1215" t="s">
        <v>533</v>
      </c>
      <c r="U1612" s="6" t="s">
        <v>549</v>
      </c>
      <c r="V1612" s="6" t="s">
        <v>31</v>
      </c>
      <c r="W1612" s="6" t="s">
        <v>673</v>
      </c>
      <c r="X1612" s="6" t="s">
        <v>169</v>
      </c>
    </row>
    <row r="1613" spans="1:24" ht="15" customHeight="1" x14ac:dyDescent="0.3">
      <c r="A1613" s="6" t="s">
        <v>533</v>
      </c>
      <c r="B1613" s="6" t="s">
        <v>534</v>
      </c>
      <c r="C1613" s="6" t="s">
        <v>31</v>
      </c>
      <c r="D1613" s="1088" t="s">
        <v>549</v>
      </c>
      <c r="E1613" s="6" t="s">
        <v>169</v>
      </c>
      <c r="F1613" s="6" t="s">
        <v>673</v>
      </c>
      <c r="G1613" s="6" t="s">
        <v>2942</v>
      </c>
      <c r="H1613" s="6" t="s">
        <v>830</v>
      </c>
      <c r="J1613" s="1215" t="s">
        <v>509</v>
      </c>
      <c r="K1613" s="1219" t="s">
        <v>3111</v>
      </c>
      <c r="L1613" s="8">
        <v>0</v>
      </c>
      <c r="M1613" s="8">
        <v>5</v>
      </c>
      <c r="N1613" s="1169" t="s">
        <v>271</v>
      </c>
      <c r="P1613" s="6" t="s">
        <v>3324</v>
      </c>
      <c r="Q1613" s="1215" t="s">
        <v>253</v>
      </c>
      <c r="R1613" s="1215" t="s">
        <v>255</v>
      </c>
      <c r="S1613" s="1215" t="s">
        <v>534</v>
      </c>
      <c r="T1613" s="1215" t="s">
        <v>533</v>
      </c>
      <c r="U1613" s="6" t="s">
        <v>549</v>
      </c>
      <c r="V1613" s="6" t="s">
        <v>31</v>
      </c>
      <c r="W1613" s="6" t="s">
        <v>673</v>
      </c>
      <c r="X1613" s="6" t="s">
        <v>169</v>
      </c>
    </row>
    <row r="1614" spans="1:24" ht="15" customHeight="1" x14ac:dyDescent="0.3">
      <c r="A1614" s="6" t="s">
        <v>533</v>
      </c>
      <c r="B1614" s="6" t="s">
        <v>534</v>
      </c>
      <c r="C1614" s="6" t="s">
        <v>31</v>
      </c>
      <c r="D1614" s="1088" t="s">
        <v>549</v>
      </c>
      <c r="E1614" s="6" t="s">
        <v>172</v>
      </c>
      <c r="F1614" s="6" t="s">
        <v>706</v>
      </c>
      <c r="G1614" s="6" t="s">
        <v>1866</v>
      </c>
      <c r="H1614" s="6" t="s">
        <v>708</v>
      </c>
      <c r="J1614" s="1215" t="s">
        <v>509</v>
      </c>
      <c r="K1614" s="1219" t="s">
        <v>3033</v>
      </c>
      <c r="L1614" s="8">
        <v>6</v>
      </c>
      <c r="M1614" s="8">
        <v>41</v>
      </c>
      <c r="N1614" s="1169" t="s">
        <v>271</v>
      </c>
      <c r="P1614" s="6" t="s">
        <v>3324</v>
      </c>
      <c r="Q1614" s="1215" t="s">
        <v>253</v>
      </c>
      <c r="R1614" s="1215" t="s">
        <v>255</v>
      </c>
      <c r="S1614" s="1215" t="s">
        <v>534</v>
      </c>
      <c r="T1614" s="1215" t="s">
        <v>533</v>
      </c>
      <c r="U1614" s="6" t="s">
        <v>549</v>
      </c>
      <c r="V1614" s="6" t="s">
        <v>31</v>
      </c>
      <c r="W1614" s="6" t="s">
        <v>706</v>
      </c>
      <c r="X1614" s="6" t="s">
        <v>172</v>
      </c>
    </row>
    <row r="1615" spans="1:24" ht="15" customHeight="1" x14ac:dyDescent="0.3">
      <c r="A1615" s="6" t="s">
        <v>533</v>
      </c>
      <c r="B1615" s="6" t="s">
        <v>534</v>
      </c>
      <c r="C1615" s="6" t="s">
        <v>31</v>
      </c>
      <c r="D1615" s="1088" t="s">
        <v>549</v>
      </c>
      <c r="E1615" s="6" t="s">
        <v>172</v>
      </c>
      <c r="F1615" s="6" t="s">
        <v>706</v>
      </c>
      <c r="G1615" s="6" t="s">
        <v>1866</v>
      </c>
      <c r="H1615" s="6" t="s">
        <v>708</v>
      </c>
      <c r="J1615" s="1215" t="s">
        <v>509</v>
      </c>
      <c r="K1615" s="1219" t="s">
        <v>3109</v>
      </c>
      <c r="L1615" s="8">
        <v>1</v>
      </c>
      <c r="M1615" s="8">
        <v>13</v>
      </c>
      <c r="N1615" s="1169" t="s">
        <v>271</v>
      </c>
      <c r="P1615" s="6" t="s">
        <v>3324</v>
      </c>
      <c r="Q1615" s="1215" t="s">
        <v>253</v>
      </c>
      <c r="R1615" s="1215" t="s">
        <v>255</v>
      </c>
      <c r="S1615" s="1215" t="s">
        <v>534</v>
      </c>
      <c r="T1615" s="1215" t="s">
        <v>533</v>
      </c>
      <c r="U1615" s="6" t="s">
        <v>549</v>
      </c>
      <c r="V1615" s="6" t="s">
        <v>31</v>
      </c>
      <c r="W1615" s="6" t="s">
        <v>706</v>
      </c>
      <c r="X1615" s="6" t="s">
        <v>172</v>
      </c>
    </row>
    <row r="1616" spans="1:24" ht="15" customHeight="1" x14ac:dyDescent="0.3">
      <c r="A1616" s="6" t="s">
        <v>533</v>
      </c>
      <c r="B1616" s="6" t="s">
        <v>534</v>
      </c>
      <c r="C1616" s="6" t="s">
        <v>31</v>
      </c>
      <c r="D1616" s="1088" t="s">
        <v>549</v>
      </c>
      <c r="E1616" s="1088" t="s">
        <v>172</v>
      </c>
      <c r="F1616" s="6" t="s">
        <v>706</v>
      </c>
      <c r="G1616" s="6" t="s">
        <v>1866</v>
      </c>
      <c r="H1616" s="6" t="s">
        <v>708</v>
      </c>
      <c r="J1616" s="1215" t="s">
        <v>509</v>
      </c>
      <c r="K1616" s="1219" t="s">
        <v>3110</v>
      </c>
      <c r="L1616" s="8">
        <v>26</v>
      </c>
      <c r="M1616" s="8">
        <v>117</v>
      </c>
      <c r="N1616" s="1169" t="s">
        <v>274</v>
      </c>
      <c r="P1616" s="6" t="s">
        <v>3322</v>
      </c>
      <c r="Q1616" s="1215" t="s">
        <v>253</v>
      </c>
      <c r="R1616" s="1215" t="s">
        <v>255</v>
      </c>
      <c r="S1616" s="1215" t="s">
        <v>534</v>
      </c>
      <c r="T1616" s="1215" t="s">
        <v>533</v>
      </c>
      <c r="U1616" s="6" t="s">
        <v>542</v>
      </c>
      <c r="V1616" s="6" t="s">
        <v>32</v>
      </c>
    </row>
    <row r="1617" spans="1:24" ht="15" customHeight="1" x14ac:dyDescent="0.3">
      <c r="A1617" s="6" t="s">
        <v>533</v>
      </c>
      <c r="B1617" s="6" t="s">
        <v>534</v>
      </c>
      <c r="C1617" s="6" t="s">
        <v>31</v>
      </c>
      <c r="D1617" s="1088" t="s">
        <v>549</v>
      </c>
      <c r="E1617" s="6" t="s">
        <v>171</v>
      </c>
      <c r="F1617" s="6" t="s">
        <v>634</v>
      </c>
      <c r="G1617" s="6" t="s">
        <v>1741</v>
      </c>
      <c r="H1617" s="6" t="s">
        <v>1932</v>
      </c>
      <c r="J1617" s="1215" t="s">
        <v>509</v>
      </c>
      <c r="K1617" s="1219" t="s">
        <v>3110</v>
      </c>
      <c r="L1617" s="8">
        <v>3</v>
      </c>
      <c r="M1617" s="8">
        <v>30</v>
      </c>
      <c r="N1617" s="1169" t="s">
        <v>272</v>
      </c>
      <c r="O1617" s="1088"/>
      <c r="P1617" s="6" t="s">
        <v>3324</v>
      </c>
      <c r="Q1617" s="1215" t="s">
        <v>253</v>
      </c>
      <c r="R1617" s="1215" t="s">
        <v>255</v>
      </c>
      <c r="S1617" s="1215" t="s">
        <v>534</v>
      </c>
      <c r="T1617" s="1215" t="s">
        <v>533</v>
      </c>
      <c r="U1617" s="6" t="s">
        <v>549</v>
      </c>
      <c r="V1617" s="6" t="s">
        <v>31</v>
      </c>
      <c r="W1617" s="6" t="s">
        <v>634</v>
      </c>
      <c r="X1617" s="6" t="s">
        <v>171</v>
      </c>
    </row>
    <row r="1618" spans="1:24" ht="15" customHeight="1" x14ac:dyDescent="0.3">
      <c r="A1618" s="6" t="s">
        <v>533</v>
      </c>
      <c r="B1618" s="6" t="s">
        <v>534</v>
      </c>
      <c r="C1618" s="6" t="s">
        <v>35</v>
      </c>
      <c r="D1618" s="1088" t="s">
        <v>567</v>
      </c>
      <c r="E1618" s="6" t="s">
        <v>195</v>
      </c>
      <c r="F1618" s="6" t="s">
        <v>733</v>
      </c>
      <c r="G1618" s="6" t="s">
        <v>1806</v>
      </c>
      <c r="H1618" s="6" t="s">
        <v>1807</v>
      </c>
      <c r="J1618" s="1215" t="s">
        <v>509</v>
      </c>
      <c r="K1618" s="1219" t="s">
        <v>3109</v>
      </c>
      <c r="L1618" s="8">
        <v>3</v>
      </c>
      <c r="M1618" s="8">
        <v>18</v>
      </c>
      <c r="N1618" s="1169" t="s">
        <v>271</v>
      </c>
      <c r="O1618" s="1088"/>
      <c r="P1618" s="6" t="s">
        <v>3324</v>
      </c>
      <c r="Q1618" s="1215" t="s">
        <v>253</v>
      </c>
      <c r="R1618" s="1215" t="s">
        <v>255</v>
      </c>
      <c r="S1618" s="1215" t="s">
        <v>534</v>
      </c>
      <c r="T1618" s="1215" t="s">
        <v>533</v>
      </c>
      <c r="U1618" s="6" t="s">
        <v>567</v>
      </c>
      <c r="V1618" s="6" t="s">
        <v>35</v>
      </c>
      <c r="W1618" s="6" t="s">
        <v>733</v>
      </c>
      <c r="X1618" s="6" t="s">
        <v>195</v>
      </c>
    </row>
    <row r="1619" spans="1:24" ht="15" customHeight="1" x14ac:dyDescent="0.3">
      <c r="A1619" s="6" t="s">
        <v>533</v>
      </c>
      <c r="B1619" s="6" t="s">
        <v>534</v>
      </c>
      <c r="C1619" s="6" t="s">
        <v>35</v>
      </c>
      <c r="D1619" s="1088" t="s">
        <v>567</v>
      </c>
      <c r="E1619" s="6" t="s">
        <v>195</v>
      </c>
      <c r="F1619" s="6" t="s">
        <v>733</v>
      </c>
      <c r="G1619" s="6" t="s">
        <v>1806</v>
      </c>
      <c r="H1619" s="6" t="s">
        <v>1807</v>
      </c>
      <c r="J1619" s="1215" t="s">
        <v>509</v>
      </c>
      <c r="K1619" s="1219" t="s">
        <v>3110</v>
      </c>
      <c r="L1619" s="8">
        <v>30</v>
      </c>
      <c r="M1619" s="8">
        <v>203</v>
      </c>
      <c r="N1619" s="1169" t="s">
        <v>271</v>
      </c>
      <c r="O1619" s="1088"/>
      <c r="P1619" s="6" t="s">
        <v>3324</v>
      </c>
      <c r="Q1619" s="1215" t="s">
        <v>253</v>
      </c>
      <c r="R1619" s="1215" t="s">
        <v>255</v>
      </c>
      <c r="S1619" s="1215" t="s">
        <v>534</v>
      </c>
      <c r="T1619" s="1215" t="s">
        <v>533</v>
      </c>
      <c r="U1619" s="6" t="s">
        <v>567</v>
      </c>
      <c r="V1619" s="6" t="s">
        <v>35</v>
      </c>
      <c r="W1619" s="6" t="s">
        <v>733</v>
      </c>
      <c r="X1619" s="6" t="s">
        <v>195</v>
      </c>
    </row>
    <row r="1620" spans="1:24" ht="15" customHeight="1" x14ac:dyDescent="0.3">
      <c r="A1620" s="6" t="s">
        <v>533</v>
      </c>
      <c r="B1620" s="6" t="s">
        <v>534</v>
      </c>
      <c r="C1620" s="6" t="s">
        <v>35</v>
      </c>
      <c r="D1620" s="1088" t="s">
        <v>567</v>
      </c>
      <c r="E1620" s="6" t="s">
        <v>195</v>
      </c>
      <c r="F1620" s="6" t="s">
        <v>733</v>
      </c>
      <c r="G1620" s="6" t="s">
        <v>1806</v>
      </c>
      <c r="H1620" s="6" t="s">
        <v>1807</v>
      </c>
      <c r="J1620" s="1215" t="s">
        <v>509</v>
      </c>
      <c r="K1620" s="1219" t="s">
        <v>3111</v>
      </c>
      <c r="L1620" s="8">
        <v>19</v>
      </c>
      <c r="M1620" s="8">
        <v>58</v>
      </c>
      <c r="N1620" s="1169" t="s">
        <v>271</v>
      </c>
      <c r="P1620" s="6" t="s">
        <v>3324</v>
      </c>
      <c r="Q1620" s="1215" t="s">
        <v>253</v>
      </c>
      <c r="R1620" s="1215" t="s">
        <v>255</v>
      </c>
      <c r="S1620" s="1215" t="s">
        <v>534</v>
      </c>
      <c r="T1620" s="1215" t="s">
        <v>533</v>
      </c>
      <c r="U1620" s="6" t="s">
        <v>567</v>
      </c>
      <c r="V1620" s="6" t="s">
        <v>35</v>
      </c>
      <c r="W1620" s="6" t="s">
        <v>733</v>
      </c>
      <c r="X1620" s="6" t="s">
        <v>195</v>
      </c>
    </row>
    <row r="1621" spans="1:24" ht="15" customHeight="1" x14ac:dyDescent="0.3">
      <c r="A1621" s="6" t="s">
        <v>533</v>
      </c>
      <c r="B1621" s="6" t="s">
        <v>534</v>
      </c>
      <c r="C1621" s="6" t="s">
        <v>35</v>
      </c>
      <c r="D1621" s="1088" t="s">
        <v>567</v>
      </c>
      <c r="E1621" s="6" t="s">
        <v>195</v>
      </c>
      <c r="F1621" s="6" t="s">
        <v>733</v>
      </c>
      <c r="G1621" s="6" t="s">
        <v>1806</v>
      </c>
      <c r="H1621" s="6" t="s">
        <v>1807</v>
      </c>
      <c r="J1621" s="1215" t="s">
        <v>509</v>
      </c>
      <c r="K1621" s="1219" t="s">
        <v>3112</v>
      </c>
      <c r="L1621" s="8">
        <v>23</v>
      </c>
      <c r="M1621" s="8">
        <v>212</v>
      </c>
      <c r="N1621" s="1169" t="s">
        <v>271</v>
      </c>
      <c r="P1621" s="6" t="s">
        <v>3324</v>
      </c>
      <c r="Q1621" s="1215" t="s">
        <v>253</v>
      </c>
      <c r="R1621" s="1215" t="s">
        <v>255</v>
      </c>
      <c r="S1621" s="1215" t="s">
        <v>534</v>
      </c>
      <c r="T1621" s="1215" t="s">
        <v>533</v>
      </c>
      <c r="U1621" s="6" t="s">
        <v>567</v>
      </c>
      <c r="V1621" s="6" t="s">
        <v>35</v>
      </c>
      <c r="W1621" s="6" t="s">
        <v>733</v>
      </c>
      <c r="X1621" s="6" t="s">
        <v>195</v>
      </c>
    </row>
    <row r="1622" spans="1:24" ht="15" customHeight="1" x14ac:dyDescent="0.3">
      <c r="A1622" s="6" t="s">
        <v>533</v>
      </c>
      <c r="B1622" s="6" t="s">
        <v>534</v>
      </c>
      <c r="C1622" s="6" t="s">
        <v>31</v>
      </c>
      <c r="D1622" s="1088" t="s">
        <v>549</v>
      </c>
      <c r="E1622" s="6" t="s">
        <v>2797</v>
      </c>
      <c r="F1622" s="6" t="s">
        <v>767</v>
      </c>
      <c r="G1622" s="6" t="s">
        <v>1527</v>
      </c>
      <c r="H1622" s="6" t="s">
        <v>1424</v>
      </c>
      <c r="J1622" s="1215" t="s">
        <v>509</v>
      </c>
      <c r="K1622" s="1219" t="s">
        <v>3110</v>
      </c>
      <c r="L1622" s="8">
        <v>14</v>
      </c>
      <c r="M1622" s="8">
        <v>108</v>
      </c>
      <c r="N1622" s="1169" t="s">
        <v>271</v>
      </c>
      <c r="O1622" s="1088"/>
      <c r="P1622" s="6" t="s">
        <v>3324</v>
      </c>
      <c r="Q1622" s="1215" t="s">
        <v>253</v>
      </c>
      <c r="R1622" s="1215" t="s">
        <v>255</v>
      </c>
      <c r="S1622" s="1215" t="s">
        <v>534</v>
      </c>
      <c r="T1622" s="1215" t="s">
        <v>533</v>
      </c>
      <c r="U1622" s="6" t="s">
        <v>549</v>
      </c>
      <c r="V1622" s="6" t="s">
        <v>31</v>
      </c>
      <c r="W1622" s="6" t="s">
        <v>767</v>
      </c>
      <c r="X1622" s="6" t="s">
        <v>2797</v>
      </c>
    </row>
    <row r="1623" spans="1:24" ht="15" customHeight="1" x14ac:dyDescent="0.3">
      <c r="A1623" s="6" t="s">
        <v>533</v>
      </c>
      <c r="B1623" s="6" t="s">
        <v>534</v>
      </c>
      <c r="C1623" s="6" t="s">
        <v>31</v>
      </c>
      <c r="D1623" s="1088" t="s">
        <v>549</v>
      </c>
      <c r="E1623" s="6" t="s">
        <v>2797</v>
      </c>
      <c r="F1623" s="6" t="s">
        <v>767</v>
      </c>
      <c r="G1623" s="6" t="s">
        <v>1527</v>
      </c>
      <c r="H1623" s="6" t="s">
        <v>1424</v>
      </c>
      <c r="J1623" s="1215" t="s">
        <v>509</v>
      </c>
      <c r="K1623" s="1219" t="s">
        <v>3111</v>
      </c>
      <c r="L1623" s="8">
        <v>6</v>
      </c>
      <c r="M1623" s="8">
        <v>30</v>
      </c>
      <c r="N1623" s="1169" t="s">
        <v>271</v>
      </c>
      <c r="O1623" s="1088"/>
      <c r="P1623" s="6" t="s">
        <v>3324</v>
      </c>
      <c r="Q1623" s="1215" t="s">
        <v>253</v>
      </c>
      <c r="R1623" s="1215" t="s">
        <v>255</v>
      </c>
      <c r="S1623" s="1215" t="s">
        <v>534</v>
      </c>
      <c r="T1623" s="1215" t="s">
        <v>533</v>
      </c>
      <c r="U1623" s="6" t="s">
        <v>549</v>
      </c>
      <c r="V1623" s="6" t="s">
        <v>31</v>
      </c>
      <c r="W1623" s="6" t="s">
        <v>767</v>
      </c>
      <c r="X1623" s="6" t="s">
        <v>2797</v>
      </c>
    </row>
    <row r="1624" spans="1:24" ht="15" customHeight="1" x14ac:dyDescent="0.3">
      <c r="A1624" s="6" t="s">
        <v>533</v>
      </c>
      <c r="B1624" s="6" t="s">
        <v>534</v>
      </c>
      <c r="C1624" s="6" t="s">
        <v>31</v>
      </c>
      <c r="D1624" s="1088" t="s">
        <v>549</v>
      </c>
      <c r="E1624" s="6" t="s">
        <v>2797</v>
      </c>
      <c r="F1624" s="6" t="s">
        <v>767</v>
      </c>
      <c r="G1624" s="6" t="s">
        <v>1527</v>
      </c>
      <c r="H1624" s="6" t="s">
        <v>1424</v>
      </c>
      <c r="J1624" s="1215" t="s">
        <v>509</v>
      </c>
      <c r="K1624" s="1219" t="s">
        <v>3112</v>
      </c>
      <c r="L1624" s="8">
        <v>70</v>
      </c>
      <c r="M1624" s="8">
        <v>420</v>
      </c>
      <c r="N1624" s="1169" t="s">
        <v>271</v>
      </c>
      <c r="P1624" s="6" t="s">
        <v>3324</v>
      </c>
      <c r="Q1624" s="1215" t="s">
        <v>253</v>
      </c>
      <c r="R1624" s="1215" t="s">
        <v>255</v>
      </c>
      <c r="S1624" s="1215" t="s">
        <v>534</v>
      </c>
      <c r="T1624" s="1215" t="s">
        <v>533</v>
      </c>
      <c r="U1624" s="6" t="s">
        <v>549</v>
      </c>
      <c r="V1624" s="6" t="s">
        <v>31</v>
      </c>
      <c r="W1624" s="6" t="s">
        <v>767</v>
      </c>
      <c r="X1624" s="6" t="s">
        <v>2797</v>
      </c>
    </row>
    <row r="1625" spans="1:24" ht="15" customHeight="1" x14ac:dyDescent="0.3">
      <c r="A1625" s="6" t="s">
        <v>533</v>
      </c>
      <c r="B1625" s="6" t="s">
        <v>534</v>
      </c>
      <c r="C1625" s="6" t="s">
        <v>31</v>
      </c>
      <c r="D1625" s="1088" t="s">
        <v>549</v>
      </c>
      <c r="E1625" s="6" t="s">
        <v>2797</v>
      </c>
      <c r="F1625" s="6" t="s">
        <v>767</v>
      </c>
      <c r="G1625" s="6" t="s">
        <v>786</v>
      </c>
      <c r="H1625" s="6" t="s">
        <v>929</v>
      </c>
      <c r="J1625" s="1215" t="s">
        <v>509</v>
      </c>
      <c r="K1625" s="1219" t="s">
        <v>3033</v>
      </c>
      <c r="L1625" s="8">
        <v>10</v>
      </c>
      <c r="M1625" s="8">
        <v>78</v>
      </c>
      <c r="N1625" s="1169" t="s">
        <v>271</v>
      </c>
      <c r="O1625" s="1088"/>
      <c r="P1625" s="6" t="s">
        <v>3324</v>
      </c>
      <c r="Q1625" s="1215" t="s">
        <v>253</v>
      </c>
      <c r="R1625" s="1215" t="s">
        <v>255</v>
      </c>
      <c r="S1625" s="1215" t="s">
        <v>534</v>
      </c>
      <c r="T1625" s="1215" t="s">
        <v>533</v>
      </c>
      <c r="U1625" s="6" t="s">
        <v>549</v>
      </c>
      <c r="V1625" s="6" t="s">
        <v>31</v>
      </c>
      <c r="W1625" s="6" t="s">
        <v>767</v>
      </c>
      <c r="X1625" s="6" t="s">
        <v>2797</v>
      </c>
    </row>
    <row r="1626" spans="1:24" ht="15" customHeight="1" x14ac:dyDescent="0.3">
      <c r="A1626" s="6" t="s">
        <v>533</v>
      </c>
      <c r="B1626" s="6" t="s">
        <v>534</v>
      </c>
      <c r="C1626" s="6" t="s">
        <v>31</v>
      </c>
      <c r="D1626" s="1088" t="s">
        <v>549</v>
      </c>
      <c r="E1626" s="6" t="s">
        <v>2797</v>
      </c>
      <c r="F1626" s="6" t="s">
        <v>767</v>
      </c>
      <c r="G1626" s="6" t="s">
        <v>786</v>
      </c>
      <c r="H1626" s="6" t="s">
        <v>929</v>
      </c>
      <c r="J1626" s="1215" t="s">
        <v>509</v>
      </c>
      <c r="K1626" s="1219" t="s">
        <v>3111</v>
      </c>
      <c r="L1626" s="8">
        <v>7</v>
      </c>
      <c r="M1626" s="8">
        <v>30</v>
      </c>
      <c r="N1626" s="1169" t="s">
        <v>271</v>
      </c>
      <c r="P1626" s="6" t="s">
        <v>3324</v>
      </c>
      <c r="Q1626" s="1215" t="s">
        <v>253</v>
      </c>
      <c r="R1626" s="1215" t="s">
        <v>255</v>
      </c>
      <c r="S1626" s="1215" t="s">
        <v>534</v>
      </c>
      <c r="T1626" s="1215" t="s">
        <v>533</v>
      </c>
      <c r="U1626" s="6" t="s">
        <v>549</v>
      </c>
      <c r="V1626" s="6" t="s">
        <v>31</v>
      </c>
      <c r="W1626" s="6" t="s">
        <v>767</v>
      </c>
      <c r="X1626" s="6" t="s">
        <v>2797</v>
      </c>
    </row>
    <row r="1627" spans="1:24" ht="15" customHeight="1" x14ac:dyDescent="0.3">
      <c r="A1627" s="6" t="s">
        <v>533</v>
      </c>
      <c r="B1627" s="6" t="s">
        <v>534</v>
      </c>
      <c r="C1627" s="6" t="s">
        <v>31</v>
      </c>
      <c r="D1627" s="1088" t="s">
        <v>549</v>
      </c>
      <c r="E1627" s="6" t="s">
        <v>2797</v>
      </c>
      <c r="F1627" s="6" t="s">
        <v>767</v>
      </c>
      <c r="G1627" s="6" t="s">
        <v>786</v>
      </c>
      <c r="H1627" s="6" t="s">
        <v>929</v>
      </c>
      <c r="J1627" s="1215" t="s">
        <v>509</v>
      </c>
      <c r="K1627" s="1219" t="s">
        <v>3112</v>
      </c>
      <c r="L1627" s="8">
        <v>70</v>
      </c>
      <c r="M1627" s="8">
        <v>420</v>
      </c>
      <c r="N1627" s="1169" t="s">
        <v>271</v>
      </c>
      <c r="P1627" s="6" t="s">
        <v>3324</v>
      </c>
      <c r="Q1627" s="1215" t="s">
        <v>253</v>
      </c>
      <c r="R1627" s="1215" t="s">
        <v>255</v>
      </c>
      <c r="S1627" s="1215" t="s">
        <v>534</v>
      </c>
      <c r="T1627" s="1215" t="s">
        <v>533</v>
      </c>
      <c r="U1627" s="6" t="s">
        <v>549</v>
      </c>
      <c r="V1627" s="6" t="s">
        <v>31</v>
      </c>
      <c r="W1627" s="6" t="s">
        <v>767</v>
      </c>
      <c r="X1627" s="6" t="s">
        <v>2797</v>
      </c>
    </row>
    <row r="1628" spans="1:24" ht="15" customHeight="1" x14ac:dyDescent="0.3">
      <c r="A1628" s="6" t="s">
        <v>533</v>
      </c>
      <c r="B1628" s="6" t="s">
        <v>534</v>
      </c>
      <c r="C1628" s="6" t="s">
        <v>31</v>
      </c>
      <c r="D1628" s="1088" t="s">
        <v>549</v>
      </c>
      <c r="E1628" s="6" t="s">
        <v>171</v>
      </c>
      <c r="F1628" s="6" t="s">
        <v>634</v>
      </c>
      <c r="G1628" s="6" t="s">
        <v>2159</v>
      </c>
      <c r="H1628" s="6" t="s">
        <v>1364</v>
      </c>
      <c r="J1628" s="1215" t="s">
        <v>509</v>
      </c>
      <c r="K1628" s="1219" t="s">
        <v>3033</v>
      </c>
      <c r="L1628" s="8">
        <v>61</v>
      </c>
      <c r="M1628" s="8">
        <v>505</v>
      </c>
      <c r="N1628" s="1169" t="s">
        <v>271</v>
      </c>
      <c r="P1628" s="6" t="s">
        <v>3324</v>
      </c>
      <c r="Q1628" s="1215" t="s">
        <v>253</v>
      </c>
      <c r="R1628" s="1215" t="s">
        <v>255</v>
      </c>
      <c r="S1628" s="1215" t="s">
        <v>534</v>
      </c>
      <c r="T1628" s="1215" t="s">
        <v>533</v>
      </c>
      <c r="U1628" s="6" t="s">
        <v>549</v>
      </c>
      <c r="V1628" s="6" t="s">
        <v>31</v>
      </c>
      <c r="W1628" s="6" t="s">
        <v>634</v>
      </c>
      <c r="X1628" s="6" t="s">
        <v>171</v>
      </c>
    </row>
    <row r="1629" spans="1:24" ht="15" customHeight="1" x14ac:dyDescent="0.3">
      <c r="A1629" s="6" t="s">
        <v>533</v>
      </c>
      <c r="B1629" s="6" t="s">
        <v>534</v>
      </c>
      <c r="C1629" s="6" t="s">
        <v>31</v>
      </c>
      <c r="D1629" s="1088" t="s">
        <v>549</v>
      </c>
      <c r="E1629" s="6" t="s">
        <v>171</v>
      </c>
      <c r="F1629" s="6" t="s">
        <v>634</v>
      </c>
      <c r="G1629" s="6" t="s">
        <v>2159</v>
      </c>
      <c r="H1629" s="6" t="s">
        <v>1364</v>
      </c>
      <c r="J1629" s="1215" t="s">
        <v>509</v>
      </c>
      <c r="K1629" s="1219" t="s">
        <v>3109</v>
      </c>
      <c r="L1629" s="8">
        <v>0</v>
      </c>
      <c r="M1629" s="8">
        <v>19</v>
      </c>
      <c r="N1629" s="6" t="s">
        <v>271</v>
      </c>
      <c r="P1629" s="6" t="s">
        <v>3324</v>
      </c>
      <c r="Q1629" s="1215" t="s">
        <v>253</v>
      </c>
      <c r="R1629" s="1215" t="s">
        <v>255</v>
      </c>
      <c r="S1629" s="1215" t="s">
        <v>534</v>
      </c>
      <c r="T1629" s="1215" t="s">
        <v>533</v>
      </c>
      <c r="U1629" s="6" t="s">
        <v>549</v>
      </c>
      <c r="V1629" s="6" t="s">
        <v>31</v>
      </c>
      <c r="W1629" s="6" t="s">
        <v>634</v>
      </c>
      <c r="X1629" s="6" t="s">
        <v>171</v>
      </c>
    </row>
    <row r="1630" spans="1:24" ht="15" customHeight="1" x14ac:dyDescent="0.3">
      <c r="A1630" s="6" t="s">
        <v>533</v>
      </c>
      <c r="B1630" s="6" t="s">
        <v>534</v>
      </c>
      <c r="C1630" s="6" t="s">
        <v>31</v>
      </c>
      <c r="D1630" s="1088" t="s">
        <v>549</v>
      </c>
      <c r="E1630" s="6" t="s">
        <v>171</v>
      </c>
      <c r="F1630" s="6" t="s">
        <v>634</v>
      </c>
      <c r="G1630" s="6" t="s">
        <v>2159</v>
      </c>
      <c r="H1630" s="6" t="s">
        <v>1364</v>
      </c>
      <c r="J1630" s="1215" t="s">
        <v>509</v>
      </c>
      <c r="K1630" s="1219" t="s">
        <v>3111</v>
      </c>
      <c r="L1630" s="8">
        <v>0</v>
      </c>
      <c r="M1630" s="8">
        <v>13</v>
      </c>
      <c r="N1630" s="1169" t="s">
        <v>271</v>
      </c>
      <c r="P1630" s="6" t="s">
        <v>3324</v>
      </c>
      <c r="Q1630" s="1215" t="s">
        <v>253</v>
      </c>
      <c r="R1630" s="1215" t="s">
        <v>255</v>
      </c>
      <c r="S1630" s="1215" t="s">
        <v>534</v>
      </c>
      <c r="T1630" s="1215" t="s">
        <v>533</v>
      </c>
      <c r="U1630" s="6" t="s">
        <v>549</v>
      </c>
      <c r="V1630" s="6" t="s">
        <v>31</v>
      </c>
      <c r="W1630" s="6" t="s">
        <v>634</v>
      </c>
      <c r="X1630" s="6" t="s">
        <v>171</v>
      </c>
    </row>
    <row r="1631" spans="1:24" ht="15" customHeight="1" x14ac:dyDescent="0.3">
      <c r="A1631" s="6" t="s">
        <v>533</v>
      </c>
      <c r="B1631" s="6" t="s">
        <v>534</v>
      </c>
      <c r="C1631" s="6" t="s">
        <v>31</v>
      </c>
      <c r="D1631" s="1088" t="s">
        <v>549</v>
      </c>
      <c r="E1631" s="6" t="s">
        <v>171</v>
      </c>
      <c r="F1631" s="6" t="s">
        <v>634</v>
      </c>
      <c r="G1631" s="6" t="s">
        <v>2159</v>
      </c>
      <c r="H1631" s="6" t="s">
        <v>1364</v>
      </c>
      <c r="J1631" s="1215" t="s">
        <v>509</v>
      </c>
      <c r="K1631" s="1219" t="s">
        <v>3112</v>
      </c>
      <c r="L1631" s="8">
        <v>0</v>
      </c>
      <c r="M1631" s="8">
        <v>5</v>
      </c>
      <c r="N1631" s="1169" t="s">
        <v>271</v>
      </c>
      <c r="P1631" s="6" t="s">
        <v>3324</v>
      </c>
      <c r="Q1631" s="1215" t="s">
        <v>253</v>
      </c>
      <c r="R1631" s="1215" t="s">
        <v>255</v>
      </c>
      <c r="S1631" s="1215" t="s">
        <v>534</v>
      </c>
      <c r="T1631" s="1215" t="s">
        <v>533</v>
      </c>
      <c r="U1631" s="6" t="s">
        <v>549</v>
      </c>
      <c r="V1631" s="6" t="s">
        <v>31</v>
      </c>
      <c r="W1631" s="6" t="s">
        <v>634</v>
      </c>
      <c r="X1631" s="6" t="s">
        <v>171</v>
      </c>
    </row>
    <row r="1632" spans="1:24" ht="15" customHeight="1" x14ac:dyDescent="0.3">
      <c r="A1632" s="6" t="s">
        <v>533</v>
      </c>
      <c r="B1632" s="6" t="s">
        <v>534</v>
      </c>
      <c r="C1632" s="6" t="s">
        <v>31</v>
      </c>
      <c r="D1632" s="1088" t="s">
        <v>549</v>
      </c>
      <c r="E1632" s="6" t="s">
        <v>167</v>
      </c>
      <c r="F1632" s="6" t="s">
        <v>1113</v>
      </c>
      <c r="G1632" s="6" t="s">
        <v>1833</v>
      </c>
      <c r="H1632" s="6" t="s">
        <v>1938</v>
      </c>
      <c r="J1632" s="1215" t="s">
        <v>509</v>
      </c>
      <c r="K1632" s="1219" t="s">
        <v>3033</v>
      </c>
      <c r="L1632" s="8">
        <v>38</v>
      </c>
      <c r="M1632" s="8">
        <v>238</v>
      </c>
      <c r="N1632" s="1169" t="s">
        <v>271</v>
      </c>
      <c r="P1632" s="6" t="s">
        <v>3324</v>
      </c>
      <c r="Q1632" s="1215" t="s">
        <v>253</v>
      </c>
      <c r="R1632" s="1215" t="s">
        <v>255</v>
      </c>
      <c r="S1632" s="1215" t="s">
        <v>534</v>
      </c>
      <c r="T1632" s="1215" t="s">
        <v>533</v>
      </c>
      <c r="U1632" s="6" t="s">
        <v>549</v>
      </c>
      <c r="V1632" s="6" t="s">
        <v>31</v>
      </c>
      <c r="W1632" s="6" t="s">
        <v>1113</v>
      </c>
      <c r="X1632" s="6" t="s">
        <v>167</v>
      </c>
    </row>
    <row r="1633" spans="1:24" ht="15" customHeight="1" x14ac:dyDescent="0.3">
      <c r="A1633" s="6" t="s">
        <v>533</v>
      </c>
      <c r="B1633" s="6" t="s">
        <v>534</v>
      </c>
      <c r="C1633" s="6" t="s">
        <v>31</v>
      </c>
      <c r="D1633" s="1088" t="s">
        <v>549</v>
      </c>
      <c r="E1633" s="6" t="s">
        <v>167</v>
      </c>
      <c r="F1633" s="6" t="s">
        <v>1113</v>
      </c>
      <c r="G1633" s="6" t="s">
        <v>1929</v>
      </c>
      <c r="H1633" s="6" t="s">
        <v>2529</v>
      </c>
      <c r="J1633" s="1215" t="s">
        <v>509</v>
      </c>
      <c r="K1633" s="1219" t="s">
        <v>3033</v>
      </c>
      <c r="L1633" s="8">
        <v>6</v>
      </c>
      <c r="M1633" s="8">
        <v>30</v>
      </c>
      <c r="N1633" s="1169" t="s">
        <v>271</v>
      </c>
      <c r="P1633" s="6" t="s">
        <v>3323</v>
      </c>
      <c r="Q1633" s="1215" t="s">
        <v>253</v>
      </c>
      <c r="R1633" s="1215" t="s">
        <v>255</v>
      </c>
      <c r="S1633" s="1215" t="s">
        <v>534</v>
      </c>
      <c r="T1633" s="1215" t="s">
        <v>533</v>
      </c>
      <c r="U1633" s="6" t="s">
        <v>549</v>
      </c>
      <c r="V1633" s="6" t="s">
        <v>31</v>
      </c>
      <c r="W1633" s="6" t="s">
        <v>844</v>
      </c>
      <c r="X1633" s="6" t="s">
        <v>166</v>
      </c>
    </row>
    <row r="1634" spans="1:24" ht="15" customHeight="1" x14ac:dyDescent="0.3">
      <c r="A1634" s="6" t="s">
        <v>533</v>
      </c>
      <c r="B1634" s="6" t="s">
        <v>534</v>
      </c>
      <c r="C1634" s="6" t="s">
        <v>31</v>
      </c>
      <c r="D1634" s="1088" t="s">
        <v>549</v>
      </c>
      <c r="E1634" s="6" t="s">
        <v>167</v>
      </c>
      <c r="F1634" s="6" t="s">
        <v>1113</v>
      </c>
      <c r="G1634" s="6" t="s">
        <v>1944</v>
      </c>
      <c r="H1634" s="6" t="s">
        <v>663</v>
      </c>
      <c r="J1634" s="1215" t="s">
        <v>509</v>
      </c>
      <c r="K1634" s="1219" t="s">
        <v>3111</v>
      </c>
      <c r="L1634" s="8">
        <v>3</v>
      </c>
      <c r="M1634" s="8">
        <v>19</v>
      </c>
      <c r="N1634" s="1169" t="s">
        <v>272</v>
      </c>
      <c r="P1634" s="6" t="s">
        <v>3323</v>
      </c>
      <c r="Q1634" s="1215" t="s">
        <v>253</v>
      </c>
      <c r="R1634" s="1215" t="s">
        <v>255</v>
      </c>
      <c r="S1634" s="1215" t="s">
        <v>534</v>
      </c>
      <c r="T1634" s="1215" t="s">
        <v>533</v>
      </c>
      <c r="U1634" s="6" t="s">
        <v>549</v>
      </c>
      <c r="V1634" s="6" t="s">
        <v>31</v>
      </c>
      <c r="W1634" s="6" t="s">
        <v>673</v>
      </c>
      <c r="X1634" s="6" t="s">
        <v>169</v>
      </c>
    </row>
    <row r="1635" spans="1:24" ht="15" customHeight="1" x14ac:dyDescent="0.3">
      <c r="A1635" s="6" t="s">
        <v>533</v>
      </c>
      <c r="B1635" s="6" t="s">
        <v>534</v>
      </c>
      <c r="C1635" s="6" t="s">
        <v>31</v>
      </c>
      <c r="D1635" s="1088" t="s">
        <v>549</v>
      </c>
      <c r="E1635" s="6" t="s">
        <v>167</v>
      </c>
      <c r="F1635" s="6" t="s">
        <v>1113</v>
      </c>
      <c r="G1635" s="6" t="s">
        <v>2083</v>
      </c>
      <c r="H1635" s="6" t="s">
        <v>1469</v>
      </c>
      <c r="J1635" s="1215" t="s">
        <v>509</v>
      </c>
      <c r="K1635" s="1219" t="s">
        <v>3033</v>
      </c>
      <c r="L1635" s="8">
        <v>4</v>
      </c>
      <c r="M1635" s="8">
        <v>29</v>
      </c>
      <c r="N1635" s="1169" t="s">
        <v>271</v>
      </c>
      <c r="P1635" s="6" t="s">
        <v>3323</v>
      </c>
      <c r="Q1635" s="1215" t="s">
        <v>253</v>
      </c>
      <c r="R1635" s="1215" t="s">
        <v>255</v>
      </c>
      <c r="S1635" s="1215" t="s">
        <v>534</v>
      </c>
      <c r="T1635" s="1215" t="s">
        <v>533</v>
      </c>
      <c r="U1635" s="6" t="s">
        <v>549</v>
      </c>
      <c r="V1635" s="6" t="s">
        <v>31</v>
      </c>
      <c r="W1635" s="6" t="s">
        <v>844</v>
      </c>
      <c r="X1635" s="6" t="s">
        <v>166</v>
      </c>
    </row>
    <row r="1636" spans="1:24" ht="15" customHeight="1" x14ac:dyDescent="0.3">
      <c r="A1636" s="6" t="s">
        <v>533</v>
      </c>
      <c r="B1636" s="6" t="s">
        <v>534</v>
      </c>
      <c r="C1636" s="6" t="s">
        <v>31</v>
      </c>
      <c r="D1636" s="1088" t="s">
        <v>549</v>
      </c>
      <c r="E1636" s="6" t="s">
        <v>171</v>
      </c>
      <c r="F1636" s="6" t="s">
        <v>634</v>
      </c>
      <c r="G1636" s="6" t="s">
        <v>2886</v>
      </c>
      <c r="H1636" s="6" t="s">
        <v>1029</v>
      </c>
      <c r="J1636" s="1215" t="s">
        <v>509</v>
      </c>
      <c r="K1636" s="1219" t="s">
        <v>3111</v>
      </c>
      <c r="L1636" s="8">
        <v>4</v>
      </c>
      <c r="M1636" s="8">
        <v>46</v>
      </c>
      <c r="N1636" s="1169" t="s">
        <v>271</v>
      </c>
      <c r="P1636" s="6" t="s">
        <v>3324</v>
      </c>
      <c r="Q1636" s="1215" t="s">
        <v>253</v>
      </c>
      <c r="R1636" s="1215" t="s">
        <v>255</v>
      </c>
      <c r="S1636" s="1215" t="s">
        <v>534</v>
      </c>
      <c r="T1636" s="1215" t="s">
        <v>533</v>
      </c>
      <c r="U1636" s="6" t="s">
        <v>549</v>
      </c>
      <c r="V1636" s="6" t="s">
        <v>31</v>
      </c>
      <c r="W1636" s="6" t="s">
        <v>634</v>
      </c>
      <c r="X1636" s="6" t="s">
        <v>171</v>
      </c>
    </row>
    <row r="1637" spans="1:24" ht="15" customHeight="1" x14ac:dyDescent="0.3">
      <c r="A1637" s="6" t="s">
        <v>533</v>
      </c>
      <c r="B1637" s="6" t="s">
        <v>534</v>
      </c>
      <c r="C1637" s="6" t="s">
        <v>31</v>
      </c>
      <c r="D1637" s="1088" t="s">
        <v>549</v>
      </c>
      <c r="E1637" s="1169" t="s">
        <v>171</v>
      </c>
      <c r="F1637" s="6" t="s">
        <v>634</v>
      </c>
      <c r="G1637" s="6" t="s">
        <v>1984</v>
      </c>
      <c r="H1637" s="6" t="s">
        <v>858</v>
      </c>
      <c r="J1637" s="1215" t="s">
        <v>509</v>
      </c>
      <c r="K1637" s="1219" t="s">
        <v>3111</v>
      </c>
      <c r="L1637" s="8">
        <v>6</v>
      </c>
      <c r="M1637" s="8">
        <v>28</v>
      </c>
      <c r="N1637" s="1169" t="s">
        <v>271</v>
      </c>
      <c r="P1637" s="6" t="s">
        <v>3324</v>
      </c>
      <c r="Q1637" s="1215" t="s">
        <v>253</v>
      </c>
      <c r="R1637" s="1215" t="s">
        <v>255</v>
      </c>
      <c r="S1637" s="1215" t="s">
        <v>534</v>
      </c>
      <c r="T1637" s="1215" t="s">
        <v>533</v>
      </c>
      <c r="U1637" s="6" t="s">
        <v>549</v>
      </c>
      <c r="V1637" s="6" t="s">
        <v>31</v>
      </c>
      <c r="W1637" s="6" t="s">
        <v>634</v>
      </c>
      <c r="X1637" s="6" t="s">
        <v>171</v>
      </c>
    </row>
    <row r="1638" spans="1:24" ht="15" customHeight="1" x14ac:dyDescent="0.3">
      <c r="A1638" s="6" t="s">
        <v>533</v>
      </c>
      <c r="B1638" s="6" t="s">
        <v>534</v>
      </c>
      <c r="C1638" s="6" t="s">
        <v>31</v>
      </c>
      <c r="D1638" s="1088" t="s">
        <v>549</v>
      </c>
      <c r="E1638" s="1169" t="s">
        <v>171</v>
      </c>
      <c r="F1638" s="6" t="s">
        <v>634</v>
      </c>
      <c r="G1638" s="6" t="s">
        <v>550</v>
      </c>
      <c r="H1638" s="6" t="s">
        <v>3170</v>
      </c>
      <c r="I1638" s="6" t="s">
        <v>3170</v>
      </c>
      <c r="J1638" s="1215" t="s">
        <v>509</v>
      </c>
      <c r="K1638" s="1219" t="s">
        <v>3112</v>
      </c>
      <c r="L1638" s="8">
        <v>100</v>
      </c>
      <c r="M1638" s="8">
        <v>200</v>
      </c>
      <c r="N1638" s="1169" t="s">
        <v>272</v>
      </c>
      <c r="P1638" s="6" t="s">
        <v>3324</v>
      </c>
      <c r="Q1638" s="1215" t="s">
        <v>253</v>
      </c>
      <c r="R1638" s="1215" t="s">
        <v>255</v>
      </c>
      <c r="S1638" s="1215" t="s">
        <v>534</v>
      </c>
      <c r="T1638" s="1215" t="s">
        <v>533</v>
      </c>
      <c r="U1638" s="6" t="s">
        <v>549</v>
      </c>
      <c r="V1638" s="6" t="s">
        <v>31</v>
      </c>
      <c r="W1638" s="6" t="s">
        <v>634</v>
      </c>
      <c r="X1638" s="6" t="s">
        <v>171</v>
      </c>
    </row>
    <row r="1639" spans="1:24" ht="15" customHeight="1" x14ac:dyDescent="0.3">
      <c r="A1639" s="6" t="s">
        <v>533</v>
      </c>
      <c r="B1639" s="6" t="s">
        <v>534</v>
      </c>
      <c r="C1639" s="6" t="s">
        <v>31</v>
      </c>
      <c r="D1639" s="1088" t="s">
        <v>549</v>
      </c>
      <c r="E1639" s="1169" t="s">
        <v>171</v>
      </c>
      <c r="F1639" s="6" t="s">
        <v>634</v>
      </c>
      <c r="G1639" s="6" t="s">
        <v>1898</v>
      </c>
      <c r="H1639" s="6" t="s">
        <v>1899</v>
      </c>
      <c r="J1639" s="1215" t="s">
        <v>509</v>
      </c>
      <c r="K1639" s="1219" t="s">
        <v>3111</v>
      </c>
      <c r="L1639" s="8">
        <v>2</v>
      </c>
      <c r="M1639" s="8">
        <v>13</v>
      </c>
      <c r="N1639" s="1169" t="s">
        <v>271</v>
      </c>
      <c r="O1639" s="1088"/>
      <c r="P1639" s="6" t="s">
        <v>3323</v>
      </c>
      <c r="Q1639" s="1215" t="s">
        <v>253</v>
      </c>
      <c r="R1639" s="1215" t="s">
        <v>255</v>
      </c>
      <c r="S1639" s="1215" t="s">
        <v>534</v>
      </c>
      <c r="T1639" s="1215" t="s">
        <v>533</v>
      </c>
      <c r="U1639" s="6" t="s">
        <v>549</v>
      </c>
      <c r="V1639" s="6" t="s">
        <v>31</v>
      </c>
      <c r="W1639" s="6" t="s">
        <v>881</v>
      </c>
      <c r="X1639" s="6" t="s">
        <v>165</v>
      </c>
    </row>
    <row r="1640" spans="1:24" ht="15" customHeight="1" x14ac:dyDescent="0.3">
      <c r="A1640" s="6" t="s">
        <v>533</v>
      </c>
      <c r="B1640" s="6" t="s">
        <v>534</v>
      </c>
      <c r="C1640" s="6" t="s">
        <v>31</v>
      </c>
      <c r="D1640" s="1088" t="s">
        <v>549</v>
      </c>
      <c r="E1640" s="6" t="s">
        <v>171</v>
      </c>
      <c r="F1640" s="6" t="s">
        <v>634</v>
      </c>
      <c r="G1640" s="6" t="s">
        <v>1898</v>
      </c>
      <c r="H1640" s="6" t="s">
        <v>1899</v>
      </c>
      <c r="J1640" s="1215" t="s">
        <v>509</v>
      </c>
      <c r="K1640" s="1219" t="s">
        <v>3112</v>
      </c>
      <c r="L1640" s="8">
        <v>6</v>
      </c>
      <c r="M1640" s="8">
        <v>25</v>
      </c>
      <c r="N1640" s="6" t="s">
        <v>271</v>
      </c>
      <c r="P1640" s="6" t="s">
        <v>3323</v>
      </c>
      <c r="Q1640" s="1215" t="s">
        <v>253</v>
      </c>
      <c r="R1640" s="1215" t="s">
        <v>255</v>
      </c>
      <c r="S1640" s="1215" t="s">
        <v>534</v>
      </c>
      <c r="T1640" s="1215" t="s">
        <v>533</v>
      </c>
      <c r="U1640" s="6" t="s">
        <v>549</v>
      </c>
      <c r="V1640" s="6" t="s">
        <v>31</v>
      </c>
      <c r="W1640" s="6" t="s">
        <v>844</v>
      </c>
      <c r="X1640" s="6" t="s">
        <v>166</v>
      </c>
    </row>
    <row r="1641" spans="1:24" ht="15" customHeight="1" x14ac:dyDescent="0.3">
      <c r="A1641" s="6" t="s">
        <v>533</v>
      </c>
      <c r="B1641" s="6" t="s">
        <v>534</v>
      </c>
      <c r="C1641" s="6" t="s">
        <v>31</v>
      </c>
      <c r="D1641" s="1088" t="s">
        <v>549</v>
      </c>
      <c r="E1641" s="6" t="s">
        <v>171</v>
      </c>
      <c r="F1641" s="6" t="s">
        <v>634</v>
      </c>
      <c r="G1641" s="6" t="s">
        <v>1276</v>
      </c>
      <c r="H1641" s="6" t="s">
        <v>1897</v>
      </c>
      <c r="J1641" s="1215" t="s">
        <v>509</v>
      </c>
      <c r="K1641" s="1219" t="s">
        <v>3111</v>
      </c>
      <c r="L1641" s="8">
        <v>11</v>
      </c>
      <c r="M1641" s="8">
        <v>54</v>
      </c>
      <c r="N1641" s="6" t="s">
        <v>271</v>
      </c>
      <c r="P1641" s="6" t="s">
        <v>3323</v>
      </c>
      <c r="Q1641" s="1215" t="s">
        <v>253</v>
      </c>
      <c r="R1641" s="1215" t="s">
        <v>255</v>
      </c>
      <c r="S1641" s="1215" t="s">
        <v>534</v>
      </c>
      <c r="T1641" s="1215" t="s">
        <v>533</v>
      </c>
      <c r="U1641" s="6" t="s">
        <v>549</v>
      </c>
      <c r="V1641" s="6" t="s">
        <v>31</v>
      </c>
      <c r="W1641" s="6" t="s">
        <v>881</v>
      </c>
      <c r="X1641" s="6" t="s">
        <v>165</v>
      </c>
    </row>
    <row r="1642" spans="1:24" ht="15" customHeight="1" x14ac:dyDescent="0.3">
      <c r="A1642" s="6" t="s">
        <v>533</v>
      </c>
      <c r="B1642" s="6" t="s">
        <v>534</v>
      </c>
      <c r="C1642" s="6" t="s">
        <v>31</v>
      </c>
      <c r="D1642" s="1088" t="s">
        <v>549</v>
      </c>
      <c r="E1642" s="6" t="s">
        <v>171</v>
      </c>
      <c r="F1642" s="6" t="s">
        <v>634</v>
      </c>
      <c r="G1642" s="6" t="s">
        <v>1276</v>
      </c>
      <c r="H1642" s="6" t="s">
        <v>1897</v>
      </c>
      <c r="J1642" s="1215" t="s">
        <v>509</v>
      </c>
      <c r="K1642" s="1219" t="s">
        <v>3112</v>
      </c>
      <c r="L1642" s="8">
        <v>3</v>
      </c>
      <c r="M1642" s="8">
        <v>16</v>
      </c>
      <c r="N1642" s="6" t="s">
        <v>271</v>
      </c>
      <c r="P1642" s="6" t="s">
        <v>3323</v>
      </c>
      <c r="Q1642" s="1215" t="s">
        <v>253</v>
      </c>
      <c r="R1642" s="1215" t="s">
        <v>255</v>
      </c>
      <c r="S1642" s="1215" t="s">
        <v>534</v>
      </c>
      <c r="T1642" s="1215" t="s">
        <v>533</v>
      </c>
      <c r="U1642" s="6" t="s">
        <v>549</v>
      </c>
      <c r="V1642" s="6" t="s">
        <v>31</v>
      </c>
      <c r="W1642" s="6" t="s">
        <v>844</v>
      </c>
      <c r="X1642" s="6" t="s">
        <v>166</v>
      </c>
    </row>
    <row r="1643" spans="1:24" ht="15" customHeight="1" x14ac:dyDescent="0.3">
      <c r="A1643" s="6" t="s">
        <v>533</v>
      </c>
      <c r="B1643" s="6" t="s">
        <v>534</v>
      </c>
      <c r="C1643" s="6" t="s">
        <v>31</v>
      </c>
      <c r="D1643" s="1088" t="s">
        <v>549</v>
      </c>
      <c r="E1643" s="6" t="s">
        <v>171</v>
      </c>
      <c r="F1643" s="6" t="s">
        <v>634</v>
      </c>
      <c r="G1643" s="6" t="s">
        <v>1966</v>
      </c>
      <c r="H1643" s="6" t="s">
        <v>1830</v>
      </c>
      <c r="J1643" s="1215" t="s">
        <v>509</v>
      </c>
      <c r="K1643" s="1219" t="s">
        <v>3111</v>
      </c>
      <c r="L1643" s="8">
        <v>3</v>
      </c>
      <c r="M1643" s="8">
        <v>15</v>
      </c>
      <c r="N1643" s="1169" t="s">
        <v>271</v>
      </c>
      <c r="P1643" s="6" t="s">
        <v>3323</v>
      </c>
      <c r="Q1643" s="1215" t="s">
        <v>253</v>
      </c>
      <c r="R1643" s="1215" t="s">
        <v>255</v>
      </c>
      <c r="S1643" s="1215" t="s">
        <v>534</v>
      </c>
      <c r="T1643" s="1215" t="s">
        <v>533</v>
      </c>
      <c r="U1643" s="6" t="s">
        <v>549</v>
      </c>
      <c r="V1643" s="6" t="s">
        <v>31</v>
      </c>
      <c r="W1643" s="6" t="s">
        <v>881</v>
      </c>
      <c r="X1643" s="6" t="s">
        <v>165</v>
      </c>
    </row>
    <row r="1644" spans="1:24" ht="15" customHeight="1" x14ac:dyDescent="0.3">
      <c r="A1644" s="6" t="s">
        <v>533</v>
      </c>
      <c r="B1644" s="6" t="s">
        <v>534</v>
      </c>
      <c r="C1644" s="6" t="s">
        <v>31</v>
      </c>
      <c r="D1644" s="1088" t="s">
        <v>549</v>
      </c>
      <c r="E1644" s="6" t="s">
        <v>171</v>
      </c>
      <c r="F1644" s="6" t="s">
        <v>634</v>
      </c>
      <c r="G1644" s="6" t="s">
        <v>1966</v>
      </c>
      <c r="H1644" s="6" t="s">
        <v>1830</v>
      </c>
      <c r="J1644" s="1215" t="s">
        <v>509</v>
      </c>
      <c r="K1644" s="1219" t="s">
        <v>3112</v>
      </c>
      <c r="L1644" s="8">
        <v>4</v>
      </c>
      <c r="M1644" s="8">
        <v>26</v>
      </c>
      <c r="N1644" s="1169" t="s">
        <v>271</v>
      </c>
      <c r="P1644" s="6" t="s">
        <v>3323</v>
      </c>
      <c r="Q1644" s="1215" t="s">
        <v>253</v>
      </c>
      <c r="R1644" s="1215" t="s">
        <v>255</v>
      </c>
      <c r="S1644" s="1215" t="s">
        <v>534</v>
      </c>
      <c r="T1644" s="1215" t="s">
        <v>533</v>
      </c>
      <c r="U1644" s="6" t="s">
        <v>549</v>
      </c>
      <c r="V1644" s="6" t="s">
        <v>31</v>
      </c>
      <c r="W1644" s="6" t="s">
        <v>1113</v>
      </c>
      <c r="X1644" s="6" t="s">
        <v>167</v>
      </c>
    </row>
    <row r="1645" spans="1:24" ht="15" customHeight="1" x14ac:dyDescent="0.3">
      <c r="A1645" s="6" t="s">
        <v>533</v>
      </c>
      <c r="B1645" s="6" t="s">
        <v>534</v>
      </c>
      <c r="C1645" s="6" t="s">
        <v>31</v>
      </c>
      <c r="D1645" s="1088" t="s">
        <v>549</v>
      </c>
      <c r="E1645" s="6" t="s">
        <v>171</v>
      </c>
      <c r="F1645" s="6" t="s">
        <v>634</v>
      </c>
      <c r="G1645" s="6" t="s">
        <v>911</v>
      </c>
      <c r="H1645" s="6" t="s">
        <v>2605</v>
      </c>
      <c r="J1645" s="1215" t="s">
        <v>509</v>
      </c>
      <c r="K1645" s="1219" t="s">
        <v>3111</v>
      </c>
      <c r="L1645" s="8">
        <v>6</v>
      </c>
      <c r="M1645" s="8">
        <v>56</v>
      </c>
      <c r="N1645" s="1169" t="s">
        <v>271</v>
      </c>
      <c r="P1645" s="6" t="s">
        <v>3323</v>
      </c>
      <c r="Q1645" s="1215" t="s">
        <v>253</v>
      </c>
      <c r="R1645" s="1215" t="s">
        <v>255</v>
      </c>
      <c r="S1645" s="1215" t="s">
        <v>534</v>
      </c>
      <c r="T1645" s="1215" t="s">
        <v>533</v>
      </c>
      <c r="U1645" s="6" t="s">
        <v>549</v>
      </c>
      <c r="V1645" s="6" t="s">
        <v>31</v>
      </c>
      <c r="W1645" s="6" t="s">
        <v>881</v>
      </c>
      <c r="X1645" s="6" t="s">
        <v>165</v>
      </c>
    </row>
    <row r="1646" spans="1:24" ht="15" customHeight="1" x14ac:dyDescent="0.3">
      <c r="A1646" s="6" t="s">
        <v>533</v>
      </c>
      <c r="B1646" s="6" t="s">
        <v>534</v>
      </c>
      <c r="C1646" s="6" t="s">
        <v>31</v>
      </c>
      <c r="D1646" s="1088" t="s">
        <v>549</v>
      </c>
      <c r="E1646" s="6" t="s">
        <v>171</v>
      </c>
      <c r="F1646" s="6" t="s">
        <v>634</v>
      </c>
      <c r="G1646" s="6" t="s">
        <v>911</v>
      </c>
      <c r="H1646" s="6" t="s">
        <v>2605</v>
      </c>
      <c r="J1646" s="1215" t="s">
        <v>509</v>
      </c>
      <c r="K1646" s="1219" t="s">
        <v>3112</v>
      </c>
      <c r="L1646" s="8">
        <v>8</v>
      </c>
      <c r="M1646" s="8">
        <v>48</v>
      </c>
      <c r="N1646" s="1169" t="s">
        <v>271</v>
      </c>
      <c r="O1646" s="1088"/>
      <c r="P1646" s="6" t="s">
        <v>3323</v>
      </c>
      <c r="Q1646" s="1215" t="s">
        <v>253</v>
      </c>
      <c r="R1646" s="1215" t="s">
        <v>255</v>
      </c>
      <c r="S1646" s="1215" t="s">
        <v>534</v>
      </c>
      <c r="T1646" s="1215" t="s">
        <v>533</v>
      </c>
      <c r="U1646" s="6" t="s">
        <v>549</v>
      </c>
      <c r="V1646" s="6" t="s">
        <v>31</v>
      </c>
      <c r="W1646" s="6" t="s">
        <v>1113</v>
      </c>
      <c r="X1646" s="6" t="s">
        <v>167</v>
      </c>
    </row>
    <row r="1647" spans="1:24" ht="15" customHeight="1" x14ac:dyDescent="0.3">
      <c r="A1647" s="6" t="s">
        <v>533</v>
      </c>
      <c r="B1647" s="6" t="s">
        <v>534</v>
      </c>
      <c r="C1647" s="6" t="s">
        <v>31</v>
      </c>
      <c r="D1647" s="1088" t="s">
        <v>549</v>
      </c>
      <c r="E1647" s="6" t="s">
        <v>171</v>
      </c>
      <c r="F1647" s="6" t="s">
        <v>634</v>
      </c>
      <c r="G1647" s="6" t="s">
        <v>1281</v>
      </c>
      <c r="H1647" s="6" t="s">
        <v>1090</v>
      </c>
      <c r="J1647" s="1215" t="s">
        <v>509</v>
      </c>
      <c r="K1647" s="1219" t="s">
        <v>3111</v>
      </c>
      <c r="L1647" s="8">
        <v>4</v>
      </c>
      <c r="M1647" s="8">
        <v>17</v>
      </c>
      <c r="N1647" s="1169" t="s">
        <v>271</v>
      </c>
      <c r="P1647" s="6" t="s">
        <v>3323</v>
      </c>
      <c r="Q1647" s="1215" t="s">
        <v>253</v>
      </c>
      <c r="R1647" s="1215" t="s">
        <v>255</v>
      </c>
      <c r="S1647" s="1215" t="s">
        <v>534</v>
      </c>
      <c r="T1647" s="1215" t="s">
        <v>533</v>
      </c>
      <c r="U1647" s="6" t="s">
        <v>549</v>
      </c>
      <c r="V1647" s="6" t="s">
        <v>31</v>
      </c>
      <c r="W1647" s="6" t="s">
        <v>881</v>
      </c>
      <c r="X1647" s="6" t="s">
        <v>165</v>
      </c>
    </row>
    <row r="1648" spans="1:24" ht="15" customHeight="1" x14ac:dyDescent="0.3">
      <c r="A1648" s="6" t="s">
        <v>533</v>
      </c>
      <c r="B1648" s="6" t="s">
        <v>534</v>
      </c>
      <c r="C1648" s="6" t="s">
        <v>31</v>
      </c>
      <c r="D1648" s="1088" t="s">
        <v>549</v>
      </c>
      <c r="E1648" s="6" t="s">
        <v>171</v>
      </c>
      <c r="F1648" s="6" t="s">
        <v>634</v>
      </c>
      <c r="G1648" s="6" t="s">
        <v>1281</v>
      </c>
      <c r="H1648" s="6" t="s">
        <v>1090</v>
      </c>
      <c r="J1648" s="1215" t="s">
        <v>509</v>
      </c>
      <c r="K1648" s="1219" t="s">
        <v>3112</v>
      </c>
      <c r="L1648" s="8">
        <v>11</v>
      </c>
      <c r="M1648" s="8">
        <v>68</v>
      </c>
      <c r="N1648" s="1169" t="s">
        <v>271</v>
      </c>
      <c r="P1648" s="6" t="s">
        <v>3323</v>
      </c>
      <c r="Q1648" s="1215" t="s">
        <v>253</v>
      </c>
      <c r="R1648" s="1215" t="s">
        <v>255</v>
      </c>
      <c r="S1648" s="1215" t="s">
        <v>534</v>
      </c>
      <c r="T1648" s="1215" t="s">
        <v>533</v>
      </c>
      <c r="U1648" s="6" t="s">
        <v>549</v>
      </c>
      <c r="V1648" s="6" t="s">
        <v>31</v>
      </c>
      <c r="W1648" s="6" t="s">
        <v>844</v>
      </c>
      <c r="X1648" s="6" t="s">
        <v>166</v>
      </c>
    </row>
    <row r="1649" spans="1:24" ht="15" customHeight="1" x14ac:dyDescent="0.3">
      <c r="A1649" s="6" t="s">
        <v>533</v>
      </c>
      <c r="B1649" s="6" t="s">
        <v>534</v>
      </c>
      <c r="C1649" s="6" t="s">
        <v>31</v>
      </c>
      <c r="D1649" s="1088" t="s">
        <v>549</v>
      </c>
      <c r="E1649" s="6" t="s">
        <v>171</v>
      </c>
      <c r="F1649" s="6" t="s">
        <v>634</v>
      </c>
      <c r="G1649" s="6" t="s">
        <v>1875</v>
      </c>
      <c r="H1649" s="6" t="s">
        <v>2021</v>
      </c>
      <c r="J1649" s="1215" t="s">
        <v>509</v>
      </c>
      <c r="K1649" s="1219" t="s">
        <v>3111</v>
      </c>
      <c r="L1649" s="8">
        <v>10</v>
      </c>
      <c r="M1649" s="8">
        <v>39</v>
      </c>
      <c r="N1649" s="1169" t="s">
        <v>271</v>
      </c>
      <c r="P1649" s="6" t="s">
        <v>3323</v>
      </c>
      <c r="Q1649" s="1215" t="s">
        <v>253</v>
      </c>
      <c r="R1649" s="1215" t="s">
        <v>255</v>
      </c>
      <c r="S1649" s="1215" t="s">
        <v>534</v>
      </c>
      <c r="T1649" s="1215" t="s">
        <v>533</v>
      </c>
      <c r="U1649" s="6" t="s">
        <v>549</v>
      </c>
      <c r="V1649" s="6" t="s">
        <v>31</v>
      </c>
      <c r="W1649" s="6" t="s">
        <v>881</v>
      </c>
      <c r="X1649" s="6" t="s">
        <v>165</v>
      </c>
    </row>
    <row r="1650" spans="1:24" ht="15" customHeight="1" x14ac:dyDescent="0.3">
      <c r="A1650" s="6" t="s">
        <v>533</v>
      </c>
      <c r="B1650" s="6" t="s">
        <v>534</v>
      </c>
      <c r="C1650" s="6" t="s">
        <v>31</v>
      </c>
      <c r="D1650" s="1088" t="s">
        <v>549</v>
      </c>
      <c r="E1650" s="6" t="s">
        <v>171</v>
      </c>
      <c r="F1650" s="6" t="s">
        <v>634</v>
      </c>
      <c r="G1650" s="6" t="s">
        <v>1875</v>
      </c>
      <c r="H1650" s="6" t="s">
        <v>2021</v>
      </c>
      <c r="J1650" s="1215" t="s">
        <v>509</v>
      </c>
      <c r="K1650" s="1219" t="s">
        <v>3112</v>
      </c>
      <c r="L1650" s="8">
        <v>10</v>
      </c>
      <c r="M1650" s="8">
        <v>76</v>
      </c>
      <c r="N1650" s="1169" t="s">
        <v>271</v>
      </c>
      <c r="P1650" s="6" t="s">
        <v>3323</v>
      </c>
      <c r="Q1650" s="1215" t="s">
        <v>253</v>
      </c>
      <c r="R1650" s="1215" t="s">
        <v>255</v>
      </c>
      <c r="S1650" s="1215" t="s">
        <v>534</v>
      </c>
      <c r="T1650" s="1215" t="s">
        <v>533</v>
      </c>
      <c r="U1650" s="6" t="s">
        <v>549</v>
      </c>
      <c r="V1650" s="6" t="s">
        <v>31</v>
      </c>
      <c r="W1650" s="6" t="s">
        <v>844</v>
      </c>
      <c r="X1650" s="6" t="s">
        <v>166</v>
      </c>
    </row>
    <row r="1651" spans="1:24" ht="15" customHeight="1" x14ac:dyDescent="0.3">
      <c r="A1651" s="6" t="s">
        <v>533</v>
      </c>
      <c r="B1651" s="6" t="s">
        <v>534</v>
      </c>
      <c r="C1651" s="6" t="s">
        <v>32</v>
      </c>
      <c r="D1651" s="1088" t="s">
        <v>542</v>
      </c>
      <c r="E1651" s="6" t="s">
        <v>177</v>
      </c>
      <c r="F1651" s="6" t="s">
        <v>777</v>
      </c>
      <c r="G1651" s="6" t="s">
        <v>778</v>
      </c>
      <c r="H1651" s="6" t="s">
        <v>779</v>
      </c>
      <c r="J1651" s="1215" t="s">
        <v>509</v>
      </c>
      <c r="K1651" s="1219" t="s">
        <v>3112</v>
      </c>
      <c r="L1651" s="8">
        <v>35</v>
      </c>
      <c r="M1651" s="8">
        <v>285</v>
      </c>
      <c r="N1651" s="1169" t="s">
        <v>272</v>
      </c>
      <c r="P1651" s="6" t="s">
        <v>3324</v>
      </c>
      <c r="Q1651" s="1215" t="s">
        <v>253</v>
      </c>
      <c r="R1651" s="1215" t="s">
        <v>255</v>
      </c>
      <c r="S1651" s="1215" t="s">
        <v>534</v>
      </c>
      <c r="T1651" s="1215" t="s">
        <v>533</v>
      </c>
      <c r="U1651" s="6" t="s">
        <v>542</v>
      </c>
      <c r="V1651" s="6" t="s">
        <v>32</v>
      </c>
      <c r="W1651" s="6" t="s">
        <v>777</v>
      </c>
      <c r="X1651" s="6" t="s">
        <v>177</v>
      </c>
    </row>
    <row r="1652" spans="1:24" ht="15" customHeight="1" x14ac:dyDescent="0.3">
      <c r="A1652" s="6" t="s">
        <v>533</v>
      </c>
      <c r="B1652" s="6" t="s">
        <v>534</v>
      </c>
      <c r="C1652" s="6" t="s">
        <v>31</v>
      </c>
      <c r="D1652" s="1088" t="s">
        <v>549</v>
      </c>
      <c r="E1652" s="6" t="s">
        <v>171</v>
      </c>
      <c r="F1652" s="6" t="s">
        <v>634</v>
      </c>
      <c r="G1652" s="6" t="s">
        <v>1386</v>
      </c>
      <c r="H1652" s="6" t="s">
        <v>1917</v>
      </c>
      <c r="J1652" s="1215" t="s">
        <v>509</v>
      </c>
      <c r="K1652" s="1219" t="s">
        <v>3033</v>
      </c>
      <c r="L1652" s="8">
        <v>16</v>
      </c>
      <c r="M1652" s="8">
        <v>86</v>
      </c>
      <c r="N1652" s="6" t="s">
        <v>271</v>
      </c>
      <c r="P1652" s="6" t="s">
        <v>3323</v>
      </c>
      <c r="Q1652" s="1215" t="s">
        <v>253</v>
      </c>
      <c r="R1652" s="1215" t="s">
        <v>255</v>
      </c>
      <c r="S1652" s="1215" t="s">
        <v>534</v>
      </c>
      <c r="T1652" s="1215" t="s">
        <v>533</v>
      </c>
      <c r="U1652" s="6" t="s">
        <v>549</v>
      </c>
      <c r="V1652" s="6" t="s">
        <v>31</v>
      </c>
      <c r="W1652" s="6" t="s">
        <v>844</v>
      </c>
      <c r="X1652" s="6" t="s">
        <v>166</v>
      </c>
    </row>
    <row r="1653" spans="1:24" ht="15" customHeight="1" x14ac:dyDescent="0.3">
      <c r="A1653" s="6" t="s">
        <v>533</v>
      </c>
      <c r="B1653" s="6" t="s">
        <v>534</v>
      </c>
      <c r="C1653" s="6" t="s">
        <v>31</v>
      </c>
      <c r="D1653" s="1088" t="s">
        <v>549</v>
      </c>
      <c r="E1653" s="6" t="s">
        <v>171</v>
      </c>
      <c r="F1653" s="6" t="s">
        <v>634</v>
      </c>
      <c r="G1653" s="6" t="s">
        <v>1386</v>
      </c>
      <c r="H1653" s="6" t="s">
        <v>1917</v>
      </c>
      <c r="J1653" s="1215" t="s">
        <v>509</v>
      </c>
      <c r="K1653" s="1219" t="s">
        <v>3110</v>
      </c>
      <c r="L1653" s="8">
        <v>0</v>
      </c>
      <c r="M1653" s="8">
        <v>8</v>
      </c>
      <c r="N1653" s="6" t="s">
        <v>271</v>
      </c>
      <c r="P1653" s="6" t="s">
        <v>3323</v>
      </c>
      <c r="Q1653" s="1215" t="s">
        <v>253</v>
      </c>
      <c r="R1653" s="1215" t="s">
        <v>255</v>
      </c>
      <c r="S1653" s="1215" t="s">
        <v>534</v>
      </c>
      <c r="T1653" s="1215" t="s">
        <v>533</v>
      </c>
      <c r="U1653" s="6" t="s">
        <v>549</v>
      </c>
      <c r="V1653" s="6" t="s">
        <v>31</v>
      </c>
      <c r="W1653" s="6" t="s">
        <v>844</v>
      </c>
      <c r="X1653" s="6" t="s">
        <v>166</v>
      </c>
    </row>
    <row r="1654" spans="1:24" ht="15" customHeight="1" x14ac:dyDescent="0.3">
      <c r="A1654" s="6" t="s">
        <v>533</v>
      </c>
      <c r="B1654" s="6" t="s">
        <v>534</v>
      </c>
      <c r="C1654" s="6" t="s">
        <v>31</v>
      </c>
      <c r="D1654" s="1088" t="s">
        <v>549</v>
      </c>
      <c r="E1654" s="6" t="s">
        <v>170</v>
      </c>
      <c r="F1654" s="6" t="s">
        <v>866</v>
      </c>
      <c r="G1654" s="6" t="s">
        <v>1854</v>
      </c>
      <c r="H1654" s="6" t="s">
        <v>1108</v>
      </c>
      <c r="J1654" s="1215" t="s">
        <v>509</v>
      </c>
      <c r="K1654" s="1219" t="s">
        <v>3033</v>
      </c>
      <c r="L1654" s="8">
        <v>50</v>
      </c>
      <c r="M1654" s="8">
        <v>200</v>
      </c>
      <c r="N1654" s="1088" t="s">
        <v>271</v>
      </c>
      <c r="P1654" s="6" t="s">
        <v>3323</v>
      </c>
      <c r="Q1654" s="1215" t="s">
        <v>253</v>
      </c>
      <c r="R1654" s="1215" t="s">
        <v>255</v>
      </c>
      <c r="S1654" s="1215" t="s">
        <v>534</v>
      </c>
      <c r="T1654" s="1215" t="s">
        <v>533</v>
      </c>
      <c r="U1654" s="6" t="s">
        <v>549</v>
      </c>
      <c r="V1654" s="6" t="s">
        <v>31</v>
      </c>
      <c r="W1654" s="6" t="s">
        <v>844</v>
      </c>
      <c r="X1654" s="6" t="s">
        <v>166</v>
      </c>
    </row>
    <row r="1655" spans="1:24" ht="15" customHeight="1" x14ac:dyDescent="0.3">
      <c r="A1655" s="6" t="s">
        <v>533</v>
      </c>
      <c r="B1655" s="6" t="s">
        <v>534</v>
      </c>
      <c r="C1655" s="6" t="s">
        <v>31</v>
      </c>
      <c r="D1655" s="1088" t="s">
        <v>549</v>
      </c>
      <c r="E1655" s="6" t="s">
        <v>170</v>
      </c>
      <c r="F1655" s="6" t="s">
        <v>866</v>
      </c>
      <c r="G1655" s="6" t="s">
        <v>1854</v>
      </c>
      <c r="H1655" s="6" t="s">
        <v>1108</v>
      </c>
      <c r="J1655" s="1215" t="s">
        <v>509</v>
      </c>
      <c r="K1655" s="1219" t="s">
        <v>3112</v>
      </c>
      <c r="L1655" s="8">
        <v>10</v>
      </c>
      <c r="M1655" s="8">
        <v>55</v>
      </c>
      <c r="N1655" s="1169" t="s">
        <v>272</v>
      </c>
      <c r="P1655" s="6" t="s">
        <v>3324</v>
      </c>
      <c r="Q1655" s="1215" t="s">
        <v>253</v>
      </c>
      <c r="R1655" s="1215" t="s">
        <v>255</v>
      </c>
      <c r="S1655" s="1215" t="s">
        <v>534</v>
      </c>
      <c r="T1655" s="1215" t="s">
        <v>533</v>
      </c>
      <c r="U1655" s="6" t="s">
        <v>549</v>
      </c>
      <c r="V1655" s="6" t="s">
        <v>31</v>
      </c>
      <c r="W1655" s="6" t="s">
        <v>866</v>
      </c>
      <c r="X1655" s="6" t="s">
        <v>170</v>
      </c>
    </row>
    <row r="1656" spans="1:24" ht="15" customHeight="1" x14ac:dyDescent="0.3">
      <c r="A1656" s="6" t="s">
        <v>533</v>
      </c>
      <c r="B1656" s="6" t="s">
        <v>534</v>
      </c>
      <c r="C1656" s="6" t="s">
        <v>32</v>
      </c>
      <c r="D1656" s="1088" t="s">
        <v>542</v>
      </c>
      <c r="E1656" s="6" t="s">
        <v>177</v>
      </c>
      <c r="F1656" s="6" t="s">
        <v>777</v>
      </c>
      <c r="G1656" s="6" t="s">
        <v>3206</v>
      </c>
      <c r="H1656" s="6" t="s">
        <v>1696</v>
      </c>
      <c r="J1656" s="1215" t="s">
        <v>509</v>
      </c>
      <c r="K1656" s="1219" t="s">
        <v>3112</v>
      </c>
      <c r="L1656" s="8">
        <v>41</v>
      </c>
      <c r="M1656" s="8">
        <v>454</v>
      </c>
      <c r="N1656" s="1088" t="s">
        <v>272</v>
      </c>
      <c r="P1656" s="6" t="s">
        <v>3324</v>
      </c>
      <c r="Q1656" s="1215" t="s">
        <v>253</v>
      </c>
      <c r="R1656" s="1215" t="s">
        <v>255</v>
      </c>
      <c r="S1656" s="1215" t="s">
        <v>534</v>
      </c>
      <c r="T1656" s="1215" t="s">
        <v>533</v>
      </c>
      <c r="U1656" s="6" t="s">
        <v>542</v>
      </c>
      <c r="V1656" s="6" t="s">
        <v>32</v>
      </c>
      <c r="W1656" s="6" t="s">
        <v>777</v>
      </c>
      <c r="X1656" s="6" t="s">
        <v>177</v>
      </c>
    </row>
    <row r="1657" spans="1:24" ht="15" customHeight="1" x14ac:dyDescent="0.3">
      <c r="A1657" s="6" t="s">
        <v>533</v>
      </c>
      <c r="B1657" s="6" t="s">
        <v>534</v>
      </c>
      <c r="C1657" s="6" t="s">
        <v>34</v>
      </c>
      <c r="D1657" s="1088" t="s">
        <v>539</v>
      </c>
      <c r="E1657" s="6" t="s">
        <v>187</v>
      </c>
      <c r="F1657" s="6" t="s">
        <v>951</v>
      </c>
      <c r="G1657" s="6" t="s">
        <v>550</v>
      </c>
      <c r="H1657" s="6" t="s">
        <v>3175</v>
      </c>
      <c r="I1657" s="6" t="s">
        <v>3175</v>
      </c>
      <c r="J1657" s="1215" t="s">
        <v>509</v>
      </c>
      <c r="K1657" s="1219" t="s">
        <v>3112</v>
      </c>
      <c r="L1657" s="8">
        <v>200</v>
      </c>
      <c r="M1657" s="8">
        <v>600</v>
      </c>
      <c r="N1657" s="6" t="s">
        <v>271</v>
      </c>
      <c r="P1657" s="6" t="s">
        <v>3324</v>
      </c>
      <c r="Q1657" s="1215" t="s">
        <v>253</v>
      </c>
      <c r="R1657" s="1215" t="s">
        <v>255</v>
      </c>
      <c r="S1657" s="1215" t="s">
        <v>534</v>
      </c>
      <c r="T1657" s="1215" t="s">
        <v>533</v>
      </c>
      <c r="U1657" s="6" t="s">
        <v>539</v>
      </c>
      <c r="V1657" s="6" t="s">
        <v>34</v>
      </c>
      <c r="W1657" s="6" t="s">
        <v>951</v>
      </c>
      <c r="X1657" s="6" t="s">
        <v>187</v>
      </c>
    </row>
    <row r="1658" spans="1:24" ht="15" customHeight="1" x14ac:dyDescent="0.3">
      <c r="A1658" s="6" t="s">
        <v>533</v>
      </c>
      <c r="B1658" s="6" t="s">
        <v>534</v>
      </c>
      <c r="C1658" s="6" t="s">
        <v>34</v>
      </c>
      <c r="D1658" s="1088" t="s">
        <v>539</v>
      </c>
      <c r="E1658" s="6" t="s">
        <v>187</v>
      </c>
      <c r="F1658" s="6" t="s">
        <v>951</v>
      </c>
      <c r="G1658" s="6" t="s">
        <v>1240</v>
      </c>
      <c r="H1658" s="6" t="s">
        <v>1241</v>
      </c>
      <c r="J1658" s="1215" t="s">
        <v>509</v>
      </c>
      <c r="K1658" s="1219" t="s">
        <v>3112</v>
      </c>
      <c r="L1658" s="8">
        <v>117</v>
      </c>
      <c r="M1658" s="8">
        <v>868</v>
      </c>
      <c r="N1658" s="6" t="s">
        <v>271</v>
      </c>
      <c r="P1658" s="6" t="s">
        <v>3324</v>
      </c>
      <c r="Q1658" s="1215" t="s">
        <v>253</v>
      </c>
      <c r="R1658" s="1215" t="s">
        <v>255</v>
      </c>
      <c r="S1658" s="1215" t="s">
        <v>534</v>
      </c>
      <c r="T1658" s="1215" t="s">
        <v>533</v>
      </c>
      <c r="U1658" s="6" t="s">
        <v>539</v>
      </c>
      <c r="V1658" s="6" t="s">
        <v>34</v>
      </c>
      <c r="W1658" s="6" t="s">
        <v>951</v>
      </c>
      <c r="X1658" s="6" t="s">
        <v>187</v>
      </c>
    </row>
    <row r="1659" spans="1:24" ht="15" customHeight="1" x14ac:dyDescent="0.3">
      <c r="A1659" s="6" t="s">
        <v>533</v>
      </c>
      <c r="B1659" s="6" t="s">
        <v>534</v>
      </c>
      <c r="C1659" s="6" t="s">
        <v>34</v>
      </c>
      <c r="D1659" s="1088" t="s">
        <v>539</v>
      </c>
      <c r="E1659" s="6" t="s">
        <v>187</v>
      </c>
      <c r="F1659" s="6" t="s">
        <v>951</v>
      </c>
      <c r="G1659" s="6" t="s">
        <v>1240</v>
      </c>
      <c r="H1659" s="6" t="s">
        <v>1241</v>
      </c>
      <c r="J1659" s="1215" t="s">
        <v>509</v>
      </c>
      <c r="K1659" s="1219" t="s">
        <v>3033</v>
      </c>
      <c r="L1659" s="8">
        <v>627</v>
      </c>
      <c r="M1659" s="8">
        <v>4445</v>
      </c>
      <c r="N1659" s="1169" t="s">
        <v>271</v>
      </c>
      <c r="P1659" s="6" t="s">
        <v>3324</v>
      </c>
      <c r="Q1659" s="1215" t="s">
        <v>253</v>
      </c>
      <c r="R1659" s="1215" t="s">
        <v>255</v>
      </c>
      <c r="S1659" s="1215" t="s">
        <v>534</v>
      </c>
      <c r="T1659" s="1215" t="s">
        <v>533</v>
      </c>
      <c r="U1659" s="6" t="s">
        <v>539</v>
      </c>
      <c r="V1659" s="6" t="s">
        <v>34</v>
      </c>
      <c r="W1659" s="6" t="s">
        <v>951</v>
      </c>
      <c r="X1659" s="6" t="s">
        <v>187</v>
      </c>
    </row>
    <row r="1660" spans="1:24" ht="15" customHeight="1" x14ac:dyDescent="0.3">
      <c r="A1660" s="6" t="s">
        <v>533</v>
      </c>
      <c r="B1660" s="6" t="s">
        <v>534</v>
      </c>
      <c r="C1660" s="6" t="s">
        <v>34</v>
      </c>
      <c r="D1660" s="1088" t="s">
        <v>539</v>
      </c>
      <c r="E1660" s="6" t="s">
        <v>187</v>
      </c>
      <c r="F1660" s="6" t="s">
        <v>951</v>
      </c>
      <c r="G1660" s="6" t="s">
        <v>1240</v>
      </c>
      <c r="H1660" s="6" t="s">
        <v>1241</v>
      </c>
      <c r="J1660" s="1215" t="s">
        <v>509</v>
      </c>
      <c r="K1660" s="1219" t="s">
        <v>3109</v>
      </c>
      <c r="L1660" s="8">
        <v>0</v>
      </c>
      <c r="M1660" s="8">
        <v>34</v>
      </c>
      <c r="N1660" s="1169" t="s">
        <v>271</v>
      </c>
      <c r="P1660" s="6" t="s">
        <v>3324</v>
      </c>
      <c r="Q1660" s="1215" t="s">
        <v>253</v>
      </c>
      <c r="R1660" s="1215" t="s">
        <v>255</v>
      </c>
      <c r="S1660" s="1215" t="s">
        <v>534</v>
      </c>
      <c r="T1660" s="1215" t="s">
        <v>533</v>
      </c>
      <c r="U1660" s="6" t="s">
        <v>539</v>
      </c>
      <c r="V1660" s="6" t="s">
        <v>34</v>
      </c>
      <c r="W1660" s="6" t="s">
        <v>951</v>
      </c>
      <c r="X1660" s="6" t="s">
        <v>187</v>
      </c>
    </row>
    <row r="1661" spans="1:24" ht="15" customHeight="1" x14ac:dyDescent="0.3">
      <c r="A1661" s="6" t="s">
        <v>533</v>
      </c>
      <c r="B1661" s="6" t="s">
        <v>534</v>
      </c>
      <c r="C1661" s="6" t="s">
        <v>34</v>
      </c>
      <c r="D1661" s="1088" t="s">
        <v>539</v>
      </c>
      <c r="E1661" s="6" t="s">
        <v>187</v>
      </c>
      <c r="F1661" s="6" t="s">
        <v>951</v>
      </c>
      <c r="G1661" s="6" t="s">
        <v>1240</v>
      </c>
      <c r="H1661" s="6" t="s">
        <v>1241</v>
      </c>
      <c r="J1661" s="1215" t="s">
        <v>509</v>
      </c>
      <c r="K1661" s="1219" t="s">
        <v>3110</v>
      </c>
      <c r="L1661" s="8">
        <v>0</v>
      </c>
      <c r="M1661" s="8">
        <v>51</v>
      </c>
      <c r="N1661" s="1169" t="s">
        <v>271</v>
      </c>
      <c r="P1661" s="6" t="s">
        <v>3324</v>
      </c>
      <c r="Q1661" s="1215" t="s">
        <v>253</v>
      </c>
      <c r="R1661" s="1215" t="s">
        <v>255</v>
      </c>
      <c r="S1661" s="1215" t="s">
        <v>534</v>
      </c>
      <c r="T1661" s="1215" t="s">
        <v>533</v>
      </c>
      <c r="U1661" s="6" t="s">
        <v>539</v>
      </c>
      <c r="V1661" s="6" t="s">
        <v>34</v>
      </c>
      <c r="W1661" s="6" t="s">
        <v>951</v>
      </c>
      <c r="X1661" s="6" t="s">
        <v>187</v>
      </c>
    </row>
    <row r="1662" spans="1:24" ht="15" customHeight="1" x14ac:dyDescent="0.3">
      <c r="A1662" s="6" t="s">
        <v>533</v>
      </c>
      <c r="B1662" s="6" t="s">
        <v>534</v>
      </c>
      <c r="C1662" s="6" t="s">
        <v>34</v>
      </c>
      <c r="D1662" s="1088" t="s">
        <v>539</v>
      </c>
      <c r="E1662" s="6" t="s">
        <v>187</v>
      </c>
      <c r="F1662" s="6" t="s">
        <v>951</v>
      </c>
      <c r="G1662" s="6" t="s">
        <v>1240</v>
      </c>
      <c r="H1662" s="6" t="s">
        <v>1241</v>
      </c>
      <c r="J1662" s="1215" t="s">
        <v>509</v>
      </c>
      <c r="K1662" s="1219" t="s">
        <v>3111</v>
      </c>
      <c r="L1662" s="8">
        <v>0</v>
      </c>
      <c r="M1662" s="8">
        <v>60</v>
      </c>
      <c r="N1662" s="1169" t="s">
        <v>271</v>
      </c>
      <c r="O1662" s="1088"/>
      <c r="P1662" s="6" t="s">
        <v>3324</v>
      </c>
      <c r="Q1662" s="1215" t="s">
        <v>253</v>
      </c>
      <c r="R1662" s="1215" t="s">
        <v>255</v>
      </c>
      <c r="S1662" s="1215" t="s">
        <v>534</v>
      </c>
      <c r="T1662" s="1215" t="s">
        <v>533</v>
      </c>
      <c r="U1662" s="6" t="s">
        <v>539</v>
      </c>
      <c r="V1662" s="6" t="s">
        <v>34</v>
      </c>
      <c r="W1662" s="6" t="s">
        <v>951</v>
      </c>
      <c r="X1662" s="6" t="s">
        <v>187</v>
      </c>
    </row>
    <row r="1663" spans="1:24" ht="15" customHeight="1" x14ac:dyDescent="0.3">
      <c r="A1663" s="6" t="s">
        <v>533</v>
      </c>
      <c r="B1663" s="6" t="s">
        <v>534</v>
      </c>
      <c r="C1663" s="6" t="s">
        <v>34</v>
      </c>
      <c r="D1663" s="1088" t="s">
        <v>539</v>
      </c>
      <c r="E1663" s="6" t="s">
        <v>189</v>
      </c>
      <c r="F1663" s="6" t="s">
        <v>590</v>
      </c>
      <c r="G1663" s="6" t="s">
        <v>1326</v>
      </c>
      <c r="H1663" s="6" t="s">
        <v>1327</v>
      </c>
      <c r="J1663" s="1215" t="s">
        <v>509</v>
      </c>
      <c r="K1663" s="1219" t="s">
        <v>3112</v>
      </c>
      <c r="L1663" s="8">
        <v>4</v>
      </c>
      <c r="M1663" s="8">
        <v>32</v>
      </c>
      <c r="N1663" s="1169" t="s">
        <v>271</v>
      </c>
      <c r="P1663" s="6" t="s">
        <v>3324</v>
      </c>
      <c r="Q1663" s="1215" t="s">
        <v>253</v>
      </c>
      <c r="R1663" s="1215" t="s">
        <v>255</v>
      </c>
      <c r="S1663" s="1215" t="s">
        <v>534</v>
      </c>
      <c r="T1663" s="1215" t="s">
        <v>533</v>
      </c>
      <c r="U1663" s="6" t="s">
        <v>539</v>
      </c>
      <c r="V1663" s="6" t="s">
        <v>34</v>
      </c>
      <c r="W1663" s="6" t="s">
        <v>590</v>
      </c>
      <c r="X1663" s="6" t="s">
        <v>189</v>
      </c>
    </row>
    <row r="1664" spans="1:24" ht="15" customHeight="1" x14ac:dyDescent="0.3">
      <c r="A1664" s="6" t="s">
        <v>533</v>
      </c>
      <c r="B1664" s="6" t="s">
        <v>534</v>
      </c>
      <c r="C1664" s="6" t="s">
        <v>34</v>
      </c>
      <c r="D1664" s="1088" t="s">
        <v>539</v>
      </c>
      <c r="E1664" s="6" t="s">
        <v>189</v>
      </c>
      <c r="F1664" s="6" t="s">
        <v>590</v>
      </c>
      <c r="G1664" s="6" t="s">
        <v>1326</v>
      </c>
      <c r="H1664" s="6" t="s">
        <v>1327</v>
      </c>
      <c r="J1664" s="1215" t="s">
        <v>509</v>
      </c>
      <c r="K1664" s="1219" t="s">
        <v>3033</v>
      </c>
      <c r="L1664" s="8">
        <v>10</v>
      </c>
      <c r="M1664" s="8">
        <v>136</v>
      </c>
      <c r="N1664" s="1169" t="s">
        <v>271</v>
      </c>
      <c r="P1664" s="6" t="s">
        <v>3324</v>
      </c>
      <c r="Q1664" s="1215" t="s">
        <v>253</v>
      </c>
      <c r="R1664" s="1215" t="s">
        <v>255</v>
      </c>
      <c r="S1664" s="1215" t="s">
        <v>534</v>
      </c>
      <c r="T1664" s="1215" t="s">
        <v>533</v>
      </c>
      <c r="U1664" s="6" t="s">
        <v>539</v>
      </c>
      <c r="V1664" s="6" t="s">
        <v>34</v>
      </c>
      <c r="W1664" s="6" t="s">
        <v>590</v>
      </c>
      <c r="X1664" s="6" t="s">
        <v>189</v>
      </c>
    </row>
    <row r="1665" spans="1:24" ht="15" customHeight="1" x14ac:dyDescent="0.3">
      <c r="A1665" s="6" t="s">
        <v>533</v>
      </c>
      <c r="B1665" s="6" t="s">
        <v>534</v>
      </c>
      <c r="C1665" s="6" t="s">
        <v>34</v>
      </c>
      <c r="D1665" s="1088" t="s">
        <v>539</v>
      </c>
      <c r="E1665" s="6" t="s">
        <v>189</v>
      </c>
      <c r="F1665" s="6" t="s">
        <v>590</v>
      </c>
      <c r="G1665" s="6" t="s">
        <v>1326</v>
      </c>
      <c r="H1665" s="6" t="s">
        <v>1327</v>
      </c>
      <c r="J1665" s="1215" t="s">
        <v>509</v>
      </c>
      <c r="K1665" s="1219" t="s">
        <v>3109</v>
      </c>
      <c r="L1665" s="8">
        <v>0</v>
      </c>
      <c r="M1665" s="8">
        <v>15</v>
      </c>
      <c r="N1665" s="1169" t="s">
        <v>271</v>
      </c>
      <c r="P1665" s="6" t="s">
        <v>3324</v>
      </c>
      <c r="Q1665" s="1215" t="s">
        <v>253</v>
      </c>
      <c r="R1665" s="1215" t="s">
        <v>255</v>
      </c>
      <c r="S1665" s="1215" t="s">
        <v>534</v>
      </c>
      <c r="T1665" s="1215" t="s">
        <v>533</v>
      </c>
      <c r="U1665" s="6" t="s">
        <v>539</v>
      </c>
      <c r="V1665" s="6" t="s">
        <v>34</v>
      </c>
      <c r="W1665" s="6" t="s">
        <v>590</v>
      </c>
      <c r="X1665" s="6" t="s">
        <v>189</v>
      </c>
    </row>
    <row r="1666" spans="1:24" ht="15" customHeight="1" x14ac:dyDescent="0.3">
      <c r="A1666" s="6" t="s">
        <v>533</v>
      </c>
      <c r="B1666" s="6" t="s">
        <v>534</v>
      </c>
      <c r="C1666" s="6" t="s">
        <v>34</v>
      </c>
      <c r="D1666" s="1088" t="s">
        <v>539</v>
      </c>
      <c r="E1666" s="6" t="s">
        <v>189</v>
      </c>
      <c r="F1666" s="6" t="s">
        <v>590</v>
      </c>
      <c r="G1666" s="6" t="s">
        <v>1326</v>
      </c>
      <c r="H1666" s="6" t="s">
        <v>1327</v>
      </c>
      <c r="J1666" s="1215" t="s">
        <v>509</v>
      </c>
      <c r="K1666" s="1219" t="s">
        <v>3110</v>
      </c>
      <c r="L1666" s="8">
        <v>0</v>
      </c>
      <c r="M1666" s="8">
        <v>43</v>
      </c>
      <c r="N1666" s="6" t="s">
        <v>271</v>
      </c>
      <c r="O1666" s="1088"/>
      <c r="P1666" s="6" t="s">
        <v>3324</v>
      </c>
      <c r="Q1666" s="1215" t="s">
        <v>253</v>
      </c>
      <c r="R1666" s="1215" t="s">
        <v>255</v>
      </c>
      <c r="S1666" s="1215" t="s">
        <v>534</v>
      </c>
      <c r="T1666" s="1215" t="s">
        <v>533</v>
      </c>
      <c r="U1666" s="6" t="s">
        <v>539</v>
      </c>
      <c r="V1666" s="6" t="s">
        <v>34</v>
      </c>
      <c r="W1666" s="6" t="s">
        <v>590</v>
      </c>
      <c r="X1666" s="6" t="s">
        <v>189</v>
      </c>
    </row>
    <row r="1667" spans="1:24" ht="15" customHeight="1" x14ac:dyDescent="0.3">
      <c r="A1667" s="6" t="s">
        <v>533</v>
      </c>
      <c r="B1667" s="6" t="s">
        <v>534</v>
      </c>
      <c r="C1667" s="6" t="s">
        <v>34</v>
      </c>
      <c r="D1667" s="1088" t="s">
        <v>539</v>
      </c>
      <c r="E1667" s="6" t="s">
        <v>189</v>
      </c>
      <c r="F1667" s="6" t="s">
        <v>590</v>
      </c>
      <c r="G1667" s="6" t="s">
        <v>1326</v>
      </c>
      <c r="H1667" s="6" t="s">
        <v>1327</v>
      </c>
      <c r="J1667" s="1215" t="s">
        <v>509</v>
      </c>
      <c r="K1667" s="1219" t="s">
        <v>3111</v>
      </c>
      <c r="L1667" s="8">
        <v>0</v>
      </c>
      <c r="M1667" s="8">
        <v>6</v>
      </c>
      <c r="N1667" s="6" t="s">
        <v>271</v>
      </c>
      <c r="P1667" s="6" t="s">
        <v>3324</v>
      </c>
      <c r="Q1667" s="1215" t="s">
        <v>253</v>
      </c>
      <c r="R1667" s="1215" t="s">
        <v>255</v>
      </c>
      <c r="S1667" s="1215" t="s">
        <v>534</v>
      </c>
      <c r="T1667" s="1215" t="s">
        <v>533</v>
      </c>
      <c r="U1667" s="6" t="s">
        <v>539</v>
      </c>
      <c r="V1667" s="6" t="s">
        <v>34</v>
      </c>
      <c r="W1667" s="6" t="s">
        <v>590</v>
      </c>
      <c r="X1667" s="6" t="s">
        <v>189</v>
      </c>
    </row>
    <row r="1668" spans="1:24" ht="15" customHeight="1" x14ac:dyDescent="0.3">
      <c r="A1668" s="6" t="s">
        <v>533</v>
      </c>
      <c r="B1668" s="6" t="s">
        <v>534</v>
      </c>
      <c r="C1668" s="6" t="s">
        <v>34</v>
      </c>
      <c r="D1668" s="1088" t="s">
        <v>539</v>
      </c>
      <c r="E1668" s="6" t="s">
        <v>189</v>
      </c>
      <c r="F1668" s="6" t="s">
        <v>590</v>
      </c>
      <c r="G1668" s="6" t="s">
        <v>1206</v>
      </c>
      <c r="H1668" s="6" t="s">
        <v>1207</v>
      </c>
      <c r="J1668" s="1215" t="s">
        <v>509</v>
      </c>
      <c r="K1668" s="1219" t="s">
        <v>3112</v>
      </c>
      <c r="L1668" s="8">
        <v>0</v>
      </c>
      <c r="M1668" s="8">
        <v>2</v>
      </c>
      <c r="N1668" s="1169" t="s">
        <v>271</v>
      </c>
      <c r="P1668" s="6" t="s">
        <v>3324</v>
      </c>
      <c r="Q1668" s="1215" t="s">
        <v>253</v>
      </c>
      <c r="R1668" s="1215" t="s">
        <v>255</v>
      </c>
      <c r="S1668" s="1215" t="s">
        <v>534</v>
      </c>
      <c r="T1668" s="1215" t="s">
        <v>533</v>
      </c>
      <c r="U1668" s="6" t="s">
        <v>539</v>
      </c>
      <c r="V1668" s="6" t="s">
        <v>34</v>
      </c>
      <c r="W1668" s="6" t="s">
        <v>590</v>
      </c>
      <c r="X1668" s="6" t="s">
        <v>189</v>
      </c>
    </row>
    <row r="1669" spans="1:24" ht="15" customHeight="1" x14ac:dyDescent="0.3">
      <c r="A1669" s="6" t="s">
        <v>533</v>
      </c>
      <c r="B1669" s="6" t="s">
        <v>534</v>
      </c>
      <c r="C1669" s="6" t="s">
        <v>34</v>
      </c>
      <c r="D1669" s="1088" t="s">
        <v>539</v>
      </c>
      <c r="E1669" s="6" t="s">
        <v>189</v>
      </c>
      <c r="F1669" s="6" t="s">
        <v>590</v>
      </c>
      <c r="G1669" s="6" t="s">
        <v>1206</v>
      </c>
      <c r="H1669" s="6" t="s">
        <v>1207</v>
      </c>
      <c r="J1669" s="1215" t="s">
        <v>509</v>
      </c>
      <c r="K1669" s="1219" t="s">
        <v>3109</v>
      </c>
      <c r="L1669" s="8">
        <v>1</v>
      </c>
      <c r="M1669" s="8">
        <v>36</v>
      </c>
      <c r="N1669" s="1169" t="s">
        <v>271</v>
      </c>
      <c r="P1669" s="6" t="s">
        <v>3324</v>
      </c>
      <c r="Q1669" s="1215" t="s">
        <v>253</v>
      </c>
      <c r="R1669" s="1215" t="s">
        <v>255</v>
      </c>
      <c r="S1669" s="1215" t="s">
        <v>534</v>
      </c>
      <c r="T1669" s="1215" t="s">
        <v>533</v>
      </c>
      <c r="U1669" s="6" t="s">
        <v>539</v>
      </c>
      <c r="V1669" s="6" t="s">
        <v>34</v>
      </c>
      <c r="W1669" s="6" t="s">
        <v>590</v>
      </c>
      <c r="X1669" s="6" t="s">
        <v>189</v>
      </c>
    </row>
    <row r="1670" spans="1:24" ht="15" customHeight="1" x14ac:dyDescent="0.3">
      <c r="A1670" s="6" t="s">
        <v>533</v>
      </c>
      <c r="B1670" s="6" t="s">
        <v>534</v>
      </c>
      <c r="C1670" s="6" t="s">
        <v>34</v>
      </c>
      <c r="D1670" s="1088" t="s">
        <v>539</v>
      </c>
      <c r="E1670" s="6" t="s">
        <v>189</v>
      </c>
      <c r="F1670" s="6" t="s">
        <v>590</v>
      </c>
      <c r="G1670" s="6" t="s">
        <v>1206</v>
      </c>
      <c r="H1670" s="6" t="s">
        <v>1207</v>
      </c>
      <c r="J1670" s="1215" t="s">
        <v>509</v>
      </c>
      <c r="K1670" s="1219" t="s">
        <v>3110</v>
      </c>
      <c r="L1670" s="8">
        <v>0</v>
      </c>
      <c r="M1670" s="8">
        <v>13</v>
      </c>
      <c r="N1670" s="1169" t="s">
        <v>271</v>
      </c>
      <c r="P1670" s="6" t="s">
        <v>3324</v>
      </c>
      <c r="Q1670" s="1215" t="s">
        <v>253</v>
      </c>
      <c r="R1670" s="1215" t="s">
        <v>255</v>
      </c>
      <c r="S1670" s="1215" t="s">
        <v>534</v>
      </c>
      <c r="T1670" s="1215" t="s">
        <v>533</v>
      </c>
      <c r="U1670" s="6" t="s">
        <v>539</v>
      </c>
      <c r="V1670" s="6" t="s">
        <v>34</v>
      </c>
      <c r="W1670" s="6" t="s">
        <v>590</v>
      </c>
      <c r="X1670" s="6" t="s">
        <v>189</v>
      </c>
    </row>
    <row r="1671" spans="1:24" ht="15" customHeight="1" x14ac:dyDescent="0.3">
      <c r="A1671" s="6" t="s">
        <v>533</v>
      </c>
      <c r="B1671" s="6" t="s">
        <v>534</v>
      </c>
      <c r="C1671" s="6" t="s">
        <v>34</v>
      </c>
      <c r="D1671" s="1088" t="s">
        <v>539</v>
      </c>
      <c r="E1671" s="6" t="s">
        <v>189</v>
      </c>
      <c r="F1671" s="6" t="s">
        <v>590</v>
      </c>
      <c r="G1671" s="6" t="s">
        <v>1206</v>
      </c>
      <c r="H1671" s="6" t="s">
        <v>1207</v>
      </c>
      <c r="J1671" s="1215" t="s">
        <v>509</v>
      </c>
      <c r="K1671" s="1219" t="s">
        <v>3111</v>
      </c>
      <c r="L1671" s="8">
        <v>0</v>
      </c>
      <c r="M1671" s="8">
        <v>10</v>
      </c>
      <c r="N1671" s="1169" t="s">
        <v>271</v>
      </c>
      <c r="P1671" s="6" t="s">
        <v>3324</v>
      </c>
      <c r="Q1671" s="1215" t="s">
        <v>253</v>
      </c>
      <c r="R1671" s="1215" t="s">
        <v>255</v>
      </c>
      <c r="S1671" s="1215" t="s">
        <v>534</v>
      </c>
      <c r="T1671" s="1215" t="s">
        <v>533</v>
      </c>
      <c r="U1671" s="6" t="s">
        <v>539</v>
      </c>
      <c r="V1671" s="6" t="s">
        <v>34</v>
      </c>
      <c r="W1671" s="6" t="s">
        <v>590</v>
      </c>
      <c r="X1671" s="6" t="s">
        <v>189</v>
      </c>
    </row>
    <row r="1672" spans="1:24" ht="15" customHeight="1" x14ac:dyDescent="0.3">
      <c r="A1672" s="6" t="s">
        <v>533</v>
      </c>
      <c r="B1672" s="6" t="s">
        <v>534</v>
      </c>
      <c r="C1672" s="6" t="s">
        <v>34</v>
      </c>
      <c r="D1672" s="1088" t="s">
        <v>539</v>
      </c>
      <c r="E1672" s="6" t="s">
        <v>189</v>
      </c>
      <c r="F1672" s="6" t="s">
        <v>590</v>
      </c>
      <c r="G1672" s="6" t="s">
        <v>1204</v>
      </c>
      <c r="H1672" s="6" t="s">
        <v>1205</v>
      </c>
      <c r="J1672" s="1215" t="s">
        <v>509</v>
      </c>
      <c r="K1672" s="1219" t="s">
        <v>3112</v>
      </c>
      <c r="L1672" s="8">
        <v>0</v>
      </c>
      <c r="M1672" s="8">
        <v>1</v>
      </c>
      <c r="N1672" s="1169" t="s">
        <v>271</v>
      </c>
      <c r="P1672" s="6" t="s">
        <v>3324</v>
      </c>
      <c r="Q1672" s="1215" t="s">
        <v>253</v>
      </c>
      <c r="R1672" s="1215" t="s">
        <v>255</v>
      </c>
      <c r="S1672" s="1215" t="s">
        <v>534</v>
      </c>
      <c r="T1672" s="1215" t="s">
        <v>533</v>
      </c>
      <c r="U1672" s="6" t="s">
        <v>539</v>
      </c>
      <c r="V1672" s="6" t="s">
        <v>34</v>
      </c>
      <c r="W1672" s="6" t="s">
        <v>590</v>
      </c>
      <c r="X1672" s="6" t="s">
        <v>189</v>
      </c>
    </row>
    <row r="1673" spans="1:24" ht="15" customHeight="1" x14ac:dyDescent="0.3">
      <c r="A1673" s="6" t="s">
        <v>533</v>
      </c>
      <c r="B1673" s="6" t="s">
        <v>534</v>
      </c>
      <c r="C1673" s="6" t="s">
        <v>34</v>
      </c>
      <c r="D1673" s="1088" t="s">
        <v>539</v>
      </c>
      <c r="E1673" s="6" t="s">
        <v>189</v>
      </c>
      <c r="F1673" s="6" t="s">
        <v>590</v>
      </c>
      <c r="G1673" s="6" t="s">
        <v>1204</v>
      </c>
      <c r="H1673" s="6" t="s">
        <v>1205</v>
      </c>
      <c r="J1673" s="1215" t="s">
        <v>509</v>
      </c>
      <c r="K1673" s="1219" t="s">
        <v>3033</v>
      </c>
      <c r="L1673" s="8">
        <v>3</v>
      </c>
      <c r="M1673" s="8">
        <v>21</v>
      </c>
      <c r="N1673" s="1169" t="s">
        <v>271</v>
      </c>
      <c r="P1673" s="6" t="s">
        <v>3324</v>
      </c>
      <c r="Q1673" s="1215" t="s">
        <v>253</v>
      </c>
      <c r="R1673" s="1215" t="s">
        <v>255</v>
      </c>
      <c r="S1673" s="1215" t="s">
        <v>534</v>
      </c>
      <c r="T1673" s="1215" t="s">
        <v>533</v>
      </c>
      <c r="U1673" s="6" t="s">
        <v>539</v>
      </c>
      <c r="V1673" s="6" t="s">
        <v>34</v>
      </c>
      <c r="W1673" s="6" t="s">
        <v>590</v>
      </c>
      <c r="X1673" s="6" t="s">
        <v>189</v>
      </c>
    </row>
    <row r="1674" spans="1:24" ht="15" customHeight="1" x14ac:dyDescent="0.3">
      <c r="A1674" s="6" t="s">
        <v>533</v>
      </c>
      <c r="B1674" s="6" t="s">
        <v>534</v>
      </c>
      <c r="C1674" s="6" t="s">
        <v>34</v>
      </c>
      <c r="D1674" s="1088" t="s">
        <v>539</v>
      </c>
      <c r="E1674" s="1088" t="s">
        <v>189</v>
      </c>
      <c r="F1674" s="6" t="s">
        <v>590</v>
      </c>
      <c r="G1674" s="6" t="s">
        <v>1204</v>
      </c>
      <c r="H1674" s="6" t="s">
        <v>1205</v>
      </c>
      <c r="J1674" s="1215" t="s">
        <v>509</v>
      </c>
      <c r="K1674" s="1219" t="s">
        <v>3109</v>
      </c>
      <c r="L1674" s="8">
        <v>1</v>
      </c>
      <c r="M1674" s="8">
        <v>6</v>
      </c>
      <c r="N1674" s="1169" t="s">
        <v>271</v>
      </c>
      <c r="O1674" s="1088"/>
      <c r="P1674" s="6" t="s">
        <v>3324</v>
      </c>
      <c r="Q1674" s="1215" t="s">
        <v>253</v>
      </c>
      <c r="R1674" s="1215" t="s">
        <v>255</v>
      </c>
      <c r="S1674" s="1215" t="s">
        <v>534</v>
      </c>
      <c r="T1674" s="1215" t="s">
        <v>533</v>
      </c>
      <c r="U1674" s="6" t="s">
        <v>539</v>
      </c>
      <c r="V1674" s="6" t="s">
        <v>34</v>
      </c>
      <c r="W1674" s="6" t="s">
        <v>590</v>
      </c>
      <c r="X1674" s="6" t="s">
        <v>189</v>
      </c>
    </row>
    <row r="1675" spans="1:24" ht="15" customHeight="1" x14ac:dyDescent="0.3">
      <c r="A1675" s="6" t="s">
        <v>533</v>
      </c>
      <c r="B1675" s="6" t="s">
        <v>534</v>
      </c>
      <c r="C1675" s="6" t="s">
        <v>34</v>
      </c>
      <c r="D1675" s="1088" t="s">
        <v>539</v>
      </c>
      <c r="E1675" s="6" t="s">
        <v>189</v>
      </c>
      <c r="F1675" s="6" t="s">
        <v>590</v>
      </c>
      <c r="G1675" s="6" t="s">
        <v>1204</v>
      </c>
      <c r="H1675" s="6" t="s">
        <v>1205</v>
      </c>
      <c r="J1675" s="1215" t="s">
        <v>509</v>
      </c>
      <c r="K1675" s="1219" t="s">
        <v>3110</v>
      </c>
      <c r="L1675" s="8">
        <v>0</v>
      </c>
      <c r="M1675" s="8">
        <v>20</v>
      </c>
      <c r="N1675" s="1169" t="s">
        <v>271</v>
      </c>
      <c r="P1675" s="6" t="s">
        <v>3324</v>
      </c>
      <c r="Q1675" s="1215" t="s">
        <v>253</v>
      </c>
      <c r="R1675" s="1215" t="s">
        <v>255</v>
      </c>
      <c r="S1675" s="1215" t="s">
        <v>534</v>
      </c>
      <c r="T1675" s="1215" t="s">
        <v>533</v>
      </c>
      <c r="U1675" s="6" t="s">
        <v>539</v>
      </c>
      <c r="V1675" s="6" t="s">
        <v>34</v>
      </c>
      <c r="W1675" s="6" t="s">
        <v>590</v>
      </c>
      <c r="X1675" s="6" t="s">
        <v>189</v>
      </c>
    </row>
    <row r="1676" spans="1:24" ht="15" customHeight="1" x14ac:dyDescent="0.3">
      <c r="A1676" s="6" t="s">
        <v>533</v>
      </c>
      <c r="B1676" s="6" t="s">
        <v>534</v>
      </c>
      <c r="C1676" s="6" t="s">
        <v>34</v>
      </c>
      <c r="D1676" s="1088" t="s">
        <v>539</v>
      </c>
      <c r="E1676" s="6" t="s">
        <v>189</v>
      </c>
      <c r="F1676" s="6" t="s">
        <v>590</v>
      </c>
      <c r="G1676" s="6" t="s">
        <v>1204</v>
      </c>
      <c r="H1676" s="6" t="s">
        <v>1205</v>
      </c>
      <c r="J1676" s="1215" t="s">
        <v>509</v>
      </c>
      <c r="K1676" s="1219" t="s">
        <v>3111</v>
      </c>
      <c r="L1676" s="8">
        <v>0</v>
      </c>
      <c r="M1676" s="8">
        <v>2</v>
      </c>
      <c r="N1676" s="1169" t="s">
        <v>271</v>
      </c>
      <c r="P1676" s="6" t="s">
        <v>3324</v>
      </c>
      <c r="Q1676" s="1215" t="s">
        <v>253</v>
      </c>
      <c r="R1676" s="1215" t="s">
        <v>255</v>
      </c>
      <c r="S1676" s="1215" t="s">
        <v>534</v>
      </c>
      <c r="T1676" s="1215" t="s">
        <v>533</v>
      </c>
      <c r="U1676" s="6" t="s">
        <v>539</v>
      </c>
      <c r="V1676" s="6" t="s">
        <v>34</v>
      </c>
      <c r="W1676" s="6" t="s">
        <v>590</v>
      </c>
      <c r="X1676" s="6" t="s">
        <v>189</v>
      </c>
    </row>
    <row r="1677" spans="1:24" ht="15" customHeight="1" x14ac:dyDescent="0.3">
      <c r="A1677" s="6" t="s">
        <v>533</v>
      </c>
      <c r="B1677" s="6" t="s">
        <v>534</v>
      </c>
      <c r="C1677" s="6" t="s">
        <v>31</v>
      </c>
      <c r="D1677" s="1088" t="s">
        <v>549</v>
      </c>
      <c r="E1677" s="6" t="s">
        <v>166</v>
      </c>
      <c r="F1677" s="6" t="s">
        <v>844</v>
      </c>
      <c r="G1677" s="6" t="s">
        <v>2493</v>
      </c>
      <c r="H1677" s="6" t="s">
        <v>1559</v>
      </c>
      <c r="J1677" s="1215" t="s">
        <v>509</v>
      </c>
      <c r="K1677" s="1219" t="s">
        <v>3109</v>
      </c>
      <c r="L1677" s="8">
        <v>2</v>
      </c>
      <c r="M1677" s="8">
        <v>10</v>
      </c>
      <c r="N1677" s="1169" t="s">
        <v>271</v>
      </c>
      <c r="P1677" s="6" t="s">
        <v>3324</v>
      </c>
      <c r="Q1677" s="1215" t="s">
        <v>253</v>
      </c>
      <c r="R1677" s="1215" t="s">
        <v>255</v>
      </c>
      <c r="S1677" s="1215" t="s">
        <v>534</v>
      </c>
      <c r="T1677" s="1215" t="s">
        <v>533</v>
      </c>
      <c r="U1677" s="6" t="s">
        <v>549</v>
      </c>
      <c r="V1677" s="6" t="s">
        <v>31</v>
      </c>
      <c r="W1677" s="6" t="s">
        <v>844</v>
      </c>
      <c r="X1677" s="6" t="s">
        <v>166</v>
      </c>
    </row>
    <row r="1678" spans="1:24" ht="15" customHeight="1" x14ac:dyDescent="0.3">
      <c r="A1678" s="6" t="s">
        <v>533</v>
      </c>
      <c r="B1678" s="6" t="s">
        <v>534</v>
      </c>
      <c r="C1678" s="6" t="s">
        <v>31</v>
      </c>
      <c r="D1678" s="1088" t="s">
        <v>549</v>
      </c>
      <c r="E1678" s="6" t="s">
        <v>166</v>
      </c>
      <c r="F1678" s="6" t="s">
        <v>844</v>
      </c>
      <c r="G1678" s="6" t="s">
        <v>2493</v>
      </c>
      <c r="H1678" s="6" t="s">
        <v>1559</v>
      </c>
      <c r="J1678" s="1215" t="s">
        <v>509</v>
      </c>
      <c r="K1678" s="1219" t="s">
        <v>3033</v>
      </c>
      <c r="L1678" s="8">
        <v>2392</v>
      </c>
      <c r="M1678" s="8">
        <v>12370</v>
      </c>
      <c r="N1678" s="1169" t="s">
        <v>271</v>
      </c>
      <c r="P1678" s="6" t="s">
        <v>3324</v>
      </c>
      <c r="Q1678" s="1215" t="s">
        <v>253</v>
      </c>
      <c r="R1678" s="1215" t="s">
        <v>255</v>
      </c>
      <c r="S1678" s="1215" t="s">
        <v>534</v>
      </c>
      <c r="T1678" s="1215" t="s">
        <v>533</v>
      </c>
      <c r="U1678" s="6" t="s">
        <v>549</v>
      </c>
      <c r="V1678" s="6" t="s">
        <v>31</v>
      </c>
      <c r="W1678" s="6" t="s">
        <v>844</v>
      </c>
      <c r="X1678" s="6" t="s">
        <v>166</v>
      </c>
    </row>
    <row r="1679" spans="1:24" ht="15" customHeight="1" x14ac:dyDescent="0.3">
      <c r="A1679" s="6" t="s">
        <v>533</v>
      </c>
      <c r="B1679" s="6" t="s">
        <v>534</v>
      </c>
      <c r="C1679" s="6" t="s">
        <v>32</v>
      </c>
      <c r="D1679" s="1088" t="s">
        <v>542</v>
      </c>
      <c r="E1679" s="6" t="s">
        <v>178</v>
      </c>
      <c r="F1679" s="6" t="s">
        <v>543</v>
      </c>
      <c r="G1679" s="6" t="s">
        <v>1015</v>
      </c>
      <c r="H1679" s="6" t="s">
        <v>1016</v>
      </c>
      <c r="J1679" s="1215" t="s">
        <v>509</v>
      </c>
      <c r="K1679" s="1219" t="s">
        <v>3033</v>
      </c>
      <c r="L1679" s="8">
        <v>10</v>
      </c>
      <c r="M1679" s="8">
        <v>43</v>
      </c>
      <c r="N1679" s="1169" t="s">
        <v>272</v>
      </c>
      <c r="P1679" s="6" t="s">
        <v>3324</v>
      </c>
      <c r="Q1679" s="1215" t="s">
        <v>253</v>
      </c>
      <c r="R1679" s="1215" t="s">
        <v>255</v>
      </c>
      <c r="S1679" s="1215" t="s">
        <v>534</v>
      </c>
      <c r="T1679" s="1215" t="s">
        <v>533</v>
      </c>
      <c r="U1679" s="6" t="s">
        <v>542</v>
      </c>
      <c r="V1679" s="6" t="s">
        <v>32</v>
      </c>
      <c r="W1679" s="6" t="s">
        <v>543</v>
      </c>
      <c r="X1679" s="6" t="s">
        <v>178</v>
      </c>
    </row>
    <row r="1680" spans="1:24" ht="15" customHeight="1" x14ac:dyDescent="0.3">
      <c r="A1680" s="6" t="s">
        <v>533</v>
      </c>
      <c r="B1680" s="6" t="s">
        <v>534</v>
      </c>
      <c r="C1680" s="6" t="s">
        <v>32</v>
      </c>
      <c r="D1680" s="1088" t="s">
        <v>542</v>
      </c>
      <c r="E1680" s="6" t="s">
        <v>178</v>
      </c>
      <c r="F1680" s="6" t="s">
        <v>543</v>
      </c>
      <c r="G1680" s="6" t="s">
        <v>1015</v>
      </c>
      <c r="H1680" s="6" t="s">
        <v>1016</v>
      </c>
      <c r="J1680" s="1215" t="s">
        <v>509</v>
      </c>
      <c r="K1680" s="1219" t="s">
        <v>3109</v>
      </c>
      <c r="L1680" s="8">
        <v>0</v>
      </c>
      <c r="M1680" s="8">
        <v>8</v>
      </c>
      <c r="N1680" s="1169" t="s">
        <v>272</v>
      </c>
      <c r="P1680" s="6" t="s">
        <v>3324</v>
      </c>
      <c r="Q1680" s="1215" t="s">
        <v>253</v>
      </c>
      <c r="R1680" s="1215" t="s">
        <v>255</v>
      </c>
      <c r="S1680" s="1215" t="s">
        <v>534</v>
      </c>
      <c r="T1680" s="1215" t="s">
        <v>533</v>
      </c>
      <c r="U1680" s="6" t="s">
        <v>542</v>
      </c>
      <c r="V1680" s="6" t="s">
        <v>32</v>
      </c>
      <c r="W1680" s="6" t="s">
        <v>543</v>
      </c>
      <c r="X1680" s="6" t="s">
        <v>178</v>
      </c>
    </row>
    <row r="1681" spans="1:24" ht="15" customHeight="1" x14ac:dyDescent="0.3">
      <c r="A1681" s="6" t="s">
        <v>533</v>
      </c>
      <c r="B1681" s="6" t="s">
        <v>534</v>
      </c>
      <c r="C1681" s="6" t="s">
        <v>32</v>
      </c>
      <c r="D1681" s="1088" t="s">
        <v>542</v>
      </c>
      <c r="E1681" s="6" t="s">
        <v>178</v>
      </c>
      <c r="F1681" s="6" t="s">
        <v>543</v>
      </c>
      <c r="G1681" s="6" t="s">
        <v>1015</v>
      </c>
      <c r="H1681" s="6" t="s">
        <v>1016</v>
      </c>
      <c r="J1681" s="1215" t="s">
        <v>509</v>
      </c>
      <c r="K1681" s="1219" t="s">
        <v>3111</v>
      </c>
      <c r="L1681" s="8">
        <v>0</v>
      </c>
      <c r="M1681" s="8">
        <v>2</v>
      </c>
      <c r="N1681" s="1169" t="s">
        <v>272</v>
      </c>
      <c r="P1681" s="6" t="s">
        <v>3324</v>
      </c>
      <c r="Q1681" s="1215" t="s">
        <v>253</v>
      </c>
      <c r="R1681" s="1215" t="s">
        <v>255</v>
      </c>
      <c r="S1681" s="1215" t="s">
        <v>534</v>
      </c>
      <c r="T1681" s="1215" t="s">
        <v>533</v>
      </c>
      <c r="U1681" s="6" t="s">
        <v>542</v>
      </c>
      <c r="V1681" s="6" t="s">
        <v>32</v>
      </c>
      <c r="W1681" s="6" t="s">
        <v>543</v>
      </c>
      <c r="X1681" s="6" t="s">
        <v>178</v>
      </c>
    </row>
    <row r="1682" spans="1:24" ht="15" customHeight="1" x14ac:dyDescent="0.3">
      <c r="A1682" s="6" t="s">
        <v>533</v>
      </c>
      <c r="B1682" s="6" t="s">
        <v>534</v>
      </c>
      <c r="C1682" s="6" t="s">
        <v>32</v>
      </c>
      <c r="D1682" s="1088" t="s">
        <v>542</v>
      </c>
      <c r="E1682" s="6" t="s">
        <v>178</v>
      </c>
      <c r="F1682" s="6" t="s">
        <v>543</v>
      </c>
      <c r="G1682" s="6" t="s">
        <v>1015</v>
      </c>
      <c r="H1682" s="6" t="s">
        <v>1016</v>
      </c>
      <c r="J1682" s="1215" t="s">
        <v>509</v>
      </c>
      <c r="K1682" s="1219" t="s">
        <v>3110</v>
      </c>
      <c r="L1682" s="8">
        <v>0</v>
      </c>
      <c r="M1682" s="8">
        <v>3</v>
      </c>
      <c r="N1682" s="1169" t="s">
        <v>272</v>
      </c>
      <c r="P1682" s="6" t="s">
        <v>3324</v>
      </c>
      <c r="Q1682" s="1215" t="s">
        <v>253</v>
      </c>
      <c r="R1682" s="1215" t="s">
        <v>255</v>
      </c>
      <c r="S1682" s="1215" t="s">
        <v>534</v>
      </c>
      <c r="T1682" s="1215" t="s">
        <v>533</v>
      </c>
      <c r="U1682" s="6" t="s">
        <v>542</v>
      </c>
      <c r="V1682" s="6" t="s">
        <v>32</v>
      </c>
      <c r="W1682" s="6" t="s">
        <v>543</v>
      </c>
      <c r="X1682" s="6" t="s">
        <v>178</v>
      </c>
    </row>
    <row r="1683" spans="1:24" ht="15" customHeight="1" x14ac:dyDescent="0.3">
      <c r="A1683" s="6" t="s">
        <v>533</v>
      </c>
      <c r="B1683" s="6" t="s">
        <v>534</v>
      </c>
      <c r="C1683" s="6" t="s">
        <v>32</v>
      </c>
      <c r="D1683" s="1088" t="s">
        <v>542</v>
      </c>
      <c r="E1683" s="6" t="s">
        <v>178</v>
      </c>
      <c r="F1683" s="6" t="s">
        <v>543</v>
      </c>
      <c r="G1683" s="6" t="s">
        <v>895</v>
      </c>
      <c r="H1683" s="6" t="s">
        <v>896</v>
      </c>
      <c r="J1683" s="1215" t="s">
        <v>509</v>
      </c>
      <c r="K1683" s="1219" t="s">
        <v>3033</v>
      </c>
      <c r="L1683" s="8">
        <v>30</v>
      </c>
      <c r="M1683" s="8">
        <v>218</v>
      </c>
      <c r="N1683" s="6" t="s">
        <v>272</v>
      </c>
      <c r="P1683" s="6" t="s">
        <v>3324</v>
      </c>
      <c r="Q1683" s="1215" t="s">
        <v>253</v>
      </c>
      <c r="R1683" s="1215" t="s">
        <v>255</v>
      </c>
      <c r="S1683" s="1215" t="s">
        <v>534</v>
      </c>
      <c r="T1683" s="1215" t="s">
        <v>533</v>
      </c>
      <c r="U1683" s="6" t="s">
        <v>542</v>
      </c>
      <c r="V1683" s="6" t="s">
        <v>32</v>
      </c>
      <c r="W1683" s="6" t="s">
        <v>543</v>
      </c>
      <c r="X1683" s="6" t="s">
        <v>178</v>
      </c>
    </row>
    <row r="1684" spans="1:24" ht="15" customHeight="1" x14ac:dyDescent="0.3">
      <c r="A1684" s="6" t="s">
        <v>533</v>
      </c>
      <c r="B1684" s="6" t="s">
        <v>534</v>
      </c>
      <c r="C1684" s="6" t="s">
        <v>32</v>
      </c>
      <c r="D1684" s="6" t="s">
        <v>542</v>
      </c>
      <c r="E1684" s="6" t="s">
        <v>178</v>
      </c>
      <c r="F1684" s="6" t="s">
        <v>543</v>
      </c>
      <c r="G1684" s="6" t="s">
        <v>895</v>
      </c>
      <c r="H1684" s="6" t="s">
        <v>896</v>
      </c>
      <c r="J1684" s="1215" t="s">
        <v>509</v>
      </c>
      <c r="K1684" s="1219" t="s">
        <v>3109</v>
      </c>
      <c r="L1684" s="8">
        <v>0</v>
      </c>
      <c r="M1684" s="8">
        <v>20</v>
      </c>
      <c r="N1684" s="6" t="s">
        <v>272</v>
      </c>
      <c r="P1684" s="6" t="s">
        <v>3324</v>
      </c>
      <c r="Q1684" s="1215" t="s">
        <v>253</v>
      </c>
      <c r="R1684" s="1215" t="s">
        <v>255</v>
      </c>
      <c r="S1684" s="1215" t="s">
        <v>534</v>
      </c>
      <c r="T1684" s="1215" t="s">
        <v>533</v>
      </c>
      <c r="U1684" s="6" t="s">
        <v>542</v>
      </c>
      <c r="V1684" s="6" t="s">
        <v>32</v>
      </c>
      <c r="W1684" s="6" t="s">
        <v>543</v>
      </c>
      <c r="X1684" s="6" t="s">
        <v>178</v>
      </c>
    </row>
    <row r="1685" spans="1:24" ht="15" customHeight="1" x14ac:dyDescent="0.3">
      <c r="A1685" s="6" t="s">
        <v>533</v>
      </c>
      <c r="B1685" s="6" t="s">
        <v>534</v>
      </c>
      <c r="C1685" s="6" t="s">
        <v>32</v>
      </c>
      <c r="D1685" s="1088" t="s">
        <v>542</v>
      </c>
      <c r="E1685" s="6" t="s">
        <v>178</v>
      </c>
      <c r="F1685" s="6" t="s">
        <v>543</v>
      </c>
      <c r="G1685" s="6" t="s">
        <v>895</v>
      </c>
      <c r="H1685" s="6" t="s">
        <v>896</v>
      </c>
      <c r="J1685" s="1215" t="s">
        <v>509</v>
      </c>
      <c r="K1685" s="1219" t="s">
        <v>3110</v>
      </c>
      <c r="L1685" s="8">
        <v>0</v>
      </c>
      <c r="M1685" s="8">
        <v>10</v>
      </c>
      <c r="N1685" s="6" t="s">
        <v>272</v>
      </c>
      <c r="O1685" s="1088"/>
      <c r="P1685" s="6" t="s">
        <v>3324</v>
      </c>
      <c r="Q1685" s="1215" t="s">
        <v>253</v>
      </c>
      <c r="R1685" s="1215" t="s">
        <v>255</v>
      </c>
      <c r="S1685" s="1215" t="s">
        <v>534</v>
      </c>
      <c r="T1685" s="1215" t="s">
        <v>533</v>
      </c>
      <c r="U1685" s="6" t="s">
        <v>542</v>
      </c>
      <c r="V1685" s="6" t="s">
        <v>32</v>
      </c>
      <c r="W1685" s="6" t="s">
        <v>543</v>
      </c>
      <c r="X1685" s="6" t="s">
        <v>178</v>
      </c>
    </row>
    <row r="1686" spans="1:24" ht="15" customHeight="1" x14ac:dyDescent="0.3">
      <c r="A1686" s="6" t="s">
        <v>533</v>
      </c>
      <c r="B1686" s="6" t="s">
        <v>534</v>
      </c>
      <c r="C1686" s="6" t="s">
        <v>32</v>
      </c>
      <c r="D1686" s="1088" t="s">
        <v>542</v>
      </c>
      <c r="E1686" s="6" t="s">
        <v>178</v>
      </c>
      <c r="F1686" s="6" t="s">
        <v>543</v>
      </c>
      <c r="G1686" s="6" t="s">
        <v>895</v>
      </c>
      <c r="H1686" s="6" t="s">
        <v>896</v>
      </c>
      <c r="J1686" s="1215" t="s">
        <v>509</v>
      </c>
      <c r="K1686" s="1219" t="s">
        <v>3111</v>
      </c>
      <c r="L1686" s="8">
        <v>0</v>
      </c>
      <c r="M1686" s="8">
        <v>11</v>
      </c>
      <c r="N1686" s="6" t="s">
        <v>272</v>
      </c>
      <c r="P1686" s="6" t="s">
        <v>3324</v>
      </c>
      <c r="Q1686" s="1215" t="s">
        <v>253</v>
      </c>
      <c r="R1686" s="1215" t="s">
        <v>255</v>
      </c>
      <c r="S1686" s="1215" t="s">
        <v>534</v>
      </c>
      <c r="T1686" s="1215" t="s">
        <v>533</v>
      </c>
      <c r="U1686" s="6" t="s">
        <v>542</v>
      </c>
      <c r="V1686" s="6" t="s">
        <v>32</v>
      </c>
      <c r="W1686" s="6" t="s">
        <v>543</v>
      </c>
      <c r="X1686" s="6" t="s">
        <v>178</v>
      </c>
    </row>
    <row r="1687" spans="1:24" ht="15" customHeight="1" x14ac:dyDescent="0.3">
      <c r="A1687" s="6" t="s">
        <v>533</v>
      </c>
      <c r="B1687" s="6" t="s">
        <v>534</v>
      </c>
      <c r="C1687" s="6" t="s">
        <v>32</v>
      </c>
      <c r="D1687" s="1088" t="s">
        <v>542</v>
      </c>
      <c r="E1687" s="6" t="s">
        <v>178</v>
      </c>
      <c r="F1687" s="6" t="s">
        <v>543</v>
      </c>
      <c r="G1687" s="6" t="s">
        <v>895</v>
      </c>
      <c r="H1687" s="6" t="s">
        <v>896</v>
      </c>
      <c r="J1687" s="1215" t="s">
        <v>509</v>
      </c>
      <c r="K1687" s="1219" t="s">
        <v>3112</v>
      </c>
      <c r="L1687" s="8">
        <v>0</v>
      </c>
      <c r="M1687" s="8">
        <v>11</v>
      </c>
      <c r="N1687" s="6" t="s">
        <v>272</v>
      </c>
      <c r="O1687" s="1088"/>
      <c r="P1687" s="6" t="s">
        <v>3324</v>
      </c>
      <c r="Q1687" s="1215" t="s">
        <v>253</v>
      </c>
      <c r="R1687" s="1215" t="s">
        <v>255</v>
      </c>
      <c r="S1687" s="1215" t="s">
        <v>534</v>
      </c>
      <c r="T1687" s="1215" t="s">
        <v>533</v>
      </c>
      <c r="U1687" s="6" t="s">
        <v>542</v>
      </c>
      <c r="V1687" s="6" t="s">
        <v>32</v>
      </c>
      <c r="W1687" s="6" t="s">
        <v>543</v>
      </c>
      <c r="X1687" s="6" t="s">
        <v>178</v>
      </c>
    </row>
    <row r="1688" spans="1:24" ht="15" customHeight="1" x14ac:dyDescent="0.3">
      <c r="A1688" s="6" t="s">
        <v>533</v>
      </c>
      <c r="B1688" s="6" t="s">
        <v>534</v>
      </c>
      <c r="C1688" s="6" t="s">
        <v>32</v>
      </c>
      <c r="D1688" s="1088" t="s">
        <v>542</v>
      </c>
      <c r="E1688" s="6" t="s">
        <v>178</v>
      </c>
      <c r="F1688" s="6" t="s">
        <v>543</v>
      </c>
      <c r="G1688" s="6" t="s">
        <v>930</v>
      </c>
      <c r="H1688" s="6" t="s">
        <v>931</v>
      </c>
      <c r="J1688" s="1215" t="s">
        <v>509</v>
      </c>
      <c r="K1688" s="1219" t="s">
        <v>3110</v>
      </c>
      <c r="L1688" s="8">
        <v>0</v>
      </c>
      <c r="M1688" s="8">
        <v>7</v>
      </c>
      <c r="N1688" s="1169" t="s">
        <v>272</v>
      </c>
      <c r="P1688" s="6" t="s">
        <v>3324</v>
      </c>
      <c r="Q1688" s="1215" t="s">
        <v>253</v>
      </c>
      <c r="R1688" s="1215" t="s">
        <v>255</v>
      </c>
      <c r="S1688" s="1215" t="s">
        <v>534</v>
      </c>
      <c r="T1688" s="1215" t="s">
        <v>533</v>
      </c>
      <c r="U1688" s="6" t="s">
        <v>542</v>
      </c>
      <c r="V1688" s="6" t="s">
        <v>32</v>
      </c>
      <c r="W1688" s="6" t="s">
        <v>543</v>
      </c>
      <c r="X1688" s="6" t="s">
        <v>178</v>
      </c>
    </row>
    <row r="1689" spans="1:24" ht="15" customHeight="1" x14ac:dyDescent="0.3">
      <c r="A1689" s="6" t="s">
        <v>533</v>
      </c>
      <c r="B1689" s="6" t="s">
        <v>534</v>
      </c>
      <c r="C1689" s="6" t="s">
        <v>32</v>
      </c>
      <c r="D1689" s="1088" t="s">
        <v>542</v>
      </c>
      <c r="E1689" s="6" t="s">
        <v>178</v>
      </c>
      <c r="F1689" s="6" t="s">
        <v>543</v>
      </c>
      <c r="G1689" s="6" t="s">
        <v>930</v>
      </c>
      <c r="H1689" s="6" t="s">
        <v>931</v>
      </c>
      <c r="J1689" s="1215" t="s">
        <v>509</v>
      </c>
      <c r="K1689" s="1219" t="s">
        <v>3111</v>
      </c>
      <c r="L1689" s="8">
        <v>0</v>
      </c>
      <c r="M1689" s="8">
        <v>12</v>
      </c>
      <c r="N1689" s="6" t="s">
        <v>272</v>
      </c>
      <c r="O1689" s="1088"/>
      <c r="P1689" s="6" t="s">
        <v>3324</v>
      </c>
      <c r="Q1689" s="1215" t="s">
        <v>253</v>
      </c>
      <c r="R1689" s="1215" t="s">
        <v>255</v>
      </c>
      <c r="S1689" s="1215" t="s">
        <v>534</v>
      </c>
      <c r="T1689" s="1215" t="s">
        <v>533</v>
      </c>
      <c r="U1689" s="6" t="s">
        <v>542</v>
      </c>
      <c r="V1689" s="6" t="s">
        <v>32</v>
      </c>
      <c r="W1689" s="6" t="s">
        <v>543</v>
      </c>
      <c r="X1689" s="6" t="s">
        <v>178</v>
      </c>
    </row>
    <row r="1690" spans="1:24" ht="15" customHeight="1" x14ac:dyDescent="0.3">
      <c r="A1690" s="6" t="s">
        <v>533</v>
      </c>
      <c r="B1690" s="6" t="s">
        <v>534</v>
      </c>
      <c r="C1690" s="6" t="s">
        <v>32</v>
      </c>
      <c r="D1690" s="1088" t="s">
        <v>542</v>
      </c>
      <c r="E1690" s="6" t="s">
        <v>178</v>
      </c>
      <c r="F1690" s="6" t="s">
        <v>543</v>
      </c>
      <c r="G1690" s="6" t="s">
        <v>930</v>
      </c>
      <c r="H1690" s="6" t="s">
        <v>931</v>
      </c>
      <c r="J1690" s="1215" t="s">
        <v>509</v>
      </c>
      <c r="K1690" s="1219" t="s">
        <v>3112</v>
      </c>
      <c r="L1690" s="8">
        <v>0</v>
      </c>
      <c r="M1690" s="8">
        <v>9</v>
      </c>
      <c r="N1690" s="1169" t="s">
        <v>272</v>
      </c>
      <c r="P1690" s="6" t="s">
        <v>3324</v>
      </c>
      <c r="Q1690" s="1215" t="s">
        <v>253</v>
      </c>
      <c r="R1690" s="1215" t="s">
        <v>255</v>
      </c>
      <c r="S1690" s="1215" t="s">
        <v>534</v>
      </c>
      <c r="T1690" s="1215" t="s">
        <v>533</v>
      </c>
      <c r="U1690" s="6" t="s">
        <v>542</v>
      </c>
      <c r="V1690" s="6" t="s">
        <v>32</v>
      </c>
      <c r="W1690" s="6" t="s">
        <v>543</v>
      </c>
      <c r="X1690" s="6" t="s">
        <v>178</v>
      </c>
    </row>
    <row r="1691" spans="1:24" ht="15" customHeight="1" x14ac:dyDescent="0.3">
      <c r="A1691" s="6" t="s">
        <v>533</v>
      </c>
      <c r="B1691" s="6" t="s">
        <v>534</v>
      </c>
      <c r="C1691" s="6" t="s">
        <v>32</v>
      </c>
      <c r="D1691" s="1088" t="s">
        <v>542</v>
      </c>
      <c r="E1691" s="6" t="s">
        <v>178</v>
      </c>
      <c r="F1691" s="6" t="s">
        <v>543</v>
      </c>
      <c r="G1691" s="6" t="s">
        <v>930</v>
      </c>
      <c r="H1691" s="6" t="s">
        <v>931</v>
      </c>
      <c r="J1691" s="1215" t="s">
        <v>509</v>
      </c>
      <c r="K1691" s="1219" t="s">
        <v>3109</v>
      </c>
      <c r="L1691" s="8">
        <v>0</v>
      </c>
      <c r="M1691" s="8">
        <v>2</v>
      </c>
      <c r="N1691" s="1169" t="s">
        <v>272</v>
      </c>
      <c r="P1691" s="6" t="s">
        <v>3324</v>
      </c>
      <c r="Q1691" s="1215" t="s">
        <v>253</v>
      </c>
      <c r="R1691" s="1215" t="s">
        <v>255</v>
      </c>
      <c r="S1691" s="1215" t="s">
        <v>534</v>
      </c>
      <c r="T1691" s="1215" t="s">
        <v>533</v>
      </c>
      <c r="U1691" s="6" t="s">
        <v>542</v>
      </c>
      <c r="V1691" s="6" t="s">
        <v>32</v>
      </c>
      <c r="W1691" s="6" t="s">
        <v>543</v>
      </c>
      <c r="X1691" s="6" t="s">
        <v>178</v>
      </c>
    </row>
    <row r="1692" spans="1:24" ht="15" customHeight="1" x14ac:dyDescent="0.3">
      <c r="A1692" s="6" t="s">
        <v>533</v>
      </c>
      <c r="B1692" s="6" t="s">
        <v>534</v>
      </c>
      <c r="C1692" s="6" t="s">
        <v>32</v>
      </c>
      <c r="D1692" s="1088" t="s">
        <v>542</v>
      </c>
      <c r="E1692" s="1088" t="s">
        <v>178</v>
      </c>
      <c r="F1692" s="6" t="s">
        <v>543</v>
      </c>
      <c r="G1692" s="6" t="s">
        <v>930</v>
      </c>
      <c r="H1692" s="6" t="s">
        <v>931</v>
      </c>
      <c r="J1692" s="1215" t="s">
        <v>509</v>
      </c>
      <c r="K1692" s="1219" t="s">
        <v>3033</v>
      </c>
      <c r="L1692" s="8">
        <v>49</v>
      </c>
      <c r="M1692" s="8">
        <v>294</v>
      </c>
      <c r="N1692" s="1169" t="s">
        <v>272</v>
      </c>
      <c r="P1692" s="6" t="s">
        <v>3324</v>
      </c>
      <c r="Q1692" s="1215" t="s">
        <v>253</v>
      </c>
      <c r="R1692" s="1215" t="s">
        <v>255</v>
      </c>
      <c r="S1692" s="1215" t="s">
        <v>534</v>
      </c>
      <c r="T1692" s="1215" t="s">
        <v>533</v>
      </c>
      <c r="U1692" s="6" t="s">
        <v>542</v>
      </c>
      <c r="V1692" s="6" t="s">
        <v>32</v>
      </c>
      <c r="W1692" s="6" t="s">
        <v>543</v>
      </c>
      <c r="X1692" s="6" t="s">
        <v>178</v>
      </c>
    </row>
    <row r="1693" spans="1:24" ht="15" customHeight="1" x14ac:dyDescent="0.3">
      <c r="A1693" s="6" t="s">
        <v>533</v>
      </c>
      <c r="B1693" s="6" t="s">
        <v>534</v>
      </c>
      <c r="C1693" s="6" t="s">
        <v>32</v>
      </c>
      <c r="D1693" s="1088" t="s">
        <v>542</v>
      </c>
      <c r="E1693" s="6" t="s">
        <v>178</v>
      </c>
      <c r="F1693" s="6" t="s">
        <v>543</v>
      </c>
      <c r="G1693" s="6" t="s">
        <v>544</v>
      </c>
      <c r="H1693" s="6" t="s">
        <v>545</v>
      </c>
      <c r="J1693" s="1215" t="s">
        <v>509</v>
      </c>
      <c r="K1693" s="1219" t="s">
        <v>3033</v>
      </c>
      <c r="L1693" s="8">
        <v>60</v>
      </c>
      <c r="M1693" s="8">
        <v>546</v>
      </c>
      <c r="N1693" s="1169" t="s">
        <v>272</v>
      </c>
      <c r="P1693" s="6" t="s">
        <v>3324</v>
      </c>
      <c r="Q1693" s="1215" t="s">
        <v>253</v>
      </c>
      <c r="R1693" s="1215" t="s">
        <v>255</v>
      </c>
      <c r="S1693" s="1215" t="s">
        <v>534</v>
      </c>
      <c r="T1693" s="1215" t="s">
        <v>533</v>
      </c>
      <c r="U1693" s="6" t="s">
        <v>542</v>
      </c>
      <c r="V1693" s="6" t="s">
        <v>32</v>
      </c>
      <c r="W1693" s="6" t="s">
        <v>543</v>
      </c>
      <c r="X1693" s="6" t="s">
        <v>178</v>
      </c>
    </row>
    <row r="1694" spans="1:24" ht="15" customHeight="1" x14ac:dyDescent="0.3">
      <c r="A1694" s="6" t="s">
        <v>533</v>
      </c>
      <c r="B1694" s="6" t="s">
        <v>534</v>
      </c>
      <c r="C1694" s="6" t="s">
        <v>32</v>
      </c>
      <c r="D1694" s="1088" t="s">
        <v>542</v>
      </c>
      <c r="E1694" s="6" t="s">
        <v>178</v>
      </c>
      <c r="F1694" s="6" t="s">
        <v>543</v>
      </c>
      <c r="G1694" s="6" t="s">
        <v>544</v>
      </c>
      <c r="H1694" s="6" t="s">
        <v>545</v>
      </c>
      <c r="J1694" s="1215" t="s">
        <v>509</v>
      </c>
      <c r="K1694" s="1219" t="s">
        <v>3110</v>
      </c>
      <c r="L1694" s="8">
        <v>0</v>
      </c>
      <c r="M1694" s="8">
        <v>4</v>
      </c>
      <c r="N1694" s="1169" t="s">
        <v>272</v>
      </c>
      <c r="P1694" s="6" t="s">
        <v>3324</v>
      </c>
      <c r="Q1694" s="1215" t="s">
        <v>253</v>
      </c>
      <c r="R1694" s="1215" t="s">
        <v>255</v>
      </c>
      <c r="S1694" s="1215" t="s">
        <v>534</v>
      </c>
      <c r="T1694" s="1215" t="s">
        <v>533</v>
      </c>
      <c r="U1694" s="6" t="s">
        <v>542</v>
      </c>
      <c r="V1694" s="6" t="s">
        <v>32</v>
      </c>
      <c r="W1694" s="6" t="s">
        <v>543</v>
      </c>
      <c r="X1694" s="6" t="s">
        <v>178</v>
      </c>
    </row>
    <row r="1695" spans="1:24" ht="15" customHeight="1" x14ac:dyDescent="0.3">
      <c r="A1695" s="6" t="s">
        <v>533</v>
      </c>
      <c r="B1695" s="6" t="s">
        <v>534</v>
      </c>
      <c r="C1695" s="6" t="s">
        <v>32</v>
      </c>
      <c r="D1695" s="1088" t="s">
        <v>542</v>
      </c>
      <c r="E1695" s="6" t="s">
        <v>178</v>
      </c>
      <c r="F1695" s="6" t="s">
        <v>543</v>
      </c>
      <c r="G1695" s="6" t="s">
        <v>544</v>
      </c>
      <c r="H1695" s="6" t="s">
        <v>545</v>
      </c>
      <c r="J1695" s="1215" t="s">
        <v>509</v>
      </c>
      <c r="K1695" s="1219" t="s">
        <v>3111</v>
      </c>
      <c r="L1695" s="8">
        <v>0</v>
      </c>
      <c r="M1695" s="8">
        <v>6</v>
      </c>
      <c r="N1695" s="1169" t="s">
        <v>272</v>
      </c>
      <c r="P1695" s="6" t="s">
        <v>3324</v>
      </c>
      <c r="Q1695" s="1215" t="s">
        <v>253</v>
      </c>
      <c r="R1695" s="1215" t="s">
        <v>255</v>
      </c>
      <c r="S1695" s="1215" t="s">
        <v>534</v>
      </c>
      <c r="T1695" s="1215" t="s">
        <v>533</v>
      </c>
      <c r="U1695" s="6" t="s">
        <v>542</v>
      </c>
      <c r="V1695" s="6" t="s">
        <v>32</v>
      </c>
      <c r="W1695" s="6" t="s">
        <v>543</v>
      </c>
      <c r="X1695" s="6" t="s">
        <v>178</v>
      </c>
    </row>
    <row r="1696" spans="1:24" ht="15" customHeight="1" x14ac:dyDescent="0.3">
      <c r="A1696" s="6" t="s">
        <v>533</v>
      </c>
      <c r="B1696" s="6" t="s">
        <v>534</v>
      </c>
      <c r="C1696" s="6" t="s">
        <v>32</v>
      </c>
      <c r="D1696" s="1088" t="s">
        <v>542</v>
      </c>
      <c r="E1696" s="6" t="s">
        <v>178</v>
      </c>
      <c r="F1696" s="6" t="s">
        <v>543</v>
      </c>
      <c r="G1696" s="6" t="s">
        <v>544</v>
      </c>
      <c r="H1696" s="6" t="s">
        <v>545</v>
      </c>
      <c r="J1696" s="1215" t="s">
        <v>509</v>
      </c>
      <c r="K1696" s="1219" t="s">
        <v>3112</v>
      </c>
      <c r="L1696" s="8">
        <v>0</v>
      </c>
      <c r="M1696" s="8">
        <v>4</v>
      </c>
      <c r="N1696" s="1169" t="s">
        <v>272</v>
      </c>
      <c r="O1696" s="1088"/>
      <c r="P1696" s="6" t="s">
        <v>3324</v>
      </c>
      <c r="Q1696" s="1215" t="s">
        <v>253</v>
      </c>
      <c r="R1696" s="1215" t="s">
        <v>255</v>
      </c>
      <c r="S1696" s="1215" t="s">
        <v>534</v>
      </c>
      <c r="T1696" s="1215" t="s">
        <v>533</v>
      </c>
      <c r="U1696" s="6" t="s">
        <v>542</v>
      </c>
      <c r="V1696" s="6" t="s">
        <v>32</v>
      </c>
      <c r="W1696" s="6" t="s">
        <v>543</v>
      </c>
      <c r="X1696" s="6" t="s">
        <v>178</v>
      </c>
    </row>
    <row r="1697" spans="1:24" ht="15" customHeight="1" x14ac:dyDescent="0.3">
      <c r="A1697" s="6" t="s">
        <v>533</v>
      </c>
      <c r="B1697" s="6" t="s">
        <v>534</v>
      </c>
      <c r="C1697" s="6" t="s">
        <v>35</v>
      </c>
      <c r="D1697" s="1088" t="s">
        <v>567</v>
      </c>
      <c r="E1697" s="6" t="s">
        <v>195</v>
      </c>
      <c r="F1697" s="6" t="s">
        <v>733</v>
      </c>
      <c r="G1697" s="6" t="s">
        <v>2932</v>
      </c>
      <c r="H1697" s="6" t="s">
        <v>2004</v>
      </c>
      <c r="J1697" s="1215" t="s">
        <v>509</v>
      </c>
      <c r="K1697" s="1219" t="s">
        <v>3033</v>
      </c>
      <c r="L1697" s="8">
        <v>93</v>
      </c>
      <c r="M1697" s="8">
        <v>571</v>
      </c>
      <c r="N1697" s="1169" t="s">
        <v>271</v>
      </c>
      <c r="P1697" s="6" t="s">
        <v>3324</v>
      </c>
      <c r="Q1697" s="1215" t="s">
        <v>253</v>
      </c>
      <c r="R1697" s="1215" t="s">
        <v>255</v>
      </c>
      <c r="S1697" s="1215" t="s">
        <v>534</v>
      </c>
      <c r="T1697" s="1215" t="s">
        <v>533</v>
      </c>
      <c r="U1697" s="6" t="s">
        <v>567</v>
      </c>
      <c r="V1697" s="6" t="s">
        <v>35</v>
      </c>
      <c r="W1697" s="6" t="s">
        <v>733</v>
      </c>
      <c r="X1697" s="6" t="s">
        <v>195</v>
      </c>
    </row>
    <row r="1698" spans="1:24" ht="15" customHeight="1" x14ac:dyDescent="0.3">
      <c r="A1698" s="6" t="s">
        <v>533</v>
      </c>
      <c r="B1698" s="6" t="s">
        <v>534</v>
      </c>
      <c r="C1698" s="6" t="s">
        <v>35</v>
      </c>
      <c r="D1698" s="1088" t="s">
        <v>567</v>
      </c>
      <c r="E1698" s="6" t="s">
        <v>195</v>
      </c>
      <c r="F1698" s="6" t="s">
        <v>733</v>
      </c>
      <c r="G1698" s="6" t="s">
        <v>2932</v>
      </c>
      <c r="H1698" s="6" t="s">
        <v>2004</v>
      </c>
      <c r="J1698" s="1215" t="s">
        <v>509</v>
      </c>
      <c r="K1698" s="1219" t="s">
        <v>3109</v>
      </c>
      <c r="L1698" s="8">
        <v>71</v>
      </c>
      <c r="M1698" s="8">
        <v>505</v>
      </c>
      <c r="N1698" s="1169" t="s">
        <v>271</v>
      </c>
      <c r="P1698" s="6" t="s">
        <v>3324</v>
      </c>
      <c r="Q1698" s="1215" t="s">
        <v>253</v>
      </c>
      <c r="R1698" s="1215" t="s">
        <v>255</v>
      </c>
      <c r="S1698" s="1215" t="s">
        <v>534</v>
      </c>
      <c r="T1698" s="1215" t="s">
        <v>533</v>
      </c>
      <c r="U1698" s="6" t="s">
        <v>567</v>
      </c>
      <c r="V1698" s="6" t="s">
        <v>35</v>
      </c>
      <c r="W1698" s="6" t="s">
        <v>733</v>
      </c>
      <c r="X1698" s="6" t="s">
        <v>195</v>
      </c>
    </row>
    <row r="1699" spans="1:24" ht="15" customHeight="1" x14ac:dyDescent="0.3">
      <c r="A1699" s="6" t="s">
        <v>533</v>
      </c>
      <c r="B1699" s="6" t="s">
        <v>534</v>
      </c>
      <c r="C1699" s="6" t="s">
        <v>35</v>
      </c>
      <c r="D1699" s="1088" t="s">
        <v>567</v>
      </c>
      <c r="E1699" s="6" t="s">
        <v>195</v>
      </c>
      <c r="F1699" s="6" t="s">
        <v>733</v>
      </c>
      <c r="G1699" s="6" t="s">
        <v>2932</v>
      </c>
      <c r="H1699" s="6" t="s">
        <v>2004</v>
      </c>
      <c r="J1699" s="1215" t="s">
        <v>509</v>
      </c>
      <c r="K1699" s="1219" t="s">
        <v>3110</v>
      </c>
      <c r="L1699" s="8">
        <v>12</v>
      </c>
      <c r="M1699" s="8">
        <v>73</v>
      </c>
      <c r="N1699" s="1169" t="s">
        <v>271</v>
      </c>
      <c r="P1699" s="6" t="s">
        <v>3324</v>
      </c>
      <c r="Q1699" s="1215" t="s">
        <v>253</v>
      </c>
      <c r="R1699" s="1215" t="s">
        <v>255</v>
      </c>
      <c r="S1699" s="1215" t="s">
        <v>534</v>
      </c>
      <c r="T1699" s="1215" t="s">
        <v>533</v>
      </c>
      <c r="U1699" s="6" t="s">
        <v>567</v>
      </c>
      <c r="V1699" s="6" t="s">
        <v>35</v>
      </c>
      <c r="W1699" s="6" t="s">
        <v>733</v>
      </c>
      <c r="X1699" s="6" t="s">
        <v>195</v>
      </c>
    </row>
    <row r="1700" spans="1:24" ht="15" customHeight="1" x14ac:dyDescent="0.3">
      <c r="A1700" s="6" t="s">
        <v>533</v>
      </c>
      <c r="B1700" s="6" t="s">
        <v>534</v>
      </c>
      <c r="C1700" s="6" t="s">
        <v>35</v>
      </c>
      <c r="D1700" s="6" t="s">
        <v>567</v>
      </c>
      <c r="E1700" s="1088" t="s">
        <v>195</v>
      </c>
      <c r="F1700" s="6" t="s">
        <v>733</v>
      </c>
      <c r="G1700" s="6" t="s">
        <v>2932</v>
      </c>
      <c r="H1700" s="6" t="s">
        <v>2004</v>
      </c>
      <c r="J1700" s="1215" t="s">
        <v>509</v>
      </c>
      <c r="K1700" s="1219" t="s">
        <v>3111</v>
      </c>
      <c r="L1700" s="8">
        <v>48</v>
      </c>
      <c r="M1700" s="8">
        <v>76</v>
      </c>
      <c r="N1700" s="1169" t="s">
        <v>271</v>
      </c>
      <c r="P1700" s="6" t="s">
        <v>3324</v>
      </c>
      <c r="Q1700" s="1215" t="s">
        <v>253</v>
      </c>
      <c r="R1700" s="1215" t="s">
        <v>255</v>
      </c>
      <c r="S1700" s="1215" t="s">
        <v>534</v>
      </c>
      <c r="T1700" s="1215" t="s">
        <v>533</v>
      </c>
      <c r="U1700" s="6" t="s">
        <v>567</v>
      </c>
      <c r="V1700" s="6" t="s">
        <v>35</v>
      </c>
      <c r="W1700" s="6" t="s">
        <v>733</v>
      </c>
      <c r="X1700" s="6" t="s">
        <v>195</v>
      </c>
    </row>
    <row r="1701" spans="1:24" ht="15" customHeight="1" x14ac:dyDescent="0.3">
      <c r="A1701" s="6" t="s">
        <v>533</v>
      </c>
      <c r="B1701" s="6" t="s">
        <v>534</v>
      </c>
      <c r="C1701" s="6" t="s">
        <v>35</v>
      </c>
      <c r="D1701" s="6" t="s">
        <v>567</v>
      </c>
      <c r="E1701" s="1088" t="s">
        <v>195</v>
      </c>
      <c r="F1701" s="6" t="s">
        <v>733</v>
      </c>
      <c r="G1701" s="6" t="s">
        <v>2932</v>
      </c>
      <c r="H1701" s="6" t="s">
        <v>2004</v>
      </c>
      <c r="J1701" s="1215" t="s">
        <v>509</v>
      </c>
      <c r="K1701" s="1219" t="s">
        <v>3112</v>
      </c>
      <c r="L1701" s="8">
        <v>60</v>
      </c>
      <c r="M1701" s="8">
        <v>240</v>
      </c>
      <c r="N1701" s="1169" t="s">
        <v>271</v>
      </c>
      <c r="P1701" s="6" t="s">
        <v>3323</v>
      </c>
      <c r="Q1701" s="1215" t="s">
        <v>253</v>
      </c>
      <c r="R1701" s="1215" t="s">
        <v>255</v>
      </c>
      <c r="S1701" s="1215" t="s">
        <v>534</v>
      </c>
      <c r="T1701" s="1215" t="s">
        <v>533</v>
      </c>
      <c r="U1701" s="6" t="s">
        <v>567</v>
      </c>
      <c r="V1701" s="6" t="s">
        <v>35</v>
      </c>
      <c r="X1701" s="6" t="s">
        <v>192</v>
      </c>
    </row>
    <row r="1702" spans="1:24" ht="15" customHeight="1" x14ac:dyDescent="0.3">
      <c r="A1702" s="6" t="s">
        <v>533</v>
      </c>
      <c r="B1702" s="6" t="s">
        <v>534</v>
      </c>
      <c r="C1702" s="6" t="s">
        <v>32</v>
      </c>
      <c r="D1702" s="6" t="s">
        <v>542</v>
      </c>
      <c r="E1702" s="1088" t="s">
        <v>177</v>
      </c>
      <c r="F1702" s="6" t="s">
        <v>777</v>
      </c>
      <c r="G1702" s="6" t="s">
        <v>1695</v>
      </c>
      <c r="H1702" s="6" t="s">
        <v>1259</v>
      </c>
      <c r="J1702" s="1215" t="s">
        <v>509</v>
      </c>
      <c r="K1702" s="1219" t="s">
        <v>3112</v>
      </c>
      <c r="L1702" s="8">
        <v>56</v>
      </c>
      <c r="M1702" s="8">
        <v>380</v>
      </c>
      <c r="N1702" s="1169" t="s">
        <v>272</v>
      </c>
      <c r="P1702" s="6" t="s">
        <v>3324</v>
      </c>
      <c r="Q1702" s="1215" t="s">
        <v>253</v>
      </c>
      <c r="R1702" s="1215" t="s">
        <v>255</v>
      </c>
      <c r="S1702" s="1215" t="s">
        <v>534</v>
      </c>
      <c r="T1702" s="1215" t="s">
        <v>533</v>
      </c>
      <c r="U1702" s="6" t="s">
        <v>542</v>
      </c>
      <c r="V1702" s="6" t="s">
        <v>32</v>
      </c>
      <c r="W1702" s="6" t="s">
        <v>777</v>
      </c>
      <c r="X1702" s="6" t="s">
        <v>177</v>
      </c>
    </row>
    <row r="1703" spans="1:24" ht="15" customHeight="1" x14ac:dyDescent="0.3">
      <c r="A1703" s="6" t="s">
        <v>533</v>
      </c>
      <c r="B1703" s="6" t="s">
        <v>534</v>
      </c>
      <c r="C1703" s="6" t="s">
        <v>31</v>
      </c>
      <c r="D1703" s="6" t="s">
        <v>549</v>
      </c>
      <c r="E1703" s="1088" t="s">
        <v>171</v>
      </c>
      <c r="F1703" s="6" t="s">
        <v>634</v>
      </c>
      <c r="G1703" s="6" t="s">
        <v>1272</v>
      </c>
      <c r="H1703" s="6" t="s">
        <v>1294</v>
      </c>
      <c r="J1703" s="1215" t="s">
        <v>509</v>
      </c>
      <c r="K1703" s="1219" t="s">
        <v>3109</v>
      </c>
      <c r="L1703" s="8">
        <v>1</v>
      </c>
      <c r="M1703" s="8">
        <v>8</v>
      </c>
      <c r="N1703" s="1169" t="s">
        <v>272</v>
      </c>
      <c r="P1703" s="6" t="s">
        <v>3324</v>
      </c>
      <c r="Q1703" s="1215" t="s">
        <v>253</v>
      </c>
      <c r="R1703" s="1215" t="s">
        <v>255</v>
      </c>
      <c r="S1703" s="1215" t="s">
        <v>534</v>
      </c>
      <c r="T1703" s="1215" t="s">
        <v>533</v>
      </c>
      <c r="U1703" s="6" t="s">
        <v>549</v>
      </c>
      <c r="V1703" s="6" t="s">
        <v>31</v>
      </c>
      <c r="W1703" s="6" t="s">
        <v>634</v>
      </c>
      <c r="X1703" s="6" t="s">
        <v>171</v>
      </c>
    </row>
    <row r="1704" spans="1:24" ht="15" customHeight="1" x14ac:dyDescent="0.3">
      <c r="A1704" s="6" t="s">
        <v>533</v>
      </c>
      <c r="B1704" s="6" t="s">
        <v>534</v>
      </c>
      <c r="C1704" s="6" t="s">
        <v>31</v>
      </c>
      <c r="D1704" s="6" t="s">
        <v>549</v>
      </c>
      <c r="E1704" s="1088" t="s">
        <v>171</v>
      </c>
      <c r="F1704" s="6" t="s">
        <v>634</v>
      </c>
      <c r="G1704" s="6" t="s">
        <v>1272</v>
      </c>
      <c r="H1704" s="6" t="s">
        <v>1294</v>
      </c>
      <c r="J1704" s="1215" t="s">
        <v>509</v>
      </c>
      <c r="K1704" s="1219" t="s">
        <v>3112</v>
      </c>
      <c r="L1704" s="8">
        <v>5</v>
      </c>
      <c r="M1704" s="8">
        <v>15</v>
      </c>
      <c r="N1704" s="1169" t="s">
        <v>272</v>
      </c>
      <c r="O1704" s="1088"/>
      <c r="P1704" s="6" t="s">
        <v>3323</v>
      </c>
      <c r="Q1704" s="1215" t="s">
        <v>253</v>
      </c>
      <c r="R1704" s="1215" t="s">
        <v>255</v>
      </c>
      <c r="S1704" s="1215" t="s">
        <v>534</v>
      </c>
      <c r="T1704" s="1215" t="s">
        <v>533</v>
      </c>
      <c r="U1704" s="6" t="s">
        <v>549</v>
      </c>
      <c r="V1704" s="6" t="s">
        <v>31</v>
      </c>
      <c r="W1704" s="6" t="s">
        <v>673</v>
      </c>
      <c r="X1704" s="6" t="s">
        <v>169</v>
      </c>
    </row>
    <row r="1705" spans="1:24" ht="15" customHeight="1" x14ac:dyDescent="0.3">
      <c r="A1705" s="6" t="s">
        <v>533</v>
      </c>
      <c r="B1705" s="6" t="s">
        <v>534</v>
      </c>
      <c r="C1705" s="6" t="s">
        <v>32</v>
      </c>
      <c r="D1705" s="6" t="s">
        <v>542</v>
      </c>
      <c r="E1705" s="6" t="s">
        <v>177</v>
      </c>
      <c r="F1705" s="6" t="s">
        <v>777</v>
      </c>
      <c r="G1705" s="6" t="s">
        <v>1258</v>
      </c>
      <c r="H1705" s="6" t="s">
        <v>887</v>
      </c>
      <c r="J1705" s="1215" t="s">
        <v>509</v>
      </c>
      <c r="K1705" s="1219" t="s">
        <v>3112</v>
      </c>
      <c r="L1705" s="8">
        <v>100</v>
      </c>
      <c r="M1705" s="8">
        <v>525</v>
      </c>
      <c r="N1705" s="1169" t="s">
        <v>272</v>
      </c>
      <c r="O1705" s="1088"/>
      <c r="P1705" s="6" t="s">
        <v>3324</v>
      </c>
      <c r="Q1705" s="1215" t="s">
        <v>253</v>
      </c>
      <c r="R1705" s="1215" t="s">
        <v>255</v>
      </c>
      <c r="S1705" s="1215" t="s">
        <v>534</v>
      </c>
      <c r="T1705" s="1215" t="s">
        <v>533</v>
      </c>
      <c r="U1705" s="6" t="s">
        <v>542</v>
      </c>
      <c r="V1705" s="6" t="s">
        <v>32</v>
      </c>
      <c r="W1705" s="6" t="s">
        <v>777</v>
      </c>
      <c r="X1705" s="6" t="s">
        <v>177</v>
      </c>
    </row>
    <row r="1706" spans="1:24" ht="15" customHeight="1" x14ac:dyDescent="0.3">
      <c r="A1706" s="6" t="s">
        <v>533</v>
      </c>
      <c r="B1706" s="6" t="s">
        <v>534</v>
      </c>
      <c r="C1706" s="6" t="s">
        <v>35</v>
      </c>
      <c r="D1706" s="6" t="s">
        <v>567</v>
      </c>
      <c r="E1706" s="6" t="s">
        <v>195</v>
      </c>
      <c r="F1706" s="6" t="s">
        <v>733</v>
      </c>
      <c r="G1706" s="6" t="s">
        <v>2065</v>
      </c>
      <c r="H1706" s="6" t="s">
        <v>2641</v>
      </c>
      <c r="J1706" s="1215" t="s">
        <v>509</v>
      </c>
      <c r="K1706" s="1219" t="s">
        <v>3110</v>
      </c>
      <c r="L1706" s="8">
        <v>20</v>
      </c>
      <c r="M1706" s="8">
        <v>120</v>
      </c>
      <c r="N1706" s="1169" t="s">
        <v>271</v>
      </c>
      <c r="P1706" s="6" t="s">
        <v>3324</v>
      </c>
      <c r="Q1706" s="1215" t="s">
        <v>253</v>
      </c>
      <c r="R1706" s="1215" t="s">
        <v>255</v>
      </c>
      <c r="S1706" s="1215" t="s">
        <v>534</v>
      </c>
      <c r="T1706" s="1215" t="s">
        <v>533</v>
      </c>
      <c r="U1706" s="6" t="s">
        <v>567</v>
      </c>
      <c r="V1706" s="6" t="s">
        <v>35</v>
      </c>
      <c r="W1706" s="6" t="s">
        <v>733</v>
      </c>
      <c r="X1706" s="6" t="s">
        <v>195</v>
      </c>
    </row>
    <row r="1707" spans="1:24" ht="15" customHeight="1" x14ac:dyDescent="0.3">
      <c r="A1707" s="6" t="s">
        <v>533</v>
      </c>
      <c r="B1707" s="6" t="s">
        <v>534</v>
      </c>
      <c r="C1707" s="6" t="s">
        <v>35</v>
      </c>
      <c r="D1707" s="6" t="s">
        <v>567</v>
      </c>
      <c r="E1707" s="6" t="s">
        <v>195</v>
      </c>
      <c r="F1707" s="6" t="s">
        <v>733</v>
      </c>
      <c r="G1707" s="6" t="s">
        <v>2065</v>
      </c>
      <c r="H1707" s="6" t="s">
        <v>2641</v>
      </c>
      <c r="J1707" s="1215" t="s">
        <v>509</v>
      </c>
      <c r="K1707" s="1219" t="s">
        <v>3111</v>
      </c>
      <c r="L1707" s="8">
        <v>5</v>
      </c>
      <c r="M1707" s="8">
        <v>32</v>
      </c>
      <c r="N1707" s="1169" t="s">
        <v>271</v>
      </c>
      <c r="P1707" s="6" t="s">
        <v>3324</v>
      </c>
      <c r="Q1707" s="1215" t="s">
        <v>253</v>
      </c>
      <c r="R1707" s="1215" t="s">
        <v>255</v>
      </c>
      <c r="S1707" s="1215" t="s">
        <v>534</v>
      </c>
      <c r="T1707" s="1215" t="s">
        <v>533</v>
      </c>
      <c r="U1707" s="6" t="s">
        <v>567</v>
      </c>
      <c r="V1707" s="6" t="s">
        <v>35</v>
      </c>
      <c r="W1707" s="6" t="s">
        <v>733</v>
      </c>
      <c r="X1707" s="6" t="s">
        <v>195</v>
      </c>
    </row>
    <row r="1708" spans="1:24" ht="15" customHeight="1" x14ac:dyDescent="0.3">
      <c r="A1708" s="6" t="s">
        <v>533</v>
      </c>
      <c r="B1708" s="6" t="s">
        <v>534</v>
      </c>
      <c r="C1708" s="6" t="s">
        <v>35</v>
      </c>
      <c r="D1708" s="1088" t="s">
        <v>567</v>
      </c>
      <c r="E1708" s="6" t="s">
        <v>195</v>
      </c>
      <c r="F1708" s="6" t="s">
        <v>733</v>
      </c>
      <c r="G1708" s="6" t="s">
        <v>2973</v>
      </c>
      <c r="H1708" s="6" t="s">
        <v>2643</v>
      </c>
      <c r="J1708" s="1215" t="s">
        <v>509</v>
      </c>
      <c r="K1708" s="1219" t="s">
        <v>3033</v>
      </c>
      <c r="L1708" s="8">
        <v>25</v>
      </c>
      <c r="M1708" s="8">
        <v>152</v>
      </c>
      <c r="N1708" s="1169" t="s">
        <v>271</v>
      </c>
      <c r="P1708" s="6" t="s">
        <v>3324</v>
      </c>
      <c r="Q1708" s="1215" t="s">
        <v>253</v>
      </c>
      <c r="R1708" s="1215" t="s">
        <v>255</v>
      </c>
      <c r="S1708" s="1215" t="s">
        <v>534</v>
      </c>
      <c r="T1708" s="1215" t="s">
        <v>533</v>
      </c>
      <c r="U1708" s="6" t="s">
        <v>567</v>
      </c>
      <c r="V1708" s="6" t="s">
        <v>35</v>
      </c>
      <c r="W1708" s="6" t="s">
        <v>733</v>
      </c>
      <c r="X1708" s="6" t="s">
        <v>195</v>
      </c>
    </row>
    <row r="1709" spans="1:24" ht="15" customHeight="1" x14ac:dyDescent="0.3">
      <c r="A1709" s="6" t="s">
        <v>533</v>
      </c>
      <c r="B1709" s="6" t="s">
        <v>534</v>
      </c>
      <c r="C1709" s="6" t="s">
        <v>31</v>
      </c>
      <c r="D1709" s="1088" t="s">
        <v>549</v>
      </c>
      <c r="E1709" s="6" t="s">
        <v>167</v>
      </c>
      <c r="F1709" s="6" t="s">
        <v>1113</v>
      </c>
      <c r="G1709" s="6" t="s">
        <v>2532</v>
      </c>
      <c r="H1709" s="6" t="s">
        <v>2084</v>
      </c>
      <c r="J1709" s="1215" t="s">
        <v>509</v>
      </c>
      <c r="K1709" s="1219" t="s">
        <v>3111</v>
      </c>
      <c r="L1709" s="8">
        <v>70</v>
      </c>
      <c r="M1709" s="8">
        <v>70</v>
      </c>
      <c r="N1709" s="1169" t="s">
        <v>271</v>
      </c>
      <c r="P1709" s="6" t="s">
        <v>3324</v>
      </c>
      <c r="Q1709" s="1215" t="s">
        <v>253</v>
      </c>
      <c r="R1709" s="1215" t="s">
        <v>255</v>
      </c>
      <c r="S1709" s="1215" t="s">
        <v>534</v>
      </c>
      <c r="T1709" s="1215" t="s">
        <v>533</v>
      </c>
      <c r="U1709" s="6" t="s">
        <v>549</v>
      </c>
      <c r="V1709" s="6" t="s">
        <v>31</v>
      </c>
      <c r="W1709" s="6" t="s">
        <v>1113</v>
      </c>
      <c r="X1709" s="6" t="s">
        <v>167</v>
      </c>
    </row>
    <row r="1710" spans="1:24" ht="15" customHeight="1" x14ac:dyDescent="0.3">
      <c r="A1710" s="6" t="s">
        <v>533</v>
      </c>
      <c r="B1710" s="6" t="s">
        <v>534</v>
      </c>
      <c r="C1710" s="6" t="s">
        <v>31</v>
      </c>
      <c r="D1710" s="1088" t="s">
        <v>549</v>
      </c>
      <c r="E1710" s="6" t="s">
        <v>167</v>
      </c>
      <c r="F1710" s="6" t="s">
        <v>1113</v>
      </c>
      <c r="G1710" s="6" t="s">
        <v>2936</v>
      </c>
      <c r="H1710" s="6" t="s">
        <v>1951</v>
      </c>
      <c r="J1710" s="1215" t="s">
        <v>509</v>
      </c>
      <c r="K1710" s="1219" t="s">
        <v>3111</v>
      </c>
      <c r="L1710" s="8">
        <v>30</v>
      </c>
      <c r="M1710" s="8">
        <v>30</v>
      </c>
      <c r="N1710" s="1169" t="s">
        <v>271</v>
      </c>
      <c r="P1710" s="6" t="s">
        <v>3324</v>
      </c>
      <c r="Q1710" s="1215" t="s">
        <v>253</v>
      </c>
      <c r="R1710" s="1215" t="s">
        <v>255</v>
      </c>
      <c r="S1710" s="1215" t="s">
        <v>534</v>
      </c>
      <c r="T1710" s="1215" t="s">
        <v>533</v>
      </c>
      <c r="U1710" s="6" t="s">
        <v>549</v>
      </c>
      <c r="V1710" s="6" t="s">
        <v>31</v>
      </c>
      <c r="W1710" s="6" t="s">
        <v>1113</v>
      </c>
      <c r="X1710" s="6" t="s">
        <v>167</v>
      </c>
    </row>
    <row r="1711" spans="1:24" ht="15" customHeight="1" x14ac:dyDescent="0.3">
      <c r="A1711" s="6" t="s">
        <v>533</v>
      </c>
      <c r="B1711" s="6" t="s">
        <v>534</v>
      </c>
      <c r="C1711" s="6" t="s">
        <v>32</v>
      </c>
      <c r="D1711" s="1088" t="s">
        <v>542</v>
      </c>
      <c r="E1711" s="6" t="s">
        <v>177</v>
      </c>
      <c r="F1711" s="6" t="s">
        <v>777</v>
      </c>
      <c r="G1711" s="6" t="s">
        <v>886</v>
      </c>
      <c r="H1711" s="6" t="s">
        <v>1041</v>
      </c>
      <c r="J1711" s="1215" t="s">
        <v>509</v>
      </c>
      <c r="K1711" s="1219" t="s">
        <v>3112</v>
      </c>
      <c r="L1711" s="8">
        <v>5</v>
      </c>
      <c r="M1711" s="8">
        <v>72</v>
      </c>
      <c r="N1711" s="1169" t="s">
        <v>272</v>
      </c>
      <c r="P1711" s="6" t="s">
        <v>3324</v>
      </c>
      <c r="Q1711" s="1215" t="s">
        <v>253</v>
      </c>
      <c r="R1711" s="1215" t="s">
        <v>255</v>
      </c>
      <c r="S1711" s="1215" t="s">
        <v>534</v>
      </c>
      <c r="T1711" s="1215" t="s">
        <v>533</v>
      </c>
      <c r="U1711" s="6" t="s">
        <v>542</v>
      </c>
      <c r="V1711" s="6" t="s">
        <v>32</v>
      </c>
      <c r="W1711" s="6" t="s">
        <v>777</v>
      </c>
      <c r="X1711" s="6" t="s">
        <v>177</v>
      </c>
    </row>
    <row r="1712" spans="1:24" ht="15" customHeight="1" x14ac:dyDescent="0.3">
      <c r="A1712" s="6" t="s">
        <v>533</v>
      </c>
      <c r="B1712" s="6" t="s">
        <v>534</v>
      </c>
      <c r="C1712" s="6" t="s">
        <v>31</v>
      </c>
      <c r="D1712" s="1088" t="s">
        <v>549</v>
      </c>
      <c r="E1712" s="6" t="s">
        <v>171</v>
      </c>
      <c r="F1712" s="6" t="s">
        <v>634</v>
      </c>
      <c r="G1712" s="6" t="s">
        <v>1976</v>
      </c>
      <c r="H1712" s="6" t="s">
        <v>803</v>
      </c>
      <c r="J1712" s="1215" t="s">
        <v>509</v>
      </c>
      <c r="K1712" s="1219" t="s">
        <v>3033</v>
      </c>
      <c r="L1712" s="8">
        <v>8</v>
      </c>
      <c r="M1712" s="8">
        <v>60</v>
      </c>
      <c r="N1712" s="1169" t="s">
        <v>271</v>
      </c>
      <c r="P1712" s="6" t="s">
        <v>3323</v>
      </c>
      <c r="Q1712" s="1215" t="s">
        <v>253</v>
      </c>
      <c r="R1712" s="1215" t="s">
        <v>255</v>
      </c>
      <c r="S1712" s="1215" t="s">
        <v>534</v>
      </c>
      <c r="T1712" s="1215" t="s">
        <v>533</v>
      </c>
      <c r="U1712" s="6" t="s">
        <v>549</v>
      </c>
      <c r="V1712" s="6" t="s">
        <v>31</v>
      </c>
      <c r="W1712" s="6" t="s">
        <v>706</v>
      </c>
      <c r="X1712" s="6" t="s">
        <v>172</v>
      </c>
    </row>
    <row r="1713" spans="1:24" ht="15" customHeight="1" x14ac:dyDescent="0.3">
      <c r="A1713" s="6" t="s">
        <v>533</v>
      </c>
      <c r="B1713" s="6" t="s">
        <v>534</v>
      </c>
      <c r="C1713" s="6" t="s">
        <v>31</v>
      </c>
      <c r="D1713" s="1088" t="s">
        <v>549</v>
      </c>
      <c r="E1713" s="1088" t="s">
        <v>171</v>
      </c>
      <c r="F1713" s="6" t="s">
        <v>634</v>
      </c>
      <c r="G1713" s="6" t="s">
        <v>1976</v>
      </c>
      <c r="H1713" s="6" t="s">
        <v>803</v>
      </c>
      <c r="J1713" s="1215" t="s">
        <v>509</v>
      </c>
      <c r="K1713" s="1219" t="s">
        <v>3111</v>
      </c>
      <c r="L1713" s="8">
        <v>9</v>
      </c>
      <c r="M1713" s="8">
        <v>30</v>
      </c>
      <c r="N1713" s="1169" t="s">
        <v>274</v>
      </c>
      <c r="P1713" s="6" t="s">
        <v>3323</v>
      </c>
      <c r="Q1713" s="1215" t="s">
        <v>253</v>
      </c>
      <c r="R1713" s="1215" t="s">
        <v>255</v>
      </c>
      <c r="S1713" s="1215" t="s">
        <v>534</v>
      </c>
      <c r="T1713" s="1215" t="s">
        <v>533</v>
      </c>
      <c r="U1713" s="6" t="s">
        <v>549</v>
      </c>
      <c r="V1713" s="6" t="s">
        <v>31</v>
      </c>
      <c r="W1713" s="6" t="s">
        <v>673</v>
      </c>
      <c r="X1713" s="6" t="s">
        <v>169</v>
      </c>
    </row>
    <row r="1714" spans="1:24" ht="15" customHeight="1" x14ac:dyDescent="0.3">
      <c r="A1714" s="6" t="s">
        <v>533</v>
      </c>
      <c r="B1714" s="6" t="s">
        <v>534</v>
      </c>
      <c r="C1714" s="6" t="s">
        <v>31</v>
      </c>
      <c r="D1714" s="1088" t="s">
        <v>549</v>
      </c>
      <c r="E1714" s="6" t="s">
        <v>171</v>
      </c>
      <c r="F1714" s="6" t="s">
        <v>634</v>
      </c>
      <c r="G1714" s="6" t="s">
        <v>1976</v>
      </c>
      <c r="H1714" s="6" t="s">
        <v>803</v>
      </c>
      <c r="J1714" s="1215" t="s">
        <v>509</v>
      </c>
      <c r="K1714" s="1219" t="s">
        <v>3112</v>
      </c>
      <c r="L1714" s="8">
        <v>0</v>
      </c>
      <c r="M1714" s="8">
        <v>12</v>
      </c>
      <c r="N1714" s="1169" t="s">
        <v>271</v>
      </c>
      <c r="P1714" s="6" t="s">
        <v>3323</v>
      </c>
      <c r="Q1714" s="1215" t="s">
        <v>253</v>
      </c>
      <c r="R1714" s="1215" t="s">
        <v>255</v>
      </c>
      <c r="S1714" s="1215" t="s">
        <v>534</v>
      </c>
      <c r="T1714" s="1215" t="s">
        <v>533</v>
      </c>
      <c r="U1714" s="6" t="s">
        <v>549</v>
      </c>
      <c r="V1714" s="6" t="s">
        <v>31</v>
      </c>
      <c r="W1714" s="6" t="s">
        <v>706</v>
      </c>
      <c r="X1714" s="6" t="s">
        <v>172</v>
      </c>
    </row>
    <row r="1715" spans="1:24" ht="15" customHeight="1" x14ac:dyDescent="0.3">
      <c r="A1715" s="6" t="s">
        <v>533</v>
      </c>
      <c r="B1715" s="6" t="s">
        <v>534</v>
      </c>
      <c r="C1715" s="6" t="s">
        <v>35</v>
      </c>
      <c r="D1715" s="1088" t="s">
        <v>567</v>
      </c>
      <c r="E1715" s="6" t="s">
        <v>195</v>
      </c>
      <c r="F1715" s="6" t="s">
        <v>733</v>
      </c>
      <c r="G1715" s="6" t="s">
        <v>2312</v>
      </c>
      <c r="H1715" s="6" t="s">
        <v>2313</v>
      </c>
      <c r="J1715" s="1215" t="s">
        <v>509</v>
      </c>
      <c r="K1715" s="1219" t="s">
        <v>3111</v>
      </c>
      <c r="L1715" s="8">
        <v>1</v>
      </c>
      <c r="M1715" s="8">
        <v>10</v>
      </c>
      <c r="N1715" s="1169" t="s">
        <v>271</v>
      </c>
      <c r="P1715" s="6" t="s">
        <v>3323</v>
      </c>
      <c r="Q1715" s="1215" t="s">
        <v>253</v>
      </c>
      <c r="R1715" s="1215" t="s">
        <v>255</v>
      </c>
      <c r="S1715" s="1215" t="s">
        <v>534</v>
      </c>
      <c r="T1715" s="1215" t="s">
        <v>533</v>
      </c>
      <c r="U1715" s="6" t="s">
        <v>567</v>
      </c>
      <c r="V1715" s="6" t="s">
        <v>35</v>
      </c>
      <c r="W1715" s="6" t="s">
        <v>863</v>
      </c>
      <c r="X1715" s="6" t="s">
        <v>193</v>
      </c>
    </row>
    <row r="1716" spans="1:24" ht="15" customHeight="1" x14ac:dyDescent="0.3">
      <c r="A1716" s="6" t="s">
        <v>533</v>
      </c>
      <c r="B1716" s="6" t="s">
        <v>534</v>
      </c>
      <c r="C1716" s="6" t="s">
        <v>31</v>
      </c>
      <c r="D1716" s="1088" t="s">
        <v>549</v>
      </c>
      <c r="E1716" s="1169" t="s">
        <v>166</v>
      </c>
      <c r="F1716" s="6" t="s">
        <v>844</v>
      </c>
      <c r="G1716" s="6" t="s">
        <v>2503</v>
      </c>
      <c r="H1716" s="6" t="s">
        <v>1549</v>
      </c>
      <c r="J1716" s="1215" t="s">
        <v>509</v>
      </c>
      <c r="K1716" s="1219" t="s">
        <v>3033</v>
      </c>
      <c r="L1716" s="8">
        <v>8</v>
      </c>
      <c r="M1716" s="8">
        <v>37</v>
      </c>
      <c r="N1716" s="1169" t="s">
        <v>271</v>
      </c>
      <c r="P1716" s="6" t="s">
        <v>3324</v>
      </c>
      <c r="Q1716" s="1215" t="s">
        <v>253</v>
      </c>
      <c r="R1716" s="1215" t="s">
        <v>255</v>
      </c>
      <c r="S1716" s="1215" t="s">
        <v>534</v>
      </c>
      <c r="T1716" s="1215" t="s">
        <v>533</v>
      </c>
      <c r="U1716" s="6" t="s">
        <v>549</v>
      </c>
      <c r="V1716" s="6" t="s">
        <v>31</v>
      </c>
      <c r="W1716" s="6" t="s">
        <v>844</v>
      </c>
      <c r="X1716" s="6" t="s">
        <v>166</v>
      </c>
    </row>
    <row r="1717" spans="1:24" ht="15" customHeight="1" x14ac:dyDescent="0.3">
      <c r="A1717" s="6" t="s">
        <v>533</v>
      </c>
      <c r="B1717" s="6" t="s">
        <v>534</v>
      </c>
      <c r="C1717" s="6" t="s">
        <v>35</v>
      </c>
      <c r="D1717" s="1088" t="s">
        <v>567</v>
      </c>
      <c r="E1717" s="1169" t="s">
        <v>195</v>
      </c>
      <c r="F1717" s="6" t="s">
        <v>733</v>
      </c>
      <c r="G1717" s="6" t="s">
        <v>792</v>
      </c>
      <c r="H1717" s="6" t="s">
        <v>1428</v>
      </c>
      <c r="J1717" s="1215" t="s">
        <v>509</v>
      </c>
      <c r="K1717" s="1219" t="s">
        <v>3033</v>
      </c>
      <c r="L1717" s="8">
        <v>130</v>
      </c>
      <c r="M1717" s="8">
        <v>987</v>
      </c>
      <c r="N1717" s="1169" t="s">
        <v>271</v>
      </c>
      <c r="P1717" s="6" t="s">
        <v>3324</v>
      </c>
      <c r="Q1717" s="1215" t="s">
        <v>253</v>
      </c>
      <c r="R1717" s="1215" t="s">
        <v>255</v>
      </c>
      <c r="S1717" s="1215" t="s">
        <v>534</v>
      </c>
      <c r="T1717" s="1215" t="s">
        <v>533</v>
      </c>
      <c r="U1717" s="6" t="s">
        <v>567</v>
      </c>
      <c r="V1717" s="6" t="s">
        <v>35</v>
      </c>
      <c r="W1717" s="6" t="s">
        <v>733</v>
      </c>
      <c r="X1717" s="6" t="s">
        <v>195</v>
      </c>
    </row>
    <row r="1718" spans="1:24" ht="15" customHeight="1" x14ac:dyDescent="0.3">
      <c r="A1718" s="6" t="s">
        <v>533</v>
      </c>
      <c r="B1718" s="6" t="s">
        <v>534</v>
      </c>
      <c r="C1718" s="6" t="s">
        <v>35</v>
      </c>
      <c r="D1718" s="1088" t="s">
        <v>567</v>
      </c>
      <c r="E1718" s="6" t="s">
        <v>195</v>
      </c>
      <c r="F1718" s="6" t="s">
        <v>733</v>
      </c>
      <c r="G1718" s="6" t="s">
        <v>792</v>
      </c>
      <c r="H1718" s="6" t="s">
        <v>1428</v>
      </c>
      <c r="J1718" s="1215" t="s">
        <v>509</v>
      </c>
      <c r="K1718" s="1219" t="s">
        <v>3109</v>
      </c>
      <c r="L1718" s="8">
        <v>37</v>
      </c>
      <c r="M1718" s="8">
        <v>1125</v>
      </c>
      <c r="N1718" s="1169" t="s">
        <v>271</v>
      </c>
      <c r="P1718" s="6" t="s">
        <v>3324</v>
      </c>
      <c r="Q1718" s="1215" t="s">
        <v>253</v>
      </c>
      <c r="R1718" s="1215" t="s">
        <v>255</v>
      </c>
      <c r="S1718" s="1215" t="s">
        <v>534</v>
      </c>
      <c r="T1718" s="1215" t="s">
        <v>533</v>
      </c>
      <c r="U1718" s="6" t="s">
        <v>567</v>
      </c>
      <c r="V1718" s="6" t="s">
        <v>35</v>
      </c>
      <c r="W1718" s="6" t="s">
        <v>733</v>
      </c>
      <c r="X1718" s="6" t="s">
        <v>195</v>
      </c>
    </row>
    <row r="1719" spans="1:24" ht="15" customHeight="1" x14ac:dyDescent="0.3">
      <c r="A1719" s="6" t="s">
        <v>533</v>
      </c>
      <c r="B1719" s="6" t="s">
        <v>534</v>
      </c>
      <c r="C1719" s="6" t="s">
        <v>35</v>
      </c>
      <c r="D1719" s="1088" t="s">
        <v>567</v>
      </c>
      <c r="E1719" s="6" t="s">
        <v>195</v>
      </c>
      <c r="F1719" s="6" t="s">
        <v>733</v>
      </c>
      <c r="G1719" s="6" t="s">
        <v>792</v>
      </c>
      <c r="H1719" s="6" t="s">
        <v>1428</v>
      </c>
      <c r="J1719" s="1215" t="s">
        <v>509</v>
      </c>
      <c r="K1719" s="1219" t="s">
        <v>3110</v>
      </c>
      <c r="L1719" s="8">
        <v>48</v>
      </c>
      <c r="M1719" s="8">
        <v>70</v>
      </c>
      <c r="N1719" s="1169" t="s">
        <v>271</v>
      </c>
      <c r="P1719" s="6" t="s">
        <v>3324</v>
      </c>
      <c r="Q1719" s="1215" t="s">
        <v>253</v>
      </c>
      <c r="R1719" s="1215" t="s">
        <v>255</v>
      </c>
      <c r="S1719" s="1215" t="s">
        <v>534</v>
      </c>
      <c r="T1719" s="1215" t="s">
        <v>533</v>
      </c>
      <c r="U1719" s="6" t="s">
        <v>567</v>
      </c>
      <c r="V1719" s="6" t="s">
        <v>35</v>
      </c>
      <c r="W1719" s="6" t="s">
        <v>733</v>
      </c>
      <c r="X1719" s="6" t="s">
        <v>195</v>
      </c>
    </row>
    <row r="1720" spans="1:24" ht="15" customHeight="1" x14ac:dyDescent="0.3">
      <c r="A1720" s="6" t="s">
        <v>533</v>
      </c>
      <c r="B1720" s="6" t="s">
        <v>534</v>
      </c>
      <c r="C1720" s="6" t="s">
        <v>35</v>
      </c>
      <c r="D1720" s="1088" t="s">
        <v>567</v>
      </c>
      <c r="E1720" s="6" t="s">
        <v>195</v>
      </c>
      <c r="F1720" s="6" t="s">
        <v>733</v>
      </c>
      <c r="G1720" s="6" t="s">
        <v>792</v>
      </c>
      <c r="H1720" s="6" t="s">
        <v>1428</v>
      </c>
      <c r="J1720" s="1215" t="s">
        <v>509</v>
      </c>
      <c r="K1720" s="1219" t="s">
        <v>3111</v>
      </c>
      <c r="L1720" s="8">
        <v>368</v>
      </c>
      <c r="M1720" s="8">
        <v>5669</v>
      </c>
      <c r="N1720" s="1169" t="s">
        <v>271</v>
      </c>
      <c r="P1720" s="6" t="s">
        <v>3324</v>
      </c>
      <c r="Q1720" s="1215" t="s">
        <v>253</v>
      </c>
      <c r="R1720" s="1215" t="s">
        <v>255</v>
      </c>
      <c r="S1720" s="1215" t="s">
        <v>534</v>
      </c>
      <c r="T1720" s="1215" t="s">
        <v>533</v>
      </c>
      <c r="U1720" s="6" t="s">
        <v>567</v>
      </c>
      <c r="V1720" s="6" t="s">
        <v>35</v>
      </c>
      <c r="W1720" s="6" t="s">
        <v>733</v>
      </c>
      <c r="X1720" s="6" t="s">
        <v>195</v>
      </c>
    </row>
    <row r="1721" spans="1:24" ht="15" customHeight="1" x14ac:dyDescent="0.3">
      <c r="A1721" s="6" t="s">
        <v>533</v>
      </c>
      <c r="B1721" s="6" t="s">
        <v>534</v>
      </c>
      <c r="C1721" s="6" t="s">
        <v>35</v>
      </c>
      <c r="D1721" s="1088" t="s">
        <v>567</v>
      </c>
      <c r="E1721" s="6" t="s">
        <v>195</v>
      </c>
      <c r="F1721" s="6" t="s">
        <v>733</v>
      </c>
      <c r="G1721" s="6" t="s">
        <v>792</v>
      </c>
      <c r="H1721" s="6" t="s">
        <v>1428</v>
      </c>
      <c r="J1721" s="1215" t="s">
        <v>509</v>
      </c>
      <c r="K1721" s="1219" t="s">
        <v>3112</v>
      </c>
      <c r="L1721" s="8">
        <v>60</v>
      </c>
      <c r="M1721" s="8">
        <v>115</v>
      </c>
      <c r="N1721" s="1169" t="s">
        <v>271</v>
      </c>
      <c r="P1721" s="6" t="s">
        <v>3324</v>
      </c>
      <c r="Q1721" s="1215" t="s">
        <v>253</v>
      </c>
      <c r="R1721" s="1215" t="s">
        <v>255</v>
      </c>
      <c r="S1721" s="1215" t="s">
        <v>534</v>
      </c>
      <c r="T1721" s="1215" t="s">
        <v>533</v>
      </c>
      <c r="U1721" s="6" t="s">
        <v>567</v>
      </c>
      <c r="V1721" s="6" t="s">
        <v>35</v>
      </c>
      <c r="W1721" s="6" t="s">
        <v>733</v>
      </c>
      <c r="X1721" s="6" t="s">
        <v>195</v>
      </c>
    </row>
    <row r="1722" spans="1:24" ht="15" customHeight="1" x14ac:dyDescent="0.3">
      <c r="A1722" s="6" t="s">
        <v>533</v>
      </c>
      <c r="B1722" s="6" t="s">
        <v>534</v>
      </c>
      <c r="C1722" s="6" t="s">
        <v>31</v>
      </c>
      <c r="D1722" s="1088" t="s">
        <v>549</v>
      </c>
      <c r="E1722" s="6" t="s">
        <v>171</v>
      </c>
      <c r="F1722" s="6" t="s">
        <v>634</v>
      </c>
      <c r="G1722" s="6" t="s">
        <v>2629</v>
      </c>
      <c r="H1722" s="6" t="s">
        <v>1931</v>
      </c>
      <c r="J1722" s="1215" t="s">
        <v>509</v>
      </c>
      <c r="K1722" s="1219" t="s">
        <v>3033</v>
      </c>
      <c r="L1722" s="8">
        <v>26</v>
      </c>
      <c r="M1722" s="8">
        <v>157</v>
      </c>
      <c r="N1722" s="1169" t="s">
        <v>271</v>
      </c>
      <c r="P1722" s="6" t="s">
        <v>3324</v>
      </c>
      <c r="Q1722" s="1215" t="s">
        <v>253</v>
      </c>
      <c r="R1722" s="1215" t="s">
        <v>255</v>
      </c>
      <c r="S1722" s="1215" t="s">
        <v>534</v>
      </c>
      <c r="T1722" s="1215" t="s">
        <v>533</v>
      </c>
      <c r="U1722" s="6" t="s">
        <v>549</v>
      </c>
      <c r="V1722" s="6" t="s">
        <v>31</v>
      </c>
      <c r="W1722" s="6" t="s">
        <v>634</v>
      </c>
      <c r="X1722" s="6" t="s">
        <v>171</v>
      </c>
    </row>
    <row r="1723" spans="1:24" ht="15" customHeight="1" x14ac:dyDescent="0.3">
      <c r="A1723" s="6" t="s">
        <v>533</v>
      </c>
      <c r="B1723" s="6" t="s">
        <v>534</v>
      </c>
      <c r="C1723" s="6" t="s">
        <v>32</v>
      </c>
      <c r="D1723" s="1088" t="s">
        <v>542</v>
      </c>
      <c r="E1723" s="6" t="s">
        <v>178</v>
      </c>
      <c r="F1723" s="6" t="s">
        <v>543</v>
      </c>
      <c r="G1723" s="6" t="s">
        <v>1735</v>
      </c>
      <c r="H1723" s="6" t="s">
        <v>3280</v>
      </c>
      <c r="J1723" s="1215" t="s">
        <v>509</v>
      </c>
      <c r="K1723" s="1219" t="s">
        <v>3033</v>
      </c>
      <c r="L1723" s="8">
        <v>45</v>
      </c>
      <c r="M1723" s="8">
        <v>312</v>
      </c>
      <c r="N1723" s="1169" t="s">
        <v>272</v>
      </c>
      <c r="P1723" s="6" t="s">
        <v>3324</v>
      </c>
      <c r="Q1723" s="1215" t="s">
        <v>253</v>
      </c>
      <c r="R1723" s="1215" t="s">
        <v>255</v>
      </c>
      <c r="S1723" s="1215" t="s">
        <v>534</v>
      </c>
      <c r="T1723" s="1215" t="s">
        <v>533</v>
      </c>
      <c r="U1723" s="6" t="s">
        <v>542</v>
      </c>
      <c r="V1723" s="6" t="s">
        <v>32</v>
      </c>
      <c r="W1723" s="6" t="s">
        <v>543</v>
      </c>
      <c r="X1723" s="6" t="s">
        <v>178</v>
      </c>
    </row>
    <row r="1724" spans="1:24" ht="15" customHeight="1" x14ac:dyDescent="0.3">
      <c r="A1724" s="6" t="s">
        <v>533</v>
      </c>
      <c r="B1724" s="6" t="s">
        <v>534</v>
      </c>
      <c r="C1724" s="6" t="s">
        <v>32</v>
      </c>
      <c r="D1724" s="1088" t="s">
        <v>542</v>
      </c>
      <c r="E1724" s="1088" t="s">
        <v>178</v>
      </c>
      <c r="F1724" s="6" t="s">
        <v>543</v>
      </c>
      <c r="G1724" s="6" t="s">
        <v>1735</v>
      </c>
      <c r="H1724" s="6" t="s">
        <v>3280</v>
      </c>
      <c r="J1724" s="1215" t="s">
        <v>509</v>
      </c>
      <c r="K1724" s="1219" t="s">
        <v>3109</v>
      </c>
      <c r="L1724" s="8">
        <v>1</v>
      </c>
      <c r="M1724" s="8">
        <v>12</v>
      </c>
      <c r="N1724" s="1169" t="s">
        <v>272</v>
      </c>
      <c r="P1724" s="6" t="s">
        <v>3324</v>
      </c>
      <c r="Q1724" s="1215" t="s">
        <v>253</v>
      </c>
      <c r="R1724" s="1215" t="s">
        <v>255</v>
      </c>
      <c r="S1724" s="1215" t="s">
        <v>534</v>
      </c>
      <c r="T1724" s="1215" t="s">
        <v>533</v>
      </c>
      <c r="U1724" s="6" t="s">
        <v>542</v>
      </c>
      <c r="V1724" s="6" t="s">
        <v>32</v>
      </c>
      <c r="W1724" s="6" t="s">
        <v>543</v>
      </c>
      <c r="X1724" s="6" t="s">
        <v>178</v>
      </c>
    </row>
    <row r="1725" spans="1:24" ht="15" customHeight="1" x14ac:dyDescent="0.3">
      <c r="A1725" s="6" t="s">
        <v>533</v>
      </c>
      <c r="B1725" s="6" t="s">
        <v>534</v>
      </c>
      <c r="C1725" s="6" t="s">
        <v>32</v>
      </c>
      <c r="D1725" s="1088" t="s">
        <v>542</v>
      </c>
      <c r="E1725" s="6" t="s">
        <v>178</v>
      </c>
      <c r="F1725" s="6" t="s">
        <v>543</v>
      </c>
      <c r="G1725" s="6" t="s">
        <v>1735</v>
      </c>
      <c r="H1725" s="6" t="s">
        <v>3280</v>
      </c>
      <c r="J1725" s="1215" t="s">
        <v>509</v>
      </c>
      <c r="K1725" s="1219" t="s">
        <v>3110</v>
      </c>
      <c r="L1725" s="8">
        <v>0</v>
      </c>
      <c r="M1725" s="8">
        <v>6</v>
      </c>
      <c r="N1725" s="1169" t="s">
        <v>272</v>
      </c>
      <c r="P1725" s="6" t="s">
        <v>3324</v>
      </c>
      <c r="Q1725" s="1215" t="s">
        <v>253</v>
      </c>
      <c r="R1725" s="1215" t="s">
        <v>255</v>
      </c>
      <c r="S1725" s="1215" t="s">
        <v>534</v>
      </c>
      <c r="T1725" s="1215" t="s">
        <v>533</v>
      </c>
      <c r="U1725" s="6" t="s">
        <v>542</v>
      </c>
      <c r="V1725" s="6" t="s">
        <v>32</v>
      </c>
      <c r="W1725" s="6" t="s">
        <v>543</v>
      </c>
      <c r="X1725" s="6" t="s">
        <v>178</v>
      </c>
    </row>
    <row r="1726" spans="1:24" ht="15" customHeight="1" x14ac:dyDescent="0.3">
      <c r="A1726" s="6" t="s">
        <v>533</v>
      </c>
      <c r="B1726" s="6" t="s">
        <v>534</v>
      </c>
      <c r="C1726" s="6" t="s">
        <v>32</v>
      </c>
      <c r="D1726" s="1088" t="s">
        <v>542</v>
      </c>
      <c r="E1726" s="6" t="s">
        <v>178</v>
      </c>
      <c r="F1726" s="6" t="s">
        <v>543</v>
      </c>
      <c r="G1726" s="6" t="s">
        <v>1735</v>
      </c>
      <c r="H1726" s="6" t="s">
        <v>3280</v>
      </c>
      <c r="J1726" s="1215" t="s">
        <v>509</v>
      </c>
      <c r="K1726" s="1219" t="s">
        <v>3111</v>
      </c>
      <c r="L1726" s="8">
        <v>0</v>
      </c>
      <c r="M1726" s="8">
        <v>16</v>
      </c>
      <c r="N1726" s="1169" t="s">
        <v>272</v>
      </c>
      <c r="P1726" s="6" t="s">
        <v>3324</v>
      </c>
      <c r="Q1726" s="1215" t="s">
        <v>253</v>
      </c>
      <c r="R1726" s="1215" t="s">
        <v>255</v>
      </c>
      <c r="S1726" s="1215" t="s">
        <v>534</v>
      </c>
      <c r="T1726" s="1215" t="s">
        <v>533</v>
      </c>
      <c r="U1726" s="6" t="s">
        <v>542</v>
      </c>
      <c r="V1726" s="6" t="s">
        <v>32</v>
      </c>
      <c r="W1726" s="6" t="s">
        <v>543</v>
      </c>
      <c r="X1726" s="6" t="s">
        <v>178</v>
      </c>
    </row>
    <row r="1727" spans="1:24" ht="15" customHeight="1" x14ac:dyDescent="0.3">
      <c r="A1727" s="6" t="s">
        <v>533</v>
      </c>
      <c r="B1727" s="6" t="s">
        <v>534</v>
      </c>
      <c r="C1727" s="6" t="s">
        <v>32</v>
      </c>
      <c r="D1727" s="1088" t="s">
        <v>542</v>
      </c>
      <c r="E1727" s="1088" t="s">
        <v>178</v>
      </c>
      <c r="F1727" s="6" t="s">
        <v>543</v>
      </c>
      <c r="G1727" s="6" t="s">
        <v>1735</v>
      </c>
      <c r="H1727" s="6" t="s">
        <v>3280</v>
      </c>
      <c r="J1727" s="1215" t="s">
        <v>509</v>
      </c>
      <c r="K1727" s="1219" t="s">
        <v>3112</v>
      </c>
      <c r="L1727" s="8">
        <v>0</v>
      </c>
      <c r="M1727" s="8">
        <v>5</v>
      </c>
      <c r="N1727" s="1169" t="s">
        <v>272</v>
      </c>
      <c r="P1727" s="6" t="s">
        <v>3324</v>
      </c>
      <c r="Q1727" s="1215" t="s">
        <v>253</v>
      </c>
      <c r="R1727" s="1215" t="s">
        <v>255</v>
      </c>
      <c r="S1727" s="1215" t="s">
        <v>534</v>
      </c>
      <c r="T1727" s="1215" t="s">
        <v>533</v>
      </c>
      <c r="U1727" s="6" t="s">
        <v>542</v>
      </c>
      <c r="V1727" s="6" t="s">
        <v>32</v>
      </c>
      <c r="W1727" s="6" t="s">
        <v>543</v>
      </c>
      <c r="X1727" s="6" t="s">
        <v>178</v>
      </c>
    </row>
    <row r="1728" spans="1:24" ht="15" customHeight="1" x14ac:dyDescent="0.3">
      <c r="A1728" s="6" t="s">
        <v>533</v>
      </c>
      <c r="B1728" s="6" t="s">
        <v>534</v>
      </c>
      <c r="C1728" s="6" t="s">
        <v>30</v>
      </c>
      <c r="D1728" s="1088" t="s">
        <v>535</v>
      </c>
      <c r="E1728" s="6" t="s">
        <v>161</v>
      </c>
      <c r="F1728" s="6" t="s">
        <v>587</v>
      </c>
      <c r="G1728" s="6" t="s">
        <v>2945</v>
      </c>
      <c r="H1728" s="6" t="s">
        <v>597</v>
      </c>
      <c r="J1728" s="1215" t="s">
        <v>509</v>
      </c>
      <c r="K1728" s="1219" t="s">
        <v>3110</v>
      </c>
      <c r="L1728" s="8">
        <v>78</v>
      </c>
      <c r="M1728" s="8">
        <v>687</v>
      </c>
      <c r="N1728" s="1169" t="s">
        <v>274</v>
      </c>
      <c r="P1728" s="6" t="s">
        <v>3322</v>
      </c>
      <c r="Q1728" s="1215" t="s">
        <v>253</v>
      </c>
      <c r="R1728" s="1215" t="s">
        <v>255</v>
      </c>
      <c r="S1728" s="1215" t="s">
        <v>534</v>
      </c>
      <c r="T1728" s="1215" t="s">
        <v>533</v>
      </c>
      <c r="U1728" s="6" t="s">
        <v>542</v>
      </c>
      <c r="V1728" s="6" t="s">
        <v>32</v>
      </c>
    </row>
    <row r="1729" spans="1:24" ht="15" customHeight="1" x14ac:dyDescent="0.3">
      <c r="A1729" s="6" t="s">
        <v>533</v>
      </c>
      <c r="B1729" s="6" t="s">
        <v>534</v>
      </c>
      <c r="C1729" s="6" t="s">
        <v>35</v>
      </c>
      <c r="D1729" s="1088" t="s">
        <v>567</v>
      </c>
      <c r="E1729" s="6" t="s">
        <v>196</v>
      </c>
      <c r="F1729" s="6" t="s">
        <v>568</v>
      </c>
      <c r="G1729" s="6" t="s">
        <v>569</v>
      </c>
      <c r="H1729" s="6" t="s">
        <v>570</v>
      </c>
      <c r="J1729" s="1215" t="s">
        <v>509</v>
      </c>
      <c r="K1729" s="1219" t="s">
        <v>3111</v>
      </c>
      <c r="L1729" s="8">
        <v>2</v>
      </c>
      <c r="M1729" s="8">
        <v>11</v>
      </c>
      <c r="N1729" s="1169" t="s">
        <v>271</v>
      </c>
      <c r="P1729" s="6" t="s">
        <v>3323</v>
      </c>
      <c r="Q1729" s="1215" t="s">
        <v>253</v>
      </c>
      <c r="R1729" s="1215" t="s">
        <v>255</v>
      </c>
      <c r="S1729" s="1215" t="s">
        <v>534</v>
      </c>
      <c r="T1729" s="1215" t="s">
        <v>533</v>
      </c>
      <c r="U1729" s="6" t="s">
        <v>567</v>
      </c>
      <c r="V1729" s="6" t="s">
        <v>35</v>
      </c>
      <c r="W1729" s="6" t="s">
        <v>863</v>
      </c>
      <c r="X1729" s="6" t="s">
        <v>193</v>
      </c>
    </row>
    <row r="1730" spans="1:24" ht="15" customHeight="1" x14ac:dyDescent="0.3">
      <c r="A1730" s="6" t="s">
        <v>533</v>
      </c>
      <c r="B1730" s="6" t="s">
        <v>534</v>
      </c>
      <c r="C1730" s="6" t="s">
        <v>35</v>
      </c>
      <c r="D1730" s="1088" t="s">
        <v>567</v>
      </c>
      <c r="E1730" s="1088" t="s">
        <v>196</v>
      </c>
      <c r="F1730" s="6" t="s">
        <v>568</v>
      </c>
      <c r="G1730" s="6" t="s">
        <v>569</v>
      </c>
      <c r="H1730" s="6" t="s">
        <v>570</v>
      </c>
      <c r="J1730" s="1215" t="s">
        <v>509</v>
      </c>
      <c r="K1730" s="1219" t="s">
        <v>3112</v>
      </c>
      <c r="L1730" s="8">
        <v>3</v>
      </c>
      <c r="M1730" s="8">
        <v>13</v>
      </c>
      <c r="N1730" s="1169" t="s">
        <v>271</v>
      </c>
      <c r="P1730" s="6" t="s">
        <v>3323</v>
      </c>
      <c r="Q1730" s="1215" t="s">
        <v>253</v>
      </c>
      <c r="R1730" s="1215" t="s">
        <v>255</v>
      </c>
      <c r="S1730" s="1215" t="s">
        <v>534</v>
      </c>
      <c r="T1730" s="1215" t="s">
        <v>533</v>
      </c>
      <c r="U1730" s="6" t="s">
        <v>567</v>
      </c>
      <c r="V1730" s="6" t="s">
        <v>35</v>
      </c>
      <c r="W1730" s="6" t="s">
        <v>863</v>
      </c>
      <c r="X1730" s="6" t="s">
        <v>193</v>
      </c>
    </row>
    <row r="1731" spans="1:24" ht="15" customHeight="1" x14ac:dyDescent="0.3">
      <c r="A1731" s="6" t="s">
        <v>533</v>
      </c>
      <c r="B1731" s="6" t="s">
        <v>534</v>
      </c>
      <c r="C1731" s="6" t="s">
        <v>35</v>
      </c>
      <c r="D1731" s="1088" t="s">
        <v>567</v>
      </c>
      <c r="E1731" s="1088" t="s">
        <v>195</v>
      </c>
      <c r="F1731" s="6" t="s">
        <v>733</v>
      </c>
      <c r="G1731" s="6" t="s">
        <v>3213</v>
      </c>
      <c r="H1731" s="6" t="s">
        <v>3070</v>
      </c>
      <c r="J1731" s="1215" t="s">
        <v>509</v>
      </c>
      <c r="K1731" s="1219" t="s">
        <v>3111</v>
      </c>
      <c r="L1731" s="8">
        <v>89</v>
      </c>
      <c r="M1731" s="8">
        <v>311</v>
      </c>
      <c r="N1731" s="1169" t="s">
        <v>271</v>
      </c>
      <c r="P1731" s="6" t="s">
        <v>3324</v>
      </c>
      <c r="Q1731" s="1215" t="s">
        <v>253</v>
      </c>
      <c r="R1731" s="1215" t="s">
        <v>255</v>
      </c>
      <c r="S1731" s="1215" t="s">
        <v>534</v>
      </c>
      <c r="T1731" s="1215" t="s">
        <v>533</v>
      </c>
      <c r="U1731" s="6" t="s">
        <v>567</v>
      </c>
      <c r="V1731" s="6" t="s">
        <v>35</v>
      </c>
      <c r="W1731" s="6" t="s">
        <v>733</v>
      </c>
      <c r="X1731" s="6" t="s">
        <v>195</v>
      </c>
    </row>
    <row r="1732" spans="1:24" ht="15" customHeight="1" x14ac:dyDescent="0.3">
      <c r="A1732" s="6" t="s">
        <v>533</v>
      </c>
      <c r="B1732" s="6" t="s">
        <v>534</v>
      </c>
      <c r="C1732" s="6" t="s">
        <v>35</v>
      </c>
      <c r="D1732" s="1088" t="s">
        <v>567</v>
      </c>
      <c r="E1732" s="6" t="s">
        <v>195</v>
      </c>
      <c r="F1732" s="6" t="s">
        <v>733</v>
      </c>
      <c r="G1732" s="6" t="s">
        <v>3213</v>
      </c>
      <c r="H1732" s="6" t="s">
        <v>3070</v>
      </c>
      <c r="J1732" s="1215" t="s">
        <v>509</v>
      </c>
      <c r="K1732" s="1219" t="s">
        <v>3112</v>
      </c>
      <c r="L1732" s="8">
        <v>83</v>
      </c>
      <c r="M1732" s="8">
        <v>319</v>
      </c>
      <c r="N1732" s="1169" t="s">
        <v>271</v>
      </c>
      <c r="P1732" s="6" t="s">
        <v>3324</v>
      </c>
      <c r="Q1732" s="1215" t="s">
        <v>253</v>
      </c>
      <c r="R1732" s="1215" t="s">
        <v>255</v>
      </c>
      <c r="S1732" s="1215" t="s">
        <v>534</v>
      </c>
      <c r="T1732" s="1215" t="s">
        <v>533</v>
      </c>
      <c r="U1732" s="6" t="s">
        <v>567</v>
      </c>
      <c r="V1732" s="6" t="s">
        <v>35</v>
      </c>
      <c r="W1732" s="6" t="s">
        <v>733</v>
      </c>
      <c r="X1732" s="6" t="s">
        <v>195</v>
      </c>
    </row>
    <row r="1733" spans="1:24" ht="15" customHeight="1" x14ac:dyDescent="0.3">
      <c r="A1733" s="6" t="s">
        <v>533</v>
      </c>
      <c r="B1733" s="6" t="s">
        <v>534</v>
      </c>
      <c r="C1733" s="6" t="s">
        <v>35</v>
      </c>
      <c r="D1733" s="1088" t="s">
        <v>567</v>
      </c>
      <c r="E1733" s="6" t="s">
        <v>196</v>
      </c>
      <c r="F1733" s="6" t="s">
        <v>568</v>
      </c>
      <c r="G1733" s="6" t="s">
        <v>2689</v>
      </c>
      <c r="H1733" s="6" t="s">
        <v>672</v>
      </c>
      <c r="J1733" s="1215" t="s">
        <v>509</v>
      </c>
      <c r="K1733" s="1219" t="s">
        <v>3111</v>
      </c>
      <c r="L1733" s="8">
        <v>75</v>
      </c>
      <c r="M1733" s="8">
        <v>314</v>
      </c>
      <c r="N1733" s="1169" t="s">
        <v>271</v>
      </c>
      <c r="P1733" s="6" t="s">
        <v>3323</v>
      </c>
      <c r="Q1733" s="1215" t="s">
        <v>253</v>
      </c>
      <c r="R1733" s="1215" t="s">
        <v>255</v>
      </c>
      <c r="S1733" s="1215" t="s">
        <v>534</v>
      </c>
      <c r="T1733" s="1215" t="s">
        <v>533</v>
      </c>
      <c r="U1733" s="6" t="s">
        <v>567</v>
      </c>
      <c r="V1733" s="6" t="s">
        <v>35</v>
      </c>
      <c r="W1733" s="6" t="s">
        <v>863</v>
      </c>
      <c r="X1733" s="1088" t="s">
        <v>193</v>
      </c>
    </row>
    <row r="1734" spans="1:24" ht="15" customHeight="1" x14ac:dyDescent="0.3">
      <c r="A1734" s="6" t="s">
        <v>533</v>
      </c>
      <c r="B1734" s="6" t="s">
        <v>534</v>
      </c>
      <c r="C1734" s="6" t="s">
        <v>35</v>
      </c>
      <c r="D1734" s="1088" t="s">
        <v>567</v>
      </c>
      <c r="E1734" s="1088" t="s">
        <v>196</v>
      </c>
      <c r="F1734" s="6" t="s">
        <v>568</v>
      </c>
      <c r="G1734" s="6" t="s">
        <v>2689</v>
      </c>
      <c r="H1734" s="6" t="s">
        <v>672</v>
      </c>
      <c r="J1734" s="1215" t="s">
        <v>509</v>
      </c>
      <c r="K1734" s="1219" t="s">
        <v>3112</v>
      </c>
      <c r="L1734" s="8">
        <v>1</v>
      </c>
      <c r="M1734" s="8">
        <v>13</v>
      </c>
      <c r="N1734" s="1169" t="s">
        <v>271</v>
      </c>
      <c r="P1734" s="6" t="s">
        <v>3322</v>
      </c>
      <c r="Q1734" s="1215" t="s">
        <v>253</v>
      </c>
      <c r="R1734" s="1215" t="s">
        <v>255</v>
      </c>
      <c r="S1734" s="1215" t="s">
        <v>534</v>
      </c>
      <c r="T1734" s="1215" t="s">
        <v>533</v>
      </c>
      <c r="U1734" s="6" t="s">
        <v>539</v>
      </c>
      <c r="V1734" s="6" t="s">
        <v>34</v>
      </c>
    </row>
    <row r="1735" spans="1:24" ht="15" customHeight="1" x14ac:dyDescent="0.3">
      <c r="A1735" s="6" t="s">
        <v>533</v>
      </c>
      <c r="B1735" s="6" t="s">
        <v>534</v>
      </c>
      <c r="C1735" s="6" t="s">
        <v>35</v>
      </c>
      <c r="D1735" s="1088" t="s">
        <v>567</v>
      </c>
      <c r="E1735" s="1169" t="s">
        <v>196</v>
      </c>
      <c r="F1735" s="6" t="s">
        <v>568</v>
      </c>
      <c r="G1735" s="6" t="s">
        <v>2987</v>
      </c>
      <c r="H1735" s="6" t="s">
        <v>2690</v>
      </c>
      <c r="J1735" s="1215" t="s">
        <v>509</v>
      </c>
      <c r="K1735" s="1219" t="s">
        <v>3111</v>
      </c>
      <c r="L1735" s="8">
        <v>2</v>
      </c>
      <c r="M1735" s="8">
        <v>11</v>
      </c>
      <c r="N1735" s="1169" t="s">
        <v>271</v>
      </c>
      <c r="P1735" s="6" t="s">
        <v>3322</v>
      </c>
      <c r="Q1735" s="1215" t="s">
        <v>253</v>
      </c>
      <c r="R1735" s="1215" t="s">
        <v>255</v>
      </c>
      <c r="S1735" s="1215" t="s">
        <v>534</v>
      </c>
      <c r="T1735" s="1215" t="s">
        <v>533</v>
      </c>
      <c r="U1735" s="6" t="s">
        <v>539</v>
      </c>
      <c r="V1735" s="6" t="s">
        <v>34</v>
      </c>
    </row>
    <row r="1736" spans="1:24" ht="15" customHeight="1" x14ac:dyDescent="0.3">
      <c r="A1736" s="6" t="s">
        <v>533</v>
      </c>
      <c r="B1736" s="6" t="s">
        <v>534</v>
      </c>
      <c r="C1736" s="6" t="s">
        <v>35</v>
      </c>
      <c r="D1736" s="1088" t="s">
        <v>567</v>
      </c>
      <c r="E1736" s="1169" t="s">
        <v>196</v>
      </c>
      <c r="F1736" s="6" t="s">
        <v>568</v>
      </c>
      <c r="G1736" s="6" t="s">
        <v>2987</v>
      </c>
      <c r="H1736" s="6" t="s">
        <v>2690</v>
      </c>
      <c r="J1736" s="1215" t="s">
        <v>509</v>
      </c>
      <c r="K1736" s="1219" t="s">
        <v>3112</v>
      </c>
      <c r="L1736" s="8">
        <v>1</v>
      </c>
      <c r="M1736" s="8">
        <v>12</v>
      </c>
      <c r="N1736" s="1169" t="s">
        <v>271</v>
      </c>
      <c r="P1736" s="6" t="s">
        <v>3322</v>
      </c>
      <c r="Q1736" s="1215" t="s">
        <v>253</v>
      </c>
      <c r="R1736" s="1215" t="s">
        <v>255</v>
      </c>
      <c r="S1736" s="1215" t="s">
        <v>534</v>
      </c>
      <c r="T1736" s="1215" t="s">
        <v>533</v>
      </c>
      <c r="U1736" s="6" t="s">
        <v>539</v>
      </c>
      <c r="V1736" s="6" t="s">
        <v>34</v>
      </c>
    </row>
    <row r="1737" spans="1:24" ht="15" customHeight="1" x14ac:dyDescent="0.3">
      <c r="A1737" s="6" t="s">
        <v>533</v>
      </c>
      <c r="B1737" s="6" t="s">
        <v>534</v>
      </c>
      <c r="C1737" s="6" t="s">
        <v>31</v>
      </c>
      <c r="D1737" s="1088" t="s">
        <v>549</v>
      </c>
      <c r="E1737" s="1169" t="s">
        <v>170</v>
      </c>
      <c r="F1737" s="6" t="s">
        <v>866</v>
      </c>
      <c r="G1737" s="6" t="s">
        <v>879</v>
      </c>
      <c r="H1737" s="6" t="s">
        <v>958</v>
      </c>
      <c r="J1737" s="1215" t="s">
        <v>509</v>
      </c>
      <c r="K1737" s="1219" t="s">
        <v>3112</v>
      </c>
      <c r="L1737" s="8">
        <v>4</v>
      </c>
      <c r="M1737" s="8">
        <v>15</v>
      </c>
      <c r="N1737" s="1169" t="s">
        <v>272</v>
      </c>
      <c r="P1737" s="6" t="s">
        <v>3324</v>
      </c>
      <c r="Q1737" s="1215" t="s">
        <v>253</v>
      </c>
      <c r="R1737" s="1215" t="s">
        <v>255</v>
      </c>
      <c r="S1737" s="1215" t="s">
        <v>534</v>
      </c>
      <c r="T1737" s="1215" t="s">
        <v>533</v>
      </c>
      <c r="U1737" s="6" t="s">
        <v>549</v>
      </c>
      <c r="V1737" s="6" t="s">
        <v>31</v>
      </c>
      <c r="W1737" s="6" t="s">
        <v>866</v>
      </c>
      <c r="X1737" s="6" t="s">
        <v>170</v>
      </c>
    </row>
    <row r="1738" spans="1:24" ht="15" customHeight="1" x14ac:dyDescent="0.3">
      <c r="A1738" s="6" t="s">
        <v>533</v>
      </c>
      <c r="B1738" s="6" t="s">
        <v>534</v>
      </c>
      <c r="C1738" s="6" t="s">
        <v>31</v>
      </c>
      <c r="D1738" s="1088" t="s">
        <v>549</v>
      </c>
      <c r="E1738" s="1169" t="s">
        <v>170</v>
      </c>
      <c r="F1738" s="6" t="s">
        <v>866</v>
      </c>
      <c r="G1738" s="6" t="s">
        <v>938</v>
      </c>
      <c r="H1738" s="6" t="s">
        <v>1110</v>
      </c>
      <c r="J1738" s="1215" t="s">
        <v>509</v>
      </c>
      <c r="K1738" s="1219" t="s">
        <v>3112</v>
      </c>
      <c r="L1738" s="8">
        <v>5</v>
      </c>
      <c r="M1738" s="8">
        <v>20</v>
      </c>
      <c r="N1738" s="1169" t="s">
        <v>272</v>
      </c>
      <c r="P1738" s="6" t="s">
        <v>3324</v>
      </c>
      <c r="Q1738" s="1215" t="s">
        <v>253</v>
      </c>
      <c r="R1738" s="1215" t="s">
        <v>255</v>
      </c>
      <c r="S1738" s="1215" t="s">
        <v>534</v>
      </c>
      <c r="T1738" s="1215" t="s">
        <v>533</v>
      </c>
      <c r="U1738" s="6" t="s">
        <v>549</v>
      </c>
      <c r="V1738" s="6" t="s">
        <v>31</v>
      </c>
      <c r="W1738" s="6" t="s">
        <v>866</v>
      </c>
      <c r="X1738" s="6" t="s">
        <v>170</v>
      </c>
    </row>
    <row r="1739" spans="1:24" ht="15" customHeight="1" x14ac:dyDescent="0.3">
      <c r="A1739" s="6" t="s">
        <v>533</v>
      </c>
      <c r="B1739" s="6" t="s">
        <v>534</v>
      </c>
      <c r="C1739" s="6" t="s">
        <v>32</v>
      </c>
      <c r="D1739" s="1088" t="s">
        <v>542</v>
      </c>
      <c r="E1739" s="1169" t="s">
        <v>177</v>
      </c>
      <c r="F1739" s="6" t="s">
        <v>777</v>
      </c>
      <c r="G1739" s="6" t="s">
        <v>2286</v>
      </c>
      <c r="H1739" s="6" t="s">
        <v>1652</v>
      </c>
      <c r="J1739" s="1215" t="s">
        <v>509</v>
      </c>
      <c r="K1739" s="1219" t="s">
        <v>3033</v>
      </c>
      <c r="L1739" s="8">
        <v>159</v>
      </c>
      <c r="M1739" s="8">
        <v>536</v>
      </c>
      <c r="N1739" s="1169" t="s">
        <v>272</v>
      </c>
      <c r="P1739" s="6" t="s">
        <v>3324</v>
      </c>
      <c r="Q1739" s="1215" t="s">
        <v>253</v>
      </c>
      <c r="R1739" s="1215" t="s">
        <v>255</v>
      </c>
      <c r="S1739" s="1215" t="s">
        <v>534</v>
      </c>
      <c r="T1739" s="1215" t="s">
        <v>533</v>
      </c>
      <c r="U1739" s="6" t="s">
        <v>542</v>
      </c>
      <c r="V1739" s="6" t="s">
        <v>32</v>
      </c>
      <c r="W1739" s="6" t="s">
        <v>777</v>
      </c>
      <c r="X1739" s="6" t="s">
        <v>177</v>
      </c>
    </row>
    <row r="1740" spans="1:24" ht="15" customHeight="1" x14ac:dyDescent="0.3">
      <c r="A1740" s="6" t="s">
        <v>533</v>
      </c>
      <c r="B1740" s="6" t="s">
        <v>534</v>
      </c>
      <c r="C1740" s="6" t="s">
        <v>34</v>
      </c>
      <c r="D1740" s="1088" t="s">
        <v>539</v>
      </c>
      <c r="E1740" s="1169" t="s">
        <v>187</v>
      </c>
      <c r="F1740" s="6" t="s">
        <v>951</v>
      </c>
      <c r="G1740" s="6" t="s">
        <v>3005</v>
      </c>
      <c r="H1740" s="6" t="s">
        <v>1612</v>
      </c>
      <c r="J1740" s="1215" t="s">
        <v>509</v>
      </c>
      <c r="K1740" s="1219" t="s">
        <v>3112</v>
      </c>
      <c r="L1740" s="8">
        <v>0</v>
      </c>
      <c r="M1740" s="8">
        <v>13</v>
      </c>
      <c r="N1740" s="1169" t="s">
        <v>271</v>
      </c>
      <c r="P1740" s="6" t="s">
        <v>3324</v>
      </c>
      <c r="Q1740" s="1215" t="s">
        <v>253</v>
      </c>
      <c r="R1740" s="1215" t="s">
        <v>255</v>
      </c>
      <c r="S1740" s="1215" t="s">
        <v>534</v>
      </c>
      <c r="T1740" s="1215" t="s">
        <v>533</v>
      </c>
      <c r="U1740" s="6" t="s">
        <v>539</v>
      </c>
      <c r="V1740" s="6" t="s">
        <v>34</v>
      </c>
      <c r="W1740" s="6" t="s">
        <v>951</v>
      </c>
      <c r="X1740" s="6" t="s">
        <v>187</v>
      </c>
    </row>
    <row r="1741" spans="1:24" ht="15" customHeight="1" x14ac:dyDescent="0.3">
      <c r="A1741" s="6" t="s">
        <v>533</v>
      </c>
      <c r="B1741" s="6" t="s">
        <v>534</v>
      </c>
      <c r="C1741" s="6" t="s">
        <v>34</v>
      </c>
      <c r="D1741" s="1088" t="s">
        <v>539</v>
      </c>
      <c r="E1741" s="1169" t="s">
        <v>187</v>
      </c>
      <c r="F1741" s="6" t="s">
        <v>951</v>
      </c>
      <c r="G1741" s="6" t="s">
        <v>3005</v>
      </c>
      <c r="H1741" s="6" t="s">
        <v>1612</v>
      </c>
      <c r="J1741" s="1215" t="s">
        <v>509</v>
      </c>
      <c r="K1741" s="1219" t="s">
        <v>3110</v>
      </c>
      <c r="L1741" s="8">
        <v>90</v>
      </c>
      <c r="M1741" s="8">
        <v>535</v>
      </c>
      <c r="N1741" s="1169" t="s">
        <v>271</v>
      </c>
      <c r="P1741" s="6" t="s">
        <v>3324</v>
      </c>
      <c r="Q1741" s="1215" t="s">
        <v>253</v>
      </c>
      <c r="R1741" s="1215" t="s">
        <v>255</v>
      </c>
      <c r="S1741" s="1215" t="s">
        <v>534</v>
      </c>
      <c r="T1741" s="1215" t="s">
        <v>533</v>
      </c>
      <c r="U1741" s="6" t="s">
        <v>539</v>
      </c>
      <c r="V1741" s="6" t="s">
        <v>34</v>
      </c>
      <c r="W1741" s="6" t="s">
        <v>951</v>
      </c>
      <c r="X1741" s="6" t="s">
        <v>187</v>
      </c>
    </row>
    <row r="1742" spans="1:24" ht="15" customHeight="1" x14ac:dyDescent="0.3">
      <c r="A1742" s="6" t="s">
        <v>533</v>
      </c>
      <c r="B1742" s="6" t="s">
        <v>534</v>
      </c>
      <c r="C1742" s="6" t="s">
        <v>34</v>
      </c>
      <c r="D1742" s="1088" t="s">
        <v>539</v>
      </c>
      <c r="E1742" s="1169" t="s">
        <v>187</v>
      </c>
      <c r="F1742" s="6" t="s">
        <v>951</v>
      </c>
      <c r="G1742" s="6" t="s">
        <v>3005</v>
      </c>
      <c r="H1742" s="6" t="s">
        <v>1612</v>
      </c>
      <c r="J1742" s="1215" t="s">
        <v>509</v>
      </c>
      <c r="K1742" s="1219" t="s">
        <v>3111</v>
      </c>
      <c r="L1742" s="8">
        <v>0</v>
      </c>
      <c r="M1742" s="8">
        <v>3</v>
      </c>
      <c r="N1742" s="1169" t="s">
        <v>271</v>
      </c>
      <c r="P1742" s="6" t="s">
        <v>3324</v>
      </c>
      <c r="Q1742" s="1215" t="s">
        <v>253</v>
      </c>
      <c r="R1742" s="1215" t="s">
        <v>255</v>
      </c>
      <c r="S1742" s="1215" t="s">
        <v>534</v>
      </c>
      <c r="T1742" s="1215" t="s">
        <v>533</v>
      </c>
      <c r="U1742" s="6" t="s">
        <v>539</v>
      </c>
      <c r="V1742" s="6" t="s">
        <v>34</v>
      </c>
      <c r="W1742" s="6" t="s">
        <v>951</v>
      </c>
      <c r="X1742" s="6" t="s">
        <v>187</v>
      </c>
    </row>
    <row r="1743" spans="1:24" ht="15" customHeight="1" x14ac:dyDescent="0.3">
      <c r="A1743" s="6" t="s">
        <v>533</v>
      </c>
      <c r="B1743" s="6" t="s">
        <v>534</v>
      </c>
      <c r="C1743" s="6" t="s">
        <v>30</v>
      </c>
      <c r="D1743" s="1088" t="s">
        <v>535</v>
      </c>
      <c r="E1743" s="1169" t="s">
        <v>159</v>
      </c>
      <c r="F1743" s="6" t="s">
        <v>574</v>
      </c>
      <c r="G1743" s="6" t="s">
        <v>3026</v>
      </c>
      <c r="H1743" s="6" t="s">
        <v>719</v>
      </c>
      <c r="J1743" s="1215" t="s">
        <v>509</v>
      </c>
      <c r="K1743" s="1219" t="s">
        <v>3110</v>
      </c>
      <c r="L1743" s="8">
        <v>3</v>
      </c>
      <c r="M1743" s="8">
        <v>11</v>
      </c>
      <c r="N1743" s="1169" t="s">
        <v>274</v>
      </c>
      <c r="P1743" s="6" t="s">
        <v>3322</v>
      </c>
      <c r="Q1743" s="1215" t="s">
        <v>253</v>
      </c>
      <c r="R1743" s="1215" t="s">
        <v>255</v>
      </c>
      <c r="S1743" s="1215" t="s">
        <v>534</v>
      </c>
      <c r="T1743" s="1215" t="s">
        <v>533</v>
      </c>
      <c r="U1743" s="6" t="s">
        <v>549</v>
      </c>
      <c r="V1743" s="6" t="s">
        <v>31</v>
      </c>
    </row>
    <row r="1744" spans="1:24" ht="15" customHeight="1" x14ac:dyDescent="0.3">
      <c r="A1744" s="6" t="s">
        <v>533</v>
      </c>
      <c r="B1744" s="6" t="s">
        <v>534</v>
      </c>
      <c r="C1744" s="6" t="s">
        <v>35</v>
      </c>
      <c r="D1744" s="1088" t="s">
        <v>567</v>
      </c>
      <c r="E1744" s="1169" t="s">
        <v>195</v>
      </c>
      <c r="F1744" s="6" t="s">
        <v>733</v>
      </c>
      <c r="G1744" s="6" t="s">
        <v>1749</v>
      </c>
      <c r="H1744" s="6" t="s">
        <v>1750</v>
      </c>
      <c r="J1744" s="1215" t="s">
        <v>509</v>
      </c>
      <c r="K1744" s="1219" t="s">
        <v>3110</v>
      </c>
      <c r="L1744" s="8">
        <v>9</v>
      </c>
      <c r="M1744" s="8">
        <v>87</v>
      </c>
      <c r="N1744" s="1169" t="s">
        <v>271</v>
      </c>
      <c r="P1744" s="6" t="s">
        <v>3324</v>
      </c>
      <c r="Q1744" s="1215" t="s">
        <v>253</v>
      </c>
      <c r="R1744" s="1215" t="s">
        <v>255</v>
      </c>
      <c r="S1744" s="1215" t="s">
        <v>534</v>
      </c>
      <c r="T1744" s="1215" t="s">
        <v>533</v>
      </c>
      <c r="U1744" s="6" t="s">
        <v>567</v>
      </c>
      <c r="V1744" s="6" t="s">
        <v>35</v>
      </c>
      <c r="W1744" s="6" t="s">
        <v>733</v>
      </c>
      <c r="X1744" s="6" t="s">
        <v>195</v>
      </c>
    </row>
    <row r="1745" spans="1:24" ht="15" customHeight="1" x14ac:dyDescent="0.3">
      <c r="A1745" s="6" t="s">
        <v>533</v>
      </c>
      <c r="B1745" s="6" t="s">
        <v>534</v>
      </c>
      <c r="C1745" s="6" t="s">
        <v>35</v>
      </c>
      <c r="D1745" s="1088" t="s">
        <v>567</v>
      </c>
      <c r="E1745" s="6" t="s">
        <v>195</v>
      </c>
      <c r="F1745" s="6" t="s">
        <v>733</v>
      </c>
      <c r="G1745" s="6" t="s">
        <v>1749</v>
      </c>
      <c r="H1745" s="6" t="s">
        <v>1750</v>
      </c>
      <c r="J1745" s="1215" t="s">
        <v>509</v>
      </c>
      <c r="K1745" s="1219" t="s">
        <v>3112</v>
      </c>
      <c r="L1745" s="8">
        <v>5</v>
      </c>
      <c r="M1745" s="8">
        <v>22</v>
      </c>
      <c r="N1745" s="6" t="s">
        <v>271</v>
      </c>
      <c r="P1745" s="6" t="s">
        <v>3324</v>
      </c>
      <c r="Q1745" s="1215" t="s">
        <v>253</v>
      </c>
      <c r="R1745" s="1215" t="s">
        <v>255</v>
      </c>
      <c r="S1745" s="1215" t="s">
        <v>534</v>
      </c>
      <c r="T1745" s="1215" t="s">
        <v>533</v>
      </c>
      <c r="U1745" s="6" t="s">
        <v>567</v>
      </c>
      <c r="V1745" s="6" t="s">
        <v>35</v>
      </c>
      <c r="W1745" s="6" t="s">
        <v>733</v>
      </c>
      <c r="X1745" s="6" t="s">
        <v>195</v>
      </c>
    </row>
    <row r="1746" spans="1:24" ht="15" customHeight="1" x14ac:dyDescent="0.3">
      <c r="A1746" s="6" t="s">
        <v>533</v>
      </c>
      <c r="B1746" s="6" t="s">
        <v>534</v>
      </c>
      <c r="C1746" s="6" t="s">
        <v>35</v>
      </c>
      <c r="D1746" s="1088" t="s">
        <v>567</v>
      </c>
      <c r="E1746" s="6" t="s">
        <v>195</v>
      </c>
      <c r="F1746" s="6" t="s">
        <v>733</v>
      </c>
      <c r="G1746" s="6" t="s">
        <v>1749</v>
      </c>
      <c r="H1746" s="6" t="s">
        <v>1750</v>
      </c>
      <c r="J1746" s="1215" t="s">
        <v>509</v>
      </c>
      <c r="K1746" s="1219" t="s">
        <v>3033</v>
      </c>
      <c r="L1746" s="8">
        <v>32</v>
      </c>
      <c r="M1746" s="8">
        <v>233</v>
      </c>
      <c r="N1746" s="6" t="s">
        <v>271</v>
      </c>
      <c r="P1746" s="6" t="s">
        <v>3324</v>
      </c>
      <c r="Q1746" s="1215" t="s">
        <v>253</v>
      </c>
      <c r="R1746" s="1215" t="s">
        <v>255</v>
      </c>
      <c r="S1746" s="1215" t="s">
        <v>534</v>
      </c>
      <c r="T1746" s="1215" t="s">
        <v>533</v>
      </c>
      <c r="U1746" s="6" t="s">
        <v>567</v>
      </c>
      <c r="V1746" s="6" t="s">
        <v>35</v>
      </c>
      <c r="W1746" s="6" t="s">
        <v>733</v>
      </c>
      <c r="X1746" s="6" t="s">
        <v>195</v>
      </c>
    </row>
    <row r="1747" spans="1:24" ht="15" customHeight="1" x14ac:dyDescent="0.3">
      <c r="A1747" s="6" t="s">
        <v>533</v>
      </c>
      <c r="B1747" s="6" t="s">
        <v>534</v>
      </c>
      <c r="C1747" s="6" t="s">
        <v>34</v>
      </c>
      <c r="D1747" s="1088" t="s">
        <v>539</v>
      </c>
      <c r="E1747" s="6" t="s">
        <v>187</v>
      </c>
      <c r="F1747" s="6" t="s">
        <v>951</v>
      </c>
      <c r="G1747" s="6" t="s">
        <v>3017</v>
      </c>
      <c r="H1747" s="6" t="s">
        <v>1616</v>
      </c>
      <c r="J1747" s="1215" t="s">
        <v>509</v>
      </c>
      <c r="K1747" s="1219" t="s">
        <v>3033</v>
      </c>
      <c r="L1747" s="8">
        <v>500</v>
      </c>
      <c r="M1747" s="8">
        <v>3170</v>
      </c>
      <c r="N1747" s="6" t="s">
        <v>271</v>
      </c>
      <c r="O1747" s="1171"/>
      <c r="P1747" s="6" t="s">
        <v>3324</v>
      </c>
      <c r="Q1747" s="1215" t="s">
        <v>253</v>
      </c>
      <c r="R1747" s="1215" t="s">
        <v>255</v>
      </c>
      <c r="S1747" s="1215" t="s">
        <v>534</v>
      </c>
      <c r="T1747" s="1215" t="s">
        <v>533</v>
      </c>
      <c r="U1747" s="6" t="s">
        <v>539</v>
      </c>
      <c r="V1747" s="6" t="s">
        <v>34</v>
      </c>
      <c r="W1747" s="6" t="s">
        <v>951</v>
      </c>
      <c r="X1747" s="6" t="s">
        <v>187</v>
      </c>
    </row>
    <row r="1748" spans="1:24" ht="15" customHeight="1" x14ac:dyDescent="0.3">
      <c r="A1748" s="6" t="s">
        <v>533</v>
      </c>
      <c r="B1748" s="6" t="s">
        <v>534</v>
      </c>
      <c r="C1748" s="6" t="s">
        <v>34</v>
      </c>
      <c r="D1748" s="1088" t="s">
        <v>539</v>
      </c>
      <c r="E1748" s="6" t="s">
        <v>187</v>
      </c>
      <c r="F1748" s="6" t="s">
        <v>951</v>
      </c>
      <c r="G1748" s="6" t="s">
        <v>3017</v>
      </c>
      <c r="H1748" s="6" t="s">
        <v>1616</v>
      </c>
      <c r="J1748" s="1215" t="s">
        <v>509</v>
      </c>
      <c r="K1748" s="1219" t="s">
        <v>3109</v>
      </c>
      <c r="L1748" s="8">
        <v>0</v>
      </c>
      <c r="M1748" s="8">
        <v>50</v>
      </c>
      <c r="N1748" s="1169" t="s">
        <v>271</v>
      </c>
      <c r="P1748" s="6" t="s">
        <v>3324</v>
      </c>
      <c r="Q1748" s="1215" t="s">
        <v>253</v>
      </c>
      <c r="R1748" s="1215" t="s">
        <v>255</v>
      </c>
      <c r="S1748" s="1215" t="s">
        <v>534</v>
      </c>
      <c r="T1748" s="1215" t="s">
        <v>533</v>
      </c>
      <c r="U1748" s="6" t="s">
        <v>539</v>
      </c>
      <c r="V1748" s="6" t="s">
        <v>34</v>
      </c>
      <c r="W1748" s="6" t="s">
        <v>951</v>
      </c>
      <c r="X1748" s="6" t="s">
        <v>187</v>
      </c>
    </row>
    <row r="1749" spans="1:24" ht="15" customHeight="1" x14ac:dyDescent="0.3">
      <c r="A1749" s="6" t="s">
        <v>533</v>
      </c>
      <c r="B1749" s="6" t="s">
        <v>534</v>
      </c>
      <c r="C1749" s="6" t="s">
        <v>34</v>
      </c>
      <c r="D1749" s="1088" t="s">
        <v>539</v>
      </c>
      <c r="E1749" s="6" t="s">
        <v>187</v>
      </c>
      <c r="F1749" s="6" t="s">
        <v>951</v>
      </c>
      <c r="G1749" s="6" t="s">
        <v>3017</v>
      </c>
      <c r="H1749" s="6" t="s">
        <v>1616</v>
      </c>
      <c r="J1749" s="1215" t="s">
        <v>509</v>
      </c>
      <c r="K1749" s="1219" t="s">
        <v>3112</v>
      </c>
      <c r="L1749" s="8">
        <v>17</v>
      </c>
      <c r="M1749" s="8">
        <v>146</v>
      </c>
      <c r="N1749" s="1169" t="s">
        <v>271</v>
      </c>
      <c r="P1749" s="6" t="s">
        <v>3324</v>
      </c>
      <c r="Q1749" s="1215" t="s">
        <v>253</v>
      </c>
      <c r="R1749" s="1215" t="s">
        <v>255</v>
      </c>
      <c r="S1749" s="1215" t="s">
        <v>534</v>
      </c>
      <c r="T1749" s="1215" t="s">
        <v>533</v>
      </c>
      <c r="U1749" s="6" t="s">
        <v>539</v>
      </c>
      <c r="V1749" s="6" t="s">
        <v>34</v>
      </c>
      <c r="W1749" s="6" t="s">
        <v>951</v>
      </c>
      <c r="X1749" s="6" t="s">
        <v>187</v>
      </c>
    </row>
    <row r="1750" spans="1:24" ht="15" customHeight="1" x14ac:dyDescent="0.3">
      <c r="A1750" s="6" t="s">
        <v>533</v>
      </c>
      <c r="B1750" s="6" t="s">
        <v>534</v>
      </c>
      <c r="C1750" s="6" t="s">
        <v>34</v>
      </c>
      <c r="D1750" s="1088" t="s">
        <v>539</v>
      </c>
      <c r="E1750" s="6" t="s">
        <v>187</v>
      </c>
      <c r="F1750" s="6" t="s">
        <v>951</v>
      </c>
      <c r="G1750" s="6" t="s">
        <v>3017</v>
      </c>
      <c r="H1750" s="6" t="s">
        <v>1616</v>
      </c>
      <c r="J1750" s="1215" t="s">
        <v>509</v>
      </c>
      <c r="K1750" s="1219" t="s">
        <v>3110</v>
      </c>
      <c r="L1750" s="8">
        <v>48</v>
      </c>
      <c r="M1750" s="8">
        <v>397</v>
      </c>
      <c r="N1750" s="1169" t="s">
        <v>271</v>
      </c>
      <c r="P1750" s="6" t="s">
        <v>3324</v>
      </c>
      <c r="Q1750" s="1215" t="s">
        <v>253</v>
      </c>
      <c r="R1750" s="1215" t="s">
        <v>255</v>
      </c>
      <c r="S1750" s="1215" t="s">
        <v>534</v>
      </c>
      <c r="T1750" s="1215" t="s">
        <v>533</v>
      </c>
      <c r="U1750" s="6" t="s">
        <v>539</v>
      </c>
      <c r="V1750" s="6" t="s">
        <v>34</v>
      </c>
      <c r="W1750" s="6" t="s">
        <v>951</v>
      </c>
      <c r="X1750" s="6" t="s">
        <v>187</v>
      </c>
    </row>
    <row r="1751" spans="1:24" ht="15" customHeight="1" x14ac:dyDescent="0.3">
      <c r="A1751" s="6" t="s">
        <v>533</v>
      </c>
      <c r="B1751" s="6" t="s">
        <v>534</v>
      </c>
      <c r="C1751" s="6" t="s">
        <v>34</v>
      </c>
      <c r="D1751" s="1088" t="s">
        <v>539</v>
      </c>
      <c r="E1751" s="6" t="s">
        <v>187</v>
      </c>
      <c r="F1751" s="6" t="s">
        <v>951</v>
      </c>
      <c r="G1751" s="6" t="s">
        <v>3017</v>
      </c>
      <c r="H1751" s="6" t="s">
        <v>1616</v>
      </c>
      <c r="J1751" s="1215" t="s">
        <v>509</v>
      </c>
      <c r="K1751" s="1219" t="s">
        <v>3111</v>
      </c>
      <c r="L1751" s="8">
        <v>30</v>
      </c>
      <c r="M1751" s="8">
        <v>280</v>
      </c>
      <c r="N1751" s="1169" t="s">
        <v>271</v>
      </c>
      <c r="P1751" s="6" t="s">
        <v>3324</v>
      </c>
      <c r="Q1751" s="1215" t="s">
        <v>253</v>
      </c>
      <c r="R1751" s="1215" t="s">
        <v>255</v>
      </c>
      <c r="S1751" s="1215" t="s">
        <v>534</v>
      </c>
      <c r="T1751" s="1215" t="s">
        <v>533</v>
      </c>
      <c r="U1751" s="6" t="s">
        <v>539</v>
      </c>
      <c r="V1751" s="6" t="s">
        <v>34</v>
      </c>
      <c r="W1751" s="6" t="s">
        <v>951</v>
      </c>
      <c r="X1751" s="6" t="s">
        <v>187</v>
      </c>
    </row>
    <row r="1752" spans="1:24" ht="15" customHeight="1" x14ac:dyDescent="0.3">
      <c r="A1752" s="6" t="s">
        <v>533</v>
      </c>
      <c r="B1752" s="6" t="s">
        <v>534</v>
      </c>
      <c r="C1752" s="6" t="s">
        <v>32</v>
      </c>
      <c r="D1752" s="1088" t="s">
        <v>542</v>
      </c>
      <c r="E1752" s="6" t="s">
        <v>177</v>
      </c>
      <c r="F1752" s="6" t="s">
        <v>777</v>
      </c>
      <c r="G1752" s="6" t="s">
        <v>1651</v>
      </c>
      <c r="H1752" s="6" t="s">
        <v>1650</v>
      </c>
      <c r="J1752" s="1215" t="s">
        <v>509</v>
      </c>
      <c r="K1752" s="1219" t="s">
        <v>3109</v>
      </c>
      <c r="L1752" s="8">
        <v>160</v>
      </c>
      <c r="M1752" s="8">
        <v>510</v>
      </c>
      <c r="N1752" s="1169" t="s">
        <v>272</v>
      </c>
      <c r="P1752" s="6" t="s">
        <v>3324</v>
      </c>
      <c r="Q1752" s="1215" t="s">
        <v>253</v>
      </c>
      <c r="R1752" s="1215" t="s">
        <v>255</v>
      </c>
      <c r="S1752" s="1215" t="s">
        <v>534</v>
      </c>
      <c r="T1752" s="1215" t="s">
        <v>533</v>
      </c>
      <c r="U1752" s="6" t="s">
        <v>542</v>
      </c>
      <c r="V1752" s="6" t="s">
        <v>32</v>
      </c>
      <c r="W1752" s="6" t="s">
        <v>777</v>
      </c>
      <c r="X1752" s="6" t="s">
        <v>177</v>
      </c>
    </row>
    <row r="1753" spans="1:24" ht="15" customHeight="1" x14ac:dyDescent="0.3">
      <c r="A1753" s="6" t="s">
        <v>533</v>
      </c>
      <c r="B1753" s="6" t="s">
        <v>534</v>
      </c>
      <c r="C1753" s="6" t="s">
        <v>32</v>
      </c>
      <c r="D1753" s="1088" t="s">
        <v>542</v>
      </c>
      <c r="E1753" s="6" t="s">
        <v>177</v>
      </c>
      <c r="F1753" s="6" t="s">
        <v>777</v>
      </c>
      <c r="G1753" s="6" t="s">
        <v>1651</v>
      </c>
      <c r="H1753" s="6" t="s">
        <v>1650</v>
      </c>
      <c r="J1753" s="1215" t="s">
        <v>509</v>
      </c>
      <c r="K1753" s="1219" t="s">
        <v>3110</v>
      </c>
      <c r="L1753" s="8">
        <v>0</v>
      </c>
      <c r="M1753" s="8">
        <v>5</v>
      </c>
      <c r="N1753" s="1169" t="s">
        <v>272</v>
      </c>
      <c r="P1753" s="6" t="s">
        <v>3324</v>
      </c>
      <c r="Q1753" s="1215" t="s">
        <v>253</v>
      </c>
      <c r="R1753" s="1215" t="s">
        <v>255</v>
      </c>
      <c r="S1753" s="1215" t="s">
        <v>534</v>
      </c>
      <c r="T1753" s="1215" t="s">
        <v>533</v>
      </c>
      <c r="U1753" s="6" t="s">
        <v>542</v>
      </c>
      <c r="V1753" s="6" t="s">
        <v>32</v>
      </c>
      <c r="W1753" s="6" t="s">
        <v>777</v>
      </c>
      <c r="X1753" s="6" t="s">
        <v>177</v>
      </c>
    </row>
    <row r="1754" spans="1:24" ht="15" customHeight="1" x14ac:dyDescent="0.3">
      <c r="A1754" s="6" t="s">
        <v>533</v>
      </c>
      <c r="B1754" s="6" t="s">
        <v>534</v>
      </c>
      <c r="C1754" s="6" t="s">
        <v>31</v>
      </c>
      <c r="D1754" s="1088" t="s">
        <v>549</v>
      </c>
      <c r="E1754" s="6" t="s">
        <v>170</v>
      </c>
      <c r="F1754" s="6" t="s">
        <v>866</v>
      </c>
      <c r="G1754" s="6" t="s">
        <v>1109</v>
      </c>
      <c r="H1754" s="6" t="s">
        <v>1117</v>
      </c>
      <c r="J1754" s="1215" t="s">
        <v>509</v>
      </c>
      <c r="K1754" s="1219" t="s">
        <v>3112</v>
      </c>
      <c r="L1754" s="8">
        <v>5</v>
      </c>
      <c r="M1754" s="8">
        <v>20</v>
      </c>
      <c r="N1754" s="1169" t="s">
        <v>272</v>
      </c>
      <c r="P1754" s="6" t="s">
        <v>3324</v>
      </c>
      <c r="Q1754" s="1215" t="s">
        <v>253</v>
      </c>
      <c r="R1754" s="1215" t="s">
        <v>255</v>
      </c>
      <c r="S1754" s="1215" t="s">
        <v>534</v>
      </c>
      <c r="T1754" s="1215" t="s">
        <v>533</v>
      </c>
      <c r="U1754" s="6" t="s">
        <v>549</v>
      </c>
      <c r="V1754" s="6" t="s">
        <v>31</v>
      </c>
      <c r="W1754" s="6" t="s">
        <v>866</v>
      </c>
      <c r="X1754" s="6" t="s">
        <v>170</v>
      </c>
    </row>
    <row r="1755" spans="1:24" ht="15" customHeight="1" x14ac:dyDescent="0.3">
      <c r="A1755" s="6" t="s">
        <v>533</v>
      </c>
      <c r="B1755" s="6" t="s">
        <v>534</v>
      </c>
      <c r="C1755" s="6" t="s">
        <v>31</v>
      </c>
      <c r="D1755" s="1088" t="s">
        <v>549</v>
      </c>
      <c r="E1755" s="6" t="s">
        <v>170</v>
      </c>
      <c r="F1755" s="6" t="s">
        <v>866</v>
      </c>
      <c r="G1755" s="6" t="s">
        <v>2014</v>
      </c>
      <c r="H1755" s="6" t="s">
        <v>1707</v>
      </c>
      <c r="J1755" s="1215" t="s">
        <v>509</v>
      </c>
      <c r="K1755" s="1219" t="s">
        <v>3112</v>
      </c>
      <c r="L1755" s="8">
        <v>2</v>
      </c>
      <c r="M1755" s="8">
        <v>15</v>
      </c>
      <c r="N1755" s="6" t="s">
        <v>272</v>
      </c>
      <c r="P1755" s="6" t="s">
        <v>3324</v>
      </c>
      <c r="Q1755" s="1215" t="s">
        <v>253</v>
      </c>
      <c r="R1755" s="1215" t="s">
        <v>255</v>
      </c>
      <c r="S1755" s="1215" t="s">
        <v>534</v>
      </c>
      <c r="T1755" s="1215" t="s">
        <v>533</v>
      </c>
      <c r="U1755" s="6" t="s">
        <v>549</v>
      </c>
      <c r="V1755" s="6" t="s">
        <v>31</v>
      </c>
      <c r="W1755" s="6" t="s">
        <v>866</v>
      </c>
      <c r="X1755" s="6" t="s">
        <v>170</v>
      </c>
    </row>
    <row r="1756" spans="1:24" ht="15" customHeight="1" x14ac:dyDescent="0.3">
      <c r="A1756" s="6" t="s">
        <v>533</v>
      </c>
      <c r="B1756" s="6" t="s">
        <v>534</v>
      </c>
      <c r="C1756" s="6" t="s">
        <v>31</v>
      </c>
      <c r="D1756" s="1088" t="s">
        <v>549</v>
      </c>
      <c r="E1756" s="6" t="s">
        <v>169</v>
      </c>
      <c r="F1756" s="6" t="s">
        <v>673</v>
      </c>
      <c r="G1756" s="6" t="s">
        <v>675</v>
      </c>
      <c r="H1756" s="6" t="s">
        <v>1269</v>
      </c>
      <c r="J1756" s="1215" t="s">
        <v>509</v>
      </c>
      <c r="K1756" s="1219" t="s">
        <v>3111</v>
      </c>
      <c r="L1756" s="8">
        <v>35</v>
      </c>
      <c r="M1756" s="8">
        <v>277</v>
      </c>
      <c r="N1756" s="1169" t="s">
        <v>274</v>
      </c>
      <c r="P1756" s="6" t="s">
        <v>3324</v>
      </c>
      <c r="Q1756" s="1215" t="s">
        <v>253</v>
      </c>
      <c r="R1756" s="1215" t="s">
        <v>255</v>
      </c>
      <c r="S1756" s="1215" t="s">
        <v>534</v>
      </c>
      <c r="T1756" s="1215" t="s">
        <v>533</v>
      </c>
      <c r="U1756" s="6" t="s">
        <v>549</v>
      </c>
      <c r="V1756" s="6" t="s">
        <v>31</v>
      </c>
      <c r="W1756" s="6" t="s">
        <v>673</v>
      </c>
      <c r="X1756" s="6" t="s">
        <v>169</v>
      </c>
    </row>
    <row r="1757" spans="1:24" ht="15" customHeight="1" x14ac:dyDescent="0.3">
      <c r="A1757" s="6" t="s">
        <v>533</v>
      </c>
      <c r="B1757" s="6" t="s">
        <v>534</v>
      </c>
      <c r="C1757" s="6" t="s">
        <v>31</v>
      </c>
      <c r="D1757" s="1088" t="s">
        <v>549</v>
      </c>
      <c r="E1757" s="6" t="s">
        <v>169</v>
      </c>
      <c r="F1757" s="6" t="s">
        <v>673</v>
      </c>
      <c r="G1757" s="6" t="s">
        <v>675</v>
      </c>
      <c r="H1757" s="6" t="s">
        <v>1269</v>
      </c>
      <c r="J1757" s="1215" t="s">
        <v>509</v>
      </c>
      <c r="K1757" s="1219" t="s">
        <v>3112</v>
      </c>
      <c r="L1757" s="8">
        <v>4</v>
      </c>
      <c r="M1757" s="8">
        <v>30</v>
      </c>
      <c r="N1757" s="1169" t="s">
        <v>272</v>
      </c>
      <c r="P1757" s="6" t="s">
        <v>3324</v>
      </c>
      <c r="Q1757" s="1215" t="s">
        <v>253</v>
      </c>
      <c r="R1757" s="1215" t="s">
        <v>255</v>
      </c>
      <c r="S1757" s="1215" t="s">
        <v>534</v>
      </c>
      <c r="T1757" s="1215" t="s">
        <v>533</v>
      </c>
      <c r="U1757" s="6" t="s">
        <v>549</v>
      </c>
      <c r="V1757" s="6" t="s">
        <v>31</v>
      </c>
      <c r="W1757" s="6" t="s">
        <v>673</v>
      </c>
      <c r="X1757" s="6" t="s">
        <v>169</v>
      </c>
    </row>
    <row r="1758" spans="1:24" ht="15" customHeight="1" x14ac:dyDescent="0.3">
      <c r="A1758" s="6" t="s">
        <v>533</v>
      </c>
      <c r="B1758" s="6" t="s">
        <v>534</v>
      </c>
      <c r="C1758" s="6" t="s">
        <v>31</v>
      </c>
      <c r="D1758" s="1088" t="s">
        <v>549</v>
      </c>
      <c r="E1758" s="6" t="s">
        <v>169</v>
      </c>
      <c r="F1758" s="6" t="s">
        <v>673</v>
      </c>
      <c r="G1758" s="6" t="s">
        <v>1133</v>
      </c>
      <c r="H1758" s="6" t="s">
        <v>1451</v>
      </c>
      <c r="J1758" s="1215" t="s">
        <v>509</v>
      </c>
      <c r="K1758" s="1219" t="s">
        <v>3033</v>
      </c>
      <c r="L1758" s="8">
        <v>18</v>
      </c>
      <c r="M1758" s="8">
        <v>100</v>
      </c>
      <c r="N1758" s="1169" t="s">
        <v>271</v>
      </c>
      <c r="P1758" s="6" t="s">
        <v>3324</v>
      </c>
      <c r="Q1758" s="1215" t="s">
        <v>253</v>
      </c>
      <c r="R1758" s="1215" t="s">
        <v>255</v>
      </c>
      <c r="S1758" s="1215" t="s">
        <v>534</v>
      </c>
      <c r="T1758" s="1215" t="s">
        <v>533</v>
      </c>
      <c r="U1758" s="6" t="s">
        <v>549</v>
      </c>
      <c r="V1758" s="6" t="s">
        <v>31</v>
      </c>
      <c r="W1758" s="6" t="s">
        <v>673</v>
      </c>
      <c r="X1758" s="6" t="s">
        <v>169</v>
      </c>
    </row>
    <row r="1759" spans="1:24" ht="15" customHeight="1" x14ac:dyDescent="0.3">
      <c r="A1759" s="6" t="s">
        <v>533</v>
      </c>
      <c r="B1759" s="6" t="s">
        <v>534</v>
      </c>
      <c r="C1759" s="6" t="s">
        <v>31</v>
      </c>
      <c r="D1759" s="1088" t="s">
        <v>549</v>
      </c>
      <c r="E1759" s="6" t="s">
        <v>169</v>
      </c>
      <c r="F1759" s="6" t="s">
        <v>673</v>
      </c>
      <c r="G1759" s="6" t="s">
        <v>2570</v>
      </c>
      <c r="H1759" s="6" t="s">
        <v>1447</v>
      </c>
      <c r="J1759" s="1215" t="s">
        <v>509</v>
      </c>
      <c r="K1759" s="1219" t="s">
        <v>3112</v>
      </c>
      <c r="L1759" s="8">
        <v>10</v>
      </c>
      <c r="M1759" s="8">
        <v>54</v>
      </c>
      <c r="N1759" s="1169" t="s">
        <v>272</v>
      </c>
      <c r="P1759" s="6" t="s">
        <v>3324</v>
      </c>
      <c r="Q1759" s="1215" t="s">
        <v>253</v>
      </c>
      <c r="R1759" s="1215" t="s">
        <v>255</v>
      </c>
      <c r="S1759" s="1215" t="s">
        <v>534</v>
      </c>
      <c r="T1759" s="1215" t="s">
        <v>533</v>
      </c>
      <c r="U1759" s="6" t="s">
        <v>549</v>
      </c>
      <c r="V1759" s="6" t="s">
        <v>31</v>
      </c>
      <c r="W1759" s="6" t="s">
        <v>673</v>
      </c>
      <c r="X1759" s="6" t="s">
        <v>169</v>
      </c>
    </row>
    <row r="1760" spans="1:24" ht="15" customHeight="1" x14ac:dyDescent="0.3">
      <c r="A1760" s="6" t="s">
        <v>533</v>
      </c>
      <c r="B1760" s="6" t="s">
        <v>534</v>
      </c>
      <c r="C1760" s="6" t="s">
        <v>31</v>
      </c>
      <c r="D1760" s="1088" t="s">
        <v>549</v>
      </c>
      <c r="E1760" s="6" t="s">
        <v>169</v>
      </c>
      <c r="F1760" s="6" t="s">
        <v>673</v>
      </c>
      <c r="G1760" s="6" t="s">
        <v>2570</v>
      </c>
      <c r="H1760" s="6" t="s">
        <v>1447</v>
      </c>
      <c r="J1760" s="1215" t="s">
        <v>509</v>
      </c>
      <c r="K1760" s="1219" t="s">
        <v>3111</v>
      </c>
      <c r="L1760" s="8">
        <v>25</v>
      </c>
      <c r="M1760" s="8">
        <v>60</v>
      </c>
      <c r="N1760" s="6" t="s">
        <v>272</v>
      </c>
      <c r="P1760" s="6" t="s">
        <v>3324</v>
      </c>
      <c r="Q1760" s="1215" t="s">
        <v>253</v>
      </c>
      <c r="R1760" s="1215" t="s">
        <v>255</v>
      </c>
      <c r="S1760" s="1215" t="s">
        <v>534</v>
      </c>
      <c r="T1760" s="1215" t="s">
        <v>533</v>
      </c>
      <c r="U1760" s="6" t="s">
        <v>549</v>
      </c>
      <c r="V1760" s="6" t="s">
        <v>31</v>
      </c>
      <c r="W1760" s="6" t="s">
        <v>673</v>
      </c>
      <c r="X1760" s="6" t="s">
        <v>169</v>
      </c>
    </row>
    <row r="1761" spans="1:24" ht="15" customHeight="1" x14ac:dyDescent="0.3">
      <c r="A1761" s="6" t="s">
        <v>533</v>
      </c>
      <c r="B1761" s="6" t="s">
        <v>534</v>
      </c>
      <c r="C1761" s="6" t="s">
        <v>31</v>
      </c>
      <c r="D1761" s="1088" t="s">
        <v>549</v>
      </c>
      <c r="E1761" s="6" t="s">
        <v>169</v>
      </c>
      <c r="F1761" s="6" t="s">
        <v>673</v>
      </c>
      <c r="G1761" s="6" t="s">
        <v>1081</v>
      </c>
      <c r="H1761" s="6" t="s">
        <v>1551</v>
      </c>
      <c r="J1761" s="1215" t="s">
        <v>509</v>
      </c>
      <c r="K1761" s="1219" t="s">
        <v>3111</v>
      </c>
      <c r="L1761" s="8">
        <v>52</v>
      </c>
      <c r="M1761" s="8">
        <v>226</v>
      </c>
      <c r="N1761" s="1169" t="s">
        <v>272</v>
      </c>
      <c r="P1761" s="6" t="s">
        <v>3324</v>
      </c>
      <c r="Q1761" s="1215" t="s">
        <v>253</v>
      </c>
      <c r="R1761" s="1215" t="s">
        <v>255</v>
      </c>
      <c r="S1761" s="1215" t="s">
        <v>534</v>
      </c>
      <c r="T1761" s="1215" t="s">
        <v>533</v>
      </c>
      <c r="U1761" s="6" t="s">
        <v>549</v>
      </c>
      <c r="V1761" s="6" t="s">
        <v>31</v>
      </c>
      <c r="W1761" s="6" t="s">
        <v>673</v>
      </c>
      <c r="X1761" s="6" t="s">
        <v>169</v>
      </c>
    </row>
    <row r="1762" spans="1:24" ht="15" customHeight="1" x14ac:dyDescent="0.3">
      <c r="A1762" s="6" t="s">
        <v>533</v>
      </c>
      <c r="B1762" s="6" t="s">
        <v>534</v>
      </c>
      <c r="C1762" s="6" t="s">
        <v>31</v>
      </c>
      <c r="D1762" s="1088" t="s">
        <v>549</v>
      </c>
      <c r="E1762" s="6" t="s">
        <v>169</v>
      </c>
      <c r="F1762" s="6" t="s">
        <v>673</v>
      </c>
      <c r="G1762" s="6" t="s">
        <v>1081</v>
      </c>
      <c r="H1762" s="6" t="s">
        <v>1551</v>
      </c>
      <c r="J1762" s="1215" t="s">
        <v>509</v>
      </c>
      <c r="K1762" s="1219" t="s">
        <v>3112</v>
      </c>
      <c r="L1762" s="8">
        <v>35</v>
      </c>
      <c r="M1762" s="8">
        <v>203</v>
      </c>
      <c r="N1762" s="1169" t="s">
        <v>272</v>
      </c>
      <c r="P1762" s="6" t="s">
        <v>3324</v>
      </c>
      <c r="Q1762" s="1215" t="s">
        <v>253</v>
      </c>
      <c r="R1762" s="1215" t="s">
        <v>255</v>
      </c>
      <c r="S1762" s="1215" t="s">
        <v>534</v>
      </c>
      <c r="T1762" s="1215" t="s">
        <v>533</v>
      </c>
      <c r="U1762" s="6" t="s">
        <v>549</v>
      </c>
      <c r="V1762" s="6" t="s">
        <v>31</v>
      </c>
      <c r="W1762" s="6" t="s">
        <v>673</v>
      </c>
      <c r="X1762" s="6" t="s">
        <v>169</v>
      </c>
    </row>
    <row r="1763" spans="1:24" ht="15" customHeight="1" x14ac:dyDescent="0.3">
      <c r="A1763" s="6" t="s">
        <v>533</v>
      </c>
      <c r="B1763" s="6" t="s">
        <v>534</v>
      </c>
      <c r="C1763" s="6" t="s">
        <v>31</v>
      </c>
      <c r="D1763" s="1088" t="s">
        <v>549</v>
      </c>
      <c r="E1763" s="6" t="s">
        <v>169</v>
      </c>
      <c r="F1763" s="6" t="s">
        <v>673</v>
      </c>
      <c r="G1763" s="6" t="s">
        <v>2566</v>
      </c>
      <c r="H1763" s="6" t="s">
        <v>1563</v>
      </c>
      <c r="J1763" s="1215" t="s">
        <v>509</v>
      </c>
      <c r="K1763" s="1219" t="s">
        <v>3111</v>
      </c>
      <c r="L1763" s="8">
        <v>59</v>
      </c>
      <c r="M1763" s="8">
        <v>309</v>
      </c>
      <c r="N1763" s="6" t="s">
        <v>272</v>
      </c>
      <c r="P1763" s="6" t="s">
        <v>3324</v>
      </c>
      <c r="Q1763" s="1215" t="s">
        <v>253</v>
      </c>
      <c r="R1763" s="1215" t="s">
        <v>255</v>
      </c>
      <c r="S1763" s="1215" t="s">
        <v>534</v>
      </c>
      <c r="T1763" s="1215" t="s">
        <v>533</v>
      </c>
      <c r="U1763" s="6" t="s">
        <v>549</v>
      </c>
      <c r="V1763" s="6" t="s">
        <v>31</v>
      </c>
      <c r="W1763" s="6" t="s">
        <v>673</v>
      </c>
      <c r="X1763" s="6" t="s">
        <v>169</v>
      </c>
    </row>
    <row r="1764" spans="1:24" ht="15" customHeight="1" x14ac:dyDescent="0.3">
      <c r="A1764" s="6" t="s">
        <v>533</v>
      </c>
      <c r="B1764" s="6" t="s">
        <v>534</v>
      </c>
      <c r="C1764" s="6" t="s">
        <v>31</v>
      </c>
      <c r="D1764" s="1088" t="s">
        <v>549</v>
      </c>
      <c r="E1764" s="6" t="s">
        <v>169</v>
      </c>
      <c r="F1764" s="6" t="s">
        <v>673</v>
      </c>
      <c r="G1764" s="6" t="s">
        <v>2908</v>
      </c>
      <c r="H1764" s="6" t="s">
        <v>1180</v>
      </c>
      <c r="J1764" s="1215" t="s">
        <v>509</v>
      </c>
      <c r="K1764" s="1219" t="s">
        <v>3033</v>
      </c>
      <c r="L1764" s="8">
        <v>10</v>
      </c>
      <c r="M1764" s="8">
        <v>73</v>
      </c>
      <c r="N1764" s="1169" t="s">
        <v>271</v>
      </c>
      <c r="P1764" s="6" t="s">
        <v>3324</v>
      </c>
      <c r="Q1764" s="1215" t="s">
        <v>253</v>
      </c>
      <c r="R1764" s="1215" t="s">
        <v>255</v>
      </c>
      <c r="S1764" s="1215" t="s">
        <v>534</v>
      </c>
      <c r="T1764" s="1215" t="s">
        <v>533</v>
      </c>
      <c r="U1764" s="6" t="s">
        <v>549</v>
      </c>
      <c r="V1764" s="6" t="s">
        <v>31</v>
      </c>
      <c r="W1764" s="6" t="s">
        <v>673</v>
      </c>
      <c r="X1764" s="6" t="s">
        <v>169</v>
      </c>
    </row>
    <row r="1765" spans="1:24" ht="15" customHeight="1" x14ac:dyDescent="0.3">
      <c r="A1765" s="6" t="s">
        <v>533</v>
      </c>
      <c r="B1765" s="6" t="s">
        <v>534</v>
      </c>
      <c r="C1765" s="6" t="s">
        <v>31</v>
      </c>
      <c r="D1765" s="1088" t="s">
        <v>549</v>
      </c>
      <c r="E1765" s="6" t="s">
        <v>169</v>
      </c>
      <c r="F1765" s="6" t="s">
        <v>673</v>
      </c>
      <c r="G1765" s="6" t="s">
        <v>2903</v>
      </c>
      <c r="H1765" s="6" t="s">
        <v>1465</v>
      </c>
      <c r="J1765" s="1215" t="s">
        <v>509</v>
      </c>
      <c r="K1765" s="1219" t="s">
        <v>3033</v>
      </c>
      <c r="L1765" s="8">
        <v>30</v>
      </c>
      <c r="M1765" s="8">
        <v>150</v>
      </c>
      <c r="N1765" s="6" t="s">
        <v>271</v>
      </c>
      <c r="P1765" s="6" t="s">
        <v>3324</v>
      </c>
      <c r="Q1765" s="1215" t="s">
        <v>253</v>
      </c>
      <c r="R1765" s="1215" t="s">
        <v>255</v>
      </c>
      <c r="S1765" s="1215" t="s">
        <v>534</v>
      </c>
      <c r="T1765" s="1215" t="s">
        <v>533</v>
      </c>
      <c r="U1765" s="6" t="s">
        <v>549</v>
      </c>
      <c r="V1765" s="6" t="s">
        <v>31</v>
      </c>
      <c r="W1765" s="6" t="s">
        <v>673</v>
      </c>
      <c r="X1765" s="6" t="s">
        <v>169</v>
      </c>
    </row>
    <row r="1766" spans="1:24" ht="15" customHeight="1" x14ac:dyDescent="0.3">
      <c r="A1766" s="6" t="s">
        <v>533</v>
      </c>
      <c r="B1766" s="6" t="s">
        <v>534</v>
      </c>
      <c r="C1766" s="6" t="s">
        <v>31</v>
      </c>
      <c r="D1766" s="1088" t="s">
        <v>549</v>
      </c>
      <c r="E1766" s="6" t="s">
        <v>169</v>
      </c>
      <c r="F1766" s="6" t="s">
        <v>673</v>
      </c>
      <c r="G1766" s="6" t="s">
        <v>550</v>
      </c>
      <c r="H1766" s="6" t="s">
        <v>3142</v>
      </c>
      <c r="I1766" s="6" t="s">
        <v>3142</v>
      </c>
      <c r="J1766" s="1215" t="s">
        <v>509</v>
      </c>
      <c r="K1766" s="1219" t="s">
        <v>3112</v>
      </c>
      <c r="L1766" s="8">
        <v>40</v>
      </c>
      <c r="M1766" s="8">
        <v>250</v>
      </c>
      <c r="N1766" s="1169" t="s">
        <v>272</v>
      </c>
      <c r="P1766" s="6" t="s">
        <v>3324</v>
      </c>
      <c r="Q1766" s="1215" t="s">
        <v>253</v>
      </c>
      <c r="R1766" s="1215" t="s">
        <v>255</v>
      </c>
      <c r="S1766" s="1215" t="s">
        <v>534</v>
      </c>
      <c r="T1766" s="1215" t="s">
        <v>533</v>
      </c>
      <c r="U1766" s="6" t="s">
        <v>549</v>
      </c>
      <c r="V1766" s="6" t="s">
        <v>31</v>
      </c>
      <c r="W1766" s="6" t="s">
        <v>673</v>
      </c>
      <c r="X1766" s="6" t="s">
        <v>169</v>
      </c>
    </row>
    <row r="1767" spans="1:24" ht="15" customHeight="1" x14ac:dyDescent="0.3">
      <c r="A1767" s="6" t="s">
        <v>533</v>
      </c>
      <c r="B1767" s="6" t="s">
        <v>534</v>
      </c>
      <c r="C1767" s="6" t="s">
        <v>31</v>
      </c>
      <c r="D1767" s="1088" t="s">
        <v>549</v>
      </c>
      <c r="E1767" s="6" t="s">
        <v>169</v>
      </c>
      <c r="F1767" s="6" t="s">
        <v>673</v>
      </c>
      <c r="G1767" s="6" t="s">
        <v>2909</v>
      </c>
      <c r="H1767" s="6" t="s">
        <v>826</v>
      </c>
      <c r="J1767" s="1215" t="s">
        <v>509</v>
      </c>
      <c r="K1767" s="1219" t="s">
        <v>3111</v>
      </c>
      <c r="L1767" s="8">
        <v>9</v>
      </c>
      <c r="M1767" s="8">
        <v>50</v>
      </c>
      <c r="N1767" s="1169" t="s">
        <v>272</v>
      </c>
      <c r="P1767" s="6" t="s">
        <v>3324</v>
      </c>
      <c r="Q1767" s="1215" t="s">
        <v>253</v>
      </c>
      <c r="R1767" s="1215" t="s">
        <v>255</v>
      </c>
      <c r="S1767" s="1215" t="s">
        <v>534</v>
      </c>
      <c r="T1767" s="1215" t="s">
        <v>533</v>
      </c>
      <c r="U1767" s="6" t="s">
        <v>549</v>
      </c>
      <c r="V1767" s="6" t="s">
        <v>31</v>
      </c>
      <c r="W1767" s="6" t="s">
        <v>673</v>
      </c>
      <c r="X1767" s="6" t="s">
        <v>169</v>
      </c>
    </row>
    <row r="1768" spans="1:24" ht="15" customHeight="1" x14ac:dyDescent="0.3">
      <c r="A1768" s="6" t="s">
        <v>533</v>
      </c>
      <c r="B1768" s="6" t="s">
        <v>534</v>
      </c>
      <c r="C1768" s="6" t="s">
        <v>31</v>
      </c>
      <c r="D1768" s="1088" t="s">
        <v>549</v>
      </c>
      <c r="E1768" s="6" t="s">
        <v>169</v>
      </c>
      <c r="F1768" s="6" t="s">
        <v>673</v>
      </c>
      <c r="G1768" s="6" t="s">
        <v>2909</v>
      </c>
      <c r="H1768" s="6" t="s">
        <v>826</v>
      </c>
      <c r="J1768" s="1215" t="s">
        <v>509</v>
      </c>
      <c r="K1768" s="1219" t="s">
        <v>3112</v>
      </c>
      <c r="L1768" s="8">
        <v>16</v>
      </c>
      <c r="M1768" s="8">
        <v>85</v>
      </c>
      <c r="N1768" s="1169" t="s">
        <v>272</v>
      </c>
      <c r="P1768" s="6" t="s">
        <v>3324</v>
      </c>
      <c r="Q1768" s="1215" t="s">
        <v>253</v>
      </c>
      <c r="R1768" s="1215" t="s">
        <v>255</v>
      </c>
      <c r="S1768" s="1215" t="s">
        <v>534</v>
      </c>
      <c r="T1768" s="1215" t="s">
        <v>533</v>
      </c>
      <c r="U1768" s="6" t="s">
        <v>549</v>
      </c>
      <c r="V1768" s="6" t="s">
        <v>31</v>
      </c>
      <c r="W1768" s="6" t="s">
        <v>673</v>
      </c>
      <c r="X1768" s="6" t="s">
        <v>169</v>
      </c>
    </row>
    <row r="1769" spans="1:24" ht="15" customHeight="1" x14ac:dyDescent="0.3">
      <c r="A1769" s="6" t="s">
        <v>533</v>
      </c>
      <c r="B1769" s="6" t="s">
        <v>534</v>
      </c>
      <c r="C1769" s="6" t="s">
        <v>31</v>
      </c>
      <c r="D1769" s="1088" t="s">
        <v>549</v>
      </c>
      <c r="E1769" s="6" t="s">
        <v>169</v>
      </c>
      <c r="F1769" s="6" t="s">
        <v>673</v>
      </c>
      <c r="G1769" s="6" t="s">
        <v>550</v>
      </c>
      <c r="H1769" s="6" t="s">
        <v>3171</v>
      </c>
      <c r="I1769" s="6" t="s">
        <v>3171</v>
      </c>
      <c r="J1769" s="1215" t="s">
        <v>509</v>
      </c>
      <c r="K1769" s="1219" t="s">
        <v>3112</v>
      </c>
      <c r="L1769" s="8">
        <v>131</v>
      </c>
      <c r="M1769" s="8">
        <v>1186</v>
      </c>
      <c r="N1769" s="1169" t="s">
        <v>272</v>
      </c>
      <c r="P1769" s="6" t="s">
        <v>3324</v>
      </c>
      <c r="Q1769" s="1215" t="s">
        <v>253</v>
      </c>
      <c r="R1769" s="1215" t="s">
        <v>255</v>
      </c>
      <c r="S1769" s="1215" t="s">
        <v>534</v>
      </c>
      <c r="T1769" s="1215" t="s">
        <v>533</v>
      </c>
      <c r="U1769" s="6" t="s">
        <v>549</v>
      </c>
      <c r="V1769" s="6" t="s">
        <v>31</v>
      </c>
      <c r="W1769" s="6" t="s">
        <v>673</v>
      </c>
      <c r="X1769" s="6" t="s">
        <v>169</v>
      </c>
    </row>
    <row r="1770" spans="1:24" ht="15" customHeight="1" x14ac:dyDescent="0.3">
      <c r="A1770" s="6" t="s">
        <v>533</v>
      </c>
      <c r="B1770" s="6" t="s">
        <v>534</v>
      </c>
      <c r="C1770" s="6" t="s">
        <v>35</v>
      </c>
      <c r="D1770" s="1088" t="s">
        <v>567</v>
      </c>
      <c r="E1770" s="6" t="s">
        <v>193</v>
      </c>
      <c r="F1770" s="6" t="s">
        <v>863</v>
      </c>
      <c r="G1770" s="6" t="s">
        <v>550</v>
      </c>
      <c r="H1770" s="6" t="s">
        <v>3174</v>
      </c>
      <c r="I1770" s="6" t="s">
        <v>3174</v>
      </c>
      <c r="J1770" s="1215" t="s">
        <v>509</v>
      </c>
      <c r="K1770" s="1219" t="s">
        <v>3112</v>
      </c>
      <c r="L1770" s="8">
        <v>83</v>
      </c>
      <c r="M1770" s="8">
        <v>550</v>
      </c>
      <c r="N1770" s="1169" t="s">
        <v>271</v>
      </c>
      <c r="P1770" s="6" t="s">
        <v>3324</v>
      </c>
      <c r="Q1770" s="1215" t="s">
        <v>253</v>
      </c>
      <c r="R1770" s="1215" t="s">
        <v>255</v>
      </c>
      <c r="S1770" s="1215" t="s">
        <v>534</v>
      </c>
      <c r="T1770" s="1215" t="s">
        <v>533</v>
      </c>
      <c r="U1770" s="6" t="s">
        <v>567</v>
      </c>
      <c r="V1770" s="6" t="s">
        <v>35</v>
      </c>
      <c r="W1770" s="6" t="s">
        <v>863</v>
      </c>
      <c r="X1770" s="6" t="s">
        <v>193</v>
      </c>
    </row>
    <row r="1771" spans="1:24" ht="15" customHeight="1" x14ac:dyDescent="0.3">
      <c r="A1771" s="6" t="s">
        <v>533</v>
      </c>
      <c r="B1771" s="6" t="s">
        <v>534</v>
      </c>
      <c r="C1771" s="6" t="s">
        <v>35</v>
      </c>
      <c r="D1771" s="1088" t="s">
        <v>567</v>
      </c>
      <c r="E1771" s="6" t="s">
        <v>195</v>
      </c>
      <c r="F1771" s="6" t="s">
        <v>733</v>
      </c>
      <c r="G1771" s="6" t="s">
        <v>2950</v>
      </c>
      <c r="H1771" s="6" t="s">
        <v>2066</v>
      </c>
      <c r="J1771" s="1215" t="s">
        <v>509</v>
      </c>
      <c r="K1771" s="1219" t="s">
        <v>3033</v>
      </c>
      <c r="L1771" s="8">
        <v>19</v>
      </c>
      <c r="M1771" s="8">
        <v>130</v>
      </c>
      <c r="N1771" s="1169" t="s">
        <v>271</v>
      </c>
      <c r="P1771" s="6" t="s">
        <v>3323</v>
      </c>
      <c r="Q1771" s="1215" t="s">
        <v>253</v>
      </c>
      <c r="R1771" s="1215" t="s">
        <v>255</v>
      </c>
      <c r="S1771" s="1215" t="s">
        <v>534</v>
      </c>
      <c r="T1771" s="1215" t="s">
        <v>533</v>
      </c>
      <c r="U1771" s="6" t="s">
        <v>567</v>
      </c>
      <c r="V1771" s="6" t="s">
        <v>35</v>
      </c>
      <c r="W1771" s="6" t="s">
        <v>863</v>
      </c>
      <c r="X1771" s="6" t="s">
        <v>193</v>
      </c>
    </row>
    <row r="1772" spans="1:24" ht="15" customHeight="1" x14ac:dyDescent="0.3">
      <c r="A1772" s="6" t="s">
        <v>533</v>
      </c>
      <c r="B1772" s="6" t="s">
        <v>534</v>
      </c>
      <c r="C1772" s="6" t="s">
        <v>35</v>
      </c>
      <c r="D1772" s="1088" t="s">
        <v>567</v>
      </c>
      <c r="E1772" s="6" t="s">
        <v>195</v>
      </c>
      <c r="F1772" s="6" t="s">
        <v>733</v>
      </c>
      <c r="G1772" s="6" t="s">
        <v>2950</v>
      </c>
      <c r="H1772" s="6" t="s">
        <v>2066</v>
      </c>
      <c r="J1772" s="1215" t="s">
        <v>509</v>
      </c>
      <c r="K1772" s="1219" t="s">
        <v>3110</v>
      </c>
      <c r="L1772" s="8">
        <v>12</v>
      </c>
      <c r="M1772" s="8">
        <v>100</v>
      </c>
      <c r="N1772" s="1169" t="s">
        <v>271</v>
      </c>
      <c r="P1772" s="6" t="s">
        <v>3323</v>
      </c>
      <c r="Q1772" s="1215" t="s">
        <v>253</v>
      </c>
      <c r="R1772" s="1215" t="s">
        <v>255</v>
      </c>
      <c r="S1772" s="1215" t="s">
        <v>534</v>
      </c>
      <c r="T1772" s="1215" t="s">
        <v>533</v>
      </c>
      <c r="U1772" s="6" t="s">
        <v>567</v>
      </c>
      <c r="V1772" s="6" t="s">
        <v>35</v>
      </c>
      <c r="W1772" s="6" t="s">
        <v>863</v>
      </c>
      <c r="X1772" s="6" t="s">
        <v>193</v>
      </c>
    </row>
    <row r="1773" spans="1:24" ht="15" customHeight="1" x14ac:dyDescent="0.3">
      <c r="A1773" s="6" t="s">
        <v>533</v>
      </c>
      <c r="B1773" s="6" t="s">
        <v>534</v>
      </c>
      <c r="C1773" s="6" t="s">
        <v>35</v>
      </c>
      <c r="D1773" s="1088" t="s">
        <v>567</v>
      </c>
      <c r="E1773" s="6" t="s">
        <v>195</v>
      </c>
      <c r="F1773" s="6" t="s">
        <v>733</v>
      </c>
      <c r="G1773" s="6" t="s">
        <v>2950</v>
      </c>
      <c r="H1773" s="6" t="s">
        <v>2066</v>
      </c>
      <c r="J1773" s="1215" t="s">
        <v>509</v>
      </c>
      <c r="K1773" s="1219" t="s">
        <v>3112</v>
      </c>
      <c r="L1773" s="8">
        <v>50</v>
      </c>
      <c r="M1773" s="8">
        <v>147</v>
      </c>
      <c r="N1773" s="6" t="s">
        <v>271</v>
      </c>
      <c r="P1773" s="6" t="s">
        <v>3324</v>
      </c>
      <c r="Q1773" s="1215" t="s">
        <v>253</v>
      </c>
      <c r="R1773" s="1215" t="s">
        <v>255</v>
      </c>
      <c r="S1773" s="1215" t="s">
        <v>534</v>
      </c>
      <c r="T1773" s="1215" t="s">
        <v>533</v>
      </c>
      <c r="U1773" s="6" t="s">
        <v>567</v>
      </c>
      <c r="V1773" s="6" t="s">
        <v>35</v>
      </c>
      <c r="W1773" s="6" t="s">
        <v>733</v>
      </c>
      <c r="X1773" s="6" t="s">
        <v>195</v>
      </c>
    </row>
    <row r="1774" spans="1:24" ht="15" customHeight="1" x14ac:dyDescent="0.3">
      <c r="A1774" s="6" t="s">
        <v>533</v>
      </c>
      <c r="B1774" s="6" t="s">
        <v>534</v>
      </c>
      <c r="C1774" s="6" t="s">
        <v>35</v>
      </c>
      <c r="D1774" s="1088" t="s">
        <v>567</v>
      </c>
      <c r="E1774" s="6" t="s">
        <v>195</v>
      </c>
      <c r="F1774" s="6" t="s">
        <v>733</v>
      </c>
      <c r="G1774" s="6" t="s">
        <v>1032</v>
      </c>
      <c r="H1774" s="6" t="s">
        <v>1837</v>
      </c>
      <c r="J1774" s="1215" t="s">
        <v>509</v>
      </c>
      <c r="K1774" s="1219" t="s">
        <v>3109</v>
      </c>
      <c r="L1774" s="8">
        <v>15</v>
      </c>
      <c r="M1774" s="8">
        <v>75</v>
      </c>
      <c r="N1774" s="1169" t="s">
        <v>271</v>
      </c>
      <c r="P1774" s="6" t="s">
        <v>3324</v>
      </c>
      <c r="Q1774" s="1215" t="s">
        <v>253</v>
      </c>
      <c r="R1774" s="1215" t="s">
        <v>255</v>
      </c>
      <c r="S1774" s="1215" t="s">
        <v>534</v>
      </c>
      <c r="T1774" s="1215" t="s">
        <v>533</v>
      </c>
      <c r="U1774" s="6" t="s">
        <v>567</v>
      </c>
      <c r="V1774" s="6" t="s">
        <v>35</v>
      </c>
      <c r="W1774" s="6" t="s">
        <v>733</v>
      </c>
      <c r="X1774" s="6" t="s">
        <v>195</v>
      </c>
    </row>
    <row r="1775" spans="1:24" ht="15" customHeight="1" x14ac:dyDescent="0.3">
      <c r="A1775" s="6" t="s">
        <v>533</v>
      </c>
      <c r="B1775" s="6" t="s">
        <v>534</v>
      </c>
      <c r="C1775" s="6" t="s">
        <v>35</v>
      </c>
      <c r="D1775" s="1088" t="s">
        <v>567</v>
      </c>
      <c r="E1775" s="6" t="s">
        <v>195</v>
      </c>
      <c r="F1775" s="6" t="s">
        <v>733</v>
      </c>
      <c r="G1775" s="6" t="s">
        <v>1032</v>
      </c>
      <c r="H1775" s="6" t="s">
        <v>1837</v>
      </c>
      <c r="J1775" s="1215" t="s">
        <v>509</v>
      </c>
      <c r="K1775" s="1219" t="s">
        <v>3110</v>
      </c>
      <c r="L1775" s="8">
        <v>5</v>
      </c>
      <c r="M1775" s="8">
        <v>26</v>
      </c>
      <c r="N1775" s="1169" t="s">
        <v>271</v>
      </c>
      <c r="P1775" s="6" t="s">
        <v>3324</v>
      </c>
      <c r="Q1775" s="1215" t="s">
        <v>253</v>
      </c>
      <c r="R1775" s="1215" t="s">
        <v>255</v>
      </c>
      <c r="S1775" s="1215" t="s">
        <v>534</v>
      </c>
      <c r="T1775" s="1215" t="s">
        <v>533</v>
      </c>
      <c r="U1775" s="6" t="s">
        <v>567</v>
      </c>
      <c r="V1775" s="6" t="s">
        <v>35</v>
      </c>
      <c r="W1775" s="6" t="s">
        <v>733</v>
      </c>
      <c r="X1775" s="6" t="s">
        <v>195</v>
      </c>
    </row>
    <row r="1776" spans="1:24" ht="15" customHeight="1" x14ac:dyDescent="0.3">
      <c r="A1776" s="6" t="s">
        <v>533</v>
      </c>
      <c r="B1776" s="6" t="s">
        <v>534</v>
      </c>
      <c r="C1776" s="6" t="s">
        <v>35</v>
      </c>
      <c r="D1776" s="6" t="s">
        <v>567</v>
      </c>
      <c r="E1776" s="6" t="s">
        <v>195</v>
      </c>
      <c r="F1776" s="6" t="s">
        <v>733</v>
      </c>
      <c r="G1776" s="6" t="s">
        <v>1032</v>
      </c>
      <c r="H1776" s="6" t="s">
        <v>1837</v>
      </c>
      <c r="J1776" s="1215" t="s">
        <v>509</v>
      </c>
      <c r="K1776" s="1219" t="s">
        <v>3111</v>
      </c>
      <c r="L1776" s="8">
        <v>41</v>
      </c>
      <c r="M1776" s="8">
        <v>231</v>
      </c>
      <c r="N1776" s="1169" t="s">
        <v>271</v>
      </c>
      <c r="P1776" s="6" t="s">
        <v>3324</v>
      </c>
      <c r="Q1776" s="1215" t="s">
        <v>253</v>
      </c>
      <c r="R1776" s="1215" t="s">
        <v>255</v>
      </c>
      <c r="S1776" s="1215" t="s">
        <v>534</v>
      </c>
      <c r="T1776" s="1215" t="s">
        <v>533</v>
      </c>
      <c r="U1776" s="6" t="s">
        <v>567</v>
      </c>
      <c r="V1776" s="6" t="s">
        <v>35</v>
      </c>
      <c r="W1776" s="6" t="s">
        <v>733</v>
      </c>
      <c r="X1776" s="6" t="s">
        <v>195</v>
      </c>
    </row>
    <row r="1777" spans="1:24" ht="15" customHeight="1" x14ac:dyDescent="0.3">
      <c r="A1777" s="6" t="s">
        <v>533</v>
      </c>
      <c r="B1777" s="6" t="s">
        <v>534</v>
      </c>
      <c r="C1777" s="6" t="s">
        <v>31</v>
      </c>
      <c r="D1777" s="1088" t="s">
        <v>549</v>
      </c>
      <c r="E1777" s="6" t="s">
        <v>173</v>
      </c>
      <c r="F1777" s="6" t="s">
        <v>556</v>
      </c>
      <c r="G1777" s="6" t="s">
        <v>1103</v>
      </c>
      <c r="H1777" s="6" t="s">
        <v>1435</v>
      </c>
      <c r="J1777" s="1215" t="s">
        <v>509</v>
      </c>
      <c r="K1777" s="1219" t="s">
        <v>3033</v>
      </c>
      <c r="L1777" s="8">
        <v>2</v>
      </c>
      <c r="M1777" s="8">
        <v>9</v>
      </c>
      <c r="N1777" s="1169" t="s">
        <v>272</v>
      </c>
      <c r="P1777" s="6" t="s">
        <v>3324</v>
      </c>
      <c r="Q1777" s="1215" t="s">
        <v>253</v>
      </c>
      <c r="R1777" s="1215" t="s">
        <v>255</v>
      </c>
      <c r="S1777" s="1215" t="s">
        <v>534</v>
      </c>
      <c r="T1777" s="1215" t="s">
        <v>533</v>
      </c>
      <c r="U1777" s="6" t="s">
        <v>549</v>
      </c>
      <c r="V1777" s="6" t="s">
        <v>31</v>
      </c>
      <c r="W1777" s="6" t="s">
        <v>556</v>
      </c>
      <c r="X1777" s="6" t="s">
        <v>173</v>
      </c>
    </row>
    <row r="1778" spans="1:24" ht="15" customHeight="1" x14ac:dyDescent="0.3">
      <c r="A1778" s="6" t="s">
        <v>533</v>
      </c>
      <c r="B1778" s="6" t="s">
        <v>534</v>
      </c>
      <c r="C1778" s="6" t="s">
        <v>31</v>
      </c>
      <c r="D1778" s="1088" t="s">
        <v>549</v>
      </c>
      <c r="E1778" s="6" t="s">
        <v>173</v>
      </c>
      <c r="F1778" s="6" t="s">
        <v>556</v>
      </c>
      <c r="G1778" s="6" t="s">
        <v>835</v>
      </c>
      <c r="H1778" s="6" t="s">
        <v>1433</v>
      </c>
      <c r="J1778" s="1215" t="s">
        <v>509</v>
      </c>
      <c r="K1778" s="1219" t="s">
        <v>3111</v>
      </c>
      <c r="L1778" s="8">
        <v>10</v>
      </c>
      <c r="M1778" s="8">
        <v>50</v>
      </c>
      <c r="N1778" s="1169" t="s">
        <v>272</v>
      </c>
      <c r="P1778" s="6" t="s">
        <v>3324</v>
      </c>
      <c r="Q1778" s="1215" t="s">
        <v>253</v>
      </c>
      <c r="R1778" s="1215" t="s">
        <v>255</v>
      </c>
      <c r="S1778" s="1215" t="s">
        <v>534</v>
      </c>
      <c r="T1778" s="1215" t="s">
        <v>533</v>
      </c>
      <c r="U1778" s="6" t="s">
        <v>549</v>
      </c>
      <c r="V1778" s="6" t="s">
        <v>31</v>
      </c>
      <c r="W1778" s="6" t="s">
        <v>556</v>
      </c>
      <c r="X1778" s="6" t="s">
        <v>173</v>
      </c>
    </row>
    <row r="1779" spans="1:24" ht="15" customHeight="1" x14ac:dyDescent="0.3">
      <c r="A1779" s="6" t="s">
        <v>533</v>
      </c>
      <c r="B1779" s="6" t="s">
        <v>534</v>
      </c>
      <c r="C1779" s="6" t="s">
        <v>31</v>
      </c>
      <c r="D1779" s="1088" t="s">
        <v>549</v>
      </c>
      <c r="E1779" s="6" t="s">
        <v>173</v>
      </c>
      <c r="F1779" s="6" t="s">
        <v>556</v>
      </c>
      <c r="G1779" s="6" t="s">
        <v>1441</v>
      </c>
      <c r="H1779" s="6" t="s">
        <v>1590</v>
      </c>
      <c r="J1779" s="1215" t="s">
        <v>509</v>
      </c>
      <c r="K1779" s="1219" t="s">
        <v>3111</v>
      </c>
      <c r="L1779" s="8">
        <v>4</v>
      </c>
      <c r="M1779" s="8">
        <v>30</v>
      </c>
      <c r="N1779" s="1169" t="s">
        <v>272</v>
      </c>
      <c r="O1779" s="1088"/>
      <c r="P1779" s="6" t="s">
        <v>3324</v>
      </c>
      <c r="Q1779" s="1215" t="s">
        <v>253</v>
      </c>
      <c r="R1779" s="1215" t="s">
        <v>255</v>
      </c>
      <c r="S1779" s="1215" t="s">
        <v>534</v>
      </c>
      <c r="T1779" s="1215" t="s">
        <v>533</v>
      </c>
      <c r="U1779" s="6" t="s">
        <v>549</v>
      </c>
      <c r="V1779" s="6" t="s">
        <v>31</v>
      </c>
      <c r="W1779" s="6" t="s">
        <v>556</v>
      </c>
      <c r="X1779" s="6" t="s">
        <v>173</v>
      </c>
    </row>
    <row r="1780" spans="1:24" ht="15" customHeight="1" x14ac:dyDescent="0.3">
      <c r="A1780" s="6" t="s">
        <v>533</v>
      </c>
      <c r="B1780" s="6" t="s">
        <v>534</v>
      </c>
      <c r="C1780" s="6" t="s">
        <v>31</v>
      </c>
      <c r="D1780" s="1088" t="s">
        <v>549</v>
      </c>
      <c r="E1780" s="6" t="s">
        <v>173</v>
      </c>
      <c r="F1780" s="6" t="s">
        <v>556</v>
      </c>
      <c r="G1780" s="6" t="s">
        <v>1439</v>
      </c>
      <c r="H1780" s="6" t="s">
        <v>1144</v>
      </c>
      <c r="J1780" s="1215" t="s">
        <v>509</v>
      </c>
      <c r="K1780" s="1219" t="s">
        <v>3112</v>
      </c>
      <c r="L1780" s="8">
        <v>10</v>
      </c>
      <c r="M1780" s="8">
        <v>78</v>
      </c>
      <c r="N1780" s="1215" t="s">
        <v>273</v>
      </c>
      <c r="O1780" s="1215" t="s">
        <v>3382</v>
      </c>
      <c r="P1780" s="6" t="s">
        <v>3324</v>
      </c>
      <c r="Q1780" s="1215" t="s">
        <v>253</v>
      </c>
      <c r="R1780" s="1215" t="s">
        <v>255</v>
      </c>
      <c r="S1780" s="1215" t="s">
        <v>534</v>
      </c>
      <c r="T1780" s="1215" t="s">
        <v>533</v>
      </c>
      <c r="U1780" s="6" t="s">
        <v>549</v>
      </c>
      <c r="V1780" s="6" t="s">
        <v>31</v>
      </c>
      <c r="W1780" s="6" t="s">
        <v>556</v>
      </c>
      <c r="X1780" s="6" t="s">
        <v>173</v>
      </c>
    </row>
    <row r="1781" spans="1:24" ht="15" customHeight="1" x14ac:dyDescent="0.3">
      <c r="A1781" s="6" t="s">
        <v>533</v>
      </c>
      <c r="B1781" s="6" t="s">
        <v>534</v>
      </c>
      <c r="C1781" s="6" t="s">
        <v>31</v>
      </c>
      <c r="D1781" s="1088" t="s">
        <v>549</v>
      </c>
      <c r="E1781" s="6" t="s">
        <v>171</v>
      </c>
      <c r="F1781" s="6" t="s">
        <v>634</v>
      </c>
      <c r="G1781" s="6" t="s">
        <v>1986</v>
      </c>
      <c r="H1781" s="6" t="s">
        <v>813</v>
      </c>
      <c r="J1781" s="1215" t="s">
        <v>509</v>
      </c>
      <c r="K1781" s="1219" t="s">
        <v>3033</v>
      </c>
      <c r="L1781" s="8">
        <v>26</v>
      </c>
      <c r="M1781" s="8">
        <v>154</v>
      </c>
      <c r="N1781" s="1169" t="s">
        <v>271</v>
      </c>
      <c r="P1781" s="6" t="s">
        <v>3324</v>
      </c>
      <c r="Q1781" s="1215" t="s">
        <v>253</v>
      </c>
      <c r="R1781" s="1215" t="s">
        <v>255</v>
      </c>
      <c r="S1781" s="1215" t="s">
        <v>534</v>
      </c>
      <c r="T1781" s="1215" t="s">
        <v>533</v>
      </c>
      <c r="U1781" s="6" t="s">
        <v>549</v>
      </c>
      <c r="V1781" s="6" t="s">
        <v>31</v>
      </c>
      <c r="W1781" s="6" t="s">
        <v>634</v>
      </c>
      <c r="X1781" s="6" t="s">
        <v>171</v>
      </c>
    </row>
    <row r="1782" spans="1:24" ht="15" customHeight="1" x14ac:dyDescent="0.3">
      <c r="A1782" s="6" t="s">
        <v>533</v>
      </c>
      <c r="B1782" s="6" t="s">
        <v>534</v>
      </c>
      <c r="C1782" s="6" t="s">
        <v>31</v>
      </c>
      <c r="D1782" s="1088" t="s">
        <v>549</v>
      </c>
      <c r="E1782" s="1088" t="s">
        <v>171</v>
      </c>
      <c r="F1782" s="6" t="s">
        <v>634</v>
      </c>
      <c r="G1782" s="6" t="s">
        <v>1986</v>
      </c>
      <c r="H1782" s="6" t="s">
        <v>813</v>
      </c>
      <c r="J1782" s="1215" t="s">
        <v>509</v>
      </c>
      <c r="K1782" s="1219" t="s">
        <v>3112</v>
      </c>
      <c r="L1782" s="8">
        <v>10</v>
      </c>
      <c r="M1782" s="8">
        <v>24</v>
      </c>
      <c r="N1782" s="1169" t="s">
        <v>272</v>
      </c>
      <c r="P1782" s="6" t="s">
        <v>3323</v>
      </c>
      <c r="Q1782" s="1215" t="s">
        <v>253</v>
      </c>
      <c r="R1782" s="1215" t="s">
        <v>255</v>
      </c>
      <c r="S1782" s="1215" t="s">
        <v>534</v>
      </c>
      <c r="T1782" s="1215" t="s">
        <v>533</v>
      </c>
      <c r="U1782" s="6" t="s">
        <v>549</v>
      </c>
      <c r="V1782" s="6" t="s">
        <v>31</v>
      </c>
      <c r="W1782" s="6" t="s">
        <v>673</v>
      </c>
      <c r="X1782" s="6" t="s">
        <v>169</v>
      </c>
    </row>
    <row r="1783" spans="1:24" ht="15" customHeight="1" x14ac:dyDescent="0.3">
      <c r="A1783" s="6" t="s">
        <v>533</v>
      </c>
      <c r="B1783" s="6" t="s">
        <v>534</v>
      </c>
      <c r="C1783" s="6" t="s">
        <v>31</v>
      </c>
      <c r="D1783" s="1088" t="s">
        <v>549</v>
      </c>
      <c r="E1783" s="6" t="s">
        <v>171</v>
      </c>
      <c r="F1783" s="6" t="s">
        <v>634</v>
      </c>
      <c r="G1783" s="6" t="s">
        <v>1077</v>
      </c>
      <c r="H1783" s="6" t="s">
        <v>1998</v>
      </c>
      <c r="J1783" s="1215" t="s">
        <v>509</v>
      </c>
      <c r="K1783" s="1219" t="s">
        <v>3033</v>
      </c>
      <c r="L1783" s="8">
        <v>4</v>
      </c>
      <c r="M1783" s="8">
        <v>30</v>
      </c>
      <c r="N1783" s="1169" t="s">
        <v>271</v>
      </c>
      <c r="P1783" s="6" t="s">
        <v>3324</v>
      </c>
      <c r="Q1783" s="1215" t="s">
        <v>253</v>
      </c>
      <c r="R1783" s="1215" t="s">
        <v>255</v>
      </c>
      <c r="S1783" s="1215" t="s">
        <v>534</v>
      </c>
      <c r="T1783" s="1215" t="s">
        <v>533</v>
      </c>
      <c r="U1783" s="6" t="s">
        <v>549</v>
      </c>
      <c r="V1783" s="6" t="s">
        <v>31</v>
      </c>
      <c r="W1783" s="6" t="s">
        <v>634</v>
      </c>
      <c r="X1783" s="6" t="s">
        <v>171</v>
      </c>
    </row>
    <row r="1784" spans="1:24" ht="15" customHeight="1" x14ac:dyDescent="0.3">
      <c r="A1784" s="6" t="s">
        <v>533</v>
      </c>
      <c r="B1784" s="6" t="s">
        <v>534</v>
      </c>
      <c r="C1784" s="6" t="s">
        <v>35</v>
      </c>
      <c r="D1784" s="1088" t="s">
        <v>567</v>
      </c>
      <c r="E1784" s="6" t="s">
        <v>195</v>
      </c>
      <c r="F1784" s="6" t="s">
        <v>733</v>
      </c>
      <c r="G1784" s="6" t="s">
        <v>1620</v>
      </c>
      <c r="H1784" s="6" t="s">
        <v>2096</v>
      </c>
      <c r="J1784" s="1215" t="s">
        <v>509</v>
      </c>
      <c r="K1784" s="1219" t="s">
        <v>3109</v>
      </c>
      <c r="L1784" s="8">
        <v>2</v>
      </c>
      <c r="M1784" s="8">
        <v>6</v>
      </c>
      <c r="N1784" s="1169" t="s">
        <v>271</v>
      </c>
      <c r="O1784" s="1088"/>
      <c r="P1784" s="6" t="s">
        <v>3324</v>
      </c>
      <c r="Q1784" s="1215" t="s">
        <v>253</v>
      </c>
      <c r="R1784" s="1215" t="s">
        <v>255</v>
      </c>
      <c r="S1784" s="1215" t="s">
        <v>534</v>
      </c>
      <c r="T1784" s="1215" t="s">
        <v>533</v>
      </c>
      <c r="U1784" s="6" t="s">
        <v>567</v>
      </c>
      <c r="V1784" s="6" t="s">
        <v>35</v>
      </c>
      <c r="W1784" s="6" t="s">
        <v>733</v>
      </c>
      <c r="X1784" s="6" t="s">
        <v>195</v>
      </c>
    </row>
    <row r="1785" spans="1:24" ht="15" customHeight="1" x14ac:dyDescent="0.3">
      <c r="A1785" s="6" t="s">
        <v>533</v>
      </c>
      <c r="B1785" s="6" t="s">
        <v>534</v>
      </c>
      <c r="C1785" s="6" t="s">
        <v>35</v>
      </c>
      <c r="D1785" s="6" t="s">
        <v>567</v>
      </c>
      <c r="E1785" s="6" t="s">
        <v>195</v>
      </c>
      <c r="F1785" s="6" t="s">
        <v>733</v>
      </c>
      <c r="G1785" s="6" t="s">
        <v>1620</v>
      </c>
      <c r="H1785" s="6" t="s">
        <v>2096</v>
      </c>
      <c r="J1785" s="1215" t="s">
        <v>509</v>
      </c>
      <c r="K1785" s="1219" t="s">
        <v>3110</v>
      </c>
      <c r="L1785" s="8">
        <v>4</v>
      </c>
      <c r="M1785" s="8">
        <v>9</v>
      </c>
      <c r="N1785" s="1169" t="s">
        <v>271</v>
      </c>
      <c r="P1785" s="6" t="s">
        <v>3324</v>
      </c>
      <c r="Q1785" s="1215" t="s">
        <v>253</v>
      </c>
      <c r="R1785" s="1215" t="s">
        <v>255</v>
      </c>
      <c r="S1785" s="1215" t="s">
        <v>534</v>
      </c>
      <c r="T1785" s="1215" t="s">
        <v>533</v>
      </c>
      <c r="U1785" s="6" t="s">
        <v>567</v>
      </c>
      <c r="V1785" s="6" t="s">
        <v>35</v>
      </c>
      <c r="W1785" s="6" t="s">
        <v>733</v>
      </c>
      <c r="X1785" s="6" t="s">
        <v>195</v>
      </c>
    </row>
    <row r="1786" spans="1:24" ht="15" customHeight="1" x14ac:dyDescent="0.3">
      <c r="A1786" s="6" t="s">
        <v>533</v>
      </c>
      <c r="B1786" s="6" t="s">
        <v>534</v>
      </c>
      <c r="C1786" s="6" t="s">
        <v>35</v>
      </c>
      <c r="D1786" s="1088" t="s">
        <v>567</v>
      </c>
      <c r="E1786" s="6" t="s">
        <v>195</v>
      </c>
      <c r="F1786" s="6" t="s">
        <v>733</v>
      </c>
      <c r="G1786" s="6" t="s">
        <v>1620</v>
      </c>
      <c r="H1786" s="6" t="s">
        <v>2096</v>
      </c>
      <c r="J1786" s="1215" t="s">
        <v>509</v>
      </c>
      <c r="K1786" s="1219" t="s">
        <v>3111</v>
      </c>
      <c r="L1786" s="8">
        <v>265</v>
      </c>
      <c r="M1786" s="8">
        <v>1629</v>
      </c>
      <c r="N1786" s="1169" t="s">
        <v>271</v>
      </c>
      <c r="P1786" s="6" t="s">
        <v>3324</v>
      </c>
      <c r="Q1786" s="1215" t="s">
        <v>253</v>
      </c>
      <c r="R1786" s="1215" t="s">
        <v>255</v>
      </c>
      <c r="S1786" s="1215" t="s">
        <v>534</v>
      </c>
      <c r="T1786" s="1215" t="s">
        <v>533</v>
      </c>
      <c r="U1786" s="6" t="s">
        <v>567</v>
      </c>
      <c r="V1786" s="6" t="s">
        <v>35</v>
      </c>
      <c r="W1786" s="6" t="s">
        <v>733</v>
      </c>
      <c r="X1786" s="6" t="s">
        <v>195</v>
      </c>
    </row>
    <row r="1787" spans="1:24" ht="15" customHeight="1" x14ac:dyDescent="0.3">
      <c r="A1787" s="6" t="s">
        <v>533</v>
      </c>
      <c r="B1787" s="6" t="s">
        <v>534</v>
      </c>
      <c r="C1787" s="6" t="s">
        <v>35</v>
      </c>
      <c r="D1787" s="1088" t="s">
        <v>567</v>
      </c>
      <c r="E1787" s="6" t="s">
        <v>195</v>
      </c>
      <c r="F1787" s="6" t="s">
        <v>733</v>
      </c>
      <c r="G1787" s="6" t="s">
        <v>1620</v>
      </c>
      <c r="H1787" s="6" t="s">
        <v>2096</v>
      </c>
      <c r="J1787" s="1215" t="s">
        <v>509</v>
      </c>
      <c r="K1787" s="1219" t="s">
        <v>3112</v>
      </c>
      <c r="L1787" s="8">
        <v>25</v>
      </c>
      <c r="M1787" s="8">
        <v>365</v>
      </c>
      <c r="N1787" s="1169" t="s">
        <v>271</v>
      </c>
      <c r="P1787" s="6" t="s">
        <v>3324</v>
      </c>
      <c r="Q1787" s="1215" t="s">
        <v>253</v>
      </c>
      <c r="R1787" s="1215" t="s">
        <v>255</v>
      </c>
      <c r="S1787" s="1215" t="s">
        <v>534</v>
      </c>
      <c r="T1787" s="1215" t="s">
        <v>533</v>
      </c>
      <c r="U1787" s="6" t="s">
        <v>567</v>
      </c>
      <c r="V1787" s="6" t="s">
        <v>35</v>
      </c>
      <c r="W1787" s="6" t="s">
        <v>733</v>
      </c>
      <c r="X1787" s="6" t="s">
        <v>195</v>
      </c>
    </row>
    <row r="1788" spans="1:24" ht="15" customHeight="1" x14ac:dyDescent="0.3">
      <c r="A1788" s="6" t="s">
        <v>533</v>
      </c>
      <c r="B1788" s="6" t="s">
        <v>534</v>
      </c>
      <c r="C1788" s="6" t="s">
        <v>31</v>
      </c>
      <c r="D1788" s="1088" t="s">
        <v>549</v>
      </c>
      <c r="E1788" s="6" t="s">
        <v>173</v>
      </c>
      <c r="F1788" s="6" t="s">
        <v>556</v>
      </c>
      <c r="G1788" s="6" t="s">
        <v>550</v>
      </c>
      <c r="H1788" s="6" t="s">
        <v>3144</v>
      </c>
      <c r="I1788" s="6" t="s">
        <v>3144</v>
      </c>
      <c r="J1788" s="1215" t="s">
        <v>509</v>
      </c>
      <c r="K1788" s="1219" t="s">
        <v>3111</v>
      </c>
      <c r="L1788" s="8">
        <v>67</v>
      </c>
      <c r="M1788" s="8">
        <v>570</v>
      </c>
      <c r="N1788" s="1169" t="s">
        <v>272</v>
      </c>
      <c r="O1788" s="1088"/>
      <c r="P1788" s="6" t="s">
        <v>3324</v>
      </c>
      <c r="Q1788" s="1215" t="s">
        <v>253</v>
      </c>
      <c r="R1788" s="1215" t="s">
        <v>255</v>
      </c>
      <c r="S1788" s="1215" t="s">
        <v>534</v>
      </c>
      <c r="T1788" s="1215" t="s">
        <v>533</v>
      </c>
      <c r="U1788" s="6" t="s">
        <v>549</v>
      </c>
      <c r="V1788" s="6" t="s">
        <v>31</v>
      </c>
      <c r="W1788" s="6" t="s">
        <v>556</v>
      </c>
      <c r="X1788" s="6" t="s">
        <v>173</v>
      </c>
    </row>
    <row r="1789" spans="1:24" ht="15" customHeight="1" x14ac:dyDescent="0.3">
      <c r="A1789" s="6" t="s">
        <v>533</v>
      </c>
      <c r="B1789" s="6" t="s">
        <v>534</v>
      </c>
      <c r="C1789" s="6" t="s">
        <v>31</v>
      </c>
      <c r="D1789" s="1088" t="s">
        <v>549</v>
      </c>
      <c r="E1789" s="6" t="s">
        <v>173</v>
      </c>
      <c r="F1789" s="6" t="s">
        <v>556</v>
      </c>
      <c r="G1789" s="6" t="s">
        <v>1111</v>
      </c>
      <c r="H1789" s="6" t="s">
        <v>1603</v>
      </c>
      <c r="J1789" s="1215" t="s">
        <v>509</v>
      </c>
      <c r="K1789" s="1219" t="s">
        <v>3110</v>
      </c>
      <c r="L1789" s="8">
        <v>6</v>
      </c>
      <c r="M1789" s="8">
        <v>48</v>
      </c>
      <c r="N1789" s="1169" t="s">
        <v>272</v>
      </c>
      <c r="P1789" s="6" t="s">
        <v>3324</v>
      </c>
      <c r="Q1789" s="1215" t="s">
        <v>253</v>
      </c>
      <c r="R1789" s="1215" t="s">
        <v>255</v>
      </c>
      <c r="S1789" s="1215" t="s">
        <v>534</v>
      </c>
      <c r="T1789" s="1215" t="s">
        <v>533</v>
      </c>
      <c r="U1789" s="6" t="s">
        <v>549</v>
      </c>
      <c r="V1789" s="6" t="s">
        <v>31</v>
      </c>
      <c r="W1789" s="6" t="s">
        <v>556</v>
      </c>
      <c r="X1789" s="6" t="s">
        <v>173</v>
      </c>
    </row>
    <row r="1790" spans="1:24" ht="15" customHeight="1" x14ac:dyDescent="0.3">
      <c r="A1790" s="6" t="s">
        <v>533</v>
      </c>
      <c r="B1790" s="6" t="s">
        <v>534</v>
      </c>
      <c r="C1790" s="6" t="s">
        <v>31</v>
      </c>
      <c r="D1790" s="1088" t="s">
        <v>549</v>
      </c>
      <c r="E1790" s="1169" t="s">
        <v>169</v>
      </c>
      <c r="F1790" s="6" t="s">
        <v>673</v>
      </c>
      <c r="G1790" s="6" t="s">
        <v>2572</v>
      </c>
      <c r="H1790" s="6" t="s">
        <v>1271</v>
      </c>
      <c r="J1790" s="1215" t="s">
        <v>509</v>
      </c>
      <c r="K1790" s="1219" t="s">
        <v>3033</v>
      </c>
      <c r="L1790" s="8">
        <v>16</v>
      </c>
      <c r="M1790" s="8">
        <v>117</v>
      </c>
      <c r="N1790" s="1169" t="s">
        <v>271</v>
      </c>
      <c r="P1790" s="6" t="s">
        <v>3324</v>
      </c>
      <c r="Q1790" s="1215" t="s">
        <v>253</v>
      </c>
      <c r="R1790" s="1215" t="s">
        <v>255</v>
      </c>
      <c r="S1790" s="1215" t="s">
        <v>534</v>
      </c>
      <c r="T1790" s="1215" t="s">
        <v>533</v>
      </c>
      <c r="U1790" s="6" t="s">
        <v>549</v>
      </c>
      <c r="V1790" s="6" t="s">
        <v>31</v>
      </c>
      <c r="W1790" s="6" t="s">
        <v>673</v>
      </c>
      <c r="X1790" s="6" t="s">
        <v>169</v>
      </c>
    </row>
    <row r="1791" spans="1:24" ht="15" customHeight="1" x14ac:dyDescent="0.3">
      <c r="A1791" s="6" t="s">
        <v>533</v>
      </c>
      <c r="B1791" s="6" t="s">
        <v>534</v>
      </c>
      <c r="C1791" s="6" t="s">
        <v>31</v>
      </c>
      <c r="D1791" s="1088" t="s">
        <v>549</v>
      </c>
      <c r="E1791" s="6" t="s">
        <v>171</v>
      </c>
      <c r="F1791" s="6" t="s">
        <v>634</v>
      </c>
      <c r="G1791" s="6" t="s">
        <v>1443</v>
      </c>
      <c r="H1791" s="6" t="s">
        <v>1862</v>
      </c>
      <c r="J1791" s="1215" t="s">
        <v>509</v>
      </c>
      <c r="K1791" s="1219" t="s">
        <v>3112</v>
      </c>
      <c r="L1791" s="8">
        <v>10</v>
      </c>
      <c r="M1791" s="8">
        <v>25</v>
      </c>
      <c r="N1791" s="1169" t="s">
        <v>272</v>
      </c>
      <c r="P1791" s="6" t="s">
        <v>3324</v>
      </c>
      <c r="Q1791" s="1215" t="s">
        <v>253</v>
      </c>
      <c r="R1791" s="1215" t="s">
        <v>255</v>
      </c>
      <c r="S1791" s="1215" t="s">
        <v>534</v>
      </c>
      <c r="T1791" s="1215" t="s">
        <v>533</v>
      </c>
      <c r="U1791" s="6" t="s">
        <v>549</v>
      </c>
      <c r="V1791" s="6" t="s">
        <v>31</v>
      </c>
      <c r="W1791" s="6" t="s">
        <v>634</v>
      </c>
      <c r="X1791" s="6" t="s">
        <v>171</v>
      </c>
    </row>
    <row r="1792" spans="1:24" ht="15" customHeight="1" x14ac:dyDescent="0.3">
      <c r="A1792" s="6" t="s">
        <v>533</v>
      </c>
      <c r="B1792" s="6" t="s">
        <v>534</v>
      </c>
      <c r="C1792" s="6" t="s">
        <v>32</v>
      </c>
      <c r="D1792" s="1088" t="s">
        <v>542</v>
      </c>
      <c r="E1792" s="6" t="s">
        <v>178</v>
      </c>
      <c r="F1792" s="6" t="s">
        <v>543</v>
      </c>
      <c r="G1792" s="6" t="s">
        <v>963</v>
      </c>
      <c r="H1792" s="6" t="s">
        <v>3304</v>
      </c>
      <c r="J1792" s="1215" t="s">
        <v>509</v>
      </c>
      <c r="K1792" s="1219" t="s">
        <v>3033</v>
      </c>
      <c r="L1792" s="8">
        <v>35</v>
      </c>
      <c r="M1792" s="8">
        <v>193</v>
      </c>
      <c r="N1792" s="6" t="s">
        <v>272</v>
      </c>
      <c r="P1792" s="6" t="s">
        <v>3324</v>
      </c>
      <c r="Q1792" s="1215" t="s">
        <v>253</v>
      </c>
      <c r="R1792" s="1215" t="s">
        <v>255</v>
      </c>
      <c r="S1792" s="1215" t="s">
        <v>534</v>
      </c>
      <c r="T1792" s="1215" t="s">
        <v>533</v>
      </c>
      <c r="U1792" s="6" t="s">
        <v>542</v>
      </c>
      <c r="V1792" s="6" t="s">
        <v>32</v>
      </c>
      <c r="W1792" s="6" t="s">
        <v>543</v>
      </c>
      <c r="X1792" s="6" t="s">
        <v>178</v>
      </c>
    </row>
    <row r="1793" spans="1:24" ht="15" customHeight="1" x14ac:dyDescent="0.3">
      <c r="A1793" s="6" t="s">
        <v>533</v>
      </c>
      <c r="B1793" s="6" t="s">
        <v>534</v>
      </c>
      <c r="C1793" s="6" t="s">
        <v>32</v>
      </c>
      <c r="D1793" s="1088" t="s">
        <v>542</v>
      </c>
      <c r="E1793" s="6" t="s">
        <v>178</v>
      </c>
      <c r="F1793" s="6" t="s">
        <v>543</v>
      </c>
      <c r="G1793" s="6" t="s">
        <v>963</v>
      </c>
      <c r="H1793" s="6" t="s">
        <v>3304</v>
      </c>
      <c r="J1793" s="1215" t="s">
        <v>509</v>
      </c>
      <c r="K1793" s="1219" t="s">
        <v>3109</v>
      </c>
      <c r="L1793" s="8">
        <v>0</v>
      </c>
      <c r="M1793" s="8">
        <v>2</v>
      </c>
      <c r="N1793" s="6" t="s">
        <v>272</v>
      </c>
      <c r="O1793" s="1088"/>
      <c r="P1793" s="6" t="s">
        <v>3324</v>
      </c>
      <c r="Q1793" s="1215" t="s">
        <v>253</v>
      </c>
      <c r="R1793" s="1215" t="s">
        <v>255</v>
      </c>
      <c r="S1793" s="1215" t="s">
        <v>534</v>
      </c>
      <c r="T1793" s="1215" t="s">
        <v>533</v>
      </c>
      <c r="U1793" s="6" t="s">
        <v>542</v>
      </c>
      <c r="V1793" s="6" t="s">
        <v>32</v>
      </c>
      <c r="W1793" s="6" t="s">
        <v>543</v>
      </c>
      <c r="X1793" s="6" t="s">
        <v>178</v>
      </c>
    </row>
    <row r="1794" spans="1:24" ht="15" customHeight="1" x14ac:dyDescent="0.3">
      <c r="A1794" s="6" t="s">
        <v>533</v>
      </c>
      <c r="B1794" s="6" t="s">
        <v>534</v>
      </c>
      <c r="C1794" s="6" t="s">
        <v>32</v>
      </c>
      <c r="D1794" s="1088" t="s">
        <v>542</v>
      </c>
      <c r="E1794" s="6" t="s">
        <v>178</v>
      </c>
      <c r="F1794" s="6" t="s">
        <v>543</v>
      </c>
      <c r="G1794" s="6" t="s">
        <v>963</v>
      </c>
      <c r="H1794" s="6" t="s">
        <v>3304</v>
      </c>
      <c r="J1794" s="1215" t="s">
        <v>509</v>
      </c>
      <c r="K1794" s="1219" t="s">
        <v>3110</v>
      </c>
      <c r="L1794" s="8">
        <v>2</v>
      </c>
      <c r="M1794" s="8">
        <v>14</v>
      </c>
      <c r="N1794" s="6" t="s">
        <v>272</v>
      </c>
      <c r="P1794" s="6" t="s">
        <v>3324</v>
      </c>
      <c r="Q1794" s="1215" t="s">
        <v>253</v>
      </c>
      <c r="R1794" s="1215" t="s">
        <v>255</v>
      </c>
      <c r="S1794" s="1215" t="s">
        <v>534</v>
      </c>
      <c r="T1794" s="1215" t="s">
        <v>533</v>
      </c>
      <c r="U1794" s="6" t="s">
        <v>542</v>
      </c>
      <c r="V1794" s="6" t="s">
        <v>32</v>
      </c>
      <c r="W1794" s="6" t="s">
        <v>543</v>
      </c>
      <c r="X1794" s="6" t="s">
        <v>178</v>
      </c>
    </row>
    <row r="1795" spans="1:24" ht="15" customHeight="1" x14ac:dyDescent="0.3">
      <c r="A1795" s="6" t="s">
        <v>533</v>
      </c>
      <c r="B1795" s="6" t="s">
        <v>534</v>
      </c>
      <c r="C1795" s="6" t="s">
        <v>32</v>
      </c>
      <c r="D1795" s="1088" t="s">
        <v>542</v>
      </c>
      <c r="E1795" s="6" t="s">
        <v>178</v>
      </c>
      <c r="F1795" s="6" t="s">
        <v>543</v>
      </c>
      <c r="G1795" s="6" t="s">
        <v>963</v>
      </c>
      <c r="H1795" s="6" t="s">
        <v>3304</v>
      </c>
      <c r="J1795" s="1215" t="s">
        <v>509</v>
      </c>
      <c r="K1795" s="1219" t="s">
        <v>3111</v>
      </c>
      <c r="L1795" s="8">
        <v>0</v>
      </c>
      <c r="M1795" s="8">
        <v>4</v>
      </c>
      <c r="N1795" s="1169" t="s">
        <v>272</v>
      </c>
      <c r="P1795" s="6" t="s">
        <v>3324</v>
      </c>
      <c r="Q1795" s="1215" t="s">
        <v>253</v>
      </c>
      <c r="R1795" s="1215" t="s">
        <v>255</v>
      </c>
      <c r="S1795" s="1215" t="s">
        <v>534</v>
      </c>
      <c r="T1795" s="1215" t="s">
        <v>533</v>
      </c>
      <c r="U1795" s="6" t="s">
        <v>542</v>
      </c>
      <c r="V1795" s="6" t="s">
        <v>32</v>
      </c>
      <c r="W1795" s="6" t="s">
        <v>543</v>
      </c>
      <c r="X1795" s="6" t="s">
        <v>178</v>
      </c>
    </row>
    <row r="1796" spans="1:24" ht="15" customHeight="1" x14ac:dyDescent="0.3">
      <c r="A1796" s="6" t="s">
        <v>533</v>
      </c>
      <c r="B1796" s="6" t="s">
        <v>534</v>
      </c>
      <c r="C1796" s="6" t="s">
        <v>32</v>
      </c>
      <c r="D1796" s="1088" t="s">
        <v>542</v>
      </c>
      <c r="E1796" s="6" t="s">
        <v>178</v>
      </c>
      <c r="F1796" s="6" t="s">
        <v>543</v>
      </c>
      <c r="G1796" s="6" t="s">
        <v>963</v>
      </c>
      <c r="H1796" s="6" t="s">
        <v>3304</v>
      </c>
      <c r="J1796" s="1215" t="s">
        <v>509</v>
      </c>
      <c r="K1796" s="1219" t="s">
        <v>3112</v>
      </c>
      <c r="L1796" s="8">
        <v>0</v>
      </c>
      <c r="M1796" s="8">
        <v>2</v>
      </c>
      <c r="N1796" s="1088" t="s">
        <v>272</v>
      </c>
      <c r="P1796" s="6" t="s">
        <v>3324</v>
      </c>
      <c r="Q1796" s="1215" t="s">
        <v>253</v>
      </c>
      <c r="R1796" s="1215" t="s">
        <v>255</v>
      </c>
      <c r="S1796" s="1215" t="s">
        <v>534</v>
      </c>
      <c r="T1796" s="1215" t="s">
        <v>533</v>
      </c>
      <c r="U1796" s="6" t="s">
        <v>542</v>
      </c>
      <c r="V1796" s="6" t="s">
        <v>32</v>
      </c>
      <c r="W1796" s="6" t="s">
        <v>543</v>
      </c>
      <c r="X1796" s="6" t="s">
        <v>178</v>
      </c>
    </row>
    <row r="1797" spans="1:24" ht="15" customHeight="1" x14ac:dyDescent="0.3">
      <c r="A1797" s="6" t="s">
        <v>533</v>
      </c>
      <c r="B1797" s="6" t="s">
        <v>534</v>
      </c>
      <c r="C1797" s="6" t="s">
        <v>35</v>
      </c>
      <c r="D1797" s="1088" t="s">
        <v>567</v>
      </c>
      <c r="E1797" s="6" t="s">
        <v>195</v>
      </c>
      <c r="F1797" s="6" t="s">
        <v>733</v>
      </c>
      <c r="G1797" s="6" t="s">
        <v>2921</v>
      </c>
      <c r="H1797" s="6" t="s">
        <v>2094</v>
      </c>
      <c r="J1797" s="1215" t="s">
        <v>509</v>
      </c>
      <c r="K1797" s="1219" t="s">
        <v>3109</v>
      </c>
      <c r="L1797" s="8">
        <v>3</v>
      </c>
      <c r="M1797" s="8">
        <v>73</v>
      </c>
      <c r="N1797" s="1169" t="s">
        <v>271</v>
      </c>
      <c r="P1797" s="6" t="s">
        <v>3324</v>
      </c>
      <c r="Q1797" s="1215" t="s">
        <v>253</v>
      </c>
      <c r="R1797" s="1215" t="s">
        <v>255</v>
      </c>
      <c r="S1797" s="1215" t="s">
        <v>534</v>
      </c>
      <c r="T1797" s="1215" t="s">
        <v>533</v>
      </c>
      <c r="U1797" s="6" t="s">
        <v>567</v>
      </c>
      <c r="V1797" s="6" t="s">
        <v>35</v>
      </c>
      <c r="W1797" s="6" t="s">
        <v>733</v>
      </c>
      <c r="X1797" s="6" t="s">
        <v>195</v>
      </c>
    </row>
    <row r="1798" spans="1:24" ht="15" customHeight="1" x14ac:dyDescent="0.3">
      <c r="A1798" s="6" t="s">
        <v>533</v>
      </c>
      <c r="B1798" s="6" t="s">
        <v>534</v>
      </c>
      <c r="C1798" s="6" t="s">
        <v>35</v>
      </c>
      <c r="D1798" s="1088" t="s">
        <v>567</v>
      </c>
      <c r="E1798" s="1088" t="s">
        <v>195</v>
      </c>
      <c r="F1798" s="6" t="s">
        <v>733</v>
      </c>
      <c r="G1798" s="6" t="s">
        <v>2921</v>
      </c>
      <c r="H1798" s="6" t="s">
        <v>2094</v>
      </c>
      <c r="J1798" s="1215" t="s">
        <v>509</v>
      </c>
      <c r="K1798" s="1219" t="s">
        <v>3110</v>
      </c>
      <c r="L1798" s="8">
        <v>8</v>
      </c>
      <c r="M1798" s="8">
        <v>37</v>
      </c>
      <c r="N1798" s="1169" t="s">
        <v>271</v>
      </c>
      <c r="O1798" s="1088"/>
      <c r="P1798" s="6" t="s">
        <v>3324</v>
      </c>
      <c r="Q1798" s="1215" t="s">
        <v>253</v>
      </c>
      <c r="R1798" s="1215" t="s">
        <v>255</v>
      </c>
      <c r="S1798" s="1215" t="s">
        <v>534</v>
      </c>
      <c r="T1798" s="1215" t="s">
        <v>533</v>
      </c>
      <c r="U1798" s="6" t="s">
        <v>567</v>
      </c>
      <c r="V1798" s="6" t="s">
        <v>35</v>
      </c>
      <c r="W1798" s="6" t="s">
        <v>733</v>
      </c>
      <c r="X1798" s="6" t="s">
        <v>195</v>
      </c>
    </row>
    <row r="1799" spans="1:24" ht="15" customHeight="1" x14ac:dyDescent="0.3">
      <c r="A1799" s="6" t="s">
        <v>533</v>
      </c>
      <c r="B1799" s="6" t="s">
        <v>534</v>
      </c>
      <c r="C1799" s="6" t="s">
        <v>35</v>
      </c>
      <c r="D1799" s="1088" t="s">
        <v>567</v>
      </c>
      <c r="E1799" s="1088" t="s">
        <v>195</v>
      </c>
      <c r="F1799" s="6" t="s">
        <v>733</v>
      </c>
      <c r="G1799" s="6" t="s">
        <v>2921</v>
      </c>
      <c r="H1799" s="6" t="s">
        <v>2094</v>
      </c>
      <c r="J1799" s="1215" t="s">
        <v>509</v>
      </c>
      <c r="K1799" s="1219" t="s">
        <v>3111</v>
      </c>
      <c r="L1799" s="8">
        <v>4</v>
      </c>
      <c r="M1799" s="8">
        <v>18</v>
      </c>
      <c r="N1799" s="1169" t="s">
        <v>271</v>
      </c>
      <c r="O1799" s="1088"/>
      <c r="P1799" s="6" t="s">
        <v>3324</v>
      </c>
      <c r="Q1799" s="1215" t="s">
        <v>253</v>
      </c>
      <c r="R1799" s="1215" t="s">
        <v>255</v>
      </c>
      <c r="S1799" s="1215" t="s">
        <v>534</v>
      </c>
      <c r="T1799" s="1215" t="s">
        <v>533</v>
      </c>
      <c r="U1799" s="6" t="s">
        <v>567</v>
      </c>
      <c r="V1799" s="6" t="s">
        <v>35</v>
      </c>
      <c r="W1799" s="6" t="s">
        <v>733</v>
      </c>
      <c r="X1799" s="6" t="s">
        <v>195</v>
      </c>
    </row>
    <row r="1800" spans="1:24" ht="15" customHeight="1" x14ac:dyDescent="0.3">
      <c r="A1800" s="6" t="s">
        <v>533</v>
      </c>
      <c r="B1800" s="6" t="s">
        <v>534</v>
      </c>
      <c r="C1800" s="6" t="s">
        <v>35</v>
      </c>
      <c r="D1800" s="1088" t="s">
        <v>567</v>
      </c>
      <c r="E1800" s="6" t="s">
        <v>195</v>
      </c>
      <c r="F1800" s="6" t="s">
        <v>733</v>
      </c>
      <c r="G1800" s="6" t="s">
        <v>2921</v>
      </c>
      <c r="H1800" s="6" t="s">
        <v>2094</v>
      </c>
      <c r="J1800" s="1215" t="s">
        <v>509</v>
      </c>
      <c r="K1800" s="1219" t="s">
        <v>3112</v>
      </c>
      <c r="L1800" s="8">
        <v>50</v>
      </c>
      <c r="M1800" s="8">
        <v>118</v>
      </c>
      <c r="N1800" s="6" t="s">
        <v>271</v>
      </c>
      <c r="P1800" s="6" t="s">
        <v>3324</v>
      </c>
      <c r="Q1800" s="1215" t="s">
        <v>253</v>
      </c>
      <c r="R1800" s="1215" t="s">
        <v>255</v>
      </c>
      <c r="S1800" s="1215" t="s">
        <v>534</v>
      </c>
      <c r="T1800" s="1215" t="s">
        <v>533</v>
      </c>
      <c r="U1800" s="6" t="s">
        <v>567</v>
      </c>
      <c r="V1800" s="6" t="s">
        <v>35</v>
      </c>
      <c r="W1800" s="6" t="s">
        <v>733</v>
      </c>
      <c r="X1800" s="6" t="s">
        <v>195</v>
      </c>
    </row>
    <row r="1801" spans="1:24" ht="15" customHeight="1" x14ac:dyDescent="0.3">
      <c r="A1801" s="6" t="s">
        <v>533</v>
      </c>
      <c r="B1801" s="6" t="s">
        <v>534</v>
      </c>
      <c r="C1801" s="6" t="s">
        <v>35</v>
      </c>
      <c r="D1801" s="1088" t="s">
        <v>567</v>
      </c>
      <c r="E1801" s="1088" t="s">
        <v>195</v>
      </c>
      <c r="F1801" s="6" t="s">
        <v>733</v>
      </c>
      <c r="G1801" s="1088" t="s">
        <v>3023</v>
      </c>
      <c r="H1801" s="1088" t="s">
        <v>1797</v>
      </c>
      <c r="J1801" s="1215" t="s">
        <v>509</v>
      </c>
      <c r="K1801" s="1219" t="s">
        <v>3033</v>
      </c>
      <c r="L1801" s="8">
        <v>66</v>
      </c>
      <c r="M1801" s="8">
        <v>397</v>
      </c>
      <c r="N1801" s="6" t="s">
        <v>271</v>
      </c>
      <c r="P1801" s="6" t="s">
        <v>3324</v>
      </c>
      <c r="Q1801" s="1215" t="s">
        <v>253</v>
      </c>
      <c r="R1801" s="1215" t="s">
        <v>255</v>
      </c>
      <c r="S1801" s="1215" t="s">
        <v>534</v>
      </c>
      <c r="T1801" s="1215" t="s">
        <v>533</v>
      </c>
      <c r="U1801" s="6" t="s">
        <v>567</v>
      </c>
      <c r="V1801" s="6" t="s">
        <v>35</v>
      </c>
      <c r="W1801" s="6" t="s">
        <v>733</v>
      </c>
      <c r="X1801" s="6" t="s">
        <v>195</v>
      </c>
    </row>
    <row r="1802" spans="1:24" ht="15" customHeight="1" x14ac:dyDescent="0.3">
      <c r="A1802" s="6" t="s">
        <v>533</v>
      </c>
      <c r="B1802" s="6" t="s">
        <v>534</v>
      </c>
      <c r="C1802" s="6" t="s">
        <v>35</v>
      </c>
      <c r="D1802" s="1088" t="s">
        <v>567</v>
      </c>
      <c r="E1802" s="6" t="s">
        <v>195</v>
      </c>
      <c r="F1802" s="6" t="s">
        <v>733</v>
      </c>
      <c r="G1802" s="6" t="s">
        <v>3023</v>
      </c>
      <c r="H1802" s="6" t="s">
        <v>1797</v>
      </c>
      <c r="J1802" s="1215" t="s">
        <v>509</v>
      </c>
      <c r="K1802" s="1219" t="s">
        <v>3109</v>
      </c>
      <c r="L1802" s="8">
        <v>0</v>
      </c>
      <c r="M1802" s="8">
        <v>9</v>
      </c>
      <c r="N1802" s="6" t="s">
        <v>271</v>
      </c>
      <c r="P1802" s="6" t="s">
        <v>3324</v>
      </c>
      <c r="Q1802" s="1215" t="s">
        <v>253</v>
      </c>
      <c r="R1802" s="1215" t="s">
        <v>255</v>
      </c>
      <c r="S1802" s="1215" t="s">
        <v>534</v>
      </c>
      <c r="T1802" s="1215" t="s">
        <v>533</v>
      </c>
      <c r="U1802" s="6" t="s">
        <v>567</v>
      </c>
      <c r="V1802" s="6" t="s">
        <v>35</v>
      </c>
      <c r="W1802" s="6" t="s">
        <v>733</v>
      </c>
      <c r="X1802" s="6" t="s">
        <v>195</v>
      </c>
    </row>
    <row r="1803" spans="1:24" ht="15" customHeight="1" x14ac:dyDescent="0.3">
      <c r="A1803" s="6" t="s">
        <v>533</v>
      </c>
      <c r="B1803" s="6" t="s">
        <v>534</v>
      </c>
      <c r="C1803" s="6" t="s">
        <v>35</v>
      </c>
      <c r="D1803" s="1088" t="s">
        <v>567</v>
      </c>
      <c r="E1803" s="6" t="s">
        <v>195</v>
      </c>
      <c r="F1803" s="6" t="s">
        <v>733</v>
      </c>
      <c r="G1803" s="6" t="s">
        <v>3023</v>
      </c>
      <c r="H1803" s="6" t="s">
        <v>1797</v>
      </c>
      <c r="J1803" s="1215" t="s">
        <v>509</v>
      </c>
      <c r="K1803" s="1219" t="s">
        <v>3110</v>
      </c>
      <c r="L1803" s="8">
        <v>12</v>
      </c>
      <c r="M1803" s="8">
        <v>60</v>
      </c>
      <c r="N1803" s="1169" t="s">
        <v>271</v>
      </c>
      <c r="P1803" s="6" t="s">
        <v>3324</v>
      </c>
      <c r="Q1803" s="1215" t="s">
        <v>253</v>
      </c>
      <c r="R1803" s="1215" t="s">
        <v>255</v>
      </c>
      <c r="S1803" s="1215" t="s">
        <v>534</v>
      </c>
      <c r="T1803" s="1215" t="s">
        <v>533</v>
      </c>
      <c r="U1803" s="6" t="s">
        <v>567</v>
      </c>
      <c r="V1803" s="6" t="s">
        <v>35</v>
      </c>
      <c r="W1803" s="6" t="s">
        <v>733</v>
      </c>
      <c r="X1803" s="6" t="s">
        <v>195</v>
      </c>
    </row>
    <row r="1804" spans="1:24" ht="15" customHeight="1" x14ac:dyDescent="0.3">
      <c r="A1804" s="6" t="s">
        <v>533</v>
      </c>
      <c r="B1804" s="6" t="s">
        <v>534</v>
      </c>
      <c r="C1804" s="6" t="s">
        <v>35</v>
      </c>
      <c r="D1804" s="1088" t="s">
        <v>567</v>
      </c>
      <c r="E1804" s="6" t="s">
        <v>195</v>
      </c>
      <c r="F1804" s="6" t="s">
        <v>733</v>
      </c>
      <c r="G1804" s="6" t="s">
        <v>3023</v>
      </c>
      <c r="H1804" s="6" t="s">
        <v>1797</v>
      </c>
      <c r="J1804" s="1215" t="s">
        <v>509</v>
      </c>
      <c r="K1804" s="1219" t="s">
        <v>3111</v>
      </c>
      <c r="L1804" s="8">
        <v>15</v>
      </c>
      <c r="M1804" s="8">
        <v>59</v>
      </c>
      <c r="N1804" s="1169" t="s">
        <v>271</v>
      </c>
      <c r="P1804" s="6" t="s">
        <v>3324</v>
      </c>
      <c r="Q1804" s="1215" t="s">
        <v>253</v>
      </c>
      <c r="R1804" s="1215" t="s">
        <v>255</v>
      </c>
      <c r="S1804" s="1215" t="s">
        <v>534</v>
      </c>
      <c r="T1804" s="1215" t="s">
        <v>533</v>
      </c>
      <c r="U1804" s="6" t="s">
        <v>567</v>
      </c>
      <c r="V1804" s="6" t="s">
        <v>35</v>
      </c>
      <c r="W1804" s="6" t="s">
        <v>733</v>
      </c>
      <c r="X1804" s="6" t="s">
        <v>195</v>
      </c>
    </row>
    <row r="1805" spans="1:24" ht="15" customHeight="1" x14ac:dyDescent="0.3">
      <c r="A1805" s="6" t="s">
        <v>533</v>
      </c>
      <c r="B1805" s="6" t="s">
        <v>534</v>
      </c>
      <c r="C1805" s="6" t="s">
        <v>35</v>
      </c>
      <c r="D1805" s="1088" t="s">
        <v>567</v>
      </c>
      <c r="E1805" s="6" t="s">
        <v>195</v>
      </c>
      <c r="F1805" s="6" t="s">
        <v>733</v>
      </c>
      <c r="G1805" s="6" t="s">
        <v>3023</v>
      </c>
      <c r="H1805" s="6" t="s">
        <v>1797</v>
      </c>
      <c r="J1805" s="1215" t="s">
        <v>509</v>
      </c>
      <c r="K1805" s="1219" t="s">
        <v>3112</v>
      </c>
      <c r="L1805" s="8">
        <v>60</v>
      </c>
      <c r="M1805" s="8">
        <v>98</v>
      </c>
      <c r="N1805" s="6" t="s">
        <v>271</v>
      </c>
      <c r="P1805" s="6" t="s">
        <v>3324</v>
      </c>
      <c r="Q1805" s="1215" t="s">
        <v>253</v>
      </c>
      <c r="R1805" s="1215" t="s">
        <v>255</v>
      </c>
      <c r="S1805" s="1215" t="s">
        <v>534</v>
      </c>
      <c r="T1805" s="1215" t="s">
        <v>533</v>
      </c>
      <c r="U1805" s="6" t="s">
        <v>567</v>
      </c>
      <c r="V1805" s="6" t="s">
        <v>35</v>
      </c>
      <c r="W1805" s="6" t="s">
        <v>733</v>
      </c>
      <c r="X1805" s="6" t="s">
        <v>195</v>
      </c>
    </row>
    <row r="1806" spans="1:24" ht="15" customHeight="1" x14ac:dyDescent="0.3">
      <c r="A1806" s="6" t="s">
        <v>533</v>
      </c>
      <c r="B1806" s="6" t="s">
        <v>534</v>
      </c>
      <c r="C1806" s="6" t="s">
        <v>35</v>
      </c>
      <c r="D1806" s="1088" t="s">
        <v>567</v>
      </c>
      <c r="E1806" s="6" t="s">
        <v>195</v>
      </c>
      <c r="F1806" s="6" t="s">
        <v>733</v>
      </c>
      <c r="G1806" s="6" t="s">
        <v>1614</v>
      </c>
      <c r="H1806" s="6" t="s">
        <v>3313</v>
      </c>
      <c r="J1806" s="1215" t="s">
        <v>509</v>
      </c>
      <c r="K1806" s="1219" t="s">
        <v>3033</v>
      </c>
      <c r="L1806" s="8">
        <v>552</v>
      </c>
      <c r="M1806" s="8">
        <v>2068</v>
      </c>
      <c r="N1806" s="6" t="s">
        <v>271</v>
      </c>
      <c r="P1806" s="6" t="s">
        <v>3324</v>
      </c>
      <c r="Q1806" s="1215" t="s">
        <v>253</v>
      </c>
      <c r="R1806" s="1215" t="s">
        <v>255</v>
      </c>
      <c r="S1806" s="1215" t="s">
        <v>534</v>
      </c>
      <c r="T1806" s="1215" t="s">
        <v>533</v>
      </c>
      <c r="U1806" s="6" t="s">
        <v>567</v>
      </c>
      <c r="V1806" s="6" t="s">
        <v>35</v>
      </c>
      <c r="W1806" s="6" t="s">
        <v>733</v>
      </c>
      <c r="X1806" s="6" t="s">
        <v>195</v>
      </c>
    </row>
    <row r="1807" spans="1:24" ht="15" customHeight="1" x14ac:dyDescent="0.3">
      <c r="A1807" s="6" t="s">
        <v>533</v>
      </c>
      <c r="B1807" s="6" t="s">
        <v>534</v>
      </c>
      <c r="C1807" s="6" t="s">
        <v>35</v>
      </c>
      <c r="D1807" s="1088" t="s">
        <v>567</v>
      </c>
      <c r="E1807" s="6" t="s">
        <v>195</v>
      </c>
      <c r="F1807" s="6" t="s">
        <v>733</v>
      </c>
      <c r="G1807" s="6" t="s">
        <v>1614</v>
      </c>
      <c r="H1807" s="6" t="s">
        <v>3313</v>
      </c>
      <c r="J1807" s="1215" t="s">
        <v>509</v>
      </c>
      <c r="K1807" s="1219" t="s">
        <v>3109</v>
      </c>
      <c r="L1807" s="8">
        <v>50</v>
      </c>
      <c r="M1807" s="8">
        <v>164</v>
      </c>
      <c r="N1807" s="6" t="s">
        <v>271</v>
      </c>
      <c r="P1807" s="6" t="s">
        <v>3324</v>
      </c>
      <c r="Q1807" s="1215" t="s">
        <v>253</v>
      </c>
      <c r="R1807" s="1215" t="s">
        <v>255</v>
      </c>
      <c r="S1807" s="1215" t="s">
        <v>534</v>
      </c>
      <c r="T1807" s="1215" t="s">
        <v>533</v>
      </c>
      <c r="U1807" s="6" t="s">
        <v>567</v>
      </c>
      <c r="V1807" s="6" t="s">
        <v>35</v>
      </c>
      <c r="W1807" s="6" t="s">
        <v>733</v>
      </c>
      <c r="X1807" s="6" t="s">
        <v>195</v>
      </c>
    </row>
    <row r="1808" spans="1:24" ht="15" customHeight="1" x14ac:dyDescent="0.3">
      <c r="A1808" s="6" t="s">
        <v>533</v>
      </c>
      <c r="B1808" s="6" t="s">
        <v>534</v>
      </c>
      <c r="C1808" s="6" t="s">
        <v>35</v>
      </c>
      <c r="D1808" s="6" t="s">
        <v>567</v>
      </c>
      <c r="E1808" s="1088" t="s">
        <v>195</v>
      </c>
      <c r="F1808" s="6" t="s">
        <v>733</v>
      </c>
      <c r="G1808" s="6" t="s">
        <v>1614</v>
      </c>
      <c r="H1808" s="6" t="s">
        <v>3313</v>
      </c>
      <c r="J1808" s="1215" t="s">
        <v>509</v>
      </c>
      <c r="K1808" s="1219" t="s">
        <v>3110</v>
      </c>
      <c r="L1808" s="8">
        <v>30</v>
      </c>
      <c r="M1808" s="8">
        <v>185</v>
      </c>
      <c r="N1808" s="1169" t="s">
        <v>271</v>
      </c>
      <c r="P1808" s="6" t="s">
        <v>3324</v>
      </c>
      <c r="Q1808" s="1215" t="s">
        <v>253</v>
      </c>
      <c r="R1808" s="1215" t="s">
        <v>255</v>
      </c>
      <c r="S1808" s="1215" t="s">
        <v>534</v>
      </c>
      <c r="T1808" s="1215" t="s">
        <v>533</v>
      </c>
      <c r="U1808" s="6" t="s">
        <v>567</v>
      </c>
      <c r="V1808" s="6" t="s">
        <v>35</v>
      </c>
      <c r="W1808" s="6" t="s">
        <v>733</v>
      </c>
      <c r="X1808" s="6" t="s">
        <v>195</v>
      </c>
    </row>
    <row r="1809" spans="1:24" ht="15" customHeight="1" x14ac:dyDescent="0.3">
      <c r="A1809" s="6" t="s">
        <v>533</v>
      </c>
      <c r="B1809" s="6" t="s">
        <v>534</v>
      </c>
      <c r="C1809" s="6" t="s">
        <v>35</v>
      </c>
      <c r="D1809" s="1088" t="s">
        <v>567</v>
      </c>
      <c r="E1809" s="6" t="s">
        <v>195</v>
      </c>
      <c r="F1809" s="6" t="s">
        <v>733</v>
      </c>
      <c r="G1809" s="6" t="s">
        <v>1614</v>
      </c>
      <c r="H1809" s="6" t="s">
        <v>3313</v>
      </c>
      <c r="J1809" s="1215" t="s">
        <v>509</v>
      </c>
      <c r="K1809" s="1219" t="s">
        <v>3111</v>
      </c>
      <c r="L1809" s="8">
        <v>58</v>
      </c>
      <c r="M1809" s="8">
        <v>268</v>
      </c>
      <c r="N1809" s="6" t="s">
        <v>271</v>
      </c>
      <c r="P1809" s="6" t="s">
        <v>3324</v>
      </c>
      <c r="Q1809" s="1215" t="s">
        <v>253</v>
      </c>
      <c r="R1809" s="1215" t="s">
        <v>255</v>
      </c>
      <c r="S1809" s="1215" t="s">
        <v>534</v>
      </c>
      <c r="T1809" s="1215" t="s">
        <v>533</v>
      </c>
      <c r="U1809" s="6" t="s">
        <v>567</v>
      </c>
      <c r="V1809" s="6" t="s">
        <v>35</v>
      </c>
      <c r="W1809" s="6" t="s">
        <v>733</v>
      </c>
      <c r="X1809" s="6" t="s">
        <v>195</v>
      </c>
    </row>
    <row r="1810" spans="1:24" ht="15" customHeight="1" x14ac:dyDescent="0.3">
      <c r="A1810" s="6" t="s">
        <v>533</v>
      </c>
      <c r="B1810" s="6" t="s">
        <v>534</v>
      </c>
      <c r="C1810" s="6" t="s">
        <v>35</v>
      </c>
      <c r="D1810" s="6" t="s">
        <v>567</v>
      </c>
      <c r="E1810" s="1088" t="s">
        <v>195</v>
      </c>
      <c r="F1810" s="6" t="s">
        <v>733</v>
      </c>
      <c r="G1810" s="6" t="s">
        <v>1614</v>
      </c>
      <c r="H1810" s="6" t="s">
        <v>3313</v>
      </c>
      <c r="J1810" s="1215" t="s">
        <v>509</v>
      </c>
      <c r="K1810" s="1219" t="s">
        <v>3112</v>
      </c>
      <c r="L1810" s="8">
        <v>160</v>
      </c>
      <c r="M1810" s="8">
        <v>450</v>
      </c>
      <c r="N1810" s="1169" t="s">
        <v>271</v>
      </c>
      <c r="P1810" s="6" t="s">
        <v>3324</v>
      </c>
      <c r="Q1810" s="1215" t="s">
        <v>253</v>
      </c>
      <c r="R1810" s="1215" t="s">
        <v>255</v>
      </c>
      <c r="S1810" s="1215" t="s">
        <v>534</v>
      </c>
      <c r="T1810" s="1215" t="s">
        <v>533</v>
      </c>
      <c r="U1810" s="6" t="s">
        <v>567</v>
      </c>
      <c r="V1810" s="6" t="s">
        <v>35</v>
      </c>
      <c r="W1810" s="6" t="s">
        <v>733</v>
      </c>
      <c r="X1810" s="6" t="s">
        <v>195</v>
      </c>
    </row>
    <row r="1811" spans="1:24" ht="15" customHeight="1" x14ac:dyDescent="0.3">
      <c r="A1811" s="6" t="s">
        <v>533</v>
      </c>
      <c r="B1811" s="6" t="s">
        <v>534</v>
      </c>
      <c r="C1811" s="6" t="s">
        <v>35</v>
      </c>
      <c r="D1811" s="6" t="s">
        <v>567</v>
      </c>
      <c r="E1811" s="1088" t="s">
        <v>195</v>
      </c>
      <c r="F1811" s="6" t="s">
        <v>733</v>
      </c>
      <c r="G1811" s="6" t="s">
        <v>1035</v>
      </c>
      <c r="H1811" s="6" t="s">
        <v>735</v>
      </c>
      <c r="J1811" s="1215" t="s">
        <v>509</v>
      </c>
      <c r="K1811" s="1219" t="s">
        <v>3033</v>
      </c>
      <c r="L1811" s="8">
        <v>12</v>
      </c>
      <c r="M1811" s="8">
        <v>70</v>
      </c>
      <c r="N1811" s="1169" t="s">
        <v>271</v>
      </c>
      <c r="P1811" s="6" t="s">
        <v>3322</v>
      </c>
      <c r="Q1811" s="1215" t="s">
        <v>253</v>
      </c>
      <c r="R1811" s="1215" t="s">
        <v>255</v>
      </c>
      <c r="S1811" s="1215" t="s">
        <v>534</v>
      </c>
      <c r="T1811" s="1215" t="s">
        <v>533</v>
      </c>
      <c r="U1811" s="6" t="s">
        <v>539</v>
      </c>
      <c r="V1811" s="6" t="s">
        <v>34</v>
      </c>
    </row>
    <row r="1812" spans="1:24" ht="15" customHeight="1" x14ac:dyDescent="0.3">
      <c r="A1812" s="6" t="s">
        <v>533</v>
      </c>
      <c r="B1812" s="6" t="s">
        <v>534</v>
      </c>
      <c r="C1812" s="6" t="s">
        <v>35</v>
      </c>
      <c r="D1812" s="6" t="s">
        <v>567</v>
      </c>
      <c r="E1812" s="1088" t="s">
        <v>195</v>
      </c>
      <c r="F1812" s="6" t="s">
        <v>733</v>
      </c>
      <c r="G1812" s="6" t="s">
        <v>1035</v>
      </c>
      <c r="H1812" s="6" t="s">
        <v>735</v>
      </c>
      <c r="J1812" s="1215" t="s">
        <v>509</v>
      </c>
      <c r="K1812" s="1219" t="s">
        <v>3112</v>
      </c>
      <c r="L1812" s="8">
        <v>1</v>
      </c>
      <c r="M1812" s="8">
        <v>7</v>
      </c>
      <c r="N1812" s="1169" t="s">
        <v>271</v>
      </c>
      <c r="P1812" s="6" t="s">
        <v>3324</v>
      </c>
      <c r="Q1812" s="1215" t="s">
        <v>253</v>
      </c>
      <c r="R1812" s="1215" t="s">
        <v>255</v>
      </c>
      <c r="S1812" s="1215" t="s">
        <v>534</v>
      </c>
      <c r="T1812" s="1215" t="s">
        <v>533</v>
      </c>
      <c r="U1812" s="6" t="s">
        <v>567</v>
      </c>
      <c r="V1812" s="6" t="s">
        <v>35</v>
      </c>
      <c r="W1812" s="6" t="s">
        <v>733</v>
      </c>
      <c r="X1812" s="6" t="s">
        <v>195</v>
      </c>
    </row>
    <row r="1813" spans="1:24" ht="15" customHeight="1" x14ac:dyDescent="0.3">
      <c r="A1813" s="6" t="s">
        <v>533</v>
      </c>
      <c r="B1813" s="6" t="s">
        <v>534</v>
      </c>
      <c r="C1813" s="6" t="s">
        <v>35</v>
      </c>
      <c r="D1813" s="1088" t="s">
        <v>567</v>
      </c>
      <c r="E1813" s="6" t="s">
        <v>195</v>
      </c>
      <c r="F1813" s="6" t="s">
        <v>733</v>
      </c>
      <c r="G1813" s="6" t="s">
        <v>2642</v>
      </c>
      <c r="H1813" s="6" t="s">
        <v>793</v>
      </c>
      <c r="J1813" s="1215" t="s">
        <v>509</v>
      </c>
      <c r="K1813" s="1219" t="s">
        <v>3033</v>
      </c>
      <c r="L1813" s="8">
        <v>9</v>
      </c>
      <c r="M1813" s="8">
        <v>49</v>
      </c>
      <c r="N1813" s="6" t="s">
        <v>271</v>
      </c>
      <c r="P1813" s="6" t="s">
        <v>3324</v>
      </c>
      <c r="Q1813" s="1215" t="s">
        <v>253</v>
      </c>
      <c r="R1813" s="1215" t="s">
        <v>255</v>
      </c>
      <c r="S1813" s="1215" t="s">
        <v>534</v>
      </c>
      <c r="T1813" s="1215" t="s">
        <v>533</v>
      </c>
      <c r="U1813" s="6" t="s">
        <v>567</v>
      </c>
      <c r="V1813" s="6" t="s">
        <v>35</v>
      </c>
      <c r="W1813" s="6" t="s">
        <v>733</v>
      </c>
      <c r="X1813" s="6" t="s">
        <v>195</v>
      </c>
    </row>
    <row r="1814" spans="1:24" ht="15" customHeight="1" x14ac:dyDescent="0.3">
      <c r="A1814" s="6" t="s">
        <v>533</v>
      </c>
      <c r="B1814" s="6" t="s">
        <v>534</v>
      </c>
      <c r="C1814" s="6" t="s">
        <v>35</v>
      </c>
      <c r="D1814" s="1088" t="s">
        <v>567</v>
      </c>
      <c r="E1814" s="6" t="s">
        <v>195</v>
      </c>
      <c r="F1814" s="6" t="s">
        <v>733</v>
      </c>
      <c r="G1814" s="6" t="s">
        <v>2642</v>
      </c>
      <c r="H1814" s="6" t="s">
        <v>793</v>
      </c>
      <c r="J1814" s="1215" t="s">
        <v>509</v>
      </c>
      <c r="K1814" s="1219" t="s">
        <v>3109</v>
      </c>
      <c r="L1814" s="8">
        <v>7</v>
      </c>
      <c r="M1814" s="8">
        <v>21</v>
      </c>
      <c r="N1814" s="6" t="s">
        <v>271</v>
      </c>
      <c r="P1814" s="6" t="s">
        <v>3324</v>
      </c>
      <c r="Q1814" s="1215" t="s">
        <v>253</v>
      </c>
      <c r="R1814" s="1215" t="s">
        <v>255</v>
      </c>
      <c r="S1814" s="1215" t="s">
        <v>534</v>
      </c>
      <c r="T1814" s="1215" t="s">
        <v>533</v>
      </c>
      <c r="U1814" s="6" t="s">
        <v>567</v>
      </c>
      <c r="V1814" s="6" t="s">
        <v>35</v>
      </c>
      <c r="W1814" s="6" t="s">
        <v>733</v>
      </c>
      <c r="X1814" s="6" t="s">
        <v>195</v>
      </c>
    </row>
    <row r="1815" spans="1:24" ht="15" customHeight="1" x14ac:dyDescent="0.3">
      <c r="A1815" s="6" t="s">
        <v>533</v>
      </c>
      <c r="B1815" s="6" t="s">
        <v>534</v>
      </c>
      <c r="C1815" s="6" t="s">
        <v>35</v>
      </c>
      <c r="D1815" s="1088" t="s">
        <v>567</v>
      </c>
      <c r="E1815" s="6" t="s">
        <v>195</v>
      </c>
      <c r="F1815" s="6" t="s">
        <v>733</v>
      </c>
      <c r="G1815" s="6" t="s">
        <v>2642</v>
      </c>
      <c r="H1815" s="6" t="s">
        <v>793</v>
      </c>
      <c r="J1815" s="1215" t="s">
        <v>509</v>
      </c>
      <c r="K1815" s="1219" t="s">
        <v>3110</v>
      </c>
      <c r="L1815" s="8">
        <v>3</v>
      </c>
      <c r="M1815" s="8">
        <v>34</v>
      </c>
      <c r="N1815" s="1169" t="s">
        <v>271</v>
      </c>
      <c r="P1815" s="6" t="s">
        <v>3324</v>
      </c>
      <c r="Q1815" s="1215" t="s">
        <v>253</v>
      </c>
      <c r="R1815" s="1215" t="s">
        <v>255</v>
      </c>
      <c r="S1815" s="1215" t="s">
        <v>534</v>
      </c>
      <c r="T1815" s="1215" t="s">
        <v>533</v>
      </c>
      <c r="U1815" s="6" t="s">
        <v>567</v>
      </c>
      <c r="V1815" s="6" t="s">
        <v>35</v>
      </c>
      <c r="W1815" s="6" t="s">
        <v>733</v>
      </c>
      <c r="X1815" s="6" t="s">
        <v>195</v>
      </c>
    </row>
    <row r="1816" spans="1:24" ht="15" customHeight="1" x14ac:dyDescent="0.3">
      <c r="A1816" s="6" t="s">
        <v>533</v>
      </c>
      <c r="B1816" s="6" t="s">
        <v>534</v>
      </c>
      <c r="C1816" s="6" t="s">
        <v>35</v>
      </c>
      <c r="D1816" s="6" t="s">
        <v>567</v>
      </c>
      <c r="E1816" s="1088" t="s">
        <v>195</v>
      </c>
      <c r="F1816" s="6" t="s">
        <v>733</v>
      </c>
      <c r="G1816" s="6" t="s">
        <v>2642</v>
      </c>
      <c r="H1816" s="6" t="s">
        <v>793</v>
      </c>
      <c r="J1816" s="1215" t="s">
        <v>509</v>
      </c>
      <c r="K1816" s="1219" t="s">
        <v>3112</v>
      </c>
      <c r="L1816" s="8">
        <v>20</v>
      </c>
      <c r="M1816" s="8">
        <v>56</v>
      </c>
      <c r="N1816" s="6" t="s">
        <v>271</v>
      </c>
      <c r="P1816" s="6" t="s">
        <v>3324</v>
      </c>
      <c r="Q1816" s="1215" t="s">
        <v>253</v>
      </c>
      <c r="R1816" s="1215" t="s">
        <v>255</v>
      </c>
      <c r="S1816" s="1215" t="s">
        <v>534</v>
      </c>
      <c r="T1816" s="1215" t="s">
        <v>533</v>
      </c>
      <c r="U1816" s="6" t="s">
        <v>567</v>
      </c>
      <c r="V1816" s="6" t="s">
        <v>35</v>
      </c>
      <c r="W1816" s="6" t="s">
        <v>733</v>
      </c>
      <c r="X1816" s="6" t="s">
        <v>195</v>
      </c>
    </row>
    <row r="1817" spans="1:24" ht="15" customHeight="1" x14ac:dyDescent="0.3">
      <c r="A1817" s="6" t="s">
        <v>533</v>
      </c>
      <c r="B1817" s="6" t="s">
        <v>534</v>
      </c>
      <c r="C1817" s="6" t="s">
        <v>35</v>
      </c>
      <c r="D1817" s="6" t="s">
        <v>567</v>
      </c>
      <c r="E1817" s="1088" t="s">
        <v>195</v>
      </c>
      <c r="F1817" s="6" t="s">
        <v>733</v>
      </c>
      <c r="G1817" s="6" t="s">
        <v>2644</v>
      </c>
      <c r="H1817" s="6" t="s">
        <v>3307</v>
      </c>
      <c r="J1817" s="1215" t="s">
        <v>509</v>
      </c>
      <c r="K1817" s="1219" t="s">
        <v>3033</v>
      </c>
      <c r="L1817" s="8">
        <v>466</v>
      </c>
      <c r="M1817" s="8">
        <v>2730</v>
      </c>
      <c r="N1817" s="1169" t="s">
        <v>271</v>
      </c>
      <c r="P1817" s="6" t="s">
        <v>3324</v>
      </c>
      <c r="Q1817" s="1215" t="s">
        <v>253</v>
      </c>
      <c r="R1817" s="1215" t="s">
        <v>255</v>
      </c>
      <c r="S1817" s="1215" t="s">
        <v>534</v>
      </c>
      <c r="T1817" s="1215" t="s">
        <v>533</v>
      </c>
      <c r="U1817" s="6" t="s">
        <v>567</v>
      </c>
      <c r="V1817" s="6" t="s">
        <v>35</v>
      </c>
      <c r="W1817" s="6" t="s">
        <v>733</v>
      </c>
      <c r="X1817" s="6" t="s">
        <v>195</v>
      </c>
    </row>
    <row r="1818" spans="1:24" ht="15" customHeight="1" x14ac:dyDescent="0.3">
      <c r="A1818" s="6" t="s">
        <v>533</v>
      </c>
      <c r="B1818" s="6" t="s">
        <v>534</v>
      </c>
      <c r="C1818" s="6" t="s">
        <v>35</v>
      </c>
      <c r="D1818" s="6" t="s">
        <v>567</v>
      </c>
      <c r="E1818" s="1088" t="s">
        <v>195</v>
      </c>
      <c r="F1818" s="6" t="s">
        <v>733</v>
      </c>
      <c r="G1818" s="6" t="s">
        <v>2644</v>
      </c>
      <c r="H1818" s="6" t="s">
        <v>3307</v>
      </c>
      <c r="J1818" s="1215" t="s">
        <v>509</v>
      </c>
      <c r="K1818" s="1219" t="s">
        <v>3110</v>
      </c>
      <c r="L1818" s="8">
        <v>0</v>
      </c>
      <c r="M1818" s="8">
        <v>1</v>
      </c>
      <c r="N1818" s="1169" t="s">
        <v>271</v>
      </c>
      <c r="O1818" s="1088"/>
      <c r="P1818" s="6" t="s">
        <v>3324</v>
      </c>
      <c r="Q1818" s="1215" t="s">
        <v>253</v>
      </c>
      <c r="R1818" s="1215" t="s">
        <v>255</v>
      </c>
      <c r="S1818" s="1215" t="s">
        <v>534</v>
      </c>
      <c r="T1818" s="1215" t="s">
        <v>533</v>
      </c>
      <c r="U1818" s="6" t="s">
        <v>567</v>
      </c>
      <c r="V1818" s="6" t="s">
        <v>35</v>
      </c>
      <c r="W1818" s="6" t="s">
        <v>733</v>
      </c>
      <c r="X1818" s="6" t="s">
        <v>195</v>
      </c>
    </row>
    <row r="1819" spans="1:24" ht="15" customHeight="1" x14ac:dyDescent="0.3">
      <c r="A1819" s="6" t="s">
        <v>533</v>
      </c>
      <c r="B1819" s="6" t="s">
        <v>534</v>
      </c>
      <c r="C1819" s="6" t="s">
        <v>35</v>
      </c>
      <c r="D1819" s="1088" t="s">
        <v>567</v>
      </c>
      <c r="E1819" s="1088" t="s">
        <v>195</v>
      </c>
      <c r="F1819" s="6" t="s">
        <v>733</v>
      </c>
      <c r="G1819" s="6" t="s">
        <v>2644</v>
      </c>
      <c r="H1819" s="6" t="s">
        <v>3307</v>
      </c>
      <c r="J1819" s="1215" t="s">
        <v>509</v>
      </c>
      <c r="K1819" s="1219" t="s">
        <v>3111</v>
      </c>
      <c r="L1819" s="8">
        <v>22</v>
      </c>
      <c r="M1819" s="8">
        <v>195</v>
      </c>
      <c r="N1819" s="1169" t="s">
        <v>271</v>
      </c>
      <c r="P1819" s="6" t="s">
        <v>3324</v>
      </c>
      <c r="Q1819" s="1215" t="s">
        <v>253</v>
      </c>
      <c r="R1819" s="1215" t="s">
        <v>255</v>
      </c>
      <c r="S1819" s="1215" t="s">
        <v>534</v>
      </c>
      <c r="T1819" s="1215" t="s">
        <v>533</v>
      </c>
      <c r="U1819" s="6" t="s">
        <v>567</v>
      </c>
      <c r="V1819" s="6" t="s">
        <v>35</v>
      </c>
      <c r="W1819" s="6" t="s">
        <v>733</v>
      </c>
      <c r="X1819" s="6" t="s">
        <v>195</v>
      </c>
    </row>
    <row r="1820" spans="1:24" ht="15" customHeight="1" x14ac:dyDescent="0.3">
      <c r="A1820" s="6" t="s">
        <v>533</v>
      </c>
      <c r="B1820" s="6" t="s">
        <v>534</v>
      </c>
      <c r="C1820" s="6" t="s">
        <v>35</v>
      </c>
      <c r="D1820" s="6" t="s">
        <v>567</v>
      </c>
      <c r="E1820" s="1088" t="s">
        <v>195</v>
      </c>
      <c r="F1820" s="6" t="s">
        <v>733</v>
      </c>
      <c r="G1820" s="6" t="s">
        <v>2644</v>
      </c>
      <c r="H1820" s="6" t="s">
        <v>3307</v>
      </c>
      <c r="J1820" s="1215" t="s">
        <v>509</v>
      </c>
      <c r="K1820" s="1219" t="s">
        <v>3112</v>
      </c>
      <c r="L1820" s="8">
        <v>75</v>
      </c>
      <c r="M1820" s="8">
        <v>200</v>
      </c>
      <c r="N1820" s="1169" t="s">
        <v>271</v>
      </c>
      <c r="P1820" s="6" t="s">
        <v>3324</v>
      </c>
      <c r="Q1820" s="1215" t="s">
        <v>253</v>
      </c>
      <c r="R1820" s="1215" t="s">
        <v>255</v>
      </c>
      <c r="S1820" s="1215" t="s">
        <v>534</v>
      </c>
      <c r="T1820" s="1215" t="s">
        <v>533</v>
      </c>
      <c r="U1820" s="6" t="s">
        <v>567</v>
      </c>
      <c r="V1820" s="6" t="s">
        <v>35</v>
      </c>
      <c r="W1820" s="6" t="s">
        <v>733</v>
      </c>
      <c r="X1820" s="6" t="s">
        <v>195</v>
      </c>
    </row>
    <row r="1821" spans="1:24" ht="15" customHeight="1" x14ac:dyDescent="0.3">
      <c r="A1821" s="6" t="s">
        <v>533</v>
      </c>
      <c r="B1821" s="6" t="s">
        <v>534</v>
      </c>
      <c r="C1821" s="6" t="s">
        <v>35</v>
      </c>
      <c r="D1821" s="6" t="s">
        <v>567</v>
      </c>
      <c r="E1821" s="1088" t="s">
        <v>195</v>
      </c>
      <c r="F1821" s="6" t="s">
        <v>733</v>
      </c>
      <c r="G1821" s="6" t="s">
        <v>1622</v>
      </c>
      <c r="H1821" s="6" t="s">
        <v>1942</v>
      </c>
      <c r="J1821" s="1215" t="s">
        <v>509</v>
      </c>
      <c r="K1821" s="1219" t="s">
        <v>3110</v>
      </c>
      <c r="L1821" s="8">
        <v>2</v>
      </c>
      <c r="M1821" s="8">
        <v>12</v>
      </c>
      <c r="N1821" s="6" t="s">
        <v>271</v>
      </c>
      <c r="P1821" s="6" t="s">
        <v>3323</v>
      </c>
      <c r="Q1821" s="1215" t="s">
        <v>253</v>
      </c>
      <c r="R1821" s="1215" t="s">
        <v>255</v>
      </c>
      <c r="S1821" s="1215" t="s">
        <v>534</v>
      </c>
      <c r="T1821" s="1215" t="s">
        <v>533</v>
      </c>
      <c r="U1821" s="6" t="s">
        <v>567</v>
      </c>
      <c r="V1821" s="6" t="s">
        <v>35</v>
      </c>
      <c r="W1821" s="6" t="s">
        <v>863</v>
      </c>
      <c r="X1821" s="1088" t="s">
        <v>193</v>
      </c>
    </row>
    <row r="1822" spans="1:24" ht="15" customHeight="1" x14ac:dyDescent="0.3">
      <c r="A1822" s="6" t="s">
        <v>533</v>
      </c>
      <c r="B1822" s="6" t="s">
        <v>534</v>
      </c>
      <c r="C1822" s="6" t="s">
        <v>35</v>
      </c>
      <c r="D1822" s="1088" t="s">
        <v>567</v>
      </c>
      <c r="E1822" s="6" t="s">
        <v>195</v>
      </c>
      <c r="F1822" s="6" t="s">
        <v>733</v>
      </c>
      <c r="G1822" s="6" t="s">
        <v>1622</v>
      </c>
      <c r="H1822" s="6" t="s">
        <v>1942</v>
      </c>
      <c r="J1822" s="1215" t="s">
        <v>509</v>
      </c>
      <c r="K1822" s="1219" t="s">
        <v>3033</v>
      </c>
      <c r="L1822" s="8">
        <v>20</v>
      </c>
      <c r="M1822" s="8">
        <v>67</v>
      </c>
      <c r="N1822" s="6" t="s">
        <v>271</v>
      </c>
      <c r="P1822" s="6" t="s">
        <v>3323</v>
      </c>
      <c r="Q1822" s="1215" t="s">
        <v>253</v>
      </c>
      <c r="R1822" s="1215" t="s">
        <v>255</v>
      </c>
      <c r="S1822" s="1215" t="s">
        <v>534</v>
      </c>
      <c r="T1822" s="1215" t="s">
        <v>533</v>
      </c>
      <c r="U1822" s="6" t="s">
        <v>567</v>
      </c>
      <c r="V1822" s="6" t="s">
        <v>35</v>
      </c>
      <c r="W1822" s="6" t="s">
        <v>863</v>
      </c>
      <c r="X1822" s="6" t="s">
        <v>193</v>
      </c>
    </row>
    <row r="1823" spans="1:24" ht="15" customHeight="1" x14ac:dyDescent="0.3">
      <c r="A1823" s="6" t="s">
        <v>533</v>
      </c>
      <c r="B1823" s="6" t="s">
        <v>534</v>
      </c>
      <c r="C1823" s="6" t="s">
        <v>35</v>
      </c>
      <c r="D1823" s="6" t="s">
        <v>567</v>
      </c>
      <c r="E1823" s="1088" t="s">
        <v>195</v>
      </c>
      <c r="F1823" s="6" t="s">
        <v>733</v>
      </c>
      <c r="G1823" s="6" t="s">
        <v>1622</v>
      </c>
      <c r="H1823" s="6" t="s">
        <v>1942</v>
      </c>
      <c r="J1823" s="1215" t="s">
        <v>509</v>
      </c>
      <c r="K1823" s="1219" t="s">
        <v>3112</v>
      </c>
      <c r="L1823" s="8">
        <v>7</v>
      </c>
      <c r="M1823" s="8">
        <v>21</v>
      </c>
      <c r="N1823" s="1169" t="s">
        <v>271</v>
      </c>
      <c r="P1823" s="6" t="s">
        <v>3323</v>
      </c>
      <c r="Q1823" s="1215" t="s">
        <v>253</v>
      </c>
      <c r="R1823" s="1215" t="s">
        <v>255</v>
      </c>
      <c r="S1823" s="1215" t="s">
        <v>534</v>
      </c>
      <c r="T1823" s="1215" t="s">
        <v>533</v>
      </c>
      <c r="U1823" s="6" t="s">
        <v>567</v>
      </c>
      <c r="V1823" s="6" t="s">
        <v>35</v>
      </c>
      <c r="W1823" s="6" t="s">
        <v>863</v>
      </c>
      <c r="X1823" s="6" t="s">
        <v>193</v>
      </c>
    </row>
    <row r="1824" spans="1:24" ht="15" customHeight="1" x14ac:dyDescent="0.3">
      <c r="A1824" s="6" t="s">
        <v>533</v>
      </c>
      <c r="B1824" s="6" t="s">
        <v>534</v>
      </c>
      <c r="C1824" s="6" t="s">
        <v>35</v>
      </c>
      <c r="D1824" s="6" t="s">
        <v>567</v>
      </c>
      <c r="E1824" s="1088" t="s">
        <v>195</v>
      </c>
      <c r="F1824" s="6" t="s">
        <v>733</v>
      </c>
      <c r="G1824" s="6" t="s">
        <v>550</v>
      </c>
      <c r="H1824" s="6" t="s">
        <v>3147</v>
      </c>
      <c r="I1824" s="6" t="s">
        <v>3147</v>
      </c>
      <c r="J1824" s="1215" t="s">
        <v>509</v>
      </c>
      <c r="K1824" s="1219" t="s">
        <v>3112</v>
      </c>
      <c r="L1824" s="8">
        <v>15</v>
      </c>
      <c r="M1824" s="8">
        <v>60</v>
      </c>
      <c r="N1824" s="1169" t="s">
        <v>271</v>
      </c>
      <c r="P1824" s="6" t="s">
        <v>3324</v>
      </c>
      <c r="Q1824" s="1215" t="s">
        <v>253</v>
      </c>
      <c r="R1824" s="1215" t="s">
        <v>255</v>
      </c>
      <c r="S1824" s="1215" t="s">
        <v>534</v>
      </c>
      <c r="T1824" s="1215" t="s">
        <v>533</v>
      </c>
      <c r="U1824" s="6" t="s">
        <v>567</v>
      </c>
      <c r="V1824" s="6" t="s">
        <v>35</v>
      </c>
      <c r="W1824" s="6" t="s">
        <v>733</v>
      </c>
      <c r="X1824" s="6" t="s">
        <v>195</v>
      </c>
    </row>
    <row r="1825" spans="1:24" ht="15" customHeight="1" x14ac:dyDescent="0.3">
      <c r="A1825" s="6" t="s">
        <v>533</v>
      </c>
      <c r="B1825" s="6" t="s">
        <v>534</v>
      </c>
      <c r="C1825" s="6" t="s">
        <v>35</v>
      </c>
      <c r="D1825" s="1088" t="s">
        <v>567</v>
      </c>
      <c r="E1825" s="6" t="s">
        <v>195</v>
      </c>
      <c r="F1825" s="6" t="s">
        <v>733</v>
      </c>
      <c r="G1825" s="6" t="s">
        <v>1689</v>
      </c>
      <c r="H1825" s="6" t="s">
        <v>1021</v>
      </c>
      <c r="J1825" s="1215" t="s">
        <v>509</v>
      </c>
      <c r="K1825" s="1219" t="s">
        <v>3033</v>
      </c>
      <c r="L1825" s="8">
        <v>20</v>
      </c>
      <c r="M1825" s="8">
        <v>120</v>
      </c>
      <c r="N1825" s="1169" t="s">
        <v>271</v>
      </c>
      <c r="P1825" s="6" t="s">
        <v>3324</v>
      </c>
      <c r="Q1825" s="1215" t="s">
        <v>253</v>
      </c>
      <c r="R1825" s="1215" t="s">
        <v>255</v>
      </c>
      <c r="S1825" s="1215" t="s">
        <v>534</v>
      </c>
      <c r="T1825" s="1215" t="s">
        <v>533</v>
      </c>
      <c r="U1825" s="6" t="s">
        <v>567</v>
      </c>
      <c r="V1825" s="6" t="s">
        <v>35</v>
      </c>
      <c r="W1825" s="6" t="s">
        <v>733</v>
      </c>
      <c r="X1825" s="6" t="s">
        <v>195</v>
      </c>
    </row>
    <row r="1826" spans="1:24" ht="15" customHeight="1" x14ac:dyDescent="0.3">
      <c r="A1826" s="6" t="s">
        <v>533</v>
      </c>
      <c r="B1826" s="6" t="s">
        <v>534</v>
      </c>
      <c r="C1826" s="6" t="s">
        <v>35</v>
      </c>
      <c r="D1826" s="1088" t="s">
        <v>567</v>
      </c>
      <c r="E1826" s="6" t="s">
        <v>195</v>
      </c>
      <c r="F1826" s="6" t="s">
        <v>733</v>
      </c>
      <c r="G1826" s="6" t="s">
        <v>1689</v>
      </c>
      <c r="H1826" s="6" t="s">
        <v>1021</v>
      </c>
      <c r="J1826" s="1215" t="s">
        <v>509</v>
      </c>
      <c r="K1826" s="1219" t="s">
        <v>3111</v>
      </c>
      <c r="L1826" s="8">
        <v>5</v>
      </c>
      <c r="M1826" s="8">
        <v>33</v>
      </c>
      <c r="N1826" s="6" t="s">
        <v>271</v>
      </c>
      <c r="P1826" s="6" t="s">
        <v>3324</v>
      </c>
      <c r="Q1826" s="1215" t="s">
        <v>253</v>
      </c>
      <c r="R1826" s="1215" t="s">
        <v>255</v>
      </c>
      <c r="S1826" s="1215" t="s">
        <v>534</v>
      </c>
      <c r="T1826" s="1215" t="s">
        <v>533</v>
      </c>
      <c r="U1826" s="6" t="s">
        <v>567</v>
      </c>
      <c r="V1826" s="6" t="s">
        <v>35</v>
      </c>
      <c r="W1826" s="6" t="s">
        <v>733</v>
      </c>
      <c r="X1826" s="6" t="s">
        <v>195</v>
      </c>
    </row>
    <row r="1827" spans="1:24" ht="15" customHeight="1" x14ac:dyDescent="0.3">
      <c r="A1827" s="6" t="s">
        <v>533</v>
      </c>
      <c r="B1827" s="6" t="s">
        <v>534</v>
      </c>
      <c r="C1827" s="6" t="s">
        <v>35</v>
      </c>
      <c r="D1827" s="1088" t="s">
        <v>567</v>
      </c>
      <c r="E1827" s="6" t="s">
        <v>195</v>
      </c>
      <c r="F1827" s="6" t="s">
        <v>733</v>
      </c>
      <c r="G1827" s="6" t="s">
        <v>1689</v>
      </c>
      <c r="H1827" s="6" t="s">
        <v>1021</v>
      </c>
      <c r="J1827" s="1215" t="s">
        <v>509</v>
      </c>
      <c r="K1827" s="1219" t="s">
        <v>3112</v>
      </c>
      <c r="L1827" s="8">
        <v>12</v>
      </c>
      <c r="M1827" s="8">
        <v>32</v>
      </c>
      <c r="N1827" s="1169" t="s">
        <v>271</v>
      </c>
      <c r="P1827" s="6" t="s">
        <v>3324</v>
      </c>
      <c r="Q1827" s="1215" t="s">
        <v>253</v>
      </c>
      <c r="R1827" s="1215" t="s">
        <v>255</v>
      </c>
      <c r="S1827" s="1215" t="s">
        <v>534</v>
      </c>
      <c r="T1827" s="1215" t="s">
        <v>533</v>
      </c>
      <c r="U1827" s="6" t="s">
        <v>567</v>
      </c>
      <c r="V1827" s="6" t="s">
        <v>35</v>
      </c>
      <c r="W1827" s="6" t="s">
        <v>733</v>
      </c>
      <c r="X1827" s="6" t="s">
        <v>195</v>
      </c>
    </row>
    <row r="1828" spans="1:24" ht="15" customHeight="1" x14ac:dyDescent="0.3">
      <c r="A1828" s="6" t="s">
        <v>533</v>
      </c>
      <c r="B1828" s="6" t="s">
        <v>534</v>
      </c>
      <c r="C1828" s="6" t="s">
        <v>35</v>
      </c>
      <c r="D1828" s="6" t="s">
        <v>567</v>
      </c>
      <c r="E1828" s="6" t="s">
        <v>195</v>
      </c>
      <c r="F1828" s="6" t="s">
        <v>733</v>
      </c>
      <c r="G1828" s="6" t="s">
        <v>1747</v>
      </c>
      <c r="H1828" s="6" t="s">
        <v>1748</v>
      </c>
      <c r="J1828" s="1215" t="s">
        <v>509</v>
      </c>
      <c r="K1828" s="1219" t="s">
        <v>3109</v>
      </c>
      <c r="L1828" s="8">
        <v>1</v>
      </c>
      <c r="M1828" s="8">
        <v>1</v>
      </c>
      <c r="N1828" s="6" t="s">
        <v>271</v>
      </c>
      <c r="O1828" s="1088"/>
      <c r="P1828" s="6" t="s">
        <v>3324</v>
      </c>
      <c r="Q1828" s="1215" t="s">
        <v>253</v>
      </c>
      <c r="R1828" s="1215" t="s">
        <v>255</v>
      </c>
      <c r="S1828" s="1215" t="s">
        <v>534</v>
      </c>
      <c r="T1828" s="1215" t="s">
        <v>533</v>
      </c>
      <c r="U1828" s="6" t="s">
        <v>567</v>
      </c>
      <c r="V1828" s="6" t="s">
        <v>35</v>
      </c>
      <c r="W1828" s="6" t="s">
        <v>733</v>
      </c>
      <c r="X1828" s="6" t="s">
        <v>195</v>
      </c>
    </row>
    <row r="1829" spans="1:24" ht="15" customHeight="1" x14ac:dyDescent="0.3">
      <c r="A1829" s="6" t="s">
        <v>533</v>
      </c>
      <c r="B1829" s="6" t="s">
        <v>534</v>
      </c>
      <c r="C1829" s="6" t="s">
        <v>35</v>
      </c>
      <c r="D1829" s="6" t="s">
        <v>567</v>
      </c>
      <c r="E1829" s="6" t="s">
        <v>195</v>
      </c>
      <c r="F1829" s="6" t="s">
        <v>733</v>
      </c>
      <c r="G1829" s="6" t="s">
        <v>1747</v>
      </c>
      <c r="H1829" s="6" t="s">
        <v>1748</v>
      </c>
      <c r="J1829" s="1215" t="s">
        <v>509</v>
      </c>
      <c r="K1829" s="1219" t="s">
        <v>3110</v>
      </c>
      <c r="L1829" s="8">
        <v>3</v>
      </c>
      <c r="M1829" s="8">
        <v>10</v>
      </c>
      <c r="N1829" s="6" t="s">
        <v>271</v>
      </c>
      <c r="P1829" s="6" t="s">
        <v>3324</v>
      </c>
      <c r="Q1829" s="1215" t="s">
        <v>253</v>
      </c>
      <c r="R1829" s="1215" t="s">
        <v>255</v>
      </c>
      <c r="S1829" s="1215" t="s">
        <v>534</v>
      </c>
      <c r="T1829" s="1215" t="s">
        <v>533</v>
      </c>
      <c r="U1829" s="6" t="s">
        <v>567</v>
      </c>
      <c r="V1829" s="6" t="s">
        <v>35</v>
      </c>
      <c r="W1829" s="6" t="s">
        <v>733</v>
      </c>
      <c r="X1829" s="6" t="s">
        <v>195</v>
      </c>
    </row>
    <row r="1830" spans="1:24" ht="15" customHeight="1" x14ac:dyDescent="0.3">
      <c r="A1830" s="6" t="s">
        <v>533</v>
      </c>
      <c r="B1830" s="6" t="s">
        <v>534</v>
      </c>
      <c r="C1830" s="6" t="s">
        <v>35</v>
      </c>
      <c r="D1830" s="6" t="s">
        <v>567</v>
      </c>
      <c r="E1830" s="6" t="s">
        <v>195</v>
      </c>
      <c r="F1830" s="6" t="s">
        <v>733</v>
      </c>
      <c r="G1830" s="6" t="s">
        <v>1460</v>
      </c>
      <c r="H1830" s="6" t="s">
        <v>1795</v>
      </c>
      <c r="J1830" s="1215" t="s">
        <v>509</v>
      </c>
      <c r="K1830" s="1219" t="s">
        <v>3033</v>
      </c>
      <c r="L1830" s="8">
        <v>2</v>
      </c>
      <c r="M1830" s="8">
        <v>14</v>
      </c>
      <c r="N1830" s="6" t="s">
        <v>271</v>
      </c>
      <c r="O1830" s="1088"/>
      <c r="P1830" s="6" t="s">
        <v>3324</v>
      </c>
      <c r="Q1830" s="1215" t="s">
        <v>253</v>
      </c>
      <c r="R1830" s="1215" t="s">
        <v>255</v>
      </c>
      <c r="S1830" s="1215" t="s">
        <v>534</v>
      </c>
      <c r="T1830" s="1215" t="s">
        <v>533</v>
      </c>
      <c r="U1830" s="6" t="s">
        <v>567</v>
      </c>
      <c r="V1830" s="6" t="s">
        <v>35</v>
      </c>
      <c r="W1830" s="6" t="s">
        <v>733</v>
      </c>
      <c r="X1830" s="6" t="s">
        <v>195</v>
      </c>
    </row>
    <row r="1831" spans="1:24" ht="15" customHeight="1" x14ac:dyDescent="0.3">
      <c r="A1831" s="6" t="s">
        <v>533</v>
      </c>
      <c r="B1831" s="6" t="s">
        <v>534</v>
      </c>
      <c r="C1831" s="6" t="s">
        <v>35</v>
      </c>
      <c r="D1831" s="1088" t="s">
        <v>567</v>
      </c>
      <c r="E1831" s="6" t="s">
        <v>195</v>
      </c>
      <c r="F1831" s="6" t="s">
        <v>733</v>
      </c>
      <c r="G1831" s="6" t="s">
        <v>1460</v>
      </c>
      <c r="H1831" s="6" t="s">
        <v>1795</v>
      </c>
      <c r="J1831" s="1215" t="s">
        <v>509</v>
      </c>
      <c r="K1831" s="1219" t="s">
        <v>3109</v>
      </c>
      <c r="L1831" s="8">
        <v>5</v>
      </c>
      <c r="M1831" s="8">
        <v>44</v>
      </c>
      <c r="N1831" s="1169" t="s">
        <v>271</v>
      </c>
      <c r="P1831" s="6" t="s">
        <v>3324</v>
      </c>
      <c r="Q1831" s="1215" t="s">
        <v>253</v>
      </c>
      <c r="R1831" s="1215" t="s">
        <v>255</v>
      </c>
      <c r="S1831" s="1215" t="s">
        <v>534</v>
      </c>
      <c r="T1831" s="1215" t="s">
        <v>533</v>
      </c>
      <c r="U1831" s="6" t="s">
        <v>567</v>
      </c>
      <c r="V1831" s="6" t="s">
        <v>35</v>
      </c>
      <c r="W1831" s="6" t="s">
        <v>733</v>
      </c>
      <c r="X1831" s="6" t="s">
        <v>195</v>
      </c>
    </row>
    <row r="1832" spans="1:24" ht="15" customHeight="1" x14ac:dyDescent="0.3">
      <c r="A1832" s="6" t="s">
        <v>533</v>
      </c>
      <c r="B1832" s="6" t="s">
        <v>534</v>
      </c>
      <c r="C1832" s="6" t="s">
        <v>35</v>
      </c>
      <c r="D1832" s="1088" t="s">
        <v>567</v>
      </c>
      <c r="E1832" s="6" t="s">
        <v>195</v>
      </c>
      <c r="F1832" s="6" t="s">
        <v>733</v>
      </c>
      <c r="G1832" s="6" t="s">
        <v>1460</v>
      </c>
      <c r="H1832" s="6" t="s">
        <v>1795</v>
      </c>
      <c r="J1832" s="1215" t="s">
        <v>509</v>
      </c>
      <c r="K1832" s="1219" t="s">
        <v>3110</v>
      </c>
      <c r="L1832" s="8">
        <v>1</v>
      </c>
      <c r="M1832" s="8">
        <v>5</v>
      </c>
      <c r="N1832" s="1169" t="s">
        <v>271</v>
      </c>
      <c r="P1832" s="6" t="s">
        <v>3324</v>
      </c>
      <c r="Q1832" s="1215" t="s">
        <v>253</v>
      </c>
      <c r="R1832" s="1215" t="s">
        <v>255</v>
      </c>
      <c r="S1832" s="1215" t="s">
        <v>534</v>
      </c>
      <c r="T1832" s="1215" t="s">
        <v>533</v>
      </c>
      <c r="U1832" s="6" t="s">
        <v>567</v>
      </c>
      <c r="V1832" s="6" t="s">
        <v>35</v>
      </c>
      <c r="W1832" s="6" t="s">
        <v>733</v>
      </c>
      <c r="X1832" s="6" t="s">
        <v>195</v>
      </c>
    </row>
    <row r="1833" spans="1:24" ht="15" customHeight="1" x14ac:dyDescent="0.3">
      <c r="A1833" s="6" t="s">
        <v>533</v>
      </c>
      <c r="B1833" s="6" t="s">
        <v>534</v>
      </c>
      <c r="C1833" s="6" t="s">
        <v>35</v>
      </c>
      <c r="D1833" s="1088" t="s">
        <v>567</v>
      </c>
      <c r="E1833" s="1088" t="s">
        <v>195</v>
      </c>
      <c r="F1833" s="6" t="s">
        <v>733</v>
      </c>
      <c r="G1833" s="6" t="s">
        <v>1460</v>
      </c>
      <c r="H1833" s="6" t="s">
        <v>1795</v>
      </c>
      <c r="J1833" s="1215" t="s">
        <v>509</v>
      </c>
      <c r="K1833" s="1219" t="s">
        <v>3111</v>
      </c>
      <c r="L1833" s="8">
        <v>18</v>
      </c>
      <c r="M1833" s="8">
        <v>88</v>
      </c>
      <c r="N1833" s="6" t="s">
        <v>271</v>
      </c>
      <c r="P1833" s="6" t="s">
        <v>3324</v>
      </c>
      <c r="Q1833" s="1215" t="s">
        <v>253</v>
      </c>
      <c r="R1833" s="1215" t="s">
        <v>255</v>
      </c>
      <c r="S1833" s="1215" t="s">
        <v>534</v>
      </c>
      <c r="T1833" s="1215" t="s">
        <v>533</v>
      </c>
      <c r="U1833" s="6" t="s">
        <v>567</v>
      </c>
      <c r="V1833" s="6" t="s">
        <v>35</v>
      </c>
      <c r="W1833" s="6" t="s">
        <v>733</v>
      </c>
      <c r="X1833" s="6" t="s">
        <v>195</v>
      </c>
    </row>
    <row r="1834" spans="1:24" ht="15" customHeight="1" x14ac:dyDescent="0.3">
      <c r="A1834" s="6" t="s">
        <v>533</v>
      </c>
      <c r="B1834" s="6" t="s">
        <v>534</v>
      </c>
      <c r="C1834" s="6" t="s">
        <v>35</v>
      </c>
      <c r="D1834" s="1088" t="s">
        <v>567</v>
      </c>
      <c r="E1834" s="6" t="s">
        <v>195</v>
      </c>
      <c r="F1834" s="6" t="s">
        <v>733</v>
      </c>
      <c r="G1834" s="6" t="s">
        <v>1460</v>
      </c>
      <c r="H1834" s="6" t="s">
        <v>1795</v>
      </c>
      <c r="J1834" s="1215" t="s">
        <v>509</v>
      </c>
      <c r="K1834" s="1219" t="s">
        <v>3112</v>
      </c>
      <c r="L1834" s="8">
        <v>25</v>
      </c>
      <c r="M1834" s="8">
        <v>119</v>
      </c>
      <c r="N1834" s="1169" t="s">
        <v>271</v>
      </c>
      <c r="P1834" s="6" t="s">
        <v>3324</v>
      </c>
      <c r="Q1834" s="1215" t="s">
        <v>253</v>
      </c>
      <c r="R1834" s="1215" t="s">
        <v>255</v>
      </c>
      <c r="S1834" s="1215" t="s">
        <v>534</v>
      </c>
      <c r="T1834" s="1215" t="s">
        <v>533</v>
      </c>
      <c r="U1834" s="6" t="s">
        <v>567</v>
      </c>
      <c r="V1834" s="6" t="s">
        <v>35</v>
      </c>
      <c r="W1834" s="6" t="s">
        <v>733</v>
      </c>
      <c r="X1834" s="6" t="s">
        <v>195</v>
      </c>
    </row>
    <row r="1835" spans="1:24" ht="15" customHeight="1" x14ac:dyDescent="0.3">
      <c r="A1835" s="6" t="s">
        <v>533</v>
      </c>
      <c r="B1835" s="6" t="s">
        <v>534</v>
      </c>
      <c r="C1835" s="6" t="s">
        <v>33</v>
      </c>
      <c r="D1835" s="1088" t="s">
        <v>561</v>
      </c>
      <c r="E1835" s="6" t="s">
        <v>183</v>
      </c>
      <c r="F1835" s="6" t="s">
        <v>562</v>
      </c>
      <c r="G1835" s="6" t="s">
        <v>622</v>
      </c>
      <c r="H1835" s="6" t="s">
        <v>623</v>
      </c>
      <c r="J1835" s="1215" t="s">
        <v>509</v>
      </c>
      <c r="K1835" s="1219" t="s">
        <v>3033</v>
      </c>
      <c r="L1835" s="8">
        <v>2</v>
      </c>
      <c r="M1835" s="8">
        <v>9</v>
      </c>
      <c r="N1835" s="1169" t="s">
        <v>271</v>
      </c>
      <c r="P1835" s="6" t="s">
        <v>3322</v>
      </c>
      <c r="Q1835" s="1215" t="s">
        <v>253</v>
      </c>
      <c r="R1835" s="1215" t="s">
        <v>255</v>
      </c>
      <c r="S1835" s="1215" t="s">
        <v>534</v>
      </c>
      <c r="T1835" s="1215" t="s">
        <v>533</v>
      </c>
      <c r="U1835" s="6" t="s">
        <v>539</v>
      </c>
      <c r="V1835" s="6" t="s">
        <v>34</v>
      </c>
    </row>
    <row r="1836" spans="1:24" ht="15" customHeight="1" x14ac:dyDescent="0.3">
      <c r="A1836" s="6" t="s">
        <v>533</v>
      </c>
      <c r="B1836" s="6" t="s">
        <v>534</v>
      </c>
      <c r="C1836" s="6" t="s">
        <v>35</v>
      </c>
      <c r="D1836" s="1088" t="s">
        <v>567</v>
      </c>
      <c r="E1836" s="6" t="s">
        <v>195</v>
      </c>
      <c r="F1836" s="6" t="s">
        <v>733</v>
      </c>
      <c r="G1836" s="6" t="s">
        <v>1906</v>
      </c>
      <c r="H1836" s="6" t="s">
        <v>1839</v>
      </c>
      <c r="J1836" s="1215" t="s">
        <v>509</v>
      </c>
      <c r="K1836" s="1219" t="s">
        <v>3033</v>
      </c>
      <c r="L1836" s="8">
        <v>20</v>
      </c>
      <c r="M1836" s="8">
        <v>111</v>
      </c>
      <c r="N1836" s="1169" t="s">
        <v>271</v>
      </c>
      <c r="P1836" s="6" t="s">
        <v>3324</v>
      </c>
      <c r="Q1836" s="1215" t="s">
        <v>253</v>
      </c>
      <c r="R1836" s="1215" t="s">
        <v>255</v>
      </c>
      <c r="S1836" s="1215" t="s">
        <v>534</v>
      </c>
      <c r="T1836" s="1215" t="s">
        <v>533</v>
      </c>
      <c r="U1836" s="6" t="s">
        <v>567</v>
      </c>
      <c r="V1836" s="6" t="s">
        <v>35</v>
      </c>
      <c r="W1836" s="6" t="s">
        <v>733</v>
      </c>
      <c r="X1836" s="6" t="s">
        <v>195</v>
      </c>
    </row>
    <row r="1837" spans="1:24" ht="15" customHeight="1" x14ac:dyDescent="0.3">
      <c r="A1837" s="6" t="s">
        <v>533</v>
      </c>
      <c r="B1837" s="6" t="s">
        <v>534</v>
      </c>
      <c r="C1837" s="6" t="s">
        <v>35</v>
      </c>
      <c r="D1837" s="1088" t="s">
        <v>567</v>
      </c>
      <c r="E1837" s="6" t="s">
        <v>195</v>
      </c>
      <c r="F1837" s="6" t="s">
        <v>733</v>
      </c>
      <c r="G1837" s="6" t="s">
        <v>1906</v>
      </c>
      <c r="H1837" s="6" t="s">
        <v>1839</v>
      </c>
      <c r="J1837" s="1215" t="s">
        <v>509</v>
      </c>
      <c r="K1837" s="1219" t="s">
        <v>3109</v>
      </c>
      <c r="L1837" s="8">
        <v>0</v>
      </c>
      <c r="M1837" s="8">
        <v>7</v>
      </c>
      <c r="N1837" s="1169" t="s">
        <v>271</v>
      </c>
      <c r="P1837" s="6" t="s">
        <v>3324</v>
      </c>
      <c r="Q1837" s="1215" t="s">
        <v>253</v>
      </c>
      <c r="R1837" s="1215" t="s">
        <v>255</v>
      </c>
      <c r="S1837" s="1215" t="s">
        <v>534</v>
      </c>
      <c r="T1837" s="1215" t="s">
        <v>533</v>
      </c>
      <c r="U1837" s="6" t="s">
        <v>567</v>
      </c>
      <c r="V1837" s="6" t="s">
        <v>35</v>
      </c>
      <c r="W1837" s="6" t="s">
        <v>733</v>
      </c>
      <c r="X1837" s="6" t="s">
        <v>195</v>
      </c>
    </row>
    <row r="1838" spans="1:24" ht="15" customHeight="1" x14ac:dyDescent="0.3">
      <c r="A1838" s="6" t="s">
        <v>533</v>
      </c>
      <c r="B1838" s="6" t="s">
        <v>534</v>
      </c>
      <c r="C1838" s="6" t="s">
        <v>35</v>
      </c>
      <c r="D1838" s="1088" t="s">
        <v>567</v>
      </c>
      <c r="E1838" s="6" t="s">
        <v>195</v>
      </c>
      <c r="F1838" s="6" t="s">
        <v>733</v>
      </c>
      <c r="G1838" s="6" t="s">
        <v>1906</v>
      </c>
      <c r="H1838" s="6" t="s">
        <v>1839</v>
      </c>
      <c r="J1838" s="1215" t="s">
        <v>509</v>
      </c>
      <c r="K1838" s="1219" t="s">
        <v>3110</v>
      </c>
      <c r="L1838" s="8">
        <v>1</v>
      </c>
      <c r="M1838" s="8">
        <v>9</v>
      </c>
      <c r="N1838" s="1169" t="s">
        <v>271</v>
      </c>
      <c r="P1838" s="6" t="s">
        <v>3324</v>
      </c>
      <c r="Q1838" s="1215" t="s">
        <v>253</v>
      </c>
      <c r="R1838" s="1215" t="s">
        <v>255</v>
      </c>
      <c r="S1838" s="1215" t="s">
        <v>534</v>
      </c>
      <c r="T1838" s="1215" t="s">
        <v>533</v>
      </c>
      <c r="U1838" s="6" t="s">
        <v>567</v>
      </c>
      <c r="V1838" s="6" t="s">
        <v>35</v>
      </c>
      <c r="W1838" s="6" t="s">
        <v>733</v>
      </c>
      <c r="X1838" s="6" t="s">
        <v>195</v>
      </c>
    </row>
    <row r="1839" spans="1:24" ht="15" customHeight="1" x14ac:dyDescent="0.3">
      <c r="A1839" s="6" t="s">
        <v>533</v>
      </c>
      <c r="B1839" s="6" t="s">
        <v>534</v>
      </c>
      <c r="C1839" s="6" t="s">
        <v>35</v>
      </c>
      <c r="D1839" s="1088" t="s">
        <v>567</v>
      </c>
      <c r="E1839" s="6" t="s">
        <v>195</v>
      </c>
      <c r="F1839" s="6" t="s">
        <v>733</v>
      </c>
      <c r="G1839" s="6" t="s">
        <v>1906</v>
      </c>
      <c r="H1839" s="6" t="s">
        <v>1839</v>
      </c>
      <c r="J1839" s="1215" t="s">
        <v>509</v>
      </c>
      <c r="K1839" s="1219" t="s">
        <v>3111</v>
      </c>
      <c r="L1839" s="8">
        <v>26</v>
      </c>
      <c r="M1839" s="8">
        <v>145</v>
      </c>
      <c r="N1839" s="6" t="s">
        <v>271</v>
      </c>
      <c r="P1839" s="6" t="s">
        <v>3324</v>
      </c>
      <c r="Q1839" s="1215" t="s">
        <v>253</v>
      </c>
      <c r="R1839" s="1215" t="s">
        <v>255</v>
      </c>
      <c r="S1839" s="1215" t="s">
        <v>534</v>
      </c>
      <c r="T1839" s="1215" t="s">
        <v>533</v>
      </c>
      <c r="U1839" s="6" t="s">
        <v>567</v>
      </c>
      <c r="V1839" s="6" t="s">
        <v>35</v>
      </c>
      <c r="W1839" s="6" t="s">
        <v>733</v>
      </c>
      <c r="X1839" s="6" t="s">
        <v>195</v>
      </c>
    </row>
    <row r="1840" spans="1:24" ht="15" customHeight="1" x14ac:dyDescent="0.3">
      <c r="A1840" s="6" t="s">
        <v>533</v>
      </c>
      <c r="B1840" s="6" t="s">
        <v>534</v>
      </c>
      <c r="C1840" s="6" t="s">
        <v>35</v>
      </c>
      <c r="D1840" s="1088" t="s">
        <v>567</v>
      </c>
      <c r="E1840" s="6" t="s">
        <v>195</v>
      </c>
      <c r="F1840" s="6" t="s">
        <v>733</v>
      </c>
      <c r="G1840" s="6" t="s">
        <v>1906</v>
      </c>
      <c r="H1840" s="6" t="s">
        <v>1839</v>
      </c>
      <c r="J1840" s="1215" t="s">
        <v>509</v>
      </c>
      <c r="K1840" s="1219" t="s">
        <v>3112</v>
      </c>
      <c r="L1840" s="8">
        <v>0</v>
      </c>
      <c r="M1840" s="8">
        <v>5</v>
      </c>
      <c r="N1840" s="6" t="s">
        <v>271</v>
      </c>
      <c r="P1840" s="6" t="s">
        <v>3324</v>
      </c>
      <c r="Q1840" s="1215" t="s">
        <v>253</v>
      </c>
      <c r="R1840" s="1215" t="s">
        <v>255</v>
      </c>
      <c r="S1840" s="1215" t="s">
        <v>534</v>
      </c>
      <c r="T1840" s="1215" t="s">
        <v>533</v>
      </c>
      <c r="U1840" s="6" t="s">
        <v>567</v>
      </c>
      <c r="V1840" s="6" t="s">
        <v>35</v>
      </c>
      <c r="W1840" s="6" t="s">
        <v>733</v>
      </c>
      <c r="X1840" s="6" t="s">
        <v>195</v>
      </c>
    </row>
    <row r="1841" spans="1:24" ht="15" customHeight="1" x14ac:dyDescent="0.3">
      <c r="A1841" s="6" t="s">
        <v>533</v>
      </c>
      <c r="B1841" s="6" t="s">
        <v>534</v>
      </c>
      <c r="C1841" s="6" t="s">
        <v>31</v>
      </c>
      <c r="D1841" s="1088" t="s">
        <v>549</v>
      </c>
      <c r="E1841" s="1088" t="s">
        <v>172</v>
      </c>
      <c r="F1841" s="6" t="s">
        <v>706</v>
      </c>
      <c r="G1841" s="6" t="s">
        <v>2887</v>
      </c>
      <c r="H1841" s="6" t="s">
        <v>1165</v>
      </c>
      <c r="J1841" s="1215" t="s">
        <v>509</v>
      </c>
      <c r="K1841" s="1219" t="s">
        <v>3033</v>
      </c>
      <c r="L1841" s="8">
        <v>4</v>
      </c>
      <c r="M1841" s="8">
        <v>25</v>
      </c>
      <c r="N1841" s="1169" t="s">
        <v>271</v>
      </c>
      <c r="P1841" s="6" t="s">
        <v>3324</v>
      </c>
      <c r="Q1841" s="1215" t="s">
        <v>253</v>
      </c>
      <c r="R1841" s="1215" t="s">
        <v>255</v>
      </c>
      <c r="S1841" s="1215" t="s">
        <v>534</v>
      </c>
      <c r="T1841" s="1215" t="s">
        <v>533</v>
      </c>
      <c r="U1841" s="6" t="s">
        <v>549</v>
      </c>
      <c r="V1841" s="6" t="s">
        <v>31</v>
      </c>
      <c r="W1841" s="6" t="s">
        <v>706</v>
      </c>
      <c r="X1841" s="6" t="s">
        <v>172</v>
      </c>
    </row>
    <row r="1842" spans="1:24" ht="15" customHeight="1" x14ac:dyDescent="0.3">
      <c r="A1842" s="6" t="s">
        <v>533</v>
      </c>
      <c r="B1842" s="6" t="s">
        <v>534</v>
      </c>
      <c r="C1842" s="6" t="s">
        <v>31</v>
      </c>
      <c r="D1842" s="1088" t="s">
        <v>549</v>
      </c>
      <c r="E1842" s="6" t="s">
        <v>172</v>
      </c>
      <c r="F1842" s="6" t="s">
        <v>706</v>
      </c>
      <c r="G1842" s="6" t="s">
        <v>2887</v>
      </c>
      <c r="H1842" s="6" t="s">
        <v>1165</v>
      </c>
      <c r="J1842" s="1215" t="s">
        <v>509</v>
      </c>
      <c r="K1842" s="1219" t="s">
        <v>3112</v>
      </c>
      <c r="L1842" s="8">
        <v>13</v>
      </c>
      <c r="M1842" s="8">
        <v>35</v>
      </c>
      <c r="N1842" s="1169" t="s">
        <v>274</v>
      </c>
      <c r="P1842" s="6" t="s">
        <v>3323</v>
      </c>
      <c r="Q1842" s="1215" t="s">
        <v>253</v>
      </c>
      <c r="R1842" s="1215" t="s">
        <v>255</v>
      </c>
      <c r="S1842" s="1215" t="s">
        <v>534</v>
      </c>
      <c r="T1842" s="1215" t="s">
        <v>533</v>
      </c>
      <c r="U1842" s="6" t="s">
        <v>549</v>
      </c>
      <c r="V1842" s="6" t="s">
        <v>31</v>
      </c>
      <c r="W1842" s="6" t="s">
        <v>673</v>
      </c>
      <c r="X1842" s="6" t="s">
        <v>169</v>
      </c>
    </row>
    <row r="1843" spans="1:24" ht="15" customHeight="1" x14ac:dyDescent="0.3">
      <c r="A1843" s="6" t="s">
        <v>533</v>
      </c>
      <c r="B1843" s="6" t="s">
        <v>534</v>
      </c>
      <c r="C1843" s="6" t="s">
        <v>31</v>
      </c>
      <c r="D1843" s="1088" t="s">
        <v>549</v>
      </c>
      <c r="E1843" s="6" t="s">
        <v>172</v>
      </c>
      <c r="F1843" s="6" t="s">
        <v>706</v>
      </c>
      <c r="G1843" s="6" t="s">
        <v>2887</v>
      </c>
      <c r="H1843" s="6" t="s">
        <v>1165</v>
      </c>
      <c r="J1843" s="1215" t="s">
        <v>509</v>
      </c>
      <c r="K1843" s="1219" t="s">
        <v>3111</v>
      </c>
      <c r="L1843" s="8">
        <v>2</v>
      </c>
      <c r="M1843" s="8">
        <v>16</v>
      </c>
      <c r="N1843" s="1169" t="s">
        <v>274</v>
      </c>
      <c r="P1843" s="6" t="s">
        <v>3323</v>
      </c>
      <c r="Q1843" s="1215" t="s">
        <v>253</v>
      </c>
      <c r="R1843" s="1215" t="s">
        <v>255</v>
      </c>
      <c r="S1843" s="1215" t="s">
        <v>534</v>
      </c>
      <c r="T1843" s="1215" t="s">
        <v>533</v>
      </c>
      <c r="U1843" s="6" t="s">
        <v>549</v>
      </c>
      <c r="V1843" s="6" t="s">
        <v>31</v>
      </c>
      <c r="W1843" s="6" t="s">
        <v>673</v>
      </c>
      <c r="X1843" s="6" t="s">
        <v>169</v>
      </c>
    </row>
    <row r="1844" spans="1:24" ht="15" customHeight="1" x14ac:dyDescent="0.3">
      <c r="A1844" s="6" t="s">
        <v>533</v>
      </c>
      <c r="B1844" s="6" t="s">
        <v>534</v>
      </c>
      <c r="C1844" s="6" t="s">
        <v>31</v>
      </c>
      <c r="D1844" s="1088" t="s">
        <v>549</v>
      </c>
      <c r="E1844" s="6" t="s">
        <v>171</v>
      </c>
      <c r="F1844" s="6" t="s">
        <v>634</v>
      </c>
      <c r="G1844" s="6" t="s">
        <v>1926</v>
      </c>
      <c r="H1844" s="6" t="s">
        <v>1010</v>
      </c>
      <c r="J1844" s="1215" t="s">
        <v>509</v>
      </c>
      <c r="K1844" s="1219" t="s">
        <v>3110</v>
      </c>
      <c r="L1844" s="8">
        <v>24</v>
      </c>
      <c r="M1844" s="8">
        <v>115</v>
      </c>
      <c r="N1844" s="1169" t="s">
        <v>271</v>
      </c>
      <c r="P1844" s="6" t="s">
        <v>3324</v>
      </c>
      <c r="Q1844" s="1215" t="s">
        <v>253</v>
      </c>
      <c r="R1844" s="1215" t="s">
        <v>255</v>
      </c>
      <c r="S1844" s="1215" t="s">
        <v>534</v>
      </c>
      <c r="T1844" s="1215" t="s">
        <v>533</v>
      </c>
      <c r="U1844" s="6" t="s">
        <v>549</v>
      </c>
      <c r="V1844" s="6" t="s">
        <v>31</v>
      </c>
      <c r="W1844" s="6" t="s">
        <v>634</v>
      </c>
      <c r="X1844" s="6" t="s">
        <v>171</v>
      </c>
    </row>
    <row r="1845" spans="1:24" ht="15" customHeight="1" x14ac:dyDescent="0.3">
      <c r="A1845" s="6" t="s">
        <v>533</v>
      </c>
      <c r="B1845" s="6" t="s">
        <v>534</v>
      </c>
      <c r="C1845" s="6" t="s">
        <v>33</v>
      </c>
      <c r="D1845" s="1088" t="s">
        <v>561</v>
      </c>
      <c r="E1845" s="1088" t="s">
        <v>183</v>
      </c>
      <c r="F1845" s="6" t="s">
        <v>562</v>
      </c>
      <c r="G1845" s="6" t="s">
        <v>726</v>
      </c>
      <c r="H1845" s="6" t="s">
        <v>727</v>
      </c>
      <c r="J1845" s="1215" t="s">
        <v>509</v>
      </c>
      <c r="K1845" s="1219" t="s">
        <v>3033</v>
      </c>
      <c r="L1845" s="8">
        <v>17</v>
      </c>
      <c r="M1845" s="8">
        <v>119</v>
      </c>
      <c r="N1845" s="1169" t="s">
        <v>271</v>
      </c>
      <c r="P1845" s="6" t="s">
        <v>3322</v>
      </c>
      <c r="Q1845" s="1215" t="s">
        <v>253</v>
      </c>
      <c r="R1845" s="1215" t="s">
        <v>255</v>
      </c>
      <c r="S1845" s="1215" t="s">
        <v>534</v>
      </c>
      <c r="T1845" s="1215" t="s">
        <v>533</v>
      </c>
      <c r="U1845" s="6" t="s">
        <v>539</v>
      </c>
      <c r="V1845" s="6" t="s">
        <v>34</v>
      </c>
    </row>
    <row r="1846" spans="1:24" ht="15" customHeight="1" x14ac:dyDescent="0.3">
      <c r="A1846" s="6" t="s">
        <v>533</v>
      </c>
      <c r="B1846" s="6" t="s">
        <v>534</v>
      </c>
      <c r="C1846" s="6" t="s">
        <v>33</v>
      </c>
      <c r="D1846" s="1088" t="s">
        <v>561</v>
      </c>
      <c r="E1846" s="1088" t="s">
        <v>183</v>
      </c>
      <c r="F1846" s="6" t="s">
        <v>562</v>
      </c>
      <c r="G1846" s="6" t="s">
        <v>680</v>
      </c>
      <c r="H1846" s="6" t="s">
        <v>681</v>
      </c>
      <c r="J1846" s="1215" t="s">
        <v>509</v>
      </c>
      <c r="K1846" s="1219" t="s">
        <v>3033</v>
      </c>
      <c r="L1846" s="8">
        <v>19</v>
      </c>
      <c r="M1846" s="8">
        <v>180</v>
      </c>
      <c r="N1846" s="1169" t="s">
        <v>271</v>
      </c>
      <c r="P1846" s="6" t="s">
        <v>3322</v>
      </c>
      <c r="Q1846" s="1215" t="s">
        <v>253</v>
      </c>
      <c r="R1846" s="1215" t="s">
        <v>255</v>
      </c>
      <c r="S1846" s="1215" t="s">
        <v>534</v>
      </c>
      <c r="T1846" s="1215" t="s">
        <v>533</v>
      </c>
      <c r="U1846" s="6" t="s">
        <v>539</v>
      </c>
      <c r="V1846" s="6" t="s">
        <v>34</v>
      </c>
    </row>
    <row r="1847" spans="1:24" ht="15" customHeight="1" x14ac:dyDescent="0.3">
      <c r="A1847" s="6" t="s">
        <v>533</v>
      </c>
      <c r="B1847" s="6" t="s">
        <v>534</v>
      </c>
      <c r="C1847" s="6" t="s">
        <v>33</v>
      </c>
      <c r="D1847" s="1088" t="s">
        <v>561</v>
      </c>
      <c r="E1847" s="1088" t="s">
        <v>183</v>
      </c>
      <c r="F1847" s="6" t="s">
        <v>562</v>
      </c>
      <c r="G1847" s="6" t="s">
        <v>2071</v>
      </c>
      <c r="H1847" s="6" t="s">
        <v>2072</v>
      </c>
      <c r="J1847" s="1215" t="s">
        <v>509</v>
      </c>
      <c r="K1847" s="1219" t="s">
        <v>3033</v>
      </c>
      <c r="L1847" s="8">
        <v>2</v>
      </c>
      <c r="M1847" s="8">
        <v>10</v>
      </c>
      <c r="N1847" s="1169" t="s">
        <v>271</v>
      </c>
      <c r="P1847" s="6" t="s">
        <v>3322</v>
      </c>
      <c r="Q1847" s="1215" t="s">
        <v>253</v>
      </c>
      <c r="R1847" s="1215" t="s">
        <v>255</v>
      </c>
      <c r="S1847" s="1215" t="s">
        <v>534</v>
      </c>
      <c r="T1847" s="1215" t="s">
        <v>533</v>
      </c>
      <c r="U1847" s="6" t="s">
        <v>549</v>
      </c>
      <c r="V1847" s="6" t="s">
        <v>31</v>
      </c>
    </row>
    <row r="1848" spans="1:24" ht="15" customHeight="1" x14ac:dyDescent="0.3">
      <c r="A1848" s="6" t="s">
        <v>533</v>
      </c>
      <c r="B1848" s="6" t="s">
        <v>534</v>
      </c>
      <c r="C1848" s="6" t="s">
        <v>33</v>
      </c>
      <c r="D1848" s="1088" t="s">
        <v>561</v>
      </c>
      <c r="E1848" s="6" t="s">
        <v>183</v>
      </c>
      <c r="F1848" s="6" t="s">
        <v>562</v>
      </c>
      <c r="G1848" s="6" t="s">
        <v>1712</v>
      </c>
      <c r="H1848" s="6" t="s">
        <v>1713</v>
      </c>
      <c r="J1848" s="1215" t="s">
        <v>509</v>
      </c>
      <c r="K1848" s="1219" t="s">
        <v>3033</v>
      </c>
      <c r="L1848" s="8">
        <v>16</v>
      </c>
      <c r="M1848" s="8">
        <v>140</v>
      </c>
      <c r="N1848" s="1169" t="s">
        <v>271</v>
      </c>
      <c r="P1848" s="6" t="s">
        <v>3322</v>
      </c>
      <c r="Q1848" s="1215" t="s">
        <v>253</v>
      </c>
      <c r="R1848" s="1215" t="s">
        <v>255</v>
      </c>
      <c r="S1848" s="1215" t="s">
        <v>534</v>
      </c>
      <c r="T1848" s="1215" t="s">
        <v>533</v>
      </c>
      <c r="U1848" s="6" t="s">
        <v>539</v>
      </c>
      <c r="V1848" s="6" t="s">
        <v>34</v>
      </c>
    </row>
    <row r="1849" spans="1:24" ht="15" customHeight="1" x14ac:dyDescent="0.3">
      <c r="A1849" s="6" t="s">
        <v>533</v>
      </c>
      <c r="B1849" s="6" t="s">
        <v>534</v>
      </c>
      <c r="C1849" s="6" t="s">
        <v>31</v>
      </c>
      <c r="D1849" s="1088" t="s">
        <v>549</v>
      </c>
      <c r="E1849" s="6" t="s">
        <v>169</v>
      </c>
      <c r="F1849" s="6" t="s">
        <v>673</v>
      </c>
      <c r="G1849" s="6" t="s">
        <v>2838</v>
      </c>
      <c r="H1849" s="6" t="s">
        <v>1124</v>
      </c>
      <c r="J1849" s="1215" t="s">
        <v>509</v>
      </c>
      <c r="K1849" s="1219" t="s">
        <v>3111</v>
      </c>
      <c r="L1849" s="8">
        <v>6</v>
      </c>
      <c r="M1849" s="8">
        <v>40</v>
      </c>
      <c r="N1849" s="6" t="s">
        <v>274</v>
      </c>
      <c r="P1849" s="6" t="s">
        <v>3324</v>
      </c>
      <c r="Q1849" s="1215" t="s">
        <v>253</v>
      </c>
      <c r="R1849" s="1215" t="s">
        <v>255</v>
      </c>
      <c r="S1849" s="1215" t="s">
        <v>534</v>
      </c>
      <c r="T1849" s="1215" t="s">
        <v>533</v>
      </c>
      <c r="U1849" s="6" t="s">
        <v>549</v>
      </c>
      <c r="V1849" s="6" t="s">
        <v>31</v>
      </c>
      <c r="W1849" s="6" t="s">
        <v>673</v>
      </c>
      <c r="X1849" s="6" t="s">
        <v>169</v>
      </c>
    </row>
    <row r="1850" spans="1:24" ht="15" customHeight="1" x14ac:dyDescent="0.3">
      <c r="A1850" s="6" t="s">
        <v>533</v>
      </c>
      <c r="B1850" s="6" t="s">
        <v>534</v>
      </c>
      <c r="C1850" s="6" t="s">
        <v>31</v>
      </c>
      <c r="D1850" s="1088" t="s">
        <v>549</v>
      </c>
      <c r="E1850" s="6" t="s">
        <v>169</v>
      </c>
      <c r="F1850" s="6" t="s">
        <v>673</v>
      </c>
      <c r="G1850" s="6" t="s">
        <v>2897</v>
      </c>
      <c r="H1850" s="6" t="s">
        <v>1280</v>
      </c>
      <c r="J1850" s="1215" t="s">
        <v>509</v>
      </c>
      <c r="K1850" s="1219" t="s">
        <v>3111</v>
      </c>
      <c r="L1850" s="8">
        <v>10</v>
      </c>
      <c r="M1850" s="8">
        <v>50</v>
      </c>
      <c r="N1850" s="1088" t="s">
        <v>274</v>
      </c>
      <c r="P1850" s="6" t="s">
        <v>3324</v>
      </c>
      <c r="Q1850" s="1215" t="s">
        <v>253</v>
      </c>
      <c r="R1850" s="1215" t="s">
        <v>255</v>
      </c>
      <c r="S1850" s="1215" t="s">
        <v>534</v>
      </c>
      <c r="T1850" s="1215" t="s">
        <v>533</v>
      </c>
      <c r="U1850" s="6" t="s">
        <v>549</v>
      </c>
      <c r="V1850" s="6" t="s">
        <v>31</v>
      </c>
      <c r="W1850" s="6" t="s">
        <v>673</v>
      </c>
      <c r="X1850" s="6" t="s">
        <v>169</v>
      </c>
    </row>
    <row r="1851" spans="1:24" ht="15" customHeight="1" x14ac:dyDescent="0.3">
      <c r="A1851" s="6" t="s">
        <v>533</v>
      </c>
      <c r="B1851" s="6" t="s">
        <v>534</v>
      </c>
      <c r="C1851" s="6" t="s">
        <v>31</v>
      </c>
      <c r="D1851" s="1168" t="s">
        <v>549</v>
      </c>
      <c r="E1851" s="6" t="s">
        <v>169</v>
      </c>
      <c r="F1851" s="6" t="s">
        <v>673</v>
      </c>
      <c r="G1851" s="6" t="s">
        <v>1731</v>
      </c>
      <c r="H1851" s="6" t="s">
        <v>3253</v>
      </c>
      <c r="J1851" s="1215" t="s">
        <v>509</v>
      </c>
      <c r="K1851" s="1219" t="s">
        <v>3033</v>
      </c>
      <c r="L1851" s="8">
        <v>15</v>
      </c>
      <c r="M1851" s="8">
        <v>82</v>
      </c>
      <c r="N1851" s="6" t="s">
        <v>271</v>
      </c>
      <c r="P1851" s="6" t="s">
        <v>3324</v>
      </c>
      <c r="Q1851" s="1215" t="s">
        <v>253</v>
      </c>
      <c r="R1851" s="1215" t="s">
        <v>255</v>
      </c>
      <c r="S1851" s="1215" t="s">
        <v>534</v>
      </c>
      <c r="T1851" s="1215" t="s">
        <v>533</v>
      </c>
      <c r="U1851" s="6" t="s">
        <v>549</v>
      </c>
      <c r="V1851" s="6" t="s">
        <v>31</v>
      </c>
      <c r="W1851" s="6" t="s">
        <v>673</v>
      </c>
      <c r="X1851" s="6" t="s">
        <v>169</v>
      </c>
    </row>
    <row r="1852" spans="1:24" ht="15" customHeight="1" x14ac:dyDescent="0.3">
      <c r="A1852" s="6" t="s">
        <v>533</v>
      </c>
      <c r="B1852" s="6" t="s">
        <v>534</v>
      </c>
      <c r="C1852" s="6" t="s">
        <v>31</v>
      </c>
      <c r="D1852" s="1088" t="s">
        <v>549</v>
      </c>
      <c r="E1852" s="6" t="s">
        <v>169</v>
      </c>
      <c r="F1852" s="6" t="s">
        <v>673</v>
      </c>
      <c r="G1852" s="6" t="s">
        <v>1450</v>
      </c>
      <c r="H1852" s="6" t="s">
        <v>1648</v>
      </c>
      <c r="J1852" s="1215" t="s">
        <v>509</v>
      </c>
      <c r="K1852" s="1219" t="s">
        <v>3033</v>
      </c>
      <c r="L1852" s="8">
        <v>206</v>
      </c>
      <c r="M1852" s="8">
        <v>1061</v>
      </c>
      <c r="N1852" s="6" t="s">
        <v>271</v>
      </c>
      <c r="P1852" s="6" t="s">
        <v>3324</v>
      </c>
      <c r="Q1852" s="1215" t="s">
        <v>253</v>
      </c>
      <c r="R1852" s="1215" t="s">
        <v>255</v>
      </c>
      <c r="S1852" s="1215" t="s">
        <v>534</v>
      </c>
      <c r="T1852" s="1215" t="s">
        <v>533</v>
      </c>
      <c r="U1852" s="6" t="s">
        <v>549</v>
      </c>
      <c r="V1852" s="6" t="s">
        <v>31</v>
      </c>
      <c r="W1852" s="6" t="s">
        <v>673</v>
      </c>
      <c r="X1852" s="6" t="s">
        <v>169</v>
      </c>
    </row>
    <row r="1853" spans="1:24" ht="15" customHeight="1" x14ac:dyDescent="0.3">
      <c r="A1853" s="6" t="s">
        <v>533</v>
      </c>
      <c r="B1853" s="6" t="s">
        <v>534</v>
      </c>
      <c r="C1853" s="6" t="s">
        <v>31</v>
      </c>
      <c r="D1853" s="1088" t="s">
        <v>549</v>
      </c>
      <c r="E1853" s="6" t="s">
        <v>169</v>
      </c>
      <c r="F1853" s="6" t="s">
        <v>673</v>
      </c>
      <c r="G1853" s="6" t="s">
        <v>1450</v>
      </c>
      <c r="H1853" s="6" t="s">
        <v>1648</v>
      </c>
      <c r="J1853" s="1215" t="s">
        <v>509</v>
      </c>
      <c r="K1853" s="1219" t="s">
        <v>3112</v>
      </c>
      <c r="L1853" s="8">
        <v>4</v>
      </c>
      <c r="M1853" s="8">
        <v>26</v>
      </c>
      <c r="N1853" s="6" t="s">
        <v>272</v>
      </c>
      <c r="P1853" s="6" t="s">
        <v>3324</v>
      </c>
      <c r="Q1853" s="1215" t="s">
        <v>253</v>
      </c>
      <c r="R1853" s="1215" t="s">
        <v>255</v>
      </c>
      <c r="S1853" s="1215" t="s">
        <v>534</v>
      </c>
      <c r="T1853" s="1215" t="s">
        <v>533</v>
      </c>
      <c r="U1853" s="6" t="s">
        <v>549</v>
      </c>
      <c r="V1853" s="6" t="s">
        <v>31</v>
      </c>
      <c r="W1853" s="6" t="s">
        <v>673</v>
      </c>
      <c r="X1853" s="6" t="s">
        <v>169</v>
      </c>
    </row>
    <row r="1854" spans="1:24" ht="15" customHeight="1" x14ac:dyDescent="0.3">
      <c r="A1854" s="6" t="s">
        <v>533</v>
      </c>
      <c r="B1854" s="6" t="s">
        <v>534</v>
      </c>
      <c r="C1854" s="6" t="s">
        <v>31</v>
      </c>
      <c r="D1854" s="1088" t="s">
        <v>549</v>
      </c>
      <c r="E1854" s="6" t="s">
        <v>169</v>
      </c>
      <c r="F1854" s="6" t="s">
        <v>673</v>
      </c>
      <c r="G1854" s="6" t="s">
        <v>2832</v>
      </c>
      <c r="H1854" s="6" t="s">
        <v>3246</v>
      </c>
      <c r="J1854" s="1215" t="s">
        <v>509</v>
      </c>
      <c r="K1854" s="1219" t="s">
        <v>3033</v>
      </c>
      <c r="L1854" s="8">
        <v>53</v>
      </c>
      <c r="M1854" s="8">
        <v>228</v>
      </c>
      <c r="N1854" s="6" t="s">
        <v>271</v>
      </c>
      <c r="P1854" s="6" t="s">
        <v>3324</v>
      </c>
      <c r="Q1854" s="1215" t="s">
        <v>253</v>
      </c>
      <c r="R1854" s="1215" t="s">
        <v>255</v>
      </c>
      <c r="S1854" s="1215" t="s">
        <v>534</v>
      </c>
      <c r="T1854" s="1215" t="s">
        <v>533</v>
      </c>
      <c r="U1854" s="6" t="s">
        <v>549</v>
      </c>
      <c r="V1854" s="6" t="s">
        <v>31</v>
      </c>
      <c r="W1854" s="6" t="s">
        <v>673</v>
      </c>
      <c r="X1854" s="6" t="s">
        <v>169</v>
      </c>
    </row>
    <row r="1855" spans="1:24" ht="15" customHeight="1" x14ac:dyDescent="0.3">
      <c r="A1855" s="6" t="s">
        <v>533</v>
      </c>
      <c r="B1855" s="6" t="s">
        <v>534</v>
      </c>
      <c r="C1855" s="6" t="s">
        <v>31</v>
      </c>
      <c r="D1855" s="1088" t="s">
        <v>549</v>
      </c>
      <c r="E1855" s="6" t="s">
        <v>171</v>
      </c>
      <c r="F1855" s="6" t="s">
        <v>634</v>
      </c>
      <c r="G1855" s="6" t="s">
        <v>2631</v>
      </c>
      <c r="H1855" s="6" t="s">
        <v>2009</v>
      </c>
      <c r="J1855" s="1215" t="s">
        <v>509</v>
      </c>
      <c r="K1855" s="1219" t="s">
        <v>3109</v>
      </c>
      <c r="L1855" s="8">
        <v>17</v>
      </c>
      <c r="M1855" s="8">
        <v>67</v>
      </c>
      <c r="N1855" s="6" t="s">
        <v>271</v>
      </c>
      <c r="P1855" s="6" t="s">
        <v>3324</v>
      </c>
      <c r="Q1855" s="1215" t="s">
        <v>253</v>
      </c>
      <c r="R1855" s="1215" t="s">
        <v>255</v>
      </c>
      <c r="S1855" s="1215" t="s">
        <v>534</v>
      </c>
      <c r="T1855" s="1215" t="s">
        <v>533</v>
      </c>
      <c r="U1855" s="6" t="s">
        <v>549</v>
      </c>
      <c r="V1855" s="6" t="s">
        <v>31</v>
      </c>
      <c r="W1855" s="6" t="s">
        <v>634</v>
      </c>
      <c r="X1855" s="6" t="s">
        <v>171</v>
      </c>
    </row>
    <row r="1856" spans="1:24" ht="15" customHeight="1" x14ac:dyDescent="0.3">
      <c r="A1856" s="6" t="s">
        <v>533</v>
      </c>
      <c r="B1856" s="6" t="s">
        <v>534</v>
      </c>
      <c r="C1856" s="6" t="s">
        <v>35</v>
      </c>
      <c r="D1856" s="1088" t="s">
        <v>567</v>
      </c>
      <c r="E1856" s="6" t="s">
        <v>195</v>
      </c>
      <c r="F1856" s="6" t="s">
        <v>733</v>
      </c>
      <c r="G1856" s="6" t="s">
        <v>1417</v>
      </c>
      <c r="H1856" s="6" t="s">
        <v>3282</v>
      </c>
      <c r="J1856" s="1215" t="s">
        <v>509</v>
      </c>
      <c r="K1856" s="1219" t="s">
        <v>3112</v>
      </c>
      <c r="L1856" s="8">
        <v>5</v>
      </c>
      <c r="M1856" s="8">
        <v>18</v>
      </c>
      <c r="N1856" s="6" t="s">
        <v>271</v>
      </c>
      <c r="P1856" s="6" t="s">
        <v>3323</v>
      </c>
      <c r="Q1856" s="1215" t="s">
        <v>253</v>
      </c>
      <c r="R1856" s="1215" t="s">
        <v>255</v>
      </c>
      <c r="S1856" s="1215" t="s">
        <v>534</v>
      </c>
      <c r="T1856" s="1215" t="s">
        <v>533</v>
      </c>
      <c r="U1856" s="6" t="s">
        <v>567</v>
      </c>
      <c r="V1856" s="6" t="s">
        <v>35</v>
      </c>
      <c r="W1856" s="6" t="s">
        <v>863</v>
      </c>
      <c r="X1856" s="6" t="s">
        <v>193</v>
      </c>
    </row>
    <row r="1857" spans="1:24" ht="15" customHeight="1" x14ac:dyDescent="0.3">
      <c r="A1857" s="6" t="s">
        <v>533</v>
      </c>
      <c r="B1857" s="6" t="s">
        <v>534</v>
      </c>
      <c r="C1857" s="6" t="s">
        <v>35</v>
      </c>
      <c r="D1857" s="1088" t="s">
        <v>567</v>
      </c>
      <c r="E1857" s="6" t="s">
        <v>195</v>
      </c>
      <c r="F1857" s="6" t="s">
        <v>733</v>
      </c>
      <c r="G1857" s="6" t="s">
        <v>1417</v>
      </c>
      <c r="H1857" s="6" t="s">
        <v>3282</v>
      </c>
      <c r="J1857" s="1215" t="s">
        <v>509</v>
      </c>
      <c r="K1857" s="1219" t="s">
        <v>3110</v>
      </c>
      <c r="L1857" s="8">
        <v>66</v>
      </c>
      <c r="M1857" s="8">
        <v>469</v>
      </c>
      <c r="N1857" s="6" t="s">
        <v>271</v>
      </c>
      <c r="P1857" s="6" t="s">
        <v>3323</v>
      </c>
      <c r="Q1857" s="1215" t="s">
        <v>253</v>
      </c>
      <c r="R1857" s="1215" t="s">
        <v>255</v>
      </c>
      <c r="S1857" s="1215" t="s">
        <v>534</v>
      </c>
      <c r="T1857" s="1215" t="s">
        <v>533</v>
      </c>
      <c r="U1857" s="6" t="s">
        <v>567</v>
      </c>
      <c r="V1857" s="6" t="s">
        <v>35</v>
      </c>
      <c r="W1857" s="6" t="s">
        <v>863</v>
      </c>
      <c r="X1857" s="6" t="s">
        <v>193</v>
      </c>
    </row>
    <row r="1858" spans="1:24" ht="15" customHeight="1" x14ac:dyDescent="0.3">
      <c r="A1858" s="6" t="s">
        <v>533</v>
      </c>
      <c r="B1858" s="6" t="s">
        <v>534</v>
      </c>
      <c r="C1858" s="6" t="s">
        <v>35</v>
      </c>
      <c r="D1858" s="1088" t="s">
        <v>567</v>
      </c>
      <c r="E1858" s="6" t="s">
        <v>195</v>
      </c>
      <c r="F1858" s="6" t="s">
        <v>733</v>
      </c>
      <c r="G1858" s="6" t="s">
        <v>1417</v>
      </c>
      <c r="H1858" s="6" t="s">
        <v>3282</v>
      </c>
      <c r="J1858" s="1215" t="s">
        <v>509</v>
      </c>
      <c r="K1858" s="1219" t="s">
        <v>3109</v>
      </c>
      <c r="L1858" s="8">
        <v>6</v>
      </c>
      <c r="M1858" s="8">
        <v>31</v>
      </c>
      <c r="N1858" s="6" t="s">
        <v>271</v>
      </c>
      <c r="P1858" s="6" t="s">
        <v>3323</v>
      </c>
      <c r="Q1858" s="1215" t="s">
        <v>253</v>
      </c>
      <c r="R1858" s="1215" t="s">
        <v>255</v>
      </c>
      <c r="S1858" s="1215" t="s">
        <v>534</v>
      </c>
      <c r="T1858" s="1215" t="s">
        <v>533</v>
      </c>
      <c r="U1858" s="6" t="s">
        <v>567</v>
      </c>
      <c r="V1858" s="6" t="s">
        <v>35</v>
      </c>
      <c r="W1858" s="6" t="s">
        <v>863</v>
      </c>
      <c r="X1858" s="6" t="s">
        <v>193</v>
      </c>
    </row>
    <row r="1859" spans="1:24" ht="15" customHeight="1" x14ac:dyDescent="0.3">
      <c r="A1859" s="6" t="s">
        <v>533</v>
      </c>
      <c r="B1859" s="6" t="s">
        <v>534</v>
      </c>
      <c r="C1859" s="6" t="s">
        <v>35</v>
      </c>
      <c r="D1859" s="1088" t="s">
        <v>567</v>
      </c>
      <c r="E1859" s="6" t="s">
        <v>193</v>
      </c>
      <c r="F1859" s="6" t="s">
        <v>863</v>
      </c>
      <c r="G1859" s="6" t="s">
        <v>2902</v>
      </c>
      <c r="H1859" s="6" t="s">
        <v>1643</v>
      </c>
      <c r="J1859" s="1215" t="s">
        <v>509</v>
      </c>
      <c r="K1859" s="1219" t="s">
        <v>3033</v>
      </c>
      <c r="L1859" s="8">
        <v>16</v>
      </c>
      <c r="M1859" s="8">
        <v>116</v>
      </c>
      <c r="N1859" s="1169" t="s">
        <v>271</v>
      </c>
      <c r="P1859" s="6" t="s">
        <v>3324</v>
      </c>
      <c r="Q1859" s="1215" t="s">
        <v>253</v>
      </c>
      <c r="R1859" s="1215" t="s">
        <v>255</v>
      </c>
      <c r="S1859" s="1215" t="s">
        <v>534</v>
      </c>
      <c r="T1859" s="1215" t="s">
        <v>533</v>
      </c>
      <c r="U1859" s="6" t="s">
        <v>567</v>
      </c>
      <c r="V1859" s="6" t="s">
        <v>35</v>
      </c>
      <c r="W1859" s="6" t="s">
        <v>863</v>
      </c>
      <c r="X1859" s="6" t="s">
        <v>193</v>
      </c>
    </row>
    <row r="1860" spans="1:24" ht="15" customHeight="1" x14ac:dyDescent="0.3">
      <c r="A1860" s="6" t="s">
        <v>533</v>
      </c>
      <c r="B1860" s="6" t="s">
        <v>534</v>
      </c>
      <c r="C1860" s="6" t="s">
        <v>35</v>
      </c>
      <c r="D1860" s="1088" t="s">
        <v>567</v>
      </c>
      <c r="E1860" s="6" t="s">
        <v>193</v>
      </c>
      <c r="F1860" s="6" t="s">
        <v>863</v>
      </c>
      <c r="G1860" s="6" t="s">
        <v>2902</v>
      </c>
      <c r="H1860" s="6" t="s">
        <v>1643</v>
      </c>
      <c r="J1860" s="1215" t="s">
        <v>509</v>
      </c>
      <c r="K1860" s="1219" t="s">
        <v>3112</v>
      </c>
      <c r="L1860" s="8">
        <v>3</v>
      </c>
      <c r="M1860" s="8">
        <v>13</v>
      </c>
      <c r="N1860" s="1169" t="s">
        <v>271</v>
      </c>
      <c r="P1860" s="6" t="s">
        <v>3324</v>
      </c>
      <c r="Q1860" s="1215" t="s">
        <v>253</v>
      </c>
      <c r="R1860" s="1215" t="s">
        <v>255</v>
      </c>
      <c r="S1860" s="1215" t="s">
        <v>534</v>
      </c>
      <c r="T1860" s="1215" t="s">
        <v>533</v>
      </c>
      <c r="U1860" s="6" t="s">
        <v>567</v>
      </c>
      <c r="V1860" s="6" t="s">
        <v>35</v>
      </c>
      <c r="W1860" s="6" t="s">
        <v>863</v>
      </c>
      <c r="X1860" s="6" t="s">
        <v>193</v>
      </c>
    </row>
    <row r="1861" spans="1:24" ht="15" customHeight="1" x14ac:dyDescent="0.3">
      <c r="A1861" s="6" t="s">
        <v>533</v>
      </c>
      <c r="B1861" s="6" t="s">
        <v>534</v>
      </c>
      <c r="C1861" s="6" t="s">
        <v>33</v>
      </c>
      <c r="D1861" s="1088" t="s">
        <v>561</v>
      </c>
      <c r="E1861" s="1088" t="s">
        <v>183</v>
      </c>
      <c r="F1861" s="6" t="s">
        <v>562</v>
      </c>
      <c r="G1861" s="6" t="s">
        <v>724</v>
      </c>
      <c r="H1861" s="6" t="s">
        <v>725</v>
      </c>
      <c r="J1861" s="1215" t="s">
        <v>509</v>
      </c>
      <c r="K1861" s="1219" t="s">
        <v>3033</v>
      </c>
      <c r="L1861" s="8">
        <v>6</v>
      </c>
      <c r="M1861" s="8">
        <v>42</v>
      </c>
      <c r="N1861" s="6" t="s">
        <v>271</v>
      </c>
      <c r="P1861" s="6" t="s">
        <v>3322</v>
      </c>
      <c r="Q1861" s="1215" t="s">
        <v>253</v>
      </c>
      <c r="R1861" s="1215" t="s">
        <v>255</v>
      </c>
      <c r="S1861" s="1215" t="s">
        <v>534</v>
      </c>
      <c r="T1861" s="1215" t="s">
        <v>533</v>
      </c>
      <c r="U1861" s="6" t="s">
        <v>539</v>
      </c>
      <c r="V1861" s="6" t="s">
        <v>34</v>
      </c>
    </row>
    <row r="1862" spans="1:24" ht="15" customHeight="1" x14ac:dyDescent="0.3">
      <c r="A1862" s="6" t="s">
        <v>533</v>
      </c>
      <c r="B1862" s="6" t="s">
        <v>534</v>
      </c>
      <c r="C1862" s="6" t="s">
        <v>33</v>
      </c>
      <c r="D1862" s="1088" t="s">
        <v>561</v>
      </c>
      <c r="E1862" s="1088" t="s">
        <v>183</v>
      </c>
      <c r="F1862" s="6" t="s">
        <v>562</v>
      </c>
      <c r="G1862" s="6" t="s">
        <v>624</v>
      </c>
      <c r="H1862" s="6" t="s">
        <v>625</v>
      </c>
      <c r="J1862" s="1215" t="s">
        <v>509</v>
      </c>
      <c r="K1862" s="1219" t="s">
        <v>3033</v>
      </c>
      <c r="L1862" s="8">
        <v>15</v>
      </c>
      <c r="M1862" s="8">
        <v>129</v>
      </c>
      <c r="N1862" s="6" t="s">
        <v>271</v>
      </c>
      <c r="P1862" s="6" t="s">
        <v>3322</v>
      </c>
      <c r="Q1862" s="1215" t="s">
        <v>253</v>
      </c>
      <c r="R1862" s="1215" t="s">
        <v>255</v>
      </c>
      <c r="S1862" s="1215" t="s">
        <v>534</v>
      </c>
      <c r="T1862" s="1215" t="s">
        <v>533</v>
      </c>
      <c r="U1862" s="6" t="s">
        <v>539</v>
      </c>
      <c r="V1862" s="6" t="s">
        <v>34</v>
      </c>
    </row>
    <row r="1863" spans="1:24" ht="15" customHeight="1" x14ac:dyDescent="0.3">
      <c r="A1863" s="6" t="s">
        <v>533</v>
      </c>
      <c r="B1863" s="6" t="s">
        <v>534</v>
      </c>
      <c r="C1863" s="6" t="s">
        <v>32</v>
      </c>
      <c r="D1863" s="1088" t="s">
        <v>542</v>
      </c>
      <c r="E1863" s="6" t="s">
        <v>176</v>
      </c>
      <c r="F1863" s="6" t="s">
        <v>772</v>
      </c>
      <c r="G1863" s="6" t="s">
        <v>1210</v>
      </c>
      <c r="H1863" s="6" t="s">
        <v>1211</v>
      </c>
      <c r="J1863" s="1215" t="s">
        <v>509</v>
      </c>
      <c r="K1863" s="1219" t="s">
        <v>3112</v>
      </c>
      <c r="L1863" s="8">
        <v>6</v>
      </c>
      <c r="M1863" s="8">
        <v>51</v>
      </c>
      <c r="N1863" s="1169" t="s">
        <v>272</v>
      </c>
      <c r="P1863" s="6" t="s">
        <v>3324</v>
      </c>
      <c r="Q1863" s="1215" t="s">
        <v>253</v>
      </c>
      <c r="R1863" s="1215" t="s">
        <v>255</v>
      </c>
      <c r="S1863" s="1215" t="s">
        <v>534</v>
      </c>
      <c r="T1863" s="1215" t="s">
        <v>533</v>
      </c>
      <c r="U1863" s="6" t="s">
        <v>542</v>
      </c>
      <c r="V1863" s="6" t="s">
        <v>32</v>
      </c>
      <c r="W1863" s="6" t="s">
        <v>772</v>
      </c>
      <c r="X1863" s="6" t="s">
        <v>176</v>
      </c>
    </row>
    <row r="1864" spans="1:24" ht="15" customHeight="1" x14ac:dyDescent="0.3">
      <c r="A1864" s="6" t="s">
        <v>533</v>
      </c>
      <c r="B1864" s="6" t="s">
        <v>534</v>
      </c>
      <c r="C1864" s="6" t="s">
        <v>32</v>
      </c>
      <c r="D1864" s="1088" t="s">
        <v>542</v>
      </c>
      <c r="E1864" s="6" t="s">
        <v>176</v>
      </c>
      <c r="F1864" s="6" t="s">
        <v>772</v>
      </c>
      <c r="G1864" s="6" t="s">
        <v>1060</v>
      </c>
      <c r="H1864" s="6" t="s">
        <v>1061</v>
      </c>
      <c r="J1864" s="1215" t="s">
        <v>509</v>
      </c>
      <c r="K1864" s="1219" t="s">
        <v>3033</v>
      </c>
      <c r="L1864" s="8">
        <v>15</v>
      </c>
      <c r="M1864" s="8">
        <v>90</v>
      </c>
      <c r="N1864" s="1169" t="s">
        <v>272</v>
      </c>
      <c r="P1864" s="6" t="s">
        <v>3324</v>
      </c>
      <c r="Q1864" s="1215" t="s">
        <v>253</v>
      </c>
      <c r="R1864" s="1215" t="s">
        <v>255</v>
      </c>
      <c r="S1864" s="1215" t="s">
        <v>534</v>
      </c>
      <c r="T1864" s="1215" t="s">
        <v>533</v>
      </c>
      <c r="U1864" s="6" t="s">
        <v>542</v>
      </c>
      <c r="V1864" s="6" t="s">
        <v>32</v>
      </c>
      <c r="W1864" s="6" t="s">
        <v>772</v>
      </c>
      <c r="X1864" s="6" t="s">
        <v>176</v>
      </c>
    </row>
    <row r="1865" spans="1:24" ht="15" customHeight="1" x14ac:dyDescent="0.3">
      <c r="A1865" s="6" t="s">
        <v>533</v>
      </c>
      <c r="B1865" s="6" t="s">
        <v>534</v>
      </c>
      <c r="C1865" s="6" t="s">
        <v>32</v>
      </c>
      <c r="D1865" s="1088" t="s">
        <v>542</v>
      </c>
      <c r="E1865" s="6" t="s">
        <v>176</v>
      </c>
      <c r="F1865" s="6" t="s">
        <v>772</v>
      </c>
      <c r="G1865" s="6" t="s">
        <v>1060</v>
      </c>
      <c r="H1865" s="6" t="s">
        <v>1061</v>
      </c>
      <c r="J1865" s="1215" t="s">
        <v>509</v>
      </c>
      <c r="K1865" s="1219" t="s">
        <v>3111</v>
      </c>
      <c r="L1865" s="8">
        <v>0</v>
      </c>
      <c r="M1865" s="8">
        <v>11</v>
      </c>
      <c r="N1865" s="1169" t="s">
        <v>272</v>
      </c>
      <c r="P1865" s="6" t="s">
        <v>3324</v>
      </c>
      <c r="Q1865" s="1215" t="s">
        <v>253</v>
      </c>
      <c r="R1865" s="1215" t="s">
        <v>255</v>
      </c>
      <c r="S1865" s="1215" t="s">
        <v>534</v>
      </c>
      <c r="T1865" s="1215" t="s">
        <v>533</v>
      </c>
      <c r="U1865" s="6" t="s">
        <v>542</v>
      </c>
      <c r="V1865" s="6" t="s">
        <v>32</v>
      </c>
      <c r="W1865" s="6" t="s">
        <v>772</v>
      </c>
      <c r="X1865" s="6" t="s">
        <v>176</v>
      </c>
    </row>
    <row r="1866" spans="1:24" ht="15" customHeight="1" x14ac:dyDescent="0.3">
      <c r="A1866" s="6" t="s">
        <v>533</v>
      </c>
      <c r="B1866" s="6" t="s">
        <v>534</v>
      </c>
      <c r="C1866" s="6" t="s">
        <v>32</v>
      </c>
      <c r="D1866" s="1088" t="s">
        <v>542</v>
      </c>
      <c r="E1866" s="6" t="s">
        <v>176</v>
      </c>
      <c r="F1866" s="6" t="s">
        <v>772</v>
      </c>
      <c r="G1866" s="6" t="s">
        <v>1060</v>
      </c>
      <c r="H1866" s="6" t="s">
        <v>1061</v>
      </c>
      <c r="J1866" s="1215" t="s">
        <v>509</v>
      </c>
      <c r="K1866" s="1219" t="s">
        <v>3112</v>
      </c>
      <c r="L1866" s="8">
        <v>18</v>
      </c>
      <c r="M1866" s="8">
        <v>116</v>
      </c>
      <c r="N1866" s="1169" t="s">
        <v>272</v>
      </c>
      <c r="P1866" s="6" t="s">
        <v>3324</v>
      </c>
      <c r="Q1866" s="1215" t="s">
        <v>253</v>
      </c>
      <c r="R1866" s="1215" t="s">
        <v>255</v>
      </c>
      <c r="S1866" s="1215" t="s">
        <v>534</v>
      </c>
      <c r="T1866" s="1215" t="s">
        <v>533</v>
      </c>
      <c r="U1866" s="6" t="s">
        <v>542</v>
      </c>
      <c r="V1866" s="6" t="s">
        <v>32</v>
      </c>
      <c r="W1866" s="6" t="s">
        <v>772</v>
      </c>
      <c r="X1866" s="6" t="s">
        <v>176</v>
      </c>
    </row>
    <row r="1867" spans="1:24" ht="15" customHeight="1" x14ac:dyDescent="0.3">
      <c r="A1867" s="6" t="s">
        <v>533</v>
      </c>
      <c r="B1867" s="6" t="s">
        <v>534</v>
      </c>
      <c r="C1867" s="6" t="s">
        <v>32</v>
      </c>
      <c r="D1867" s="1088" t="s">
        <v>542</v>
      </c>
      <c r="E1867" s="6" t="s">
        <v>176</v>
      </c>
      <c r="F1867" s="6" t="s">
        <v>772</v>
      </c>
      <c r="G1867" s="6" t="s">
        <v>1535</v>
      </c>
      <c r="H1867" s="6" t="s">
        <v>1536</v>
      </c>
      <c r="J1867" s="1215" t="s">
        <v>509</v>
      </c>
      <c r="K1867" s="1219" t="s">
        <v>3112</v>
      </c>
      <c r="L1867" s="8">
        <v>27</v>
      </c>
      <c r="M1867" s="8">
        <v>210</v>
      </c>
      <c r="N1867" s="6" t="s">
        <v>272</v>
      </c>
      <c r="P1867" s="6" t="s">
        <v>3324</v>
      </c>
      <c r="Q1867" s="1215" t="s">
        <v>253</v>
      </c>
      <c r="R1867" s="1215" t="s">
        <v>255</v>
      </c>
      <c r="S1867" s="1215" t="s">
        <v>534</v>
      </c>
      <c r="T1867" s="1215" t="s">
        <v>533</v>
      </c>
      <c r="U1867" s="6" t="s">
        <v>542</v>
      </c>
      <c r="V1867" s="6" t="s">
        <v>32</v>
      </c>
      <c r="W1867" s="6" t="s">
        <v>772</v>
      </c>
      <c r="X1867" s="6" t="s">
        <v>176</v>
      </c>
    </row>
    <row r="1868" spans="1:24" ht="15" customHeight="1" x14ac:dyDescent="0.3">
      <c r="A1868" s="6" t="s">
        <v>533</v>
      </c>
      <c r="B1868" s="6" t="s">
        <v>534</v>
      </c>
      <c r="C1868" s="6" t="s">
        <v>32</v>
      </c>
      <c r="D1868" s="1088" t="s">
        <v>542</v>
      </c>
      <c r="E1868" s="6" t="s">
        <v>176</v>
      </c>
      <c r="F1868" s="6" t="s">
        <v>772</v>
      </c>
      <c r="G1868" s="6" t="s">
        <v>1056</v>
      </c>
      <c r="H1868" s="6" t="s">
        <v>1057</v>
      </c>
      <c r="J1868" s="1215" t="s">
        <v>509</v>
      </c>
      <c r="K1868" s="1219" t="s">
        <v>3033</v>
      </c>
      <c r="L1868" s="8">
        <v>33</v>
      </c>
      <c r="M1868" s="8">
        <v>239</v>
      </c>
      <c r="N1868" s="6" t="s">
        <v>272</v>
      </c>
      <c r="P1868" s="6" t="s">
        <v>3324</v>
      </c>
      <c r="Q1868" s="1215" t="s">
        <v>253</v>
      </c>
      <c r="R1868" s="1215" t="s">
        <v>255</v>
      </c>
      <c r="S1868" s="1215" t="s">
        <v>534</v>
      </c>
      <c r="T1868" s="1215" t="s">
        <v>533</v>
      </c>
      <c r="U1868" s="6" t="s">
        <v>542</v>
      </c>
      <c r="V1868" s="6" t="s">
        <v>32</v>
      </c>
      <c r="W1868" s="6" t="s">
        <v>772</v>
      </c>
      <c r="X1868" s="6" t="s">
        <v>176</v>
      </c>
    </row>
    <row r="1869" spans="1:24" ht="15" customHeight="1" x14ac:dyDescent="0.3">
      <c r="A1869" s="6" t="s">
        <v>533</v>
      </c>
      <c r="B1869" s="6" t="s">
        <v>534</v>
      </c>
      <c r="C1869" s="6" t="s">
        <v>32</v>
      </c>
      <c r="D1869" s="1088" t="s">
        <v>542</v>
      </c>
      <c r="E1869" s="6" t="s">
        <v>176</v>
      </c>
      <c r="F1869" s="6" t="s">
        <v>772</v>
      </c>
      <c r="G1869" s="6" t="s">
        <v>1056</v>
      </c>
      <c r="H1869" s="6" t="s">
        <v>1057</v>
      </c>
      <c r="J1869" s="1215" t="s">
        <v>509</v>
      </c>
      <c r="K1869" s="1219" t="s">
        <v>3112</v>
      </c>
      <c r="L1869" s="8">
        <v>20</v>
      </c>
      <c r="M1869" s="8">
        <v>140</v>
      </c>
      <c r="N1869" s="1169" t="s">
        <v>272</v>
      </c>
      <c r="P1869" s="6" t="s">
        <v>3324</v>
      </c>
      <c r="Q1869" s="1215" t="s">
        <v>253</v>
      </c>
      <c r="R1869" s="1215" t="s">
        <v>255</v>
      </c>
      <c r="S1869" s="1215" t="s">
        <v>534</v>
      </c>
      <c r="T1869" s="1215" t="s">
        <v>533</v>
      </c>
      <c r="U1869" s="6" t="s">
        <v>542</v>
      </c>
      <c r="V1869" s="6" t="s">
        <v>32</v>
      </c>
      <c r="W1869" s="6" t="s">
        <v>772</v>
      </c>
      <c r="X1869" s="6" t="s">
        <v>176</v>
      </c>
    </row>
    <row r="1870" spans="1:24" ht="15" customHeight="1" x14ac:dyDescent="0.3">
      <c r="A1870" s="6" t="s">
        <v>533</v>
      </c>
      <c r="B1870" s="6" t="s">
        <v>534</v>
      </c>
      <c r="C1870" s="6" t="s">
        <v>32</v>
      </c>
      <c r="D1870" s="1088" t="s">
        <v>542</v>
      </c>
      <c r="E1870" s="6" t="s">
        <v>176</v>
      </c>
      <c r="F1870" s="6" t="s">
        <v>772</v>
      </c>
      <c r="G1870" s="6" t="s">
        <v>1729</v>
      </c>
      <c r="H1870" s="6" t="s">
        <v>1730</v>
      </c>
      <c r="J1870" s="1215" t="s">
        <v>509</v>
      </c>
      <c r="K1870" s="1219" t="s">
        <v>3033</v>
      </c>
      <c r="L1870" s="8">
        <v>152</v>
      </c>
      <c r="M1870" s="8">
        <v>1200</v>
      </c>
      <c r="N1870" s="1169" t="s">
        <v>272</v>
      </c>
      <c r="P1870" s="6" t="s">
        <v>3324</v>
      </c>
      <c r="Q1870" s="1215" t="s">
        <v>253</v>
      </c>
      <c r="R1870" s="1215" t="s">
        <v>255</v>
      </c>
      <c r="S1870" s="1215" t="s">
        <v>534</v>
      </c>
      <c r="T1870" s="1215" t="s">
        <v>533</v>
      </c>
      <c r="U1870" s="6" t="s">
        <v>542</v>
      </c>
      <c r="V1870" s="6" t="s">
        <v>32</v>
      </c>
      <c r="W1870" s="6" t="s">
        <v>772</v>
      </c>
      <c r="X1870" s="6" t="s">
        <v>176</v>
      </c>
    </row>
    <row r="1871" spans="1:24" ht="15" customHeight="1" x14ac:dyDescent="0.3">
      <c r="A1871" s="6" t="s">
        <v>533</v>
      </c>
      <c r="B1871" s="6" t="s">
        <v>534</v>
      </c>
      <c r="C1871" s="6" t="s">
        <v>32</v>
      </c>
      <c r="D1871" s="1088" t="s">
        <v>542</v>
      </c>
      <c r="E1871" s="6" t="s">
        <v>176</v>
      </c>
      <c r="F1871" s="6" t="s">
        <v>772</v>
      </c>
      <c r="G1871" s="6" t="s">
        <v>1729</v>
      </c>
      <c r="H1871" s="6" t="s">
        <v>1730</v>
      </c>
      <c r="J1871" s="1215" t="s">
        <v>509</v>
      </c>
      <c r="K1871" s="1219" t="s">
        <v>3110</v>
      </c>
      <c r="L1871" s="8">
        <v>0</v>
      </c>
      <c r="M1871" s="8">
        <v>6</v>
      </c>
      <c r="N1871" s="1169" t="s">
        <v>272</v>
      </c>
      <c r="P1871" s="6" t="s">
        <v>3324</v>
      </c>
      <c r="Q1871" s="1215" t="s">
        <v>253</v>
      </c>
      <c r="R1871" s="1215" t="s">
        <v>255</v>
      </c>
      <c r="S1871" s="1215" t="s">
        <v>534</v>
      </c>
      <c r="T1871" s="1215" t="s">
        <v>533</v>
      </c>
      <c r="U1871" s="6" t="s">
        <v>542</v>
      </c>
      <c r="V1871" s="6" t="s">
        <v>32</v>
      </c>
      <c r="W1871" s="6" t="s">
        <v>772</v>
      </c>
      <c r="X1871" s="6" t="s">
        <v>176</v>
      </c>
    </row>
    <row r="1872" spans="1:24" ht="15" customHeight="1" x14ac:dyDescent="0.3">
      <c r="A1872" s="6" t="s">
        <v>533</v>
      </c>
      <c r="B1872" s="6" t="s">
        <v>534</v>
      </c>
      <c r="C1872" s="6" t="s">
        <v>32</v>
      </c>
      <c r="D1872" s="1088" t="s">
        <v>542</v>
      </c>
      <c r="E1872" s="6" t="s">
        <v>176</v>
      </c>
      <c r="F1872" s="6" t="s">
        <v>772</v>
      </c>
      <c r="G1872" s="6" t="s">
        <v>1729</v>
      </c>
      <c r="H1872" s="6" t="s">
        <v>1730</v>
      </c>
      <c r="J1872" s="1215" t="s">
        <v>509</v>
      </c>
      <c r="K1872" s="1219" t="s">
        <v>3111</v>
      </c>
      <c r="L1872" s="8">
        <v>0</v>
      </c>
      <c r="M1872" s="8">
        <v>14</v>
      </c>
      <c r="N1872" s="1169" t="s">
        <v>272</v>
      </c>
      <c r="P1872" s="6" t="s">
        <v>3324</v>
      </c>
      <c r="Q1872" s="1215" t="s">
        <v>253</v>
      </c>
      <c r="R1872" s="1215" t="s">
        <v>255</v>
      </c>
      <c r="S1872" s="1215" t="s">
        <v>534</v>
      </c>
      <c r="T1872" s="1215" t="s">
        <v>533</v>
      </c>
      <c r="U1872" s="6" t="s">
        <v>542</v>
      </c>
      <c r="V1872" s="6" t="s">
        <v>32</v>
      </c>
      <c r="W1872" s="6" t="s">
        <v>772</v>
      </c>
      <c r="X1872" s="6" t="s">
        <v>176</v>
      </c>
    </row>
    <row r="1873" spans="1:24" ht="15" customHeight="1" x14ac:dyDescent="0.3">
      <c r="A1873" s="6" t="s">
        <v>533</v>
      </c>
      <c r="B1873" s="6" t="s">
        <v>534</v>
      </c>
      <c r="C1873" s="6" t="s">
        <v>31</v>
      </c>
      <c r="D1873" s="1088" t="s">
        <v>549</v>
      </c>
      <c r="E1873" s="6" t="s">
        <v>171</v>
      </c>
      <c r="F1873" s="6" t="s">
        <v>634</v>
      </c>
      <c r="G1873" s="6" t="s">
        <v>1028</v>
      </c>
      <c r="H1873" s="6" t="s">
        <v>2055</v>
      </c>
      <c r="J1873" s="1215" t="s">
        <v>509</v>
      </c>
      <c r="K1873" s="1219" t="s">
        <v>3111</v>
      </c>
      <c r="L1873" s="8">
        <v>5</v>
      </c>
      <c r="M1873" s="8">
        <v>47</v>
      </c>
      <c r="N1873" s="1169" t="s">
        <v>274</v>
      </c>
      <c r="P1873" s="6" t="s">
        <v>3323</v>
      </c>
      <c r="Q1873" s="1215" t="s">
        <v>253</v>
      </c>
      <c r="R1873" s="1215" t="s">
        <v>255</v>
      </c>
      <c r="S1873" s="1215" t="s">
        <v>534</v>
      </c>
      <c r="T1873" s="1215" t="s">
        <v>533</v>
      </c>
      <c r="U1873" s="6" t="s">
        <v>549</v>
      </c>
      <c r="V1873" s="6" t="s">
        <v>31</v>
      </c>
      <c r="W1873" s="6" t="s">
        <v>881</v>
      </c>
      <c r="X1873" s="6" t="s">
        <v>165</v>
      </c>
    </row>
    <row r="1874" spans="1:24" ht="15" customHeight="1" x14ac:dyDescent="0.3">
      <c r="A1874" s="6" t="s">
        <v>533</v>
      </c>
      <c r="B1874" s="6" t="s">
        <v>534</v>
      </c>
      <c r="C1874" s="6" t="s">
        <v>31</v>
      </c>
      <c r="D1874" s="1088" t="s">
        <v>549</v>
      </c>
      <c r="E1874" s="6" t="s">
        <v>171</v>
      </c>
      <c r="F1874" s="6" t="s">
        <v>634</v>
      </c>
      <c r="G1874" s="6" t="s">
        <v>1028</v>
      </c>
      <c r="H1874" s="6" t="s">
        <v>2055</v>
      </c>
      <c r="J1874" s="1215" t="s">
        <v>509</v>
      </c>
      <c r="K1874" s="1219" t="s">
        <v>3112</v>
      </c>
      <c r="L1874" s="8">
        <v>6</v>
      </c>
      <c r="M1874" s="8">
        <v>18</v>
      </c>
      <c r="N1874" s="1169" t="s">
        <v>274</v>
      </c>
      <c r="P1874" s="6" t="s">
        <v>3324</v>
      </c>
      <c r="Q1874" s="1215" t="s">
        <v>253</v>
      </c>
      <c r="R1874" s="1215" t="s">
        <v>255</v>
      </c>
      <c r="S1874" s="1215" t="s">
        <v>534</v>
      </c>
      <c r="T1874" s="1215" t="s">
        <v>533</v>
      </c>
      <c r="U1874" s="6" t="s">
        <v>549</v>
      </c>
      <c r="V1874" s="6" t="s">
        <v>31</v>
      </c>
      <c r="W1874" s="6" t="s">
        <v>634</v>
      </c>
      <c r="X1874" s="6" t="s">
        <v>171</v>
      </c>
    </row>
    <row r="1875" spans="1:24" ht="15" customHeight="1" x14ac:dyDescent="0.3">
      <c r="A1875" s="6" t="s">
        <v>533</v>
      </c>
      <c r="B1875" s="6" t="s">
        <v>534</v>
      </c>
      <c r="C1875" s="6" t="s">
        <v>32</v>
      </c>
      <c r="D1875" s="1088" t="s">
        <v>542</v>
      </c>
      <c r="E1875" s="6" t="s">
        <v>175</v>
      </c>
      <c r="F1875" s="6" t="s">
        <v>1136</v>
      </c>
      <c r="G1875" s="6" t="s">
        <v>1137</v>
      </c>
      <c r="H1875" s="6" t="s">
        <v>1138</v>
      </c>
      <c r="J1875" s="1215" t="s">
        <v>509</v>
      </c>
      <c r="K1875" s="1219" t="s">
        <v>3112</v>
      </c>
      <c r="L1875" s="8">
        <v>38</v>
      </c>
      <c r="M1875" s="8">
        <v>220</v>
      </c>
      <c r="N1875" s="1169" t="s">
        <v>272</v>
      </c>
      <c r="P1875" s="6" t="s">
        <v>3324</v>
      </c>
      <c r="Q1875" s="1215" t="s">
        <v>253</v>
      </c>
      <c r="R1875" s="1215" t="s">
        <v>255</v>
      </c>
      <c r="S1875" s="1215" t="s">
        <v>534</v>
      </c>
      <c r="T1875" s="1215" t="s">
        <v>533</v>
      </c>
      <c r="U1875" s="6" t="s">
        <v>542</v>
      </c>
      <c r="V1875" s="6" t="s">
        <v>32</v>
      </c>
      <c r="W1875" s="6" t="s">
        <v>1136</v>
      </c>
      <c r="X1875" s="6" t="s">
        <v>175</v>
      </c>
    </row>
    <row r="1876" spans="1:24" ht="15" customHeight="1" x14ac:dyDescent="0.3">
      <c r="A1876" s="6" t="s">
        <v>533</v>
      </c>
      <c r="B1876" s="6" t="s">
        <v>534</v>
      </c>
      <c r="C1876" s="6" t="s">
        <v>32</v>
      </c>
      <c r="D1876" s="1088" t="s">
        <v>542</v>
      </c>
      <c r="E1876" s="6" t="s">
        <v>175</v>
      </c>
      <c r="F1876" s="6" t="s">
        <v>1136</v>
      </c>
      <c r="G1876" s="6" t="s">
        <v>1758</v>
      </c>
      <c r="H1876" s="6" t="s">
        <v>1759</v>
      </c>
      <c r="J1876" s="1215" t="s">
        <v>509</v>
      </c>
      <c r="K1876" s="1219" t="s">
        <v>3112</v>
      </c>
      <c r="L1876" s="8">
        <v>40</v>
      </c>
      <c r="M1876" s="8">
        <v>305</v>
      </c>
      <c r="N1876" s="1169" t="s">
        <v>272</v>
      </c>
      <c r="P1876" s="6" t="s">
        <v>3324</v>
      </c>
      <c r="Q1876" s="1215" t="s">
        <v>253</v>
      </c>
      <c r="R1876" s="1215" t="s">
        <v>255</v>
      </c>
      <c r="S1876" s="1215" t="s">
        <v>534</v>
      </c>
      <c r="T1876" s="1215" t="s">
        <v>533</v>
      </c>
      <c r="U1876" s="6" t="s">
        <v>542</v>
      </c>
      <c r="V1876" s="6" t="s">
        <v>32</v>
      </c>
      <c r="W1876" s="6" t="s">
        <v>1136</v>
      </c>
      <c r="X1876" s="6" t="s">
        <v>175</v>
      </c>
    </row>
    <row r="1877" spans="1:24" ht="15" customHeight="1" x14ac:dyDescent="0.3">
      <c r="A1877" s="6" t="s">
        <v>533</v>
      </c>
      <c r="B1877" s="6" t="s">
        <v>534</v>
      </c>
      <c r="C1877" s="6" t="s">
        <v>32</v>
      </c>
      <c r="D1877" s="1088" t="s">
        <v>542</v>
      </c>
      <c r="E1877" s="6" t="s">
        <v>175</v>
      </c>
      <c r="F1877" s="6" t="s">
        <v>1136</v>
      </c>
      <c r="G1877" s="6" t="s">
        <v>1762</v>
      </c>
      <c r="H1877" s="6" t="s">
        <v>1763</v>
      </c>
      <c r="J1877" s="1215" t="s">
        <v>509</v>
      </c>
      <c r="K1877" s="1219" t="s">
        <v>3112</v>
      </c>
      <c r="L1877" s="8">
        <v>45</v>
      </c>
      <c r="M1877" s="8">
        <v>270</v>
      </c>
      <c r="N1877" s="6" t="s">
        <v>272</v>
      </c>
      <c r="P1877" s="6" t="s">
        <v>3324</v>
      </c>
      <c r="Q1877" s="1215" t="s">
        <v>253</v>
      </c>
      <c r="R1877" s="1215" t="s">
        <v>255</v>
      </c>
      <c r="S1877" s="1215" t="s">
        <v>534</v>
      </c>
      <c r="T1877" s="1215" t="s">
        <v>533</v>
      </c>
      <c r="U1877" s="6" t="s">
        <v>542</v>
      </c>
      <c r="V1877" s="6" t="s">
        <v>32</v>
      </c>
      <c r="W1877" s="6" t="s">
        <v>1136</v>
      </c>
      <c r="X1877" s="6" t="s">
        <v>175</v>
      </c>
    </row>
    <row r="1878" spans="1:24" ht="15" customHeight="1" x14ac:dyDescent="0.3">
      <c r="A1878" s="6" t="s">
        <v>533</v>
      </c>
      <c r="B1878" s="6" t="s">
        <v>534</v>
      </c>
      <c r="C1878" s="6" t="s">
        <v>32</v>
      </c>
      <c r="D1878" s="6" t="s">
        <v>542</v>
      </c>
      <c r="E1878" s="6" t="s">
        <v>175</v>
      </c>
      <c r="F1878" s="6" t="s">
        <v>1136</v>
      </c>
      <c r="G1878" s="6" t="s">
        <v>1769</v>
      </c>
      <c r="H1878" s="6" t="s">
        <v>1770</v>
      </c>
      <c r="J1878" s="1215" t="s">
        <v>509</v>
      </c>
      <c r="K1878" s="1219" t="s">
        <v>3112</v>
      </c>
      <c r="L1878" s="8">
        <v>30</v>
      </c>
      <c r="M1878" s="8">
        <v>204</v>
      </c>
      <c r="N1878" s="1169" t="s">
        <v>272</v>
      </c>
      <c r="P1878" s="6" t="s">
        <v>3324</v>
      </c>
      <c r="Q1878" s="1215" t="s">
        <v>253</v>
      </c>
      <c r="R1878" s="1215" t="s">
        <v>255</v>
      </c>
      <c r="S1878" s="1215" t="s">
        <v>534</v>
      </c>
      <c r="T1878" s="1215" t="s">
        <v>533</v>
      </c>
      <c r="U1878" s="6" t="s">
        <v>542</v>
      </c>
      <c r="V1878" s="6" t="s">
        <v>32</v>
      </c>
      <c r="W1878" s="6" t="s">
        <v>1136</v>
      </c>
      <c r="X1878" s="6" t="s">
        <v>175</v>
      </c>
    </row>
    <row r="1879" spans="1:24" ht="15" customHeight="1" x14ac:dyDescent="0.3">
      <c r="A1879" s="6" t="s">
        <v>533</v>
      </c>
      <c r="B1879" s="6" t="s">
        <v>534</v>
      </c>
      <c r="C1879" s="6" t="s">
        <v>32</v>
      </c>
      <c r="D1879" s="1088" t="s">
        <v>542</v>
      </c>
      <c r="E1879" s="1088" t="s">
        <v>175</v>
      </c>
      <c r="F1879" s="6" t="s">
        <v>1136</v>
      </c>
      <c r="G1879" s="6" t="s">
        <v>1760</v>
      </c>
      <c r="H1879" s="6" t="s">
        <v>1761</v>
      </c>
      <c r="J1879" s="1215" t="s">
        <v>509</v>
      </c>
      <c r="K1879" s="1219" t="s">
        <v>3111</v>
      </c>
      <c r="L1879" s="8">
        <v>22</v>
      </c>
      <c r="M1879" s="8">
        <v>123</v>
      </c>
      <c r="N1879" s="1169" t="s">
        <v>272</v>
      </c>
      <c r="P1879" s="6" t="s">
        <v>3324</v>
      </c>
      <c r="Q1879" s="1215" t="s">
        <v>253</v>
      </c>
      <c r="R1879" s="1215" t="s">
        <v>255</v>
      </c>
      <c r="S1879" s="1215" t="s">
        <v>534</v>
      </c>
      <c r="T1879" s="1215" t="s">
        <v>533</v>
      </c>
      <c r="U1879" s="6" t="s">
        <v>542</v>
      </c>
      <c r="V1879" s="6" t="s">
        <v>32</v>
      </c>
      <c r="W1879" s="6" t="s">
        <v>1136</v>
      </c>
      <c r="X1879" s="6" t="s">
        <v>175</v>
      </c>
    </row>
    <row r="1880" spans="1:24" ht="15" customHeight="1" x14ac:dyDescent="0.3">
      <c r="A1880" s="6" t="s">
        <v>533</v>
      </c>
      <c r="B1880" s="6" t="s">
        <v>534</v>
      </c>
      <c r="C1880" s="6" t="s">
        <v>31</v>
      </c>
      <c r="D1880" s="1088" t="s">
        <v>549</v>
      </c>
      <c r="E1880" s="6" t="s">
        <v>169</v>
      </c>
      <c r="F1880" s="6" t="s">
        <v>673</v>
      </c>
      <c r="G1880" s="6" t="s">
        <v>814</v>
      </c>
      <c r="H1880" s="6" t="s">
        <v>1553</v>
      </c>
      <c r="J1880" s="1215" t="s">
        <v>509</v>
      </c>
      <c r="K1880" s="1219" t="s">
        <v>3111</v>
      </c>
      <c r="L1880" s="8">
        <v>85</v>
      </c>
      <c r="M1880" s="8">
        <v>242</v>
      </c>
      <c r="N1880" s="6" t="s">
        <v>274</v>
      </c>
      <c r="P1880" s="6" t="s">
        <v>3324</v>
      </c>
      <c r="Q1880" s="1215" t="s">
        <v>253</v>
      </c>
      <c r="R1880" s="1215" t="s">
        <v>255</v>
      </c>
      <c r="S1880" s="1215" t="s">
        <v>534</v>
      </c>
      <c r="T1880" s="1215" t="s">
        <v>533</v>
      </c>
      <c r="U1880" s="6" t="s">
        <v>549</v>
      </c>
      <c r="V1880" s="6" t="s">
        <v>31</v>
      </c>
      <c r="W1880" s="6" t="s">
        <v>673</v>
      </c>
      <c r="X1880" s="6" t="s">
        <v>169</v>
      </c>
    </row>
    <row r="1881" spans="1:24" ht="15" customHeight="1" x14ac:dyDescent="0.3">
      <c r="A1881" s="6" t="s">
        <v>533</v>
      </c>
      <c r="B1881" s="6" t="s">
        <v>534</v>
      </c>
      <c r="C1881" s="6" t="s">
        <v>31</v>
      </c>
      <c r="D1881" s="1088" t="s">
        <v>549</v>
      </c>
      <c r="E1881" s="6" t="s">
        <v>169</v>
      </c>
      <c r="F1881" s="6" t="s">
        <v>673</v>
      </c>
      <c r="G1881" s="6" t="s">
        <v>1552</v>
      </c>
      <c r="H1881" s="6" t="s">
        <v>1642</v>
      </c>
      <c r="J1881" s="1215" t="s">
        <v>509</v>
      </c>
      <c r="K1881" s="1219" t="s">
        <v>3111</v>
      </c>
      <c r="L1881" s="8">
        <v>85</v>
      </c>
      <c r="M1881" s="8">
        <v>354</v>
      </c>
      <c r="N1881" s="1169" t="s">
        <v>274</v>
      </c>
      <c r="P1881" s="6" t="s">
        <v>3324</v>
      </c>
      <c r="Q1881" s="1215" t="s">
        <v>253</v>
      </c>
      <c r="R1881" s="1215" t="s">
        <v>255</v>
      </c>
      <c r="S1881" s="1215" t="s">
        <v>534</v>
      </c>
      <c r="T1881" s="1215" t="s">
        <v>533</v>
      </c>
      <c r="U1881" s="6" t="s">
        <v>549</v>
      </c>
      <c r="V1881" s="6" t="s">
        <v>31</v>
      </c>
      <c r="W1881" s="6" t="s">
        <v>673</v>
      </c>
      <c r="X1881" s="6" t="s">
        <v>169</v>
      </c>
    </row>
    <row r="1882" spans="1:24" ht="15" customHeight="1" x14ac:dyDescent="0.3">
      <c r="A1882" s="6" t="s">
        <v>533</v>
      </c>
      <c r="B1882" s="6" t="s">
        <v>534</v>
      </c>
      <c r="C1882" s="6" t="s">
        <v>31</v>
      </c>
      <c r="D1882" s="1088" t="s">
        <v>549</v>
      </c>
      <c r="E1882" s="6" t="s">
        <v>169</v>
      </c>
      <c r="F1882" s="6" t="s">
        <v>673</v>
      </c>
      <c r="G1882" s="6" t="s">
        <v>1644</v>
      </c>
      <c r="H1882" s="6" t="s">
        <v>1640</v>
      </c>
      <c r="J1882" s="1215" t="s">
        <v>509</v>
      </c>
      <c r="K1882" s="1219" t="s">
        <v>3111</v>
      </c>
      <c r="L1882" s="8">
        <v>9</v>
      </c>
      <c r="M1882" s="8">
        <v>61</v>
      </c>
      <c r="N1882" s="1088" t="s">
        <v>274</v>
      </c>
      <c r="P1882" s="6" t="s">
        <v>3324</v>
      </c>
      <c r="Q1882" s="1215" t="s">
        <v>253</v>
      </c>
      <c r="R1882" s="1215" t="s">
        <v>255</v>
      </c>
      <c r="S1882" s="1215" t="s">
        <v>534</v>
      </c>
      <c r="T1882" s="1215" t="s">
        <v>533</v>
      </c>
      <c r="U1882" s="6" t="s">
        <v>549</v>
      </c>
      <c r="V1882" s="6" t="s">
        <v>31</v>
      </c>
      <c r="W1882" s="6" t="s">
        <v>673</v>
      </c>
      <c r="X1882" s="6" t="s">
        <v>169</v>
      </c>
    </row>
    <row r="1883" spans="1:24" ht="15" customHeight="1" x14ac:dyDescent="0.3">
      <c r="A1883" s="6" t="s">
        <v>533</v>
      </c>
      <c r="B1883" s="6" t="s">
        <v>534</v>
      </c>
      <c r="C1883" s="6" t="s">
        <v>32</v>
      </c>
      <c r="D1883" s="1088" t="s">
        <v>542</v>
      </c>
      <c r="E1883" s="6" t="s">
        <v>175</v>
      </c>
      <c r="F1883" s="6" t="s">
        <v>1136</v>
      </c>
      <c r="G1883" s="6" t="s">
        <v>1478</v>
      </c>
      <c r="H1883" s="6" t="s">
        <v>1479</v>
      </c>
      <c r="J1883" s="1215" t="s">
        <v>509</v>
      </c>
      <c r="K1883" s="1219" t="s">
        <v>3112</v>
      </c>
      <c r="L1883" s="8">
        <v>31</v>
      </c>
      <c r="M1883" s="8">
        <v>195</v>
      </c>
      <c r="N1883" s="1169" t="s">
        <v>272</v>
      </c>
      <c r="P1883" s="6" t="s">
        <v>3324</v>
      </c>
      <c r="Q1883" s="1215" t="s">
        <v>253</v>
      </c>
      <c r="R1883" s="1215" t="s">
        <v>255</v>
      </c>
      <c r="S1883" s="1215" t="s">
        <v>534</v>
      </c>
      <c r="T1883" s="1215" t="s">
        <v>533</v>
      </c>
      <c r="U1883" s="6" t="s">
        <v>542</v>
      </c>
      <c r="V1883" s="6" t="s">
        <v>32</v>
      </c>
      <c r="W1883" s="6" t="s">
        <v>1136</v>
      </c>
      <c r="X1883" s="6" t="s">
        <v>175</v>
      </c>
    </row>
    <row r="1884" spans="1:24" ht="15" customHeight="1" x14ac:dyDescent="0.3">
      <c r="A1884" s="6" t="s">
        <v>533</v>
      </c>
      <c r="B1884" s="6" t="s">
        <v>534</v>
      </c>
      <c r="C1884" s="6" t="s">
        <v>32</v>
      </c>
      <c r="D1884" s="1088" t="s">
        <v>542</v>
      </c>
      <c r="E1884" s="6" t="s">
        <v>175</v>
      </c>
      <c r="F1884" s="6" t="s">
        <v>1136</v>
      </c>
      <c r="G1884" s="6" t="s">
        <v>1476</v>
      </c>
      <c r="H1884" s="6" t="s">
        <v>1477</v>
      </c>
      <c r="J1884" s="1215" t="s">
        <v>509</v>
      </c>
      <c r="K1884" s="1219" t="s">
        <v>3112</v>
      </c>
      <c r="L1884" s="8">
        <v>21</v>
      </c>
      <c r="M1884" s="8">
        <v>155</v>
      </c>
      <c r="N1884" s="1169" t="s">
        <v>272</v>
      </c>
      <c r="P1884" s="6" t="s">
        <v>3324</v>
      </c>
      <c r="Q1884" s="1215" t="s">
        <v>253</v>
      </c>
      <c r="R1884" s="1215" t="s">
        <v>255</v>
      </c>
      <c r="S1884" s="1215" t="s">
        <v>534</v>
      </c>
      <c r="T1884" s="1215" t="s">
        <v>533</v>
      </c>
      <c r="U1884" s="6" t="s">
        <v>542</v>
      </c>
      <c r="V1884" s="6" t="s">
        <v>32</v>
      </c>
      <c r="W1884" s="6" t="s">
        <v>1136</v>
      </c>
      <c r="X1884" s="6" t="s">
        <v>175</v>
      </c>
    </row>
    <row r="1885" spans="1:24" ht="15" customHeight="1" x14ac:dyDescent="0.3">
      <c r="A1885" s="6" t="s">
        <v>533</v>
      </c>
      <c r="B1885" s="6" t="s">
        <v>534</v>
      </c>
      <c r="C1885" s="6" t="s">
        <v>32</v>
      </c>
      <c r="D1885" s="1088" t="s">
        <v>542</v>
      </c>
      <c r="E1885" s="6" t="s">
        <v>175</v>
      </c>
      <c r="F1885" s="6" t="s">
        <v>1136</v>
      </c>
      <c r="G1885" s="6" t="s">
        <v>1771</v>
      </c>
      <c r="H1885" s="6" t="s">
        <v>1772</v>
      </c>
      <c r="J1885" s="1215" t="s">
        <v>509</v>
      </c>
      <c r="K1885" s="1219" t="s">
        <v>3112</v>
      </c>
      <c r="L1885" s="8">
        <v>20</v>
      </c>
      <c r="M1885" s="8">
        <v>115</v>
      </c>
      <c r="N1885" s="1169" t="s">
        <v>272</v>
      </c>
      <c r="P1885" s="6" t="s">
        <v>3324</v>
      </c>
      <c r="Q1885" s="1215" t="s">
        <v>253</v>
      </c>
      <c r="R1885" s="1215" t="s">
        <v>255</v>
      </c>
      <c r="S1885" s="1215" t="s">
        <v>534</v>
      </c>
      <c r="T1885" s="1215" t="s">
        <v>533</v>
      </c>
      <c r="U1885" s="6" t="s">
        <v>542</v>
      </c>
      <c r="V1885" s="6" t="s">
        <v>32</v>
      </c>
      <c r="W1885" s="6" t="s">
        <v>1136</v>
      </c>
      <c r="X1885" s="6" t="s">
        <v>175</v>
      </c>
    </row>
    <row r="1886" spans="1:24" ht="15" customHeight="1" x14ac:dyDescent="0.3">
      <c r="A1886" s="6" t="s">
        <v>533</v>
      </c>
      <c r="B1886" s="6" t="s">
        <v>534</v>
      </c>
      <c r="C1886" s="6" t="s">
        <v>32</v>
      </c>
      <c r="D1886" s="1088" t="s">
        <v>542</v>
      </c>
      <c r="E1886" s="6" t="s">
        <v>176</v>
      </c>
      <c r="F1886" s="6" t="s">
        <v>772</v>
      </c>
      <c r="G1886" s="6" t="s">
        <v>1359</v>
      </c>
      <c r="H1886" s="6" t="s">
        <v>1360</v>
      </c>
      <c r="J1886" s="1215" t="s">
        <v>509</v>
      </c>
      <c r="K1886" s="1219" t="s">
        <v>3033</v>
      </c>
      <c r="L1886" s="8">
        <v>45</v>
      </c>
      <c r="M1886" s="8">
        <v>280</v>
      </c>
      <c r="N1886" s="1169" t="s">
        <v>272</v>
      </c>
      <c r="P1886" s="6" t="s">
        <v>3324</v>
      </c>
      <c r="Q1886" s="1215" t="s">
        <v>253</v>
      </c>
      <c r="R1886" s="1215" t="s">
        <v>255</v>
      </c>
      <c r="S1886" s="1215" t="s">
        <v>534</v>
      </c>
      <c r="T1886" s="1215" t="s">
        <v>533</v>
      </c>
      <c r="U1886" s="6" t="s">
        <v>542</v>
      </c>
      <c r="V1886" s="6" t="s">
        <v>32</v>
      </c>
      <c r="W1886" s="6" t="s">
        <v>772</v>
      </c>
      <c r="X1886" s="6" t="s">
        <v>176</v>
      </c>
    </row>
    <row r="1887" spans="1:24" ht="15" customHeight="1" x14ac:dyDescent="0.3">
      <c r="A1887" s="6" t="s">
        <v>533</v>
      </c>
      <c r="B1887" s="6" t="s">
        <v>534</v>
      </c>
      <c r="C1887" s="6" t="s">
        <v>32</v>
      </c>
      <c r="D1887" s="1088" t="s">
        <v>542</v>
      </c>
      <c r="E1887" s="6" t="s">
        <v>176</v>
      </c>
      <c r="F1887" s="6" t="s">
        <v>772</v>
      </c>
      <c r="G1887" s="6" t="s">
        <v>1359</v>
      </c>
      <c r="H1887" s="6" t="s">
        <v>1360</v>
      </c>
      <c r="J1887" s="1215" t="s">
        <v>509</v>
      </c>
      <c r="K1887" s="1219" t="s">
        <v>3111</v>
      </c>
      <c r="L1887" s="8">
        <v>0</v>
      </c>
      <c r="M1887" s="8">
        <v>10</v>
      </c>
      <c r="N1887" s="1088" t="s">
        <v>272</v>
      </c>
      <c r="P1887" s="6" t="s">
        <v>3324</v>
      </c>
      <c r="Q1887" s="1215" t="s">
        <v>253</v>
      </c>
      <c r="R1887" s="1215" t="s">
        <v>255</v>
      </c>
      <c r="S1887" s="1215" t="s">
        <v>534</v>
      </c>
      <c r="T1887" s="1215" t="s">
        <v>533</v>
      </c>
      <c r="U1887" s="6" t="s">
        <v>542</v>
      </c>
      <c r="V1887" s="6" t="s">
        <v>32</v>
      </c>
      <c r="W1887" s="6" t="s">
        <v>772</v>
      </c>
      <c r="X1887" s="6" t="s">
        <v>176</v>
      </c>
    </row>
    <row r="1888" spans="1:24" ht="15" customHeight="1" x14ac:dyDescent="0.3">
      <c r="A1888" s="6" t="s">
        <v>533</v>
      </c>
      <c r="B1888" s="6" t="s">
        <v>534</v>
      </c>
      <c r="C1888" s="6" t="s">
        <v>32</v>
      </c>
      <c r="D1888" s="1088" t="s">
        <v>542</v>
      </c>
      <c r="E1888" s="6" t="s">
        <v>176</v>
      </c>
      <c r="F1888" s="6" t="s">
        <v>772</v>
      </c>
      <c r="G1888" s="6" t="s">
        <v>1058</v>
      </c>
      <c r="H1888" s="6" t="s">
        <v>1059</v>
      </c>
      <c r="J1888" s="1215" t="s">
        <v>509</v>
      </c>
      <c r="K1888" s="1219" t="s">
        <v>3033</v>
      </c>
      <c r="L1888" s="8">
        <v>31</v>
      </c>
      <c r="M1888" s="8">
        <v>270</v>
      </c>
      <c r="N1888" s="1169" t="s">
        <v>272</v>
      </c>
      <c r="P1888" s="6" t="s">
        <v>3324</v>
      </c>
      <c r="Q1888" s="1215" t="s">
        <v>253</v>
      </c>
      <c r="R1888" s="1215" t="s">
        <v>255</v>
      </c>
      <c r="S1888" s="1215" t="s">
        <v>534</v>
      </c>
      <c r="T1888" s="1215" t="s">
        <v>533</v>
      </c>
      <c r="U1888" s="6" t="s">
        <v>542</v>
      </c>
      <c r="V1888" s="6" t="s">
        <v>32</v>
      </c>
      <c r="W1888" s="6" t="s">
        <v>772</v>
      </c>
      <c r="X1888" s="6" t="s">
        <v>176</v>
      </c>
    </row>
    <row r="1889" spans="1:24" ht="15" customHeight="1" x14ac:dyDescent="0.3">
      <c r="A1889" s="6" t="s">
        <v>533</v>
      </c>
      <c r="B1889" s="6" t="s">
        <v>534</v>
      </c>
      <c r="C1889" s="6" t="s">
        <v>32</v>
      </c>
      <c r="D1889" s="1088" t="s">
        <v>542</v>
      </c>
      <c r="E1889" s="6" t="s">
        <v>176</v>
      </c>
      <c r="F1889" s="6" t="s">
        <v>772</v>
      </c>
      <c r="G1889" s="6" t="s">
        <v>1058</v>
      </c>
      <c r="H1889" s="6" t="s">
        <v>1059</v>
      </c>
      <c r="J1889" s="1215" t="s">
        <v>509</v>
      </c>
      <c r="K1889" s="1219" t="s">
        <v>3111</v>
      </c>
      <c r="L1889" s="8">
        <v>1</v>
      </c>
      <c r="M1889" s="8">
        <v>7</v>
      </c>
      <c r="N1889" s="1169" t="s">
        <v>272</v>
      </c>
      <c r="P1889" s="6" t="s">
        <v>3324</v>
      </c>
      <c r="Q1889" s="1215" t="s">
        <v>253</v>
      </c>
      <c r="R1889" s="1215" t="s">
        <v>255</v>
      </c>
      <c r="S1889" s="1215" t="s">
        <v>534</v>
      </c>
      <c r="T1889" s="1215" t="s">
        <v>533</v>
      </c>
      <c r="U1889" s="6" t="s">
        <v>542</v>
      </c>
      <c r="V1889" s="6" t="s">
        <v>32</v>
      </c>
      <c r="W1889" s="6" t="s">
        <v>772</v>
      </c>
      <c r="X1889" s="6" t="s">
        <v>176</v>
      </c>
    </row>
    <row r="1890" spans="1:24" ht="15" customHeight="1" x14ac:dyDescent="0.3">
      <c r="A1890" s="6" t="s">
        <v>533</v>
      </c>
      <c r="B1890" s="6" t="s">
        <v>534</v>
      </c>
      <c r="C1890" s="6" t="s">
        <v>32</v>
      </c>
      <c r="D1890" s="1088" t="s">
        <v>542</v>
      </c>
      <c r="E1890" s="6" t="s">
        <v>176</v>
      </c>
      <c r="F1890" s="6" t="s">
        <v>772</v>
      </c>
      <c r="G1890" s="6" t="s">
        <v>1058</v>
      </c>
      <c r="H1890" s="6" t="s">
        <v>1059</v>
      </c>
      <c r="J1890" s="1215" t="s">
        <v>509</v>
      </c>
      <c r="K1890" s="1219" t="s">
        <v>3112</v>
      </c>
      <c r="L1890" s="8">
        <v>6</v>
      </c>
      <c r="M1890" s="8">
        <v>42</v>
      </c>
      <c r="N1890" s="1088" t="s">
        <v>272</v>
      </c>
      <c r="P1890" s="6" t="s">
        <v>3324</v>
      </c>
      <c r="Q1890" s="1215" t="s">
        <v>253</v>
      </c>
      <c r="R1890" s="1215" t="s">
        <v>255</v>
      </c>
      <c r="S1890" s="1215" t="s">
        <v>534</v>
      </c>
      <c r="T1890" s="1215" t="s">
        <v>533</v>
      </c>
      <c r="U1890" s="6" t="s">
        <v>542</v>
      </c>
      <c r="V1890" s="6" t="s">
        <v>32</v>
      </c>
      <c r="W1890" s="6" t="s">
        <v>772</v>
      </c>
      <c r="X1890" s="6" t="s">
        <v>176</v>
      </c>
    </row>
    <row r="1891" spans="1:24" ht="15" customHeight="1" x14ac:dyDescent="0.3">
      <c r="A1891" s="6" t="s">
        <v>533</v>
      </c>
      <c r="B1891" s="6" t="s">
        <v>534</v>
      </c>
      <c r="C1891" s="6" t="s">
        <v>32</v>
      </c>
      <c r="D1891" s="1088" t="s">
        <v>542</v>
      </c>
      <c r="E1891" s="6" t="s">
        <v>176</v>
      </c>
      <c r="F1891" s="6" t="s">
        <v>772</v>
      </c>
      <c r="G1891" s="6" t="s">
        <v>550</v>
      </c>
      <c r="H1891" s="6" t="s">
        <v>3153</v>
      </c>
      <c r="I1891" s="6" t="s">
        <v>3153</v>
      </c>
      <c r="J1891" s="1215" t="s">
        <v>509</v>
      </c>
      <c r="K1891" s="1219" t="s">
        <v>3111</v>
      </c>
      <c r="L1891" s="8">
        <v>4</v>
      </c>
      <c r="M1891" s="8">
        <v>37</v>
      </c>
      <c r="N1891" s="1169" t="s">
        <v>272</v>
      </c>
      <c r="P1891" s="6" t="s">
        <v>3324</v>
      </c>
      <c r="Q1891" s="1215" t="s">
        <v>253</v>
      </c>
      <c r="R1891" s="1215" t="s">
        <v>255</v>
      </c>
      <c r="S1891" s="1215" t="s">
        <v>534</v>
      </c>
      <c r="T1891" s="1215" t="s">
        <v>533</v>
      </c>
      <c r="U1891" s="6" t="s">
        <v>542</v>
      </c>
      <c r="V1891" s="6" t="s">
        <v>32</v>
      </c>
      <c r="W1891" s="6" t="s">
        <v>772</v>
      </c>
      <c r="X1891" s="6" t="s">
        <v>176</v>
      </c>
    </row>
    <row r="1892" spans="1:24" ht="15" customHeight="1" x14ac:dyDescent="0.3">
      <c r="A1892" s="6" t="s">
        <v>533</v>
      </c>
      <c r="B1892" s="6" t="s">
        <v>534</v>
      </c>
      <c r="C1892" s="6" t="s">
        <v>32</v>
      </c>
      <c r="D1892" s="1088" t="s">
        <v>542</v>
      </c>
      <c r="E1892" s="6" t="s">
        <v>176</v>
      </c>
      <c r="F1892" s="6" t="s">
        <v>772</v>
      </c>
      <c r="G1892" s="6" t="s">
        <v>1208</v>
      </c>
      <c r="H1892" s="6" t="s">
        <v>1209</v>
      </c>
      <c r="J1892" s="1215" t="s">
        <v>509</v>
      </c>
      <c r="K1892" s="1219" t="s">
        <v>3111</v>
      </c>
      <c r="L1892" s="8">
        <v>0</v>
      </c>
      <c r="M1892" s="8">
        <v>10</v>
      </c>
      <c r="N1892" s="1169" t="s">
        <v>272</v>
      </c>
      <c r="P1892" s="6" t="s">
        <v>3324</v>
      </c>
      <c r="Q1892" s="1215" t="s">
        <v>253</v>
      </c>
      <c r="R1892" s="1215" t="s">
        <v>255</v>
      </c>
      <c r="S1892" s="1215" t="s">
        <v>534</v>
      </c>
      <c r="T1892" s="1215" t="s">
        <v>533</v>
      </c>
      <c r="U1892" s="6" t="s">
        <v>542</v>
      </c>
      <c r="V1892" s="6" t="s">
        <v>32</v>
      </c>
      <c r="W1892" s="6" t="s">
        <v>772</v>
      </c>
      <c r="X1892" s="6" t="s">
        <v>176</v>
      </c>
    </row>
    <row r="1893" spans="1:24" ht="15" customHeight="1" x14ac:dyDescent="0.3">
      <c r="A1893" s="6" t="s">
        <v>533</v>
      </c>
      <c r="B1893" s="6" t="s">
        <v>534</v>
      </c>
      <c r="C1893" s="6" t="s">
        <v>32</v>
      </c>
      <c r="D1893" s="1088" t="s">
        <v>542</v>
      </c>
      <c r="E1893" s="6" t="s">
        <v>176</v>
      </c>
      <c r="F1893" s="6" t="s">
        <v>772</v>
      </c>
      <c r="G1893" s="6" t="s">
        <v>1208</v>
      </c>
      <c r="H1893" s="6" t="s">
        <v>1209</v>
      </c>
      <c r="J1893" s="1215" t="s">
        <v>509</v>
      </c>
      <c r="K1893" s="1219" t="s">
        <v>3112</v>
      </c>
      <c r="L1893" s="8">
        <v>252</v>
      </c>
      <c r="M1893" s="8">
        <v>1730</v>
      </c>
      <c r="N1893" s="1169" t="s">
        <v>272</v>
      </c>
      <c r="P1893" s="6" t="s">
        <v>3324</v>
      </c>
      <c r="Q1893" s="1215" t="s">
        <v>253</v>
      </c>
      <c r="R1893" s="1215" t="s">
        <v>255</v>
      </c>
      <c r="S1893" s="1215" t="s">
        <v>534</v>
      </c>
      <c r="T1893" s="1215" t="s">
        <v>533</v>
      </c>
      <c r="U1893" s="6" t="s">
        <v>542</v>
      </c>
      <c r="V1893" s="6" t="s">
        <v>32</v>
      </c>
      <c r="W1893" s="6" t="s">
        <v>772</v>
      </c>
      <c r="X1893" s="6" t="s">
        <v>176</v>
      </c>
    </row>
    <row r="1894" spans="1:24" ht="15" customHeight="1" x14ac:dyDescent="0.3">
      <c r="A1894" s="6" t="s">
        <v>533</v>
      </c>
      <c r="B1894" s="6" t="s">
        <v>534</v>
      </c>
      <c r="C1894" s="6" t="s">
        <v>32</v>
      </c>
      <c r="D1894" s="1088" t="s">
        <v>542</v>
      </c>
      <c r="E1894" s="6" t="s">
        <v>176</v>
      </c>
      <c r="F1894" s="6" t="s">
        <v>772</v>
      </c>
      <c r="G1894" s="6" t="s">
        <v>1062</v>
      </c>
      <c r="H1894" s="6" t="s">
        <v>1063</v>
      </c>
      <c r="J1894" s="1215" t="s">
        <v>509</v>
      </c>
      <c r="K1894" s="1219" t="s">
        <v>3112</v>
      </c>
      <c r="L1894" s="8">
        <v>152</v>
      </c>
      <c r="M1894" s="8">
        <v>768</v>
      </c>
      <c r="N1894" s="1169" t="s">
        <v>272</v>
      </c>
      <c r="P1894" s="6" t="s">
        <v>3324</v>
      </c>
      <c r="Q1894" s="1215" t="s">
        <v>253</v>
      </c>
      <c r="R1894" s="1215" t="s">
        <v>255</v>
      </c>
      <c r="S1894" s="1215" t="s">
        <v>534</v>
      </c>
      <c r="T1894" s="1215" t="s">
        <v>533</v>
      </c>
      <c r="U1894" s="6" t="s">
        <v>542</v>
      </c>
      <c r="V1894" s="6" t="s">
        <v>32</v>
      </c>
      <c r="W1894" s="6" t="s">
        <v>772</v>
      </c>
      <c r="X1894" s="6" t="s">
        <v>176</v>
      </c>
    </row>
    <row r="1895" spans="1:24" ht="15" customHeight="1" x14ac:dyDescent="0.3">
      <c r="A1895" s="6" t="s">
        <v>533</v>
      </c>
      <c r="B1895" s="6" t="s">
        <v>534</v>
      </c>
      <c r="C1895" s="6" t="s">
        <v>32</v>
      </c>
      <c r="D1895" s="1088" t="s">
        <v>542</v>
      </c>
      <c r="E1895" s="6" t="s">
        <v>176</v>
      </c>
      <c r="F1895" s="6" t="s">
        <v>772</v>
      </c>
      <c r="G1895" s="6" t="s">
        <v>1062</v>
      </c>
      <c r="H1895" s="6" t="s">
        <v>1063</v>
      </c>
      <c r="J1895" s="1215" t="s">
        <v>509</v>
      </c>
      <c r="K1895" s="1219" t="s">
        <v>3111</v>
      </c>
      <c r="L1895" s="8">
        <v>0</v>
      </c>
      <c r="M1895" s="8">
        <v>17</v>
      </c>
      <c r="N1895" s="1088" t="s">
        <v>272</v>
      </c>
      <c r="P1895" s="6" t="s">
        <v>3324</v>
      </c>
      <c r="Q1895" s="1215" t="s">
        <v>253</v>
      </c>
      <c r="R1895" s="1215" t="s">
        <v>255</v>
      </c>
      <c r="S1895" s="1215" t="s">
        <v>534</v>
      </c>
      <c r="T1895" s="1215" t="s">
        <v>533</v>
      </c>
      <c r="U1895" s="6" t="s">
        <v>542</v>
      </c>
      <c r="V1895" s="6" t="s">
        <v>32</v>
      </c>
      <c r="W1895" s="6" t="s">
        <v>772</v>
      </c>
      <c r="X1895" s="6" t="s">
        <v>176</v>
      </c>
    </row>
    <row r="1896" spans="1:24" ht="15" customHeight="1" x14ac:dyDescent="0.3">
      <c r="A1896" s="6" t="s">
        <v>533</v>
      </c>
      <c r="B1896" s="6" t="s">
        <v>534</v>
      </c>
      <c r="C1896" s="6" t="s">
        <v>32</v>
      </c>
      <c r="D1896" s="1088" t="s">
        <v>542</v>
      </c>
      <c r="E1896" s="6" t="s">
        <v>176</v>
      </c>
      <c r="F1896" s="6" t="s">
        <v>772</v>
      </c>
      <c r="G1896" s="6" t="s">
        <v>1739</v>
      </c>
      <c r="H1896" s="6" t="s">
        <v>1740</v>
      </c>
      <c r="J1896" s="1215" t="s">
        <v>509</v>
      </c>
      <c r="K1896" s="1219" t="s">
        <v>3033</v>
      </c>
      <c r="L1896" s="8">
        <v>55</v>
      </c>
      <c r="M1896" s="8">
        <v>339</v>
      </c>
      <c r="N1896" s="1169" t="s">
        <v>272</v>
      </c>
      <c r="P1896" s="6" t="s">
        <v>3324</v>
      </c>
      <c r="Q1896" s="1215" t="s">
        <v>253</v>
      </c>
      <c r="R1896" s="1215" t="s">
        <v>255</v>
      </c>
      <c r="S1896" s="1215" t="s">
        <v>534</v>
      </c>
      <c r="T1896" s="1215" t="s">
        <v>533</v>
      </c>
      <c r="U1896" s="6" t="s">
        <v>542</v>
      </c>
      <c r="V1896" s="6" t="s">
        <v>32</v>
      </c>
      <c r="W1896" s="6" t="s">
        <v>772</v>
      </c>
      <c r="X1896" s="6" t="s">
        <v>176</v>
      </c>
    </row>
    <row r="1897" spans="1:24" ht="15" customHeight="1" x14ac:dyDescent="0.3">
      <c r="A1897" s="6" t="s">
        <v>533</v>
      </c>
      <c r="B1897" s="6" t="s">
        <v>534</v>
      </c>
      <c r="C1897" s="6" t="s">
        <v>32</v>
      </c>
      <c r="D1897" s="1088" t="s">
        <v>542</v>
      </c>
      <c r="E1897" s="6" t="s">
        <v>176</v>
      </c>
      <c r="F1897" s="6" t="s">
        <v>772</v>
      </c>
      <c r="G1897" s="6" t="s">
        <v>1739</v>
      </c>
      <c r="H1897" s="6" t="s">
        <v>1740</v>
      </c>
      <c r="J1897" s="1215" t="s">
        <v>509</v>
      </c>
      <c r="K1897" s="1219" t="s">
        <v>3111</v>
      </c>
      <c r="L1897" s="8">
        <v>0</v>
      </c>
      <c r="M1897" s="8">
        <v>10</v>
      </c>
      <c r="N1897" s="1169" t="s">
        <v>272</v>
      </c>
      <c r="P1897" s="6" t="s">
        <v>3324</v>
      </c>
      <c r="Q1897" s="1215" t="s">
        <v>253</v>
      </c>
      <c r="R1897" s="1215" t="s">
        <v>255</v>
      </c>
      <c r="S1897" s="1215" t="s">
        <v>534</v>
      </c>
      <c r="T1897" s="1215" t="s">
        <v>533</v>
      </c>
      <c r="U1897" s="6" t="s">
        <v>542</v>
      </c>
      <c r="V1897" s="6" t="s">
        <v>32</v>
      </c>
      <c r="W1897" s="6" t="s">
        <v>772</v>
      </c>
      <c r="X1897" s="6" t="s">
        <v>176</v>
      </c>
    </row>
    <row r="1898" spans="1:24" ht="15" customHeight="1" x14ac:dyDescent="0.3">
      <c r="A1898" s="6" t="s">
        <v>533</v>
      </c>
      <c r="B1898" s="6" t="s">
        <v>534</v>
      </c>
      <c r="C1898" s="6" t="s">
        <v>32</v>
      </c>
      <c r="D1898" s="1088" t="s">
        <v>542</v>
      </c>
      <c r="E1898" s="1088" t="s">
        <v>176</v>
      </c>
      <c r="F1898" s="6" t="s">
        <v>772</v>
      </c>
      <c r="G1898" s="6" t="s">
        <v>1737</v>
      </c>
      <c r="H1898" s="6" t="s">
        <v>1738</v>
      </c>
      <c r="J1898" s="1215" t="s">
        <v>509</v>
      </c>
      <c r="K1898" s="1219" t="s">
        <v>3033</v>
      </c>
      <c r="L1898" s="8">
        <v>393</v>
      </c>
      <c r="M1898" s="8">
        <v>1715</v>
      </c>
      <c r="N1898" s="1169" t="s">
        <v>272</v>
      </c>
      <c r="P1898" s="6" t="s">
        <v>3324</v>
      </c>
      <c r="Q1898" s="1215" t="s">
        <v>253</v>
      </c>
      <c r="R1898" s="1215" t="s">
        <v>255</v>
      </c>
      <c r="S1898" s="1215" t="s">
        <v>534</v>
      </c>
      <c r="T1898" s="1215" t="s">
        <v>533</v>
      </c>
      <c r="U1898" s="6" t="s">
        <v>542</v>
      </c>
      <c r="V1898" s="6" t="s">
        <v>32</v>
      </c>
      <c r="W1898" s="6" t="s">
        <v>772</v>
      </c>
      <c r="X1898" s="6" t="s">
        <v>176</v>
      </c>
    </row>
    <row r="1899" spans="1:24" ht="15" customHeight="1" x14ac:dyDescent="0.3">
      <c r="A1899" s="6" t="s">
        <v>533</v>
      </c>
      <c r="B1899" s="6" t="s">
        <v>534</v>
      </c>
      <c r="C1899" s="6" t="s">
        <v>32</v>
      </c>
      <c r="D1899" s="1088" t="s">
        <v>542</v>
      </c>
      <c r="E1899" s="6" t="s">
        <v>176</v>
      </c>
      <c r="F1899" s="6" t="s">
        <v>772</v>
      </c>
      <c r="G1899" s="6" t="s">
        <v>1737</v>
      </c>
      <c r="H1899" s="6" t="s">
        <v>1738</v>
      </c>
      <c r="J1899" s="1215" t="s">
        <v>509</v>
      </c>
      <c r="K1899" s="1219" t="s">
        <v>3111</v>
      </c>
      <c r="L1899" s="8">
        <v>8</v>
      </c>
      <c r="M1899" s="8">
        <v>65</v>
      </c>
      <c r="N1899" s="1169" t="s">
        <v>272</v>
      </c>
      <c r="P1899" s="6" t="s">
        <v>3324</v>
      </c>
      <c r="Q1899" s="1215" t="s">
        <v>253</v>
      </c>
      <c r="R1899" s="1215" t="s">
        <v>255</v>
      </c>
      <c r="S1899" s="1215" t="s">
        <v>534</v>
      </c>
      <c r="T1899" s="1215" t="s">
        <v>533</v>
      </c>
      <c r="U1899" s="6" t="s">
        <v>542</v>
      </c>
      <c r="V1899" s="6" t="s">
        <v>32</v>
      </c>
      <c r="W1899" s="6" t="s">
        <v>772</v>
      </c>
      <c r="X1899" s="6" t="s">
        <v>176</v>
      </c>
    </row>
    <row r="1900" spans="1:24" ht="15" customHeight="1" x14ac:dyDescent="0.3">
      <c r="A1900" s="6" t="s">
        <v>533</v>
      </c>
      <c r="B1900" s="6" t="s">
        <v>534</v>
      </c>
      <c r="C1900" s="6" t="s">
        <v>32</v>
      </c>
      <c r="D1900" s="1088" t="s">
        <v>542</v>
      </c>
      <c r="E1900" s="6" t="s">
        <v>176</v>
      </c>
      <c r="F1900" s="6" t="s">
        <v>772</v>
      </c>
      <c r="G1900" s="6" t="s">
        <v>1737</v>
      </c>
      <c r="H1900" s="6" t="s">
        <v>1738</v>
      </c>
      <c r="J1900" s="1215" t="s">
        <v>509</v>
      </c>
      <c r="K1900" s="1219" t="s">
        <v>3112</v>
      </c>
      <c r="L1900" s="8">
        <v>9</v>
      </c>
      <c r="M1900" s="8">
        <v>100</v>
      </c>
      <c r="N1900" s="1169" t="s">
        <v>272</v>
      </c>
      <c r="P1900" s="6" t="s">
        <v>3324</v>
      </c>
      <c r="Q1900" s="1215" t="s">
        <v>253</v>
      </c>
      <c r="R1900" s="1215" t="s">
        <v>255</v>
      </c>
      <c r="S1900" s="1215" t="s">
        <v>534</v>
      </c>
      <c r="T1900" s="1215" t="s">
        <v>533</v>
      </c>
      <c r="U1900" s="6" t="s">
        <v>542</v>
      </c>
      <c r="V1900" s="6" t="s">
        <v>32</v>
      </c>
      <c r="W1900" s="6" t="s">
        <v>772</v>
      </c>
      <c r="X1900" s="6" t="s">
        <v>176</v>
      </c>
    </row>
    <row r="1901" spans="1:24" ht="15" customHeight="1" x14ac:dyDescent="0.3">
      <c r="A1901" s="6" t="s">
        <v>533</v>
      </c>
      <c r="B1901" s="6" t="s">
        <v>534</v>
      </c>
      <c r="C1901" s="6" t="s">
        <v>32</v>
      </c>
      <c r="D1901" s="1088" t="s">
        <v>542</v>
      </c>
      <c r="E1901" s="6" t="s">
        <v>176</v>
      </c>
      <c r="F1901" s="6" t="s">
        <v>772</v>
      </c>
      <c r="G1901" s="6" t="s">
        <v>2542</v>
      </c>
      <c r="H1901" s="6" t="s">
        <v>2543</v>
      </c>
      <c r="J1901" s="1215" t="s">
        <v>509</v>
      </c>
      <c r="K1901" s="1219" t="s">
        <v>3111</v>
      </c>
      <c r="L1901" s="8">
        <v>10</v>
      </c>
      <c r="M1901" s="8">
        <v>100</v>
      </c>
      <c r="N1901" s="1169" t="s">
        <v>272</v>
      </c>
      <c r="P1901" s="6" t="s">
        <v>3324</v>
      </c>
      <c r="Q1901" s="1215" t="s">
        <v>253</v>
      </c>
      <c r="R1901" s="1215" t="s">
        <v>255</v>
      </c>
      <c r="S1901" s="1215" t="s">
        <v>534</v>
      </c>
      <c r="T1901" s="1215" t="s">
        <v>533</v>
      </c>
      <c r="U1901" s="6" t="s">
        <v>542</v>
      </c>
      <c r="V1901" s="6" t="s">
        <v>32</v>
      </c>
      <c r="W1901" s="6" t="s">
        <v>772</v>
      </c>
      <c r="X1901" s="6" t="s">
        <v>176</v>
      </c>
    </row>
    <row r="1902" spans="1:24" ht="15" customHeight="1" x14ac:dyDescent="0.3">
      <c r="A1902" s="6" t="s">
        <v>533</v>
      </c>
      <c r="B1902" s="6" t="s">
        <v>534</v>
      </c>
      <c r="C1902" s="6" t="s">
        <v>32</v>
      </c>
      <c r="D1902" s="1088" t="s">
        <v>542</v>
      </c>
      <c r="E1902" s="6" t="s">
        <v>176</v>
      </c>
      <c r="F1902" s="6" t="s">
        <v>772</v>
      </c>
      <c r="G1902" s="6" t="s">
        <v>2542</v>
      </c>
      <c r="H1902" s="6" t="s">
        <v>2543</v>
      </c>
      <c r="J1902" s="1215" t="s">
        <v>509</v>
      </c>
      <c r="K1902" s="1219" t="s">
        <v>3112</v>
      </c>
      <c r="L1902" s="8">
        <v>20</v>
      </c>
      <c r="M1902" s="8">
        <v>220</v>
      </c>
      <c r="N1902" s="1169" t="s">
        <v>272</v>
      </c>
      <c r="P1902" s="6" t="s">
        <v>3324</v>
      </c>
      <c r="Q1902" s="1215" t="s">
        <v>253</v>
      </c>
      <c r="R1902" s="1215" t="s">
        <v>255</v>
      </c>
      <c r="S1902" s="1215" t="s">
        <v>534</v>
      </c>
      <c r="T1902" s="1215" t="s">
        <v>533</v>
      </c>
      <c r="U1902" s="6" t="s">
        <v>542</v>
      </c>
      <c r="V1902" s="6" t="s">
        <v>32</v>
      </c>
      <c r="W1902" s="6" t="s">
        <v>772</v>
      </c>
      <c r="X1902" s="6" t="s">
        <v>176</v>
      </c>
    </row>
    <row r="1903" spans="1:24" ht="15" customHeight="1" x14ac:dyDescent="0.3">
      <c r="A1903" s="6" t="s">
        <v>533</v>
      </c>
      <c r="B1903" s="6" t="s">
        <v>534</v>
      </c>
      <c r="C1903" s="6" t="s">
        <v>32</v>
      </c>
      <c r="D1903" s="1088" t="s">
        <v>542</v>
      </c>
      <c r="E1903" s="6" t="s">
        <v>176</v>
      </c>
      <c r="F1903" s="6" t="s">
        <v>772</v>
      </c>
      <c r="G1903" s="6" t="s">
        <v>773</v>
      </c>
      <c r="H1903" s="6" t="s">
        <v>774</v>
      </c>
      <c r="J1903" s="1215" t="s">
        <v>509</v>
      </c>
      <c r="K1903" s="1219" t="s">
        <v>3112</v>
      </c>
      <c r="L1903" s="8">
        <v>230</v>
      </c>
      <c r="M1903" s="8">
        <v>2506</v>
      </c>
      <c r="N1903" s="1169" t="s">
        <v>272</v>
      </c>
      <c r="P1903" s="6" t="s">
        <v>3324</v>
      </c>
      <c r="Q1903" s="1215" t="s">
        <v>253</v>
      </c>
      <c r="R1903" s="1215" t="s">
        <v>255</v>
      </c>
      <c r="S1903" s="1215" t="s">
        <v>534</v>
      </c>
      <c r="T1903" s="1215" t="s">
        <v>533</v>
      </c>
      <c r="U1903" s="6" t="s">
        <v>542</v>
      </c>
      <c r="V1903" s="6" t="s">
        <v>32</v>
      </c>
      <c r="W1903" s="6" t="s">
        <v>772</v>
      </c>
      <c r="X1903" s="6" t="s">
        <v>176</v>
      </c>
    </row>
    <row r="1904" spans="1:24" ht="15" customHeight="1" x14ac:dyDescent="0.3">
      <c r="A1904" s="6" t="s">
        <v>533</v>
      </c>
      <c r="B1904" s="6" t="s">
        <v>534</v>
      </c>
      <c r="C1904" s="6" t="s">
        <v>31</v>
      </c>
      <c r="D1904" s="1088" t="s">
        <v>549</v>
      </c>
      <c r="E1904" s="6" t="s">
        <v>169</v>
      </c>
      <c r="F1904" s="6" t="s">
        <v>673</v>
      </c>
      <c r="G1904" s="6" t="s">
        <v>2990</v>
      </c>
      <c r="H1904" s="6" t="s">
        <v>2331</v>
      </c>
      <c r="J1904" s="1215" t="s">
        <v>509</v>
      </c>
      <c r="K1904" s="1219" t="s">
        <v>3111</v>
      </c>
      <c r="L1904" s="8">
        <v>15</v>
      </c>
      <c r="M1904" s="8">
        <v>20</v>
      </c>
      <c r="N1904" s="1169" t="s">
        <v>274</v>
      </c>
      <c r="P1904" s="6" t="s">
        <v>3324</v>
      </c>
      <c r="Q1904" s="1215" t="s">
        <v>253</v>
      </c>
      <c r="R1904" s="1215" t="s">
        <v>255</v>
      </c>
      <c r="S1904" s="1215" t="s">
        <v>534</v>
      </c>
      <c r="T1904" s="1215" t="s">
        <v>533</v>
      </c>
      <c r="U1904" s="6" t="s">
        <v>549</v>
      </c>
      <c r="V1904" s="6" t="s">
        <v>31</v>
      </c>
      <c r="W1904" s="6" t="s">
        <v>673</v>
      </c>
      <c r="X1904" s="6" t="s">
        <v>169</v>
      </c>
    </row>
    <row r="1905" spans="1:24" ht="15" customHeight="1" x14ac:dyDescent="0.3">
      <c r="A1905" s="6" t="s">
        <v>533</v>
      </c>
      <c r="B1905" s="6" t="s">
        <v>534</v>
      </c>
      <c r="C1905" s="6" t="s">
        <v>32</v>
      </c>
      <c r="D1905" s="1088" t="s">
        <v>542</v>
      </c>
      <c r="E1905" s="6" t="s">
        <v>181</v>
      </c>
      <c r="F1905" s="6" t="s">
        <v>1661</v>
      </c>
      <c r="G1905" s="6" t="s">
        <v>2143</v>
      </c>
      <c r="H1905" s="6" t="s">
        <v>3303</v>
      </c>
      <c r="J1905" s="1215" t="s">
        <v>509</v>
      </c>
      <c r="K1905" s="1219" t="s">
        <v>3110</v>
      </c>
      <c r="L1905" s="8">
        <v>19</v>
      </c>
      <c r="M1905" s="8">
        <v>133</v>
      </c>
      <c r="N1905" s="1169" t="s">
        <v>272</v>
      </c>
      <c r="P1905" s="6" t="s">
        <v>3323</v>
      </c>
      <c r="Q1905" s="1215" t="s">
        <v>253</v>
      </c>
      <c r="R1905" s="1215" t="s">
        <v>255</v>
      </c>
      <c r="S1905" s="1215" t="s">
        <v>534</v>
      </c>
      <c r="T1905" s="1215" t="s">
        <v>533</v>
      </c>
      <c r="U1905" s="6" t="s">
        <v>542</v>
      </c>
      <c r="V1905" s="6" t="s">
        <v>32</v>
      </c>
      <c r="W1905" s="6" t="s">
        <v>543</v>
      </c>
      <c r="X1905" s="6" t="s">
        <v>178</v>
      </c>
    </row>
    <row r="1906" spans="1:24" ht="15" customHeight="1" x14ac:dyDescent="0.3">
      <c r="A1906" s="6" t="s">
        <v>533</v>
      </c>
      <c r="B1906" s="6" t="s">
        <v>534</v>
      </c>
      <c r="C1906" s="6" t="s">
        <v>32</v>
      </c>
      <c r="D1906" s="1088" t="s">
        <v>542</v>
      </c>
      <c r="E1906" s="6" t="s">
        <v>181</v>
      </c>
      <c r="F1906" s="6" t="s">
        <v>1661</v>
      </c>
      <c r="G1906" s="6" t="s">
        <v>2143</v>
      </c>
      <c r="H1906" s="6" t="s">
        <v>3303</v>
      </c>
      <c r="J1906" s="1215" t="s">
        <v>509</v>
      </c>
      <c r="K1906" s="1219" t="s">
        <v>3111</v>
      </c>
      <c r="L1906" s="8">
        <v>13</v>
      </c>
      <c r="M1906" s="8">
        <v>112</v>
      </c>
      <c r="N1906" s="6" t="s">
        <v>272</v>
      </c>
      <c r="P1906" s="6" t="s">
        <v>3323</v>
      </c>
      <c r="Q1906" s="1215" t="s">
        <v>253</v>
      </c>
      <c r="R1906" s="1215" t="s">
        <v>255</v>
      </c>
      <c r="S1906" s="1215" t="s">
        <v>534</v>
      </c>
      <c r="T1906" s="1215" t="s">
        <v>533</v>
      </c>
      <c r="U1906" s="6" t="s">
        <v>542</v>
      </c>
      <c r="V1906" s="6" t="s">
        <v>32</v>
      </c>
      <c r="W1906" s="6" t="s">
        <v>543</v>
      </c>
      <c r="X1906" s="6" t="s">
        <v>178</v>
      </c>
    </row>
    <row r="1907" spans="1:24" ht="15" customHeight="1" x14ac:dyDescent="0.3">
      <c r="A1907" s="6" t="s">
        <v>533</v>
      </c>
      <c r="B1907" s="6" t="s">
        <v>534</v>
      </c>
      <c r="C1907" s="6" t="s">
        <v>32</v>
      </c>
      <c r="D1907" s="1088" t="s">
        <v>542</v>
      </c>
      <c r="E1907" s="6" t="s">
        <v>181</v>
      </c>
      <c r="F1907" s="6" t="s">
        <v>1661</v>
      </c>
      <c r="G1907" s="6" t="s">
        <v>2143</v>
      </c>
      <c r="H1907" s="6" t="s">
        <v>3303</v>
      </c>
      <c r="J1907" s="1215" t="s">
        <v>509</v>
      </c>
      <c r="K1907" s="1219" t="s">
        <v>3112</v>
      </c>
      <c r="L1907" s="8">
        <v>0</v>
      </c>
      <c r="M1907" s="8">
        <v>36</v>
      </c>
      <c r="N1907" s="1169" t="s">
        <v>272</v>
      </c>
      <c r="P1907" s="6" t="s">
        <v>3323</v>
      </c>
      <c r="Q1907" s="1215" t="s">
        <v>253</v>
      </c>
      <c r="R1907" s="1215" t="s">
        <v>255</v>
      </c>
      <c r="S1907" s="1215" t="s">
        <v>534</v>
      </c>
      <c r="T1907" s="1215" t="s">
        <v>533</v>
      </c>
      <c r="U1907" s="6" t="s">
        <v>542</v>
      </c>
      <c r="V1907" s="6" t="s">
        <v>32</v>
      </c>
      <c r="W1907" s="6" t="s">
        <v>543</v>
      </c>
      <c r="X1907" s="6" t="s">
        <v>178</v>
      </c>
    </row>
    <row r="1908" spans="1:24" ht="15" customHeight="1" x14ac:dyDescent="0.3">
      <c r="A1908" s="6" t="s">
        <v>533</v>
      </c>
      <c r="B1908" s="6" t="s">
        <v>534</v>
      </c>
      <c r="C1908" s="6" t="s">
        <v>32</v>
      </c>
      <c r="D1908" s="1088" t="s">
        <v>542</v>
      </c>
      <c r="E1908" s="6" t="s">
        <v>181</v>
      </c>
      <c r="F1908" s="6" t="s">
        <v>1661</v>
      </c>
      <c r="G1908" s="6" t="s">
        <v>550</v>
      </c>
      <c r="H1908" s="6" t="s">
        <v>3184</v>
      </c>
      <c r="I1908" s="6" t="s">
        <v>3184</v>
      </c>
      <c r="J1908" s="1215" t="s">
        <v>509</v>
      </c>
      <c r="K1908" s="1219" t="s">
        <v>3112</v>
      </c>
      <c r="L1908" s="8">
        <v>58</v>
      </c>
      <c r="M1908" s="8">
        <v>375</v>
      </c>
      <c r="N1908" s="1169" t="s">
        <v>272</v>
      </c>
      <c r="P1908" s="6" t="s">
        <v>3324</v>
      </c>
      <c r="Q1908" s="1215" t="s">
        <v>253</v>
      </c>
      <c r="R1908" s="1215" t="s">
        <v>255</v>
      </c>
      <c r="S1908" s="1215" t="s">
        <v>534</v>
      </c>
      <c r="T1908" s="1215" t="s">
        <v>533</v>
      </c>
      <c r="U1908" s="6" t="s">
        <v>542</v>
      </c>
      <c r="V1908" s="6" t="s">
        <v>32</v>
      </c>
      <c r="W1908" s="6" t="s">
        <v>1661</v>
      </c>
      <c r="X1908" s="6" t="s">
        <v>181</v>
      </c>
    </row>
    <row r="1909" spans="1:24" ht="15" customHeight="1" x14ac:dyDescent="0.3">
      <c r="A1909" s="6" t="s">
        <v>533</v>
      </c>
      <c r="B1909" s="6" t="s">
        <v>534</v>
      </c>
      <c r="C1909" s="6" t="s">
        <v>32</v>
      </c>
      <c r="D1909" s="1088" t="s">
        <v>542</v>
      </c>
      <c r="E1909" s="6" t="s">
        <v>181</v>
      </c>
      <c r="F1909" s="6" t="s">
        <v>1661</v>
      </c>
      <c r="G1909" s="6" t="s">
        <v>1664</v>
      </c>
      <c r="H1909" s="6" t="s">
        <v>1665</v>
      </c>
      <c r="J1909" s="1215" t="s">
        <v>509</v>
      </c>
      <c r="K1909" s="1219" t="s">
        <v>3112</v>
      </c>
      <c r="L1909" s="8">
        <v>66</v>
      </c>
      <c r="M1909" s="8">
        <v>412</v>
      </c>
      <c r="N1909" s="1169" t="s">
        <v>272</v>
      </c>
      <c r="P1909" s="6" t="s">
        <v>3324</v>
      </c>
      <c r="Q1909" s="1215" t="s">
        <v>253</v>
      </c>
      <c r="R1909" s="1215" t="s">
        <v>255</v>
      </c>
      <c r="S1909" s="1215" t="s">
        <v>534</v>
      </c>
      <c r="T1909" s="1215" t="s">
        <v>533</v>
      </c>
      <c r="U1909" s="6" t="s">
        <v>542</v>
      </c>
      <c r="V1909" s="6" t="s">
        <v>32</v>
      </c>
      <c r="W1909" s="6" t="s">
        <v>1661</v>
      </c>
      <c r="X1909" s="6" t="s">
        <v>181</v>
      </c>
    </row>
    <row r="1910" spans="1:24" ht="15" customHeight="1" x14ac:dyDescent="0.3">
      <c r="A1910" s="6" t="s">
        <v>533</v>
      </c>
      <c r="B1910" s="6" t="s">
        <v>534</v>
      </c>
      <c r="C1910" s="6" t="s">
        <v>32</v>
      </c>
      <c r="D1910" s="1088" t="s">
        <v>542</v>
      </c>
      <c r="E1910" s="6" t="s">
        <v>181</v>
      </c>
      <c r="F1910" s="6" t="s">
        <v>1661</v>
      </c>
      <c r="G1910" s="6" t="s">
        <v>1662</v>
      </c>
      <c r="H1910" s="6" t="s">
        <v>1663</v>
      </c>
      <c r="J1910" s="1215" t="s">
        <v>509</v>
      </c>
      <c r="K1910" s="1219" t="s">
        <v>3033</v>
      </c>
      <c r="L1910" s="8">
        <v>18</v>
      </c>
      <c r="M1910" s="8">
        <v>131</v>
      </c>
      <c r="N1910" s="1088" t="s">
        <v>272</v>
      </c>
      <c r="P1910" s="6" t="s">
        <v>3324</v>
      </c>
      <c r="Q1910" s="1215" t="s">
        <v>253</v>
      </c>
      <c r="R1910" s="1215" t="s">
        <v>255</v>
      </c>
      <c r="S1910" s="1215" t="s">
        <v>534</v>
      </c>
      <c r="T1910" s="1215" t="s">
        <v>533</v>
      </c>
      <c r="U1910" s="6" t="s">
        <v>542</v>
      </c>
      <c r="V1910" s="6" t="s">
        <v>32</v>
      </c>
      <c r="W1910" s="6" t="s">
        <v>1661</v>
      </c>
      <c r="X1910" s="6" t="s">
        <v>181</v>
      </c>
    </row>
    <row r="1911" spans="1:24" ht="15" customHeight="1" x14ac:dyDescent="0.3">
      <c r="A1911" s="6" t="s">
        <v>533</v>
      </c>
      <c r="B1911" s="6" t="s">
        <v>534</v>
      </c>
      <c r="C1911" s="6" t="s">
        <v>32</v>
      </c>
      <c r="D1911" s="1088" t="s">
        <v>542</v>
      </c>
      <c r="E1911" s="6" t="s">
        <v>180</v>
      </c>
      <c r="F1911" s="6" t="s">
        <v>1653</v>
      </c>
      <c r="G1911" s="6" t="s">
        <v>1654</v>
      </c>
      <c r="H1911" s="6" t="s">
        <v>1655</v>
      </c>
      <c r="J1911" s="1215" t="s">
        <v>509</v>
      </c>
      <c r="K1911" s="1219" t="s">
        <v>3033</v>
      </c>
      <c r="L1911" s="8">
        <v>51</v>
      </c>
      <c r="M1911" s="8">
        <v>307</v>
      </c>
      <c r="N1911" s="1169" t="s">
        <v>272</v>
      </c>
      <c r="P1911" s="6" t="s">
        <v>3324</v>
      </c>
      <c r="Q1911" s="1215" t="s">
        <v>253</v>
      </c>
      <c r="R1911" s="1215" t="s">
        <v>255</v>
      </c>
      <c r="S1911" s="1215" t="s">
        <v>534</v>
      </c>
      <c r="T1911" s="1215" t="s">
        <v>533</v>
      </c>
      <c r="U1911" s="6" t="s">
        <v>542</v>
      </c>
      <c r="V1911" s="6" t="s">
        <v>32</v>
      </c>
      <c r="W1911" s="6" t="s">
        <v>1653</v>
      </c>
      <c r="X1911" s="6" t="s">
        <v>180</v>
      </c>
    </row>
    <row r="1912" spans="1:24" ht="15" customHeight="1" x14ac:dyDescent="0.3">
      <c r="A1912" s="6" t="s">
        <v>533</v>
      </c>
      <c r="B1912" s="6" t="s">
        <v>534</v>
      </c>
      <c r="C1912" s="6" t="s">
        <v>32</v>
      </c>
      <c r="D1912" s="1088" t="s">
        <v>542</v>
      </c>
      <c r="E1912" s="6" t="s">
        <v>174</v>
      </c>
      <c r="F1912" s="6" t="s">
        <v>1658</v>
      </c>
      <c r="G1912" s="6" t="s">
        <v>1659</v>
      </c>
      <c r="H1912" s="6" t="s">
        <v>1660</v>
      </c>
      <c r="J1912" s="1215" t="s">
        <v>509</v>
      </c>
      <c r="K1912" s="1219" t="s">
        <v>3112</v>
      </c>
      <c r="L1912" s="8">
        <v>92</v>
      </c>
      <c r="M1912" s="8">
        <v>378</v>
      </c>
      <c r="N1912" s="1169" t="s">
        <v>272</v>
      </c>
      <c r="P1912" s="6" t="s">
        <v>3324</v>
      </c>
      <c r="Q1912" s="1215" t="s">
        <v>253</v>
      </c>
      <c r="R1912" s="1215" t="s">
        <v>255</v>
      </c>
      <c r="S1912" s="1215" t="s">
        <v>534</v>
      </c>
      <c r="T1912" s="1215" t="s">
        <v>533</v>
      </c>
      <c r="U1912" s="6" t="s">
        <v>542</v>
      </c>
      <c r="V1912" s="6" t="s">
        <v>32</v>
      </c>
      <c r="W1912" s="6" t="s">
        <v>1658</v>
      </c>
      <c r="X1912" s="6" t="s">
        <v>174</v>
      </c>
    </row>
    <row r="1913" spans="1:24" ht="15" customHeight="1" x14ac:dyDescent="0.3">
      <c r="A1913" s="6" t="s">
        <v>533</v>
      </c>
      <c r="B1913" s="6" t="s">
        <v>534</v>
      </c>
      <c r="C1913" s="6" t="s">
        <v>32</v>
      </c>
      <c r="D1913" s="1088" t="s">
        <v>542</v>
      </c>
      <c r="E1913" s="6" t="s">
        <v>180</v>
      </c>
      <c r="F1913" s="6" t="s">
        <v>1653</v>
      </c>
      <c r="G1913" s="6" t="s">
        <v>1656</v>
      </c>
      <c r="H1913" s="6" t="s">
        <v>1657</v>
      </c>
      <c r="J1913" s="1215" t="s">
        <v>509</v>
      </c>
      <c r="K1913" s="1219" t="s">
        <v>3112</v>
      </c>
      <c r="L1913" s="8">
        <v>48</v>
      </c>
      <c r="M1913" s="8">
        <v>245</v>
      </c>
      <c r="N1913" s="1088" t="s">
        <v>272</v>
      </c>
      <c r="P1913" s="6" t="s">
        <v>3324</v>
      </c>
      <c r="Q1913" s="1215" t="s">
        <v>253</v>
      </c>
      <c r="R1913" s="1215" t="s">
        <v>255</v>
      </c>
      <c r="S1913" s="1215" t="s">
        <v>534</v>
      </c>
      <c r="T1913" s="1215" t="s">
        <v>533</v>
      </c>
      <c r="U1913" s="6" t="s">
        <v>542</v>
      </c>
      <c r="V1913" s="6" t="s">
        <v>32</v>
      </c>
      <c r="W1913" s="6" t="s">
        <v>1653</v>
      </c>
      <c r="X1913" s="6" t="s">
        <v>180</v>
      </c>
    </row>
    <row r="1914" spans="1:24" ht="15" customHeight="1" x14ac:dyDescent="0.3">
      <c r="A1914" s="6" t="s">
        <v>533</v>
      </c>
      <c r="B1914" s="6" t="s">
        <v>534</v>
      </c>
      <c r="C1914" s="6" t="s">
        <v>32</v>
      </c>
      <c r="D1914" s="1088" t="s">
        <v>542</v>
      </c>
      <c r="E1914" s="6" t="s">
        <v>181</v>
      </c>
      <c r="F1914" s="6" t="s">
        <v>1661</v>
      </c>
      <c r="G1914" s="6" t="s">
        <v>1669</v>
      </c>
      <c r="H1914" s="6" t="s">
        <v>1670</v>
      </c>
      <c r="J1914" s="1215" t="s">
        <v>509</v>
      </c>
      <c r="K1914" s="1219" t="s">
        <v>3112</v>
      </c>
      <c r="L1914" s="8">
        <v>32</v>
      </c>
      <c r="M1914" s="8">
        <v>165</v>
      </c>
      <c r="N1914" s="1169" t="s">
        <v>272</v>
      </c>
      <c r="P1914" s="6" t="s">
        <v>3324</v>
      </c>
      <c r="Q1914" s="1215" t="s">
        <v>253</v>
      </c>
      <c r="R1914" s="1215" t="s">
        <v>255</v>
      </c>
      <c r="S1914" s="1215" t="s">
        <v>534</v>
      </c>
      <c r="T1914" s="1215" t="s">
        <v>533</v>
      </c>
      <c r="U1914" s="6" t="s">
        <v>542</v>
      </c>
      <c r="V1914" s="6" t="s">
        <v>32</v>
      </c>
      <c r="W1914" s="6" t="s">
        <v>1661</v>
      </c>
      <c r="X1914" s="6" t="s">
        <v>181</v>
      </c>
    </row>
    <row r="1915" spans="1:24" ht="15" customHeight="1" x14ac:dyDescent="0.3">
      <c r="A1915" s="6" t="s">
        <v>533</v>
      </c>
      <c r="B1915" s="6" t="s">
        <v>534</v>
      </c>
      <c r="C1915" s="6" t="s">
        <v>32</v>
      </c>
      <c r="D1915" s="1088" t="s">
        <v>542</v>
      </c>
      <c r="E1915" s="6" t="s">
        <v>181</v>
      </c>
      <c r="F1915" s="6" t="s">
        <v>1661</v>
      </c>
      <c r="G1915" s="6" t="s">
        <v>1671</v>
      </c>
      <c r="H1915" s="6" t="s">
        <v>1672</v>
      </c>
      <c r="J1915" s="1215" t="s">
        <v>509</v>
      </c>
      <c r="K1915" s="1219" t="s">
        <v>3112</v>
      </c>
      <c r="L1915" s="8">
        <v>15</v>
      </c>
      <c r="M1915" s="8">
        <v>83</v>
      </c>
      <c r="N1915" s="1169" t="s">
        <v>272</v>
      </c>
      <c r="P1915" s="6" t="s">
        <v>3324</v>
      </c>
      <c r="Q1915" s="1215" t="s">
        <v>253</v>
      </c>
      <c r="R1915" s="1215" t="s">
        <v>255</v>
      </c>
      <c r="S1915" s="1215" t="s">
        <v>534</v>
      </c>
      <c r="T1915" s="1215" t="s">
        <v>533</v>
      </c>
      <c r="U1915" s="6" t="s">
        <v>542</v>
      </c>
      <c r="V1915" s="6" t="s">
        <v>32</v>
      </c>
      <c r="W1915" s="6" t="s">
        <v>1661</v>
      </c>
      <c r="X1915" s="6" t="s">
        <v>181</v>
      </c>
    </row>
    <row r="1916" spans="1:24" ht="15" customHeight="1" x14ac:dyDescent="0.3">
      <c r="A1916" s="6" t="s">
        <v>533</v>
      </c>
      <c r="B1916" s="6" t="s">
        <v>534</v>
      </c>
      <c r="C1916" s="6" t="s">
        <v>31</v>
      </c>
      <c r="D1916" s="1088" t="s">
        <v>549</v>
      </c>
      <c r="E1916" s="6" t="s">
        <v>169</v>
      </c>
      <c r="F1916" s="6" t="s">
        <v>673</v>
      </c>
      <c r="G1916" s="6" t="s">
        <v>1127</v>
      </c>
      <c r="H1916" s="6" t="s">
        <v>677</v>
      </c>
      <c r="J1916" s="1215" t="s">
        <v>509</v>
      </c>
      <c r="K1916" s="1219" t="s">
        <v>3033</v>
      </c>
      <c r="L1916" s="8">
        <v>21</v>
      </c>
      <c r="M1916" s="8">
        <v>198</v>
      </c>
      <c r="N1916" s="1169" t="s">
        <v>271</v>
      </c>
      <c r="P1916" s="6" t="s">
        <v>3323</v>
      </c>
      <c r="Q1916" s="1215" t="s">
        <v>253</v>
      </c>
      <c r="R1916" s="1215" t="s">
        <v>255</v>
      </c>
      <c r="S1916" s="1215" t="s">
        <v>534</v>
      </c>
      <c r="T1916" s="1215" t="s">
        <v>533</v>
      </c>
      <c r="U1916" s="6" t="s">
        <v>549</v>
      </c>
      <c r="V1916" s="6" t="s">
        <v>31</v>
      </c>
      <c r="W1916" s="6" t="s">
        <v>706</v>
      </c>
      <c r="X1916" s="6" t="s">
        <v>172</v>
      </c>
    </row>
    <row r="1917" spans="1:24" ht="15" customHeight="1" x14ac:dyDescent="0.3">
      <c r="A1917" s="6" t="s">
        <v>533</v>
      </c>
      <c r="B1917" s="6" t="s">
        <v>534</v>
      </c>
      <c r="C1917" s="6" t="s">
        <v>31</v>
      </c>
      <c r="D1917" s="1088" t="s">
        <v>549</v>
      </c>
      <c r="E1917" s="6" t="s">
        <v>169</v>
      </c>
      <c r="F1917" s="6" t="s">
        <v>673</v>
      </c>
      <c r="G1917" s="6" t="s">
        <v>1270</v>
      </c>
      <c r="H1917" s="6" t="s">
        <v>674</v>
      </c>
      <c r="J1917" s="1215" t="s">
        <v>509</v>
      </c>
      <c r="K1917" s="1219" t="s">
        <v>3033</v>
      </c>
      <c r="L1917" s="8">
        <v>7</v>
      </c>
      <c r="M1917" s="8">
        <v>65</v>
      </c>
      <c r="N1917" s="1169" t="s">
        <v>274</v>
      </c>
      <c r="P1917" s="6" t="s">
        <v>3324</v>
      </c>
      <c r="Q1917" s="1215" t="s">
        <v>253</v>
      </c>
      <c r="R1917" s="1215" t="s">
        <v>255</v>
      </c>
      <c r="S1917" s="1215" t="s">
        <v>534</v>
      </c>
      <c r="T1917" s="1215" t="s">
        <v>533</v>
      </c>
      <c r="U1917" s="6" t="s">
        <v>549</v>
      </c>
      <c r="V1917" s="6" t="s">
        <v>31</v>
      </c>
      <c r="W1917" s="6" t="s">
        <v>673</v>
      </c>
      <c r="X1917" s="6" t="s">
        <v>169</v>
      </c>
    </row>
    <row r="1918" spans="1:24" ht="15" customHeight="1" x14ac:dyDescent="0.3">
      <c r="A1918" s="6" t="s">
        <v>533</v>
      </c>
      <c r="B1918" s="6" t="s">
        <v>534</v>
      </c>
      <c r="C1918" s="6" t="s">
        <v>31</v>
      </c>
      <c r="D1918" s="1088" t="s">
        <v>549</v>
      </c>
      <c r="E1918" s="6" t="s">
        <v>169</v>
      </c>
      <c r="F1918" s="6" t="s">
        <v>673</v>
      </c>
      <c r="G1918" s="6" t="s">
        <v>1647</v>
      </c>
      <c r="H1918" s="6" t="s">
        <v>676</v>
      </c>
      <c r="J1918" s="1215" t="s">
        <v>509</v>
      </c>
      <c r="K1918" s="1219" t="s">
        <v>3033</v>
      </c>
      <c r="L1918" s="8">
        <v>100</v>
      </c>
      <c r="M1918" s="8">
        <v>724</v>
      </c>
      <c r="N1918" s="6" t="s">
        <v>271</v>
      </c>
      <c r="P1918" s="6" t="s">
        <v>3323</v>
      </c>
      <c r="Q1918" s="1215" t="s">
        <v>253</v>
      </c>
      <c r="R1918" s="1215" t="s">
        <v>255</v>
      </c>
      <c r="S1918" s="1215" t="s">
        <v>534</v>
      </c>
      <c r="T1918" s="1215" t="s">
        <v>533</v>
      </c>
      <c r="U1918" s="6" t="s">
        <v>549</v>
      </c>
      <c r="V1918" s="6" t="s">
        <v>31</v>
      </c>
      <c r="W1918" s="6" t="s">
        <v>706</v>
      </c>
      <c r="X1918" s="6" t="s">
        <v>172</v>
      </c>
    </row>
    <row r="1919" spans="1:24" ht="15" customHeight="1" x14ac:dyDescent="0.3">
      <c r="A1919" s="6" t="s">
        <v>533</v>
      </c>
      <c r="B1919" s="6" t="s">
        <v>534</v>
      </c>
      <c r="C1919" s="6" t="s">
        <v>31</v>
      </c>
      <c r="D1919" s="1088" t="s">
        <v>549</v>
      </c>
      <c r="E1919" s="6" t="s">
        <v>170</v>
      </c>
      <c r="F1919" s="6" t="s">
        <v>866</v>
      </c>
      <c r="G1919" s="6" t="s">
        <v>873</v>
      </c>
      <c r="H1919" s="6" t="s">
        <v>1502</v>
      </c>
      <c r="J1919" s="1215" t="s">
        <v>509</v>
      </c>
      <c r="K1919" s="1219" t="s">
        <v>3033</v>
      </c>
      <c r="L1919" s="8">
        <v>30</v>
      </c>
      <c r="M1919" s="8">
        <v>105</v>
      </c>
      <c r="N1919" s="6" t="s">
        <v>271</v>
      </c>
      <c r="P1919" s="6" t="s">
        <v>3323</v>
      </c>
      <c r="Q1919" s="1215" t="s">
        <v>253</v>
      </c>
      <c r="R1919" s="1215" t="s">
        <v>255</v>
      </c>
      <c r="S1919" s="1215" t="s">
        <v>534</v>
      </c>
      <c r="T1919" s="1215" t="s">
        <v>533</v>
      </c>
      <c r="U1919" s="6" t="s">
        <v>549</v>
      </c>
      <c r="V1919" s="6" t="s">
        <v>31</v>
      </c>
      <c r="W1919" s="6" t="s">
        <v>844</v>
      </c>
      <c r="X1919" s="6" t="s">
        <v>166</v>
      </c>
    </row>
    <row r="1920" spans="1:24" ht="15" customHeight="1" x14ac:dyDescent="0.3">
      <c r="A1920" s="6" t="s">
        <v>533</v>
      </c>
      <c r="B1920" s="6" t="s">
        <v>534</v>
      </c>
      <c r="C1920" s="6" t="s">
        <v>31</v>
      </c>
      <c r="D1920" s="1088" t="s">
        <v>549</v>
      </c>
      <c r="E1920" s="6" t="s">
        <v>170</v>
      </c>
      <c r="F1920" s="6" t="s">
        <v>866</v>
      </c>
      <c r="G1920" s="6" t="s">
        <v>873</v>
      </c>
      <c r="H1920" s="6" t="s">
        <v>1502</v>
      </c>
      <c r="J1920" s="1215" t="s">
        <v>509</v>
      </c>
      <c r="K1920" s="1219" t="s">
        <v>3112</v>
      </c>
      <c r="L1920" s="8">
        <v>20</v>
      </c>
      <c r="M1920" s="8">
        <v>100</v>
      </c>
      <c r="N1920" s="6" t="s">
        <v>274</v>
      </c>
      <c r="P1920" s="6" t="s">
        <v>3323</v>
      </c>
      <c r="Q1920" s="1215" t="s">
        <v>253</v>
      </c>
      <c r="R1920" s="1215" t="s">
        <v>255</v>
      </c>
      <c r="S1920" s="1215" t="s">
        <v>534</v>
      </c>
      <c r="T1920" s="1215" t="s">
        <v>533</v>
      </c>
      <c r="U1920" s="6" t="s">
        <v>549</v>
      </c>
      <c r="V1920" s="6" t="s">
        <v>31</v>
      </c>
      <c r="W1920" s="6" t="s">
        <v>673</v>
      </c>
      <c r="X1920" s="6" t="s">
        <v>169</v>
      </c>
    </row>
    <row r="1921" spans="1:24" ht="15" customHeight="1" x14ac:dyDescent="0.3">
      <c r="A1921" s="6" t="s">
        <v>533</v>
      </c>
      <c r="B1921" s="6" t="s">
        <v>534</v>
      </c>
      <c r="C1921" s="6" t="s">
        <v>31</v>
      </c>
      <c r="D1921" s="1088" t="s">
        <v>549</v>
      </c>
      <c r="E1921" s="6" t="s">
        <v>170</v>
      </c>
      <c r="F1921" s="6" t="s">
        <v>866</v>
      </c>
      <c r="G1921" s="6" t="s">
        <v>550</v>
      </c>
      <c r="H1921" s="6" t="s">
        <v>3164</v>
      </c>
      <c r="I1921" s="6" t="s">
        <v>3164</v>
      </c>
      <c r="J1921" s="1215" t="s">
        <v>509</v>
      </c>
      <c r="K1921" s="1219" t="s">
        <v>3033</v>
      </c>
      <c r="L1921" s="8">
        <v>77</v>
      </c>
      <c r="M1921" s="8">
        <v>1500</v>
      </c>
      <c r="N1921" s="1169" t="s">
        <v>271</v>
      </c>
      <c r="P1921" s="6" t="s">
        <v>3323</v>
      </c>
      <c r="Q1921" s="1215" t="s">
        <v>253</v>
      </c>
      <c r="R1921" s="1215" t="s">
        <v>255</v>
      </c>
      <c r="S1921" s="1215" t="s">
        <v>534</v>
      </c>
      <c r="T1921" s="1215" t="s">
        <v>533</v>
      </c>
      <c r="U1921" s="6" t="s">
        <v>549</v>
      </c>
      <c r="V1921" s="6" t="s">
        <v>31</v>
      </c>
      <c r="W1921" s="6" t="s">
        <v>844</v>
      </c>
      <c r="X1921" s="6" t="s">
        <v>166</v>
      </c>
    </row>
    <row r="1922" spans="1:24" ht="15" customHeight="1" x14ac:dyDescent="0.3">
      <c r="A1922" s="6" t="s">
        <v>533</v>
      </c>
      <c r="B1922" s="6" t="s">
        <v>534</v>
      </c>
      <c r="C1922" s="6" t="s">
        <v>31</v>
      </c>
      <c r="D1922" s="1088" t="s">
        <v>549</v>
      </c>
      <c r="E1922" s="6" t="s">
        <v>170</v>
      </c>
      <c r="F1922" s="6" t="s">
        <v>866</v>
      </c>
      <c r="G1922" s="6" t="s">
        <v>550</v>
      </c>
      <c r="H1922" s="6" t="s">
        <v>3164</v>
      </c>
      <c r="I1922" s="6" t="s">
        <v>3164</v>
      </c>
      <c r="J1922" s="1215" t="s">
        <v>509</v>
      </c>
      <c r="K1922" s="1219" t="s">
        <v>3112</v>
      </c>
      <c r="L1922" s="8">
        <v>200</v>
      </c>
      <c r="M1922" s="8">
        <v>2000</v>
      </c>
      <c r="N1922" s="1169" t="s">
        <v>272</v>
      </c>
      <c r="P1922" s="6" t="s">
        <v>3324</v>
      </c>
      <c r="Q1922" s="1215" t="s">
        <v>253</v>
      </c>
      <c r="R1922" s="1215" t="s">
        <v>255</v>
      </c>
      <c r="S1922" s="1215" t="s">
        <v>534</v>
      </c>
      <c r="T1922" s="1215" t="s">
        <v>533</v>
      </c>
      <c r="U1922" s="6" t="s">
        <v>549</v>
      </c>
      <c r="V1922" s="6" t="s">
        <v>31</v>
      </c>
      <c r="W1922" s="6" t="s">
        <v>866</v>
      </c>
      <c r="X1922" s="6" t="s">
        <v>170</v>
      </c>
    </row>
    <row r="1923" spans="1:24" ht="15" customHeight="1" x14ac:dyDescent="0.3">
      <c r="A1923" s="6" t="s">
        <v>533</v>
      </c>
      <c r="B1923" s="6" t="s">
        <v>534</v>
      </c>
      <c r="C1923" s="6" t="s">
        <v>31</v>
      </c>
      <c r="D1923" s="1088" t="s">
        <v>549</v>
      </c>
      <c r="E1923" s="6" t="s">
        <v>170</v>
      </c>
      <c r="F1923" s="6" t="s">
        <v>866</v>
      </c>
      <c r="G1923" s="6" t="s">
        <v>2173</v>
      </c>
      <c r="H1923" s="6" t="s">
        <v>939</v>
      </c>
      <c r="J1923" s="1215" t="s">
        <v>509</v>
      </c>
      <c r="K1923" s="1219" t="s">
        <v>3033</v>
      </c>
      <c r="L1923" s="8">
        <v>30</v>
      </c>
      <c r="M1923" s="8">
        <v>90</v>
      </c>
      <c r="N1923" s="1169" t="s">
        <v>271</v>
      </c>
      <c r="P1923" s="6" t="s">
        <v>3323</v>
      </c>
      <c r="Q1923" s="1215" t="s">
        <v>253</v>
      </c>
      <c r="R1923" s="1215" t="s">
        <v>255</v>
      </c>
      <c r="S1923" s="1215" t="s">
        <v>534</v>
      </c>
      <c r="T1923" s="1215" t="s">
        <v>533</v>
      </c>
      <c r="U1923" s="6" t="s">
        <v>549</v>
      </c>
      <c r="V1923" s="6" t="s">
        <v>31</v>
      </c>
      <c r="W1923" s="6" t="s">
        <v>673</v>
      </c>
      <c r="X1923" s="6" t="s">
        <v>169</v>
      </c>
    </row>
    <row r="1924" spans="1:24" ht="15" customHeight="1" x14ac:dyDescent="0.3">
      <c r="A1924" s="6" t="s">
        <v>533</v>
      </c>
      <c r="B1924" s="6" t="s">
        <v>534</v>
      </c>
      <c r="C1924" s="6" t="s">
        <v>31</v>
      </c>
      <c r="D1924" s="1088" t="s">
        <v>549</v>
      </c>
      <c r="E1924" s="1088" t="s">
        <v>170</v>
      </c>
      <c r="F1924" s="6" t="s">
        <v>866</v>
      </c>
      <c r="G1924" s="6" t="s">
        <v>2173</v>
      </c>
      <c r="H1924" s="6" t="s">
        <v>939</v>
      </c>
      <c r="J1924" s="1215" t="s">
        <v>509</v>
      </c>
      <c r="K1924" s="1219" t="s">
        <v>3112</v>
      </c>
      <c r="L1924" s="8">
        <v>5</v>
      </c>
      <c r="M1924" s="8">
        <v>15</v>
      </c>
      <c r="N1924" s="6" t="s">
        <v>272</v>
      </c>
      <c r="P1924" s="6" t="s">
        <v>3323</v>
      </c>
      <c r="Q1924" s="1215" t="s">
        <v>253</v>
      </c>
      <c r="R1924" s="1215" t="s">
        <v>255</v>
      </c>
      <c r="S1924" s="1215" t="s">
        <v>534</v>
      </c>
      <c r="T1924" s="1215" t="s">
        <v>533</v>
      </c>
      <c r="U1924" s="6" t="s">
        <v>549</v>
      </c>
      <c r="V1924" s="6" t="s">
        <v>31</v>
      </c>
      <c r="W1924" s="6" t="s">
        <v>844</v>
      </c>
      <c r="X1924" s="6" t="s">
        <v>166</v>
      </c>
    </row>
    <row r="1925" spans="1:24" ht="15" customHeight="1" x14ac:dyDescent="0.3">
      <c r="A1925" s="6" t="s">
        <v>533</v>
      </c>
      <c r="B1925" s="6" t="s">
        <v>534</v>
      </c>
      <c r="C1925" s="6" t="s">
        <v>32</v>
      </c>
      <c r="D1925" s="1088" t="s">
        <v>542</v>
      </c>
      <c r="E1925" s="6" t="s">
        <v>179</v>
      </c>
      <c r="F1925" s="6" t="s">
        <v>1666</v>
      </c>
      <c r="G1925" s="6" t="s">
        <v>1667</v>
      </c>
      <c r="H1925" s="6" t="s">
        <v>1668</v>
      </c>
      <c r="J1925" s="1215" t="s">
        <v>509</v>
      </c>
      <c r="K1925" s="1219" t="s">
        <v>3033</v>
      </c>
      <c r="L1925" s="8">
        <v>7</v>
      </c>
      <c r="M1925" s="8">
        <v>43</v>
      </c>
      <c r="N1925" s="1169" t="s">
        <v>272</v>
      </c>
      <c r="P1925" s="6" t="s">
        <v>3324</v>
      </c>
      <c r="Q1925" s="1215" t="s">
        <v>253</v>
      </c>
      <c r="R1925" s="1215" t="s">
        <v>255</v>
      </c>
      <c r="S1925" s="1215" t="s">
        <v>534</v>
      </c>
      <c r="T1925" s="1215" t="s">
        <v>533</v>
      </c>
      <c r="U1925" s="6" t="s">
        <v>542</v>
      </c>
      <c r="V1925" s="6" t="s">
        <v>32</v>
      </c>
      <c r="W1925" s="6" t="s">
        <v>1666</v>
      </c>
      <c r="X1925" s="6" t="s">
        <v>179</v>
      </c>
    </row>
    <row r="1926" spans="1:24" ht="15" customHeight="1" x14ac:dyDescent="0.3">
      <c r="A1926" s="6" t="s">
        <v>533</v>
      </c>
      <c r="B1926" s="6" t="s">
        <v>534</v>
      </c>
      <c r="C1926" s="6" t="s">
        <v>32</v>
      </c>
      <c r="D1926" s="1088" t="s">
        <v>542</v>
      </c>
      <c r="E1926" s="1088" t="s">
        <v>179</v>
      </c>
      <c r="F1926" s="6" t="s">
        <v>1666</v>
      </c>
      <c r="G1926" s="6" t="s">
        <v>1667</v>
      </c>
      <c r="H1926" s="6" t="s">
        <v>1668</v>
      </c>
      <c r="J1926" s="1215" t="s">
        <v>509</v>
      </c>
      <c r="K1926" s="1219" t="s">
        <v>3109</v>
      </c>
      <c r="L1926" s="8">
        <v>0</v>
      </c>
      <c r="M1926" s="8">
        <v>6</v>
      </c>
      <c r="N1926" s="1169" t="s">
        <v>272</v>
      </c>
      <c r="P1926" s="6" t="s">
        <v>3324</v>
      </c>
      <c r="Q1926" s="1215" t="s">
        <v>253</v>
      </c>
      <c r="R1926" s="1215" t="s">
        <v>255</v>
      </c>
      <c r="S1926" s="1215" t="s">
        <v>534</v>
      </c>
      <c r="T1926" s="1215" t="s">
        <v>533</v>
      </c>
      <c r="U1926" s="6" t="s">
        <v>542</v>
      </c>
      <c r="V1926" s="6" t="s">
        <v>32</v>
      </c>
      <c r="W1926" s="6" t="s">
        <v>1666</v>
      </c>
      <c r="X1926" s="6" t="s">
        <v>179</v>
      </c>
    </row>
    <row r="1927" spans="1:24" ht="15" customHeight="1" x14ac:dyDescent="0.3">
      <c r="A1927" s="6" t="s">
        <v>533</v>
      </c>
      <c r="B1927" s="6" t="s">
        <v>534</v>
      </c>
      <c r="C1927" s="6" t="s">
        <v>31</v>
      </c>
      <c r="D1927" s="1088" t="s">
        <v>549</v>
      </c>
      <c r="E1927" s="1088" t="s">
        <v>171</v>
      </c>
      <c r="F1927" s="6" t="s">
        <v>634</v>
      </c>
      <c r="G1927" s="6" t="s">
        <v>1920</v>
      </c>
      <c r="H1927" s="6" t="s">
        <v>1323</v>
      </c>
      <c r="J1927" s="1215" t="s">
        <v>509</v>
      </c>
      <c r="K1927" s="1219" t="s">
        <v>3033</v>
      </c>
      <c r="L1927" s="8">
        <v>22</v>
      </c>
      <c r="M1927" s="8">
        <v>170</v>
      </c>
      <c r="N1927" s="1169" t="s">
        <v>271</v>
      </c>
      <c r="P1927" s="6" t="s">
        <v>3323</v>
      </c>
      <c r="Q1927" s="1215" t="s">
        <v>253</v>
      </c>
      <c r="R1927" s="1215" t="s">
        <v>255</v>
      </c>
      <c r="S1927" s="1215" t="s">
        <v>534</v>
      </c>
      <c r="T1927" s="1215" t="s">
        <v>533</v>
      </c>
      <c r="U1927" s="6" t="s">
        <v>549</v>
      </c>
      <c r="V1927" s="6" t="s">
        <v>31</v>
      </c>
      <c r="W1927" s="6" t="s">
        <v>844</v>
      </c>
      <c r="X1927" s="6" t="s">
        <v>166</v>
      </c>
    </row>
    <row r="1928" spans="1:24" ht="15" customHeight="1" x14ac:dyDescent="0.3">
      <c r="A1928" s="6" t="s">
        <v>533</v>
      </c>
      <c r="B1928" s="6" t="s">
        <v>534</v>
      </c>
      <c r="C1928" s="6" t="s">
        <v>31</v>
      </c>
      <c r="D1928" s="1088" t="s">
        <v>549</v>
      </c>
      <c r="E1928" s="6" t="s">
        <v>170</v>
      </c>
      <c r="F1928" s="6" t="s">
        <v>866</v>
      </c>
      <c r="G1928" s="6" t="s">
        <v>1635</v>
      </c>
      <c r="H1928" s="6" t="s">
        <v>1579</v>
      </c>
      <c r="J1928" s="1215" t="s">
        <v>509</v>
      </c>
      <c r="K1928" s="1219" t="s">
        <v>3112</v>
      </c>
      <c r="L1928" s="8">
        <v>4</v>
      </c>
      <c r="M1928" s="8">
        <v>25</v>
      </c>
      <c r="N1928" s="1169" t="s">
        <v>272</v>
      </c>
      <c r="P1928" s="6" t="s">
        <v>3324</v>
      </c>
      <c r="Q1928" s="1215" t="s">
        <v>253</v>
      </c>
      <c r="R1928" s="1215" t="s">
        <v>255</v>
      </c>
      <c r="S1928" s="1215" t="s">
        <v>534</v>
      </c>
      <c r="T1928" s="1215" t="s">
        <v>533</v>
      </c>
      <c r="U1928" s="6" t="s">
        <v>549</v>
      </c>
      <c r="V1928" s="6" t="s">
        <v>31</v>
      </c>
      <c r="W1928" s="6" t="s">
        <v>866</v>
      </c>
      <c r="X1928" s="6" t="s">
        <v>170</v>
      </c>
    </row>
    <row r="1929" spans="1:24" ht="15" customHeight="1" x14ac:dyDescent="0.3">
      <c r="A1929" s="6" t="s">
        <v>533</v>
      </c>
      <c r="B1929" s="6" t="s">
        <v>534</v>
      </c>
      <c r="C1929" s="6" t="s">
        <v>31</v>
      </c>
      <c r="D1929" s="1088" t="s">
        <v>549</v>
      </c>
      <c r="E1929" s="6" t="s">
        <v>167</v>
      </c>
      <c r="F1929" s="6" t="s">
        <v>1113</v>
      </c>
      <c r="G1929" s="6" t="s">
        <v>2119</v>
      </c>
      <c r="H1929" s="6" t="s">
        <v>1871</v>
      </c>
      <c r="J1929" s="1215" t="s">
        <v>509</v>
      </c>
      <c r="K1929" s="1219" t="s">
        <v>3033</v>
      </c>
      <c r="L1929" s="8">
        <v>12</v>
      </c>
      <c r="M1929" s="8">
        <v>70</v>
      </c>
      <c r="N1929" s="1169" t="s">
        <v>271</v>
      </c>
      <c r="P1929" s="6" t="s">
        <v>3323</v>
      </c>
      <c r="Q1929" s="1215" t="s">
        <v>253</v>
      </c>
      <c r="R1929" s="1215" t="s">
        <v>255</v>
      </c>
      <c r="S1929" s="1215" t="s">
        <v>534</v>
      </c>
      <c r="T1929" s="1215" t="s">
        <v>533</v>
      </c>
      <c r="U1929" s="6" t="s">
        <v>549</v>
      </c>
      <c r="V1929" s="6" t="s">
        <v>31</v>
      </c>
      <c r="W1929" s="6" t="s">
        <v>844</v>
      </c>
      <c r="X1929" s="6" t="s">
        <v>166</v>
      </c>
    </row>
    <row r="1930" spans="1:24" ht="15" customHeight="1" x14ac:dyDescent="0.3">
      <c r="A1930" s="6" t="s">
        <v>533</v>
      </c>
      <c r="B1930" s="6" t="s">
        <v>534</v>
      </c>
      <c r="C1930" s="6" t="s">
        <v>31</v>
      </c>
      <c r="D1930" s="6" t="s">
        <v>549</v>
      </c>
      <c r="E1930" s="1088" t="s">
        <v>167</v>
      </c>
      <c r="F1930" s="6" t="s">
        <v>1113</v>
      </c>
      <c r="G1930" s="6" t="s">
        <v>2119</v>
      </c>
      <c r="H1930" s="6" t="s">
        <v>1871</v>
      </c>
      <c r="J1930" s="1215" t="s">
        <v>509</v>
      </c>
      <c r="K1930" s="1219" t="s">
        <v>3112</v>
      </c>
      <c r="L1930" s="8">
        <v>0</v>
      </c>
      <c r="M1930" s="8">
        <v>2</v>
      </c>
      <c r="N1930" s="1169" t="s">
        <v>271</v>
      </c>
      <c r="P1930" s="6" t="s">
        <v>3323</v>
      </c>
      <c r="Q1930" s="1215" t="s">
        <v>253</v>
      </c>
      <c r="R1930" s="1215" t="s">
        <v>255</v>
      </c>
      <c r="S1930" s="1215" t="s">
        <v>534</v>
      </c>
      <c r="T1930" s="1215" t="s">
        <v>533</v>
      </c>
      <c r="U1930" s="6" t="s">
        <v>549</v>
      </c>
      <c r="V1930" s="6" t="s">
        <v>31</v>
      </c>
      <c r="W1930" s="6" t="s">
        <v>844</v>
      </c>
      <c r="X1930" s="6" t="s">
        <v>166</v>
      </c>
    </row>
    <row r="1931" spans="1:24" ht="15" customHeight="1" x14ac:dyDescent="0.3">
      <c r="A1931" s="6" t="s">
        <v>533</v>
      </c>
      <c r="B1931" s="6" t="s">
        <v>534</v>
      </c>
      <c r="C1931" s="6" t="s">
        <v>31</v>
      </c>
      <c r="D1931" s="1088" t="s">
        <v>549</v>
      </c>
      <c r="E1931" s="6" t="s">
        <v>167</v>
      </c>
      <c r="F1931" s="6" t="s">
        <v>1113</v>
      </c>
      <c r="G1931" s="6" t="s">
        <v>1870</v>
      </c>
      <c r="H1931" s="6" t="s">
        <v>1826</v>
      </c>
      <c r="J1931" s="1215" t="s">
        <v>509</v>
      </c>
      <c r="K1931" s="1219" t="s">
        <v>3033</v>
      </c>
      <c r="L1931" s="8">
        <v>12</v>
      </c>
      <c r="M1931" s="8">
        <v>80</v>
      </c>
      <c r="N1931" s="1169" t="s">
        <v>271</v>
      </c>
      <c r="P1931" s="6" t="s">
        <v>3323</v>
      </c>
      <c r="Q1931" s="1215" t="s">
        <v>253</v>
      </c>
      <c r="R1931" s="1215" t="s">
        <v>255</v>
      </c>
      <c r="S1931" s="1215" t="s">
        <v>534</v>
      </c>
      <c r="T1931" s="1215" t="s">
        <v>533</v>
      </c>
      <c r="U1931" s="6" t="s">
        <v>549</v>
      </c>
      <c r="V1931" s="6" t="s">
        <v>31</v>
      </c>
      <c r="W1931" s="6" t="s">
        <v>844</v>
      </c>
      <c r="X1931" s="6" t="s">
        <v>166</v>
      </c>
    </row>
    <row r="1932" spans="1:24" ht="15" customHeight="1" x14ac:dyDescent="0.3">
      <c r="A1932" s="6" t="s">
        <v>533</v>
      </c>
      <c r="B1932" s="6" t="s">
        <v>534</v>
      </c>
      <c r="C1932" s="6" t="s">
        <v>31</v>
      </c>
      <c r="D1932" s="1088" t="s">
        <v>549</v>
      </c>
      <c r="E1932" s="6" t="s">
        <v>167</v>
      </c>
      <c r="F1932" s="6" t="s">
        <v>1113</v>
      </c>
      <c r="G1932" s="6" t="s">
        <v>1870</v>
      </c>
      <c r="H1932" s="6" t="s">
        <v>1826</v>
      </c>
      <c r="J1932" s="1215" t="s">
        <v>509</v>
      </c>
      <c r="K1932" s="1219" t="s">
        <v>3112</v>
      </c>
      <c r="L1932" s="8">
        <v>0</v>
      </c>
      <c r="M1932" s="8">
        <v>1</v>
      </c>
      <c r="N1932" s="1169" t="s">
        <v>271</v>
      </c>
      <c r="P1932" s="6" t="s">
        <v>3323</v>
      </c>
      <c r="Q1932" s="1215" t="s">
        <v>253</v>
      </c>
      <c r="R1932" s="1215" t="s">
        <v>255</v>
      </c>
      <c r="S1932" s="1215" t="s">
        <v>534</v>
      </c>
      <c r="T1932" s="1215" t="s">
        <v>533</v>
      </c>
      <c r="U1932" s="6" t="s">
        <v>549</v>
      </c>
      <c r="V1932" s="6" t="s">
        <v>31</v>
      </c>
      <c r="W1932" s="6" t="s">
        <v>844</v>
      </c>
      <c r="X1932" s="6" t="s">
        <v>166</v>
      </c>
    </row>
    <row r="1933" spans="1:24" ht="15" customHeight="1" x14ac:dyDescent="0.3">
      <c r="A1933" s="6" t="s">
        <v>533</v>
      </c>
      <c r="B1933" s="6" t="s">
        <v>534</v>
      </c>
      <c r="C1933" s="6" t="s">
        <v>35</v>
      </c>
      <c r="D1933" s="1088" t="s">
        <v>567</v>
      </c>
      <c r="E1933" s="6" t="s">
        <v>195</v>
      </c>
      <c r="F1933" s="6" t="s">
        <v>733</v>
      </c>
      <c r="G1933" s="6" t="s">
        <v>2303</v>
      </c>
      <c r="H1933" s="6" t="s">
        <v>1768</v>
      </c>
      <c r="J1933" s="1215" t="s">
        <v>509</v>
      </c>
      <c r="K1933" s="1219" t="s">
        <v>3033</v>
      </c>
      <c r="L1933" s="8">
        <v>30</v>
      </c>
      <c r="M1933" s="8">
        <v>237</v>
      </c>
      <c r="N1933" s="1169" t="s">
        <v>271</v>
      </c>
      <c r="P1933" s="6" t="s">
        <v>3324</v>
      </c>
      <c r="Q1933" s="1215" t="s">
        <v>253</v>
      </c>
      <c r="R1933" s="1215" t="s">
        <v>255</v>
      </c>
      <c r="S1933" s="1215" t="s">
        <v>534</v>
      </c>
      <c r="T1933" s="1215" t="s">
        <v>533</v>
      </c>
      <c r="U1933" s="6" t="s">
        <v>567</v>
      </c>
      <c r="V1933" s="6" t="s">
        <v>35</v>
      </c>
      <c r="W1933" s="6" t="s">
        <v>733</v>
      </c>
      <c r="X1933" s="6" t="s">
        <v>195</v>
      </c>
    </row>
    <row r="1934" spans="1:24" ht="15" customHeight="1" x14ac:dyDescent="0.3">
      <c r="A1934" s="6" t="s">
        <v>533</v>
      </c>
      <c r="B1934" s="6" t="s">
        <v>534</v>
      </c>
      <c r="C1934" s="6" t="s">
        <v>35</v>
      </c>
      <c r="D1934" s="1088" t="s">
        <v>567</v>
      </c>
      <c r="E1934" s="6" t="s">
        <v>195</v>
      </c>
      <c r="F1934" s="6" t="s">
        <v>733</v>
      </c>
      <c r="G1934" s="6" t="s">
        <v>2303</v>
      </c>
      <c r="H1934" s="6" t="s">
        <v>1768</v>
      </c>
      <c r="J1934" s="1215" t="s">
        <v>509</v>
      </c>
      <c r="K1934" s="1219" t="s">
        <v>3111</v>
      </c>
      <c r="L1934" s="8">
        <v>6</v>
      </c>
      <c r="M1934" s="8">
        <v>36</v>
      </c>
      <c r="N1934" s="1169" t="s">
        <v>271</v>
      </c>
      <c r="P1934" s="6" t="s">
        <v>3324</v>
      </c>
      <c r="Q1934" s="1215" t="s">
        <v>253</v>
      </c>
      <c r="R1934" s="1215" t="s">
        <v>255</v>
      </c>
      <c r="S1934" s="1215" t="s">
        <v>534</v>
      </c>
      <c r="T1934" s="1215" t="s">
        <v>533</v>
      </c>
      <c r="U1934" s="6" t="s">
        <v>567</v>
      </c>
      <c r="V1934" s="6" t="s">
        <v>35</v>
      </c>
      <c r="W1934" s="6" t="s">
        <v>733</v>
      </c>
      <c r="X1934" s="6" t="s">
        <v>195</v>
      </c>
    </row>
    <row r="1935" spans="1:24" ht="15" customHeight="1" x14ac:dyDescent="0.3">
      <c r="A1935" s="6" t="s">
        <v>533</v>
      </c>
      <c r="B1935" s="6" t="s">
        <v>534</v>
      </c>
      <c r="C1935" s="6" t="s">
        <v>35</v>
      </c>
      <c r="D1935" s="1088" t="s">
        <v>567</v>
      </c>
      <c r="E1935" s="6" t="s">
        <v>195</v>
      </c>
      <c r="F1935" s="6" t="s">
        <v>733</v>
      </c>
      <c r="G1935" s="6" t="s">
        <v>2303</v>
      </c>
      <c r="H1935" s="6" t="s">
        <v>1768</v>
      </c>
      <c r="J1935" s="1215" t="s">
        <v>509</v>
      </c>
      <c r="K1935" s="1219" t="s">
        <v>3112</v>
      </c>
      <c r="L1935" s="8">
        <v>10</v>
      </c>
      <c r="M1935" s="8">
        <v>28</v>
      </c>
      <c r="N1935" s="1169" t="s">
        <v>271</v>
      </c>
      <c r="P1935" s="6" t="s">
        <v>3324</v>
      </c>
      <c r="Q1935" s="1215" t="s">
        <v>253</v>
      </c>
      <c r="R1935" s="1215" t="s">
        <v>255</v>
      </c>
      <c r="S1935" s="1215" t="s">
        <v>534</v>
      </c>
      <c r="T1935" s="1215" t="s">
        <v>533</v>
      </c>
      <c r="U1935" s="6" t="s">
        <v>567</v>
      </c>
      <c r="V1935" s="6" t="s">
        <v>35</v>
      </c>
      <c r="W1935" s="6" t="s">
        <v>733</v>
      </c>
      <c r="X1935" s="6" t="s">
        <v>195</v>
      </c>
    </row>
    <row r="1936" spans="1:24" ht="15" customHeight="1" x14ac:dyDescent="0.3">
      <c r="A1936" s="6" t="s">
        <v>533</v>
      </c>
      <c r="B1936" s="6" t="s">
        <v>534</v>
      </c>
      <c r="C1936" s="6" t="s">
        <v>35</v>
      </c>
      <c r="D1936" s="1088" t="s">
        <v>567</v>
      </c>
      <c r="E1936" s="6" t="s">
        <v>195</v>
      </c>
      <c r="F1936" s="6" t="s">
        <v>733</v>
      </c>
      <c r="G1936" s="6" t="s">
        <v>1764</v>
      </c>
      <c r="H1936" s="6" t="s">
        <v>1534</v>
      </c>
      <c r="J1936" s="1215" t="s">
        <v>509</v>
      </c>
      <c r="K1936" s="1219" t="s">
        <v>3033</v>
      </c>
      <c r="L1936" s="8">
        <v>139</v>
      </c>
      <c r="M1936" s="8">
        <v>999</v>
      </c>
      <c r="N1936" s="1169" t="s">
        <v>271</v>
      </c>
      <c r="P1936" s="6" t="s">
        <v>3324</v>
      </c>
      <c r="Q1936" s="1215" t="s">
        <v>253</v>
      </c>
      <c r="R1936" s="1215" t="s">
        <v>255</v>
      </c>
      <c r="S1936" s="1215" t="s">
        <v>534</v>
      </c>
      <c r="T1936" s="1215" t="s">
        <v>533</v>
      </c>
      <c r="U1936" s="6" t="s">
        <v>567</v>
      </c>
      <c r="V1936" s="6" t="s">
        <v>35</v>
      </c>
      <c r="W1936" s="6" t="s">
        <v>733</v>
      </c>
      <c r="X1936" s="6" t="s">
        <v>195</v>
      </c>
    </row>
    <row r="1937" spans="1:24" ht="15" customHeight="1" x14ac:dyDescent="0.3">
      <c r="A1937" s="6" t="s">
        <v>533</v>
      </c>
      <c r="B1937" s="6" t="s">
        <v>534</v>
      </c>
      <c r="C1937" s="6" t="s">
        <v>35</v>
      </c>
      <c r="D1937" s="1088" t="s">
        <v>567</v>
      </c>
      <c r="E1937" s="6" t="s">
        <v>195</v>
      </c>
      <c r="F1937" s="6" t="s">
        <v>733</v>
      </c>
      <c r="G1937" s="6" t="s">
        <v>1764</v>
      </c>
      <c r="H1937" s="6" t="s">
        <v>1534</v>
      </c>
      <c r="J1937" s="1215" t="s">
        <v>509</v>
      </c>
      <c r="K1937" s="1219" t="s">
        <v>3109</v>
      </c>
      <c r="L1937" s="8">
        <v>2</v>
      </c>
      <c r="M1937" s="8">
        <v>12</v>
      </c>
      <c r="N1937" s="1169" t="s">
        <v>271</v>
      </c>
      <c r="P1937" s="6" t="s">
        <v>3324</v>
      </c>
      <c r="Q1937" s="1215" t="s">
        <v>253</v>
      </c>
      <c r="R1937" s="1215" t="s">
        <v>255</v>
      </c>
      <c r="S1937" s="1215" t="s">
        <v>534</v>
      </c>
      <c r="T1937" s="1215" t="s">
        <v>533</v>
      </c>
      <c r="U1937" s="6" t="s">
        <v>567</v>
      </c>
      <c r="V1937" s="6" t="s">
        <v>35</v>
      </c>
      <c r="W1937" s="6" t="s">
        <v>733</v>
      </c>
      <c r="X1937" s="6" t="s">
        <v>195</v>
      </c>
    </row>
    <row r="1938" spans="1:24" ht="15" customHeight="1" x14ac:dyDescent="0.3">
      <c r="A1938" s="6" t="s">
        <v>533</v>
      </c>
      <c r="B1938" s="6" t="s">
        <v>534</v>
      </c>
      <c r="C1938" s="6" t="s">
        <v>35</v>
      </c>
      <c r="D1938" s="1088" t="s">
        <v>567</v>
      </c>
      <c r="E1938" s="6" t="s">
        <v>195</v>
      </c>
      <c r="F1938" s="6" t="s">
        <v>733</v>
      </c>
      <c r="G1938" s="6" t="s">
        <v>1764</v>
      </c>
      <c r="H1938" s="6" t="s">
        <v>1534</v>
      </c>
      <c r="J1938" s="1215" t="s">
        <v>509</v>
      </c>
      <c r="K1938" s="1219" t="s">
        <v>3111</v>
      </c>
      <c r="L1938" s="8">
        <v>10</v>
      </c>
      <c r="M1938" s="8">
        <v>32</v>
      </c>
      <c r="N1938" s="1169" t="s">
        <v>271</v>
      </c>
      <c r="P1938" s="6" t="s">
        <v>3324</v>
      </c>
      <c r="Q1938" s="1215" t="s">
        <v>253</v>
      </c>
      <c r="R1938" s="1215" t="s">
        <v>255</v>
      </c>
      <c r="S1938" s="1215" t="s">
        <v>534</v>
      </c>
      <c r="T1938" s="1215" t="s">
        <v>533</v>
      </c>
      <c r="U1938" s="6" t="s">
        <v>567</v>
      </c>
      <c r="V1938" s="6" t="s">
        <v>35</v>
      </c>
      <c r="W1938" s="6" t="s">
        <v>733</v>
      </c>
      <c r="X1938" s="6" t="s">
        <v>195</v>
      </c>
    </row>
    <row r="1939" spans="1:24" ht="15" customHeight="1" x14ac:dyDescent="0.3">
      <c r="A1939" s="6" t="s">
        <v>533</v>
      </c>
      <c r="B1939" s="6" t="s">
        <v>534</v>
      </c>
      <c r="C1939" s="6" t="s">
        <v>35</v>
      </c>
      <c r="D1939" s="1088" t="s">
        <v>567</v>
      </c>
      <c r="E1939" s="1088" t="s">
        <v>195</v>
      </c>
      <c r="F1939" s="6" t="s">
        <v>733</v>
      </c>
      <c r="G1939" s="6" t="s">
        <v>1764</v>
      </c>
      <c r="H1939" s="6" t="s">
        <v>1534</v>
      </c>
      <c r="J1939" s="1215" t="s">
        <v>509</v>
      </c>
      <c r="K1939" s="1219" t="s">
        <v>3112</v>
      </c>
      <c r="L1939" s="8">
        <v>22</v>
      </c>
      <c r="M1939" s="8">
        <v>102</v>
      </c>
      <c r="N1939" s="1169" t="s">
        <v>271</v>
      </c>
      <c r="P1939" s="6" t="s">
        <v>3324</v>
      </c>
      <c r="Q1939" s="1215" t="s">
        <v>253</v>
      </c>
      <c r="R1939" s="1215" t="s">
        <v>255</v>
      </c>
      <c r="S1939" s="1215" t="s">
        <v>534</v>
      </c>
      <c r="T1939" s="1215" t="s">
        <v>533</v>
      </c>
      <c r="U1939" s="6" t="s">
        <v>567</v>
      </c>
      <c r="V1939" s="6" t="s">
        <v>35</v>
      </c>
      <c r="W1939" s="6" t="s">
        <v>733</v>
      </c>
      <c r="X1939" s="6" t="s">
        <v>195</v>
      </c>
    </row>
    <row r="1940" spans="1:24" ht="15" customHeight="1" x14ac:dyDescent="0.3">
      <c r="A1940" s="6" t="s">
        <v>533</v>
      </c>
      <c r="B1940" s="6" t="s">
        <v>534</v>
      </c>
      <c r="C1940" s="6" t="s">
        <v>34</v>
      </c>
      <c r="D1940" s="1088" t="s">
        <v>539</v>
      </c>
      <c r="E1940" s="1088" t="s">
        <v>187</v>
      </c>
      <c r="F1940" s="6" t="s">
        <v>951</v>
      </c>
      <c r="G1940" s="6" t="s">
        <v>952</v>
      </c>
      <c r="H1940" s="6" t="s">
        <v>1239</v>
      </c>
      <c r="J1940" s="1215" t="s">
        <v>509</v>
      </c>
      <c r="K1940" s="1219" t="s">
        <v>3109</v>
      </c>
      <c r="L1940" s="8">
        <v>1</v>
      </c>
      <c r="M1940" s="8">
        <v>1</v>
      </c>
      <c r="N1940" s="1169" t="s">
        <v>271</v>
      </c>
      <c r="P1940" s="6" t="s">
        <v>3324</v>
      </c>
      <c r="Q1940" s="1215" t="s">
        <v>253</v>
      </c>
      <c r="R1940" s="1215" t="s">
        <v>255</v>
      </c>
      <c r="S1940" s="1215" t="s">
        <v>534</v>
      </c>
      <c r="T1940" s="1215" t="s">
        <v>533</v>
      </c>
      <c r="U1940" s="6" t="s">
        <v>539</v>
      </c>
      <c r="V1940" s="6" t="s">
        <v>34</v>
      </c>
      <c r="W1940" s="6" t="s">
        <v>951</v>
      </c>
      <c r="X1940" s="6" t="s">
        <v>187</v>
      </c>
    </row>
    <row r="1941" spans="1:24" ht="15" customHeight="1" x14ac:dyDescent="0.3">
      <c r="A1941" s="6" t="s">
        <v>533</v>
      </c>
      <c r="B1941" s="6" t="s">
        <v>534</v>
      </c>
      <c r="C1941" s="6" t="s">
        <v>34</v>
      </c>
      <c r="D1941" s="1088" t="s">
        <v>539</v>
      </c>
      <c r="E1941" s="6" t="s">
        <v>187</v>
      </c>
      <c r="F1941" s="6" t="s">
        <v>951</v>
      </c>
      <c r="G1941" s="6" t="s">
        <v>952</v>
      </c>
      <c r="H1941" s="6" t="s">
        <v>1239</v>
      </c>
      <c r="J1941" s="1215" t="s">
        <v>509</v>
      </c>
      <c r="K1941" s="1219" t="s">
        <v>3111</v>
      </c>
      <c r="L1941" s="8">
        <v>0</v>
      </c>
      <c r="M1941" s="8">
        <v>19</v>
      </c>
      <c r="N1941" s="1169" t="s">
        <v>271</v>
      </c>
      <c r="P1941" s="6" t="s">
        <v>3324</v>
      </c>
      <c r="Q1941" s="1215" t="s">
        <v>253</v>
      </c>
      <c r="R1941" s="1215" t="s">
        <v>255</v>
      </c>
      <c r="S1941" s="1215" t="s">
        <v>534</v>
      </c>
      <c r="T1941" s="1215" t="s">
        <v>533</v>
      </c>
      <c r="U1941" s="6" t="s">
        <v>539</v>
      </c>
      <c r="V1941" s="6" t="s">
        <v>34</v>
      </c>
      <c r="W1941" s="6" t="s">
        <v>951</v>
      </c>
      <c r="X1941" s="6" t="s">
        <v>187</v>
      </c>
    </row>
    <row r="1942" spans="1:24" ht="15" customHeight="1" x14ac:dyDescent="0.3">
      <c r="A1942" s="6" t="s">
        <v>533</v>
      </c>
      <c r="B1942" s="6" t="s">
        <v>534</v>
      </c>
      <c r="C1942" s="6" t="s">
        <v>34</v>
      </c>
      <c r="D1942" s="1088" t="s">
        <v>539</v>
      </c>
      <c r="E1942" s="1088" t="s">
        <v>187</v>
      </c>
      <c r="F1942" s="6" t="s">
        <v>951</v>
      </c>
      <c r="G1942" s="6" t="s">
        <v>952</v>
      </c>
      <c r="H1942" s="6" t="s">
        <v>1239</v>
      </c>
      <c r="J1942" s="1215" t="s">
        <v>509</v>
      </c>
      <c r="K1942" s="1219" t="s">
        <v>3033</v>
      </c>
      <c r="L1942" s="8">
        <v>8</v>
      </c>
      <c r="M1942" s="8">
        <v>64</v>
      </c>
      <c r="N1942" s="1169" t="s">
        <v>271</v>
      </c>
      <c r="P1942" s="6" t="s">
        <v>3324</v>
      </c>
      <c r="Q1942" s="1215" t="s">
        <v>253</v>
      </c>
      <c r="R1942" s="1215" t="s">
        <v>255</v>
      </c>
      <c r="S1942" s="1215" t="s">
        <v>534</v>
      </c>
      <c r="T1942" s="1215" t="s">
        <v>533</v>
      </c>
      <c r="U1942" s="6" t="s">
        <v>539</v>
      </c>
      <c r="V1942" s="6" t="s">
        <v>34</v>
      </c>
      <c r="W1942" s="6" t="s">
        <v>951</v>
      </c>
      <c r="X1942" s="6" t="s">
        <v>187</v>
      </c>
    </row>
    <row r="1943" spans="1:24" ht="15" customHeight="1" x14ac:dyDescent="0.3">
      <c r="A1943" s="6" t="s">
        <v>533</v>
      </c>
      <c r="B1943" s="6" t="s">
        <v>534</v>
      </c>
      <c r="C1943" s="6" t="s">
        <v>34</v>
      </c>
      <c r="D1943" s="1088" t="s">
        <v>539</v>
      </c>
      <c r="E1943" s="1088" t="s">
        <v>187</v>
      </c>
      <c r="F1943" s="6" t="s">
        <v>951</v>
      </c>
      <c r="G1943" s="6" t="s">
        <v>952</v>
      </c>
      <c r="H1943" s="6" t="s">
        <v>1239</v>
      </c>
      <c r="J1943" s="1215" t="s">
        <v>509</v>
      </c>
      <c r="K1943" s="1219" t="s">
        <v>3112</v>
      </c>
      <c r="L1943" s="8">
        <v>0</v>
      </c>
      <c r="M1943" s="8">
        <v>16</v>
      </c>
      <c r="N1943" s="1088" t="s">
        <v>271</v>
      </c>
      <c r="P1943" s="6" t="s">
        <v>3324</v>
      </c>
      <c r="Q1943" s="1215" t="s">
        <v>253</v>
      </c>
      <c r="R1943" s="1215" t="s">
        <v>255</v>
      </c>
      <c r="S1943" s="1215" t="s">
        <v>534</v>
      </c>
      <c r="T1943" s="1215" t="s">
        <v>533</v>
      </c>
      <c r="U1943" s="6" t="s">
        <v>539</v>
      </c>
      <c r="V1943" s="6" t="s">
        <v>34</v>
      </c>
      <c r="W1943" s="6" t="s">
        <v>951</v>
      </c>
      <c r="X1943" s="6" t="s">
        <v>187</v>
      </c>
    </row>
    <row r="1944" spans="1:24" ht="15" customHeight="1" x14ac:dyDescent="0.3">
      <c r="A1944" s="6" t="s">
        <v>533</v>
      </c>
      <c r="B1944" s="6" t="s">
        <v>534</v>
      </c>
      <c r="C1944" s="6" t="s">
        <v>31</v>
      </c>
      <c r="D1944" s="1088" t="s">
        <v>549</v>
      </c>
      <c r="E1944" s="6" t="s">
        <v>165</v>
      </c>
      <c r="F1944" s="6" t="s">
        <v>881</v>
      </c>
      <c r="G1944" s="6" t="s">
        <v>1691</v>
      </c>
      <c r="H1944" s="6" t="s">
        <v>2136</v>
      </c>
      <c r="J1944" s="1215" t="s">
        <v>509</v>
      </c>
      <c r="K1944" s="1219" t="s">
        <v>3109</v>
      </c>
      <c r="L1944" s="8">
        <v>10</v>
      </c>
      <c r="M1944" s="8">
        <v>33</v>
      </c>
      <c r="N1944" s="1169" t="s">
        <v>271</v>
      </c>
      <c r="P1944" s="6" t="s">
        <v>3324</v>
      </c>
      <c r="Q1944" s="1215" t="s">
        <v>253</v>
      </c>
      <c r="R1944" s="1215" t="s">
        <v>255</v>
      </c>
      <c r="S1944" s="1215" t="s">
        <v>534</v>
      </c>
      <c r="T1944" s="1215" t="s">
        <v>533</v>
      </c>
      <c r="U1944" s="6" t="s">
        <v>549</v>
      </c>
      <c r="V1944" s="6" t="s">
        <v>31</v>
      </c>
      <c r="W1944" s="6" t="s">
        <v>881</v>
      </c>
      <c r="X1944" s="6" t="s">
        <v>165</v>
      </c>
    </row>
    <row r="1945" spans="1:24" ht="15" customHeight="1" x14ac:dyDescent="0.3">
      <c r="A1945" s="6" t="s">
        <v>533</v>
      </c>
      <c r="B1945" s="6" t="s">
        <v>534</v>
      </c>
      <c r="C1945" s="6" t="s">
        <v>31</v>
      </c>
      <c r="D1945" s="1088" t="s">
        <v>549</v>
      </c>
      <c r="E1945" s="1088" t="s">
        <v>165</v>
      </c>
      <c r="F1945" s="6" t="s">
        <v>881</v>
      </c>
      <c r="G1945" s="6" t="s">
        <v>884</v>
      </c>
      <c r="H1945" s="6" t="s">
        <v>2138</v>
      </c>
      <c r="J1945" s="1215" t="s">
        <v>509</v>
      </c>
      <c r="K1945" s="1219" t="s">
        <v>3109</v>
      </c>
      <c r="L1945" s="8">
        <v>16</v>
      </c>
      <c r="M1945" s="8">
        <v>92</v>
      </c>
      <c r="N1945" s="1169" t="s">
        <v>271</v>
      </c>
      <c r="P1945" s="6" t="s">
        <v>3324</v>
      </c>
      <c r="Q1945" s="1215" t="s">
        <v>253</v>
      </c>
      <c r="R1945" s="1215" t="s">
        <v>255</v>
      </c>
      <c r="S1945" s="1215" t="s">
        <v>534</v>
      </c>
      <c r="T1945" s="1215" t="s">
        <v>533</v>
      </c>
      <c r="U1945" s="6" t="s">
        <v>549</v>
      </c>
      <c r="V1945" s="6" t="s">
        <v>31</v>
      </c>
      <c r="W1945" s="6" t="s">
        <v>881</v>
      </c>
      <c r="X1945" s="6" t="s">
        <v>165</v>
      </c>
    </row>
    <row r="1946" spans="1:24" ht="15" customHeight="1" x14ac:dyDescent="0.3">
      <c r="A1946" s="6" t="s">
        <v>533</v>
      </c>
      <c r="B1946" s="6" t="s">
        <v>534</v>
      </c>
      <c r="C1946" s="6" t="s">
        <v>31</v>
      </c>
      <c r="D1946" s="1088" t="s">
        <v>549</v>
      </c>
      <c r="E1946" s="6" t="s">
        <v>171</v>
      </c>
      <c r="F1946" s="6" t="s">
        <v>634</v>
      </c>
      <c r="G1946" s="6" t="s">
        <v>820</v>
      </c>
      <c r="H1946" s="6" t="s">
        <v>821</v>
      </c>
      <c r="J1946" s="1215" t="s">
        <v>509</v>
      </c>
      <c r="K1946" s="1219" t="s">
        <v>3109</v>
      </c>
      <c r="L1946" s="8">
        <v>4</v>
      </c>
      <c r="M1946" s="8">
        <v>37</v>
      </c>
      <c r="N1946" s="1169" t="s">
        <v>271</v>
      </c>
      <c r="P1946" s="6" t="s">
        <v>3324</v>
      </c>
      <c r="Q1946" s="1215" t="s">
        <v>253</v>
      </c>
      <c r="R1946" s="1215" t="s">
        <v>255</v>
      </c>
      <c r="S1946" s="1215" t="s">
        <v>534</v>
      </c>
      <c r="T1946" s="1215" t="s">
        <v>533</v>
      </c>
      <c r="U1946" s="6" t="s">
        <v>549</v>
      </c>
      <c r="V1946" s="6" t="s">
        <v>31</v>
      </c>
      <c r="W1946" s="6" t="s">
        <v>634</v>
      </c>
      <c r="X1946" s="6" t="s">
        <v>171</v>
      </c>
    </row>
    <row r="1947" spans="1:24" ht="15" customHeight="1" x14ac:dyDescent="0.3">
      <c r="A1947" s="6" t="s">
        <v>533</v>
      </c>
      <c r="B1947" s="6" t="s">
        <v>534</v>
      </c>
      <c r="C1947" s="6" t="s">
        <v>31</v>
      </c>
      <c r="D1947" s="1088" t="s">
        <v>549</v>
      </c>
      <c r="E1947" s="6" t="s">
        <v>171</v>
      </c>
      <c r="F1947" s="6" t="s">
        <v>634</v>
      </c>
      <c r="G1947" s="6" t="s">
        <v>2212</v>
      </c>
      <c r="H1947" s="6" t="s">
        <v>1221</v>
      </c>
      <c r="J1947" s="1215" t="s">
        <v>509</v>
      </c>
      <c r="K1947" s="1219" t="s">
        <v>3109</v>
      </c>
      <c r="L1947" s="8">
        <v>29</v>
      </c>
      <c r="M1947" s="8">
        <v>199</v>
      </c>
      <c r="N1947" s="1088" t="s">
        <v>271</v>
      </c>
      <c r="P1947" s="6" t="s">
        <v>3324</v>
      </c>
      <c r="Q1947" s="1215" t="s">
        <v>253</v>
      </c>
      <c r="R1947" s="1215" t="s">
        <v>255</v>
      </c>
      <c r="S1947" s="1215" t="s">
        <v>534</v>
      </c>
      <c r="T1947" s="1215" t="s">
        <v>533</v>
      </c>
      <c r="U1947" s="6" t="s">
        <v>549</v>
      </c>
      <c r="V1947" s="6" t="s">
        <v>31</v>
      </c>
      <c r="W1947" s="6" t="s">
        <v>634</v>
      </c>
      <c r="X1947" s="6" t="s">
        <v>171</v>
      </c>
    </row>
    <row r="1948" spans="1:24" ht="15" customHeight="1" x14ac:dyDescent="0.3">
      <c r="A1948" s="6" t="s">
        <v>533</v>
      </c>
      <c r="B1948" s="6" t="s">
        <v>534</v>
      </c>
      <c r="C1948" s="6" t="s">
        <v>31</v>
      </c>
      <c r="D1948" s="1088" t="s">
        <v>549</v>
      </c>
      <c r="E1948" s="6" t="s">
        <v>171</v>
      </c>
      <c r="F1948" s="6" t="s">
        <v>634</v>
      </c>
      <c r="G1948" s="6" t="s">
        <v>2809</v>
      </c>
      <c r="H1948" s="6" t="s">
        <v>878</v>
      </c>
      <c r="J1948" s="1215" t="s">
        <v>509</v>
      </c>
      <c r="K1948" s="1219" t="s">
        <v>3109</v>
      </c>
      <c r="L1948" s="8">
        <v>10</v>
      </c>
      <c r="M1948" s="8">
        <v>96</v>
      </c>
      <c r="N1948" s="1169" t="s">
        <v>271</v>
      </c>
      <c r="P1948" s="6" t="s">
        <v>3324</v>
      </c>
      <c r="Q1948" s="1215" t="s">
        <v>253</v>
      </c>
      <c r="R1948" s="1215" t="s">
        <v>255</v>
      </c>
      <c r="S1948" s="1215" t="s">
        <v>534</v>
      </c>
      <c r="T1948" s="1215" t="s">
        <v>533</v>
      </c>
      <c r="U1948" s="6" t="s">
        <v>549</v>
      </c>
      <c r="V1948" s="6" t="s">
        <v>31</v>
      </c>
      <c r="W1948" s="6" t="s">
        <v>634</v>
      </c>
      <c r="X1948" s="6" t="s">
        <v>171</v>
      </c>
    </row>
    <row r="1949" spans="1:24" ht="15" customHeight="1" x14ac:dyDescent="0.3">
      <c r="A1949" s="6" t="s">
        <v>533</v>
      </c>
      <c r="B1949" s="6" t="s">
        <v>534</v>
      </c>
      <c r="C1949" s="6" t="s">
        <v>31</v>
      </c>
      <c r="D1949" s="1088" t="s">
        <v>549</v>
      </c>
      <c r="E1949" s="6" t="s">
        <v>165</v>
      </c>
      <c r="F1949" s="6" t="s">
        <v>881</v>
      </c>
      <c r="G1949" s="6" t="s">
        <v>1693</v>
      </c>
      <c r="H1949" s="6" t="s">
        <v>2491</v>
      </c>
      <c r="J1949" s="1215" t="s">
        <v>509</v>
      </c>
      <c r="K1949" s="1219" t="s">
        <v>3109</v>
      </c>
      <c r="L1949" s="8">
        <v>7</v>
      </c>
      <c r="M1949" s="8">
        <v>40</v>
      </c>
      <c r="N1949" s="1169" t="s">
        <v>271</v>
      </c>
      <c r="P1949" s="6" t="s">
        <v>3324</v>
      </c>
      <c r="Q1949" s="1215" t="s">
        <v>253</v>
      </c>
      <c r="R1949" s="1215" t="s">
        <v>255</v>
      </c>
      <c r="S1949" s="1215" t="s">
        <v>534</v>
      </c>
      <c r="T1949" s="1215" t="s">
        <v>533</v>
      </c>
      <c r="U1949" s="6" t="s">
        <v>549</v>
      </c>
      <c r="V1949" s="6" t="s">
        <v>31</v>
      </c>
      <c r="W1949" s="6" t="s">
        <v>881</v>
      </c>
      <c r="X1949" s="6" t="s">
        <v>165</v>
      </c>
    </row>
    <row r="1950" spans="1:24" ht="15" customHeight="1" x14ac:dyDescent="0.3">
      <c r="A1950" s="6" t="s">
        <v>533</v>
      </c>
      <c r="B1950" s="6" t="s">
        <v>534</v>
      </c>
      <c r="C1950" s="6" t="s">
        <v>35</v>
      </c>
      <c r="D1950" s="1088" t="s">
        <v>567</v>
      </c>
      <c r="E1950" s="1088" t="s">
        <v>195</v>
      </c>
      <c r="F1950" s="6" t="s">
        <v>733</v>
      </c>
      <c r="G1950" s="6" t="s">
        <v>550</v>
      </c>
      <c r="H1950" s="6" t="s">
        <v>3162</v>
      </c>
      <c r="I1950" s="6" t="s">
        <v>3163</v>
      </c>
      <c r="J1950" s="1215" t="s">
        <v>509</v>
      </c>
      <c r="K1950" s="1219" t="s">
        <v>3112</v>
      </c>
      <c r="L1950" s="8">
        <v>23</v>
      </c>
      <c r="M1950" s="8">
        <v>75</v>
      </c>
      <c r="N1950" s="1169" t="s">
        <v>271</v>
      </c>
      <c r="P1950" s="6" t="s">
        <v>3324</v>
      </c>
      <c r="Q1950" s="1215" t="s">
        <v>253</v>
      </c>
      <c r="R1950" s="1215" t="s">
        <v>255</v>
      </c>
      <c r="S1950" s="1215" t="s">
        <v>534</v>
      </c>
      <c r="T1950" s="1215" t="s">
        <v>533</v>
      </c>
      <c r="U1950" s="6" t="s">
        <v>567</v>
      </c>
      <c r="V1950" s="6" t="s">
        <v>35</v>
      </c>
      <c r="W1950" s="6" t="s">
        <v>733</v>
      </c>
      <c r="X1950" s="6" t="s">
        <v>195</v>
      </c>
    </row>
    <row r="1951" spans="1:24" ht="15" customHeight="1" x14ac:dyDescent="0.3">
      <c r="A1951" s="6" t="s">
        <v>533</v>
      </c>
      <c r="B1951" s="6" t="s">
        <v>534</v>
      </c>
      <c r="C1951" s="6" t="s">
        <v>35</v>
      </c>
      <c r="D1951" s="1088" t="s">
        <v>567</v>
      </c>
      <c r="E1951" s="6" t="s">
        <v>193</v>
      </c>
      <c r="F1951" s="6" t="s">
        <v>863</v>
      </c>
      <c r="G1951" s="6" t="s">
        <v>2680</v>
      </c>
      <c r="H1951" s="6" t="s">
        <v>989</v>
      </c>
      <c r="J1951" s="1215" t="s">
        <v>509</v>
      </c>
      <c r="K1951" s="1219" t="s">
        <v>3112</v>
      </c>
      <c r="L1951" s="8">
        <v>1</v>
      </c>
      <c r="M1951" s="8">
        <v>17</v>
      </c>
      <c r="N1951" s="1088" t="s">
        <v>271</v>
      </c>
      <c r="P1951" s="6" t="s">
        <v>3324</v>
      </c>
      <c r="Q1951" s="1215" t="s">
        <v>253</v>
      </c>
      <c r="R1951" s="1215" t="s">
        <v>255</v>
      </c>
      <c r="S1951" s="1215" t="s">
        <v>534</v>
      </c>
      <c r="T1951" s="1215" t="s">
        <v>533</v>
      </c>
      <c r="U1951" s="6" t="s">
        <v>567</v>
      </c>
      <c r="V1951" s="6" t="s">
        <v>35</v>
      </c>
      <c r="W1951" s="6" t="s">
        <v>863</v>
      </c>
      <c r="X1951" s="6" t="s">
        <v>193</v>
      </c>
    </row>
    <row r="1952" spans="1:24" ht="15" customHeight="1" x14ac:dyDescent="0.3">
      <c r="A1952" s="6" t="s">
        <v>533</v>
      </c>
      <c r="B1952" s="6" t="s">
        <v>534</v>
      </c>
      <c r="C1952" s="6" t="s">
        <v>35</v>
      </c>
      <c r="D1952" s="1088" t="s">
        <v>567</v>
      </c>
      <c r="E1952" s="6" t="s">
        <v>193</v>
      </c>
      <c r="F1952" s="6" t="s">
        <v>863</v>
      </c>
      <c r="G1952" s="6" t="s">
        <v>2680</v>
      </c>
      <c r="H1952" s="6" t="s">
        <v>989</v>
      </c>
      <c r="J1952" s="1215" t="s">
        <v>509</v>
      </c>
      <c r="K1952" s="1219" t="s">
        <v>3033</v>
      </c>
      <c r="L1952" s="8">
        <v>98</v>
      </c>
      <c r="M1952" s="8">
        <v>795</v>
      </c>
      <c r="N1952" s="1169" t="s">
        <v>271</v>
      </c>
      <c r="P1952" s="6" t="s">
        <v>3324</v>
      </c>
      <c r="Q1952" s="1215" t="s">
        <v>253</v>
      </c>
      <c r="R1952" s="1215" t="s">
        <v>255</v>
      </c>
      <c r="S1952" s="1215" t="s">
        <v>534</v>
      </c>
      <c r="T1952" s="1215" t="s">
        <v>533</v>
      </c>
      <c r="U1952" s="6" t="s">
        <v>567</v>
      </c>
      <c r="V1952" s="6" t="s">
        <v>35</v>
      </c>
      <c r="W1952" s="6" t="s">
        <v>863</v>
      </c>
      <c r="X1952" s="6" t="s">
        <v>193</v>
      </c>
    </row>
    <row r="1953" spans="1:24" ht="15" customHeight="1" x14ac:dyDescent="0.3">
      <c r="A1953" s="6" t="s">
        <v>533</v>
      </c>
      <c r="B1953" s="6" t="s">
        <v>534</v>
      </c>
      <c r="C1953" s="6" t="s">
        <v>35</v>
      </c>
      <c r="D1953" s="1088" t="s">
        <v>567</v>
      </c>
      <c r="E1953" s="1088" t="s">
        <v>193</v>
      </c>
      <c r="F1953" s="6" t="s">
        <v>863</v>
      </c>
      <c r="G1953" s="6" t="s">
        <v>2680</v>
      </c>
      <c r="H1953" s="6" t="s">
        <v>989</v>
      </c>
      <c r="J1953" s="1215" t="s">
        <v>509</v>
      </c>
      <c r="K1953" s="1219" t="s">
        <v>3110</v>
      </c>
      <c r="L1953" s="8">
        <v>0</v>
      </c>
      <c r="M1953" s="8">
        <v>10</v>
      </c>
      <c r="N1953" s="1169" t="s">
        <v>271</v>
      </c>
      <c r="P1953" s="6" t="s">
        <v>3324</v>
      </c>
      <c r="Q1953" s="1215" t="s">
        <v>253</v>
      </c>
      <c r="R1953" s="1215" t="s">
        <v>255</v>
      </c>
      <c r="S1953" s="1215" t="s">
        <v>534</v>
      </c>
      <c r="T1953" s="1215" t="s">
        <v>533</v>
      </c>
      <c r="U1953" s="6" t="s">
        <v>567</v>
      </c>
      <c r="V1953" s="6" t="s">
        <v>35</v>
      </c>
      <c r="W1953" s="6" t="s">
        <v>863</v>
      </c>
      <c r="X1953" s="6" t="s">
        <v>193</v>
      </c>
    </row>
    <row r="1954" spans="1:24" ht="15" customHeight="1" x14ac:dyDescent="0.3">
      <c r="A1954" s="6" t="s">
        <v>533</v>
      </c>
      <c r="B1954" s="6" t="s">
        <v>534</v>
      </c>
      <c r="C1954" s="6" t="s">
        <v>35</v>
      </c>
      <c r="D1954" s="1088" t="s">
        <v>567</v>
      </c>
      <c r="E1954" s="1088" t="s">
        <v>193</v>
      </c>
      <c r="F1954" s="6" t="s">
        <v>863</v>
      </c>
      <c r="G1954" s="6" t="s">
        <v>2680</v>
      </c>
      <c r="H1954" s="6" t="s">
        <v>989</v>
      </c>
      <c r="J1954" s="1215" t="s">
        <v>509</v>
      </c>
      <c r="K1954" s="1219" t="s">
        <v>3111</v>
      </c>
      <c r="L1954" s="8">
        <v>10</v>
      </c>
      <c r="M1954" s="8">
        <v>37</v>
      </c>
      <c r="N1954" s="1169" t="s">
        <v>271</v>
      </c>
      <c r="P1954" s="6" t="s">
        <v>3324</v>
      </c>
      <c r="Q1954" s="1215" t="s">
        <v>253</v>
      </c>
      <c r="R1954" s="1215" t="s">
        <v>255</v>
      </c>
      <c r="S1954" s="1215" t="s">
        <v>534</v>
      </c>
      <c r="T1954" s="1215" t="s">
        <v>533</v>
      </c>
      <c r="U1954" s="6" t="s">
        <v>567</v>
      </c>
      <c r="V1954" s="6" t="s">
        <v>35</v>
      </c>
      <c r="W1954" s="6" t="s">
        <v>863</v>
      </c>
      <c r="X1954" s="6" t="s">
        <v>193</v>
      </c>
    </row>
    <row r="1955" spans="1:24" ht="15" customHeight="1" x14ac:dyDescent="0.3">
      <c r="A1955" s="6" t="s">
        <v>533</v>
      </c>
      <c r="B1955" s="6" t="s">
        <v>534</v>
      </c>
      <c r="C1955" s="6" t="s">
        <v>31</v>
      </c>
      <c r="D1955" s="1088" t="s">
        <v>549</v>
      </c>
      <c r="E1955" s="6" t="s">
        <v>170</v>
      </c>
      <c r="F1955" s="6" t="s">
        <v>866</v>
      </c>
      <c r="G1955" s="6" t="s">
        <v>955</v>
      </c>
      <c r="H1955" s="6" t="s">
        <v>956</v>
      </c>
      <c r="J1955" s="1215" t="s">
        <v>509</v>
      </c>
      <c r="K1955" s="1219" t="s">
        <v>3033</v>
      </c>
      <c r="L1955" s="8">
        <v>4</v>
      </c>
      <c r="M1955" s="8">
        <v>19</v>
      </c>
      <c r="N1955" s="1088" t="s">
        <v>271</v>
      </c>
      <c r="P1955" s="6" t="s">
        <v>3324</v>
      </c>
      <c r="Q1955" s="1215" t="s">
        <v>253</v>
      </c>
      <c r="R1955" s="1215" t="s">
        <v>255</v>
      </c>
      <c r="S1955" s="1215" t="s">
        <v>534</v>
      </c>
      <c r="T1955" s="1215" t="s">
        <v>533</v>
      </c>
      <c r="U1955" s="6" t="s">
        <v>549</v>
      </c>
      <c r="V1955" s="6" t="s">
        <v>31</v>
      </c>
      <c r="W1955" s="6" t="s">
        <v>866</v>
      </c>
      <c r="X1955" s="6" t="s">
        <v>170</v>
      </c>
    </row>
    <row r="1956" spans="1:24" ht="15" customHeight="1" x14ac:dyDescent="0.3">
      <c r="A1956" s="6" t="s">
        <v>533</v>
      </c>
      <c r="B1956" s="6" t="s">
        <v>534</v>
      </c>
      <c r="C1956" s="6" t="s">
        <v>31</v>
      </c>
      <c r="D1956" s="1088" t="s">
        <v>549</v>
      </c>
      <c r="E1956" s="6" t="s">
        <v>170</v>
      </c>
      <c r="F1956" s="6" t="s">
        <v>866</v>
      </c>
      <c r="G1956" s="6" t="s">
        <v>955</v>
      </c>
      <c r="H1956" s="6" t="s">
        <v>956</v>
      </c>
      <c r="J1956" s="1215" t="s">
        <v>509</v>
      </c>
      <c r="K1956" s="1219" t="s">
        <v>3112</v>
      </c>
      <c r="L1956" s="8">
        <v>7</v>
      </c>
      <c r="M1956" s="8">
        <v>12</v>
      </c>
      <c r="N1956" s="1169" t="s">
        <v>271</v>
      </c>
      <c r="P1956" s="6" t="s">
        <v>3324</v>
      </c>
      <c r="Q1956" s="1215" t="s">
        <v>253</v>
      </c>
      <c r="R1956" s="1215" t="s">
        <v>255</v>
      </c>
      <c r="S1956" s="1215" t="s">
        <v>534</v>
      </c>
      <c r="T1956" s="1215" t="s">
        <v>533</v>
      </c>
      <c r="U1956" s="6" t="s">
        <v>549</v>
      </c>
      <c r="V1956" s="6" t="s">
        <v>31</v>
      </c>
      <c r="W1956" s="6" t="s">
        <v>866</v>
      </c>
      <c r="X1956" s="6" t="s">
        <v>170</v>
      </c>
    </row>
    <row r="1957" spans="1:24" ht="15" customHeight="1" x14ac:dyDescent="0.3">
      <c r="A1957" s="6" t="s">
        <v>533</v>
      </c>
      <c r="B1957" s="6" t="s">
        <v>534</v>
      </c>
      <c r="C1957" s="6" t="s">
        <v>31</v>
      </c>
      <c r="D1957" s="1088" t="s">
        <v>549</v>
      </c>
      <c r="E1957" s="6" t="s">
        <v>170</v>
      </c>
      <c r="F1957" s="6" t="s">
        <v>866</v>
      </c>
      <c r="G1957" s="6" t="s">
        <v>955</v>
      </c>
      <c r="H1957" s="6" t="s">
        <v>956</v>
      </c>
      <c r="J1957" s="1215" t="s">
        <v>509</v>
      </c>
      <c r="K1957" s="1219" t="s">
        <v>3109</v>
      </c>
      <c r="L1957" s="8">
        <v>0</v>
      </c>
      <c r="M1957" s="8">
        <v>4</v>
      </c>
      <c r="N1957" s="1169" t="s">
        <v>275</v>
      </c>
      <c r="O1957" s="6" t="s">
        <v>3337</v>
      </c>
      <c r="P1957" s="6" t="s">
        <v>3324</v>
      </c>
      <c r="Q1957" s="1215" t="s">
        <v>253</v>
      </c>
      <c r="R1957" s="1215" t="s">
        <v>255</v>
      </c>
      <c r="S1957" s="1215" t="s">
        <v>534</v>
      </c>
      <c r="T1957" s="1215" t="s">
        <v>533</v>
      </c>
      <c r="U1957" s="6" t="s">
        <v>549</v>
      </c>
      <c r="V1957" s="6" t="s">
        <v>31</v>
      </c>
      <c r="W1957" s="6" t="s">
        <v>866</v>
      </c>
      <c r="X1957" s="6" t="s">
        <v>170</v>
      </c>
    </row>
    <row r="1958" spans="1:24" ht="15" customHeight="1" x14ac:dyDescent="0.3">
      <c r="A1958" s="6" t="s">
        <v>533</v>
      </c>
      <c r="B1958" s="6" t="s">
        <v>534</v>
      </c>
      <c r="C1958" s="6" t="s">
        <v>32</v>
      </c>
      <c r="D1958" s="1088" t="s">
        <v>542</v>
      </c>
      <c r="E1958" s="6" t="s">
        <v>176</v>
      </c>
      <c r="F1958" s="6" t="s">
        <v>772</v>
      </c>
      <c r="G1958" s="6" t="s">
        <v>3196</v>
      </c>
      <c r="H1958" s="6" t="s">
        <v>2783</v>
      </c>
      <c r="J1958" s="1215" t="s">
        <v>509</v>
      </c>
      <c r="K1958" s="1219" t="s">
        <v>3111</v>
      </c>
      <c r="L1958" s="8">
        <v>17</v>
      </c>
      <c r="M1958" s="8">
        <v>56</v>
      </c>
      <c r="N1958" s="1169" t="s">
        <v>272</v>
      </c>
      <c r="P1958" s="6" t="s">
        <v>3324</v>
      </c>
      <c r="Q1958" s="1215" t="s">
        <v>253</v>
      </c>
      <c r="R1958" s="1215" t="s">
        <v>255</v>
      </c>
      <c r="S1958" s="1215" t="s">
        <v>534</v>
      </c>
      <c r="T1958" s="1215" t="s">
        <v>533</v>
      </c>
      <c r="U1958" s="6" t="s">
        <v>542</v>
      </c>
      <c r="V1958" s="6" t="s">
        <v>32</v>
      </c>
      <c r="W1958" s="6" t="s">
        <v>772</v>
      </c>
      <c r="X1958" s="6" t="s">
        <v>176</v>
      </c>
    </row>
    <row r="1959" spans="1:24" ht="15" customHeight="1" x14ac:dyDescent="0.3">
      <c r="A1959" s="6" t="s">
        <v>533</v>
      </c>
      <c r="B1959" s="6" t="s">
        <v>534</v>
      </c>
      <c r="C1959" s="6" t="s">
        <v>30</v>
      </c>
      <c r="D1959" s="1088" t="s">
        <v>535</v>
      </c>
      <c r="E1959" s="1088" t="s">
        <v>162</v>
      </c>
      <c r="F1959" s="6" t="s">
        <v>536</v>
      </c>
      <c r="G1959" s="6" t="s">
        <v>583</v>
      </c>
      <c r="H1959" s="6" t="s">
        <v>584</v>
      </c>
      <c r="J1959" s="1215" t="s">
        <v>510</v>
      </c>
      <c r="K1959" s="1219" t="s">
        <v>3033</v>
      </c>
      <c r="L1959" s="8">
        <v>1</v>
      </c>
      <c r="M1959" s="8">
        <v>5</v>
      </c>
      <c r="N1959" s="1169" t="s">
        <v>271</v>
      </c>
      <c r="P1959" s="6" t="s">
        <v>3361</v>
      </c>
      <c r="Q1959" s="1215" t="s">
        <v>240</v>
      </c>
      <c r="R1959" s="1168" t="s">
        <v>242</v>
      </c>
      <c r="S1959" s="1088" t="s">
        <v>3390</v>
      </c>
      <c r="T1959" s="1215" t="s">
        <v>3339</v>
      </c>
    </row>
    <row r="1960" spans="1:24" ht="15" customHeight="1" x14ac:dyDescent="0.3">
      <c r="A1960" s="6" t="s">
        <v>533</v>
      </c>
      <c r="B1960" s="6" t="s">
        <v>534</v>
      </c>
      <c r="C1960" s="6" t="s">
        <v>30</v>
      </c>
      <c r="D1960" s="1088" t="s">
        <v>535</v>
      </c>
      <c r="E1960" s="1088" t="s">
        <v>162</v>
      </c>
      <c r="F1960" s="6" t="s">
        <v>536</v>
      </c>
      <c r="G1960" s="6" t="s">
        <v>695</v>
      </c>
      <c r="H1960" s="6" t="s">
        <v>696</v>
      </c>
      <c r="J1960" s="1215" t="s">
        <v>510</v>
      </c>
      <c r="K1960" s="1219" t="s">
        <v>3033</v>
      </c>
      <c r="L1960" s="8">
        <v>2</v>
      </c>
      <c r="M1960" s="8">
        <v>10</v>
      </c>
      <c r="N1960" s="1169" t="s">
        <v>271</v>
      </c>
      <c r="P1960" s="6" t="s">
        <v>3361</v>
      </c>
      <c r="Q1960" s="1215" t="s">
        <v>240</v>
      </c>
      <c r="R1960" s="1168" t="s">
        <v>242</v>
      </c>
      <c r="S1960" s="1088" t="s">
        <v>3390</v>
      </c>
      <c r="T1960" s="1088" t="s">
        <v>3339</v>
      </c>
    </row>
    <row r="1961" spans="1:24" ht="15" customHeight="1" x14ac:dyDescent="0.3">
      <c r="A1961" s="6" t="s">
        <v>533</v>
      </c>
      <c r="B1961" s="6" t="s">
        <v>534</v>
      </c>
      <c r="C1961" s="6" t="s">
        <v>35</v>
      </c>
      <c r="D1961" s="1088" t="s">
        <v>567</v>
      </c>
      <c r="E1961" s="1088" t="s">
        <v>193</v>
      </c>
      <c r="F1961" s="6" t="s">
        <v>863</v>
      </c>
      <c r="G1961" s="6" t="s">
        <v>875</v>
      </c>
      <c r="H1961" s="6" t="s">
        <v>993</v>
      </c>
      <c r="J1961" s="1215" t="s">
        <v>510</v>
      </c>
      <c r="K1961" s="1219" t="s">
        <v>3033</v>
      </c>
      <c r="L1961" s="8">
        <v>17</v>
      </c>
      <c r="M1961" s="8">
        <v>83</v>
      </c>
      <c r="N1961" s="1169" t="s">
        <v>271</v>
      </c>
      <c r="P1961" s="6" t="s">
        <v>3361</v>
      </c>
      <c r="Q1961" s="1215" t="s">
        <v>240</v>
      </c>
      <c r="R1961" s="1168" t="s">
        <v>242</v>
      </c>
      <c r="S1961" s="1088" t="s">
        <v>3390</v>
      </c>
      <c r="T1961" s="1088" t="s">
        <v>3339</v>
      </c>
    </row>
    <row r="1962" spans="1:24" ht="15" customHeight="1" x14ac:dyDescent="0.3">
      <c r="A1962" s="6" t="s">
        <v>533</v>
      </c>
      <c r="B1962" s="6" t="s">
        <v>534</v>
      </c>
      <c r="C1962" s="6" t="s">
        <v>35</v>
      </c>
      <c r="D1962" s="1088" t="s">
        <v>567</v>
      </c>
      <c r="E1962" s="6" t="s">
        <v>193</v>
      </c>
      <c r="F1962" s="6" t="s">
        <v>863</v>
      </c>
      <c r="G1962" s="6" t="s">
        <v>875</v>
      </c>
      <c r="H1962" s="6" t="s">
        <v>993</v>
      </c>
      <c r="J1962" s="1215" t="s">
        <v>510</v>
      </c>
      <c r="K1962" s="1219" t="s">
        <v>3109</v>
      </c>
      <c r="L1962" s="8">
        <v>6</v>
      </c>
      <c r="M1962" s="8">
        <v>43</v>
      </c>
      <c r="N1962" s="1169" t="s">
        <v>271</v>
      </c>
      <c r="P1962" s="6" t="s">
        <v>3361</v>
      </c>
      <c r="Q1962" s="1215" t="s">
        <v>240</v>
      </c>
      <c r="R1962" s="1168" t="s">
        <v>242</v>
      </c>
      <c r="S1962" s="1088" t="s">
        <v>3387</v>
      </c>
      <c r="T1962" s="1088" t="s">
        <v>3340</v>
      </c>
    </row>
    <row r="1963" spans="1:24" ht="15" customHeight="1" x14ac:dyDescent="0.3">
      <c r="A1963" s="6" t="s">
        <v>533</v>
      </c>
      <c r="B1963" s="6" t="s">
        <v>534</v>
      </c>
      <c r="C1963" s="6" t="s">
        <v>35</v>
      </c>
      <c r="D1963" s="1088" t="s">
        <v>567</v>
      </c>
      <c r="E1963" s="6" t="s">
        <v>193</v>
      </c>
      <c r="F1963" s="6" t="s">
        <v>863</v>
      </c>
      <c r="G1963" s="6" t="s">
        <v>1122</v>
      </c>
      <c r="H1963" s="6" t="s">
        <v>991</v>
      </c>
      <c r="J1963" s="1215" t="s">
        <v>510</v>
      </c>
      <c r="K1963" s="1219" t="s">
        <v>3112</v>
      </c>
      <c r="L1963" s="8">
        <v>2</v>
      </c>
      <c r="M1963" s="8">
        <v>16</v>
      </c>
      <c r="N1963" s="6" t="s">
        <v>271</v>
      </c>
      <c r="P1963" s="6" t="s">
        <v>3361</v>
      </c>
      <c r="Q1963" s="1215" t="s">
        <v>240</v>
      </c>
      <c r="R1963" s="1168" t="s">
        <v>242</v>
      </c>
      <c r="S1963" s="1088" t="s">
        <v>3397</v>
      </c>
      <c r="T1963" s="1088" t="s">
        <v>3341</v>
      </c>
    </row>
    <row r="1964" spans="1:24" ht="15" customHeight="1" x14ac:dyDescent="0.3">
      <c r="A1964" s="6" t="s">
        <v>533</v>
      </c>
      <c r="B1964" s="6" t="s">
        <v>534</v>
      </c>
      <c r="C1964" s="6" t="s">
        <v>35</v>
      </c>
      <c r="D1964" s="1088" t="s">
        <v>567</v>
      </c>
      <c r="E1964" s="6" t="s">
        <v>193</v>
      </c>
      <c r="F1964" s="6" t="s">
        <v>863</v>
      </c>
      <c r="G1964" s="6" t="s">
        <v>2952</v>
      </c>
      <c r="H1964" s="6" t="s">
        <v>865</v>
      </c>
      <c r="J1964" s="1215" t="s">
        <v>510</v>
      </c>
      <c r="K1964" s="1219" t="s">
        <v>3112</v>
      </c>
      <c r="L1964" s="8">
        <v>1</v>
      </c>
      <c r="M1964" s="8">
        <v>3</v>
      </c>
      <c r="N1964" s="1169" t="s">
        <v>271</v>
      </c>
      <c r="P1964" s="6" t="s">
        <v>3361</v>
      </c>
      <c r="Q1964" s="1215" t="s">
        <v>240</v>
      </c>
      <c r="R1964" s="1168" t="s">
        <v>242</v>
      </c>
      <c r="S1964" s="1088" t="s">
        <v>3397</v>
      </c>
      <c r="T1964" s="1088" t="s">
        <v>3341</v>
      </c>
    </row>
    <row r="1965" spans="1:24" ht="15" customHeight="1" x14ac:dyDescent="0.3">
      <c r="A1965" s="6" t="s">
        <v>533</v>
      </c>
      <c r="B1965" s="6" t="s">
        <v>534</v>
      </c>
      <c r="C1965" s="6" t="s">
        <v>31</v>
      </c>
      <c r="D1965" s="1088" t="s">
        <v>549</v>
      </c>
      <c r="E1965" s="6" t="s">
        <v>171</v>
      </c>
      <c r="F1965" s="6" t="s">
        <v>634</v>
      </c>
      <c r="G1965" s="6" t="s">
        <v>2018</v>
      </c>
      <c r="H1965" s="6" t="s">
        <v>1342</v>
      </c>
      <c r="J1965" s="1215" t="s">
        <v>510</v>
      </c>
      <c r="K1965" s="1219" t="s">
        <v>3033</v>
      </c>
      <c r="L1965" s="8">
        <v>6</v>
      </c>
      <c r="M1965" s="8">
        <v>21</v>
      </c>
      <c r="N1965" s="1169" t="s">
        <v>271</v>
      </c>
      <c r="P1965" s="6" t="s">
        <v>3361</v>
      </c>
      <c r="Q1965" s="1215" t="s">
        <v>240</v>
      </c>
      <c r="R1965" s="1088" t="s">
        <v>242</v>
      </c>
      <c r="S1965" s="1088" t="s">
        <v>3390</v>
      </c>
      <c r="T1965" s="1088" t="s">
        <v>3339</v>
      </c>
    </row>
    <row r="1966" spans="1:24" ht="15" customHeight="1" x14ac:dyDescent="0.3">
      <c r="A1966" s="6" t="s">
        <v>533</v>
      </c>
      <c r="B1966" s="6" t="s">
        <v>534</v>
      </c>
      <c r="C1966" s="6" t="s">
        <v>31</v>
      </c>
      <c r="D1966" s="1088" t="s">
        <v>549</v>
      </c>
      <c r="E1966" s="6" t="s">
        <v>171</v>
      </c>
      <c r="F1966" s="6" t="s">
        <v>634</v>
      </c>
      <c r="G1966" s="6" t="s">
        <v>2890</v>
      </c>
      <c r="H1966" s="6" t="s">
        <v>1346</v>
      </c>
      <c r="J1966" s="1215" t="s">
        <v>510</v>
      </c>
      <c r="K1966" s="1219" t="s">
        <v>3033</v>
      </c>
      <c r="L1966" s="8">
        <v>15</v>
      </c>
      <c r="M1966" s="8">
        <v>115</v>
      </c>
      <c r="N1966" s="1169" t="s">
        <v>271</v>
      </c>
      <c r="P1966" s="6" t="s">
        <v>3361</v>
      </c>
      <c r="Q1966" s="1215" t="s">
        <v>240</v>
      </c>
      <c r="R1966" s="1088" t="s">
        <v>242</v>
      </c>
      <c r="S1966" s="1088" t="s">
        <v>3390</v>
      </c>
      <c r="T1966" s="1088" t="s">
        <v>3339</v>
      </c>
    </row>
    <row r="1967" spans="1:24" ht="15" customHeight="1" x14ac:dyDescent="0.3">
      <c r="A1967" s="6" t="s">
        <v>533</v>
      </c>
      <c r="B1967" s="6" t="s">
        <v>534</v>
      </c>
      <c r="C1967" s="6" t="s">
        <v>31</v>
      </c>
      <c r="D1967" s="1088" t="s">
        <v>549</v>
      </c>
      <c r="E1967" s="6" t="s">
        <v>172</v>
      </c>
      <c r="F1967" s="6" t="s">
        <v>706</v>
      </c>
      <c r="G1967" s="6" t="s">
        <v>1164</v>
      </c>
      <c r="H1967" s="6" t="s">
        <v>1869</v>
      </c>
      <c r="J1967" s="1215" t="s">
        <v>510</v>
      </c>
      <c r="K1967" s="1219" t="s">
        <v>3033</v>
      </c>
      <c r="L1967" s="8">
        <v>6</v>
      </c>
      <c r="M1967" s="8">
        <v>22</v>
      </c>
      <c r="N1967" s="1169" t="s">
        <v>271</v>
      </c>
      <c r="P1967" s="6" t="s">
        <v>3361</v>
      </c>
      <c r="Q1967" s="1215" t="s">
        <v>240</v>
      </c>
      <c r="R1967" s="1088" t="s">
        <v>242</v>
      </c>
      <c r="S1967" s="1088" t="s">
        <v>3390</v>
      </c>
      <c r="T1967" s="1088" t="s">
        <v>3339</v>
      </c>
    </row>
    <row r="1968" spans="1:24" ht="15" customHeight="1" x14ac:dyDescent="0.3">
      <c r="A1968" s="6" t="s">
        <v>533</v>
      </c>
      <c r="B1968" s="6" t="s">
        <v>534</v>
      </c>
      <c r="C1968" s="6" t="s">
        <v>31</v>
      </c>
      <c r="D1968" s="1088" t="s">
        <v>549</v>
      </c>
      <c r="E1968" s="6" t="s">
        <v>164</v>
      </c>
      <c r="F1968" s="6" t="s">
        <v>748</v>
      </c>
      <c r="G1968" s="6" t="s">
        <v>749</v>
      </c>
      <c r="H1968" s="6" t="s">
        <v>750</v>
      </c>
      <c r="J1968" s="1215" t="s">
        <v>510</v>
      </c>
      <c r="K1968" s="1219" t="s">
        <v>3033</v>
      </c>
      <c r="L1968" s="8">
        <v>2</v>
      </c>
      <c r="M1968" s="8">
        <v>5</v>
      </c>
      <c r="N1968" s="1169" t="s">
        <v>271</v>
      </c>
      <c r="P1968" s="6" t="s">
        <v>3361</v>
      </c>
      <c r="Q1968" s="1215" t="s">
        <v>240</v>
      </c>
      <c r="R1968" s="1088" t="s">
        <v>242</v>
      </c>
      <c r="S1968" s="1088" t="s">
        <v>3390</v>
      </c>
      <c r="T1968" s="1088" t="s">
        <v>3339</v>
      </c>
    </row>
    <row r="1969" spans="1:20" ht="15" customHeight="1" x14ac:dyDescent="0.3">
      <c r="A1969" s="6" t="s">
        <v>533</v>
      </c>
      <c r="B1969" s="6" t="s">
        <v>534</v>
      </c>
      <c r="C1969" s="6" t="s">
        <v>31</v>
      </c>
      <c r="D1969" s="1088" t="s">
        <v>549</v>
      </c>
      <c r="E1969" s="6" t="s">
        <v>164</v>
      </c>
      <c r="F1969" s="6" t="s">
        <v>748</v>
      </c>
      <c r="G1969" s="6" t="s">
        <v>808</v>
      </c>
      <c r="H1969" s="6" t="s">
        <v>809</v>
      </c>
      <c r="J1969" s="1215" t="s">
        <v>510</v>
      </c>
      <c r="K1969" s="1219" t="s">
        <v>3033</v>
      </c>
      <c r="L1969" s="8">
        <v>7</v>
      </c>
      <c r="M1969" s="8">
        <v>64</v>
      </c>
      <c r="N1969" s="1169" t="s">
        <v>271</v>
      </c>
      <c r="P1969" s="6" t="s">
        <v>3361</v>
      </c>
      <c r="Q1969" s="1215" t="s">
        <v>240</v>
      </c>
      <c r="R1969" s="1088" t="s">
        <v>242</v>
      </c>
      <c r="S1969" s="1088" t="s">
        <v>3390</v>
      </c>
      <c r="T1969" s="1088" t="s">
        <v>3339</v>
      </c>
    </row>
    <row r="1970" spans="1:20" ht="15" customHeight="1" x14ac:dyDescent="0.3">
      <c r="A1970" s="6" t="s">
        <v>533</v>
      </c>
      <c r="B1970" s="6" t="s">
        <v>534</v>
      </c>
      <c r="C1970" s="6" t="s">
        <v>30</v>
      </c>
      <c r="D1970" s="1088" t="s">
        <v>535</v>
      </c>
      <c r="E1970" s="6" t="s">
        <v>162</v>
      </c>
      <c r="F1970" s="6" t="s">
        <v>536</v>
      </c>
      <c r="G1970" s="6" t="s">
        <v>687</v>
      </c>
      <c r="H1970" s="6" t="s">
        <v>688</v>
      </c>
      <c r="J1970" s="1215" t="s">
        <v>510</v>
      </c>
      <c r="K1970" s="1219" t="s">
        <v>3033</v>
      </c>
      <c r="L1970" s="8">
        <v>2</v>
      </c>
      <c r="M1970" s="8">
        <v>14</v>
      </c>
      <c r="N1970" s="1169" t="s">
        <v>271</v>
      </c>
      <c r="P1970" s="6" t="s">
        <v>3361</v>
      </c>
      <c r="Q1970" s="1215" t="s">
        <v>240</v>
      </c>
      <c r="R1970" s="1088" t="s">
        <v>242</v>
      </c>
      <c r="S1970" s="1088" t="s">
        <v>3390</v>
      </c>
      <c r="T1970" s="1088" t="s">
        <v>3339</v>
      </c>
    </row>
    <row r="1971" spans="1:20" ht="15" customHeight="1" x14ac:dyDescent="0.3">
      <c r="A1971" s="6" t="s">
        <v>533</v>
      </c>
      <c r="B1971" s="6" t="s">
        <v>534</v>
      </c>
      <c r="C1971" s="6" t="s">
        <v>30</v>
      </c>
      <c r="D1971" s="1088" t="s">
        <v>535</v>
      </c>
      <c r="E1971" s="6" t="s">
        <v>162</v>
      </c>
      <c r="F1971" s="6" t="s">
        <v>536</v>
      </c>
      <c r="G1971" s="6" t="s">
        <v>687</v>
      </c>
      <c r="H1971" s="6" t="s">
        <v>688</v>
      </c>
      <c r="J1971" s="1215" t="s">
        <v>510</v>
      </c>
      <c r="K1971" s="1219" t="s">
        <v>3110</v>
      </c>
      <c r="L1971" s="8">
        <v>0</v>
      </c>
      <c r="M1971" s="8">
        <v>2</v>
      </c>
      <c r="N1971" s="1169" t="s">
        <v>271</v>
      </c>
      <c r="P1971" s="6" t="s">
        <v>3361</v>
      </c>
      <c r="Q1971" s="1215" t="s">
        <v>240</v>
      </c>
      <c r="R1971" s="1088" t="s">
        <v>242</v>
      </c>
      <c r="S1971" s="1088" t="s">
        <v>3390</v>
      </c>
      <c r="T1971" s="1088" t="s">
        <v>3339</v>
      </c>
    </row>
    <row r="1972" spans="1:20" ht="15" customHeight="1" x14ac:dyDescent="0.3">
      <c r="A1972" s="6" t="s">
        <v>533</v>
      </c>
      <c r="B1972" s="6" t="s">
        <v>534</v>
      </c>
      <c r="C1972" s="6" t="s">
        <v>35</v>
      </c>
      <c r="D1972" s="1088" t="s">
        <v>567</v>
      </c>
      <c r="E1972" s="6" t="s">
        <v>194</v>
      </c>
      <c r="F1972" s="6" t="s">
        <v>2150</v>
      </c>
      <c r="G1972" s="6" t="s">
        <v>2151</v>
      </c>
      <c r="H1972" s="6" t="s">
        <v>2152</v>
      </c>
      <c r="J1972" s="1215" t="s">
        <v>510</v>
      </c>
      <c r="K1972" s="1219" t="s">
        <v>3033</v>
      </c>
      <c r="L1972" s="8">
        <v>17</v>
      </c>
      <c r="M1972" s="8">
        <v>84</v>
      </c>
      <c r="N1972" s="1169" t="s">
        <v>271</v>
      </c>
      <c r="P1972" s="6" t="s">
        <v>3361</v>
      </c>
      <c r="Q1972" s="1215" t="s">
        <v>240</v>
      </c>
      <c r="R1972" s="1088" t="s">
        <v>242</v>
      </c>
      <c r="S1972" s="1088" t="s">
        <v>3387</v>
      </c>
      <c r="T1972" s="1088" t="s">
        <v>3340</v>
      </c>
    </row>
    <row r="1973" spans="1:20" ht="15" customHeight="1" x14ac:dyDescent="0.3">
      <c r="A1973" s="6" t="s">
        <v>533</v>
      </c>
      <c r="B1973" s="6" t="s">
        <v>534</v>
      </c>
      <c r="C1973" s="6" t="s">
        <v>35</v>
      </c>
      <c r="D1973" s="1088" t="s">
        <v>567</v>
      </c>
      <c r="E1973" s="6" t="s">
        <v>194</v>
      </c>
      <c r="F1973" s="6" t="s">
        <v>2150</v>
      </c>
      <c r="G1973" s="6" t="s">
        <v>2151</v>
      </c>
      <c r="H1973" s="6" t="s">
        <v>2152</v>
      </c>
      <c r="J1973" s="1215" t="s">
        <v>510</v>
      </c>
      <c r="K1973" s="1219" t="s">
        <v>3110</v>
      </c>
      <c r="L1973" s="8">
        <v>0</v>
      </c>
      <c r="M1973" s="8">
        <v>7</v>
      </c>
      <c r="N1973" s="1169" t="s">
        <v>271</v>
      </c>
      <c r="P1973" s="6" t="s">
        <v>3361</v>
      </c>
      <c r="Q1973" s="1215" t="s">
        <v>240</v>
      </c>
      <c r="R1973" s="1088" t="s">
        <v>242</v>
      </c>
      <c r="S1973" s="1088" t="s">
        <v>3387</v>
      </c>
      <c r="T1973" s="1088" t="s">
        <v>3340</v>
      </c>
    </row>
    <row r="1974" spans="1:20" ht="15" customHeight="1" x14ac:dyDescent="0.3">
      <c r="A1974" s="6" t="s">
        <v>533</v>
      </c>
      <c r="B1974" s="6" t="s">
        <v>534</v>
      </c>
      <c r="C1974" s="6" t="s">
        <v>35</v>
      </c>
      <c r="D1974" s="1088" t="s">
        <v>567</v>
      </c>
      <c r="E1974" s="6" t="s">
        <v>194</v>
      </c>
      <c r="F1974" s="6" t="s">
        <v>2150</v>
      </c>
      <c r="G1974" s="6" t="s">
        <v>2151</v>
      </c>
      <c r="H1974" s="6" t="s">
        <v>2152</v>
      </c>
      <c r="J1974" s="1215" t="s">
        <v>510</v>
      </c>
      <c r="K1974" s="1219" t="s">
        <v>3111</v>
      </c>
      <c r="L1974" s="8">
        <v>1</v>
      </c>
      <c r="M1974" s="8">
        <v>6</v>
      </c>
      <c r="N1974" s="1169" t="s">
        <v>271</v>
      </c>
      <c r="P1974" s="6" t="s">
        <v>3361</v>
      </c>
      <c r="Q1974" s="1215" t="s">
        <v>240</v>
      </c>
      <c r="R1974" s="1088" t="s">
        <v>242</v>
      </c>
      <c r="S1974" s="1088" t="s">
        <v>3387</v>
      </c>
      <c r="T1974" s="1088" t="s">
        <v>3340</v>
      </c>
    </row>
    <row r="1975" spans="1:20" ht="15" customHeight="1" x14ac:dyDescent="0.3">
      <c r="A1975" s="6" t="s">
        <v>533</v>
      </c>
      <c r="B1975" s="6" t="s">
        <v>534</v>
      </c>
      <c r="C1975" s="6" t="s">
        <v>35</v>
      </c>
      <c r="D1975" s="1088" t="s">
        <v>567</v>
      </c>
      <c r="E1975" s="6" t="s">
        <v>194</v>
      </c>
      <c r="F1975" s="6" t="s">
        <v>2150</v>
      </c>
      <c r="G1975" s="6" t="s">
        <v>2188</v>
      </c>
      <c r="H1975" s="6" t="s">
        <v>2189</v>
      </c>
      <c r="J1975" s="1215" t="s">
        <v>510</v>
      </c>
      <c r="K1975" s="1219" t="s">
        <v>3033</v>
      </c>
      <c r="L1975" s="8">
        <v>8</v>
      </c>
      <c r="M1975" s="8">
        <v>41</v>
      </c>
      <c r="N1975" s="1169" t="s">
        <v>271</v>
      </c>
      <c r="P1975" s="6" t="s">
        <v>3361</v>
      </c>
      <c r="Q1975" s="1215" t="s">
        <v>240</v>
      </c>
      <c r="R1975" s="1088" t="s">
        <v>242</v>
      </c>
      <c r="S1975" s="1088" t="s">
        <v>3387</v>
      </c>
      <c r="T1975" s="1088" t="s">
        <v>3340</v>
      </c>
    </row>
    <row r="1976" spans="1:20" ht="15" customHeight="1" x14ac:dyDescent="0.3">
      <c r="A1976" s="6" t="s">
        <v>533</v>
      </c>
      <c r="B1976" s="6" t="s">
        <v>534</v>
      </c>
      <c r="C1976" s="6" t="s">
        <v>35</v>
      </c>
      <c r="D1976" s="6" t="s">
        <v>567</v>
      </c>
      <c r="E1976" s="1088" t="s">
        <v>194</v>
      </c>
      <c r="F1976" s="6" t="s">
        <v>2150</v>
      </c>
      <c r="G1976" s="6" t="s">
        <v>2188</v>
      </c>
      <c r="H1976" s="6" t="s">
        <v>2189</v>
      </c>
      <c r="J1976" s="1215" t="s">
        <v>510</v>
      </c>
      <c r="K1976" s="1219" t="s">
        <v>3110</v>
      </c>
      <c r="L1976" s="8">
        <v>0</v>
      </c>
      <c r="M1976" s="8">
        <v>1</v>
      </c>
      <c r="N1976" s="1169" t="s">
        <v>271</v>
      </c>
      <c r="P1976" s="6" t="s">
        <v>3361</v>
      </c>
      <c r="Q1976" s="1215" t="s">
        <v>240</v>
      </c>
      <c r="R1976" s="1088" t="s">
        <v>242</v>
      </c>
      <c r="S1976" s="1088" t="s">
        <v>3387</v>
      </c>
      <c r="T1976" s="1088" t="s">
        <v>3340</v>
      </c>
    </row>
    <row r="1977" spans="1:20" ht="15" customHeight="1" x14ac:dyDescent="0.3">
      <c r="A1977" s="6" t="s">
        <v>533</v>
      </c>
      <c r="B1977" s="6" t="s">
        <v>534</v>
      </c>
      <c r="C1977" s="6" t="s">
        <v>35</v>
      </c>
      <c r="D1977" s="1088" t="s">
        <v>567</v>
      </c>
      <c r="E1977" s="1088" t="s">
        <v>194</v>
      </c>
      <c r="F1977" s="6" t="s">
        <v>2150</v>
      </c>
      <c r="G1977" s="6" t="s">
        <v>2188</v>
      </c>
      <c r="H1977" s="6" t="s">
        <v>2189</v>
      </c>
      <c r="J1977" s="1215" t="s">
        <v>510</v>
      </c>
      <c r="K1977" s="1219" t="s">
        <v>3111</v>
      </c>
      <c r="L1977" s="8">
        <v>0</v>
      </c>
      <c r="M1977" s="8">
        <v>3</v>
      </c>
      <c r="N1977" s="1169" t="s">
        <v>271</v>
      </c>
      <c r="P1977" s="6" t="s">
        <v>3361</v>
      </c>
      <c r="Q1977" s="1215" t="s">
        <v>240</v>
      </c>
      <c r="R1977" s="1088" t="s">
        <v>242</v>
      </c>
      <c r="S1977" s="1088" t="s">
        <v>3387</v>
      </c>
      <c r="T1977" s="1088" t="s">
        <v>3340</v>
      </c>
    </row>
    <row r="1978" spans="1:20" ht="15" customHeight="1" x14ac:dyDescent="0.3">
      <c r="A1978" s="6" t="s">
        <v>533</v>
      </c>
      <c r="B1978" s="6" t="s">
        <v>534</v>
      </c>
      <c r="C1978" s="6" t="s">
        <v>35</v>
      </c>
      <c r="D1978" s="1088" t="s">
        <v>567</v>
      </c>
      <c r="E1978" s="6" t="s">
        <v>194</v>
      </c>
      <c r="F1978" s="6" t="s">
        <v>2150</v>
      </c>
      <c r="G1978" s="6" t="s">
        <v>2188</v>
      </c>
      <c r="H1978" s="6" t="s">
        <v>2189</v>
      </c>
      <c r="J1978" s="1215" t="s">
        <v>510</v>
      </c>
      <c r="K1978" s="1219" t="s">
        <v>3112</v>
      </c>
      <c r="L1978" s="8">
        <v>0</v>
      </c>
      <c r="M1978" s="8">
        <v>2</v>
      </c>
      <c r="N1978" s="1169" t="s">
        <v>271</v>
      </c>
      <c r="P1978" s="6" t="s">
        <v>3361</v>
      </c>
      <c r="Q1978" s="1215" t="s">
        <v>240</v>
      </c>
      <c r="R1978" s="1088" t="s">
        <v>242</v>
      </c>
      <c r="S1978" s="1088" t="s">
        <v>3387</v>
      </c>
      <c r="T1978" s="1088" t="s">
        <v>3340</v>
      </c>
    </row>
    <row r="1979" spans="1:20" ht="15" customHeight="1" x14ac:dyDescent="0.3">
      <c r="A1979" s="6" t="s">
        <v>533</v>
      </c>
      <c r="B1979" s="6" t="s">
        <v>534</v>
      </c>
      <c r="C1979" s="6" t="s">
        <v>35</v>
      </c>
      <c r="D1979" s="1088" t="s">
        <v>567</v>
      </c>
      <c r="E1979" s="6" t="s">
        <v>194</v>
      </c>
      <c r="F1979" s="6" t="s">
        <v>2150</v>
      </c>
      <c r="G1979" s="6" t="s">
        <v>2153</v>
      </c>
      <c r="H1979" s="6" t="s">
        <v>2154</v>
      </c>
      <c r="J1979" s="1215" t="s">
        <v>510</v>
      </c>
      <c r="K1979" s="1219" t="s">
        <v>3033</v>
      </c>
      <c r="L1979" s="8">
        <v>5</v>
      </c>
      <c r="M1979" s="8">
        <v>22</v>
      </c>
      <c r="N1979" s="1169" t="s">
        <v>271</v>
      </c>
      <c r="P1979" s="6" t="s">
        <v>3361</v>
      </c>
      <c r="Q1979" s="1215" t="s">
        <v>240</v>
      </c>
      <c r="R1979" s="1088" t="s">
        <v>242</v>
      </c>
      <c r="S1979" s="1088" t="s">
        <v>3387</v>
      </c>
      <c r="T1979" s="1088" t="s">
        <v>3340</v>
      </c>
    </row>
    <row r="1980" spans="1:20" ht="15" customHeight="1" x14ac:dyDescent="0.3">
      <c r="A1980" s="6" t="s">
        <v>533</v>
      </c>
      <c r="B1980" s="6" t="s">
        <v>534</v>
      </c>
      <c r="C1980" s="6" t="s">
        <v>35</v>
      </c>
      <c r="D1980" s="6" t="s">
        <v>567</v>
      </c>
      <c r="E1980" s="1088" t="s">
        <v>194</v>
      </c>
      <c r="F1980" s="6" t="s">
        <v>2150</v>
      </c>
      <c r="G1980" s="6" t="s">
        <v>2153</v>
      </c>
      <c r="H1980" s="6" t="s">
        <v>2154</v>
      </c>
      <c r="J1980" s="1215" t="s">
        <v>510</v>
      </c>
      <c r="K1980" s="1219" t="s">
        <v>3111</v>
      </c>
      <c r="L1980" s="8">
        <v>0</v>
      </c>
      <c r="M1980" s="8">
        <v>5</v>
      </c>
      <c r="N1980" s="1169" t="s">
        <v>271</v>
      </c>
      <c r="P1980" s="6" t="s">
        <v>3361</v>
      </c>
      <c r="Q1980" s="1215" t="s">
        <v>240</v>
      </c>
      <c r="R1980" s="1088" t="s">
        <v>242</v>
      </c>
      <c r="S1980" s="1088" t="s">
        <v>3387</v>
      </c>
      <c r="T1980" s="1088" t="s">
        <v>3340</v>
      </c>
    </row>
    <row r="1981" spans="1:20" ht="15" customHeight="1" x14ac:dyDescent="0.3">
      <c r="A1981" s="6" t="s">
        <v>533</v>
      </c>
      <c r="B1981" s="6" t="s">
        <v>534</v>
      </c>
      <c r="C1981" s="6" t="s">
        <v>30</v>
      </c>
      <c r="D1981" s="1088" t="s">
        <v>535</v>
      </c>
      <c r="E1981" s="6" t="s">
        <v>162</v>
      </c>
      <c r="F1981" s="6" t="s">
        <v>536</v>
      </c>
      <c r="G1981" s="6" t="s">
        <v>2219</v>
      </c>
      <c r="H1981" s="6" t="s">
        <v>3248</v>
      </c>
      <c r="J1981" s="1215" t="s">
        <v>510</v>
      </c>
      <c r="K1981" s="1219" t="s">
        <v>3033</v>
      </c>
      <c r="L1981" s="8">
        <v>18</v>
      </c>
      <c r="M1981" s="8">
        <v>183</v>
      </c>
      <c r="N1981" s="1169" t="s">
        <v>271</v>
      </c>
      <c r="P1981" s="6" t="s">
        <v>3361</v>
      </c>
      <c r="Q1981" s="1215" t="s">
        <v>240</v>
      </c>
      <c r="R1981" s="1088" t="s">
        <v>242</v>
      </c>
      <c r="S1981" s="1088" t="s">
        <v>3390</v>
      </c>
      <c r="T1981" s="1088" t="s">
        <v>3339</v>
      </c>
    </row>
    <row r="1982" spans="1:20" ht="15" customHeight="1" x14ac:dyDescent="0.3">
      <c r="A1982" s="6" t="s">
        <v>533</v>
      </c>
      <c r="B1982" s="6" t="s">
        <v>534</v>
      </c>
      <c r="C1982" s="6" t="s">
        <v>30</v>
      </c>
      <c r="D1982" s="1088" t="s">
        <v>535</v>
      </c>
      <c r="E1982" s="6" t="s">
        <v>162</v>
      </c>
      <c r="F1982" s="6" t="s">
        <v>536</v>
      </c>
      <c r="G1982" s="6" t="s">
        <v>2219</v>
      </c>
      <c r="H1982" s="6" t="s">
        <v>3248</v>
      </c>
      <c r="J1982" s="1215" t="s">
        <v>510</v>
      </c>
      <c r="K1982" s="1219" t="s">
        <v>3110</v>
      </c>
      <c r="L1982" s="8">
        <v>0</v>
      </c>
      <c r="M1982" s="8">
        <v>8</v>
      </c>
      <c r="N1982" s="1169" t="s">
        <v>271</v>
      </c>
      <c r="P1982" s="6" t="s">
        <v>3361</v>
      </c>
      <c r="Q1982" s="1215" t="s">
        <v>240</v>
      </c>
      <c r="R1982" s="1088" t="s">
        <v>242</v>
      </c>
      <c r="S1982" s="1088" t="s">
        <v>3390</v>
      </c>
      <c r="T1982" s="1088" t="s">
        <v>3339</v>
      </c>
    </row>
    <row r="1983" spans="1:20" ht="15" customHeight="1" x14ac:dyDescent="0.3">
      <c r="A1983" s="6" t="s">
        <v>533</v>
      </c>
      <c r="B1983" s="6" t="s">
        <v>534</v>
      </c>
      <c r="C1983" s="6" t="s">
        <v>31</v>
      </c>
      <c r="D1983" s="1088" t="s">
        <v>549</v>
      </c>
      <c r="E1983" s="1088" t="s">
        <v>172</v>
      </c>
      <c r="F1983" s="6" t="s">
        <v>706</v>
      </c>
      <c r="G1983" s="6" t="s">
        <v>1068</v>
      </c>
      <c r="H1983" s="6" t="s">
        <v>1867</v>
      </c>
      <c r="J1983" s="1215" t="s">
        <v>510</v>
      </c>
      <c r="K1983" s="1219" t="s">
        <v>3033</v>
      </c>
      <c r="L1983" s="8">
        <v>7</v>
      </c>
      <c r="M1983" s="8">
        <v>44</v>
      </c>
      <c r="N1983" s="1169" t="s">
        <v>271</v>
      </c>
      <c r="P1983" s="6" t="s">
        <v>3361</v>
      </c>
      <c r="Q1983" s="1215" t="s">
        <v>240</v>
      </c>
      <c r="R1983" s="1088" t="s">
        <v>242</v>
      </c>
      <c r="S1983" s="1088" t="s">
        <v>3390</v>
      </c>
      <c r="T1983" s="1088" t="s">
        <v>3339</v>
      </c>
    </row>
    <row r="1984" spans="1:20" ht="15" customHeight="1" x14ac:dyDescent="0.3">
      <c r="A1984" s="6" t="s">
        <v>533</v>
      </c>
      <c r="B1984" s="6" t="s">
        <v>534</v>
      </c>
      <c r="C1984" s="6" t="s">
        <v>31</v>
      </c>
      <c r="D1984" s="1088" t="s">
        <v>549</v>
      </c>
      <c r="E1984" s="6" t="s">
        <v>172</v>
      </c>
      <c r="F1984" s="6" t="s">
        <v>706</v>
      </c>
      <c r="G1984" s="6" t="s">
        <v>1068</v>
      </c>
      <c r="H1984" s="6" t="s">
        <v>1867</v>
      </c>
      <c r="J1984" s="1215" t="s">
        <v>510</v>
      </c>
      <c r="K1984" s="1219" t="s">
        <v>3112</v>
      </c>
      <c r="L1984" s="8">
        <v>0</v>
      </c>
      <c r="M1984" s="8">
        <v>2</v>
      </c>
      <c r="N1984" s="1169" t="s">
        <v>271</v>
      </c>
      <c r="P1984" s="6" t="s">
        <v>3361</v>
      </c>
      <c r="Q1984" s="1215" t="s">
        <v>240</v>
      </c>
      <c r="R1984" s="1088" t="s">
        <v>242</v>
      </c>
      <c r="S1984" s="1088" t="s">
        <v>3390</v>
      </c>
      <c r="T1984" s="1088" t="s">
        <v>3339</v>
      </c>
    </row>
    <row r="1985" spans="1:24" ht="15" customHeight="1" x14ac:dyDescent="0.3">
      <c r="A1985" s="6" t="s">
        <v>533</v>
      </c>
      <c r="B1985" s="6" t="s">
        <v>534</v>
      </c>
      <c r="C1985" s="6" t="s">
        <v>31</v>
      </c>
      <c r="D1985" s="1088" t="s">
        <v>549</v>
      </c>
      <c r="E1985" s="6" t="s">
        <v>172</v>
      </c>
      <c r="F1985" s="6" t="s">
        <v>706</v>
      </c>
      <c r="G1985" s="6" t="s">
        <v>1864</v>
      </c>
      <c r="H1985" s="6" t="s">
        <v>1835</v>
      </c>
      <c r="J1985" s="1215" t="s">
        <v>510</v>
      </c>
      <c r="K1985" s="1219" t="s">
        <v>3111</v>
      </c>
      <c r="L1985" s="8">
        <v>10</v>
      </c>
      <c r="M1985" s="8">
        <v>62</v>
      </c>
      <c r="N1985" s="6" t="s">
        <v>271</v>
      </c>
      <c r="P1985" s="6" t="s">
        <v>3361</v>
      </c>
      <c r="Q1985" s="1215" t="s">
        <v>240</v>
      </c>
      <c r="R1985" s="1088" t="s">
        <v>242</v>
      </c>
      <c r="S1985" s="1088" t="s">
        <v>3390</v>
      </c>
      <c r="T1985" s="1088" t="s">
        <v>3339</v>
      </c>
    </row>
    <row r="1986" spans="1:24" ht="15" customHeight="1" x14ac:dyDescent="0.3">
      <c r="A1986" s="6" t="s">
        <v>533</v>
      </c>
      <c r="B1986" s="6" t="s">
        <v>534</v>
      </c>
      <c r="C1986" s="6" t="s">
        <v>31</v>
      </c>
      <c r="D1986" s="1088" t="s">
        <v>549</v>
      </c>
      <c r="E1986" s="6" t="s">
        <v>172</v>
      </c>
      <c r="F1986" s="6" t="s">
        <v>706</v>
      </c>
      <c r="G1986" s="6" t="s">
        <v>1864</v>
      </c>
      <c r="H1986" s="6" t="s">
        <v>1835</v>
      </c>
      <c r="J1986" s="1215" t="s">
        <v>510</v>
      </c>
      <c r="K1986" s="1219" t="s">
        <v>3112</v>
      </c>
      <c r="L1986" s="8">
        <v>0</v>
      </c>
      <c r="M1986" s="8">
        <v>4</v>
      </c>
      <c r="N1986" s="6" t="s">
        <v>271</v>
      </c>
      <c r="O1986" s="1088"/>
      <c r="P1986" s="6" t="s">
        <v>3361</v>
      </c>
      <c r="Q1986" s="1215" t="s">
        <v>240</v>
      </c>
      <c r="R1986" s="1088" t="s">
        <v>242</v>
      </c>
      <c r="S1986" s="1088" t="s">
        <v>3390</v>
      </c>
      <c r="T1986" s="1088" t="s">
        <v>3339</v>
      </c>
    </row>
    <row r="1987" spans="1:24" ht="15" customHeight="1" x14ac:dyDescent="0.3">
      <c r="A1987" s="6" t="s">
        <v>533</v>
      </c>
      <c r="B1987" s="6" t="s">
        <v>534</v>
      </c>
      <c r="C1987" s="6" t="s">
        <v>31</v>
      </c>
      <c r="D1987" s="6" t="s">
        <v>549</v>
      </c>
      <c r="E1987" s="1088" t="s">
        <v>172</v>
      </c>
      <c r="F1987" s="6" t="s">
        <v>706</v>
      </c>
      <c r="G1987" s="6" t="s">
        <v>1305</v>
      </c>
      <c r="H1987" s="6" t="s">
        <v>973</v>
      </c>
      <c r="J1987" s="1215" t="s">
        <v>510</v>
      </c>
      <c r="K1987" s="1219" t="s">
        <v>3033</v>
      </c>
      <c r="L1987" s="8">
        <v>15</v>
      </c>
      <c r="M1987" s="8">
        <v>58</v>
      </c>
      <c r="N1987" s="6" t="s">
        <v>271</v>
      </c>
      <c r="P1987" s="6" t="s">
        <v>3361</v>
      </c>
      <c r="Q1987" s="1215" t="s">
        <v>240</v>
      </c>
      <c r="R1987" s="1088" t="s">
        <v>242</v>
      </c>
      <c r="S1987" s="1088" t="s">
        <v>3390</v>
      </c>
      <c r="T1987" s="1088" t="s">
        <v>3339</v>
      </c>
    </row>
    <row r="1988" spans="1:24" ht="15" customHeight="1" x14ac:dyDescent="0.3">
      <c r="A1988" s="6" t="s">
        <v>533</v>
      </c>
      <c r="B1988" s="6" t="s">
        <v>534</v>
      </c>
      <c r="C1988" s="6" t="s">
        <v>31</v>
      </c>
      <c r="D1988" s="6" t="s">
        <v>549</v>
      </c>
      <c r="E1988" s="1088" t="s">
        <v>172</v>
      </c>
      <c r="F1988" s="6" t="s">
        <v>706</v>
      </c>
      <c r="G1988" s="6" t="s">
        <v>1305</v>
      </c>
      <c r="H1988" s="6" t="s">
        <v>973</v>
      </c>
      <c r="J1988" s="1215" t="s">
        <v>510</v>
      </c>
      <c r="K1988" s="1219" t="s">
        <v>3112</v>
      </c>
      <c r="L1988" s="8">
        <v>0</v>
      </c>
      <c r="M1988" s="8">
        <v>3</v>
      </c>
      <c r="N1988" s="1169" t="s">
        <v>271</v>
      </c>
      <c r="O1988" s="1088"/>
      <c r="P1988" s="6" t="s">
        <v>3361</v>
      </c>
      <c r="Q1988" s="1215" t="s">
        <v>240</v>
      </c>
      <c r="R1988" s="1088" t="s">
        <v>242</v>
      </c>
      <c r="S1988" s="1088" t="s">
        <v>3390</v>
      </c>
      <c r="T1988" s="1088" t="s">
        <v>3339</v>
      </c>
    </row>
    <row r="1989" spans="1:24" ht="15" customHeight="1" x14ac:dyDescent="0.3">
      <c r="A1989" s="6" t="s">
        <v>533</v>
      </c>
      <c r="B1989" s="6" t="s">
        <v>534</v>
      </c>
      <c r="C1989" s="6" t="s">
        <v>31</v>
      </c>
      <c r="D1989" s="1088" t="s">
        <v>549</v>
      </c>
      <c r="E1989" s="6" t="s">
        <v>172</v>
      </c>
      <c r="F1989" s="6" t="s">
        <v>706</v>
      </c>
      <c r="G1989" s="6" t="s">
        <v>2883</v>
      </c>
      <c r="H1989" s="6" t="s">
        <v>2162</v>
      </c>
      <c r="J1989" s="1215" t="s">
        <v>510</v>
      </c>
      <c r="K1989" s="1219" t="s">
        <v>3111</v>
      </c>
      <c r="L1989" s="8">
        <v>5</v>
      </c>
      <c r="M1989" s="8">
        <v>36</v>
      </c>
      <c r="N1989" s="1169" t="s">
        <v>271</v>
      </c>
      <c r="P1989" s="6" t="s">
        <v>3361</v>
      </c>
      <c r="Q1989" s="1215" t="s">
        <v>240</v>
      </c>
      <c r="R1989" s="1088" t="s">
        <v>242</v>
      </c>
      <c r="S1989" s="1088" t="s">
        <v>3390</v>
      </c>
      <c r="T1989" s="1088" t="s">
        <v>3339</v>
      </c>
      <c r="X1989" s="1088"/>
    </row>
    <row r="1990" spans="1:24" ht="15" customHeight="1" x14ac:dyDescent="0.3">
      <c r="A1990" s="6" t="s">
        <v>533</v>
      </c>
      <c r="B1990" s="6" t="s">
        <v>534</v>
      </c>
      <c r="C1990" s="6" t="s">
        <v>31</v>
      </c>
      <c r="D1990" s="1088" t="s">
        <v>549</v>
      </c>
      <c r="E1990" s="6" t="s">
        <v>172</v>
      </c>
      <c r="F1990" s="6" t="s">
        <v>706</v>
      </c>
      <c r="G1990" s="6" t="s">
        <v>2883</v>
      </c>
      <c r="H1990" s="6" t="s">
        <v>2162</v>
      </c>
      <c r="J1990" s="1215" t="s">
        <v>510</v>
      </c>
      <c r="K1990" s="1219" t="s">
        <v>3112</v>
      </c>
      <c r="L1990" s="8">
        <v>0</v>
      </c>
      <c r="M1990" s="8">
        <v>5</v>
      </c>
      <c r="N1990" s="1169" t="s">
        <v>271</v>
      </c>
      <c r="P1990" s="6" t="s">
        <v>3361</v>
      </c>
      <c r="Q1990" s="1215" t="s">
        <v>240</v>
      </c>
      <c r="R1990" s="1088" t="s">
        <v>242</v>
      </c>
      <c r="S1990" s="1088" t="s">
        <v>3390</v>
      </c>
      <c r="T1990" s="1088" t="s">
        <v>3339</v>
      </c>
      <c r="X1990" s="1088"/>
    </row>
    <row r="1991" spans="1:24" ht="15" customHeight="1" x14ac:dyDescent="0.3">
      <c r="A1991" s="6" t="s">
        <v>533</v>
      </c>
      <c r="B1991" s="6" t="s">
        <v>534</v>
      </c>
      <c r="C1991" s="6" t="s">
        <v>31</v>
      </c>
      <c r="D1991" s="1088" t="s">
        <v>549</v>
      </c>
      <c r="E1991" s="6" t="s">
        <v>172</v>
      </c>
      <c r="F1991" s="6" t="s">
        <v>706</v>
      </c>
      <c r="G1991" s="6" t="s">
        <v>2883</v>
      </c>
      <c r="H1991" s="6" t="s">
        <v>2162</v>
      </c>
      <c r="J1991" s="1215" t="s">
        <v>510</v>
      </c>
      <c r="K1991" s="1219" t="s">
        <v>3110</v>
      </c>
      <c r="L1991" s="8">
        <v>0</v>
      </c>
      <c r="M1991" s="8">
        <v>2</v>
      </c>
      <c r="N1991" s="1169" t="s">
        <v>271</v>
      </c>
      <c r="P1991" s="6" t="s">
        <v>3361</v>
      </c>
      <c r="Q1991" s="1215" t="s">
        <v>240</v>
      </c>
      <c r="R1991" s="1088" t="s">
        <v>242</v>
      </c>
      <c r="S1991" s="1088" t="s">
        <v>3390</v>
      </c>
      <c r="T1991" s="1088" t="s">
        <v>3339</v>
      </c>
      <c r="X1991" s="1088"/>
    </row>
    <row r="1992" spans="1:24" ht="15" customHeight="1" x14ac:dyDescent="0.3">
      <c r="A1992" s="6" t="s">
        <v>533</v>
      </c>
      <c r="B1992" s="6" t="s">
        <v>534</v>
      </c>
      <c r="C1992" s="6" t="s">
        <v>35</v>
      </c>
      <c r="D1992" s="1088" t="s">
        <v>567</v>
      </c>
      <c r="E1992" s="6" t="s">
        <v>193</v>
      </c>
      <c r="F1992" s="6" t="s">
        <v>863</v>
      </c>
      <c r="G1992" s="6" t="s">
        <v>2675</v>
      </c>
      <c r="H1992" s="6" t="s">
        <v>2207</v>
      </c>
      <c r="J1992" s="1215" t="s">
        <v>510</v>
      </c>
      <c r="K1992" s="1219" t="s">
        <v>3033</v>
      </c>
      <c r="L1992" s="8">
        <v>474</v>
      </c>
      <c r="M1992" s="8">
        <v>2735</v>
      </c>
      <c r="N1992" s="1169" t="s">
        <v>271</v>
      </c>
      <c r="P1992" s="6" t="s">
        <v>3361</v>
      </c>
      <c r="Q1992" s="1215" t="s">
        <v>240</v>
      </c>
      <c r="R1992" s="1088" t="s">
        <v>242</v>
      </c>
      <c r="S1992" s="1088" t="s">
        <v>3397</v>
      </c>
      <c r="T1992" s="1088" t="s">
        <v>3341</v>
      </c>
      <c r="X1992" s="1088"/>
    </row>
    <row r="1993" spans="1:24" ht="15" customHeight="1" x14ac:dyDescent="0.3">
      <c r="A1993" s="6" t="s">
        <v>533</v>
      </c>
      <c r="B1993" s="6" t="s">
        <v>534</v>
      </c>
      <c r="C1993" s="6" t="s">
        <v>35</v>
      </c>
      <c r="D1993" s="1088" t="s">
        <v>567</v>
      </c>
      <c r="E1993" s="1169" t="s">
        <v>193</v>
      </c>
      <c r="F1993" s="6" t="s">
        <v>863</v>
      </c>
      <c r="G1993" s="6" t="s">
        <v>2675</v>
      </c>
      <c r="H1993" s="6" t="s">
        <v>2207</v>
      </c>
      <c r="J1993" s="1215" t="s">
        <v>510</v>
      </c>
      <c r="K1993" s="1219" t="s">
        <v>3109</v>
      </c>
      <c r="L1993" s="8">
        <v>5</v>
      </c>
      <c r="M1993" s="8">
        <v>20</v>
      </c>
      <c r="N1993" s="1169" t="s">
        <v>271</v>
      </c>
      <c r="P1993" s="6" t="s">
        <v>3361</v>
      </c>
      <c r="Q1993" s="1215" t="s">
        <v>240</v>
      </c>
      <c r="R1993" s="1088" t="s">
        <v>242</v>
      </c>
      <c r="S1993" s="1088" t="s">
        <v>3397</v>
      </c>
      <c r="T1993" s="1088" t="s">
        <v>3341</v>
      </c>
      <c r="X1993" s="1088"/>
    </row>
    <row r="1994" spans="1:24" ht="15" customHeight="1" x14ac:dyDescent="0.3">
      <c r="A1994" s="6" t="s">
        <v>533</v>
      </c>
      <c r="B1994" s="6" t="s">
        <v>534</v>
      </c>
      <c r="C1994" s="6" t="s">
        <v>35</v>
      </c>
      <c r="D1994" s="1088" t="s">
        <v>567</v>
      </c>
      <c r="E1994" s="1169" t="s">
        <v>193</v>
      </c>
      <c r="F1994" s="6" t="s">
        <v>863</v>
      </c>
      <c r="G1994" s="6" t="s">
        <v>2675</v>
      </c>
      <c r="H1994" s="6" t="s">
        <v>2207</v>
      </c>
      <c r="J1994" s="1215" t="s">
        <v>510</v>
      </c>
      <c r="K1994" s="1219" t="s">
        <v>3110</v>
      </c>
      <c r="L1994" s="8">
        <v>0</v>
      </c>
      <c r="M1994" s="8">
        <v>3</v>
      </c>
      <c r="N1994" s="1169" t="s">
        <v>271</v>
      </c>
      <c r="P1994" s="6" t="s">
        <v>3361</v>
      </c>
      <c r="Q1994" s="1215" t="s">
        <v>240</v>
      </c>
      <c r="R1994" s="1088" t="s">
        <v>242</v>
      </c>
      <c r="S1994" s="1088" t="s">
        <v>3395</v>
      </c>
      <c r="T1994" s="1215" t="s">
        <v>3342</v>
      </c>
      <c r="X1994" s="1088"/>
    </row>
    <row r="1995" spans="1:24" ht="15" customHeight="1" x14ac:dyDescent="0.3">
      <c r="A1995" s="6" t="s">
        <v>533</v>
      </c>
      <c r="B1995" s="6" t="s">
        <v>534</v>
      </c>
      <c r="C1995" s="6" t="s">
        <v>35</v>
      </c>
      <c r="D1995" s="1088" t="s">
        <v>567</v>
      </c>
      <c r="E1995" s="6" t="s">
        <v>193</v>
      </c>
      <c r="F1995" s="6" t="s">
        <v>863</v>
      </c>
      <c r="G1995" s="6" t="s">
        <v>2675</v>
      </c>
      <c r="H1995" s="6" t="s">
        <v>2207</v>
      </c>
      <c r="J1995" s="1215" t="s">
        <v>510</v>
      </c>
      <c r="K1995" s="1219" t="s">
        <v>3111</v>
      </c>
      <c r="L1995" s="8">
        <v>18</v>
      </c>
      <c r="M1995" s="8">
        <v>150</v>
      </c>
      <c r="N1995" s="1169" t="s">
        <v>271</v>
      </c>
      <c r="P1995" s="6" t="s">
        <v>3361</v>
      </c>
      <c r="Q1995" s="1215" t="s">
        <v>240</v>
      </c>
      <c r="R1995" s="1088" t="s">
        <v>242</v>
      </c>
      <c r="S1995" s="1088" t="s">
        <v>3395</v>
      </c>
      <c r="T1995" s="1088" t="s">
        <v>3342</v>
      </c>
      <c r="X1995" s="1088"/>
    </row>
    <row r="1996" spans="1:24" ht="15" customHeight="1" x14ac:dyDescent="0.3">
      <c r="A1996" s="6" t="s">
        <v>533</v>
      </c>
      <c r="B1996" s="6" t="s">
        <v>534</v>
      </c>
      <c r="C1996" s="6" t="s">
        <v>35</v>
      </c>
      <c r="D1996" s="1088" t="s">
        <v>567</v>
      </c>
      <c r="E1996" s="6" t="s">
        <v>193</v>
      </c>
      <c r="F1996" s="6" t="s">
        <v>863</v>
      </c>
      <c r="G1996" s="6" t="s">
        <v>2675</v>
      </c>
      <c r="H1996" s="6" t="s">
        <v>2207</v>
      </c>
      <c r="J1996" s="1215" t="s">
        <v>510</v>
      </c>
      <c r="K1996" s="1219" t="s">
        <v>3112</v>
      </c>
      <c r="L1996" s="8">
        <v>23</v>
      </c>
      <c r="M1996" s="8">
        <v>210</v>
      </c>
      <c r="N1996" s="1169" t="s">
        <v>271</v>
      </c>
      <c r="P1996" s="6" t="s">
        <v>3361</v>
      </c>
      <c r="Q1996" s="1215" t="s">
        <v>240</v>
      </c>
      <c r="R1996" s="1088" t="s">
        <v>242</v>
      </c>
      <c r="S1996" s="1088" t="s">
        <v>3397</v>
      </c>
      <c r="T1996" s="1215" t="s">
        <v>3341</v>
      </c>
      <c r="X1996" s="1088"/>
    </row>
    <row r="1997" spans="1:24" ht="15" customHeight="1" x14ac:dyDescent="0.3">
      <c r="A1997" s="6" t="s">
        <v>533</v>
      </c>
      <c r="B1997" s="6" t="s">
        <v>534</v>
      </c>
      <c r="C1997" s="6" t="s">
        <v>31</v>
      </c>
      <c r="D1997" s="1088" t="s">
        <v>549</v>
      </c>
      <c r="E1997" s="6" t="s">
        <v>164</v>
      </c>
      <c r="F1997" s="6" t="s">
        <v>748</v>
      </c>
      <c r="G1997" s="6" t="s">
        <v>1347</v>
      </c>
      <c r="H1997" s="6" t="s">
        <v>1348</v>
      </c>
      <c r="J1997" s="1215" t="s">
        <v>510</v>
      </c>
      <c r="K1997" s="1219" t="s">
        <v>3110</v>
      </c>
      <c r="L1997" s="8">
        <v>10</v>
      </c>
      <c r="M1997" s="8">
        <v>120</v>
      </c>
      <c r="N1997" s="1169" t="s">
        <v>271</v>
      </c>
      <c r="P1997" s="6" t="s">
        <v>3361</v>
      </c>
      <c r="Q1997" s="1215" t="s">
        <v>240</v>
      </c>
      <c r="R1997" s="1088" t="s">
        <v>242</v>
      </c>
      <c r="S1997" s="1088" t="s">
        <v>3390</v>
      </c>
      <c r="T1997" s="1088" t="s">
        <v>3339</v>
      </c>
      <c r="X1997" s="1088"/>
    </row>
    <row r="1998" spans="1:24" ht="15" customHeight="1" x14ac:dyDescent="0.3">
      <c r="A1998" s="6" t="s">
        <v>533</v>
      </c>
      <c r="B1998" s="6" t="s">
        <v>534</v>
      </c>
      <c r="C1998" s="6" t="s">
        <v>35</v>
      </c>
      <c r="D1998" s="1088" t="s">
        <v>567</v>
      </c>
      <c r="E1998" s="6" t="s">
        <v>190</v>
      </c>
      <c r="F1998" s="6" t="s">
        <v>800</v>
      </c>
      <c r="G1998" s="6" t="s">
        <v>851</v>
      </c>
      <c r="H1998" s="6" t="s">
        <v>852</v>
      </c>
      <c r="J1998" s="1215" t="s">
        <v>510</v>
      </c>
      <c r="K1998" s="1219" t="s">
        <v>3033</v>
      </c>
      <c r="L1998" s="8">
        <v>18</v>
      </c>
      <c r="M1998" s="8">
        <v>113</v>
      </c>
      <c r="N1998" s="1169" t="s">
        <v>271</v>
      </c>
      <c r="P1998" s="6" t="s">
        <v>3361</v>
      </c>
      <c r="Q1998" s="1215" t="s">
        <v>240</v>
      </c>
      <c r="R1998" s="1088" t="s">
        <v>242</v>
      </c>
      <c r="S1998" s="1088" t="s">
        <v>3387</v>
      </c>
      <c r="T1998" s="1088" t="s">
        <v>3340</v>
      </c>
      <c r="X1998" s="1088"/>
    </row>
    <row r="1999" spans="1:24" ht="15" customHeight="1" x14ac:dyDescent="0.3">
      <c r="A1999" s="6" t="s">
        <v>533</v>
      </c>
      <c r="B1999" s="6" t="s">
        <v>534</v>
      </c>
      <c r="C1999" s="6" t="s">
        <v>35</v>
      </c>
      <c r="D1999" s="1088" t="s">
        <v>567</v>
      </c>
      <c r="E1999" s="6" t="s">
        <v>190</v>
      </c>
      <c r="F1999" s="6" t="s">
        <v>800</v>
      </c>
      <c r="G1999" s="6" t="s">
        <v>851</v>
      </c>
      <c r="H1999" s="6" t="s">
        <v>852</v>
      </c>
      <c r="J1999" s="1215" t="s">
        <v>510</v>
      </c>
      <c r="K1999" s="1219" t="s">
        <v>3109</v>
      </c>
      <c r="L1999" s="8">
        <v>0</v>
      </c>
      <c r="M1999" s="8">
        <v>1</v>
      </c>
      <c r="N1999" s="1169" t="s">
        <v>271</v>
      </c>
      <c r="P1999" s="6" t="s">
        <v>3361</v>
      </c>
      <c r="Q1999" s="1215" t="s">
        <v>240</v>
      </c>
      <c r="R1999" s="1088" t="s">
        <v>242</v>
      </c>
      <c r="S1999" s="1088" t="s">
        <v>3387</v>
      </c>
      <c r="T1999" s="1088" t="s">
        <v>3340</v>
      </c>
    </row>
    <row r="2000" spans="1:24" ht="15" customHeight="1" x14ac:dyDescent="0.3">
      <c r="A2000" s="6" t="s">
        <v>533</v>
      </c>
      <c r="B2000" s="6" t="s">
        <v>534</v>
      </c>
      <c r="C2000" s="6" t="s">
        <v>35</v>
      </c>
      <c r="D2000" s="1088" t="s">
        <v>567</v>
      </c>
      <c r="E2000" s="6" t="s">
        <v>190</v>
      </c>
      <c r="F2000" s="6" t="s">
        <v>800</v>
      </c>
      <c r="G2000" s="6" t="s">
        <v>851</v>
      </c>
      <c r="H2000" s="6" t="s">
        <v>852</v>
      </c>
      <c r="J2000" s="1215" t="s">
        <v>510</v>
      </c>
      <c r="K2000" s="1219" t="s">
        <v>3111</v>
      </c>
      <c r="L2000" s="8">
        <v>5</v>
      </c>
      <c r="M2000" s="8">
        <v>22</v>
      </c>
      <c r="N2000" s="1169" t="s">
        <v>271</v>
      </c>
      <c r="P2000" s="6" t="s">
        <v>3361</v>
      </c>
      <c r="Q2000" s="1215" t="s">
        <v>240</v>
      </c>
      <c r="R2000" s="1088" t="s">
        <v>242</v>
      </c>
      <c r="S2000" s="1088" t="s">
        <v>3387</v>
      </c>
      <c r="T2000" s="1088" t="s">
        <v>3340</v>
      </c>
      <c r="X2000" s="1088"/>
    </row>
    <row r="2001" spans="1:24" ht="15" customHeight="1" x14ac:dyDescent="0.3">
      <c r="A2001" s="6" t="s">
        <v>533</v>
      </c>
      <c r="B2001" s="6" t="s">
        <v>534</v>
      </c>
      <c r="C2001" s="6" t="s">
        <v>31</v>
      </c>
      <c r="D2001" s="1088" t="s">
        <v>549</v>
      </c>
      <c r="E2001" s="1088" t="s">
        <v>172</v>
      </c>
      <c r="F2001" s="6" t="s">
        <v>706</v>
      </c>
      <c r="G2001" s="6" t="s">
        <v>1175</v>
      </c>
      <c r="H2001" s="6" t="s">
        <v>3276</v>
      </c>
      <c r="J2001" s="1215" t="s">
        <v>510</v>
      </c>
      <c r="K2001" s="1219" t="s">
        <v>3033</v>
      </c>
      <c r="L2001" s="8">
        <v>17</v>
      </c>
      <c r="M2001" s="8">
        <v>70</v>
      </c>
      <c r="N2001" s="1169" t="s">
        <v>271</v>
      </c>
      <c r="P2001" s="6" t="s">
        <v>3361</v>
      </c>
      <c r="Q2001" s="1215" t="s">
        <v>240</v>
      </c>
      <c r="R2001" s="1088" t="s">
        <v>242</v>
      </c>
      <c r="S2001" s="1088" t="s">
        <v>3390</v>
      </c>
      <c r="T2001" s="1088" t="s">
        <v>3339</v>
      </c>
      <c r="X2001" s="1088"/>
    </row>
    <row r="2002" spans="1:24" ht="15" customHeight="1" x14ac:dyDescent="0.3">
      <c r="A2002" s="6" t="s">
        <v>533</v>
      </c>
      <c r="B2002" s="6" t="s">
        <v>534</v>
      </c>
      <c r="C2002" s="6" t="s">
        <v>31</v>
      </c>
      <c r="D2002" s="1088" t="s">
        <v>549</v>
      </c>
      <c r="E2002" s="6" t="s">
        <v>172</v>
      </c>
      <c r="F2002" s="6" t="s">
        <v>706</v>
      </c>
      <c r="G2002" s="6" t="s">
        <v>1175</v>
      </c>
      <c r="H2002" s="6" t="s">
        <v>3276</v>
      </c>
      <c r="J2002" s="1215" t="s">
        <v>510</v>
      </c>
      <c r="K2002" s="1219" t="s">
        <v>3112</v>
      </c>
      <c r="L2002" s="8">
        <v>0</v>
      </c>
      <c r="M2002" s="8">
        <v>5</v>
      </c>
      <c r="N2002" s="1169" t="s">
        <v>271</v>
      </c>
      <c r="P2002" s="6" t="s">
        <v>3361</v>
      </c>
      <c r="Q2002" s="1215" t="s">
        <v>240</v>
      </c>
      <c r="R2002" s="1088" t="s">
        <v>242</v>
      </c>
      <c r="S2002" s="1088" t="s">
        <v>3390</v>
      </c>
      <c r="T2002" s="1088" t="s">
        <v>3339</v>
      </c>
      <c r="X2002" s="1088"/>
    </row>
    <row r="2003" spans="1:24" ht="15" customHeight="1" x14ac:dyDescent="0.3">
      <c r="A2003" s="6" t="s">
        <v>533</v>
      </c>
      <c r="B2003" s="6" t="s">
        <v>534</v>
      </c>
      <c r="C2003" s="6" t="s">
        <v>31</v>
      </c>
      <c r="D2003" s="1088" t="s">
        <v>549</v>
      </c>
      <c r="E2003" s="6" t="s">
        <v>172</v>
      </c>
      <c r="F2003" s="6" t="s">
        <v>706</v>
      </c>
      <c r="G2003" s="6" t="s">
        <v>1175</v>
      </c>
      <c r="H2003" s="6" t="s">
        <v>3276</v>
      </c>
      <c r="J2003" s="1215" t="s">
        <v>510</v>
      </c>
      <c r="K2003" s="1219" t="s">
        <v>3110</v>
      </c>
      <c r="L2003" s="8">
        <v>0</v>
      </c>
      <c r="M2003" s="8">
        <v>10</v>
      </c>
      <c r="N2003" s="1169" t="s">
        <v>271</v>
      </c>
      <c r="P2003" s="6" t="s">
        <v>3361</v>
      </c>
      <c r="Q2003" s="1215" t="s">
        <v>240</v>
      </c>
      <c r="R2003" s="1088" t="s">
        <v>242</v>
      </c>
      <c r="S2003" s="1088" t="s">
        <v>3390</v>
      </c>
      <c r="T2003" s="1088" t="s">
        <v>3339</v>
      </c>
      <c r="X2003" s="1088"/>
    </row>
    <row r="2004" spans="1:24" ht="15" customHeight="1" x14ac:dyDescent="0.3">
      <c r="A2004" s="6" t="s">
        <v>533</v>
      </c>
      <c r="B2004" s="6" t="s">
        <v>534</v>
      </c>
      <c r="C2004" s="6" t="s">
        <v>35</v>
      </c>
      <c r="D2004" s="1088" t="s">
        <v>567</v>
      </c>
      <c r="E2004" s="1088" t="s">
        <v>193</v>
      </c>
      <c r="F2004" s="6" t="s">
        <v>863</v>
      </c>
      <c r="G2004" s="6" t="s">
        <v>1628</v>
      </c>
      <c r="H2004" s="6" t="s">
        <v>1309</v>
      </c>
      <c r="J2004" s="1215" t="s">
        <v>510</v>
      </c>
      <c r="K2004" s="1219" t="s">
        <v>3033</v>
      </c>
      <c r="L2004" s="8">
        <v>60</v>
      </c>
      <c r="M2004" s="8">
        <v>300</v>
      </c>
      <c r="N2004" s="1169" t="s">
        <v>271</v>
      </c>
      <c r="P2004" s="6" t="s">
        <v>3361</v>
      </c>
      <c r="Q2004" s="1215" t="s">
        <v>240</v>
      </c>
      <c r="R2004" s="1088" t="s">
        <v>242</v>
      </c>
      <c r="S2004" s="1088" t="s">
        <v>3397</v>
      </c>
      <c r="T2004" s="1088" t="s">
        <v>3341</v>
      </c>
    </row>
    <row r="2005" spans="1:24" ht="15" customHeight="1" x14ac:dyDescent="0.3">
      <c r="A2005" s="6" t="s">
        <v>533</v>
      </c>
      <c r="B2005" s="6" t="s">
        <v>534</v>
      </c>
      <c r="C2005" s="6" t="s">
        <v>35</v>
      </c>
      <c r="D2005" s="1088" t="s">
        <v>567</v>
      </c>
      <c r="E2005" s="1088" t="s">
        <v>193</v>
      </c>
      <c r="F2005" s="6" t="s">
        <v>863</v>
      </c>
      <c r="G2005" s="6" t="s">
        <v>1628</v>
      </c>
      <c r="H2005" s="6" t="s">
        <v>1309</v>
      </c>
      <c r="J2005" s="1215" t="s">
        <v>510</v>
      </c>
      <c r="K2005" s="1219" t="s">
        <v>3109</v>
      </c>
      <c r="L2005" s="8">
        <v>11</v>
      </c>
      <c r="M2005" s="8">
        <v>50</v>
      </c>
      <c r="N2005" s="1169" t="s">
        <v>271</v>
      </c>
      <c r="P2005" s="6" t="s">
        <v>3361</v>
      </c>
      <c r="Q2005" s="1215" t="s">
        <v>240</v>
      </c>
      <c r="R2005" s="1088" t="s">
        <v>242</v>
      </c>
      <c r="S2005" s="1088" t="s">
        <v>3397</v>
      </c>
      <c r="T2005" s="1088" t="s">
        <v>3341</v>
      </c>
    </row>
    <row r="2006" spans="1:24" ht="15" customHeight="1" x14ac:dyDescent="0.3">
      <c r="A2006" s="6" t="s">
        <v>533</v>
      </c>
      <c r="B2006" s="6" t="s">
        <v>534</v>
      </c>
      <c r="C2006" s="6" t="s">
        <v>31</v>
      </c>
      <c r="D2006" s="6" t="s">
        <v>549</v>
      </c>
      <c r="E2006" s="1088" t="s">
        <v>172</v>
      </c>
      <c r="F2006" s="6" t="s">
        <v>706</v>
      </c>
      <c r="G2006" s="6" t="s">
        <v>1868</v>
      </c>
      <c r="H2006" s="6" t="s">
        <v>1031</v>
      </c>
      <c r="J2006" s="1215" t="s">
        <v>510</v>
      </c>
      <c r="K2006" s="1219" t="s">
        <v>3033</v>
      </c>
      <c r="L2006" s="8">
        <v>17</v>
      </c>
      <c r="M2006" s="8">
        <v>64</v>
      </c>
      <c r="N2006" s="1169" t="s">
        <v>271</v>
      </c>
      <c r="P2006" s="6" t="s">
        <v>3361</v>
      </c>
      <c r="Q2006" s="1215" t="s">
        <v>240</v>
      </c>
      <c r="R2006" s="1088" t="s">
        <v>242</v>
      </c>
      <c r="S2006" s="1088" t="s">
        <v>3390</v>
      </c>
      <c r="T2006" s="1088" t="s">
        <v>3339</v>
      </c>
    </row>
    <row r="2007" spans="1:24" ht="15" customHeight="1" x14ac:dyDescent="0.3">
      <c r="A2007" s="6" t="s">
        <v>533</v>
      </c>
      <c r="B2007" s="6" t="s">
        <v>534</v>
      </c>
      <c r="C2007" s="6" t="s">
        <v>31</v>
      </c>
      <c r="D2007" s="1088" t="s">
        <v>549</v>
      </c>
      <c r="E2007" s="6" t="s">
        <v>172</v>
      </c>
      <c r="F2007" s="6" t="s">
        <v>706</v>
      </c>
      <c r="G2007" s="6" t="s">
        <v>2812</v>
      </c>
      <c r="H2007" s="6" t="s">
        <v>1865</v>
      </c>
      <c r="J2007" s="1215" t="s">
        <v>510</v>
      </c>
      <c r="K2007" s="1219" t="s">
        <v>3033</v>
      </c>
      <c r="L2007" s="8">
        <v>9</v>
      </c>
      <c r="M2007" s="8">
        <v>65</v>
      </c>
      <c r="N2007" s="1169" t="s">
        <v>271</v>
      </c>
      <c r="P2007" s="6" t="s">
        <v>3361</v>
      </c>
      <c r="Q2007" s="1215" t="s">
        <v>240</v>
      </c>
      <c r="R2007" s="1088" t="s">
        <v>242</v>
      </c>
      <c r="S2007" s="1088" t="s">
        <v>3390</v>
      </c>
      <c r="T2007" s="1088" t="s">
        <v>3339</v>
      </c>
    </row>
    <row r="2008" spans="1:24" ht="15" customHeight="1" x14ac:dyDescent="0.3">
      <c r="A2008" s="6" t="s">
        <v>533</v>
      </c>
      <c r="B2008" s="6" t="s">
        <v>534</v>
      </c>
      <c r="C2008" s="6" t="s">
        <v>31</v>
      </c>
      <c r="D2008" s="1088" t="s">
        <v>549</v>
      </c>
      <c r="E2008" s="6" t="s">
        <v>172</v>
      </c>
      <c r="F2008" s="6" t="s">
        <v>706</v>
      </c>
      <c r="G2008" s="6" t="s">
        <v>2812</v>
      </c>
      <c r="H2008" s="6" t="s">
        <v>1865</v>
      </c>
      <c r="J2008" s="1215" t="s">
        <v>510</v>
      </c>
      <c r="K2008" s="1219" t="s">
        <v>3109</v>
      </c>
      <c r="L2008" s="8">
        <v>0</v>
      </c>
      <c r="M2008" s="8">
        <v>2</v>
      </c>
      <c r="N2008" s="1169" t="s">
        <v>271</v>
      </c>
      <c r="P2008" s="6" t="s">
        <v>3361</v>
      </c>
      <c r="Q2008" s="1215" t="s">
        <v>240</v>
      </c>
      <c r="R2008" s="1088" t="s">
        <v>242</v>
      </c>
      <c r="S2008" s="1088" t="s">
        <v>3390</v>
      </c>
      <c r="T2008" s="1088" t="s">
        <v>3339</v>
      </c>
    </row>
    <row r="2009" spans="1:24" ht="15" customHeight="1" x14ac:dyDescent="0.3">
      <c r="A2009" s="6" t="s">
        <v>533</v>
      </c>
      <c r="B2009" s="6" t="s">
        <v>534</v>
      </c>
      <c r="C2009" s="6" t="s">
        <v>31</v>
      </c>
      <c r="D2009" s="1088" t="s">
        <v>549</v>
      </c>
      <c r="E2009" s="6" t="s">
        <v>172</v>
      </c>
      <c r="F2009" s="6" t="s">
        <v>706</v>
      </c>
      <c r="G2009" s="6" t="s">
        <v>2812</v>
      </c>
      <c r="H2009" s="6" t="s">
        <v>1865</v>
      </c>
      <c r="J2009" s="1215" t="s">
        <v>510</v>
      </c>
      <c r="K2009" s="1219" t="s">
        <v>3110</v>
      </c>
      <c r="L2009" s="8">
        <v>0</v>
      </c>
      <c r="M2009" s="8">
        <v>9</v>
      </c>
      <c r="N2009" s="1169" t="s">
        <v>271</v>
      </c>
      <c r="P2009" s="6" t="s">
        <v>3361</v>
      </c>
      <c r="Q2009" s="1215" t="s">
        <v>240</v>
      </c>
      <c r="R2009" s="1088" t="s">
        <v>242</v>
      </c>
      <c r="S2009" s="1088" t="s">
        <v>3390</v>
      </c>
      <c r="T2009" s="1088" t="s">
        <v>3339</v>
      </c>
    </row>
    <row r="2010" spans="1:24" ht="15" customHeight="1" x14ac:dyDescent="0.3">
      <c r="A2010" s="6" t="s">
        <v>533</v>
      </c>
      <c r="B2010" s="6" t="s">
        <v>534</v>
      </c>
      <c r="C2010" s="6" t="s">
        <v>31</v>
      </c>
      <c r="D2010" s="1088" t="s">
        <v>549</v>
      </c>
      <c r="E2010" s="6" t="s">
        <v>172</v>
      </c>
      <c r="F2010" s="6" t="s">
        <v>706</v>
      </c>
      <c r="G2010" s="6" t="s">
        <v>2943</v>
      </c>
      <c r="H2010" s="6" t="s">
        <v>1176</v>
      </c>
      <c r="J2010" s="1215" t="s">
        <v>510</v>
      </c>
      <c r="K2010" s="1219" t="s">
        <v>3109</v>
      </c>
      <c r="L2010" s="8">
        <v>15</v>
      </c>
      <c r="M2010" s="8">
        <v>79</v>
      </c>
      <c r="N2010" s="1169" t="s">
        <v>271</v>
      </c>
      <c r="P2010" s="6" t="s">
        <v>3361</v>
      </c>
      <c r="Q2010" s="1215" t="s">
        <v>240</v>
      </c>
      <c r="R2010" s="1088" t="s">
        <v>242</v>
      </c>
      <c r="S2010" s="1088" t="s">
        <v>3390</v>
      </c>
      <c r="T2010" s="1088" t="s">
        <v>3339</v>
      </c>
    </row>
    <row r="2011" spans="1:24" ht="15" customHeight="1" x14ac:dyDescent="0.3">
      <c r="A2011" s="6" t="s">
        <v>533</v>
      </c>
      <c r="B2011" s="6" t="s">
        <v>534</v>
      </c>
      <c r="C2011" s="6" t="s">
        <v>31</v>
      </c>
      <c r="D2011" s="1088" t="s">
        <v>549</v>
      </c>
      <c r="E2011" s="6" t="s">
        <v>172</v>
      </c>
      <c r="F2011" s="6" t="s">
        <v>706</v>
      </c>
      <c r="G2011" s="6" t="s">
        <v>2943</v>
      </c>
      <c r="H2011" s="6" t="s">
        <v>1176</v>
      </c>
      <c r="J2011" s="1215" t="s">
        <v>510</v>
      </c>
      <c r="K2011" s="1219" t="s">
        <v>3112</v>
      </c>
      <c r="L2011" s="8">
        <v>0</v>
      </c>
      <c r="M2011" s="8">
        <v>2</v>
      </c>
      <c r="N2011" s="1169" t="s">
        <v>271</v>
      </c>
      <c r="P2011" s="6" t="s">
        <v>3361</v>
      </c>
      <c r="Q2011" s="1215" t="s">
        <v>240</v>
      </c>
      <c r="R2011" s="1088" t="s">
        <v>242</v>
      </c>
      <c r="S2011" s="1088" t="s">
        <v>3390</v>
      </c>
      <c r="T2011" s="1088" t="s">
        <v>3339</v>
      </c>
    </row>
    <row r="2012" spans="1:24" ht="15" customHeight="1" x14ac:dyDescent="0.3">
      <c r="A2012" s="6" t="s">
        <v>533</v>
      </c>
      <c r="B2012" s="6" t="s">
        <v>534</v>
      </c>
      <c r="C2012" s="6" t="s">
        <v>31</v>
      </c>
      <c r="D2012" s="1088" t="s">
        <v>549</v>
      </c>
      <c r="E2012" s="6" t="s">
        <v>169</v>
      </c>
      <c r="F2012" s="6" t="s">
        <v>673</v>
      </c>
      <c r="G2012" s="6" t="s">
        <v>3016</v>
      </c>
      <c r="H2012" s="6" t="s">
        <v>1634</v>
      </c>
      <c r="J2012" s="1215" t="s">
        <v>510</v>
      </c>
      <c r="K2012" s="1219" t="s">
        <v>3112</v>
      </c>
      <c r="L2012" s="8">
        <v>32</v>
      </c>
      <c r="M2012" s="8">
        <v>224</v>
      </c>
      <c r="N2012" s="1169" t="s">
        <v>272</v>
      </c>
      <c r="P2012" s="6" t="s">
        <v>3361</v>
      </c>
      <c r="Q2012" s="1215" t="s">
        <v>241</v>
      </c>
      <c r="R2012" s="1088" t="s">
        <v>243</v>
      </c>
      <c r="S2012" s="1088" t="s">
        <v>3399</v>
      </c>
      <c r="T2012" s="1088" t="s">
        <v>3343</v>
      </c>
    </row>
    <row r="2013" spans="1:24" ht="15" customHeight="1" x14ac:dyDescent="0.3">
      <c r="A2013" s="6" t="s">
        <v>533</v>
      </c>
      <c r="B2013" s="6" t="s">
        <v>534</v>
      </c>
      <c r="C2013" s="6" t="s">
        <v>31</v>
      </c>
      <c r="D2013" s="1088" t="s">
        <v>549</v>
      </c>
      <c r="E2013" s="6" t="s">
        <v>171</v>
      </c>
      <c r="F2013" s="6" t="s">
        <v>634</v>
      </c>
      <c r="G2013" s="6" t="s">
        <v>1339</v>
      </c>
      <c r="H2013" s="6" t="s">
        <v>848</v>
      </c>
      <c r="J2013" s="1215" t="s">
        <v>510</v>
      </c>
      <c r="K2013" s="1219" t="s">
        <v>3111</v>
      </c>
      <c r="L2013" s="8">
        <v>3</v>
      </c>
      <c r="M2013" s="8">
        <v>21</v>
      </c>
      <c r="N2013" s="1169" t="s">
        <v>271</v>
      </c>
      <c r="P2013" s="6" t="s">
        <v>3361</v>
      </c>
      <c r="Q2013" s="1215" t="s">
        <v>240</v>
      </c>
      <c r="R2013" s="1088" t="s">
        <v>242</v>
      </c>
      <c r="S2013" s="1088" t="s">
        <v>3390</v>
      </c>
      <c r="T2013" s="1088" t="s">
        <v>3339</v>
      </c>
    </row>
    <row r="2014" spans="1:24" ht="15" customHeight="1" x14ac:dyDescent="0.3">
      <c r="A2014" s="6" t="s">
        <v>533</v>
      </c>
      <c r="B2014" s="6" t="s">
        <v>534</v>
      </c>
      <c r="C2014" s="6" t="s">
        <v>33</v>
      </c>
      <c r="D2014" s="1088" t="s">
        <v>561</v>
      </c>
      <c r="E2014" s="1088" t="s">
        <v>183</v>
      </c>
      <c r="F2014" s="6" t="s">
        <v>562</v>
      </c>
      <c r="G2014" s="6" t="s">
        <v>1710</v>
      </c>
      <c r="H2014" s="6" t="s">
        <v>1711</v>
      </c>
      <c r="J2014" s="1215" t="s">
        <v>510</v>
      </c>
      <c r="K2014" s="1219" t="s">
        <v>3033</v>
      </c>
      <c r="L2014" s="8">
        <v>6</v>
      </c>
      <c r="M2014" s="8">
        <v>45</v>
      </c>
      <c r="N2014" s="1169" t="s">
        <v>274</v>
      </c>
      <c r="P2014" s="6" t="s">
        <v>3361</v>
      </c>
      <c r="Q2014" s="1215" t="s">
        <v>241</v>
      </c>
      <c r="R2014" s="1088" t="s">
        <v>243</v>
      </c>
      <c r="S2014" s="1088" t="s">
        <v>3398</v>
      </c>
      <c r="T2014" s="1215" t="s">
        <v>3344</v>
      </c>
    </row>
    <row r="2015" spans="1:24" ht="15" customHeight="1" x14ac:dyDescent="0.3">
      <c r="A2015" s="6" t="s">
        <v>533</v>
      </c>
      <c r="B2015" s="6" t="s">
        <v>534</v>
      </c>
      <c r="C2015" s="6" t="s">
        <v>31</v>
      </c>
      <c r="D2015" s="1088" t="s">
        <v>549</v>
      </c>
      <c r="E2015" s="1088" t="s">
        <v>2797</v>
      </c>
      <c r="F2015" s="6" t="s">
        <v>767</v>
      </c>
      <c r="G2015" s="6" t="s">
        <v>2896</v>
      </c>
      <c r="H2015" s="6" t="s">
        <v>1230</v>
      </c>
      <c r="J2015" s="1215" t="s">
        <v>510</v>
      </c>
      <c r="K2015" s="1219" t="s">
        <v>3109</v>
      </c>
      <c r="L2015" s="8">
        <v>5</v>
      </c>
      <c r="M2015" s="8">
        <v>30</v>
      </c>
      <c r="N2015" s="1169" t="s">
        <v>271</v>
      </c>
      <c r="P2015" s="6" t="s">
        <v>3361</v>
      </c>
      <c r="Q2015" s="1215" t="s">
        <v>240</v>
      </c>
      <c r="R2015" s="1088" t="s">
        <v>242</v>
      </c>
      <c r="S2015" s="1088" t="s">
        <v>3390</v>
      </c>
      <c r="T2015" s="1088" t="s">
        <v>3339</v>
      </c>
    </row>
    <row r="2016" spans="1:24" ht="15" customHeight="1" x14ac:dyDescent="0.3">
      <c r="A2016" s="6" t="s">
        <v>533</v>
      </c>
      <c r="B2016" s="6" t="s">
        <v>534</v>
      </c>
      <c r="C2016" s="6" t="s">
        <v>31</v>
      </c>
      <c r="D2016" s="1088" t="s">
        <v>549</v>
      </c>
      <c r="E2016" s="1088" t="s">
        <v>2797</v>
      </c>
      <c r="F2016" s="6" t="s">
        <v>767</v>
      </c>
      <c r="G2016" s="6" t="s">
        <v>2896</v>
      </c>
      <c r="H2016" s="6" t="s">
        <v>1230</v>
      </c>
      <c r="J2016" s="1215" t="s">
        <v>510</v>
      </c>
      <c r="K2016" s="1219" t="s">
        <v>3111</v>
      </c>
      <c r="L2016" s="8">
        <v>10</v>
      </c>
      <c r="M2016" s="8">
        <v>70</v>
      </c>
      <c r="N2016" s="1169" t="s">
        <v>271</v>
      </c>
      <c r="P2016" s="6" t="s">
        <v>3361</v>
      </c>
      <c r="Q2016" s="1215" t="s">
        <v>240</v>
      </c>
      <c r="R2016" s="1088" t="s">
        <v>242</v>
      </c>
      <c r="S2016" s="1088" t="s">
        <v>3390</v>
      </c>
      <c r="T2016" s="1088" t="s">
        <v>3339</v>
      </c>
    </row>
    <row r="2017" spans="1:24" ht="15" customHeight="1" x14ac:dyDescent="0.3">
      <c r="A2017" s="6" t="s">
        <v>533</v>
      </c>
      <c r="B2017" s="6" t="s">
        <v>534</v>
      </c>
      <c r="C2017" s="6" t="s">
        <v>34</v>
      </c>
      <c r="D2017" s="1088" t="s">
        <v>539</v>
      </c>
      <c r="E2017" s="1088" t="s">
        <v>188</v>
      </c>
      <c r="F2017" s="6" t="s">
        <v>546</v>
      </c>
      <c r="G2017" s="6" t="s">
        <v>1437</v>
      </c>
      <c r="H2017" s="6" t="s">
        <v>554</v>
      </c>
      <c r="J2017" s="1215" t="s">
        <v>510</v>
      </c>
      <c r="K2017" s="1219" t="s">
        <v>3033</v>
      </c>
      <c r="L2017" s="8">
        <v>42</v>
      </c>
      <c r="M2017" s="8">
        <v>319</v>
      </c>
      <c r="N2017" s="1169" t="s">
        <v>271</v>
      </c>
      <c r="P2017" s="6" t="s">
        <v>3361</v>
      </c>
      <c r="Q2017" s="1215" t="s">
        <v>240</v>
      </c>
      <c r="R2017" s="1088" t="s">
        <v>242</v>
      </c>
      <c r="S2017" s="1088" t="s">
        <v>3390</v>
      </c>
      <c r="T2017" s="1088" t="s">
        <v>3339</v>
      </c>
    </row>
    <row r="2018" spans="1:24" ht="15" customHeight="1" x14ac:dyDescent="0.3">
      <c r="A2018" s="6" t="s">
        <v>533</v>
      </c>
      <c r="B2018" s="6" t="s">
        <v>534</v>
      </c>
      <c r="C2018" s="6" t="s">
        <v>34</v>
      </c>
      <c r="D2018" s="1088" t="s">
        <v>539</v>
      </c>
      <c r="E2018" s="1088" t="s">
        <v>188</v>
      </c>
      <c r="F2018" s="6" t="s">
        <v>546</v>
      </c>
      <c r="G2018" s="6" t="s">
        <v>1437</v>
      </c>
      <c r="H2018" s="6" t="s">
        <v>554</v>
      </c>
      <c r="J2018" s="1215" t="s">
        <v>510</v>
      </c>
      <c r="K2018" s="1219" t="s">
        <v>3110</v>
      </c>
      <c r="L2018" s="8">
        <v>0</v>
      </c>
      <c r="M2018" s="8">
        <v>4</v>
      </c>
      <c r="N2018" s="1169" t="s">
        <v>271</v>
      </c>
      <c r="P2018" s="6" t="s">
        <v>3361</v>
      </c>
      <c r="Q2018" s="1215" t="s">
        <v>240</v>
      </c>
      <c r="R2018" s="1088" t="s">
        <v>242</v>
      </c>
      <c r="S2018" s="1088" t="s">
        <v>3390</v>
      </c>
      <c r="T2018" s="1088" t="s">
        <v>3339</v>
      </c>
    </row>
    <row r="2019" spans="1:24" ht="15" customHeight="1" x14ac:dyDescent="0.3">
      <c r="A2019" s="6" t="s">
        <v>533</v>
      </c>
      <c r="B2019" s="6" t="s">
        <v>534</v>
      </c>
      <c r="C2019" s="6" t="s">
        <v>34</v>
      </c>
      <c r="D2019" s="1088" t="s">
        <v>539</v>
      </c>
      <c r="E2019" s="6" t="s">
        <v>188</v>
      </c>
      <c r="F2019" s="6" t="s">
        <v>546</v>
      </c>
      <c r="G2019" s="6" t="s">
        <v>1437</v>
      </c>
      <c r="H2019" s="6" t="s">
        <v>554</v>
      </c>
      <c r="J2019" s="1215" t="s">
        <v>510</v>
      </c>
      <c r="K2019" s="1219" t="s">
        <v>3111</v>
      </c>
      <c r="L2019" s="8">
        <v>0</v>
      </c>
      <c r="M2019" s="8">
        <v>20</v>
      </c>
      <c r="N2019" s="1169" t="s">
        <v>271</v>
      </c>
      <c r="P2019" s="6" t="s">
        <v>3361</v>
      </c>
      <c r="Q2019" s="1215" t="s">
        <v>240</v>
      </c>
      <c r="R2019" s="1088" t="s">
        <v>242</v>
      </c>
      <c r="S2019" s="1088" t="s">
        <v>3390</v>
      </c>
      <c r="T2019" s="1088" t="s">
        <v>3339</v>
      </c>
    </row>
    <row r="2020" spans="1:24" ht="15" customHeight="1" x14ac:dyDescent="0.3">
      <c r="A2020" s="6" t="s">
        <v>533</v>
      </c>
      <c r="B2020" s="6" t="s">
        <v>534</v>
      </c>
      <c r="C2020" s="6" t="s">
        <v>34</v>
      </c>
      <c r="D2020" s="1088" t="s">
        <v>539</v>
      </c>
      <c r="E2020" s="1088" t="s">
        <v>188</v>
      </c>
      <c r="F2020" s="6" t="s">
        <v>546</v>
      </c>
      <c r="G2020" s="6" t="s">
        <v>1437</v>
      </c>
      <c r="H2020" s="6" t="s">
        <v>554</v>
      </c>
      <c r="J2020" s="1215" t="s">
        <v>510</v>
      </c>
      <c r="K2020" s="1219" t="s">
        <v>3112</v>
      </c>
      <c r="L2020" s="8">
        <v>0</v>
      </c>
      <c r="M2020" s="8">
        <v>20</v>
      </c>
      <c r="N2020" s="1169" t="s">
        <v>271</v>
      </c>
      <c r="P2020" s="6" t="s">
        <v>3361</v>
      </c>
      <c r="Q2020" s="1215" t="s">
        <v>240</v>
      </c>
      <c r="R2020" s="1088" t="s">
        <v>242</v>
      </c>
      <c r="S2020" s="1088" t="s">
        <v>3390</v>
      </c>
      <c r="T2020" s="1088" t="s">
        <v>3339</v>
      </c>
    </row>
    <row r="2021" spans="1:24" ht="15" customHeight="1" x14ac:dyDescent="0.3">
      <c r="A2021" s="6" t="s">
        <v>533</v>
      </c>
      <c r="B2021" s="6" t="s">
        <v>534</v>
      </c>
      <c r="C2021" s="6" t="s">
        <v>34</v>
      </c>
      <c r="D2021" s="1088" t="s">
        <v>539</v>
      </c>
      <c r="E2021" s="6" t="s">
        <v>188</v>
      </c>
      <c r="F2021" s="6" t="s">
        <v>546</v>
      </c>
      <c r="G2021" s="6" t="s">
        <v>2668</v>
      </c>
      <c r="H2021" s="6" t="s">
        <v>669</v>
      </c>
      <c r="J2021" s="1215" t="s">
        <v>510</v>
      </c>
      <c r="K2021" s="1219" t="s">
        <v>3033</v>
      </c>
      <c r="L2021" s="8">
        <v>6</v>
      </c>
      <c r="M2021" s="8">
        <v>20</v>
      </c>
      <c r="N2021" s="1169" t="s">
        <v>271</v>
      </c>
      <c r="P2021" s="6" t="s">
        <v>3361</v>
      </c>
      <c r="Q2021" s="1215" t="s">
        <v>240</v>
      </c>
      <c r="R2021" s="1088" t="s">
        <v>242</v>
      </c>
      <c r="S2021" s="1088" t="s">
        <v>3387</v>
      </c>
      <c r="T2021" s="1088" t="s">
        <v>3340</v>
      </c>
    </row>
    <row r="2022" spans="1:24" ht="15" customHeight="1" x14ac:dyDescent="0.3">
      <c r="A2022" s="6" t="s">
        <v>533</v>
      </c>
      <c r="B2022" s="6" t="s">
        <v>534</v>
      </c>
      <c r="C2022" s="6" t="s">
        <v>34</v>
      </c>
      <c r="D2022" s="1088" t="s">
        <v>539</v>
      </c>
      <c r="E2022" s="6" t="s">
        <v>188</v>
      </c>
      <c r="F2022" s="6" t="s">
        <v>546</v>
      </c>
      <c r="G2022" s="6" t="s">
        <v>2668</v>
      </c>
      <c r="H2022" s="6" t="s">
        <v>669</v>
      </c>
      <c r="J2022" s="1215" t="s">
        <v>510</v>
      </c>
      <c r="K2022" s="1219" t="s">
        <v>3111</v>
      </c>
      <c r="L2022" s="8">
        <v>6</v>
      </c>
      <c r="M2022" s="8">
        <v>38</v>
      </c>
      <c r="N2022" s="1169" t="s">
        <v>271</v>
      </c>
      <c r="P2022" s="6" t="s">
        <v>3361</v>
      </c>
      <c r="Q2022" s="1215" t="s">
        <v>240</v>
      </c>
      <c r="R2022" s="1088" t="s">
        <v>242</v>
      </c>
      <c r="S2022" s="1088" t="s">
        <v>3390</v>
      </c>
      <c r="T2022" s="1088" t="s">
        <v>3339</v>
      </c>
    </row>
    <row r="2023" spans="1:24" ht="15" customHeight="1" x14ac:dyDescent="0.3">
      <c r="A2023" s="6" t="s">
        <v>533</v>
      </c>
      <c r="B2023" s="6" t="s">
        <v>534</v>
      </c>
      <c r="C2023" s="6" t="s">
        <v>34</v>
      </c>
      <c r="D2023" s="1088" t="s">
        <v>539</v>
      </c>
      <c r="E2023" s="1088" t="s">
        <v>188</v>
      </c>
      <c r="F2023" s="6" t="s">
        <v>546</v>
      </c>
      <c r="G2023" s="6" t="s">
        <v>1414</v>
      </c>
      <c r="H2023" s="6" t="s">
        <v>670</v>
      </c>
      <c r="J2023" s="1215" t="s">
        <v>510</v>
      </c>
      <c r="K2023" s="1219" t="s">
        <v>3033</v>
      </c>
      <c r="L2023" s="8">
        <v>10</v>
      </c>
      <c r="M2023" s="8">
        <v>33</v>
      </c>
      <c r="N2023" s="1169" t="s">
        <v>271</v>
      </c>
      <c r="P2023" s="6" t="s">
        <v>3361</v>
      </c>
      <c r="Q2023" s="1215" t="s">
        <v>240</v>
      </c>
      <c r="R2023" s="1088" t="s">
        <v>242</v>
      </c>
      <c r="S2023" s="1088" t="s">
        <v>3387</v>
      </c>
      <c r="T2023" s="1088" t="s">
        <v>3340</v>
      </c>
    </row>
    <row r="2024" spans="1:24" ht="15" customHeight="1" x14ac:dyDescent="0.3">
      <c r="A2024" s="6" t="s">
        <v>533</v>
      </c>
      <c r="B2024" s="6" t="s">
        <v>534</v>
      </c>
      <c r="C2024" s="6" t="s">
        <v>34</v>
      </c>
      <c r="D2024" s="1088" t="s">
        <v>539</v>
      </c>
      <c r="E2024" s="1088" t="s">
        <v>188</v>
      </c>
      <c r="F2024" s="6" t="s">
        <v>546</v>
      </c>
      <c r="G2024" s="6" t="s">
        <v>1414</v>
      </c>
      <c r="H2024" s="6" t="s">
        <v>670</v>
      </c>
      <c r="J2024" s="1215" t="s">
        <v>510</v>
      </c>
      <c r="K2024" s="1219" t="s">
        <v>3110</v>
      </c>
      <c r="L2024" s="8">
        <v>0</v>
      </c>
      <c r="M2024" s="8">
        <v>2</v>
      </c>
      <c r="N2024" s="1169" t="s">
        <v>271</v>
      </c>
      <c r="P2024" s="6" t="s">
        <v>3361</v>
      </c>
      <c r="Q2024" s="1215" t="s">
        <v>240</v>
      </c>
      <c r="R2024" s="1088" t="s">
        <v>242</v>
      </c>
      <c r="S2024" s="1088"/>
      <c r="T2024" s="1088" t="s">
        <v>3345</v>
      </c>
      <c r="X2024" s="1088"/>
    </row>
    <row r="2025" spans="1:24" ht="15" customHeight="1" x14ac:dyDescent="0.3">
      <c r="A2025" s="6" t="s">
        <v>533</v>
      </c>
      <c r="B2025" s="6" t="s">
        <v>534</v>
      </c>
      <c r="C2025" s="6" t="s">
        <v>34</v>
      </c>
      <c r="D2025" s="1088" t="s">
        <v>539</v>
      </c>
      <c r="E2025" s="6" t="s">
        <v>188</v>
      </c>
      <c r="F2025" s="6" t="s">
        <v>546</v>
      </c>
      <c r="G2025" s="6" t="s">
        <v>1414</v>
      </c>
      <c r="H2025" s="6" t="s">
        <v>670</v>
      </c>
      <c r="J2025" s="1215" t="s">
        <v>510</v>
      </c>
      <c r="K2025" s="1219" t="s">
        <v>3111</v>
      </c>
      <c r="L2025" s="8">
        <v>0</v>
      </c>
      <c r="M2025" s="8">
        <v>5</v>
      </c>
      <c r="N2025" s="1169" t="s">
        <v>271</v>
      </c>
      <c r="P2025" s="6" t="s">
        <v>3361</v>
      </c>
      <c r="Q2025" s="1215" t="s">
        <v>240</v>
      </c>
      <c r="R2025" s="1088" t="s">
        <v>242</v>
      </c>
      <c r="S2025" s="1088" t="s">
        <v>3390</v>
      </c>
      <c r="T2025" s="1088" t="s">
        <v>3339</v>
      </c>
    </row>
    <row r="2026" spans="1:24" ht="15" customHeight="1" x14ac:dyDescent="0.3">
      <c r="A2026" s="6" t="s">
        <v>533</v>
      </c>
      <c r="B2026" s="6" t="s">
        <v>534</v>
      </c>
      <c r="C2026" s="6" t="s">
        <v>31</v>
      </c>
      <c r="D2026" s="1088" t="s">
        <v>549</v>
      </c>
      <c r="E2026" s="1088" t="s">
        <v>169</v>
      </c>
      <c r="F2026" s="6" t="s">
        <v>673</v>
      </c>
      <c r="G2026" s="6" t="s">
        <v>827</v>
      </c>
      <c r="H2026" s="6" t="s">
        <v>3305</v>
      </c>
      <c r="J2026" s="1215" t="s">
        <v>510</v>
      </c>
      <c r="K2026" s="1219" t="s">
        <v>3033</v>
      </c>
      <c r="L2026" s="8">
        <v>71</v>
      </c>
      <c r="M2026" s="8">
        <v>382</v>
      </c>
      <c r="N2026" s="1169" t="s">
        <v>271</v>
      </c>
      <c r="P2026" s="6" t="s">
        <v>3361</v>
      </c>
      <c r="Q2026" s="1215" t="s">
        <v>240</v>
      </c>
      <c r="R2026" s="1088" t="s">
        <v>242</v>
      </c>
      <c r="S2026" s="1088" t="s">
        <v>3390</v>
      </c>
      <c r="T2026" s="1088" t="s">
        <v>3339</v>
      </c>
    </row>
    <row r="2027" spans="1:24" ht="15" customHeight="1" x14ac:dyDescent="0.3">
      <c r="A2027" s="6" t="s">
        <v>533</v>
      </c>
      <c r="B2027" s="6" t="s">
        <v>534</v>
      </c>
      <c r="C2027" s="6" t="s">
        <v>31</v>
      </c>
      <c r="D2027" s="1088" t="s">
        <v>549</v>
      </c>
      <c r="E2027" s="1088" t="s">
        <v>169</v>
      </c>
      <c r="F2027" s="6" t="s">
        <v>673</v>
      </c>
      <c r="G2027" s="6" t="s">
        <v>827</v>
      </c>
      <c r="H2027" s="6" t="s">
        <v>3305</v>
      </c>
      <c r="J2027" s="1215" t="s">
        <v>510</v>
      </c>
      <c r="K2027" s="1219" t="s">
        <v>3109</v>
      </c>
      <c r="L2027" s="8">
        <v>44</v>
      </c>
      <c r="M2027" s="8">
        <v>292</v>
      </c>
      <c r="N2027" s="1169" t="s">
        <v>271</v>
      </c>
      <c r="P2027" s="6" t="s">
        <v>3361</v>
      </c>
      <c r="Q2027" s="1215" t="s">
        <v>240</v>
      </c>
      <c r="R2027" s="1088" t="s">
        <v>242</v>
      </c>
      <c r="S2027" s="1088" t="s">
        <v>3390</v>
      </c>
      <c r="T2027" s="1088" t="s">
        <v>3339</v>
      </c>
    </row>
    <row r="2028" spans="1:24" ht="15" customHeight="1" x14ac:dyDescent="0.3">
      <c r="A2028" s="6" t="s">
        <v>533</v>
      </c>
      <c r="B2028" s="6" t="s">
        <v>534</v>
      </c>
      <c r="C2028" s="6" t="s">
        <v>33</v>
      </c>
      <c r="D2028" s="1088" t="s">
        <v>561</v>
      </c>
      <c r="E2028" s="1088" t="s">
        <v>183</v>
      </c>
      <c r="F2028" s="6" t="s">
        <v>562</v>
      </c>
      <c r="G2028" s="6" t="s">
        <v>1722</v>
      </c>
      <c r="H2028" s="6" t="s">
        <v>1723</v>
      </c>
      <c r="J2028" s="1215" t="s">
        <v>510</v>
      </c>
      <c r="K2028" s="1219" t="s">
        <v>3109</v>
      </c>
      <c r="L2028" s="8">
        <v>7</v>
      </c>
      <c r="M2028" s="8">
        <v>37</v>
      </c>
      <c r="N2028" s="1169" t="s">
        <v>274</v>
      </c>
      <c r="P2028" s="6" t="s">
        <v>3361</v>
      </c>
      <c r="Q2028" s="1215" t="s">
        <v>241</v>
      </c>
      <c r="R2028" s="1088" t="s">
        <v>243</v>
      </c>
      <c r="S2028" s="1088" t="s">
        <v>3398</v>
      </c>
      <c r="T2028" s="1088" t="s">
        <v>3344</v>
      </c>
    </row>
    <row r="2029" spans="1:24" ht="15" customHeight="1" x14ac:dyDescent="0.3">
      <c r="A2029" s="6" t="s">
        <v>533</v>
      </c>
      <c r="B2029" s="6" t="s">
        <v>534</v>
      </c>
      <c r="C2029" s="6" t="s">
        <v>33</v>
      </c>
      <c r="D2029" s="1088" t="s">
        <v>561</v>
      </c>
      <c r="E2029" s="1088" t="s">
        <v>184</v>
      </c>
      <c r="F2029" s="6" t="s">
        <v>2225</v>
      </c>
      <c r="G2029" s="6" t="s">
        <v>2963</v>
      </c>
      <c r="H2029" s="6" t="s">
        <v>2228</v>
      </c>
      <c r="J2029" s="1215" t="s">
        <v>510</v>
      </c>
      <c r="K2029" s="1219" t="s">
        <v>3033</v>
      </c>
      <c r="L2029" s="8">
        <v>3</v>
      </c>
      <c r="M2029" s="8">
        <v>9</v>
      </c>
      <c r="N2029" s="1169" t="s">
        <v>274</v>
      </c>
      <c r="P2029" s="6" t="s">
        <v>3361</v>
      </c>
      <c r="Q2029" s="1215" t="s">
        <v>241</v>
      </c>
      <c r="R2029" s="1088" t="s">
        <v>243</v>
      </c>
      <c r="S2029" s="1088" t="s">
        <v>3398</v>
      </c>
      <c r="T2029" s="1088" t="s">
        <v>3344</v>
      </c>
    </row>
    <row r="2030" spans="1:24" ht="15" customHeight="1" x14ac:dyDescent="0.3">
      <c r="A2030" s="6" t="s">
        <v>533</v>
      </c>
      <c r="B2030" s="6" t="s">
        <v>534</v>
      </c>
      <c r="C2030" s="6" t="s">
        <v>31</v>
      </c>
      <c r="D2030" s="1088" t="s">
        <v>549</v>
      </c>
      <c r="E2030" s="6" t="s">
        <v>172</v>
      </c>
      <c r="F2030" s="6" t="s">
        <v>706</v>
      </c>
      <c r="G2030" s="6" t="s">
        <v>1160</v>
      </c>
      <c r="H2030" s="6" t="s">
        <v>1126</v>
      </c>
      <c r="J2030" s="1215" t="s">
        <v>510</v>
      </c>
      <c r="K2030" s="1219" t="s">
        <v>3033</v>
      </c>
      <c r="L2030" s="8">
        <v>13</v>
      </c>
      <c r="M2030" s="8">
        <v>87</v>
      </c>
      <c r="N2030" s="1169" t="s">
        <v>271</v>
      </c>
      <c r="P2030" s="6" t="s">
        <v>3361</v>
      </c>
      <c r="Q2030" s="1215" t="s">
        <v>240</v>
      </c>
      <c r="R2030" s="1088" t="s">
        <v>242</v>
      </c>
      <c r="S2030" s="1088" t="s">
        <v>3390</v>
      </c>
      <c r="T2030" s="1088" t="s">
        <v>3339</v>
      </c>
    </row>
    <row r="2031" spans="1:24" ht="15" customHeight="1" x14ac:dyDescent="0.3">
      <c r="A2031" s="6" t="s">
        <v>533</v>
      </c>
      <c r="B2031" s="6" t="s">
        <v>534</v>
      </c>
      <c r="C2031" s="6" t="s">
        <v>31</v>
      </c>
      <c r="D2031" s="1088" t="s">
        <v>549</v>
      </c>
      <c r="E2031" s="6" t="s">
        <v>172</v>
      </c>
      <c r="F2031" s="6" t="s">
        <v>706</v>
      </c>
      <c r="G2031" s="6" t="s">
        <v>1160</v>
      </c>
      <c r="H2031" s="6" t="s">
        <v>1126</v>
      </c>
      <c r="J2031" s="1215" t="s">
        <v>510</v>
      </c>
      <c r="K2031" s="1219" t="s">
        <v>3112</v>
      </c>
      <c r="L2031" s="8">
        <v>0</v>
      </c>
      <c r="M2031" s="8">
        <v>4</v>
      </c>
      <c r="N2031" s="1169" t="s">
        <v>271</v>
      </c>
      <c r="P2031" s="6" t="s">
        <v>3361</v>
      </c>
      <c r="Q2031" s="1215" t="s">
        <v>240</v>
      </c>
      <c r="R2031" s="1088" t="s">
        <v>242</v>
      </c>
      <c r="S2031" s="1088" t="s">
        <v>3390</v>
      </c>
      <c r="T2031" s="1088" t="s">
        <v>3339</v>
      </c>
    </row>
    <row r="2032" spans="1:24" ht="15" customHeight="1" x14ac:dyDescent="0.3">
      <c r="A2032" s="6" t="s">
        <v>533</v>
      </c>
      <c r="B2032" s="6" t="s">
        <v>534</v>
      </c>
      <c r="C2032" s="6" t="s">
        <v>31</v>
      </c>
      <c r="D2032" s="1088" t="s">
        <v>549</v>
      </c>
      <c r="E2032" s="6" t="s">
        <v>172</v>
      </c>
      <c r="F2032" s="6" t="s">
        <v>706</v>
      </c>
      <c r="G2032" s="6" t="s">
        <v>550</v>
      </c>
      <c r="H2032" s="6" t="s">
        <v>3118</v>
      </c>
      <c r="I2032" s="6" t="s">
        <v>3118</v>
      </c>
      <c r="J2032" s="1215" t="s">
        <v>510</v>
      </c>
      <c r="K2032" s="1219" t="s">
        <v>3033</v>
      </c>
      <c r="L2032" s="8">
        <v>25</v>
      </c>
      <c r="M2032" s="8">
        <v>90</v>
      </c>
      <c r="N2032" s="1169" t="s">
        <v>271</v>
      </c>
      <c r="P2032" s="6" t="s">
        <v>3361</v>
      </c>
      <c r="Q2032" s="1215" t="s">
        <v>240</v>
      </c>
      <c r="R2032" s="1088" t="s">
        <v>242</v>
      </c>
      <c r="S2032" s="1088" t="s">
        <v>3390</v>
      </c>
      <c r="T2032" s="1088" t="s">
        <v>3339</v>
      </c>
    </row>
    <row r="2033" spans="1:20" ht="15" customHeight="1" x14ac:dyDescent="0.3">
      <c r="A2033" s="6" t="s">
        <v>533</v>
      </c>
      <c r="B2033" s="6" t="s">
        <v>534</v>
      </c>
      <c r="C2033" s="6" t="s">
        <v>31</v>
      </c>
      <c r="D2033" s="1088" t="s">
        <v>549</v>
      </c>
      <c r="E2033" s="6" t="s">
        <v>172</v>
      </c>
      <c r="F2033" s="6" t="s">
        <v>706</v>
      </c>
      <c r="G2033" s="6" t="s">
        <v>550</v>
      </c>
      <c r="H2033" s="6" t="s">
        <v>3118</v>
      </c>
      <c r="I2033" s="6" t="s">
        <v>3118</v>
      </c>
      <c r="J2033" s="1215" t="s">
        <v>510</v>
      </c>
      <c r="K2033" s="1219" t="s">
        <v>3112</v>
      </c>
      <c r="L2033" s="8">
        <v>0</v>
      </c>
      <c r="M2033" s="8">
        <v>5</v>
      </c>
      <c r="N2033" s="1169" t="s">
        <v>271</v>
      </c>
      <c r="P2033" s="6" t="s">
        <v>3361</v>
      </c>
      <c r="Q2033" s="1215" t="s">
        <v>240</v>
      </c>
      <c r="R2033" s="1088" t="s">
        <v>242</v>
      </c>
      <c r="S2033" s="1088" t="s">
        <v>3390</v>
      </c>
      <c r="T2033" s="1088" t="s">
        <v>3339</v>
      </c>
    </row>
    <row r="2034" spans="1:20" ht="15" customHeight="1" x14ac:dyDescent="0.3">
      <c r="A2034" s="6" t="s">
        <v>533</v>
      </c>
      <c r="B2034" s="6" t="s">
        <v>534</v>
      </c>
      <c r="C2034" s="6" t="s">
        <v>31</v>
      </c>
      <c r="D2034" s="1088" t="s">
        <v>549</v>
      </c>
      <c r="E2034" s="6" t="s">
        <v>171</v>
      </c>
      <c r="F2034" s="6" t="s">
        <v>634</v>
      </c>
      <c r="G2034" s="6" t="s">
        <v>1337</v>
      </c>
      <c r="H2034" s="6" t="s">
        <v>1426</v>
      </c>
      <c r="J2034" s="1215" t="s">
        <v>510</v>
      </c>
      <c r="K2034" s="1219" t="s">
        <v>3033</v>
      </c>
      <c r="L2034" s="8">
        <v>185</v>
      </c>
      <c r="M2034" s="8">
        <v>1122</v>
      </c>
      <c r="N2034" s="1169" t="s">
        <v>271</v>
      </c>
      <c r="P2034" s="6" t="s">
        <v>3361</v>
      </c>
      <c r="Q2034" s="1215" t="s">
        <v>240</v>
      </c>
      <c r="R2034" s="1088" t="s">
        <v>242</v>
      </c>
      <c r="S2034" s="1088" t="s">
        <v>3390</v>
      </c>
      <c r="T2034" s="1088" t="s">
        <v>3339</v>
      </c>
    </row>
    <row r="2035" spans="1:20" ht="15" customHeight="1" x14ac:dyDescent="0.3">
      <c r="A2035" s="6" t="s">
        <v>533</v>
      </c>
      <c r="B2035" s="6" t="s">
        <v>534</v>
      </c>
      <c r="C2035" s="6" t="s">
        <v>31</v>
      </c>
      <c r="D2035" s="1088" t="s">
        <v>549</v>
      </c>
      <c r="E2035" s="6" t="s">
        <v>171</v>
      </c>
      <c r="F2035" s="6" t="s">
        <v>634</v>
      </c>
      <c r="G2035" s="6" t="s">
        <v>1708</v>
      </c>
      <c r="H2035" s="6" t="s">
        <v>2037</v>
      </c>
      <c r="J2035" s="1215" t="s">
        <v>510</v>
      </c>
      <c r="K2035" s="1219" t="s">
        <v>3033</v>
      </c>
      <c r="L2035" s="8">
        <v>53</v>
      </c>
      <c r="M2035" s="8">
        <v>359</v>
      </c>
      <c r="N2035" s="1169" t="s">
        <v>271</v>
      </c>
      <c r="P2035" s="6" t="s">
        <v>3361</v>
      </c>
      <c r="Q2035" s="1215" t="s">
        <v>240</v>
      </c>
      <c r="R2035" s="1088" t="s">
        <v>242</v>
      </c>
      <c r="S2035" s="1088" t="s">
        <v>3390</v>
      </c>
      <c r="T2035" s="1088" t="s">
        <v>3339</v>
      </c>
    </row>
    <row r="2036" spans="1:20" ht="15" customHeight="1" x14ac:dyDescent="0.3">
      <c r="A2036" s="6" t="s">
        <v>533</v>
      </c>
      <c r="B2036" s="6" t="s">
        <v>534</v>
      </c>
      <c r="C2036" s="6" t="s">
        <v>33</v>
      </c>
      <c r="D2036" s="1088" t="s">
        <v>561</v>
      </c>
      <c r="E2036" s="6" t="s">
        <v>186</v>
      </c>
      <c r="F2036" s="6" t="s">
        <v>682</v>
      </c>
      <c r="G2036" s="6" t="s">
        <v>2217</v>
      </c>
      <c r="H2036" s="6" t="s">
        <v>3315</v>
      </c>
      <c r="J2036" s="1215" t="s">
        <v>510</v>
      </c>
      <c r="K2036" s="1219" t="s">
        <v>3033</v>
      </c>
      <c r="L2036" s="8">
        <v>15</v>
      </c>
      <c r="M2036" s="8">
        <v>150</v>
      </c>
      <c r="N2036" s="1169" t="s">
        <v>271</v>
      </c>
      <c r="P2036" s="6" t="s">
        <v>3361</v>
      </c>
      <c r="Q2036" s="1215" t="s">
        <v>240</v>
      </c>
      <c r="R2036" s="1088" t="s">
        <v>242</v>
      </c>
      <c r="S2036" s="1088" t="s">
        <v>3390</v>
      </c>
      <c r="T2036" s="1088" t="s">
        <v>3339</v>
      </c>
    </row>
    <row r="2037" spans="1:20" ht="15" customHeight="1" x14ac:dyDescent="0.3">
      <c r="A2037" s="6" t="s">
        <v>533</v>
      </c>
      <c r="B2037" s="6" t="s">
        <v>534</v>
      </c>
      <c r="C2037" s="6" t="s">
        <v>35</v>
      </c>
      <c r="D2037" s="1088" t="s">
        <v>567</v>
      </c>
      <c r="E2037" s="6" t="s">
        <v>195</v>
      </c>
      <c r="F2037" s="6" t="s">
        <v>733</v>
      </c>
      <c r="G2037" s="6" t="s">
        <v>1037</v>
      </c>
      <c r="H2037" s="6" t="s">
        <v>1038</v>
      </c>
      <c r="J2037" s="1215" t="s">
        <v>510</v>
      </c>
      <c r="K2037" s="1219" t="s">
        <v>3033</v>
      </c>
      <c r="L2037" s="8">
        <v>150</v>
      </c>
      <c r="M2037" s="8">
        <v>485</v>
      </c>
      <c r="N2037" s="1169" t="s">
        <v>271</v>
      </c>
      <c r="P2037" s="6" t="s">
        <v>3361</v>
      </c>
      <c r="Q2037" s="1215" t="s">
        <v>240</v>
      </c>
      <c r="R2037" s="1088" t="s">
        <v>242</v>
      </c>
      <c r="S2037" s="1088" t="s">
        <v>3387</v>
      </c>
      <c r="T2037" s="1088" t="s">
        <v>3340</v>
      </c>
    </row>
    <row r="2038" spans="1:20" ht="15" customHeight="1" x14ac:dyDescent="0.3">
      <c r="A2038" s="6" t="s">
        <v>533</v>
      </c>
      <c r="B2038" s="6" t="s">
        <v>534</v>
      </c>
      <c r="C2038" s="6" t="s">
        <v>35</v>
      </c>
      <c r="D2038" s="1088" t="s">
        <v>567</v>
      </c>
      <c r="E2038" s="6" t="s">
        <v>195</v>
      </c>
      <c r="F2038" s="6" t="s">
        <v>733</v>
      </c>
      <c r="G2038" s="6" t="s">
        <v>2650</v>
      </c>
      <c r="H2038" s="6" t="s">
        <v>1766</v>
      </c>
      <c r="J2038" s="1215" t="s">
        <v>510</v>
      </c>
      <c r="K2038" s="1219" t="s">
        <v>3033</v>
      </c>
      <c r="L2038" s="8">
        <v>2</v>
      </c>
      <c r="M2038" s="8">
        <v>15</v>
      </c>
      <c r="N2038" s="1088" t="s">
        <v>271</v>
      </c>
      <c r="P2038" s="6" t="s">
        <v>3361</v>
      </c>
      <c r="Q2038" s="1215" t="s">
        <v>240</v>
      </c>
      <c r="R2038" s="1088" t="s">
        <v>242</v>
      </c>
      <c r="S2038" s="1088" t="s">
        <v>3387</v>
      </c>
      <c r="T2038" s="1088" t="s">
        <v>3340</v>
      </c>
    </row>
    <row r="2039" spans="1:20" ht="15" customHeight="1" x14ac:dyDescent="0.3">
      <c r="A2039" s="6" t="s">
        <v>533</v>
      </c>
      <c r="B2039" s="6" t="s">
        <v>534</v>
      </c>
      <c r="C2039" s="6" t="s">
        <v>31</v>
      </c>
      <c r="D2039" s="1088" t="s">
        <v>549</v>
      </c>
      <c r="E2039" s="6" t="s">
        <v>164</v>
      </c>
      <c r="F2039" s="6" t="s">
        <v>748</v>
      </c>
      <c r="G2039" s="6" t="s">
        <v>907</v>
      </c>
      <c r="H2039" s="6" t="s">
        <v>908</v>
      </c>
      <c r="J2039" s="1215" t="s">
        <v>510</v>
      </c>
      <c r="K2039" s="1219" t="s">
        <v>3111</v>
      </c>
      <c r="L2039" s="8">
        <v>1</v>
      </c>
      <c r="M2039" s="8">
        <v>3</v>
      </c>
      <c r="N2039" s="1169" t="s">
        <v>271</v>
      </c>
      <c r="P2039" s="6" t="s">
        <v>3361</v>
      </c>
      <c r="Q2039" s="1215" t="s">
        <v>240</v>
      </c>
      <c r="R2039" s="1088" t="s">
        <v>242</v>
      </c>
      <c r="S2039" s="1088" t="s">
        <v>3390</v>
      </c>
      <c r="T2039" s="1088" t="s">
        <v>3339</v>
      </c>
    </row>
    <row r="2040" spans="1:20" ht="15" customHeight="1" x14ac:dyDescent="0.3">
      <c r="A2040" s="6" t="s">
        <v>533</v>
      </c>
      <c r="B2040" s="6" t="s">
        <v>534</v>
      </c>
      <c r="C2040" s="6" t="s">
        <v>31</v>
      </c>
      <c r="D2040" s="1088" t="s">
        <v>549</v>
      </c>
      <c r="E2040" s="6" t="s">
        <v>164</v>
      </c>
      <c r="F2040" s="6" t="s">
        <v>748</v>
      </c>
      <c r="G2040" s="6" t="s">
        <v>907</v>
      </c>
      <c r="H2040" s="6" t="s">
        <v>908</v>
      </c>
      <c r="J2040" s="1215" t="s">
        <v>510</v>
      </c>
      <c r="K2040" s="1219" t="s">
        <v>3112</v>
      </c>
      <c r="L2040" s="8">
        <v>1</v>
      </c>
      <c r="M2040" s="8">
        <v>5</v>
      </c>
      <c r="N2040" s="1169" t="s">
        <v>271</v>
      </c>
      <c r="P2040" s="6" t="s">
        <v>3361</v>
      </c>
      <c r="Q2040" s="1215" t="s">
        <v>240</v>
      </c>
      <c r="R2040" s="1088" t="s">
        <v>242</v>
      </c>
      <c r="S2040" s="1088" t="s">
        <v>3390</v>
      </c>
      <c r="T2040" s="1088" t="s">
        <v>3339</v>
      </c>
    </row>
    <row r="2041" spans="1:20" ht="15" customHeight="1" x14ac:dyDescent="0.3">
      <c r="A2041" s="6" t="s">
        <v>533</v>
      </c>
      <c r="B2041" s="6" t="s">
        <v>534</v>
      </c>
      <c r="C2041" s="6" t="s">
        <v>30</v>
      </c>
      <c r="D2041" s="1088" t="s">
        <v>535</v>
      </c>
      <c r="E2041" s="1088" t="s">
        <v>162</v>
      </c>
      <c r="F2041" s="6" t="s">
        <v>536</v>
      </c>
      <c r="G2041" s="6" t="s">
        <v>2687</v>
      </c>
      <c r="H2041" s="6" t="s">
        <v>3306</v>
      </c>
      <c r="J2041" s="1215" t="s">
        <v>510</v>
      </c>
      <c r="K2041" s="1219" t="s">
        <v>3033</v>
      </c>
      <c r="L2041" s="8">
        <v>19</v>
      </c>
      <c r="M2041" s="8">
        <v>112</v>
      </c>
      <c r="N2041" s="1169" t="s">
        <v>271</v>
      </c>
      <c r="P2041" s="6" t="s">
        <v>3361</v>
      </c>
      <c r="Q2041" s="1215" t="s">
        <v>240</v>
      </c>
      <c r="R2041" s="1088" t="s">
        <v>242</v>
      </c>
      <c r="S2041" s="1088" t="s">
        <v>3387</v>
      </c>
      <c r="T2041" s="1088" t="s">
        <v>3340</v>
      </c>
    </row>
    <row r="2042" spans="1:20" ht="15" customHeight="1" x14ac:dyDescent="0.3">
      <c r="A2042" s="6" t="s">
        <v>533</v>
      </c>
      <c r="B2042" s="6" t="s">
        <v>534</v>
      </c>
      <c r="C2042" s="6" t="s">
        <v>35</v>
      </c>
      <c r="D2042" s="1088" t="s">
        <v>567</v>
      </c>
      <c r="E2042" s="6" t="s">
        <v>193</v>
      </c>
      <c r="F2042" s="6" t="s">
        <v>863</v>
      </c>
      <c r="G2042" s="6" t="s">
        <v>2677</v>
      </c>
      <c r="H2042" s="6" t="s">
        <v>1585</v>
      </c>
      <c r="J2042" s="1215" t="s">
        <v>510</v>
      </c>
      <c r="K2042" s="1219" t="s">
        <v>3112</v>
      </c>
      <c r="L2042" s="8">
        <v>2</v>
      </c>
      <c r="M2042" s="8">
        <v>5</v>
      </c>
      <c r="N2042" s="1169" t="s">
        <v>271</v>
      </c>
      <c r="P2042" s="6" t="s">
        <v>3361</v>
      </c>
      <c r="Q2042" s="1215" t="s">
        <v>240</v>
      </c>
      <c r="R2042" s="1088" t="s">
        <v>242</v>
      </c>
      <c r="S2042" s="1088" t="s">
        <v>3387</v>
      </c>
      <c r="T2042" s="1088" t="s">
        <v>3340</v>
      </c>
    </row>
    <row r="2043" spans="1:20" ht="15" customHeight="1" x14ac:dyDescent="0.3">
      <c r="A2043" s="6" t="s">
        <v>533</v>
      </c>
      <c r="B2043" s="6" t="s">
        <v>534</v>
      </c>
      <c r="C2043" s="6" t="s">
        <v>35</v>
      </c>
      <c r="D2043" s="1088" t="s">
        <v>567</v>
      </c>
      <c r="E2043" s="6" t="s">
        <v>190</v>
      </c>
      <c r="F2043" s="6" t="s">
        <v>800</v>
      </c>
      <c r="G2043" s="6" t="s">
        <v>2853</v>
      </c>
      <c r="H2043" s="6" t="s">
        <v>801</v>
      </c>
      <c r="J2043" s="1215" t="s">
        <v>510</v>
      </c>
      <c r="K2043" s="1219" t="s">
        <v>3111</v>
      </c>
      <c r="L2043" s="8">
        <v>1</v>
      </c>
      <c r="M2043" s="8">
        <v>39</v>
      </c>
      <c r="N2043" s="1169" t="s">
        <v>271</v>
      </c>
      <c r="P2043" s="6" t="s">
        <v>3361</v>
      </c>
      <c r="Q2043" s="1215" t="s">
        <v>240</v>
      </c>
      <c r="R2043" s="1088" t="s">
        <v>242</v>
      </c>
      <c r="S2043" s="1088" t="s">
        <v>3387</v>
      </c>
      <c r="T2043" s="1088" t="s">
        <v>3340</v>
      </c>
    </row>
    <row r="2044" spans="1:20" ht="15" customHeight="1" x14ac:dyDescent="0.3">
      <c r="A2044" s="6" t="s">
        <v>533</v>
      </c>
      <c r="B2044" s="6" t="s">
        <v>534</v>
      </c>
      <c r="C2044" s="6" t="s">
        <v>31</v>
      </c>
      <c r="D2044" s="1088" t="s">
        <v>549</v>
      </c>
      <c r="E2044" s="6" t="s">
        <v>169</v>
      </c>
      <c r="F2044" s="6" t="s">
        <v>673</v>
      </c>
      <c r="G2044" s="6" t="s">
        <v>2931</v>
      </c>
      <c r="H2044" s="6" t="s">
        <v>2223</v>
      </c>
      <c r="J2044" s="1215" t="s">
        <v>510</v>
      </c>
      <c r="K2044" s="1219" t="s">
        <v>3033</v>
      </c>
      <c r="L2044" s="8">
        <v>2</v>
      </c>
      <c r="M2044" s="8">
        <v>2</v>
      </c>
      <c r="N2044" s="1169" t="s">
        <v>271</v>
      </c>
      <c r="P2044" s="6" t="s">
        <v>3361</v>
      </c>
      <c r="Q2044" s="1215" t="s">
        <v>240</v>
      </c>
      <c r="R2044" s="1088" t="s">
        <v>242</v>
      </c>
      <c r="S2044" s="1088" t="s">
        <v>3390</v>
      </c>
      <c r="T2044" s="1088" t="s">
        <v>3339</v>
      </c>
    </row>
    <row r="2045" spans="1:20" ht="15" customHeight="1" x14ac:dyDescent="0.3">
      <c r="A2045" s="6" t="s">
        <v>533</v>
      </c>
      <c r="B2045" s="6" t="s">
        <v>534</v>
      </c>
      <c r="C2045" s="6" t="s">
        <v>34</v>
      </c>
      <c r="D2045" s="1088" t="s">
        <v>539</v>
      </c>
      <c r="E2045" s="6" t="s">
        <v>188</v>
      </c>
      <c r="F2045" s="6" t="s">
        <v>546</v>
      </c>
      <c r="G2045" s="6" t="s">
        <v>1675</v>
      </c>
      <c r="H2045" s="6" t="s">
        <v>1500</v>
      </c>
      <c r="J2045" s="1215" t="s">
        <v>510</v>
      </c>
      <c r="K2045" s="1219" t="s">
        <v>3110</v>
      </c>
      <c r="L2045" s="8">
        <v>2</v>
      </c>
      <c r="M2045" s="8">
        <v>9</v>
      </c>
      <c r="N2045" s="1169" t="s">
        <v>271</v>
      </c>
      <c r="P2045" s="6" t="s">
        <v>3361</v>
      </c>
      <c r="Q2045" s="1215" t="s">
        <v>240</v>
      </c>
      <c r="R2045" s="1088" t="s">
        <v>242</v>
      </c>
      <c r="S2045" s="1088" t="s">
        <v>3390</v>
      </c>
      <c r="T2045" s="1088" t="s">
        <v>3339</v>
      </c>
    </row>
    <row r="2046" spans="1:20" ht="15" customHeight="1" x14ac:dyDescent="0.3">
      <c r="A2046" s="6" t="s">
        <v>533</v>
      </c>
      <c r="B2046" s="6" t="s">
        <v>534</v>
      </c>
      <c r="C2046" s="6" t="s">
        <v>31</v>
      </c>
      <c r="D2046" s="1088" t="s">
        <v>549</v>
      </c>
      <c r="E2046" s="6" t="s">
        <v>166</v>
      </c>
      <c r="F2046" s="6" t="s">
        <v>844</v>
      </c>
      <c r="G2046" s="6" t="s">
        <v>2509</v>
      </c>
      <c r="H2046" s="6" t="s">
        <v>846</v>
      </c>
      <c r="J2046" s="1215" t="s">
        <v>510</v>
      </c>
      <c r="K2046" s="1219" t="s">
        <v>3033</v>
      </c>
      <c r="L2046" s="8">
        <v>6</v>
      </c>
      <c r="M2046" s="8">
        <v>56</v>
      </c>
      <c r="N2046" s="1169" t="s">
        <v>271</v>
      </c>
      <c r="P2046" s="6" t="s">
        <v>3361</v>
      </c>
      <c r="Q2046" s="1215" t="s">
        <v>240</v>
      </c>
      <c r="R2046" s="1088" t="s">
        <v>242</v>
      </c>
      <c r="S2046" s="1088" t="s">
        <v>3390</v>
      </c>
      <c r="T2046" s="1088" t="s">
        <v>3339</v>
      </c>
    </row>
    <row r="2047" spans="1:20" ht="15" customHeight="1" x14ac:dyDescent="0.3">
      <c r="A2047" s="6" t="s">
        <v>533</v>
      </c>
      <c r="B2047" s="6" t="s">
        <v>534</v>
      </c>
      <c r="C2047" s="6" t="s">
        <v>31</v>
      </c>
      <c r="D2047" s="1088" t="s">
        <v>549</v>
      </c>
      <c r="E2047" s="6" t="s">
        <v>166</v>
      </c>
      <c r="F2047" s="6" t="s">
        <v>844</v>
      </c>
      <c r="G2047" s="6" t="s">
        <v>1548</v>
      </c>
      <c r="H2047" s="6" t="s">
        <v>3308</v>
      </c>
      <c r="J2047" s="1215" t="s">
        <v>510</v>
      </c>
      <c r="K2047" s="1219" t="s">
        <v>3033</v>
      </c>
      <c r="L2047" s="8">
        <v>12</v>
      </c>
      <c r="M2047" s="8">
        <v>88</v>
      </c>
      <c r="N2047" s="1169" t="s">
        <v>271</v>
      </c>
      <c r="P2047" s="6" t="s">
        <v>3361</v>
      </c>
      <c r="Q2047" s="1215" t="s">
        <v>240</v>
      </c>
      <c r="R2047" s="1088" t="s">
        <v>242</v>
      </c>
      <c r="S2047" s="1088" t="s">
        <v>3390</v>
      </c>
      <c r="T2047" s="1088" t="s">
        <v>3339</v>
      </c>
    </row>
    <row r="2048" spans="1:20" ht="15" customHeight="1" x14ac:dyDescent="0.3">
      <c r="A2048" s="6" t="s">
        <v>533</v>
      </c>
      <c r="B2048" s="6" t="s">
        <v>534</v>
      </c>
      <c r="C2048" s="6" t="s">
        <v>31</v>
      </c>
      <c r="D2048" s="1088" t="s">
        <v>549</v>
      </c>
      <c r="E2048" s="6" t="s">
        <v>166</v>
      </c>
      <c r="F2048" s="6" t="s">
        <v>844</v>
      </c>
      <c r="G2048" s="6" t="s">
        <v>1548</v>
      </c>
      <c r="H2048" s="6" t="s">
        <v>3308</v>
      </c>
      <c r="J2048" s="1215" t="s">
        <v>510</v>
      </c>
      <c r="K2048" s="1219" t="s">
        <v>3112</v>
      </c>
      <c r="L2048" s="8">
        <v>12</v>
      </c>
      <c r="M2048" s="8">
        <v>52</v>
      </c>
      <c r="N2048" s="1169" t="s">
        <v>275</v>
      </c>
      <c r="O2048" s="6" t="s">
        <v>3358</v>
      </c>
      <c r="P2048" s="6" t="s">
        <v>3361</v>
      </c>
      <c r="Q2048" s="1215" t="s">
        <v>240</v>
      </c>
      <c r="R2048" s="1088" t="s">
        <v>242</v>
      </c>
      <c r="S2048" s="1088" t="s">
        <v>3390</v>
      </c>
      <c r="T2048" s="1088" t="s">
        <v>3339</v>
      </c>
    </row>
    <row r="2049" spans="1:24" ht="15" customHeight="1" x14ac:dyDescent="0.3">
      <c r="A2049" s="6" t="s">
        <v>533</v>
      </c>
      <c r="B2049" s="6" t="s">
        <v>534</v>
      </c>
      <c r="C2049" s="6" t="s">
        <v>31</v>
      </c>
      <c r="D2049" s="1088" t="s">
        <v>549</v>
      </c>
      <c r="E2049" s="6" t="s">
        <v>171</v>
      </c>
      <c r="F2049" s="6" t="s">
        <v>634</v>
      </c>
      <c r="G2049" s="6" t="s">
        <v>1743</v>
      </c>
      <c r="H2049" s="6" t="s">
        <v>924</v>
      </c>
      <c r="J2049" s="1215" t="s">
        <v>510</v>
      </c>
      <c r="K2049" s="1219" t="s">
        <v>3111</v>
      </c>
      <c r="L2049" s="8">
        <v>24</v>
      </c>
      <c r="M2049" s="8">
        <v>142</v>
      </c>
      <c r="N2049" s="1169" t="s">
        <v>271</v>
      </c>
      <c r="P2049" s="6" t="s">
        <v>3361</v>
      </c>
      <c r="Q2049" s="1215" t="s">
        <v>240</v>
      </c>
      <c r="R2049" s="1088" t="s">
        <v>242</v>
      </c>
      <c r="S2049" s="1088" t="s">
        <v>3390</v>
      </c>
      <c r="T2049" s="1088" t="s">
        <v>3339</v>
      </c>
    </row>
    <row r="2050" spans="1:24" ht="15" customHeight="1" x14ac:dyDescent="0.3">
      <c r="A2050" s="6" t="s">
        <v>533</v>
      </c>
      <c r="B2050" s="6" t="s">
        <v>534</v>
      </c>
      <c r="C2050" s="6" t="s">
        <v>31</v>
      </c>
      <c r="D2050" s="1088" t="s">
        <v>549</v>
      </c>
      <c r="E2050" s="6" t="s">
        <v>171</v>
      </c>
      <c r="F2050" s="6" t="s">
        <v>634</v>
      </c>
      <c r="G2050" s="6" t="s">
        <v>1995</v>
      </c>
      <c r="H2050" s="6" t="s">
        <v>1102</v>
      </c>
      <c r="J2050" s="1215" t="s">
        <v>510</v>
      </c>
      <c r="K2050" s="1219" t="s">
        <v>3111</v>
      </c>
      <c r="L2050" s="8">
        <v>21</v>
      </c>
      <c r="M2050" s="8">
        <v>135</v>
      </c>
      <c r="N2050" s="1169" t="s">
        <v>271</v>
      </c>
      <c r="P2050" s="6" t="s">
        <v>3361</v>
      </c>
      <c r="Q2050" s="1215" t="s">
        <v>240</v>
      </c>
      <c r="R2050" s="1088" t="s">
        <v>242</v>
      </c>
      <c r="S2050" s="1088" t="s">
        <v>3390</v>
      </c>
      <c r="T2050" s="1088" t="s">
        <v>3339</v>
      </c>
      <c r="X2050" s="1088"/>
    </row>
    <row r="2051" spans="1:24" ht="15" customHeight="1" x14ac:dyDescent="0.3">
      <c r="A2051" s="6" t="s">
        <v>533</v>
      </c>
      <c r="B2051" s="6" t="s">
        <v>534</v>
      </c>
      <c r="C2051" s="6" t="s">
        <v>31</v>
      </c>
      <c r="D2051" s="1088" t="s">
        <v>549</v>
      </c>
      <c r="E2051" s="6" t="s">
        <v>171</v>
      </c>
      <c r="F2051" s="6" t="s">
        <v>634</v>
      </c>
      <c r="G2051" s="6" t="s">
        <v>1024</v>
      </c>
      <c r="H2051" s="6" t="s">
        <v>1273</v>
      </c>
      <c r="J2051" s="1215" t="s">
        <v>510</v>
      </c>
      <c r="K2051" s="1219" t="s">
        <v>3111</v>
      </c>
      <c r="L2051" s="8">
        <v>11</v>
      </c>
      <c r="M2051" s="8">
        <v>93</v>
      </c>
      <c r="N2051" s="1169" t="s">
        <v>271</v>
      </c>
      <c r="P2051" s="6" t="s">
        <v>3361</v>
      </c>
      <c r="Q2051" s="1215" t="s">
        <v>240</v>
      </c>
      <c r="R2051" s="1088" t="s">
        <v>242</v>
      </c>
      <c r="S2051" s="1088" t="s">
        <v>3390</v>
      </c>
      <c r="T2051" s="1088" t="s">
        <v>3339</v>
      </c>
    </row>
    <row r="2052" spans="1:24" ht="15" customHeight="1" x14ac:dyDescent="0.3">
      <c r="A2052" s="6" t="s">
        <v>533</v>
      </c>
      <c r="B2052" s="6" t="s">
        <v>534</v>
      </c>
      <c r="C2052" s="6" t="s">
        <v>31</v>
      </c>
      <c r="D2052" s="1088" t="s">
        <v>549</v>
      </c>
      <c r="E2052" s="6" t="s">
        <v>169</v>
      </c>
      <c r="F2052" s="6" t="s">
        <v>673</v>
      </c>
      <c r="G2052" s="6" t="s">
        <v>1641</v>
      </c>
      <c r="H2052" s="6" t="s">
        <v>1130</v>
      </c>
      <c r="J2052" s="1215" t="s">
        <v>510</v>
      </c>
      <c r="K2052" s="1219" t="s">
        <v>3033</v>
      </c>
      <c r="L2052" s="8">
        <v>6</v>
      </c>
      <c r="M2052" s="8">
        <v>29</v>
      </c>
      <c r="N2052" s="1169" t="s">
        <v>271</v>
      </c>
      <c r="P2052" s="6" t="s">
        <v>3361</v>
      </c>
      <c r="Q2052" s="1215" t="s">
        <v>240</v>
      </c>
      <c r="R2052" s="1088" t="s">
        <v>242</v>
      </c>
      <c r="S2052" s="1088" t="s">
        <v>3390</v>
      </c>
      <c r="T2052" s="1088" t="s">
        <v>3339</v>
      </c>
    </row>
    <row r="2053" spans="1:24" ht="15" customHeight="1" x14ac:dyDescent="0.3">
      <c r="A2053" s="6" t="s">
        <v>533</v>
      </c>
      <c r="B2053" s="6" t="s">
        <v>534</v>
      </c>
      <c r="C2053" s="6" t="s">
        <v>31</v>
      </c>
      <c r="D2053" s="1088" t="s">
        <v>549</v>
      </c>
      <c r="E2053" s="6" t="s">
        <v>169</v>
      </c>
      <c r="F2053" s="6" t="s">
        <v>673</v>
      </c>
      <c r="G2053" s="6" t="s">
        <v>2905</v>
      </c>
      <c r="H2053" s="6" t="s">
        <v>1134</v>
      </c>
      <c r="J2053" s="1215" t="s">
        <v>510</v>
      </c>
      <c r="K2053" s="1219" t="s">
        <v>3033</v>
      </c>
      <c r="L2053" s="8">
        <v>57</v>
      </c>
      <c r="M2053" s="8">
        <v>349</v>
      </c>
      <c r="N2053" s="1169" t="s">
        <v>271</v>
      </c>
      <c r="P2053" s="6" t="s">
        <v>3361</v>
      </c>
      <c r="Q2053" s="1215" t="s">
        <v>240</v>
      </c>
      <c r="R2053" s="1088" t="s">
        <v>242</v>
      </c>
      <c r="S2053" s="1088" t="s">
        <v>3390</v>
      </c>
      <c r="T2053" s="1088" t="s">
        <v>3339</v>
      </c>
    </row>
    <row r="2054" spans="1:24" ht="15" customHeight="1" x14ac:dyDescent="0.3">
      <c r="A2054" s="6" t="s">
        <v>533</v>
      </c>
      <c r="B2054" s="6" t="s">
        <v>534</v>
      </c>
      <c r="C2054" s="6" t="s">
        <v>35</v>
      </c>
      <c r="D2054" s="1088" t="s">
        <v>567</v>
      </c>
      <c r="E2054" s="1088" t="s">
        <v>190</v>
      </c>
      <c r="F2054" s="6" t="s">
        <v>800</v>
      </c>
      <c r="G2054" s="6" t="s">
        <v>2183</v>
      </c>
      <c r="H2054" s="6" t="s">
        <v>2184</v>
      </c>
      <c r="J2054" s="1215" t="s">
        <v>510</v>
      </c>
      <c r="K2054" s="1219" t="s">
        <v>3033</v>
      </c>
      <c r="L2054" s="8">
        <v>1</v>
      </c>
      <c r="M2054" s="8">
        <v>4</v>
      </c>
      <c r="N2054" s="1169" t="s">
        <v>271</v>
      </c>
      <c r="P2054" s="6" t="s">
        <v>3361</v>
      </c>
      <c r="Q2054" s="1215" t="s">
        <v>240</v>
      </c>
      <c r="R2054" s="1088" t="s">
        <v>242</v>
      </c>
      <c r="S2054" s="1088" t="s">
        <v>3387</v>
      </c>
      <c r="T2054" s="1088" t="s">
        <v>3340</v>
      </c>
    </row>
    <row r="2055" spans="1:24" ht="15" customHeight="1" x14ac:dyDescent="0.3">
      <c r="A2055" s="6" t="s">
        <v>533</v>
      </c>
      <c r="B2055" s="6" t="s">
        <v>534</v>
      </c>
      <c r="C2055" s="6" t="s">
        <v>35</v>
      </c>
      <c r="D2055" s="1088" t="s">
        <v>567</v>
      </c>
      <c r="E2055" s="6" t="s">
        <v>190</v>
      </c>
      <c r="F2055" s="6" t="s">
        <v>800</v>
      </c>
      <c r="G2055" s="6" t="s">
        <v>2183</v>
      </c>
      <c r="H2055" s="6" t="s">
        <v>2184</v>
      </c>
      <c r="J2055" s="1215" t="s">
        <v>510</v>
      </c>
      <c r="K2055" s="1219" t="s">
        <v>3109</v>
      </c>
      <c r="L2055" s="8">
        <v>6</v>
      </c>
      <c r="M2055" s="8">
        <v>8</v>
      </c>
      <c r="N2055" s="1169" t="s">
        <v>271</v>
      </c>
      <c r="P2055" s="6" t="s">
        <v>3361</v>
      </c>
      <c r="Q2055" s="1215" t="s">
        <v>240</v>
      </c>
      <c r="R2055" s="1088" t="s">
        <v>242</v>
      </c>
      <c r="S2055" s="1088" t="s">
        <v>3387</v>
      </c>
      <c r="T2055" s="1088" t="s">
        <v>3340</v>
      </c>
    </row>
    <row r="2056" spans="1:24" ht="15" customHeight="1" x14ac:dyDescent="0.3">
      <c r="A2056" s="6" t="s">
        <v>533</v>
      </c>
      <c r="B2056" s="6" t="s">
        <v>534</v>
      </c>
      <c r="C2056" s="6" t="s">
        <v>35</v>
      </c>
      <c r="D2056" s="1088" t="s">
        <v>567</v>
      </c>
      <c r="E2056" s="6" t="s">
        <v>190</v>
      </c>
      <c r="F2056" s="6" t="s">
        <v>800</v>
      </c>
      <c r="G2056" s="6" t="s">
        <v>2183</v>
      </c>
      <c r="H2056" s="6" t="s">
        <v>2184</v>
      </c>
      <c r="J2056" s="1215" t="s">
        <v>510</v>
      </c>
      <c r="K2056" s="1219" t="s">
        <v>3110</v>
      </c>
      <c r="L2056" s="8">
        <v>0</v>
      </c>
      <c r="M2056" s="8">
        <v>6</v>
      </c>
      <c r="N2056" s="1169" t="s">
        <v>271</v>
      </c>
      <c r="P2056" s="6" t="s">
        <v>3361</v>
      </c>
      <c r="Q2056" s="1215" t="s">
        <v>240</v>
      </c>
      <c r="R2056" s="1088" t="s">
        <v>242</v>
      </c>
      <c r="S2056" s="1088" t="s">
        <v>3387</v>
      </c>
      <c r="T2056" s="1088" t="s">
        <v>3340</v>
      </c>
    </row>
    <row r="2057" spans="1:24" ht="15" customHeight="1" x14ac:dyDescent="0.3">
      <c r="A2057" s="6" t="s">
        <v>533</v>
      </c>
      <c r="B2057" s="6" t="s">
        <v>534</v>
      </c>
      <c r="C2057" s="6" t="s">
        <v>35</v>
      </c>
      <c r="D2057" s="1088" t="s">
        <v>567</v>
      </c>
      <c r="E2057" s="6" t="s">
        <v>190</v>
      </c>
      <c r="F2057" s="6" t="s">
        <v>800</v>
      </c>
      <c r="G2057" s="6" t="s">
        <v>2183</v>
      </c>
      <c r="H2057" s="6" t="s">
        <v>2184</v>
      </c>
      <c r="J2057" s="1215" t="s">
        <v>510</v>
      </c>
      <c r="K2057" s="1219" t="s">
        <v>3111</v>
      </c>
      <c r="L2057" s="8">
        <v>7</v>
      </c>
      <c r="M2057" s="8">
        <v>33</v>
      </c>
      <c r="N2057" s="1169" t="s">
        <v>271</v>
      </c>
      <c r="P2057" s="6" t="s">
        <v>3361</v>
      </c>
      <c r="Q2057" s="1215" t="s">
        <v>240</v>
      </c>
      <c r="R2057" s="1088" t="s">
        <v>242</v>
      </c>
      <c r="S2057" s="1088" t="s">
        <v>3387</v>
      </c>
      <c r="T2057" s="1088" t="s">
        <v>3340</v>
      </c>
    </row>
    <row r="2058" spans="1:24" ht="15" customHeight="1" x14ac:dyDescent="0.3">
      <c r="A2058" s="6" t="s">
        <v>533</v>
      </c>
      <c r="B2058" s="6" t="s">
        <v>534</v>
      </c>
      <c r="C2058" s="6" t="s">
        <v>31</v>
      </c>
      <c r="D2058" s="1088" t="s">
        <v>549</v>
      </c>
      <c r="E2058" s="6" t="s">
        <v>169</v>
      </c>
      <c r="F2058" s="6" t="s">
        <v>673</v>
      </c>
      <c r="G2058" s="6" t="s">
        <v>550</v>
      </c>
      <c r="H2058" s="6" t="s">
        <v>3189</v>
      </c>
      <c r="I2058" s="6" t="s">
        <v>3189</v>
      </c>
      <c r="J2058" s="1215" t="s">
        <v>510</v>
      </c>
      <c r="K2058" s="1219" t="s">
        <v>3033</v>
      </c>
      <c r="L2058" s="8">
        <v>44</v>
      </c>
      <c r="M2058" s="8">
        <v>254</v>
      </c>
      <c r="N2058" s="1169" t="s">
        <v>271</v>
      </c>
      <c r="P2058" s="6" t="s">
        <v>3361</v>
      </c>
      <c r="Q2058" s="1215" t="s">
        <v>240</v>
      </c>
      <c r="R2058" s="1088" t="s">
        <v>242</v>
      </c>
      <c r="S2058" s="1088" t="s">
        <v>3390</v>
      </c>
      <c r="T2058" s="1088" t="s">
        <v>3339</v>
      </c>
    </row>
    <row r="2059" spans="1:24" ht="15" customHeight="1" x14ac:dyDescent="0.3">
      <c r="A2059" s="6" t="s">
        <v>533</v>
      </c>
      <c r="B2059" s="6" t="s">
        <v>534</v>
      </c>
      <c r="C2059" s="6" t="s">
        <v>31</v>
      </c>
      <c r="D2059" s="1088" t="s">
        <v>549</v>
      </c>
      <c r="E2059" s="6" t="s">
        <v>171</v>
      </c>
      <c r="F2059" s="6" t="s">
        <v>634</v>
      </c>
      <c r="G2059" s="6" t="s">
        <v>1046</v>
      </c>
      <c r="H2059" s="6" t="s">
        <v>1215</v>
      </c>
      <c r="J2059" s="1215" t="s">
        <v>510</v>
      </c>
      <c r="K2059" s="1219" t="s">
        <v>3111</v>
      </c>
      <c r="L2059" s="8">
        <v>13</v>
      </c>
      <c r="M2059" s="8">
        <v>77</v>
      </c>
      <c r="N2059" s="1169" t="s">
        <v>271</v>
      </c>
      <c r="P2059" s="6" t="s">
        <v>3361</v>
      </c>
      <c r="Q2059" s="1215" t="s">
        <v>240</v>
      </c>
      <c r="R2059" s="1088" t="s">
        <v>242</v>
      </c>
      <c r="S2059" s="1088" t="s">
        <v>3390</v>
      </c>
      <c r="T2059" s="1088" t="s">
        <v>3339</v>
      </c>
    </row>
    <row r="2060" spans="1:24" ht="15" customHeight="1" x14ac:dyDescent="0.3">
      <c r="A2060" s="6" t="s">
        <v>533</v>
      </c>
      <c r="B2060" s="6" t="s">
        <v>534</v>
      </c>
      <c r="C2060" s="6" t="s">
        <v>31</v>
      </c>
      <c r="D2060" s="1088" t="s">
        <v>549</v>
      </c>
      <c r="E2060" s="6" t="s">
        <v>171</v>
      </c>
      <c r="F2060" s="6" t="s">
        <v>634</v>
      </c>
      <c r="G2060" s="6" t="s">
        <v>1022</v>
      </c>
      <c r="H2060" s="6" t="s">
        <v>3245</v>
      </c>
      <c r="J2060" s="1215" t="s">
        <v>510</v>
      </c>
      <c r="K2060" s="1219" t="s">
        <v>3111</v>
      </c>
      <c r="L2060" s="8">
        <v>51</v>
      </c>
      <c r="M2060" s="8">
        <v>431</v>
      </c>
      <c r="N2060" s="1169" t="s">
        <v>271</v>
      </c>
      <c r="P2060" s="6" t="s">
        <v>3361</v>
      </c>
      <c r="Q2060" s="1215" t="s">
        <v>240</v>
      </c>
      <c r="R2060" s="1088" t="s">
        <v>242</v>
      </c>
      <c r="S2060" s="1088" t="s">
        <v>3390</v>
      </c>
      <c r="T2060" s="1088" t="s">
        <v>3339</v>
      </c>
    </row>
    <row r="2061" spans="1:24" ht="15" customHeight="1" x14ac:dyDescent="0.3">
      <c r="A2061" s="6" t="s">
        <v>533</v>
      </c>
      <c r="B2061" s="6" t="s">
        <v>534</v>
      </c>
      <c r="C2061" s="6" t="s">
        <v>31</v>
      </c>
      <c r="D2061" s="1088" t="s">
        <v>549</v>
      </c>
      <c r="E2061" s="6" t="s">
        <v>171</v>
      </c>
      <c r="F2061" s="6" t="s">
        <v>634</v>
      </c>
      <c r="G2061" s="6" t="s">
        <v>1218</v>
      </c>
      <c r="H2061" s="6" t="s">
        <v>1344</v>
      </c>
      <c r="J2061" s="1215" t="s">
        <v>510</v>
      </c>
      <c r="K2061" s="1219" t="s">
        <v>3033</v>
      </c>
      <c r="L2061" s="8">
        <v>16</v>
      </c>
      <c r="M2061" s="8">
        <v>89</v>
      </c>
      <c r="N2061" s="1169" t="s">
        <v>271</v>
      </c>
      <c r="P2061" s="6" t="s">
        <v>3361</v>
      </c>
      <c r="Q2061" s="1215" t="s">
        <v>240</v>
      </c>
      <c r="R2061" s="1088" t="s">
        <v>242</v>
      </c>
      <c r="S2061" s="1088" t="s">
        <v>3390</v>
      </c>
      <c r="T2061" s="1088" t="s">
        <v>3339</v>
      </c>
    </row>
    <row r="2062" spans="1:24" ht="15" customHeight="1" x14ac:dyDescent="0.3">
      <c r="A2062" s="6" t="s">
        <v>533</v>
      </c>
      <c r="B2062" s="6" t="s">
        <v>534</v>
      </c>
      <c r="C2062" s="6" t="s">
        <v>31</v>
      </c>
      <c r="D2062" s="1088" t="s">
        <v>549</v>
      </c>
      <c r="E2062" s="1088" t="s">
        <v>171</v>
      </c>
      <c r="F2062" s="6" t="s">
        <v>634</v>
      </c>
      <c r="G2062" s="6" t="s">
        <v>1218</v>
      </c>
      <c r="H2062" s="6" t="s">
        <v>1344</v>
      </c>
      <c r="J2062" s="1215" t="s">
        <v>510</v>
      </c>
      <c r="K2062" s="1219" t="s">
        <v>3109</v>
      </c>
      <c r="L2062" s="8">
        <v>0</v>
      </c>
      <c r="M2062" s="8">
        <v>5</v>
      </c>
      <c r="N2062" s="1169" t="s">
        <v>271</v>
      </c>
      <c r="P2062" s="6" t="s">
        <v>3361</v>
      </c>
      <c r="Q2062" s="1215" t="s">
        <v>240</v>
      </c>
      <c r="R2062" s="1088" t="s">
        <v>242</v>
      </c>
      <c r="S2062" s="1088" t="s">
        <v>3390</v>
      </c>
      <c r="T2062" s="1088" t="s">
        <v>3339</v>
      </c>
    </row>
    <row r="2063" spans="1:24" ht="15" customHeight="1" x14ac:dyDescent="0.3">
      <c r="A2063" s="6" t="s">
        <v>533</v>
      </c>
      <c r="B2063" s="6" t="s">
        <v>534</v>
      </c>
      <c r="C2063" s="6" t="s">
        <v>31</v>
      </c>
      <c r="D2063" s="1088" t="s">
        <v>549</v>
      </c>
      <c r="E2063" s="6" t="s">
        <v>171</v>
      </c>
      <c r="F2063" s="6" t="s">
        <v>634</v>
      </c>
      <c r="G2063" s="6" t="s">
        <v>2856</v>
      </c>
      <c r="H2063" s="6" t="s">
        <v>1340</v>
      </c>
      <c r="J2063" s="1215" t="s">
        <v>510</v>
      </c>
      <c r="K2063" s="1219" t="s">
        <v>3033</v>
      </c>
      <c r="L2063" s="8">
        <v>10</v>
      </c>
      <c r="M2063" s="8">
        <v>45</v>
      </c>
      <c r="N2063" s="1169" t="s">
        <v>271</v>
      </c>
      <c r="P2063" s="6" t="s">
        <v>3361</v>
      </c>
      <c r="Q2063" s="1215" t="s">
        <v>240</v>
      </c>
      <c r="R2063" s="1088" t="s">
        <v>242</v>
      </c>
      <c r="S2063" s="1088" t="s">
        <v>3390</v>
      </c>
      <c r="T2063" s="1088" t="s">
        <v>3339</v>
      </c>
    </row>
    <row r="2064" spans="1:24" ht="15" customHeight="1" x14ac:dyDescent="0.3">
      <c r="A2064" s="6" t="s">
        <v>533</v>
      </c>
      <c r="B2064" s="6" t="s">
        <v>534</v>
      </c>
      <c r="C2064" s="6" t="s">
        <v>31</v>
      </c>
      <c r="D2064" s="1088" t="s">
        <v>549</v>
      </c>
      <c r="E2064" s="1088" t="s">
        <v>171</v>
      </c>
      <c r="F2064" s="6" t="s">
        <v>634</v>
      </c>
      <c r="G2064" s="6" t="s">
        <v>1896</v>
      </c>
      <c r="H2064" s="6" t="s">
        <v>1338</v>
      </c>
      <c r="J2064" s="1215" t="s">
        <v>510</v>
      </c>
      <c r="K2064" s="1219" t="s">
        <v>3033</v>
      </c>
      <c r="L2064" s="8">
        <v>13</v>
      </c>
      <c r="M2064" s="8">
        <v>68</v>
      </c>
      <c r="N2064" s="1169" t="s">
        <v>271</v>
      </c>
      <c r="P2064" s="6" t="s">
        <v>3361</v>
      </c>
      <c r="Q2064" s="1215" t="s">
        <v>240</v>
      </c>
      <c r="R2064" s="1088" t="s">
        <v>242</v>
      </c>
      <c r="S2064" s="1088" t="s">
        <v>3390</v>
      </c>
      <c r="T2064" s="1088" t="s">
        <v>3339</v>
      </c>
    </row>
    <row r="2065" spans="1:20" ht="15" customHeight="1" x14ac:dyDescent="0.3">
      <c r="A2065" s="6" t="s">
        <v>533</v>
      </c>
      <c r="B2065" s="6" t="s">
        <v>534</v>
      </c>
      <c r="C2065" s="6" t="s">
        <v>34</v>
      </c>
      <c r="D2065" s="1088" t="s">
        <v>539</v>
      </c>
      <c r="E2065" s="6" t="s">
        <v>188</v>
      </c>
      <c r="F2065" s="6" t="s">
        <v>546</v>
      </c>
      <c r="G2065" s="6" t="s">
        <v>1488</v>
      </c>
      <c r="H2065" s="6" t="s">
        <v>1514</v>
      </c>
      <c r="J2065" s="1215" t="s">
        <v>510</v>
      </c>
      <c r="K2065" s="1219" t="s">
        <v>3109</v>
      </c>
      <c r="L2065" s="8">
        <v>1</v>
      </c>
      <c r="M2065" s="8">
        <v>1</v>
      </c>
      <c r="N2065" s="1169" t="s">
        <v>271</v>
      </c>
      <c r="P2065" s="6" t="s">
        <v>3361</v>
      </c>
      <c r="Q2065" s="1215" t="s">
        <v>240</v>
      </c>
      <c r="R2065" s="1088" t="s">
        <v>242</v>
      </c>
      <c r="S2065" s="1088" t="s">
        <v>3401</v>
      </c>
      <c r="T2065" s="1215" t="s">
        <v>3346</v>
      </c>
    </row>
    <row r="2066" spans="1:20" ht="15" customHeight="1" x14ac:dyDescent="0.3">
      <c r="A2066" s="6" t="s">
        <v>533</v>
      </c>
      <c r="B2066" s="6" t="s">
        <v>534</v>
      </c>
      <c r="C2066" s="6" t="s">
        <v>34</v>
      </c>
      <c r="D2066" s="1088" t="s">
        <v>539</v>
      </c>
      <c r="E2066" s="6" t="s">
        <v>188</v>
      </c>
      <c r="F2066" s="6" t="s">
        <v>546</v>
      </c>
      <c r="G2066" s="6" t="s">
        <v>1488</v>
      </c>
      <c r="H2066" s="6" t="s">
        <v>1514</v>
      </c>
      <c r="J2066" s="1215" t="s">
        <v>510</v>
      </c>
      <c r="K2066" s="1219" t="s">
        <v>3110</v>
      </c>
      <c r="L2066" s="8">
        <v>2</v>
      </c>
      <c r="M2066" s="8">
        <v>9</v>
      </c>
      <c r="N2066" s="1169" t="s">
        <v>271</v>
      </c>
      <c r="P2066" s="6" t="s">
        <v>3361</v>
      </c>
      <c r="Q2066" s="1215" t="s">
        <v>240</v>
      </c>
      <c r="R2066" s="1088" t="s">
        <v>242</v>
      </c>
      <c r="S2066" s="1088" t="s">
        <v>3401</v>
      </c>
      <c r="T2066" s="1088" t="s">
        <v>3346</v>
      </c>
    </row>
    <row r="2067" spans="1:20" ht="15" customHeight="1" x14ac:dyDescent="0.3">
      <c r="A2067" s="6" t="s">
        <v>533</v>
      </c>
      <c r="B2067" s="6" t="s">
        <v>534</v>
      </c>
      <c r="C2067" s="6" t="s">
        <v>34</v>
      </c>
      <c r="D2067" s="1088" t="s">
        <v>539</v>
      </c>
      <c r="E2067" s="6" t="s">
        <v>188</v>
      </c>
      <c r="F2067" s="6" t="s">
        <v>546</v>
      </c>
      <c r="G2067" s="6" t="s">
        <v>1488</v>
      </c>
      <c r="H2067" s="6" t="s">
        <v>1514</v>
      </c>
      <c r="J2067" s="1215" t="s">
        <v>510</v>
      </c>
      <c r="K2067" s="1219" t="s">
        <v>3111</v>
      </c>
      <c r="L2067" s="8">
        <v>0</v>
      </c>
      <c r="M2067" s="8">
        <v>2</v>
      </c>
      <c r="N2067" s="1169" t="s">
        <v>271</v>
      </c>
      <c r="P2067" s="6" t="s">
        <v>3361</v>
      </c>
      <c r="Q2067" s="1215" t="s">
        <v>240</v>
      </c>
      <c r="R2067" s="1088" t="s">
        <v>242</v>
      </c>
      <c r="S2067" s="1088" t="s">
        <v>3401</v>
      </c>
      <c r="T2067" s="1088" t="s">
        <v>3346</v>
      </c>
    </row>
    <row r="2068" spans="1:20" ht="15" customHeight="1" x14ac:dyDescent="0.3">
      <c r="A2068" s="6" t="s">
        <v>533</v>
      </c>
      <c r="B2068" s="6" t="s">
        <v>534</v>
      </c>
      <c r="C2068" s="6" t="s">
        <v>34</v>
      </c>
      <c r="D2068" s="1088" t="s">
        <v>539</v>
      </c>
      <c r="E2068" s="6" t="s">
        <v>188</v>
      </c>
      <c r="F2068" s="6" t="s">
        <v>546</v>
      </c>
      <c r="G2068" s="6" t="s">
        <v>984</v>
      </c>
      <c r="H2068" s="6" t="s">
        <v>1311</v>
      </c>
      <c r="J2068" s="1215" t="s">
        <v>510</v>
      </c>
      <c r="K2068" s="1219" t="s">
        <v>3109</v>
      </c>
      <c r="L2068" s="8">
        <v>1</v>
      </c>
      <c r="M2068" s="8">
        <v>7</v>
      </c>
      <c r="N2068" s="1169" t="s">
        <v>271</v>
      </c>
      <c r="P2068" s="6" t="s">
        <v>3361</v>
      </c>
      <c r="Q2068" s="1215" t="s">
        <v>240</v>
      </c>
      <c r="R2068" s="1088" t="s">
        <v>242</v>
      </c>
      <c r="S2068" s="1088" t="s">
        <v>3401</v>
      </c>
      <c r="T2068" s="1088" t="s">
        <v>3346</v>
      </c>
    </row>
    <row r="2069" spans="1:20" ht="15" customHeight="1" x14ac:dyDescent="0.3">
      <c r="A2069" s="6" t="s">
        <v>533</v>
      </c>
      <c r="B2069" s="6" t="s">
        <v>534</v>
      </c>
      <c r="C2069" s="6" t="s">
        <v>34</v>
      </c>
      <c r="D2069" s="1088" t="s">
        <v>539</v>
      </c>
      <c r="E2069" s="6" t="s">
        <v>188</v>
      </c>
      <c r="F2069" s="6" t="s">
        <v>546</v>
      </c>
      <c r="G2069" s="6" t="s">
        <v>984</v>
      </c>
      <c r="H2069" s="6" t="s">
        <v>1311</v>
      </c>
      <c r="J2069" s="1215" t="s">
        <v>510</v>
      </c>
      <c r="K2069" s="1219" t="s">
        <v>3110</v>
      </c>
      <c r="L2069" s="8">
        <v>1</v>
      </c>
      <c r="M2069" s="8">
        <v>5</v>
      </c>
      <c r="N2069" s="1169" t="s">
        <v>271</v>
      </c>
      <c r="P2069" s="6" t="s">
        <v>3361</v>
      </c>
      <c r="Q2069" s="1215" t="s">
        <v>240</v>
      </c>
      <c r="R2069" s="1088" t="s">
        <v>242</v>
      </c>
      <c r="S2069" s="1088" t="s">
        <v>3401</v>
      </c>
      <c r="T2069" s="1088" t="s">
        <v>3346</v>
      </c>
    </row>
    <row r="2070" spans="1:20" ht="15" customHeight="1" x14ac:dyDescent="0.3">
      <c r="A2070" s="6" t="s">
        <v>533</v>
      </c>
      <c r="B2070" s="6" t="s">
        <v>534</v>
      </c>
      <c r="C2070" s="6" t="s">
        <v>31</v>
      </c>
      <c r="D2070" s="1088" t="s">
        <v>549</v>
      </c>
      <c r="E2070" s="6" t="s">
        <v>164</v>
      </c>
      <c r="F2070" s="6" t="s">
        <v>748</v>
      </c>
      <c r="G2070" s="6" t="s">
        <v>1818</v>
      </c>
      <c r="H2070" s="6" t="s">
        <v>1819</v>
      </c>
      <c r="J2070" s="1215" t="s">
        <v>510</v>
      </c>
      <c r="K2070" s="1219" t="s">
        <v>3033</v>
      </c>
      <c r="L2070" s="8">
        <v>61</v>
      </c>
      <c r="M2070" s="8">
        <v>208</v>
      </c>
      <c r="N2070" s="1169" t="s">
        <v>271</v>
      </c>
      <c r="P2070" s="6" t="s">
        <v>3361</v>
      </c>
      <c r="Q2070" s="1215" t="s">
        <v>240</v>
      </c>
      <c r="R2070" s="1088" t="s">
        <v>242</v>
      </c>
      <c r="S2070" s="1088" t="s">
        <v>3390</v>
      </c>
      <c r="T2070" s="1088" t="s">
        <v>3339</v>
      </c>
    </row>
    <row r="2071" spans="1:20" ht="15" customHeight="1" x14ac:dyDescent="0.3">
      <c r="A2071" s="6" t="s">
        <v>533</v>
      </c>
      <c r="B2071" s="6" t="s">
        <v>534</v>
      </c>
      <c r="C2071" s="6" t="s">
        <v>35</v>
      </c>
      <c r="D2071" s="1088" t="s">
        <v>567</v>
      </c>
      <c r="E2071" s="6" t="s">
        <v>193</v>
      </c>
      <c r="F2071" s="6" t="s">
        <v>863</v>
      </c>
      <c r="G2071" s="6" t="s">
        <v>2910</v>
      </c>
      <c r="H2071" s="6" t="s">
        <v>3091</v>
      </c>
      <c r="J2071" s="1215" t="s">
        <v>510</v>
      </c>
      <c r="K2071" s="1219" t="s">
        <v>3033</v>
      </c>
      <c r="L2071" s="8">
        <v>15</v>
      </c>
      <c r="M2071" s="8">
        <v>76</v>
      </c>
      <c r="N2071" s="1169" t="s">
        <v>271</v>
      </c>
      <c r="P2071" s="6" t="s">
        <v>3361</v>
      </c>
      <c r="Q2071" s="1215" t="s">
        <v>240</v>
      </c>
      <c r="R2071" s="1088" t="s">
        <v>242</v>
      </c>
      <c r="S2071" s="1088" t="s">
        <v>3397</v>
      </c>
      <c r="T2071" s="1088" t="s">
        <v>3341</v>
      </c>
    </row>
    <row r="2072" spans="1:20" ht="15" customHeight="1" x14ac:dyDescent="0.3">
      <c r="A2072" s="6" t="s">
        <v>533</v>
      </c>
      <c r="B2072" s="6" t="s">
        <v>534</v>
      </c>
      <c r="C2072" s="6" t="s">
        <v>35</v>
      </c>
      <c r="D2072" s="1088" t="s">
        <v>567</v>
      </c>
      <c r="E2072" s="6" t="s">
        <v>193</v>
      </c>
      <c r="F2072" s="6" t="s">
        <v>863</v>
      </c>
      <c r="G2072" s="6" t="s">
        <v>1600</v>
      </c>
      <c r="H2072" s="6" t="s">
        <v>1601</v>
      </c>
      <c r="J2072" s="1215" t="s">
        <v>510</v>
      </c>
      <c r="K2072" s="1219" t="s">
        <v>3033</v>
      </c>
      <c r="L2072" s="8">
        <v>5</v>
      </c>
      <c r="M2072" s="8">
        <v>63</v>
      </c>
      <c r="N2072" s="1169" t="s">
        <v>271</v>
      </c>
      <c r="P2072" s="6" t="s">
        <v>3361</v>
      </c>
      <c r="Q2072" s="1215" t="s">
        <v>240</v>
      </c>
      <c r="R2072" s="1088" t="s">
        <v>242</v>
      </c>
      <c r="S2072" s="1088" t="s">
        <v>3397</v>
      </c>
      <c r="T2072" s="1088" t="s">
        <v>3341</v>
      </c>
    </row>
    <row r="2073" spans="1:20" ht="15" customHeight="1" x14ac:dyDescent="0.3">
      <c r="A2073" s="6" t="s">
        <v>533</v>
      </c>
      <c r="B2073" s="6" t="s">
        <v>534</v>
      </c>
      <c r="C2073" s="6" t="s">
        <v>35</v>
      </c>
      <c r="D2073" s="1088" t="s">
        <v>567</v>
      </c>
      <c r="E2073" s="6" t="s">
        <v>193</v>
      </c>
      <c r="F2073" s="6" t="s">
        <v>863</v>
      </c>
      <c r="G2073" s="6" t="s">
        <v>1582</v>
      </c>
      <c r="H2073" s="6" t="s">
        <v>1092</v>
      </c>
      <c r="J2073" s="1215" t="s">
        <v>510</v>
      </c>
      <c r="K2073" s="1219" t="s">
        <v>3112</v>
      </c>
      <c r="L2073" s="8">
        <v>3</v>
      </c>
      <c r="M2073" s="8">
        <v>3</v>
      </c>
      <c r="N2073" s="1088" t="s">
        <v>271</v>
      </c>
      <c r="P2073" s="6" t="s">
        <v>3361</v>
      </c>
      <c r="Q2073" s="1215" t="s">
        <v>240</v>
      </c>
      <c r="R2073" s="1088" t="s">
        <v>242</v>
      </c>
      <c r="S2073" s="1088" t="s">
        <v>3397</v>
      </c>
      <c r="T2073" s="1088" t="s">
        <v>3341</v>
      </c>
    </row>
    <row r="2074" spans="1:20" ht="15" customHeight="1" x14ac:dyDescent="0.3">
      <c r="A2074" s="6" t="s">
        <v>533</v>
      </c>
      <c r="B2074" s="6" t="s">
        <v>534</v>
      </c>
      <c r="C2074" s="6" t="s">
        <v>35</v>
      </c>
      <c r="D2074" s="1088" t="s">
        <v>567</v>
      </c>
      <c r="E2074" s="6" t="s">
        <v>190</v>
      </c>
      <c r="F2074" s="6" t="s">
        <v>800</v>
      </c>
      <c r="G2074" s="6" t="s">
        <v>2181</v>
      </c>
      <c r="H2074" s="6" t="s">
        <v>2182</v>
      </c>
      <c r="J2074" s="1215" t="s">
        <v>510</v>
      </c>
      <c r="K2074" s="1219" t="s">
        <v>3033</v>
      </c>
      <c r="L2074" s="8">
        <v>4</v>
      </c>
      <c r="M2074" s="8">
        <v>15</v>
      </c>
      <c r="N2074" s="1169" t="s">
        <v>271</v>
      </c>
      <c r="P2074" s="6" t="s">
        <v>3361</v>
      </c>
      <c r="Q2074" s="1215" t="s">
        <v>240</v>
      </c>
      <c r="R2074" s="1088" t="s">
        <v>242</v>
      </c>
      <c r="S2074" s="1088" t="s">
        <v>3387</v>
      </c>
      <c r="T2074" s="1088" t="s">
        <v>3340</v>
      </c>
    </row>
    <row r="2075" spans="1:20" ht="15" customHeight="1" x14ac:dyDescent="0.3">
      <c r="A2075" s="6" t="s">
        <v>533</v>
      </c>
      <c r="B2075" s="6" t="s">
        <v>534</v>
      </c>
      <c r="C2075" s="6" t="s">
        <v>35</v>
      </c>
      <c r="D2075" s="1088" t="s">
        <v>567</v>
      </c>
      <c r="E2075" s="1088" t="s">
        <v>190</v>
      </c>
      <c r="F2075" s="6" t="s">
        <v>800</v>
      </c>
      <c r="G2075" s="6" t="s">
        <v>2181</v>
      </c>
      <c r="H2075" s="6" t="s">
        <v>2182</v>
      </c>
      <c r="J2075" s="1215" t="s">
        <v>510</v>
      </c>
      <c r="K2075" s="1219" t="s">
        <v>3109</v>
      </c>
      <c r="L2075" s="8">
        <v>0</v>
      </c>
      <c r="M2075" s="8">
        <v>2</v>
      </c>
      <c r="N2075" s="1169" t="s">
        <v>271</v>
      </c>
      <c r="P2075" s="6" t="s">
        <v>3361</v>
      </c>
      <c r="Q2075" s="1215" t="s">
        <v>240</v>
      </c>
      <c r="R2075" s="1088" t="s">
        <v>242</v>
      </c>
      <c r="S2075" s="1088" t="s">
        <v>3387</v>
      </c>
      <c r="T2075" s="1088" t="s">
        <v>3340</v>
      </c>
    </row>
    <row r="2076" spans="1:20" ht="15" customHeight="1" x14ac:dyDescent="0.3">
      <c r="A2076" s="6" t="s">
        <v>533</v>
      </c>
      <c r="B2076" s="6" t="s">
        <v>534</v>
      </c>
      <c r="C2076" s="6" t="s">
        <v>35</v>
      </c>
      <c r="D2076" s="1088" t="s">
        <v>567</v>
      </c>
      <c r="E2076" s="6" t="s">
        <v>190</v>
      </c>
      <c r="F2076" s="6" t="s">
        <v>800</v>
      </c>
      <c r="G2076" s="6" t="s">
        <v>2181</v>
      </c>
      <c r="H2076" s="6" t="s">
        <v>2182</v>
      </c>
      <c r="J2076" s="1215" t="s">
        <v>510</v>
      </c>
      <c r="K2076" s="1219" t="s">
        <v>3110</v>
      </c>
      <c r="L2076" s="8">
        <v>0</v>
      </c>
      <c r="M2076" s="8">
        <v>4</v>
      </c>
      <c r="N2076" s="1169" t="s">
        <v>271</v>
      </c>
      <c r="P2076" s="6" t="s">
        <v>3361</v>
      </c>
      <c r="Q2076" s="1215" t="s">
        <v>240</v>
      </c>
      <c r="R2076" s="1088" t="s">
        <v>242</v>
      </c>
      <c r="S2076" s="1088" t="s">
        <v>3387</v>
      </c>
      <c r="T2076" s="1088" t="s">
        <v>3340</v>
      </c>
    </row>
    <row r="2077" spans="1:20" ht="15" customHeight="1" x14ac:dyDescent="0.3">
      <c r="A2077" s="6" t="s">
        <v>533</v>
      </c>
      <c r="B2077" s="6" t="s">
        <v>534</v>
      </c>
      <c r="C2077" s="6" t="s">
        <v>35</v>
      </c>
      <c r="D2077" s="1088" t="s">
        <v>567</v>
      </c>
      <c r="E2077" s="6" t="s">
        <v>190</v>
      </c>
      <c r="F2077" s="6" t="s">
        <v>800</v>
      </c>
      <c r="G2077" s="6" t="s">
        <v>2181</v>
      </c>
      <c r="H2077" s="6" t="s">
        <v>2182</v>
      </c>
      <c r="J2077" s="1215" t="s">
        <v>510</v>
      </c>
      <c r="K2077" s="1219" t="s">
        <v>3111</v>
      </c>
      <c r="L2077" s="8">
        <v>1</v>
      </c>
      <c r="M2077" s="8">
        <v>3</v>
      </c>
      <c r="N2077" s="1169" t="s">
        <v>271</v>
      </c>
      <c r="P2077" s="6" t="s">
        <v>3361</v>
      </c>
      <c r="Q2077" s="1215" t="s">
        <v>240</v>
      </c>
      <c r="R2077" s="1088" t="s">
        <v>242</v>
      </c>
      <c r="S2077" s="1088" t="s">
        <v>3387</v>
      </c>
      <c r="T2077" s="1088" t="s">
        <v>3340</v>
      </c>
    </row>
    <row r="2078" spans="1:20" ht="15" customHeight="1" x14ac:dyDescent="0.3">
      <c r="A2078" s="6" t="s">
        <v>533</v>
      </c>
      <c r="B2078" s="6" t="s">
        <v>534</v>
      </c>
      <c r="C2078" s="6" t="s">
        <v>31</v>
      </c>
      <c r="D2078" s="1088" t="s">
        <v>549</v>
      </c>
      <c r="E2078" s="6" t="s">
        <v>172</v>
      </c>
      <c r="F2078" s="6" t="s">
        <v>706</v>
      </c>
      <c r="G2078" s="6" t="s">
        <v>2996</v>
      </c>
      <c r="H2078" s="6" t="s">
        <v>1039</v>
      </c>
      <c r="J2078" s="1215" t="s">
        <v>510</v>
      </c>
      <c r="K2078" s="1219" t="s">
        <v>3109</v>
      </c>
      <c r="L2078" s="8">
        <v>9</v>
      </c>
      <c r="M2078" s="8">
        <v>46</v>
      </c>
      <c r="N2078" s="1169" t="s">
        <v>271</v>
      </c>
      <c r="P2078" s="6" t="s">
        <v>3361</v>
      </c>
      <c r="Q2078" s="1215" t="s">
        <v>240</v>
      </c>
      <c r="R2078" s="1088" t="s">
        <v>242</v>
      </c>
      <c r="S2078" s="1088" t="s">
        <v>3390</v>
      </c>
      <c r="T2078" s="1088" t="s">
        <v>3339</v>
      </c>
    </row>
    <row r="2079" spans="1:20" ht="15" customHeight="1" x14ac:dyDescent="0.3">
      <c r="A2079" s="6" t="s">
        <v>533</v>
      </c>
      <c r="B2079" s="6" t="s">
        <v>534</v>
      </c>
      <c r="C2079" s="6" t="s">
        <v>31</v>
      </c>
      <c r="D2079" s="1088" t="s">
        <v>549</v>
      </c>
      <c r="E2079" s="6" t="s">
        <v>172</v>
      </c>
      <c r="F2079" s="6" t="s">
        <v>706</v>
      </c>
      <c r="G2079" s="6" t="s">
        <v>2996</v>
      </c>
      <c r="H2079" s="6" t="s">
        <v>1039</v>
      </c>
      <c r="J2079" s="1215" t="s">
        <v>510</v>
      </c>
      <c r="K2079" s="1219" t="s">
        <v>3111</v>
      </c>
      <c r="L2079" s="8">
        <v>4</v>
      </c>
      <c r="M2079" s="8">
        <v>13</v>
      </c>
      <c r="N2079" s="1169" t="s">
        <v>271</v>
      </c>
      <c r="P2079" s="6" t="s">
        <v>3361</v>
      </c>
      <c r="Q2079" s="1215" t="s">
        <v>240</v>
      </c>
      <c r="R2079" s="1088" t="s">
        <v>242</v>
      </c>
      <c r="S2079" s="1088" t="s">
        <v>3390</v>
      </c>
      <c r="T2079" s="1088" t="s">
        <v>3339</v>
      </c>
    </row>
    <row r="2080" spans="1:20" ht="15" customHeight="1" x14ac:dyDescent="0.3">
      <c r="A2080" s="6" t="s">
        <v>533</v>
      </c>
      <c r="B2080" s="6" t="s">
        <v>534</v>
      </c>
      <c r="C2080" s="6" t="s">
        <v>31</v>
      </c>
      <c r="D2080" s="1088" t="s">
        <v>549</v>
      </c>
      <c r="E2080" s="6" t="s">
        <v>169</v>
      </c>
      <c r="F2080" s="6" t="s">
        <v>673</v>
      </c>
      <c r="G2080" s="6" t="s">
        <v>2808</v>
      </c>
      <c r="H2080" s="6" t="s">
        <v>2354</v>
      </c>
      <c r="J2080" s="1215" t="s">
        <v>510</v>
      </c>
      <c r="K2080" s="1219" t="s">
        <v>3112</v>
      </c>
      <c r="L2080" s="8">
        <v>10</v>
      </c>
      <c r="M2080" s="8">
        <v>36</v>
      </c>
      <c r="N2080" s="1169" t="s">
        <v>272</v>
      </c>
      <c r="P2080" s="6" t="s">
        <v>3361</v>
      </c>
      <c r="Q2080" s="1215" t="s">
        <v>241</v>
      </c>
      <c r="R2080" s="1088" t="s">
        <v>243</v>
      </c>
      <c r="S2080" s="1088" t="s">
        <v>3399</v>
      </c>
      <c r="T2080" s="1215" t="s">
        <v>3343</v>
      </c>
    </row>
    <row r="2081" spans="1:20" ht="15" customHeight="1" x14ac:dyDescent="0.3">
      <c r="A2081" s="6" t="s">
        <v>533</v>
      </c>
      <c r="B2081" s="6" t="s">
        <v>534</v>
      </c>
      <c r="C2081" s="6" t="s">
        <v>31</v>
      </c>
      <c r="D2081" s="1088" t="s">
        <v>549</v>
      </c>
      <c r="E2081" s="6" t="s">
        <v>169</v>
      </c>
      <c r="F2081" s="6" t="s">
        <v>673</v>
      </c>
      <c r="G2081" s="6" t="s">
        <v>550</v>
      </c>
      <c r="H2081" s="6" t="s">
        <v>3122</v>
      </c>
      <c r="I2081" s="6" t="s">
        <v>3122</v>
      </c>
      <c r="J2081" s="1215" t="s">
        <v>510</v>
      </c>
      <c r="K2081" s="1219" t="s">
        <v>3112</v>
      </c>
      <c r="L2081" s="8">
        <v>50</v>
      </c>
      <c r="M2081" s="8">
        <v>350</v>
      </c>
      <c r="N2081" s="6" t="s">
        <v>272</v>
      </c>
      <c r="P2081" s="6" t="s">
        <v>3361</v>
      </c>
      <c r="Q2081" s="1215" t="s">
        <v>241</v>
      </c>
      <c r="R2081" s="1088" t="s">
        <v>243</v>
      </c>
      <c r="S2081" s="1088" t="s">
        <v>3399</v>
      </c>
      <c r="T2081" s="1088" t="s">
        <v>3343</v>
      </c>
    </row>
    <row r="2082" spans="1:20" ht="15" customHeight="1" x14ac:dyDescent="0.3">
      <c r="A2082" s="6" t="s">
        <v>533</v>
      </c>
      <c r="B2082" s="6" t="s">
        <v>534</v>
      </c>
      <c r="C2082" s="6" t="s">
        <v>31</v>
      </c>
      <c r="D2082" s="1088" t="s">
        <v>549</v>
      </c>
      <c r="E2082" s="6" t="s">
        <v>169</v>
      </c>
      <c r="F2082" s="6" t="s">
        <v>673</v>
      </c>
      <c r="G2082" s="6" t="s">
        <v>2951</v>
      </c>
      <c r="H2082" s="6" t="s">
        <v>829</v>
      </c>
      <c r="J2082" s="1215" t="s">
        <v>510</v>
      </c>
      <c r="K2082" s="1219" t="s">
        <v>3112</v>
      </c>
      <c r="L2082" s="8">
        <v>4</v>
      </c>
      <c r="M2082" s="8">
        <v>16</v>
      </c>
      <c r="N2082" s="6" t="s">
        <v>272</v>
      </c>
      <c r="P2082" s="6" t="s">
        <v>3361</v>
      </c>
      <c r="Q2082" s="1215" t="s">
        <v>241</v>
      </c>
      <c r="R2082" s="1088" t="s">
        <v>243</v>
      </c>
      <c r="S2082" s="1088" t="s">
        <v>3399</v>
      </c>
      <c r="T2082" s="1088" t="s">
        <v>3343</v>
      </c>
    </row>
    <row r="2083" spans="1:20" x14ac:dyDescent="0.3">
      <c r="A2083" s="6" t="s">
        <v>533</v>
      </c>
      <c r="B2083" s="6" t="s">
        <v>534</v>
      </c>
      <c r="C2083" s="6" t="s">
        <v>31</v>
      </c>
      <c r="D2083" s="1088" t="s">
        <v>549</v>
      </c>
      <c r="E2083" s="6" t="s">
        <v>170</v>
      </c>
      <c r="F2083" s="6" t="s">
        <v>866</v>
      </c>
      <c r="G2083" s="6" t="s">
        <v>550</v>
      </c>
      <c r="H2083" s="6" t="s">
        <v>3178</v>
      </c>
      <c r="I2083" s="6" t="s">
        <v>3178</v>
      </c>
      <c r="J2083" s="1215" t="s">
        <v>510</v>
      </c>
      <c r="K2083" s="1219" t="s">
        <v>3112</v>
      </c>
      <c r="L2083" s="8">
        <v>2</v>
      </c>
      <c r="M2083" s="8">
        <v>5</v>
      </c>
      <c r="N2083" s="1169" t="s">
        <v>272</v>
      </c>
      <c r="P2083" s="6" t="s">
        <v>3361</v>
      </c>
      <c r="Q2083" s="1215" t="s">
        <v>241</v>
      </c>
      <c r="R2083" s="1088" t="s">
        <v>243</v>
      </c>
      <c r="S2083" s="1088" t="s">
        <v>3399</v>
      </c>
      <c r="T2083" s="1088" t="s">
        <v>3343</v>
      </c>
    </row>
    <row r="2084" spans="1:20" x14ac:dyDescent="0.3">
      <c r="A2084" s="6" t="s">
        <v>533</v>
      </c>
      <c r="B2084" s="6" t="s">
        <v>534</v>
      </c>
      <c r="C2084" s="6" t="s">
        <v>31</v>
      </c>
      <c r="D2084" s="1088" t="s">
        <v>549</v>
      </c>
      <c r="E2084" s="6" t="s">
        <v>169</v>
      </c>
      <c r="F2084" s="6" t="s">
        <v>673</v>
      </c>
      <c r="G2084" s="6" t="s">
        <v>2894</v>
      </c>
      <c r="H2084" s="6" t="s">
        <v>2343</v>
      </c>
      <c r="J2084" s="1215" t="s">
        <v>510</v>
      </c>
      <c r="K2084" s="1219" t="s">
        <v>3112</v>
      </c>
      <c r="L2084" s="8">
        <v>17</v>
      </c>
      <c r="M2084" s="8">
        <v>72</v>
      </c>
      <c r="N2084" s="1169" t="s">
        <v>272</v>
      </c>
      <c r="P2084" s="6" t="s">
        <v>3361</v>
      </c>
      <c r="Q2084" s="1215" t="s">
        <v>241</v>
      </c>
      <c r="R2084" s="1088" t="s">
        <v>243</v>
      </c>
      <c r="S2084" s="1088" t="s">
        <v>3399</v>
      </c>
      <c r="T2084" s="1088" t="s">
        <v>3343</v>
      </c>
    </row>
    <row r="2085" spans="1:20" x14ac:dyDescent="0.3">
      <c r="A2085" s="6" t="s">
        <v>533</v>
      </c>
      <c r="B2085" s="6" t="s">
        <v>534</v>
      </c>
      <c r="C2085" s="6" t="s">
        <v>31</v>
      </c>
      <c r="D2085" s="1088" t="s">
        <v>549</v>
      </c>
      <c r="E2085" s="6" t="s">
        <v>169</v>
      </c>
      <c r="F2085" s="6" t="s">
        <v>673</v>
      </c>
      <c r="G2085" s="6" t="s">
        <v>2923</v>
      </c>
      <c r="H2085" s="6" t="s">
        <v>1008</v>
      </c>
      <c r="J2085" s="1215" t="s">
        <v>510</v>
      </c>
      <c r="K2085" s="1219" t="s">
        <v>3112</v>
      </c>
      <c r="L2085" s="8">
        <v>10</v>
      </c>
      <c r="M2085" s="8">
        <v>80</v>
      </c>
      <c r="N2085" s="1169" t="s">
        <v>272</v>
      </c>
      <c r="P2085" s="6" t="s">
        <v>3361</v>
      </c>
      <c r="Q2085" s="1215" t="s">
        <v>241</v>
      </c>
      <c r="R2085" s="1088" t="s">
        <v>243</v>
      </c>
      <c r="S2085" s="1088" t="s">
        <v>3399</v>
      </c>
      <c r="T2085" s="1088" t="s">
        <v>3343</v>
      </c>
    </row>
    <row r="2086" spans="1:20" x14ac:dyDescent="0.3">
      <c r="A2086" s="6" t="s">
        <v>533</v>
      </c>
      <c r="B2086" s="6" t="s">
        <v>534</v>
      </c>
      <c r="C2086" s="6" t="s">
        <v>31</v>
      </c>
      <c r="D2086" s="1088" t="s">
        <v>549</v>
      </c>
      <c r="E2086" s="6" t="s">
        <v>172</v>
      </c>
      <c r="F2086" s="6" t="s">
        <v>706</v>
      </c>
      <c r="G2086" s="6" t="s">
        <v>2700</v>
      </c>
      <c r="H2086" s="6" t="s">
        <v>1194</v>
      </c>
      <c r="J2086" s="1215" t="s">
        <v>510</v>
      </c>
      <c r="K2086" s="1219" t="s">
        <v>3110</v>
      </c>
      <c r="L2086" s="8">
        <v>15</v>
      </c>
      <c r="M2086" s="8">
        <v>120</v>
      </c>
      <c r="N2086" s="1169" t="s">
        <v>271</v>
      </c>
      <c r="P2086" s="6" t="s">
        <v>3361</v>
      </c>
      <c r="Q2086" s="1215" t="s">
        <v>240</v>
      </c>
      <c r="R2086" s="1088" t="s">
        <v>242</v>
      </c>
      <c r="S2086" s="1088" t="s">
        <v>3390</v>
      </c>
      <c r="T2086" s="1088" t="s">
        <v>3339</v>
      </c>
    </row>
    <row r="2087" spans="1:20" x14ac:dyDescent="0.3">
      <c r="A2087" s="6" t="s">
        <v>533</v>
      </c>
      <c r="B2087" s="6" t="s">
        <v>534</v>
      </c>
      <c r="C2087" s="6" t="s">
        <v>31</v>
      </c>
      <c r="D2087" s="1088" t="s">
        <v>549</v>
      </c>
      <c r="E2087" s="1088" t="s">
        <v>170</v>
      </c>
      <c r="F2087" s="6" t="s">
        <v>866</v>
      </c>
      <c r="G2087" s="6" t="s">
        <v>2005</v>
      </c>
      <c r="H2087" s="6" t="s">
        <v>1913</v>
      </c>
      <c r="J2087" s="1215" t="s">
        <v>510</v>
      </c>
      <c r="K2087" s="1219" t="s">
        <v>3112</v>
      </c>
      <c r="L2087" s="8">
        <v>7</v>
      </c>
      <c r="M2087" s="8">
        <v>80</v>
      </c>
      <c r="N2087" s="1169" t="s">
        <v>272</v>
      </c>
      <c r="P2087" s="6" t="s">
        <v>3361</v>
      </c>
      <c r="Q2087" s="1215" t="s">
        <v>241</v>
      </c>
      <c r="R2087" s="1088" t="s">
        <v>243</v>
      </c>
      <c r="S2087" s="1088" t="s">
        <v>3399</v>
      </c>
      <c r="T2087" s="1088" t="s">
        <v>3343</v>
      </c>
    </row>
    <row r="2088" spans="1:20" x14ac:dyDescent="0.3">
      <c r="A2088" s="6" t="s">
        <v>533</v>
      </c>
      <c r="B2088" s="6" t="s">
        <v>534</v>
      </c>
      <c r="C2088" s="6" t="s">
        <v>31</v>
      </c>
      <c r="D2088" s="1088" t="s">
        <v>549</v>
      </c>
      <c r="E2088" s="6" t="s">
        <v>171</v>
      </c>
      <c r="F2088" s="6" t="s">
        <v>634</v>
      </c>
      <c r="G2088" s="6" t="s">
        <v>2837</v>
      </c>
      <c r="H2088" s="6" t="s">
        <v>1078</v>
      </c>
      <c r="J2088" s="1215" t="s">
        <v>510</v>
      </c>
      <c r="K2088" s="1219" t="s">
        <v>3033</v>
      </c>
      <c r="L2088" s="8">
        <v>33</v>
      </c>
      <c r="M2088" s="8">
        <v>169</v>
      </c>
      <c r="N2088" s="1169" t="s">
        <v>271</v>
      </c>
      <c r="P2088" s="6" t="s">
        <v>3361</v>
      </c>
      <c r="Q2088" s="1215" t="s">
        <v>240</v>
      </c>
      <c r="R2088" s="1088" t="s">
        <v>242</v>
      </c>
      <c r="S2088" s="1088" t="s">
        <v>3390</v>
      </c>
      <c r="T2088" s="1088" t="s">
        <v>3339</v>
      </c>
    </row>
    <row r="2089" spans="1:20" x14ac:dyDescent="0.3">
      <c r="A2089" s="6" t="s">
        <v>533</v>
      </c>
      <c r="B2089" s="6" t="s">
        <v>534</v>
      </c>
      <c r="C2089" s="6" t="s">
        <v>31</v>
      </c>
      <c r="D2089" s="1088" t="s">
        <v>549</v>
      </c>
      <c r="E2089" s="6" t="s">
        <v>171</v>
      </c>
      <c r="F2089" s="6" t="s">
        <v>634</v>
      </c>
      <c r="G2089" s="6" t="s">
        <v>2837</v>
      </c>
      <c r="H2089" s="6" t="s">
        <v>1078</v>
      </c>
      <c r="J2089" s="1215" t="s">
        <v>510</v>
      </c>
      <c r="K2089" s="1219" t="s">
        <v>3109</v>
      </c>
      <c r="L2089" s="8">
        <v>4</v>
      </c>
      <c r="M2089" s="8">
        <v>24</v>
      </c>
      <c r="N2089" s="1169" t="s">
        <v>271</v>
      </c>
      <c r="P2089" s="6" t="s">
        <v>3361</v>
      </c>
      <c r="Q2089" s="1215" t="s">
        <v>240</v>
      </c>
      <c r="R2089" s="1088" t="s">
        <v>242</v>
      </c>
      <c r="S2089" s="1088" t="s">
        <v>3390</v>
      </c>
      <c r="T2089" s="1088" t="s">
        <v>3339</v>
      </c>
    </row>
    <row r="2090" spans="1:20" x14ac:dyDescent="0.3">
      <c r="A2090" s="6" t="s">
        <v>533</v>
      </c>
      <c r="B2090" s="6" t="s">
        <v>534</v>
      </c>
      <c r="C2090" s="6" t="s">
        <v>31</v>
      </c>
      <c r="D2090" s="1088" t="s">
        <v>549</v>
      </c>
      <c r="E2090" s="6" t="s">
        <v>171</v>
      </c>
      <c r="F2090" s="6" t="s">
        <v>634</v>
      </c>
      <c r="G2090" s="6" t="s">
        <v>2837</v>
      </c>
      <c r="H2090" s="6" t="s">
        <v>1078</v>
      </c>
      <c r="J2090" s="1215" t="s">
        <v>510</v>
      </c>
      <c r="K2090" s="1219" t="s">
        <v>3111</v>
      </c>
      <c r="L2090" s="8">
        <v>0</v>
      </c>
      <c r="M2090" s="8">
        <v>11</v>
      </c>
      <c r="N2090" s="1169" t="s">
        <v>271</v>
      </c>
      <c r="P2090" s="6" t="s">
        <v>3361</v>
      </c>
      <c r="Q2090" s="1215" t="s">
        <v>240</v>
      </c>
      <c r="R2090" s="1088" t="s">
        <v>242</v>
      </c>
      <c r="S2090" s="1088" t="s">
        <v>3390</v>
      </c>
      <c r="T2090" s="1088" t="s">
        <v>3339</v>
      </c>
    </row>
    <row r="2091" spans="1:20" x14ac:dyDescent="0.3">
      <c r="A2091" s="6" t="s">
        <v>533</v>
      </c>
      <c r="B2091" s="6" t="s">
        <v>534</v>
      </c>
      <c r="C2091" s="6" t="s">
        <v>31</v>
      </c>
      <c r="D2091" s="1088" t="s">
        <v>549</v>
      </c>
      <c r="E2091" s="6" t="s">
        <v>171</v>
      </c>
      <c r="F2091" s="6" t="s">
        <v>634</v>
      </c>
      <c r="G2091" s="6" t="s">
        <v>2837</v>
      </c>
      <c r="H2091" s="6" t="s">
        <v>1078</v>
      </c>
      <c r="J2091" s="1215" t="s">
        <v>510</v>
      </c>
      <c r="K2091" s="1219" t="s">
        <v>3112</v>
      </c>
      <c r="L2091" s="8">
        <v>0</v>
      </c>
      <c r="M2091" s="8">
        <v>3</v>
      </c>
      <c r="N2091" s="1169" t="s">
        <v>271</v>
      </c>
      <c r="P2091" s="6" t="s">
        <v>3361</v>
      </c>
      <c r="Q2091" s="1215" t="s">
        <v>240</v>
      </c>
      <c r="R2091" s="1088" t="s">
        <v>242</v>
      </c>
      <c r="S2091" s="1088" t="s">
        <v>3390</v>
      </c>
      <c r="T2091" s="1088" t="s">
        <v>3339</v>
      </c>
    </row>
    <row r="2092" spans="1:20" x14ac:dyDescent="0.3">
      <c r="A2092" s="6" t="s">
        <v>533</v>
      </c>
      <c r="B2092" s="6" t="s">
        <v>534</v>
      </c>
      <c r="C2092" s="6" t="s">
        <v>33</v>
      </c>
      <c r="D2092" s="1088" t="s">
        <v>561</v>
      </c>
      <c r="E2092" s="6" t="s">
        <v>184</v>
      </c>
      <c r="F2092" s="6" t="s">
        <v>2225</v>
      </c>
      <c r="G2092" s="6" t="s">
        <v>2227</v>
      </c>
      <c r="H2092" s="6" t="s">
        <v>2639</v>
      </c>
      <c r="J2092" s="1215" t="s">
        <v>510</v>
      </c>
      <c r="K2092" s="1219" t="s">
        <v>3033</v>
      </c>
      <c r="L2092" s="8">
        <v>4</v>
      </c>
      <c r="M2092" s="8">
        <v>24</v>
      </c>
      <c r="N2092" s="1169" t="s">
        <v>274</v>
      </c>
      <c r="P2092" s="6" t="s">
        <v>3361</v>
      </c>
      <c r="Q2092" s="1215" t="s">
        <v>241</v>
      </c>
      <c r="R2092" s="1088" t="s">
        <v>243</v>
      </c>
      <c r="S2092" s="1088" t="s">
        <v>3398</v>
      </c>
      <c r="T2092" s="1088" t="s">
        <v>3344</v>
      </c>
    </row>
    <row r="2093" spans="1:20" x14ac:dyDescent="0.3">
      <c r="A2093" s="6" t="s">
        <v>533</v>
      </c>
      <c r="B2093" s="6" t="s">
        <v>534</v>
      </c>
      <c r="C2093" s="6" t="s">
        <v>33</v>
      </c>
      <c r="D2093" s="1088" t="s">
        <v>561</v>
      </c>
      <c r="E2093" s="6" t="s">
        <v>183</v>
      </c>
      <c r="F2093" s="6" t="s">
        <v>562</v>
      </c>
      <c r="G2093" s="6" t="s">
        <v>744</v>
      </c>
      <c r="H2093" s="6" t="s">
        <v>745</v>
      </c>
      <c r="J2093" s="1215" t="s">
        <v>510</v>
      </c>
      <c r="K2093" s="1219" t="s">
        <v>3112</v>
      </c>
      <c r="L2093" s="8">
        <v>12</v>
      </c>
      <c r="M2093" s="8">
        <v>75</v>
      </c>
      <c r="N2093" s="1169" t="s">
        <v>274</v>
      </c>
      <c r="P2093" s="6" t="s">
        <v>3361</v>
      </c>
      <c r="Q2093" s="1215" t="s">
        <v>240</v>
      </c>
      <c r="R2093" s="1088" t="s">
        <v>242</v>
      </c>
      <c r="S2093" s="1215" t="s">
        <v>3394</v>
      </c>
      <c r="T2093" s="1215" t="s">
        <v>3347</v>
      </c>
    </row>
    <row r="2094" spans="1:20" x14ac:dyDescent="0.3">
      <c r="A2094" s="6" t="s">
        <v>533</v>
      </c>
      <c r="B2094" s="6" t="s">
        <v>534</v>
      </c>
      <c r="C2094" s="6" t="s">
        <v>31</v>
      </c>
      <c r="D2094" s="1088" t="s">
        <v>549</v>
      </c>
      <c r="E2094" s="6" t="s">
        <v>169</v>
      </c>
      <c r="F2094" s="6" t="s">
        <v>673</v>
      </c>
      <c r="G2094" s="6" t="s">
        <v>2977</v>
      </c>
      <c r="H2094" s="6" t="s">
        <v>2332</v>
      </c>
      <c r="J2094" s="1215" t="s">
        <v>510</v>
      </c>
      <c r="K2094" s="1219" t="s">
        <v>3112</v>
      </c>
      <c r="L2094" s="8">
        <v>200</v>
      </c>
      <c r="M2094" s="8">
        <v>1050</v>
      </c>
      <c r="N2094" s="1169" t="s">
        <v>272</v>
      </c>
      <c r="P2094" s="6" t="s">
        <v>3361</v>
      </c>
      <c r="Q2094" s="1215" t="s">
        <v>241</v>
      </c>
      <c r="R2094" s="1088" t="s">
        <v>243</v>
      </c>
      <c r="S2094" s="1088" t="s">
        <v>3391</v>
      </c>
      <c r="T2094" s="1215" t="s">
        <v>3348</v>
      </c>
    </row>
    <row r="2095" spans="1:20" x14ac:dyDescent="0.3">
      <c r="A2095" s="6" t="s">
        <v>533</v>
      </c>
      <c r="B2095" s="6" t="s">
        <v>534</v>
      </c>
      <c r="C2095" s="6" t="s">
        <v>31</v>
      </c>
      <c r="D2095" s="1088" t="s">
        <v>549</v>
      </c>
      <c r="E2095" s="6" t="s">
        <v>169</v>
      </c>
      <c r="F2095" s="6" t="s">
        <v>673</v>
      </c>
      <c r="G2095" s="6" t="s">
        <v>550</v>
      </c>
      <c r="H2095" s="6" t="s">
        <v>3190</v>
      </c>
      <c r="I2095" s="6" t="s">
        <v>3190</v>
      </c>
      <c r="J2095" s="1215" t="s">
        <v>510</v>
      </c>
      <c r="K2095" s="1219" t="s">
        <v>3112</v>
      </c>
      <c r="L2095" s="8">
        <v>200</v>
      </c>
      <c r="M2095" s="8">
        <v>1050</v>
      </c>
      <c r="N2095" s="1169" t="s">
        <v>272</v>
      </c>
      <c r="P2095" s="6" t="s">
        <v>3361</v>
      </c>
      <c r="Q2095" s="1215" t="s">
        <v>241</v>
      </c>
      <c r="R2095" s="1088" t="s">
        <v>243</v>
      </c>
      <c r="S2095" s="1088" t="s">
        <v>3391</v>
      </c>
      <c r="T2095" s="1088" t="s">
        <v>3348</v>
      </c>
    </row>
    <row r="2096" spans="1:20" x14ac:dyDescent="0.3">
      <c r="A2096" s="6" t="s">
        <v>533</v>
      </c>
      <c r="B2096" s="6" t="s">
        <v>534</v>
      </c>
      <c r="C2096" s="6" t="s">
        <v>31</v>
      </c>
      <c r="D2096" s="1088" t="s">
        <v>549</v>
      </c>
      <c r="E2096" s="6" t="s">
        <v>169</v>
      </c>
      <c r="F2096" s="6" t="s">
        <v>673</v>
      </c>
      <c r="G2096" s="6" t="s">
        <v>2840</v>
      </c>
      <c r="H2096" s="6" t="s">
        <v>2386</v>
      </c>
      <c r="J2096" s="1215" t="s">
        <v>510</v>
      </c>
      <c r="K2096" s="1219" t="s">
        <v>3112</v>
      </c>
      <c r="L2096" s="8">
        <v>5</v>
      </c>
      <c r="M2096" s="8">
        <v>10</v>
      </c>
      <c r="N2096" s="1169" t="s">
        <v>274</v>
      </c>
      <c r="P2096" s="6" t="s">
        <v>3361</v>
      </c>
      <c r="Q2096" s="1215" t="s">
        <v>241</v>
      </c>
      <c r="R2096" s="1088" t="s">
        <v>243</v>
      </c>
      <c r="S2096" s="1088" t="s">
        <v>3391</v>
      </c>
      <c r="T2096" s="1088" t="s">
        <v>3348</v>
      </c>
    </row>
    <row r="2097" spans="1:24" x14ac:dyDescent="0.3">
      <c r="A2097" s="6" t="s">
        <v>533</v>
      </c>
      <c r="B2097" s="6" t="s">
        <v>534</v>
      </c>
      <c r="C2097" s="6" t="s">
        <v>31</v>
      </c>
      <c r="D2097" s="1088" t="s">
        <v>549</v>
      </c>
      <c r="E2097" s="6" t="s">
        <v>169</v>
      </c>
      <c r="F2097" s="6" t="s">
        <v>673</v>
      </c>
      <c r="G2097" s="6" t="s">
        <v>2816</v>
      </c>
      <c r="H2097" s="6" t="s">
        <v>2350</v>
      </c>
      <c r="J2097" s="1215" t="s">
        <v>510</v>
      </c>
      <c r="K2097" s="1219" t="s">
        <v>3109</v>
      </c>
      <c r="L2097" s="8">
        <v>4</v>
      </c>
      <c r="M2097" s="8">
        <v>9</v>
      </c>
      <c r="N2097" s="1169" t="s">
        <v>271</v>
      </c>
      <c r="P2097" s="6" t="s">
        <v>3361</v>
      </c>
      <c r="Q2097" s="1215" t="s">
        <v>240</v>
      </c>
      <c r="R2097" s="1088" t="s">
        <v>242</v>
      </c>
      <c r="S2097" s="1088" t="s">
        <v>3390</v>
      </c>
      <c r="T2097" s="1088" t="s">
        <v>3339</v>
      </c>
    </row>
    <row r="2098" spans="1:24" x14ac:dyDescent="0.3">
      <c r="A2098" s="6" t="s">
        <v>533</v>
      </c>
      <c r="B2098" s="6" t="s">
        <v>534</v>
      </c>
      <c r="C2098" s="6" t="s">
        <v>31</v>
      </c>
      <c r="D2098" s="1088" t="s">
        <v>549</v>
      </c>
      <c r="E2098" s="6" t="s">
        <v>164</v>
      </c>
      <c r="F2098" s="6" t="s">
        <v>748</v>
      </c>
      <c r="G2098" s="6" t="s">
        <v>909</v>
      </c>
      <c r="H2098" s="6" t="s">
        <v>910</v>
      </c>
      <c r="J2098" s="1215" t="s">
        <v>510</v>
      </c>
      <c r="K2098" s="1219" t="s">
        <v>3112</v>
      </c>
      <c r="L2098" s="8">
        <v>1</v>
      </c>
      <c r="M2098" s="8">
        <v>4</v>
      </c>
      <c r="N2098" s="1088" t="s">
        <v>271</v>
      </c>
      <c r="P2098" s="6" t="s">
        <v>3361</v>
      </c>
      <c r="Q2098" s="1215" t="s">
        <v>240</v>
      </c>
      <c r="R2098" s="1088" t="s">
        <v>242</v>
      </c>
      <c r="S2098" s="1088" t="s">
        <v>3390</v>
      </c>
      <c r="T2098" s="1088" t="s">
        <v>3339</v>
      </c>
    </row>
    <row r="2099" spans="1:24" x14ac:dyDescent="0.3">
      <c r="A2099" s="6" t="s">
        <v>533</v>
      </c>
      <c r="B2099" s="6" t="s">
        <v>534</v>
      </c>
      <c r="C2099" s="6" t="s">
        <v>31</v>
      </c>
      <c r="D2099" s="1088" t="s">
        <v>549</v>
      </c>
      <c r="E2099" s="6" t="s">
        <v>164</v>
      </c>
      <c r="F2099" s="6" t="s">
        <v>748</v>
      </c>
      <c r="G2099" s="6" t="s">
        <v>2038</v>
      </c>
      <c r="H2099" s="6" t="s">
        <v>2039</v>
      </c>
      <c r="J2099" s="1215" t="s">
        <v>510</v>
      </c>
      <c r="K2099" s="1219" t="s">
        <v>3033</v>
      </c>
      <c r="L2099" s="8">
        <v>150</v>
      </c>
      <c r="M2099" s="8">
        <v>400</v>
      </c>
      <c r="N2099" s="1088" t="s">
        <v>271</v>
      </c>
      <c r="P2099" s="6" t="s">
        <v>3361</v>
      </c>
      <c r="Q2099" s="1215" t="s">
        <v>240</v>
      </c>
      <c r="R2099" s="1088" t="s">
        <v>242</v>
      </c>
      <c r="S2099" s="1088" t="s">
        <v>3390</v>
      </c>
      <c r="T2099" s="1088" t="s">
        <v>3339</v>
      </c>
    </row>
    <row r="2100" spans="1:24" x14ac:dyDescent="0.3">
      <c r="A2100" s="6" t="s">
        <v>533</v>
      </c>
      <c r="B2100" s="6" t="s">
        <v>534</v>
      </c>
      <c r="C2100" s="6" t="s">
        <v>31</v>
      </c>
      <c r="D2100" s="1088" t="s">
        <v>549</v>
      </c>
      <c r="E2100" s="6" t="s">
        <v>164</v>
      </c>
      <c r="F2100" s="6" t="s">
        <v>748</v>
      </c>
      <c r="G2100" s="6" t="s">
        <v>2038</v>
      </c>
      <c r="H2100" s="6" t="s">
        <v>2039</v>
      </c>
      <c r="J2100" s="1215" t="s">
        <v>510</v>
      </c>
      <c r="K2100" s="1219" t="s">
        <v>3112</v>
      </c>
      <c r="L2100" s="8">
        <v>2</v>
      </c>
      <c r="M2100" s="8">
        <v>10</v>
      </c>
      <c r="N2100" s="1088" t="s">
        <v>271</v>
      </c>
      <c r="P2100" s="6" t="s">
        <v>3361</v>
      </c>
      <c r="Q2100" s="1215" t="s">
        <v>240</v>
      </c>
      <c r="R2100" s="1088" t="s">
        <v>242</v>
      </c>
      <c r="S2100" s="1088" t="s">
        <v>3390</v>
      </c>
      <c r="T2100" s="1088" t="s">
        <v>3339</v>
      </c>
    </row>
    <row r="2101" spans="1:24" x14ac:dyDescent="0.3">
      <c r="A2101" s="6" t="s">
        <v>533</v>
      </c>
      <c r="B2101" s="6" t="s">
        <v>534</v>
      </c>
      <c r="C2101" s="6" t="s">
        <v>34</v>
      </c>
      <c r="D2101" s="1088" t="s">
        <v>539</v>
      </c>
      <c r="E2101" s="6" t="s">
        <v>188</v>
      </c>
      <c r="F2101" s="6" t="s">
        <v>546</v>
      </c>
      <c r="G2101" s="6" t="s">
        <v>2849</v>
      </c>
      <c r="H2101" s="6" t="s">
        <v>1498</v>
      </c>
      <c r="J2101" s="1215" t="s">
        <v>510</v>
      </c>
      <c r="K2101" s="1219" t="s">
        <v>3033</v>
      </c>
      <c r="L2101" s="8">
        <v>1</v>
      </c>
      <c r="M2101" s="8">
        <v>10</v>
      </c>
      <c r="N2101" s="1088" t="s">
        <v>271</v>
      </c>
      <c r="P2101" s="6" t="s">
        <v>3361</v>
      </c>
      <c r="Q2101" s="1215" t="s">
        <v>240</v>
      </c>
      <c r="R2101" s="1088" t="s">
        <v>242</v>
      </c>
      <c r="S2101" s="1088" t="s">
        <v>3390</v>
      </c>
      <c r="T2101" s="1088" t="s">
        <v>3339</v>
      </c>
    </row>
    <row r="2102" spans="1:24" x14ac:dyDescent="0.3">
      <c r="A2102" s="6" t="s">
        <v>533</v>
      </c>
      <c r="B2102" s="6" t="s">
        <v>534</v>
      </c>
      <c r="C2102" s="6" t="s">
        <v>34</v>
      </c>
      <c r="D2102" s="1088" t="s">
        <v>539</v>
      </c>
      <c r="E2102" s="6" t="s">
        <v>188</v>
      </c>
      <c r="F2102" s="6" t="s">
        <v>546</v>
      </c>
      <c r="G2102" s="6" t="s">
        <v>1529</v>
      </c>
      <c r="H2102" s="6" t="s">
        <v>1182</v>
      </c>
      <c r="J2102" s="1215" t="s">
        <v>510</v>
      </c>
      <c r="K2102" s="1219" t="s">
        <v>3110</v>
      </c>
      <c r="L2102" s="8">
        <v>1</v>
      </c>
      <c r="M2102" s="8">
        <v>3</v>
      </c>
      <c r="N2102" s="1169" t="s">
        <v>271</v>
      </c>
      <c r="P2102" s="6" t="s">
        <v>3361</v>
      </c>
      <c r="Q2102" s="1215" t="s">
        <v>240</v>
      </c>
      <c r="R2102" s="1088" t="s">
        <v>242</v>
      </c>
      <c r="S2102" s="1088" t="s">
        <v>3390</v>
      </c>
      <c r="T2102" s="1088" t="s">
        <v>3339</v>
      </c>
    </row>
    <row r="2103" spans="1:24" x14ac:dyDescent="0.3">
      <c r="A2103" s="6" t="s">
        <v>533</v>
      </c>
      <c r="B2103" s="6" t="s">
        <v>534</v>
      </c>
      <c r="C2103" s="6" t="s">
        <v>31</v>
      </c>
      <c r="D2103" s="1088" t="s">
        <v>549</v>
      </c>
      <c r="E2103" s="6" t="s">
        <v>171</v>
      </c>
      <c r="F2103" s="6" t="s">
        <v>634</v>
      </c>
      <c r="G2103" s="6" t="s">
        <v>2063</v>
      </c>
      <c r="H2103" s="6" t="s">
        <v>937</v>
      </c>
      <c r="J2103" s="1215" t="s">
        <v>510</v>
      </c>
      <c r="K2103" s="1219" t="s">
        <v>3033</v>
      </c>
      <c r="L2103" s="8">
        <v>1</v>
      </c>
      <c r="M2103" s="8">
        <v>6</v>
      </c>
      <c r="N2103" s="1169" t="s">
        <v>271</v>
      </c>
      <c r="P2103" s="6" t="s">
        <v>3361</v>
      </c>
      <c r="Q2103" s="1215" t="s">
        <v>240</v>
      </c>
      <c r="R2103" s="1088" t="s">
        <v>242</v>
      </c>
      <c r="S2103" s="1088" t="s">
        <v>3390</v>
      </c>
      <c r="T2103" s="1088" t="s">
        <v>3339</v>
      </c>
    </row>
    <row r="2104" spans="1:24" x14ac:dyDescent="0.3">
      <c r="A2104" s="6" t="s">
        <v>533</v>
      </c>
      <c r="B2104" s="6" t="s">
        <v>534</v>
      </c>
      <c r="C2104" s="6" t="s">
        <v>35</v>
      </c>
      <c r="D2104" s="1088" t="s">
        <v>567</v>
      </c>
      <c r="E2104" s="6" t="s">
        <v>195</v>
      </c>
      <c r="F2104" s="6" t="s">
        <v>733</v>
      </c>
      <c r="G2104" s="6" t="s">
        <v>2140</v>
      </c>
      <c r="H2104" s="6" t="s">
        <v>2141</v>
      </c>
      <c r="J2104" s="1215" t="s">
        <v>510</v>
      </c>
      <c r="K2104" s="1219" t="s">
        <v>3033</v>
      </c>
      <c r="L2104" s="8">
        <v>24</v>
      </c>
      <c r="M2104" s="8">
        <v>124</v>
      </c>
      <c r="N2104" s="1169" t="s">
        <v>271</v>
      </c>
      <c r="P2104" s="6" t="s">
        <v>3361</v>
      </c>
      <c r="Q2104" s="1215" t="s">
        <v>240</v>
      </c>
      <c r="R2104" s="1088" t="s">
        <v>242</v>
      </c>
      <c r="S2104" s="1088" t="s">
        <v>3387</v>
      </c>
      <c r="T2104" s="1088" t="s">
        <v>3340</v>
      </c>
    </row>
    <row r="2105" spans="1:24" x14ac:dyDescent="0.3">
      <c r="A2105" s="6" t="s">
        <v>533</v>
      </c>
      <c r="B2105" s="6" t="s">
        <v>534</v>
      </c>
      <c r="C2105" s="6" t="s">
        <v>35</v>
      </c>
      <c r="D2105" s="1088" t="s">
        <v>567</v>
      </c>
      <c r="E2105" s="6" t="s">
        <v>191</v>
      </c>
      <c r="F2105" s="6" t="s">
        <v>659</v>
      </c>
      <c r="G2105" s="6" t="s">
        <v>741</v>
      </c>
      <c r="H2105" s="6" t="s">
        <v>742</v>
      </c>
      <c r="J2105" s="1215" t="s">
        <v>510</v>
      </c>
      <c r="K2105" s="1219" t="s">
        <v>3033</v>
      </c>
      <c r="L2105" s="8">
        <v>1</v>
      </c>
      <c r="M2105" s="8">
        <v>9</v>
      </c>
      <c r="N2105" s="1169" t="s">
        <v>271</v>
      </c>
      <c r="P2105" s="6" t="s">
        <v>3361</v>
      </c>
      <c r="Q2105" s="1215" t="s">
        <v>240</v>
      </c>
      <c r="R2105" s="1088" t="s">
        <v>242</v>
      </c>
      <c r="S2105" s="1088" t="s">
        <v>3387</v>
      </c>
      <c r="T2105" s="1088" t="s">
        <v>3340</v>
      </c>
    </row>
    <row r="2106" spans="1:24" x14ac:dyDescent="0.3">
      <c r="A2106" s="6" t="s">
        <v>533</v>
      </c>
      <c r="B2106" s="6" t="s">
        <v>534</v>
      </c>
      <c r="C2106" s="6" t="s">
        <v>35</v>
      </c>
      <c r="D2106" s="1088" t="s">
        <v>567</v>
      </c>
      <c r="E2106" s="6" t="s">
        <v>191</v>
      </c>
      <c r="F2106" s="6" t="s">
        <v>659</v>
      </c>
      <c r="G2106" s="6" t="s">
        <v>741</v>
      </c>
      <c r="H2106" s="6" t="s">
        <v>742</v>
      </c>
      <c r="J2106" s="1215" t="s">
        <v>510</v>
      </c>
      <c r="K2106" s="1219" t="s">
        <v>3110</v>
      </c>
      <c r="L2106" s="8">
        <v>3</v>
      </c>
      <c r="M2106" s="8">
        <v>12</v>
      </c>
      <c r="N2106" s="1088" t="s">
        <v>271</v>
      </c>
      <c r="P2106" s="6" t="s">
        <v>3361</v>
      </c>
      <c r="Q2106" s="1215" t="s">
        <v>240</v>
      </c>
      <c r="R2106" s="1088" t="s">
        <v>242</v>
      </c>
      <c r="S2106" s="1088" t="s">
        <v>3387</v>
      </c>
      <c r="T2106" s="1088" t="s">
        <v>3340</v>
      </c>
    </row>
    <row r="2107" spans="1:24" x14ac:dyDescent="0.3">
      <c r="A2107" s="6" t="s">
        <v>533</v>
      </c>
      <c r="B2107" s="6" t="s">
        <v>534</v>
      </c>
      <c r="C2107" s="6" t="s">
        <v>35</v>
      </c>
      <c r="D2107" s="1088" t="s">
        <v>567</v>
      </c>
      <c r="E2107" s="6" t="s">
        <v>191</v>
      </c>
      <c r="F2107" s="6" t="s">
        <v>659</v>
      </c>
      <c r="G2107" s="6" t="s">
        <v>741</v>
      </c>
      <c r="H2107" s="6" t="s">
        <v>742</v>
      </c>
      <c r="J2107" s="1215" t="s">
        <v>510</v>
      </c>
      <c r="K2107" s="1219" t="s">
        <v>3112</v>
      </c>
      <c r="L2107" s="8">
        <v>0</v>
      </c>
      <c r="M2107" s="8">
        <v>1</v>
      </c>
      <c r="N2107" s="1088" t="s">
        <v>275</v>
      </c>
      <c r="O2107" s="6" t="s">
        <v>3332</v>
      </c>
      <c r="P2107" s="6" t="s">
        <v>3361</v>
      </c>
      <c r="Q2107" s="1215" t="s">
        <v>240</v>
      </c>
      <c r="R2107" s="1088" t="s">
        <v>242</v>
      </c>
      <c r="S2107" s="1088" t="s">
        <v>3387</v>
      </c>
      <c r="T2107" s="1088" t="s">
        <v>3340</v>
      </c>
      <c r="X2107" s="1088"/>
    </row>
    <row r="2108" spans="1:24" x14ac:dyDescent="0.3">
      <c r="A2108" s="6" t="s">
        <v>533</v>
      </c>
      <c r="B2108" s="6" t="s">
        <v>534</v>
      </c>
      <c r="C2108" s="6" t="s">
        <v>35</v>
      </c>
      <c r="D2108" s="1088" t="s">
        <v>567</v>
      </c>
      <c r="E2108" s="6" t="s">
        <v>191</v>
      </c>
      <c r="F2108" s="6" t="s">
        <v>659</v>
      </c>
      <c r="G2108" s="6" t="s">
        <v>662</v>
      </c>
      <c r="H2108" s="6" t="s">
        <v>663</v>
      </c>
      <c r="J2108" s="1215" t="s">
        <v>510</v>
      </c>
      <c r="K2108" s="1219" t="s">
        <v>3033</v>
      </c>
      <c r="L2108" s="8">
        <v>2</v>
      </c>
      <c r="M2108" s="8">
        <v>12</v>
      </c>
      <c r="N2108" s="1088" t="s">
        <v>271</v>
      </c>
      <c r="P2108" s="6" t="s">
        <v>3361</v>
      </c>
      <c r="Q2108" s="1215" t="s">
        <v>240</v>
      </c>
      <c r="R2108" s="1088" t="s">
        <v>242</v>
      </c>
      <c r="S2108" s="1088" t="s">
        <v>3390</v>
      </c>
      <c r="T2108" s="1088" t="s">
        <v>3339</v>
      </c>
      <c r="X2108" s="1088"/>
    </row>
    <row r="2109" spans="1:24" x14ac:dyDescent="0.3">
      <c r="A2109" s="6" t="s">
        <v>533</v>
      </c>
      <c r="B2109" s="6" t="s">
        <v>534</v>
      </c>
      <c r="C2109" s="6" t="s">
        <v>35</v>
      </c>
      <c r="D2109" s="1088" t="s">
        <v>567</v>
      </c>
      <c r="E2109" s="6" t="s">
        <v>191</v>
      </c>
      <c r="F2109" s="6" t="s">
        <v>659</v>
      </c>
      <c r="G2109" s="6" t="s">
        <v>662</v>
      </c>
      <c r="H2109" s="6" t="s">
        <v>663</v>
      </c>
      <c r="J2109" s="1215" t="s">
        <v>510</v>
      </c>
      <c r="K2109" s="1219" t="s">
        <v>3112</v>
      </c>
      <c r="L2109" s="8">
        <v>0</v>
      </c>
      <c r="M2109" s="8">
        <v>1</v>
      </c>
      <c r="N2109" s="1169" t="s">
        <v>275</v>
      </c>
      <c r="O2109" s="6" t="s">
        <v>3332</v>
      </c>
      <c r="P2109" s="6" t="s">
        <v>3361</v>
      </c>
      <c r="Q2109" s="1215" t="s">
        <v>240</v>
      </c>
      <c r="R2109" s="1088" t="s">
        <v>242</v>
      </c>
      <c r="S2109" s="1088" t="s">
        <v>3387</v>
      </c>
      <c r="T2109" s="1088" t="s">
        <v>3340</v>
      </c>
    </row>
    <row r="2110" spans="1:24" x14ac:dyDescent="0.3">
      <c r="A2110" s="6" t="s">
        <v>533</v>
      </c>
      <c r="B2110" s="6" t="s">
        <v>534</v>
      </c>
      <c r="C2110" s="6" t="s">
        <v>31</v>
      </c>
      <c r="D2110" s="1088" t="s">
        <v>549</v>
      </c>
      <c r="E2110" s="6" t="s">
        <v>172</v>
      </c>
      <c r="F2110" s="6" t="s">
        <v>706</v>
      </c>
      <c r="G2110" s="6" t="s">
        <v>2131</v>
      </c>
      <c r="H2110" s="6" t="s">
        <v>1161</v>
      </c>
      <c r="J2110" s="1215" t="s">
        <v>510</v>
      </c>
      <c r="K2110" s="1219" t="s">
        <v>3110</v>
      </c>
      <c r="L2110" s="8">
        <v>47</v>
      </c>
      <c r="M2110" s="8">
        <v>246</v>
      </c>
      <c r="N2110" s="1088" t="s">
        <v>271</v>
      </c>
      <c r="P2110" s="6" t="s">
        <v>3361</v>
      </c>
      <c r="Q2110" s="1215" t="s">
        <v>240</v>
      </c>
      <c r="R2110" s="1088" t="s">
        <v>242</v>
      </c>
      <c r="S2110" s="1088" t="s">
        <v>3390</v>
      </c>
      <c r="T2110" s="1088" t="s">
        <v>3339</v>
      </c>
    </row>
    <row r="2111" spans="1:24" x14ac:dyDescent="0.3">
      <c r="A2111" s="6" t="s">
        <v>533</v>
      </c>
      <c r="B2111" s="6" t="s">
        <v>534</v>
      </c>
      <c r="C2111" s="6" t="s">
        <v>31</v>
      </c>
      <c r="D2111" s="1088" t="s">
        <v>549</v>
      </c>
      <c r="E2111" s="6" t="s">
        <v>172</v>
      </c>
      <c r="F2111" s="6" t="s">
        <v>706</v>
      </c>
      <c r="G2111" s="6" t="s">
        <v>2131</v>
      </c>
      <c r="H2111" s="6" t="s">
        <v>1161</v>
      </c>
      <c r="J2111" s="1215" t="s">
        <v>510</v>
      </c>
      <c r="K2111" s="1219" t="s">
        <v>3112</v>
      </c>
      <c r="L2111" s="8">
        <v>0</v>
      </c>
      <c r="M2111" s="8">
        <v>4</v>
      </c>
      <c r="N2111" s="1088" t="s">
        <v>271</v>
      </c>
      <c r="P2111" s="6" t="s">
        <v>3361</v>
      </c>
      <c r="Q2111" s="1215" t="s">
        <v>240</v>
      </c>
      <c r="R2111" s="1088" t="s">
        <v>242</v>
      </c>
      <c r="S2111" s="1088" t="s">
        <v>3390</v>
      </c>
      <c r="T2111" s="1088" t="s">
        <v>3339</v>
      </c>
    </row>
    <row r="2112" spans="1:24" x14ac:dyDescent="0.3">
      <c r="A2112" s="6" t="s">
        <v>533</v>
      </c>
      <c r="B2112" s="6" t="s">
        <v>534</v>
      </c>
      <c r="C2112" s="6" t="s">
        <v>31</v>
      </c>
      <c r="D2112" s="1088" t="s">
        <v>549</v>
      </c>
      <c r="E2112" s="6" t="s">
        <v>171</v>
      </c>
      <c r="F2112" s="6" t="s">
        <v>634</v>
      </c>
      <c r="G2112" s="6" t="s">
        <v>1780</v>
      </c>
      <c r="H2112" s="6" t="s">
        <v>1717</v>
      </c>
      <c r="J2112" s="1215" t="s">
        <v>510</v>
      </c>
      <c r="K2112" s="1219" t="s">
        <v>3033</v>
      </c>
      <c r="L2112" s="8">
        <v>4</v>
      </c>
      <c r="M2112" s="8">
        <v>33</v>
      </c>
      <c r="N2112" s="1088" t="s">
        <v>271</v>
      </c>
      <c r="P2112" s="6" t="s">
        <v>3361</v>
      </c>
      <c r="Q2112" s="1215" t="s">
        <v>240</v>
      </c>
      <c r="R2112" s="1088" t="s">
        <v>242</v>
      </c>
      <c r="S2112" s="1088" t="s">
        <v>3390</v>
      </c>
      <c r="T2112" s="1088" t="s">
        <v>3339</v>
      </c>
      <c r="X2112" s="1088"/>
    </row>
    <row r="2113" spans="1:20" x14ac:dyDescent="0.3">
      <c r="A2113" s="6" t="s">
        <v>533</v>
      </c>
      <c r="B2113" s="6" t="s">
        <v>534</v>
      </c>
      <c r="C2113" s="6" t="s">
        <v>31</v>
      </c>
      <c r="D2113" s="1088" t="s">
        <v>549</v>
      </c>
      <c r="E2113" s="6" t="s">
        <v>171</v>
      </c>
      <c r="F2113" s="6" t="s">
        <v>634</v>
      </c>
      <c r="G2113" s="6" t="s">
        <v>1780</v>
      </c>
      <c r="H2113" s="6" t="s">
        <v>1717</v>
      </c>
      <c r="J2113" s="1215" t="s">
        <v>510</v>
      </c>
      <c r="K2113" s="1219" t="s">
        <v>3112</v>
      </c>
      <c r="L2113" s="8">
        <v>1</v>
      </c>
      <c r="M2113" s="8">
        <v>4</v>
      </c>
      <c r="N2113" s="1169" t="s">
        <v>275</v>
      </c>
      <c r="O2113" s="6" t="s">
        <v>3359</v>
      </c>
      <c r="P2113" s="6" t="s">
        <v>3361</v>
      </c>
      <c r="Q2113" s="1215" t="s">
        <v>240</v>
      </c>
      <c r="R2113" s="1088" t="s">
        <v>242</v>
      </c>
      <c r="S2113" s="1088" t="s">
        <v>3390</v>
      </c>
      <c r="T2113" s="1088" t="s">
        <v>3339</v>
      </c>
    </row>
    <row r="2114" spans="1:20" x14ac:dyDescent="0.3">
      <c r="A2114" s="6" t="s">
        <v>533</v>
      </c>
      <c r="B2114" s="6" t="s">
        <v>534</v>
      </c>
      <c r="C2114" s="6" t="s">
        <v>31</v>
      </c>
      <c r="D2114" s="1088" t="s">
        <v>549</v>
      </c>
      <c r="E2114" s="6" t="s">
        <v>169</v>
      </c>
      <c r="F2114" s="6" t="s">
        <v>673</v>
      </c>
      <c r="G2114" s="6" t="s">
        <v>1639</v>
      </c>
      <c r="H2114" s="6" t="s">
        <v>841</v>
      </c>
      <c r="J2114" s="1215" t="s">
        <v>510</v>
      </c>
      <c r="K2114" s="1219" t="s">
        <v>3033</v>
      </c>
      <c r="L2114" s="8">
        <v>30</v>
      </c>
      <c r="M2114" s="8">
        <v>100</v>
      </c>
      <c r="N2114" s="1169" t="s">
        <v>271</v>
      </c>
      <c r="P2114" s="6" t="s">
        <v>3361</v>
      </c>
      <c r="Q2114" s="1215" t="s">
        <v>240</v>
      </c>
      <c r="R2114" s="1088" t="s">
        <v>242</v>
      </c>
      <c r="S2114" s="1088" t="s">
        <v>3390</v>
      </c>
      <c r="T2114" s="1088" t="s">
        <v>3339</v>
      </c>
    </row>
    <row r="2115" spans="1:20" x14ac:dyDescent="0.3">
      <c r="A2115" s="6" t="s">
        <v>533</v>
      </c>
      <c r="B2115" s="6" t="s">
        <v>534</v>
      </c>
      <c r="C2115" s="6" t="s">
        <v>31</v>
      </c>
      <c r="D2115" s="1088" t="s">
        <v>549</v>
      </c>
      <c r="E2115" s="6" t="s">
        <v>171</v>
      </c>
      <c r="F2115" s="6" t="s">
        <v>634</v>
      </c>
      <c r="G2115" s="6" t="s">
        <v>1540</v>
      </c>
      <c r="H2115" s="6" t="s">
        <v>3242</v>
      </c>
      <c r="J2115" s="1215" t="s">
        <v>510</v>
      </c>
      <c r="K2115" s="1219" t="s">
        <v>3111</v>
      </c>
      <c r="L2115" s="8">
        <v>65</v>
      </c>
      <c r="M2115" s="8">
        <v>470</v>
      </c>
      <c r="N2115" s="1169" t="s">
        <v>271</v>
      </c>
      <c r="P2115" s="6" t="s">
        <v>3361</v>
      </c>
      <c r="Q2115" s="1215" t="s">
        <v>240</v>
      </c>
      <c r="R2115" s="1088" t="s">
        <v>242</v>
      </c>
      <c r="S2115" s="1088" t="s">
        <v>3390</v>
      </c>
      <c r="T2115" s="1088" t="s">
        <v>3339</v>
      </c>
    </row>
    <row r="2116" spans="1:20" x14ac:dyDescent="0.3">
      <c r="A2116" s="6" t="s">
        <v>533</v>
      </c>
      <c r="B2116" s="6" t="s">
        <v>534</v>
      </c>
      <c r="C2116" s="6" t="s">
        <v>31</v>
      </c>
      <c r="D2116" s="1088" t="s">
        <v>549</v>
      </c>
      <c r="E2116" s="6" t="s">
        <v>171</v>
      </c>
      <c r="F2116" s="6" t="s">
        <v>634</v>
      </c>
      <c r="G2116" s="6" t="s">
        <v>2022</v>
      </c>
      <c r="H2116" s="6" t="s">
        <v>1752</v>
      </c>
      <c r="J2116" s="1215" t="s">
        <v>510</v>
      </c>
      <c r="K2116" s="1219" t="s">
        <v>3111</v>
      </c>
      <c r="L2116" s="8">
        <v>5</v>
      </c>
      <c r="M2116" s="8">
        <v>27</v>
      </c>
      <c r="N2116" s="1169" t="s">
        <v>271</v>
      </c>
      <c r="P2116" s="6" t="s">
        <v>3361</v>
      </c>
      <c r="Q2116" s="1215" t="s">
        <v>240</v>
      </c>
      <c r="R2116" s="1088" t="s">
        <v>242</v>
      </c>
      <c r="S2116" s="1088" t="s">
        <v>3390</v>
      </c>
      <c r="T2116" s="1088" t="s">
        <v>3339</v>
      </c>
    </row>
    <row r="2117" spans="1:20" x14ac:dyDescent="0.3">
      <c r="A2117" s="6" t="s">
        <v>533</v>
      </c>
      <c r="B2117" s="6" t="s">
        <v>534</v>
      </c>
      <c r="C2117" s="6" t="s">
        <v>31</v>
      </c>
      <c r="D2117" s="1088" t="s">
        <v>549</v>
      </c>
      <c r="E2117" s="6" t="s">
        <v>171</v>
      </c>
      <c r="F2117" s="6" t="s">
        <v>634</v>
      </c>
      <c r="G2117" s="6" t="s">
        <v>1320</v>
      </c>
      <c r="H2117" s="6" t="s">
        <v>1321</v>
      </c>
      <c r="J2117" s="1215" t="s">
        <v>510</v>
      </c>
      <c r="K2117" s="1219" t="s">
        <v>3111</v>
      </c>
      <c r="L2117" s="8">
        <v>25</v>
      </c>
      <c r="M2117" s="8">
        <v>76</v>
      </c>
      <c r="N2117" s="1169" t="s">
        <v>271</v>
      </c>
      <c r="P2117" s="6" t="s">
        <v>3361</v>
      </c>
      <c r="Q2117" s="1215" t="s">
        <v>240</v>
      </c>
      <c r="R2117" s="1088" t="s">
        <v>242</v>
      </c>
      <c r="S2117" s="1088" t="s">
        <v>3390</v>
      </c>
      <c r="T2117" s="1088" t="s">
        <v>3339</v>
      </c>
    </row>
    <row r="2118" spans="1:20" x14ac:dyDescent="0.3">
      <c r="A2118" s="6" t="s">
        <v>533</v>
      </c>
      <c r="B2118" s="6" t="s">
        <v>534</v>
      </c>
      <c r="C2118" s="6" t="s">
        <v>31</v>
      </c>
      <c r="D2118" s="1088" t="s">
        <v>549</v>
      </c>
      <c r="E2118" s="6" t="s">
        <v>171</v>
      </c>
      <c r="F2118" s="6" t="s">
        <v>634</v>
      </c>
      <c r="G2118" s="6" t="s">
        <v>1250</v>
      </c>
      <c r="H2118" s="6" t="s">
        <v>1251</v>
      </c>
      <c r="J2118" s="1215" t="s">
        <v>510</v>
      </c>
      <c r="K2118" s="1219" t="s">
        <v>3111</v>
      </c>
      <c r="L2118" s="8">
        <v>2</v>
      </c>
      <c r="M2118" s="8">
        <v>13</v>
      </c>
      <c r="N2118" s="1169" t="s">
        <v>271</v>
      </c>
      <c r="P2118" s="6" t="s">
        <v>3361</v>
      </c>
      <c r="Q2118" s="1215" t="s">
        <v>240</v>
      </c>
      <c r="R2118" s="1088" t="s">
        <v>242</v>
      </c>
      <c r="S2118" s="1088" t="s">
        <v>3390</v>
      </c>
      <c r="T2118" s="1088" t="s">
        <v>3339</v>
      </c>
    </row>
    <row r="2119" spans="1:20" x14ac:dyDescent="0.3">
      <c r="A2119" s="6" t="s">
        <v>533</v>
      </c>
      <c r="B2119" s="6" t="s">
        <v>534</v>
      </c>
      <c r="C2119" s="6" t="s">
        <v>31</v>
      </c>
      <c r="D2119" s="1088" t="s">
        <v>549</v>
      </c>
      <c r="E2119" s="6" t="s">
        <v>171</v>
      </c>
      <c r="F2119" s="6" t="s">
        <v>634</v>
      </c>
      <c r="G2119" s="6" t="s">
        <v>1147</v>
      </c>
      <c r="H2119" s="6" t="s">
        <v>1148</v>
      </c>
      <c r="J2119" s="1215" t="s">
        <v>510</v>
      </c>
      <c r="K2119" s="1219" t="s">
        <v>3033</v>
      </c>
      <c r="L2119" s="8">
        <v>95</v>
      </c>
      <c r="M2119" s="8">
        <v>845</v>
      </c>
      <c r="N2119" s="1169" t="s">
        <v>271</v>
      </c>
      <c r="P2119" s="6" t="s">
        <v>3361</v>
      </c>
      <c r="Q2119" s="1215" t="s">
        <v>240</v>
      </c>
      <c r="R2119" s="1088" t="s">
        <v>242</v>
      </c>
      <c r="S2119" s="1088" t="s">
        <v>3390</v>
      </c>
      <c r="T2119" s="1088" t="s">
        <v>3339</v>
      </c>
    </row>
    <row r="2120" spans="1:20" x14ac:dyDescent="0.3">
      <c r="A2120" s="6" t="s">
        <v>533</v>
      </c>
      <c r="B2120" s="6" t="s">
        <v>534</v>
      </c>
      <c r="C2120" s="6" t="s">
        <v>31</v>
      </c>
      <c r="D2120" s="1088" t="s">
        <v>549</v>
      </c>
      <c r="E2120" s="6" t="s">
        <v>171</v>
      </c>
      <c r="F2120" s="6" t="s">
        <v>634</v>
      </c>
      <c r="G2120" s="6" t="s">
        <v>2168</v>
      </c>
      <c r="H2120" s="6" t="s">
        <v>1152</v>
      </c>
      <c r="J2120" s="1215" t="s">
        <v>510</v>
      </c>
      <c r="K2120" s="1219" t="s">
        <v>3033</v>
      </c>
      <c r="L2120" s="8">
        <v>10</v>
      </c>
      <c r="M2120" s="8">
        <v>40</v>
      </c>
      <c r="N2120" s="1169" t="s">
        <v>271</v>
      </c>
      <c r="P2120" s="6" t="s">
        <v>3361</v>
      </c>
      <c r="Q2120" s="1215" t="s">
        <v>240</v>
      </c>
      <c r="R2120" s="1088" t="s">
        <v>242</v>
      </c>
      <c r="S2120" s="1088" t="s">
        <v>3390</v>
      </c>
      <c r="T2120" s="1088" t="s">
        <v>3339</v>
      </c>
    </row>
    <row r="2121" spans="1:20" x14ac:dyDescent="0.3">
      <c r="A2121" s="6" t="s">
        <v>533</v>
      </c>
      <c r="B2121" s="6" t="s">
        <v>534</v>
      </c>
      <c r="C2121" s="6" t="s">
        <v>31</v>
      </c>
      <c r="D2121" s="1088" t="s">
        <v>549</v>
      </c>
      <c r="E2121" s="6" t="s">
        <v>171</v>
      </c>
      <c r="F2121" s="6" t="s">
        <v>634</v>
      </c>
      <c r="G2121" s="6" t="s">
        <v>923</v>
      </c>
      <c r="H2121" s="6" t="s">
        <v>1962</v>
      </c>
      <c r="J2121" s="1215" t="s">
        <v>510</v>
      </c>
      <c r="K2121" s="1219" t="s">
        <v>3033</v>
      </c>
      <c r="L2121" s="8">
        <v>3</v>
      </c>
      <c r="M2121" s="8">
        <v>9</v>
      </c>
      <c r="N2121" s="1169" t="s">
        <v>271</v>
      </c>
      <c r="P2121" s="6" t="s">
        <v>3361</v>
      </c>
      <c r="Q2121" s="1215" t="s">
        <v>240</v>
      </c>
      <c r="R2121" s="1088" t="s">
        <v>242</v>
      </c>
      <c r="S2121" s="1088" t="s">
        <v>3390</v>
      </c>
      <c r="T2121" s="1088" t="s">
        <v>3339</v>
      </c>
    </row>
    <row r="2122" spans="1:20" x14ac:dyDescent="0.3">
      <c r="A2122" s="6" t="s">
        <v>533</v>
      </c>
      <c r="B2122" s="6" t="s">
        <v>534</v>
      </c>
      <c r="C2122" s="6" t="s">
        <v>31</v>
      </c>
      <c r="D2122" s="1088" t="s">
        <v>549</v>
      </c>
      <c r="E2122" s="6" t="s">
        <v>171</v>
      </c>
      <c r="F2122" s="6" t="s">
        <v>634</v>
      </c>
      <c r="G2122" s="6" t="s">
        <v>2610</v>
      </c>
      <c r="H2122" s="6" t="s">
        <v>1150</v>
      </c>
      <c r="J2122" s="1215" t="s">
        <v>510</v>
      </c>
      <c r="K2122" s="1219" t="s">
        <v>3033</v>
      </c>
      <c r="L2122" s="8">
        <v>3</v>
      </c>
      <c r="M2122" s="8">
        <v>11</v>
      </c>
      <c r="N2122" s="1169" t="s">
        <v>271</v>
      </c>
      <c r="P2122" s="6" t="s">
        <v>3361</v>
      </c>
      <c r="Q2122" s="1215" t="s">
        <v>240</v>
      </c>
      <c r="R2122" s="1088" t="s">
        <v>242</v>
      </c>
      <c r="S2122" s="1088" t="s">
        <v>3390</v>
      </c>
      <c r="T2122" s="1088" t="s">
        <v>3339</v>
      </c>
    </row>
    <row r="2123" spans="1:20" x14ac:dyDescent="0.3">
      <c r="A2123" s="6" t="s">
        <v>533</v>
      </c>
      <c r="B2123" s="6" t="s">
        <v>534</v>
      </c>
      <c r="C2123" s="6" t="s">
        <v>31</v>
      </c>
      <c r="D2123" s="1088" t="s">
        <v>549</v>
      </c>
      <c r="E2123" s="6" t="s">
        <v>171</v>
      </c>
      <c r="F2123" s="6" t="s">
        <v>634</v>
      </c>
      <c r="G2123" s="6" t="s">
        <v>1155</v>
      </c>
      <c r="H2123" s="6" t="s">
        <v>1156</v>
      </c>
      <c r="J2123" s="1215" t="s">
        <v>510</v>
      </c>
      <c r="K2123" s="1219" t="s">
        <v>3033</v>
      </c>
      <c r="L2123" s="8">
        <v>10</v>
      </c>
      <c r="M2123" s="8">
        <v>40</v>
      </c>
      <c r="N2123" s="1169" t="s">
        <v>271</v>
      </c>
      <c r="P2123" s="6" t="s">
        <v>3361</v>
      </c>
      <c r="Q2123" s="1215" t="s">
        <v>240</v>
      </c>
      <c r="R2123" s="1088" t="s">
        <v>242</v>
      </c>
      <c r="S2123" s="1088" t="s">
        <v>3390</v>
      </c>
      <c r="T2123" s="1088" t="s">
        <v>3339</v>
      </c>
    </row>
    <row r="2124" spans="1:20" x14ac:dyDescent="0.3">
      <c r="A2124" s="6" t="s">
        <v>533</v>
      </c>
      <c r="B2124" s="6" t="s">
        <v>534</v>
      </c>
      <c r="C2124" s="6" t="s">
        <v>31</v>
      </c>
      <c r="D2124" s="1088" t="s">
        <v>549</v>
      </c>
      <c r="E2124" s="6" t="s">
        <v>170</v>
      </c>
      <c r="F2124" s="6" t="s">
        <v>866</v>
      </c>
      <c r="G2124" s="6" t="s">
        <v>550</v>
      </c>
      <c r="H2124" s="6" t="s">
        <v>3177</v>
      </c>
      <c r="I2124" s="6" t="s">
        <v>3177</v>
      </c>
      <c r="J2124" s="1215" t="s">
        <v>510</v>
      </c>
      <c r="K2124" s="1219" t="s">
        <v>3112</v>
      </c>
      <c r="L2124" s="8">
        <v>21</v>
      </c>
      <c r="M2124" s="8">
        <v>200</v>
      </c>
      <c r="N2124" s="6" t="s">
        <v>272</v>
      </c>
      <c r="P2124" s="6" t="s">
        <v>3361</v>
      </c>
      <c r="Q2124" s="1215" t="s">
        <v>241</v>
      </c>
      <c r="R2124" s="1088" t="s">
        <v>243</v>
      </c>
      <c r="S2124" s="1088" t="s">
        <v>3399</v>
      </c>
      <c r="T2124" s="1088" t="s">
        <v>3343</v>
      </c>
    </row>
    <row r="2125" spans="1:20" x14ac:dyDescent="0.3">
      <c r="A2125" s="6" t="s">
        <v>533</v>
      </c>
      <c r="B2125" s="6" t="s">
        <v>534</v>
      </c>
      <c r="C2125" s="6" t="s">
        <v>31</v>
      </c>
      <c r="D2125" s="1088" t="s">
        <v>549</v>
      </c>
      <c r="E2125" s="6" t="s">
        <v>170</v>
      </c>
      <c r="F2125" s="6" t="s">
        <v>866</v>
      </c>
      <c r="G2125" s="6" t="s">
        <v>1955</v>
      </c>
      <c r="H2125" s="6" t="s">
        <v>1577</v>
      </c>
      <c r="J2125" s="1215" t="s">
        <v>510</v>
      </c>
      <c r="K2125" s="1219" t="s">
        <v>3112</v>
      </c>
      <c r="L2125" s="8">
        <v>23</v>
      </c>
      <c r="M2125" s="8">
        <v>200</v>
      </c>
      <c r="N2125" s="1169" t="s">
        <v>272</v>
      </c>
      <c r="P2125" s="6" t="s">
        <v>3361</v>
      </c>
      <c r="Q2125" s="1215" t="s">
        <v>241</v>
      </c>
      <c r="R2125" s="1088" t="s">
        <v>243</v>
      </c>
      <c r="S2125" s="1088" t="s">
        <v>3399</v>
      </c>
      <c r="T2125" s="6" t="s">
        <v>3343</v>
      </c>
    </row>
    <row r="2126" spans="1:20" x14ac:dyDescent="0.3">
      <c r="A2126" s="6" t="s">
        <v>533</v>
      </c>
      <c r="B2126" s="6" t="s">
        <v>534</v>
      </c>
      <c r="C2126" s="6" t="s">
        <v>31</v>
      </c>
      <c r="D2126" s="1088" t="s">
        <v>549</v>
      </c>
      <c r="E2126" s="6" t="s">
        <v>171</v>
      </c>
      <c r="F2126" s="6" t="s">
        <v>634</v>
      </c>
      <c r="G2126" s="6" t="s">
        <v>2888</v>
      </c>
      <c r="H2126" s="6" t="s">
        <v>1960</v>
      </c>
      <c r="J2126" s="1215" t="s">
        <v>510</v>
      </c>
      <c r="K2126" s="1219" t="s">
        <v>3033</v>
      </c>
      <c r="L2126" s="8">
        <v>2</v>
      </c>
      <c r="M2126" s="8">
        <v>10</v>
      </c>
      <c r="N2126" s="1169" t="s">
        <v>271</v>
      </c>
      <c r="P2126" s="6" t="s">
        <v>3361</v>
      </c>
      <c r="Q2126" s="1215" t="s">
        <v>240</v>
      </c>
      <c r="R2126" s="1088" t="s">
        <v>242</v>
      </c>
      <c r="S2126" s="1088" t="s">
        <v>3390</v>
      </c>
      <c r="T2126" s="6" t="s">
        <v>3339</v>
      </c>
    </row>
    <row r="2127" spans="1:20" x14ac:dyDescent="0.3">
      <c r="A2127" s="6" t="s">
        <v>533</v>
      </c>
      <c r="B2127" s="6" t="s">
        <v>534</v>
      </c>
      <c r="C2127" s="6" t="s">
        <v>31</v>
      </c>
      <c r="D2127" s="1088" t="s">
        <v>549</v>
      </c>
      <c r="E2127" s="6" t="s">
        <v>2797</v>
      </c>
      <c r="F2127" s="6" t="s">
        <v>767</v>
      </c>
      <c r="G2127" s="6" t="s">
        <v>2929</v>
      </c>
      <c r="H2127" s="6" t="s">
        <v>1201</v>
      </c>
      <c r="J2127" s="1215" t="s">
        <v>510</v>
      </c>
      <c r="K2127" s="1219" t="s">
        <v>3110</v>
      </c>
      <c r="L2127" s="8">
        <v>4</v>
      </c>
      <c r="M2127" s="8">
        <v>40</v>
      </c>
      <c r="N2127" s="1169" t="s">
        <v>271</v>
      </c>
      <c r="P2127" s="6" t="s">
        <v>3361</v>
      </c>
      <c r="Q2127" s="1215" t="s">
        <v>240</v>
      </c>
      <c r="R2127" s="1088" t="s">
        <v>242</v>
      </c>
      <c r="S2127" s="1088" t="s">
        <v>3390</v>
      </c>
      <c r="T2127" s="6" t="s">
        <v>3339</v>
      </c>
    </row>
    <row r="2128" spans="1:20" x14ac:dyDescent="0.3">
      <c r="A2128" s="6" t="s">
        <v>533</v>
      </c>
      <c r="B2128" s="6" t="s">
        <v>534</v>
      </c>
      <c r="C2128" s="6" t="s">
        <v>31</v>
      </c>
      <c r="D2128" s="1088" t="s">
        <v>549</v>
      </c>
      <c r="E2128" s="6" t="s">
        <v>171</v>
      </c>
      <c r="F2128" s="6" t="s">
        <v>634</v>
      </c>
      <c r="G2128" s="6" t="s">
        <v>2845</v>
      </c>
      <c r="H2128" s="6" t="s">
        <v>791</v>
      </c>
      <c r="J2128" s="1215" t="s">
        <v>510</v>
      </c>
      <c r="K2128" s="1219" t="s">
        <v>3033</v>
      </c>
      <c r="L2128" s="8">
        <v>16</v>
      </c>
      <c r="M2128" s="8">
        <v>69</v>
      </c>
      <c r="N2128" s="1169" t="s">
        <v>271</v>
      </c>
      <c r="P2128" s="6" t="s">
        <v>3361</v>
      </c>
      <c r="Q2128" s="1215" t="s">
        <v>240</v>
      </c>
      <c r="R2128" s="1088" t="s">
        <v>242</v>
      </c>
      <c r="S2128" s="1088" t="s">
        <v>3395</v>
      </c>
      <c r="T2128" s="6" t="s">
        <v>3342</v>
      </c>
    </row>
    <row r="2129" spans="1:20" x14ac:dyDescent="0.3">
      <c r="A2129" s="6" t="s">
        <v>533</v>
      </c>
      <c r="B2129" s="6" t="s">
        <v>534</v>
      </c>
      <c r="C2129" s="6" t="s">
        <v>31</v>
      </c>
      <c r="D2129" s="1088" t="s">
        <v>549</v>
      </c>
      <c r="E2129" s="6" t="s">
        <v>171</v>
      </c>
      <c r="F2129" s="6" t="s">
        <v>634</v>
      </c>
      <c r="G2129" s="6" t="s">
        <v>2845</v>
      </c>
      <c r="H2129" s="6" t="s">
        <v>791</v>
      </c>
      <c r="J2129" s="1215" t="s">
        <v>510</v>
      </c>
      <c r="K2129" s="1219" t="s">
        <v>3109</v>
      </c>
      <c r="L2129" s="8">
        <v>0</v>
      </c>
      <c r="M2129" s="8">
        <v>14</v>
      </c>
      <c r="N2129" s="1169" t="s">
        <v>271</v>
      </c>
      <c r="O2129" s="1088"/>
      <c r="P2129" s="6" t="s">
        <v>3361</v>
      </c>
      <c r="Q2129" s="1215" t="s">
        <v>240</v>
      </c>
      <c r="R2129" s="1088" t="s">
        <v>242</v>
      </c>
      <c r="S2129" s="1088" t="s">
        <v>3395</v>
      </c>
      <c r="T2129" s="1088" t="s">
        <v>3342</v>
      </c>
    </row>
    <row r="2130" spans="1:20" x14ac:dyDescent="0.3">
      <c r="A2130" s="6" t="s">
        <v>533</v>
      </c>
      <c r="B2130" s="6" t="s">
        <v>534</v>
      </c>
      <c r="C2130" s="6" t="s">
        <v>31</v>
      </c>
      <c r="D2130" s="1088" t="s">
        <v>549</v>
      </c>
      <c r="E2130" s="6" t="s">
        <v>171</v>
      </c>
      <c r="F2130" s="6" t="s">
        <v>634</v>
      </c>
      <c r="G2130" s="6" t="s">
        <v>2845</v>
      </c>
      <c r="H2130" s="6" t="s">
        <v>791</v>
      </c>
      <c r="J2130" s="1215" t="s">
        <v>510</v>
      </c>
      <c r="K2130" s="1219" t="s">
        <v>3111</v>
      </c>
      <c r="L2130" s="8">
        <v>0</v>
      </c>
      <c r="M2130" s="8">
        <v>2</v>
      </c>
      <c r="N2130" s="1169" t="s">
        <v>271</v>
      </c>
      <c r="P2130" s="6" t="s">
        <v>3361</v>
      </c>
      <c r="Q2130" s="1215" t="s">
        <v>240</v>
      </c>
      <c r="R2130" s="1088" t="s">
        <v>242</v>
      </c>
      <c r="S2130" s="1088" t="s">
        <v>3395</v>
      </c>
      <c r="T2130" s="1088" t="s">
        <v>3342</v>
      </c>
    </row>
    <row r="2131" spans="1:20" x14ac:dyDescent="0.3">
      <c r="A2131" s="6" t="s">
        <v>533</v>
      </c>
      <c r="B2131" s="6" t="s">
        <v>534</v>
      </c>
      <c r="C2131" s="6" t="s">
        <v>31</v>
      </c>
      <c r="D2131" s="1088" t="s">
        <v>549</v>
      </c>
      <c r="E2131" s="6" t="s">
        <v>171</v>
      </c>
      <c r="F2131" s="6" t="s">
        <v>634</v>
      </c>
      <c r="G2131" s="6" t="s">
        <v>2845</v>
      </c>
      <c r="H2131" s="6" t="s">
        <v>791</v>
      </c>
      <c r="J2131" s="1215" t="s">
        <v>510</v>
      </c>
      <c r="K2131" s="1219" t="s">
        <v>3112</v>
      </c>
      <c r="L2131" s="8">
        <v>0</v>
      </c>
      <c r="M2131" s="8">
        <v>8</v>
      </c>
      <c r="N2131" s="1169" t="s">
        <v>271</v>
      </c>
      <c r="P2131" s="6" t="s">
        <v>3361</v>
      </c>
      <c r="Q2131" s="1215" t="s">
        <v>240</v>
      </c>
      <c r="R2131" s="1088" t="s">
        <v>242</v>
      </c>
      <c r="S2131" s="1088" t="s">
        <v>3395</v>
      </c>
      <c r="T2131" s="6" t="s">
        <v>3342</v>
      </c>
    </row>
    <row r="2132" spans="1:20" x14ac:dyDescent="0.3">
      <c r="A2132" s="6" t="s">
        <v>533</v>
      </c>
      <c r="B2132" s="6" t="s">
        <v>534</v>
      </c>
      <c r="C2132" s="6" t="s">
        <v>34</v>
      </c>
      <c r="D2132" s="1088" t="s">
        <v>539</v>
      </c>
      <c r="E2132" s="1088" t="s">
        <v>189</v>
      </c>
      <c r="F2132" s="6" t="s">
        <v>590</v>
      </c>
      <c r="G2132" s="6" t="s">
        <v>755</v>
      </c>
      <c r="H2132" s="6" t="s">
        <v>756</v>
      </c>
      <c r="J2132" s="1215" t="s">
        <v>510</v>
      </c>
      <c r="K2132" s="1219" t="s">
        <v>3033</v>
      </c>
      <c r="L2132" s="8">
        <v>2</v>
      </c>
      <c r="M2132" s="8">
        <v>12</v>
      </c>
      <c r="N2132" s="1169" t="s">
        <v>271</v>
      </c>
      <c r="P2132" s="6" t="s">
        <v>3361</v>
      </c>
      <c r="Q2132" s="1215" t="s">
        <v>240</v>
      </c>
      <c r="R2132" s="1088" t="s">
        <v>242</v>
      </c>
      <c r="S2132" s="1088" t="s">
        <v>3390</v>
      </c>
      <c r="T2132" s="1088" t="s">
        <v>3339</v>
      </c>
    </row>
    <row r="2133" spans="1:20" x14ac:dyDescent="0.3">
      <c r="A2133" s="6" t="s">
        <v>533</v>
      </c>
      <c r="B2133" s="6" t="s">
        <v>534</v>
      </c>
      <c r="C2133" s="6" t="s">
        <v>34</v>
      </c>
      <c r="D2133" s="1088" t="s">
        <v>539</v>
      </c>
      <c r="E2133" s="6" t="s">
        <v>189</v>
      </c>
      <c r="F2133" s="6" t="s">
        <v>590</v>
      </c>
      <c r="G2133" s="6" t="s">
        <v>755</v>
      </c>
      <c r="H2133" s="6" t="s">
        <v>756</v>
      </c>
      <c r="J2133" s="1215" t="s">
        <v>510</v>
      </c>
      <c r="K2133" s="1219" t="s">
        <v>3109</v>
      </c>
      <c r="L2133" s="8">
        <v>0</v>
      </c>
      <c r="M2133" s="8">
        <v>5</v>
      </c>
      <c r="N2133" s="1169" t="s">
        <v>271</v>
      </c>
      <c r="P2133" s="6" t="s">
        <v>3361</v>
      </c>
      <c r="Q2133" s="1215" t="s">
        <v>240</v>
      </c>
      <c r="R2133" s="1088" t="s">
        <v>242</v>
      </c>
      <c r="S2133" s="1088" t="s">
        <v>3390</v>
      </c>
      <c r="T2133" s="1088" t="s">
        <v>3339</v>
      </c>
    </row>
    <row r="2134" spans="1:20" x14ac:dyDescent="0.3">
      <c r="A2134" s="6" t="s">
        <v>533</v>
      </c>
      <c r="B2134" s="6" t="s">
        <v>534</v>
      </c>
      <c r="C2134" s="6" t="s">
        <v>34</v>
      </c>
      <c r="D2134" s="1088" t="s">
        <v>539</v>
      </c>
      <c r="E2134" s="6" t="s">
        <v>189</v>
      </c>
      <c r="F2134" s="6" t="s">
        <v>590</v>
      </c>
      <c r="G2134" s="6" t="s">
        <v>755</v>
      </c>
      <c r="H2134" s="6" t="s">
        <v>756</v>
      </c>
      <c r="J2134" s="1215" t="s">
        <v>510</v>
      </c>
      <c r="K2134" s="1219" t="s">
        <v>3110</v>
      </c>
      <c r="L2134" s="8">
        <v>0</v>
      </c>
      <c r="M2134" s="8">
        <v>16</v>
      </c>
      <c r="N2134" s="1169" t="s">
        <v>271</v>
      </c>
      <c r="O2134" s="1088"/>
      <c r="P2134" s="6" t="s">
        <v>3361</v>
      </c>
      <c r="Q2134" s="1215" t="s">
        <v>240</v>
      </c>
      <c r="R2134" s="1088" t="s">
        <v>242</v>
      </c>
      <c r="S2134" s="1088" t="s">
        <v>3390</v>
      </c>
      <c r="T2134" s="1088" t="s">
        <v>3339</v>
      </c>
    </row>
    <row r="2135" spans="1:20" x14ac:dyDescent="0.3">
      <c r="A2135" s="6" t="s">
        <v>533</v>
      </c>
      <c r="B2135" s="6" t="s">
        <v>534</v>
      </c>
      <c r="C2135" s="6" t="s">
        <v>34</v>
      </c>
      <c r="D2135" s="1088" t="s">
        <v>539</v>
      </c>
      <c r="E2135" s="6" t="s">
        <v>189</v>
      </c>
      <c r="F2135" s="6" t="s">
        <v>590</v>
      </c>
      <c r="G2135" s="6" t="s">
        <v>755</v>
      </c>
      <c r="H2135" s="6" t="s">
        <v>756</v>
      </c>
      <c r="J2135" s="1215" t="s">
        <v>510</v>
      </c>
      <c r="K2135" s="1219" t="s">
        <v>3111</v>
      </c>
      <c r="L2135" s="8">
        <v>0</v>
      </c>
      <c r="M2135" s="8">
        <v>9</v>
      </c>
      <c r="N2135" s="1169" t="s">
        <v>271</v>
      </c>
      <c r="P2135" s="6" t="s">
        <v>3361</v>
      </c>
      <c r="Q2135" s="1215" t="s">
        <v>240</v>
      </c>
      <c r="R2135" s="1088" t="s">
        <v>242</v>
      </c>
      <c r="S2135" s="1088" t="s">
        <v>3390</v>
      </c>
      <c r="T2135" s="6" t="s">
        <v>3339</v>
      </c>
    </row>
    <row r="2136" spans="1:20" x14ac:dyDescent="0.3">
      <c r="A2136" s="6" t="s">
        <v>533</v>
      </c>
      <c r="B2136" s="6" t="s">
        <v>534</v>
      </c>
      <c r="C2136" s="6" t="s">
        <v>34</v>
      </c>
      <c r="D2136" s="1088" t="s">
        <v>539</v>
      </c>
      <c r="E2136" s="6" t="s">
        <v>189</v>
      </c>
      <c r="F2136" s="6" t="s">
        <v>590</v>
      </c>
      <c r="G2136" s="6" t="s">
        <v>755</v>
      </c>
      <c r="H2136" s="6" t="s">
        <v>756</v>
      </c>
      <c r="J2136" s="1215" t="s">
        <v>510</v>
      </c>
      <c r="K2136" s="1219" t="s">
        <v>3112</v>
      </c>
      <c r="L2136" s="8">
        <v>0</v>
      </c>
      <c r="M2136" s="8">
        <v>3</v>
      </c>
      <c r="N2136" s="1169" t="s">
        <v>271</v>
      </c>
      <c r="P2136" s="6" t="s">
        <v>3361</v>
      </c>
      <c r="Q2136" s="1215" t="s">
        <v>240</v>
      </c>
      <c r="R2136" s="1088" t="s">
        <v>242</v>
      </c>
      <c r="S2136" s="1088" t="s">
        <v>3390</v>
      </c>
      <c r="T2136" s="1088" t="s">
        <v>3339</v>
      </c>
    </row>
    <row r="2137" spans="1:20" x14ac:dyDescent="0.3">
      <c r="A2137" s="6" t="s">
        <v>533</v>
      </c>
      <c r="B2137" s="6" t="s">
        <v>534</v>
      </c>
      <c r="C2137" s="6" t="s">
        <v>31</v>
      </c>
      <c r="D2137" s="1088" t="s">
        <v>549</v>
      </c>
      <c r="E2137" s="6" t="s">
        <v>171</v>
      </c>
      <c r="F2137" s="6" t="s">
        <v>634</v>
      </c>
      <c r="G2137" s="6" t="s">
        <v>1816</v>
      </c>
      <c r="H2137" s="6" t="s">
        <v>2597</v>
      </c>
      <c r="J2137" s="1215" t="s">
        <v>510</v>
      </c>
      <c r="K2137" s="1219" t="s">
        <v>3109</v>
      </c>
      <c r="L2137" s="8">
        <v>20</v>
      </c>
      <c r="M2137" s="8">
        <v>140</v>
      </c>
      <c r="N2137" s="1169" t="s">
        <v>271</v>
      </c>
      <c r="P2137" s="6" t="s">
        <v>3361</v>
      </c>
      <c r="Q2137" s="1215" t="s">
        <v>240</v>
      </c>
      <c r="R2137" s="1088" t="s">
        <v>242</v>
      </c>
      <c r="S2137" s="1088" t="s">
        <v>3390</v>
      </c>
      <c r="T2137" s="6" t="s">
        <v>3339</v>
      </c>
    </row>
    <row r="2138" spans="1:20" x14ac:dyDescent="0.3">
      <c r="A2138" s="6" t="s">
        <v>533</v>
      </c>
      <c r="B2138" s="6" t="s">
        <v>534</v>
      </c>
      <c r="C2138" s="6" t="s">
        <v>31</v>
      </c>
      <c r="D2138" s="1088" t="s">
        <v>549</v>
      </c>
      <c r="E2138" s="6" t="s">
        <v>171</v>
      </c>
      <c r="F2138" s="6" t="s">
        <v>634</v>
      </c>
      <c r="G2138" s="6" t="s">
        <v>849</v>
      </c>
      <c r="H2138" s="6" t="s">
        <v>1159</v>
      </c>
      <c r="J2138" s="1215" t="s">
        <v>510</v>
      </c>
      <c r="K2138" s="1219" t="s">
        <v>3033</v>
      </c>
      <c r="L2138" s="8">
        <v>2</v>
      </c>
      <c r="M2138" s="8">
        <v>11</v>
      </c>
      <c r="N2138" s="1169" t="s">
        <v>271</v>
      </c>
      <c r="P2138" s="6" t="s">
        <v>3361</v>
      </c>
      <c r="Q2138" s="1215" t="s">
        <v>240</v>
      </c>
      <c r="R2138" s="1088" t="s">
        <v>242</v>
      </c>
      <c r="S2138" s="1088" t="s">
        <v>3390</v>
      </c>
      <c r="T2138" s="6" t="s">
        <v>3339</v>
      </c>
    </row>
    <row r="2139" spans="1:20" x14ac:dyDescent="0.3">
      <c r="A2139" s="6" t="s">
        <v>533</v>
      </c>
      <c r="B2139" s="6" t="s">
        <v>534</v>
      </c>
      <c r="C2139" s="6" t="s">
        <v>31</v>
      </c>
      <c r="D2139" s="1088" t="s">
        <v>549</v>
      </c>
      <c r="E2139" s="6" t="s">
        <v>171</v>
      </c>
      <c r="F2139" s="6" t="s">
        <v>634</v>
      </c>
      <c r="G2139" s="6" t="s">
        <v>1922</v>
      </c>
      <c r="H2139" s="6" t="s">
        <v>2187</v>
      </c>
      <c r="J2139" s="1215" t="s">
        <v>510</v>
      </c>
      <c r="K2139" s="1219" t="s">
        <v>3033</v>
      </c>
      <c r="L2139" s="8">
        <v>2</v>
      </c>
      <c r="M2139" s="8">
        <v>12</v>
      </c>
      <c r="N2139" s="1169" t="s">
        <v>271</v>
      </c>
      <c r="P2139" s="6" t="s">
        <v>3361</v>
      </c>
      <c r="Q2139" s="1215" t="s">
        <v>240</v>
      </c>
      <c r="R2139" s="1088" t="s">
        <v>242</v>
      </c>
      <c r="S2139" s="1088" t="s">
        <v>3390</v>
      </c>
      <c r="T2139" s="6" t="s">
        <v>3339</v>
      </c>
    </row>
    <row r="2140" spans="1:20" x14ac:dyDescent="0.3">
      <c r="A2140" s="6" t="s">
        <v>533</v>
      </c>
      <c r="B2140" s="6" t="s">
        <v>534</v>
      </c>
      <c r="C2140" s="6" t="s">
        <v>35</v>
      </c>
      <c r="D2140" s="1088" t="s">
        <v>567</v>
      </c>
      <c r="E2140" s="6" t="s">
        <v>194</v>
      </c>
      <c r="F2140" s="6" t="s">
        <v>2150</v>
      </c>
      <c r="G2140" s="6" t="s">
        <v>2175</v>
      </c>
      <c r="H2140" s="6" t="s">
        <v>2176</v>
      </c>
      <c r="J2140" s="1215" t="s">
        <v>510</v>
      </c>
      <c r="K2140" s="1219" t="s">
        <v>3033</v>
      </c>
      <c r="L2140" s="8">
        <v>12</v>
      </c>
      <c r="M2140" s="8">
        <v>82</v>
      </c>
      <c r="N2140" s="1169" t="s">
        <v>271</v>
      </c>
      <c r="P2140" s="6" t="s">
        <v>3361</v>
      </c>
      <c r="Q2140" s="1215" t="s">
        <v>240</v>
      </c>
      <c r="R2140" s="1088" t="s">
        <v>242</v>
      </c>
      <c r="S2140" s="1088" t="s">
        <v>3387</v>
      </c>
      <c r="T2140" s="1088" t="s">
        <v>3340</v>
      </c>
    </row>
    <row r="2141" spans="1:20" x14ac:dyDescent="0.3">
      <c r="A2141" s="6" t="s">
        <v>533</v>
      </c>
      <c r="B2141" s="6" t="s">
        <v>534</v>
      </c>
      <c r="C2141" s="6" t="s">
        <v>35</v>
      </c>
      <c r="D2141" s="1088" t="s">
        <v>567</v>
      </c>
      <c r="E2141" s="6" t="s">
        <v>194</v>
      </c>
      <c r="F2141" s="6" t="s">
        <v>2150</v>
      </c>
      <c r="G2141" s="6" t="s">
        <v>2175</v>
      </c>
      <c r="H2141" s="6" t="s">
        <v>2176</v>
      </c>
      <c r="J2141" s="1215" t="s">
        <v>510</v>
      </c>
      <c r="K2141" s="1219" t="s">
        <v>3109</v>
      </c>
      <c r="L2141" s="8">
        <v>1</v>
      </c>
      <c r="M2141" s="8">
        <v>6</v>
      </c>
      <c r="N2141" s="1169" t="s">
        <v>271</v>
      </c>
      <c r="O2141" s="1088"/>
      <c r="P2141" s="6" t="s">
        <v>3361</v>
      </c>
      <c r="Q2141" s="1215" t="s">
        <v>240</v>
      </c>
      <c r="R2141" s="1088" t="s">
        <v>242</v>
      </c>
      <c r="S2141" s="1088" t="s">
        <v>3387</v>
      </c>
      <c r="T2141" s="1088" t="s">
        <v>3340</v>
      </c>
    </row>
    <row r="2142" spans="1:20" x14ac:dyDescent="0.3">
      <c r="A2142" s="6" t="s">
        <v>533</v>
      </c>
      <c r="B2142" s="6" t="s">
        <v>534</v>
      </c>
      <c r="C2142" s="6" t="s">
        <v>35</v>
      </c>
      <c r="D2142" s="1088" t="s">
        <v>567</v>
      </c>
      <c r="E2142" s="6" t="s">
        <v>194</v>
      </c>
      <c r="F2142" s="6" t="s">
        <v>2150</v>
      </c>
      <c r="G2142" s="6" t="s">
        <v>2175</v>
      </c>
      <c r="H2142" s="6" t="s">
        <v>2176</v>
      </c>
      <c r="J2142" s="1215" t="s">
        <v>510</v>
      </c>
      <c r="K2142" s="1219" t="s">
        <v>3110</v>
      </c>
      <c r="L2142" s="8">
        <v>0</v>
      </c>
      <c r="M2142" s="8">
        <v>4</v>
      </c>
      <c r="N2142" s="1169" t="s">
        <v>271</v>
      </c>
      <c r="P2142" s="6" t="s">
        <v>3361</v>
      </c>
      <c r="Q2142" s="1215" t="s">
        <v>240</v>
      </c>
      <c r="R2142" s="1088" t="s">
        <v>242</v>
      </c>
      <c r="S2142" s="1088" t="s">
        <v>3387</v>
      </c>
      <c r="T2142" s="6" t="s">
        <v>3340</v>
      </c>
    </row>
    <row r="2143" spans="1:20" x14ac:dyDescent="0.3">
      <c r="A2143" s="6" t="s">
        <v>533</v>
      </c>
      <c r="B2143" s="6" t="s">
        <v>534</v>
      </c>
      <c r="C2143" s="6" t="s">
        <v>35</v>
      </c>
      <c r="D2143" s="1088" t="s">
        <v>567</v>
      </c>
      <c r="E2143" s="1088" t="s">
        <v>194</v>
      </c>
      <c r="F2143" s="6" t="s">
        <v>2150</v>
      </c>
      <c r="G2143" s="6" t="s">
        <v>2175</v>
      </c>
      <c r="H2143" s="6" t="s">
        <v>2176</v>
      </c>
      <c r="J2143" s="1215" t="s">
        <v>510</v>
      </c>
      <c r="K2143" s="1219" t="s">
        <v>3111</v>
      </c>
      <c r="L2143" s="8">
        <v>0</v>
      </c>
      <c r="M2143" s="8">
        <v>6</v>
      </c>
      <c r="N2143" s="1169" t="s">
        <v>271</v>
      </c>
      <c r="P2143" s="6" t="s">
        <v>3361</v>
      </c>
      <c r="Q2143" s="1215" t="s">
        <v>240</v>
      </c>
      <c r="R2143" s="1088" t="s">
        <v>242</v>
      </c>
      <c r="S2143" s="1088" t="s">
        <v>3387</v>
      </c>
      <c r="T2143" s="1088" t="s">
        <v>3340</v>
      </c>
    </row>
    <row r="2144" spans="1:20" x14ac:dyDescent="0.3">
      <c r="A2144" s="6" t="s">
        <v>533</v>
      </c>
      <c r="B2144" s="6" t="s">
        <v>534</v>
      </c>
      <c r="C2144" s="6" t="s">
        <v>35</v>
      </c>
      <c r="D2144" s="1088" t="s">
        <v>567</v>
      </c>
      <c r="E2144" s="6" t="s">
        <v>194</v>
      </c>
      <c r="F2144" s="6" t="s">
        <v>2150</v>
      </c>
      <c r="G2144" s="6" t="s">
        <v>2198</v>
      </c>
      <c r="H2144" s="6" t="s">
        <v>2199</v>
      </c>
      <c r="J2144" s="1215" t="s">
        <v>510</v>
      </c>
      <c r="K2144" s="1219" t="s">
        <v>3033</v>
      </c>
      <c r="L2144" s="8">
        <v>5</v>
      </c>
      <c r="M2144" s="8">
        <v>23</v>
      </c>
      <c r="N2144" s="1169" t="s">
        <v>271</v>
      </c>
      <c r="O2144" s="1088"/>
      <c r="P2144" s="6" t="s">
        <v>3361</v>
      </c>
      <c r="Q2144" s="1215" t="s">
        <v>240</v>
      </c>
      <c r="R2144" s="1088" t="s">
        <v>242</v>
      </c>
      <c r="S2144" s="1088" t="s">
        <v>3387</v>
      </c>
      <c r="T2144" s="1088" t="s">
        <v>3340</v>
      </c>
    </row>
    <row r="2145" spans="1:20" x14ac:dyDescent="0.3">
      <c r="A2145" s="6" t="s">
        <v>533</v>
      </c>
      <c r="B2145" s="6" t="s">
        <v>534</v>
      </c>
      <c r="C2145" s="6" t="s">
        <v>35</v>
      </c>
      <c r="D2145" s="1088" t="s">
        <v>567</v>
      </c>
      <c r="E2145" s="6" t="s">
        <v>194</v>
      </c>
      <c r="F2145" s="6" t="s">
        <v>2150</v>
      </c>
      <c r="G2145" s="6" t="s">
        <v>2198</v>
      </c>
      <c r="H2145" s="6" t="s">
        <v>2199</v>
      </c>
      <c r="J2145" s="1215" t="s">
        <v>510</v>
      </c>
      <c r="K2145" s="1219" t="s">
        <v>3110</v>
      </c>
      <c r="L2145" s="8">
        <v>0</v>
      </c>
      <c r="M2145" s="8">
        <v>2</v>
      </c>
      <c r="N2145" s="1169" t="s">
        <v>271</v>
      </c>
      <c r="P2145" s="6" t="s">
        <v>3361</v>
      </c>
      <c r="Q2145" s="1215" t="s">
        <v>240</v>
      </c>
      <c r="R2145" s="1088" t="s">
        <v>242</v>
      </c>
      <c r="S2145" s="1088" t="s">
        <v>3387</v>
      </c>
      <c r="T2145" s="6" t="s">
        <v>3340</v>
      </c>
    </row>
    <row r="2146" spans="1:20" x14ac:dyDescent="0.3">
      <c r="A2146" s="6" t="s">
        <v>533</v>
      </c>
      <c r="B2146" s="6" t="s">
        <v>534</v>
      </c>
      <c r="C2146" s="6" t="s">
        <v>35</v>
      </c>
      <c r="D2146" s="1088" t="s">
        <v>567</v>
      </c>
      <c r="E2146" s="1088" t="s">
        <v>194</v>
      </c>
      <c r="F2146" s="6" t="s">
        <v>2150</v>
      </c>
      <c r="G2146" s="6" t="s">
        <v>2198</v>
      </c>
      <c r="H2146" s="6" t="s">
        <v>2199</v>
      </c>
      <c r="J2146" s="1215" t="s">
        <v>510</v>
      </c>
      <c r="K2146" s="1219" t="s">
        <v>3109</v>
      </c>
      <c r="L2146" s="8">
        <v>0</v>
      </c>
      <c r="M2146" s="8">
        <v>2</v>
      </c>
      <c r="N2146" s="1169" t="s">
        <v>271</v>
      </c>
      <c r="P2146" s="6" t="s">
        <v>3361</v>
      </c>
      <c r="Q2146" s="1215" t="s">
        <v>240</v>
      </c>
      <c r="R2146" s="1088" t="s">
        <v>242</v>
      </c>
      <c r="S2146" s="1088" t="s">
        <v>3387</v>
      </c>
      <c r="T2146" s="6" t="s">
        <v>3340</v>
      </c>
    </row>
    <row r="2147" spans="1:20" x14ac:dyDescent="0.3">
      <c r="A2147" s="6" t="s">
        <v>533</v>
      </c>
      <c r="B2147" s="6" t="s">
        <v>534</v>
      </c>
      <c r="C2147" s="6" t="s">
        <v>35</v>
      </c>
      <c r="D2147" s="1088" t="s">
        <v>567</v>
      </c>
      <c r="E2147" s="6" t="s">
        <v>194</v>
      </c>
      <c r="F2147" s="6" t="s">
        <v>2150</v>
      </c>
      <c r="G2147" s="6" t="s">
        <v>2198</v>
      </c>
      <c r="H2147" s="6" t="s">
        <v>2199</v>
      </c>
      <c r="J2147" s="1215" t="s">
        <v>510</v>
      </c>
      <c r="K2147" s="1219" t="s">
        <v>3111</v>
      </c>
      <c r="L2147" s="8">
        <v>0</v>
      </c>
      <c r="M2147" s="8">
        <v>1</v>
      </c>
      <c r="N2147" s="1169" t="s">
        <v>271</v>
      </c>
      <c r="P2147" s="6" t="s">
        <v>3361</v>
      </c>
      <c r="Q2147" s="1215" t="s">
        <v>240</v>
      </c>
      <c r="R2147" s="1088" t="s">
        <v>242</v>
      </c>
      <c r="S2147" s="1088" t="s">
        <v>3387</v>
      </c>
      <c r="T2147" s="1088" t="s">
        <v>3340</v>
      </c>
    </row>
    <row r="2148" spans="1:20" x14ac:dyDescent="0.3">
      <c r="A2148" s="6" t="s">
        <v>533</v>
      </c>
      <c r="B2148" s="6" t="s">
        <v>534</v>
      </c>
      <c r="C2148" s="6" t="s">
        <v>31</v>
      </c>
      <c r="D2148" s="1088" t="s">
        <v>549</v>
      </c>
      <c r="E2148" s="6" t="s">
        <v>169</v>
      </c>
      <c r="F2148" s="6" t="s">
        <v>673</v>
      </c>
      <c r="G2148" s="6" t="s">
        <v>2981</v>
      </c>
      <c r="H2148" s="6" t="s">
        <v>1633</v>
      </c>
      <c r="J2148" s="1215" t="s">
        <v>510</v>
      </c>
      <c r="K2148" s="1219" t="s">
        <v>3112</v>
      </c>
      <c r="L2148" s="8">
        <v>11</v>
      </c>
      <c r="M2148" s="8">
        <v>48</v>
      </c>
      <c r="N2148" s="1169" t="s">
        <v>272</v>
      </c>
      <c r="P2148" s="6" t="s">
        <v>3361</v>
      </c>
      <c r="Q2148" s="1215" t="s">
        <v>241</v>
      </c>
      <c r="R2148" s="1088" t="s">
        <v>243</v>
      </c>
      <c r="S2148" s="1088" t="s">
        <v>3399</v>
      </c>
      <c r="T2148" s="6" t="s">
        <v>3343</v>
      </c>
    </row>
    <row r="2149" spans="1:20" x14ac:dyDescent="0.3">
      <c r="A2149" s="6" t="s">
        <v>533</v>
      </c>
      <c r="B2149" s="6" t="s">
        <v>534</v>
      </c>
      <c r="C2149" s="6" t="s">
        <v>31</v>
      </c>
      <c r="D2149" s="1088" t="s">
        <v>549</v>
      </c>
      <c r="E2149" s="6" t="s">
        <v>171</v>
      </c>
      <c r="F2149" s="6" t="s">
        <v>634</v>
      </c>
      <c r="G2149" s="6" t="s">
        <v>2200</v>
      </c>
      <c r="H2149" s="6" t="s">
        <v>1249</v>
      </c>
      <c r="J2149" s="1215" t="s">
        <v>510</v>
      </c>
      <c r="K2149" s="1219" t="s">
        <v>3033</v>
      </c>
      <c r="L2149" s="8">
        <v>64</v>
      </c>
      <c r="M2149" s="8">
        <v>208</v>
      </c>
      <c r="N2149" s="1169" t="s">
        <v>271</v>
      </c>
      <c r="P2149" s="6" t="s">
        <v>3361</v>
      </c>
      <c r="Q2149" s="1215" t="s">
        <v>240</v>
      </c>
      <c r="R2149" s="1088" t="s">
        <v>242</v>
      </c>
      <c r="S2149" s="1215" t="s">
        <v>3392</v>
      </c>
      <c r="T2149" s="1215" t="s">
        <v>3349</v>
      </c>
    </row>
    <row r="2150" spans="1:20" x14ac:dyDescent="0.3">
      <c r="A2150" s="6" t="s">
        <v>533</v>
      </c>
      <c r="B2150" s="6" t="s">
        <v>534</v>
      </c>
      <c r="C2150" s="6" t="s">
        <v>31</v>
      </c>
      <c r="D2150" s="1088" t="s">
        <v>549</v>
      </c>
      <c r="E2150" s="1088" t="s">
        <v>171</v>
      </c>
      <c r="F2150" s="6" t="s">
        <v>634</v>
      </c>
      <c r="G2150" s="6" t="s">
        <v>2200</v>
      </c>
      <c r="H2150" s="6" t="s">
        <v>1249</v>
      </c>
      <c r="J2150" s="1215" t="s">
        <v>510</v>
      </c>
      <c r="K2150" s="1219" t="s">
        <v>3111</v>
      </c>
      <c r="L2150" s="8">
        <v>10</v>
      </c>
      <c r="M2150" s="8">
        <v>32</v>
      </c>
      <c r="N2150" s="1169" t="s">
        <v>271</v>
      </c>
      <c r="O2150" s="1088"/>
      <c r="P2150" s="6" t="s">
        <v>3361</v>
      </c>
      <c r="Q2150" s="1215" t="s">
        <v>240</v>
      </c>
      <c r="R2150" s="1088" t="s">
        <v>242</v>
      </c>
      <c r="S2150" s="1088" t="s">
        <v>3402</v>
      </c>
      <c r="T2150" s="1215" t="s">
        <v>3350</v>
      </c>
    </row>
    <row r="2151" spans="1:20" x14ac:dyDescent="0.3">
      <c r="A2151" s="6" t="s">
        <v>533</v>
      </c>
      <c r="B2151" s="6" t="s">
        <v>534</v>
      </c>
      <c r="C2151" s="6" t="s">
        <v>31</v>
      </c>
      <c r="D2151" s="6" t="s">
        <v>549</v>
      </c>
      <c r="E2151" s="1088" t="s">
        <v>171</v>
      </c>
      <c r="F2151" s="6" t="s">
        <v>634</v>
      </c>
      <c r="G2151" s="6" t="s">
        <v>1829</v>
      </c>
      <c r="H2151" s="6" t="s">
        <v>1358</v>
      </c>
      <c r="J2151" s="1215" t="s">
        <v>510</v>
      </c>
      <c r="K2151" s="1219" t="s">
        <v>3033</v>
      </c>
      <c r="L2151" s="8">
        <v>18</v>
      </c>
      <c r="M2151" s="8">
        <v>96</v>
      </c>
      <c r="N2151" s="1169" t="s">
        <v>271</v>
      </c>
      <c r="P2151" s="6" t="s">
        <v>3361</v>
      </c>
      <c r="Q2151" s="1215" t="s">
        <v>240</v>
      </c>
      <c r="R2151" s="1088" t="s">
        <v>242</v>
      </c>
      <c r="S2151" s="1088" t="s">
        <v>3390</v>
      </c>
      <c r="T2151" s="6" t="s">
        <v>3339</v>
      </c>
    </row>
    <row r="2152" spans="1:20" x14ac:dyDescent="0.3">
      <c r="A2152" s="6" t="s">
        <v>533</v>
      </c>
      <c r="B2152" s="6" t="s">
        <v>534</v>
      </c>
      <c r="C2152" s="6" t="s">
        <v>34</v>
      </c>
      <c r="D2152" s="1088" t="s">
        <v>539</v>
      </c>
      <c r="E2152" s="1088" t="s">
        <v>188</v>
      </c>
      <c r="F2152" s="6" t="s">
        <v>546</v>
      </c>
      <c r="G2152" s="6" t="s">
        <v>2660</v>
      </c>
      <c r="H2152" s="6" t="s">
        <v>1431</v>
      </c>
      <c r="J2152" s="1215" t="s">
        <v>510</v>
      </c>
      <c r="K2152" s="1219" t="s">
        <v>3033</v>
      </c>
      <c r="L2152" s="8">
        <v>1</v>
      </c>
      <c r="M2152" s="8">
        <v>5</v>
      </c>
      <c r="N2152" s="1169" t="s">
        <v>271</v>
      </c>
      <c r="O2152" s="1088"/>
      <c r="P2152" s="6" t="s">
        <v>3361</v>
      </c>
      <c r="Q2152" s="1215" t="s">
        <v>240</v>
      </c>
      <c r="R2152" s="1088" t="s">
        <v>242</v>
      </c>
      <c r="S2152" s="1088" t="s">
        <v>3387</v>
      </c>
      <c r="T2152" s="1088" t="s">
        <v>3340</v>
      </c>
    </row>
    <row r="2153" spans="1:20" x14ac:dyDescent="0.3">
      <c r="A2153" s="6" t="s">
        <v>533</v>
      </c>
      <c r="B2153" s="6" t="s">
        <v>534</v>
      </c>
      <c r="C2153" s="6" t="s">
        <v>34</v>
      </c>
      <c r="D2153" s="1088" t="s">
        <v>539</v>
      </c>
      <c r="E2153" s="1088" t="s">
        <v>188</v>
      </c>
      <c r="F2153" s="6" t="s">
        <v>546</v>
      </c>
      <c r="G2153" s="6" t="s">
        <v>2660</v>
      </c>
      <c r="H2153" s="6" t="s">
        <v>1431</v>
      </c>
      <c r="J2153" s="1215" t="s">
        <v>510</v>
      </c>
      <c r="K2153" s="1219" t="s">
        <v>3110</v>
      </c>
      <c r="L2153" s="8">
        <v>0</v>
      </c>
      <c r="M2153" s="8">
        <v>1</v>
      </c>
      <c r="N2153" s="1169" t="s">
        <v>271</v>
      </c>
      <c r="P2153" s="6" t="s">
        <v>3361</v>
      </c>
      <c r="Q2153" s="1215" t="s">
        <v>240</v>
      </c>
      <c r="R2153" s="1088" t="s">
        <v>242</v>
      </c>
      <c r="S2153" s="1088" t="s">
        <v>3387</v>
      </c>
      <c r="T2153" s="6" t="s">
        <v>3340</v>
      </c>
    </row>
    <row r="2154" spans="1:20" x14ac:dyDescent="0.3">
      <c r="A2154" s="6" t="s">
        <v>533</v>
      </c>
      <c r="B2154" s="6" t="s">
        <v>534</v>
      </c>
      <c r="C2154" s="6" t="s">
        <v>34</v>
      </c>
      <c r="D2154" s="1088" t="s">
        <v>539</v>
      </c>
      <c r="E2154" s="6" t="s">
        <v>188</v>
      </c>
      <c r="F2154" s="6" t="s">
        <v>546</v>
      </c>
      <c r="G2154" s="6" t="s">
        <v>2660</v>
      </c>
      <c r="H2154" s="6" t="s">
        <v>1431</v>
      </c>
      <c r="J2154" s="1215" t="s">
        <v>510</v>
      </c>
      <c r="K2154" s="1219" t="s">
        <v>3111</v>
      </c>
      <c r="L2154" s="8">
        <v>2</v>
      </c>
      <c r="M2154" s="8">
        <v>12</v>
      </c>
      <c r="N2154" s="1169" t="s">
        <v>271</v>
      </c>
      <c r="P2154" s="6" t="s">
        <v>3361</v>
      </c>
      <c r="Q2154" s="1215" t="s">
        <v>240</v>
      </c>
      <c r="R2154" s="1088" t="s">
        <v>242</v>
      </c>
      <c r="S2154" s="1088" t="s">
        <v>3387</v>
      </c>
      <c r="T2154" s="6" t="s">
        <v>3340</v>
      </c>
    </row>
    <row r="2155" spans="1:20" x14ac:dyDescent="0.3">
      <c r="A2155" s="6" t="s">
        <v>533</v>
      </c>
      <c r="B2155" s="6" t="s">
        <v>534</v>
      </c>
      <c r="C2155" s="6" t="s">
        <v>34</v>
      </c>
      <c r="D2155" s="1088" t="s">
        <v>539</v>
      </c>
      <c r="E2155" s="6" t="s">
        <v>188</v>
      </c>
      <c r="F2155" s="6" t="s">
        <v>546</v>
      </c>
      <c r="G2155" s="6" t="s">
        <v>2660</v>
      </c>
      <c r="H2155" s="6" t="s">
        <v>1431</v>
      </c>
      <c r="J2155" s="1215" t="s">
        <v>510</v>
      </c>
      <c r="K2155" s="1219" t="s">
        <v>3112</v>
      </c>
      <c r="L2155" s="8">
        <v>0</v>
      </c>
      <c r="M2155" s="8">
        <v>2</v>
      </c>
      <c r="N2155" s="1169" t="s">
        <v>271</v>
      </c>
      <c r="O2155" s="1088"/>
      <c r="P2155" s="6" t="s">
        <v>3361</v>
      </c>
      <c r="Q2155" s="1215" t="s">
        <v>240</v>
      </c>
      <c r="R2155" s="1088" t="s">
        <v>242</v>
      </c>
      <c r="S2155" s="1088" t="s">
        <v>3387</v>
      </c>
      <c r="T2155" s="1088" t="s">
        <v>3340</v>
      </c>
    </row>
    <row r="2156" spans="1:20" x14ac:dyDescent="0.3">
      <c r="A2156" s="6" t="s">
        <v>533</v>
      </c>
      <c r="B2156" s="6" t="s">
        <v>534</v>
      </c>
      <c r="C2156" s="6" t="s">
        <v>34</v>
      </c>
      <c r="D2156" s="1088" t="s">
        <v>539</v>
      </c>
      <c r="E2156" s="6" t="s">
        <v>188</v>
      </c>
      <c r="F2156" s="6" t="s">
        <v>546</v>
      </c>
      <c r="G2156" s="6" t="s">
        <v>1421</v>
      </c>
      <c r="H2156" s="6" t="s">
        <v>1632</v>
      </c>
      <c r="J2156" s="1215" t="s">
        <v>510</v>
      </c>
      <c r="K2156" s="1219" t="s">
        <v>3109</v>
      </c>
      <c r="L2156" s="8">
        <v>5</v>
      </c>
      <c r="M2156" s="8">
        <v>37</v>
      </c>
      <c r="N2156" s="1169" t="s">
        <v>271</v>
      </c>
      <c r="P2156" s="6" t="s">
        <v>3361</v>
      </c>
      <c r="Q2156" s="1215" t="s">
        <v>240</v>
      </c>
      <c r="R2156" s="1088" t="s">
        <v>242</v>
      </c>
      <c r="S2156" s="1088" t="s">
        <v>3387</v>
      </c>
      <c r="T2156" s="6" t="s">
        <v>3340</v>
      </c>
    </row>
    <row r="2157" spans="1:20" x14ac:dyDescent="0.3">
      <c r="A2157" s="6" t="s">
        <v>533</v>
      </c>
      <c r="B2157" s="6" t="s">
        <v>534</v>
      </c>
      <c r="C2157" s="6" t="s">
        <v>34</v>
      </c>
      <c r="D2157" s="1088" t="s">
        <v>539</v>
      </c>
      <c r="E2157" s="6" t="s">
        <v>188</v>
      </c>
      <c r="F2157" s="6" t="s">
        <v>546</v>
      </c>
      <c r="G2157" s="6" t="s">
        <v>1421</v>
      </c>
      <c r="H2157" s="6" t="s">
        <v>1632</v>
      </c>
      <c r="J2157" s="1215" t="s">
        <v>510</v>
      </c>
      <c r="K2157" s="1219" t="s">
        <v>3110</v>
      </c>
      <c r="L2157" s="8">
        <v>2</v>
      </c>
      <c r="M2157" s="8">
        <v>27</v>
      </c>
      <c r="N2157" s="1169" t="s">
        <v>271</v>
      </c>
      <c r="P2157" s="6" t="s">
        <v>3361</v>
      </c>
      <c r="Q2157" s="1215" t="s">
        <v>240</v>
      </c>
      <c r="R2157" s="1088" t="s">
        <v>242</v>
      </c>
      <c r="S2157" s="1088" t="s">
        <v>3387</v>
      </c>
      <c r="T2157" s="6" t="s">
        <v>3340</v>
      </c>
    </row>
    <row r="2158" spans="1:20" x14ac:dyDescent="0.3">
      <c r="A2158" s="6" t="s">
        <v>533</v>
      </c>
      <c r="B2158" s="6" t="s">
        <v>534</v>
      </c>
      <c r="C2158" s="6" t="s">
        <v>34</v>
      </c>
      <c r="D2158" s="1088" t="s">
        <v>539</v>
      </c>
      <c r="E2158" s="6" t="s">
        <v>188</v>
      </c>
      <c r="F2158" s="6" t="s">
        <v>546</v>
      </c>
      <c r="G2158" s="6" t="s">
        <v>1421</v>
      </c>
      <c r="H2158" s="6" t="s">
        <v>1632</v>
      </c>
      <c r="J2158" s="1215" t="s">
        <v>510</v>
      </c>
      <c r="K2158" s="1219" t="s">
        <v>3111</v>
      </c>
      <c r="L2158" s="8">
        <v>0</v>
      </c>
      <c r="M2158" s="8">
        <v>13</v>
      </c>
      <c r="N2158" s="6" t="s">
        <v>271</v>
      </c>
      <c r="P2158" s="6" t="s">
        <v>3361</v>
      </c>
      <c r="Q2158" s="1215" t="s">
        <v>240</v>
      </c>
      <c r="R2158" s="1088" t="s">
        <v>242</v>
      </c>
      <c r="S2158" s="1088" t="s">
        <v>3387</v>
      </c>
      <c r="T2158" s="6" t="s">
        <v>3340</v>
      </c>
    </row>
    <row r="2159" spans="1:20" x14ac:dyDescent="0.3">
      <c r="A2159" s="6" t="s">
        <v>533</v>
      </c>
      <c r="B2159" s="6" t="s">
        <v>534</v>
      </c>
      <c r="C2159" s="6" t="s">
        <v>34</v>
      </c>
      <c r="D2159" s="1088" t="s">
        <v>539</v>
      </c>
      <c r="E2159" s="6" t="s">
        <v>188</v>
      </c>
      <c r="F2159" s="6" t="s">
        <v>546</v>
      </c>
      <c r="G2159" s="6" t="s">
        <v>1421</v>
      </c>
      <c r="H2159" s="6" t="s">
        <v>1632</v>
      </c>
      <c r="J2159" s="1215" t="s">
        <v>510</v>
      </c>
      <c r="K2159" s="1219" t="s">
        <v>3112</v>
      </c>
      <c r="L2159" s="8">
        <v>0</v>
      </c>
      <c r="M2159" s="8">
        <v>8</v>
      </c>
      <c r="N2159" s="1169" t="s">
        <v>271</v>
      </c>
      <c r="P2159" s="6" t="s">
        <v>3361</v>
      </c>
      <c r="Q2159" s="1215" t="s">
        <v>240</v>
      </c>
      <c r="R2159" s="1088" t="s">
        <v>242</v>
      </c>
      <c r="S2159" s="1088" t="s">
        <v>3387</v>
      </c>
      <c r="T2159" s="6" t="s">
        <v>3340</v>
      </c>
    </row>
    <row r="2160" spans="1:20" x14ac:dyDescent="0.3">
      <c r="A2160" s="6" t="s">
        <v>533</v>
      </c>
      <c r="B2160" s="6" t="s">
        <v>534</v>
      </c>
      <c r="C2160" s="6" t="s">
        <v>34</v>
      </c>
      <c r="D2160" s="1088" t="s">
        <v>539</v>
      </c>
      <c r="E2160" s="6" t="s">
        <v>188</v>
      </c>
      <c r="F2160" s="6" t="s">
        <v>546</v>
      </c>
      <c r="G2160" s="6" t="s">
        <v>763</v>
      </c>
      <c r="H2160" s="6" t="s">
        <v>1382</v>
      </c>
      <c r="J2160" s="1215" t="s">
        <v>510</v>
      </c>
      <c r="K2160" s="1219" t="s">
        <v>3033</v>
      </c>
      <c r="L2160" s="8">
        <v>15</v>
      </c>
      <c r="M2160" s="8">
        <v>30</v>
      </c>
      <c r="N2160" s="1169" t="s">
        <v>271</v>
      </c>
      <c r="P2160" s="6" t="s">
        <v>3361</v>
      </c>
      <c r="Q2160" s="1215" t="s">
        <v>240</v>
      </c>
      <c r="R2160" s="1088" t="s">
        <v>242</v>
      </c>
      <c r="S2160" s="1088" t="s">
        <v>3387</v>
      </c>
      <c r="T2160" s="6" t="s">
        <v>3340</v>
      </c>
    </row>
    <row r="2161" spans="1:20" x14ac:dyDescent="0.3">
      <c r="A2161" s="6" t="s">
        <v>533</v>
      </c>
      <c r="B2161" s="6" t="s">
        <v>534</v>
      </c>
      <c r="C2161" s="6" t="s">
        <v>34</v>
      </c>
      <c r="D2161" s="1088" t="s">
        <v>539</v>
      </c>
      <c r="E2161" s="6" t="s">
        <v>188</v>
      </c>
      <c r="F2161" s="6" t="s">
        <v>546</v>
      </c>
      <c r="G2161" s="6" t="s">
        <v>763</v>
      </c>
      <c r="H2161" s="6" t="s">
        <v>1382</v>
      </c>
      <c r="J2161" s="1215" t="s">
        <v>510</v>
      </c>
      <c r="K2161" s="1219" t="s">
        <v>3110</v>
      </c>
      <c r="L2161" s="8">
        <v>0</v>
      </c>
      <c r="M2161" s="8">
        <v>2</v>
      </c>
      <c r="N2161" s="1169" t="s">
        <v>271</v>
      </c>
      <c r="P2161" s="6" t="s">
        <v>3361</v>
      </c>
      <c r="Q2161" s="1215" t="s">
        <v>240</v>
      </c>
      <c r="R2161" s="1088" t="s">
        <v>242</v>
      </c>
      <c r="S2161" s="1088" t="s">
        <v>3387</v>
      </c>
      <c r="T2161" s="6" t="s">
        <v>3340</v>
      </c>
    </row>
    <row r="2162" spans="1:20" x14ac:dyDescent="0.3">
      <c r="A2162" s="6" t="s">
        <v>533</v>
      </c>
      <c r="B2162" s="6" t="s">
        <v>534</v>
      </c>
      <c r="C2162" s="6" t="s">
        <v>34</v>
      </c>
      <c r="D2162" s="1088" t="s">
        <v>539</v>
      </c>
      <c r="E2162" s="6" t="s">
        <v>188</v>
      </c>
      <c r="F2162" s="6" t="s">
        <v>546</v>
      </c>
      <c r="G2162" s="6" t="s">
        <v>763</v>
      </c>
      <c r="H2162" s="6" t="s">
        <v>1382</v>
      </c>
      <c r="J2162" s="1215" t="s">
        <v>510</v>
      </c>
      <c r="K2162" s="1219" t="s">
        <v>3111</v>
      </c>
      <c r="L2162" s="8">
        <v>0</v>
      </c>
      <c r="M2162" s="8">
        <v>27</v>
      </c>
      <c r="N2162" s="1169" t="s">
        <v>271</v>
      </c>
      <c r="P2162" s="6" t="s">
        <v>3361</v>
      </c>
      <c r="Q2162" s="1215" t="s">
        <v>240</v>
      </c>
      <c r="R2162" s="1088" t="s">
        <v>242</v>
      </c>
      <c r="S2162" s="1088" t="s">
        <v>3387</v>
      </c>
      <c r="T2162" s="6" t="s">
        <v>3340</v>
      </c>
    </row>
    <row r="2163" spans="1:20" x14ac:dyDescent="0.3">
      <c r="A2163" s="6" t="s">
        <v>533</v>
      </c>
      <c r="B2163" s="6" t="s">
        <v>534</v>
      </c>
      <c r="C2163" s="6" t="s">
        <v>34</v>
      </c>
      <c r="D2163" s="1088" t="s">
        <v>539</v>
      </c>
      <c r="E2163" s="6" t="s">
        <v>188</v>
      </c>
      <c r="F2163" s="6" t="s">
        <v>546</v>
      </c>
      <c r="G2163" s="6" t="s">
        <v>763</v>
      </c>
      <c r="H2163" s="6" t="s">
        <v>1382</v>
      </c>
      <c r="J2163" s="1215" t="s">
        <v>510</v>
      </c>
      <c r="K2163" s="1219" t="s">
        <v>3112</v>
      </c>
      <c r="L2163" s="8">
        <v>0</v>
      </c>
      <c r="M2163" s="8">
        <v>4</v>
      </c>
      <c r="N2163" s="1169" t="s">
        <v>271</v>
      </c>
      <c r="P2163" s="6" t="s">
        <v>3361</v>
      </c>
      <c r="Q2163" s="1215" t="s">
        <v>240</v>
      </c>
      <c r="R2163" s="1088" t="s">
        <v>242</v>
      </c>
      <c r="S2163" s="1088" t="s">
        <v>3387</v>
      </c>
      <c r="T2163" s="6" t="s">
        <v>3340</v>
      </c>
    </row>
    <row r="2164" spans="1:20" x14ac:dyDescent="0.3">
      <c r="A2164" s="6" t="s">
        <v>533</v>
      </c>
      <c r="B2164" s="6" t="s">
        <v>534</v>
      </c>
      <c r="C2164" s="6" t="s">
        <v>35</v>
      </c>
      <c r="D2164" s="1088" t="s">
        <v>567</v>
      </c>
      <c r="E2164" s="6" t="s">
        <v>194</v>
      </c>
      <c r="F2164" s="6" t="s">
        <v>2150</v>
      </c>
      <c r="G2164" s="6" t="s">
        <v>2208</v>
      </c>
      <c r="H2164" s="6" t="s">
        <v>2209</v>
      </c>
      <c r="J2164" s="1215" t="s">
        <v>510</v>
      </c>
      <c r="K2164" s="1219" t="s">
        <v>3033</v>
      </c>
      <c r="L2164" s="8">
        <v>3</v>
      </c>
      <c r="M2164" s="8">
        <v>20</v>
      </c>
      <c r="N2164" s="1169" t="s">
        <v>271</v>
      </c>
      <c r="P2164" s="6" t="s">
        <v>3361</v>
      </c>
      <c r="Q2164" s="1215" t="s">
        <v>240</v>
      </c>
      <c r="R2164" s="1088" t="s">
        <v>242</v>
      </c>
      <c r="S2164" s="1088" t="s">
        <v>3387</v>
      </c>
      <c r="T2164" s="6" t="s">
        <v>3340</v>
      </c>
    </row>
    <row r="2165" spans="1:20" x14ac:dyDescent="0.3">
      <c r="A2165" s="6" t="s">
        <v>533</v>
      </c>
      <c r="B2165" s="6" t="s">
        <v>534</v>
      </c>
      <c r="C2165" s="6" t="s">
        <v>35</v>
      </c>
      <c r="D2165" s="1088" t="s">
        <v>567</v>
      </c>
      <c r="E2165" s="6" t="s">
        <v>194</v>
      </c>
      <c r="F2165" s="6" t="s">
        <v>2150</v>
      </c>
      <c r="G2165" s="6" t="s">
        <v>2208</v>
      </c>
      <c r="H2165" s="6" t="s">
        <v>2209</v>
      </c>
      <c r="J2165" s="1215" t="s">
        <v>510</v>
      </c>
      <c r="K2165" s="1219" t="s">
        <v>3110</v>
      </c>
      <c r="L2165" s="8">
        <v>0</v>
      </c>
      <c r="M2165" s="8">
        <v>5</v>
      </c>
      <c r="N2165" s="1169" t="s">
        <v>271</v>
      </c>
      <c r="P2165" s="6" t="s">
        <v>3361</v>
      </c>
      <c r="Q2165" s="1215" t="s">
        <v>240</v>
      </c>
      <c r="R2165" s="1088" t="s">
        <v>242</v>
      </c>
      <c r="S2165" s="1088" t="s">
        <v>3387</v>
      </c>
      <c r="T2165" s="6" t="s">
        <v>3340</v>
      </c>
    </row>
    <row r="2166" spans="1:20" x14ac:dyDescent="0.3">
      <c r="A2166" s="6" t="s">
        <v>533</v>
      </c>
      <c r="B2166" s="6" t="s">
        <v>534</v>
      </c>
      <c r="C2166" s="6" t="s">
        <v>35</v>
      </c>
      <c r="D2166" s="1088" t="s">
        <v>567</v>
      </c>
      <c r="E2166" s="6" t="s">
        <v>194</v>
      </c>
      <c r="F2166" s="6" t="s">
        <v>2150</v>
      </c>
      <c r="G2166" s="6" t="s">
        <v>2192</v>
      </c>
      <c r="H2166" s="6" t="s">
        <v>2193</v>
      </c>
      <c r="J2166" s="1215" t="s">
        <v>510</v>
      </c>
      <c r="K2166" s="1219" t="s">
        <v>3033</v>
      </c>
      <c r="L2166" s="8">
        <v>12</v>
      </c>
      <c r="M2166" s="8">
        <v>129</v>
      </c>
      <c r="N2166" s="1169" t="s">
        <v>271</v>
      </c>
      <c r="P2166" s="6" t="s">
        <v>3361</v>
      </c>
      <c r="Q2166" s="1215" t="s">
        <v>240</v>
      </c>
      <c r="R2166" s="1088" t="s">
        <v>242</v>
      </c>
      <c r="S2166" s="1088" t="s">
        <v>3387</v>
      </c>
      <c r="T2166" s="6" t="s">
        <v>3340</v>
      </c>
    </row>
    <row r="2167" spans="1:20" x14ac:dyDescent="0.3">
      <c r="A2167" s="6" t="s">
        <v>533</v>
      </c>
      <c r="B2167" s="6" t="s">
        <v>534</v>
      </c>
      <c r="C2167" s="6" t="s">
        <v>35</v>
      </c>
      <c r="D2167" s="1088" t="s">
        <v>567</v>
      </c>
      <c r="E2167" s="6" t="s">
        <v>194</v>
      </c>
      <c r="F2167" s="6" t="s">
        <v>2150</v>
      </c>
      <c r="G2167" s="1088" t="s">
        <v>2192</v>
      </c>
      <c r="H2167" s="1088" t="s">
        <v>2193</v>
      </c>
      <c r="J2167" s="1215" t="s">
        <v>510</v>
      </c>
      <c r="K2167" s="1219" t="s">
        <v>3109</v>
      </c>
      <c r="L2167" s="8">
        <v>1</v>
      </c>
      <c r="M2167" s="8">
        <v>6</v>
      </c>
      <c r="N2167" s="1169" t="s">
        <v>271</v>
      </c>
      <c r="P2167" s="6" t="s">
        <v>3361</v>
      </c>
      <c r="Q2167" s="1215" t="s">
        <v>240</v>
      </c>
      <c r="R2167" s="1088" t="s">
        <v>242</v>
      </c>
      <c r="S2167" s="1088" t="s">
        <v>3387</v>
      </c>
      <c r="T2167" s="6" t="s">
        <v>3340</v>
      </c>
    </row>
    <row r="2168" spans="1:20" x14ac:dyDescent="0.3">
      <c r="A2168" s="6" t="s">
        <v>533</v>
      </c>
      <c r="B2168" s="6" t="s">
        <v>534</v>
      </c>
      <c r="C2168" s="6" t="s">
        <v>35</v>
      </c>
      <c r="D2168" s="1088" t="s">
        <v>567</v>
      </c>
      <c r="E2168" s="6" t="s">
        <v>194</v>
      </c>
      <c r="F2168" s="6" t="s">
        <v>2150</v>
      </c>
      <c r="G2168" s="6" t="s">
        <v>2192</v>
      </c>
      <c r="H2168" s="6" t="s">
        <v>2193</v>
      </c>
      <c r="J2168" s="1215" t="s">
        <v>510</v>
      </c>
      <c r="K2168" s="1219" t="s">
        <v>3110</v>
      </c>
      <c r="L2168" s="8">
        <v>0</v>
      </c>
      <c r="M2168" s="8">
        <v>4</v>
      </c>
      <c r="N2168" s="1169" t="s">
        <v>271</v>
      </c>
      <c r="P2168" s="6" t="s">
        <v>3361</v>
      </c>
      <c r="Q2168" s="1215" t="s">
        <v>240</v>
      </c>
      <c r="R2168" s="1088" t="s">
        <v>242</v>
      </c>
      <c r="S2168" s="1088" t="s">
        <v>3387</v>
      </c>
      <c r="T2168" s="6" t="s">
        <v>3340</v>
      </c>
    </row>
    <row r="2169" spans="1:20" x14ac:dyDescent="0.3">
      <c r="A2169" s="6" t="s">
        <v>533</v>
      </c>
      <c r="B2169" s="6" t="s">
        <v>534</v>
      </c>
      <c r="C2169" s="6" t="s">
        <v>35</v>
      </c>
      <c r="D2169" s="1088" t="s">
        <v>567</v>
      </c>
      <c r="E2169" s="1088" t="s">
        <v>194</v>
      </c>
      <c r="F2169" s="6" t="s">
        <v>2150</v>
      </c>
      <c r="G2169" s="6" t="s">
        <v>2192</v>
      </c>
      <c r="H2169" s="6" t="s">
        <v>2193</v>
      </c>
      <c r="J2169" s="1215" t="s">
        <v>510</v>
      </c>
      <c r="K2169" s="1219" t="s">
        <v>3111</v>
      </c>
      <c r="L2169" s="8">
        <v>0</v>
      </c>
      <c r="M2169" s="8">
        <v>5</v>
      </c>
      <c r="N2169" s="1169" t="s">
        <v>271</v>
      </c>
      <c r="P2169" s="6" t="s">
        <v>3361</v>
      </c>
      <c r="Q2169" s="1215" t="s">
        <v>240</v>
      </c>
      <c r="R2169" s="1088" t="s">
        <v>242</v>
      </c>
      <c r="S2169" s="1088" t="s">
        <v>3387</v>
      </c>
      <c r="T2169" s="6" t="s">
        <v>3340</v>
      </c>
    </row>
    <row r="2170" spans="1:20" x14ac:dyDescent="0.3">
      <c r="A2170" s="6" t="s">
        <v>533</v>
      </c>
      <c r="B2170" s="6" t="s">
        <v>534</v>
      </c>
      <c r="C2170" s="6" t="s">
        <v>35</v>
      </c>
      <c r="D2170" s="1088" t="s">
        <v>567</v>
      </c>
      <c r="E2170" s="6" t="s">
        <v>194</v>
      </c>
      <c r="F2170" s="6" t="s">
        <v>2150</v>
      </c>
      <c r="G2170" s="6" t="s">
        <v>2210</v>
      </c>
      <c r="H2170" s="6" t="s">
        <v>2211</v>
      </c>
      <c r="J2170" s="1215" t="s">
        <v>510</v>
      </c>
      <c r="K2170" s="1219" t="s">
        <v>3033</v>
      </c>
      <c r="L2170" s="8">
        <v>15</v>
      </c>
      <c r="M2170" s="8">
        <v>74</v>
      </c>
      <c r="N2170" s="1169" t="s">
        <v>271</v>
      </c>
      <c r="P2170" s="6" t="s">
        <v>3361</v>
      </c>
      <c r="Q2170" s="1215" t="s">
        <v>240</v>
      </c>
      <c r="R2170" s="1088" t="s">
        <v>242</v>
      </c>
      <c r="S2170" s="1088" t="s">
        <v>3387</v>
      </c>
      <c r="T2170" s="6" t="s">
        <v>3340</v>
      </c>
    </row>
    <row r="2171" spans="1:20" x14ac:dyDescent="0.3">
      <c r="A2171" s="6" t="s">
        <v>533</v>
      </c>
      <c r="B2171" s="6" t="s">
        <v>534</v>
      </c>
      <c r="C2171" s="6" t="s">
        <v>35</v>
      </c>
      <c r="D2171" s="1088" t="s">
        <v>567</v>
      </c>
      <c r="E2171" s="6" t="s">
        <v>194</v>
      </c>
      <c r="F2171" s="6" t="s">
        <v>2150</v>
      </c>
      <c r="G2171" s="6" t="s">
        <v>2210</v>
      </c>
      <c r="H2171" s="6" t="s">
        <v>2211</v>
      </c>
      <c r="J2171" s="1215" t="s">
        <v>510</v>
      </c>
      <c r="K2171" s="1219" t="s">
        <v>3109</v>
      </c>
      <c r="L2171" s="8">
        <v>0</v>
      </c>
      <c r="M2171" s="8">
        <v>1</v>
      </c>
      <c r="N2171" s="1169" t="s">
        <v>271</v>
      </c>
      <c r="P2171" s="6" t="s">
        <v>3361</v>
      </c>
      <c r="Q2171" s="1215" t="s">
        <v>240</v>
      </c>
      <c r="R2171" s="1088" t="s">
        <v>242</v>
      </c>
      <c r="S2171" s="1088" t="s">
        <v>3387</v>
      </c>
      <c r="T2171" s="6" t="s">
        <v>3340</v>
      </c>
    </row>
    <row r="2172" spans="1:20" x14ac:dyDescent="0.3">
      <c r="A2172" s="6" t="s">
        <v>533</v>
      </c>
      <c r="B2172" s="6" t="s">
        <v>534</v>
      </c>
      <c r="C2172" s="6" t="s">
        <v>35</v>
      </c>
      <c r="D2172" s="1088" t="s">
        <v>567</v>
      </c>
      <c r="E2172" s="6" t="s">
        <v>194</v>
      </c>
      <c r="F2172" s="6" t="s">
        <v>2150</v>
      </c>
      <c r="G2172" s="6" t="s">
        <v>2210</v>
      </c>
      <c r="H2172" s="6" t="s">
        <v>2211</v>
      </c>
      <c r="J2172" s="1215" t="s">
        <v>510</v>
      </c>
      <c r="K2172" s="1219" t="s">
        <v>3110</v>
      </c>
      <c r="L2172" s="8">
        <v>0</v>
      </c>
      <c r="M2172" s="8">
        <v>2</v>
      </c>
      <c r="N2172" s="1169" t="s">
        <v>271</v>
      </c>
      <c r="P2172" s="6" t="s">
        <v>3361</v>
      </c>
      <c r="Q2172" s="1215" t="s">
        <v>240</v>
      </c>
      <c r="R2172" s="1088" t="s">
        <v>242</v>
      </c>
      <c r="S2172" s="1088" t="s">
        <v>3387</v>
      </c>
      <c r="T2172" s="1088" t="s">
        <v>3340</v>
      </c>
    </row>
    <row r="2173" spans="1:20" x14ac:dyDescent="0.3">
      <c r="A2173" s="6" t="s">
        <v>533</v>
      </c>
      <c r="B2173" s="6" t="s">
        <v>534</v>
      </c>
      <c r="C2173" s="6" t="s">
        <v>35</v>
      </c>
      <c r="D2173" s="1088" t="s">
        <v>567</v>
      </c>
      <c r="E2173" s="6" t="s">
        <v>194</v>
      </c>
      <c r="F2173" s="6" t="s">
        <v>2150</v>
      </c>
      <c r="G2173" s="6" t="s">
        <v>2210</v>
      </c>
      <c r="H2173" s="6" t="s">
        <v>2211</v>
      </c>
      <c r="J2173" s="1215" t="s">
        <v>510</v>
      </c>
      <c r="K2173" s="1219" t="s">
        <v>3111</v>
      </c>
      <c r="L2173" s="8">
        <v>0</v>
      </c>
      <c r="M2173" s="8">
        <v>4</v>
      </c>
      <c r="N2173" s="1169" t="s">
        <v>271</v>
      </c>
      <c r="P2173" s="6" t="s">
        <v>3361</v>
      </c>
      <c r="Q2173" s="1215" t="s">
        <v>240</v>
      </c>
      <c r="R2173" s="1088" t="s">
        <v>242</v>
      </c>
      <c r="S2173" s="1088" t="s">
        <v>3387</v>
      </c>
      <c r="T2173" s="6" t="s">
        <v>3340</v>
      </c>
    </row>
    <row r="2174" spans="1:20" x14ac:dyDescent="0.3">
      <c r="A2174" s="6" t="s">
        <v>533</v>
      </c>
      <c r="B2174" s="6" t="s">
        <v>534</v>
      </c>
      <c r="C2174" s="6" t="s">
        <v>35</v>
      </c>
      <c r="D2174" s="1088" t="s">
        <v>567</v>
      </c>
      <c r="E2174" s="6" t="s">
        <v>194</v>
      </c>
      <c r="F2174" s="6" t="s">
        <v>2150</v>
      </c>
      <c r="G2174" s="6" t="s">
        <v>2210</v>
      </c>
      <c r="H2174" s="6" t="s">
        <v>2211</v>
      </c>
      <c r="J2174" s="1215" t="s">
        <v>510</v>
      </c>
      <c r="K2174" s="1219" t="s">
        <v>3112</v>
      </c>
      <c r="L2174" s="8">
        <v>1</v>
      </c>
      <c r="M2174" s="8">
        <v>5</v>
      </c>
      <c r="N2174" s="1169" t="s">
        <v>271</v>
      </c>
      <c r="P2174" s="6" t="s">
        <v>3361</v>
      </c>
      <c r="Q2174" s="1215" t="s">
        <v>240</v>
      </c>
      <c r="R2174" s="1088" t="s">
        <v>242</v>
      </c>
      <c r="S2174" s="1088" t="s">
        <v>3387</v>
      </c>
      <c r="T2174" s="6" t="s">
        <v>3340</v>
      </c>
    </row>
    <row r="2175" spans="1:20" x14ac:dyDescent="0.3">
      <c r="A2175" s="6" t="s">
        <v>533</v>
      </c>
      <c r="B2175" s="6" t="s">
        <v>534</v>
      </c>
      <c r="C2175" s="6" t="s">
        <v>35</v>
      </c>
      <c r="D2175" s="1088" t="s">
        <v>567</v>
      </c>
      <c r="E2175" s="6" t="s">
        <v>194</v>
      </c>
      <c r="F2175" s="6" t="s">
        <v>2150</v>
      </c>
      <c r="G2175" s="6" t="s">
        <v>2163</v>
      </c>
      <c r="H2175" s="6" t="s">
        <v>2164</v>
      </c>
      <c r="J2175" s="1215" t="s">
        <v>510</v>
      </c>
      <c r="K2175" s="1219" t="s">
        <v>3033</v>
      </c>
      <c r="L2175" s="8">
        <v>11</v>
      </c>
      <c r="M2175" s="8">
        <v>15</v>
      </c>
      <c r="N2175" s="1169" t="s">
        <v>271</v>
      </c>
      <c r="P2175" s="6" t="s">
        <v>3361</v>
      </c>
      <c r="Q2175" s="1215" t="s">
        <v>240</v>
      </c>
      <c r="R2175" s="1088" t="s">
        <v>242</v>
      </c>
      <c r="S2175" s="1088" t="s">
        <v>3387</v>
      </c>
      <c r="T2175" s="6" t="s">
        <v>3340</v>
      </c>
    </row>
    <row r="2176" spans="1:20" x14ac:dyDescent="0.3">
      <c r="A2176" s="6" t="s">
        <v>533</v>
      </c>
      <c r="B2176" s="6" t="s">
        <v>534</v>
      </c>
      <c r="C2176" s="6" t="s">
        <v>35</v>
      </c>
      <c r="D2176" s="1088" t="s">
        <v>567</v>
      </c>
      <c r="E2176" s="1088" t="s">
        <v>194</v>
      </c>
      <c r="F2176" s="6" t="s">
        <v>2150</v>
      </c>
      <c r="G2176" s="6" t="s">
        <v>2163</v>
      </c>
      <c r="H2176" s="6" t="s">
        <v>2164</v>
      </c>
      <c r="J2176" s="1215" t="s">
        <v>510</v>
      </c>
      <c r="K2176" s="1219" t="s">
        <v>3110</v>
      </c>
      <c r="L2176" s="8">
        <v>0</v>
      </c>
      <c r="M2176" s="8">
        <v>1</v>
      </c>
      <c r="N2176" s="1169" t="s">
        <v>271</v>
      </c>
      <c r="P2176" s="6" t="s">
        <v>3361</v>
      </c>
      <c r="Q2176" s="1215" t="s">
        <v>240</v>
      </c>
      <c r="R2176" s="1088" t="s">
        <v>242</v>
      </c>
      <c r="S2176" s="1088" t="s">
        <v>3387</v>
      </c>
      <c r="T2176" s="6" t="s">
        <v>3340</v>
      </c>
    </row>
    <row r="2177" spans="1:20" x14ac:dyDescent="0.3">
      <c r="A2177" s="6" t="s">
        <v>533</v>
      </c>
      <c r="B2177" s="6" t="s">
        <v>534</v>
      </c>
      <c r="C2177" s="6" t="s">
        <v>35</v>
      </c>
      <c r="D2177" s="1088" t="s">
        <v>567</v>
      </c>
      <c r="E2177" s="6" t="s">
        <v>194</v>
      </c>
      <c r="F2177" s="6" t="s">
        <v>2150</v>
      </c>
      <c r="G2177" s="6" t="s">
        <v>2163</v>
      </c>
      <c r="H2177" s="6" t="s">
        <v>2164</v>
      </c>
      <c r="J2177" s="1215" t="s">
        <v>510</v>
      </c>
      <c r="K2177" s="1219" t="s">
        <v>3111</v>
      </c>
      <c r="L2177" s="8">
        <v>0</v>
      </c>
      <c r="M2177" s="8">
        <v>3</v>
      </c>
      <c r="N2177" s="1169" t="s">
        <v>271</v>
      </c>
      <c r="P2177" s="6" t="s">
        <v>3361</v>
      </c>
      <c r="Q2177" s="1215" t="s">
        <v>240</v>
      </c>
      <c r="R2177" s="1088" t="s">
        <v>242</v>
      </c>
      <c r="S2177" s="1088" t="s">
        <v>3387</v>
      </c>
      <c r="T2177" s="6" t="s">
        <v>3340</v>
      </c>
    </row>
    <row r="2178" spans="1:20" x14ac:dyDescent="0.3">
      <c r="A2178" s="6" t="s">
        <v>533</v>
      </c>
      <c r="B2178" s="6" t="s">
        <v>534</v>
      </c>
      <c r="C2178" s="6" t="s">
        <v>35</v>
      </c>
      <c r="D2178" s="1088" t="s">
        <v>567</v>
      </c>
      <c r="E2178" s="6" t="s">
        <v>194</v>
      </c>
      <c r="F2178" s="6" t="s">
        <v>2150</v>
      </c>
      <c r="G2178" s="6" t="s">
        <v>2165</v>
      </c>
      <c r="H2178" s="6" t="s">
        <v>2166</v>
      </c>
      <c r="J2178" s="1215" t="s">
        <v>510</v>
      </c>
      <c r="K2178" s="1219" t="s">
        <v>3033</v>
      </c>
      <c r="L2178" s="8">
        <v>20</v>
      </c>
      <c r="M2178" s="8">
        <v>179</v>
      </c>
      <c r="N2178" s="1169" t="s">
        <v>271</v>
      </c>
      <c r="P2178" s="6" t="s">
        <v>3361</v>
      </c>
      <c r="Q2178" s="1215" t="s">
        <v>240</v>
      </c>
      <c r="R2178" s="1088" t="s">
        <v>242</v>
      </c>
      <c r="S2178" s="1088" t="s">
        <v>3387</v>
      </c>
      <c r="T2178" s="6" t="s">
        <v>3340</v>
      </c>
    </row>
    <row r="2179" spans="1:20" x14ac:dyDescent="0.3">
      <c r="A2179" s="6" t="s">
        <v>533</v>
      </c>
      <c r="B2179" s="6" t="s">
        <v>534</v>
      </c>
      <c r="C2179" s="6" t="s">
        <v>35</v>
      </c>
      <c r="D2179" s="1088" t="s">
        <v>567</v>
      </c>
      <c r="E2179" s="6" t="s">
        <v>194</v>
      </c>
      <c r="F2179" s="6" t="s">
        <v>2150</v>
      </c>
      <c r="G2179" s="6" t="s">
        <v>2165</v>
      </c>
      <c r="H2179" s="6" t="s">
        <v>2166</v>
      </c>
      <c r="J2179" s="1215" t="s">
        <v>510</v>
      </c>
      <c r="K2179" s="1219" t="s">
        <v>3110</v>
      </c>
      <c r="L2179" s="8">
        <v>1</v>
      </c>
      <c r="M2179" s="8">
        <v>7</v>
      </c>
      <c r="N2179" s="1169" t="s">
        <v>271</v>
      </c>
      <c r="O2179" s="1088"/>
      <c r="P2179" s="6" t="s">
        <v>3361</v>
      </c>
      <c r="Q2179" s="1215" t="s">
        <v>240</v>
      </c>
      <c r="R2179" s="1088" t="s">
        <v>242</v>
      </c>
      <c r="S2179" s="1088" t="s">
        <v>3387</v>
      </c>
      <c r="T2179" s="1088" t="s">
        <v>3340</v>
      </c>
    </row>
    <row r="2180" spans="1:20" x14ac:dyDescent="0.3">
      <c r="A2180" s="6" t="s">
        <v>533</v>
      </c>
      <c r="B2180" s="6" t="s">
        <v>534</v>
      </c>
      <c r="C2180" s="6" t="s">
        <v>35</v>
      </c>
      <c r="D2180" s="1088" t="s">
        <v>567</v>
      </c>
      <c r="E2180" s="6" t="s">
        <v>194</v>
      </c>
      <c r="F2180" s="6" t="s">
        <v>2150</v>
      </c>
      <c r="G2180" s="6" t="s">
        <v>2165</v>
      </c>
      <c r="H2180" s="6" t="s">
        <v>2166</v>
      </c>
      <c r="J2180" s="1215" t="s">
        <v>510</v>
      </c>
      <c r="K2180" s="1219" t="s">
        <v>3111</v>
      </c>
      <c r="L2180" s="8">
        <v>0</v>
      </c>
      <c r="M2180" s="8">
        <v>3</v>
      </c>
      <c r="N2180" s="1169" t="s">
        <v>271</v>
      </c>
      <c r="P2180" s="6" t="s">
        <v>3361</v>
      </c>
      <c r="Q2180" s="1215" t="s">
        <v>240</v>
      </c>
      <c r="R2180" s="1088" t="s">
        <v>242</v>
      </c>
      <c r="S2180" s="1088" t="s">
        <v>3387</v>
      </c>
      <c r="T2180" s="6" t="s">
        <v>3340</v>
      </c>
    </row>
    <row r="2181" spans="1:20" x14ac:dyDescent="0.3">
      <c r="A2181" s="6" t="s">
        <v>533</v>
      </c>
      <c r="B2181" s="6" t="s">
        <v>534</v>
      </c>
      <c r="C2181" s="6" t="s">
        <v>35</v>
      </c>
      <c r="D2181" s="1088" t="s">
        <v>567</v>
      </c>
      <c r="E2181" s="6" t="s">
        <v>194</v>
      </c>
      <c r="F2181" s="6" t="s">
        <v>2150</v>
      </c>
      <c r="G2181" s="6" t="s">
        <v>2221</v>
      </c>
      <c r="H2181" s="6" t="s">
        <v>2222</v>
      </c>
      <c r="J2181" s="1215" t="s">
        <v>510</v>
      </c>
      <c r="K2181" s="1219" t="s">
        <v>3033</v>
      </c>
      <c r="L2181" s="8">
        <v>21</v>
      </c>
      <c r="M2181" s="8">
        <v>121</v>
      </c>
      <c r="N2181" s="1169" t="s">
        <v>271</v>
      </c>
      <c r="P2181" s="6" t="s">
        <v>3361</v>
      </c>
      <c r="Q2181" s="1215" t="s">
        <v>240</v>
      </c>
      <c r="R2181" s="1088" t="s">
        <v>242</v>
      </c>
      <c r="S2181" s="1088" t="s">
        <v>3387</v>
      </c>
      <c r="T2181" s="6" t="s">
        <v>3340</v>
      </c>
    </row>
    <row r="2182" spans="1:20" x14ac:dyDescent="0.3">
      <c r="A2182" s="6" t="s">
        <v>533</v>
      </c>
      <c r="B2182" s="6" t="s">
        <v>534</v>
      </c>
      <c r="C2182" s="6" t="s">
        <v>35</v>
      </c>
      <c r="D2182" s="1088" t="s">
        <v>567</v>
      </c>
      <c r="E2182" s="6" t="s">
        <v>194</v>
      </c>
      <c r="F2182" s="6" t="s">
        <v>2150</v>
      </c>
      <c r="G2182" s="6" t="s">
        <v>2221</v>
      </c>
      <c r="H2182" s="6" t="s">
        <v>2222</v>
      </c>
      <c r="J2182" s="1215" t="s">
        <v>510</v>
      </c>
      <c r="K2182" s="1219" t="s">
        <v>3109</v>
      </c>
      <c r="L2182" s="8">
        <v>0</v>
      </c>
      <c r="M2182" s="8">
        <v>4</v>
      </c>
      <c r="N2182" s="1169" t="s">
        <v>271</v>
      </c>
      <c r="P2182" s="6" t="s">
        <v>3361</v>
      </c>
      <c r="Q2182" s="1215" t="s">
        <v>240</v>
      </c>
      <c r="R2182" s="1088" t="s">
        <v>242</v>
      </c>
      <c r="S2182" s="1088" t="s">
        <v>3387</v>
      </c>
      <c r="T2182" s="6" t="s">
        <v>3340</v>
      </c>
    </row>
    <row r="2183" spans="1:20" x14ac:dyDescent="0.3">
      <c r="A2183" s="6" t="s">
        <v>533</v>
      </c>
      <c r="B2183" s="6" t="s">
        <v>534</v>
      </c>
      <c r="C2183" s="6" t="s">
        <v>35</v>
      </c>
      <c r="D2183" s="1088" t="s">
        <v>567</v>
      </c>
      <c r="E2183" s="6" t="s">
        <v>194</v>
      </c>
      <c r="F2183" s="6" t="s">
        <v>2150</v>
      </c>
      <c r="G2183" s="6" t="s">
        <v>2221</v>
      </c>
      <c r="H2183" s="6" t="s">
        <v>2222</v>
      </c>
      <c r="J2183" s="1215" t="s">
        <v>510</v>
      </c>
      <c r="K2183" s="1219" t="s">
        <v>3110</v>
      </c>
      <c r="L2183" s="8">
        <v>0</v>
      </c>
      <c r="M2183" s="8">
        <v>5</v>
      </c>
      <c r="N2183" s="1169" t="s">
        <v>271</v>
      </c>
      <c r="P2183" s="6" t="s">
        <v>3361</v>
      </c>
      <c r="Q2183" s="1215" t="s">
        <v>240</v>
      </c>
      <c r="R2183" s="1088" t="s">
        <v>242</v>
      </c>
      <c r="S2183" s="1088" t="s">
        <v>3387</v>
      </c>
      <c r="T2183" s="6" t="s">
        <v>3340</v>
      </c>
    </row>
    <row r="2184" spans="1:20" x14ac:dyDescent="0.3">
      <c r="A2184" s="6" t="s">
        <v>533</v>
      </c>
      <c r="B2184" s="6" t="s">
        <v>534</v>
      </c>
      <c r="C2184" s="6" t="s">
        <v>35</v>
      </c>
      <c r="D2184" s="6" t="s">
        <v>567</v>
      </c>
      <c r="E2184" s="1088" t="s">
        <v>194</v>
      </c>
      <c r="F2184" s="6" t="s">
        <v>2150</v>
      </c>
      <c r="G2184" s="6" t="s">
        <v>2221</v>
      </c>
      <c r="H2184" s="6" t="s">
        <v>2222</v>
      </c>
      <c r="J2184" s="1215" t="s">
        <v>510</v>
      </c>
      <c r="K2184" s="1219" t="s">
        <v>3111</v>
      </c>
      <c r="L2184" s="8">
        <v>0</v>
      </c>
      <c r="M2184" s="8">
        <v>4</v>
      </c>
      <c r="N2184" s="1169" t="s">
        <v>271</v>
      </c>
      <c r="P2184" s="6" t="s">
        <v>3361</v>
      </c>
      <c r="Q2184" s="1215" t="s">
        <v>240</v>
      </c>
      <c r="R2184" s="1088" t="s">
        <v>242</v>
      </c>
      <c r="S2184" s="1088" t="s">
        <v>3387</v>
      </c>
      <c r="T2184" s="1088" t="s">
        <v>3340</v>
      </c>
    </row>
    <row r="2185" spans="1:20" x14ac:dyDescent="0.3">
      <c r="A2185" s="6" t="s">
        <v>533</v>
      </c>
      <c r="B2185" s="6" t="s">
        <v>534</v>
      </c>
      <c r="C2185" s="6" t="s">
        <v>35</v>
      </c>
      <c r="D2185" s="1088" t="s">
        <v>567</v>
      </c>
      <c r="E2185" s="6" t="s">
        <v>194</v>
      </c>
      <c r="F2185" s="6" t="s">
        <v>2150</v>
      </c>
      <c r="G2185" s="6" t="s">
        <v>2177</v>
      </c>
      <c r="H2185" s="6" t="s">
        <v>2178</v>
      </c>
      <c r="J2185" s="1215" t="s">
        <v>510</v>
      </c>
      <c r="K2185" s="1219" t="s">
        <v>3033</v>
      </c>
      <c r="L2185" s="8">
        <v>3</v>
      </c>
      <c r="M2185" s="8">
        <v>16</v>
      </c>
      <c r="N2185" s="1169" t="s">
        <v>271</v>
      </c>
      <c r="P2185" s="6" t="s">
        <v>3361</v>
      </c>
      <c r="Q2185" s="1215" t="s">
        <v>240</v>
      </c>
      <c r="R2185" s="1088" t="s">
        <v>242</v>
      </c>
      <c r="S2185" s="1088" t="s">
        <v>3387</v>
      </c>
      <c r="T2185" s="6" t="s">
        <v>3340</v>
      </c>
    </row>
    <row r="2186" spans="1:20" x14ac:dyDescent="0.3">
      <c r="A2186" s="6" t="s">
        <v>533</v>
      </c>
      <c r="B2186" s="6" t="s">
        <v>534</v>
      </c>
      <c r="C2186" s="6" t="s">
        <v>35</v>
      </c>
      <c r="D2186" s="1088" t="s">
        <v>567</v>
      </c>
      <c r="E2186" s="6" t="s">
        <v>194</v>
      </c>
      <c r="F2186" s="6" t="s">
        <v>2150</v>
      </c>
      <c r="G2186" s="6" t="s">
        <v>2177</v>
      </c>
      <c r="H2186" s="6" t="s">
        <v>2178</v>
      </c>
      <c r="J2186" s="1215" t="s">
        <v>510</v>
      </c>
      <c r="K2186" s="1219" t="s">
        <v>3110</v>
      </c>
      <c r="L2186" s="8">
        <v>0</v>
      </c>
      <c r="M2186" s="8">
        <v>1</v>
      </c>
      <c r="N2186" s="1169" t="s">
        <v>271</v>
      </c>
      <c r="P2186" s="6" t="s">
        <v>3361</v>
      </c>
      <c r="Q2186" s="1215" t="s">
        <v>240</v>
      </c>
      <c r="R2186" s="1088" t="s">
        <v>242</v>
      </c>
      <c r="S2186" s="1088" t="s">
        <v>3387</v>
      </c>
      <c r="T2186" s="6" t="s">
        <v>3340</v>
      </c>
    </row>
    <row r="2187" spans="1:20" x14ac:dyDescent="0.3">
      <c r="A2187" s="6" t="s">
        <v>533</v>
      </c>
      <c r="B2187" s="6" t="s">
        <v>534</v>
      </c>
      <c r="C2187" s="6" t="s">
        <v>35</v>
      </c>
      <c r="D2187" s="1088" t="s">
        <v>567</v>
      </c>
      <c r="E2187" s="6" t="s">
        <v>194</v>
      </c>
      <c r="F2187" s="6" t="s">
        <v>2150</v>
      </c>
      <c r="G2187" s="6" t="s">
        <v>2177</v>
      </c>
      <c r="H2187" s="6" t="s">
        <v>2178</v>
      </c>
      <c r="J2187" s="1215" t="s">
        <v>510</v>
      </c>
      <c r="K2187" s="1219" t="s">
        <v>3111</v>
      </c>
      <c r="L2187" s="8">
        <v>0</v>
      </c>
      <c r="M2187" s="8">
        <v>2</v>
      </c>
      <c r="N2187" s="1169" t="s">
        <v>271</v>
      </c>
      <c r="P2187" s="6" t="s">
        <v>3361</v>
      </c>
      <c r="Q2187" s="1215" t="s">
        <v>240</v>
      </c>
      <c r="R2187" s="1088" t="s">
        <v>242</v>
      </c>
      <c r="S2187" s="1088" t="s">
        <v>3387</v>
      </c>
      <c r="T2187" s="1088" t="s">
        <v>3340</v>
      </c>
    </row>
    <row r="2188" spans="1:20" x14ac:dyDescent="0.3">
      <c r="A2188" s="6" t="s">
        <v>533</v>
      </c>
      <c r="B2188" s="6" t="s">
        <v>534</v>
      </c>
      <c r="C2188" s="6" t="s">
        <v>31</v>
      </c>
      <c r="D2188" s="1088" t="s">
        <v>549</v>
      </c>
      <c r="E2188" s="6" t="s">
        <v>167</v>
      </c>
      <c r="F2188" s="6" t="s">
        <v>1113</v>
      </c>
      <c r="G2188" s="6" t="s">
        <v>2805</v>
      </c>
      <c r="H2188" s="6" t="s">
        <v>2057</v>
      </c>
      <c r="J2188" s="1215" t="s">
        <v>510</v>
      </c>
      <c r="K2188" s="1219" t="s">
        <v>3111</v>
      </c>
      <c r="L2188" s="8">
        <v>1</v>
      </c>
      <c r="M2188" s="8">
        <v>2</v>
      </c>
      <c r="N2188" s="1169" t="s">
        <v>271</v>
      </c>
      <c r="P2188" s="6" t="s">
        <v>3361</v>
      </c>
      <c r="Q2188" s="1215" t="s">
        <v>240</v>
      </c>
      <c r="R2188" s="1088" t="s">
        <v>242</v>
      </c>
      <c r="S2188" s="6" t="s">
        <v>3388</v>
      </c>
      <c r="T2188" s="1215" t="s">
        <v>3351</v>
      </c>
    </row>
    <row r="2189" spans="1:20" x14ac:dyDescent="0.3">
      <c r="A2189" s="6" t="s">
        <v>533</v>
      </c>
      <c r="B2189" s="6" t="s">
        <v>534</v>
      </c>
      <c r="C2189" s="6" t="s">
        <v>31</v>
      </c>
      <c r="D2189" s="1088" t="s">
        <v>549</v>
      </c>
      <c r="E2189" s="6" t="s">
        <v>167</v>
      </c>
      <c r="F2189" s="6" t="s">
        <v>1113</v>
      </c>
      <c r="G2189" s="6" t="s">
        <v>2534</v>
      </c>
      <c r="H2189" s="6" t="s">
        <v>1902</v>
      </c>
      <c r="J2189" s="1215" t="s">
        <v>510</v>
      </c>
      <c r="K2189" s="1219" t="s">
        <v>3033</v>
      </c>
      <c r="L2189" s="8">
        <v>5</v>
      </c>
      <c r="M2189" s="8">
        <v>15</v>
      </c>
      <c r="N2189" s="1169" t="s">
        <v>271</v>
      </c>
      <c r="P2189" s="6" t="s">
        <v>3361</v>
      </c>
      <c r="Q2189" s="1215" t="s">
        <v>240</v>
      </c>
      <c r="R2189" s="1088" t="s">
        <v>242</v>
      </c>
      <c r="S2189" s="6" t="s">
        <v>3386</v>
      </c>
      <c r="T2189" s="6" t="s">
        <v>3352</v>
      </c>
    </row>
    <row r="2190" spans="1:20" x14ac:dyDescent="0.3">
      <c r="A2190" s="6" t="s">
        <v>533</v>
      </c>
      <c r="B2190" s="6" t="s">
        <v>534</v>
      </c>
      <c r="C2190" s="6" t="s">
        <v>31</v>
      </c>
      <c r="D2190" s="1088" t="s">
        <v>549</v>
      </c>
      <c r="E2190" s="6" t="s">
        <v>171</v>
      </c>
      <c r="F2190" s="6" t="s">
        <v>634</v>
      </c>
      <c r="G2190" s="6" t="s">
        <v>1716</v>
      </c>
      <c r="H2190" s="6" t="s">
        <v>2213</v>
      </c>
      <c r="J2190" s="1215" t="s">
        <v>510</v>
      </c>
      <c r="K2190" s="1219" t="s">
        <v>3111</v>
      </c>
      <c r="L2190" s="8">
        <v>22</v>
      </c>
      <c r="M2190" s="8">
        <v>180</v>
      </c>
      <c r="N2190" s="1169" t="s">
        <v>271</v>
      </c>
      <c r="P2190" s="6" t="s">
        <v>3361</v>
      </c>
      <c r="Q2190" s="1215" t="s">
        <v>240</v>
      </c>
      <c r="R2190" s="1088" t="s">
        <v>242</v>
      </c>
      <c r="S2190" s="1088" t="s">
        <v>3390</v>
      </c>
      <c r="T2190" s="1088" t="s">
        <v>3339</v>
      </c>
    </row>
    <row r="2191" spans="1:20" x14ac:dyDescent="0.3">
      <c r="A2191" s="6" t="s">
        <v>533</v>
      </c>
      <c r="B2191" s="6" t="s">
        <v>534</v>
      </c>
      <c r="C2191" s="6" t="s">
        <v>31</v>
      </c>
      <c r="D2191" s="1088" t="s">
        <v>549</v>
      </c>
      <c r="E2191" s="6" t="s">
        <v>171</v>
      </c>
      <c r="F2191" s="6" t="s">
        <v>634</v>
      </c>
      <c r="G2191" s="6" t="s">
        <v>2835</v>
      </c>
      <c r="H2191" s="6" t="s">
        <v>2180</v>
      </c>
      <c r="J2191" s="1215" t="s">
        <v>510</v>
      </c>
      <c r="K2191" s="1219" t="s">
        <v>3111</v>
      </c>
      <c r="L2191" s="8">
        <v>3</v>
      </c>
      <c r="M2191" s="8">
        <v>8</v>
      </c>
      <c r="N2191" s="1169" t="s">
        <v>271</v>
      </c>
      <c r="P2191" s="6" t="s">
        <v>3361</v>
      </c>
      <c r="Q2191" s="1215" t="s">
        <v>240</v>
      </c>
      <c r="R2191" s="1088" t="s">
        <v>242</v>
      </c>
      <c r="S2191" s="1088" t="s">
        <v>3390</v>
      </c>
      <c r="T2191" s="1088" t="s">
        <v>3339</v>
      </c>
    </row>
    <row r="2192" spans="1:20" x14ac:dyDescent="0.3">
      <c r="A2192" s="6" t="s">
        <v>533</v>
      </c>
      <c r="B2192" s="6" t="s">
        <v>534</v>
      </c>
      <c r="C2192" s="6" t="s">
        <v>31</v>
      </c>
      <c r="D2192" s="1088" t="s">
        <v>549</v>
      </c>
      <c r="E2192" s="6" t="s">
        <v>171</v>
      </c>
      <c r="F2192" s="6" t="s">
        <v>634</v>
      </c>
      <c r="G2192" s="6" t="s">
        <v>2835</v>
      </c>
      <c r="H2192" s="6" t="s">
        <v>2180</v>
      </c>
      <c r="J2192" s="1215" t="s">
        <v>510</v>
      </c>
      <c r="K2192" s="1219" t="s">
        <v>3112</v>
      </c>
      <c r="L2192" s="8">
        <v>2</v>
      </c>
      <c r="M2192" s="8">
        <v>3</v>
      </c>
      <c r="N2192" s="1169" t="s">
        <v>272</v>
      </c>
      <c r="P2192" s="6" t="s">
        <v>3361</v>
      </c>
      <c r="Q2192" s="1215" t="s">
        <v>240</v>
      </c>
      <c r="R2192" s="1088" t="s">
        <v>242</v>
      </c>
      <c r="S2192" s="1088" t="s">
        <v>3390</v>
      </c>
      <c r="T2192" s="6" t="s">
        <v>3339</v>
      </c>
    </row>
    <row r="2193" spans="1:20" x14ac:dyDescent="0.3">
      <c r="A2193" s="6" t="s">
        <v>533</v>
      </c>
      <c r="B2193" s="6" t="s">
        <v>534</v>
      </c>
      <c r="C2193" s="6" t="s">
        <v>31</v>
      </c>
      <c r="D2193" s="1088" t="s">
        <v>549</v>
      </c>
      <c r="E2193" s="6" t="s">
        <v>171</v>
      </c>
      <c r="F2193" s="6" t="s">
        <v>634</v>
      </c>
      <c r="G2193" s="6" t="s">
        <v>2606</v>
      </c>
      <c r="H2193" s="6" t="s">
        <v>2169</v>
      </c>
      <c r="J2193" s="1215" t="s">
        <v>510</v>
      </c>
      <c r="K2193" s="1219" t="s">
        <v>3111</v>
      </c>
      <c r="L2193" s="8">
        <v>9</v>
      </c>
      <c r="M2193" s="8">
        <v>12</v>
      </c>
      <c r="N2193" s="1169" t="s">
        <v>271</v>
      </c>
      <c r="P2193" s="6" t="s">
        <v>3361</v>
      </c>
      <c r="Q2193" s="1215" t="s">
        <v>240</v>
      </c>
      <c r="R2193" s="1088" t="s">
        <v>242</v>
      </c>
      <c r="S2193" s="1088" t="s">
        <v>3390</v>
      </c>
      <c r="T2193" s="6" t="s">
        <v>3339</v>
      </c>
    </row>
    <row r="2194" spans="1:20" x14ac:dyDescent="0.3">
      <c r="A2194" s="6" t="s">
        <v>533</v>
      </c>
      <c r="B2194" s="6" t="s">
        <v>534</v>
      </c>
      <c r="C2194" s="6" t="s">
        <v>31</v>
      </c>
      <c r="D2194" s="1088" t="s">
        <v>549</v>
      </c>
      <c r="E2194" s="6" t="s">
        <v>171</v>
      </c>
      <c r="F2194" s="6" t="s">
        <v>634</v>
      </c>
      <c r="G2194" s="6" t="s">
        <v>2980</v>
      </c>
      <c r="H2194" s="6" t="s">
        <v>927</v>
      </c>
      <c r="J2194" s="1215" t="s">
        <v>510</v>
      </c>
      <c r="K2194" s="1219" t="s">
        <v>3111</v>
      </c>
      <c r="L2194" s="8">
        <v>19</v>
      </c>
      <c r="M2194" s="8">
        <v>154</v>
      </c>
      <c r="N2194" s="1169" t="s">
        <v>271</v>
      </c>
      <c r="P2194" s="6" t="s">
        <v>3361</v>
      </c>
      <c r="Q2194" s="1215" t="s">
        <v>240</v>
      </c>
      <c r="R2194" s="1088" t="s">
        <v>242</v>
      </c>
      <c r="S2194" s="1088" t="s">
        <v>3390</v>
      </c>
      <c r="T2194" s="6" t="s">
        <v>3339</v>
      </c>
    </row>
    <row r="2195" spans="1:20" x14ac:dyDescent="0.3">
      <c r="A2195" s="6" t="s">
        <v>533</v>
      </c>
      <c r="B2195" s="6" t="s">
        <v>534</v>
      </c>
      <c r="C2195" s="6" t="s">
        <v>31</v>
      </c>
      <c r="D2195" s="1088" t="s">
        <v>549</v>
      </c>
      <c r="E2195" s="6" t="s">
        <v>171</v>
      </c>
      <c r="F2195" s="6" t="s">
        <v>634</v>
      </c>
      <c r="G2195" s="6" t="s">
        <v>2826</v>
      </c>
      <c r="H2195" s="6" t="s">
        <v>2201</v>
      </c>
      <c r="J2195" s="1215" t="s">
        <v>510</v>
      </c>
      <c r="K2195" s="1219" t="s">
        <v>3111</v>
      </c>
      <c r="L2195" s="8">
        <v>47</v>
      </c>
      <c r="M2195" s="8">
        <v>422</v>
      </c>
      <c r="N2195" s="1169" t="s">
        <v>271</v>
      </c>
      <c r="P2195" s="6" t="s">
        <v>3361</v>
      </c>
      <c r="Q2195" s="1215" t="s">
        <v>240</v>
      </c>
      <c r="R2195" s="1088" t="s">
        <v>242</v>
      </c>
      <c r="S2195" s="1088" t="s">
        <v>3390</v>
      </c>
      <c r="T2195" s="6" t="s">
        <v>3339</v>
      </c>
    </row>
    <row r="2196" spans="1:20" x14ac:dyDescent="0.3">
      <c r="A2196" s="6" t="s">
        <v>533</v>
      </c>
      <c r="B2196" s="6" t="s">
        <v>534</v>
      </c>
      <c r="C2196" s="6" t="s">
        <v>31</v>
      </c>
      <c r="D2196" s="1088" t="s">
        <v>549</v>
      </c>
      <c r="E2196" s="6" t="s">
        <v>171</v>
      </c>
      <c r="F2196" s="6" t="s">
        <v>634</v>
      </c>
      <c r="G2196" s="6" t="s">
        <v>1392</v>
      </c>
      <c r="H2196" s="6" t="s">
        <v>1539</v>
      </c>
      <c r="J2196" s="1215" t="s">
        <v>510</v>
      </c>
      <c r="K2196" s="1219" t="s">
        <v>3111</v>
      </c>
      <c r="L2196" s="8">
        <v>42</v>
      </c>
      <c r="M2196" s="8">
        <v>152</v>
      </c>
      <c r="N2196" s="1169" t="s">
        <v>271</v>
      </c>
      <c r="P2196" s="6" t="s">
        <v>3361</v>
      </c>
      <c r="Q2196" s="1215" t="s">
        <v>240</v>
      </c>
      <c r="R2196" s="1088" t="s">
        <v>242</v>
      </c>
      <c r="S2196" s="1088" t="s">
        <v>3390</v>
      </c>
      <c r="T2196" s="6" t="s">
        <v>3339</v>
      </c>
    </row>
    <row r="2197" spans="1:20" x14ac:dyDescent="0.3">
      <c r="A2197" s="6" t="s">
        <v>533</v>
      </c>
      <c r="B2197" s="6" t="s">
        <v>534</v>
      </c>
      <c r="C2197" s="6" t="s">
        <v>31</v>
      </c>
      <c r="D2197" s="1088" t="s">
        <v>549</v>
      </c>
      <c r="E2197" s="6" t="s">
        <v>171</v>
      </c>
      <c r="F2197" s="6" t="s">
        <v>634</v>
      </c>
      <c r="G2197" s="6" t="s">
        <v>1278</v>
      </c>
      <c r="H2197" s="6" t="s">
        <v>1543</v>
      </c>
      <c r="J2197" s="1215" t="s">
        <v>510</v>
      </c>
      <c r="K2197" s="1219" t="s">
        <v>3111</v>
      </c>
      <c r="L2197" s="8">
        <v>16</v>
      </c>
      <c r="M2197" s="8">
        <v>83</v>
      </c>
      <c r="N2197" s="1169" t="s">
        <v>271</v>
      </c>
      <c r="P2197" s="6" t="s">
        <v>3361</v>
      </c>
      <c r="Q2197" s="1215" t="s">
        <v>240</v>
      </c>
      <c r="R2197" s="1088" t="s">
        <v>242</v>
      </c>
      <c r="S2197" s="1088" t="s">
        <v>3390</v>
      </c>
      <c r="T2197" s="6" t="s">
        <v>3339</v>
      </c>
    </row>
    <row r="2198" spans="1:20" x14ac:dyDescent="0.3">
      <c r="A2198" s="6" t="s">
        <v>533</v>
      </c>
      <c r="B2198" s="6" t="s">
        <v>534</v>
      </c>
      <c r="C2198" s="6" t="s">
        <v>31</v>
      </c>
      <c r="D2198" s="1088" t="s">
        <v>549</v>
      </c>
      <c r="E2198" s="6" t="s">
        <v>171</v>
      </c>
      <c r="F2198" s="6" t="s">
        <v>634</v>
      </c>
      <c r="G2198" s="6" t="s">
        <v>2928</v>
      </c>
      <c r="H2198" s="6" t="s">
        <v>3279</v>
      </c>
      <c r="J2198" s="1215" t="s">
        <v>510</v>
      </c>
      <c r="K2198" s="1219" t="s">
        <v>3111</v>
      </c>
      <c r="L2198" s="8">
        <v>37</v>
      </c>
      <c r="M2198" s="8">
        <v>116</v>
      </c>
      <c r="N2198" s="1169" t="s">
        <v>271</v>
      </c>
      <c r="O2198" s="1088"/>
      <c r="P2198" s="6" t="s">
        <v>3361</v>
      </c>
      <c r="Q2198" s="1215" t="s">
        <v>240</v>
      </c>
      <c r="R2198" s="1088" t="s">
        <v>242</v>
      </c>
      <c r="S2198" s="1088" t="s">
        <v>3390</v>
      </c>
      <c r="T2198" s="1088" t="s">
        <v>3339</v>
      </c>
    </row>
    <row r="2199" spans="1:20" x14ac:dyDescent="0.3">
      <c r="A2199" s="6" t="s">
        <v>533</v>
      </c>
      <c r="B2199" s="6" t="s">
        <v>534</v>
      </c>
      <c r="C2199" s="6" t="s">
        <v>35</v>
      </c>
      <c r="D2199" s="1088" t="s">
        <v>567</v>
      </c>
      <c r="E2199" s="6" t="s">
        <v>194</v>
      </c>
      <c r="F2199" s="6" t="s">
        <v>2150</v>
      </c>
      <c r="G2199" s="6" t="s">
        <v>2215</v>
      </c>
      <c r="H2199" s="6" t="s">
        <v>2216</v>
      </c>
      <c r="J2199" s="1215" t="s">
        <v>510</v>
      </c>
      <c r="K2199" s="1219" t="s">
        <v>3033</v>
      </c>
      <c r="L2199" s="8">
        <v>6</v>
      </c>
      <c r="M2199" s="8">
        <v>29</v>
      </c>
      <c r="N2199" s="1169" t="s">
        <v>271</v>
      </c>
      <c r="P2199" s="6" t="s">
        <v>3361</v>
      </c>
      <c r="Q2199" s="1215" t="s">
        <v>240</v>
      </c>
      <c r="R2199" s="1088" t="s">
        <v>242</v>
      </c>
      <c r="S2199" s="1088" t="s">
        <v>3387</v>
      </c>
      <c r="T2199" s="6" t="s">
        <v>3340</v>
      </c>
    </row>
    <row r="2200" spans="1:20" x14ac:dyDescent="0.3">
      <c r="A2200" s="6" t="s">
        <v>533</v>
      </c>
      <c r="B2200" s="6" t="s">
        <v>534</v>
      </c>
      <c r="C2200" s="6" t="s">
        <v>35</v>
      </c>
      <c r="D2200" s="1088" t="s">
        <v>567</v>
      </c>
      <c r="E2200" s="6" t="s">
        <v>194</v>
      </c>
      <c r="F2200" s="6" t="s">
        <v>2150</v>
      </c>
      <c r="G2200" s="6" t="s">
        <v>2215</v>
      </c>
      <c r="H2200" s="6" t="s">
        <v>2216</v>
      </c>
      <c r="J2200" s="1215" t="s">
        <v>510</v>
      </c>
      <c r="K2200" s="1219" t="s">
        <v>3110</v>
      </c>
      <c r="L2200" s="8">
        <v>0</v>
      </c>
      <c r="M2200" s="8">
        <v>2</v>
      </c>
      <c r="N2200" s="1169" t="s">
        <v>271</v>
      </c>
      <c r="P2200" s="6" t="s">
        <v>3361</v>
      </c>
      <c r="Q2200" s="1215" t="s">
        <v>240</v>
      </c>
      <c r="R2200" s="1088" t="s">
        <v>242</v>
      </c>
      <c r="S2200" s="1088" t="s">
        <v>3387</v>
      </c>
      <c r="T2200" s="6" t="s">
        <v>3340</v>
      </c>
    </row>
    <row r="2201" spans="1:20" x14ac:dyDescent="0.3">
      <c r="A2201" s="6" t="s">
        <v>533</v>
      </c>
      <c r="B2201" s="6" t="s">
        <v>534</v>
      </c>
      <c r="C2201" s="6" t="s">
        <v>35</v>
      </c>
      <c r="D2201" s="1088" t="s">
        <v>567</v>
      </c>
      <c r="E2201" s="6" t="s">
        <v>194</v>
      </c>
      <c r="F2201" s="6" t="s">
        <v>2150</v>
      </c>
      <c r="G2201" s="6" t="s">
        <v>2215</v>
      </c>
      <c r="H2201" s="6" t="s">
        <v>2216</v>
      </c>
      <c r="J2201" s="1215" t="s">
        <v>510</v>
      </c>
      <c r="K2201" s="1219" t="s">
        <v>3111</v>
      </c>
      <c r="L2201" s="8">
        <v>0</v>
      </c>
      <c r="M2201" s="8">
        <v>2</v>
      </c>
      <c r="N2201" s="6" t="s">
        <v>271</v>
      </c>
      <c r="P2201" s="6" t="s">
        <v>3361</v>
      </c>
      <c r="Q2201" s="1215" t="s">
        <v>240</v>
      </c>
      <c r="R2201" s="1088" t="s">
        <v>242</v>
      </c>
      <c r="S2201" s="1088" t="s">
        <v>3387</v>
      </c>
      <c r="T2201" s="6" t="s">
        <v>3340</v>
      </c>
    </row>
    <row r="2202" spans="1:20" x14ac:dyDescent="0.3">
      <c r="A2202" s="6" t="s">
        <v>533</v>
      </c>
      <c r="B2202" s="6" t="s">
        <v>534</v>
      </c>
      <c r="C2202" s="6" t="s">
        <v>35</v>
      </c>
      <c r="D2202" s="1088" t="s">
        <v>567</v>
      </c>
      <c r="E2202" s="6" t="s">
        <v>194</v>
      </c>
      <c r="F2202" s="6" t="s">
        <v>2150</v>
      </c>
      <c r="G2202" s="6" t="s">
        <v>2917</v>
      </c>
      <c r="H2202" s="6" t="s">
        <v>2205</v>
      </c>
      <c r="J2202" s="1215" t="s">
        <v>510</v>
      </c>
      <c r="K2202" s="1219" t="s">
        <v>3033</v>
      </c>
      <c r="L2202" s="8">
        <v>2</v>
      </c>
      <c r="M2202" s="8">
        <v>11</v>
      </c>
      <c r="N2202" s="1169" t="s">
        <v>271</v>
      </c>
      <c r="P2202" s="6" t="s">
        <v>3361</v>
      </c>
      <c r="Q2202" s="1215" t="s">
        <v>240</v>
      </c>
      <c r="R2202" s="1088" t="s">
        <v>242</v>
      </c>
      <c r="S2202" s="1088" t="s">
        <v>3387</v>
      </c>
      <c r="T2202" s="6" t="s">
        <v>3340</v>
      </c>
    </row>
    <row r="2203" spans="1:20" x14ac:dyDescent="0.3">
      <c r="A2203" s="6" t="s">
        <v>533</v>
      </c>
      <c r="B2203" s="6" t="s">
        <v>534</v>
      </c>
      <c r="C2203" s="6" t="s">
        <v>35</v>
      </c>
      <c r="D2203" s="1088" t="s">
        <v>567</v>
      </c>
      <c r="E2203" s="6" t="s">
        <v>194</v>
      </c>
      <c r="F2203" s="6" t="s">
        <v>2150</v>
      </c>
      <c r="G2203" s="6" t="s">
        <v>2917</v>
      </c>
      <c r="H2203" s="6" t="s">
        <v>2205</v>
      </c>
      <c r="J2203" s="1215" t="s">
        <v>510</v>
      </c>
      <c r="K2203" s="1219" t="s">
        <v>3111</v>
      </c>
      <c r="L2203" s="8">
        <v>1</v>
      </c>
      <c r="M2203" s="8">
        <v>3</v>
      </c>
      <c r="N2203" s="1169" t="s">
        <v>271</v>
      </c>
      <c r="P2203" s="6" t="s">
        <v>3361</v>
      </c>
      <c r="Q2203" s="1215" t="s">
        <v>240</v>
      </c>
      <c r="R2203" s="1088" t="s">
        <v>242</v>
      </c>
      <c r="S2203" s="1088" t="s">
        <v>3387</v>
      </c>
      <c r="T2203" s="1088" t="s">
        <v>3340</v>
      </c>
    </row>
    <row r="2204" spans="1:20" x14ac:dyDescent="0.3">
      <c r="A2204" s="6" t="s">
        <v>533</v>
      </c>
      <c r="B2204" s="6" t="s">
        <v>534</v>
      </c>
      <c r="C2204" s="6" t="s">
        <v>31</v>
      </c>
      <c r="D2204" s="1088" t="s">
        <v>549</v>
      </c>
      <c r="E2204" s="6" t="s">
        <v>171</v>
      </c>
      <c r="F2204" s="6" t="s">
        <v>634</v>
      </c>
      <c r="G2204" s="6" t="s">
        <v>1011</v>
      </c>
      <c r="H2204" s="6" t="s">
        <v>3241</v>
      </c>
      <c r="J2204" s="1215" t="s">
        <v>510</v>
      </c>
      <c r="K2204" s="1219" t="s">
        <v>3033</v>
      </c>
      <c r="L2204" s="8">
        <v>26</v>
      </c>
      <c r="M2204" s="8">
        <v>344</v>
      </c>
      <c r="N2204" s="1169" t="s">
        <v>271</v>
      </c>
      <c r="P2204" s="6" t="s">
        <v>3361</v>
      </c>
      <c r="Q2204" s="1215" t="s">
        <v>240</v>
      </c>
      <c r="R2204" s="1088" t="s">
        <v>242</v>
      </c>
      <c r="S2204" s="1088" t="s">
        <v>3390</v>
      </c>
      <c r="T2204" s="6" t="s">
        <v>3339</v>
      </c>
    </row>
    <row r="2205" spans="1:20" x14ac:dyDescent="0.3">
      <c r="A2205" s="6" t="s">
        <v>533</v>
      </c>
      <c r="B2205" s="6" t="s">
        <v>534</v>
      </c>
      <c r="C2205" s="6" t="s">
        <v>31</v>
      </c>
      <c r="D2205" s="1088" t="s">
        <v>549</v>
      </c>
      <c r="E2205" s="6" t="s">
        <v>166</v>
      </c>
      <c r="F2205" s="6" t="s">
        <v>844</v>
      </c>
      <c r="G2205" s="6" t="s">
        <v>1118</v>
      </c>
      <c r="H2205" s="6" t="s">
        <v>942</v>
      </c>
      <c r="J2205" s="1215" t="s">
        <v>510</v>
      </c>
      <c r="K2205" s="1219" t="s">
        <v>3033</v>
      </c>
      <c r="L2205" s="8">
        <v>6</v>
      </c>
      <c r="M2205" s="8">
        <v>43</v>
      </c>
      <c r="N2205" s="1169" t="s">
        <v>271</v>
      </c>
      <c r="P2205" s="6" t="s">
        <v>3361</v>
      </c>
      <c r="Q2205" s="1215" t="s">
        <v>240</v>
      </c>
      <c r="R2205" s="1088" t="s">
        <v>242</v>
      </c>
      <c r="S2205" s="1088" t="s">
        <v>3390</v>
      </c>
      <c r="T2205" s="6" t="s">
        <v>3339</v>
      </c>
    </row>
    <row r="2206" spans="1:20" x14ac:dyDescent="0.3">
      <c r="A2206" s="6" t="s">
        <v>533</v>
      </c>
      <c r="B2206" s="6" t="s">
        <v>534</v>
      </c>
      <c r="C2206" s="6" t="s">
        <v>31</v>
      </c>
      <c r="D2206" s="1088" t="s">
        <v>549</v>
      </c>
      <c r="E2206" s="6" t="s">
        <v>166</v>
      </c>
      <c r="F2206" s="6" t="s">
        <v>844</v>
      </c>
      <c r="G2206" s="6" t="s">
        <v>1118</v>
      </c>
      <c r="H2206" s="6" t="s">
        <v>942</v>
      </c>
      <c r="J2206" s="1215" t="s">
        <v>510</v>
      </c>
      <c r="K2206" s="1219" t="s">
        <v>3111</v>
      </c>
      <c r="L2206" s="8">
        <v>4</v>
      </c>
      <c r="M2206" s="8">
        <v>22</v>
      </c>
      <c r="N2206" s="1169" t="s">
        <v>271</v>
      </c>
      <c r="P2206" s="6" t="s">
        <v>3361</v>
      </c>
      <c r="Q2206" s="1215" t="s">
        <v>240</v>
      </c>
      <c r="R2206" s="1088" t="s">
        <v>242</v>
      </c>
      <c r="S2206" s="1088" t="s">
        <v>3390</v>
      </c>
      <c r="T2206" s="6" t="s">
        <v>3339</v>
      </c>
    </row>
    <row r="2207" spans="1:20" x14ac:dyDescent="0.3">
      <c r="A2207" s="6" t="s">
        <v>533</v>
      </c>
      <c r="B2207" s="6" t="s">
        <v>534</v>
      </c>
      <c r="C2207" s="6" t="s">
        <v>31</v>
      </c>
      <c r="D2207" s="1088" t="s">
        <v>549</v>
      </c>
      <c r="E2207" s="6" t="s">
        <v>166</v>
      </c>
      <c r="F2207" s="6" t="s">
        <v>844</v>
      </c>
      <c r="G2207" s="6" t="s">
        <v>1118</v>
      </c>
      <c r="H2207" s="6" t="s">
        <v>942</v>
      </c>
      <c r="J2207" s="1215" t="s">
        <v>510</v>
      </c>
      <c r="K2207" s="1219" t="s">
        <v>3110</v>
      </c>
      <c r="L2207" s="8">
        <v>7</v>
      </c>
      <c r="M2207" s="8">
        <v>28</v>
      </c>
      <c r="N2207" s="1169" t="s">
        <v>271</v>
      </c>
      <c r="P2207" s="6" t="s">
        <v>3361</v>
      </c>
      <c r="Q2207" s="1215" t="s">
        <v>240</v>
      </c>
      <c r="R2207" s="1088" t="s">
        <v>242</v>
      </c>
      <c r="S2207" s="1088" t="s">
        <v>3390</v>
      </c>
      <c r="T2207" s="1088" t="s">
        <v>3339</v>
      </c>
    </row>
    <row r="2208" spans="1:20" x14ac:dyDescent="0.3">
      <c r="A2208" s="6" t="s">
        <v>533</v>
      </c>
      <c r="B2208" s="6" t="s">
        <v>534</v>
      </c>
      <c r="C2208" s="6" t="s">
        <v>31</v>
      </c>
      <c r="D2208" s="1088" t="s">
        <v>549</v>
      </c>
      <c r="E2208" s="6" t="s">
        <v>166</v>
      </c>
      <c r="F2208" s="6" t="s">
        <v>844</v>
      </c>
      <c r="G2208" s="6" t="s">
        <v>2495</v>
      </c>
      <c r="H2208" s="6" t="s">
        <v>2171</v>
      </c>
      <c r="J2208" s="1215" t="s">
        <v>510</v>
      </c>
      <c r="K2208" s="1219" t="s">
        <v>3033</v>
      </c>
      <c r="L2208" s="8">
        <v>2</v>
      </c>
      <c r="M2208" s="8">
        <v>18</v>
      </c>
      <c r="N2208" s="1169" t="s">
        <v>271</v>
      </c>
      <c r="P2208" s="6" t="s">
        <v>3361</v>
      </c>
      <c r="Q2208" s="1215" t="s">
        <v>240</v>
      </c>
      <c r="R2208" s="1088" t="s">
        <v>242</v>
      </c>
      <c r="S2208" s="1088" t="s">
        <v>3390</v>
      </c>
      <c r="T2208" s="6" t="s">
        <v>3339</v>
      </c>
    </row>
    <row r="2209" spans="1:20" x14ac:dyDescent="0.3">
      <c r="A2209" s="6" t="s">
        <v>533</v>
      </c>
      <c r="B2209" s="6" t="s">
        <v>534</v>
      </c>
      <c r="C2209" s="6" t="s">
        <v>31</v>
      </c>
      <c r="D2209" s="1088" t="s">
        <v>549</v>
      </c>
      <c r="E2209" s="6" t="s">
        <v>2797</v>
      </c>
      <c r="F2209" s="6" t="s">
        <v>767</v>
      </c>
      <c r="G2209" s="6" t="s">
        <v>1231</v>
      </c>
      <c r="H2209" s="6" t="s">
        <v>788</v>
      </c>
      <c r="J2209" s="1215" t="s">
        <v>510</v>
      </c>
      <c r="K2209" s="1219" t="s">
        <v>3033</v>
      </c>
      <c r="L2209" s="8">
        <v>4</v>
      </c>
      <c r="M2209" s="8">
        <v>40</v>
      </c>
      <c r="N2209" s="1169" t="s">
        <v>271</v>
      </c>
      <c r="P2209" s="6" t="s">
        <v>3361</v>
      </c>
      <c r="Q2209" s="1215" t="s">
        <v>240</v>
      </c>
      <c r="R2209" s="1088" t="s">
        <v>242</v>
      </c>
      <c r="S2209" s="1088" t="s">
        <v>3390</v>
      </c>
      <c r="T2209" s="6" t="s">
        <v>3339</v>
      </c>
    </row>
    <row r="2210" spans="1:20" x14ac:dyDescent="0.3">
      <c r="A2210" s="6" t="s">
        <v>533</v>
      </c>
      <c r="B2210" s="6" t="s">
        <v>534</v>
      </c>
      <c r="C2210" s="6" t="s">
        <v>31</v>
      </c>
      <c r="D2210" s="1088" t="s">
        <v>549</v>
      </c>
      <c r="E2210" s="6" t="s">
        <v>2797</v>
      </c>
      <c r="F2210" s="6" t="s">
        <v>767</v>
      </c>
      <c r="G2210" s="6" t="s">
        <v>1227</v>
      </c>
      <c r="H2210" s="6" t="s">
        <v>789</v>
      </c>
      <c r="J2210" s="1215" t="s">
        <v>510</v>
      </c>
      <c r="K2210" s="1219" t="s">
        <v>3033</v>
      </c>
      <c r="L2210" s="8">
        <v>4</v>
      </c>
      <c r="M2210" s="8">
        <v>31</v>
      </c>
      <c r="N2210" s="1169" t="s">
        <v>271</v>
      </c>
      <c r="P2210" s="6" t="s">
        <v>3361</v>
      </c>
      <c r="Q2210" s="1215" t="s">
        <v>240</v>
      </c>
      <c r="R2210" s="1088" t="s">
        <v>242</v>
      </c>
      <c r="S2210" s="1088" t="s">
        <v>3390</v>
      </c>
      <c r="T2210" s="6" t="s">
        <v>3339</v>
      </c>
    </row>
    <row r="2211" spans="1:20" x14ac:dyDescent="0.3">
      <c r="A2211" s="6" t="s">
        <v>533</v>
      </c>
      <c r="B2211" s="6" t="s">
        <v>534</v>
      </c>
      <c r="C2211" s="6" t="s">
        <v>35</v>
      </c>
      <c r="D2211" s="1088" t="s">
        <v>567</v>
      </c>
      <c r="E2211" s="6" t="s">
        <v>193</v>
      </c>
      <c r="F2211" s="6" t="s">
        <v>863</v>
      </c>
      <c r="G2211" s="6" t="s">
        <v>1586</v>
      </c>
      <c r="H2211" s="6" t="s">
        <v>876</v>
      </c>
      <c r="J2211" s="1215" t="s">
        <v>510</v>
      </c>
      <c r="K2211" s="1219" t="s">
        <v>3033</v>
      </c>
      <c r="L2211" s="8">
        <v>17</v>
      </c>
      <c r="M2211" s="8">
        <v>85</v>
      </c>
      <c r="N2211" s="1169" t="s">
        <v>271</v>
      </c>
      <c r="O2211" s="1088"/>
      <c r="P2211" s="6" t="s">
        <v>3361</v>
      </c>
      <c r="Q2211" s="1215" t="s">
        <v>240</v>
      </c>
      <c r="R2211" s="1088" t="s">
        <v>242</v>
      </c>
      <c r="S2211" s="1088" t="s">
        <v>3390</v>
      </c>
      <c r="T2211" s="1088" t="s">
        <v>3339</v>
      </c>
    </row>
    <row r="2212" spans="1:20" x14ac:dyDescent="0.3">
      <c r="A2212" s="6" t="s">
        <v>533</v>
      </c>
      <c r="B2212" s="6" t="s">
        <v>534</v>
      </c>
      <c r="C2212" s="6" t="s">
        <v>31</v>
      </c>
      <c r="D2212" s="1088" t="s">
        <v>549</v>
      </c>
      <c r="E2212" s="6" t="s">
        <v>2797</v>
      </c>
      <c r="F2212" s="6" t="s">
        <v>767</v>
      </c>
      <c r="G2212" s="6" t="s">
        <v>2540</v>
      </c>
      <c r="H2212" s="6" t="s">
        <v>787</v>
      </c>
      <c r="J2212" s="1215" t="s">
        <v>510</v>
      </c>
      <c r="K2212" s="1219" t="s">
        <v>3033</v>
      </c>
      <c r="L2212" s="8">
        <v>7</v>
      </c>
      <c r="M2212" s="8">
        <v>49</v>
      </c>
      <c r="N2212" s="1169" t="s">
        <v>271</v>
      </c>
      <c r="P2212" s="6" t="s">
        <v>3361</v>
      </c>
      <c r="Q2212" s="1215" t="s">
        <v>240</v>
      </c>
      <c r="R2212" s="1088" t="s">
        <v>242</v>
      </c>
      <c r="S2212" s="1088" t="s">
        <v>3390</v>
      </c>
      <c r="T2212" s="6" t="s">
        <v>3339</v>
      </c>
    </row>
    <row r="2213" spans="1:20" x14ac:dyDescent="0.3">
      <c r="A2213" s="6" t="s">
        <v>533</v>
      </c>
      <c r="B2213" s="6" t="s">
        <v>534</v>
      </c>
      <c r="C2213" s="6" t="s">
        <v>31</v>
      </c>
      <c r="D2213" s="1088" t="s">
        <v>549</v>
      </c>
      <c r="E2213" s="6" t="s">
        <v>171</v>
      </c>
      <c r="F2213" s="6" t="s">
        <v>634</v>
      </c>
      <c r="G2213" s="6" t="s">
        <v>1916</v>
      </c>
      <c r="H2213" s="6" t="s">
        <v>1744</v>
      </c>
      <c r="J2213" s="1215" t="s">
        <v>510</v>
      </c>
      <c r="K2213" s="1219" t="s">
        <v>3111</v>
      </c>
      <c r="L2213" s="8">
        <v>39</v>
      </c>
      <c r="M2213" s="8">
        <v>261</v>
      </c>
      <c r="N2213" s="1169" t="s">
        <v>271</v>
      </c>
      <c r="P2213" s="6" t="s">
        <v>3361</v>
      </c>
      <c r="Q2213" s="1215" t="s">
        <v>240</v>
      </c>
      <c r="R2213" s="1088" t="s">
        <v>242</v>
      </c>
      <c r="S2213" s="1088" t="s">
        <v>3390</v>
      </c>
      <c r="T2213" s="6" t="s">
        <v>3339</v>
      </c>
    </row>
    <row r="2214" spans="1:20" x14ac:dyDescent="0.3">
      <c r="A2214" s="6" t="s">
        <v>533</v>
      </c>
      <c r="B2214" s="6" t="s">
        <v>534</v>
      </c>
      <c r="C2214" s="6" t="s">
        <v>31</v>
      </c>
      <c r="D2214" s="1088" t="s">
        <v>549</v>
      </c>
      <c r="E2214" s="6" t="s">
        <v>171</v>
      </c>
      <c r="F2214" s="6" t="s">
        <v>634</v>
      </c>
      <c r="G2214" s="6" t="s">
        <v>1916</v>
      </c>
      <c r="H2214" s="6" t="s">
        <v>1744</v>
      </c>
      <c r="J2214" s="1215" t="s">
        <v>510</v>
      </c>
      <c r="K2214" s="1219" t="s">
        <v>3112</v>
      </c>
      <c r="L2214" s="8">
        <v>10</v>
      </c>
      <c r="M2214" s="8">
        <v>80</v>
      </c>
      <c r="N2214" s="1169" t="s">
        <v>271</v>
      </c>
      <c r="O2214" s="1088"/>
      <c r="P2214" s="6" t="s">
        <v>3361</v>
      </c>
      <c r="Q2214" s="1215" t="s">
        <v>240</v>
      </c>
      <c r="R2214" s="1088" t="s">
        <v>242</v>
      </c>
      <c r="S2214" s="1215" t="s">
        <v>3392</v>
      </c>
      <c r="T2214" s="1088" t="s">
        <v>3349</v>
      </c>
    </row>
    <row r="2215" spans="1:20" x14ac:dyDescent="0.3">
      <c r="A2215" s="6" t="s">
        <v>533</v>
      </c>
      <c r="B2215" s="6" t="s">
        <v>534</v>
      </c>
      <c r="C2215" s="6" t="s">
        <v>31</v>
      </c>
      <c r="D2215" s="1088" t="s">
        <v>549</v>
      </c>
      <c r="E2215" s="6" t="s">
        <v>171</v>
      </c>
      <c r="F2215" s="6" t="s">
        <v>634</v>
      </c>
      <c r="G2215" s="6" t="s">
        <v>2087</v>
      </c>
      <c r="H2215" s="6" t="s">
        <v>1746</v>
      </c>
      <c r="J2215" s="1215" t="s">
        <v>510</v>
      </c>
      <c r="K2215" s="1219" t="s">
        <v>3111</v>
      </c>
      <c r="L2215" s="8">
        <v>15</v>
      </c>
      <c r="M2215" s="8">
        <v>139</v>
      </c>
      <c r="N2215" s="1169" t="s">
        <v>271</v>
      </c>
      <c r="P2215" s="6" t="s">
        <v>3361</v>
      </c>
      <c r="Q2215" s="1215" t="s">
        <v>240</v>
      </c>
      <c r="R2215" s="1088" t="s">
        <v>242</v>
      </c>
      <c r="S2215" s="1088" t="s">
        <v>3390</v>
      </c>
      <c r="T2215" s="6" t="s">
        <v>3339</v>
      </c>
    </row>
    <row r="2216" spans="1:20" x14ac:dyDescent="0.3">
      <c r="A2216" s="6" t="s">
        <v>533</v>
      </c>
      <c r="B2216" s="6" t="s">
        <v>534</v>
      </c>
      <c r="C2216" s="6" t="s">
        <v>31</v>
      </c>
      <c r="D2216" s="1088" t="s">
        <v>549</v>
      </c>
      <c r="E2216" s="6" t="s">
        <v>171</v>
      </c>
      <c r="F2216" s="6" t="s">
        <v>634</v>
      </c>
      <c r="G2216" s="6" t="s">
        <v>1542</v>
      </c>
      <c r="H2216" s="6" t="s">
        <v>1012</v>
      </c>
      <c r="J2216" s="1215" t="s">
        <v>510</v>
      </c>
      <c r="K2216" s="1219" t="s">
        <v>3111</v>
      </c>
      <c r="L2216" s="8">
        <v>5</v>
      </c>
      <c r="M2216" s="8">
        <v>47</v>
      </c>
      <c r="N2216" s="1169" t="s">
        <v>271</v>
      </c>
      <c r="O2216" s="1088"/>
      <c r="P2216" s="6" t="s">
        <v>3361</v>
      </c>
      <c r="Q2216" s="1215" t="s">
        <v>240</v>
      </c>
      <c r="R2216" s="1088" t="s">
        <v>242</v>
      </c>
      <c r="S2216" s="1088" t="s">
        <v>3390</v>
      </c>
      <c r="T2216" s="6" t="s">
        <v>3339</v>
      </c>
    </row>
    <row r="2217" spans="1:20" x14ac:dyDescent="0.3">
      <c r="A2217" s="6" t="s">
        <v>533</v>
      </c>
      <c r="B2217" s="6" t="s">
        <v>534</v>
      </c>
      <c r="C2217" s="6" t="s">
        <v>31</v>
      </c>
      <c r="D2217" s="1088" t="s">
        <v>549</v>
      </c>
      <c r="E2217" s="6" t="s">
        <v>171</v>
      </c>
      <c r="F2217" s="6" t="s">
        <v>634</v>
      </c>
      <c r="G2217" s="6" t="s">
        <v>1318</v>
      </c>
      <c r="H2217" s="6" t="s">
        <v>1319</v>
      </c>
      <c r="J2217" s="1215" t="s">
        <v>510</v>
      </c>
      <c r="K2217" s="1219" t="s">
        <v>3111</v>
      </c>
      <c r="L2217" s="8">
        <v>52</v>
      </c>
      <c r="M2217" s="8">
        <v>474</v>
      </c>
      <c r="N2217" s="1169" t="s">
        <v>271</v>
      </c>
      <c r="P2217" s="6" t="s">
        <v>3361</v>
      </c>
      <c r="Q2217" s="1215" t="s">
        <v>240</v>
      </c>
      <c r="R2217" s="1088" t="s">
        <v>242</v>
      </c>
      <c r="S2217" s="1088" t="s">
        <v>3390</v>
      </c>
      <c r="T2217" s="6" t="s">
        <v>3339</v>
      </c>
    </row>
    <row r="2218" spans="1:20" x14ac:dyDescent="0.3">
      <c r="A2218" s="6" t="s">
        <v>533</v>
      </c>
      <c r="B2218" s="6" t="s">
        <v>534</v>
      </c>
      <c r="C2218" s="6" t="s">
        <v>31</v>
      </c>
      <c r="D2218" s="1088" t="s">
        <v>549</v>
      </c>
      <c r="E2218" s="6" t="s">
        <v>171</v>
      </c>
      <c r="F2218" s="6" t="s">
        <v>634</v>
      </c>
      <c r="G2218" s="6" t="s">
        <v>1303</v>
      </c>
      <c r="H2218" s="6" t="s">
        <v>3235</v>
      </c>
      <c r="J2218" s="1215" t="s">
        <v>510</v>
      </c>
      <c r="K2218" s="1219" t="s">
        <v>3111</v>
      </c>
      <c r="L2218" s="8">
        <v>397</v>
      </c>
      <c r="M2218" s="8">
        <v>3500</v>
      </c>
      <c r="N2218" s="1169" t="s">
        <v>271</v>
      </c>
      <c r="P2218" s="6" t="s">
        <v>3361</v>
      </c>
      <c r="Q2218" s="1215" t="s">
        <v>240</v>
      </c>
      <c r="R2218" s="1088" t="s">
        <v>242</v>
      </c>
      <c r="S2218" s="1088" t="s">
        <v>3390</v>
      </c>
      <c r="T2218" s="6" t="s">
        <v>3339</v>
      </c>
    </row>
    <row r="2219" spans="1:20" x14ac:dyDescent="0.3">
      <c r="A2219" s="6" t="s">
        <v>533</v>
      </c>
      <c r="B2219" s="6" t="s">
        <v>534</v>
      </c>
      <c r="C2219" s="6" t="s">
        <v>31</v>
      </c>
      <c r="D2219" s="1088" t="s">
        <v>549</v>
      </c>
      <c r="E2219" s="6" t="s">
        <v>172</v>
      </c>
      <c r="F2219" s="6" t="s">
        <v>706</v>
      </c>
      <c r="G2219" s="6" t="s">
        <v>972</v>
      </c>
      <c r="H2219" s="6" t="s">
        <v>2791</v>
      </c>
      <c r="J2219" s="1215" t="s">
        <v>510</v>
      </c>
      <c r="K2219" s="1219" t="s">
        <v>3033</v>
      </c>
      <c r="L2219" s="8">
        <v>38</v>
      </c>
      <c r="M2219" s="8">
        <v>216</v>
      </c>
      <c r="N2219" s="1169" t="s">
        <v>271</v>
      </c>
      <c r="P2219" s="6" t="s">
        <v>3361</v>
      </c>
      <c r="Q2219" s="1215" t="s">
        <v>240</v>
      </c>
      <c r="R2219" s="1088" t="s">
        <v>242</v>
      </c>
      <c r="S2219" s="1088" t="s">
        <v>3390</v>
      </c>
      <c r="T2219" s="6" t="s">
        <v>3339</v>
      </c>
    </row>
    <row r="2220" spans="1:20" x14ac:dyDescent="0.3">
      <c r="A2220" s="6" t="s">
        <v>533</v>
      </c>
      <c r="B2220" s="6" t="s">
        <v>534</v>
      </c>
      <c r="C2220" s="6" t="s">
        <v>31</v>
      </c>
      <c r="D2220" s="1088" t="s">
        <v>549</v>
      </c>
      <c r="E2220" s="6" t="s">
        <v>172</v>
      </c>
      <c r="F2220" s="6" t="s">
        <v>706</v>
      </c>
      <c r="G2220" s="6" t="s">
        <v>972</v>
      </c>
      <c r="H2220" s="6" t="s">
        <v>2791</v>
      </c>
      <c r="J2220" s="1215" t="s">
        <v>510</v>
      </c>
      <c r="K2220" s="1219" t="s">
        <v>3109</v>
      </c>
      <c r="L2220" s="8">
        <v>0</v>
      </c>
      <c r="M2220" s="8">
        <v>4</v>
      </c>
      <c r="N2220" s="1169" t="s">
        <v>271</v>
      </c>
      <c r="P2220" s="6" t="s">
        <v>3361</v>
      </c>
      <c r="Q2220" s="1215" t="s">
        <v>240</v>
      </c>
      <c r="R2220" s="1088" t="s">
        <v>242</v>
      </c>
      <c r="S2220" s="1088" t="s">
        <v>3390</v>
      </c>
      <c r="T2220" s="1088" t="s">
        <v>3339</v>
      </c>
    </row>
    <row r="2221" spans="1:20" x14ac:dyDescent="0.3">
      <c r="A2221" s="6" t="s">
        <v>533</v>
      </c>
      <c r="B2221" s="6" t="s">
        <v>534</v>
      </c>
      <c r="C2221" s="6" t="s">
        <v>31</v>
      </c>
      <c r="D2221" s="1088" t="s">
        <v>549</v>
      </c>
      <c r="E2221" s="6" t="s">
        <v>172</v>
      </c>
      <c r="F2221" s="6" t="s">
        <v>706</v>
      </c>
      <c r="G2221" s="6" t="s">
        <v>972</v>
      </c>
      <c r="H2221" s="6" t="s">
        <v>2791</v>
      </c>
      <c r="J2221" s="1215" t="s">
        <v>510</v>
      </c>
      <c r="K2221" s="1219" t="s">
        <v>3110</v>
      </c>
      <c r="L2221" s="8">
        <v>0</v>
      </c>
      <c r="M2221" s="8">
        <v>11</v>
      </c>
      <c r="N2221" s="6" t="s">
        <v>271</v>
      </c>
      <c r="P2221" s="6" t="s">
        <v>3361</v>
      </c>
      <c r="Q2221" s="1215" t="s">
        <v>240</v>
      </c>
      <c r="R2221" s="1088" t="s">
        <v>242</v>
      </c>
      <c r="S2221" s="1088" t="s">
        <v>3390</v>
      </c>
      <c r="T2221" s="6" t="s">
        <v>3339</v>
      </c>
    </row>
    <row r="2222" spans="1:20" x14ac:dyDescent="0.3">
      <c r="A2222" s="6" t="s">
        <v>533</v>
      </c>
      <c r="B2222" s="6" t="s">
        <v>534</v>
      </c>
      <c r="C2222" s="6" t="s">
        <v>31</v>
      </c>
      <c r="D2222" s="1088" t="s">
        <v>549</v>
      </c>
      <c r="E2222" s="6" t="s">
        <v>172</v>
      </c>
      <c r="F2222" s="6" t="s">
        <v>706</v>
      </c>
      <c r="G2222" s="6" t="s">
        <v>972</v>
      </c>
      <c r="H2222" s="6" t="s">
        <v>2791</v>
      </c>
      <c r="J2222" s="1215" t="s">
        <v>510</v>
      </c>
      <c r="K2222" s="1219" t="s">
        <v>3111</v>
      </c>
      <c r="L2222" s="8">
        <v>0</v>
      </c>
      <c r="M2222" s="8">
        <v>4</v>
      </c>
      <c r="N2222" s="1169" t="s">
        <v>271</v>
      </c>
      <c r="P2222" s="6" t="s">
        <v>3361</v>
      </c>
      <c r="Q2222" s="1215" t="s">
        <v>240</v>
      </c>
      <c r="R2222" s="1088" t="s">
        <v>242</v>
      </c>
      <c r="S2222" s="1088" t="s">
        <v>3390</v>
      </c>
      <c r="T2222" s="1088" t="s">
        <v>3339</v>
      </c>
    </row>
    <row r="2223" spans="1:20" x14ac:dyDescent="0.3">
      <c r="A2223" s="6" t="s">
        <v>533</v>
      </c>
      <c r="B2223" s="6" t="s">
        <v>534</v>
      </c>
      <c r="C2223" s="6" t="s">
        <v>31</v>
      </c>
      <c r="D2223" s="1088" t="s">
        <v>549</v>
      </c>
      <c r="E2223" s="6" t="s">
        <v>172</v>
      </c>
      <c r="F2223" s="6" t="s">
        <v>706</v>
      </c>
      <c r="G2223" s="6" t="s">
        <v>1030</v>
      </c>
      <c r="H2223" s="6" t="s">
        <v>1069</v>
      </c>
      <c r="J2223" s="1215" t="s">
        <v>510</v>
      </c>
      <c r="K2223" s="1219" t="s">
        <v>3033</v>
      </c>
      <c r="L2223" s="8">
        <v>40</v>
      </c>
      <c r="M2223" s="8">
        <v>175</v>
      </c>
      <c r="N2223" s="1169" t="s">
        <v>271</v>
      </c>
      <c r="P2223" s="6" t="s">
        <v>3361</v>
      </c>
      <c r="Q2223" s="1215" t="s">
        <v>240</v>
      </c>
      <c r="R2223" s="1088" t="s">
        <v>242</v>
      </c>
      <c r="S2223" s="1088" t="s">
        <v>3390</v>
      </c>
      <c r="T2223" s="6" t="s">
        <v>3339</v>
      </c>
    </row>
    <row r="2224" spans="1:20" x14ac:dyDescent="0.3">
      <c r="A2224" s="6" t="s">
        <v>533</v>
      </c>
      <c r="B2224" s="6" t="s">
        <v>534</v>
      </c>
      <c r="C2224" s="6" t="s">
        <v>31</v>
      </c>
      <c r="D2224" s="1088" t="s">
        <v>549</v>
      </c>
      <c r="E2224" s="6" t="s">
        <v>172</v>
      </c>
      <c r="F2224" s="6" t="s">
        <v>706</v>
      </c>
      <c r="G2224" s="6" t="s">
        <v>1030</v>
      </c>
      <c r="H2224" s="6" t="s">
        <v>1069</v>
      </c>
      <c r="J2224" s="1215" t="s">
        <v>510</v>
      </c>
      <c r="K2224" s="1219" t="s">
        <v>3109</v>
      </c>
      <c r="L2224" s="8">
        <v>0</v>
      </c>
      <c r="M2224" s="8">
        <v>15</v>
      </c>
      <c r="N2224" s="1169" t="s">
        <v>271</v>
      </c>
      <c r="P2224" s="6" t="s">
        <v>3361</v>
      </c>
      <c r="Q2224" s="1215" t="s">
        <v>240</v>
      </c>
      <c r="R2224" s="1088" t="s">
        <v>242</v>
      </c>
      <c r="S2224" s="1088" t="s">
        <v>3390</v>
      </c>
      <c r="T2224" s="6" t="s">
        <v>3339</v>
      </c>
    </row>
    <row r="2225" spans="1:20" x14ac:dyDescent="0.3">
      <c r="A2225" s="6" t="s">
        <v>533</v>
      </c>
      <c r="B2225" s="6" t="s">
        <v>534</v>
      </c>
      <c r="C2225" s="6" t="s">
        <v>31</v>
      </c>
      <c r="D2225" s="1088" t="s">
        <v>549</v>
      </c>
      <c r="E2225" s="6" t="s">
        <v>169</v>
      </c>
      <c r="F2225" s="6" t="s">
        <v>673</v>
      </c>
      <c r="G2225" s="6" t="s">
        <v>1564</v>
      </c>
      <c r="H2225" s="6" t="s">
        <v>1096</v>
      </c>
      <c r="J2225" s="1215" t="s">
        <v>510</v>
      </c>
      <c r="K2225" s="1219" t="s">
        <v>3033</v>
      </c>
      <c r="L2225" s="8">
        <v>40</v>
      </c>
      <c r="M2225" s="8">
        <v>119</v>
      </c>
      <c r="N2225" s="1169" t="s">
        <v>271</v>
      </c>
      <c r="P2225" s="6" t="s">
        <v>3361</v>
      </c>
      <c r="Q2225" s="1215" t="s">
        <v>240</v>
      </c>
      <c r="R2225" s="1088" t="s">
        <v>242</v>
      </c>
      <c r="S2225" s="1088" t="s">
        <v>3390</v>
      </c>
      <c r="T2225" s="6" t="s">
        <v>3339</v>
      </c>
    </row>
    <row r="2226" spans="1:20" x14ac:dyDescent="0.3">
      <c r="A2226" s="6" t="s">
        <v>533</v>
      </c>
      <c r="B2226" s="6" t="s">
        <v>534</v>
      </c>
      <c r="C2226" s="6" t="s">
        <v>31</v>
      </c>
      <c r="D2226" s="1088" t="s">
        <v>549</v>
      </c>
      <c r="E2226" s="6" t="s">
        <v>169</v>
      </c>
      <c r="F2226" s="6" t="s">
        <v>673</v>
      </c>
      <c r="G2226" s="6" t="s">
        <v>2968</v>
      </c>
      <c r="H2226" s="6" t="s">
        <v>1094</v>
      </c>
      <c r="J2226" s="1215" t="s">
        <v>510</v>
      </c>
      <c r="K2226" s="1219" t="s">
        <v>3033</v>
      </c>
      <c r="L2226" s="8">
        <v>44</v>
      </c>
      <c r="M2226" s="8">
        <v>244</v>
      </c>
      <c r="N2226" s="1169" t="s">
        <v>271</v>
      </c>
      <c r="P2226" s="6" t="s">
        <v>3361</v>
      </c>
      <c r="Q2226" s="1215" t="s">
        <v>240</v>
      </c>
      <c r="R2226" s="1088" t="s">
        <v>242</v>
      </c>
      <c r="S2226" s="1088" t="s">
        <v>3390</v>
      </c>
      <c r="T2226" s="6" t="s">
        <v>3339</v>
      </c>
    </row>
    <row r="2227" spans="1:20" x14ac:dyDescent="0.3">
      <c r="A2227" s="6" t="s">
        <v>533</v>
      </c>
      <c r="B2227" s="6" t="s">
        <v>534</v>
      </c>
      <c r="C2227" s="6" t="s">
        <v>31</v>
      </c>
      <c r="D2227" s="1088" t="s">
        <v>549</v>
      </c>
      <c r="E2227" s="6" t="s">
        <v>166</v>
      </c>
      <c r="F2227" s="6" t="s">
        <v>844</v>
      </c>
      <c r="G2227" s="6" t="s">
        <v>2879</v>
      </c>
      <c r="H2227" s="6" t="s">
        <v>1420</v>
      </c>
      <c r="J2227" s="1215" t="s">
        <v>510</v>
      </c>
      <c r="K2227" s="1219" t="s">
        <v>3033</v>
      </c>
      <c r="L2227" s="8">
        <v>53</v>
      </c>
      <c r="M2227" s="8">
        <v>268</v>
      </c>
      <c r="N2227" s="1169" t="s">
        <v>271</v>
      </c>
      <c r="P2227" s="6" t="s">
        <v>3361</v>
      </c>
      <c r="Q2227" s="1215" t="s">
        <v>240</v>
      </c>
      <c r="R2227" s="1088" t="s">
        <v>242</v>
      </c>
      <c r="S2227" s="1088" t="s">
        <v>3390</v>
      </c>
      <c r="T2227" s="6" t="s">
        <v>3339</v>
      </c>
    </row>
    <row r="2228" spans="1:20" x14ac:dyDescent="0.3">
      <c r="A2228" s="6" t="s">
        <v>533</v>
      </c>
      <c r="B2228" s="6" t="s">
        <v>534</v>
      </c>
      <c r="C2228" s="6" t="s">
        <v>31</v>
      </c>
      <c r="D2228" s="1088" t="s">
        <v>549</v>
      </c>
      <c r="E2228" s="6" t="s">
        <v>172</v>
      </c>
      <c r="F2228" s="6" t="s">
        <v>706</v>
      </c>
      <c r="G2228" s="6" t="s">
        <v>3009</v>
      </c>
      <c r="H2228" s="6" t="s">
        <v>1308</v>
      </c>
      <c r="J2228" s="1215" t="s">
        <v>510</v>
      </c>
      <c r="K2228" s="1219" t="s">
        <v>3033</v>
      </c>
      <c r="L2228" s="8">
        <v>11</v>
      </c>
      <c r="M2228" s="8">
        <v>47</v>
      </c>
      <c r="N2228" s="1169" t="s">
        <v>271</v>
      </c>
      <c r="P2228" s="6" t="s">
        <v>3361</v>
      </c>
      <c r="Q2228" s="1215" t="s">
        <v>240</v>
      </c>
      <c r="R2228" s="1088" t="s">
        <v>242</v>
      </c>
      <c r="S2228" s="1088" t="s">
        <v>3390</v>
      </c>
      <c r="T2228" s="6" t="s">
        <v>3339</v>
      </c>
    </row>
    <row r="2229" spans="1:20" x14ac:dyDescent="0.3">
      <c r="A2229" s="6" t="s">
        <v>533</v>
      </c>
      <c r="B2229" s="6" t="s">
        <v>534</v>
      </c>
      <c r="C2229" s="6" t="s">
        <v>31</v>
      </c>
      <c r="D2229" s="1088" t="s">
        <v>549</v>
      </c>
      <c r="E2229" s="6" t="s">
        <v>172</v>
      </c>
      <c r="F2229" s="6" t="s">
        <v>706</v>
      </c>
      <c r="G2229" s="6" t="s">
        <v>3009</v>
      </c>
      <c r="H2229" s="6" t="s">
        <v>1308</v>
      </c>
      <c r="J2229" s="1215" t="s">
        <v>510</v>
      </c>
      <c r="K2229" s="1219" t="s">
        <v>3109</v>
      </c>
      <c r="L2229" s="8">
        <v>0</v>
      </c>
      <c r="M2229" s="8">
        <v>2</v>
      </c>
      <c r="N2229" s="1169" t="s">
        <v>271</v>
      </c>
      <c r="P2229" s="6" t="s">
        <v>3361</v>
      </c>
      <c r="Q2229" s="1215" t="s">
        <v>240</v>
      </c>
      <c r="R2229" s="1088" t="s">
        <v>242</v>
      </c>
      <c r="S2229" s="1088" t="s">
        <v>3390</v>
      </c>
      <c r="T2229" s="6" t="s">
        <v>3339</v>
      </c>
    </row>
    <row r="2230" spans="1:20" x14ac:dyDescent="0.3">
      <c r="A2230" s="6" t="s">
        <v>533</v>
      </c>
      <c r="B2230" s="6" t="s">
        <v>534</v>
      </c>
      <c r="C2230" s="6" t="s">
        <v>31</v>
      </c>
      <c r="D2230" s="1088" t="s">
        <v>549</v>
      </c>
      <c r="E2230" s="6" t="s">
        <v>172</v>
      </c>
      <c r="F2230" s="6" t="s">
        <v>706</v>
      </c>
      <c r="G2230" s="6" t="s">
        <v>3009</v>
      </c>
      <c r="H2230" s="6" t="s">
        <v>1308</v>
      </c>
      <c r="J2230" s="1215" t="s">
        <v>510</v>
      </c>
      <c r="K2230" s="1219" t="s">
        <v>3110</v>
      </c>
      <c r="L2230" s="8">
        <v>2</v>
      </c>
      <c r="M2230" s="8">
        <v>9</v>
      </c>
      <c r="N2230" s="1169" t="s">
        <v>271</v>
      </c>
      <c r="P2230" s="6" t="s">
        <v>3361</v>
      </c>
      <c r="Q2230" s="1215" t="s">
        <v>240</v>
      </c>
      <c r="R2230" s="1088" t="s">
        <v>242</v>
      </c>
      <c r="S2230" s="1088" t="s">
        <v>3390</v>
      </c>
      <c r="T2230" s="6" t="s">
        <v>3339</v>
      </c>
    </row>
    <row r="2231" spans="1:20" x14ac:dyDescent="0.3">
      <c r="A2231" s="6" t="s">
        <v>533</v>
      </c>
      <c r="B2231" s="6" t="s">
        <v>534</v>
      </c>
      <c r="C2231" s="6" t="s">
        <v>31</v>
      </c>
      <c r="D2231" s="1088" t="s">
        <v>549</v>
      </c>
      <c r="E2231" s="6" t="s">
        <v>172</v>
      </c>
      <c r="F2231" s="6" t="s">
        <v>706</v>
      </c>
      <c r="G2231" s="6" t="s">
        <v>3009</v>
      </c>
      <c r="H2231" s="6" t="s">
        <v>1308</v>
      </c>
      <c r="J2231" s="1215" t="s">
        <v>510</v>
      </c>
      <c r="K2231" s="1219" t="s">
        <v>3111</v>
      </c>
      <c r="L2231" s="8">
        <v>0</v>
      </c>
      <c r="M2231" s="8">
        <v>2</v>
      </c>
      <c r="N2231" s="1169" t="s">
        <v>271</v>
      </c>
      <c r="P2231" s="6" t="s">
        <v>3361</v>
      </c>
      <c r="Q2231" s="1215" t="s">
        <v>240</v>
      </c>
      <c r="R2231" s="1088" t="s">
        <v>242</v>
      </c>
      <c r="S2231" s="1088" t="s">
        <v>3390</v>
      </c>
      <c r="T2231" s="6" t="s">
        <v>3339</v>
      </c>
    </row>
    <row r="2232" spans="1:20" x14ac:dyDescent="0.3">
      <c r="A2232" s="6" t="s">
        <v>533</v>
      </c>
      <c r="B2232" s="6" t="s">
        <v>534</v>
      </c>
      <c r="C2232" s="6" t="s">
        <v>31</v>
      </c>
      <c r="D2232" s="1088" t="s">
        <v>549</v>
      </c>
      <c r="E2232" s="6" t="s">
        <v>164</v>
      </c>
      <c r="F2232" s="6" t="s">
        <v>748</v>
      </c>
      <c r="G2232" s="6" t="s">
        <v>1195</v>
      </c>
      <c r="H2232" s="6" t="s">
        <v>1196</v>
      </c>
      <c r="J2232" s="1215" t="s">
        <v>510</v>
      </c>
      <c r="K2232" s="1219" t="s">
        <v>3112</v>
      </c>
      <c r="L2232" s="8">
        <v>2</v>
      </c>
      <c r="M2232" s="8">
        <v>10</v>
      </c>
      <c r="N2232" s="1169" t="s">
        <v>271</v>
      </c>
      <c r="P2232" s="6" t="s">
        <v>3361</v>
      </c>
      <c r="Q2232" s="1215" t="s">
        <v>240</v>
      </c>
      <c r="R2232" s="1088" t="s">
        <v>242</v>
      </c>
      <c r="S2232" s="1088" t="s">
        <v>3390</v>
      </c>
      <c r="T2232" s="6" t="s">
        <v>3339</v>
      </c>
    </row>
    <row r="2233" spans="1:20" x14ac:dyDescent="0.3">
      <c r="A2233" s="6" t="s">
        <v>533</v>
      </c>
      <c r="B2233" s="6" t="s">
        <v>534</v>
      </c>
      <c r="C2233" s="6" t="s">
        <v>31</v>
      </c>
      <c r="D2233" s="1088" t="s">
        <v>549</v>
      </c>
      <c r="E2233" s="6" t="s">
        <v>171</v>
      </c>
      <c r="F2233" s="6" t="s">
        <v>634</v>
      </c>
      <c r="G2233" s="6" t="s">
        <v>1289</v>
      </c>
      <c r="H2233" s="6" t="s">
        <v>1805</v>
      </c>
      <c r="J2233" s="1215" t="s">
        <v>510</v>
      </c>
      <c r="K2233" s="1219" t="s">
        <v>3033</v>
      </c>
      <c r="L2233" s="8">
        <v>30</v>
      </c>
      <c r="M2233" s="8">
        <v>100</v>
      </c>
      <c r="N2233" s="1169" t="s">
        <v>271</v>
      </c>
      <c r="P2233" s="6" t="s">
        <v>3361</v>
      </c>
      <c r="Q2233" s="1215" t="s">
        <v>240</v>
      </c>
      <c r="R2233" s="1088" t="s">
        <v>242</v>
      </c>
      <c r="S2233" s="1088" t="s">
        <v>3390</v>
      </c>
      <c r="T2233" s="6" t="s">
        <v>3339</v>
      </c>
    </row>
    <row r="2234" spans="1:20" x14ac:dyDescent="0.3">
      <c r="A2234" s="6" t="s">
        <v>533</v>
      </c>
      <c r="B2234" s="6" t="s">
        <v>534</v>
      </c>
      <c r="C2234" s="6" t="s">
        <v>34</v>
      </c>
      <c r="D2234" s="1088" t="s">
        <v>539</v>
      </c>
      <c r="E2234" s="6" t="s">
        <v>188</v>
      </c>
      <c r="F2234" s="6" t="s">
        <v>546</v>
      </c>
      <c r="G2234" s="6" t="s">
        <v>2911</v>
      </c>
      <c r="H2234" s="6" t="s">
        <v>1267</v>
      </c>
      <c r="J2234" s="1215" t="s">
        <v>510</v>
      </c>
      <c r="K2234" s="1219" t="s">
        <v>3033</v>
      </c>
      <c r="L2234" s="8">
        <v>30</v>
      </c>
      <c r="M2234" s="8">
        <v>134</v>
      </c>
      <c r="N2234" s="1169" t="s">
        <v>271</v>
      </c>
      <c r="O2234" s="1088"/>
      <c r="P2234" s="6" t="s">
        <v>3361</v>
      </c>
      <c r="Q2234" s="1215" t="s">
        <v>240</v>
      </c>
      <c r="R2234" s="1088" t="s">
        <v>242</v>
      </c>
      <c r="S2234" s="1088" t="s">
        <v>3390</v>
      </c>
      <c r="T2234" s="1088" t="s">
        <v>3339</v>
      </c>
    </row>
    <row r="2235" spans="1:20" x14ac:dyDescent="0.3">
      <c r="A2235" s="6" t="s">
        <v>533</v>
      </c>
      <c r="B2235" s="6" t="s">
        <v>534</v>
      </c>
      <c r="C2235" s="6" t="s">
        <v>34</v>
      </c>
      <c r="D2235" s="1088" t="s">
        <v>539</v>
      </c>
      <c r="E2235" s="6" t="s">
        <v>188</v>
      </c>
      <c r="F2235" s="6" t="s">
        <v>546</v>
      </c>
      <c r="G2235" s="6" t="s">
        <v>2911</v>
      </c>
      <c r="H2235" s="6" t="s">
        <v>1267</v>
      </c>
      <c r="J2235" s="1215" t="s">
        <v>510</v>
      </c>
      <c r="K2235" s="1219" t="s">
        <v>3109</v>
      </c>
      <c r="L2235" s="8">
        <v>0</v>
      </c>
      <c r="M2235" s="8">
        <v>8</v>
      </c>
      <c r="N2235" s="1169" t="s">
        <v>271</v>
      </c>
      <c r="P2235" s="6" t="s">
        <v>3361</v>
      </c>
      <c r="Q2235" s="1215" t="s">
        <v>240</v>
      </c>
      <c r="R2235" s="1088" t="s">
        <v>242</v>
      </c>
      <c r="S2235" s="1088" t="s">
        <v>3390</v>
      </c>
      <c r="T2235" s="6" t="s">
        <v>3339</v>
      </c>
    </row>
    <row r="2236" spans="1:20" x14ac:dyDescent="0.3">
      <c r="A2236" s="6" t="s">
        <v>533</v>
      </c>
      <c r="B2236" s="6" t="s">
        <v>534</v>
      </c>
      <c r="C2236" s="6" t="s">
        <v>34</v>
      </c>
      <c r="D2236" s="1088" t="s">
        <v>539</v>
      </c>
      <c r="E2236" s="6" t="s">
        <v>188</v>
      </c>
      <c r="F2236" s="6" t="s">
        <v>546</v>
      </c>
      <c r="G2236" s="6" t="s">
        <v>2911</v>
      </c>
      <c r="H2236" s="6" t="s">
        <v>1267</v>
      </c>
      <c r="J2236" s="1215" t="s">
        <v>510</v>
      </c>
      <c r="K2236" s="1219" t="s">
        <v>3110</v>
      </c>
      <c r="L2236" s="8">
        <v>0</v>
      </c>
      <c r="M2236" s="8">
        <v>4</v>
      </c>
      <c r="N2236" s="1169" t="s">
        <v>271</v>
      </c>
      <c r="P2236" s="6" t="s">
        <v>3361</v>
      </c>
      <c r="Q2236" s="1215" t="s">
        <v>240</v>
      </c>
      <c r="R2236" s="1088" t="s">
        <v>242</v>
      </c>
      <c r="S2236" s="1088" t="s">
        <v>3390</v>
      </c>
      <c r="T2236" s="6" t="s">
        <v>3339</v>
      </c>
    </row>
    <row r="2237" spans="1:20" x14ac:dyDescent="0.3">
      <c r="A2237" s="6" t="s">
        <v>533</v>
      </c>
      <c r="B2237" s="6" t="s">
        <v>534</v>
      </c>
      <c r="C2237" s="6" t="s">
        <v>34</v>
      </c>
      <c r="D2237" s="1088" t="s">
        <v>539</v>
      </c>
      <c r="E2237" s="6" t="s">
        <v>188</v>
      </c>
      <c r="F2237" s="6" t="s">
        <v>546</v>
      </c>
      <c r="G2237" s="6" t="s">
        <v>2911</v>
      </c>
      <c r="H2237" s="6" t="s">
        <v>1267</v>
      </c>
      <c r="J2237" s="1215" t="s">
        <v>510</v>
      </c>
      <c r="K2237" s="1219" t="s">
        <v>3111</v>
      </c>
      <c r="L2237" s="8">
        <v>0</v>
      </c>
      <c r="M2237" s="8">
        <v>4</v>
      </c>
      <c r="N2237" s="1169" t="s">
        <v>271</v>
      </c>
      <c r="O2237" s="1088"/>
      <c r="P2237" s="6" t="s">
        <v>3361</v>
      </c>
      <c r="Q2237" s="1215" t="s">
        <v>240</v>
      </c>
      <c r="R2237" s="1088" t="s">
        <v>242</v>
      </c>
      <c r="S2237" s="1088" t="s">
        <v>3390</v>
      </c>
      <c r="T2237" s="1088" t="s">
        <v>3339</v>
      </c>
    </row>
    <row r="2238" spans="1:20" x14ac:dyDescent="0.3">
      <c r="A2238" s="6" t="s">
        <v>533</v>
      </c>
      <c r="B2238" s="6" t="s">
        <v>534</v>
      </c>
      <c r="C2238" s="6" t="s">
        <v>34</v>
      </c>
      <c r="D2238" s="1088" t="s">
        <v>539</v>
      </c>
      <c r="E2238" s="6" t="s">
        <v>188</v>
      </c>
      <c r="F2238" s="6" t="s">
        <v>546</v>
      </c>
      <c r="G2238" s="6" t="s">
        <v>1513</v>
      </c>
      <c r="H2238" s="6" t="s">
        <v>1074</v>
      </c>
      <c r="J2238" s="1215" t="s">
        <v>510</v>
      </c>
      <c r="K2238" s="1219" t="s">
        <v>3033</v>
      </c>
      <c r="L2238" s="8">
        <v>26</v>
      </c>
      <c r="M2238" s="8">
        <v>192</v>
      </c>
      <c r="N2238" s="1169" t="s">
        <v>271</v>
      </c>
      <c r="O2238" s="1088"/>
      <c r="P2238" s="6" t="s">
        <v>3361</v>
      </c>
      <c r="Q2238" s="1215" t="s">
        <v>240</v>
      </c>
      <c r="R2238" s="1088" t="s">
        <v>242</v>
      </c>
      <c r="S2238" s="1088" t="s">
        <v>3390</v>
      </c>
      <c r="T2238" s="1088" t="s">
        <v>3339</v>
      </c>
    </row>
    <row r="2239" spans="1:20" x14ac:dyDescent="0.3">
      <c r="A2239" s="6" t="s">
        <v>533</v>
      </c>
      <c r="B2239" s="6" t="s">
        <v>534</v>
      </c>
      <c r="C2239" s="6" t="s">
        <v>34</v>
      </c>
      <c r="D2239" s="1088" t="s">
        <v>539</v>
      </c>
      <c r="E2239" s="6" t="s">
        <v>188</v>
      </c>
      <c r="F2239" s="6" t="s">
        <v>546</v>
      </c>
      <c r="G2239" s="6" t="s">
        <v>1513</v>
      </c>
      <c r="H2239" s="6" t="s">
        <v>1074</v>
      </c>
      <c r="J2239" s="1215" t="s">
        <v>510</v>
      </c>
      <c r="K2239" s="1219" t="s">
        <v>3109</v>
      </c>
      <c r="L2239" s="8">
        <v>5</v>
      </c>
      <c r="M2239" s="8">
        <v>21</v>
      </c>
      <c r="N2239" s="1169" t="s">
        <v>271</v>
      </c>
      <c r="P2239" s="6" t="s">
        <v>3361</v>
      </c>
      <c r="Q2239" s="1215" t="s">
        <v>240</v>
      </c>
      <c r="R2239" s="1088" t="s">
        <v>242</v>
      </c>
      <c r="S2239" s="1088" t="s">
        <v>3390</v>
      </c>
      <c r="T2239" s="1088" t="s">
        <v>3339</v>
      </c>
    </row>
    <row r="2240" spans="1:20" x14ac:dyDescent="0.3">
      <c r="A2240" s="6" t="s">
        <v>533</v>
      </c>
      <c r="B2240" s="6" t="s">
        <v>534</v>
      </c>
      <c r="C2240" s="6" t="s">
        <v>34</v>
      </c>
      <c r="D2240" s="1088" t="s">
        <v>539</v>
      </c>
      <c r="E2240" s="6" t="s">
        <v>188</v>
      </c>
      <c r="F2240" s="6" t="s">
        <v>546</v>
      </c>
      <c r="G2240" s="6" t="s">
        <v>1513</v>
      </c>
      <c r="H2240" s="6" t="s">
        <v>1074</v>
      </c>
      <c r="J2240" s="1215" t="s">
        <v>510</v>
      </c>
      <c r="K2240" s="1219" t="s">
        <v>3110</v>
      </c>
      <c r="L2240" s="8">
        <v>0</v>
      </c>
      <c r="M2240" s="8">
        <v>2</v>
      </c>
      <c r="N2240" s="1169" t="s">
        <v>271</v>
      </c>
      <c r="P2240" s="6" t="s">
        <v>3361</v>
      </c>
      <c r="Q2240" s="1215" t="s">
        <v>240</v>
      </c>
      <c r="R2240" s="1088" t="s">
        <v>242</v>
      </c>
      <c r="S2240" s="1088" t="s">
        <v>3390</v>
      </c>
      <c r="T2240" s="1088" t="s">
        <v>3339</v>
      </c>
    </row>
    <row r="2241" spans="1:20" x14ac:dyDescent="0.3">
      <c r="A2241" s="6" t="s">
        <v>533</v>
      </c>
      <c r="B2241" s="6" t="s">
        <v>534</v>
      </c>
      <c r="C2241" s="6" t="s">
        <v>34</v>
      </c>
      <c r="D2241" s="1088" t="s">
        <v>539</v>
      </c>
      <c r="E2241" s="6" t="s">
        <v>188</v>
      </c>
      <c r="F2241" s="6" t="s">
        <v>546</v>
      </c>
      <c r="G2241" s="6" t="s">
        <v>1513</v>
      </c>
      <c r="H2241" s="6" t="s">
        <v>1074</v>
      </c>
      <c r="J2241" s="1215" t="s">
        <v>510</v>
      </c>
      <c r="K2241" s="1219" t="s">
        <v>3111</v>
      </c>
      <c r="L2241" s="8">
        <v>0</v>
      </c>
      <c r="M2241" s="8">
        <v>4</v>
      </c>
      <c r="N2241" s="1169" t="s">
        <v>271</v>
      </c>
      <c r="P2241" s="6" t="s">
        <v>3361</v>
      </c>
      <c r="Q2241" s="1215" t="s">
        <v>240</v>
      </c>
      <c r="R2241" s="1088" t="s">
        <v>242</v>
      </c>
      <c r="S2241" s="1088" t="s">
        <v>3390</v>
      </c>
      <c r="T2241" s="6" t="s">
        <v>3339</v>
      </c>
    </row>
    <row r="2242" spans="1:20" x14ac:dyDescent="0.3">
      <c r="A2242" s="6" t="s">
        <v>533</v>
      </c>
      <c r="B2242" s="6" t="s">
        <v>534</v>
      </c>
      <c r="C2242" s="6" t="s">
        <v>34</v>
      </c>
      <c r="D2242" s="1088" t="s">
        <v>539</v>
      </c>
      <c r="E2242" s="1088" t="s">
        <v>188</v>
      </c>
      <c r="F2242" s="6" t="s">
        <v>546</v>
      </c>
      <c r="G2242" s="6" t="s">
        <v>1513</v>
      </c>
      <c r="H2242" s="6" t="s">
        <v>1074</v>
      </c>
      <c r="J2242" s="1215" t="s">
        <v>510</v>
      </c>
      <c r="K2242" s="1219" t="s">
        <v>3112</v>
      </c>
      <c r="L2242" s="8">
        <v>0</v>
      </c>
      <c r="M2242" s="8">
        <v>3</v>
      </c>
      <c r="N2242" s="1169" t="s">
        <v>271</v>
      </c>
      <c r="P2242" s="6" t="s">
        <v>3361</v>
      </c>
      <c r="Q2242" s="1215" t="s">
        <v>240</v>
      </c>
      <c r="R2242" s="1088" t="s">
        <v>242</v>
      </c>
      <c r="S2242" s="1088" t="s">
        <v>3390</v>
      </c>
      <c r="T2242" s="6" t="s">
        <v>3339</v>
      </c>
    </row>
    <row r="2243" spans="1:20" x14ac:dyDescent="0.3">
      <c r="A2243" s="6" t="s">
        <v>533</v>
      </c>
      <c r="B2243" s="6" t="s">
        <v>534</v>
      </c>
      <c r="C2243" s="6" t="s">
        <v>34</v>
      </c>
      <c r="D2243" s="1088" t="s">
        <v>539</v>
      </c>
      <c r="E2243" s="6" t="s">
        <v>188</v>
      </c>
      <c r="F2243" s="6" t="s">
        <v>546</v>
      </c>
      <c r="G2243" s="6" t="s">
        <v>2843</v>
      </c>
      <c r="H2243" s="6" t="s">
        <v>3247</v>
      </c>
      <c r="J2243" s="1215" t="s">
        <v>510</v>
      </c>
      <c r="K2243" s="1219" t="s">
        <v>3033</v>
      </c>
      <c r="L2243" s="8">
        <v>105</v>
      </c>
      <c r="M2243" s="8">
        <v>414</v>
      </c>
      <c r="N2243" s="1169" t="s">
        <v>271</v>
      </c>
      <c r="P2243" s="6" t="s">
        <v>3361</v>
      </c>
      <c r="Q2243" s="1215" t="s">
        <v>240</v>
      </c>
      <c r="R2243" s="1088" t="s">
        <v>242</v>
      </c>
      <c r="S2243" s="1088" t="s">
        <v>3390</v>
      </c>
      <c r="T2243" s="6" t="s">
        <v>3339</v>
      </c>
    </row>
    <row r="2244" spans="1:20" x14ac:dyDescent="0.3">
      <c r="A2244" s="6" t="s">
        <v>533</v>
      </c>
      <c r="B2244" s="6" t="s">
        <v>534</v>
      </c>
      <c r="C2244" s="6" t="s">
        <v>34</v>
      </c>
      <c r="D2244" s="1088" t="s">
        <v>539</v>
      </c>
      <c r="E2244" s="6" t="s">
        <v>188</v>
      </c>
      <c r="F2244" s="6" t="s">
        <v>546</v>
      </c>
      <c r="G2244" s="6" t="s">
        <v>2843</v>
      </c>
      <c r="H2244" s="6" t="s">
        <v>3247</v>
      </c>
      <c r="J2244" s="1215" t="s">
        <v>510</v>
      </c>
      <c r="K2244" s="1219" t="s">
        <v>3109</v>
      </c>
      <c r="L2244" s="8">
        <v>0</v>
      </c>
      <c r="M2244" s="8">
        <v>4</v>
      </c>
      <c r="N2244" s="1169" t="s">
        <v>271</v>
      </c>
      <c r="P2244" s="6" t="s">
        <v>3361</v>
      </c>
      <c r="Q2244" s="1215" t="s">
        <v>240</v>
      </c>
      <c r="R2244" s="1088" t="s">
        <v>242</v>
      </c>
      <c r="S2244" s="1088" t="s">
        <v>3390</v>
      </c>
      <c r="T2244" s="6" t="s">
        <v>3339</v>
      </c>
    </row>
    <row r="2245" spans="1:20" x14ac:dyDescent="0.3">
      <c r="A2245" s="6" t="s">
        <v>533</v>
      </c>
      <c r="B2245" s="6" t="s">
        <v>534</v>
      </c>
      <c r="C2245" s="6" t="s">
        <v>34</v>
      </c>
      <c r="D2245" s="1088" t="s">
        <v>539</v>
      </c>
      <c r="E2245" s="6" t="s">
        <v>188</v>
      </c>
      <c r="F2245" s="6" t="s">
        <v>546</v>
      </c>
      <c r="G2245" s="6" t="s">
        <v>2843</v>
      </c>
      <c r="H2245" s="6" t="s">
        <v>3247</v>
      </c>
      <c r="J2245" s="1215" t="s">
        <v>510</v>
      </c>
      <c r="K2245" s="1219" t="s">
        <v>3110</v>
      </c>
      <c r="L2245" s="8">
        <v>0</v>
      </c>
      <c r="M2245" s="8">
        <v>5</v>
      </c>
      <c r="N2245" s="1169" t="s">
        <v>271</v>
      </c>
      <c r="P2245" s="6" t="s">
        <v>3361</v>
      </c>
      <c r="Q2245" s="1215" t="s">
        <v>240</v>
      </c>
      <c r="R2245" s="1088" t="s">
        <v>242</v>
      </c>
      <c r="S2245" s="1088" t="s">
        <v>3390</v>
      </c>
      <c r="T2245" s="6" t="s">
        <v>3339</v>
      </c>
    </row>
    <row r="2246" spans="1:20" x14ac:dyDescent="0.3">
      <c r="A2246" s="6" t="s">
        <v>533</v>
      </c>
      <c r="B2246" s="6" t="s">
        <v>534</v>
      </c>
      <c r="C2246" s="6" t="s">
        <v>34</v>
      </c>
      <c r="D2246" s="1088" t="s">
        <v>539</v>
      </c>
      <c r="E2246" s="6" t="s">
        <v>188</v>
      </c>
      <c r="F2246" s="6" t="s">
        <v>546</v>
      </c>
      <c r="G2246" s="6" t="s">
        <v>2843</v>
      </c>
      <c r="H2246" s="6" t="s">
        <v>3247</v>
      </c>
      <c r="J2246" s="1215" t="s">
        <v>510</v>
      </c>
      <c r="K2246" s="1219" t="s">
        <v>3111</v>
      </c>
      <c r="L2246" s="8">
        <v>0</v>
      </c>
      <c r="M2246" s="8">
        <v>5</v>
      </c>
      <c r="N2246" s="1169" t="s">
        <v>271</v>
      </c>
      <c r="O2246" s="1088"/>
      <c r="P2246" s="6" t="s">
        <v>3361</v>
      </c>
      <c r="Q2246" s="1215" t="s">
        <v>240</v>
      </c>
      <c r="R2246" s="1088" t="s">
        <v>242</v>
      </c>
      <c r="S2246" s="1088" t="s">
        <v>3390</v>
      </c>
      <c r="T2246" s="1088" t="s">
        <v>3339</v>
      </c>
    </row>
    <row r="2247" spans="1:20" x14ac:dyDescent="0.3">
      <c r="A2247" s="6" t="s">
        <v>533</v>
      </c>
      <c r="B2247" s="6" t="s">
        <v>534</v>
      </c>
      <c r="C2247" s="6" t="s">
        <v>34</v>
      </c>
      <c r="D2247" s="1088" t="s">
        <v>539</v>
      </c>
      <c r="E2247" s="6" t="s">
        <v>188</v>
      </c>
      <c r="F2247" s="6" t="s">
        <v>546</v>
      </c>
      <c r="G2247" s="6" t="s">
        <v>2843</v>
      </c>
      <c r="H2247" s="6" t="s">
        <v>3247</v>
      </c>
      <c r="J2247" s="1215" t="s">
        <v>510</v>
      </c>
      <c r="K2247" s="1219" t="s">
        <v>3112</v>
      </c>
      <c r="L2247" s="8">
        <v>2</v>
      </c>
      <c r="M2247" s="8">
        <v>15</v>
      </c>
      <c r="N2247" s="1169" t="s">
        <v>271</v>
      </c>
      <c r="P2247" s="6" t="s">
        <v>3361</v>
      </c>
      <c r="Q2247" s="1215" t="s">
        <v>240</v>
      </c>
      <c r="R2247" s="1088" t="s">
        <v>242</v>
      </c>
      <c r="S2247" s="1088" t="s">
        <v>3390</v>
      </c>
      <c r="T2247" s="1088" t="s">
        <v>3339</v>
      </c>
    </row>
    <row r="2248" spans="1:20" x14ac:dyDescent="0.3">
      <c r="A2248" s="6" t="s">
        <v>533</v>
      </c>
      <c r="B2248" s="6" t="s">
        <v>534</v>
      </c>
      <c r="C2248" s="6" t="s">
        <v>31</v>
      </c>
      <c r="D2248" s="1088" t="s">
        <v>549</v>
      </c>
      <c r="E2248" s="6" t="s">
        <v>171</v>
      </c>
      <c r="F2248" s="6" t="s">
        <v>634</v>
      </c>
      <c r="G2248" s="6" t="s">
        <v>2798</v>
      </c>
      <c r="H2248" s="6" t="s">
        <v>2149</v>
      </c>
      <c r="J2248" s="1215" t="s">
        <v>510</v>
      </c>
      <c r="K2248" s="1219" t="s">
        <v>3033</v>
      </c>
      <c r="L2248" s="8">
        <v>12</v>
      </c>
      <c r="M2248" s="8">
        <v>115</v>
      </c>
      <c r="N2248" s="1169" t="s">
        <v>271</v>
      </c>
      <c r="P2248" s="6" t="s">
        <v>3361</v>
      </c>
      <c r="Q2248" s="1215" t="s">
        <v>240</v>
      </c>
      <c r="R2248" s="1088" t="s">
        <v>242</v>
      </c>
      <c r="S2248" s="1088" t="s">
        <v>3390</v>
      </c>
      <c r="T2248" s="1088" t="s">
        <v>3339</v>
      </c>
    </row>
    <row r="2249" spans="1:20" x14ac:dyDescent="0.3">
      <c r="A2249" s="6" t="s">
        <v>533</v>
      </c>
      <c r="B2249" s="6" t="s">
        <v>534</v>
      </c>
      <c r="C2249" s="6" t="s">
        <v>31</v>
      </c>
      <c r="D2249" s="1088" t="s">
        <v>549</v>
      </c>
      <c r="E2249" s="6" t="s">
        <v>171</v>
      </c>
      <c r="F2249" s="6" t="s">
        <v>634</v>
      </c>
      <c r="G2249" s="6" t="s">
        <v>1363</v>
      </c>
      <c r="H2249" s="6" t="s">
        <v>1781</v>
      </c>
      <c r="J2249" s="1215" t="s">
        <v>510</v>
      </c>
      <c r="K2249" s="1219" t="s">
        <v>3033</v>
      </c>
      <c r="L2249" s="8">
        <v>12</v>
      </c>
      <c r="M2249" s="8">
        <v>120</v>
      </c>
      <c r="N2249" s="1169" t="s">
        <v>271</v>
      </c>
      <c r="P2249" s="6" t="s">
        <v>3361</v>
      </c>
      <c r="Q2249" s="1215" t="s">
        <v>240</v>
      </c>
      <c r="R2249" s="1088" t="s">
        <v>242</v>
      </c>
      <c r="S2249" s="1088" t="s">
        <v>3390</v>
      </c>
      <c r="T2249" s="1088" t="s">
        <v>3339</v>
      </c>
    </row>
    <row r="2250" spans="1:20" x14ac:dyDescent="0.3">
      <c r="A2250" s="6" t="s">
        <v>533</v>
      </c>
      <c r="B2250" s="6" t="s">
        <v>534</v>
      </c>
      <c r="C2250" s="6" t="s">
        <v>31</v>
      </c>
      <c r="D2250" s="1088" t="s">
        <v>549</v>
      </c>
      <c r="E2250" s="6" t="s">
        <v>171</v>
      </c>
      <c r="F2250" s="6" t="s">
        <v>634</v>
      </c>
      <c r="G2250" s="6" t="s">
        <v>2876</v>
      </c>
      <c r="H2250" s="6" t="s">
        <v>1876</v>
      </c>
      <c r="J2250" s="1215" t="s">
        <v>510</v>
      </c>
      <c r="K2250" s="1219" t="s">
        <v>3033</v>
      </c>
      <c r="L2250" s="8">
        <v>9</v>
      </c>
      <c r="M2250" s="8">
        <v>82</v>
      </c>
      <c r="N2250" s="1169" t="s">
        <v>271</v>
      </c>
      <c r="P2250" s="6" t="s">
        <v>3361</v>
      </c>
      <c r="Q2250" s="1215" t="s">
        <v>240</v>
      </c>
      <c r="R2250" s="1088" t="s">
        <v>242</v>
      </c>
      <c r="S2250" s="1088" t="s">
        <v>3390</v>
      </c>
      <c r="T2250" s="1088" t="s">
        <v>3339</v>
      </c>
    </row>
    <row r="2251" spans="1:20" x14ac:dyDescent="0.3">
      <c r="A2251" s="6" t="s">
        <v>533</v>
      </c>
      <c r="B2251" s="6" t="s">
        <v>534</v>
      </c>
      <c r="C2251" s="6" t="s">
        <v>31</v>
      </c>
      <c r="D2251" s="6" t="s">
        <v>549</v>
      </c>
      <c r="E2251" s="1088" t="s">
        <v>171</v>
      </c>
      <c r="F2251" s="6" t="s">
        <v>634</v>
      </c>
      <c r="G2251" s="6" t="s">
        <v>3025</v>
      </c>
      <c r="H2251" s="6" t="s">
        <v>906</v>
      </c>
      <c r="J2251" s="1215" t="s">
        <v>510</v>
      </c>
      <c r="K2251" s="1219" t="s">
        <v>3033</v>
      </c>
      <c r="L2251" s="8">
        <v>8</v>
      </c>
      <c r="M2251" s="8">
        <v>130</v>
      </c>
      <c r="N2251" s="6" t="s">
        <v>271</v>
      </c>
      <c r="P2251" s="6" t="s">
        <v>3361</v>
      </c>
      <c r="Q2251" s="1215" t="s">
        <v>240</v>
      </c>
      <c r="R2251" s="1088" t="s">
        <v>242</v>
      </c>
      <c r="S2251" s="1088" t="s">
        <v>3390</v>
      </c>
      <c r="T2251" s="1088" t="s">
        <v>3339</v>
      </c>
    </row>
    <row r="2252" spans="1:20" x14ac:dyDescent="0.3">
      <c r="A2252" s="6" t="s">
        <v>533</v>
      </c>
      <c r="B2252" s="6" t="s">
        <v>534</v>
      </c>
      <c r="C2252" s="6" t="s">
        <v>31</v>
      </c>
      <c r="D2252" s="6" t="s">
        <v>549</v>
      </c>
      <c r="E2252" s="1088" t="s">
        <v>170</v>
      </c>
      <c r="F2252" s="6" t="s">
        <v>866</v>
      </c>
      <c r="G2252" s="6" t="s">
        <v>1706</v>
      </c>
      <c r="H2252" s="6" t="s">
        <v>2100</v>
      </c>
      <c r="J2252" s="1215" t="s">
        <v>510</v>
      </c>
      <c r="K2252" s="1219" t="s">
        <v>3112</v>
      </c>
      <c r="L2252" s="8">
        <v>7</v>
      </c>
      <c r="M2252" s="8">
        <v>30</v>
      </c>
      <c r="N2252" s="1169" t="s">
        <v>272</v>
      </c>
      <c r="P2252" s="6" t="s">
        <v>3361</v>
      </c>
      <c r="Q2252" s="1215" t="s">
        <v>241</v>
      </c>
      <c r="R2252" s="1088" t="s">
        <v>243</v>
      </c>
      <c r="S2252" s="1088" t="s">
        <v>3399</v>
      </c>
      <c r="T2252" s="1088" t="s">
        <v>3343</v>
      </c>
    </row>
    <row r="2253" spans="1:20" x14ac:dyDescent="0.3">
      <c r="A2253" s="6" t="s">
        <v>533</v>
      </c>
      <c r="B2253" s="6" t="s">
        <v>534</v>
      </c>
      <c r="C2253" s="6" t="s">
        <v>31</v>
      </c>
      <c r="D2253" s="1088" t="s">
        <v>549</v>
      </c>
      <c r="E2253" s="6" t="s">
        <v>170</v>
      </c>
      <c r="F2253" s="6" t="s">
        <v>866</v>
      </c>
      <c r="G2253" s="6" t="s">
        <v>1702</v>
      </c>
      <c r="H2253" s="6" t="s">
        <v>874</v>
      </c>
      <c r="J2253" s="1215" t="s">
        <v>510</v>
      </c>
      <c r="K2253" s="1219" t="s">
        <v>3112</v>
      </c>
      <c r="L2253" s="8">
        <v>45</v>
      </c>
      <c r="M2253" s="8">
        <v>150</v>
      </c>
      <c r="N2253" s="1169" t="s">
        <v>272</v>
      </c>
      <c r="P2253" s="6" t="s">
        <v>3361</v>
      </c>
      <c r="Q2253" s="1215" t="s">
        <v>241</v>
      </c>
      <c r="R2253" s="1088" t="s">
        <v>243</v>
      </c>
      <c r="S2253" s="1088" t="s">
        <v>3399</v>
      </c>
      <c r="T2253" s="1088" t="s">
        <v>3343</v>
      </c>
    </row>
    <row r="2254" spans="1:20" x14ac:dyDescent="0.3">
      <c r="A2254" s="6" t="s">
        <v>533</v>
      </c>
      <c r="B2254" s="6" t="s">
        <v>534</v>
      </c>
      <c r="C2254" s="6" t="s">
        <v>31</v>
      </c>
      <c r="D2254" s="1088" t="s">
        <v>549</v>
      </c>
      <c r="E2254" s="6" t="s">
        <v>2797</v>
      </c>
      <c r="F2254" s="6" t="s">
        <v>767</v>
      </c>
      <c r="G2254" s="6" t="s">
        <v>1200</v>
      </c>
      <c r="H2254" s="6" t="s">
        <v>2214</v>
      </c>
      <c r="J2254" s="1215" t="s">
        <v>510</v>
      </c>
      <c r="K2254" s="1219" t="s">
        <v>3109</v>
      </c>
      <c r="L2254" s="8">
        <v>6</v>
      </c>
      <c r="M2254" s="8">
        <v>35</v>
      </c>
      <c r="N2254" s="1169" t="s">
        <v>271</v>
      </c>
      <c r="P2254" s="6" t="s">
        <v>3361</v>
      </c>
      <c r="Q2254" s="1215" t="s">
        <v>240</v>
      </c>
      <c r="R2254" s="1088" t="s">
        <v>242</v>
      </c>
      <c r="S2254" s="1088" t="s">
        <v>3390</v>
      </c>
      <c r="T2254" s="1088" t="s">
        <v>3339</v>
      </c>
    </row>
    <row r="2255" spans="1:20" x14ac:dyDescent="0.3">
      <c r="A2255" s="6" t="s">
        <v>533</v>
      </c>
      <c r="B2255" s="6" t="s">
        <v>534</v>
      </c>
      <c r="C2255" s="6" t="s">
        <v>31</v>
      </c>
      <c r="D2255" s="1088" t="s">
        <v>549</v>
      </c>
      <c r="E2255" s="6" t="s">
        <v>2797</v>
      </c>
      <c r="F2255" s="6" t="s">
        <v>767</v>
      </c>
      <c r="G2255" s="6" t="s">
        <v>1200</v>
      </c>
      <c r="H2255" s="6" t="s">
        <v>2214</v>
      </c>
      <c r="J2255" s="1215" t="s">
        <v>510</v>
      </c>
      <c r="K2255" s="1219" t="s">
        <v>3111</v>
      </c>
      <c r="L2255" s="8">
        <v>1</v>
      </c>
      <c r="M2255" s="8">
        <v>6</v>
      </c>
      <c r="N2255" s="1169" t="s">
        <v>271</v>
      </c>
      <c r="P2255" s="6" t="s">
        <v>3361</v>
      </c>
      <c r="Q2255" s="1215" t="s">
        <v>240</v>
      </c>
      <c r="R2255" s="1088" t="s">
        <v>242</v>
      </c>
      <c r="S2255" s="1088" t="s">
        <v>3390</v>
      </c>
      <c r="T2255" s="1088" t="s">
        <v>3339</v>
      </c>
    </row>
    <row r="2256" spans="1:20" x14ac:dyDescent="0.3">
      <c r="A2256" s="6" t="s">
        <v>533</v>
      </c>
      <c r="B2256" s="6" t="s">
        <v>534</v>
      </c>
      <c r="C2256" s="6" t="s">
        <v>34</v>
      </c>
      <c r="D2256" s="6" t="s">
        <v>539</v>
      </c>
      <c r="E2256" s="1088" t="s">
        <v>188</v>
      </c>
      <c r="F2256" s="6" t="s">
        <v>546</v>
      </c>
      <c r="G2256" s="6" t="s">
        <v>1042</v>
      </c>
      <c r="H2256" s="6" t="s">
        <v>1627</v>
      </c>
      <c r="J2256" s="1215" t="s">
        <v>510</v>
      </c>
      <c r="K2256" s="1219" t="s">
        <v>3110</v>
      </c>
      <c r="L2256" s="8">
        <v>3</v>
      </c>
      <c r="M2256" s="8">
        <v>16</v>
      </c>
      <c r="N2256" s="1169" t="s">
        <v>271</v>
      </c>
      <c r="P2256" s="6" t="s">
        <v>3361</v>
      </c>
      <c r="Q2256" s="1215" t="s">
        <v>240</v>
      </c>
      <c r="R2256" s="1088" t="s">
        <v>242</v>
      </c>
      <c r="S2256" s="1088" t="s">
        <v>3387</v>
      </c>
      <c r="T2256" s="1088" t="s">
        <v>3340</v>
      </c>
    </row>
    <row r="2257" spans="1:20" x14ac:dyDescent="0.3">
      <c r="A2257" s="6" t="s">
        <v>533</v>
      </c>
      <c r="B2257" s="6" t="s">
        <v>534</v>
      </c>
      <c r="C2257" s="6" t="s">
        <v>34</v>
      </c>
      <c r="D2257" s="6" t="s">
        <v>539</v>
      </c>
      <c r="E2257" s="1088" t="s">
        <v>188</v>
      </c>
      <c r="F2257" s="6" t="s">
        <v>546</v>
      </c>
      <c r="G2257" s="6" t="s">
        <v>1042</v>
      </c>
      <c r="H2257" s="6" t="s">
        <v>1627</v>
      </c>
      <c r="J2257" s="1215" t="s">
        <v>510</v>
      </c>
      <c r="K2257" s="1219" t="s">
        <v>3111</v>
      </c>
      <c r="L2257" s="8">
        <v>0</v>
      </c>
      <c r="M2257" s="8">
        <v>3</v>
      </c>
      <c r="N2257" s="1169" t="s">
        <v>271</v>
      </c>
      <c r="O2257" s="1088"/>
      <c r="P2257" s="6" t="s">
        <v>3361</v>
      </c>
      <c r="Q2257" s="1215" t="s">
        <v>240</v>
      </c>
      <c r="R2257" s="1088" t="s">
        <v>242</v>
      </c>
      <c r="S2257" s="1088" t="s">
        <v>3387</v>
      </c>
      <c r="T2257" s="1088" t="s">
        <v>3340</v>
      </c>
    </row>
    <row r="2258" spans="1:20" x14ac:dyDescent="0.3">
      <c r="A2258" s="6" t="s">
        <v>533</v>
      </c>
      <c r="B2258" s="6" t="s">
        <v>534</v>
      </c>
      <c r="C2258" s="6" t="s">
        <v>35</v>
      </c>
      <c r="D2258" s="1088" t="s">
        <v>567</v>
      </c>
      <c r="E2258" s="1088" t="s">
        <v>193</v>
      </c>
      <c r="F2258" s="6" t="s">
        <v>863</v>
      </c>
      <c r="G2258" s="6" t="s">
        <v>1569</v>
      </c>
      <c r="H2258" s="6" t="s">
        <v>1570</v>
      </c>
      <c r="J2258" s="1215" t="s">
        <v>510</v>
      </c>
      <c r="K2258" s="1219" t="s">
        <v>3112</v>
      </c>
      <c r="L2258" s="8">
        <v>16</v>
      </c>
      <c r="M2258" s="8">
        <v>73</v>
      </c>
      <c r="N2258" s="1169" t="s">
        <v>271</v>
      </c>
      <c r="P2258" s="6" t="s">
        <v>3361</v>
      </c>
      <c r="Q2258" s="1215" t="s">
        <v>240</v>
      </c>
      <c r="R2258" s="1088" t="s">
        <v>242</v>
      </c>
      <c r="S2258" s="1088" t="s">
        <v>3390</v>
      </c>
      <c r="T2258" s="1088" t="s">
        <v>3339</v>
      </c>
    </row>
    <row r="2259" spans="1:20" x14ac:dyDescent="0.3">
      <c r="A2259" s="6" t="s">
        <v>533</v>
      </c>
      <c r="B2259" s="6" t="s">
        <v>534</v>
      </c>
      <c r="C2259" s="6" t="s">
        <v>35</v>
      </c>
      <c r="D2259" s="1088" t="s">
        <v>567</v>
      </c>
      <c r="E2259" s="1088" t="s">
        <v>193</v>
      </c>
      <c r="F2259" s="6" t="s">
        <v>863</v>
      </c>
      <c r="G2259" s="6" t="s">
        <v>1566</v>
      </c>
      <c r="H2259" s="6" t="s">
        <v>1123</v>
      </c>
      <c r="J2259" s="1215" t="s">
        <v>510</v>
      </c>
      <c r="K2259" s="1219" t="s">
        <v>3033</v>
      </c>
      <c r="L2259" s="8">
        <v>20</v>
      </c>
      <c r="M2259" s="8">
        <v>102</v>
      </c>
      <c r="N2259" s="1169" t="s">
        <v>271</v>
      </c>
      <c r="P2259" s="6" t="s">
        <v>3361</v>
      </c>
      <c r="Q2259" s="1215" t="s">
        <v>240</v>
      </c>
      <c r="R2259" s="1088" t="s">
        <v>242</v>
      </c>
      <c r="S2259" s="1088" t="s">
        <v>3390</v>
      </c>
      <c r="T2259" s="1088" t="s">
        <v>3339</v>
      </c>
    </row>
    <row r="2260" spans="1:20" x14ac:dyDescent="0.3">
      <c r="A2260" s="6" t="s">
        <v>533</v>
      </c>
      <c r="B2260" s="6" t="s">
        <v>534</v>
      </c>
      <c r="C2260" s="6" t="s">
        <v>31</v>
      </c>
      <c r="D2260" s="6" t="s">
        <v>549</v>
      </c>
      <c r="E2260" s="6" t="s">
        <v>166</v>
      </c>
      <c r="F2260" s="6" t="s">
        <v>844</v>
      </c>
      <c r="G2260" s="6" t="s">
        <v>2516</v>
      </c>
      <c r="H2260" s="6" t="s">
        <v>1119</v>
      </c>
      <c r="J2260" s="1215" t="s">
        <v>510</v>
      </c>
      <c r="K2260" s="1219" t="s">
        <v>3033</v>
      </c>
      <c r="L2260" s="8">
        <v>12</v>
      </c>
      <c r="M2260" s="8">
        <v>91</v>
      </c>
      <c r="N2260" s="1169" t="s">
        <v>271</v>
      </c>
      <c r="P2260" s="6" t="s">
        <v>3361</v>
      </c>
      <c r="Q2260" s="1215" t="s">
        <v>240</v>
      </c>
      <c r="R2260" s="1088" t="s">
        <v>242</v>
      </c>
      <c r="S2260" s="1088" t="s">
        <v>3390</v>
      </c>
      <c r="T2260" s="1088" t="s">
        <v>3339</v>
      </c>
    </row>
    <row r="2261" spans="1:20" x14ac:dyDescent="0.3">
      <c r="A2261" s="6" t="s">
        <v>533</v>
      </c>
      <c r="B2261" s="6" t="s">
        <v>534</v>
      </c>
      <c r="C2261" s="6" t="s">
        <v>31</v>
      </c>
      <c r="D2261" s="6" t="s">
        <v>549</v>
      </c>
      <c r="E2261" s="6" t="s">
        <v>166</v>
      </c>
      <c r="F2261" s="6" t="s">
        <v>844</v>
      </c>
      <c r="G2261" s="6" t="s">
        <v>2516</v>
      </c>
      <c r="H2261" s="6" t="s">
        <v>1119</v>
      </c>
      <c r="J2261" s="1215" t="s">
        <v>510</v>
      </c>
      <c r="K2261" s="1219" t="s">
        <v>3111</v>
      </c>
      <c r="L2261" s="8">
        <v>3</v>
      </c>
      <c r="M2261" s="8">
        <v>17</v>
      </c>
      <c r="N2261" s="1169" t="s">
        <v>271</v>
      </c>
      <c r="P2261" s="6" t="s">
        <v>3361</v>
      </c>
      <c r="Q2261" s="1215" t="s">
        <v>240</v>
      </c>
      <c r="R2261" s="1088" t="s">
        <v>242</v>
      </c>
      <c r="S2261" s="1088" t="s">
        <v>3390</v>
      </c>
      <c r="T2261" s="1088" t="s">
        <v>3339</v>
      </c>
    </row>
    <row r="2262" spans="1:20" x14ac:dyDescent="0.3">
      <c r="A2262" s="6" t="s">
        <v>533</v>
      </c>
      <c r="B2262" s="6" t="s">
        <v>534</v>
      </c>
      <c r="C2262" s="6" t="s">
        <v>31</v>
      </c>
      <c r="D2262" s="1088" t="s">
        <v>549</v>
      </c>
      <c r="E2262" s="6" t="s">
        <v>172</v>
      </c>
      <c r="F2262" s="6" t="s">
        <v>706</v>
      </c>
      <c r="G2262" s="6" t="s">
        <v>2696</v>
      </c>
      <c r="H2262" s="6" t="s">
        <v>3309</v>
      </c>
      <c r="J2262" s="1215" t="s">
        <v>510</v>
      </c>
      <c r="K2262" s="1219" t="s">
        <v>3033</v>
      </c>
      <c r="L2262" s="8">
        <v>76</v>
      </c>
      <c r="M2262" s="8">
        <v>304</v>
      </c>
      <c r="N2262" s="1169" t="s">
        <v>271</v>
      </c>
      <c r="P2262" s="6" t="s">
        <v>3361</v>
      </c>
      <c r="Q2262" s="1215" t="s">
        <v>240</v>
      </c>
      <c r="R2262" s="1088" t="s">
        <v>242</v>
      </c>
      <c r="S2262" s="1088" t="s">
        <v>3390</v>
      </c>
      <c r="T2262" s="1088" t="s">
        <v>3339</v>
      </c>
    </row>
    <row r="2263" spans="1:20" x14ac:dyDescent="0.3">
      <c r="A2263" s="6" t="s">
        <v>533</v>
      </c>
      <c r="B2263" s="6" t="s">
        <v>534</v>
      </c>
      <c r="C2263" s="6" t="s">
        <v>31</v>
      </c>
      <c r="D2263" s="6" t="s">
        <v>549</v>
      </c>
      <c r="E2263" s="6" t="s">
        <v>172</v>
      </c>
      <c r="F2263" s="6" t="s">
        <v>706</v>
      </c>
      <c r="G2263" s="6" t="s">
        <v>2696</v>
      </c>
      <c r="H2263" s="6" t="s">
        <v>3309</v>
      </c>
      <c r="J2263" s="1215" t="s">
        <v>510</v>
      </c>
      <c r="K2263" s="1219" t="s">
        <v>3112</v>
      </c>
      <c r="L2263" s="8">
        <v>0</v>
      </c>
      <c r="M2263" s="8">
        <v>8</v>
      </c>
      <c r="N2263" s="1169" t="s">
        <v>271</v>
      </c>
      <c r="P2263" s="6" t="s">
        <v>3361</v>
      </c>
      <c r="Q2263" s="1215" t="s">
        <v>240</v>
      </c>
      <c r="R2263" s="1088" t="s">
        <v>242</v>
      </c>
      <c r="S2263" s="1088" t="s">
        <v>3390</v>
      </c>
      <c r="T2263" s="1088" t="s">
        <v>3339</v>
      </c>
    </row>
    <row r="2264" spans="1:20" x14ac:dyDescent="0.3">
      <c r="A2264" s="6" t="s">
        <v>533</v>
      </c>
      <c r="B2264" s="6" t="s">
        <v>534</v>
      </c>
      <c r="C2264" s="6" t="s">
        <v>31</v>
      </c>
      <c r="D2264" s="6" t="s">
        <v>549</v>
      </c>
      <c r="E2264" s="6" t="s">
        <v>172</v>
      </c>
      <c r="F2264" s="6" t="s">
        <v>706</v>
      </c>
      <c r="G2264" s="6" t="s">
        <v>707</v>
      </c>
      <c r="H2264" s="6" t="s">
        <v>1306</v>
      </c>
      <c r="J2264" s="1215" t="s">
        <v>510</v>
      </c>
      <c r="K2264" s="1219" t="s">
        <v>3033</v>
      </c>
      <c r="L2264" s="8">
        <v>13</v>
      </c>
      <c r="M2264" s="8">
        <v>110</v>
      </c>
      <c r="N2264" s="1169" t="s">
        <v>271</v>
      </c>
      <c r="P2264" s="6" t="s">
        <v>3361</v>
      </c>
      <c r="Q2264" s="1215" t="s">
        <v>240</v>
      </c>
      <c r="R2264" s="1088" t="s">
        <v>242</v>
      </c>
      <c r="S2264" s="1088" t="s">
        <v>3390</v>
      </c>
      <c r="T2264" s="1088" t="s">
        <v>3339</v>
      </c>
    </row>
    <row r="2265" spans="1:20" x14ac:dyDescent="0.3">
      <c r="A2265" s="6" t="s">
        <v>533</v>
      </c>
      <c r="B2265" s="6" t="s">
        <v>534</v>
      </c>
      <c r="C2265" s="6" t="s">
        <v>31</v>
      </c>
      <c r="D2265" s="1088" t="s">
        <v>549</v>
      </c>
      <c r="E2265" s="6" t="s">
        <v>172</v>
      </c>
      <c r="F2265" s="6" t="s">
        <v>706</v>
      </c>
      <c r="G2265" s="6" t="s">
        <v>707</v>
      </c>
      <c r="H2265" s="6" t="s">
        <v>1306</v>
      </c>
      <c r="J2265" s="1215" t="s">
        <v>510</v>
      </c>
      <c r="K2265" s="1219" t="s">
        <v>3112</v>
      </c>
      <c r="L2265" s="8">
        <v>2</v>
      </c>
      <c r="M2265" s="8">
        <v>12</v>
      </c>
      <c r="N2265" s="1169" t="s">
        <v>271</v>
      </c>
      <c r="P2265" s="6" t="s">
        <v>3361</v>
      </c>
      <c r="Q2265" s="1215" t="s">
        <v>240</v>
      </c>
      <c r="R2265" s="1088" t="s">
        <v>242</v>
      </c>
      <c r="S2265" s="1088" t="s">
        <v>3390</v>
      </c>
      <c r="T2265" s="1088" t="s">
        <v>3339</v>
      </c>
    </row>
    <row r="2266" spans="1:20" x14ac:dyDescent="0.3">
      <c r="A2266" s="6" t="s">
        <v>533</v>
      </c>
      <c r="B2266" s="6" t="s">
        <v>534</v>
      </c>
      <c r="C2266" s="6" t="s">
        <v>31</v>
      </c>
      <c r="D2266" s="6" t="s">
        <v>549</v>
      </c>
      <c r="E2266" s="1088" t="s">
        <v>172</v>
      </c>
      <c r="F2266" s="6" t="s">
        <v>706</v>
      </c>
      <c r="G2266" s="6" t="s">
        <v>967</v>
      </c>
      <c r="H2266" s="6" t="s">
        <v>2132</v>
      </c>
      <c r="J2266" s="1215" t="s">
        <v>510</v>
      </c>
      <c r="K2266" s="1219" t="s">
        <v>3033</v>
      </c>
      <c r="L2266" s="8">
        <v>32</v>
      </c>
      <c r="M2266" s="8">
        <v>143</v>
      </c>
      <c r="N2266" s="1169" t="s">
        <v>271</v>
      </c>
      <c r="P2266" s="6" t="s">
        <v>3361</v>
      </c>
      <c r="Q2266" s="1215" t="s">
        <v>240</v>
      </c>
      <c r="R2266" s="1088" t="s">
        <v>242</v>
      </c>
      <c r="S2266" s="1088" t="s">
        <v>3390</v>
      </c>
      <c r="T2266" s="1088" t="s">
        <v>3339</v>
      </c>
    </row>
    <row r="2267" spans="1:20" x14ac:dyDescent="0.3">
      <c r="A2267" s="6" t="s">
        <v>533</v>
      </c>
      <c r="B2267" s="6" t="s">
        <v>534</v>
      </c>
      <c r="C2267" s="6" t="s">
        <v>31</v>
      </c>
      <c r="D2267" s="6" t="s">
        <v>549</v>
      </c>
      <c r="E2267" s="1088" t="s">
        <v>172</v>
      </c>
      <c r="F2267" s="6" t="s">
        <v>706</v>
      </c>
      <c r="G2267" s="6" t="s">
        <v>967</v>
      </c>
      <c r="H2267" s="6" t="s">
        <v>2132</v>
      </c>
      <c r="J2267" s="1215" t="s">
        <v>510</v>
      </c>
      <c r="K2267" s="1219" t="s">
        <v>3112</v>
      </c>
      <c r="L2267" s="8">
        <v>0</v>
      </c>
      <c r="M2267" s="8">
        <v>10</v>
      </c>
      <c r="N2267" s="1169" t="s">
        <v>271</v>
      </c>
      <c r="P2267" s="6" t="s">
        <v>3361</v>
      </c>
      <c r="Q2267" s="1215" t="s">
        <v>240</v>
      </c>
      <c r="R2267" s="1088" t="s">
        <v>242</v>
      </c>
      <c r="S2267" s="1088" t="s">
        <v>3390</v>
      </c>
      <c r="T2267" s="1088" t="s">
        <v>3339</v>
      </c>
    </row>
    <row r="2268" spans="1:20" x14ac:dyDescent="0.3">
      <c r="A2268" s="6" t="s">
        <v>533</v>
      </c>
      <c r="B2268" s="6" t="s">
        <v>534</v>
      </c>
      <c r="C2268" s="6" t="s">
        <v>31</v>
      </c>
      <c r="D2268" s="6" t="s">
        <v>549</v>
      </c>
      <c r="E2268" s="1088" t="s">
        <v>2797</v>
      </c>
      <c r="F2268" s="6" t="s">
        <v>767</v>
      </c>
      <c r="G2268" s="6" t="s">
        <v>1198</v>
      </c>
      <c r="H2268" s="6" t="s">
        <v>1199</v>
      </c>
      <c r="J2268" s="1215" t="s">
        <v>510</v>
      </c>
      <c r="K2268" s="1219" t="s">
        <v>3033</v>
      </c>
      <c r="L2268" s="8">
        <v>30</v>
      </c>
      <c r="M2268" s="8">
        <v>249</v>
      </c>
      <c r="N2268" s="1169" t="s">
        <v>271</v>
      </c>
      <c r="P2268" s="6" t="s">
        <v>3361</v>
      </c>
      <c r="Q2268" s="1215" t="s">
        <v>240</v>
      </c>
      <c r="R2268" s="1088" t="s">
        <v>242</v>
      </c>
      <c r="S2268" s="1088" t="s">
        <v>3390</v>
      </c>
      <c r="T2268" s="1088" t="s">
        <v>3339</v>
      </c>
    </row>
    <row r="2269" spans="1:20" x14ac:dyDescent="0.3">
      <c r="A2269" s="6" t="s">
        <v>533</v>
      </c>
      <c r="B2269" s="6" t="s">
        <v>534</v>
      </c>
      <c r="C2269" s="6" t="s">
        <v>31</v>
      </c>
      <c r="D2269" s="1088" t="s">
        <v>549</v>
      </c>
      <c r="E2269" s="6" t="s">
        <v>2797</v>
      </c>
      <c r="F2269" s="6" t="s">
        <v>767</v>
      </c>
      <c r="G2269" s="6" t="s">
        <v>1198</v>
      </c>
      <c r="H2269" s="6" t="s">
        <v>1199</v>
      </c>
      <c r="J2269" s="1215" t="s">
        <v>510</v>
      </c>
      <c r="K2269" s="1219" t="s">
        <v>3111</v>
      </c>
      <c r="L2269" s="8">
        <v>35</v>
      </c>
      <c r="M2269" s="8">
        <v>295</v>
      </c>
      <c r="N2269" s="1169" t="s">
        <v>271</v>
      </c>
      <c r="P2269" s="6" t="s">
        <v>3361</v>
      </c>
      <c r="Q2269" s="1215" t="s">
        <v>240</v>
      </c>
      <c r="R2269" s="1088" t="s">
        <v>242</v>
      </c>
      <c r="S2269" s="1088" t="s">
        <v>3390</v>
      </c>
      <c r="T2269" s="1088" t="s">
        <v>3339</v>
      </c>
    </row>
    <row r="2270" spans="1:20" x14ac:dyDescent="0.3">
      <c r="A2270" s="6" t="s">
        <v>533</v>
      </c>
      <c r="B2270" s="6" t="s">
        <v>534</v>
      </c>
      <c r="C2270" s="6" t="s">
        <v>31</v>
      </c>
      <c r="D2270" s="1088" t="s">
        <v>549</v>
      </c>
      <c r="E2270" s="6" t="s">
        <v>164</v>
      </c>
      <c r="F2270" s="6" t="s">
        <v>748</v>
      </c>
      <c r="G2270" s="6" t="s">
        <v>1088</v>
      </c>
      <c r="H2270" s="6" t="s">
        <v>1089</v>
      </c>
      <c r="J2270" s="1215" t="s">
        <v>510</v>
      </c>
      <c r="K2270" s="1219" t="s">
        <v>3112</v>
      </c>
      <c r="L2270" s="8">
        <v>2</v>
      </c>
      <c r="M2270" s="8">
        <v>8</v>
      </c>
      <c r="N2270" s="1169" t="s">
        <v>271</v>
      </c>
      <c r="P2270" s="6" t="s">
        <v>3361</v>
      </c>
      <c r="Q2270" s="1215" t="s">
        <v>240</v>
      </c>
      <c r="R2270" s="1088" t="s">
        <v>242</v>
      </c>
      <c r="S2270" s="1088" t="s">
        <v>3390</v>
      </c>
      <c r="T2270" s="1088" t="s">
        <v>3339</v>
      </c>
    </row>
    <row r="2271" spans="1:20" x14ac:dyDescent="0.3">
      <c r="A2271" s="6" t="s">
        <v>533</v>
      </c>
      <c r="B2271" s="6" t="s">
        <v>534</v>
      </c>
      <c r="C2271" s="6" t="s">
        <v>31</v>
      </c>
      <c r="D2271" s="1088" t="s">
        <v>549</v>
      </c>
      <c r="E2271" s="6" t="s">
        <v>171</v>
      </c>
      <c r="F2271" s="6" t="s">
        <v>634</v>
      </c>
      <c r="G2271" s="6" t="s">
        <v>891</v>
      </c>
      <c r="H2271" s="6" t="s">
        <v>1469</v>
      </c>
      <c r="J2271" s="1215" t="s">
        <v>510</v>
      </c>
      <c r="K2271" s="1219" t="s">
        <v>3033</v>
      </c>
      <c r="L2271" s="8">
        <v>15</v>
      </c>
      <c r="M2271" s="8">
        <v>50</v>
      </c>
      <c r="N2271" s="1169" t="s">
        <v>271</v>
      </c>
      <c r="P2271" s="6" t="s">
        <v>3361</v>
      </c>
      <c r="Q2271" s="1215" t="s">
        <v>240</v>
      </c>
      <c r="R2271" s="1088" t="s">
        <v>242</v>
      </c>
      <c r="S2271" s="1088" t="s">
        <v>3390</v>
      </c>
      <c r="T2271" s="1088" t="s">
        <v>3339</v>
      </c>
    </row>
    <row r="2272" spans="1:20" x14ac:dyDescent="0.3">
      <c r="A2272" s="6" t="s">
        <v>533</v>
      </c>
      <c r="B2272" s="6" t="s">
        <v>534</v>
      </c>
      <c r="C2272" s="6" t="s">
        <v>31</v>
      </c>
      <c r="D2272" s="1088" t="s">
        <v>549</v>
      </c>
      <c r="E2272" s="1169" t="s">
        <v>172</v>
      </c>
      <c r="F2272" s="6" t="s">
        <v>706</v>
      </c>
      <c r="G2272" s="6" t="s">
        <v>1908</v>
      </c>
      <c r="H2272" s="6" t="s">
        <v>2000</v>
      </c>
      <c r="J2272" s="1215" t="s">
        <v>510</v>
      </c>
      <c r="K2272" s="1219" t="s">
        <v>3110</v>
      </c>
      <c r="L2272" s="8">
        <v>5</v>
      </c>
      <c r="M2272" s="8">
        <v>35</v>
      </c>
      <c r="N2272" s="1169" t="s">
        <v>271</v>
      </c>
      <c r="P2272" s="6" t="s">
        <v>3361</v>
      </c>
      <c r="Q2272" s="1215" t="s">
        <v>240</v>
      </c>
      <c r="R2272" s="1088" t="s">
        <v>242</v>
      </c>
      <c r="S2272" s="1088" t="s">
        <v>3390</v>
      </c>
      <c r="T2272" s="1088" t="s">
        <v>3339</v>
      </c>
    </row>
    <row r="2273" spans="1:20" x14ac:dyDescent="0.3">
      <c r="A2273" s="6" t="s">
        <v>533</v>
      </c>
      <c r="B2273" s="6" t="s">
        <v>534</v>
      </c>
      <c r="C2273" s="6" t="s">
        <v>31</v>
      </c>
      <c r="D2273" s="1088" t="s">
        <v>549</v>
      </c>
      <c r="E2273" s="1169" t="s">
        <v>166</v>
      </c>
      <c r="F2273" s="6" t="s">
        <v>844</v>
      </c>
      <c r="G2273" s="6" t="s">
        <v>1256</v>
      </c>
      <c r="H2273" s="6" t="s">
        <v>1197</v>
      </c>
      <c r="J2273" s="1215" t="s">
        <v>510</v>
      </c>
      <c r="K2273" s="1219" t="s">
        <v>3033</v>
      </c>
      <c r="L2273" s="8">
        <v>12</v>
      </c>
      <c r="M2273" s="8">
        <v>90</v>
      </c>
      <c r="N2273" s="1169" t="s">
        <v>271</v>
      </c>
      <c r="P2273" s="6" t="s">
        <v>3361</v>
      </c>
      <c r="Q2273" s="1215" t="s">
        <v>240</v>
      </c>
      <c r="R2273" s="1088" t="s">
        <v>242</v>
      </c>
      <c r="S2273" s="1088" t="s">
        <v>3390</v>
      </c>
      <c r="T2273" s="1088" t="s">
        <v>3339</v>
      </c>
    </row>
    <row r="2274" spans="1:20" x14ac:dyDescent="0.3">
      <c r="A2274" s="6" t="s">
        <v>533</v>
      </c>
      <c r="B2274" s="6" t="s">
        <v>534</v>
      </c>
      <c r="C2274" s="6" t="s">
        <v>34</v>
      </c>
      <c r="D2274" s="1088" t="s">
        <v>539</v>
      </c>
      <c r="E2274" s="1169" t="s">
        <v>188</v>
      </c>
      <c r="F2274" s="6" t="s">
        <v>546</v>
      </c>
      <c r="G2274" s="6" t="s">
        <v>3028</v>
      </c>
      <c r="H2274" s="6" t="s">
        <v>3310</v>
      </c>
      <c r="J2274" s="1215" t="s">
        <v>510</v>
      </c>
      <c r="K2274" s="1219" t="s">
        <v>3033</v>
      </c>
      <c r="L2274" s="8">
        <v>304</v>
      </c>
      <c r="M2274" s="8">
        <v>2376</v>
      </c>
      <c r="N2274" s="1169" t="s">
        <v>271</v>
      </c>
      <c r="P2274" s="6" t="s">
        <v>3361</v>
      </c>
      <c r="Q2274" s="1215" t="s">
        <v>240</v>
      </c>
      <c r="R2274" s="1088" t="s">
        <v>242</v>
      </c>
      <c r="S2274" s="1088" t="s">
        <v>3390</v>
      </c>
      <c r="T2274" s="1088" t="s">
        <v>3339</v>
      </c>
    </row>
    <row r="2275" spans="1:20" x14ac:dyDescent="0.3">
      <c r="A2275" s="6" t="s">
        <v>533</v>
      </c>
      <c r="B2275" s="6" t="s">
        <v>534</v>
      </c>
      <c r="C2275" s="6" t="s">
        <v>34</v>
      </c>
      <c r="D2275" s="1088" t="s">
        <v>539</v>
      </c>
      <c r="E2275" s="6" t="s">
        <v>188</v>
      </c>
      <c r="F2275" s="6" t="s">
        <v>546</v>
      </c>
      <c r="G2275" s="6" t="s">
        <v>3028</v>
      </c>
      <c r="H2275" s="6" t="s">
        <v>3310</v>
      </c>
      <c r="J2275" s="1215" t="s">
        <v>510</v>
      </c>
      <c r="K2275" s="1219" t="s">
        <v>3109</v>
      </c>
      <c r="L2275" s="8">
        <v>0</v>
      </c>
      <c r="M2275" s="8">
        <v>11</v>
      </c>
      <c r="N2275" s="1169" t="s">
        <v>271</v>
      </c>
      <c r="P2275" s="6" t="s">
        <v>3361</v>
      </c>
      <c r="Q2275" s="1215" t="s">
        <v>240</v>
      </c>
      <c r="R2275" s="1088" t="s">
        <v>242</v>
      </c>
      <c r="S2275" s="1088" t="s">
        <v>3390</v>
      </c>
      <c r="T2275" s="1088" t="s">
        <v>3339</v>
      </c>
    </row>
    <row r="2276" spans="1:20" x14ac:dyDescent="0.3">
      <c r="A2276" s="6" t="s">
        <v>533</v>
      </c>
      <c r="B2276" s="6" t="s">
        <v>534</v>
      </c>
      <c r="C2276" s="6" t="s">
        <v>34</v>
      </c>
      <c r="D2276" s="1088" t="s">
        <v>539</v>
      </c>
      <c r="E2276" s="6" t="s">
        <v>188</v>
      </c>
      <c r="F2276" s="6" t="s">
        <v>546</v>
      </c>
      <c r="G2276" s="6" t="s">
        <v>3028</v>
      </c>
      <c r="H2276" s="6" t="s">
        <v>3310</v>
      </c>
      <c r="J2276" s="1215" t="s">
        <v>510</v>
      </c>
      <c r="K2276" s="1219" t="s">
        <v>3110</v>
      </c>
      <c r="L2276" s="8">
        <v>0</v>
      </c>
      <c r="M2276" s="8">
        <v>16</v>
      </c>
      <c r="N2276" s="1169" t="s">
        <v>271</v>
      </c>
      <c r="P2276" s="6" t="s">
        <v>3361</v>
      </c>
      <c r="Q2276" s="1215" t="s">
        <v>240</v>
      </c>
      <c r="R2276" s="1088" t="s">
        <v>242</v>
      </c>
      <c r="S2276" s="1088" t="s">
        <v>3390</v>
      </c>
      <c r="T2276" s="1088" t="s">
        <v>3339</v>
      </c>
    </row>
    <row r="2277" spans="1:20" x14ac:dyDescent="0.3">
      <c r="A2277" s="6" t="s">
        <v>533</v>
      </c>
      <c r="B2277" s="6" t="s">
        <v>534</v>
      </c>
      <c r="C2277" s="6" t="s">
        <v>34</v>
      </c>
      <c r="D2277" s="6" t="s">
        <v>539</v>
      </c>
      <c r="E2277" s="1169" t="s">
        <v>188</v>
      </c>
      <c r="F2277" s="6" t="s">
        <v>546</v>
      </c>
      <c r="G2277" s="6" t="s">
        <v>3028</v>
      </c>
      <c r="H2277" s="6" t="s">
        <v>3310</v>
      </c>
      <c r="J2277" s="1215" t="s">
        <v>510</v>
      </c>
      <c r="K2277" s="1219" t="s">
        <v>3111</v>
      </c>
      <c r="L2277" s="8">
        <v>2</v>
      </c>
      <c r="M2277" s="8">
        <v>21</v>
      </c>
      <c r="N2277" s="1169" t="s">
        <v>271</v>
      </c>
      <c r="P2277" s="6" t="s">
        <v>3361</v>
      </c>
      <c r="Q2277" s="1215" t="s">
        <v>240</v>
      </c>
      <c r="R2277" s="1088" t="s">
        <v>242</v>
      </c>
      <c r="S2277" s="1088" t="s">
        <v>3390</v>
      </c>
      <c r="T2277" s="1088" t="s">
        <v>3339</v>
      </c>
    </row>
    <row r="2278" spans="1:20" x14ac:dyDescent="0.3">
      <c r="A2278" s="6" t="s">
        <v>533</v>
      </c>
      <c r="B2278" s="6" t="s">
        <v>534</v>
      </c>
      <c r="C2278" s="6" t="s">
        <v>34</v>
      </c>
      <c r="D2278" s="6" t="s">
        <v>539</v>
      </c>
      <c r="E2278" s="6" t="s">
        <v>188</v>
      </c>
      <c r="F2278" s="6" t="s">
        <v>546</v>
      </c>
      <c r="G2278" s="6" t="s">
        <v>3028</v>
      </c>
      <c r="H2278" s="6" t="s">
        <v>3310</v>
      </c>
      <c r="J2278" s="1215" t="s">
        <v>510</v>
      </c>
      <c r="K2278" s="1219" t="s">
        <v>3112</v>
      </c>
      <c r="L2278" s="8">
        <v>0</v>
      </c>
      <c r="M2278" s="8">
        <v>8</v>
      </c>
      <c r="N2278" s="6" t="s">
        <v>271</v>
      </c>
      <c r="P2278" s="6" t="s">
        <v>3361</v>
      </c>
      <c r="Q2278" s="1215" t="s">
        <v>240</v>
      </c>
      <c r="R2278" s="1088" t="s">
        <v>242</v>
      </c>
      <c r="S2278" s="1088" t="s">
        <v>3390</v>
      </c>
      <c r="T2278" s="1088" t="s">
        <v>3339</v>
      </c>
    </row>
    <row r="2279" spans="1:20" x14ac:dyDescent="0.3">
      <c r="A2279" s="6" t="s">
        <v>533</v>
      </c>
      <c r="B2279" s="6" t="s">
        <v>534</v>
      </c>
      <c r="C2279" s="6" t="s">
        <v>34</v>
      </c>
      <c r="D2279" s="6" t="s">
        <v>539</v>
      </c>
      <c r="E2279" s="6" t="s">
        <v>188</v>
      </c>
      <c r="F2279" s="6" t="s">
        <v>546</v>
      </c>
      <c r="G2279" s="6" t="s">
        <v>1499</v>
      </c>
      <c r="H2279" s="6" t="s">
        <v>1076</v>
      </c>
      <c r="J2279" s="1215" t="s">
        <v>510</v>
      </c>
      <c r="K2279" s="1219" t="s">
        <v>3033</v>
      </c>
      <c r="L2279" s="8">
        <v>24</v>
      </c>
      <c r="M2279" s="8">
        <v>79</v>
      </c>
      <c r="N2279" s="1169" t="s">
        <v>271</v>
      </c>
      <c r="P2279" s="6" t="s">
        <v>3361</v>
      </c>
      <c r="Q2279" s="1215" t="s">
        <v>240</v>
      </c>
      <c r="R2279" s="1088" t="s">
        <v>242</v>
      </c>
      <c r="S2279" s="1088" t="s">
        <v>3390</v>
      </c>
      <c r="T2279" s="1088" t="s">
        <v>3339</v>
      </c>
    </row>
    <row r="2280" spans="1:20" x14ac:dyDescent="0.3">
      <c r="A2280" s="6" t="s">
        <v>533</v>
      </c>
      <c r="B2280" s="6" t="s">
        <v>534</v>
      </c>
      <c r="C2280" s="6" t="s">
        <v>34</v>
      </c>
      <c r="D2280" s="6" t="s">
        <v>539</v>
      </c>
      <c r="E2280" s="6" t="s">
        <v>188</v>
      </c>
      <c r="F2280" s="6" t="s">
        <v>546</v>
      </c>
      <c r="G2280" s="6" t="s">
        <v>1499</v>
      </c>
      <c r="H2280" s="6" t="s">
        <v>1076</v>
      </c>
      <c r="J2280" s="1215" t="s">
        <v>510</v>
      </c>
      <c r="K2280" s="1219" t="s">
        <v>3109</v>
      </c>
      <c r="L2280" s="8">
        <v>0</v>
      </c>
      <c r="M2280" s="8">
        <v>12</v>
      </c>
      <c r="N2280" s="1169" t="s">
        <v>271</v>
      </c>
      <c r="P2280" s="6" t="s">
        <v>3361</v>
      </c>
      <c r="Q2280" s="1215" t="s">
        <v>240</v>
      </c>
      <c r="R2280" s="1088" t="s">
        <v>242</v>
      </c>
      <c r="S2280" s="1088" t="s">
        <v>3390</v>
      </c>
      <c r="T2280" s="1088" t="s">
        <v>3339</v>
      </c>
    </row>
    <row r="2281" spans="1:20" x14ac:dyDescent="0.3">
      <c r="A2281" s="6" t="s">
        <v>533</v>
      </c>
      <c r="B2281" s="6" t="s">
        <v>534</v>
      </c>
      <c r="C2281" s="6" t="s">
        <v>34</v>
      </c>
      <c r="D2281" s="1088" t="s">
        <v>539</v>
      </c>
      <c r="E2281" s="6" t="s">
        <v>188</v>
      </c>
      <c r="F2281" s="6" t="s">
        <v>546</v>
      </c>
      <c r="G2281" s="6" t="s">
        <v>1499</v>
      </c>
      <c r="H2281" s="6" t="s">
        <v>1076</v>
      </c>
      <c r="J2281" s="1215" t="s">
        <v>510</v>
      </c>
      <c r="K2281" s="1219" t="s">
        <v>3110</v>
      </c>
      <c r="L2281" s="8">
        <v>8</v>
      </c>
      <c r="M2281" s="8">
        <v>43</v>
      </c>
      <c r="N2281" s="1169" t="s">
        <v>271</v>
      </c>
      <c r="P2281" s="6" t="s">
        <v>3361</v>
      </c>
      <c r="Q2281" s="1215" t="s">
        <v>240</v>
      </c>
      <c r="R2281" s="1088" t="s">
        <v>242</v>
      </c>
      <c r="S2281" s="1088" t="s">
        <v>3390</v>
      </c>
      <c r="T2281" s="1088" t="s">
        <v>3339</v>
      </c>
    </row>
    <row r="2282" spans="1:20" x14ac:dyDescent="0.3">
      <c r="A2282" s="6" t="s">
        <v>533</v>
      </c>
      <c r="B2282" s="6" t="s">
        <v>534</v>
      </c>
      <c r="C2282" s="6" t="s">
        <v>34</v>
      </c>
      <c r="D2282" s="1088" t="s">
        <v>539</v>
      </c>
      <c r="E2282" s="6" t="s">
        <v>188</v>
      </c>
      <c r="F2282" s="6" t="s">
        <v>546</v>
      </c>
      <c r="G2282" s="6" t="s">
        <v>1499</v>
      </c>
      <c r="H2282" s="6" t="s">
        <v>1076</v>
      </c>
      <c r="J2282" s="1215" t="s">
        <v>510</v>
      </c>
      <c r="K2282" s="1219" t="s">
        <v>3111</v>
      </c>
      <c r="L2282" s="8">
        <v>0</v>
      </c>
      <c r="M2282" s="8">
        <v>8</v>
      </c>
      <c r="N2282" s="1169" t="s">
        <v>271</v>
      </c>
      <c r="P2282" s="6" t="s">
        <v>3361</v>
      </c>
      <c r="Q2282" s="1215" t="s">
        <v>240</v>
      </c>
      <c r="R2282" s="1088" t="s">
        <v>242</v>
      </c>
      <c r="S2282" s="1088" t="s">
        <v>3390</v>
      </c>
      <c r="T2282" s="1088" t="s">
        <v>3339</v>
      </c>
    </row>
    <row r="2283" spans="1:20" x14ac:dyDescent="0.3">
      <c r="A2283" s="6" t="s">
        <v>533</v>
      </c>
      <c r="B2283" s="6" t="s">
        <v>534</v>
      </c>
      <c r="C2283" s="6" t="s">
        <v>34</v>
      </c>
      <c r="D2283" s="1088" t="s">
        <v>539</v>
      </c>
      <c r="E2283" s="6" t="s">
        <v>188</v>
      </c>
      <c r="F2283" s="6" t="s">
        <v>546</v>
      </c>
      <c r="G2283" s="6" t="s">
        <v>1499</v>
      </c>
      <c r="H2283" s="6" t="s">
        <v>1076</v>
      </c>
      <c r="J2283" s="1215" t="s">
        <v>510</v>
      </c>
      <c r="K2283" s="1219" t="s">
        <v>3112</v>
      </c>
      <c r="L2283" s="8">
        <v>3</v>
      </c>
      <c r="M2283" s="8">
        <v>10</v>
      </c>
      <c r="N2283" s="1169" t="s">
        <v>271</v>
      </c>
      <c r="P2283" s="6" t="s">
        <v>3361</v>
      </c>
      <c r="Q2283" s="1215" t="s">
        <v>240</v>
      </c>
      <c r="R2283" s="1088" t="s">
        <v>242</v>
      </c>
      <c r="S2283" s="1088" t="s">
        <v>3390</v>
      </c>
      <c r="T2283" s="1088" t="s">
        <v>3339</v>
      </c>
    </row>
    <row r="2284" spans="1:20" x14ac:dyDescent="0.3">
      <c r="A2284" s="6" t="s">
        <v>533</v>
      </c>
      <c r="B2284" s="6" t="s">
        <v>534</v>
      </c>
      <c r="C2284" s="6" t="s">
        <v>34</v>
      </c>
      <c r="D2284" s="1088" t="s">
        <v>539</v>
      </c>
      <c r="E2284" s="6" t="s">
        <v>188</v>
      </c>
      <c r="F2284" s="6" t="s">
        <v>546</v>
      </c>
      <c r="G2284" s="6" t="s">
        <v>1329</v>
      </c>
      <c r="H2284" s="6" t="s">
        <v>1555</v>
      </c>
      <c r="J2284" s="1215" t="s">
        <v>510</v>
      </c>
      <c r="K2284" s="1219" t="s">
        <v>3033</v>
      </c>
      <c r="L2284" s="8">
        <v>87</v>
      </c>
      <c r="M2284" s="8">
        <v>247</v>
      </c>
      <c r="N2284" s="1169" t="s">
        <v>271</v>
      </c>
      <c r="P2284" s="6" t="s">
        <v>3361</v>
      </c>
      <c r="Q2284" s="1215" t="s">
        <v>240</v>
      </c>
      <c r="R2284" s="1088" t="s">
        <v>242</v>
      </c>
      <c r="S2284" s="1088" t="s">
        <v>3390</v>
      </c>
      <c r="T2284" s="1088" t="s">
        <v>3339</v>
      </c>
    </row>
    <row r="2285" spans="1:20" x14ac:dyDescent="0.3">
      <c r="A2285" s="6" t="s">
        <v>533</v>
      </c>
      <c r="B2285" s="6" t="s">
        <v>534</v>
      </c>
      <c r="C2285" s="6" t="s">
        <v>34</v>
      </c>
      <c r="D2285" s="1088" t="s">
        <v>539</v>
      </c>
      <c r="E2285" s="6" t="s">
        <v>188</v>
      </c>
      <c r="F2285" s="6" t="s">
        <v>546</v>
      </c>
      <c r="G2285" s="6" t="s">
        <v>1329</v>
      </c>
      <c r="H2285" s="6" t="s">
        <v>1555</v>
      </c>
      <c r="J2285" s="1215" t="s">
        <v>510</v>
      </c>
      <c r="K2285" s="1219" t="s">
        <v>3109</v>
      </c>
      <c r="L2285" s="8">
        <v>0</v>
      </c>
      <c r="M2285" s="8">
        <v>4</v>
      </c>
      <c r="N2285" s="1169" t="s">
        <v>271</v>
      </c>
      <c r="P2285" s="6" t="s">
        <v>3361</v>
      </c>
      <c r="Q2285" s="1215" t="s">
        <v>240</v>
      </c>
      <c r="R2285" s="1088" t="s">
        <v>242</v>
      </c>
      <c r="S2285" s="1088" t="s">
        <v>3390</v>
      </c>
      <c r="T2285" s="1088" t="s">
        <v>3339</v>
      </c>
    </row>
    <row r="2286" spans="1:20" x14ac:dyDescent="0.3">
      <c r="A2286" s="6" t="s">
        <v>533</v>
      </c>
      <c r="B2286" s="6" t="s">
        <v>534</v>
      </c>
      <c r="C2286" s="6" t="s">
        <v>34</v>
      </c>
      <c r="D2286" s="1088" t="s">
        <v>539</v>
      </c>
      <c r="E2286" s="1088" t="s">
        <v>188</v>
      </c>
      <c r="F2286" s="6" t="s">
        <v>546</v>
      </c>
      <c r="G2286" s="6" t="s">
        <v>1329</v>
      </c>
      <c r="H2286" s="6" t="s">
        <v>1555</v>
      </c>
      <c r="J2286" s="1215" t="s">
        <v>510</v>
      </c>
      <c r="K2286" s="1219" t="s">
        <v>3112</v>
      </c>
      <c r="L2286" s="8">
        <v>0</v>
      </c>
      <c r="M2286" s="8">
        <v>3</v>
      </c>
      <c r="N2286" s="1169" t="s">
        <v>271</v>
      </c>
      <c r="P2286" s="6" t="s">
        <v>3361</v>
      </c>
      <c r="Q2286" s="1215" t="s">
        <v>240</v>
      </c>
      <c r="R2286" s="1088" t="s">
        <v>242</v>
      </c>
      <c r="S2286" s="1088" t="s">
        <v>3390</v>
      </c>
      <c r="T2286" s="1088" t="s">
        <v>3339</v>
      </c>
    </row>
    <row r="2287" spans="1:20" x14ac:dyDescent="0.3">
      <c r="A2287" s="6" t="s">
        <v>533</v>
      </c>
      <c r="B2287" s="6" t="s">
        <v>534</v>
      </c>
      <c r="C2287" s="6" t="s">
        <v>31</v>
      </c>
      <c r="D2287" s="1088" t="s">
        <v>549</v>
      </c>
      <c r="E2287" s="6" t="s">
        <v>171</v>
      </c>
      <c r="F2287" s="6" t="s">
        <v>634</v>
      </c>
      <c r="G2287" s="6" t="s">
        <v>1341</v>
      </c>
      <c r="H2287" s="6" t="s">
        <v>1756</v>
      </c>
      <c r="J2287" s="1215" t="s">
        <v>510</v>
      </c>
      <c r="K2287" s="1219" t="s">
        <v>3111</v>
      </c>
      <c r="L2287" s="8">
        <v>6</v>
      </c>
      <c r="M2287" s="8">
        <v>9</v>
      </c>
      <c r="N2287" s="1169" t="s">
        <v>271</v>
      </c>
      <c r="P2287" s="6" t="s">
        <v>3361</v>
      </c>
      <c r="Q2287" s="1215" t="s">
        <v>240</v>
      </c>
      <c r="R2287" s="1088" t="s">
        <v>242</v>
      </c>
      <c r="S2287" s="1088" t="s">
        <v>3390</v>
      </c>
      <c r="T2287" s="1088" t="s">
        <v>3339</v>
      </c>
    </row>
    <row r="2288" spans="1:20" x14ac:dyDescent="0.3">
      <c r="A2288" s="6" t="s">
        <v>533</v>
      </c>
      <c r="B2288" s="6" t="s">
        <v>534</v>
      </c>
      <c r="C2288" s="6" t="s">
        <v>31</v>
      </c>
      <c r="D2288" s="1088" t="s">
        <v>549</v>
      </c>
      <c r="E2288" s="6" t="s">
        <v>171</v>
      </c>
      <c r="F2288" s="6" t="s">
        <v>634</v>
      </c>
      <c r="G2288" s="6" t="s">
        <v>2802</v>
      </c>
      <c r="H2288" s="6" t="s">
        <v>3238</v>
      </c>
      <c r="J2288" s="1215" t="s">
        <v>510</v>
      </c>
      <c r="K2288" s="1219" t="s">
        <v>3111</v>
      </c>
      <c r="L2288" s="8">
        <v>3</v>
      </c>
      <c r="M2288" s="8">
        <v>13</v>
      </c>
      <c r="N2288" s="1169" t="s">
        <v>271</v>
      </c>
      <c r="P2288" s="6" t="s">
        <v>3361</v>
      </c>
      <c r="Q2288" s="1215" t="s">
        <v>240</v>
      </c>
      <c r="R2288" s="1088" t="s">
        <v>242</v>
      </c>
      <c r="S2288" s="1088" t="s">
        <v>3390</v>
      </c>
      <c r="T2288" s="1088" t="s">
        <v>3339</v>
      </c>
    </row>
    <row r="2289" spans="1:20" x14ac:dyDescent="0.3">
      <c r="A2289" s="6" t="s">
        <v>533</v>
      </c>
      <c r="B2289" s="6" t="s">
        <v>534</v>
      </c>
      <c r="C2289" s="6" t="s">
        <v>31</v>
      </c>
      <c r="D2289" s="1088" t="s">
        <v>549</v>
      </c>
      <c r="E2289" s="6" t="s">
        <v>171</v>
      </c>
      <c r="F2289" s="6" t="s">
        <v>634</v>
      </c>
      <c r="G2289" s="6" t="s">
        <v>2010</v>
      </c>
      <c r="H2289" s="6" t="s">
        <v>1547</v>
      </c>
      <c r="J2289" s="1215" t="s">
        <v>510</v>
      </c>
      <c r="K2289" s="1219" t="s">
        <v>3112</v>
      </c>
      <c r="L2289" s="8">
        <v>1</v>
      </c>
      <c r="M2289" s="8">
        <v>2</v>
      </c>
      <c r="N2289" s="1169" t="s">
        <v>271</v>
      </c>
      <c r="P2289" s="6" t="s">
        <v>3361</v>
      </c>
      <c r="Q2289" s="1215" t="s">
        <v>240</v>
      </c>
      <c r="R2289" s="1088" t="s">
        <v>242</v>
      </c>
      <c r="S2289" s="1088" t="s">
        <v>3390</v>
      </c>
      <c r="T2289" s="1088" t="s">
        <v>3339</v>
      </c>
    </row>
    <row r="2290" spans="1:20" x14ac:dyDescent="0.3">
      <c r="A2290" s="6" t="s">
        <v>533</v>
      </c>
      <c r="B2290" s="6" t="s">
        <v>534</v>
      </c>
      <c r="C2290" s="6" t="s">
        <v>31</v>
      </c>
      <c r="D2290" s="1088" t="s">
        <v>549</v>
      </c>
      <c r="E2290" s="6" t="s">
        <v>171</v>
      </c>
      <c r="F2290" s="6" t="s">
        <v>634</v>
      </c>
      <c r="G2290" s="6" t="s">
        <v>1064</v>
      </c>
      <c r="H2290" s="6" t="s">
        <v>3239</v>
      </c>
      <c r="J2290" s="1215" t="s">
        <v>510</v>
      </c>
      <c r="K2290" s="1219" t="s">
        <v>3111</v>
      </c>
      <c r="L2290" s="8">
        <v>23</v>
      </c>
      <c r="M2290" s="8">
        <v>137</v>
      </c>
      <c r="N2290" s="1169" t="s">
        <v>271</v>
      </c>
      <c r="P2290" s="6" t="s">
        <v>3361</v>
      </c>
      <c r="Q2290" s="1215" t="s">
        <v>240</v>
      </c>
      <c r="R2290" s="1088" t="s">
        <v>242</v>
      </c>
      <c r="S2290" s="1088" t="s">
        <v>3390</v>
      </c>
      <c r="T2290" s="1088" t="s">
        <v>3339</v>
      </c>
    </row>
    <row r="2291" spans="1:20" x14ac:dyDescent="0.3">
      <c r="A2291" s="6" t="s">
        <v>533</v>
      </c>
      <c r="B2291" s="6" t="s">
        <v>534</v>
      </c>
      <c r="C2291" s="6" t="s">
        <v>31</v>
      </c>
      <c r="D2291" s="1088" t="s">
        <v>549</v>
      </c>
      <c r="E2291" s="1088" t="s">
        <v>171</v>
      </c>
      <c r="F2291" s="6" t="s">
        <v>634</v>
      </c>
      <c r="G2291" s="6" t="s">
        <v>1924</v>
      </c>
      <c r="H2291" s="6" t="s">
        <v>3305</v>
      </c>
      <c r="J2291" s="1215" t="s">
        <v>510</v>
      </c>
      <c r="K2291" s="1219" t="s">
        <v>3033</v>
      </c>
      <c r="L2291" s="8">
        <v>21</v>
      </c>
      <c r="M2291" s="8">
        <v>95</v>
      </c>
      <c r="N2291" s="1169" t="s">
        <v>271</v>
      </c>
      <c r="P2291" s="6" t="s">
        <v>3361</v>
      </c>
      <c r="Q2291" s="1215" t="s">
        <v>240</v>
      </c>
      <c r="R2291" s="1088" t="s">
        <v>242</v>
      </c>
      <c r="S2291" s="1088" t="s">
        <v>3390</v>
      </c>
      <c r="T2291" s="1088" t="s">
        <v>3339</v>
      </c>
    </row>
    <row r="2292" spans="1:20" x14ac:dyDescent="0.3">
      <c r="A2292" s="6" t="s">
        <v>533</v>
      </c>
      <c r="B2292" s="6" t="s">
        <v>534</v>
      </c>
      <c r="C2292" s="6" t="s">
        <v>31</v>
      </c>
      <c r="D2292" s="1088" t="s">
        <v>549</v>
      </c>
      <c r="E2292" s="1088" t="s">
        <v>171</v>
      </c>
      <c r="F2292" s="6" t="s">
        <v>634</v>
      </c>
      <c r="G2292" s="6" t="s">
        <v>1924</v>
      </c>
      <c r="H2292" s="6" t="s">
        <v>3305</v>
      </c>
      <c r="J2292" s="1215" t="s">
        <v>510</v>
      </c>
      <c r="K2292" s="1219" t="s">
        <v>3109</v>
      </c>
      <c r="L2292" s="8">
        <v>44</v>
      </c>
      <c r="M2292" s="8">
        <v>292</v>
      </c>
      <c r="N2292" s="1169" t="s">
        <v>271</v>
      </c>
      <c r="P2292" s="6" t="s">
        <v>3361</v>
      </c>
      <c r="Q2292" s="1215" t="s">
        <v>240</v>
      </c>
      <c r="R2292" s="1088" t="s">
        <v>242</v>
      </c>
      <c r="S2292" s="1088" t="s">
        <v>3390</v>
      </c>
      <c r="T2292" s="1088" t="s">
        <v>3339</v>
      </c>
    </row>
    <row r="2293" spans="1:20" x14ac:dyDescent="0.3">
      <c r="A2293" s="6" t="s">
        <v>533</v>
      </c>
      <c r="B2293" s="6" t="s">
        <v>534</v>
      </c>
      <c r="C2293" s="6" t="s">
        <v>31</v>
      </c>
      <c r="D2293" s="1088" t="s">
        <v>549</v>
      </c>
      <c r="E2293" s="6" t="s">
        <v>171</v>
      </c>
      <c r="F2293" s="6" t="s">
        <v>634</v>
      </c>
      <c r="G2293" s="6" t="s">
        <v>1924</v>
      </c>
      <c r="H2293" s="6" t="s">
        <v>3305</v>
      </c>
      <c r="J2293" s="1215" t="s">
        <v>510</v>
      </c>
      <c r="K2293" s="1219" t="s">
        <v>3110</v>
      </c>
      <c r="L2293" s="8">
        <v>0</v>
      </c>
      <c r="M2293" s="8">
        <v>15</v>
      </c>
      <c r="N2293" s="1169" t="s">
        <v>271</v>
      </c>
      <c r="P2293" s="6" t="s">
        <v>3361</v>
      </c>
      <c r="Q2293" s="1215" t="s">
        <v>240</v>
      </c>
      <c r="R2293" s="1088" t="s">
        <v>242</v>
      </c>
      <c r="S2293" s="1088" t="s">
        <v>3390</v>
      </c>
      <c r="T2293" s="1088" t="s">
        <v>3339</v>
      </c>
    </row>
    <row r="2294" spans="1:20" x14ac:dyDescent="0.3">
      <c r="A2294" s="6" t="s">
        <v>533</v>
      </c>
      <c r="B2294" s="6" t="s">
        <v>534</v>
      </c>
      <c r="C2294" s="6" t="s">
        <v>31</v>
      </c>
      <c r="D2294" s="1088" t="s">
        <v>549</v>
      </c>
      <c r="E2294" s="6" t="s">
        <v>171</v>
      </c>
      <c r="F2294" s="6" t="s">
        <v>634</v>
      </c>
      <c r="G2294" s="6" t="s">
        <v>1924</v>
      </c>
      <c r="H2294" s="6" t="s">
        <v>3305</v>
      </c>
      <c r="J2294" s="1215" t="s">
        <v>510</v>
      </c>
      <c r="K2294" s="1219" t="s">
        <v>3111</v>
      </c>
      <c r="L2294" s="8">
        <v>0</v>
      </c>
      <c r="M2294" s="8">
        <v>9</v>
      </c>
      <c r="N2294" s="1169" t="s">
        <v>271</v>
      </c>
      <c r="P2294" s="6" t="s">
        <v>3361</v>
      </c>
      <c r="Q2294" s="1215" t="s">
        <v>240</v>
      </c>
      <c r="R2294" s="1088" t="s">
        <v>242</v>
      </c>
      <c r="S2294" s="1088" t="s">
        <v>3390</v>
      </c>
      <c r="T2294" s="1088" t="s">
        <v>3339</v>
      </c>
    </row>
    <row r="2295" spans="1:20" x14ac:dyDescent="0.3">
      <c r="A2295" s="6" t="s">
        <v>533</v>
      </c>
      <c r="B2295" s="6" t="s">
        <v>534</v>
      </c>
      <c r="C2295" s="6" t="s">
        <v>31</v>
      </c>
      <c r="D2295" s="1088" t="s">
        <v>549</v>
      </c>
      <c r="E2295" s="1088" t="s">
        <v>171</v>
      </c>
      <c r="F2295" s="6" t="s">
        <v>634</v>
      </c>
      <c r="G2295" s="6" t="s">
        <v>1924</v>
      </c>
      <c r="H2295" s="6" t="s">
        <v>3305</v>
      </c>
      <c r="J2295" s="1215" t="s">
        <v>510</v>
      </c>
      <c r="K2295" s="1219" t="s">
        <v>3112</v>
      </c>
      <c r="L2295" s="8">
        <v>0</v>
      </c>
      <c r="M2295" s="8">
        <v>4</v>
      </c>
      <c r="N2295" s="1169" t="s">
        <v>271</v>
      </c>
      <c r="P2295" s="6" t="s">
        <v>3361</v>
      </c>
      <c r="Q2295" s="1215" t="s">
        <v>240</v>
      </c>
      <c r="R2295" s="1088" t="s">
        <v>242</v>
      </c>
      <c r="S2295" s="1088" t="s">
        <v>3390</v>
      </c>
      <c r="T2295" s="1088" t="s">
        <v>3339</v>
      </c>
    </row>
    <row r="2296" spans="1:20" x14ac:dyDescent="0.3">
      <c r="A2296" s="6" t="s">
        <v>533</v>
      </c>
      <c r="B2296" s="6" t="s">
        <v>534</v>
      </c>
      <c r="C2296" s="6" t="s">
        <v>34</v>
      </c>
      <c r="D2296" s="1088" t="s">
        <v>539</v>
      </c>
      <c r="E2296" s="6" t="s">
        <v>188</v>
      </c>
      <c r="F2296" s="6" t="s">
        <v>546</v>
      </c>
      <c r="G2296" s="6" t="s">
        <v>3014</v>
      </c>
      <c r="H2296" s="6" t="s">
        <v>1186</v>
      </c>
      <c r="J2296" s="1215" t="s">
        <v>510</v>
      </c>
      <c r="K2296" s="1219" t="s">
        <v>3111</v>
      </c>
      <c r="L2296" s="8">
        <v>4</v>
      </c>
      <c r="M2296" s="8">
        <v>20</v>
      </c>
      <c r="N2296" s="1169" t="s">
        <v>271</v>
      </c>
      <c r="P2296" s="6" t="s">
        <v>3361</v>
      </c>
      <c r="Q2296" s="1215" t="s">
        <v>240</v>
      </c>
      <c r="R2296" s="1088" t="s">
        <v>242</v>
      </c>
      <c r="S2296" s="1088" t="s">
        <v>3401</v>
      </c>
      <c r="T2296" s="1088" t="s">
        <v>3346</v>
      </c>
    </row>
    <row r="2297" spans="1:20" x14ac:dyDescent="0.3">
      <c r="A2297" s="6" t="s">
        <v>533</v>
      </c>
      <c r="B2297" s="6" t="s">
        <v>534</v>
      </c>
      <c r="C2297" s="6" t="s">
        <v>34</v>
      </c>
      <c r="D2297" s="1088" t="s">
        <v>539</v>
      </c>
      <c r="E2297" s="6" t="s">
        <v>188</v>
      </c>
      <c r="F2297" s="6" t="s">
        <v>546</v>
      </c>
      <c r="G2297" s="6" t="s">
        <v>3014</v>
      </c>
      <c r="H2297" s="6" t="s">
        <v>1186</v>
      </c>
      <c r="J2297" s="1215" t="s">
        <v>510</v>
      </c>
      <c r="K2297" s="1219" t="s">
        <v>3112</v>
      </c>
      <c r="L2297" s="8">
        <v>6</v>
      </c>
      <c r="M2297" s="8">
        <v>27</v>
      </c>
      <c r="N2297" s="1169" t="s">
        <v>271</v>
      </c>
      <c r="P2297" s="6" t="s">
        <v>3361</v>
      </c>
      <c r="Q2297" s="1215" t="s">
        <v>240</v>
      </c>
      <c r="R2297" s="1088" t="s">
        <v>242</v>
      </c>
      <c r="S2297" s="1088" t="s">
        <v>3401</v>
      </c>
      <c r="T2297" s="1088" t="s">
        <v>3346</v>
      </c>
    </row>
    <row r="2298" spans="1:20" x14ac:dyDescent="0.3">
      <c r="A2298" s="6" t="s">
        <v>533</v>
      </c>
      <c r="B2298" s="6" t="s">
        <v>534</v>
      </c>
      <c r="C2298" s="6" t="s">
        <v>31</v>
      </c>
      <c r="D2298" s="1088" t="s">
        <v>549</v>
      </c>
      <c r="E2298" s="6" t="s">
        <v>169</v>
      </c>
      <c r="F2298" s="6" t="s">
        <v>673</v>
      </c>
      <c r="G2298" s="6" t="s">
        <v>3094</v>
      </c>
      <c r="H2298" s="6" t="s">
        <v>1009</v>
      </c>
      <c r="J2298" s="1215" t="s">
        <v>510</v>
      </c>
      <c r="K2298" s="1219" t="s">
        <v>3112</v>
      </c>
      <c r="L2298" s="8">
        <v>1</v>
      </c>
      <c r="M2298" s="8">
        <v>7</v>
      </c>
      <c r="N2298" s="1169" t="s">
        <v>272</v>
      </c>
      <c r="P2298" s="6" t="s">
        <v>3361</v>
      </c>
      <c r="Q2298" s="1215" t="s">
        <v>241</v>
      </c>
      <c r="R2298" s="1088" t="s">
        <v>243</v>
      </c>
      <c r="S2298" s="1088" t="s">
        <v>3399</v>
      </c>
      <c r="T2298" s="1088" t="s">
        <v>3343</v>
      </c>
    </row>
    <row r="2299" spans="1:20" x14ac:dyDescent="0.3">
      <c r="A2299" s="6" t="s">
        <v>533</v>
      </c>
      <c r="B2299" s="6" t="s">
        <v>534</v>
      </c>
      <c r="C2299" s="6" t="s">
        <v>31</v>
      </c>
      <c r="D2299" s="1088" t="s">
        <v>549</v>
      </c>
      <c r="E2299" s="6" t="s">
        <v>171</v>
      </c>
      <c r="F2299" s="6" t="s">
        <v>634</v>
      </c>
      <c r="G2299" s="6" t="s">
        <v>1396</v>
      </c>
      <c r="H2299" s="6" t="s">
        <v>1940</v>
      </c>
      <c r="J2299" s="1215" t="s">
        <v>510</v>
      </c>
      <c r="K2299" s="1219" t="s">
        <v>3111</v>
      </c>
      <c r="L2299" s="8">
        <v>17</v>
      </c>
      <c r="M2299" s="8">
        <v>87</v>
      </c>
      <c r="N2299" s="1169" t="s">
        <v>271</v>
      </c>
      <c r="P2299" s="6" t="s">
        <v>3361</v>
      </c>
      <c r="Q2299" s="1215" t="s">
        <v>240</v>
      </c>
      <c r="R2299" s="1088" t="s">
        <v>242</v>
      </c>
      <c r="S2299" s="1088" t="s">
        <v>3390</v>
      </c>
      <c r="T2299" s="1088" t="s">
        <v>3339</v>
      </c>
    </row>
    <row r="2300" spans="1:20" x14ac:dyDescent="0.3">
      <c r="A2300" s="6" t="s">
        <v>533</v>
      </c>
      <c r="B2300" s="6" t="s">
        <v>534</v>
      </c>
      <c r="C2300" s="6" t="s">
        <v>31</v>
      </c>
      <c r="D2300" s="1088" t="s">
        <v>549</v>
      </c>
      <c r="E2300" s="6" t="s">
        <v>171</v>
      </c>
      <c r="F2300" s="6" t="s">
        <v>634</v>
      </c>
      <c r="G2300" s="6" t="s">
        <v>2594</v>
      </c>
      <c r="H2300" s="6" t="s">
        <v>1832</v>
      </c>
      <c r="J2300" s="1215" t="s">
        <v>510</v>
      </c>
      <c r="K2300" s="1219" t="s">
        <v>3111</v>
      </c>
      <c r="L2300" s="8">
        <v>12</v>
      </c>
      <c r="M2300" s="8">
        <v>59</v>
      </c>
      <c r="N2300" s="1169" t="s">
        <v>271</v>
      </c>
      <c r="P2300" s="6" t="s">
        <v>3361</v>
      </c>
      <c r="Q2300" s="1215" t="s">
        <v>240</v>
      </c>
      <c r="R2300" s="1088" t="s">
        <v>242</v>
      </c>
      <c r="S2300" s="1088" t="s">
        <v>3390</v>
      </c>
      <c r="T2300" s="1088" t="s">
        <v>3339</v>
      </c>
    </row>
    <row r="2301" spans="1:20" x14ac:dyDescent="0.3">
      <c r="A2301" s="6" t="s">
        <v>533</v>
      </c>
      <c r="B2301" s="6" t="s">
        <v>534</v>
      </c>
      <c r="C2301" s="6" t="s">
        <v>31</v>
      </c>
      <c r="D2301" s="1088" t="s">
        <v>549</v>
      </c>
      <c r="E2301" s="6" t="s">
        <v>170</v>
      </c>
      <c r="F2301" s="6" t="s">
        <v>866</v>
      </c>
      <c r="G2301" s="6" t="s">
        <v>2097</v>
      </c>
      <c r="H2301" s="6" t="s">
        <v>1557</v>
      </c>
      <c r="J2301" s="1215" t="s">
        <v>510</v>
      </c>
      <c r="K2301" s="1219" t="s">
        <v>3112</v>
      </c>
      <c r="L2301" s="8">
        <v>87</v>
      </c>
      <c r="M2301" s="8">
        <v>420</v>
      </c>
      <c r="N2301" s="1169" t="s">
        <v>272</v>
      </c>
      <c r="P2301" s="6" t="s">
        <v>3361</v>
      </c>
      <c r="Q2301" s="1215" t="s">
        <v>241</v>
      </c>
      <c r="R2301" s="1088" t="s">
        <v>243</v>
      </c>
      <c r="S2301" s="1088" t="s">
        <v>3399</v>
      </c>
      <c r="T2301" s="1088" t="s">
        <v>3343</v>
      </c>
    </row>
    <row r="2302" spans="1:20" x14ac:dyDescent="0.3">
      <c r="A2302" s="6" t="s">
        <v>533</v>
      </c>
      <c r="B2302" s="6" t="s">
        <v>534</v>
      </c>
      <c r="C2302" s="6" t="s">
        <v>31</v>
      </c>
      <c r="D2302" s="1088" t="s">
        <v>549</v>
      </c>
      <c r="E2302" s="6" t="s">
        <v>170</v>
      </c>
      <c r="F2302" s="6" t="s">
        <v>866</v>
      </c>
      <c r="G2302" s="6" t="s">
        <v>2007</v>
      </c>
      <c r="H2302" s="6" t="s">
        <v>880</v>
      </c>
      <c r="J2302" s="1215" t="s">
        <v>510</v>
      </c>
      <c r="K2302" s="1219" t="s">
        <v>3112</v>
      </c>
      <c r="L2302" s="8">
        <v>44</v>
      </c>
      <c r="M2302" s="8">
        <v>150</v>
      </c>
      <c r="N2302" s="1169" t="s">
        <v>272</v>
      </c>
      <c r="P2302" s="6" t="s">
        <v>3361</v>
      </c>
      <c r="Q2302" s="1215" t="s">
        <v>241</v>
      </c>
      <c r="R2302" s="1088" t="s">
        <v>243</v>
      </c>
      <c r="S2302" s="1088" t="s">
        <v>3399</v>
      </c>
      <c r="T2302" s="1088" t="s">
        <v>3343</v>
      </c>
    </row>
    <row r="2303" spans="1:20" x14ac:dyDescent="0.3">
      <c r="A2303" s="6" t="s">
        <v>533</v>
      </c>
      <c r="B2303" s="6" t="s">
        <v>534</v>
      </c>
      <c r="C2303" s="6" t="s">
        <v>34</v>
      </c>
      <c r="D2303" s="1088" t="s">
        <v>539</v>
      </c>
      <c r="E2303" s="1088" t="s">
        <v>188</v>
      </c>
      <c r="F2303" s="6" t="s">
        <v>546</v>
      </c>
      <c r="G2303" s="6" t="s">
        <v>2857</v>
      </c>
      <c r="H2303" s="6" t="s">
        <v>1530</v>
      </c>
      <c r="J2303" s="1215" t="s">
        <v>510</v>
      </c>
      <c r="K2303" s="1219" t="s">
        <v>3111</v>
      </c>
      <c r="L2303" s="8">
        <v>6</v>
      </c>
      <c r="M2303" s="8">
        <v>62</v>
      </c>
      <c r="N2303" s="1169" t="s">
        <v>271</v>
      </c>
      <c r="P2303" s="6" t="s">
        <v>3361</v>
      </c>
      <c r="Q2303" s="1215" t="s">
        <v>240</v>
      </c>
      <c r="R2303" s="1088" t="s">
        <v>242</v>
      </c>
      <c r="S2303" s="1088" t="s">
        <v>3401</v>
      </c>
      <c r="T2303" s="1088" t="s">
        <v>3346</v>
      </c>
    </row>
    <row r="2304" spans="1:20" x14ac:dyDescent="0.3">
      <c r="A2304" s="6" t="s">
        <v>533</v>
      </c>
      <c r="B2304" s="6" t="s">
        <v>534</v>
      </c>
      <c r="C2304" s="6" t="s">
        <v>33</v>
      </c>
      <c r="D2304" s="1088" t="s">
        <v>561</v>
      </c>
      <c r="E2304" s="6" t="s">
        <v>182</v>
      </c>
      <c r="F2304" s="6" t="s">
        <v>647</v>
      </c>
      <c r="G2304" s="6" t="s">
        <v>2290</v>
      </c>
      <c r="H2304" s="6" t="s">
        <v>2291</v>
      </c>
      <c r="J2304" s="1215" t="s">
        <v>510</v>
      </c>
      <c r="K2304" s="1219" t="s">
        <v>3033</v>
      </c>
      <c r="L2304" s="8">
        <v>2</v>
      </c>
      <c r="M2304" s="8">
        <v>30</v>
      </c>
      <c r="N2304" s="1169" t="s">
        <v>275</v>
      </c>
      <c r="O2304" s="6" t="s">
        <v>3360</v>
      </c>
      <c r="P2304" s="6" t="s">
        <v>3361</v>
      </c>
      <c r="Q2304" s="1215" t="s">
        <v>254</v>
      </c>
      <c r="R2304" s="1088" t="s">
        <v>3338</v>
      </c>
      <c r="S2304" s="1215" t="s">
        <v>3388</v>
      </c>
      <c r="T2304" s="1088" t="s">
        <v>3353</v>
      </c>
    </row>
    <row r="2305" spans="1:20" x14ac:dyDescent="0.3">
      <c r="A2305" s="6" t="s">
        <v>533</v>
      </c>
      <c r="B2305" s="6" t="s">
        <v>534</v>
      </c>
      <c r="C2305" s="6" t="s">
        <v>34</v>
      </c>
      <c r="D2305" s="1088" t="s">
        <v>539</v>
      </c>
      <c r="E2305" s="6" t="s">
        <v>188</v>
      </c>
      <c r="F2305" s="6" t="s">
        <v>546</v>
      </c>
      <c r="G2305" s="6" t="s">
        <v>1681</v>
      </c>
      <c r="H2305" s="6" t="s">
        <v>1792</v>
      </c>
      <c r="J2305" s="1215" t="s">
        <v>510</v>
      </c>
      <c r="K2305" s="1219" t="s">
        <v>3033</v>
      </c>
      <c r="L2305" s="8">
        <v>606</v>
      </c>
      <c r="M2305" s="8">
        <v>3082</v>
      </c>
      <c r="N2305" s="1169" t="s">
        <v>271</v>
      </c>
      <c r="P2305" s="6" t="s">
        <v>3361</v>
      </c>
      <c r="Q2305" s="1215" t="s">
        <v>240</v>
      </c>
      <c r="R2305" s="1088" t="s">
        <v>242</v>
      </c>
      <c r="S2305" s="1088" t="s">
        <v>3390</v>
      </c>
      <c r="T2305" s="1088" t="s">
        <v>3339</v>
      </c>
    </row>
    <row r="2306" spans="1:20" x14ac:dyDescent="0.3">
      <c r="A2306" s="6" t="s">
        <v>533</v>
      </c>
      <c r="B2306" s="6" t="s">
        <v>534</v>
      </c>
      <c r="C2306" s="6" t="s">
        <v>34</v>
      </c>
      <c r="D2306" s="1088" t="s">
        <v>539</v>
      </c>
      <c r="E2306" s="6" t="s">
        <v>188</v>
      </c>
      <c r="F2306" s="6" t="s">
        <v>546</v>
      </c>
      <c r="G2306" s="6" t="s">
        <v>1681</v>
      </c>
      <c r="H2306" s="6" t="s">
        <v>1792</v>
      </c>
      <c r="J2306" s="1215" t="s">
        <v>510</v>
      </c>
      <c r="K2306" s="1219" t="s">
        <v>3110</v>
      </c>
      <c r="L2306" s="8">
        <v>0</v>
      </c>
      <c r="M2306" s="8">
        <v>4</v>
      </c>
      <c r="N2306" s="1169" t="s">
        <v>271</v>
      </c>
      <c r="P2306" s="6" t="s">
        <v>3361</v>
      </c>
      <c r="Q2306" s="1215" t="s">
        <v>240</v>
      </c>
      <c r="R2306" s="1088" t="s">
        <v>242</v>
      </c>
      <c r="S2306" s="1088" t="s">
        <v>3390</v>
      </c>
      <c r="T2306" s="1088" t="s">
        <v>3339</v>
      </c>
    </row>
    <row r="2307" spans="1:20" x14ac:dyDescent="0.3">
      <c r="A2307" s="6" t="s">
        <v>533</v>
      </c>
      <c r="B2307" s="6" t="s">
        <v>534</v>
      </c>
      <c r="C2307" s="6" t="s">
        <v>34</v>
      </c>
      <c r="D2307" s="1088" t="s">
        <v>539</v>
      </c>
      <c r="E2307" s="6" t="s">
        <v>188</v>
      </c>
      <c r="F2307" s="6" t="s">
        <v>546</v>
      </c>
      <c r="G2307" s="6" t="s">
        <v>1681</v>
      </c>
      <c r="H2307" s="6" t="s">
        <v>1792</v>
      </c>
      <c r="J2307" s="1215" t="s">
        <v>510</v>
      </c>
      <c r="K2307" s="1219" t="s">
        <v>3112</v>
      </c>
      <c r="L2307" s="8">
        <v>2</v>
      </c>
      <c r="M2307" s="8">
        <v>10</v>
      </c>
      <c r="N2307" s="1169" t="s">
        <v>271</v>
      </c>
      <c r="P2307" s="6" t="s">
        <v>3361</v>
      </c>
      <c r="Q2307" s="1215" t="s">
        <v>240</v>
      </c>
      <c r="R2307" s="1088" t="s">
        <v>242</v>
      </c>
      <c r="S2307" s="1088" t="s">
        <v>3390</v>
      </c>
      <c r="T2307" s="1088" t="s">
        <v>3339</v>
      </c>
    </row>
    <row r="2308" spans="1:20" x14ac:dyDescent="0.3">
      <c r="A2308" s="6" t="s">
        <v>533</v>
      </c>
      <c r="B2308" s="6" t="s">
        <v>534</v>
      </c>
      <c r="C2308" s="6" t="s">
        <v>31</v>
      </c>
      <c r="D2308" s="1088" t="s">
        <v>549</v>
      </c>
      <c r="E2308" s="1088" t="s">
        <v>2797</v>
      </c>
      <c r="F2308" s="6" t="s">
        <v>767</v>
      </c>
      <c r="G2308" s="6" t="s">
        <v>1484</v>
      </c>
      <c r="H2308" s="6" t="s">
        <v>785</v>
      </c>
      <c r="J2308" s="1215" t="s">
        <v>510</v>
      </c>
      <c r="K2308" s="1219" t="s">
        <v>3111</v>
      </c>
      <c r="L2308" s="8">
        <v>3</v>
      </c>
      <c r="M2308" s="8">
        <v>11</v>
      </c>
      <c r="N2308" s="1169" t="s">
        <v>271</v>
      </c>
      <c r="P2308" s="6" t="s">
        <v>3361</v>
      </c>
      <c r="Q2308" s="1215" t="s">
        <v>240</v>
      </c>
      <c r="R2308" s="1088" t="s">
        <v>242</v>
      </c>
      <c r="S2308" s="1088" t="s">
        <v>3390</v>
      </c>
      <c r="T2308" s="1088" t="s">
        <v>3339</v>
      </c>
    </row>
    <row r="2309" spans="1:20" x14ac:dyDescent="0.3">
      <c r="A2309" s="6" t="s">
        <v>533</v>
      </c>
      <c r="B2309" s="6" t="s">
        <v>534</v>
      </c>
      <c r="C2309" s="6" t="s">
        <v>31</v>
      </c>
      <c r="D2309" s="1088" t="s">
        <v>549</v>
      </c>
      <c r="E2309" s="6" t="s">
        <v>2797</v>
      </c>
      <c r="F2309" s="6" t="s">
        <v>767</v>
      </c>
      <c r="G2309" s="6" t="s">
        <v>2880</v>
      </c>
      <c r="H2309" s="6" t="s">
        <v>1449</v>
      </c>
      <c r="J2309" s="1215" t="s">
        <v>510</v>
      </c>
      <c r="K2309" s="1219" t="s">
        <v>3033</v>
      </c>
      <c r="L2309" s="8">
        <v>7</v>
      </c>
      <c r="M2309" s="8">
        <v>53</v>
      </c>
      <c r="N2309" s="1169" t="s">
        <v>271</v>
      </c>
      <c r="P2309" s="6" t="s">
        <v>3361</v>
      </c>
      <c r="Q2309" s="1215" t="s">
        <v>240</v>
      </c>
      <c r="R2309" s="1088" t="s">
        <v>242</v>
      </c>
      <c r="S2309" s="1088" t="s">
        <v>3390</v>
      </c>
      <c r="T2309" s="1088" t="s">
        <v>3339</v>
      </c>
    </row>
    <row r="2310" spans="1:20" x14ac:dyDescent="0.3">
      <c r="A2310" s="6" t="s">
        <v>533</v>
      </c>
      <c r="B2310" s="6" t="s">
        <v>534</v>
      </c>
      <c r="C2310" s="6" t="s">
        <v>31</v>
      </c>
      <c r="D2310" s="1088" t="s">
        <v>549</v>
      </c>
      <c r="E2310" s="6" t="s">
        <v>2797</v>
      </c>
      <c r="F2310" s="6" t="s">
        <v>767</v>
      </c>
      <c r="G2310" s="6" t="s">
        <v>2880</v>
      </c>
      <c r="H2310" s="6" t="s">
        <v>1449</v>
      </c>
      <c r="J2310" s="1215" t="s">
        <v>510</v>
      </c>
      <c r="K2310" s="1219" t="s">
        <v>3109</v>
      </c>
      <c r="L2310" s="8">
        <v>18</v>
      </c>
      <c r="M2310" s="8">
        <v>126</v>
      </c>
      <c r="N2310" s="1169" t="s">
        <v>271</v>
      </c>
      <c r="P2310" s="6" t="s">
        <v>3361</v>
      </c>
      <c r="Q2310" s="1215" t="s">
        <v>240</v>
      </c>
      <c r="R2310" s="1088" t="s">
        <v>242</v>
      </c>
      <c r="S2310" s="1088" t="s">
        <v>3390</v>
      </c>
      <c r="T2310" s="1088" t="s">
        <v>3339</v>
      </c>
    </row>
    <row r="2311" spans="1:20" x14ac:dyDescent="0.3">
      <c r="A2311" s="6" t="s">
        <v>533</v>
      </c>
      <c r="B2311" s="6" t="s">
        <v>534</v>
      </c>
      <c r="C2311" s="6" t="s">
        <v>31</v>
      </c>
      <c r="D2311" s="1088" t="s">
        <v>549</v>
      </c>
      <c r="E2311" s="6" t="s">
        <v>2797</v>
      </c>
      <c r="F2311" s="6" t="s">
        <v>767</v>
      </c>
      <c r="G2311" s="6" t="s">
        <v>2880</v>
      </c>
      <c r="H2311" s="6" t="s">
        <v>1449</v>
      </c>
      <c r="J2311" s="1215" t="s">
        <v>510</v>
      </c>
      <c r="K2311" s="1219" t="s">
        <v>3111</v>
      </c>
      <c r="L2311" s="8">
        <v>16</v>
      </c>
      <c r="M2311" s="8">
        <v>163</v>
      </c>
      <c r="N2311" s="1169" t="s">
        <v>271</v>
      </c>
      <c r="P2311" s="6" t="s">
        <v>3361</v>
      </c>
      <c r="Q2311" s="1215" t="s">
        <v>240</v>
      </c>
      <c r="R2311" s="1088" t="s">
        <v>242</v>
      </c>
      <c r="S2311" s="1088" t="s">
        <v>3390</v>
      </c>
      <c r="T2311" s="1088" t="s">
        <v>3339</v>
      </c>
    </row>
    <row r="2312" spans="1:20" x14ac:dyDescent="0.3">
      <c r="A2312" s="6" t="s">
        <v>533</v>
      </c>
      <c r="B2312" s="6" t="s">
        <v>534</v>
      </c>
      <c r="C2312" s="6" t="s">
        <v>31</v>
      </c>
      <c r="D2312" s="1088" t="s">
        <v>549</v>
      </c>
      <c r="E2312" s="6" t="s">
        <v>171</v>
      </c>
      <c r="F2312" s="6" t="s">
        <v>634</v>
      </c>
      <c r="G2312" s="6" t="s">
        <v>2986</v>
      </c>
      <c r="H2312" s="6" t="s">
        <v>2224</v>
      </c>
      <c r="J2312" s="1215" t="s">
        <v>510</v>
      </c>
      <c r="K2312" s="1219" t="s">
        <v>3033</v>
      </c>
      <c r="L2312" s="8">
        <v>7</v>
      </c>
      <c r="M2312" s="8">
        <v>30</v>
      </c>
      <c r="N2312" s="1169" t="s">
        <v>271</v>
      </c>
      <c r="P2312" s="6" t="s">
        <v>3361</v>
      </c>
      <c r="Q2312" s="1215" t="s">
        <v>240</v>
      </c>
      <c r="R2312" s="1088" t="s">
        <v>242</v>
      </c>
      <c r="S2312" s="1088" t="s">
        <v>3390</v>
      </c>
      <c r="T2312" s="1088" t="s">
        <v>3339</v>
      </c>
    </row>
    <row r="2313" spans="1:20" x14ac:dyDescent="0.3">
      <c r="A2313" s="6" t="s">
        <v>533</v>
      </c>
      <c r="B2313" s="6" t="s">
        <v>534</v>
      </c>
      <c r="C2313" s="6" t="s">
        <v>31</v>
      </c>
      <c r="D2313" s="1088" t="s">
        <v>549</v>
      </c>
      <c r="E2313" s="6" t="s">
        <v>166</v>
      </c>
      <c r="F2313" s="6" t="s">
        <v>844</v>
      </c>
      <c r="G2313" s="6" t="s">
        <v>1224</v>
      </c>
      <c r="H2313" s="6" t="s">
        <v>1225</v>
      </c>
      <c r="J2313" s="1215" t="s">
        <v>510</v>
      </c>
      <c r="K2313" s="1219" t="s">
        <v>3033</v>
      </c>
      <c r="L2313" s="8">
        <v>24</v>
      </c>
      <c r="M2313" s="8">
        <v>160</v>
      </c>
      <c r="N2313" s="1169" t="s">
        <v>271</v>
      </c>
      <c r="P2313" s="6" t="s">
        <v>3361</v>
      </c>
      <c r="Q2313" s="1215" t="s">
        <v>240</v>
      </c>
      <c r="R2313" s="1088" t="s">
        <v>242</v>
      </c>
      <c r="S2313" s="1088" t="s">
        <v>3390</v>
      </c>
      <c r="T2313" s="1088" t="s">
        <v>3339</v>
      </c>
    </row>
    <row r="2314" spans="1:20" x14ac:dyDescent="0.3">
      <c r="A2314" s="6" t="s">
        <v>533</v>
      </c>
      <c r="B2314" s="6" t="s">
        <v>534</v>
      </c>
      <c r="C2314" s="6" t="s">
        <v>31</v>
      </c>
      <c r="D2314" s="1088" t="s">
        <v>549</v>
      </c>
      <c r="E2314" s="1169" t="s">
        <v>169</v>
      </c>
      <c r="F2314" s="6" t="s">
        <v>673</v>
      </c>
      <c r="G2314" s="6" t="s">
        <v>1520</v>
      </c>
      <c r="H2314" s="6" t="s">
        <v>1128</v>
      </c>
      <c r="J2314" s="1215" t="s">
        <v>510</v>
      </c>
      <c r="K2314" s="1219" t="s">
        <v>3033</v>
      </c>
      <c r="L2314" s="8">
        <v>20</v>
      </c>
      <c r="M2314" s="8">
        <v>130</v>
      </c>
      <c r="N2314" s="1169" t="s">
        <v>271</v>
      </c>
      <c r="P2314" s="6" t="s">
        <v>3361</v>
      </c>
      <c r="Q2314" s="1215" t="s">
        <v>240</v>
      </c>
      <c r="R2314" s="1088" t="s">
        <v>242</v>
      </c>
      <c r="S2314" s="1088" t="s">
        <v>3390</v>
      </c>
      <c r="T2314" s="1088" t="s">
        <v>3339</v>
      </c>
    </row>
    <row r="2315" spans="1:20" x14ac:dyDescent="0.3">
      <c r="A2315" s="6" t="s">
        <v>533</v>
      </c>
      <c r="B2315" s="6" t="s">
        <v>534</v>
      </c>
      <c r="C2315" s="6" t="s">
        <v>31</v>
      </c>
      <c r="D2315" s="1088" t="s">
        <v>549</v>
      </c>
      <c r="E2315" s="1169" t="s">
        <v>169</v>
      </c>
      <c r="F2315" s="6" t="s">
        <v>673</v>
      </c>
      <c r="G2315" s="6" t="s">
        <v>1733</v>
      </c>
      <c r="H2315" s="6" t="s">
        <v>1082</v>
      </c>
      <c r="J2315" s="1215" t="s">
        <v>510</v>
      </c>
      <c r="K2315" s="1219" t="s">
        <v>3033</v>
      </c>
      <c r="L2315" s="8">
        <v>104</v>
      </c>
      <c r="M2315" s="8">
        <v>525</v>
      </c>
      <c r="N2315" s="1169" t="s">
        <v>271</v>
      </c>
      <c r="P2315" s="6" t="s">
        <v>3361</v>
      </c>
      <c r="Q2315" s="1215" t="s">
        <v>240</v>
      </c>
      <c r="R2315" s="1088" t="s">
        <v>242</v>
      </c>
      <c r="S2315" s="1088" t="s">
        <v>3390</v>
      </c>
      <c r="T2315" s="1088" t="s">
        <v>3339</v>
      </c>
    </row>
    <row r="2316" spans="1:20" x14ac:dyDescent="0.3">
      <c r="A2316" s="6" t="s">
        <v>533</v>
      </c>
      <c r="B2316" s="6" t="s">
        <v>534</v>
      </c>
      <c r="C2316" s="6" t="s">
        <v>31</v>
      </c>
      <c r="D2316" s="1088" t="s">
        <v>549</v>
      </c>
      <c r="E2316" s="6" t="s">
        <v>169</v>
      </c>
      <c r="F2316" s="6" t="s">
        <v>673</v>
      </c>
      <c r="G2316" s="6" t="s">
        <v>2574</v>
      </c>
      <c r="H2316" s="6" t="s">
        <v>613</v>
      </c>
      <c r="J2316" s="1215" t="s">
        <v>510</v>
      </c>
      <c r="K2316" s="1219" t="s">
        <v>3033</v>
      </c>
      <c r="L2316" s="8">
        <v>22</v>
      </c>
      <c r="M2316" s="8">
        <v>113</v>
      </c>
      <c r="N2316" s="1169" t="s">
        <v>271</v>
      </c>
      <c r="P2316" s="6" t="s">
        <v>3361</v>
      </c>
      <c r="Q2316" s="1215" t="s">
        <v>240</v>
      </c>
      <c r="R2316" s="1088" t="s">
        <v>242</v>
      </c>
      <c r="S2316" s="1088" t="s">
        <v>3390</v>
      </c>
      <c r="T2316" s="1088" t="s">
        <v>3339</v>
      </c>
    </row>
    <row r="2317" spans="1:20" x14ac:dyDescent="0.3">
      <c r="A2317" s="6" t="s">
        <v>533</v>
      </c>
      <c r="B2317" s="6" t="s">
        <v>534</v>
      </c>
      <c r="C2317" s="6" t="s">
        <v>31</v>
      </c>
      <c r="D2317" s="1088" t="s">
        <v>549</v>
      </c>
      <c r="E2317" s="1088" t="s">
        <v>169</v>
      </c>
      <c r="F2317" s="6" t="s">
        <v>673</v>
      </c>
      <c r="G2317" s="6" t="s">
        <v>3019</v>
      </c>
      <c r="H2317" s="6" t="s">
        <v>1080</v>
      </c>
      <c r="J2317" s="1215" t="s">
        <v>510</v>
      </c>
      <c r="K2317" s="1219" t="s">
        <v>3033</v>
      </c>
      <c r="L2317" s="8">
        <v>5</v>
      </c>
      <c r="M2317" s="8">
        <v>40</v>
      </c>
      <c r="N2317" s="1169" t="s">
        <v>271</v>
      </c>
      <c r="P2317" s="6" t="s">
        <v>3361</v>
      </c>
      <c r="Q2317" s="1215" t="s">
        <v>240</v>
      </c>
      <c r="R2317" s="1088" t="s">
        <v>242</v>
      </c>
      <c r="S2317" s="1088" t="s">
        <v>3390</v>
      </c>
      <c r="T2317" s="1088" t="s">
        <v>3339</v>
      </c>
    </row>
    <row r="2318" spans="1:20" x14ac:dyDescent="0.3">
      <c r="A2318" s="6" t="s">
        <v>533</v>
      </c>
      <c r="B2318" s="6" t="s">
        <v>534</v>
      </c>
      <c r="C2318" s="6" t="s">
        <v>35</v>
      </c>
      <c r="D2318" s="1088" t="s">
        <v>567</v>
      </c>
      <c r="E2318" s="6" t="s">
        <v>190</v>
      </c>
      <c r="F2318" s="6" t="s">
        <v>800</v>
      </c>
      <c r="G2318" s="6" t="s">
        <v>2157</v>
      </c>
      <c r="H2318" s="6" t="s">
        <v>2158</v>
      </c>
      <c r="J2318" s="1215" t="s">
        <v>510</v>
      </c>
      <c r="K2318" s="1219" t="s">
        <v>3033</v>
      </c>
      <c r="L2318" s="8">
        <v>16</v>
      </c>
      <c r="M2318" s="8">
        <v>97</v>
      </c>
      <c r="N2318" s="1169" t="s">
        <v>271</v>
      </c>
      <c r="P2318" s="6" t="s">
        <v>3361</v>
      </c>
      <c r="Q2318" s="1215" t="s">
        <v>240</v>
      </c>
      <c r="R2318" s="1088" t="s">
        <v>242</v>
      </c>
      <c r="S2318" s="1088" t="s">
        <v>3387</v>
      </c>
      <c r="T2318" s="1088" t="s">
        <v>3340</v>
      </c>
    </row>
    <row r="2319" spans="1:20" x14ac:dyDescent="0.3">
      <c r="A2319" s="6" t="s">
        <v>533</v>
      </c>
      <c r="B2319" s="6" t="s">
        <v>534</v>
      </c>
      <c r="C2319" s="6" t="s">
        <v>35</v>
      </c>
      <c r="D2319" s="1088" t="s">
        <v>567</v>
      </c>
      <c r="E2319" s="6" t="s">
        <v>190</v>
      </c>
      <c r="F2319" s="6" t="s">
        <v>800</v>
      </c>
      <c r="G2319" s="6" t="s">
        <v>2157</v>
      </c>
      <c r="H2319" s="6" t="s">
        <v>2158</v>
      </c>
      <c r="J2319" s="1215" t="s">
        <v>510</v>
      </c>
      <c r="K2319" s="1219" t="s">
        <v>3109</v>
      </c>
      <c r="L2319" s="8">
        <v>0</v>
      </c>
      <c r="M2319" s="8">
        <v>8</v>
      </c>
      <c r="N2319" s="1169" t="s">
        <v>271</v>
      </c>
      <c r="P2319" s="6" t="s">
        <v>3361</v>
      </c>
      <c r="Q2319" s="1215" t="s">
        <v>240</v>
      </c>
      <c r="R2319" s="1088" t="s">
        <v>242</v>
      </c>
      <c r="S2319" s="1088" t="s">
        <v>3387</v>
      </c>
      <c r="T2319" s="1088" t="s">
        <v>3340</v>
      </c>
    </row>
    <row r="2320" spans="1:20" x14ac:dyDescent="0.3">
      <c r="A2320" s="6" t="s">
        <v>533</v>
      </c>
      <c r="B2320" s="6" t="s">
        <v>534</v>
      </c>
      <c r="C2320" s="6" t="s">
        <v>35</v>
      </c>
      <c r="D2320" s="1088" t="s">
        <v>567</v>
      </c>
      <c r="E2320" s="6" t="s">
        <v>190</v>
      </c>
      <c r="F2320" s="6" t="s">
        <v>800</v>
      </c>
      <c r="G2320" s="6" t="s">
        <v>2157</v>
      </c>
      <c r="H2320" s="6" t="s">
        <v>2158</v>
      </c>
      <c r="J2320" s="1215" t="s">
        <v>510</v>
      </c>
      <c r="K2320" s="1219" t="s">
        <v>3110</v>
      </c>
      <c r="L2320" s="8">
        <v>2</v>
      </c>
      <c r="M2320" s="8">
        <v>24</v>
      </c>
      <c r="N2320" s="1169" t="s">
        <v>271</v>
      </c>
      <c r="P2320" s="6" t="s">
        <v>3361</v>
      </c>
      <c r="Q2320" s="1215" t="s">
        <v>240</v>
      </c>
      <c r="R2320" s="1088" t="s">
        <v>242</v>
      </c>
      <c r="S2320" s="1088" t="s">
        <v>3387</v>
      </c>
      <c r="T2320" s="1088" t="s">
        <v>3340</v>
      </c>
    </row>
    <row r="2321" spans="1:20" x14ac:dyDescent="0.3">
      <c r="A2321" s="6" t="s">
        <v>533</v>
      </c>
      <c r="B2321" s="6" t="s">
        <v>534</v>
      </c>
      <c r="C2321" s="6" t="s">
        <v>35</v>
      </c>
      <c r="D2321" s="1088" t="s">
        <v>567</v>
      </c>
      <c r="E2321" s="1088" t="s">
        <v>190</v>
      </c>
      <c r="F2321" s="6" t="s">
        <v>800</v>
      </c>
      <c r="G2321" s="6" t="s">
        <v>2157</v>
      </c>
      <c r="H2321" s="6" t="s">
        <v>2158</v>
      </c>
      <c r="J2321" s="1215" t="s">
        <v>510</v>
      </c>
      <c r="K2321" s="1219" t="s">
        <v>3111</v>
      </c>
      <c r="L2321" s="8">
        <v>1</v>
      </c>
      <c r="M2321" s="8">
        <v>7</v>
      </c>
      <c r="N2321" s="1169" t="s">
        <v>271</v>
      </c>
      <c r="P2321" s="6" t="s">
        <v>3361</v>
      </c>
      <c r="Q2321" s="1215" t="s">
        <v>240</v>
      </c>
      <c r="R2321" s="1088" t="s">
        <v>242</v>
      </c>
      <c r="S2321" s="1088" t="s">
        <v>3387</v>
      </c>
      <c r="T2321" s="1088" t="s">
        <v>3340</v>
      </c>
    </row>
    <row r="2322" spans="1:20" x14ac:dyDescent="0.3">
      <c r="A2322" s="6" t="s">
        <v>533</v>
      </c>
      <c r="B2322" s="6" t="s">
        <v>534</v>
      </c>
      <c r="C2322" s="6" t="s">
        <v>31</v>
      </c>
      <c r="D2322" s="1088" t="s">
        <v>549</v>
      </c>
      <c r="E2322" s="6" t="s">
        <v>167</v>
      </c>
      <c r="F2322" s="6" t="s">
        <v>1113</v>
      </c>
      <c r="G2322" s="6" t="s">
        <v>1910</v>
      </c>
      <c r="H2322" s="6" t="s">
        <v>2048</v>
      </c>
      <c r="J2322" s="1215" t="s">
        <v>510</v>
      </c>
      <c r="K2322" s="1219" t="s">
        <v>3033</v>
      </c>
      <c r="L2322" s="8">
        <v>9</v>
      </c>
      <c r="M2322" s="8">
        <v>40</v>
      </c>
      <c r="N2322" s="1169" t="s">
        <v>271</v>
      </c>
      <c r="P2322" s="6" t="s">
        <v>3361</v>
      </c>
      <c r="Q2322" s="1215" t="s">
        <v>240</v>
      </c>
      <c r="R2322" s="1088" t="s">
        <v>242</v>
      </c>
      <c r="S2322" s="1088" t="s">
        <v>3402</v>
      </c>
      <c r="T2322" s="1088" t="s">
        <v>3350</v>
      </c>
    </row>
    <row r="2323" spans="1:20" x14ac:dyDescent="0.3">
      <c r="A2323" s="6" t="s">
        <v>533</v>
      </c>
      <c r="B2323" s="6" t="s">
        <v>534</v>
      </c>
      <c r="C2323" s="6" t="s">
        <v>31</v>
      </c>
      <c r="D2323" s="1088" t="s">
        <v>549</v>
      </c>
      <c r="E2323" s="6" t="s">
        <v>167</v>
      </c>
      <c r="F2323" s="6" t="s">
        <v>1113</v>
      </c>
      <c r="G2323" s="6" t="s">
        <v>2085</v>
      </c>
      <c r="H2323" s="6" t="s">
        <v>1949</v>
      </c>
      <c r="J2323" s="1215" t="s">
        <v>510</v>
      </c>
      <c r="K2323" s="1219" t="s">
        <v>3033</v>
      </c>
      <c r="L2323" s="8">
        <v>15</v>
      </c>
      <c r="M2323" s="8">
        <v>60</v>
      </c>
      <c r="N2323" s="1169" t="s">
        <v>271</v>
      </c>
      <c r="P2323" s="6" t="s">
        <v>3361</v>
      </c>
      <c r="Q2323" s="1215" t="s">
        <v>240</v>
      </c>
      <c r="R2323" s="1088" t="s">
        <v>242</v>
      </c>
      <c r="S2323" s="1088" t="s">
        <v>3402</v>
      </c>
      <c r="T2323" s="1088" t="s">
        <v>3350</v>
      </c>
    </row>
    <row r="2324" spans="1:20" x14ac:dyDescent="0.3">
      <c r="A2324" s="6" t="s">
        <v>533</v>
      </c>
      <c r="B2324" s="6" t="s">
        <v>534</v>
      </c>
      <c r="C2324" s="6" t="s">
        <v>31</v>
      </c>
      <c r="D2324" s="1088" t="s">
        <v>549</v>
      </c>
      <c r="E2324" s="6" t="s">
        <v>171</v>
      </c>
      <c r="F2324" s="6" t="s">
        <v>634</v>
      </c>
      <c r="G2324" s="6" t="s">
        <v>934</v>
      </c>
      <c r="H2324" s="6" t="s">
        <v>2064</v>
      </c>
      <c r="J2324" s="1215" t="s">
        <v>510</v>
      </c>
      <c r="K2324" s="1219" t="s">
        <v>3110</v>
      </c>
      <c r="L2324" s="8">
        <v>5</v>
      </c>
      <c r="M2324" s="8">
        <v>58</v>
      </c>
      <c r="N2324" s="1169" t="s">
        <v>274</v>
      </c>
      <c r="P2324" s="6" t="s">
        <v>3361</v>
      </c>
      <c r="Q2324" s="1215" t="s">
        <v>241</v>
      </c>
      <c r="R2324" s="1088" t="s">
        <v>243</v>
      </c>
      <c r="S2324" s="1088" t="s">
        <v>3399</v>
      </c>
      <c r="T2324" s="1088" t="s">
        <v>3343</v>
      </c>
    </row>
    <row r="2325" spans="1:20" x14ac:dyDescent="0.3">
      <c r="A2325" s="6" t="s">
        <v>533</v>
      </c>
      <c r="B2325" s="6" t="s">
        <v>534</v>
      </c>
      <c r="C2325" s="6" t="s">
        <v>31</v>
      </c>
      <c r="D2325" s="1088" t="s">
        <v>549</v>
      </c>
      <c r="E2325" s="6" t="s">
        <v>171</v>
      </c>
      <c r="F2325" s="6" t="s">
        <v>634</v>
      </c>
      <c r="G2325" s="6" t="s">
        <v>1808</v>
      </c>
      <c r="H2325" s="6" t="s">
        <v>1821</v>
      </c>
      <c r="J2325" s="1215" t="s">
        <v>510</v>
      </c>
      <c r="K2325" s="1219" t="s">
        <v>3111</v>
      </c>
      <c r="L2325" s="8">
        <v>4</v>
      </c>
      <c r="M2325" s="8">
        <v>29</v>
      </c>
      <c r="N2325" s="1169" t="s">
        <v>271</v>
      </c>
      <c r="P2325" s="6" t="s">
        <v>3361</v>
      </c>
      <c r="Q2325" s="1215" t="s">
        <v>240</v>
      </c>
      <c r="R2325" s="1088" t="s">
        <v>242</v>
      </c>
      <c r="S2325" s="1088" t="s">
        <v>3390</v>
      </c>
      <c r="T2325" s="1088" t="s">
        <v>3339</v>
      </c>
    </row>
    <row r="2326" spans="1:20" x14ac:dyDescent="0.3">
      <c r="A2326" s="6" t="s">
        <v>533</v>
      </c>
      <c r="B2326" s="6" t="s">
        <v>534</v>
      </c>
      <c r="C2326" s="6" t="s">
        <v>31</v>
      </c>
      <c r="D2326" s="1088" t="s">
        <v>549</v>
      </c>
      <c r="E2326" s="6" t="s">
        <v>171</v>
      </c>
      <c r="F2326" s="6" t="s">
        <v>634</v>
      </c>
      <c r="G2326" s="6" t="s">
        <v>1974</v>
      </c>
      <c r="H2326" s="6" t="s">
        <v>1817</v>
      </c>
      <c r="J2326" s="1215" t="s">
        <v>510</v>
      </c>
      <c r="K2326" s="1219" t="s">
        <v>3111</v>
      </c>
      <c r="L2326" s="8">
        <v>5</v>
      </c>
      <c r="M2326" s="8">
        <v>21</v>
      </c>
      <c r="N2326" s="1169" t="s">
        <v>271</v>
      </c>
      <c r="P2326" s="6" t="s">
        <v>3361</v>
      </c>
      <c r="Q2326" s="1215" t="s">
        <v>240</v>
      </c>
      <c r="R2326" s="1088" t="s">
        <v>242</v>
      </c>
      <c r="S2326" s="1088" t="s">
        <v>3390</v>
      </c>
      <c r="T2326" s="1088" t="s">
        <v>3339</v>
      </c>
    </row>
    <row r="2327" spans="1:20" x14ac:dyDescent="0.3">
      <c r="A2327" s="6" t="s">
        <v>533</v>
      </c>
      <c r="B2327" s="6" t="s">
        <v>534</v>
      </c>
      <c r="C2327" s="6" t="s">
        <v>31</v>
      </c>
      <c r="D2327" s="1088" t="s">
        <v>549</v>
      </c>
      <c r="E2327" s="6" t="s">
        <v>171</v>
      </c>
      <c r="F2327" s="6" t="s">
        <v>634</v>
      </c>
      <c r="G2327" s="6" t="s">
        <v>1974</v>
      </c>
      <c r="H2327" s="6" t="s">
        <v>1817</v>
      </c>
      <c r="J2327" s="1215" t="s">
        <v>510</v>
      </c>
      <c r="K2327" s="1219" t="s">
        <v>3112</v>
      </c>
      <c r="L2327" s="8">
        <v>5</v>
      </c>
      <c r="M2327" s="8">
        <v>15</v>
      </c>
      <c r="N2327" s="1169" t="s">
        <v>271</v>
      </c>
      <c r="P2327" s="6" t="s">
        <v>3361</v>
      </c>
      <c r="Q2327" s="1215" t="s">
        <v>240</v>
      </c>
      <c r="R2327" s="1088" t="s">
        <v>242</v>
      </c>
      <c r="S2327" s="1088" t="s">
        <v>3390</v>
      </c>
      <c r="T2327" s="1088" t="s">
        <v>3339</v>
      </c>
    </row>
    <row r="2328" spans="1:20" x14ac:dyDescent="0.3">
      <c r="A2328" s="6" t="s">
        <v>533</v>
      </c>
      <c r="B2328" s="6" t="s">
        <v>534</v>
      </c>
      <c r="C2328" s="6" t="s">
        <v>31</v>
      </c>
      <c r="D2328" s="1088" t="s">
        <v>549</v>
      </c>
      <c r="E2328" s="6" t="s">
        <v>171</v>
      </c>
      <c r="F2328" s="6" t="s">
        <v>634</v>
      </c>
      <c r="G2328" s="6" t="s">
        <v>1343</v>
      </c>
      <c r="H2328" s="6" t="s">
        <v>1828</v>
      </c>
      <c r="J2328" s="1215" t="s">
        <v>510</v>
      </c>
      <c r="K2328" s="1219" t="s">
        <v>3111</v>
      </c>
      <c r="L2328" s="8">
        <v>3</v>
      </c>
      <c r="M2328" s="8">
        <v>20</v>
      </c>
      <c r="N2328" s="1169" t="s">
        <v>271</v>
      </c>
      <c r="P2328" s="6" t="s">
        <v>3361</v>
      </c>
      <c r="Q2328" s="1215" t="s">
        <v>240</v>
      </c>
      <c r="R2328" s="1088" t="s">
        <v>242</v>
      </c>
      <c r="S2328" s="1088" t="s">
        <v>3390</v>
      </c>
      <c r="T2328" s="1088" t="s">
        <v>3339</v>
      </c>
    </row>
    <row r="2329" spans="1:20" x14ac:dyDescent="0.3">
      <c r="A2329" s="6" t="s">
        <v>533</v>
      </c>
      <c r="B2329" s="6" t="s">
        <v>534</v>
      </c>
      <c r="C2329" s="6" t="s">
        <v>31</v>
      </c>
      <c r="D2329" s="1088" t="s">
        <v>549</v>
      </c>
      <c r="E2329" s="1169" t="s">
        <v>171</v>
      </c>
      <c r="F2329" s="6" t="s">
        <v>634</v>
      </c>
      <c r="G2329" s="6" t="s">
        <v>1343</v>
      </c>
      <c r="H2329" s="6" t="s">
        <v>1828</v>
      </c>
      <c r="J2329" s="1215" t="s">
        <v>510</v>
      </c>
      <c r="K2329" s="1219" t="s">
        <v>3112</v>
      </c>
      <c r="L2329" s="8">
        <v>0</v>
      </c>
      <c r="M2329" s="8">
        <v>8</v>
      </c>
      <c r="N2329" s="1169" t="s">
        <v>271</v>
      </c>
      <c r="P2329" s="6" t="s">
        <v>3361</v>
      </c>
      <c r="Q2329" s="1215" t="s">
        <v>240</v>
      </c>
      <c r="R2329" s="1088" t="s">
        <v>242</v>
      </c>
      <c r="S2329" s="1088" t="s">
        <v>3390</v>
      </c>
      <c r="T2329" s="1088" t="s">
        <v>3339</v>
      </c>
    </row>
    <row r="2330" spans="1:20" x14ac:dyDescent="0.3">
      <c r="A2330" s="6" t="s">
        <v>533</v>
      </c>
      <c r="B2330" s="6" t="s">
        <v>534</v>
      </c>
      <c r="C2330" s="6" t="s">
        <v>31</v>
      </c>
      <c r="D2330" s="1088" t="s">
        <v>549</v>
      </c>
      <c r="E2330" s="1169" t="s">
        <v>171</v>
      </c>
      <c r="F2330" s="6" t="s">
        <v>634</v>
      </c>
      <c r="G2330" s="6" t="s">
        <v>922</v>
      </c>
      <c r="H2330" s="6" t="s">
        <v>1253</v>
      </c>
      <c r="J2330" s="1215" t="s">
        <v>510</v>
      </c>
      <c r="K2330" s="1219" t="s">
        <v>3112</v>
      </c>
      <c r="L2330" s="8">
        <v>2</v>
      </c>
      <c r="M2330" s="8">
        <v>5</v>
      </c>
      <c r="N2330" s="1169" t="s">
        <v>271</v>
      </c>
      <c r="P2330" s="6" t="s">
        <v>3361</v>
      </c>
      <c r="Q2330" s="1215" t="s">
        <v>240</v>
      </c>
      <c r="R2330" s="1088" t="s">
        <v>242</v>
      </c>
      <c r="S2330" s="1088" t="s">
        <v>3390</v>
      </c>
      <c r="T2330" s="1088" t="s">
        <v>3339</v>
      </c>
    </row>
    <row r="2331" spans="1:20" x14ac:dyDescent="0.3">
      <c r="A2331" s="6" t="s">
        <v>533</v>
      </c>
      <c r="B2331" s="6" t="s">
        <v>534</v>
      </c>
      <c r="C2331" s="6" t="s">
        <v>31</v>
      </c>
      <c r="D2331" s="1088" t="s">
        <v>549</v>
      </c>
      <c r="E2331" s="1169" t="s">
        <v>169</v>
      </c>
      <c r="F2331" s="6" t="s">
        <v>673</v>
      </c>
      <c r="G2331" s="6" t="s">
        <v>550</v>
      </c>
      <c r="H2331" s="6" t="s">
        <v>3173</v>
      </c>
      <c r="I2331" s="6" t="s">
        <v>3173</v>
      </c>
      <c r="J2331" s="1215" t="s">
        <v>510</v>
      </c>
      <c r="K2331" s="1219" t="s">
        <v>3112</v>
      </c>
      <c r="L2331" s="8">
        <v>34</v>
      </c>
      <c r="M2331" s="8">
        <v>238</v>
      </c>
      <c r="N2331" s="1169" t="s">
        <v>272</v>
      </c>
      <c r="P2331" s="6" t="s">
        <v>3361</v>
      </c>
      <c r="Q2331" s="1215" t="s">
        <v>241</v>
      </c>
      <c r="R2331" s="1088" t="s">
        <v>243</v>
      </c>
      <c r="S2331" s="1088" t="s">
        <v>3399</v>
      </c>
      <c r="T2331" s="1088" t="s">
        <v>3343</v>
      </c>
    </row>
    <row r="2332" spans="1:20" x14ac:dyDescent="0.3">
      <c r="A2332" s="6" t="s">
        <v>533</v>
      </c>
      <c r="B2332" s="6" t="s">
        <v>534</v>
      </c>
      <c r="C2332" s="6" t="s">
        <v>31</v>
      </c>
      <c r="D2332" s="1088" t="s">
        <v>549</v>
      </c>
      <c r="E2332" s="1169" t="s">
        <v>169</v>
      </c>
      <c r="F2332" s="6" t="s">
        <v>673</v>
      </c>
      <c r="G2332" s="6" t="s">
        <v>2904</v>
      </c>
      <c r="H2332" s="6" t="s">
        <v>2333</v>
      </c>
      <c r="J2332" s="1215" t="s">
        <v>510</v>
      </c>
      <c r="K2332" s="1219" t="s">
        <v>3112</v>
      </c>
      <c r="L2332" s="8">
        <v>10</v>
      </c>
      <c r="M2332" s="8">
        <v>40</v>
      </c>
      <c r="N2332" s="1169" t="s">
        <v>272</v>
      </c>
      <c r="P2332" s="6" t="s">
        <v>3361</v>
      </c>
      <c r="Q2332" s="1215" t="s">
        <v>241</v>
      </c>
      <c r="R2332" s="1088" t="s">
        <v>243</v>
      </c>
      <c r="S2332" s="1088" t="s">
        <v>3399</v>
      </c>
      <c r="T2332" s="1088" t="s">
        <v>3343</v>
      </c>
    </row>
    <row r="2333" spans="1:20" x14ac:dyDescent="0.3">
      <c r="A2333" s="6" t="s">
        <v>533</v>
      </c>
      <c r="B2333" s="6" t="s">
        <v>534</v>
      </c>
      <c r="C2333" s="6" t="s">
        <v>31</v>
      </c>
      <c r="D2333" s="1088" t="s">
        <v>549</v>
      </c>
      <c r="E2333" s="6" t="s">
        <v>169</v>
      </c>
      <c r="F2333" s="6" t="s">
        <v>673</v>
      </c>
      <c r="G2333" s="6" t="s">
        <v>2942</v>
      </c>
      <c r="H2333" s="6" t="s">
        <v>830</v>
      </c>
      <c r="J2333" s="1215" t="s">
        <v>510</v>
      </c>
      <c r="K2333" s="1219" t="s">
        <v>3112</v>
      </c>
      <c r="L2333" s="8">
        <v>5</v>
      </c>
      <c r="M2333" s="8">
        <v>35</v>
      </c>
      <c r="N2333" s="1169" t="s">
        <v>272</v>
      </c>
      <c r="P2333" s="6" t="s">
        <v>3361</v>
      </c>
      <c r="Q2333" s="1215" t="s">
        <v>241</v>
      </c>
      <c r="R2333" s="1088" t="s">
        <v>243</v>
      </c>
      <c r="S2333" s="1088" t="s">
        <v>3399</v>
      </c>
      <c r="T2333" s="1088" t="s">
        <v>3343</v>
      </c>
    </row>
    <row r="2334" spans="1:20" x14ac:dyDescent="0.3">
      <c r="A2334" s="6" t="s">
        <v>533</v>
      </c>
      <c r="B2334" s="6" t="s">
        <v>534</v>
      </c>
      <c r="C2334" s="6" t="s">
        <v>31</v>
      </c>
      <c r="D2334" s="1088" t="s">
        <v>549</v>
      </c>
      <c r="E2334" s="6" t="s">
        <v>172</v>
      </c>
      <c r="F2334" s="6" t="s">
        <v>706</v>
      </c>
      <c r="G2334" s="6" t="s">
        <v>1866</v>
      </c>
      <c r="H2334" s="6" t="s">
        <v>708</v>
      </c>
      <c r="J2334" s="1215" t="s">
        <v>510</v>
      </c>
      <c r="K2334" s="1219" t="s">
        <v>3033</v>
      </c>
      <c r="L2334" s="8">
        <v>30</v>
      </c>
      <c r="M2334" s="8">
        <v>259</v>
      </c>
      <c r="N2334" s="1169" t="s">
        <v>271</v>
      </c>
      <c r="P2334" s="6" t="s">
        <v>3361</v>
      </c>
      <c r="Q2334" s="1215" t="s">
        <v>240</v>
      </c>
      <c r="R2334" s="1088" t="s">
        <v>242</v>
      </c>
      <c r="S2334" s="1088" t="s">
        <v>3390</v>
      </c>
      <c r="T2334" s="1088" t="s">
        <v>3339</v>
      </c>
    </row>
    <row r="2335" spans="1:20" x14ac:dyDescent="0.3">
      <c r="A2335" s="6" t="s">
        <v>533</v>
      </c>
      <c r="B2335" s="6" t="s">
        <v>534</v>
      </c>
      <c r="C2335" s="6" t="s">
        <v>31</v>
      </c>
      <c r="D2335" s="1088" t="s">
        <v>549</v>
      </c>
      <c r="E2335" s="6" t="s">
        <v>172</v>
      </c>
      <c r="F2335" s="6" t="s">
        <v>706</v>
      </c>
      <c r="G2335" s="6" t="s">
        <v>1866</v>
      </c>
      <c r="H2335" s="6" t="s">
        <v>708</v>
      </c>
      <c r="J2335" s="1215" t="s">
        <v>510</v>
      </c>
      <c r="K2335" s="1219" t="s">
        <v>3109</v>
      </c>
      <c r="L2335" s="8">
        <v>0</v>
      </c>
      <c r="M2335" s="8">
        <v>19</v>
      </c>
      <c r="N2335" s="1169" t="s">
        <v>271</v>
      </c>
      <c r="P2335" s="6" t="s">
        <v>3361</v>
      </c>
      <c r="Q2335" s="1215" t="s">
        <v>240</v>
      </c>
      <c r="R2335" s="1088" t="s">
        <v>242</v>
      </c>
      <c r="S2335" s="1088" t="s">
        <v>3390</v>
      </c>
      <c r="T2335" s="1088" t="s">
        <v>3339</v>
      </c>
    </row>
    <row r="2336" spans="1:20" x14ac:dyDescent="0.3">
      <c r="A2336" s="6" t="s">
        <v>533</v>
      </c>
      <c r="B2336" s="6" t="s">
        <v>534</v>
      </c>
      <c r="C2336" s="6" t="s">
        <v>31</v>
      </c>
      <c r="D2336" s="1088" t="s">
        <v>549</v>
      </c>
      <c r="E2336" s="6" t="s">
        <v>2797</v>
      </c>
      <c r="F2336" s="6" t="s">
        <v>767</v>
      </c>
      <c r="G2336" s="6" t="s">
        <v>1527</v>
      </c>
      <c r="H2336" s="6" t="s">
        <v>1424</v>
      </c>
      <c r="J2336" s="1215" t="s">
        <v>510</v>
      </c>
      <c r="K2336" s="1219" t="s">
        <v>3110</v>
      </c>
      <c r="L2336" s="8">
        <v>5</v>
      </c>
      <c r="M2336" s="8">
        <v>18</v>
      </c>
      <c r="N2336" s="1169" t="s">
        <v>271</v>
      </c>
      <c r="P2336" s="6" t="s">
        <v>3361</v>
      </c>
      <c r="Q2336" s="1215" t="s">
        <v>240</v>
      </c>
      <c r="R2336" s="1088" t="s">
        <v>242</v>
      </c>
      <c r="S2336" s="1088" t="s">
        <v>3390</v>
      </c>
      <c r="T2336" s="1088" t="s">
        <v>3339</v>
      </c>
    </row>
    <row r="2337" spans="1:20" x14ac:dyDescent="0.3">
      <c r="A2337" s="6" t="s">
        <v>533</v>
      </c>
      <c r="B2337" s="6" t="s">
        <v>534</v>
      </c>
      <c r="C2337" s="6" t="s">
        <v>31</v>
      </c>
      <c r="D2337" s="1088" t="s">
        <v>549</v>
      </c>
      <c r="E2337" s="6" t="s">
        <v>2797</v>
      </c>
      <c r="F2337" s="6" t="s">
        <v>767</v>
      </c>
      <c r="G2337" s="6" t="s">
        <v>786</v>
      </c>
      <c r="H2337" s="6" t="s">
        <v>929</v>
      </c>
      <c r="J2337" s="1215" t="s">
        <v>510</v>
      </c>
      <c r="K2337" s="1219" t="s">
        <v>3110</v>
      </c>
      <c r="L2337" s="8">
        <v>5</v>
      </c>
      <c r="M2337" s="8">
        <v>20</v>
      </c>
      <c r="N2337" s="1169" t="s">
        <v>271</v>
      </c>
      <c r="P2337" s="6" t="s">
        <v>3361</v>
      </c>
      <c r="Q2337" s="1215" t="s">
        <v>240</v>
      </c>
      <c r="R2337" s="1088" t="s">
        <v>242</v>
      </c>
      <c r="S2337" s="1088" t="s">
        <v>3390</v>
      </c>
      <c r="T2337" s="1088" t="s">
        <v>3339</v>
      </c>
    </row>
    <row r="2338" spans="1:20" x14ac:dyDescent="0.3">
      <c r="A2338" s="6" t="s">
        <v>533</v>
      </c>
      <c r="B2338" s="6" t="s">
        <v>534</v>
      </c>
      <c r="C2338" s="6" t="s">
        <v>31</v>
      </c>
      <c r="D2338" s="1088" t="s">
        <v>549</v>
      </c>
      <c r="E2338" s="6" t="s">
        <v>167</v>
      </c>
      <c r="F2338" s="6" t="s">
        <v>1113</v>
      </c>
      <c r="G2338" s="6" t="s">
        <v>1929</v>
      </c>
      <c r="H2338" s="6" t="s">
        <v>2529</v>
      </c>
      <c r="J2338" s="1215" t="s">
        <v>510</v>
      </c>
      <c r="K2338" s="1219" t="s">
        <v>3033</v>
      </c>
      <c r="L2338" s="8">
        <v>1</v>
      </c>
      <c r="M2338" s="8">
        <v>4</v>
      </c>
      <c r="N2338" s="1169" t="s">
        <v>271</v>
      </c>
      <c r="P2338" s="6" t="s">
        <v>3361</v>
      </c>
      <c r="Q2338" s="1215" t="s">
        <v>240</v>
      </c>
      <c r="R2338" s="1088" t="s">
        <v>242</v>
      </c>
      <c r="S2338" s="1215" t="s">
        <v>3393</v>
      </c>
      <c r="T2338" s="1215" t="s">
        <v>3354</v>
      </c>
    </row>
    <row r="2339" spans="1:20" x14ac:dyDescent="0.3">
      <c r="A2339" s="6" t="s">
        <v>533</v>
      </c>
      <c r="B2339" s="6" t="s">
        <v>534</v>
      </c>
      <c r="C2339" s="6" t="s">
        <v>31</v>
      </c>
      <c r="D2339" s="1088" t="s">
        <v>549</v>
      </c>
      <c r="E2339" s="6" t="s">
        <v>167</v>
      </c>
      <c r="F2339" s="6" t="s">
        <v>1113</v>
      </c>
      <c r="G2339" s="6" t="s">
        <v>2958</v>
      </c>
      <c r="H2339" s="6" t="s">
        <v>1945</v>
      </c>
      <c r="J2339" s="1215" t="s">
        <v>510</v>
      </c>
      <c r="K2339" s="1219" t="s">
        <v>3033</v>
      </c>
      <c r="L2339" s="8">
        <v>4</v>
      </c>
      <c r="M2339" s="8">
        <v>23</v>
      </c>
      <c r="N2339" s="1169" t="s">
        <v>271</v>
      </c>
      <c r="P2339" s="6" t="s">
        <v>3361</v>
      </c>
      <c r="Q2339" s="1215" t="s">
        <v>240</v>
      </c>
      <c r="R2339" s="1088" t="s">
        <v>242</v>
      </c>
      <c r="S2339" s="1215" t="s">
        <v>3389</v>
      </c>
      <c r="T2339" s="1215" t="s">
        <v>3345</v>
      </c>
    </row>
    <row r="2340" spans="1:20" x14ac:dyDescent="0.3">
      <c r="A2340" s="6" t="s">
        <v>533</v>
      </c>
      <c r="B2340" s="6" t="s">
        <v>534</v>
      </c>
      <c r="C2340" s="6" t="s">
        <v>31</v>
      </c>
      <c r="D2340" s="1088" t="s">
        <v>549</v>
      </c>
      <c r="E2340" s="6" t="s">
        <v>171</v>
      </c>
      <c r="F2340" s="6" t="s">
        <v>634</v>
      </c>
      <c r="G2340" s="6" t="s">
        <v>893</v>
      </c>
      <c r="H2340" s="6" t="s">
        <v>2167</v>
      </c>
      <c r="J2340" s="1215" t="s">
        <v>510</v>
      </c>
      <c r="K2340" s="1219" t="s">
        <v>3111</v>
      </c>
      <c r="L2340" s="8">
        <v>15</v>
      </c>
      <c r="M2340" s="8">
        <v>78</v>
      </c>
      <c r="N2340" s="1169" t="s">
        <v>271</v>
      </c>
      <c r="P2340" s="6" t="s">
        <v>3361</v>
      </c>
      <c r="Q2340" s="1215" t="s">
        <v>240</v>
      </c>
      <c r="R2340" s="1088" t="s">
        <v>242</v>
      </c>
      <c r="S2340" s="1088" t="s">
        <v>3390</v>
      </c>
      <c r="T2340" s="1088" t="s">
        <v>3339</v>
      </c>
    </row>
    <row r="2341" spans="1:20" x14ac:dyDescent="0.3">
      <c r="A2341" s="6" t="s">
        <v>533</v>
      </c>
      <c r="B2341" s="6" t="s">
        <v>534</v>
      </c>
      <c r="C2341" s="6" t="s">
        <v>31</v>
      </c>
      <c r="D2341" s="1088" t="s">
        <v>549</v>
      </c>
      <c r="E2341" s="6" t="s">
        <v>171</v>
      </c>
      <c r="F2341" s="6" t="s">
        <v>634</v>
      </c>
      <c r="G2341" s="6" t="s">
        <v>1984</v>
      </c>
      <c r="H2341" s="6" t="s">
        <v>858</v>
      </c>
      <c r="J2341" s="1215" t="s">
        <v>510</v>
      </c>
      <c r="K2341" s="1219" t="s">
        <v>3111</v>
      </c>
      <c r="L2341" s="8">
        <v>9</v>
      </c>
      <c r="M2341" s="8">
        <v>41</v>
      </c>
      <c r="N2341" s="1169" t="s">
        <v>271</v>
      </c>
      <c r="P2341" s="6" t="s">
        <v>3361</v>
      </c>
      <c r="Q2341" s="1215" t="s">
        <v>240</v>
      </c>
      <c r="R2341" s="1088" t="s">
        <v>242</v>
      </c>
      <c r="S2341" s="1088" t="s">
        <v>3390</v>
      </c>
      <c r="T2341" s="1088" t="s">
        <v>3339</v>
      </c>
    </row>
    <row r="2342" spans="1:20" x14ac:dyDescent="0.3">
      <c r="A2342" s="6" t="s">
        <v>533</v>
      </c>
      <c r="B2342" s="6" t="s">
        <v>534</v>
      </c>
      <c r="C2342" s="6" t="s">
        <v>31</v>
      </c>
      <c r="D2342" s="1088" t="s">
        <v>549</v>
      </c>
      <c r="E2342" s="6" t="s">
        <v>171</v>
      </c>
      <c r="F2342" s="6" t="s">
        <v>634</v>
      </c>
      <c r="G2342" s="6" t="s">
        <v>550</v>
      </c>
      <c r="H2342" s="6" t="s">
        <v>3170</v>
      </c>
      <c r="I2342" s="6" t="s">
        <v>3170</v>
      </c>
      <c r="J2342" s="1215" t="s">
        <v>510</v>
      </c>
      <c r="K2342" s="1219" t="s">
        <v>3112</v>
      </c>
      <c r="L2342" s="8">
        <v>50</v>
      </c>
      <c r="M2342" s="8">
        <v>150</v>
      </c>
      <c r="N2342" s="1169" t="s">
        <v>272</v>
      </c>
      <c r="P2342" s="6" t="s">
        <v>3361</v>
      </c>
      <c r="Q2342" s="1215" t="s">
        <v>240</v>
      </c>
      <c r="R2342" s="1088" t="s">
        <v>242</v>
      </c>
      <c r="S2342" s="1088" t="s">
        <v>3390</v>
      </c>
      <c r="T2342" s="1088" t="s">
        <v>3339</v>
      </c>
    </row>
    <row r="2343" spans="1:20" x14ac:dyDescent="0.3">
      <c r="A2343" s="6" t="s">
        <v>533</v>
      </c>
      <c r="B2343" s="6" t="s">
        <v>534</v>
      </c>
      <c r="C2343" s="6" t="s">
        <v>31</v>
      </c>
      <c r="D2343" s="1088" t="s">
        <v>549</v>
      </c>
      <c r="E2343" s="6" t="s">
        <v>171</v>
      </c>
      <c r="F2343" s="6" t="s">
        <v>634</v>
      </c>
      <c r="G2343" s="6" t="s">
        <v>1898</v>
      </c>
      <c r="H2343" s="6" t="s">
        <v>1899</v>
      </c>
      <c r="J2343" s="1215" t="s">
        <v>510</v>
      </c>
      <c r="K2343" s="1219" t="s">
        <v>3111</v>
      </c>
      <c r="L2343" s="8">
        <v>8</v>
      </c>
      <c r="M2343" s="8">
        <v>9</v>
      </c>
      <c r="N2343" s="6" t="s">
        <v>271</v>
      </c>
      <c r="P2343" s="6" t="s">
        <v>3361</v>
      </c>
      <c r="Q2343" s="1215" t="s">
        <v>240</v>
      </c>
      <c r="R2343" s="1088" t="s">
        <v>242</v>
      </c>
      <c r="S2343" s="1088" t="s">
        <v>3387</v>
      </c>
      <c r="T2343" s="1088" t="s">
        <v>3340</v>
      </c>
    </row>
    <row r="2344" spans="1:20" x14ac:dyDescent="0.3">
      <c r="A2344" s="6" t="s">
        <v>533</v>
      </c>
      <c r="B2344" s="6" t="s">
        <v>534</v>
      </c>
      <c r="C2344" s="6" t="s">
        <v>31</v>
      </c>
      <c r="D2344" s="1088" t="s">
        <v>549</v>
      </c>
      <c r="E2344" s="6" t="s">
        <v>171</v>
      </c>
      <c r="F2344" s="6" t="s">
        <v>634</v>
      </c>
      <c r="G2344" s="6" t="s">
        <v>1276</v>
      </c>
      <c r="H2344" s="6" t="s">
        <v>1897</v>
      </c>
      <c r="J2344" s="1215" t="s">
        <v>510</v>
      </c>
      <c r="K2344" s="1219" t="s">
        <v>3111</v>
      </c>
      <c r="L2344" s="8">
        <v>51</v>
      </c>
      <c r="M2344" s="8">
        <v>431</v>
      </c>
      <c r="N2344" s="6" t="s">
        <v>271</v>
      </c>
      <c r="P2344" s="6" t="s">
        <v>3361</v>
      </c>
      <c r="Q2344" s="1215" t="s">
        <v>240</v>
      </c>
      <c r="R2344" s="1088" t="s">
        <v>242</v>
      </c>
      <c r="S2344" s="1088" t="s">
        <v>3390</v>
      </c>
      <c r="T2344" s="1088" t="s">
        <v>3339</v>
      </c>
    </row>
    <row r="2345" spans="1:20" x14ac:dyDescent="0.3">
      <c r="A2345" s="6" t="s">
        <v>533</v>
      </c>
      <c r="B2345" s="6" t="s">
        <v>534</v>
      </c>
      <c r="C2345" s="6" t="s">
        <v>31</v>
      </c>
      <c r="D2345" s="1088" t="s">
        <v>549</v>
      </c>
      <c r="E2345" s="6" t="s">
        <v>171</v>
      </c>
      <c r="F2345" s="6" t="s">
        <v>634</v>
      </c>
      <c r="G2345" s="6" t="s">
        <v>1966</v>
      </c>
      <c r="H2345" s="6" t="s">
        <v>1830</v>
      </c>
      <c r="J2345" s="1215" t="s">
        <v>510</v>
      </c>
      <c r="K2345" s="1219" t="s">
        <v>3111</v>
      </c>
      <c r="L2345" s="8">
        <v>9</v>
      </c>
      <c r="M2345" s="8">
        <v>36</v>
      </c>
      <c r="N2345" s="1169" t="s">
        <v>271</v>
      </c>
      <c r="P2345" s="6" t="s">
        <v>3361</v>
      </c>
      <c r="Q2345" s="1215" t="s">
        <v>240</v>
      </c>
      <c r="R2345" s="1088" t="s">
        <v>242</v>
      </c>
      <c r="S2345" s="1088" t="s">
        <v>3390</v>
      </c>
      <c r="T2345" s="1088" t="s">
        <v>3339</v>
      </c>
    </row>
    <row r="2346" spans="1:20" x14ac:dyDescent="0.3">
      <c r="A2346" s="6" t="s">
        <v>533</v>
      </c>
      <c r="B2346" s="6" t="s">
        <v>534</v>
      </c>
      <c r="C2346" s="6" t="s">
        <v>31</v>
      </c>
      <c r="D2346" s="1088" t="s">
        <v>549</v>
      </c>
      <c r="E2346" s="6" t="s">
        <v>171</v>
      </c>
      <c r="F2346" s="6" t="s">
        <v>634</v>
      </c>
      <c r="G2346" s="6" t="s">
        <v>911</v>
      </c>
      <c r="H2346" s="6" t="s">
        <v>2605</v>
      </c>
      <c r="J2346" s="1215" t="s">
        <v>510</v>
      </c>
      <c r="K2346" s="1219" t="s">
        <v>3111</v>
      </c>
      <c r="L2346" s="8">
        <v>4</v>
      </c>
      <c r="M2346" s="8">
        <v>27</v>
      </c>
      <c r="N2346" s="1169" t="s">
        <v>271</v>
      </c>
      <c r="P2346" s="6" t="s">
        <v>3361</v>
      </c>
      <c r="Q2346" s="1215" t="s">
        <v>240</v>
      </c>
      <c r="R2346" s="1088" t="s">
        <v>242</v>
      </c>
      <c r="S2346" s="1088" t="s">
        <v>3387</v>
      </c>
      <c r="T2346" s="1088" t="s">
        <v>3340</v>
      </c>
    </row>
    <row r="2347" spans="1:20" x14ac:dyDescent="0.3">
      <c r="A2347" s="6" t="s">
        <v>533</v>
      </c>
      <c r="B2347" s="6" t="s">
        <v>534</v>
      </c>
      <c r="C2347" s="6" t="s">
        <v>31</v>
      </c>
      <c r="D2347" s="1088" t="s">
        <v>549</v>
      </c>
      <c r="E2347" s="6" t="s">
        <v>171</v>
      </c>
      <c r="F2347" s="6" t="s">
        <v>634</v>
      </c>
      <c r="G2347" s="6" t="s">
        <v>1281</v>
      </c>
      <c r="H2347" s="6" t="s">
        <v>1090</v>
      </c>
      <c r="J2347" s="1215" t="s">
        <v>510</v>
      </c>
      <c r="K2347" s="1219" t="s">
        <v>3111</v>
      </c>
      <c r="L2347" s="8">
        <v>12</v>
      </c>
      <c r="M2347" s="8">
        <v>74</v>
      </c>
      <c r="N2347" s="1169" t="s">
        <v>271</v>
      </c>
      <c r="P2347" s="6" t="s">
        <v>3361</v>
      </c>
      <c r="Q2347" s="1215" t="s">
        <v>240</v>
      </c>
      <c r="R2347" s="1088" t="s">
        <v>242</v>
      </c>
      <c r="S2347" s="1088" t="s">
        <v>3390</v>
      </c>
      <c r="T2347" s="1088" t="s">
        <v>3339</v>
      </c>
    </row>
    <row r="2348" spans="1:20" x14ac:dyDescent="0.3">
      <c r="A2348" s="6" t="s">
        <v>533</v>
      </c>
      <c r="B2348" s="6" t="s">
        <v>534</v>
      </c>
      <c r="C2348" s="6" t="s">
        <v>31</v>
      </c>
      <c r="D2348" s="1088" t="s">
        <v>549</v>
      </c>
      <c r="E2348" s="6" t="s">
        <v>171</v>
      </c>
      <c r="F2348" s="6" t="s">
        <v>634</v>
      </c>
      <c r="G2348" s="6" t="s">
        <v>1875</v>
      </c>
      <c r="H2348" s="6" t="s">
        <v>2021</v>
      </c>
      <c r="J2348" s="1215" t="s">
        <v>510</v>
      </c>
      <c r="K2348" s="1219" t="s">
        <v>3111</v>
      </c>
      <c r="L2348" s="8">
        <v>12</v>
      </c>
      <c r="M2348" s="8">
        <v>59</v>
      </c>
      <c r="N2348" s="1169" t="s">
        <v>271</v>
      </c>
      <c r="P2348" s="6" t="s">
        <v>3361</v>
      </c>
      <c r="Q2348" s="1215" t="s">
        <v>240</v>
      </c>
      <c r="R2348" s="1088" t="s">
        <v>242</v>
      </c>
      <c r="S2348" s="1088" t="s">
        <v>3390</v>
      </c>
      <c r="T2348" s="1088" t="s">
        <v>3339</v>
      </c>
    </row>
    <row r="2349" spans="1:20" x14ac:dyDescent="0.3">
      <c r="A2349" s="6" t="s">
        <v>533</v>
      </c>
      <c r="B2349" s="6" t="s">
        <v>534</v>
      </c>
      <c r="C2349" s="6" t="s">
        <v>31</v>
      </c>
      <c r="D2349" s="1088" t="s">
        <v>549</v>
      </c>
      <c r="E2349" s="6" t="s">
        <v>166</v>
      </c>
      <c r="F2349" s="6" t="s">
        <v>844</v>
      </c>
      <c r="G2349" s="6" t="s">
        <v>2493</v>
      </c>
      <c r="H2349" s="6" t="s">
        <v>1559</v>
      </c>
      <c r="J2349" s="1215" t="s">
        <v>510</v>
      </c>
      <c r="K2349" s="1219" t="s">
        <v>3033</v>
      </c>
      <c r="L2349" s="8">
        <v>680</v>
      </c>
      <c r="M2349" s="8">
        <v>3808</v>
      </c>
      <c r="N2349" s="1169" t="s">
        <v>271</v>
      </c>
      <c r="P2349" s="6" t="s">
        <v>3361</v>
      </c>
      <c r="Q2349" s="1215" t="s">
        <v>240</v>
      </c>
      <c r="R2349" s="1088" t="s">
        <v>242</v>
      </c>
      <c r="S2349" s="1088" t="s">
        <v>3390</v>
      </c>
      <c r="T2349" s="1088" t="s">
        <v>3339</v>
      </c>
    </row>
    <row r="2350" spans="1:20" x14ac:dyDescent="0.3">
      <c r="A2350" s="6" t="s">
        <v>533</v>
      </c>
      <c r="B2350" s="6" t="s">
        <v>534</v>
      </c>
      <c r="C2350" s="6" t="s">
        <v>31</v>
      </c>
      <c r="D2350" s="1088" t="s">
        <v>549</v>
      </c>
      <c r="E2350" s="6" t="s">
        <v>172</v>
      </c>
      <c r="F2350" s="6" t="s">
        <v>706</v>
      </c>
      <c r="G2350" s="6" t="s">
        <v>1999</v>
      </c>
      <c r="H2350" s="6" t="s">
        <v>2697</v>
      </c>
      <c r="J2350" s="1215" t="s">
        <v>510</v>
      </c>
      <c r="K2350" s="1219" t="s">
        <v>3112</v>
      </c>
      <c r="L2350" s="8">
        <v>6</v>
      </c>
      <c r="M2350" s="8">
        <v>50</v>
      </c>
      <c r="N2350" s="1169" t="s">
        <v>271</v>
      </c>
      <c r="P2350" s="6" t="s">
        <v>3361</v>
      </c>
      <c r="Q2350" s="1215" t="s">
        <v>240</v>
      </c>
      <c r="R2350" s="1088" t="s">
        <v>242</v>
      </c>
      <c r="S2350" s="1088" t="s">
        <v>3390</v>
      </c>
      <c r="T2350" s="1088" t="s">
        <v>3339</v>
      </c>
    </row>
    <row r="2351" spans="1:20" x14ac:dyDescent="0.3">
      <c r="A2351" s="6" t="s">
        <v>533</v>
      </c>
      <c r="B2351" s="6" t="s">
        <v>534</v>
      </c>
      <c r="C2351" s="6" t="s">
        <v>35</v>
      </c>
      <c r="D2351" s="1088" t="s">
        <v>567</v>
      </c>
      <c r="E2351" s="6" t="s">
        <v>195</v>
      </c>
      <c r="F2351" s="6" t="s">
        <v>733</v>
      </c>
      <c r="G2351" s="6" t="s">
        <v>2932</v>
      </c>
      <c r="H2351" s="6" t="s">
        <v>2004</v>
      </c>
      <c r="J2351" s="1215" t="s">
        <v>510</v>
      </c>
      <c r="K2351" s="1219" t="s">
        <v>3033</v>
      </c>
      <c r="L2351" s="8">
        <v>36</v>
      </c>
      <c r="M2351" s="8">
        <v>195</v>
      </c>
      <c r="N2351" s="1169" t="s">
        <v>271</v>
      </c>
      <c r="P2351" s="6" t="s">
        <v>3361</v>
      </c>
      <c r="Q2351" s="1215" t="s">
        <v>240</v>
      </c>
      <c r="R2351" s="1088" t="s">
        <v>242</v>
      </c>
      <c r="S2351" s="1088" t="s">
        <v>3387</v>
      </c>
      <c r="T2351" s="1088" t="s">
        <v>3340</v>
      </c>
    </row>
    <row r="2352" spans="1:20" x14ac:dyDescent="0.3">
      <c r="A2352" s="6" t="s">
        <v>533</v>
      </c>
      <c r="B2352" s="6" t="s">
        <v>534</v>
      </c>
      <c r="C2352" s="6" t="s">
        <v>31</v>
      </c>
      <c r="D2352" s="1088" t="s">
        <v>549</v>
      </c>
      <c r="E2352" s="6" t="s">
        <v>171</v>
      </c>
      <c r="F2352" s="6" t="s">
        <v>634</v>
      </c>
      <c r="G2352" s="6" t="s">
        <v>1976</v>
      </c>
      <c r="H2352" s="6" t="s">
        <v>803</v>
      </c>
      <c r="J2352" s="1215" t="s">
        <v>510</v>
      </c>
      <c r="K2352" s="1219" t="s">
        <v>3033</v>
      </c>
      <c r="L2352" s="8">
        <v>37</v>
      </c>
      <c r="M2352" s="8">
        <v>223</v>
      </c>
      <c r="N2352" s="1169" t="s">
        <v>271</v>
      </c>
      <c r="P2352" s="6" t="s">
        <v>3361</v>
      </c>
      <c r="Q2352" s="1215" t="s">
        <v>240</v>
      </c>
      <c r="R2352" s="1088" t="s">
        <v>242</v>
      </c>
      <c r="S2352" s="1088" t="s">
        <v>3397</v>
      </c>
      <c r="T2352" s="1088" t="s">
        <v>3341</v>
      </c>
    </row>
    <row r="2353" spans="1:20" x14ac:dyDescent="0.3">
      <c r="A2353" s="6" t="s">
        <v>533</v>
      </c>
      <c r="B2353" s="6" t="s">
        <v>534</v>
      </c>
      <c r="C2353" s="6" t="s">
        <v>31</v>
      </c>
      <c r="D2353" s="1088" t="s">
        <v>549</v>
      </c>
      <c r="E2353" s="6" t="s">
        <v>171</v>
      </c>
      <c r="F2353" s="6" t="s">
        <v>634</v>
      </c>
      <c r="G2353" s="6" t="s">
        <v>1976</v>
      </c>
      <c r="H2353" s="6" t="s">
        <v>803</v>
      </c>
      <c r="J2353" s="1215" t="s">
        <v>510</v>
      </c>
      <c r="K2353" s="1219" t="s">
        <v>3109</v>
      </c>
      <c r="L2353" s="8">
        <v>4</v>
      </c>
      <c r="M2353" s="8">
        <v>16</v>
      </c>
      <c r="N2353" s="1169" t="s">
        <v>271</v>
      </c>
      <c r="P2353" s="6" t="s">
        <v>3361</v>
      </c>
      <c r="Q2353" s="1215" t="s">
        <v>240</v>
      </c>
      <c r="R2353" s="1088" t="s">
        <v>242</v>
      </c>
      <c r="S2353" s="1088" t="s">
        <v>3397</v>
      </c>
      <c r="T2353" s="1088" t="s">
        <v>3341</v>
      </c>
    </row>
    <row r="2354" spans="1:20" x14ac:dyDescent="0.3">
      <c r="A2354" s="6" t="s">
        <v>533</v>
      </c>
      <c r="B2354" s="6" t="s">
        <v>534</v>
      </c>
      <c r="C2354" s="6" t="s">
        <v>31</v>
      </c>
      <c r="D2354" s="1088" t="s">
        <v>549</v>
      </c>
      <c r="E2354" s="6" t="s">
        <v>171</v>
      </c>
      <c r="F2354" s="6" t="s">
        <v>634</v>
      </c>
      <c r="G2354" s="6" t="s">
        <v>1976</v>
      </c>
      <c r="H2354" s="6" t="s">
        <v>803</v>
      </c>
      <c r="J2354" s="1215" t="s">
        <v>510</v>
      </c>
      <c r="K2354" s="1219" t="s">
        <v>3111</v>
      </c>
      <c r="L2354" s="8">
        <v>0</v>
      </c>
      <c r="M2354" s="8">
        <v>10</v>
      </c>
      <c r="N2354" s="1169" t="s">
        <v>271</v>
      </c>
      <c r="P2354" s="6" t="s">
        <v>3361</v>
      </c>
      <c r="Q2354" s="1215" t="s">
        <v>240</v>
      </c>
      <c r="R2354" s="1088" t="s">
        <v>242</v>
      </c>
      <c r="S2354" s="1088" t="s">
        <v>3397</v>
      </c>
      <c r="T2354" s="1088" t="s">
        <v>3341</v>
      </c>
    </row>
    <row r="2355" spans="1:20" x14ac:dyDescent="0.3">
      <c r="A2355" s="6" t="s">
        <v>533</v>
      </c>
      <c r="B2355" s="6" t="s">
        <v>534</v>
      </c>
      <c r="C2355" s="6" t="s">
        <v>31</v>
      </c>
      <c r="D2355" s="1088" t="s">
        <v>549</v>
      </c>
      <c r="E2355" s="6" t="s">
        <v>171</v>
      </c>
      <c r="F2355" s="6" t="s">
        <v>634</v>
      </c>
      <c r="G2355" s="6" t="s">
        <v>1976</v>
      </c>
      <c r="H2355" s="6" t="s">
        <v>803</v>
      </c>
      <c r="J2355" s="1215" t="s">
        <v>510</v>
      </c>
      <c r="K2355" s="1219" t="s">
        <v>3112</v>
      </c>
      <c r="L2355" s="8">
        <v>1</v>
      </c>
      <c r="M2355" s="8">
        <v>13</v>
      </c>
      <c r="N2355" s="1169" t="s">
        <v>274</v>
      </c>
      <c r="P2355" s="6" t="s">
        <v>3361</v>
      </c>
      <c r="Q2355" s="1215" t="s">
        <v>240</v>
      </c>
      <c r="R2355" s="1088" t="s">
        <v>242</v>
      </c>
      <c r="S2355" s="1215" t="s">
        <v>3400</v>
      </c>
      <c r="T2355" s="1215" t="s">
        <v>3355</v>
      </c>
    </row>
    <row r="2356" spans="1:20" x14ac:dyDescent="0.3">
      <c r="A2356" s="6" t="s">
        <v>533</v>
      </c>
      <c r="B2356" s="6" t="s">
        <v>534</v>
      </c>
      <c r="C2356" s="6" t="s">
        <v>31</v>
      </c>
      <c r="D2356" s="1088" t="s">
        <v>549</v>
      </c>
      <c r="E2356" s="1088" t="s">
        <v>166</v>
      </c>
      <c r="F2356" s="6" t="s">
        <v>844</v>
      </c>
      <c r="G2356" s="6" t="s">
        <v>2503</v>
      </c>
      <c r="H2356" s="6" t="s">
        <v>1549</v>
      </c>
      <c r="J2356" s="1215" t="s">
        <v>510</v>
      </c>
      <c r="K2356" s="1219" t="s">
        <v>3033</v>
      </c>
      <c r="L2356" s="8">
        <v>66</v>
      </c>
      <c r="M2356" s="8">
        <v>318</v>
      </c>
      <c r="N2356" s="1169" t="s">
        <v>271</v>
      </c>
      <c r="P2356" s="6" t="s">
        <v>3361</v>
      </c>
      <c r="Q2356" s="1215" t="s">
        <v>240</v>
      </c>
      <c r="R2356" s="1088" t="s">
        <v>242</v>
      </c>
      <c r="S2356" s="1088" t="s">
        <v>3390</v>
      </c>
      <c r="T2356" s="1088" t="s">
        <v>3339</v>
      </c>
    </row>
    <row r="2357" spans="1:20" x14ac:dyDescent="0.3">
      <c r="A2357" s="6" t="s">
        <v>533</v>
      </c>
      <c r="B2357" s="6" t="s">
        <v>534</v>
      </c>
      <c r="C2357" s="6" t="s">
        <v>35</v>
      </c>
      <c r="D2357" s="1088" t="s">
        <v>567</v>
      </c>
      <c r="E2357" s="1088" t="s">
        <v>195</v>
      </c>
      <c r="F2357" s="6" t="s">
        <v>733</v>
      </c>
      <c r="G2357" s="6" t="s">
        <v>792</v>
      </c>
      <c r="H2357" s="6" t="s">
        <v>1428</v>
      </c>
      <c r="J2357" s="1215" t="s">
        <v>510</v>
      </c>
      <c r="K2357" s="1219" t="s">
        <v>3033</v>
      </c>
      <c r="L2357" s="8">
        <v>260</v>
      </c>
      <c r="M2357" s="8">
        <v>1296</v>
      </c>
      <c r="N2357" s="1169" t="s">
        <v>271</v>
      </c>
      <c r="P2357" s="6" t="s">
        <v>3361</v>
      </c>
      <c r="Q2357" s="1215" t="s">
        <v>240</v>
      </c>
      <c r="R2357" s="1088" t="s">
        <v>242</v>
      </c>
      <c r="S2357" s="1088" t="s">
        <v>3387</v>
      </c>
      <c r="T2357" s="1088" t="s">
        <v>3340</v>
      </c>
    </row>
    <row r="2358" spans="1:20" x14ac:dyDescent="0.3">
      <c r="A2358" s="6" t="s">
        <v>533</v>
      </c>
      <c r="B2358" s="6" t="s">
        <v>534</v>
      </c>
      <c r="C2358" s="6" t="s">
        <v>35</v>
      </c>
      <c r="D2358" s="1088" t="s">
        <v>567</v>
      </c>
      <c r="E2358" s="1088" t="s">
        <v>195</v>
      </c>
      <c r="F2358" s="6" t="s">
        <v>733</v>
      </c>
      <c r="G2358" s="6" t="s">
        <v>3213</v>
      </c>
      <c r="H2358" s="6" t="s">
        <v>3070</v>
      </c>
      <c r="J2358" s="1215" t="s">
        <v>510</v>
      </c>
      <c r="K2358" s="1219" t="s">
        <v>3112</v>
      </c>
      <c r="L2358" s="8">
        <v>7</v>
      </c>
      <c r="M2358" s="8">
        <v>51</v>
      </c>
      <c r="N2358" s="1169" t="s">
        <v>271</v>
      </c>
      <c r="P2358" s="6" t="s">
        <v>3361</v>
      </c>
      <c r="Q2358" s="1215" t="s">
        <v>240</v>
      </c>
      <c r="R2358" s="1088" t="s">
        <v>242</v>
      </c>
      <c r="S2358" s="6" t="s">
        <v>3388</v>
      </c>
      <c r="T2358" s="1088" t="s">
        <v>3351</v>
      </c>
    </row>
    <row r="2359" spans="1:20" x14ac:dyDescent="0.3">
      <c r="A2359" s="6" t="s">
        <v>533</v>
      </c>
      <c r="B2359" s="6" t="s">
        <v>534</v>
      </c>
      <c r="C2359" s="6" t="s">
        <v>35</v>
      </c>
      <c r="D2359" s="1088" t="s">
        <v>567</v>
      </c>
      <c r="E2359" s="6" t="s">
        <v>196</v>
      </c>
      <c r="F2359" s="6" t="s">
        <v>568</v>
      </c>
      <c r="G2359" s="6" t="s">
        <v>2103</v>
      </c>
      <c r="H2359" s="6" t="s">
        <v>2104</v>
      </c>
      <c r="J2359" s="1215" t="s">
        <v>510</v>
      </c>
      <c r="K2359" s="1219" t="s">
        <v>3112</v>
      </c>
      <c r="L2359" s="8">
        <v>1</v>
      </c>
      <c r="M2359" s="8">
        <v>3</v>
      </c>
      <c r="N2359" s="1169" t="s">
        <v>274</v>
      </c>
      <c r="P2359" s="6" t="s">
        <v>3361</v>
      </c>
      <c r="Q2359" s="1215" t="s">
        <v>241</v>
      </c>
      <c r="R2359" s="1088" t="s">
        <v>243</v>
      </c>
      <c r="S2359" s="1088" t="s">
        <v>3396</v>
      </c>
      <c r="T2359" s="1215" t="s">
        <v>3356</v>
      </c>
    </row>
    <row r="2360" spans="1:20" x14ac:dyDescent="0.3">
      <c r="A2360" s="6" t="s">
        <v>533</v>
      </c>
      <c r="B2360" s="6" t="s">
        <v>534</v>
      </c>
      <c r="C2360" s="6" t="s">
        <v>31</v>
      </c>
      <c r="D2360" s="1088" t="s">
        <v>549</v>
      </c>
      <c r="E2360" s="6" t="s">
        <v>170</v>
      </c>
      <c r="F2360" s="6" t="s">
        <v>866</v>
      </c>
      <c r="G2360" s="6" t="s">
        <v>938</v>
      </c>
      <c r="H2360" s="6" t="s">
        <v>1110</v>
      </c>
      <c r="J2360" s="1215" t="s">
        <v>510</v>
      </c>
      <c r="K2360" s="1219" t="s">
        <v>3112</v>
      </c>
      <c r="L2360" s="8">
        <v>3</v>
      </c>
      <c r="M2360" s="8">
        <v>20</v>
      </c>
      <c r="N2360" s="1169" t="s">
        <v>272</v>
      </c>
      <c r="P2360" s="6" t="s">
        <v>3361</v>
      </c>
      <c r="Q2360" s="1215" t="s">
        <v>241</v>
      </c>
      <c r="R2360" s="1088" t="s">
        <v>243</v>
      </c>
      <c r="S2360" s="1088" t="s">
        <v>3399</v>
      </c>
      <c r="T2360" s="1088" t="s">
        <v>3343</v>
      </c>
    </row>
    <row r="2361" spans="1:20" x14ac:dyDescent="0.3">
      <c r="A2361" s="6" t="s">
        <v>533</v>
      </c>
      <c r="B2361" s="6" t="s">
        <v>534</v>
      </c>
      <c r="C2361" s="6" t="s">
        <v>31</v>
      </c>
      <c r="D2361" s="1088" t="s">
        <v>549</v>
      </c>
      <c r="E2361" s="6" t="s">
        <v>170</v>
      </c>
      <c r="F2361" s="6" t="s">
        <v>866</v>
      </c>
      <c r="G2361" s="6" t="s">
        <v>1109</v>
      </c>
      <c r="H2361" s="6" t="s">
        <v>1117</v>
      </c>
      <c r="J2361" s="1215" t="s">
        <v>510</v>
      </c>
      <c r="K2361" s="1219" t="s">
        <v>3112</v>
      </c>
      <c r="L2361" s="8">
        <v>1</v>
      </c>
      <c r="M2361" s="8">
        <v>3</v>
      </c>
      <c r="N2361" s="1169" t="s">
        <v>272</v>
      </c>
      <c r="P2361" s="6" t="s">
        <v>3361</v>
      </c>
      <c r="Q2361" s="1215" t="s">
        <v>241</v>
      </c>
      <c r="R2361" s="1088" t="s">
        <v>243</v>
      </c>
      <c r="S2361" s="1088" t="s">
        <v>3399</v>
      </c>
      <c r="T2361" s="1088" t="s">
        <v>3343</v>
      </c>
    </row>
    <row r="2362" spans="1:20" x14ac:dyDescent="0.3">
      <c r="A2362" s="6" t="s">
        <v>533</v>
      </c>
      <c r="B2362" s="6" t="s">
        <v>534</v>
      </c>
      <c r="C2362" s="6" t="s">
        <v>31</v>
      </c>
      <c r="D2362" s="1088" t="s">
        <v>549</v>
      </c>
      <c r="E2362" s="6" t="s">
        <v>169</v>
      </c>
      <c r="F2362" s="6" t="s">
        <v>673</v>
      </c>
      <c r="G2362" s="6" t="s">
        <v>1081</v>
      </c>
      <c r="H2362" s="6" t="s">
        <v>1551</v>
      </c>
      <c r="J2362" s="1215" t="s">
        <v>510</v>
      </c>
      <c r="K2362" s="1219" t="s">
        <v>3033</v>
      </c>
      <c r="L2362" s="8">
        <v>2</v>
      </c>
      <c r="M2362" s="8">
        <v>12</v>
      </c>
      <c r="N2362" s="1169" t="s">
        <v>271</v>
      </c>
      <c r="P2362" s="6" t="s">
        <v>3361</v>
      </c>
      <c r="Q2362" s="1215" t="s">
        <v>240</v>
      </c>
      <c r="R2362" s="1088" t="s">
        <v>242</v>
      </c>
      <c r="S2362" s="1088" t="s">
        <v>3403</v>
      </c>
      <c r="T2362" s="1215" t="s">
        <v>3357</v>
      </c>
    </row>
    <row r="2363" spans="1:20" x14ac:dyDescent="0.3">
      <c r="A2363" s="6" t="s">
        <v>533</v>
      </c>
      <c r="B2363" s="6" t="s">
        <v>534</v>
      </c>
      <c r="C2363" s="6" t="s">
        <v>31</v>
      </c>
      <c r="D2363" s="1088" t="s">
        <v>549</v>
      </c>
      <c r="E2363" s="6" t="s">
        <v>169</v>
      </c>
      <c r="F2363" s="6" t="s">
        <v>673</v>
      </c>
      <c r="G2363" s="6" t="s">
        <v>2566</v>
      </c>
      <c r="H2363" s="6" t="s">
        <v>1563</v>
      </c>
      <c r="J2363" s="1215" t="s">
        <v>510</v>
      </c>
      <c r="K2363" s="1219" t="s">
        <v>3033</v>
      </c>
      <c r="L2363" s="8">
        <v>50</v>
      </c>
      <c r="M2363" s="8">
        <v>198</v>
      </c>
      <c r="N2363" s="1169" t="s">
        <v>271</v>
      </c>
      <c r="P2363" s="6" t="s">
        <v>3361</v>
      </c>
      <c r="Q2363" s="1215" t="s">
        <v>240</v>
      </c>
      <c r="R2363" s="1088" t="s">
        <v>242</v>
      </c>
      <c r="S2363" s="1088" t="s">
        <v>3402</v>
      </c>
      <c r="T2363" s="1088" t="s">
        <v>3350</v>
      </c>
    </row>
    <row r="2364" spans="1:20" x14ac:dyDescent="0.3">
      <c r="A2364" s="6" t="s">
        <v>533</v>
      </c>
      <c r="B2364" s="6" t="s">
        <v>534</v>
      </c>
      <c r="C2364" s="6" t="s">
        <v>31</v>
      </c>
      <c r="D2364" s="1088" t="s">
        <v>549</v>
      </c>
      <c r="E2364" s="6" t="s">
        <v>169</v>
      </c>
      <c r="F2364" s="6" t="s">
        <v>673</v>
      </c>
      <c r="G2364" s="6" t="s">
        <v>550</v>
      </c>
      <c r="H2364" s="6" t="s">
        <v>3142</v>
      </c>
      <c r="I2364" s="6" t="s">
        <v>3142</v>
      </c>
      <c r="J2364" s="1215" t="s">
        <v>510</v>
      </c>
      <c r="K2364" s="1219" t="s">
        <v>3112</v>
      </c>
      <c r="L2364" s="8">
        <v>7</v>
      </c>
      <c r="M2364" s="8">
        <v>60</v>
      </c>
      <c r="N2364" s="1169" t="s">
        <v>272</v>
      </c>
      <c r="P2364" s="6" t="s">
        <v>3361</v>
      </c>
      <c r="Q2364" s="1215" t="s">
        <v>240</v>
      </c>
      <c r="R2364" s="1088" t="s">
        <v>242</v>
      </c>
      <c r="S2364" s="1088" t="s">
        <v>3403</v>
      </c>
      <c r="T2364" s="1088" t="s">
        <v>3357</v>
      </c>
    </row>
    <row r="2365" spans="1:20" x14ac:dyDescent="0.3">
      <c r="A2365" s="6" t="s">
        <v>533</v>
      </c>
      <c r="B2365" s="6" t="s">
        <v>534</v>
      </c>
      <c r="C2365" s="6" t="s">
        <v>31</v>
      </c>
      <c r="D2365" s="1088" t="s">
        <v>549</v>
      </c>
      <c r="E2365" s="6" t="s">
        <v>169</v>
      </c>
      <c r="F2365" s="6" t="s">
        <v>673</v>
      </c>
      <c r="G2365" s="6" t="s">
        <v>550</v>
      </c>
      <c r="H2365" s="6" t="s">
        <v>3171</v>
      </c>
      <c r="I2365" s="6" t="s">
        <v>3171</v>
      </c>
      <c r="J2365" s="1215" t="s">
        <v>510</v>
      </c>
      <c r="K2365" s="1219" t="s">
        <v>3033</v>
      </c>
      <c r="L2365" s="8">
        <v>15</v>
      </c>
      <c r="M2365" s="8">
        <v>79</v>
      </c>
      <c r="N2365" s="1169" t="s">
        <v>271</v>
      </c>
      <c r="P2365" s="6" t="s">
        <v>3361</v>
      </c>
      <c r="Q2365" s="1215" t="s">
        <v>240</v>
      </c>
      <c r="R2365" s="1088" t="s">
        <v>242</v>
      </c>
      <c r="S2365" s="1088" t="s">
        <v>3403</v>
      </c>
      <c r="T2365" s="1088" t="s">
        <v>3357</v>
      </c>
    </row>
    <row r="2366" spans="1:20" x14ac:dyDescent="0.3">
      <c r="A2366" s="6" t="s">
        <v>533</v>
      </c>
      <c r="B2366" s="6" t="s">
        <v>534</v>
      </c>
      <c r="C2366" s="6" t="s">
        <v>31</v>
      </c>
      <c r="D2366" s="1088" t="s">
        <v>549</v>
      </c>
      <c r="E2366" s="1169" t="s">
        <v>171</v>
      </c>
      <c r="F2366" s="6" t="s">
        <v>634</v>
      </c>
      <c r="G2366" s="6" t="s">
        <v>1986</v>
      </c>
      <c r="H2366" s="6" t="s">
        <v>813</v>
      </c>
      <c r="J2366" s="1215" t="s">
        <v>510</v>
      </c>
      <c r="K2366" s="1219" t="s">
        <v>3033</v>
      </c>
      <c r="L2366" s="8">
        <v>10</v>
      </c>
      <c r="M2366" s="8">
        <v>109</v>
      </c>
      <c r="N2366" s="1169" t="s">
        <v>271</v>
      </c>
      <c r="P2366" s="6" t="s">
        <v>3361</v>
      </c>
      <c r="Q2366" s="1215" t="s">
        <v>240</v>
      </c>
      <c r="R2366" s="1088" t="s">
        <v>242</v>
      </c>
      <c r="S2366" s="1088" t="s">
        <v>3390</v>
      </c>
      <c r="T2366" s="1088" t="s">
        <v>3339</v>
      </c>
    </row>
    <row r="2367" spans="1:20" x14ac:dyDescent="0.3">
      <c r="A2367" s="6" t="s">
        <v>533</v>
      </c>
      <c r="B2367" s="6" t="s">
        <v>534</v>
      </c>
      <c r="C2367" s="6" t="s">
        <v>31</v>
      </c>
      <c r="D2367" s="1088" t="s">
        <v>549</v>
      </c>
      <c r="E2367" s="1169" t="s">
        <v>171</v>
      </c>
      <c r="F2367" s="6" t="s">
        <v>634</v>
      </c>
      <c r="G2367" s="6" t="s">
        <v>1077</v>
      </c>
      <c r="H2367" s="6" t="s">
        <v>1998</v>
      </c>
      <c r="J2367" s="1215" t="s">
        <v>510</v>
      </c>
      <c r="K2367" s="1219" t="s">
        <v>3109</v>
      </c>
      <c r="L2367" s="8">
        <v>2</v>
      </c>
      <c r="M2367" s="8">
        <v>22</v>
      </c>
      <c r="N2367" s="1169" t="s">
        <v>271</v>
      </c>
      <c r="P2367" s="6" t="s">
        <v>3361</v>
      </c>
      <c r="Q2367" s="1215" t="s">
        <v>240</v>
      </c>
      <c r="R2367" s="1088" t="s">
        <v>242</v>
      </c>
      <c r="S2367" s="1088" t="s">
        <v>3390</v>
      </c>
      <c r="T2367" s="1088" t="s">
        <v>3339</v>
      </c>
    </row>
    <row r="2368" spans="1:20" x14ac:dyDescent="0.3">
      <c r="A2368" s="6" t="s">
        <v>533</v>
      </c>
      <c r="B2368" s="6" t="s">
        <v>534</v>
      </c>
      <c r="C2368" s="6" t="s">
        <v>35</v>
      </c>
      <c r="D2368" s="1088" t="s">
        <v>567</v>
      </c>
      <c r="E2368" s="1169" t="s">
        <v>195</v>
      </c>
      <c r="F2368" s="6" t="s">
        <v>733</v>
      </c>
      <c r="G2368" s="6" t="s">
        <v>1620</v>
      </c>
      <c r="H2368" s="6" t="s">
        <v>2096</v>
      </c>
      <c r="J2368" s="1215" t="s">
        <v>510</v>
      </c>
      <c r="K2368" s="1219" t="s">
        <v>3033</v>
      </c>
      <c r="L2368" s="8">
        <v>86</v>
      </c>
      <c r="M2368" s="8">
        <v>564</v>
      </c>
      <c r="N2368" s="1169" t="s">
        <v>271</v>
      </c>
      <c r="P2368" s="6" t="s">
        <v>3361</v>
      </c>
      <c r="Q2368" s="1215" t="s">
        <v>240</v>
      </c>
      <c r="R2368" s="1088" t="s">
        <v>242</v>
      </c>
      <c r="S2368" s="1088" t="s">
        <v>3387</v>
      </c>
      <c r="T2368" s="1088" t="s">
        <v>3340</v>
      </c>
    </row>
    <row r="2369" spans="1:20" x14ac:dyDescent="0.3">
      <c r="A2369" s="6" t="s">
        <v>533</v>
      </c>
      <c r="B2369" s="6" t="s">
        <v>534</v>
      </c>
      <c r="C2369" s="6" t="s">
        <v>31</v>
      </c>
      <c r="D2369" s="1088" t="s">
        <v>549</v>
      </c>
      <c r="E2369" s="6" t="s">
        <v>169</v>
      </c>
      <c r="F2369" s="6" t="s">
        <v>673</v>
      </c>
      <c r="G2369" s="6" t="s">
        <v>2572</v>
      </c>
      <c r="H2369" s="6" t="s">
        <v>1271</v>
      </c>
      <c r="J2369" s="1215" t="s">
        <v>510</v>
      </c>
      <c r="K2369" s="1219" t="s">
        <v>3033</v>
      </c>
      <c r="L2369" s="8">
        <v>18</v>
      </c>
      <c r="M2369" s="8">
        <v>205</v>
      </c>
      <c r="N2369" s="1169" t="s">
        <v>271</v>
      </c>
      <c r="P2369" s="6" t="s">
        <v>3361</v>
      </c>
      <c r="Q2369" s="1215" t="s">
        <v>240</v>
      </c>
      <c r="R2369" s="1088" t="s">
        <v>242</v>
      </c>
      <c r="S2369" s="1088" t="s">
        <v>3402</v>
      </c>
      <c r="T2369" s="1088" t="s">
        <v>3350</v>
      </c>
    </row>
    <row r="2370" spans="1:20" x14ac:dyDescent="0.3">
      <c r="A2370" s="6" t="s">
        <v>533</v>
      </c>
      <c r="B2370" s="6" t="s">
        <v>534</v>
      </c>
      <c r="C2370" s="6" t="s">
        <v>35</v>
      </c>
      <c r="D2370" s="1088" t="s">
        <v>567</v>
      </c>
      <c r="E2370" s="1169" t="s">
        <v>195</v>
      </c>
      <c r="F2370" s="6" t="s">
        <v>733</v>
      </c>
      <c r="G2370" s="6" t="s">
        <v>2921</v>
      </c>
      <c r="H2370" s="6" t="s">
        <v>2094</v>
      </c>
      <c r="J2370" s="1215" t="s">
        <v>510</v>
      </c>
      <c r="K2370" s="1219" t="s">
        <v>3033</v>
      </c>
      <c r="L2370" s="8">
        <v>86</v>
      </c>
      <c r="M2370" s="8">
        <v>564</v>
      </c>
      <c r="N2370" s="1169" t="s">
        <v>271</v>
      </c>
      <c r="P2370" s="6" t="s">
        <v>3361</v>
      </c>
      <c r="Q2370" s="1215" t="s">
        <v>240</v>
      </c>
      <c r="R2370" s="1088" t="s">
        <v>242</v>
      </c>
      <c r="S2370" s="1088" t="s">
        <v>3387</v>
      </c>
      <c r="T2370" s="1088" t="s">
        <v>3340</v>
      </c>
    </row>
    <row r="2371" spans="1:20" x14ac:dyDescent="0.3">
      <c r="A2371" s="6" t="s">
        <v>533</v>
      </c>
      <c r="B2371" s="6" t="s">
        <v>534</v>
      </c>
      <c r="C2371" s="6" t="s">
        <v>35</v>
      </c>
      <c r="D2371" s="1088" t="s">
        <v>567</v>
      </c>
      <c r="E2371" s="1169" t="s">
        <v>195</v>
      </c>
      <c r="F2371" s="6" t="s">
        <v>733</v>
      </c>
      <c r="G2371" s="6" t="s">
        <v>3023</v>
      </c>
      <c r="H2371" s="6" t="s">
        <v>1797</v>
      </c>
      <c r="J2371" s="1215" t="s">
        <v>510</v>
      </c>
      <c r="K2371" s="1219" t="s">
        <v>3033</v>
      </c>
      <c r="L2371" s="8">
        <v>1</v>
      </c>
      <c r="M2371" s="8">
        <v>8</v>
      </c>
      <c r="N2371" s="1169" t="s">
        <v>271</v>
      </c>
      <c r="P2371" s="6" t="s">
        <v>3361</v>
      </c>
      <c r="Q2371" s="1215" t="s">
        <v>240</v>
      </c>
      <c r="R2371" s="1088" t="s">
        <v>242</v>
      </c>
      <c r="S2371" s="1088" t="s">
        <v>3397</v>
      </c>
      <c r="T2371" s="1088" t="s">
        <v>3341</v>
      </c>
    </row>
    <row r="2372" spans="1:20" x14ac:dyDescent="0.3">
      <c r="A2372" s="6" t="s">
        <v>533</v>
      </c>
      <c r="B2372" s="6" t="s">
        <v>534</v>
      </c>
      <c r="C2372" s="6" t="s">
        <v>35</v>
      </c>
      <c r="D2372" s="6" t="s">
        <v>567</v>
      </c>
      <c r="E2372" s="1169" t="s">
        <v>195</v>
      </c>
      <c r="F2372" s="6" t="s">
        <v>733</v>
      </c>
      <c r="G2372" s="6" t="s">
        <v>1622</v>
      </c>
      <c r="H2372" s="6" t="s">
        <v>1942</v>
      </c>
      <c r="J2372" s="1215" t="s">
        <v>510</v>
      </c>
      <c r="K2372" s="1219" t="s">
        <v>3112</v>
      </c>
      <c r="L2372" s="8">
        <v>1</v>
      </c>
      <c r="M2372" s="8">
        <v>2</v>
      </c>
      <c r="N2372" s="1169" t="s">
        <v>271</v>
      </c>
      <c r="P2372" s="6" t="s">
        <v>3361</v>
      </c>
      <c r="Q2372" s="1215" t="s">
        <v>240</v>
      </c>
      <c r="R2372" s="1088" t="s">
        <v>242</v>
      </c>
      <c r="S2372" s="6" t="s">
        <v>3386</v>
      </c>
      <c r="T2372" s="1088" t="s">
        <v>3352</v>
      </c>
    </row>
    <row r="2373" spans="1:20" x14ac:dyDescent="0.3">
      <c r="A2373" s="6" t="s">
        <v>533</v>
      </c>
      <c r="B2373" s="6" t="s">
        <v>534</v>
      </c>
      <c r="C2373" s="6" t="s">
        <v>35</v>
      </c>
      <c r="D2373" s="1088" t="s">
        <v>567</v>
      </c>
      <c r="E2373" s="1088" t="s">
        <v>195</v>
      </c>
      <c r="F2373" s="6" t="s">
        <v>733</v>
      </c>
      <c r="G2373" s="6" t="s">
        <v>1906</v>
      </c>
      <c r="H2373" s="6" t="s">
        <v>1839</v>
      </c>
      <c r="J2373" s="1215" t="s">
        <v>510</v>
      </c>
      <c r="K2373" s="1219" t="s">
        <v>3033</v>
      </c>
      <c r="L2373" s="8">
        <v>23</v>
      </c>
      <c r="M2373" s="8">
        <v>107</v>
      </c>
      <c r="N2373" s="1169" t="s">
        <v>271</v>
      </c>
      <c r="P2373" s="6" t="s">
        <v>3361</v>
      </c>
      <c r="Q2373" s="1215" t="s">
        <v>240</v>
      </c>
      <c r="R2373" s="1088" t="s">
        <v>242</v>
      </c>
      <c r="S2373" s="1088" t="s">
        <v>3387</v>
      </c>
      <c r="T2373" s="1088" t="s">
        <v>3340</v>
      </c>
    </row>
    <row r="2374" spans="1:20" x14ac:dyDescent="0.3">
      <c r="A2374" s="6" t="s">
        <v>533</v>
      </c>
      <c r="B2374" s="6" t="s">
        <v>534</v>
      </c>
      <c r="C2374" s="6" t="s">
        <v>31</v>
      </c>
      <c r="D2374" s="6" t="s">
        <v>549</v>
      </c>
      <c r="E2374" s="6" t="s">
        <v>172</v>
      </c>
      <c r="F2374" s="6" t="s">
        <v>706</v>
      </c>
      <c r="G2374" s="6" t="s">
        <v>2887</v>
      </c>
      <c r="H2374" s="6" t="s">
        <v>1165</v>
      </c>
      <c r="J2374" s="1215" t="s">
        <v>510</v>
      </c>
      <c r="K2374" s="1219" t="s">
        <v>3033</v>
      </c>
      <c r="L2374" s="8">
        <v>22</v>
      </c>
      <c r="M2374" s="8">
        <v>77</v>
      </c>
      <c r="N2374" s="1169" t="s">
        <v>271</v>
      </c>
      <c r="P2374" s="6" t="s">
        <v>3361</v>
      </c>
      <c r="Q2374" s="1215" t="s">
        <v>240</v>
      </c>
      <c r="R2374" s="1088" t="s">
        <v>242</v>
      </c>
      <c r="S2374" s="1088" t="s">
        <v>3390</v>
      </c>
      <c r="T2374" s="1088" t="s">
        <v>3339</v>
      </c>
    </row>
    <row r="2375" spans="1:20" x14ac:dyDescent="0.3">
      <c r="A2375" s="6" t="s">
        <v>533</v>
      </c>
      <c r="B2375" s="6" t="s">
        <v>534</v>
      </c>
      <c r="C2375" s="6" t="s">
        <v>31</v>
      </c>
      <c r="D2375" s="1088" t="s">
        <v>549</v>
      </c>
      <c r="E2375" s="6" t="s">
        <v>172</v>
      </c>
      <c r="F2375" s="6" t="s">
        <v>706</v>
      </c>
      <c r="G2375" s="6" t="s">
        <v>2887</v>
      </c>
      <c r="H2375" s="6" t="s">
        <v>1165</v>
      </c>
      <c r="J2375" s="1215" t="s">
        <v>510</v>
      </c>
      <c r="K2375" s="1219" t="s">
        <v>3112</v>
      </c>
      <c r="L2375" s="8">
        <v>0</v>
      </c>
      <c r="M2375" s="8">
        <v>5</v>
      </c>
      <c r="N2375" s="1169" t="s">
        <v>271</v>
      </c>
      <c r="P2375" s="6" t="s">
        <v>3361</v>
      </c>
      <c r="Q2375" s="1215" t="s">
        <v>240</v>
      </c>
      <c r="R2375" s="1088" t="s">
        <v>242</v>
      </c>
      <c r="S2375" s="1088" t="s">
        <v>3390</v>
      </c>
      <c r="T2375" s="1088" t="s">
        <v>3339</v>
      </c>
    </row>
    <row r="2376" spans="1:20" x14ac:dyDescent="0.3">
      <c r="A2376" s="6" t="s">
        <v>533</v>
      </c>
      <c r="B2376" s="6" t="s">
        <v>534</v>
      </c>
      <c r="C2376" s="6" t="s">
        <v>33</v>
      </c>
      <c r="D2376" s="1088" t="s">
        <v>561</v>
      </c>
      <c r="E2376" s="6" t="s">
        <v>183</v>
      </c>
      <c r="F2376" s="6" t="s">
        <v>562</v>
      </c>
      <c r="G2376" s="6" t="s">
        <v>726</v>
      </c>
      <c r="H2376" s="6" t="s">
        <v>727</v>
      </c>
      <c r="J2376" s="1215" t="s">
        <v>510</v>
      </c>
      <c r="K2376" s="1219" t="s">
        <v>3033</v>
      </c>
      <c r="L2376" s="8">
        <v>33</v>
      </c>
      <c r="M2376" s="8">
        <v>154</v>
      </c>
      <c r="N2376" s="1169" t="s">
        <v>274</v>
      </c>
      <c r="P2376" s="6" t="s">
        <v>3361</v>
      </c>
      <c r="Q2376" s="1215" t="s">
        <v>241</v>
      </c>
      <c r="R2376" s="1088" t="s">
        <v>243</v>
      </c>
      <c r="S2376" s="1088" t="s">
        <v>3398</v>
      </c>
      <c r="T2376" s="1088" t="s">
        <v>3344</v>
      </c>
    </row>
    <row r="2377" spans="1:20" x14ac:dyDescent="0.3">
      <c r="A2377" s="6" t="s">
        <v>533</v>
      </c>
      <c r="B2377" s="6" t="s">
        <v>534</v>
      </c>
      <c r="C2377" s="6" t="s">
        <v>33</v>
      </c>
      <c r="D2377" s="1088" t="s">
        <v>561</v>
      </c>
      <c r="E2377" s="6" t="s">
        <v>183</v>
      </c>
      <c r="F2377" s="6" t="s">
        <v>562</v>
      </c>
      <c r="G2377" s="6" t="s">
        <v>726</v>
      </c>
      <c r="H2377" s="6" t="s">
        <v>727</v>
      </c>
      <c r="J2377" s="1215" t="s">
        <v>510</v>
      </c>
      <c r="K2377" s="1219" t="s">
        <v>3112</v>
      </c>
      <c r="L2377" s="8">
        <v>2</v>
      </c>
      <c r="M2377" s="8">
        <v>9</v>
      </c>
      <c r="N2377" s="1169" t="s">
        <v>274</v>
      </c>
      <c r="P2377" s="6" t="s">
        <v>3361</v>
      </c>
      <c r="Q2377" s="1215" t="s">
        <v>241</v>
      </c>
      <c r="R2377" s="1088" t="s">
        <v>243</v>
      </c>
      <c r="S2377" s="1088" t="s">
        <v>3398</v>
      </c>
      <c r="T2377" s="1088" t="s">
        <v>3344</v>
      </c>
    </row>
    <row r="2378" spans="1:20" x14ac:dyDescent="0.3">
      <c r="A2378" s="6" t="s">
        <v>533</v>
      </c>
      <c r="B2378" s="6" t="s">
        <v>534</v>
      </c>
      <c r="C2378" s="6" t="s">
        <v>33</v>
      </c>
      <c r="D2378" s="1088" t="s">
        <v>561</v>
      </c>
      <c r="E2378" s="6" t="s">
        <v>183</v>
      </c>
      <c r="F2378" s="6" t="s">
        <v>562</v>
      </c>
      <c r="G2378" s="6" t="s">
        <v>680</v>
      </c>
      <c r="H2378" s="6" t="s">
        <v>681</v>
      </c>
      <c r="J2378" s="1215" t="s">
        <v>510</v>
      </c>
      <c r="K2378" s="1219" t="s">
        <v>3033</v>
      </c>
      <c r="L2378" s="8">
        <v>11</v>
      </c>
      <c r="M2378" s="8">
        <v>89</v>
      </c>
      <c r="N2378" s="1169" t="s">
        <v>274</v>
      </c>
      <c r="P2378" s="6" t="s">
        <v>3361</v>
      </c>
      <c r="Q2378" s="1215" t="s">
        <v>241</v>
      </c>
      <c r="R2378" s="1088" t="s">
        <v>243</v>
      </c>
      <c r="S2378" s="1088" t="s">
        <v>3398</v>
      </c>
      <c r="T2378" s="1088" t="s">
        <v>3344</v>
      </c>
    </row>
    <row r="2379" spans="1:20" x14ac:dyDescent="0.3">
      <c r="A2379" s="6" t="s">
        <v>533</v>
      </c>
      <c r="B2379" s="6" t="s">
        <v>534</v>
      </c>
      <c r="C2379" s="6" t="s">
        <v>33</v>
      </c>
      <c r="D2379" s="1088" t="s">
        <v>561</v>
      </c>
      <c r="E2379" s="6" t="s">
        <v>183</v>
      </c>
      <c r="F2379" s="6" t="s">
        <v>562</v>
      </c>
      <c r="G2379" s="6" t="s">
        <v>2071</v>
      </c>
      <c r="H2379" s="6" t="s">
        <v>2072</v>
      </c>
      <c r="J2379" s="1215" t="s">
        <v>510</v>
      </c>
      <c r="K2379" s="1219" t="s">
        <v>3112</v>
      </c>
      <c r="L2379" s="8">
        <v>1</v>
      </c>
      <c r="M2379" s="8">
        <v>6</v>
      </c>
      <c r="N2379" s="1169" t="s">
        <v>274</v>
      </c>
      <c r="P2379" s="6" t="s">
        <v>3361</v>
      </c>
      <c r="Q2379" s="1215" t="s">
        <v>241</v>
      </c>
      <c r="R2379" s="1088" t="s">
        <v>243</v>
      </c>
      <c r="S2379" s="1088" t="s">
        <v>3398</v>
      </c>
      <c r="T2379" s="1088" t="s">
        <v>3344</v>
      </c>
    </row>
    <row r="2380" spans="1:20" x14ac:dyDescent="0.3">
      <c r="A2380" s="6" t="s">
        <v>533</v>
      </c>
      <c r="B2380" s="6" t="s">
        <v>534</v>
      </c>
      <c r="C2380" s="6" t="s">
        <v>31</v>
      </c>
      <c r="D2380" s="1088" t="s">
        <v>549</v>
      </c>
      <c r="E2380" s="1088" t="s">
        <v>169</v>
      </c>
      <c r="F2380" s="6" t="s">
        <v>673</v>
      </c>
      <c r="G2380" s="6" t="s">
        <v>1731</v>
      </c>
      <c r="H2380" s="6" t="s">
        <v>3253</v>
      </c>
      <c r="J2380" s="1215" t="s">
        <v>510</v>
      </c>
      <c r="K2380" s="1219" t="s">
        <v>3033</v>
      </c>
      <c r="L2380" s="8">
        <v>6</v>
      </c>
      <c r="M2380" s="8">
        <v>42</v>
      </c>
      <c r="N2380" s="1169" t="s">
        <v>271</v>
      </c>
      <c r="P2380" s="6" t="s">
        <v>3361</v>
      </c>
      <c r="Q2380" s="1215" t="s">
        <v>240</v>
      </c>
      <c r="R2380" s="1088" t="s">
        <v>242</v>
      </c>
      <c r="S2380" s="1088" t="s">
        <v>3390</v>
      </c>
      <c r="T2380" s="1088" t="s">
        <v>3339</v>
      </c>
    </row>
    <row r="2381" spans="1:20" x14ac:dyDescent="0.3">
      <c r="A2381" s="6" t="s">
        <v>533</v>
      </c>
      <c r="B2381" s="6" t="s">
        <v>534</v>
      </c>
      <c r="C2381" s="6" t="s">
        <v>31</v>
      </c>
      <c r="D2381" s="1088" t="s">
        <v>549</v>
      </c>
      <c r="E2381" s="6" t="s">
        <v>169</v>
      </c>
      <c r="F2381" s="6" t="s">
        <v>673</v>
      </c>
      <c r="G2381" s="6" t="s">
        <v>1474</v>
      </c>
      <c r="H2381" s="6" t="s">
        <v>2569</v>
      </c>
      <c r="J2381" s="1215" t="s">
        <v>510</v>
      </c>
      <c r="K2381" s="1219" t="s">
        <v>3033</v>
      </c>
      <c r="L2381" s="8">
        <v>2</v>
      </c>
      <c r="M2381" s="8">
        <v>9</v>
      </c>
      <c r="N2381" s="1169" t="s">
        <v>271</v>
      </c>
      <c r="P2381" s="6" t="s">
        <v>3361</v>
      </c>
      <c r="Q2381" s="1215" t="s">
        <v>240</v>
      </c>
      <c r="R2381" s="1088" t="s">
        <v>242</v>
      </c>
      <c r="S2381" s="1088" t="s">
        <v>3390</v>
      </c>
      <c r="T2381" s="1088" t="s">
        <v>3339</v>
      </c>
    </row>
    <row r="2382" spans="1:20" x14ac:dyDescent="0.3">
      <c r="A2382" s="6" t="s">
        <v>533</v>
      </c>
      <c r="B2382" s="6" t="s">
        <v>534</v>
      </c>
      <c r="C2382" s="6" t="s">
        <v>33</v>
      </c>
      <c r="D2382" s="1088" t="s">
        <v>561</v>
      </c>
      <c r="E2382" s="1088" t="s">
        <v>183</v>
      </c>
      <c r="F2382" s="6" t="s">
        <v>562</v>
      </c>
      <c r="G2382" s="6" t="s">
        <v>724</v>
      </c>
      <c r="H2382" s="6" t="s">
        <v>725</v>
      </c>
      <c r="J2382" s="1215" t="s">
        <v>510</v>
      </c>
      <c r="K2382" s="1219" t="s">
        <v>3033</v>
      </c>
      <c r="L2382" s="8">
        <v>4</v>
      </c>
      <c r="M2382" s="8">
        <v>28</v>
      </c>
      <c r="N2382" s="1169" t="s">
        <v>274</v>
      </c>
      <c r="P2382" s="6" t="s">
        <v>3361</v>
      </c>
      <c r="Q2382" s="1215" t="s">
        <v>241</v>
      </c>
      <c r="R2382" s="1088" t="s">
        <v>243</v>
      </c>
      <c r="S2382" s="1088" t="s">
        <v>3398</v>
      </c>
      <c r="T2382" s="1088" t="s">
        <v>3344</v>
      </c>
    </row>
    <row r="2383" spans="1:20" x14ac:dyDescent="0.3">
      <c r="A2383" s="6" t="s">
        <v>533</v>
      </c>
      <c r="B2383" s="6" t="s">
        <v>534</v>
      </c>
      <c r="C2383" s="6" t="s">
        <v>33</v>
      </c>
      <c r="D2383" s="1088" t="s">
        <v>561</v>
      </c>
      <c r="E2383" s="1088" t="s">
        <v>183</v>
      </c>
      <c r="F2383" s="6" t="s">
        <v>562</v>
      </c>
      <c r="G2383" s="6" t="s">
        <v>624</v>
      </c>
      <c r="H2383" s="6" t="s">
        <v>625</v>
      </c>
      <c r="J2383" s="1215" t="s">
        <v>510</v>
      </c>
      <c r="K2383" s="1219" t="s">
        <v>3033</v>
      </c>
      <c r="L2383" s="8">
        <v>1</v>
      </c>
      <c r="M2383" s="8">
        <v>12</v>
      </c>
      <c r="N2383" s="1169" t="s">
        <v>274</v>
      </c>
      <c r="P2383" s="6" t="s">
        <v>3361</v>
      </c>
      <c r="Q2383" s="1215" t="s">
        <v>241</v>
      </c>
      <c r="R2383" s="1088" t="s">
        <v>243</v>
      </c>
      <c r="S2383" s="1088" t="s">
        <v>3398</v>
      </c>
      <c r="T2383" s="1088" t="s">
        <v>3344</v>
      </c>
    </row>
    <row r="2384" spans="1:20" x14ac:dyDescent="0.3">
      <c r="A2384" s="6" t="s">
        <v>533</v>
      </c>
      <c r="B2384" s="6" t="s">
        <v>534</v>
      </c>
      <c r="C2384" s="6" t="s">
        <v>32</v>
      </c>
      <c r="D2384" s="1088" t="s">
        <v>542</v>
      </c>
      <c r="E2384" s="1088" t="s">
        <v>175</v>
      </c>
      <c r="F2384" s="6" t="s">
        <v>1136</v>
      </c>
      <c r="G2384" s="6" t="s">
        <v>1769</v>
      </c>
      <c r="H2384" s="6" t="s">
        <v>1770</v>
      </c>
      <c r="J2384" s="1215" t="s">
        <v>510</v>
      </c>
      <c r="K2384" s="1219" t="s">
        <v>3112</v>
      </c>
      <c r="L2384" s="8">
        <v>40</v>
      </c>
      <c r="M2384" s="8">
        <v>150</v>
      </c>
      <c r="N2384" s="1169" t="s">
        <v>272</v>
      </c>
      <c r="P2384" s="6" t="s">
        <v>3361</v>
      </c>
      <c r="Q2384" s="1215" t="s">
        <v>241</v>
      </c>
      <c r="R2384" s="1088" t="s">
        <v>243</v>
      </c>
      <c r="S2384" s="1088" t="s">
        <v>3398</v>
      </c>
      <c r="T2384" s="1088" t="s">
        <v>3344</v>
      </c>
    </row>
    <row r="2385" spans="1:22" x14ac:dyDescent="0.3">
      <c r="A2385" s="6" t="s">
        <v>533</v>
      </c>
      <c r="B2385" s="6" t="s">
        <v>534</v>
      </c>
      <c r="C2385" s="6" t="s">
        <v>32</v>
      </c>
      <c r="D2385" s="1088" t="s">
        <v>542</v>
      </c>
      <c r="E2385" s="6" t="s">
        <v>175</v>
      </c>
      <c r="F2385" s="6" t="s">
        <v>1136</v>
      </c>
      <c r="G2385" s="6" t="s">
        <v>2231</v>
      </c>
      <c r="H2385" s="6" t="s">
        <v>2232</v>
      </c>
      <c r="J2385" s="1215" t="s">
        <v>510</v>
      </c>
      <c r="K2385" s="1219" t="s">
        <v>3033</v>
      </c>
      <c r="L2385" s="8">
        <v>23</v>
      </c>
      <c r="M2385" s="8">
        <v>115</v>
      </c>
      <c r="N2385" s="1169" t="s">
        <v>271</v>
      </c>
      <c r="P2385" s="6" t="s">
        <v>3361</v>
      </c>
      <c r="Q2385" s="1215" t="s">
        <v>241</v>
      </c>
      <c r="R2385" s="1088" t="s">
        <v>243</v>
      </c>
      <c r="S2385" s="1088" t="s">
        <v>3396</v>
      </c>
      <c r="T2385" s="1088" t="s">
        <v>3356</v>
      </c>
    </row>
    <row r="2386" spans="1:22" x14ac:dyDescent="0.3">
      <c r="A2386" s="6" t="s">
        <v>533</v>
      </c>
      <c r="B2386" s="6" t="s">
        <v>534</v>
      </c>
      <c r="C2386" s="6" t="s">
        <v>32</v>
      </c>
      <c r="D2386" s="1088" t="s">
        <v>542</v>
      </c>
      <c r="E2386" s="1088" t="s">
        <v>175</v>
      </c>
      <c r="F2386" s="6" t="s">
        <v>1136</v>
      </c>
      <c r="G2386" s="6" t="s">
        <v>1760</v>
      </c>
      <c r="H2386" s="6" t="s">
        <v>1761</v>
      </c>
      <c r="J2386" s="1215" t="s">
        <v>510</v>
      </c>
      <c r="K2386" s="1219" t="s">
        <v>3033</v>
      </c>
      <c r="L2386" s="8">
        <v>3</v>
      </c>
      <c r="M2386" s="8">
        <v>13</v>
      </c>
      <c r="N2386" s="1169" t="s">
        <v>271</v>
      </c>
      <c r="P2386" s="6" t="s">
        <v>3361</v>
      </c>
      <c r="Q2386" s="1215" t="s">
        <v>241</v>
      </c>
      <c r="R2386" s="1088" t="s">
        <v>243</v>
      </c>
      <c r="S2386" s="1088" t="s">
        <v>3396</v>
      </c>
      <c r="T2386" s="1088" t="s">
        <v>3356</v>
      </c>
    </row>
    <row r="2387" spans="1:22" x14ac:dyDescent="0.3">
      <c r="A2387" s="6" t="s">
        <v>533</v>
      </c>
      <c r="B2387" s="6" t="s">
        <v>534</v>
      </c>
      <c r="C2387" s="6" t="s">
        <v>31</v>
      </c>
      <c r="D2387" s="1088" t="s">
        <v>549</v>
      </c>
      <c r="E2387" s="6" t="s">
        <v>170</v>
      </c>
      <c r="F2387" s="6" t="s">
        <v>866</v>
      </c>
      <c r="G2387" s="6" t="s">
        <v>1367</v>
      </c>
      <c r="H2387" s="6" t="s">
        <v>1368</v>
      </c>
      <c r="J2387" s="1215" t="s">
        <v>510</v>
      </c>
      <c r="K2387" s="1219" t="s">
        <v>3112</v>
      </c>
      <c r="L2387" s="8">
        <v>2</v>
      </c>
      <c r="M2387" s="8">
        <v>10</v>
      </c>
      <c r="N2387" s="1169" t="s">
        <v>272</v>
      </c>
      <c r="P2387" s="6" t="s">
        <v>3361</v>
      </c>
      <c r="Q2387" s="1215" t="s">
        <v>241</v>
      </c>
      <c r="R2387" s="1088" t="s">
        <v>243</v>
      </c>
      <c r="S2387" s="1088" t="s">
        <v>3399</v>
      </c>
      <c r="T2387" s="1088" t="s">
        <v>3343</v>
      </c>
    </row>
    <row r="2388" spans="1:22" x14ac:dyDescent="0.3">
      <c r="A2388" s="6" t="s">
        <v>533</v>
      </c>
      <c r="B2388" s="6" t="s">
        <v>534</v>
      </c>
      <c r="C2388" s="6" t="s">
        <v>32</v>
      </c>
      <c r="D2388" s="6" t="s">
        <v>542</v>
      </c>
      <c r="E2388" s="1088" t="s">
        <v>176</v>
      </c>
      <c r="F2388" s="6" t="s">
        <v>772</v>
      </c>
      <c r="G2388" s="6" t="s">
        <v>773</v>
      </c>
      <c r="H2388" s="6" t="s">
        <v>774</v>
      </c>
      <c r="J2388" s="1215" t="s">
        <v>510</v>
      </c>
      <c r="K2388" s="1219" t="s">
        <v>3033</v>
      </c>
      <c r="L2388" s="8">
        <v>5</v>
      </c>
      <c r="M2388" s="8">
        <v>12</v>
      </c>
      <c r="N2388" s="1169" t="s">
        <v>271</v>
      </c>
      <c r="P2388" s="6" t="s">
        <v>3361</v>
      </c>
      <c r="Q2388" s="1215" t="s">
        <v>240</v>
      </c>
      <c r="R2388" s="1088" t="s">
        <v>242</v>
      </c>
      <c r="S2388" s="1088" t="s">
        <v>3387</v>
      </c>
      <c r="T2388" s="1088" t="s">
        <v>3340</v>
      </c>
    </row>
    <row r="2389" spans="1:22" x14ac:dyDescent="0.3">
      <c r="A2389" s="6" t="s">
        <v>533</v>
      </c>
      <c r="B2389" s="6" t="s">
        <v>534</v>
      </c>
      <c r="C2389" s="6" t="s">
        <v>32</v>
      </c>
      <c r="D2389" s="1088" t="s">
        <v>542</v>
      </c>
      <c r="E2389" s="6" t="s">
        <v>176</v>
      </c>
      <c r="F2389" s="6" t="s">
        <v>772</v>
      </c>
      <c r="G2389" s="6" t="s">
        <v>773</v>
      </c>
      <c r="H2389" s="6" t="s">
        <v>774</v>
      </c>
      <c r="J2389" s="1215" t="s">
        <v>510</v>
      </c>
      <c r="K2389" s="1219" t="s">
        <v>3111</v>
      </c>
      <c r="L2389" s="8">
        <v>0</v>
      </c>
      <c r="M2389" s="8">
        <v>6</v>
      </c>
      <c r="N2389" s="1169" t="s">
        <v>271</v>
      </c>
      <c r="P2389" s="6" t="s">
        <v>3361</v>
      </c>
      <c r="Q2389" s="1215" t="s">
        <v>240</v>
      </c>
      <c r="R2389" s="1088" t="s">
        <v>242</v>
      </c>
      <c r="S2389" s="1088" t="s">
        <v>3387</v>
      </c>
      <c r="T2389" s="1088" t="s">
        <v>3340</v>
      </c>
    </row>
    <row r="2390" spans="1:22" x14ac:dyDescent="0.3">
      <c r="A2390" s="6" t="s">
        <v>533</v>
      </c>
      <c r="B2390" s="6" t="s">
        <v>534</v>
      </c>
      <c r="C2390" s="6" t="s">
        <v>31</v>
      </c>
      <c r="D2390" s="1088" t="s">
        <v>549</v>
      </c>
      <c r="E2390" s="6" t="s">
        <v>170</v>
      </c>
      <c r="F2390" s="6" t="s">
        <v>866</v>
      </c>
      <c r="G2390" s="6" t="s">
        <v>2112</v>
      </c>
      <c r="H2390" s="6" t="s">
        <v>868</v>
      </c>
      <c r="J2390" s="1215" t="s">
        <v>510</v>
      </c>
      <c r="K2390" s="1219" t="s">
        <v>3112</v>
      </c>
      <c r="L2390" s="8">
        <v>6</v>
      </c>
      <c r="M2390" s="8">
        <v>50</v>
      </c>
      <c r="N2390" s="1169" t="s">
        <v>272</v>
      </c>
      <c r="P2390" s="6" t="s">
        <v>3361</v>
      </c>
      <c r="Q2390" s="1215" t="s">
        <v>241</v>
      </c>
      <c r="R2390" s="1088" t="s">
        <v>243</v>
      </c>
      <c r="S2390" s="1088" t="s">
        <v>3399</v>
      </c>
      <c r="T2390" s="1088" t="s">
        <v>3343</v>
      </c>
    </row>
    <row r="2391" spans="1:22" x14ac:dyDescent="0.3">
      <c r="A2391" s="6" t="s">
        <v>533</v>
      </c>
      <c r="B2391" s="6" t="s">
        <v>534</v>
      </c>
      <c r="C2391" s="6" t="s">
        <v>31</v>
      </c>
      <c r="D2391" s="1088" t="s">
        <v>549</v>
      </c>
      <c r="E2391" s="6" t="s">
        <v>165</v>
      </c>
      <c r="F2391" s="6" t="s">
        <v>881</v>
      </c>
      <c r="G2391" s="6" t="s">
        <v>1691</v>
      </c>
      <c r="H2391" s="6" t="s">
        <v>2136</v>
      </c>
      <c r="J2391" s="1215" t="s">
        <v>510</v>
      </c>
      <c r="K2391" s="1219" t="s">
        <v>3109</v>
      </c>
      <c r="L2391" s="8">
        <v>5</v>
      </c>
      <c r="M2391" s="8">
        <v>25</v>
      </c>
      <c r="N2391" s="1169" t="s">
        <v>271</v>
      </c>
      <c r="P2391" s="6" t="s">
        <v>3361</v>
      </c>
      <c r="Q2391" s="1215" t="s">
        <v>240</v>
      </c>
      <c r="R2391" s="1088" t="s">
        <v>242</v>
      </c>
      <c r="S2391" s="1088" t="s">
        <v>3390</v>
      </c>
      <c r="T2391" s="1088" t="s">
        <v>3339</v>
      </c>
    </row>
    <row r="2392" spans="1:22" x14ac:dyDescent="0.3">
      <c r="A2392" s="6" t="s">
        <v>533</v>
      </c>
      <c r="B2392" s="6" t="s">
        <v>534</v>
      </c>
      <c r="C2392" s="6" t="s">
        <v>31</v>
      </c>
      <c r="D2392" s="1088" t="s">
        <v>549</v>
      </c>
      <c r="E2392" s="6" t="s">
        <v>165</v>
      </c>
      <c r="F2392" s="6" t="s">
        <v>881</v>
      </c>
      <c r="G2392" s="6" t="s">
        <v>884</v>
      </c>
      <c r="H2392" s="6" t="s">
        <v>2138</v>
      </c>
      <c r="J2392" s="1215" t="s">
        <v>510</v>
      </c>
      <c r="K2392" s="1219" t="s">
        <v>3109</v>
      </c>
      <c r="L2392" s="8">
        <v>20</v>
      </c>
      <c r="M2392" s="8">
        <v>90</v>
      </c>
      <c r="N2392" s="1169" t="s">
        <v>271</v>
      </c>
      <c r="P2392" s="6" t="s">
        <v>3361</v>
      </c>
      <c r="Q2392" s="1215" t="s">
        <v>240</v>
      </c>
      <c r="R2392" s="1088" t="s">
        <v>242</v>
      </c>
      <c r="S2392" s="1088" t="s">
        <v>3390</v>
      </c>
      <c r="T2392" s="1088" t="s">
        <v>3339</v>
      </c>
    </row>
    <row r="2393" spans="1:22" x14ac:dyDescent="0.3">
      <c r="A2393" s="6" t="s">
        <v>533</v>
      </c>
      <c r="B2393" s="6" t="s">
        <v>534</v>
      </c>
      <c r="C2393" s="6" t="s">
        <v>31</v>
      </c>
      <c r="D2393" s="1088" t="s">
        <v>549</v>
      </c>
      <c r="E2393" s="6" t="s">
        <v>171</v>
      </c>
      <c r="F2393" s="6" t="s">
        <v>634</v>
      </c>
      <c r="G2393" s="6" t="s">
        <v>2809</v>
      </c>
      <c r="H2393" s="6" t="s">
        <v>878</v>
      </c>
      <c r="J2393" s="1215" t="s">
        <v>510</v>
      </c>
      <c r="K2393" s="1219" t="s">
        <v>3109</v>
      </c>
      <c r="L2393" s="8">
        <v>1</v>
      </c>
      <c r="M2393" s="8">
        <v>6</v>
      </c>
      <c r="N2393" s="1169" t="s">
        <v>271</v>
      </c>
      <c r="P2393" s="6" t="s">
        <v>3361</v>
      </c>
      <c r="Q2393" s="1215" t="s">
        <v>240</v>
      </c>
      <c r="R2393" s="1088" t="s">
        <v>242</v>
      </c>
      <c r="S2393" s="1088" t="s">
        <v>3390</v>
      </c>
      <c r="T2393" s="1088" t="s">
        <v>3339</v>
      </c>
    </row>
    <row r="2394" spans="1:22" x14ac:dyDescent="0.3">
      <c r="A2394" s="6" t="s">
        <v>533</v>
      </c>
      <c r="B2394" s="6" t="s">
        <v>534</v>
      </c>
      <c r="C2394" s="6" t="s">
        <v>31</v>
      </c>
      <c r="D2394" s="1088" t="s">
        <v>549</v>
      </c>
      <c r="E2394" s="6" t="s">
        <v>171</v>
      </c>
      <c r="F2394" s="6" t="s">
        <v>634</v>
      </c>
      <c r="G2394" s="6" t="s">
        <v>1812</v>
      </c>
      <c r="H2394" s="6" t="s">
        <v>2160</v>
      </c>
      <c r="J2394" s="1215" t="s">
        <v>510</v>
      </c>
      <c r="K2394" s="1219" t="s">
        <v>3109</v>
      </c>
      <c r="L2394" s="8">
        <v>10</v>
      </c>
      <c r="M2394" s="8">
        <v>79</v>
      </c>
      <c r="N2394" s="1169" t="s">
        <v>271</v>
      </c>
      <c r="P2394" s="6" t="s">
        <v>3361</v>
      </c>
      <c r="Q2394" s="1215" t="s">
        <v>240</v>
      </c>
      <c r="R2394" s="1088" t="s">
        <v>242</v>
      </c>
      <c r="S2394" s="1088" t="s">
        <v>3390</v>
      </c>
      <c r="T2394" s="1088" t="s">
        <v>3339</v>
      </c>
    </row>
    <row r="2395" spans="1:22" x14ac:dyDescent="0.3">
      <c r="A2395" s="6" t="s">
        <v>533</v>
      </c>
      <c r="B2395" s="6" t="s">
        <v>534</v>
      </c>
      <c r="C2395" s="6" t="s">
        <v>30</v>
      </c>
      <c r="D2395" s="1088" t="s">
        <v>535</v>
      </c>
      <c r="E2395" s="1088" t="s">
        <v>162</v>
      </c>
      <c r="F2395" s="6" t="s">
        <v>536</v>
      </c>
      <c r="G2395" s="6" t="s">
        <v>720</v>
      </c>
      <c r="H2395" s="6" t="s">
        <v>721</v>
      </c>
      <c r="J2395" s="1215" t="s">
        <v>511</v>
      </c>
      <c r="K2395" s="1219" t="s">
        <v>3033</v>
      </c>
      <c r="L2395" s="8">
        <v>4</v>
      </c>
      <c r="M2395" s="8">
        <v>19</v>
      </c>
      <c r="N2395" s="1169" t="s">
        <v>271</v>
      </c>
      <c r="P2395" s="6" t="s">
        <v>3322</v>
      </c>
      <c r="Q2395" s="1215" t="s">
        <v>253</v>
      </c>
      <c r="R2395" s="1215" t="s">
        <v>255</v>
      </c>
      <c r="S2395" s="1215" t="s">
        <v>534</v>
      </c>
      <c r="T2395" s="1215" t="s">
        <v>533</v>
      </c>
      <c r="U2395" s="6" t="s">
        <v>539</v>
      </c>
      <c r="V2395" s="6" t="s">
        <v>34</v>
      </c>
    </row>
    <row r="2396" spans="1:22" x14ac:dyDescent="0.3">
      <c r="A2396" s="6" t="s">
        <v>533</v>
      </c>
      <c r="B2396" s="6" t="s">
        <v>534</v>
      </c>
      <c r="C2396" s="6" t="s">
        <v>30</v>
      </c>
      <c r="D2396" s="1088" t="s">
        <v>535</v>
      </c>
      <c r="E2396" s="1088" t="s">
        <v>162</v>
      </c>
      <c r="F2396" s="6" t="s">
        <v>536</v>
      </c>
      <c r="G2396" s="6" t="s">
        <v>720</v>
      </c>
      <c r="H2396" s="6" t="s">
        <v>721</v>
      </c>
      <c r="J2396" s="1215" t="s">
        <v>511</v>
      </c>
      <c r="K2396" s="1219" t="s">
        <v>3110</v>
      </c>
      <c r="L2396" s="8">
        <v>0</v>
      </c>
      <c r="M2396" s="8">
        <v>1</v>
      </c>
      <c r="N2396" s="1169" t="s">
        <v>271</v>
      </c>
      <c r="P2396" s="6" t="s">
        <v>3322</v>
      </c>
      <c r="Q2396" s="1215" t="s">
        <v>253</v>
      </c>
      <c r="R2396" s="1215" t="s">
        <v>255</v>
      </c>
      <c r="S2396" s="1215" t="s">
        <v>534</v>
      </c>
      <c r="T2396" s="1215" t="s">
        <v>533</v>
      </c>
      <c r="U2396" s="6" t="s">
        <v>539</v>
      </c>
      <c r="V2396" s="6" t="s">
        <v>34</v>
      </c>
    </row>
    <row r="2397" spans="1:22" x14ac:dyDescent="0.3">
      <c r="A2397" s="6" t="s">
        <v>533</v>
      </c>
      <c r="B2397" s="6" t="s">
        <v>534</v>
      </c>
      <c r="C2397" s="6" t="s">
        <v>30</v>
      </c>
      <c r="D2397" s="1088" t="s">
        <v>535</v>
      </c>
      <c r="E2397" s="6" t="s">
        <v>162</v>
      </c>
      <c r="F2397" s="6" t="s">
        <v>536</v>
      </c>
      <c r="G2397" s="6" t="s">
        <v>720</v>
      </c>
      <c r="H2397" s="6" t="s">
        <v>721</v>
      </c>
      <c r="J2397" s="1215" t="s">
        <v>511</v>
      </c>
      <c r="K2397" s="1219" t="s">
        <v>3111</v>
      </c>
      <c r="L2397" s="8">
        <v>0</v>
      </c>
      <c r="M2397" s="8">
        <v>2</v>
      </c>
      <c r="N2397" s="1169" t="s">
        <v>271</v>
      </c>
      <c r="P2397" s="6" t="s">
        <v>3322</v>
      </c>
      <c r="Q2397" s="1215" t="s">
        <v>253</v>
      </c>
      <c r="R2397" s="1215" t="s">
        <v>255</v>
      </c>
      <c r="S2397" s="1215" t="s">
        <v>534</v>
      </c>
      <c r="T2397" s="1215" t="s">
        <v>533</v>
      </c>
      <c r="U2397" s="6" t="s">
        <v>539</v>
      </c>
      <c r="V2397" s="6" t="s">
        <v>34</v>
      </c>
    </row>
    <row r="2398" spans="1:22" x14ac:dyDescent="0.3">
      <c r="A2398" s="6" t="s">
        <v>533</v>
      </c>
      <c r="B2398" s="6" t="s">
        <v>534</v>
      </c>
      <c r="C2398" s="6" t="s">
        <v>30</v>
      </c>
      <c r="D2398" s="1088" t="s">
        <v>535</v>
      </c>
      <c r="E2398" s="6" t="s">
        <v>162</v>
      </c>
      <c r="F2398" s="6" t="s">
        <v>536</v>
      </c>
      <c r="G2398" s="6" t="s">
        <v>583</v>
      </c>
      <c r="H2398" s="6" t="s">
        <v>584</v>
      </c>
      <c r="J2398" s="1215" t="s">
        <v>511</v>
      </c>
      <c r="K2398" s="1219" t="s">
        <v>3033</v>
      </c>
      <c r="L2398" s="8">
        <v>2</v>
      </c>
      <c r="M2398" s="8">
        <v>7</v>
      </c>
      <c r="N2398" s="1169" t="s">
        <v>271</v>
      </c>
      <c r="P2398" s="6" t="s">
        <v>3322</v>
      </c>
      <c r="Q2398" s="1215" t="s">
        <v>253</v>
      </c>
      <c r="R2398" s="1215" t="s">
        <v>255</v>
      </c>
      <c r="S2398" s="1215" t="s">
        <v>534</v>
      </c>
      <c r="T2398" s="1215" t="s">
        <v>533</v>
      </c>
      <c r="U2398" s="6" t="s">
        <v>539</v>
      </c>
      <c r="V2398" s="6" t="s">
        <v>34</v>
      </c>
    </row>
    <row r="2399" spans="1:22" x14ac:dyDescent="0.3">
      <c r="A2399" s="6" t="s">
        <v>533</v>
      </c>
      <c r="B2399" s="6" t="s">
        <v>534</v>
      </c>
      <c r="C2399" s="6" t="s">
        <v>30</v>
      </c>
      <c r="D2399" s="1088" t="s">
        <v>535</v>
      </c>
      <c r="E2399" s="6" t="s">
        <v>157</v>
      </c>
      <c r="F2399" s="6" t="s">
        <v>2236</v>
      </c>
      <c r="G2399" s="6" t="s">
        <v>2243</v>
      </c>
      <c r="H2399" s="6" t="s">
        <v>2244</v>
      </c>
      <c r="J2399" s="1215" t="s">
        <v>511</v>
      </c>
      <c r="K2399" s="1219" t="s">
        <v>3033</v>
      </c>
      <c r="L2399" s="8">
        <v>2</v>
      </c>
      <c r="M2399" s="8">
        <v>16</v>
      </c>
      <c r="N2399" s="1169" t="s">
        <v>274</v>
      </c>
      <c r="P2399" s="1215" t="s">
        <v>3361</v>
      </c>
      <c r="Q2399" s="1215" t="s">
        <v>254</v>
      </c>
      <c r="R2399" s="1088" t="s">
        <v>3338</v>
      </c>
      <c r="S2399" s="1088"/>
      <c r="T2399" s="1088"/>
    </row>
    <row r="2400" spans="1:22" x14ac:dyDescent="0.3">
      <c r="A2400" s="6" t="s">
        <v>533</v>
      </c>
      <c r="B2400" s="6" t="s">
        <v>534</v>
      </c>
      <c r="C2400" s="6" t="s">
        <v>30</v>
      </c>
      <c r="D2400" s="1088" t="s">
        <v>535</v>
      </c>
      <c r="E2400" s="6" t="s">
        <v>157</v>
      </c>
      <c r="F2400" s="6" t="s">
        <v>2236</v>
      </c>
      <c r="G2400" s="6" t="s">
        <v>2360</v>
      </c>
      <c r="H2400" s="6" t="s">
        <v>2361</v>
      </c>
      <c r="J2400" s="1215" t="s">
        <v>511</v>
      </c>
      <c r="K2400" s="1219" t="s">
        <v>3033</v>
      </c>
      <c r="L2400" s="8">
        <v>3</v>
      </c>
      <c r="M2400" s="8">
        <v>45</v>
      </c>
      <c r="N2400" s="1169" t="s">
        <v>274</v>
      </c>
      <c r="P2400" s="6" t="s">
        <v>3361</v>
      </c>
      <c r="Q2400" s="1215" t="s">
        <v>254</v>
      </c>
      <c r="R2400" s="1088" t="s">
        <v>3338</v>
      </c>
      <c r="S2400" s="1088"/>
      <c r="T2400" s="1088"/>
    </row>
    <row r="2401" spans="1:24" x14ac:dyDescent="0.3">
      <c r="A2401" s="6" t="s">
        <v>533</v>
      </c>
      <c r="B2401" s="6" t="s">
        <v>534</v>
      </c>
      <c r="C2401" s="6" t="s">
        <v>30</v>
      </c>
      <c r="D2401" s="1088" t="s">
        <v>535</v>
      </c>
      <c r="E2401" s="6" t="s">
        <v>157</v>
      </c>
      <c r="F2401" s="6" t="s">
        <v>2236</v>
      </c>
      <c r="G2401" s="6" t="s">
        <v>2239</v>
      </c>
      <c r="H2401" s="6" t="s">
        <v>2240</v>
      </c>
      <c r="J2401" s="1215" t="s">
        <v>511</v>
      </c>
      <c r="K2401" s="1219" t="s">
        <v>3033</v>
      </c>
      <c r="L2401" s="8">
        <v>6</v>
      </c>
      <c r="M2401" s="8">
        <v>86</v>
      </c>
      <c r="N2401" s="1169" t="s">
        <v>274</v>
      </c>
      <c r="P2401" s="6" t="s">
        <v>3361</v>
      </c>
      <c r="Q2401" s="1215" t="s">
        <v>254</v>
      </c>
      <c r="R2401" s="1088" t="s">
        <v>3338</v>
      </c>
      <c r="S2401" s="1088"/>
      <c r="T2401" s="1088"/>
    </row>
    <row r="2402" spans="1:24" x14ac:dyDescent="0.3">
      <c r="A2402" s="6" t="s">
        <v>533</v>
      </c>
      <c r="B2402" s="6" t="s">
        <v>534</v>
      </c>
      <c r="C2402" s="6" t="s">
        <v>30</v>
      </c>
      <c r="D2402" s="1088" t="s">
        <v>535</v>
      </c>
      <c r="E2402" s="6" t="s">
        <v>157</v>
      </c>
      <c r="F2402" s="6" t="s">
        <v>2236</v>
      </c>
      <c r="G2402" s="6" t="s">
        <v>2362</v>
      </c>
      <c r="H2402" s="6" t="s">
        <v>2363</v>
      </c>
      <c r="J2402" s="1215" t="s">
        <v>511</v>
      </c>
      <c r="K2402" s="1219" t="s">
        <v>3033</v>
      </c>
      <c r="L2402" s="8">
        <v>11</v>
      </c>
      <c r="M2402" s="8">
        <v>135</v>
      </c>
      <c r="N2402" s="1169" t="s">
        <v>274</v>
      </c>
      <c r="P2402" s="6" t="s">
        <v>3361</v>
      </c>
      <c r="Q2402" s="1215" t="s">
        <v>254</v>
      </c>
      <c r="R2402" s="1088" t="s">
        <v>3338</v>
      </c>
      <c r="S2402" s="1088"/>
      <c r="T2402" s="1088"/>
    </row>
    <row r="2403" spans="1:24" x14ac:dyDescent="0.3">
      <c r="A2403" s="6" t="s">
        <v>533</v>
      </c>
      <c r="B2403" s="6" t="s">
        <v>534</v>
      </c>
      <c r="C2403" s="6" t="s">
        <v>30</v>
      </c>
      <c r="D2403" s="1088" t="s">
        <v>535</v>
      </c>
      <c r="E2403" s="6" t="s">
        <v>157</v>
      </c>
      <c r="F2403" s="6" t="s">
        <v>2236</v>
      </c>
      <c r="G2403" s="6" t="s">
        <v>2366</v>
      </c>
      <c r="H2403" s="6" t="s">
        <v>2367</v>
      </c>
      <c r="J2403" s="1215" t="s">
        <v>511</v>
      </c>
      <c r="K2403" s="1219" t="s">
        <v>3033</v>
      </c>
      <c r="L2403" s="8">
        <v>1</v>
      </c>
      <c r="M2403" s="8">
        <v>5</v>
      </c>
      <c r="N2403" s="1169" t="s">
        <v>274</v>
      </c>
      <c r="P2403" s="6" t="s">
        <v>3361</v>
      </c>
      <c r="Q2403" s="1215" t="s">
        <v>254</v>
      </c>
      <c r="R2403" s="1088" t="s">
        <v>3338</v>
      </c>
      <c r="S2403" s="1088"/>
      <c r="T2403" s="1088"/>
    </row>
    <row r="2404" spans="1:24" x14ac:dyDescent="0.3">
      <c r="A2404" s="6" t="s">
        <v>533</v>
      </c>
      <c r="B2404" s="6" t="s">
        <v>534</v>
      </c>
      <c r="C2404" s="6" t="s">
        <v>35</v>
      </c>
      <c r="D2404" s="1088" t="s">
        <v>567</v>
      </c>
      <c r="E2404" s="6" t="s">
        <v>193</v>
      </c>
      <c r="F2404" s="6" t="s">
        <v>863</v>
      </c>
      <c r="G2404" s="6" t="s">
        <v>990</v>
      </c>
      <c r="H2404" s="6" t="s">
        <v>1583</v>
      </c>
      <c r="J2404" s="1215" t="s">
        <v>511</v>
      </c>
      <c r="K2404" s="1219" t="s">
        <v>3033</v>
      </c>
      <c r="L2404" s="8">
        <v>75</v>
      </c>
      <c r="M2404" s="8">
        <v>405</v>
      </c>
      <c r="N2404" s="1169" t="s">
        <v>271</v>
      </c>
      <c r="P2404" s="6" t="s">
        <v>3323</v>
      </c>
      <c r="Q2404" s="1215" t="s">
        <v>253</v>
      </c>
      <c r="R2404" s="1215" t="s">
        <v>255</v>
      </c>
      <c r="S2404" s="1215" t="s">
        <v>534</v>
      </c>
      <c r="T2404" s="1215" t="s">
        <v>533</v>
      </c>
      <c r="U2404" s="6" t="s">
        <v>567</v>
      </c>
      <c r="V2404" s="6" t="s">
        <v>35</v>
      </c>
      <c r="X2404" s="6" t="s">
        <v>192</v>
      </c>
    </row>
    <row r="2405" spans="1:24" x14ac:dyDescent="0.3">
      <c r="A2405" s="6" t="s">
        <v>533</v>
      </c>
      <c r="B2405" s="6" t="s">
        <v>534</v>
      </c>
      <c r="C2405" s="6" t="s">
        <v>35</v>
      </c>
      <c r="D2405" s="1088" t="s">
        <v>567</v>
      </c>
      <c r="E2405" s="6" t="s">
        <v>193</v>
      </c>
      <c r="F2405" s="6" t="s">
        <v>863</v>
      </c>
      <c r="G2405" s="6" t="s">
        <v>990</v>
      </c>
      <c r="H2405" s="6" t="s">
        <v>1583</v>
      </c>
      <c r="J2405" s="1215" t="s">
        <v>511</v>
      </c>
      <c r="K2405" s="1219" t="s">
        <v>3110</v>
      </c>
      <c r="L2405" s="8">
        <v>3</v>
      </c>
      <c r="M2405" s="8">
        <v>25</v>
      </c>
      <c r="N2405" s="1169" t="s">
        <v>271</v>
      </c>
      <c r="P2405" s="6" t="s">
        <v>3324</v>
      </c>
      <c r="Q2405" s="1215" t="s">
        <v>253</v>
      </c>
      <c r="R2405" s="1215" t="s">
        <v>255</v>
      </c>
      <c r="S2405" s="1215" t="s">
        <v>534</v>
      </c>
      <c r="T2405" s="1215" t="s">
        <v>533</v>
      </c>
      <c r="U2405" s="6" t="s">
        <v>567</v>
      </c>
      <c r="V2405" s="6" t="s">
        <v>35</v>
      </c>
      <c r="W2405" s="6" t="s">
        <v>863</v>
      </c>
      <c r="X2405" s="6" t="s">
        <v>193</v>
      </c>
    </row>
    <row r="2406" spans="1:24" x14ac:dyDescent="0.3">
      <c r="A2406" s="6" t="s">
        <v>533</v>
      </c>
      <c r="B2406" s="6" t="s">
        <v>534</v>
      </c>
      <c r="C2406" s="6" t="s">
        <v>35</v>
      </c>
      <c r="D2406" s="1088" t="s">
        <v>567</v>
      </c>
      <c r="E2406" s="6" t="s">
        <v>193</v>
      </c>
      <c r="F2406" s="6" t="s">
        <v>863</v>
      </c>
      <c r="G2406" s="6" t="s">
        <v>990</v>
      </c>
      <c r="H2406" s="6" t="s">
        <v>1583</v>
      </c>
      <c r="J2406" s="1215" t="s">
        <v>511</v>
      </c>
      <c r="K2406" s="1219" t="s">
        <v>3111</v>
      </c>
      <c r="L2406" s="8">
        <v>7</v>
      </c>
      <c r="M2406" s="8">
        <v>30</v>
      </c>
      <c r="N2406" s="1169" t="s">
        <v>271</v>
      </c>
      <c r="P2406" s="6" t="s">
        <v>3323</v>
      </c>
      <c r="Q2406" s="1215" t="s">
        <v>253</v>
      </c>
      <c r="R2406" s="1215" t="s">
        <v>255</v>
      </c>
      <c r="S2406" s="1215" t="s">
        <v>534</v>
      </c>
      <c r="T2406" s="1215" t="s">
        <v>533</v>
      </c>
      <c r="U2406" s="6" t="s">
        <v>567</v>
      </c>
      <c r="V2406" s="6" t="s">
        <v>35</v>
      </c>
      <c r="X2406" s="6" t="s">
        <v>192</v>
      </c>
    </row>
    <row r="2407" spans="1:24" x14ac:dyDescent="0.3">
      <c r="A2407" s="6" t="s">
        <v>533</v>
      </c>
      <c r="B2407" s="6" t="s">
        <v>534</v>
      </c>
      <c r="C2407" s="6" t="s">
        <v>35</v>
      </c>
      <c r="D2407" s="1088" t="s">
        <v>567</v>
      </c>
      <c r="E2407" s="6" t="s">
        <v>193</v>
      </c>
      <c r="F2407" s="6" t="s">
        <v>863</v>
      </c>
      <c r="G2407" s="6" t="s">
        <v>990</v>
      </c>
      <c r="H2407" s="6" t="s">
        <v>1583</v>
      </c>
      <c r="J2407" s="1215" t="s">
        <v>511</v>
      </c>
      <c r="K2407" s="1219" t="s">
        <v>3112</v>
      </c>
      <c r="L2407" s="8">
        <v>10</v>
      </c>
      <c r="M2407" s="8">
        <v>30</v>
      </c>
      <c r="N2407" s="6" t="s">
        <v>271</v>
      </c>
      <c r="P2407" s="6" t="s">
        <v>3323</v>
      </c>
      <c r="Q2407" s="1215" t="s">
        <v>253</v>
      </c>
      <c r="R2407" s="1215" t="s">
        <v>255</v>
      </c>
      <c r="S2407" s="1215" t="s">
        <v>534</v>
      </c>
      <c r="T2407" s="1215" t="s">
        <v>533</v>
      </c>
      <c r="U2407" s="6" t="s">
        <v>567</v>
      </c>
      <c r="V2407" s="6" t="s">
        <v>35</v>
      </c>
      <c r="X2407" s="6" t="s">
        <v>192</v>
      </c>
    </row>
    <row r="2408" spans="1:24" x14ac:dyDescent="0.3">
      <c r="A2408" s="6" t="s">
        <v>533</v>
      </c>
      <c r="B2408" s="6" t="s">
        <v>534</v>
      </c>
      <c r="C2408" s="6" t="s">
        <v>35</v>
      </c>
      <c r="D2408" s="1088" t="s">
        <v>567</v>
      </c>
      <c r="E2408" s="6" t="s">
        <v>193</v>
      </c>
      <c r="F2408" s="6" t="s">
        <v>863</v>
      </c>
      <c r="G2408" s="6" t="s">
        <v>875</v>
      </c>
      <c r="H2408" s="6" t="s">
        <v>993</v>
      </c>
      <c r="J2408" s="1215" t="s">
        <v>511</v>
      </c>
      <c r="K2408" s="1219" t="s">
        <v>3112</v>
      </c>
      <c r="L2408" s="8">
        <v>5</v>
      </c>
      <c r="M2408" s="8">
        <v>18</v>
      </c>
      <c r="N2408" s="1169" t="s">
        <v>271</v>
      </c>
      <c r="P2408" s="6" t="s">
        <v>3323</v>
      </c>
      <c r="Q2408" s="1215" t="s">
        <v>253</v>
      </c>
      <c r="R2408" s="1215" t="s">
        <v>255</v>
      </c>
      <c r="S2408" s="1215" t="s">
        <v>534</v>
      </c>
      <c r="T2408" s="1215" t="s">
        <v>533</v>
      </c>
      <c r="U2408" s="6" t="s">
        <v>567</v>
      </c>
      <c r="V2408" s="6" t="s">
        <v>35</v>
      </c>
      <c r="X2408" s="6" t="s">
        <v>192</v>
      </c>
    </row>
    <row r="2409" spans="1:24" x14ac:dyDescent="0.3">
      <c r="A2409" s="6" t="s">
        <v>533</v>
      </c>
      <c r="B2409" s="6" t="s">
        <v>534</v>
      </c>
      <c r="C2409" s="6" t="s">
        <v>35</v>
      </c>
      <c r="D2409" s="1088" t="s">
        <v>567</v>
      </c>
      <c r="E2409" s="6" t="s">
        <v>193</v>
      </c>
      <c r="F2409" s="6" t="s">
        <v>863</v>
      </c>
      <c r="G2409" s="6" t="s">
        <v>1122</v>
      </c>
      <c r="H2409" s="6" t="s">
        <v>991</v>
      </c>
      <c r="J2409" s="1215" t="s">
        <v>511</v>
      </c>
      <c r="K2409" s="1219" t="s">
        <v>3033</v>
      </c>
      <c r="L2409" s="8">
        <v>75</v>
      </c>
      <c r="M2409" s="8">
        <v>428</v>
      </c>
      <c r="N2409" s="1169" t="s">
        <v>271</v>
      </c>
      <c r="P2409" s="6" t="s">
        <v>3323</v>
      </c>
      <c r="Q2409" s="1215" t="s">
        <v>253</v>
      </c>
      <c r="R2409" s="1215" t="s">
        <v>255</v>
      </c>
      <c r="S2409" s="1215" t="s">
        <v>534</v>
      </c>
      <c r="T2409" s="1215" t="s">
        <v>533</v>
      </c>
      <c r="U2409" s="6" t="s">
        <v>567</v>
      </c>
      <c r="V2409" s="6" t="s">
        <v>35</v>
      </c>
      <c r="W2409" s="6" t="s">
        <v>733</v>
      </c>
      <c r="X2409" s="6" t="s">
        <v>195</v>
      </c>
    </row>
    <row r="2410" spans="1:24" x14ac:dyDescent="0.3">
      <c r="A2410" s="6" t="s">
        <v>533</v>
      </c>
      <c r="B2410" s="6" t="s">
        <v>534</v>
      </c>
      <c r="C2410" s="6" t="s">
        <v>35</v>
      </c>
      <c r="D2410" s="1088" t="s">
        <v>567</v>
      </c>
      <c r="E2410" s="6" t="s">
        <v>193</v>
      </c>
      <c r="F2410" s="6" t="s">
        <v>863</v>
      </c>
      <c r="G2410" s="6" t="s">
        <v>1122</v>
      </c>
      <c r="H2410" s="6" t="s">
        <v>991</v>
      </c>
      <c r="J2410" s="1215" t="s">
        <v>511</v>
      </c>
      <c r="K2410" s="1219" t="s">
        <v>3110</v>
      </c>
      <c r="L2410" s="8">
        <v>9</v>
      </c>
      <c r="M2410" s="8">
        <v>38</v>
      </c>
      <c r="N2410" s="1169" t="s">
        <v>271</v>
      </c>
      <c r="P2410" s="6" t="s">
        <v>3323</v>
      </c>
      <c r="Q2410" s="1215" t="s">
        <v>253</v>
      </c>
      <c r="R2410" s="1215" t="s">
        <v>255</v>
      </c>
      <c r="S2410" s="1215" t="s">
        <v>534</v>
      </c>
      <c r="T2410" s="1215" t="s">
        <v>533</v>
      </c>
      <c r="U2410" s="6" t="s">
        <v>567</v>
      </c>
      <c r="V2410" s="6" t="s">
        <v>35</v>
      </c>
      <c r="X2410" s="6" t="s">
        <v>192</v>
      </c>
    </row>
    <row r="2411" spans="1:24" x14ac:dyDescent="0.3">
      <c r="A2411" s="6" t="s">
        <v>533</v>
      </c>
      <c r="B2411" s="6" t="s">
        <v>534</v>
      </c>
      <c r="C2411" s="6" t="s">
        <v>35</v>
      </c>
      <c r="D2411" s="1088" t="s">
        <v>567</v>
      </c>
      <c r="E2411" s="6" t="s">
        <v>193</v>
      </c>
      <c r="F2411" s="6" t="s">
        <v>863</v>
      </c>
      <c r="G2411" s="6" t="s">
        <v>2952</v>
      </c>
      <c r="H2411" s="6" t="s">
        <v>865</v>
      </c>
      <c r="J2411" s="1215" t="s">
        <v>511</v>
      </c>
      <c r="K2411" s="1219" t="s">
        <v>3033</v>
      </c>
      <c r="L2411" s="8">
        <v>5</v>
      </c>
      <c r="M2411" s="8">
        <v>10</v>
      </c>
      <c r="N2411" s="1169" t="s">
        <v>271</v>
      </c>
      <c r="P2411" s="6" t="s">
        <v>743</v>
      </c>
      <c r="Q2411" s="1215" t="s">
        <v>253</v>
      </c>
      <c r="R2411" s="1215" t="s">
        <v>255</v>
      </c>
      <c r="S2411" s="1088" t="s">
        <v>3404</v>
      </c>
      <c r="T2411" s="1088" t="s">
        <v>3325</v>
      </c>
    </row>
    <row r="2412" spans="1:24" x14ac:dyDescent="0.3">
      <c r="A2412" s="6" t="s">
        <v>533</v>
      </c>
      <c r="B2412" s="6" t="s">
        <v>534</v>
      </c>
      <c r="C2412" s="6" t="s">
        <v>30</v>
      </c>
      <c r="D2412" s="1088" t="s">
        <v>535</v>
      </c>
      <c r="E2412" s="6" t="s">
        <v>162</v>
      </c>
      <c r="F2412" s="6" t="s">
        <v>536</v>
      </c>
      <c r="G2412" s="6" t="s">
        <v>616</v>
      </c>
      <c r="H2412" s="6" t="s">
        <v>617</v>
      </c>
      <c r="J2412" s="1215" t="s">
        <v>511</v>
      </c>
      <c r="K2412" s="1219" t="s">
        <v>3033</v>
      </c>
      <c r="L2412" s="8">
        <v>3</v>
      </c>
      <c r="M2412" s="8">
        <v>10</v>
      </c>
      <c r="N2412" s="1169" t="s">
        <v>271</v>
      </c>
      <c r="P2412" s="6" t="s">
        <v>3322</v>
      </c>
      <c r="Q2412" s="1215" t="s">
        <v>253</v>
      </c>
      <c r="R2412" s="1215" t="s">
        <v>255</v>
      </c>
      <c r="S2412" s="1215" t="s">
        <v>534</v>
      </c>
      <c r="T2412" s="1215" t="s">
        <v>533</v>
      </c>
      <c r="U2412" s="6" t="s">
        <v>539</v>
      </c>
      <c r="V2412" s="6" t="s">
        <v>34</v>
      </c>
    </row>
    <row r="2413" spans="1:24" x14ac:dyDescent="0.3">
      <c r="A2413" s="6" t="s">
        <v>533</v>
      </c>
      <c r="B2413" s="6" t="s">
        <v>534</v>
      </c>
      <c r="C2413" s="6" t="s">
        <v>31</v>
      </c>
      <c r="D2413" s="1088" t="s">
        <v>549</v>
      </c>
      <c r="E2413" s="6" t="s">
        <v>171</v>
      </c>
      <c r="F2413" s="6" t="s">
        <v>634</v>
      </c>
      <c r="G2413" s="6" t="s">
        <v>2018</v>
      </c>
      <c r="H2413" s="6" t="s">
        <v>1342</v>
      </c>
      <c r="J2413" s="1215" t="s">
        <v>511</v>
      </c>
      <c r="K2413" s="1219" t="s">
        <v>3033</v>
      </c>
      <c r="L2413" s="8">
        <v>8</v>
      </c>
      <c r="M2413" s="8">
        <v>42</v>
      </c>
      <c r="N2413" s="1169" t="s">
        <v>271</v>
      </c>
      <c r="P2413" s="6" t="s">
        <v>3323</v>
      </c>
      <c r="Q2413" s="1215" t="s">
        <v>253</v>
      </c>
      <c r="R2413" s="1215" t="s">
        <v>255</v>
      </c>
      <c r="S2413" s="1215" t="s">
        <v>534</v>
      </c>
      <c r="T2413" s="1215" t="s">
        <v>533</v>
      </c>
      <c r="U2413" s="6" t="s">
        <v>549</v>
      </c>
      <c r="V2413" s="6" t="s">
        <v>31</v>
      </c>
      <c r="W2413" s="6" t="s">
        <v>767</v>
      </c>
      <c r="X2413" s="6" t="s">
        <v>2797</v>
      </c>
    </row>
    <row r="2414" spans="1:24" x14ac:dyDescent="0.3">
      <c r="A2414" s="6" t="s">
        <v>533</v>
      </c>
      <c r="B2414" s="6" t="s">
        <v>534</v>
      </c>
      <c r="C2414" s="6" t="s">
        <v>30</v>
      </c>
      <c r="D2414" s="1088" t="s">
        <v>535</v>
      </c>
      <c r="E2414" s="6" t="s">
        <v>157</v>
      </c>
      <c r="F2414" s="6" t="s">
        <v>2236</v>
      </c>
      <c r="G2414" s="6" t="s">
        <v>2237</v>
      </c>
      <c r="H2414" s="6" t="s">
        <v>2238</v>
      </c>
      <c r="J2414" s="1215" t="s">
        <v>511</v>
      </c>
      <c r="K2414" s="1219" t="s">
        <v>3033</v>
      </c>
      <c r="L2414" s="8">
        <v>4</v>
      </c>
      <c r="M2414" s="8">
        <v>29</v>
      </c>
      <c r="N2414" s="1088" t="s">
        <v>274</v>
      </c>
      <c r="P2414" s="6" t="s">
        <v>3361</v>
      </c>
      <c r="Q2414" s="1215" t="s">
        <v>254</v>
      </c>
      <c r="R2414" s="1088" t="s">
        <v>3338</v>
      </c>
      <c r="S2414" s="1088"/>
      <c r="T2414" s="1088"/>
    </row>
    <row r="2415" spans="1:24" x14ac:dyDescent="0.3">
      <c r="A2415" s="6" t="s">
        <v>533</v>
      </c>
      <c r="B2415" s="6" t="s">
        <v>534</v>
      </c>
      <c r="C2415" s="6" t="s">
        <v>30</v>
      </c>
      <c r="D2415" s="1088" t="s">
        <v>535</v>
      </c>
      <c r="E2415" s="6" t="s">
        <v>157</v>
      </c>
      <c r="F2415" s="6" t="s">
        <v>2236</v>
      </c>
      <c r="G2415" s="6" t="s">
        <v>2241</v>
      </c>
      <c r="H2415" s="6" t="s">
        <v>2242</v>
      </c>
      <c r="J2415" s="1215" t="s">
        <v>511</v>
      </c>
      <c r="K2415" s="1219" t="s">
        <v>3033</v>
      </c>
      <c r="L2415" s="8">
        <v>9</v>
      </c>
      <c r="M2415" s="8">
        <v>74</v>
      </c>
      <c r="N2415" s="1169" t="s">
        <v>274</v>
      </c>
      <c r="P2415" s="6" t="s">
        <v>3361</v>
      </c>
      <c r="Q2415" s="1215" t="s">
        <v>254</v>
      </c>
      <c r="R2415" s="1088" t="s">
        <v>3338</v>
      </c>
      <c r="S2415" s="1088"/>
      <c r="T2415" s="1088"/>
    </row>
    <row r="2416" spans="1:24" x14ac:dyDescent="0.3">
      <c r="A2416" s="6" t="s">
        <v>533</v>
      </c>
      <c r="B2416" s="6" t="s">
        <v>534</v>
      </c>
      <c r="C2416" s="6" t="s">
        <v>31</v>
      </c>
      <c r="D2416" s="1088" t="s">
        <v>549</v>
      </c>
      <c r="E2416" s="6" t="s">
        <v>169</v>
      </c>
      <c r="F2416" s="6" t="s">
        <v>673</v>
      </c>
      <c r="G2416" s="6" t="s">
        <v>2803</v>
      </c>
      <c r="H2416" s="6" t="s">
        <v>3090</v>
      </c>
      <c r="J2416" s="1215" t="s">
        <v>511</v>
      </c>
      <c r="K2416" s="1219" t="s">
        <v>3112</v>
      </c>
      <c r="L2416" s="8">
        <v>1</v>
      </c>
      <c r="M2416" s="8">
        <v>3</v>
      </c>
      <c r="N2416" s="1169" t="s">
        <v>274</v>
      </c>
      <c r="P2416" s="6" t="s">
        <v>3361</v>
      </c>
      <c r="Q2416" s="1215" t="s">
        <v>240</v>
      </c>
      <c r="R2416" s="1088" t="s">
        <v>242</v>
      </c>
      <c r="S2416" s="1088"/>
      <c r="T2416" s="1088"/>
    </row>
    <row r="2417" spans="1:24" x14ac:dyDescent="0.3">
      <c r="A2417" s="6" t="s">
        <v>533</v>
      </c>
      <c r="B2417" s="6" t="s">
        <v>534</v>
      </c>
      <c r="C2417" s="6" t="s">
        <v>32</v>
      </c>
      <c r="D2417" s="1088" t="s">
        <v>542</v>
      </c>
      <c r="E2417" s="6" t="s">
        <v>178</v>
      </c>
      <c r="F2417" s="6" t="s">
        <v>543</v>
      </c>
      <c r="G2417" s="6" t="s">
        <v>2251</v>
      </c>
      <c r="H2417" s="6" t="s">
        <v>2252</v>
      </c>
      <c r="J2417" s="1215" t="s">
        <v>511</v>
      </c>
      <c r="K2417" s="1219" t="s">
        <v>3110</v>
      </c>
      <c r="L2417" s="8">
        <v>177</v>
      </c>
      <c r="M2417" s="8">
        <v>2527</v>
      </c>
      <c r="N2417" s="1169" t="s">
        <v>272</v>
      </c>
      <c r="P2417" s="6" t="s">
        <v>3324</v>
      </c>
      <c r="Q2417" s="1215" t="s">
        <v>253</v>
      </c>
      <c r="R2417" s="1215" t="s">
        <v>255</v>
      </c>
      <c r="S2417" s="1215" t="s">
        <v>534</v>
      </c>
      <c r="T2417" s="1215" t="s">
        <v>533</v>
      </c>
      <c r="U2417" s="6" t="s">
        <v>542</v>
      </c>
      <c r="V2417" s="6" t="s">
        <v>32</v>
      </c>
      <c r="W2417" s="6" t="s">
        <v>543</v>
      </c>
      <c r="X2417" s="6" t="s">
        <v>178</v>
      </c>
    </row>
    <row r="2418" spans="1:24" x14ac:dyDescent="0.3">
      <c r="A2418" s="6" t="s">
        <v>533</v>
      </c>
      <c r="B2418" s="6" t="s">
        <v>534</v>
      </c>
      <c r="C2418" s="6" t="s">
        <v>32</v>
      </c>
      <c r="D2418" s="1088" t="s">
        <v>542</v>
      </c>
      <c r="E2418" s="6" t="s">
        <v>178</v>
      </c>
      <c r="F2418" s="6" t="s">
        <v>543</v>
      </c>
      <c r="G2418" s="6" t="s">
        <v>2251</v>
      </c>
      <c r="H2418" s="6" t="s">
        <v>2252</v>
      </c>
      <c r="J2418" s="1215" t="s">
        <v>511</v>
      </c>
      <c r="K2418" s="1219" t="s">
        <v>3111</v>
      </c>
      <c r="L2418" s="8">
        <v>0</v>
      </c>
      <c r="M2418" s="8">
        <v>16</v>
      </c>
      <c r="N2418" s="1088" t="s">
        <v>272</v>
      </c>
      <c r="P2418" s="6" t="s">
        <v>3324</v>
      </c>
      <c r="Q2418" s="1215" t="s">
        <v>253</v>
      </c>
      <c r="R2418" s="1215" t="s">
        <v>255</v>
      </c>
      <c r="S2418" s="1215" t="s">
        <v>534</v>
      </c>
      <c r="T2418" s="1215" t="s">
        <v>533</v>
      </c>
      <c r="U2418" s="6" t="s">
        <v>542</v>
      </c>
      <c r="V2418" s="6" t="s">
        <v>32</v>
      </c>
      <c r="W2418" s="6" t="s">
        <v>543</v>
      </c>
      <c r="X2418" s="6" t="s">
        <v>178</v>
      </c>
    </row>
    <row r="2419" spans="1:24" x14ac:dyDescent="0.3">
      <c r="A2419" s="6" t="s">
        <v>533</v>
      </c>
      <c r="B2419" s="6" t="s">
        <v>534</v>
      </c>
      <c r="C2419" s="6" t="s">
        <v>32</v>
      </c>
      <c r="D2419" s="1088" t="s">
        <v>542</v>
      </c>
      <c r="E2419" s="1088" t="s">
        <v>178</v>
      </c>
      <c r="F2419" s="6" t="s">
        <v>543</v>
      </c>
      <c r="G2419" s="6" t="s">
        <v>2251</v>
      </c>
      <c r="H2419" s="6" t="s">
        <v>2252</v>
      </c>
      <c r="J2419" s="1215" t="s">
        <v>511</v>
      </c>
      <c r="K2419" s="1219" t="s">
        <v>3112</v>
      </c>
      <c r="L2419" s="8">
        <v>0</v>
      </c>
      <c r="M2419" s="8">
        <v>26</v>
      </c>
      <c r="N2419" s="1169" t="s">
        <v>272</v>
      </c>
      <c r="P2419" s="6" t="s">
        <v>3324</v>
      </c>
      <c r="Q2419" s="1215" t="s">
        <v>253</v>
      </c>
      <c r="R2419" s="1215" t="s">
        <v>255</v>
      </c>
      <c r="S2419" s="1215" t="s">
        <v>534</v>
      </c>
      <c r="T2419" s="1215" t="s">
        <v>533</v>
      </c>
      <c r="U2419" s="6" t="s">
        <v>542</v>
      </c>
      <c r="V2419" s="6" t="s">
        <v>32</v>
      </c>
      <c r="W2419" s="6" t="s">
        <v>543</v>
      </c>
      <c r="X2419" s="6" t="s">
        <v>178</v>
      </c>
    </row>
    <row r="2420" spans="1:24" x14ac:dyDescent="0.3">
      <c r="A2420" s="6" t="s">
        <v>533</v>
      </c>
      <c r="B2420" s="6" t="s">
        <v>534</v>
      </c>
      <c r="C2420" s="6" t="s">
        <v>35</v>
      </c>
      <c r="D2420" s="1088" t="s">
        <v>567</v>
      </c>
      <c r="E2420" s="1088" t="s">
        <v>193</v>
      </c>
      <c r="F2420" s="6" t="s">
        <v>863</v>
      </c>
      <c r="G2420" s="6" t="s">
        <v>864</v>
      </c>
      <c r="H2420" s="6" t="s">
        <v>1567</v>
      </c>
      <c r="J2420" s="1215" t="s">
        <v>511</v>
      </c>
      <c r="K2420" s="1219" t="s">
        <v>3033</v>
      </c>
      <c r="L2420" s="8">
        <v>140</v>
      </c>
      <c r="M2420" s="8">
        <v>706</v>
      </c>
      <c r="N2420" s="1169" t="s">
        <v>271</v>
      </c>
      <c r="P2420" s="6" t="s">
        <v>3324</v>
      </c>
      <c r="Q2420" s="1215" t="s">
        <v>253</v>
      </c>
      <c r="R2420" s="1215" t="s">
        <v>255</v>
      </c>
      <c r="S2420" s="1215" t="s">
        <v>534</v>
      </c>
      <c r="T2420" s="1215" t="s">
        <v>533</v>
      </c>
      <c r="U2420" s="6" t="s">
        <v>567</v>
      </c>
      <c r="V2420" s="6" t="s">
        <v>35</v>
      </c>
      <c r="W2420" s="6" t="s">
        <v>863</v>
      </c>
      <c r="X2420" s="6" t="s">
        <v>193</v>
      </c>
    </row>
    <row r="2421" spans="1:24" x14ac:dyDescent="0.3">
      <c r="A2421" s="6" t="s">
        <v>533</v>
      </c>
      <c r="B2421" s="6" t="s">
        <v>534</v>
      </c>
      <c r="C2421" s="6" t="s">
        <v>35</v>
      </c>
      <c r="D2421" s="1088" t="s">
        <v>567</v>
      </c>
      <c r="E2421" s="1088" t="s">
        <v>193</v>
      </c>
      <c r="F2421" s="6" t="s">
        <v>863</v>
      </c>
      <c r="G2421" s="6" t="s">
        <v>864</v>
      </c>
      <c r="H2421" s="6" t="s">
        <v>1567</v>
      </c>
      <c r="J2421" s="1215" t="s">
        <v>511</v>
      </c>
      <c r="K2421" s="1219" t="s">
        <v>3110</v>
      </c>
      <c r="L2421" s="8">
        <v>13</v>
      </c>
      <c r="M2421" s="8">
        <v>95</v>
      </c>
      <c r="N2421" s="1169" t="s">
        <v>271</v>
      </c>
      <c r="P2421" s="6" t="s">
        <v>3324</v>
      </c>
      <c r="Q2421" s="1215" t="s">
        <v>253</v>
      </c>
      <c r="R2421" s="1215" t="s">
        <v>255</v>
      </c>
      <c r="S2421" s="1215" t="s">
        <v>534</v>
      </c>
      <c r="T2421" s="1215" t="s">
        <v>533</v>
      </c>
      <c r="U2421" s="6" t="s">
        <v>567</v>
      </c>
      <c r="V2421" s="6" t="s">
        <v>35</v>
      </c>
      <c r="W2421" s="6" t="s">
        <v>863</v>
      </c>
      <c r="X2421" s="6" t="s">
        <v>193</v>
      </c>
    </row>
    <row r="2422" spans="1:24" x14ac:dyDescent="0.3">
      <c r="A2422" s="6" t="s">
        <v>533</v>
      </c>
      <c r="B2422" s="6" t="s">
        <v>534</v>
      </c>
      <c r="C2422" s="6" t="s">
        <v>35</v>
      </c>
      <c r="D2422" s="1088" t="s">
        <v>567</v>
      </c>
      <c r="E2422" s="6" t="s">
        <v>193</v>
      </c>
      <c r="F2422" s="6" t="s">
        <v>863</v>
      </c>
      <c r="G2422" s="6" t="s">
        <v>864</v>
      </c>
      <c r="H2422" s="6" t="s">
        <v>1567</v>
      </c>
      <c r="J2422" s="1215" t="s">
        <v>511</v>
      </c>
      <c r="K2422" s="1219" t="s">
        <v>3111</v>
      </c>
      <c r="L2422" s="8">
        <v>13</v>
      </c>
      <c r="M2422" s="8">
        <v>43</v>
      </c>
      <c r="N2422" s="1169" t="s">
        <v>271</v>
      </c>
      <c r="P2422" s="6" t="s">
        <v>3323</v>
      </c>
      <c r="Q2422" s="1215" t="s">
        <v>253</v>
      </c>
      <c r="R2422" s="1215" t="s">
        <v>255</v>
      </c>
      <c r="S2422" s="1215" t="s">
        <v>534</v>
      </c>
      <c r="T2422" s="1215" t="s">
        <v>533</v>
      </c>
      <c r="U2422" s="6" t="s">
        <v>567</v>
      </c>
      <c r="V2422" s="6" t="s">
        <v>35</v>
      </c>
      <c r="W2422" s="6" t="s">
        <v>733</v>
      </c>
      <c r="X2422" s="6" t="s">
        <v>195</v>
      </c>
    </row>
    <row r="2423" spans="1:24" x14ac:dyDescent="0.3">
      <c r="A2423" s="6" t="s">
        <v>533</v>
      </c>
      <c r="B2423" s="6" t="s">
        <v>534</v>
      </c>
      <c r="C2423" s="6" t="s">
        <v>35</v>
      </c>
      <c r="D2423" s="1088" t="s">
        <v>567</v>
      </c>
      <c r="E2423" s="1088" t="s">
        <v>193</v>
      </c>
      <c r="F2423" s="6" t="s">
        <v>863</v>
      </c>
      <c r="G2423" s="6" t="s">
        <v>864</v>
      </c>
      <c r="H2423" s="6" t="s">
        <v>1567</v>
      </c>
      <c r="J2423" s="1215" t="s">
        <v>511</v>
      </c>
      <c r="K2423" s="1219" t="s">
        <v>3112</v>
      </c>
      <c r="L2423" s="8">
        <v>20</v>
      </c>
      <c r="M2423" s="8">
        <v>70</v>
      </c>
      <c r="N2423" s="1169" t="s">
        <v>271</v>
      </c>
      <c r="P2423" s="6" t="s">
        <v>3323</v>
      </c>
      <c r="Q2423" s="1215" t="s">
        <v>253</v>
      </c>
      <c r="R2423" s="1215" t="s">
        <v>255</v>
      </c>
      <c r="S2423" s="1215" t="s">
        <v>534</v>
      </c>
      <c r="T2423" s="1215" t="s">
        <v>533</v>
      </c>
      <c r="U2423" s="6" t="s">
        <v>567</v>
      </c>
      <c r="V2423" s="6" t="s">
        <v>35</v>
      </c>
      <c r="X2423" s="6" t="s">
        <v>192</v>
      </c>
    </row>
    <row r="2424" spans="1:24" x14ac:dyDescent="0.3">
      <c r="A2424" s="6" t="s">
        <v>533</v>
      </c>
      <c r="B2424" s="6" t="s">
        <v>534</v>
      </c>
      <c r="C2424" s="6" t="s">
        <v>35</v>
      </c>
      <c r="D2424" s="1088" t="s">
        <v>567</v>
      </c>
      <c r="E2424" s="6" t="s">
        <v>193</v>
      </c>
      <c r="F2424" s="6" t="s">
        <v>863</v>
      </c>
      <c r="G2424" s="6" t="s">
        <v>1597</v>
      </c>
      <c r="H2424" s="6" t="s">
        <v>3294</v>
      </c>
      <c r="J2424" s="1215" t="s">
        <v>511</v>
      </c>
      <c r="K2424" s="1219" t="s">
        <v>3112</v>
      </c>
      <c r="L2424" s="8">
        <v>1</v>
      </c>
      <c r="M2424" s="8">
        <v>6</v>
      </c>
      <c r="N2424" s="1169" t="s">
        <v>271</v>
      </c>
      <c r="P2424" s="6" t="s">
        <v>3323</v>
      </c>
      <c r="Q2424" s="1215" t="s">
        <v>253</v>
      </c>
      <c r="R2424" s="1215" t="s">
        <v>255</v>
      </c>
      <c r="S2424" s="1215" t="s">
        <v>534</v>
      </c>
      <c r="T2424" s="1215" t="s">
        <v>533</v>
      </c>
      <c r="U2424" s="6" t="s">
        <v>567</v>
      </c>
      <c r="V2424" s="6" t="s">
        <v>35</v>
      </c>
      <c r="X2424" s="6" t="s">
        <v>192</v>
      </c>
    </row>
    <row r="2425" spans="1:24" x14ac:dyDescent="0.3">
      <c r="A2425" s="6" t="s">
        <v>533</v>
      </c>
      <c r="B2425" s="6" t="s">
        <v>534</v>
      </c>
      <c r="C2425" s="6" t="s">
        <v>31</v>
      </c>
      <c r="D2425" s="1088" t="s">
        <v>549</v>
      </c>
      <c r="E2425" s="6" t="s">
        <v>172</v>
      </c>
      <c r="F2425" s="6" t="s">
        <v>706</v>
      </c>
      <c r="G2425" s="6" t="s">
        <v>1164</v>
      </c>
      <c r="H2425" s="6" t="s">
        <v>1869</v>
      </c>
      <c r="J2425" s="1215" t="s">
        <v>511</v>
      </c>
      <c r="K2425" s="1219" t="s">
        <v>3033</v>
      </c>
      <c r="L2425" s="8">
        <v>62</v>
      </c>
      <c r="M2425" s="8">
        <v>360</v>
      </c>
      <c r="N2425" s="1169" t="s">
        <v>271</v>
      </c>
      <c r="P2425" s="6" t="s">
        <v>3324</v>
      </c>
      <c r="Q2425" s="1215" t="s">
        <v>253</v>
      </c>
      <c r="R2425" s="1215" t="s">
        <v>255</v>
      </c>
      <c r="S2425" s="1215" t="s">
        <v>534</v>
      </c>
      <c r="T2425" s="1215" t="s">
        <v>533</v>
      </c>
      <c r="U2425" s="6" t="s">
        <v>549</v>
      </c>
      <c r="V2425" s="6" t="s">
        <v>31</v>
      </c>
      <c r="W2425" s="6" t="s">
        <v>706</v>
      </c>
      <c r="X2425" s="6" t="s">
        <v>172</v>
      </c>
    </row>
    <row r="2426" spans="1:24" x14ac:dyDescent="0.3">
      <c r="A2426" s="6" t="s">
        <v>533</v>
      </c>
      <c r="B2426" s="6" t="s">
        <v>534</v>
      </c>
      <c r="C2426" s="6" t="s">
        <v>31</v>
      </c>
      <c r="D2426" s="1088" t="s">
        <v>549</v>
      </c>
      <c r="E2426" s="6" t="s">
        <v>164</v>
      </c>
      <c r="F2426" s="6" t="s">
        <v>748</v>
      </c>
      <c r="G2426" s="6" t="s">
        <v>808</v>
      </c>
      <c r="H2426" s="6" t="s">
        <v>809</v>
      </c>
      <c r="J2426" s="1215" t="s">
        <v>511</v>
      </c>
      <c r="K2426" s="1219" t="s">
        <v>3033</v>
      </c>
      <c r="L2426" s="8">
        <v>6</v>
      </c>
      <c r="M2426" s="8">
        <v>46</v>
      </c>
      <c r="N2426" s="1169" t="s">
        <v>271</v>
      </c>
      <c r="P2426" s="6" t="s">
        <v>3323</v>
      </c>
      <c r="Q2426" s="1215" t="s">
        <v>253</v>
      </c>
      <c r="R2426" s="1215" t="s">
        <v>255</v>
      </c>
      <c r="S2426" s="1215" t="s">
        <v>534</v>
      </c>
      <c r="T2426" s="1215" t="s">
        <v>533</v>
      </c>
      <c r="U2426" s="6" t="s">
        <v>549</v>
      </c>
      <c r="V2426" s="6" t="s">
        <v>31</v>
      </c>
      <c r="W2426" s="6" t="s">
        <v>881</v>
      </c>
      <c r="X2426" s="6" t="s">
        <v>165</v>
      </c>
    </row>
    <row r="2427" spans="1:24" x14ac:dyDescent="0.3">
      <c r="A2427" s="6" t="s">
        <v>533</v>
      </c>
      <c r="B2427" s="6" t="s">
        <v>534</v>
      </c>
      <c r="C2427" s="6" t="s">
        <v>35</v>
      </c>
      <c r="D2427" s="1088" t="s">
        <v>567</v>
      </c>
      <c r="E2427" s="6" t="s">
        <v>194</v>
      </c>
      <c r="F2427" s="6" t="s">
        <v>2150</v>
      </c>
      <c r="G2427" s="6" t="s">
        <v>2151</v>
      </c>
      <c r="H2427" s="6" t="s">
        <v>2152</v>
      </c>
      <c r="J2427" s="1215" t="s">
        <v>511</v>
      </c>
      <c r="K2427" s="1219" t="s">
        <v>3033</v>
      </c>
      <c r="L2427" s="8">
        <v>12</v>
      </c>
      <c r="M2427" s="8">
        <v>73</v>
      </c>
      <c r="N2427" s="1169" t="s">
        <v>271</v>
      </c>
      <c r="P2427" s="6" t="s">
        <v>3361</v>
      </c>
      <c r="Q2427" s="1215" t="s">
        <v>240</v>
      </c>
      <c r="R2427" s="1088" t="s">
        <v>242</v>
      </c>
      <c r="S2427" s="1088"/>
      <c r="T2427" s="1088"/>
    </row>
    <row r="2428" spans="1:24" x14ac:dyDescent="0.3">
      <c r="A2428" s="6" t="s">
        <v>533</v>
      </c>
      <c r="B2428" s="6" t="s">
        <v>534</v>
      </c>
      <c r="C2428" s="6" t="s">
        <v>35</v>
      </c>
      <c r="D2428" s="1088" t="s">
        <v>567</v>
      </c>
      <c r="E2428" s="6" t="s">
        <v>194</v>
      </c>
      <c r="F2428" s="6" t="s">
        <v>2150</v>
      </c>
      <c r="G2428" s="6" t="s">
        <v>2151</v>
      </c>
      <c r="H2428" s="6" t="s">
        <v>2152</v>
      </c>
      <c r="J2428" s="1215" t="s">
        <v>511</v>
      </c>
      <c r="K2428" s="1219" t="s">
        <v>3110</v>
      </c>
      <c r="L2428" s="8">
        <v>0</v>
      </c>
      <c r="M2428" s="8">
        <v>6</v>
      </c>
      <c r="N2428" s="1169" t="s">
        <v>271</v>
      </c>
      <c r="P2428" s="6" t="s">
        <v>3361</v>
      </c>
      <c r="Q2428" s="1215" t="s">
        <v>240</v>
      </c>
      <c r="R2428" s="1088" t="s">
        <v>242</v>
      </c>
      <c r="S2428" s="1088"/>
      <c r="T2428" s="1088"/>
    </row>
    <row r="2429" spans="1:24" x14ac:dyDescent="0.3">
      <c r="A2429" s="6" t="s">
        <v>533</v>
      </c>
      <c r="B2429" s="6" t="s">
        <v>534</v>
      </c>
      <c r="C2429" s="6" t="s">
        <v>35</v>
      </c>
      <c r="D2429" s="1088" t="s">
        <v>567</v>
      </c>
      <c r="E2429" s="6" t="s">
        <v>194</v>
      </c>
      <c r="F2429" s="6" t="s">
        <v>2150</v>
      </c>
      <c r="G2429" s="6" t="s">
        <v>2151</v>
      </c>
      <c r="H2429" s="6" t="s">
        <v>2152</v>
      </c>
      <c r="J2429" s="1215" t="s">
        <v>511</v>
      </c>
      <c r="K2429" s="1219" t="s">
        <v>3111</v>
      </c>
      <c r="L2429" s="8">
        <v>0</v>
      </c>
      <c r="M2429" s="8">
        <v>4</v>
      </c>
      <c r="N2429" s="1169" t="s">
        <v>271</v>
      </c>
      <c r="P2429" s="6" t="s">
        <v>3361</v>
      </c>
      <c r="Q2429" s="1215" t="s">
        <v>240</v>
      </c>
      <c r="R2429" s="1088" t="s">
        <v>242</v>
      </c>
      <c r="S2429" s="1088"/>
      <c r="T2429" s="1088"/>
    </row>
    <row r="2430" spans="1:24" x14ac:dyDescent="0.3">
      <c r="A2430" s="6" t="s">
        <v>533</v>
      </c>
      <c r="B2430" s="6" t="s">
        <v>534</v>
      </c>
      <c r="C2430" s="6" t="s">
        <v>35</v>
      </c>
      <c r="D2430" s="1088" t="s">
        <v>567</v>
      </c>
      <c r="E2430" s="6" t="s">
        <v>194</v>
      </c>
      <c r="F2430" s="6" t="s">
        <v>2150</v>
      </c>
      <c r="G2430" s="6" t="s">
        <v>2153</v>
      </c>
      <c r="H2430" s="6" t="s">
        <v>2154</v>
      </c>
      <c r="J2430" s="1215" t="s">
        <v>511</v>
      </c>
      <c r="K2430" s="1219" t="s">
        <v>3033</v>
      </c>
      <c r="L2430" s="8">
        <v>8</v>
      </c>
      <c r="M2430" s="8">
        <v>35</v>
      </c>
      <c r="N2430" s="1088" t="s">
        <v>271</v>
      </c>
      <c r="P2430" s="6" t="s">
        <v>3361</v>
      </c>
      <c r="Q2430" s="1215" t="s">
        <v>240</v>
      </c>
      <c r="R2430" s="1088" t="s">
        <v>242</v>
      </c>
      <c r="S2430" s="1088"/>
      <c r="T2430" s="1088"/>
    </row>
    <row r="2431" spans="1:24" x14ac:dyDescent="0.3">
      <c r="A2431" s="6" t="s">
        <v>533</v>
      </c>
      <c r="B2431" s="6" t="s">
        <v>534</v>
      </c>
      <c r="C2431" s="6" t="s">
        <v>35</v>
      </c>
      <c r="D2431" s="1088" t="s">
        <v>567</v>
      </c>
      <c r="E2431" s="6" t="s">
        <v>194</v>
      </c>
      <c r="F2431" s="6" t="s">
        <v>2150</v>
      </c>
      <c r="G2431" s="6" t="s">
        <v>2153</v>
      </c>
      <c r="H2431" s="6" t="s">
        <v>2154</v>
      </c>
      <c r="J2431" s="1215" t="s">
        <v>511</v>
      </c>
      <c r="K2431" s="1219" t="s">
        <v>3109</v>
      </c>
      <c r="L2431" s="8">
        <v>0</v>
      </c>
      <c r="M2431" s="8">
        <v>4</v>
      </c>
      <c r="N2431" s="1169" t="s">
        <v>271</v>
      </c>
      <c r="P2431" s="6" t="s">
        <v>3361</v>
      </c>
      <c r="Q2431" s="1215" t="s">
        <v>240</v>
      </c>
      <c r="R2431" s="1088" t="s">
        <v>242</v>
      </c>
      <c r="S2431" s="1088"/>
      <c r="T2431" s="1088"/>
    </row>
    <row r="2432" spans="1:24" x14ac:dyDescent="0.3">
      <c r="A2432" s="6" t="s">
        <v>533</v>
      </c>
      <c r="B2432" s="6" t="s">
        <v>534</v>
      </c>
      <c r="C2432" s="6" t="s">
        <v>35</v>
      </c>
      <c r="D2432" s="1088" t="s">
        <v>567</v>
      </c>
      <c r="E2432" s="6" t="s">
        <v>194</v>
      </c>
      <c r="F2432" s="6" t="s">
        <v>2150</v>
      </c>
      <c r="G2432" s="6" t="s">
        <v>2153</v>
      </c>
      <c r="H2432" s="6" t="s">
        <v>2154</v>
      </c>
      <c r="J2432" s="1215" t="s">
        <v>511</v>
      </c>
      <c r="K2432" s="1219" t="s">
        <v>3110</v>
      </c>
      <c r="L2432" s="8">
        <v>0</v>
      </c>
      <c r="M2432" s="8">
        <v>2</v>
      </c>
      <c r="N2432" s="1088" t="s">
        <v>271</v>
      </c>
      <c r="P2432" s="6" t="s">
        <v>3361</v>
      </c>
      <c r="Q2432" s="1215" t="s">
        <v>240</v>
      </c>
      <c r="R2432" s="1088" t="s">
        <v>242</v>
      </c>
      <c r="S2432" s="1088"/>
      <c r="T2432" s="1088"/>
    </row>
    <row r="2433" spans="1:24" x14ac:dyDescent="0.3">
      <c r="A2433" s="6" t="s">
        <v>533</v>
      </c>
      <c r="B2433" s="6" t="s">
        <v>534</v>
      </c>
      <c r="C2433" s="6" t="s">
        <v>35</v>
      </c>
      <c r="D2433" s="1088" t="s">
        <v>567</v>
      </c>
      <c r="E2433" s="6" t="s">
        <v>194</v>
      </c>
      <c r="F2433" s="6" t="s">
        <v>2150</v>
      </c>
      <c r="G2433" s="6" t="s">
        <v>2153</v>
      </c>
      <c r="H2433" s="6" t="s">
        <v>2154</v>
      </c>
      <c r="J2433" s="1215" t="s">
        <v>511</v>
      </c>
      <c r="K2433" s="1219" t="s">
        <v>3112</v>
      </c>
      <c r="L2433" s="8">
        <v>2</v>
      </c>
      <c r="M2433" s="8">
        <v>8</v>
      </c>
      <c r="N2433" s="1169" t="s">
        <v>271</v>
      </c>
      <c r="P2433" s="6" t="s">
        <v>3361</v>
      </c>
      <c r="Q2433" s="1215" t="s">
        <v>240</v>
      </c>
      <c r="R2433" s="1088" t="s">
        <v>242</v>
      </c>
      <c r="S2433" s="1088"/>
      <c r="T2433" s="1088"/>
    </row>
    <row r="2434" spans="1:24" x14ac:dyDescent="0.3">
      <c r="A2434" s="6" t="s">
        <v>533</v>
      </c>
      <c r="B2434" s="6" t="s">
        <v>534</v>
      </c>
      <c r="C2434" s="6" t="s">
        <v>31</v>
      </c>
      <c r="D2434" s="1088" t="s">
        <v>549</v>
      </c>
      <c r="E2434" s="6" t="s">
        <v>172</v>
      </c>
      <c r="F2434" s="6" t="s">
        <v>706</v>
      </c>
      <c r="G2434" s="6" t="s">
        <v>1068</v>
      </c>
      <c r="H2434" s="6" t="s">
        <v>1867</v>
      </c>
      <c r="J2434" s="1215" t="s">
        <v>511</v>
      </c>
      <c r="K2434" s="1219" t="s">
        <v>3112</v>
      </c>
      <c r="L2434" s="8">
        <v>101</v>
      </c>
      <c r="M2434" s="8">
        <v>517</v>
      </c>
      <c r="N2434" s="1169" t="s">
        <v>271</v>
      </c>
      <c r="P2434" s="6" t="s">
        <v>3324</v>
      </c>
      <c r="Q2434" s="1215" t="s">
        <v>253</v>
      </c>
      <c r="R2434" s="1215" t="s">
        <v>255</v>
      </c>
      <c r="S2434" s="1215" t="s">
        <v>534</v>
      </c>
      <c r="T2434" s="1215" t="s">
        <v>533</v>
      </c>
      <c r="U2434" s="6" t="s">
        <v>549</v>
      </c>
      <c r="V2434" s="6" t="s">
        <v>31</v>
      </c>
      <c r="W2434" s="6" t="s">
        <v>706</v>
      </c>
      <c r="X2434" s="6" t="s">
        <v>172</v>
      </c>
    </row>
    <row r="2435" spans="1:24" x14ac:dyDescent="0.3">
      <c r="A2435" s="6" t="s">
        <v>533</v>
      </c>
      <c r="B2435" s="6" t="s">
        <v>534</v>
      </c>
      <c r="C2435" s="6" t="s">
        <v>31</v>
      </c>
      <c r="D2435" s="1088" t="s">
        <v>549</v>
      </c>
      <c r="E2435" s="6" t="s">
        <v>172</v>
      </c>
      <c r="F2435" s="6" t="s">
        <v>706</v>
      </c>
      <c r="G2435" s="6" t="s">
        <v>1068</v>
      </c>
      <c r="H2435" s="6" t="s">
        <v>1867</v>
      </c>
      <c r="J2435" s="1215" t="s">
        <v>511</v>
      </c>
      <c r="K2435" s="1219" t="s">
        <v>3033</v>
      </c>
      <c r="L2435" s="8">
        <v>0</v>
      </c>
      <c r="M2435" s="8">
        <v>16</v>
      </c>
      <c r="N2435" s="1088" t="s">
        <v>271</v>
      </c>
      <c r="P2435" s="6" t="s">
        <v>3324</v>
      </c>
      <c r="Q2435" s="1215" t="s">
        <v>253</v>
      </c>
      <c r="R2435" s="1215" t="s">
        <v>255</v>
      </c>
      <c r="S2435" s="1215" t="s">
        <v>534</v>
      </c>
      <c r="T2435" s="1215" t="s">
        <v>533</v>
      </c>
      <c r="U2435" s="6" t="s">
        <v>549</v>
      </c>
      <c r="V2435" s="6" t="s">
        <v>31</v>
      </c>
      <c r="W2435" s="6" t="s">
        <v>706</v>
      </c>
      <c r="X2435" s="6" t="s">
        <v>172</v>
      </c>
    </row>
    <row r="2436" spans="1:24" x14ac:dyDescent="0.3">
      <c r="A2436" s="6" t="s">
        <v>533</v>
      </c>
      <c r="B2436" s="6" t="s">
        <v>534</v>
      </c>
      <c r="C2436" s="6" t="s">
        <v>31</v>
      </c>
      <c r="D2436" s="1088" t="s">
        <v>549</v>
      </c>
      <c r="E2436" s="6" t="s">
        <v>172</v>
      </c>
      <c r="F2436" s="6" t="s">
        <v>706</v>
      </c>
      <c r="G2436" s="6" t="s">
        <v>1305</v>
      </c>
      <c r="H2436" s="6" t="s">
        <v>973</v>
      </c>
      <c r="J2436" s="1215" t="s">
        <v>511</v>
      </c>
      <c r="K2436" s="1219" t="s">
        <v>3033</v>
      </c>
      <c r="L2436" s="8">
        <v>53</v>
      </c>
      <c r="M2436" s="8">
        <v>372</v>
      </c>
      <c r="N2436" s="1169" t="s">
        <v>271</v>
      </c>
      <c r="P2436" s="6" t="s">
        <v>3324</v>
      </c>
      <c r="Q2436" s="1215" t="s">
        <v>253</v>
      </c>
      <c r="R2436" s="1215" t="s">
        <v>255</v>
      </c>
      <c r="S2436" s="1215" t="s">
        <v>534</v>
      </c>
      <c r="T2436" s="1215" t="s">
        <v>533</v>
      </c>
      <c r="U2436" s="6" t="s">
        <v>549</v>
      </c>
      <c r="V2436" s="6" t="s">
        <v>31</v>
      </c>
      <c r="W2436" s="6" t="s">
        <v>706</v>
      </c>
      <c r="X2436" s="6" t="s">
        <v>172</v>
      </c>
    </row>
    <row r="2437" spans="1:24" x14ac:dyDescent="0.3">
      <c r="A2437" s="6" t="s">
        <v>533</v>
      </c>
      <c r="B2437" s="6" t="s">
        <v>534</v>
      </c>
      <c r="C2437" s="6" t="s">
        <v>31</v>
      </c>
      <c r="D2437" s="1088" t="s">
        <v>549</v>
      </c>
      <c r="E2437" s="6" t="s">
        <v>172</v>
      </c>
      <c r="F2437" s="6" t="s">
        <v>706</v>
      </c>
      <c r="G2437" s="6" t="s">
        <v>1305</v>
      </c>
      <c r="H2437" s="6" t="s">
        <v>973</v>
      </c>
      <c r="J2437" s="1215" t="s">
        <v>511</v>
      </c>
      <c r="K2437" s="1219" t="s">
        <v>3112</v>
      </c>
      <c r="L2437" s="8">
        <v>0</v>
      </c>
      <c r="M2437" s="8">
        <v>10</v>
      </c>
      <c r="N2437" s="1169" t="s">
        <v>271</v>
      </c>
      <c r="P2437" s="6" t="s">
        <v>3324</v>
      </c>
      <c r="Q2437" s="1215" t="s">
        <v>253</v>
      </c>
      <c r="R2437" s="1215" t="s">
        <v>255</v>
      </c>
      <c r="S2437" s="1215" t="s">
        <v>534</v>
      </c>
      <c r="T2437" s="1215" t="s">
        <v>533</v>
      </c>
      <c r="U2437" s="6" t="s">
        <v>549</v>
      </c>
      <c r="V2437" s="6" t="s">
        <v>31</v>
      </c>
      <c r="W2437" s="6" t="s">
        <v>706</v>
      </c>
      <c r="X2437" s="6" t="s">
        <v>172</v>
      </c>
    </row>
    <row r="2438" spans="1:24" x14ac:dyDescent="0.3">
      <c r="A2438" s="6" t="s">
        <v>533</v>
      </c>
      <c r="B2438" s="6" t="s">
        <v>534</v>
      </c>
      <c r="C2438" s="6" t="s">
        <v>31</v>
      </c>
      <c r="D2438" s="1088" t="s">
        <v>549</v>
      </c>
      <c r="E2438" s="6" t="s">
        <v>172</v>
      </c>
      <c r="F2438" s="6" t="s">
        <v>706</v>
      </c>
      <c r="G2438" s="6" t="s">
        <v>2883</v>
      </c>
      <c r="H2438" s="6" t="s">
        <v>2162</v>
      </c>
      <c r="J2438" s="1215" t="s">
        <v>511</v>
      </c>
      <c r="K2438" s="1219" t="s">
        <v>3110</v>
      </c>
      <c r="L2438" s="8">
        <v>3</v>
      </c>
      <c r="M2438" s="8">
        <v>23</v>
      </c>
      <c r="N2438" s="1169" t="s">
        <v>271</v>
      </c>
      <c r="P2438" s="6" t="s">
        <v>3324</v>
      </c>
      <c r="Q2438" s="1215" t="s">
        <v>253</v>
      </c>
      <c r="R2438" s="1215" t="s">
        <v>255</v>
      </c>
      <c r="S2438" s="1215" t="s">
        <v>534</v>
      </c>
      <c r="T2438" s="1215" t="s">
        <v>533</v>
      </c>
      <c r="U2438" s="6" t="s">
        <v>549</v>
      </c>
      <c r="V2438" s="6" t="s">
        <v>31</v>
      </c>
      <c r="W2438" s="6" t="s">
        <v>706</v>
      </c>
      <c r="X2438" s="6" t="s">
        <v>172</v>
      </c>
    </row>
    <row r="2439" spans="1:24" x14ac:dyDescent="0.3">
      <c r="A2439" s="6" t="s">
        <v>533</v>
      </c>
      <c r="B2439" s="6" t="s">
        <v>534</v>
      </c>
      <c r="C2439" s="6" t="s">
        <v>31</v>
      </c>
      <c r="D2439" s="1088" t="s">
        <v>549</v>
      </c>
      <c r="E2439" s="6" t="s">
        <v>172</v>
      </c>
      <c r="F2439" s="6" t="s">
        <v>706</v>
      </c>
      <c r="G2439" s="6" t="s">
        <v>2883</v>
      </c>
      <c r="H2439" s="6" t="s">
        <v>2162</v>
      </c>
      <c r="J2439" s="1215" t="s">
        <v>511</v>
      </c>
      <c r="K2439" s="1219" t="s">
        <v>3112</v>
      </c>
      <c r="L2439" s="8">
        <v>0</v>
      </c>
      <c r="M2439" s="8">
        <v>1</v>
      </c>
      <c r="N2439" s="1088" t="s">
        <v>271</v>
      </c>
      <c r="P2439" s="6" t="s">
        <v>3324</v>
      </c>
      <c r="Q2439" s="1215" t="s">
        <v>253</v>
      </c>
      <c r="R2439" s="1215" t="s">
        <v>255</v>
      </c>
      <c r="S2439" s="1215" t="s">
        <v>534</v>
      </c>
      <c r="T2439" s="1215" t="s">
        <v>533</v>
      </c>
      <c r="U2439" s="6" t="s">
        <v>549</v>
      </c>
      <c r="V2439" s="6" t="s">
        <v>31</v>
      </c>
      <c r="W2439" s="6" t="s">
        <v>706</v>
      </c>
      <c r="X2439" s="6" t="s">
        <v>172</v>
      </c>
    </row>
    <row r="2440" spans="1:24" x14ac:dyDescent="0.3">
      <c r="A2440" s="6" t="s">
        <v>533</v>
      </c>
      <c r="B2440" s="6" t="s">
        <v>534</v>
      </c>
      <c r="C2440" s="6" t="s">
        <v>35</v>
      </c>
      <c r="D2440" s="1088" t="s">
        <v>567</v>
      </c>
      <c r="E2440" s="6" t="s">
        <v>193</v>
      </c>
      <c r="F2440" s="6" t="s">
        <v>863</v>
      </c>
      <c r="G2440" s="6" t="s">
        <v>2675</v>
      </c>
      <c r="H2440" s="6" t="s">
        <v>2207</v>
      </c>
      <c r="J2440" s="1215" t="s">
        <v>511</v>
      </c>
      <c r="K2440" s="1219" t="s">
        <v>3033</v>
      </c>
      <c r="L2440" s="8">
        <v>1017</v>
      </c>
      <c r="M2440" s="8">
        <v>7909</v>
      </c>
      <c r="N2440" s="1169" t="s">
        <v>271</v>
      </c>
      <c r="P2440" s="6" t="s">
        <v>3324</v>
      </c>
      <c r="Q2440" s="1215" t="s">
        <v>253</v>
      </c>
      <c r="R2440" s="1215" t="s">
        <v>255</v>
      </c>
      <c r="S2440" s="1215" t="s">
        <v>534</v>
      </c>
      <c r="T2440" s="1215" t="s">
        <v>533</v>
      </c>
      <c r="U2440" s="6" t="s">
        <v>567</v>
      </c>
      <c r="V2440" s="6" t="s">
        <v>35</v>
      </c>
      <c r="W2440" s="6" t="s">
        <v>863</v>
      </c>
      <c r="X2440" s="6" t="s">
        <v>193</v>
      </c>
    </row>
    <row r="2441" spans="1:24" x14ac:dyDescent="0.3">
      <c r="A2441" s="6" t="s">
        <v>533</v>
      </c>
      <c r="B2441" s="6" t="s">
        <v>534</v>
      </c>
      <c r="C2441" s="6" t="s">
        <v>35</v>
      </c>
      <c r="D2441" s="1088" t="s">
        <v>567</v>
      </c>
      <c r="E2441" s="1088" t="s">
        <v>193</v>
      </c>
      <c r="F2441" s="6" t="s">
        <v>863</v>
      </c>
      <c r="G2441" s="6" t="s">
        <v>2675</v>
      </c>
      <c r="H2441" s="6" t="s">
        <v>2207</v>
      </c>
      <c r="J2441" s="1215" t="s">
        <v>511</v>
      </c>
      <c r="K2441" s="1219" t="s">
        <v>3110</v>
      </c>
      <c r="L2441" s="8">
        <v>2</v>
      </c>
      <c r="M2441" s="8">
        <v>17</v>
      </c>
      <c r="N2441" s="1169" t="s">
        <v>271</v>
      </c>
      <c r="P2441" s="6" t="s">
        <v>3324</v>
      </c>
      <c r="Q2441" s="1215" t="s">
        <v>253</v>
      </c>
      <c r="R2441" s="1215" t="s">
        <v>255</v>
      </c>
      <c r="S2441" s="1215" t="s">
        <v>534</v>
      </c>
      <c r="T2441" s="1215" t="s">
        <v>533</v>
      </c>
      <c r="U2441" s="6" t="s">
        <v>567</v>
      </c>
      <c r="V2441" s="6" t="s">
        <v>35</v>
      </c>
      <c r="W2441" s="6" t="s">
        <v>863</v>
      </c>
      <c r="X2441" s="6" t="s">
        <v>193</v>
      </c>
    </row>
    <row r="2442" spans="1:24" x14ac:dyDescent="0.3">
      <c r="A2442" s="6" t="s">
        <v>533</v>
      </c>
      <c r="B2442" s="6" t="s">
        <v>534</v>
      </c>
      <c r="C2442" s="6" t="s">
        <v>35</v>
      </c>
      <c r="D2442" s="1088" t="s">
        <v>567</v>
      </c>
      <c r="E2442" s="6" t="s">
        <v>193</v>
      </c>
      <c r="F2442" s="6" t="s">
        <v>863</v>
      </c>
      <c r="G2442" s="6" t="s">
        <v>2675</v>
      </c>
      <c r="H2442" s="6" t="s">
        <v>2207</v>
      </c>
      <c r="J2442" s="1215" t="s">
        <v>511</v>
      </c>
      <c r="K2442" s="1219" t="s">
        <v>3111</v>
      </c>
      <c r="L2442" s="8">
        <v>2</v>
      </c>
      <c r="M2442" s="8">
        <v>16</v>
      </c>
      <c r="N2442" s="1169" t="s">
        <v>271</v>
      </c>
      <c r="P2442" s="6" t="s">
        <v>3324</v>
      </c>
      <c r="Q2442" s="1215" t="s">
        <v>253</v>
      </c>
      <c r="R2442" s="1215" t="s">
        <v>255</v>
      </c>
      <c r="S2442" s="1215" t="s">
        <v>534</v>
      </c>
      <c r="T2442" s="1215" t="s">
        <v>533</v>
      </c>
      <c r="U2442" s="6" t="s">
        <v>567</v>
      </c>
      <c r="V2442" s="6" t="s">
        <v>35</v>
      </c>
      <c r="W2442" s="6" t="s">
        <v>863</v>
      </c>
      <c r="X2442" s="6" t="s">
        <v>193</v>
      </c>
    </row>
    <row r="2443" spans="1:24" x14ac:dyDescent="0.3">
      <c r="A2443" s="6" t="s">
        <v>533</v>
      </c>
      <c r="B2443" s="6" t="s">
        <v>534</v>
      </c>
      <c r="C2443" s="6" t="s">
        <v>31</v>
      </c>
      <c r="D2443" s="1088" t="s">
        <v>549</v>
      </c>
      <c r="E2443" s="6" t="s">
        <v>169</v>
      </c>
      <c r="F2443" s="6" t="s">
        <v>673</v>
      </c>
      <c r="G2443" s="6" t="s">
        <v>2992</v>
      </c>
      <c r="H2443" s="6" t="s">
        <v>2330</v>
      </c>
      <c r="J2443" s="1215" t="s">
        <v>511</v>
      </c>
      <c r="K2443" s="1219" t="s">
        <v>3112</v>
      </c>
      <c r="L2443" s="8">
        <v>1</v>
      </c>
      <c r="M2443" s="8">
        <v>3</v>
      </c>
      <c r="N2443" s="1169" t="s">
        <v>274</v>
      </c>
      <c r="P2443" s="6" t="s">
        <v>3361</v>
      </c>
      <c r="Q2443" s="1215" t="s">
        <v>241</v>
      </c>
      <c r="R2443" s="1088" t="s">
        <v>243</v>
      </c>
      <c r="S2443" s="1088"/>
      <c r="T2443" s="1088"/>
    </row>
    <row r="2444" spans="1:24" x14ac:dyDescent="0.3">
      <c r="A2444" s="6" t="s">
        <v>533</v>
      </c>
      <c r="B2444" s="6" t="s">
        <v>534</v>
      </c>
      <c r="C2444" s="6" t="s">
        <v>31</v>
      </c>
      <c r="D2444" s="1088" t="s">
        <v>549</v>
      </c>
      <c r="E2444" s="6" t="s">
        <v>169</v>
      </c>
      <c r="F2444" s="6" t="s">
        <v>673</v>
      </c>
      <c r="G2444" s="6" t="s">
        <v>2992</v>
      </c>
      <c r="H2444" s="6" t="s">
        <v>2330</v>
      </c>
      <c r="J2444" s="1215" t="s">
        <v>511</v>
      </c>
      <c r="K2444" s="1219" t="s">
        <v>3111</v>
      </c>
      <c r="L2444" s="8">
        <v>42</v>
      </c>
      <c r="M2444" s="8">
        <v>333</v>
      </c>
      <c r="N2444" s="1169" t="s">
        <v>274</v>
      </c>
      <c r="P2444" s="6" t="s">
        <v>3323</v>
      </c>
      <c r="Q2444" s="1215" t="s">
        <v>253</v>
      </c>
      <c r="R2444" s="1215" t="s">
        <v>255</v>
      </c>
      <c r="S2444" s="1215" t="s">
        <v>534</v>
      </c>
      <c r="T2444" s="1215" t="s">
        <v>533</v>
      </c>
      <c r="U2444" s="6" t="s">
        <v>549</v>
      </c>
      <c r="V2444" s="6" t="s">
        <v>31</v>
      </c>
      <c r="W2444" s="6" t="s">
        <v>866</v>
      </c>
      <c r="X2444" s="1215" t="s">
        <v>170</v>
      </c>
    </row>
    <row r="2445" spans="1:24" x14ac:dyDescent="0.3">
      <c r="A2445" s="6" t="s">
        <v>533</v>
      </c>
      <c r="B2445" s="6" t="s">
        <v>534</v>
      </c>
      <c r="C2445" s="6" t="s">
        <v>31</v>
      </c>
      <c r="D2445" s="1088" t="s">
        <v>549</v>
      </c>
      <c r="E2445" s="6" t="s">
        <v>164</v>
      </c>
      <c r="F2445" s="6" t="s">
        <v>748</v>
      </c>
      <c r="G2445" s="6" t="s">
        <v>1347</v>
      </c>
      <c r="H2445" s="6" t="s">
        <v>1348</v>
      </c>
      <c r="J2445" s="1215" t="s">
        <v>511</v>
      </c>
      <c r="K2445" s="1219" t="s">
        <v>3111</v>
      </c>
      <c r="L2445" s="8">
        <v>35</v>
      </c>
      <c r="M2445" s="8">
        <v>40</v>
      </c>
      <c r="N2445" s="1088" t="s">
        <v>271</v>
      </c>
      <c r="P2445" s="6" t="s">
        <v>3323</v>
      </c>
      <c r="Q2445" s="1215" t="s">
        <v>253</v>
      </c>
      <c r="R2445" s="1215" t="s">
        <v>255</v>
      </c>
      <c r="S2445" s="1215" t="s">
        <v>534</v>
      </c>
      <c r="T2445" s="1215" t="s">
        <v>533</v>
      </c>
      <c r="U2445" s="6" t="s">
        <v>549</v>
      </c>
      <c r="V2445" s="6" t="s">
        <v>31</v>
      </c>
      <c r="W2445" s="6" t="s">
        <v>881</v>
      </c>
      <c r="X2445" s="6" t="s">
        <v>165</v>
      </c>
    </row>
    <row r="2446" spans="1:24" x14ac:dyDescent="0.3">
      <c r="A2446" s="6" t="s">
        <v>533</v>
      </c>
      <c r="B2446" s="6" t="s">
        <v>534</v>
      </c>
      <c r="C2446" s="6" t="s">
        <v>31</v>
      </c>
      <c r="D2446" s="1088" t="s">
        <v>549</v>
      </c>
      <c r="E2446" s="6" t="s">
        <v>172</v>
      </c>
      <c r="F2446" s="6" t="s">
        <v>706</v>
      </c>
      <c r="G2446" s="6" t="s">
        <v>986</v>
      </c>
      <c r="H2446" s="6" t="s">
        <v>2254</v>
      </c>
      <c r="J2446" s="1215" t="s">
        <v>511</v>
      </c>
      <c r="K2446" s="1219" t="s">
        <v>3033</v>
      </c>
      <c r="L2446" s="8">
        <v>17</v>
      </c>
      <c r="M2446" s="8">
        <v>75</v>
      </c>
      <c r="N2446" s="1169" t="s">
        <v>271</v>
      </c>
      <c r="P2446" s="6" t="s">
        <v>3324</v>
      </c>
      <c r="Q2446" s="1215" t="s">
        <v>253</v>
      </c>
      <c r="R2446" s="1215" t="s">
        <v>255</v>
      </c>
      <c r="S2446" s="1215" t="s">
        <v>534</v>
      </c>
      <c r="T2446" s="1215" t="s">
        <v>533</v>
      </c>
      <c r="U2446" s="6" t="s">
        <v>549</v>
      </c>
      <c r="V2446" s="6" t="s">
        <v>31</v>
      </c>
      <c r="W2446" s="6" t="s">
        <v>706</v>
      </c>
      <c r="X2446" s="6" t="s">
        <v>172</v>
      </c>
    </row>
    <row r="2447" spans="1:24" x14ac:dyDescent="0.3">
      <c r="A2447" s="6" t="s">
        <v>533</v>
      </c>
      <c r="B2447" s="6" t="s">
        <v>534</v>
      </c>
      <c r="C2447" s="6" t="s">
        <v>31</v>
      </c>
      <c r="D2447" s="1088" t="s">
        <v>549</v>
      </c>
      <c r="E2447" s="6" t="s">
        <v>172</v>
      </c>
      <c r="F2447" s="6" t="s">
        <v>706</v>
      </c>
      <c r="G2447" s="6" t="s">
        <v>986</v>
      </c>
      <c r="H2447" s="6" t="s">
        <v>2254</v>
      </c>
      <c r="J2447" s="1215" t="s">
        <v>511</v>
      </c>
      <c r="K2447" s="1219" t="s">
        <v>3109</v>
      </c>
      <c r="L2447" s="8">
        <v>0</v>
      </c>
      <c r="M2447" s="8">
        <v>3</v>
      </c>
      <c r="N2447" s="1169" t="s">
        <v>271</v>
      </c>
      <c r="P2447" s="6" t="s">
        <v>3324</v>
      </c>
      <c r="Q2447" s="1215" t="s">
        <v>253</v>
      </c>
      <c r="R2447" s="1215" t="s">
        <v>255</v>
      </c>
      <c r="S2447" s="1215" t="s">
        <v>534</v>
      </c>
      <c r="T2447" s="1215" t="s">
        <v>533</v>
      </c>
      <c r="U2447" s="6" t="s">
        <v>549</v>
      </c>
      <c r="V2447" s="6" t="s">
        <v>31</v>
      </c>
      <c r="W2447" s="6" t="s">
        <v>706</v>
      </c>
      <c r="X2447" s="6" t="s">
        <v>172</v>
      </c>
    </row>
    <row r="2448" spans="1:24" x14ac:dyDescent="0.3">
      <c r="A2448" s="6" t="s">
        <v>533</v>
      </c>
      <c r="B2448" s="6" t="s">
        <v>534</v>
      </c>
      <c r="C2448" s="6" t="s">
        <v>31</v>
      </c>
      <c r="D2448" s="1088" t="s">
        <v>549</v>
      </c>
      <c r="E2448" s="6" t="s">
        <v>172</v>
      </c>
      <c r="F2448" s="6" t="s">
        <v>706</v>
      </c>
      <c r="G2448" s="6" t="s">
        <v>986</v>
      </c>
      <c r="H2448" s="6" t="s">
        <v>2254</v>
      </c>
      <c r="J2448" s="1215" t="s">
        <v>511</v>
      </c>
      <c r="K2448" s="1219" t="s">
        <v>3110</v>
      </c>
      <c r="L2448" s="8">
        <v>0</v>
      </c>
      <c r="M2448" s="8">
        <v>7</v>
      </c>
      <c r="N2448" s="1169" t="s">
        <v>271</v>
      </c>
      <c r="P2448" s="6" t="s">
        <v>3324</v>
      </c>
      <c r="Q2448" s="1215" t="s">
        <v>253</v>
      </c>
      <c r="R2448" s="1215" t="s">
        <v>255</v>
      </c>
      <c r="S2448" s="1215" t="s">
        <v>534</v>
      </c>
      <c r="T2448" s="1215" t="s">
        <v>533</v>
      </c>
      <c r="U2448" s="6" t="s">
        <v>549</v>
      </c>
      <c r="V2448" s="6" t="s">
        <v>31</v>
      </c>
      <c r="W2448" s="6" t="s">
        <v>706</v>
      </c>
      <c r="X2448" s="6" t="s">
        <v>172</v>
      </c>
    </row>
    <row r="2449" spans="1:24" x14ac:dyDescent="0.3">
      <c r="A2449" s="6" t="s">
        <v>533</v>
      </c>
      <c r="B2449" s="6" t="s">
        <v>534</v>
      </c>
      <c r="C2449" s="6" t="s">
        <v>35</v>
      </c>
      <c r="D2449" s="1088" t="s">
        <v>567</v>
      </c>
      <c r="E2449" s="6" t="s">
        <v>193</v>
      </c>
      <c r="F2449" s="6" t="s">
        <v>863</v>
      </c>
      <c r="G2449" s="6" t="s">
        <v>1628</v>
      </c>
      <c r="H2449" s="6" t="s">
        <v>1309</v>
      </c>
      <c r="J2449" s="1215" t="s">
        <v>511</v>
      </c>
      <c r="K2449" s="1219" t="s">
        <v>3033</v>
      </c>
      <c r="L2449" s="8">
        <v>80</v>
      </c>
      <c r="M2449" s="8">
        <v>830</v>
      </c>
      <c r="N2449" s="1169" t="s">
        <v>271</v>
      </c>
      <c r="P2449" s="6" t="s">
        <v>3324</v>
      </c>
      <c r="Q2449" s="1215" t="s">
        <v>253</v>
      </c>
      <c r="R2449" s="1215" t="s">
        <v>255</v>
      </c>
      <c r="S2449" s="1215" t="s">
        <v>534</v>
      </c>
      <c r="T2449" s="1215" t="s">
        <v>533</v>
      </c>
      <c r="U2449" s="6" t="s">
        <v>567</v>
      </c>
      <c r="V2449" s="6" t="s">
        <v>35</v>
      </c>
      <c r="W2449" s="6" t="s">
        <v>863</v>
      </c>
      <c r="X2449" s="6" t="s">
        <v>193</v>
      </c>
    </row>
    <row r="2450" spans="1:24" x14ac:dyDescent="0.3">
      <c r="A2450" s="6" t="s">
        <v>533</v>
      </c>
      <c r="B2450" s="6" t="s">
        <v>534</v>
      </c>
      <c r="C2450" s="6" t="s">
        <v>35</v>
      </c>
      <c r="D2450" s="1088" t="s">
        <v>567</v>
      </c>
      <c r="E2450" s="6" t="s">
        <v>193</v>
      </c>
      <c r="F2450" s="6" t="s">
        <v>863</v>
      </c>
      <c r="G2450" s="6" t="s">
        <v>1628</v>
      </c>
      <c r="H2450" s="6" t="s">
        <v>1309</v>
      </c>
      <c r="J2450" s="1215" t="s">
        <v>511</v>
      </c>
      <c r="K2450" s="1219" t="s">
        <v>3110</v>
      </c>
      <c r="L2450" s="8">
        <v>1</v>
      </c>
      <c r="M2450" s="8">
        <v>5</v>
      </c>
      <c r="N2450" s="1169" t="s">
        <v>271</v>
      </c>
      <c r="P2450" s="6" t="s">
        <v>3324</v>
      </c>
      <c r="Q2450" s="1215" t="s">
        <v>253</v>
      </c>
      <c r="R2450" s="1215" t="s">
        <v>255</v>
      </c>
      <c r="S2450" s="1215" t="s">
        <v>534</v>
      </c>
      <c r="T2450" s="1215" t="s">
        <v>533</v>
      </c>
      <c r="U2450" s="6" t="s">
        <v>567</v>
      </c>
      <c r="V2450" s="6" t="s">
        <v>35</v>
      </c>
      <c r="W2450" s="6" t="s">
        <v>863</v>
      </c>
      <c r="X2450" s="6" t="s">
        <v>193</v>
      </c>
    </row>
    <row r="2451" spans="1:24" x14ac:dyDescent="0.3">
      <c r="A2451" s="6" t="s">
        <v>533</v>
      </c>
      <c r="B2451" s="6" t="s">
        <v>534</v>
      </c>
      <c r="C2451" s="6" t="s">
        <v>35</v>
      </c>
      <c r="D2451" s="1088" t="s">
        <v>567</v>
      </c>
      <c r="E2451" s="6" t="s">
        <v>193</v>
      </c>
      <c r="F2451" s="6" t="s">
        <v>863</v>
      </c>
      <c r="G2451" s="6" t="s">
        <v>1628</v>
      </c>
      <c r="H2451" s="6" t="s">
        <v>1309</v>
      </c>
      <c r="J2451" s="1215" t="s">
        <v>511</v>
      </c>
      <c r="K2451" s="1219" t="s">
        <v>3111</v>
      </c>
      <c r="L2451" s="8">
        <v>20</v>
      </c>
      <c r="M2451" s="8">
        <v>70</v>
      </c>
      <c r="N2451" s="1169" t="s">
        <v>271</v>
      </c>
      <c r="P2451" s="6" t="s">
        <v>3324</v>
      </c>
      <c r="Q2451" s="1215" t="s">
        <v>253</v>
      </c>
      <c r="R2451" s="1215" t="s">
        <v>255</v>
      </c>
      <c r="S2451" s="1215" t="s">
        <v>534</v>
      </c>
      <c r="T2451" s="1215" t="s">
        <v>533</v>
      </c>
      <c r="U2451" s="6" t="s">
        <v>567</v>
      </c>
      <c r="V2451" s="6" t="s">
        <v>35</v>
      </c>
      <c r="W2451" s="6" t="s">
        <v>863</v>
      </c>
      <c r="X2451" s="6" t="s">
        <v>193</v>
      </c>
    </row>
    <row r="2452" spans="1:24" x14ac:dyDescent="0.3">
      <c r="A2452" s="6" t="s">
        <v>533</v>
      </c>
      <c r="B2452" s="6" t="s">
        <v>534</v>
      </c>
      <c r="C2452" s="6" t="s">
        <v>31</v>
      </c>
      <c r="D2452" s="1088" t="s">
        <v>549</v>
      </c>
      <c r="E2452" s="6" t="s">
        <v>172</v>
      </c>
      <c r="F2452" s="6" t="s">
        <v>706</v>
      </c>
      <c r="G2452" s="6" t="s">
        <v>1868</v>
      </c>
      <c r="H2452" s="6" t="s">
        <v>1031</v>
      </c>
      <c r="J2452" s="1215" t="s">
        <v>511</v>
      </c>
      <c r="K2452" s="1219" t="s">
        <v>3109</v>
      </c>
      <c r="L2452" s="8">
        <v>40</v>
      </c>
      <c r="M2452" s="8">
        <v>200</v>
      </c>
      <c r="N2452" s="1169" t="s">
        <v>271</v>
      </c>
      <c r="P2452" s="6" t="s">
        <v>3324</v>
      </c>
      <c r="Q2452" s="1215" t="s">
        <v>253</v>
      </c>
      <c r="R2452" s="1215" t="s">
        <v>255</v>
      </c>
      <c r="S2452" s="1215" t="s">
        <v>534</v>
      </c>
      <c r="T2452" s="1215" t="s">
        <v>533</v>
      </c>
      <c r="U2452" s="6" t="s">
        <v>549</v>
      </c>
      <c r="V2452" s="6" t="s">
        <v>31</v>
      </c>
      <c r="W2452" s="6" t="s">
        <v>706</v>
      </c>
      <c r="X2452" s="6" t="s">
        <v>172</v>
      </c>
    </row>
    <row r="2453" spans="1:24" x14ac:dyDescent="0.3">
      <c r="A2453" s="6" t="s">
        <v>533</v>
      </c>
      <c r="B2453" s="6" t="s">
        <v>534</v>
      </c>
      <c r="C2453" s="6" t="s">
        <v>31</v>
      </c>
      <c r="D2453" s="1088" t="s">
        <v>549</v>
      </c>
      <c r="E2453" s="6" t="s">
        <v>172</v>
      </c>
      <c r="F2453" s="6" t="s">
        <v>706</v>
      </c>
      <c r="G2453" s="6" t="s">
        <v>1868</v>
      </c>
      <c r="H2453" s="6" t="s">
        <v>1031</v>
      </c>
      <c r="J2453" s="1215" t="s">
        <v>511</v>
      </c>
      <c r="K2453" s="1219" t="s">
        <v>3112</v>
      </c>
      <c r="L2453" s="8">
        <v>0</v>
      </c>
      <c r="M2453" s="8">
        <v>6</v>
      </c>
      <c r="N2453" s="1169" t="s">
        <v>271</v>
      </c>
      <c r="P2453" s="6" t="s">
        <v>3324</v>
      </c>
      <c r="Q2453" s="1215" t="s">
        <v>253</v>
      </c>
      <c r="R2453" s="1215" t="s">
        <v>255</v>
      </c>
      <c r="S2453" s="1215" t="s">
        <v>534</v>
      </c>
      <c r="T2453" s="1215" t="s">
        <v>533</v>
      </c>
      <c r="U2453" s="6" t="s">
        <v>549</v>
      </c>
      <c r="V2453" s="6" t="s">
        <v>31</v>
      </c>
      <c r="W2453" s="6" t="s">
        <v>706</v>
      </c>
      <c r="X2453" s="6" t="s">
        <v>172</v>
      </c>
    </row>
    <row r="2454" spans="1:24" x14ac:dyDescent="0.3">
      <c r="A2454" s="6" t="s">
        <v>533</v>
      </c>
      <c r="B2454" s="6" t="s">
        <v>534</v>
      </c>
      <c r="C2454" s="6" t="s">
        <v>31</v>
      </c>
      <c r="D2454" s="1088" t="s">
        <v>549</v>
      </c>
      <c r="E2454" s="6" t="s">
        <v>172</v>
      </c>
      <c r="F2454" s="6" t="s">
        <v>706</v>
      </c>
      <c r="G2454" s="6" t="s">
        <v>2812</v>
      </c>
      <c r="H2454" s="6" t="s">
        <v>1865</v>
      </c>
      <c r="J2454" s="1215" t="s">
        <v>511</v>
      </c>
      <c r="K2454" s="1219" t="s">
        <v>3033</v>
      </c>
      <c r="L2454" s="8">
        <v>18</v>
      </c>
      <c r="M2454" s="8">
        <v>157</v>
      </c>
      <c r="N2454" s="1169" t="s">
        <v>271</v>
      </c>
      <c r="P2454" s="6" t="s">
        <v>3324</v>
      </c>
      <c r="Q2454" s="1215" t="s">
        <v>253</v>
      </c>
      <c r="R2454" s="1215" t="s">
        <v>255</v>
      </c>
      <c r="S2454" s="1215" t="s">
        <v>534</v>
      </c>
      <c r="T2454" s="1215" t="s">
        <v>533</v>
      </c>
      <c r="U2454" s="6" t="s">
        <v>549</v>
      </c>
      <c r="V2454" s="6" t="s">
        <v>31</v>
      </c>
      <c r="W2454" s="6" t="s">
        <v>706</v>
      </c>
      <c r="X2454" s="6" t="s">
        <v>172</v>
      </c>
    </row>
    <row r="2455" spans="1:24" x14ac:dyDescent="0.3">
      <c r="A2455" s="6" t="s">
        <v>533</v>
      </c>
      <c r="B2455" s="6" t="s">
        <v>534</v>
      </c>
      <c r="C2455" s="6" t="s">
        <v>31</v>
      </c>
      <c r="D2455" s="1088" t="s">
        <v>549</v>
      </c>
      <c r="E2455" s="6" t="s">
        <v>172</v>
      </c>
      <c r="F2455" s="6" t="s">
        <v>706</v>
      </c>
      <c r="G2455" s="6" t="s">
        <v>2812</v>
      </c>
      <c r="H2455" s="6" t="s">
        <v>1865</v>
      </c>
      <c r="J2455" s="1215" t="s">
        <v>511</v>
      </c>
      <c r="K2455" s="1219" t="s">
        <v>3110</v>
      </c>
      <c r="L2455" s="8">
        <v>0</v>
      </c>
      <c r="M2455" s="8">
        <v>9</v>
      </c>
      <c r="N2455" s="1169" t="s">
        <v>271</v>
      </c>
      <c r="P2455" s="6" t="s">
        <v>3324</v>
      </c>
      <c r="Q2455" s="1215" t="s">
        <v>253</v>
      </c>
      <c r="R2455" s="1215" t="s">
        <v>255</v>
      </c>
      <c r="S2455" s="1215" t="s">
        <v>534</v>
      </c>
      <c r="T2455" s="1215" t="s">
        <v>533</v>
      </c>
      <c r="U2455" s="6" t="s">
        <v>549</v>
      </c>
      <c r="V2455" s="6" t="s">
        <v>31</v>
      </c>
      <c r="W2455" s="6" t="s">
        <v>706</v>
      </c>
      <c r="X2455" s="6" t="s">
        <v>172</v>
      </c>
    </row>
    <row r="2456" spans="1:24" x14ac:dyDescent="0.3">
      <c r="A2456" s="6" t="s">
        <v>533</v>
      </c>
      <c r="B2456" s="6" t="s">
        <v>534</v>
      </c>
      <c r="C2456" s="6" t="s">
        <v>31</v>
      </c>
      <c r="D2456" s="1088" t="s">
        <v>549</v>
      </c>
      <c r="E2456" s="6" t="s">
        <v>172</v>
      </c>
      <c r="F2456" s="6" t="s">
        <v>706</v>
      </c>
      <c r="G2456" s="6" t="s">
        <v>2957</v>
      </c>
      <c r="H2456" s="6" t="s">
        <v>1909</v>
      </c>
      <c r="J2456" s="1215" t="s">
        <v>511</v>
      </c>
      <c r="K2456" s="1219" t="s">
        <v>3033</v>
      </c>
      <c r="L2456" s="8">
        <v>44</v>
      </c>
      <c r="M2456" s="8">
        <v>266</v>
      </c>
      <c r="N2456" s="1169" t="s">
        <v>271</v>
      </c>
      <c r="P2456" s="6" t="s">
        <v>3324</v>
      </c>
      <c r="Q2456" s="1215" t="s">
        <v>253</v>
      </c>
      <c r="R2456" s="1215" t="s">
        <v>255</v>
      </c>
      <c r="S2456" s="1215" t="s">
        <v>534</v>
      </c>
      <c r="T2456" s="1215" t="s">
        <v>533</v>
      </c>
      <c r="U2456" s="6" t="s">
        <v>549</v>
      </c>
      <c r="V2456" s="6" t="s">
        <v>31</v>
      </c>
      <c r="W2456" s="6" t="s">
        <v>706</v>
      </c>
      <c r="X2456" s="6" t="s">
        <v>172</v>
      </c>
    </row>
    <row r="2457" spans="1:24" x14ac:dyDescent="0.3">
      <c r="A2457" s="6" t="s">
        <v>533</v>
      </c>
      <c r="B2457" s="6" t="s">
        <v>534</v>
      </c>
      <c r="C2457" s="6" t="s">
        <v>31</v>
      </c>
      <c r="D2457" s="1088" t="s">
        <v>549</v>
      </c>
      <c r="E2457" s="6" t="s">
        <v>172</v>
      </c>
      <c r="F2457" s="6" t="s">
        <v>706</v>
      </c>
      <c r="G2457" s="6" t="s">
        <v>2943</v>
      </c>
      <c r="H2457" s="6" t="s">
        <v>1176</v>
      </c>
      <c r="J2457" s="1215" t="s">
        <v>511</v>
      </c>
      <c r="K2457" s="1219" t="s">
        <v>3109</v>
      </c>
      <c r="L2457" s="8">
        <v>2</v>
      </c>
      <c r="M2457" s="8">
        <v>12</v>
      </c>
      <c r="N2457" s="1169" t="s">
        <v>271</v>
      </c>
      <c r="P2457" s="6" t="s">
        <v>3324</v>
      </c>
      <c r="Q2457" s="1215" t="s">
        <v>253</v>
      </c>
      <c r="R2457" s="1215" t="s">
        <v>255</v>
      </c>
      <c r="S2457" s="1215" t="s">
        <v>534</v>
      </c>
      <c r="T2457" s="1215" t="s">
        <v>533</v>
      </c>
      <c r="U2457" s="6" t="s">
        <v>549</v>
      </c>
      <c r="V2457" s="6" t="s">
        <v>31</v>
      </c>
      <c r="W2457" s="6" t="s">
        <v>706</v>
      </c>
      <c r="X2457" s="6" t="s">
        <v>172</v>
      </c>
    </row>
    <row r="2458" spans="1:24" x14ac:dyDescent="0.3">
      <c r="A2458" s="6" t="s">
        <v>533</v>
      </c>
      <c r="B2458" s="6" t="s">
        <v>534</v>
      </c>
      <c r="C2458" s="6" t="s">
        <v>31</v>
      </c>
      <c r="D2458" s="1088" t="s">
        <v>549</v>
      </c>
      <c r="E2458" s="6" t="s">
        <v>169</v>
      </c>
      <c r="F2458" s="6" t="s">
        <v>673</v>
      </c>
      <c r="G2458" s="6" t="s">
        <v>3016</v>
      </c>
      <c r="H2458" s="6" t="s">
        <v>1634</v>
      </c>
      <c r="J2458" s="1215" t="s">
        <v>511</v>
      </c>
      <c r="K2458" s="1219" t="s">
        <v>3111</v>
      </c>
      <c r="L2458" s="8">
        <v>44</v>
      </c>
      <c r="M2458" s="8">
        <v>89</v>
      </c>
      <c r="N2458" s="1169" t="s">
        <v>274</v>
      </c>
      <c r="P2458" s="6" t="s">
        <v>3361</v>
      </c>
      <c r="Q2458" s="1215" t="s">
        <v>241</v>
      </c>
      <c r="R2458" s="1088" t="s">
        <v>243</v>
      </c>
      <c r="S2458" s="1088"/>
      <c r="T2458" s="1088"/>
    </row>
    <row r="2459" spans="1:24" x14ac:dyDescent="0.3">
      <c r="A2459" s="6" t="s">
        <v>533</v>
      </c>
      <c r="B2459" s="6" t="s">
        <v>534</v>
      </c>
      <c r="C2459" s="6" t="s">
        <v>31</v>
      </c>
      <c r="D2459" s="1088" t="s">
        <v>549</v>
      </c>
      <c r="E2459" s="6" t="s">
        <v>169</v>
      </c>
      <c r="F2459" s="6" t="s">
        <v>673</v>
      </c>
      <c r="G2459" s="6" t="s">
        <v>2875</v>
      </c>
      <c r="H2459" s="6" t="s">
        <v>888</v>
      </c>
      <c r="J2459" s="1215" t="s">
        <v>511</v>
      </c>
      <c r="K2459" s="1219" t="s">
        <v>3111</v>
      </c>
      <c r="L2459" s="8">
        <v>15</v>
      </c>
      <c r="M2459" s="8">
        <v>65</v>
      </c>
      <c r="N2459" s="1169" t="s">
        <v>274</v>
      </c>
      <c r="P2459" s="6" t="s">
        <v>3361</v>
      </c>
      <c r="Q2459" s="1215" t="s">
        <v>241</v>
      </c>
      <c r="R2459" s="1088" t="s">
        <v>243</v>
      </c>
      <c r="S2459" s="1088"/>
      <c r="T2459" s="1088"/>
    </row>
    <row r="2460" spans="1:24" x14ac:dyDescent="0.3">
      <c r="A2460" s="6" t="s">
        <v>533</v>
      </c>
      <c r="B2460" s="6" t="s">
        <v>534</v>
      </c>
      <c r="C2460" s="6" t="s">
        <v>33</v>
      </c>
      <c r="D2460" s="1088" t="s">
        <v>561</v>
      </c>
      <c r="E2460" s="6" t="s">
        <v>182</v>
      </c>
      <c r="F2460" s="6" t="s">
        <v>647</v>
      </c>
      <c r="G2460" s="6" t="s">
        <v>648</v>
      </c>
      <c r="H2460" s="6" t="s">
        <v>649</v>
      </c>
      <c r="J2460" s="1215" t="s">
        <v>511</v>
      </c>
      <c r="K2460" s="1219" t="s">
        <v>3033</v>
      </c>
      <c r="L2460" s="8">
        <v>2</v>
      </c>
      <c r="M2460" s="8">
        <v>6</v>
      </c>
      <c r="N2460" s="1169" t="s">
        <v>271</v>
      </c>
      <c r="P2460" s="6" t="s">
        <v>3322</v>
      </c>
      <c r="Q2460" s="1215" t="s">
        <v>253</v>
      </c>
      <c r="R2460" s="1215" t="s">
        <v>255</v>
      </c>
      <c r="S2460" s="1215" t="s">
        <v>534</v>
      </c>
      <c r="T2460" s="1215" t="s">
        <v>533</v>
      </c>
      <c r="U2460" s="6" t="s">
        <v>539</v>
      </c>
      <c r="V2460" s="6" t="s">
        <v>34</v>
      </c>
    </row>
    <row r="2461" spans="1:24" x14ac:dyDescent="0.3">
      <c r="A2461" s="6" t="s">
        <v>533</v>
      </c>
      <c r="B2461" s="6" t="s">
        <v>534</v>
      </c>
      <c r="C2461" s="6" t="s">
        <v>33</v>
      </c>
      <c r="D2461" s="1088" t="s">
        <v>561</v>
      </c>
      <c r="E2461" s="1088" t="s">
        <v>182</v>
      </c>
      <c r="F2461" s="6" t="s">
        <v>647</v>
      </c>
      <c r="G2461" s="6" t="s">
        <v>2301</v>
      </c>
      <c r="H2461" s="6" t="s">
        <v>2302</v>
      </c>
      <c r="J2461" s="1215" t="s">
        <v>511</v>
      </c>
      <c r="K2461" s="1219" t="s">
        <v>3033</v>
      </c>
      <c r="L2461" s="8">
        <v>3</v>
      </c>
      <c r="M2461" s="8">
        <v>15</v>
      </c>
      <c r="N2461" s="1169" t="s">
        <v>274</v>
      </c>
      <c r="P2461" s="6" t="s">
        <v>3361</v>
      </c>
      <c r="Q2461" s="1215" t="s">
        <v>254</v>
      </c>
      <c r="R2461" s="1088" t="s">
        <v>3338</v>
      </c>
      <c r="S2461" s="1088"/>
      <c r="T2461" s="1088"/>
    </row>
    <row r="2462" spans="1:24" x14ac:dyDescent="0.3">
      <c r="A2462" s="6" t="s">
        <v>533</v>
      </c>
      <c r="B2462" s="6" t="s">
        <v>534</v>
      </c>
      <c r="C2462" s="6" t="s">
        <v>33</v>
      </c>
      <c r="D2462" s="1088" t="s">
        <v>561</v>
      </c>
      <c r="E2462" s="6" t="s">
        <v>182</v>
      </c>
      <c r="F2462" s="6" t="s">
        <v>647</v>
      </c>
      <c r="G2462" s="6" t="s">
        <v>2288</v>
      </c>
      <c r="H2462" s="6" t="s">
        <v>2289</v>
      </c>
      <c r="J2462" s="1215" t="s">
        <v>511</v>
      </c>
      <c r="K2462" s="1219" t="s">
        <v>3033</v>
      </c>
      <c r="L2462" s="8">
        <v>1</v>
      </c>
      <c r="M2462" s="8">
        <v>6</v>
      </c>
      <c r="N2462" s="1088" t="s">
        <v>274</v>
      </c>
      <c r="P2462" s="6" t="s">
        <v>3361</v>
      </c>
      <c r="Q2462" s="1215" t="s">
        <v>254</v>
      </c>
      <c r="R2462" s="1088" t="s">
        <v>3338</v>
      </c>
      <c r="S2462" s="1088"/>
      <c r="T2462" s="1088"/>
    </row>
    <row r="2463" spans="1:24" x14ac:dyDescent="0.3">
      <c r="A2463" s="6" t="s">
        <v>533</v>
      </c>
      <c r="B2463" s="6" t="s">
        <v>534</v>
      </c>
      <c r="C2463" s="6" t="s">
        <v>33</v>
      </c>
      <c r="D2463" s="1088" t="s">
        <v>561</v>
      </c>
      <c r="E2463" s="1088" t="s">
        <v>183</v>
      </c>
      <c r="F2463" s="6" t="s">
        <v>562</v>
      </c>
      <c r="G2463" s="6" t="s">
        <v>563</v>
      </c>
      <c r="H2463" s="6" t="s">
        <v>564</v>
      </c>
      <c r="J2463" s="1215" t="s">
        <v>511</v>
      </c>
      <c r="K2463" s="1219" t="s">
        <v>3033</v>
      </c>
      <c r="L2463" s="8">
        <v>3</v>
      </c>
      <c r="M2463" s="8">
        <v>21</v>
      </c>
      <c r="N2463" s="1169" t="s">
        <v>271</v>
      </c>
      <c r="P2463" s="6" t="s">
        <v>3322</v>
      </c>
      <c r="Q2463" s="1215" t="s">
        <v>253</v>
      </c>
      <c r="R2463" s="1215" t="s">
        <v>255</v>
      </c>
      <c r="S2463" s="1215" t="s">
        <v>534</v>
      </c>
      <c r="T2463" s="1215" t="s">
        <v>533</v>
      </c>
      <c r="U2463" s="6" t="s">
        <v>539</v>
      </c>
      <c r="V2463" s="6" t="s">
        <v>34</v>
      </c>
    </row>
    <row r="2464" spans="1:24" x14ac:dyDescent="0.3">
      <c r="A2464" s="6" t="s">
        <v>533</v>
      </c>
      <c r="B2464" s="6" t="s">
        <v>534</v>
      </c>
      <c r="C2464" s="6" t="s">
        <v>34</v>
      </c>
      <c r="D2464" s="1088" t="s">
        <v>539</v>
      </c>
      <c r="E2464" s="6" t="s">
        <v>187</v>
      </c>
      <c r="F2464" s="6" t="s">
        <v>951</v>
      </c>
      <c r="G2464" s="6" t="s">
        <v>3007</v>
      </c>
      <c r="H2464" s="6" t="s">
        <v>1609</v>
      </c>
      <c r="J2464" s="1215" t="s">
        <v>511</v>
      </c>
      <c r="K2464" s="1219" t="s">
        <v>3111</v>
      </c>
      <c r="L2464" s="8">
        <v>209</v>
      </c>
      <c r="M2464" s="8">
        <v>937</v>
      </c>
      <c r="N2464" s="1169" t="s">
        <v>271</v>
      </c>
      <c r="P2464" s="6" t="s">
        <v>3324</v>
      </c>
      <c r="Q2464" s="1215" t="s">
        <v>253</v>
      </c>
      <c r="R2464" s="1215" t="s">
        <v>255</v>
      </c>
      <c r="S2464" s="1215" t="s">
        <v>534</v>
      </c>
      <c r="T2464" s="1215" t="s">
        <v>533</v>
      </c>
      <c r="U2464" s="6" t="s">
        <v>539</v>
      </c>
      <c r="V2464" s="6" t="s">
        <v>34</v>
      </c>
      <c r="W2464" s="6" t="s">
        <v>951</v>
      </c>
      <c r="X2464" s="6" t="s">
        <v>187</v>
      </c>
    </row>
    <row r="2465" spans="1:24" x14ac:dyDescent="0.3">
      <c r="A2465" s="6" t="s">
        <v>533</v>
      </c>
      <c r="B2465" s="6" t="s">
        <v>534</v>
      </c>
      <c r="C2465" s="6" t="s">
        <v>31</v>
      </c>
      <c r="D2465" s="1088" t="s">
        <v>549</v>
      </c>
      <c r="E2465" s="6" t="s">
        <v>169</v>
      </c>
      <c r="F2465" s="6" t="s">
        <v>673</v>
      </c>
      <c r="G2465" s="6" t="s">
        <v>1446</v>
      </c>
      <c r="H2465" s="6" t="s">
        <v>1469</v>
      </c>
      <c r="J2465" s="1215" t="s">
        <v>511</v>
      </c>
      <c r="K2465" s="1219" t="s">
        <v>3112</v>
      </c>
      <c r="L2465" s="8">
        <v>5</v>
      </c>
      <c r="M2465" s="8">
        <v>20</v>
      </c>
      <c r="N2465" s="1169" t="s">
        <v>272</v>
      </c>
      <c r="P2465" s="6" t="s">
        <v>3324</v>
      </c>
      <c r="Q2465" s="1215" t="s">
        <v>253</v>
      </c>
      <c r="R2465" s="1215" t="s">
        <v>255</v>
      </c>
      <c r="S2465" s="1215" t="s">
        <v>534</v>
      </c>
      <c r="T2465" s="1215" t="s">
        <v>533</v>
      </c>
      <c r="U2465" s="6" t="s">
        <v>549</v>
      </c>
      <c r="V2465" s="6" t="s">
        <v>31</v>
      </c>
      <c r="W2465" s="6" t="s">
        <v>673</v>
      </c>
      <c r="X2465" s="6" t="s">
        <v>169</v>
      </c>
    </row>
    <row r="2466" spans="1:24" x14ac:dyDescent="0.3">
      <c r="A2466" s="6" t="s">
        <v>533</v>
      </c>
      <c r="B2466" s="6" t="s">
        <v>534</v>
      </c>
      <c r="C2466" s="6" t="s">
        <v>33</v>
      </c>
      <c r="D2466" s="1088" t="s">
        <v>561</v>
      </c>
      <c r="E2466" s="6" t="s">
        <v>184</v>
      </c>
      <c r="F2466" s="6" t="s">
        <v>2225</v>
      </c>
      <c r="G2466" s="6" t="s">
        <v>2963</v>
      </c>
      <c r="H2466" s="6" t="s">
        <v>2228</v>
      </c>
      <c r="J2466" s="1215" t="s">
        <v>511</v>
      </c>
      <c r="K2466" s="1219" t="s">
        <v>3033</v>
      </c>
      <c r="L2466" s="8">
        <v>3</v>
      </c>
      <c r="M2466" s="8">
        <v>6</v>
      </c>
      <c r="N2466" s="1088" t="s">
        <v>271</v>
      </c>
      <c r="P2466" s="6" t="s">
        <v>3322</v>
      </c>
      <c r="Q2466" s="1215" t="s">
        <v>253</v>
      </c>
      <c r="R2466" s="1215" t="s">
        <v>255</v>
      </c>
      <c r="S2466" s="1215" t="s">
        <v>534</v>
      </c>
      <c r="T2466" s="1215" t="s">
        <v>533</v>
      </c>
      <c r="U2466" s="6" t="s">
        <v>539</v>
      </c>
      <c r="V2466" s="6" t="s">
        <v>34</v>
      </c>
    </row>
    <row r="2467" spans="1:24" x14ac:dyDescent="0.3">
      <c r="A2467" s="6" t="s">
        <v>533</v>
      </c>
      <c r="B2467" s="6" t="s">
        <v>534</v>
      </c>
      <c r="C2467" s="6" t="s">
        <v>31</v>
      </c>
      <c r="D2467" s="1088" t="s">
        <v>549</v>
      </c>
      <c r="E2467" s="6" t="s">
        <v>172</v>
      </c>
      <c r="F2467" s="6" t="s">
        <v>706</v>
      </c>
      <c r="G2467" s="6" t="s">
        <v>1160</v>
      </c>
      <c r="H2467" s="6" t="s">
        <v>1126</v>
      </c>
      <c r="J2467" s="1215" t="s">
        <v>511</v>
      </c>
      <c r="K2467" s="1219" t="s">
        <v>3033</v>
      </c>
      <c r="L2467" s="8">
        <v>15</v>
      </c>
      <c r="M2467" s="8">
        <v>63</v>
      </c>
      <c r="N2467" s="1169" t="s">
        <v>271</v>
      </c>
      <c r="P2467" s="6" t="s">
        <v>3324</v>
      </c>
      <c r="Q2467" s="1215" t="s">
        <v>253</v>
      </c>
      <c r="R2467" s="1215" t="s">
        <v>255</v>
      </c>
      <c r="S2467" s="1215" t="s">
        <v>534</v>
      </c>
      <c r="T2467" s="1215" t="s">
        <v>533</v>
      </c>
      <c r="U2467" s="6" t="s">
        <v>549</v>
      </c>
      <c r="V2467" s="6" t="s">
        <v>31</v>
      </c>
      <c r="W2467" s="6" t="s">
        <v>706</v>
      </c>
      <c r="X2467" s="6" t="s">
        <v>172</v>
      </c>
    </row>
    <row r="2468" spans="1:24" x14ac:dyDescent="0.3">
      <c r="A2468" s="6" t="s">
        <v>533</v>
      </c>
      <c r="B2468" s="6" t="s">
        <v>534</v>
      </c>
      <c r="C2468" s="6" t="s">
        <v>31</v>
      </c>
      <c r="D2468" s="1088" t="s">
        <v>549</v>
      </c>
      <c r="E2468" s="1088" t="s">
        <v>172</v>
      </c>
      <c r="F2468" s="6" t="s">
        <v>706</v>
      </c>
      <c r="G2468" s="6" t="s">
        <v>1160</v>
      </c>
      <c r="H2468" s="6" t="s">
        <v>1126</v>
      </c>
      <c r="J2468" s="1215" t="s">
        <v>511</v>
      </c>
      <c r="K2468" s="1219" t="s">
        <v>3112</v>
      </c>
      <c r="L2468" s="8">
        <v>0</v>
      </c>
      <c r="M2468" s="8">
        <v>2</v>
      </c>
      <c r="N2468" s="1169" t="s">
        <v>271</v>
      </c>
      <c r="P2468" s="6" t="s">
        <v>3324</v>
      </c>
      <c r="Q2468" s="1215" t="s">
        <v>253</v>
      </c>
      <c r="R2468" s="1215" t="s">
        <v>255</v>
      </c>
      <c r="S2468" s="1215" t="s">
        <v>534</v>
      </c>
      <c r="T2468" s="1215" t="s">
        <v>533</v>
      </c>
      <c r="U2468" s="6" t="s">
        <v>549</v>
      </c>
      <c r="V2468" s="6" t="s">
        <v>31</v>
      </c>
      <c r="W2468" s="6" t="s">
        <v>706</v>
      </c>
      <c r="X2468" s="6" t="s">
        <v>172</v>
      </c>
    </row>
    <row r="2469" spans="1:24" x14ac:dyDescent="0.3">
      <c r="A2469" s="6" t="s">
        <v>533</v>
      </c>
      <c r="B2469" s="6" t="s">
        <v>534</v>
      </c>
      <c r="C2469" s="6" t="s">
        <v>31</v>
      </c>
      <c r="D2469" s="1088" t="s">
        <v>549</v>
      </c>
      <c r="E2469" s="1088" t="s">
        <v>171</v>
      </c>
      <c r="F2469" s="6" t="s">
        <v>634</v>
      </c>
      <c r="G2469" s="6" t="s">
        <v>2600</v>
      </c>
      <c r="H2469" s="6" t="s">
        <v>1803</v>
      </c>
      <c r="J2469" s="1215" t="s">
        <v>511</v>
      </c>
      <c r="K2469" s="1219" t="s">
        <v>3112</v>
      </c>
      <c r="L2469" s="8">
        <v>1</v>
      </c>
      <c r="M2469" s="8">
        <v>3</v>
      </c>
      <c r="N2469" s="1169" t="s">
        <v>271</v>
      </c>
      <c r="P2469" s="6" t="s">
        <v>3323</v>
      </c>
      <c r="Q2469" s="1215" t="s">
        <v>253</v>
      </c>
      <c r="R2469" s="1215" t="s">
        <v>255</v>
      </c>
      <c r="S2469" s="1215" t="s">
        <v>534</v>
      </c>
      <c r="T2469" s="1215" t="s">
        <v>533</v>
      </c>
      <c r="U2469" s="6" t="s">
        <v>549</v>
      </c>
      <c r="V2469" s="6" t="s">
        <v>31</v>
      </c>
      <c r="W2469" s="6" t="s">
        <v>881</v>
      </c>
      <c r="X2469" s="6" t="s">
        <v>165</v>
      </c>
    </row>
    <row r="2470" spans="1:24" x14ac:dyDescent="0.3">
      <c r="A2470" s="6" t="s">
        <v>533</v>
      </c>
      <c r="B2470" s="6" t="s">
        <v>534</v>
      </c>
      <c r="C2470" s="6" t="s">
        <v>31</v>
      </c>
      <c r="D2470" s="1088" t="s">
        <v>549</v>
      </c>
      <c r="E2470" s="6" t="s">
        <v>171</v>
      </c>
      <c r="F2470" s="6" t="s">
        <v>634</v>
      </c>
      <c r="G2470" s="6" t="s">
        <v>1337</v>
      </c>
      <c r="H2470" s="6" t="s">
        <v>1426</v>
      </c>
      <c r="J2470" s="1215" t="s">
        <v>511</v>
      </c>
      <c r="K2470" s="1219" t="s">
        <v>3033</v>
      </c>
      <c r="L2470" s="8">
        <v>10</v>
      </c>
      <c r="M2470" s="8">
        <v>51</v>
      </c>
      <c r="N2470" s="1088" t="s">
        <v>271</v>
      </c>
      <c r="P2470" s="6" t="s">
        <v>3323</v>
      </c>
      <c r="Q2470" s="1215" t="s">
        <v>253</v>
      </c>
      <c r="R2470" s="1215" t="s">
        <v>255</v>
      </c>
      <c r="S2470" s="1215" t="s">
        <v>534</v>
      </c>
      <c r="T2470" s="1215" t="s">
        <v>533</v>
      </c>
      <c r="U2470" s="6" t="s">
        <v>549</v>
      </c>
      <c r="V2470" s="6" t="s">
        <v>31</v>
      </c>
      <c r="W2470" s="6" t="s">
        <v>866</v>
      </c>
      <c r="X2470" s="6" t="s">
        <v>170</v>
      </c>
    </row>
    <row r="2471" spans="1:24" x14ac:dyDescent="0.3">
      <c r="A2471" s="6" t="s">
        <v>533</v>
      </c>
      <c r="B2471" s="6" t="s">
        <v>534</v>
      </c>
      <c r="C2471" s="6" t="s">
        <v>33</v>
      </c>
      <c r="D2471" s="1088" t="s">
        <v>561</v>
      </c>
      <c r="E2471" s="6" t="s">
        <v>183</v>
      </c>
      <c r="F2471" s="6" t="s">
        <v>562</v>
      </c>
      <c r="G2471" s="6" t="s">
        <v>2271</v>
      </c>
      <c r="H2471" s="6" t="s">
        <v>2272</v>
      </c>
      <c r="J2471" s="1215" t="s">
        <v>511</v>
      </c>
      <c r="K2471" s="1219" t="s">
        <v>3110</v>
      </c>
      <c r="L2471" s="8">
        <v>2</v>
      </c>
      <c r="M2471" s="8">
        <v>11</v>
      </c>
      <c r="N2471" s="1169" t="s">
        <v>271</v>
      </c>
      <c r="P2471" s="6" t="s">
        <v>3322</v>
      </c>
      <c r="Q2471" s="1215" t="s">
        <v>253</v>
      </c>
      <c r="R2471" s="1215" t="s">
        <v>255</v>
      </c>
      <c r="S2471" s="1215" t="s">
        <v>534</v>
      </c>
      <c r="T2471" s="1215" t="s">
        <v>533</v>
      </c>
      <c r="U2471" s="6" t="s">
        <v>539</v>
      </c>
      <c r="V2471" s="6" t="s">
        <v>34</v>
      </c>
    </row>
    <row r="2472" spans="1:24" x14ac:dyDescent="0.3">
      <c r="A2472" s="6" t="s">
        <v>533</v>
      </c>
      <c r="B2472" s="6" t="s">
        <v>534</v>
      </c>
      <c r="C2472" s="6" t="s">
        <v>33</v>
      </c>
      <c r="D2472" s="1088" t="s">
        <v>561</v>
      </c>
      <c r="E2472" s="6" t="s">
        <v>186</v>
      </c>
      <c r="F2472" s="6" t="s">
        <v>682</v>
      </c>
      <c r="G2472" s="6" t="s">
        <v>685</v>
      </c>
      <c r="H2472" s="6" t="s">
        <v>686</v>
      </c>
      <c r="J2472" s="1215" t="s">
        <v>511</v>
      </c>
      <c r="K2472" s="1219" t="s">
        <v>3033</v>
      </c>
      <c r="L2472" s="8">
        <v>2</v>
      </c>
      <c r="M2472" s="8">
        <v>9</v>
      </c>
      <c r="N2472" s="1169" t="s">
        <v>271</v>
      </c>
      <c r="P2472" s="6" t="s">
        <v>3322</v>
      </c>
      <c r="Q2472" s="1215" t="s">
        <v>253</v>
      </c>
      <c r="R2472" s="1215" t="s">
        <v>255</v>
      </c>
      <c r="S2472" s="1215" t="s">
        <v>534</v>
      </c>
      <c r="T2472" s="1215" t="s">
        <v>533</v>
      </c>
      <c r="U2472" s="6" t="s">
        <v>539</v>
      </c>
      <c r="V2472" s="6" t="s">
        <v>34</v>
      </c>
    </row>
    <row r="2473" spans="1:24" x14ac:dyDescent="0.3">
      <c r="A2473" s="6" t="s">
        <v>533</v>
      </c>
      <c r="B2473" s="6" t="s">
        <v>534</v>
      </c>
      <c r="C2473" s="6" t="s">
        <v>31</v>
      </c>
      <c r="D2473" s="1088" t="s">
        <v>549</v>
      </c>
      <c r="E2473" s="6" t="s">
        <v>173</v>
      </c>
      <c r="F2473" s="6" t="s">
        <v>556</v>
      </c>
      <c r="G2473" s="6" t="s">
        <v>1589</v>
      </c>
      <c r="H2473" s="6" t="s">
        <v>558</v>
      </c>
      <c r="J2473" s="1215" t="s">
        <v>511</v>
      </c>
      <c r="K2473" s="1219" t="s">
        <v>3112</v>
      </c>
      <c r="L2473" s="8">
        <v>46</v>
      </c>
      <c r="M2473" s="8">
        <v>329</v>
      </c>
      <c r="N2473" s="1169" t="s">
        <v>272</v>
      </c>
      <c r="P2473" s="6" t="s">
        <v>3324</v>
      </c>
      <c r="Q2473" s="1215" t="s">
        <v>253</v>
      </c>
      <c r="R2473" s="1215" t="s">
        <v>255</v>
      </c>
      <c r="S2473" s="1215" t="s">
        <v>534</v>
      </c>
      <c r="T2473" s="1215" t="s">
        <v>533</v>
      </c>
      <c r="U2473" s="6" t="s">
        <v>549</v>
      </c>
      <c r="V2473" s="6" t="s">
        <v>31</v>
      </c>
      <c r="W2473" s="6" t="s">
        <v>556</v>
      </c>
      <c r="X2473" s="6" t="s">
        <v>173</v>
      </c>
    </row>
    <row r="2474" spans="1:24" x14ac:dyDescent="0.3">
      <c r="A2474" s="6" t="s">
        <v>533</v>
      </c>
      <c r="B2474" s="6" t="s">
        <v>534</v>
      </c>
      <c r="C2474" s="6" t="s">
        <v>35</v>
      </c>
      <c r="D2474" s="6" t="s">
        <v>567</v>
      </c>
      <c r="E2474" s="6" t="s">
        <v>193</v>
      </c>
      <c r="F2474" s="6" t="s">
        <v>863</v>
      </c>
      <c r="G2474" s="6" t="s">
        <v>2677</v>
      </c>
      <c r="H2474" s="6" t="s">
        <v>1585</v>
      </c>
      <c r="J2474" s="1215" t="s">
        <v>511</v>
      </c>
      <c r="K2474" s="1219" t="s">
        <v>3033</v>
      </c>
      <c r="L2474" s="8">
        <v>62</v>
      </c>
      <c r="M2474" s="8">
        <v>321</v>
      </c>
      <c r="N2474" s="1169" t="s">
        <v>271</v>
      </c>
      <c r="P2474" s="6" t="s">
        <v>743</v>
      </c>
      <c r="Q2474" s="1215" t="s">
        <v>253</v>
      </c>
      <c r="R2474" s="1215" t="s">
        <v>255</v>
      </c>
      <c r="S2474" s="1088" t="s">
        <v>3405</v>
      </c>
      <c r="T2474" s="1088" t="s">
        <v>3326</v>
      </c>
    </row>
    <row r="2475" spans="1:24" x14ac:dyDescent="0.3">
      <c r="A2475" s="6" t="s">
        <v>533</v>
      </c>
      <c r="B2475" s="6" t="s">
        <v>534</v>
      </c>
      <c r="C2475" s="6" t="s">
        <v>35</v>
      </c>
      <c r="D2475" s="1088" t="s">
        <v>567</v>
      </c>
      <c r="E2475" s="6" t="s">
        <v>193</v>
      </c>
      <c r="F2475" s="6" t="s">
        <v>863</v>
      </c>
      <c r="G2475" s="6" t="s">
        <v>2677</v>
      </c>
      <c r="H2475" s="6" t="s">
        <v>1585</v>
      </c>
      <c r="J2475" s="1215" t="s">
        <v>511</v>
      </c>
      <c r="K2475" s="1219" t="s">
        <v>3110</v>
      </c>
      <c r="L2475" s="8">
        <v>2</v>
      </c>
      <c r="M2475" s="8">
        <v>8</v>
      </c>
      <c r="N2475" s="1088" t="s">
        <v>271</v>
      </c>
      <c r="P2475" s="6" t="s">
        <v>743</v>
      </c>
      <c r="Q2475" s="1215" t="s">
        <v>253</v>
      </c>
      <c r="R2475" s="1215" t="s">
        <v>255</v>
      </c>
      <c r="S2475" s="1088" t="s">
        <v>3405</v>
      </c>
      <c r="T2475" s="1088" t="s">
        <v>3326</v>
      </c>
    </row>
    <row r="2476" spans="1:24" x14ac:dyDescent="0.3">
      <c r="A2476" s="6" t="s">
        <v>533</v>
      </c>
      <c r="B2476" s="6" t="s">
        <v>534</v>
      </c>
      <c r="C2476" s="6" t="s">
        <v>35</v>
      </c>
      <c r="D2476" s="1088" t="s">
        <v>567</v>
      </c>
      <c r="E2476" s="6" t="s">
        <v>190</v>
      </c>
      <c r="F2476" s="6" t="s">
        <v>800</v>
      </c>
      <c r="G2476" s="6" t="s">
        <v>2853</v>
      </c>
      <c r="H2476" s="6" t="s">
        <v>801</v>
      </c>
      <c r="J2476" s="1215" t="s">
        <v>511</v>
      </c>
      <c r="K2476" s="1219" t="s">
        <v>3111</v>
      </c>
      <c r="L2476" s="8">
        <v>2</v>
      </c>
      <c r="M2476" s="8">
        <v>8</v>
      </c>
      <c r="N2476" s="1169" t="s">
        <v>271</v>
      </c>
      <c r="P2476" s="6" t="s">
        <v>3361</v>
      </c>
      <c r="Q2476" s="1215" t="s">
        <v>240</v>
      </c>
      <c r="R2476" s="1088" t="s">
        <v>242</v>
      </c>
      <c r="S2476" s="1088"/>
      <c r="T2476" s="1088"/>
    </row>
    <row r="2477" spans="1:24" x14ac:dyDescent="0.3">
      <c r="A2477" s="6" t="s">
        <v>533</v>
      </c>
      <c r="B2477" s="6" t="s">
        <v>534</v>
      </c>
      <c r="C2477" s="6" t="s">
        <v>31</v>
      </c>
      <c r="D2477" s="1088" t="s">
        <v>549</v>
      </c>
      <c r="E2477" s="6" t="s">
        <v>169</v>
      </c>
      <c r="F2477" s="6" t="s">
        <v>673</v>
      </c>
      <c r="G2477" s="6" t="s">
        <v>2931</v>
      </c>
      <c r="H2477" s="6" t="s">
        <v>2223</v>
      </c>
      <c r="J2477" s="1215" t="s">
        <v>511</v>
      </c>
      <c r="K2477" s="1219" t="s">
        <v>3111</v>
      </c>
      <c r="L2477" s="8">
        <v>85</v>
      </c>
      <c r="M2477" s="8">
        <v>664</v>
      </c>
      <c r="N2477" s="1169" t="s">
        <v>274</v>
      </c>
      <c r="P2477" s="6" t="s">
        <v>3361</v>
      </c>
      <c r="Q2477" s="1215" t="s">
        <v>241</v>
      </c>
      <c r="R2477" s="1088" t="s">
        <v>243</v>
      </c>
      <c r="S2477" s="1088"/>
      <c r="T2477" s="1088"/>
    </row>
    <row r="2478" spans="1:24" x14ac:dyDescent="0.3">
      <c r="A2478" s="6" t="s">
        <v>533</v>
      </c>
      <c r="B2478" s="6" t="s">
        <v>534</v>
      </c>
      <c r="C2478" s="6" t="s">
        <v>31</v>
      </c>
      <c r="D2478" s="1088" t="s">
        <v>549</v>
      </c>
      <c r="E2478" s="1088" t="s">
        <v>169</v>
      </c>
      <c r="F2478" s="6" t="s">
        <v>673</v>
      </c>
      <c r="G2478" s="6" t="s">
        <v>2931</v>
      </c>
      <c r="H2478" s="6" t="s">
        <v>2223</v>
      </c>
      <c r="J2478" s="1215" t="s">
        <v>511</v>
      </c>
      <c r="K2478" s="1219" t="s">
        <v>3112</v>
      </c>
      <c r="L2478" s="8">
        <v>15</v>
      </c>
      <c r="M2478" s="8">
        <v>213</v>
      </c>
      <c r="N2478" s="1169" t="s">
        <v>274</v>
      </c>
      <c r="P2478" s="6" t="s">
        <v>3361</v>
      </c>
      <c r="Q2478" s="1215" t="s">
        <v>241</v>
      </c>
      <c r="R2478" s="1088" t="s">
        <v>243</v>
      </c>
      <c r="S2478" s="1088"/>
      <c r="T2478" s="1088"/>
    </row>
    <row r="2479" spans="1:24" x14ac:dyDescent="0.3">
      <c r="A2479" s="6" t="s">
        <v>533</v>
      </c>
      <c r="B2479" s="6" t="s">
        <v>534</v>
      </c>
      <c r="C2479" s="6" t="s">
        <v>33</v>
      </c>
      <c r="D2479" s="1088" t="s">
        <v>561</v>
      </c>
      <c r="E2479" s="1088" t="s">
        <v>185</v>
      </c>
      <c r="F2479" s="6" t="s">
        <v>656</v>
      </c>
      <c r="G2479" s="6" t="s">
        <v>2924</v>
      </c>
      <c r="H2479" s="6" t="s">
        <v>736</v>
      </c>
      <c r="J2479" s="1215" t="s">
        <v>511</v>
      </c>
      <c r="K2479" s="1219" t="s">
        <v>3111</v>
      </c>
      <c r="L2479" s="8">
        <v>4</v>
      </c>
      <c r="M2479" s="8">
        <v>20</v>
      </c>
      <c r="N2479" s="1169" t="s">
        <v>272</v>
      </c>
      <c r="P2479" s="6" t="s">
        <v>3324</v>
      </c>
      <c r="Q2479" s="1215" t="s">
        <v>253</v>
      </c>
      <c r="R2479" s="1215" t="s">
        <v>255</v>
      </c>
      <c r="S2479" s="1215" t="s">
        <v>534</v>
      </c>
      <c r="T2479" s="1215" t="s">
        <v>533</v>
      </c>
      <c r="U2479" s="6" t="s">
        <v>561</v>
      </c>
      <c r="V2479" s="6" t="s">
        <v>33</v>
      </c>
      <c r="W2479" s="6" t="s">
        <v>656</v>
      </c>
      <c r="X2479" s="6" t="s">
        <v>185</v>
      </c>
    </row>
    <row r="2480" spans="1:24" x14ac:dyDescent="0.3">
      <c r="A2480" s="6" t="s">
        <v>533</v>
      </c>
      <c r="B2480" s="6" t="s">
        <v>534</v>
      </c>
      <c r="C2480" s="6" t="s">
        <v>34</v>
      </c>
      <c r="D2480" s="1088" t="s">
        <v>539</v>
      </c>
      <c r="E2480" s="6" t="s">
        <v>188</v>
      </c>
      <c r="F2480" s="6" t="s">
        <v>546</v>
      </c>
      <c r="G2480" s="6" t="s">
        <v>1497</v>
      </c>
      <c r="H2480" s="6" t="s">
        <v>1508</v>
      </c>
      <c r="J2480" s="1215" t="s">
        <v>511</v>
      </c>
      <c r="K2480" s="1219" t="s">
        <v>3033</v>
      </c>
      <c r="L2480" s="8">
        <v>109</v>
      </c>
      <c r="M2480" s="8">
        <v>927</v>
      </c>
      <c r="N2480" s="1169" t="s">
        <v>271</v>
      </c>
      <c r="P2480" s="1168" t="s">
        <v>3324</v>
      </c>
      <c r="Q2480" s="1215" t="s">
        <v>253</v>
      </c>
      <c r="R2480" s="1215" t="s">
        <v>255</v>
      </c>
      <c r="S2480" s="1215" t="s">
        <v>534</v>
      </c>
      <c r="T2480" s="1215" t="s">
        <v>533</v>
      </c>
      <c r="U2480" s="6" t="s">
        <v>539</v>
      </c>
      <c r="V2480" s="6" t="s">
        <v>34</v>
      </c>
      <c r="W2480" s="6" t="s">
        <v>546</v>
      </c>
      <c r="X2480" s="6" t="s">
        <v>188</v>
      </c>
    </row>
    <row r="2481" spans="1:24" x14ac:dyDescent="0.3">
      <c r="A2481" s="6" t="s">
        <v>533</v>
      </c>
      <c r="B2481" s="6" t="s">
        <v>534</v>
      </c>
      <c r="C2481" s="6" t="s">
        <v>34</v>
      </c>
      <c r="D2481" s="1088" t="s">
        <v>539</v>
      </c>
      <c r="E2481" s="6" t="s">
        <v>188</v>
      </c>
      <c r="F2481" s="6" t="s">
        <v>546</v>
      </c>
      <c r="G2481" s="6" t="s">
        <v>1497</v>
      </c>
      <c r="H2481" s="6" t="s">
        <v>1508</v>
      </c>
      <c r="J2481" s="1215" t="s">
        <v>511</v>
      </c>
      <c r="K2481" s="1219" t="s">
        <v>3110</v>
      </c>
      <c r="L2481" s="8">
        <v>0</v>
      </c>
      <c r="M2481" s="8">
        <v>4</v>
      </c>
      <c r="N2481" s="1169" t="s">
        <v>271</v>
      </c>
      <c r="P2481" s="6" t="s">
        <v>3324</v>
      </c>
      <c r="Q2481" s="1215" t="s">
        <v>253</v>
      </c>
      <c r="R2481" s="1215" t="s">
        <v>255</v>
      </c>
      <c r="S2481" s="1215" t="s">
        <v>534</v>
      </c>
      <c r="T2481" s="1215" t="s">
        <v>533</v>
      </c>
      <c r="U2481" s="6" t="s">
        <v>539</v>
      </c>
      <c r="V2481" s="6" t="s">
        <v>34</v>
      </c>
      <c r="W2481" s="6" t="s">
        <v>546</v>
      </c>
      <c r="X2481" s="6" t="s">
        <v>188</v>
      </c>
    </row>
    <row r="2482" spans="1:24" x14ac:dyDescent="0.3">
      <c r="A2482" s="6" t="s">
        <v>533</v>
      </c>
      <c r="B2482" s="6" t="s">
        <v>534</v>
      </c>
      <c r="C2482" s="6" t="s">
        <v>34</v>
      </c>
      <c r="D2482" s="1088" t="s">
        <v>539</v>
      </c>
      <c r="E2482" s="6" t="s">
        <v>188</v>
      </c>
      <c r="F2482" s="6" t="s">
        <v>546</v>
      </c>
      <c r="G2482" s="6" t="s">
        <v>1497</v>
      </c>
      <c r="H2482" s="6" t="s">
        <v>1508</v>
      </c>
      <c r="J2482" s="1215" t="s">
        <v>511</v>
      </c>
      <c r="K2482" s="1219" t="s">
        <v>3111</v>
      </c>
      <c r="L2482" s="8">
        <v>4</v>
      </c>
      <c r="M2482" s="8">
        <v>44</v>
      </c>
      <c r="N2482" s="1169" t="s">
        <v>271</v>
      </c>
      <c r="P2482" s="6" t="s">
        <v>3324</v>
      </c>
      <c r="Q2482" s="1215" t="s">
        <v>253</v>
      </c>
      <c r="R2482" s="1215" t="s">
        <v>255</v>
      </c>
      <c r="S2482" s="1215" t="s">
        <v>534</v>
      </c>
      <c r="T2482" s="1215" t="s">
        <v>533</v>
      </c>
      <c r="U2482" s="6" t="s">
        <v>539</v>
      </c>
      <c r="V2482" s="6" t="s">
        <v>34</v>
      </c>
      <c r="W2482" s="6" t="s">
        <v>546</v>
      </c>
      <c r="X2482" s="6" t="s">
        <v>188</v>
      </c>
    </row>
    <row r="2483" spans="1:24" x14ac:dyDescent="0.3">
      <c r="A2483" s="6" t="s">
        <v>533</v>
      </c>
      <c r="B2483" s="6" t="s">
        <v>534</v>
      </c>
      <c r="C2483" s="6" t="s">
        <v>34</v>
      </c>
      <c r="D2483" s="6" t="s">
        <v>539</v>
      </c>
      <c r="E2483" s="1088" t="s">
        <v>188</v>
      </c>
      <c r="F2483" s="6" t="s">
        <v>546</v>
      </c>
      <c r="G2483" s="6" t="s">
        <v>1497</v>
      </c>
      <c r="H2483" s="6" t="s">
        <v>1508</v>
      </c>
      <c r="J2483" s="1215" t="s">
        <v>511</v>
      </c>
      <c r="K2483" s="1219" t="s">
        <v>3112</v>
      </c>
      <c r="L2483" s="8">
        <v>0</v>
      </c>
      <c r="M2483" s="8">
        <v>20</v>
      </c>
      <c r="N2483" s="1169" t="s">
        <v>271</v>
      </c>
      <c r="P2483" s="6" t="s">
        <v>3324</v>
      </c>
      <c r="Q2483" s="1215" t="s">
        <v>253</v>
      </c>
      <c r="R2483" s="1215" t="s">
        <v>255</v>
      </c>
      <c r="S2483" s="1215" t="s">
        <v>534</v>
      </c>
      <c r="T2483" s="1215" t="s">
        <v>533</v>
      </c>
      <c r="U2483" s="6" t="s">
        <v>539</v>
      </c>
      <c r="V2483" s="6" t="s">
        <v>34</v>
      </c>
      <c r="W2483" s="6" t="s">
        <v>546</v>
      </c>
      <c r="X2483" s="6" t="s">
        <v>188</v>
      </c>
    </row>
    <row r="2484" spans="1:24" x14ac:dyDescent="0.3">
      <c r="A2484" s="6" t="s">
        <v>533</v>
      </c>
      <c r="B2484" s="6" t="s">
        <v>534</v>
      </c>
      <c r="C2484" s="6" t="s">
        <v>35</v>
      </c>
      <c r="D2484" s="1088" t="s">
        <v>567</v>
      </c>
      <c r="E2484" s="6" t="s">
        <v>190</v>
      </c>
      <c r="F2484" s="6" t="s">
        <v>800</v>
      </c>
      <c r="G2484" s="6" t="s">
        <v>1810</v>
      </c>
      <c r="H2484" s="6" t="s">
        <v>1811</v>
      </c>
      <c r="J2484" s="1215" t="s">
        <v>511</v>
      </c>
      <c r="K2484" s="1219" t="s">
        <v>3033</v>
      </c>
      <c r="L2484" s="8">
        <v>17</v>
      </c>
      <c r="M2484" s="8">
        <v>99</v>
      </c>
      <c r="N2484" s="1169" t="s">
        <v>271</v>
      </c>
      <c r="P2484" s="6" t="s">
        <v>3361</v>
      </c>
      <c r="Q2484" s="1215" t="s">
        <v>240</v>
      </c>
      <c r="R2484" s="1168" t="s">
        <v>242</v>
      </c>
      <c r="S2484" s="1088"/>
      <c r="T2484" s="1088"/>
    </row>
    <row r="2485" spans="1:24" x14ac:dyDescent="0.3">
      <c r="A2485" s="6" t="s">
        <v>533</v>
      </c>
      <c r="B2485" s="6" t="s">
        <v>534</v>
      </c>
      <c r="C2485" s="6" t="s">
        <v>35</v>
      </c>
      <c r="D2485" s="1088" t="s">
        <v>567</v>
      </c>
      <c r="E2485" s="6" t="s">
        <v>190</v>
      </c>
      <c r="F2485" s="6" t="s">
        <v>800</v>
      </c>
      <c r="G2485" s="6" t="s">
        <v>1810</v>
      </c>
      <c r="H2485" s="6" t="s">
        <v>1811</v>
      </c>
      <c r="J2485" s="1215" t="s">
        <v>511</v>
      </c>
      <c r="K2485" s="1219" t="s">
        <v>3109</v>
      </c>
      <c r="L2485" s="8">
        <v>0</v>
      </c>
      <c r="M2485" s="8">
        <v>7</v>
      </c>
      <c r="N2485" s="1169" t="s">
        <v>271</v>
      </c>
      <c r="P2485" s="6" t="s">
        <v>3361</v>
      </c>
      <c r="Q2485" s="1215" t="s">
        <v>240</v>
      </c>
      <c r="R2485" s="1168" t="s">
        <v>242</v>
      </c>
      <c r="S2485" s="1088"/>
      <c r="T2485" s="1088"/>
    </row>
    <row r="2486" spans="1:24" x14ac:dyDescent="0.3">
      <c r="A2486" s="6" t="s">
        <v>533</v>
      </c>
      <c r="B2486" s="6" t="s">
        <v>534</v>
      </c>
      <c r="C2486" s="6" t="s">
        <v>35</v>
      </c>
      <c r="D2486" s="1088" t="s">
        <v>567</v>
      </c>
      <c r="E2486" s="6" t="s">
        <v>190</v>
      </c>
      <c r="F2486" s="6" t="s">
        <v>800</v>
      </c>
      <c r="G2486" s="6" t="s">
        <v>1810</v>
      </c>
      <c r="H2486" s="6" t="s">
        <v>1811</v>
      </c>
      <c r="J2486" s="1215" t="s">
        <v>511</v>
      </c>
      <c r="K2486" s="1219" t="s">
        <v>3110</v>
      </c>
      <c r="L2486" s="8">
        <v>0</v>
      </c>
      <c r="M2486" s="8">
        <v>5</v>
      </c>
      <c r="N2486" s="1169" t="s">
        <v>271</v>
      </c>
      <c r="P2486" s="6" t="s">
        <v>3361</v>
      </c>
      <c r="Q2486" s="1215" t="s">
        <v>240</v>
      </c>
      <c r="R2486" s="1168" t="s">
        <v>242</v>
      </c>
      <c r="S2486" s="1088"/>
      <c r="T2486" s="1088"/>
    </row>
    <row r="2487" spans="1:24" x14ac:dyDescent="0.3">
      <c r="A2487" s="6" t="s">
        <v>533</v>
      </c>
      <c r="B2487" s="6" t="s">
        <v>534</v>
      </c>
      <c r="C2487" s="6" t="s">
        <v>34</v>
      </c>
      <c r="D2487" s="1088" t="s">
        <v>539</v>
      </c>
      <c r="E2487" s="6" t="s">
        <v>188</v>
      </c>
      <c r="F2487" s="6" t="s">
        <v>546</v>
      </c>
      <c r="G2487" s="6" t="s">
        <v>1675</v>
      </c>
      <c r="H2487" s="6" t="s">
        <v>1500</v>
      </c>
      <c r="J2487" s="1215" t="s">
        <v>511</v>
      </c>
      <c r="K2487" s="1219" t="s">
        <v>3033</v>
      </c>
      <c r="L2487" s="8">
        <v>359</v>
      </c>
      <c r="M2487" s="8">
        <v>2165</v>
      </c>
      <c r="N2487" s="1169" t="s">
        <v>271</v>
      </c>
      <c r="P2487" s="6" t="s">
        <v>3324</v>
      </c>
      <c r="Q2487" s="1215" t="s">
        <v>253</v>
      </c>
      <c r="R2487" s="1215" t="s">
        <v>255</v>
      </c>
      <c r="S2487" s="1215" t="s">
        <v>534</v>
      </c>
      <c r="T2487" s="1215" t="s">
        <v>533</v>
      </c>
      <c r="U2487" s="6" t="s">
        <v>539</v>
      </c>
      <c r="V2487" s="6" t="s">
        <v>34</v>
      </c>
      <c r="W2487" s="6" t="s">
        <v>546</v>
      </c>
      <c r="X2487" s="6" t="s">
        <v>188</v>
      </c>
    </row>
    <row r="2488" spans="1:24" x14ac:dyDescent="0.3">
      <c r="A2488" s="6" t="s">
        <v>533</v>
      </c>
      <c r="B2488" s="6" t="s">
        <v>534</v>
      </c>
      <c r="C2488" s="6" t="s">
        <v>34</v>
      </c>
      <c r="D2488" s="1088" t="s">
        <v>539</v>
      </c>
      <c r="E2488" s="6" t="s">
        <v>188</v>
      </c>
      <c r="F2488" s="6" t="s">
        <v>546</v>
      </c>
      <c r="G2488" s="6" t="s">
        <v>1675</v>
      </c>
      <c r="H2488" s="6" t="s">
        <v>1500</v>
      </c>
      <c r="J2488" s="1215" t="s">
        <v>511</v>
      </c>
      <c r="K2488" s="1219" t="s">
        <v>3109</v>
      </c>
      <c r="L2488" s="8">
        <v>29</v>
      </c>
      <c r="M2488" s="8">
        <v>194</v>
      </c>
      <c r="N2488" s="1169" t="s">
        <v>271</v>
      </c>
      <c r="P2488" s="6" t="s">
        <v>3324</v>
      </c>
      <c r="Q2488" s="1215" t="s">
        <v>253</v>
      </c>
      <c r="R2488" s="1215" t="s">
        <v>255</v>
      </c>
      <c r="S2488" s="1215" t="s">
        <v>534</v>
      </c>
      <c r="T2488" s="1215" t="s">
        <v>533</v>
      </c>
      <c r="U2488" s="6" t="s">
        <v>539</v>
      </c>
      <c r="V2488" s="6" t="s">
        <v>34</v>
      </c>
      <c r="W2488" s="6" t="s">
        <v>546</v>
      </c>
      <c r="X2488" s="6" t="s">
        <v>188</v>
      </c>
    </row>
    <row r="2489" spans="1:24" x14ac:dyDescent="0.3">
      <c r="A2489" s="6" t="s">
        <v>533</v>
      </c>
      <c r="B2489" s="6" t="s">
        <v>534</v>
      </c>
      <c r="C2489" s="6" t="s">
        <v>34</v>
      </c>
      <c r="D2489" s="1088" t="s">
        <v>539</v>
      </c>
      <c r="E2489" s="6" t="s">
        <v>188</v>
      </c>
      <c r="F2489" s="6" t="s">
        <v>546</v>
      </c>
      <c r="G2489" s="6" t="s">
        <v>1675</v>
      </c>
      <c r="H2489" s="6" t="s">
        <v>1500</v>
      </c>
      <c r="J2489" s="1215" t="s">
        <v>511</v>
      </c>
      <c r="K2489" s="1219" t="s">
        <v>3110</v>
      </c>
      <c r="L2489" s="8">
        <v>32</v>
      </c>
      <c r="M2489" s="8">
        <v>252</v>
      </c>
      <c r="N2489" s="1169" t="s">
        <v>271</v>
      </c>
      <c r="P2489" s="6" t="s">
        <v>3324</v>
      </c>
      <c r="Q2489" s="1215" t="s">
        <v>253</v>
      </c>
      <c r="R2489" s="1215" t="s">
        <v>255</v>
      </c>
      <c r="S2489" s="1215" t="s">
        <v>534</v>
      </c>
      <c r="T2489" s="1215" t="s">
        <v>533</v>
      </c>
      <c r="U2489" s="6" t="s">
        <v>539</v>
      </c>
      <c r="V2489" s="6" t="s">
        <v>34</v>
      </c>
      <c r="W2489" s="6" t="s">
        <v>546</v>
      </c>
      <c r="X2489" s="6" t="s">
        <v>188</v>
      </c>
    </row>
    <row r="2490" spans="1:24" x14ac:dyDescent="0.3">
      <c r="A2490" s="6" t="s">
        <v>533</v>
      </c>
      <c r="B2490" s="6" t="s">
        <v>534</v>
      </c>
      <c r="C2490" s="6" t="s">
        <v>34</v>
      </c>
      <c r="D2490" s="1088" t="s">
        <v>539</v>
      </c>
      <c r="E2490" s="6" t="s">
        <v>188</v>
      </c>
      <c r="F2490" s="6" t="s">
        <v>546</v>
      </c>
      <c r="G2490" s="6" t="s">
        <v>1675</v>
      </c>
      <c r="H2490" s="6" t="s">
        <v>1500</v>
      </c>
      <c r="J2490" s="1215" t="s">
        <v>511</v>
      </c>
      <c r="K2490" s="1219" t="s">
        <v>3112</v>
      </c>
      <c r="L2490" s="8">
        <v>5</v>
      </c>
      <c r="M2490" s="8">
        <v>58</v>
      </c>
      <c r="N2490" s="1169" t="s">
        <v>271</v>
      </c>
      <c r="P2490" s="6" t="s">
        <v>3324</v>
      </c>
      <c r="Q2490" s="1215" t="s">
        <v>253</v>
      </c>
      <c r="R2490" s="1215" t="s">
        <v>255</v>
      </c>
      <c r="S2490" s="1215" t="s">
        <v>534</v>
      </c>
      <c r="T2490" s="1215" t="s">
        <v>533</v>
      </c>
      <c r="U2490" s="6" t="s">
        <v>539</v>
      </c>
      <c r="V2490" s="6" t="s">
        <v>34</v>
      </c>
      <c r="W2490" s="6" t="s">
        <v>546</v>
      </c>
      <c r="X2490" s="6" t="s">
        <v>188</v>
      </c>
    </row>
    <row r="2491" spans="1:24" x14ac:dyDescent="0.3">
      <c r="A2491" s="6" t="s">
        <v>533</v>
      </c>
      <c r="B2491" s="6" t="s">
        <v>534</v>
      </c>
      <c r="C2491" s="6" t="s">
        <v>34</v>
      </c>
      <c r="D2491" s="1088" t="s">
        <v>539</v>
      </c>
      <c r="E2491" s="1088" t="s">
        <v>188</v>
      </c>
      <c r="F2491" s="6" t="s">
        <v>546</v>
      </c>
      <c r="G2491" s="6" t="s">
        <v>3207</v>
      </c>
      <c r="H2491" s="6" t="s">
        <v>2774</v>
      </c>
      <c r="J2491" s="1215" t="s">
        <v>511</v>
      </c>
      <c r="K2491" s="1219" t="s">
        <v>3111</v>
      </c>
      <c r="L2491" s="8">
        <v>34</v>
      </c>
      <c r="M2491" s="8">
        <v>238</v>
      </c>
      <c r="N2491" s="1169" t="s">
        <v>271</v>
      </c>
      <c r="P2491" s="6" t="s">
        <v>3324</v>
      </c>
      <c r="Q2491" s="1215" t="s">
        <v>253</v>
      </c>
      <c r="R2491" s="1215" t="s">
        <v>255</v>
      </c>
      <c r="S2491" s="1215" t="s">
        <v>534</v>
      </c>
      <c r="T2491" s="1215" t="s">
        <v>533</v>
      </c>
      <c r="U2491" s="6" t="s">
        <v>539</v>
      </c>
      <c r="V2491" s="6" t="s">
        <v>34</v>
      </c>
      <c r="W2491" s="6" t="s">
        <v>546</v>
      </c>
      <c r="X2491" s="6" t="s">
        <v>188</v>
      </c>
    </row>
    <row r="2492" spans="1:24" x14ac:dyDescent="0.3">
      <c r="A2492" s="6" t="s">
        <v>533</v>
      </c>
      <c r="B2492" s="6" t="s">
        <v>534</v>
      </c>
      <c r="C2492" s="6" t="s">
        <v>34</v>
      </c>
      <c r="D2492" s="1088" t="s">
        <v>539</v>
      </c>
      <c r="E2492" s="6" t="s">
        <v>188</v>
      </c>
      <c r="F2492" s="6" t="s">
        <v>546</v>
      </c>
      <c r="G2492" s="6" t="s">
        <v>3207</v>
      </c>
      <c r="H2492" s="6" t="s">
        <v>2774</v>
      </c>
      <c r="J2492" s="1215" t="s">
        <v>511</v>
      </c>
      <c r="K2492" s="1219" t="s">
        <v>3112</v>
      </c>
      <c r="L2492" s="8">
        <v>1</v>
      </c>
      <c r="M2492" s="8">
        <v>3</v>
      </c>
      <c r="N2492" s="1169" t="s">
        <v>271</v>
      </c>
      <c r="P2492" s="6" t="s">
        <v>3324</v>
      </c>
      <c r="Q2492" s="1215" t="s">
        <v>253</v>
      </c>
      <c r="R2492" s="1215" t="s">
        <v>255</v>
      </c>
      <c r="S2492" s="1215" t="s">
        <v>534</v>
      </c>
      <c r="T2492" s="1215" t="s">
        <v>533</v>
      </c>
      <c r="U2492" s="6" t="s">
        <v>539</v>
      </c>
      <c r="V2492" s="6" t="s">
        <v>34</v>
      </c>
      <c r="W2492" s="6" t="s">
        <v>546</v>
      </c>
      <c r="X2492" s="6" t="s">
        <v>188</v>
      </c>
    </row>
    <row r="2493" spans="1:24" x14ac:dyDescent="0.3">
      <c r="A2493" s="6" t="s">
        <v>533</v>
      </c>
      <c r="B2493" s="6" t="s">
        <v>534</v>
      </c>
      <c r="C2493" s="6" t="s">
        <v>34</v>
      </c>
      <c r="D2493" s="1088" t="s">
        <v>539</v>
      </c>
      <c r="E2493" s="6" t="s">
        <v>188</v>
      </c>
      <c r="F2493" s="6" t="s">
        <v>546</v>
      </c>
      <c r="G2493" s="6" t="s">
        <v>1075</v>
      </c>
      <c r="H2493" s="6" t="s">
        <v>1352</v>
      </c>
      <c r="J2493" s="1215" t="s">
        <v>511</v>
      </c>
      <c r="K2493" s="1219" t="s">
        <v>3110</v>
      </c>
      <c r="L2493" s="8">
        <v>5</v>
      </c>
      <c r="M2493" s="8">
        <v>25</v>
      </c>
      <c r="N2493" s="1169" t="s">
        <v>271</v>
      </c>
      <c r="P2493" s="6" t="s">
        <v>3324</v>
      </c>
      <c r="Q2493" s="1215" t="s">
        <v>253</v>
      </c>
      <c r="R2493" s="1215" t="s">
        <v>255</v>
      </c>
      <c r="S2493" s="1215" t="s">
        <v>534</v>
      </c>
      <c r="T2493" s="1215" t="s">
        <v>533</v>
      </c>
      <c r="U2493" s="6" t="s">
        <v>539</v>
      </c>
      <c r="V2493" s="6" t="s">
        <v>34</v>
      </c>
      <c r="W2493" s="6" t="s">
        <v>546</v>
      </c>
      <c r="X2493" s="6" t="s">
        <v>188</v>
      </c>
    </row>
    <row r="2494" spans="1:24" x14ac:dyDescent="0.3">
      <c r="A2494" s="6" t="s">
        <v>533</v>
      </c>
      <c r="B2494" s="6" t="s">
        <v>534</v>
      </c>
      <c r="C2494" s="6" t="s">
        <v>34</v>
      </c>
      <c r="D2494" s="1088" t="s">
        <v>539</v>
      </c>
      <c r="E2494" s="6" t="s">
        <v>188</v>
      </c>
      <c r="F2494" s="6" t="s">
        <v>546</v>
      </c>
      <c r="G2494" s="6" t="s">
        <v>1183</v>
      </c>
      <c r="H2494" s="6" t="s">
        <v>1512</v>
      </c>
      <c r="J2494" s="1215" t="s">
        <v>511</v>
      </c>
      <c r="K2494" s="1219" t="s">
        <v>3033</v>
      </c>
      <c r="L2494" s="8">
        <v>40</v>
      </c>
      <c r="M2494" s="8">
        <v>223</v>
      </c>
      <c r="N2494" s="1169" t="s">
        <v>271</v>
      </c>
      <c r="P2494" s="6" t="s">
        <v>3324</v>
      </c>
      <c r="Q2494" s="1215" t="s">
        <v>253</v>
      </c>
      <c r="R2494" s="1215" t="s">
        <v>255</v>
      </c>
      <c r="S2494" s="1215" t="s">
        <v>534</v>
      </c>
      <c r="T2494" s="1215" t="s">
        <v>533</v>
      </c>
      <c r="U2494" s="6" t="s">
        <v>539</v>
      </c>
      <c r="V2494" s="6" t="s">
        <v>34</v>
      </c>
      <c r="W2494" s="6" t="s">
        <v>546</v>
      </c>
      <c r="X2494" s="6" t="s">
        <v>188</v>
      </c>
    </row>
    <row r="2495" spans="1:24" x14ac:dyDescent="0.3">
      <c r="A2495" s="6" t="s">
        <v>533</v>
      </c>
      <c r="B2495" s="6" t="s">
        <v>534</v>
      </c>
      <c r="C2495" s="6" t="s">
        <v>34</v>
      </c>
      <c r="D2495" s="1088" t="s">
        <v>539</v>
      </c>
      <c r="E2495" s="1088" t="s">
        <v>188</v>
      </c>
      <c r="F2495" s="6" t="s">
        <v>546</v>
      </c>
      <c r="G2495" s="6" t="s">
        <v>1183</v>
      </c>
      <c r="H2495" s="6" t="s">
        <v>1512</v>
      </c>
      <c r="J2495" s="1215" t="s">
        <v>511</v>
      </c>
      <c r="K2495" s="1219" t="s">
        <v>3109</v>
      </c>
      <c r="L2495" s="8">
        <v>50</v>
      </c>
      <c r="M2495" s="8">
        <v>150</v>
      </c>
      <c r="N2495" s="1169" t="s">
        <v>271</v>
      </c>
      <c r="P2495" s="6" t="s">
        <v>3324</v>
      </c>
      <c r="Q2495" s="1215" t="s">
        <v>253</v>
      </c>
      <c r="R2495" s="1215" t="s">
        <v>255</v>
      </c>
      <c r="S2495" s="1215" t="s">
        <v>534</v>
      </c>
      <c r="T2495" s="1215" t="s">
        <v>533</v>
      </c>
      <c r="U2495" s="6" t="s">
        <v>539</v>
      </c>
      <c r="V2495" s="6" t="s">
        <v>34</v>
      </c>
      <c r="W2495" s="6" t="s">
        <v>546</v>
      </c>
      <c r="X2495" s="6" t="s">
        <v>188</v>
      </c>
    </row>
    <row r="2496" spans="1:24" x14ac:dyDescent="0.3">
      <c r="A2496" s="6" t="s">
        <v>533</v>
      </c>
      <c r="B2496" s="6" t="s">
        <v>534</v>
      </c>
      <c r="C2496" s="6" t="s">
        <v>34</v>
      </c>
      <c r="D2496" s="6" t="s">
        <v>539</v>
      </c>
      <c r="E2496" s="6" t="s">
        <v>188</v>
      </c>
      <c r="F2496" s="6" t="s">
        <v>546</v>
      </c>
      <c r="G2496" s="6" t="s">
        <v>1183</v>
      </c>
      <c r="H2496" s="6" t="s">
        <v>1512</v>
      </c>
      <c r="J2496" s="1215" t="s">
        <v>511</v>
      </c>
      <c r="K2496" s="1219" t="s">
        <v>3111</v>
      </c>
      <c r="L2496" s="8">
        <v>0</v>
      </c>
      <c r="M2496" s="8">
        <v>4</v>
      </c>
      <c r="N2496" s="1169" t="s">
        <v>271</v>
      </c>
      <c r="O2496" s="1088"/>
      <c r="P2496" s="6" t="s">
        <v>3324</v>
      </c>
      <c r="Q2496" s="1215" t="s">
        <v>253</v>
      </c>
      <c r="R2496" s="1215" t="s">
        <v>255</v>
      </c>
      <c r="S2496" s="1215" t="s">
        <v>534</v>
      </c>
      <c r="T2496" s="1215" t="s">
        <v>533</v>
      </c>
      <c r="U2496" s="6" t="s">
        <v>539</v>
      </c>
      <c r="V2496" s="6" t="s">
        <v>34</v>
      </c>
      <c r="W2496" s="6" t="s">
        <v>546</v>
      </c>
      <c r="X2496" s="6" t="s">
        <v>188</v>
      </c>
    </row>
    <row r="2497" spans="1:24" x14ac:dyDescent="0.3">
      <c r="A2497" s="6" t="s">
        <v>533</v>
      </c>
      <c r="B2497" s="6" t="s">
        <v>534</v>
      </c>
      <c r="C2497" s="6" t="s">
        <v>35</v>
      </c>
      <c r="D2497" s="6" t="s">
        <v>567</v>
      </c>
      <c r="E2497" s="6" t="s">
        <v>190</v>
      </c>
      <c r="F2497" s="6" t="s">
        <v>800</v>
      </c>
      <c r="G2497" s="6" t="s">
        <v>2183</v>
      </c>
      <c r="H2497" s="6" t="s">
        <v>2184</v>
      </c>
      <c r="J2497" s="1215" t="s">
        <v>511</v>
      </c>
      <c r="K2497" s="1219" t="s">
        <v>3109</v>
      </c>
      <c r="L2497" s="8">
        <v>4</v>
      </c>
      <c r="M2497" s="8">
        <v>6</v>
      </c>
      <c r="N2497" s="1169" t="s">
        <v>271</v>
      </c>
      <c r="P2497" s="6" t="s">
        <v>3361</v>
      </c>
      <c r="Q2497" s="1215" t="s">
        <v>240</v>
      </c>
      <c r="R2497" s="1168" t="s">
        <v>242</v>
      </c>
      <c r="S2497" s="1088"/>
      <c r="T2497" s="1088"/>
    </row>
    <row r="2498" spans="1:24" x14ac:dyDescent="0.3">
      <c r="A2498" s="6" t="s">
        <v>533</v>
      </c>
      <c r="B2498" s="6" t="s">
        <v>534</v>
      </c>
      <c r="C2498" s="6" t="s">
        <v>35</v>
      </c>
      <c r="D2498" s="1088" t="s">
        <v>567</v>
      </c>
      <c r="E2498" s="1088" t="s">
        <v>190</v>
      </c>
      <c r="F2498" s="6" t="s">
        <v>800</v>
      </c>
      <c r="G2498" s="6" t="s">
        <v>2183</v>
      </c>
      <c r="H2498" s="6" t="s">
        <v>2184</v>
      </c>
      <c r="J2498" s="1215" t="s">
        <v>511</v>
      </c>
      <c r="K2498" s="1219" t="s">
        <v>3110</v>
      </c>
      <c r="L2498" s="8">
        <v>1</v>
      </c>
      <c r="M2498" s="8">
        <v>9</v>
      </c>
      <c r="N2498" s="1169" t="s">
        <v>271</v>
      </c>
      <c r="P2498" s="6" t="s">
        <v>3361</v>
      </c>
      <c r="Q2498" s="1215" t="s">
        <v>240</v>
      </c>
      <c r="R2498" s="1168" t="s">
        <v>242</v>
      </c>
      <c r="S2498" s="1088"/>
      <c r="T2498" s="1088"/>
    </row>
    <row r="2499" spans="1:24" x14ac:dyDescent="0.3">
      <c r="A2499" s="6" t="s">
        <v>533</v>
      </c>
      <c r="B2499" s="6" t="s">
        <v>534</v>
      </c>
      <c r="C2499" s="6" t="s">
        <v>35</v>
      </c>
      <c r="D2499" s="1088" t="s">
        <v>567</v>
      </c>
      <c r="E2499" s="6" t="s">
        <v>190</v>
      </c>
      <c r="F2499" s="6" t="s">
        <v>800</v>
      </c>
      <c r="G2499" s="6" t="s">
        <v>2183</v>
      </c>
      <c r="H2499" s="6" t="s">
        <v>2184</v>
      </c>
      <c r="J2499" s="1215" t="s">
        <v>511</v>
      </c>
      <c r="K2499" s="1219" t="s">
        <v>3111</v>
      </c>
      <c r="L2499" s="8">
        <v>1</v>
      </c>
      <c r="M2499" s="8">
        <v>5</v>
      </c>
      <c r="N2499" s="1169" t="s">
        <v>271</v>
      </c>
      <c r="P2499" s="6" t="s">
        <v>3361</v>
      </c>
      <c r="Q2499" s="1215" t="s">
        <v>240</v>
      </c>
      <c r="R2499" s="1168" t="s">
        <v>242</v>
      </c>
      <c r="S2499" s="1088"/>
      <c r="T2499" s="1088"/>
    </row>
    <row r="2500" spans="1:24" x14ac:dyDescent="0.3">
      <c r="A2500" s="6" t="s">
        <v>533</v>
      </c>
      <c r="B2500" s="6" t="s">
        <v>534</v>
      </c>
      <c r="C2500" s="6" t="s">
        <v>31</v>
      </c>
      <c r="D2500" s="1088" t="s">
        <v>549</v>
      </c>
      <c r="E2500" s="6" t="s">
        <v>171</v>
      </c>
      <c r="F2500" s="6" t="s">
        <v>634</v>
      </c>
      <c r="G2500" s="6" t="s">
        <v>1046</v>
      </c>
      <c r="H2500" s="6" t="s">
        <v>1215</v>
      </c>
      <c r="J2500" s="1215" t="s">
        <v>511</v>
      </c>
      <c r="K2500" s="1219" t="s">
        <v>3111</v>
      </c>
      <c r="L2500" s="8">
        <v>16</v>
      </c>
      <c r="M2500" s="8">
        <v>88</v>
      </c>
      <c r="N2500" s="1169" t="s">
        <v>271</v>
      </c>
      <c r="P2500" s="6" t="s">
        <v>3324</v>
      </c>
      <c r="Q2500" s="1215" t="s">
        <v>253</v>
      </c>
      <c r="R2500" s="1215" t="s">
        <v>255</v>
      </c>
      <c r="S2500" s="1215" t="s">
        <v>534</v>
      </c>
      <c r="T2500" s="1215" t="s">
        <v>533</v>
      </c>
      <c r="U2500" s="6" t="s">
        <v>549</v>
      </c>
      <c r="V2500" s="6" t="s">
        <v>31</v>
      </c>
      <c r="W2500" s="6" t="s">
        <v>634</v>
      </c>
      <c r="X2500" s="6" t="s">
        <v>171</v>
      </c>
    </row>
    <row r="2501" spans="1:24" x14ac:dyDescent="0.3">
      <c r="A2501" s="6" t="s">
        <v>533</v>
      </c>
      <c r="B2501" s="6" t="s">
        <v>534</v>
      </c>
      <c r="C2501" s="6" t="s">
        <v>34</v>
      </c>
      <c r="D2501" s="1088" t="s">
        <v>539</v>
      </c>
      <c r="E2501" s="6" t="s">
        <v>188</v>
      </c>
      <c r="F2501" s="6" t="s">
        <v>546</v>
      </c>
      <c r="G2501" s="6" t="s">
        <v>1488</v>
      </c>
      <c r="H2501" s="6" t="s">
        <v>1514</v>
      </c>
      <c r="J2501" s="1215" t="s">
        <v>511</v>
      </c>
      <c r="K2501" s="1219" t="s">
        <v>3109</v>
      </c>
      <c r="L2501" s="8">
        <v>20</v>
      </c>
      <c r="M2501" s="8">
        <v>86</v>
      </c>
      <c r="N2501" s="1169" t="s">
        <v>271</v>
      </c>
      <c r="P2501" s="6" t="s">
        <v>3324</v>
      </c>
      <c r="Q2501" s="1215" t="s">
        <v>253</v>
      </c>
      <c r="R2501" s="1215" t="s">
        <v>255</v>
      </c>
      <c r="S2501" s="1215" t="s">
        <v>534</v>
      </c>
      <c r="T2501" s="1215" t="s">
        <v>533</v>
      </c>
      <c r="U2501" s="6" t="s">
        <v>539</v>
      </c>
      <c r="V2501" s="6" t="s">
        <v>34</v>
      </c>
      <c r="W2501" s="6" t="s">
        <v>546</v>
      </c>
      <c r="X2501" s="6" t="s">
        <v>188</v>
      </c>
    </row>
    <row r="2502" spans="1:24" x14ac:dyDescent="0.3">
      <c r="A2502" s="6" t="s">
        <v>533</v>
      </c>
      <c r="B2502" s="6" t="s">
        <v>534</v>
      </c>
      <c r="C2502" s="6" t="s">
        <v>34</v>
      </c>
      <c r="D2502" s="1088" t="s">
        <v>539</v>
      </c>
      <c r="E2502" s="6" t="s">
        <v>188</v>
      </c>
      <c r="F2502" s="6" t="s">
        <v>546</v>
      </c>
      <c r="G2502" s="6" t="s">
        <v>1488</v>
      </c>
      <c r="H2502" s="6" t="s">
        <v>1514</v>
      </c>
      <c r="J2502" s="1215" t="s">
        <v>511</v>
      </c>
      <c r="K2502" s="1219" t="s">
        <v>3110</v>
      </c>
      <c r="L2502" s="8">
        <v>0</v>
      </c>
      <c r="M2502" s="8">
        <v>10</v>
      </c>
      <c r="N2502" s="1169" t="s">
        <v>271</v>
      </c>
      <c r="P2502" s="6" t="s">
        <v>3324</v>
      </c>
      <c r="Q2502" s="1215" t="s">
        <v>253</v>
      </c>
      <c r="R2502" s="1215" t="s">
        <v>255</v>
      </c>
      <c r="S2502" s="1215" t="s">
        <v>534</v>
      </c>
      <c r="T2502" s="1215" t="s">
        <v>533</v>
      </c>
      <c r="U2502" s="6" t="s">
        <v>539</v>
      </c>
      <c r="V2502" s="6" t="s">
        <v>34</v>
      </c>
      <c r="W2502" s="6" t="s">
        <v>546</v>
      </c>
      <c r="X2502" s="6" t="s">
        <v>188</v>
      </c>
    </row>
    <row r="2503" spans="1:24" x14ac:dyDescent="0.3">
      <c r="A2503" s="6" t="s">
        <v>533</v>
      </c>
      <c r="B2503" s="6" t="s">
        <v>534</v>
      </c>
      <c r="C2503" s="6" t="s">
        <v>34</v>
      </c>
      <c r="D2503" s="1088" t="s">
        <v>539</v>
      </c>
      <c r="E2503" s="6" t="s">
        <v>188</v>
      </c>
      <c r="F2503" s="6" t="s">
        <v>546</v>
      </c>
      <c r="G2503" s="6" t="s">
        <v>1488</v>
      </c>
      <c r="H2503" s="6" t="s">
        <v>1514</v>
      </c>
      <c r="J2503" s="1215" t="s">
        <v>511</v>
      </c>
      <c r="K2503" s="1219" t="s">
        <v>3111</v>
      </c>
      <c r="L2503" s="8">
        <v>0</v>
      </c>
      <c r="M2503" s="8">
        <v>7</v>
      </c>
      <c r="N2503" s="1169" t="s">
        <v>271</v>
      </c>
      <c r="P2503" s="6" t="s">
        <v>3324</v>
      </c>
      <c r="Q2503" s="1215" t="s">
        <v>253</v>
      </c>
      <c r="R2503" s="1215" t="s">
        <v>255</v>
      </c>
      <c r="S2503" s="1215" t="s">
        <v>534</v>
      </c>
      <c r="T2503" s="1215" t="s">
        <v>533</v>
      </c>
      <c r="U2503" s="6" t="s">
        <v>539</v>
      </c>
      <c r="V2503" s="6" t="s">
        <v>34</v>
      </c>
      <c r="W2503" s="6" t="s">
        <v>546</v>
      </c>
      <c r="X2503" s="6" t="s">
        <v>188</v>
      </c>
    </row>
    <row r="2504" spans="1:24" x14ac:dyDescent="0.3">
      <c r="A2504" s="6" t="s">
        <v>533</v>
      </c>
      <c r="B2504" s="6" t="s">
        <v>534</v>
      </c>
      <c r="C2504" s="6" t="s">
        <v>34</v>
      </c>
      <c r="D2504" s="1088" t="s">
        <v>539</v>
      </c>
      <c r="E2504" s="6" t="s">
        <v>188</v>
      </c>
      <c r="F2504" s="6" t="s">
        <v>546</v>
      </c>
      <c r="G2504" s="6" t="s">
        <v>1488</v>
      </c>
      <c r="H2504" s="6" t="s">
        <v>1514</v>
      </c>
      <c r="J2504" s="1215" t="s">
        <v>511</v>
      </c>
      <c r="K2504" s="1219" t="s">
        <v>3112</v>
      </c>
      <c r="L2504" s="8">
        <v>15</v>
      </c>
      <c r="M2504" s="8">
        <v>50</v>
      </c>
      <c r="N2504" s="1169" t="s">
        <v>271</v>
      </c>
      <c r="P2504" s="6" t="s">
        <v>3324</v>
      </c>
      <c r="Q2504" s="1215" t="s">
        <v>253</v>
      </c>
      <c r="R2504" s="1215" t="s">
        <v>255</v>
      </c>
      <c r="S2504" s="1215" t="s">
        <v>534</v>
      </c>
      <c r="T2504" s="1215" t="s">
        <v>533</v>
      </c>
      <c r="U2504" s="6" t="s">
        <v>539</v>
      </c>
      <c r="V2504" s="6" t="s">
        <v>34</v>
      </c>
      <c r="W2504" s="6" t="s">
        <v>546</v>
      </c>
      <c r="X2504" s="6" t="s">
        <v>188</v>
      </c>
    </row>
    <row r="2505" spans="1:24" x14ac:dyDescent="0.3">
      <c r="A2505" s="6" t="s">
        <v>533</v>
      </c>
      <c r="B2505" s="6" t="s">
        <v>534</v>
      </c>
      <c r="C2505" s="6" t="s">
        <v>31</v>
      </c>
      <c r="D2505" s="1088" t="s">
        <v>549</v>
      </c>
      <c r="E2505" s="6" t="s">
        <v>164</v>
      </c>
      <c r="F2505" s="6" t="s">
        <v>748</v>
      </c>
      <c r="G2505" s="6" t="s">
        <v>1818</v>
      </c>
      <c r="H2505" s="6" t="s">
        <v>1819</v>
      </c>
      <c r="J2505" s="1215" t="s">
        <v>511</v>
      </c>
      <c r="K2505" s="1219" t="s">
        <v>3033</v>
      </c>
      <c r="L2505" s="8">
        <v>23</v>
      </c>
      <c r="M2505" s="8">
        <v>100</v>
      </c>
      <c r="N2505" s="1169" t="s">
        <v>271</v>
      </c>
      <c r="P2505" s="6" t="s">
        <v>3323</v>
      </c>
      <c r="Q2505" s="1215" t="s">
        <v>253</v>
      </c>
      <c r="R2505" s="1215" t="s">
        <v>255</v>
      </c>
      <c r="S2505" s="1215" t="s">
        <v>534</v>
      </c>
      <c r="T2505" s="1215" t="s">
        <v>533</v>
      </c>
      <c r="U2505" s="6" t="s">
        <v>549</v>
      </c>
      <c r="V2505" s="6" t="s">
        <v>31</v>
      </c>
      <c r="W2505" s="6" t="s">
        <v>881</v>
      </c>
      <c r="X2505" s="6" t="s">
        <v>165</v>
      </c>
    </row>
    <row r="2506" spans="1:24" x14ac:dyDescent="0.3">
      <c r="A2506" s="6" t="s">
        <v>533</v>
      </c>
      <c r="B2506" s="6" t="s">
        <v>534</v>
      </c>
      <c r="C2506" s="6" t="s">
        <v>31</v>
      </c>
      <c r="D2506" s="1088" t="s">
        <v>549</v>
      </c>
      <c r="E2506" s="1088" t="s">
        <v>164</v>
      </c>
      <c r="F2506" s="6" t="s">
        <v>748</v>
      </c>
      <c r="G2506" s="6" t="s">
        <v>1818</v>
      </c>
      <c r="H2506" s="6" t="s">
        <v>1819</v>
      </c>
      <c r="J2506" s="1215" t="s">
        <v>511</v>
      </c>
      <c r="K2506" s="1219" t="s">
        <v>3112</v>
      </c>
      <c r="L2506" s="8">
        <v>2</v>
      </c>
      <c r="M2506" s="8">
        <v>10</v>
      </c>
      <c r="N2506" s="1169" t="s">
        <v>271</v>
      </c>
      <c r="P2506" s="6" t="s">
        <v>3323</v>
      </c>
      <c r="Q2506" s="1215" t="s">
        <v>253</v>
      </c>
      <c r="R2506" s="1215" t="s">
        <v>255</v>
      </c>
      <c r="S2506" s="1215" t="s">
        <v>534</v>
      </c>
      <c r="T2506" s="1215" t="s">
        <v>533</v>
      </c>
      <c r="U2506" s="6" t="s">
        <v>549</v>
      </c>
      <c r="V2506" s="6" t="s">
        <v>31</v>
      </c>
      <c r="W2506" s="6" t="s">
        <v>881</v>
      </c>
      <c r="X2506" s="6" t="s">
        <v>165</v>
      </c>
    </row>
    <row r="2507" spans="1:24" x14ac:dyDescent="0.3">
      <c r="A2507" s="6" t="s">
        <v>533</v>
      </c>
      <c r="B2507" s="6" t="s">
        <v>534</v>
      </c>
      <c r="C2507" s="6" t="s">
        <v>35</v>
      </c>
      <c r="D2507" s="1088" t="s">
        <v>567</v>
      </c>
      <c r="E2507" s="1088" t="s">
        <v>193</v>
      </c>
      <c r="F2507" s="6" t="s">
        <v>863</v>
      </c>
      <c r="G2507" s="6" t="s">
        <v>2910</v>
      </c>
      <c r="H2507" s="6" t="s">
        <v>3091</v>
      </c>
      <c r="J2507" s="1215" t="s">
        <v>511</v>
      </c>
      <c r="K2507" s="1219" t="s">
        <v>3033</v>
      </c>
      <c r="L2507" s="8">
        <v>33</v>
      </c>
      <c r="M2507" s="8">
        <v>185</v>
      </c>
      <c r="N2507" s="1169" t="s">
        <v>271</v>
      </c>
      <c r="P2507" s="6" t="s">
        <v>3324</v>
      </c>
      <c r="Q2507" s="1215" t="s">
        <v>253</v>
      </c>
      <c r="R2507" s="1215" t="s">
        <v>255</v>
      </c>
      <c r="S2507" s="1215" t="s">
        <v>534</v>
      </c>
      <c r="T2507" s="1215" t="s">
        <v>533</v>
      </c>
      <c r="U2507" s="6" t="s">
        <v>567</v>
      </c>
      <c r="V2507" s="6" t="s">
        <v>35</v>
      </c>
      <c r="W2507" s="6" t="s">
        <v>863</v>
      </c>
      <c r="X2507" s="6" t="s">
        <v>193</v>
      </c>
    </row>
    <row r="2508" spans="1:24" x14ac:dyDescent="0.3">
      <c r="A2508" s="6" t="s">
        <v>533</v>
      </c>
      <c r="B2508" s="6" t="s">
        <v>534</v>
      </c>
      <c r="C2508" s="6" t="s">
        <v>35</v>
      </c>
      <c r="D2508" s="1088" t="s">
        <v>567</v>
      </c>
      <c r="E2508" s="1088" t="s">
        <v>193</v>
      </c>
      <c r="F2508" s="6" t="s">
        <v>863</v>
      </c>
      <c r="G2508" s="6" t="s">
        <v>1600</v>
      </c>
      <c r="H2508" s="6" t="s">
        <v>1601</v>
      </c>
      <c r="J2508" s="1215" t="s">
        <v>511</v>
      </c>
      <c r="K2508" s="1219" t="s">
        <v>3111</v>
      </c>
      <c r="L2508" s="8">
        <v>27</v>
      </c>
      <c r="M2508" s="8">
        <v>123</v>
      </c>
      <c r="N2508" s="1169" t="s">
        <v>271</v>
      </c>
      <c r="P2508" s="6" t="s">
        <v>3324</v>
      </c>
      <c r="Q2508" s="1215" t="s">
        <v>253</v>
      </c>
      <c r="R2508" s="1215" t="s">
        <v>255</v>
      </c>
      <c r="S2508" s="1215" t="s">
        <v>534</v>
      </c>
      <c r="T2508" s="1215" t="s">
        <v>533</v>
      </c>
      <c r="U2508" s="6" t="s">
        <v>567</v>
      </c>
      <c r="V2508" s="6" t="s">
        <v>35</v>
      </c>
      <c r="W2508" s="6" t="s">
        <v>863</v>
      </c>
      <c r="X2508" s="6" t="s">
        <v>193</v>
      </c>
    </row>
    <row r="2509" spans="1:24" x14ac:dyDescent="0.3">
      <c r="A2509" s="6" t="s">
        <v>533</v>
      </c>
      <c r="B2509" s="6" t="s">
        <v>534</v>
      </c>
      <c r="C2509" s="6" t="s">
        <v>34</v>
      </c>
      <c r="D2509" s="1088" t="s">
        <v>539</v>
      </c>
      <c r="E2509" s="6" t="s">
        <v>187</v>
      </c>
      <c r="F2509" s="6" t="s">
        <v>951</v>
      </c>
      <c r="G2509" s="6" t="s">
        <v>2919</v>
      </c>
      <c r="H2509" s="6" t="s">
        <v>1575</v>
      </c>
      <c r="J2509" s="1215" t="s">
        <v>511</v>
      </c>
      <c r="K2509" s="1219" t="s">
        <v>3033</v>
      </c>
      <c r="L2509" s="8">
        <v>26</v>
      </c>
      <c r="M2509" s="8">
        <v>206</v>
      </c>
      <c r="N2509" s="1169" t="s">
        <v>271</v>
      </c>
      <c r="P2509" s="6" t="s">
        <v>3324</v>
      </c>
      <c r="Q2509" s="1215" t="s">
        <v>253</v>
      </c>
      <c r="R2509" s="1215" t="s">
        <v>255</v>
      </c>
      <c r="S2509" s="1215" t="s">
        <v>534</v>
      </c>
      <c r="T2509" s="1215" t="s">
        <v>533</v>
      </c>
      <c r="U2509" s="6" t="s">
        <v>539</v>
      </c>
      <c r="V2509" s="6" t="s">
        <v>34</v>
      </c>
      <c r="W2509" s="6" t="s">
        <v>951</v>
      </c>
      <c r="X2509" s="6" t="s">
        <v>187</v>
      </c>
    </row>
    <row r="2510" spans="1:24" x14ac:dyDescent="0.3">
      <c r="A2510" s="6" t="s">
        <v>533</v>
      </c>
      <c r="B2510" s="6" t="s">
        <v>534</v>
      </c>
      <c r="C2510" s="6" t="s">
        <v>34</v>
      </c>
      <c r="D2510" s="1088" t="s">
        <v>539</v>
      </c>
      <c r="E2510" s="1088" t="s">
        <v>187</v>
      </c>
      <c r="F2510" s="6" t="s">
        <v>951</v>
      </c>
      <c r="G2510" s="6" t="s">
        <v>2919</v>
      </c>
      <c r="H2510" s="6" t="s">
        <v>1575</v>
      </c>
      <c r="J2510" s="1215" t="s">
        <v>511</v>
      </c>
      <c r="K2510" s="1219" t="s">
        <v>3110</v>
      </c>
      <c r="L2510" s="8">
        <v>16</v>
      </c>
      <c r="M2510" s="8">
        <v>70</v>
      </c>
      <c r="N2510" s="1169" t="s">
        <v>271</v>
      </c>
      <c r="P2510" s="6" t="s">
        <v>3324</v>
      </c>
      <c r="Q2510" s="1215" t="s">
        <v>253</v>
      </c>
      <c r="R2510" s="1215" t="s">
        <v>255</v>
      </c>
      <c r="S2510" s="1215" t="s">
        <v>534</v>
      </c>
      <c r="T2510" s="1215" t="s">
        <v>533</v>
      </c>
      <c r="U2510" s="6" t="s">
        <v>539</v>
      </c>
      <c r="V2510" s="6" t="s">
        <v>34</v>
      </c>
      <c r="W2510" s="6" t="s">
        <v>951</v>
      </c>
      <c r="X2510" s="6" t="s">
        <v>187</v>
      </c>
    </row>
    <row r="2511" spans="1:24" x14ac:dyDescent="0.3">
      <c r="A2511" s="6" t="s">
        <v>533</v>
      </c>
      <c r="B2511" s="6" t="s">
        <v>534</v>
      </c>
      <c r="C2511" s="6" t="s">
        <v>34</v>
      </c>
      <c r="D2511" s="1088" t="s">
        <v>539</v>
      </c>
      <c r="E2511" s="1088" t="s">
        <v>187</v>
      </c>
      <c r="F2511" s="6" t="s">
        <v>951</v>
      </c>
      <c r="G2511" s="6" t="s">
        <v>2919</v>
      </c>
      <c r="H2511" s="6" t="s">
        <v>1575</v>
      </c>
      <c r="J2511" s="1215" t="s">
        <v>511</v>
      </c>
      <c r="K2511" s="1219" t="s">
        <v>3111</v>
      </c>
      <c r="L2511" s="8">
        <v>10</v>
      </c>
      <c r="M2511" s="8">
        <v>87</v>
      </c>
      <c r="N2511" s="1169" t="s">
        <v>271</v>
      </c>
      <c r="P2511" s="6" t="s">
        <v>3324</v>
      </c>
      <c r="Q2511" s="1215" t="s">
        <v>253</v>
      </c>
      <c r="R2511" s="1215" t="s">
        <v>255</v>
      </c>
      <c r="S2511" s="1215" t="s">
        <v>534</v>
      </c>
      <c r="T2511" s="1215" t="s">
        <v>533</v>
      </c>
      <c r="U2511" s="6" t="s">
        <v>539</v>
      </c>
      <c r="V2511" s="6" t="s">
        <v>34</v>
      </c>
      <c r="W2511" s="6" t="s">
        <v>951</v>
      </c>
      <c r="X2511" s="6" t="s">
        <v>187</v>
      </c>
    </row>
    <row r="2512" spans="1:24" x14ac:dyDescent="0.3">
      <c r="A2512" s="6" t="s">
        <v>533</v>
      </c>
      <c r="B2512" s="6" t="s">
        <v>534</v>
      </c>
      <c r="C2512" s="6" t="s">
        <v>34</v>
      </c>
      <c r="D2512" s="1088" t="s">
        <v>539</v>
      </c>
      <c r="E2512" s="6" t="s">
        <v>187</v>
      </c>
      <c r="F2512" s="6" t="s">
        <v>951</v>
      </c>
      <c r="G2512" s="6" t="s">
        <v>2919</v>
      </c>
      <c r="H2512" s="6" t="s">
        <v>1575</v>
      </c>
      <c r="J2512" s="1215" t="s">
        <v>511</v>
      </c>
      <c r="K2512" s="1219" t="s">
        <v>3112</v>
      </c>
      <c r="L2512" s="8">
        <v>0</v>
      </c>
      <c r="M2512" s="8">
        <v>12</v>
      </c>
      <c r="N2512" s="1169" t="s">
        <v>271</v>
      </c>
      <c r="P2512" s="6" t="s">
        <v>3324</v>
      </c>
      <c r="Q2512" s="1215" t="s">
        <v>253</v>
      </c>
      <c r="R2512" s="1215" t="s">
        <v>255</v>
      </c>
      <c r="S2512" s="1215" t="s">
        <v>534</v>
      </c>
      <c r="T2512" s="1215" t="s">
        <v>533</v>
      </c>
      <c r="U2512" s="6" t="s">
        <v>539</v>
      </c>
      <c r="V2512" s="6" t="s">
        <v>34</v>
      </c>
      <c r="W2512" s="6" t="s">
        <v>951</v>
      </c>
      <c r="X2512" s="6" t="s">
        <v>187</v>
      </c>
    </row>
    <row r="2513" spans="1:24" x14ac:dyDescent="0.3">
      <c r="A2513" s="6" t="s">
        <v>533</v>
      </c>
      <c r="B2513" s="6" t="s">
        <v>534</v>
      </c>
      <c r="C2513" s="6" t="s">
        <v>31</v>
      </c>
      <c r="D2513" s="1088" t="s">
        <v>549</v>
      </c>
      <c r="E2513" s="6" t="s">
        <v>169</v>
      </c>
      <c r="F2513" s="6" t="s">
        <v>673</v>
      </c>
      <c r="G2513" s="6" t="s">
        <v>2815</v>
      </c>
      <c r="H2513" s="6" t="s">
        <v>2347</v>
      </c>
      <c r="J2513" s="1215" t="s">
        <v>511</v>
      </c>
      <c r="K2513" s="1219" t="s">
        <v>3112</v>
      </c>
      <c r="L2513" s="8">
        <v>2</v>
      </c>
      <c r="M2513" s="8">
        <v>4</v>
      </c>
      <c r="N2513" s="1169" t="s">
        <v>274</v>
      </c>
      <c r="P2513" s="6" t="s">
        <v>3361</v>
      </c>
      <c r="Q2513" s="1215" t="s">
        <v>241</v>
      </c>
      <c r="R2513" s="1168" t="s">
        <v>243</v>
      </c>
      <c r="S2513" s="1088"/>
      <c r="T2513" s="1088"/>
    </row>
    <row r="2514" spans="1:24" x14ac:dyDescent="0.3">
      <c r="A2514" s="6" t="s">
        <v>533</v>
      </c>
      <c r="B2514" s="6" t="s">
        <v>534</v>
      </c>
      <c r="C2514" s="6" t="s">
        <v>31</v>
      </c>
      <c r="D2514" s="1088" t="s">
        <v>549</v>
      </c>
      <c r="E2514" s="6" t="s">
        <v>169</v>
      </c>
      <c r="F2514" s="6" t="s">
        <v>673</v>
      </c>
      <c r="G2514" s="6" t="s">
        <v>2815</v>
      </c>
      <c r="H2514" s="6" t="s">
        <v>2347</v>
      </c>
      <c r="J2514" s="1215" t="s">
        <v>511</v>
      </c>
      <c r="K2514" s="1219" t="s">
        <v>3111</v>
      </c>
      <c r="L2514" s="8">
        <v>22</v>
      </c>
      <c r="M2514" s="8">
        <v>100</v>
      </c>
      <c r="N2514" s="1169" t="s">
        <v>274</v>
      </c>
      <c r="P2514" s="6" t="s">
        <v>3323</v>
      </c>
      <c r="Q2514" s="1215" t="s">
        <v>253</v>
      </c>
      <c r="R2514" s="1215" t="s">
        <v>255</v>
      </c>
      <c r="S2514" s="1215" t="s">
        <v>534</v>
      </c>
      <c r="T2514" s="1215" t="s">
        <v>533</v>
      </c>
      <c r="U2514" s="6" t="s">
        <v>549</v>
      </c>
      <c r="V2514" s="6" t="s">
        <v>31</v>
      </c>
      <c r="W2514" s="6" t="s">
        <v>866</v>
      </c>
      <c r="X2514" s="6" t="s">
        <v>170</v>
      </c>
    </row>
    <row r="2515" spans="1:24" x14ac:dyDescent="0.3">
      <c r="A2515" s="6" t="s">
        <v>533</v>
      </c>
      <c r="B2515" s="6" t="s">
        <v>534</v>
      </c>
      <c r="C2515" s="6" t="s">
        <v>31</v>
      </c>
      <c r="D2515" s="1088" t="s">
        <v>549</v>
      </c>
      <c r="E2515" s="6" t="s">
        <v>169</v>
      </c>
      <c r="F2515" s="6" t="s">
        <v>673</v>
      </c>
      <c r="G2515" s="6" t="s">
        <v>2870</v>
      </c>
      <c r="H2515" s="6" t="s">
        <v>2346</v>
      </c>
      <c r="J2515" s="1215" t="s">
        <v>511</v>
      </c>
      <c r="K2515" s="1219" t="s">
        <v>3111</v>
      </c>
      <c r="L2515" s="8">
        <v>16</v>
      </c>
      <c r="M2515" s="8">
        <v>57</v>
      </c>
      <c r="N2515" s="1169" t="s">
        <v>274</v>
      </c>
      <c r="P2515" s="6" t="s">
        <v>3323</v>
      </c>
      <c r="Q2515" s="1215" t="s">
        <v>253</v>
      </c>
      <c r="R2515" s="1215" t="s">
        <v>255</v>
      </c>
      <c r="S2515" s="1215" t="s">
        <v>534</v>
      </c>
      <c r="T2515" s="1215" t="s">
        <v>533</v>
      </c>
      <c r="U2515" s="6" t="s">
        <v>549</v>
      </c>
      <c r="V2515" s="6" t="s">
        <v>31</v>
      </c>
      <c r="W2515" s="6" t="s">
        <v>866</v>
      </c>
      <c r="X2515" s="6" t="s">
        <v>170</v>
      </c>
    </row>
    <row r="2516" spans="1:24" x14ac:dyDescent="0.3">
      <c r="A2516" s="6" t="s">
        <v>533</v>
      </c>
      <c r="B2516" s="6" t="s">
        <v>534</v>
      </c>
      <c r="C2516" s="6" t="s">
        <v>31</v>
      </c>
      <c r="D2516" s="1088" t="s">
        <v>549</v>
      </c>
      <c r="E2516" s="6" t="s">
        <v>169</v>
      </c>
      <c r="F2516" s="6" t="s">
        <v>673</v>
      </c>
      <c r="G2516" s="6" t="s">
        <v>2870</v>
      </c>
      <c r="H2516" s="6" t="s">
        <v>2346</v>
      </c>
      <c r="J2516" s="1215" t="s">
        <v>511</v>
      </c>
      <c r="K2516" s="1219" t="s">
        <v>3112</v>
      </c>
      <c r="L2516" s="8">
        <v>4</v>
      </c>
      <c r="M2516" s="8">
        <v>8</v>
      </c>
      <c r="N2516" s="1169" t="s">
        <v>274</v>
      </c>
      <c r="P2516" s="6" t="s">
        <v>3361</v>
      </c>
      <c r="Q2516" s="1215" t="s">
        <v>241</v>
      </c>
      <c r="R2516" s="1168" t="s">
        <v>243</v>
      </c>
      <c r="S2516" s="1088"/>
      <c r="T2516" s="1088"/>
    </row>
    <row r="2517" spans="1:24" x14ac:dyDescent="0.3">
      <c r="A2517" s="6" t="s">
        <v>533</v>
      </c>
      <c r="B2517" s="6" t="s">
        <v>534</v>
      </c>
      <c r="C2517" s="6" t="s">
        <v>31</v>
      </c>
      <c r="D2517" s="1088" t="s">
        <v>549</v>
      </c>
      <c r="E2517" s="6" t="s">
        <v>169</v>
      </c>
      <c r="F2517" s="6" t="s">
        <v>673</v>
      </c>
      <c r="G2517" s="6" t="s">
        <v>2848</v>
      </c>
      <c r="H2517" s="6" t="s">
        <v>2345</v>
      </c>
      <c r="J2517" s="1215" t="s">
        <v>511</v>
      </c>
      <c r="K2517" s="1219" t="s">
        <v>3111</v>
      </c>
      <c r="L2517" s="8">
        <v>25</v>
      </c>
      <c r="M2517" s="8">
        <v>101</v>
      </c>
      <c r="N2517" s="1169" t="s">
        <v>274</v>
      </c>
      <c r="P2517" s="6" t="s">
        <v>3323</v>
      </c>
      <c r="Q2517" s="1215" t="s">
        <v>253</v>
      </c>
      <c r="R2517" s="1215" t="s">
        <v>255</v>
      </c>
      <c r="S2517" s="1215" t="s">
        <v>534</v>
      </c>
      <c r="T2517" s="1215" t="s">
        <v>533</v>
      </c>
      <c r="U2517" s="6" t="s">
        <v>549</v>
      </c>
      <c r="V2517" s="6" t="s">
        <v>31</v>
      </c>
      <c r="W2517" s="6" t="s">
        <v>866</v>
      </c>
      <c r="X2517" s="6" t="s">
        <v>170</v>
      </c>
    </row>
    <row r="2518" spans="1:24" x14ac:dyDescent="0.3">
      <c r="A2518" s="6" t="s">
        <v>533</v>
      </c>
      <c r="B2518" s="6" t="s">
        <v>534</v>
      </c>
      <c r="C2518" s="6" t="s">
        <v>31</v>
      </c>
      <c r="D2518" s="1088" t="s">
        <v>549</v>
      </c>
      <c r="E2518" s="6" t="s">
        <v>169</v>
      </c>
      <c r="F2518" s="6" t="s">
        <v>673</v>
      </c>
      <c r="G2518" s="6" t="s">
        <v>2848</v>
      </c>
      <c r="H2518" s="6" t="s">
        <v>2345</v>
      </c>
      <c r="J2518" s="1215" t="s">
        <v>511</v>
      </c>
      <c r="K2518" s="1219" t="s">
        <v>3112</v>
      </c>
      <c r="L2518" s="8">
        <v>3</v>
      </c>
      <c r="M2518" s="8">
        <v>6</v>
      </c>
      <c r="N2518" s="6" t="s">
        <v>274</v>
      </c>
      <c r="P2518" s="6" t="s">
        <v>3361</v>
      </c>
      <c r="Q2518" s="1215" t="s">
        <v>241</v>
      </c>
      <c r="R2518" s="1168" t="s">
        <v>243</v>
      </c>
      <c r="S2518" s="1088"/>
      <c r="T2518" s="1088"/>
    </row>
    <row r="2519" spans="1:24" x14ac:dyDescent="0.3">
      <c r="A2519" s="6" t="s">
        <v>533</v>
      </c>
      <c r="B2519" s="6" t="s">
        <v>534</v>
      </c>
      <c r="C2519" s="6" t="s">
        <v>35</v>
      </c>
      <c r="D2519" s="1088" t="s">
        <v>567</v>
      </c>
      <c r="E2519" s="6" t="s">
        <v>192</v>
      </c>
      <c r="F2519" s="6" t="s">
        <v>853</v>
      </c>
      <c r="G2519" s="6" t="s">
        <v>550</v>
      </c>
      <c r="H2519" s="6" t="s">
        <v>3121</v>
      </c>
      <c r="I2519" s="6" t="s">
        <v>3121</v>
      </c>
      <c r="J2519" s="1215" t="s">
        <v>511</v>
      </c>
      <c r="K2519" s="1219" t="s">
        <v>3112</v>
      </c>
      <c r="L2519" s="8">
        <v>30</v>
      </c>
      <c r="M2519" s="8">
        <v>160</v>
      </c>
      <c r="N2519" s="6" t="s">
        <v>271</v>
      </c>
      <c r="P2519" s="6" t="s">
        <v>3324</v>
      </c>
      <c r="Q2519" s="1215" t="s">
        <v>253</v>
      </c>
      <c r="R2519" s="1215" t="s">
        <v>255</v>
      </c>
      <c r="S2519" s="1215" t="s">
        <v>534</v>
      </c>
      <c r="T2519" s="1215" t="s">
        <v>533</v>
      </c>
      <c r="U2519" s="6" t="s">
        <v>567</v>
      </c>
      <c r="V2519" s="6" t="s">
        <v>35</v>
      </c>
      <c r="W2519" s="6" t="s">
        <v>853</v>
      </c>
      <c r="X2519" s="6" t="s">
        <v>192</v>
      </c>
    </row>
    <row r="2520" spans="1:24" x14ac:dyDescent="0.3">
      <c r="A2520" s="6" t="s">
        <v>533</v>
      </c>
      <c r="B2520" s="6" t="s">
        <v>534</v>
      </c>
      <c r="C2520" s="6" t="s">
        <v>35</v>
      </c>
      <c r="D2520" s="1088" t="s">
        <v>567</v>
      </c>
      <c r="E2520" s="6" t="s">
        <v>192</v>
      </c>
      <c r="F2520" s="6" t="s">
        <v>853</v>
      </c>
      <c r="G2520" s="6" t="s">
        <v>1398</v>
      </c>
      <c r="H2520" s="6" t="s">
        <v>1506</v>
      </c>
      <c r="J2520" s="1215" t="s">
        <v>511</v>
      </c>
      <c r="K2520" s="1219" t="s">
        <v>3111</v>
      </c>
      <c r="L2520" s="8">
        <v>6</v>
      </c>
      <c r="M2520" s="8">
        <v>18</v>
      </c>
      <c r="N2520" s="6" t="s">
        <v>271</v>
      </c>
      <c r="P2520" s="6" t="s">
        <v>3324</v>
      </c>
      <c r="Q2520" s="1215" t="s">
        <v>253</v>
      </c>
      <c r="R2520" s="1215" t="s">
        <v>255</v>
      </c>
      <c r="S2520" s="1215" t="s">
        <v>534</v>
      </c>
      <c r="T2520" s="1215" t="s">
        <v>533</v>
      </c>
      <c r="U2520" s="6" t="s">
        <v>567</v>
      </c>
      <c r="V2520" s="6" t="s">
        <v>35</v>
      </c>
      <c r="W2520" s="6" t="s">
        <v>853</v>
      </c>
      <c r="X2520" s="6" t="s">
        <v>192</v>
      </c>
    </row>
    <row r="2521" spans="1:24" x14ac:dyDescent="0.3">
      <c r="A2521" s="6" t="s">
        <v>533</v>
      </c>
      <c r="B2521" s="6" t="s">
        <v>534</v>
      </c>
      <c r="C2521" s="6" t="s">
        <v>35</v>
      </c>
      <c r="D2521" s="1088" t="s">
        <v>567</v>
      </c>
      <c r="E2521" s="6" t="s">
        <v>192</v>
      </c>
      <c r="F2521" s="6" t="s">
        <v>853</v>
      </c>
      <c r="G2521" s="6" t="s">
        <v>1398</v>
      </c>
      <c r="H2521" s="6" t="s">
        <v>1506</v>
      </c>
      <c r="J2521" s="1215" t="s">
        <v>511</v>
      </c>
      <c r="K2521" s="1219" t="s">
        <v>3112</v>
      </c>
      <c r="L2521" s="8">
        <v>21</v>
      </c>
      <c r="M2521" s="8">
        <v>140</v>
      </c>
      <c r="N2521" s="1169" t="s">
        <v>271</v>
      </c>
      <c r="P2521" s="6" t="s">
        <v>3324</v>
      </c>
      <c r="Q2521" s="1215" t="s">
        <v>253</v>
      </c>
      <c r="R2521" s="1215" t="s">
        <v>255</v>
      </c>
      <c r="S2521" s="1215" t="s">
        <v>534</v>
      </c>
      <c r="T2521" s="1215" t="s">
        <v>533</v>
      </c>
      <c r="U2521" s="6" t="s">
        <v>567</v>
      </c>
      <c r="V2521" s="6" t="s">
        <v>35</v>
      </c>
      <c r="W2521" s="6" t="s">
        <v>853</v>
      </c>
      <c r="X2521" s="6" t="s">
        <v>192</v>
      </c>
    </row>
    <row r="2522" spans="1:24" x14ac:dyDescent="0.3">
      <c r="A2522" s="6" t="s">
        <v>533</v>
      </c>
      <c r="B2522" s="6" t="s">
        <v>534</v>
      </c>
      <c r="C2522" s="6" t="s">
        <v>35</v>
      </c>
      <c r="D2522" s="1088" t="s">
        <v>567</v>
      </c>
      <c r="E2522" s="6" t="s">
        <v>193</v>
      </c>
      <c r="F2522" s="6" t="s">
        <v>863</v>
      </c>
      <c r="G2522" s="6" t="s">
        <v>1582</v>
      </c>
      <c r="H2522" s="6" t="s">
        <v>1092</v>
      </c>
      <c r="J2522" s="1215" t="s">
        <v>511</v>
      </c>
      <c r="K2522" s="1219" t="s">
        <v>3033</v>
      </c>
      <c r="L2522" s="8">
        <v>89</v>
      </c>
      <c r="M2522" s="8">
        <v>480</v>
      </c>
      <c r="N2522" s="1169" t="s">
        <v>271</v>
      </c>
      <c r="P2522" s="6" t="s">
        <v>3324</v>
      </c>
      <c r="Q2522" s="1215" t="s">
        <v>253</v>
      </c>
      <c r="R2522" s="1215" t="s">
        <v>255</v>
      </c>
      <c r="S2522" s="1215" t="s">
        <v>534</v>
      </c>
      <c r="T2522" s="1215" t="s">
        <v>533</v>
      </c>
      <c r="U2522" s="6" t="s">
        <v>567</v>
      </c>
      <c r="V2522" s="6" t="s">
        <v>35</v>
      </c>
      <c r="W2522" s="6" t="s">
        <v>863</v>
      </c>
      <c r="X2522" s="6" t="s">
        <v>193</v>
      </c>
    </row>
    <row r="2523" spans="1:24" x14ac:dyDescent="0.3">
      <c r="A2523" s="6" t="s">
        <v>533</v>
      </c>
      <c r="B2523" s="6" t="s">
        <v>534</v>
      </c>
      <c r="C2523" s="6" t="s">
        <v>35</v>
      </c>
      <c r="D2523" s="1088" t="s">
        <v>567</v>
      </c>
      <c r="E2523" s="6" t="s">
        <v>193</v>
      </c>
      <c r="F2523" s="6" t="s">
        <v>863</v>
      </c>
      <c r="G2523" s="6" t="s">
        <v>1582</v>
      </c>
      <c r="H2523" s="6" t="s">
        <v>1092</v>
      </c>
      <c r="J2523" s="1215" t="s">
        <v>511</v>
      </c>
      <c r="K2523" s="1219" t="s">
        <v>3112</v>
      </c>
      <c r="L2523" s="8">
        <v>17</v>
      </c>
      <c r="M2523" s="8">
        <v>60</v>
      </c>
      <c r="N2523" s="1169" t="s">
        <v>271</v>
      </c>
      <c r="P2523" s="6" t="s">
        <v>743</v>
      </c>
      <c r="Q2523" s="1215" t="s">
        <v>253</v>
      </c>
      <c r="R2523" s="1215" t="s">
        <v>255</v>
      </c>
      <c r="S2523" s="1088" t="s">
        <v>3405</v>
      </c>
      <c r="T2523" s="1088" t="s">
        <v>3326</v>
      </c>
    </row>
    <row r="2524" spans="1:24" x14ac:dyDescent="0.3">
      <c r="A2524" s="6" t="s">
        <v>533</v>
      </c>
      <c r="B2524" s="6" t="s">
        <v>534</v>
      </c>
      <c r="C2524" s="6" t="s">
        <v>35</v>
      </c>
      <c r="D2524" s="1088" t="s">
        <v>567</v>
      </c>
      <c r="E2524" s="6" t="s">
        <v>190</v>
      </c>
      <c r="F2524" s="6" t="s">
        <v>800</v>
      </c>
      <c r="G2524" s="6" t="s">
        <v>2181</v>
      </c>
      <c r="H2524" s="6" t="s">
        <v>2182</v>
      </c>
      <c r="J2524" s="1215" t="s">
        <v>511</v>
      </c>
      <c r="K2524" s="1219" t="s">
        <v>3033</v>
      </c>
      <c r="L2524" s="8">
        <v>0</v>
      </c>
      <c r="M2524" s="8">
        <v>1</v>
      </c>
      <c r="N2524" s="1169" t="s">
        <v>271</v>
      </c>
      <c r="P2524" s="6" t="s">
        <v>3361</v>
      </c>
      <c r="Q2524" s="1215" t="s">
        <v>240</v>
      </c>
      <c r="R2524" s="1168" t="s">
        <v>242</v>
      </c>
      <c r="S2524" s="1088"/>
      <c r="T2524" s="1088"/>
    </row>
    <row r="2525" spans="1:24" x14ac:dyDescent="0.3">
      <c r="A2525" s="6" t="s">
        <v>533</v>
      </c>
      <c r="B2525" s="6" t="s">
        <v>534</v>
      </c>
      <c r="C2525" s="6" t="s">
        <v>35</v>
      </c>
      <c r="D2525" s="1088" t="s">
        <v>567</v>
      </c>
      <c r="E2525" s="6" t="s">
        <v>190</v>
      </c>
      <c r="F2525" s="6" t="s">
        <v>800</v>
      </c>
      <c r="G2525" s="6" t="s">
        <v>2181</v>
      </c>
      <c r="H2525" s="6" t="s">
        <v>2182</v>
      </c>
      <c r="J2525" s="1215" t="s">
        <v>511</v>
      </c>
      <c r="K2525" s="1219" t="s">
        <v>3109</v>
      </c>
      <c r="L2525" s="8">
        <v>6</v>
      </c>
      <c r="M2525" s="8">
        <v>15</v>
      </c>
      <c r="N2525" s="1169" t="s">
        <v>271</v>
      </c>
      <c r="P2525" s="6" t="s">
        <v>3361</v>
      </c>
      <c r="Q2525" s="1215" t="s">
        <v>240</v>
      </c>
      <c r="R2525" s="1168" t="s">
        <v>242</v>
      </c>
      <c r="S2525" s="1088"/>
      <c r="T2525" s="1088"/>
    </row>
    <row r="2526" spans="1:24" x14ac:dyDescent="0.3">
      <c r="A2526" s="6" t="s">
        <v>533</v>
      </c>
      <c r="B2526" s="6" t="s">
        <v>534</v>
      </c>
      <c r="C2526" s="6" t="s">
        <v>35</v>
      </c>
      <c r="D2526" s="1088" t="s">
        <v>567</v>
      </c>
      <c r="E2526" s="6" t="s">
        <v>190</v>
      </c>
      <c r="F2526" s="6" t="s">
        <v>800</v>
      </c>
      <c r="G2526" s="6" t="s">
        <v>2181</v>
      </c>
      <c r="H2526" s="6" t="s">
        <v>2182</v>
      </c>
      <c r="J2526" s="1215" t="s">
        <v>511</v>
      </c>
      <c r="K2526" s="1219" t="s">
        <v>3110</v>
      </c>
      <c r="L2526" s="8">
        <v>0</v>
      </c>
      <c r="M2526" s="8">
        <v>5</v>
      </c>
      <c r="N2526" s="1169" t="s">
        <v>271</v>
      </c>
      <c r="P2526" s="6" t="s">
        <v>3361</v>
      </c>
      <c r="Q2526" s="1215" t="s">
        <v>240</v>
      </c>
      <c r="R2526" s="1168" t="s">
        <v>242</v>
      </c>
      <c r="S2526" s="1088"/>
      <c r="T2526" s="1088"/>
    </row>
    <row r="2527" spans="1:24" x14ac:dyDescent="0.3">
      <c r="A2527" s="6" t="s">
        <v>533</v>
      </c>
      <c r="B2527" s="6" t="s">
        <v>534</v>
      </c>
      <c r="C2527" s="6" t="s">
        <v>35</v>
      </c>
      <c r="D2527" s="1088" t="s">
        <v>567</v>
      </c>
      <c r="E2527" s="6" t="s">
        <v>190</v>
      </c>
      <c r="F2527" s="6" t="s">
        <v>800</v>
      </c>
      <c r="G2527" s="6" t="s">
        <v>2181</v>
      </c>
      <c r="H2527" s="6" t="s">
        <v>2182</v>
      </c>
      <c r="J2527" s="1215" t="s">
        <v>511</v>
      </c>
      <c r="K2527" s="1219" t="s">
        <v>3111</v>
      </c>
      <c r="L2527" s="8">
        <v>0</v>
      </c>
      <c r="M2527" s="8">
        <v>4</v>
      </c>
      <c r="N2527" s="1169" t="s">
        <v>271</v>
      </c>
      <c r="P2527" s="6" t="s">
        <v>3361</v>
      </c>
      <c r="Q2527" s="1215" t="s">
        <v>240</v>
      </c>
      <c r="R2527" s="1168" t="s">
        <v>242</v>
      </c>
      <c r="S2527" s="1088"/>
      <c r="T2527" s="1088"/>
    </row>
    <row r="2528" spans="1:24" x14ac:dyDescent="0.3">
      <c r="A2528" s="6" t="s">
        <v>533</v>
      </c>
      <c r="B2528" s="6" t="s">
        <v>534</v>
      </c>
      <c r="C2528" s="6" t="s">
        <v>35</v>
      </c>
      <c r="D2528" s="1088" t="s">
        <v>567</v>
      </c>
      <c r="E2528" s="6" t="s">
        <v>190</v>
      </c>
      <c r="F2528" s="6" t="s">
        <v>800</v>
      </c>
      <c r="G2528" s="6" t="s">
        <v>2273</v>
      </c>
      <c r="H2528" s="6" t="s">
        <v>2274</v>
      </c>
      <c r="J2528" s="1215" t="s">
        <v>511</v>
      </c>
      <c r="K2528" s="1219" t="s">
        <v>3033</v>
      </c>
      <c r="L2528" s="8">
        <v>152</v>
      </c>
      <c r="M2528" s="8">
        <v>800</v>
      </c>
      <c r="N2528" s="1169" t="s">
        <v>271</v>
      </c>
      <c r="P2528" s="6" t="s">
        <v>3361</v>
      </c>
      <c r="Q2528" s="1215" t="s">
        <v>240</v>
      </c>
      <c r="R2528" s="1168" t="s">
        <v>242</v>
      </c>
      <c r="S2528" s="1088"/>
      <c r="T2528" s="1088"/>
    </row>
    <row r="2529" spans="1:24" x14ac:dyDescent="0.3">
      <c r="A2529" s="6" t="s">
        <v>533</v>
      </c>
      <c r="B2529" s="6" t="s">
        <v>534</v>
      </c>
      <c r="C2529" s="6" t="s">
        <v>35</v>
      </c>
      <c r="D2529" s="1088" t="s">
        <v>567</v>
      </c>
      <c r="E2529" s="6" t="s">
        <v>190</v>
      </c>
      <c r="F2529" s="6" t="s">
        <v>800</v>
      </c>
      <c r="G2529" s="6" t="s">
        <v>2273</v>
      </c>
      <c r="H2529" s="6" t="s">
        <v>2274</v>
      </c>
      <c r="J2529" s="1215" t="s">
        <v>511</v>
      </c>
      <c r="K2529" s="1219" t="s">
        <v>3109</v>
      </c>
      <c r="L2529" s="8">
        <v>0</v>
      </c>
      <c r="M2529" s="8">
        <v>7</v>
      </c>
      <c r="N2529" s="1169" t="s">
        <v>271</v>
      </c>
      <c r="P2529" s="6" t="s">
        <v>3361</v>
      </c>
      <c r="Q2529" s="1215" t="s">
        <v>240</v>
      </c>
      <c r="R2529" s="1168" t="s">
        <v>242</v>
      </c>
      <c r="S2529" s="1088"/>
      <c r="T2529" s="1088"/>
    </row>
    <row r="2530" spans="1:24" x14ac:dyDescent="0.3">
      <c r="A2530" s="6" t="s">
        <v>533</v>
      </c>
      <c r="B2530" s="6" t="s">
        <v>534</v>
      </c>
      <c r="C2530" s="6" t="s">
        <v>35</v>
      </c>
      <c r="D2530" s="1088" t="s">
        <v>567</v>
      </c>
      <c r="E2530" s="6" t="s">
        <v>190</v>
      </c>
      <c r="F2530" s="6" t="s">
        <v>800</v>
      </c>
      <c r="G2530" s="6" t="s">
        <v>2273</v>
      </c>
      <c r="H2530" s="6" t="s">
        <v>2274</v>
      </c>
      <c r="J2530" s="1215" t="s">
        <v>511</v>
      </c>
      <c r="K2530" s="1219" t="s">
        <v>3110</v>
      </c>
      <c r="L2530" s="8">
        <v>0</v>
      </c>
      <c r="M2530" s="8">
        <v>7</v>
      </c>
      <c r="N2530" s="1169" t="s">
        <v>271</v>
      </c>
      <c r="P2530" s="6" t="s">
        <v>3361</v>
      </c>
      <c r="Q2530" s="1215" t="s">
        <v>240</v>
      </c>
      <c r="R2530" s="1168" t="s">
        <v>242</v>
      </c>
      <c r="S2530" s="1088"/>
      <c r="T2530" s="1088"/>
    </row>
    <row r="2531" spans="1:24" x14ac:dyDescent="0.3">
      <c r="A2531" s="6" t="s">
        <v>533</v>
      </c>
      <c r="B2531" s="6" t="s">
        <v>534</v>
      </c>
      <c r="C2531" s="6" t="s">
        <v>35</v>
      </c>
      <c r="D2531" s="6" t="s">
        <v>567</v>
      </c>
      <c r="E2531" s="1088" t="s">
        <v>190</v>
      </c>
      <c r="F2531" s="6" t="s">
        <v>800</v>
      </c>
      <c r="G2531" s="6" t="s">
        <v>2273</v>
      </c>
      <c r="H2531" s="6" t="s">
        <v>2274</v>
      </c>
      <c r="J2531" s="1215" t="s">
        <v>511</v>
      </c>
      <c r="K2531" s="1219" t="s">
        <v>3111</v>
      </c>
      <c r="L2531" s="8">
        <v>1</v>
      </c>
      <c r="M2531" s="8">
        <v>18</v>
      </c>
      <c r="N2531" s="1169" t="s">
        <v>271</v>
      </c>
      <c r="P2531" s="6" t="s">
        <v>3361</v>
      </c>
      <c r="Q2531" s="1215" t="s">
        <v>240</v>
      </c>
      <c r="R2531" s="1168" t="s">
        <v>242</v>
      </c>
      <c r="S2531" s="1088"/>
      <c r="T2531" s="1088"/>
    </row>
    <row r="2532" spans="1:24" x14ac:dyDescent="0.3">
      <c r="A2532" s="6" t="s">
        <v>533</v>
      </c>
      <c r="B2532" s="6" t="s">
        <v>534</v>
      </c>
      <c r="C2532" s="6" t="s">
        <v>31</v>
      </c>
      <c r="D2532" s="6" t="s">
        <v>549</v>
      </c>
      <c r="E2532" s="1088" t="s">
        <v>170</v>
      </c>
      <c r="F2532" s="6" t="s">
        <v>866</v>
      </c>
      <c r="G2532" s="6" t="s">
        <v>2041</v>
      </c>
      <c r="H2532" s="6" t="s">
        <v>1956</v>
      </c>
      <c r="J2532" s="1215" t="s">
        <v>511</v>
      </c>
      <c r="K2532" s="1219" t="s">
        <v>3112</v>
      </c>
      <c r="L2532" s="8">
        <v>6</v>
      </c>
      <c r="M2532" s="8">
        <v>54</v>
      </c>
      <c r="N2532" s="1169" t="s">
        <v>272</v>
      </c>
      <c r="P2532" s="6" t="s">
        <v>3324</v>
      </c>
      <c r="Q2532" s="1215" t="s">
        <v>253</v>
      </c>
      <c r="R2532" s="1215" t="s">
        <v>255</v>
      </c>
      <c r="S2532" s="1215" t="s">
        <v>534</v>
      </c>
      <c r="T2532" s="1215" t="s">
        <v>533</v>
      </c>
      <c r="U2532" s="6" t="s">
        <v>549</v>
      </c>
      <c r="V2532" s="6" t="s">
        <v>31</v>
      </c>
      <c r="W2532" s="6" t="s">
        <v>866</v>
      </c>
      <c r="X2532" s="6" t="s">
        <v>170</v>
      </c>
    </row>
    <row r="2533" spans="1:24" x14ac:dyDescent="0.3">
      <c r="A2533" s="6" t="s">
        <v>533</v>
      </c>
      <c r="B2533" s="6" t="s">
        <v>534</v>
      </c>
      <c r="C2533" s="6" t="s">
        <v>31</v>
      </c>
      <c r="D2533" s="1088" t="s">
        <v>549</v>
      </c>
      <c r="E2533" s="6" t="s">
        <v>172</v>
      </c>
      <c r="F2533" s="6" t="s">
        <v>706</v>
      </c>
      <c r="G2533" s="6" t="s">
        <v>2996</v>
      </c>
      <c r="H2533" s="6" t="s">
        <v>1039</v>
      </c>
      <c r="J2533" s="1215" t="s">
        <v>511</v>
      </c>
      <c r="K2533" s="1219" t="s">
        <v>3110</v>
      </c>
      <c r="L2533" s="8">
        <v>20</v>
      </c>
      <c r="M2533" s="8">
        <v>117</v>
      </c>
      <c r="N2533" s="1169" t="s">
        <v>271</v>
      </c>
      <c r="P2533" s="6" t="s">
        <v>3324</v>
      </c>
      <c r="Q2533" s="1215" t="s">
        <v>253</v>
      </c>
      <c r="R2533" s="1215" t="s">
        <v>255</v>
      </c>
      <c r="S2533" s="1215" t="s">
        <v>534</v>
      </c>
      <c r="T2533" s="1215" t="s">
        <v>533</v>
      </c>
      <c r="U2533" s="6" t="s">
        <v>549</v>
      </c>
      <c r="V2533" s="6" t="s">
        <v>31</v>
      </c>
      <c r="W2533" s="6" t="s">
        <v>706</v>
      </c>
      <c r="X2533" s="6" t="s">
        <v>172</v>
      </c>
    </row>
    <row r="2534" spans="1:24" x14ac:dyDescent="0.3">
      <c r="A2534" s="6" t="s">
        <v>533</v>
      </c>
      <c r="B2534" s="6" t="s">
        <v>534</v>
      </c>
      <c r="C2534" s="6" t="s">
        <v>31</v>
      </c>
      <c r="D2534" s="1088" t="s">
        <v>549</v>
      </c>
      <c r="E2534" s="6" t="s">
        <v>169</v>
      </c>
      <c r="F2534" s="6" t="s">
        <v>673</v>
      </c>
      <c r="G2534" s="6" t="s">
        <v>2808</v>
      </c>
      <c r="H2534" s="6" t="s">
        <v>2354</v>
      </c>
      <c r="J2534" s="1215" t="s">
        <v>511</v>
      </c>
      <c r="K2534" s="1219" t="s">
        <v>3111</v>
      </c>
      <c r="L2534" s="8">
        <v>46</v>
      </c>
      <c r="M2534" s="8">
        <v>180</v>
      </c>
      <c r="N2534" s="1169" t="s">
        <v>274</v>
      </c>
      <c r="P2534" s="6" t="s">
        <v>3361</v>
      </c>
      <c r="Q2534" s="1215" t="s">
        <v>241</v>
      </c>
      <c r="R2534" s="1168" t="s">
        <v>243</v>
      </c>
      <c r="S2534" s="1088"/>
      <c r="T2534" s="1088"/>
    </row>
    <row r="2535" spans="1:24" x14ac:dyDescent="0.3">
      <c r="A2535" s="6" t="s">
        <v>533</v>
      </c>
      <c r="B2535" s="6" t="s">
        <v>534</v>
      </c>
      <c r="C2535" s="6" t="s">
        <v>31</v>
      </c>
      <c r="D2535" s="1088" t="s">
        <v>549</v>
      </c>
      <c r="E2535" s="6" t="s">
        <v>169</v>
      </c>
      <c r="F2535" s="6" t="s">
        <v>673</v>
      </c>
      <c r="G2535" s="6" t="s">
        <v>2808</v>
      </c>
      <c r="H2535" s="6" t="s">
        <v>2354</v>
      </c>
      <c r="J2535" s="1215" t="s">
        <v>511</v>
      </c>
      <c r="K2535" s="1219" t="s">
        <v>3112</v>
      </c>
      <c r="L2535" s="8">
        <v>15</v>
      </c>
      <c r="M2535" s="8">
        <v>60</v>
      </c>
      <c r="N2535" s="1169" t="s">
        <v>274</v>
      </c>
      <c r="P2535" s="6" t="s">
        <v>3361</v>
      </c>
      <c r="Q2535" s="1215" t="s">
        <v>241</v>
      </c>
      <c r="R2535" s="1088" t="s">
        <v>243</v>
      </c>
      <c r="S2535" s="1088"/>
      <c r="T2535" s="1088"/>
    </row>
    <row r="2536" spans="1:24" x14ac:dyDescent="0.3">
      <c r="A2536" s="6" t="s">
        <v>533</v>
      </c>
      <c r="B2536" s="6" t="s">
        <v>534</v>
      </c>
      <c r="C2536" s="6" t="s">
        <v>31</v>
      </c>
      <c r="D2536" s="1088" t="s">
        <v>549</v>
      </c>
      <c r="E2536" s="6" t="s">
        <v>169</v>
      </c>
      <c r="F2536" s="6" t="s">
        <v>673</v>
      </c>
      <c r="G2536" s="6" t="s">
        <v>2951</v>
      </c>
      <c r="H2536" s="6" t="s">
        <v>829</v>
      </c>
      <c r="J2536" s="1215" t="s">
        <v>511</v>
      </c>
      <c r="K2536" s="1219" t="s">
        <v>3111</v>
      </c>
      <c r="L2536" s="8">
        <v>11</v>
      </c>
      <c r="M2536" s="8">
        <v>93</v>
      </c>
      <c r="N2536" s="1169" t="s">
        <v>274</v>
      </c>
      <c r="P2536" s="6" t="s">
        <v>3361</v>
      </c>
      <c r="Q2536" s="1215" t="s">
        <v>241</v>
      </c>
      <c r="R2536" s="1088" t="s">
        <v>243</v>
      </c>
      <c r="S2536" s="1088"/>
      <c r="T2536" s="1088"/>
    </row>
    <row r="2537" spans="1:24" x14ac:dyDescent="0.3">
      <c r="A2537" s="6" t="s">
        <v>533</v>
      </c>
      <c r="B2537" s="6" t="s">
        <v>534</v>
      </c>
      <c r="C2537" s="6" t="s">
        <v>31</v>
      </c>
      <c r="D2537" s="1088" t="s">
        <v>549</v>
      </c>
      <c r="E2537" s="6" t="s">
        <v>169</v>
      </c>
      <c r="F2537" s="6" t="s">
        <v>673</v>
      </c>
      <c r="G2537" s="6" t="s">
        <v>2951</v>
      </c>
      <c r="H2537" s="6" t="s">
        <v>829</v>
      </c>
      <c r="J2537" s="1215" t="s">
        <v>511</v>
      </c>
      <c r="K2537" s="1219" t="s">
        <v>3112</v>
      </c>
      <c r="L2537" s="8">
        <v>18</v>
      </c>
      <c r="M2537" s="8">
        <v>30</v>
      </c>
      <c r="N2537" s="1169" t="s">
        <v>274</v>
      </c>
      <c r="P2537" s="6" t="s">
        <v>3361</v>
      </c>
      <c r="Q2537" s="1215" t="s">
        <v>241</v>
      </c>
      <c r="R2537" s="1088" t="s">
        <v>243</v>
      </c>
      <c r="S2537" s="1088"/>
      <c r="T2537" s="1088"/>
    </row>
    <row r="2538" spans="1:24" x14ac:dyDescent="0.3">
      <c r="A2538" s="6" t="s">
        <v>533</v>
      </c>
      <c r="B2538" s="6" t="s">
        <v>534</v>
      </c>
      <c r="C2538" s="6" t="s">
        <v>31</v>
      </c>
      <c r="D2538" s="1088" t="s">
        <v>549</v>
      </c>
      <c r="E2538" s="6" t="s">
        <v>169</v>
      </c>
      <c r="F2538" s="6" t="s">
        <v>673</v>
      </c>
      <c r="G2538" s="6" t="s">
        <v>2894</v>
      </c>
      <c r="H2538" s="6" t="s">
        <v>2343</v>
      </c>
      <c r="J2538" s="1215" t="s">
        <v>511</v>
      </c>
      <c r="K2538" s="1219" t="s">
        <v>3111</v>
      </c>
      <c r="L2538" s="8">
        <v>56</v>
      </c>
      <c r="M2538" s="8">
        <v>459</v>
      </c>
      <c r="N2538" s="6" t="s">
        <v>274</v>
      </c>
      <c r="P2538" s="6" t="s">
        <v>3361</v>
      </c>
      <c r="Q2538" s="1215" t="s">
        <v>241</v>
      </c>
      <c r="R2538" s="1088" t="s">
        <v>243</v>
      </c>
      <c r="S2538" s="1088"/>
      <c r="T2538" s="1088"/>
    </row>
    <row r="2539" spans="1:24" x14ac:dyDescent="0.3">
      <c r="A2539" s="6" t="s">
        <v>533</v>
      </c>
      <c r="B2539" s="6" t="s">
        <v>534</v>
      </c>
      <c r="C2539" s="6" t="s">
        <v>31</v>
      </c>
      <c r="D2539" s="1088" t="s">
        <v>549</v>
      </c>
      <c r="E2539" s="6" t="s">
        <v>169</v>
      </c>
      <c r="F2539" s="6" t="s">
        <v>673</v>
      </c>
      <c r="G2539" s="6" t="s">
        <v>2894</v>
      </c>
      <c r="H2539" s="6" t="s">
        <v>2343</v>
      </c>
      <c r="J2539" s="1215" t="s">
        <v>511</v>
      </c>
      <c r="K2539" s="1219" t="s">
        <v>3112</v>
      </c>
      <c r="L2539" s="8">
        <v>33</v>
      </c>
      <c r="M2539" s="8">
        <v>108</v>
      </c>
      <c r="N2539" s="6" t="s">
        <v>274</v>
      </c>
      <c r="P2539" s="6" t="s">
        <v>3361</v>
      </c>
      <c r="Q2539" s="1215" t="s">
        <v>241</v>
      </c>
      <c r="R2539" s="1088" t="s">
        <v>243</v>
      </c>
      <c r="S2539" s="1088"/>
      <c r="T2539" s="1088"/>
    </row>
    <row r="2540" spans="1:24" x14ac:dyDescent="0.3">
      <c r="A2540" s="6" t="s">
        <v>533</v>
      </c>
      <c r="B2540" s="6" t="s">
        <v>534</v>
      </c>
      <c r="C2540" s="6" t="s">
        <v>31</v>
      </c>
      <c r="D2540" s="1088" t="s">
        <v>549</v>
      </c>
      <c r="E2540" s="6" t="s">
        <v>169</v>
      </c>
      <c r="F2540" s="6" t="s">
        <v>673</v>
      </c>
      <c r="G2540" s="6" t="s">
        <v>2923</v>
      </c>
      <c r="H2540" s="6" t="s">
        <v>1008</v>
      </c>
      <c r="J2540" s="1215" t="s">
        <v>511</v>
      </c>
      <c r="K2540" s="1219" t="s">
        <v>3111</v>
      </c>
      <c r="L2540" s="8">
        <v>15</v>
      </c>
      <c r="M2540" s="8">
        <v>50</v>
      </c>
      <c r="N2540" s="1169" t="s">
        <v>274</v>
      </c>
      <c r="P2540" s="6" t="s">
        <v>3361</v>
      </c>
      <c r="Q2540" s="1215" t="s">
        <v>241</v>
      </c>
      <c r="R2540" s="1168" t="s">
        <v>243</v>
      </c>
      <c r="S2540" s="1088"/>
      <c r="T2540" s="1088"/>
    </row>
    <row r="2541" spans="1:24" x14ac:dyDescent="0.3">
      <c r="A2541" s="6" t="s">
        <v>533</v>
      </c>
      <c r="B2541" s="6" t="s">
        <v>534</v>
      </c>
      <c r="C2541" s="6" t="s">
        <v>31</v>
      </c>
      <c r="D2541" s="1088" t="s">
        <v>549</v>
      </c>
      <c r="E2541" s="6" t="s">
        <v>169</v>
      </c>
      <c r="F2541" s="6" t="s">
        <v>673</v>
      </c>
      <c r="G2541" s="6" t="s">
        <v>2923</v>
      </c>
      <c r="H2541" s="6" t="s">
        <v>1008</v>
      </c>
      <c r="J2541" s="1215" t="s">
        <v>511</v>
      </c>
      <c r="K2541" s="1219" t="s">
        <v>3112</v>
      </c>
      <c r="L2541" s="8">
        <v>20</v>
      </c>
      <c r="M2541" s="8">
        <v>120</v>
      </c>
      <c r="N2541" s="1169" t="s">
        <v>274</v>
      </c>
      <c r="P2541" s="6" t="s">
        <v>3361</v>
      </c>
      <c r="Q2541" s="1215" t="s">
        <v>241</v>
      </c>
      <c r="R2541" s="1168" t="s">
        <v>243</v>
      </c>
      <c r="S2541" s="1088"/>
      <c r="T2541" s="1088"/>
    </row>
    <row r="2542" spans="1:24" x14ac:dyDescent="0.3">
      <c r="A2542" s="6" t="s">
        <v>533</v>
      </c>
      <c r="B2542" s="6" t="s">
        <v>534</v>
      </c>
      <c r="C2542" s="6" t="s">
        <v>35</v>
      </c>
      <c r="D2542" s="1088" t="s">
        <v>567</v>
      </c>
      <c r="E2542" s="6" t="s">
        <v>192</v>
      </c>
      <c r="F2542" s="6" t="s">
        <v>853</v>
      </c>
      <c r="G2542" s="6" t="s">
        <v>2962</v>
      </c>
      <c r="H2542" s="6" t="s">
        <v>1313</v>
      </c>
      <c r="J2542" s="1215" t="s">
        <v>511</v>
      </c>
      <c r="K2542" s="1219" t="s">
        <v>3110</v>
      </c>
      <c r="L2542" s="8">
        <v>10</v>
      </c>
      <c r="M2542" s="8">
        <v>40</v>
      </c>
      <c r="N2542" s="1169" t="s">
        <v>271</v>
      </c>
      <c r="P2542" s="6" t="s">
        <v>3323</v>
      </c>
      <c r="Q2542" s="1215" t="s">
        <v>253</v>
      </c>
      <c r="R2542" s="1215" t="s">
        <v>255</v>
      </c>
      <c r="S2542" s="1215" t="s">
        <v>534</v>
      </c>
      <c r="T2542" s="1215" t="s">
        <v>533</v>
      </c>
      <c r="U2542" s="6" t="s">
        <v>567</v>
      </c>
      <c r="V2542" s="6" t="s">
        <v>35</v>
      </c>
      <c r="W2542" s="6" t="s">
        <v>863</v>
      </c>
      <c r="X2542" s="6" t="s">
        <v>193</v>
      </c>
    </row>
    <row r="2543" spans="1:24" x14ac:dyDescent="0.3">
      <c r="A2543" s="6" t="s">
        <v>533</v>
      </c>
      <c r="B2543" s="6" t="s">
        <v>534</v>
      </c>
      <c r="C2543" s="6" t="s">
        <v>35</v>
      </c>
      <c r="D2543" s="1088" t="s">
        <v>567</v>
      </c>
      <c r="E2543" s="1088" t="s">
        <v>192</v>
      </c>
      <c r="F2543" s="6" t="s">
        <v>853</v>
      </c>
      <c r="G2543" s="6" t="s">
        <v>2962</v>
      </c>
      <c r="H2543" s="6" t="s">
        <v>1313</v>
      </c>
      <c r="J2543" s="1215" t="s">
        <v>511</v>
      </c>
      <c r="K2543" s="1219" t="s">
        <v>3112</v>
      </c>
      <c r="L2543" s="8">
        <v>6</v>
      </c>
      <c r="M2543" s="8">
        <v>47</v>
      </c>
      <c r="N2543" s="1169" t="s">
        <v>271</v>
      </c>
      <c r="P2543" s="6" t="s">
        <v>3323</v>
      </c>
      <c r="Q2543" s="1215" t="s">
        <v>253</v>
      </c>
      <c r="R2543" s="1215" t="s">
        <v>255</v>
      </c>
      <c r="S2543" s="1215" t="s">
        <v>534</v>
      </c>
      <c r="T2543" s="1215" t="s">
        <v>533</v>
      </c>
      <c r="U2543" s="6" t="s">
        <v>567</v>
      </c>
      <c r="V2543" s="6" t="s">
        <v>35</v>
      </c>
      <c r="W2543" s="6" t="s">
        <v>863</v>
      </c>
      <c r="X2543" s="6" t="s">
        <v>193</v>
      </c>
    </row>
    <row r="2544" spans="1:24" x14ac:dyDescent="0.3">
      <c r="A2544" s="6" t="s">
        <v>533</v>
      </c>
      <c r="B2544" s="6" t="s">
        <v>534</v>
      </c>
      <c r="C2544" s="6" t="s">
        <v>35</v>
      </c>
      <c r="D2544" s="1088" t="s">
        <v>567</v>
      </c>
      <c r="E2544" s="1088" t="s">
        <v>192</v>
      </c>
      <c r="F2544" s="6" t="s">
        <v>853</v>
      </c>
      <c r="G2544" s="6" t="s">
        <v>1168</v>
      </c>
      <c r="H2544" s="6" t="s">
        <v>1413</v>
      </c>
      <c r="J2544" s="1215" t="s">
        <v>511</v>
      </c>
      <c r="K2544" s="1219" t="s">
        <v>3110</v>
      </c>
      <c r="L2544" s="8">
        <v>0</v>
      </c>
      <c r="M2544" s="8">
        <v>10</v>
      </c>
      <c r="N2544" s="1169" t="s">
        <v>271</v>
      </c>
      <c r="P2544" s="6" t="s">
        <v>3323</v>
      </c>
      <c r="Q2544" s="1215" t="s">
        <v>253</v>
      </c>
      <c r="R2544" s="1215" t="s">
        <v>255</v>
      </c>
      <c r="S2544" s="1215" t="s">
        <v>534</v>
      </c>
      <c r="T2544" s="1215" t="s">
        <v>533</v>
      </c>
      <c r="U2544" s="6" t="s">
        <v>567</v>
      </c>
      <c r="V2544" s="6" t="s">
        <v>35</v>
      </c>
      <c r="W2544" s="6" t="s">
        <v>863</v>
      </c>
      <c r="X2544" s="6" t="s">
        <v>193</v>
      </c>
    </row>
    <row r="2545" spans="1:24" x14ac:dyDescent="0.3">
      <c r="A2545" s="6" t="s">
        <v>533</v>
      </c>
      <c r="B2545" s="6" t="s">
        <v>534</v>
      </c>
      <c r="C2545" s="6" t="s">
        <v>35</v>
      </c>
      <c r="D2545" s="1088" t="s">
        <v>567</v>
      </c>
      <c r="E2545" s="6" t="s">
        <v>192</v>
      </c>
      <c r="F2545" s="6" t="s">
        <v>853</v>
      </c>
      <c r="G2545" s="6" t="s">
        <v>1168</v>
      </c>
      <c r="H2545" s="6" t="s">
        <v>1413</v>
      </c>
      <c r="J2545" s="1215" t="s">
        <v>511</v>
      </c>
      <c r="K2545" s="1219" t="s">
        <v>3111</v>
      </c>
      <c r="L2545" s="8">
        <v>2</v>
      </c>
      <c r="M2545" s="8">
        <v>9</v>
      </c>
      <c r="N2545" s="1169" t="s">
        <v>271</v>
      </c>
      <c r="P2545" s="6" t="s">
        <v>3323</v>
      </c>
      <c r="Q2545" s="1215" t="s">
        <v>253</v>
      </c>
      <c r="R2545" s="1215" t="s">
        <v>255</v>
      </c>
      <c r="S2545" s="1215" t="s">
        <v>534</v>
      </c>
      <c r="T2545" s="1215" t="s">
        <v>533</v>
      </c>
      <c r="U2545" s="6" t="s">
        <v>567</v>
      </c>
      <c r="V2545" s="6" t="s">
        <v>35</v>
      </c>
      <c r="W2545" s="6" t="s">
        <v>863</v>
      </c>
      <c r="X2545" s="6" t="s">
        <v>193</v>
      </c>
    </row>
    <row r="2546" spans="1:24" x14ac:dyDescent="0.3">
      <c r="A2546" s="6" t="s">
        <v>533</v>
      </c>
      <c r="B2546" s="6" t="s">
        <v>534</v>
      </c>
      <c r="C2546" s="6" t="s">
        <v>33</v>
      </c>
      <c r="D2546" s="1088" t="s">
        <v>561</v>
      </c>
      <c r="E2546" s="6" t="s">
        <v>184</v>
      </c>
      <c r="F2546" s="6" t="s">
        <v>2225</v>
      </c>
      <c r="G2546" s="6" t="s">
        <v>2227</v>
      </c>
      <c r="H2546" s="6" t="s">
        <v>2639</v>
      </c>
      <c r="J2546" s="1215" t="s">
        <v>511</v>
      </c>
      <c r="K2546" s="1219" t="s">
        <v>3033</v>
      </c>
      <c r="L2546" s="8">
        <v>6</v>
      </c>
      <c r="M2546" s="8">
        <v>30</v>
      </c>
      <c r="N2546" s="1169" t="s">
        <v>271</v>
      </c>
      <c r="P2546" s="6" t="s">
        <v>3322</v>
      </c>
      <c r="Q2546" s="1215" t="s">
        <v>253</v>
      </c>
      <c r="R2546" s="1215" t="s">
        <v>255</v>
      </c>
      <c r="S2546" s="1215" t="s">
        <v>534</v>
      </c>
      <c r="T2546" s="1215" t="s">
        <v>533</v>
      </c>
      <c r="U2546" s="6" t="s">
        <v>539</v>
      </c>
      <c r="V2546" s="6" t="s">
        <v>34</v>
      </c>
    </row>
    <row r="2547" spans="1:24" x14ac:dyDescent="0.3">
      <c r="A2547" s="6" t="s">
        <v>533</v>
      </c>
      <c r="B2547" s="6" t="s">
        <v>534</v>
      </c>
      <c r="C2547" s="6" t="s">
        <v>33</v>
      </c>
      <c r="D2547" s="1088" t="s">
        <v>561</v>
      </c>
      <c r="E2547" s="6" t="s">
        <v>184</v>
      </c>
      <c r="F2547" s="6" t="s">
        <v>2225</v>
      </c>
      <c r="G2547" s="6" t="s">
        <v>2227</v>
      </c>
      <c r="H2547" s="6" t="s">
        <v>2639</v>
      </c>
      <c r="J2547" s="1215" t="s">
        <v>511</v>
      </c>
      <c r="K2547" s="1219" t="s">
        <v>3112</v>
      </c>
      <c r="L2547" s="8">
        <v>2</v>
      </c>
      <c r="M2547" s="8">
        <v>15</v>
      </c>
      <c r="N2547" s="1169" t="s">
        <v>271</v>
      </c>
      <c r="P2547" s="6" t="s">
        <v>3322</v>
      </c>
      <c r="Q2547" s="1215" t="s">
        <v>253</v>
      </c>
      <c r="R2547" s="1215" t="s">
        <v>255</v>
      </c>
      <c r="S2547" s="1215" t="s">
        <v>534</v>
      </c>
      <c r="T2547" s="1215" t="s">
        <v>533</v>
      </c>
      <c r="U2547" s="6" t="s">
        <v>549</v>
      </c>
      <c r="V2547" s="6" t="s">
        <v>31</v>
      </c>
    </row>
    <row r="2548" spans="1:24" x14ac:dyDescent="0.3">
      <c r="A2548" s="6" t="s">
        <v>533</v>
      </c>
      <c r="B2548" s="6" t="s">
        <v>534</v>
      </c>
      <c r="C2548" s="6" t="s">
        <v>31</v>
      </c>
      <c r="D2548" s="1088" t="s">
        <v>549</v>
      </c>
      <c r="E2548" s="6" t="s">
        <v>169</v>
      </c>
      <c r="F2548" s="6" t="s">
        <v>673</v>
      </c>
      <c r="G2548" s="6" t="s">
        <v>2866</v>
      </c>
      <c r="H2548" s="6" t="s">
        <v>2342</v>
      </c>
      <c r="J2548" s="1215" t="s">
        <v>511</v>
      </c>
      <c r="K2548" s="1219" t="s">
        <v>3112</v>
      </c>
      <c r="L2548" s="8">
        <v>5</v>
      </c>
      <c r="M2548" s="8">
        <v>30</v>
      </c>
      <c r="N2548" s="1169" t="s">
        <v>272</v>
      </c>
      <c r="P2548" s="6" t="s">
        <v>3324</v>
      </c>
      <c r="Q2548" s="1215" t="s">
        <v>253</v>
      </c>
      <c r="R2548" s="1215" t="s">
        <v>255</v>
      </c>
      <c r="S2548" s="1215" t="s">
        <v>534</v>
      </c>
      <c r="T2548" s="1215" t="s">
        <v>533</v>
      </c>
      <c r="U2548" s="6" t="s">
        <v>549</v>
      </c>
      <c r="V2548" s="6" t="s">
        <v>31</v>
      </c>
      <c r="W2548" s="6" t="s">
        <v>673</v>
      </c>
      <c r="X2548" s="6" t="s">
        <v>169</v>
      </c>
    </row>
    <row r="2549" spans="1:24" x14ac:dyDescent="0.3">
      <c r="A2549" s="6" t="s">
        <v>533</v>
      </c>
      <c r="B2549" s="6" t="s">
        <v>534</v>
      </c>
      <c r="C2549" s="6" t="s">
        <v>31</v>
      </c>
      <c r="D2549" s="1088" t="s">
        <v>549</v>
      </c>
      <c r="E2549" s="6" t="s">
        <v>169</v>
      </c>
      <c r="F2549" s="6" t="s">
        <v>673</v>
      </c>
      <c r="G2549" s="6" t="s">
        <v>550</v>
      </c>
      <c r="H2549" s="6" t="s">
        <v>3123</v>
      </c>
      <c r="I2549" s="6" t="s">
        <v>3123</v>
      </c>
      <c r="J2549" s="1215" t="s">
        <v>511</v>
      </c>
      <c r="K2549" s="1219" t="s">
        <v>3111</v>
      </c>
      <c r="L2549" s="8">
        <v>5</v>
      </c>
      <c r="M2549" s="8">
        <v>30</v>
      </c>
      <c r="N2549" s="1169" t="s">
        <v>274</v>
      </c>
      <c r="P2549" s="6" t="s">
        <v>3324</v>
      </c>
      <c r="Q2549" s="1215" t="s">
        <v>253</v>
      </c>
      <c r="R2549" s="1215" t="s">
        <v>255</v>
      </c>
      <c r="S2549" s="1215" t="s">
        <v>534</v>
      </c>
      <c r="T2549" s="1215" t="s">
        <v>533</v>
      </c>
      <c r="U2549" s="6" t="s">
        <v>549</v>
      </c>
      <c r="V2549" s="6" t="s">
        <v>31</v>
      </c>
      <c r="W2549" s="6" t="s">
        <v>673</v>
      </c>
      <c r="X2549" s="6" t="s">
        <v>169</v>
      </c>
    </row>
    <row r="2550" spans="1:24" x14ac:dyDescent="0.3">
      <c r="A2550" s="6" t="s">
        <v>533</v>
      </c>
      <c r="B2550" s="6" t="s">
        <v>534</v>
      </c>
      <c r="C2550" s="6" t="s">
        <v>31</v>
      </c>
      <c r="D2550" s="1088" t="s">
        <v>549</v>
      </c>
      <c r="E2550" s="1088" t="s">
        <v>169</v>
      </c>
      <c r="F2550" s="6" t="s">
        <v>673</v>
      </c>
      <c r="G2550" s="6" t="s">
        <v>550</v>
      </c>
      <c r="H2550" s="6" t="s">
        <v>3124</v>
      </c>
      <c r="I2550" s="6" t="s">
        <v>3124</v>
      </c>
      <c r="J2550" s="1215" t="s">
        <v>511</v>
      </c>
      <c r="K2550" s="1219" t="s">
        <v>3112</v>
      </c>
      <c r="L2550" s="8">
        <v>6</v>
      </c>
      <c r="M2550" s="8">
        <v>20</v>
      </c>
      <c r="N2550" s="1169" t="s">
        <v>272</v>
      </c>
      <c r="P2550" s="6" t="s">
        <v>3324</v>
      </c>
      <c r="Q2550" s="1215" t="s">
        <v>253</v>
      </c>
      <c r="R2550" s="1215" t="s">
        <v>255</v>
      </c>
      <c r="S2550" s="1215" t="s">
        <v>534</v>
      </c>
      <c r="T2550" s="1215" t="s">
        <v>533</v>
      </c>
      <c r="U2550" s="6" t="s">
        <v>549</v>
      </c>
      <c r="V2550" s="6" t="s">
        <v>31</v>
      </c>
      <c r="W2550" s="6" t="s">
        <v>673</v>
      </c>
      <c r="X2550" s="6" t="s">
        <v>169</v>
      </c>
    </row>
    <row r="2551" spans="1:24" x14ac:dyDescent="0.3">
      <c r="A2551" s="6" t="s">
        <v>533</v>
      </c>
      <c r="B2551" s="6" t="s">
        <v>534</v>
      </c>
      <c r="C2551" s="6" t="s">
        <v>31</v>
      </c>
      <c r="D2551" s="1088" t="s">
        <v>549</v>
      </c>
      <c r="E2551" s="1088" t="s">
        <v>169</v>
      </c>
      <c r="F2551" s="6" t="s">
        <v>673</v>
      </c>
      <c r="G2551" s="6" t="s">
        <v>3195</v>
      </c>
      <c r="H2551" s="6" t="s">
        <v>3077</v>
      </c>
      <c r="J2551" s="1215" t="s">
        <v>511</v>
      </c>
      <c r="K2551" s="1219" t="s">
        <v>3112</v>
      </c>
      <c r="L2551" s="8">
        <v>100</v>
      </c>
      <c r="M2551" s="8">
        <v>1500</v>
      </c>
      <c r="N2551" s="1169" t="s">
        <v>272</v>
      </c>
      <c r="P2551" s="6" t="s">
        <v>3361</v>
      </c>
      <c r="Q2551" s="1215" t="s">
        <v>241</v>
      </c>
      <c r="R2551" s="1168" t="s">
        <v>243</v>
      </c>
      <c r="S2551" s="1088"/>
      <c r="T2551" s="1088"/>
    </row>
    <row r="2552" spans="1:24" x14ac:dyDescent="0.3">
      <c r="A2552" s="6" t="s">
        <v>533</v>
      </c>
      <c r="B2552" s="6" t="s">
        <v>534</v>
      </c>
      <c r="C2552" s="6" t="s">
        <v>31</v>
      </c>
      <c r="D2552" s="1088" t="s">
        <v>549</v>
      </c>
      <c r="E2552" s="6" t="s">
        <v>169</v>
      </c>
      <c r="F2552" s="6" t="s">
        <v>673</v>
      </c>
      <c r="G2552" s="6" t="s">
        <v>2817</v>
      </c>
      <c r="H2552" s="6" t="s">
        <v>2351</v>
      </c>
      <c r="J2552" s="1215" t="s">
        <v>511</v>
      </c>
      <c r="K2552" s="1219" t="s">
        <v>3110</v>
      </c>
      <c r="L2552" s="8">
        <v>16</v>
      </c>
      <c r="M2552" s="8">
        <v>200</v>
      </c>
      <c r="N2552" s="1169" t="s">
        <v>274</v>
      </c>
      <c r="P2552" s="6" t="s">
        <v>3361</v>
      </c>
      <c r="Q2552" s="1215" t="s">
        <v>241</v>
      </c>
      <c r="R2552" s="1168" t="s">
        <v>243</v>
      </c>
      <c r="S2552" s="1088"/>
      <c r="T2552" s="1088"/>
    </row>
    <row r="2553" spans="1:24" x14ac:dyDescent="0.3">
      <c r="A2553" s="6" t="s">
        <v>533</v>
      </c>
      <c r="B2553" s="6" t="s">
        <v>534</v>
      </c>
      <c r="C2553" s="6" t="s">
        <v>31</v>
      </c>
      <c r="D2553" s="1088" t="s">
        <v>549</v>
      </c>
      <c r="E2553" s="6" t="s">
        <v>169</v>
      </c>
      <c r="F2553" s="6" t="s">
        <v>673</v>
      </c>
      <c r="G2553" s="6" t="s">
        <v>3012</v>
      </c>
      <c r="H2553" s="6" t="s">
        <v>2385</v>
      </c>
      <c r="J2553" s="1215" t="s">
        <v>511</v>
      </c>
      <c r="K2553" s="1219" t="s">
        <v>3111</v>
      </c>
      <c r="L2553" s="8">
        <v>125</v>
      </c>
      <c r="M2553" s="8">
        <v>400</v>
      </c>
      <c r="N2553" s="1169" t="s">
        <v>274</v>
      </c>
      <c r="P2553" s="6" t="s">
        <v>3324</v>
      </c>
      <c r="Q2553" s="1215" t="s">
        <v>253</v>
      </c>
      <c r="R2553" s="1215" t="s">
        <v>255</v>
      </c>
      <c r="S2553" s="1215" t="s">
        <v>534</v>
      </c>
      <c r="T2553" s="1215" t="s">
        <v>533</v>
      </c>
      <c r="U2553" s="6" t="s">
        <v>549</v>
      </c>
      <c r="V2553" s="6" t="s">
        <v>31</v>
      </c>
      <c r="W2553" s="6" t="s">
        <v>673</v>
      </c>
      <c r="X2553" s="6" t="s">
        <v>169</v>
      </c>
    </row>
    <row r="2554" spans="1:24" x14ac:dyDescent="0.3">
      <c r="A2554" s="6" t="s">
        <v>533</v>
      </c>
      <c r="B2554" s="6" t="s">
        <v>534</v>
      </c>
      <c r="C2554" s="6" t="s">
        <v>31</v>
      </c>
      <c r="D2554" s="1088" t="s">
        <v>549</v>
      </c>
      <c r="E2554" s="1088" t="s">
        <v>169</v>
      </c>
      <c r="F2554" s="6" t="s">
        <v>673</v>
      </c>
      <c r="G2554" s="6" t="s">
        <v>2948</v>
      </c>
      <c r="H2554" s="6" t="s">
        <v>1524</v>
      </c>
      <c r="J2554" s="1215" t="s">
        <v>511</v>
      </c>
      <c r="K2554" s="1219" t="s">
        <v>3112</v>
      </c>
      <c r="L2554" s="8">
        <v>4</v>
      </c>
      <c r="M2554" s="8">
        <v>10</v>
      </c>
      <c r="N2554" s="1169" t="s">
        <v>274</v>
      </c>
      <c r="P2554" s="6" t="s">
        <v>3361</v>
      </c>
      <c r="Q2554" s="1215" t="s">
        <v>241</v>
      </c>
      <c r="R2554" s="1168" t="s">
        <v>243</v>
      </c>
      <c r="S2554" s="1088"/>
      <c r="T2554" s="1088"/>
    </row>
    <row r="2555" spans="1:24" x14ac:dyDescent="0.3">
      <c r="A2555" s="6" t="s">
        <v>533</v>
      </c>
      <c r="B2555" s="6" t="s">
        <v>534</v>
      </c>
      <c r="C2555" s="6" t="s">
        <v>31</v>
      </c>
      <c r="D2555" s="1088" t="s">
        <v>549</v>
      </c>
      <c r="E2555" s="6" t="s">
        <v>169</v>
      </c>
      <c r="F2555" s="6" t="s">
        <v>673</v>
      </c>
      <c r="G2555" s="6" t="s">
        <v>2976</v>
      </c>
      <c r="H2555" s="6" t="s">
        <v>2335</v>
      </c>
      <c r="J2555" s="1215" t="s">
        <v>511</v>
      </c>
      <c r="K2555" s="1219" t="s">
        <v>3111</v>
      </c>
      <c r="L2555" s="8">
        <v>44</v>
      </c>
      <c r="M2555" s="8">
        <v>250</v>
      </c>
      <c r="N2555" s="1169" t="s">
        <v>274</v>
      </c>
      <c r="P2555" s="6" t="s">
        <v>3323</v>
      </c>
      <c r="Q2555" s="1215" t="s">
        <v>253</v>
      </c>
      <c r="R2555" s="1215" t="s">
        <v>255</v>
      </c>
      <c r="S2555" s="1215" t="s">
        <v>534</v>
      </c>
      <c r="T2555" s="1215" t="s">
        <v>533</v>
      </c>
      <c r="U2555" s="6" t="s">
        <v>549</v>
      </c>
      <c r="V2555" s="6" t="s">
        <v>31</v>
      </c>
      <c r="W2555" s="6" t="s">
        <v>866</v>
      </c>
      <c r="X2555" s="6" t="s">
        <v>170</v>
      </c>
    </row>
    <row r="2556" spans="1:24" x14ac:dyDescent="0.3">
      <c r="A2556" s="6" t="s">
        <v>533</v>
      </c>
      <c r="B2556" s="6" t="s">
        <v>534</v>
      </c>
      <c r="C2556" s="6" t="s">
        <v>31</v>
      </c>
      <c r="D2556" s="1088" t="s">
        <v>549</v>
      </c>
      <c r="E2556" s="1088" t="s">
        <v>169</v>
      </c>
      <c r="F2556" s="6" t="s">
        <v>673</v>
      </c>
      <c r="G2556" s="6" t="s">
        <v>2976</v>
      </c>
      <c r="H2556" s="6" t="s">
        <v>2335</v>
      </c>
      <c r="J2556" s="1215" t="s">
        <v>511</v>
      </c>
      <c r="K2556" s="1219" t="s">
        <v>3112</v>
      </c>
      <c r="L2556" s="8">
        <v>8</v>
      </c>
      <c r="M2556" s="8">
        <v>14</v>
      </c>
      <c r="N2556" s="1169" t="s">
        <v>274</v>
      </c>
      <c r="P2556" s="6" t="s">
        <v>3361</v>
      </c>
      <c r="Q2556" s="1215" t="s">
        <v>241</v>
      </c>
      <c r="R2556" s="1168" t="s">
        <v>243</v>
      </c>
      <c r="S2556" s="1088"/>
      <c r="T2556" s="1088"/>
    </row>
    <row r="2557" spans="1:24" x14ac:dyDescent="0.3">
      <c r="A2557" s="6" t="s">
        <v>533</v>
      </c>
      <c r="B2557" s="6" t="s">
        <v>534</v>
      </c>
      <c r="C2557" s="6" t="s">
        <v>35</v>
      </c>
      <c r="D2557" s="1088" t="s">
        <v>567</v>
      </c>
      <c r="E2557" s="6" t="s">
        <v>192</v>
      </c>
      <c r="F2557" s="6" t="s">
        <v>853</v>
      </c>
      <c r="G2557" s="6" t="s">
        <v>1316</v>
      </c>
      <c r="H2557" s="6" t="s">
        <v>901</v>
      </c>
      <c r="J2557" s="1215" t="s">
        <v>511</v>
      </c>
      <c r="K2557" s="1219" t="s">
        <v>3110</v>
      </c>
      <c r="L2557" s="8">
        <v>4</v>
      </c>
      <c r="M2557" s="8">
        <v>21</v>
      </c>
      <c r="N2557" s="1169" t="s">
        <v>271</v>
      </c>
      <c r="P2557" s="6" t="s">
        <v>3323</v>
      </c>
      <c r="Q2557" s="1215" t="s">
        <v>253</v>
      </c>
      <c r="R2557" s="1215" t="s">
        <v>255</v>
      </c>
      <c r="S2557" s="1215" t="s">
        <v>534</v>
      </c>
      <c r="T2557" s="1215" t="s">
        <v>533</v>
      </c>
      <c r="U2557" s="6" t="s">
        <v>567</v>
      </c>
      <c r="V2557" s="6" t="s">
        <v>35</v>
      </c>
      <c r="W2557" s="6" t="s">
        <v>863</v>
      </c>
      <c r="X2557" s="6" t="s">
        <v>193</v>
      </c>
    </row>
    <row r="2558" spans="1:24" x14ac:dyDescent="0.3">
      <c r="A2558" s="6" t="s">
        <v>533</v>
      </c>
      <c r="B2558" s="6" t="s">
        <v>534</v>
      </c>
      <c r="C2558" s="6" t="s">
        <v>35</v>
      </c>
      <c r="D2558" s="1088" t="s">
        <v>567</v>
      </c>
      <c r="E2558" s="6" t="s">
        <v>192</v>
      </c>
      <c r="F2558" s="6" t="s">
        <v>853</v>
      </c>
      <c r="G2558" s="6" t="s">
        <v>1316</v>
      </c>
      <c r="H2558" s="6" t="s">
        <v>901</v>
      </c>
      <c r="J2558" s="1215" t="s">
        <v>511</v>
      </c>
      <c r="K2558" s="1219" t="s">
        <v>3111</v>
      </c>
      <c r="L2558" s="8">
        <v>3</v>
      </c>
      <c r="M2558" s="8">
        <v>16</v>
      </c>
      <c r="N2558" s="1169" t="s">
        <v>271</v>
      </c>
      <c r="P2558" s="6" t="s">
        <v>3323</v>
      </c>
      <c r="Q2558" s="1215" t="s">
        <v>253</v>
      </c>
      <c r="R2558" s="1215" t="s">
        <v>255</v>
      </c>
      <c r="S2558" s="1215" t="s">
        <v>534</v>
      </c>
      <c r="T2558" s="1215" t="s">
        <v>533</v>
      </c>
      <c r="U2558" s="6" t="s">
        <v>567</v>
      </c>
      <c r="V2558" s="6" t="s">
        <v>35</v>
      </c>
      <c r="W2558" s="6" t="s">
        <v>863</v>
      </c>
      <c r="X2558" s="6" t="s">
        <v>193</v>
      </c>
    </row>
    <row r="2559" spans="1:24" x14ac:dyDescent="0.3">
      <c r="A2559" s="6" t="s">
        <v>533</v>
      </c>
      <c r="B2559" s="6" t="s">
        <v>534</v>
      </c>
      <c r="C2559" s="6" t="s">
        <v>35</v>
      </c>
      <c r="D2559" s="1088" t="s">
        <v>567</v>
      </c>
      <c r="E2559" s="1088" t="s">
        <v>192</v>
      </c>
      <c r="F2559" s="6" t="s">
        <v>853</v>
      </c>
      <c r="G2559" s="6" t="s">
        <v>1004</v>
      </c>
      <c r="H2559" s="6" t="s">
        <v>903</v>
      </c>
      <c r="J2559" s="1215" t="s">
        <v>511</v>
      </c>
      <c r="K2559" s="1219" t="s">
        <v>3112</v>
      </c>
      <c r="L2559" s="8">
        <v>4</v>
      </c>
      <c r="M2559" s="8">
        <v>17</v>
      </c>
      <c r="N2559" s="1169" t="s">
        <v>271</v>
      </c>
      <c r="P2559" s="6" t="s">
        <v>3323</v>
      </c>
      <c r="Q2559" s="1215" t="s">
        <v>253</v>
      </c>
      <c r="R2559" s="1215" t="s">
        <v>255</v>
      </c>
      <c r="S2559" s="1215" t="s">
        <v>534</v>
      </c>
      <c r="T2559" s="1215" t="s">
        <v>533</v>
      </c>
      <c r="U2559" s="6" t="s">
        <v>567</v>
      </c>
      <c r="V2559" s="6" t="s">
        <v>35</v>
      </c>
      <c r="W2559" s="6" t="s">
        <v>863</v>
      </c>
      <c r="X2559" s="6" t="s">
        <v>193</v>
      </c>
    </row>
    <row r="2560" spans="1:24" x14ac:dyDescent="0.3">
      <c r="A2560" s="6" t="s">
        <v>533</v>
      </c>
      <c r="B2560" s="6" t="s">
        <v>534</v>
      </c>
      <c r="C2560" s="6" t="s">
        <v>35</v>
      </c>
      <c r="D2560" s="1088" t="s">
        <v>567</v>
      </c>
      <c r="E2560" s="6" t="s">
        <v>192</v>
      </c>
      <c r="F2560" s="6" t="s">
        <v>853</v>
      </c>
      <c r="G2560" s="6" t="s">
        <v>1004</v>
      </c>
      <c r="H2560" s="6" t="s">
        <v>903</v>
      </c>
      <c r="J2560" s="1215" t="s">
        <v>511</v>
      </c>
      <c r="K2560" s="1219" t="s">
        <v>3111</v>
      </c>
      <c r="L2560" s="8">
        <v>6</v>
      </c>
      <c r="M2560" s="8">
        <v>30</v>
      </c>
      <c r="N2560" s="1169" t="s">
        <v>271</v>
      </c>
      <c r="P2560" s="6" t="s">
        <v>3323</v>
      </c>
      <c r="Q2560" s="1215" t="s">
        <v>253</v>
      </c>
      <c r="R2560" s="1215" t="s">
        <v>255</v>
      </c>
      <c r="S2560" s="1215" t="s">
        <v>534</v>
      </c>
      <c r="T2560" s="1215" t="s">
        <v>533</v>
      </c>
      <c r="U2560" s="6" t="s">
        <v>567</v>
      </c>
      <c r="V2560" s="6" t="s">
        <v>35</v>
      </c>
      <c r="W2560" s="6" t="s">
        <v>863</v>
      </c>
      <c r="X2560" s="6" t="s">
        <v>193</v>
      </c>
    </row>
    <row r="2561" spans="1:24" x14ac:dyDescent="0.3">
      <c r="A2561" s="6" t="s">
        <v>533</v>
      </c>
      <c r="B2561" s="6" t="s">
        <v>534</v>
      </c>
      <c r="C2561" s="6" t="s">
        <v>35</v>
      </c>
      <c r="D2561" s="1088" t="s">
        <v>567</v>
      </c>
      <c r="E2561" s="6" t="s">
        <v>192</v>
      </c>
      <c r="F2561" s="6" t="s">
        <v>853</v>
      </c>
      <c r="G2561" s="6" t="s">
        <v>1004</v>
      </c>
      <c r="H2561" s="6" t="s">
        <v>903</v>
      </c>
      <c r="J2561" s="1215" t="s">
        <v>511</v>
      </c>
      <c r="K2561" s="1219" t="s">
        <v>3110</v>
      </c>
      <c r="L2561" s="8">
        <v>2</v>
      </c>
      <c r="M2561" s="8">
        <v>13</v>
      </c>
      <c r="N2561" s="6" t="s">
        <v>271</v>
      </c>
      <c r="P2561" s="6" t="s">
        <v>3323</v>
      </c>
      <c r="Q2561" s="1215" t="s">
        <v>253</v>
      </c>
      <c r="R2561" s="1215" t="s">
        <v>255</v>
      </c>
      <c r="S2561" s="1215" t="s">
        <v>534</v>
      </c>
      <c r="T2561" s="1215" t="s">
        <v>533</v>
      </c>
      <c r="U2561" s="6" t="s">
        <v>567</v>
      </c>
      <c r="V2561" s="6" t="s">
        <v>35</v>
      </c>
      <c r="W2561" s="6" t="s">
        <v>863</v>
      </c>
      <c r="X2561" s="6" t="s">
        <v>193</v>
      </c>
    </row>
    <row r="2562" spans="1:24" x14ac:dyDescent="0.3">
      <c r="A2562" s="6" t="s">
        <v>533</v>
      </c>
      <c r="B2562" s="6" t="s">
        <v>534</v>
      </c>
      <c r="C2562" s="6" t="s">
        <v>35</v>
      </c>
      <c r="D2562" s="1088" t="s">
        <v>567</v>
      </c>
      <c r="E2562" s="1088" t="s">
        <v>192</v>
      </c>
      <c r="F2562" s="6" t="s">
        <v>853</v>
      </c>
      <c r="G2562" s="6" t="s">
        <v>1525</v>
      </c>
      <c r="H2562" s="6" t="s">
        <v>1317</v>
      </c>
      <c r="J2562" s="1215" t="s">
        <v>511</v>
      </c>
      <c r="K2562" s="1219" t="s">
        <v>3112</v>
      </c>
      <c r="L2562" s="8">
        <v>3</v>
      </c>
      <c r="M2562" s="8">
        <v>41</v>
      </c>
      <c r="N2562" s="6" t="s">
        <v>271</v>
      </c>
      <c r="P2562" s="6" t="s">
        <v>3323</v>
      </c>
      <c r="Q2562" s="1215" t="s">
        <v>253</v>
      </c>
      <c r="R2562" s="1215" t="s">
        <v>255</v>
      </c>
      <c r="S2562" s="1215" t="s">
        <v>534</v>
      </c>
      <c r="T2562" s="1215" t="s">
        <v>533</v>
      </c>
      <c r="U2562" s="6" t="s">
        <v>567</v>
      </c>
      <c r="V2562" s="6" t="s">
        <v>35</v>
      </c>
      <c r="W2562" s="6" t="s">
        <v>863</v>
      </c>
      <c r="X2562" s="6" t="s">
        <v>193</v>
      </c>
    </row>
    <row r="2563" spans="1:24" x14ac:dyDescent="0.3">
      <c r="A2563" s="6" t="s">
        <v>533</v>
      </c>
      <c r="B2563" s="6" t="s">
        <v>534</v>
      </c>
      <c r="C2563" s="6" t="s">
        <v>35</v>
      </c>
      <c r="D2563" s="1088" t="s">
        <v>567</v>
      </c>
      <c r="E2563" s="1088" t="s">
        <v>192</v>
      </c>
      <c r="F2563" s="6" t="s">
        <v>853</v>
      </c>
      <c r="G2563" s="6" t="s">
        <v>1525</v>
      </c>
      <c r="H2563" s="6" t="s">
        <v>1317</v>
      </c>
      <c r="J2563" s="1215" t="s">
        <v>511</v>
      </c>
      <c r="K2563" s="1219" t="s">
        <v>3111</v>
      </c>
      <c r="L2563" s="8">
        <v>2</v>
      </c>
      <c r="M2563" s="8">
        <v>23</v>
      </c>
      <c r="N2563" s="1169" t="s">
        <v>271</v>
      </c>
      <c r="P2563" s="6" t="s">
        <v>3323</v>
      </c>
      <c r="Q2563" s="1215" t="s">
        <v>253</v>
      </c>
      <c r="R2563" s="1215" t="s">
        <v>255</v>
      </c>
      <c r="S2563" s="1215" t="s">
        <v>534</v>
      </c>
      <c r="T2563" s="1215" t="s">
        <v>533</v>
      </c>
      <c r="U2563" s="6" t="s">
        <v>567</v>
      </c>
      <c r="V2563" s="6" t="s">
        <v>35</v>
      </c>
      <c r="W2563" s="6" t="s">
        <v>863</v>
      </c>
      <c r="X2563" s="6" t="s">
        <v>193</v>
      </c>
    </row>
    <row r="2564" spans="1:24" x14ac:dyDescent="0.3">
      <c r="A2564" s="6" t="s">
        <v>533</v>
      </c>
      <c r="B2564" s="6" t="s">
        <v>534</v>
      </c>
      <c r="C2564" s="6" t="s">
        <v>35</v>
      </c>
      <c r="D2564" s="1088" t="s">
        <v>567</v>
      </c>
      <c r="E2564" s="1088" t="s">
        <v>192</v>
      </c>
      <c r="F2564" s="6" t="s">
        <v>853</v>
      </c>
      <c r="G2564" s="6" t="s">
        <v>1525</v>
      </c>
      <c r="H2564" s="6" t="s">
        <v>1317</v>
      </c>
      <c r="J2564" s="1215" t="s">
        <v>511</v>
      </c>
      <c r="K2564" s="1219" t="s">
        <v>3110</v>
      </c>
      <c r="L2564" s="8">
        <v>5</v>
      </c>
      <c r="M2564" s="8">
        <v>37</v>
      </c>
      <c r="N2564" s="1169" t="s">
        <v>271</v>
      </c>
      <c r="P2564" s="6" t="s">
        <v>3323</v>
      </c>
      <c r="Q2564" s="1215" t="s">
        <v>253</v>
      </c>
      <c r="R2564" s="1215" t="s">
        <v>255</v>
      </c>
      <c r="S2564" s="1215" t="s">
        <v>534</v>
      </c>
      <c r="T2564" s="1215" t="s">
        <v>533</v>
      </c>
      <c r="U2564" s="6" t="s">
        <v>567</v>
      </c>
      <c r="V2564" s="6" t="s">
        <v>35</v>
      </c>
      <c r="W2564" s="6" t="s">
        <v>863</v>
      </c>
      <c r="X2564" s="6" t="s">
        <v>193</v>
      </c>
    </row>
    <row r="2565" spans="1:24" x14ac:dyDescent="0.3">
      <c r="A2565" s="6" t="s">
        <v>533</v>
      </c>
      <c r="B2565" s="6" t="s">
        <v>534</v>
      </c>
      <c r="C2565" s="6" t="s">
        <v>35</v>
      </c>
      <c r="D2565" s="1088" t="s">
        <v>567</v>
      </c>
      <c r="E2565" s="1088" t="s">
        <v>192</v>
      </c>
      <c r="F2565" s="6" t="s">
        <v>853</v>
      </c>
      <c r="G2565" s="6" t="s">
        <v>943</v>
      </c>
      <c r="H2565" s="6" t="s">
        <v>989</v>
      </c>
      <c r="J2565" s="1215" t="s">
        <v>511</v>
      </c>
      <c r="K2565" s="1219" t="s">
        <v>3112</v>
      </c>
      <c r="L2565" s="8">
        <v>2</v>
      </c>
      <c r="M2565" s="8">
        <v>4</v>
      </c>
      <c r="N2565" s="1169" t="s">
        <v>271</v>
      </c>
      <c r="P2565" s="6" t="s">
        <v>3323</v>
      </c>
      <c r="Q2565" s="1215" t="s">
        <v>253</v>
      </c>
      <c r="R2565" s="1215" t="s">
        <v>255</v>
      </c>
      <c r="S2565" s="1215" t="s">
        <v>534</v>
      </c>
      <c r="T2565" s="1215" t="s">
        <v>533</v>
      </c>
      <c r="U2565" s="6" t="s">
        <v>567</v>
      </c>
      <c r="V2565" s="6" t="s">
        <v>35</v>
      </c>
      <c r="W2565" s="6" t="s">
        <v>863</v>
      </c>
      <c r="X2565" s="6" t="s">
        <v>193</v>
      </c>
    </row>
    <row r="2566" spans="1:24" x14ac:dyDescent="0.3">
      <c r="A2566" s="6" t="s">
        <v>533</v>
      </c>
      <c r="B2566" s="6" t="s">
        <v>534</v>
      </c>
      <c r="C2566" s="6" t="s">
        <v>35</v>
      </c>
      <c r="D2566" s="1088" t="s">
        <v>567</v>
      </c>
      <c r="E2566" s="1088" t="s">
        <v>192</v>
      </c>
      <c r="F2566" s="6" t="s">
        <v>853</v>
      </c>
      <c r="G2566" s="6" t="s">
        <v>943</v>
      </c>
      <c r="H2566" s="6" t="s">
        <v>989</v>
      </c>
      <c r="J2566" s="1215" t="s">
        <v>511</v>
      </c>
      <c r="K2566" s="1219" t="s">
        <v>3110</v>
      </c>
      <c r="L2566" s="8">
        <v>1</v>
      </c>
      <c r="M2566" s="8">
        <v>8</v>
      </c>
      <c r="N2566" s="1169" t="s">
        <v>271</v>
      </c>
      <c r="P2566" s="6" t="s">
        <v>3323</v>
      </c>
      <c r="Q2566" s="1215" t="s">
        <v>253</v>
      </c>
      <c r="R2566" s="1215" t="s">
        <v>255</v>
      </c>
      <c r="S2566" s="1215" t="s">
        <v>534</v>
      </c>
      <c r="T2566" s="1215" t="s">
        <v>533</v>
      </c>
      <c r="U2566" s="6" t="s">
        <v>567</v>
      </c>
      <c r="V2566" s="6" t="s">
        <v>35</v>
      </c>
      <c r="W2566" s="6" t="s">
        <v>863</v>
      </c>
      <c r="X2566" s="6" t="s">
        <v>193</v>
      </c>
    </row>
    <row r="2567" spans="1:24" x14ac:dyDescent="0.3">
      <c r="A2567" s="6" t="s">
        <v>533</v>
      </c>
      <c r="B2567" s="6" t="s">
        <v>534</v>
      </c>
      <c r="C2567" s="6" t="s">
        <v>35</v>
      </c>
      <c r="D2567" s="1088" t="s">
        <v>567</v>
      </c>
      <c r="E2567" s="1088" t="s">
        <v>192</v>
      </c>
      <c r="F2567" s="6" t="s">
        <v>853</v>
      </c>
      <c r="G2567" s="6" t="s">
        <v>1402</v>
      </c>
      <c r="H2567" s="6" t="s">
        <v>1389</v>
      </c>
      <c r="J2567" s="1215" t="s">
        <v>511</v>
      </c>
      <c r="K2567" s="1219" t="s">
        <v>3110</v>
      </c>
      <c r="L2567" s="8">
        <v>6</v>
      </c>
      <c r="M2567" s="8">
        <v>36</v>
      </c>
      <c r="N2567" s="1169" t="s">
        <v>271</v>
      </c>
      <c r="P2567" s="6" t="s">
        <v>3323</v>
      </c>
      <c r="Q2567" s="1215" t="s">
        <v>253</v>
      </c>
      <c r="R2567" s="1215" t="s">
        <v>255</v>
      </c>
      <c r="S2567" s="1215" t="s">
        <v>534</v>
      </c>
      <c r="T2567" s="1215" t="s">
        <v>533</v>
      </c>
      <c r="U2567" s="6" t="s">
        <v>567</v>
      </c>
      <c r="V2567" s="6" t="s">
        <v>35</v>
      </c>
      <c r="W2567" s="6" t="s">
        <v>863</v>
      </c>
      <c r="X2567" s="6" t="s">
        <v>193</v>
      </c>
    </row>
    <row r="2568" spans="1:24" x14ac:dyDescent="0.3">
      <c r="A2568" s="6" t="s">
        <v>533</v>
      </c>
      <c r="B2568" s="6" t="s">
        <v>534</v>
      </c>
      <c r="C2568" s="6" t="s">
        <v>35</v>
      </c>
      <c r="D2568" s="1088" t="s">
        <v>567</v>
      </c>
      <c r="E2568" s="6" t="s">
        <v>192</v>
      </c>
      <c r="F2568" s="6" t="s">
        <v>853</v>
      </c>
      <c r="G2568" s="6" t="s">
        <v>902</v>
      </c>
      <c r="H2568" s="6" t="s">
        <v>1391</v>
      </c>
      <c r="J2568" s="1215" t="s">
        <v>511</v>
      </c>
      <c r="K2568" s="1219" t="s">
        <v>3110</v>
      </c>
      <c r="L2568" s="8">
        <v>2</v>
      </c>
      <c r="M2568" s="8">
        <v>5</v>
      </c>
      <c r="N2568" s="1169" t="s">
        <v>271</v>
      </c>
      <c r="P2568" s="6" t="s">
        <v>3323</v>
      </c>
      <c r="Q2568" s="1215" t="s">
        <v>253</v>
      </c>
      <c r="R2568" s="1215" t="s">
        <v>255</v>
      </c>
      <c r="S2568" s="1215" t="s">
        <v>534</v>
      </c>
      <c r="T2568" s="1215" t="s">
        <v>533</v>
      </c>
      <c r="U2568" s="6" t="s">
        <v>567</v>
      </c>
      <c r="V2568" s="6" t="s">
        <v>35</v>
      </c>
      <c r="W2568" s="6" t="s">
        <v>863</v>
      </c>
      <c r="X2568" s="6" t="s">
        <v>193</v>
      </c>
    </row>
    <row r="2569" spans="1:24" x14ac:dyDescent="0.3">
      <c r="A2569" s="6" t="s">
        <v>533</v>
      </c>
      <c r="B2569" s="6" t="s">
        <v>534</v>
      </c>
      <c r="C2569" s="6" t="s">
        <v>35</v>
      </c>
      <c r="D2569" s="1088" t="s">
        <v>567</v>
      </c>
      <c r="E2569" s="1088" t="s">
        <v>192</v>
      </c>
      <c r="F2569" s="6" t="s">
        <v>853</v>
      </c>
      <c r="G2569" s="6" t="s">
        <v>902</v>
      </c>
      <c r="H2569" s="6" t="s">
        <v>1391</v>
      </c>
      <c r="J2569" s="1215" t="s">
        <v>511</v>
      </c>
      <c r="K2569" s="1219" t="s">
        <v>3112</v>
      </c>
      <c r="L2569" s="8">
        <v>2</v>
      </c>
      <c r="M2569" s="8">
        <v>15</v>
      </c>
      <c r="N2569" s="1169" t="s">
        <v>271</v>
      </c>
      <c r="P2569" s="6" t="s">
        <v>3323</v>
      </c>
      <c r="Q2569" s="1215" t="s">
        <v>253</v>
      </c>
      <c r="R2569" s="1215" t="s">
        <v>255</v>
      </c>
      <c r="S2569" s="1215" t="s">
        <v>534</v>
      </c>
      <c r="T2569" s="1215" t="s">
        <v>533</v>
      </c>
      <c r="U2569" s="6" t="s">
        <v>567</v>
      </c>
      <c r="V2569" s="6" t="s">
        <v>35</v>
      </c>
      <c r="W2569" s="6" t="s">
        <v>863</v>
      </c>
      <c r="X2569" s="6" t="s">
        <v>193</v>
      </c>
    </row>
    <row r="2570" spans="1:24" x14ac:dyDescent="0.3">
      <c r="A2570" s="6" t="s">
        <v>533</v>
      </c>
      <c r="B2570" s="6" t="s">
        <v>534</v>
      </c>
      <c r="C2570" s="6" t="s">
        <v>35</v>
      </c>
      <c r="D2570" s="1088" t="s">
        <v>567</v>
      </c>
      <c r="E2570" s="1088" t="s">
        <v>192</v>
      </c>
      <c r="F2570" s="6" t="s">
        <v>853</v>
      </c>
      <c r="G2570" s="6" t="s">
        <v>949</v>
      </c>
      <c r="H2570" s="6" t="s">
        <v>1171</v>
      </c>
      <c r="J2570" s="1215" t="s">
        <v>511</v>
      </c>
      <c r="K2570" s="1219" t="s">
        <v>3111</v>
      </c>
      <c r="L2570" s="8">
        <v>7</v>
      </c>
      <c r="M2570" s="8">
        <v>36</v>
      </c>
      <c r="N2570" s="1169" t="s">
        <v>271</v>
      </c>
      <c r="P2570" s="6" t="s">
        <v>3323</v>
      </c>
      <c r="Q2570" s="1215" t="s">
        <v>253</v>
      </c>
      <c r="R2570" s="1215" t="s">
        <v>255</v>
      </c>
      <c r="S2570" s="1215" t="s">
        <v>534</v>
      </c>
      <c r="T2570" s="1215" t="s">
        <v>533</v>
      </c>
      <c r="U2570" s="6" t="s">
        <v>567</v>
      </c>
      <c r="V2570" s="6" t="s">
        <v>35</v>
      </c>
      <c r="W2570" s="6" t="s">
        <v>863</v>
      </c>
      <c r="X2570" s="6" t="s">
        <v>193</v>
      </c>
    </row>
    <row r="2571" spans="1:24" x14ac:dyDescent="0.3">
      <c r="A2571" s="6" t="s">
        <v>533</v>
      </c>
      <c r="B2571" s="6" t="s">
        <v>534</v>
      </c>
      <c r="C2571" s="6" t="s">
        <v>35</v>
      </c>
      <c r="D2571" s="1088" t="s">
        <v>567</v>
      </c>
      <c r="E2571" s="6" t="s">
        <v>192</v>
      </c>
      <c r="F2571" s="6" t="s">
        <v>853</v>
      </c>
      <c r="G2571" s="6" t="s">
        <v>949</v>
      </c>
      <c r="H2571" s="6" t="s">
        <v>1171</v>
      </c>
      <c r="J2571" s="1215" t="s">
        <v>511</v>
      </c>
      <c r="K2571" s="1219" t="s">
        <v>3110</v>
      </c>
      <c r="L2571" s="8">
        <v>5</v>
      </c>
      <c r="M2571" s="8">
        <v>19</v>
      </c>
      <c r="N2571" s="1169" t="s">
        <v>271</v>
      </c>
      <c r="P2571" s="6" t="s">
        <v>3323</v>
      </c>
      <c r="Q2571" s="1215" t="s">
        <v>253</v>
      </c>
      <c r="R2571" s="1215" t="s">
        <v>255</v>
      </c>
      <c r="S2571" s="1215" t="s">
        <v>534</v>
      </c>
      <c r="T2571" s="1215" t="s">
        <v>533</v>
      </c>
      <c r="U2571" s="6" t="s">
        <v>567</v>
      </c>
      <c r="V2571" s="6" t="s">
        <v>35</v>
      </c>
      <c r="W2571" s="6" t="s">
        <v>863</v>
      </c>
      <c r="X2571" s="6" t="s">
        <v>193</v>
      </c>
    </row>
    <row r="2572" spans="1:24" x14ac:dyDescent="0.3">
      <c r="A2572" s="6" t="s">
        <v>533</v>
      </c>
      <c r="B2572" s="6" t="s">
        <v>534</v>
      </c>
      <c r="C2572" s="6" t="s">
        <v>31</v>
      </c>
      <c r="D2572" s="1088" t="s">
        <v>549</v>
      </c>
      <c r="E2572" s="6" t="s">
        <v>164</v>
      </c>
      <c r="F2572" s="6" t="s">
        <v>748</v>
      </c>
      <c r="G2572" s="6" t="s">
        <v>2038</v>
      </c>
      <c r="H2572" s="6" t="s">
        <v>2039</v>
      </c>
      <c r="J2572" s="1215" t="s">
        <v>511</v>
      </c>
      <c r="K2572" s="1219" t="s">
        <v>3033</v>
      </c>
      <c r="L2572" s="8">
        <v>140</v>
      </c>
      <c r="M2572" s="8">
        <v>500</v>
      </c>
      <c r="N2572" s="1169" t="s">
        <v>271</v>
      </c>
      <c r="P2572" s="6" t="s">
        <v>3323</v>
      </c>
      <c r="Q2572" s="1215" t="s">
        <v>253</v>
      </c>
      <c r="R2572" s="1215" t="s">
        <v>255</v>
      </c>
      <c r="S2572" s="1215" t="s">
        <v>534</v>
      </c>
      <c r="T2572" s="1215" t="s">
        <v>533</v>
      </c>
      <c r="U2572" s="6" t="s">
        <v>549</v>
      </c>
      <c r="V2572" s="6" t="s">
        <v>31</v>
      </c>
      <c r="W2572" s="6" t="s">
        <v>1113</v>
      </c>
      <c r="X2572" s="6" t="s">
        <v>167</v>
      </c>
    </row>
    <row r="2573" spans="1:24" x14ac:dyDescent="0.3">
      <c r="A2573" s="6" t="s">
        <v>533</v>
      </c>
      <c r="B2573" s="6" t="s">
        <v>534</v>
      </c>
      <c r="C2573" s="6" t="s">
        <v>34</v>
      </c>
      <c r="D2573" s="1088" t="s">
        <v>539</v>
      </c>
      <c r="E2573" s="6" t="s">
        <v>188</v>
      </c>
      <c r="F2573" s="6" t="s">
        <v>546</v>
      </c>
      <c r="G2573" s="6" t="s">
        <v>2849</v>
      </c>
      <c r="H2573" s="6" t="s">
        <v>1498</v>
      </c>
      <c r="J2573" s="1215" t="s">
        <v>511</v>
      </c>
      <c r="K2573" s="1219" t="s">
        <v>3033</v>
      </c>
      <c r="L2573" s="8">
        <v>420</v>
      </c>
      <c r="M2573" s="8">
        <v>2570</v>
      </c>
      <c r="N2573" s="1169" t="s">
        <v>271</v>
      </c>
      <c r="P2573" s="6" t="s">
        <v>3324</v>
      </c>
      <c r="Q2573" s="1215" t="s">
        <v>253</v>
      </c>
      <c r="R2573" s="1215" t="s">
        <v>255</v>
      </c>
      <c r="S2573" s="1215" t="s">
        <v>534</v>
      </c>
      <c r="T2573" s="1215" t="s">
        <v>533</v>
      </c>
      <c r="U2573" s="6" t="s">
        <v>539</v>
      </c>
      <c r="V2573" s="6" t="s">
        <v>34</v>
      </c>
      <c r="W2573" s="6" t="s">
        <v>546</v>
      </c>
      <c r="X2573" s="6" t="s">
        <v>188</v>
      </c>
    </row>
    <row r="2574" spans="1:24" x14ac:dyDescent="0.3">
      <c r="A2574" s="6" t="s">
        <v>533</v>
      </c>
      <c r="B2574" s="6" t="s">
        <v>534</v>
      </c>
      <c r="C2574" s="6" t="s">
        <v>34</v>
      </c>
      <c r="D2574" s="1088" t="s">
        <v>539</v>
      </c>
      <c r="E2574" s="6" t="s">
        <v>188</v>
      </c>
      <c r="F2574" s="6" t="s">
        <v>546</v>
      </c>
      <c r="G2574" s="6" t="s">
        <v>2849</v>
      </c>
      <c r="H2574" s="6" t="s">
        <v>1498</v>
      </c>
      <c r="J2574" s="1215" t="s">
        <v>511</v>
      </c>
      <c r="K2574" s="1219" t="s">
        <v>3110</v>
      </c>
      <c r="L2574" s="8">
        <v>30</v>
      </c>
      <c r="M2574" s="8">
        <v>128</v>
      </c>
      <c r="N2574" s="1169" t="s">
        <v>271</v>
      </c>
      <c r="P2574" s="6" t="s">
        <v>3324</v>
      </c>
      <c r="Q2574" s="1215" t="s">
        <v>253</v>
      </c>
      <c r="R2574" s="1215" t="s">
        <v>255</v>
      </c>
      <c r="S2574" s="1215" t="s">
        <v>534</v>
      </c>
      <c r="T2574" s="1215" t="s">
        <v>533</v>
      </c>
      <c r="U2574" s="6" t="s">
        <v>539</v>
      </c>
      <c r="V2574" s="6" t="s">
        <v>34</v>
      </c>
      <c r="W2574" s="6" t="s">
        <v>546</v>
      </c>
      <c r="X2574" s="6" t="s">
        <v>188</v>
      </c>
    </row>
    <row r="2575" spans="1:24" x14ac:dyDescent="0.3">
      <c r="A2575" s="6" t="s">
        <v>533</v>
      </c>
      <c r="B2575" s="6" t="s">
        <v>534</v>
      </c>
      <c r="C2575" s="6" t="s">
        <v>34</v>
      </c>
      <c r="D2575" s="1088" t="s">
        <v>539</v>
      </c>
      <c r="E2575" s="6" t="s">
        <v>188</v>
      </c>
      <c r="F2575" s="6" t="s">
        <v>546</v>
      </c>
      <c r="G2575" s="6" t="s">
        <v>2849</v>
      </c>
      <c r="H2575" s="6" t="s">
        <v>1498</v>
      </c>
      <c r="J2575" s="1215" t="s">
        <v>511</v>
      </c>
      <c r="K2575" s="1219" t="s">
        <v>3111</v>
      </c>
      <c r="L2575" s="8">
        <v>17</v>
      </c>
      <c r="M2575" s="8">
        <v>120</v>
      </c>
      <c r="N2575" s="1088" t="s">
        <v>271</v>
      </c>
      <c r="P2575" s="6" t="s">
        <v>3324</v>
      </c>
      <c r="Q2575" s="1215" t="s">
        <v>253</v>
      </c>
      <c r="R2575" s="1215" t="s">
        <v>255</v>
      </c>
      <c r="S2575" s="1215" t="s">
        <v>534</v>
      </c>
      <c r="T2575" s="1215" t="s">
        <v>533</v>
      </c>
      <c r="U2575" s="6" t="s">
        <v>539</v>
      </c>
      <c r="V2575" s="6" t="s">
        <v>34</v>
      </c>
      <c r="W2575" s="6" t="s">
        <v>546</v>
      </c>
      <c r="X2575" s="6" t="s">
        <v>188</v>
      </c>
    </row>
    <row r="2576" spans="1:24" x14ac:dyDescent="0.3">
      <c r="A2576" s="6" t="s">
        <v>533</v>
      </c>
      <c r="B2576" s="6" t="s">
        <v>534</v>
      </c>
      <c r="C2576" s="6" t="s">
        <v>34</v>
      </c>
      <c r="D2576" s="1088" t="s">
        <v>539</v>
      </c>
      <c r="E2576" s="1088" t="s">
        <v>188</v>
      </c>
      <c r="F2576" s="6" t="s">
        <v>546</v>
      </c>
      <c r="G2576" s="6" t="s">
        <v>2849</v>
      </c>
      <c r="H2576" s="6" t="s">
        <v>1498</v>
      </c>
      <c r="J2576" s="1215" t="s">
        <v>511</v>
      </c>
      <c r="K2576" s="1219" t="s">
        <v>3112</v>
      </c>
      <c r="L2576" s="8">
        <v>6</v>
      </c>
      <c r="M2576" s="8">
        <v>45</v>
      </c>
      <c r="N2576" s="1169" t="s">
        <v>271</v>
      </c>
      <c r="P2576" s="6" t="s">
        <v>3324</v>
      </c>
      <c r="Q2576" s="1215" t="s">
        <v>253</v>
      </c>
      <c r="R2576" s="1215" t="s">
        <v>255</v>
      </c>
      <c r="S2576" s="1215" t="s">
        <v>534</v>
      </c>
      <c r="T2576" s="1215" t="s">
        <v>533</v>
      </c>
      <c r="U2576" s="6" t="s">
        <v>539</v>
      </c>
      <c r="V2576" s="6" t="s">
        <v>34</v>
      </c>
      <c r="W2576" s="6" t="s">
        <v>546</v>
      </c>
      <c r="X2576" s="6" t="s">
        <v>188</v>
      </c>
    </row>
    <row r="2577" spans="1:24" x14ac:dyDescent="0.3">
      <c r="A2577" s="6" t="s">
        <v>533</v>
      </c>
      <c r="B2577" s="6" t="s">
        <v>534</v>
      </c>
      <c r="C2577" s="6" t="s">
        <v>34</v>
      </c>
      <c r="D2577" s="1088" t="s">
        <v>539</v>
      </c>
      <c r="E2577" s="6" t="s">
        <v>188</v>
      </c>
      <c r="F2577" s="6" t="s">
        <v>546</v>
      </c>
      <c r="G2577" s="6" t="s">
        <v>3192</v>
      </c>
      <c r="H2577" s="6" t="s">
        <v>3193</v>
      </c>
      <c r="J2577" s="1215" t="s">
        <v>511</v>
      </c>
      <c r="K2577" s="1219" t="s">
        <v>3111</v>
      </c>
      <c r="L2577" s="8">
        <v>31</v>
      </c>
      <c r="M2577" s="8">
        <v>219</v>
      </c>
      <c r="N2577" s="1169" t="s">
        <v>271</v>
      </c>
      <c r="P2577" s="6" t="s">
        <v>3324</v>
      </c>
      <c r="Q2577" s="1215" t="s">
        <v>253</v>
      </c>
      <c r="R2577" s="1215" t="s">
        <v>255</v>
      </c>
      <c r="S2577" s="1215" t="s">
        <v>534</v>
      </c>
      <c r="T2577" s="1215" t="s">
        <v>533</v>
      </c>
      <c r="U2577" s="6" t="s">
        <v>539</v>
      </c>
      <c r="V2577" s="6" t="s">
        <v>34</v>
      </c>
      <c r="W2577" s="6" t="s">
        <v>546</v>
      </c>
      <c r="X2577" s="6" t="s">
        <v>188</v>
      </c>
    </row>
    <row r="2578" spans="1:24" x14ac:dyDescent="0.3">
      <c r="A2578" s="6" t="s">
        <v>533</v>
      </c>
      <c r="B2578" s="6" t="s">
        <v>534</v>
      </c>
      <c r="C2578" s="6" t="s">
        <v>34</v>
      </c>
      <c r="D2578" s="1088" t="s">
        <v>539</v>
      </c>
      <c r="E2578" s="1088" t="s">
        <v>188</v>
      </c>
      <c r="F2578" s="6" t="s">
        <v>546</v>
      </c>
      <c r="G2578" s="6" t="s">
        <v>3192</v>
      </c>
      <c r="H2578" s="6" t="s">
        <v>3193</v>
      </c>
      <c r="J2578" s="1215" t="s">
        <v>511</v>
      </c>
      <c r="K2578" s="1219" t="s">
        <v>3112</v>
      </c>
      <c r="L2578" s="8">
        <v>0</v>
      </c>
      <c r="M2578" s="8">
        <v>10</v>
      </c>
      <c r="N2578" s="1169" t="s">
        <v>271</v>
      </c>
      <c r="P2578" s="6" t="s">
        <v>3324</v>
      </c>
      <c r="Q2578" s="1215" t="s">
        <v>253</v>
      </c>
      <c r="R2578" s="1215" t="s">
        <v>255</v>
      </c>
      <c r="S2578" s="1215" t="s">
        <v>534</v>
      </c>
      <c r="T2578" s="1215" t="s">
        <v>533</v>
      </c>
      <c r="U2578" s="6" t="s">
        <v>539</v>
      </c>
      <c r="V2578" s="6" t="s">
        <v>34</v>
      </c>
      <c r="W2578" s="6" t="s">
        <v>546</v>
      </c>
      <c r="X2578" s="6" t="s">
        <v>188</v>
      </c>
    </row>
    <row r="2579" spans="1:24" x14ac:dyDescent="0.3">
      <c r="A2579" s="6" t="s">
        <v>533</v>
      </c>
      <c r="B2579" s="6" t="s">
        <v>534</v>
      </c>
      <c r="C2579" s="6" t="s">
        <v>34</v>
      </c>
      <c r="D2579" s="1088" t="s">
        <v>539</v>
      </c>
      <c r="E2579" s="6" t="s">
        <v>188</v>
      </c>
      <c r="F2579" s="6" t="s">
        <v>546</v>
      </c>
      <c r="G2579" s="6" t="s">
        <v>1529</v>
      </c>
      <c r="H2579" s="6" t="s">
        <v>1182</v>
      </c>
      <c r="J2579" s="1215" t="s">
        <v>511</v>
      </c>
      <c r="K2579" s="1219" t="s">
        <v>3033</v>
      </c>
      <c r="L2579" s="8">
        <v>358</v>
      </c>
      <c r="M2579" s="8">
        <v>2189</v>
      </c>
      <c r="N2579" s="1169" t="s">
        <v>271</v>
      </c>
      <c r="P2579" s="6" t="s">
        <v>3324</v>
      </c>
      <c r="Q2579" s="1215" t="s">
        <v>253</v>
      </c>
      <c r="R2579" s="1215" t="s">
        <v>255</v>
      </c>
      <c r="S2579" s="1215" t="s">
        <v>534</v>
      </c>
      <c r="T2579" s="1215" t="s">
        <v>533</v>
      </c>
      <c r="U2579" s="6" t="s">
        <v>539</v>
      </c>
      <c r="V2579" s="6" t="s">
        <v>34</v>
      </c>
      <c r="W2579" s="6" t="s">
        <v>546</v>
      </c>
      <c r="X2579" s="6" t="s">
        <v>188</v>
      </c>
    </row>
    <row r="2580" spans="1:24" x14ac:dyDescent="0.3">
      <c r="A2580" s="6" t="s">
        <v>533</v>
      </c>
      <c r="B2580" s="6" t="s">
        <v>534</v>
      </c>
      <c r="C2580" s="6" t="s">
        <v>34</v>
      </c>
      <c r="D2580" s="1088" t="s">
        <v>539</v>
      </c>
      <c r="E2580" s="6" t="s">
        <v>188</v>
      </c>
      <c r="F2580" s="6" t="s">
        <v>546</v>
      </c>
      <c r="G2580" s="6" t="s">
        <v>1529</v>
      </c>
      <c r="H2580" s="6" t="s">
        <v>1182</v>
      </c>
      <c r="J2580" s="1215" t="s">
        <v>511</v>
      </c>
      <c r="K2580" s="1219" t="s">
        <v>3109</v>
      </c>
      <c r="L2580" s="8">
        <v>20</v>
      </c>
      <c r="M2580" s="8">
        <v>74</v>
      </c>
      <c r="N2580" s="1088" t="s">
        <v>271</v>
      </c>
      <c r="P2580" s="6" t="s">
        <v>3324</v>
      </c>
      <c r="Q2580" s="1215" t="s">
        <v>253</v>
      </c>
      <c r="R2580" s="1215" t="s">
        <v>255</v>
      </c>
      <c r="S2580" s="1215" t="s">
        <v>534</v>
      </c>
      <c r="T2580" s="1215" t="s">
        <v>533</v>
      </c>
      <c r="U2580" s="6" t="s">
        <v>539</v>
      </c>
      <c r="V2580" s="6" t="s">
        <v>34</v>
      </c>
      <c r="W2580" s="6" t="s">
        <v>546</v>
      </c>
      <c r="X2580" s="6" t="s">
        <v>188</v>
      </c>
    </row>
    <row r="2581" spans="1:24" x14ac:dyDescent="0.3">
      <c r="A2581" s="6" t="s">
        <v>533</v>
      </c>
      <c r="B2581" s="6" t="s">
        <v>534</v>
      </c>
      <c r="C2581" s="6" t="s">
        <v>34</v>
      </c>
      <c r="D2581" s="1088" t="s">
        <v>539</v>
      </c>
      <c r="E2581" s="6" t="s">
        <v>188</v>
      </c>
      <c r="F2581" s="6" t="s">
        <v>546</v>
      </c>
      <c r="G2581" s="6" t="s">
        <v>1529</v>
      </c>
      <c r="H2581" s="6" t="s">
        <v>1182</v>
      </c>
      <c r="J2581" s="1215" t="s">
        <v>511</v>
      </c>
      <c r="K2581" s="1219" t="s">
        <v>3110</v>
      </c>
      <c r="L2581" s="8">
        <v>13</v>
      </c>
      <c r="M2581" s="8">
        <v>65</v>
      </c>
      <c r="N2581" s="1169" t="s">
        <v>271</v>
      </c>
      <c r="P2581" s="6" t="s">
        <v>3324</v>
      </c>
      <c r="Q2581" s="1215" t="s">
        <v>253</v>
      </c>
      <c r="R2581" s="1215" t="s">
        <v>255</v>
      </c>
      <c r="S2581" s="1215" t="s">
        <v>534</v>
      </c>
      <c r="T2581" s="1215" t="s">
        <v>533</v>
      </c>
      <c r="U2581" s="6" t="s">
        <v>539</v>
      </c>
      <c r="V2581" s="6" t="s">
        <v>34</v>
      </c>
      <c r="W2581" s="6" t="s">
        <v>546</v>
      </c>
      <c r="X2581" s="6" t="s">
        <v>188</v>
      </c>
    </row>
    <row r="2582" spans="1:24" x14ac:dyDescent="0.3">
      <c r="A2582" s="6" t="s">
        <v>533</v>
      </c>
      <c r="B2582" s="6" t="s">
        <v>534</v>
      </c>
      <c r="C2582" s="6" t="s">
        <v>34</v>
      </c>
      <c r="D2582" s="1088" t="s">
        <v>539</v>
      </c>
      <c r="E2582" s="6" t="s">
        <v>188</v>
      </c>
      <c r="F2582" s="6" t="s">
        <v>546</v>
      </c>
      <c r="G2582" s="6" t="s">
        <v>1529</v>
      </c>
      <c r="H2582" s="6" t="s">
        <v>1182</v>
      </c>
      <c r="J2582" s="1215" t="s">
        <v>511</v>
      </c>
      <c r="K2582" s="1219" t="s">
        <v>3111</v>
      </c>
      <c r="L2582" s="8">
        <v>55</v>
      </c>
      <c r="M2582" s="8">
        <v>295</v>
      </c>
      <c r="N2582" s="1169" t="s">
        <v>271</v>
      </c>
      <c r="P2582" s="6" t="s">
        <v>3324</v>
      </c>
      <c r="Q2582" s="1215" t="s">
        <v>253</v>
      </c>
      <c r="R2582" s="1215" t="s">
        <v>255</v>
      </c>
      <c r="S2582" s="1215" t="s">
        <v>534</v>
      </c>
      <c r="T2582" s="1215" t="s">
        <v>533</v>
      </c>
      <c r="U2582" s="6" t="s">
        <v>539</v>
      </c>
      <c r="V2582" s="6" t="s">
        <v>34</v>
      </c>
      <c r="W2582" s="6" t="s">
        <v>546</v>
      </c>
      <c r="X2582" s="6" t="s">
        <v>188</v>
      </c>
    </row>
    <row r="2583" spans="1:24" x14ac:dyDescent="0.3">
      <c r="A2583" s="6" t="s">
        <v>533</v>
      </c>
      <c r="B2583" s="6" t="s">
        <v>534</v>
      </c>
      <c r="C2583" s="6" t="s">
        <v>34</v>
      </c>
      <c r="D2583" s="1088" t="s">
        <v>539</v>
      </c>
      <c r="E2583" s="1088" t="s">
        <v>188</v>
      </c>
      <c r="F2583" s="6" t="s">
        <v>546</v>
      </c>
      <c r="G2583" s="6" t="s">
        <v>1529</v>
      </c>
      <c r="H2583" s="6" t="s">
        <v>1182</v>
      </c>
      <c r="J2583" s="1215" t="s">
        <v>511</v>
      </c>
      <c r="K2583" s="1219" t="s">
        <v>3112</v>
      </c>
      <c r="L2583" s="8">
        <v>20</v>
      </c>
      <c r="M2583" s="8">
        <v>135</v>
      </c>
      <c r="N2583" s="1169" t="s">
        <v>271</v>
      </c>
      <c r="P2583" s="6" t="s">
        <v>3324</v>
      </c>
      <c r="Q2583" s="1215" t="s">
        <v>253</v>
      </c>
      <c r="R2583" s="1215" t="s">
        <v>255</v>
      </c>
      <c r="S2583" s="1215" t="s">
        <v>534</v>
      </c>
      <c r="T2583" s="1215" t="s">
        <v>533</v>
      </c>
      <c r="U2583" s="6" t="s">
        <v>539</v>
      </c>
      <c r="V2583" s="6" t="s">
        <v>34</v>
      </c>
      <c r="W2583" s="6" t="s">
        <v>546</v>
      </c>
      <c r="X2583" s="6" t="s">
        <v>188</v>
      </c>
    </row>
    <row r="2584" spans="1:24" x14ac:dyDescent="0.3">
      <c r="A2584" s="6" t="s">
        <v>533</v>
      </c>
      <c r="B2584" s="6" t="s">
        <v>534</v>
      </c>
      <c r="C2584" s="6" t="s">
        <v>31</v>
      </c>
      <c r="D2584" s="1088" t="s">
        <v>549</v>
      </c>
      <c r="E2584" s="6" t="s">
        <v>165</v>
      </c>
      <c r="F2584" s="6" t="s">
        <v>881</v>
      </c>
      <c r="G2584" s="6" t="s">
        <v>2135</v>
      </c>
      <c r="H2584" s="6" t="s">
        <v>997</v>
      </c>
      <c r="J2584" s="1215" t="s">
        <v>511</v>
      </c>
      <c r="K2584" s="1219" t="s">
        <v>3112</v>
      </c>
      <c r="L2584" s="8">
        <v>50</v>
      </c>
      <c r="M2584" s="8">
        <v>315</v>
      </c>
      <c r="N2584" s="1169" t="s">
        <v>271</v>
      </c>
      <c r="P2584" s="6" t="s">
        <v>3324</v>
      </c>
      <c r="Q2584" s="1215" t="s">
        <v>253</v>
      </c>
      <c r="R2584" s="1215" t="s">
        <v>255</v>
      </c>
      <c r="S2584" s="1215" t="s">
        <v>534</v>
      </c>
      <c r="T2584" s="1215" t="s">
        <v>533</v>
      </c>
      <c r="U2584" s="6" t="s">
        <v>549</v>
      </c>
      <c r="V2584" s="6" t="s">
        <v>31</v>
      </c>
      <c r="W2584" s="6" t="s">
        <v>881</v>
      </c>
      <c r="X2584" s="6" t="s">
        <v>165</v>
      </c>
    </row>
    <row r="2585" spans="1:24" x14ac:dyDescent="0.3">
      <c r="A2585" s="6" t="s">
        <v>533</v>
      </c>
      <c r="B2585" s="6" t="s">
        <v>534</v>
      </c>
      <c r="C2585" s="6" t="s">
        <v>31</v>
      </c>
      <c r="D2585" s="1088" t="s">
        <v>549</v>
      </c>
      <c r="E2585" s="6" t="s">
        <v>165</v>
      </c>
      <c r="F2585" s="6" t="s">
        <v>881</v>
      </c>
      <c r="G2585" s="6" t="s">
        <v>1293</v>
      </c>
      <c r="H2585" s="6" t="s">
        <v>2029</v>
      </c>
      <c r="J2585" s="1215" t="s">
        <v>511</v>
      </c>
      <c r="K2585" s="1219" t="s">
        <v>3112</v>
      </c>
      <c r="L2585" s="8">
        <v>25</v>
      </c>
      <c r="M2585" s="8">
        <v>70</v>
      </c>
      <c r="N2585" s="1169" t="s">
        <v>271</v>
      </c>
      <c r="P2585" s="6" t="s">
        <v>3324</v>
      </c>
      <c r="Q2585" s="1215" t="s">
        <v>253</v>
      </c>
      <c r="R2585" s="1215" t="s">
        <v>255</v>
      </c>
      <c r="S2585" s="1215" t="s">
        <v>534</v>
      </c>
      <c r="T2585" s="1215" t="s">
        <v>533</v>
      </c>
      <c r="U2585" s="6" t="s">
        <v>549</v>
      </c>
      <c r="V2585" s="6" t="s">
        <v>31</v>
      </c>
      <c r="W2585" s="6" t="s">
        <v>881</v>
      </c>
      <c r="X2585" s="6" t="s">
        <v>165</v>
      </c>
    </row>
    <row r="2586" spans="1:24" x14ac:dyDescent="0.3">
      <c r="A2586" s="6" t="s">
        <v>533</v>
      </c>
      <c r="B2586" s="6" t="s">
        <v>534</v>
      </c>
      <c r="C2586" s="6" t="s">
        <v>35</v>
      </c>
      <c r="D2586" s="1088" t="s">
        <v>567</v>
      </c>
      <c r="E2586" s="6" t="s">
        <v>195</v>
      </c>
      <c r="F2586" s="6" t="s">
        <v>733</v>
      </c>
      <c r="G2586" s="6" t="s">
        <v>2140</v>
      </c>
      <c r="H2586" s="6" t="s">
        <v>2141</v>
      </c>
      <c r="J2586" s="1215" t="s">
        <v>511</v>
      </c>
      <c r="K2586" s="1219" t="s">
        <v>3033</v>
      </c>
      <c r="L2586" s="8">
        <v>20</v>
      </c>
      <c r="M2586" s="8">
        <v>100</v>
      </c>
      <c r="N2586" s="1169" t="s">
        <v>271</v>
      </c>
      <c r="P2586" s="6" t="s">
        <v>3361</v>
      </c>
      <c r="Q2586" s="1215" t="s">
        <v>240</v>
      </c>
      <c r="R2586" s="1168" t="s">
        <v>242</v>
      </c>
      <c r="S2586" s="1088"/>
      <c r="T2586" s="1088"/>
    </row>
    <row r="2587" spans="1:24" x14ac:dyDescent="0.3">
      <c r="A2587" s="6" t="s">
        <v>533</v>
      </c>
      <c r="B2587" s="6" t="s">
        <v>534</v>
      </c>
      <c r="C2587" s="6" t="s">
        <v>35</v>
      </c>
      <c r="D2587" s="1088" t="s">
        <v>567</v>
      </c>
      <c r="E2587" s="6" t="s">
        <v>195</v>
      </c>
      <c r="F2587" s="6" t="s">
        <v>733</v>
      </c>
      <c r="G2587" s="6" t="s">
        <v>2140</v>
      </c>
      <c r="H2587" s="6" t="s">
        <v>2141</v>
      </c>
      <c r="J2587" s="1215" t="s">
        <v>511</v>
      </c>
      <c r="K2587" s="1219" t="s">
        <v>3109</v>
      </c>
      <c r="L2587" s="8">
        <v>4</v>
      </c>
      <c r="M2587" s="8">
        <v>22</v>
      </c>
      <c r="N2587" s="1169" t="s">
        <v>271</v>
      </c>
      <c r="P2587" s="6" t="s">
        <v>3361</v>
      </c>
      <c r="Q2587" s="1215" t="s">
        <v>240</v>
      </c>
      <c r="R2587" s="1168" t="s">
        <v>242</v>
      </c>
      <c r="S2587" s="1088"/>
      <c r="T2587" s="1088"/>
    </row>
    <row r="2588" spans="1:24" x14ac:dyDescent="0.3">
      <c r="A2588" s="6" t="s">
        <v>533</v>
      </c>
      <c r="B2588" s="6" t="s">
        <v>534</v>
      </c>
      <c r="C2588" s="6" t="s">
        <v>35</v>
      </c>
      <c r="D2588" s="1088" t="s">
        <v>567</v>
      </c>
      <c r="E2588" s="6" t="s">
        <v>195</v>
      </c>
      <c r="F2588" s="6" t="s">
        <v>733</v>
      </c>
      <c r="G2588" s="6" t="s">
        <v>2140</v>
      </c>
      <c r="H2588" s="6" t="s">
        <v>2141</v>
      </c>
      <c r="J2588" s="1215" t="s">
        <v>511</v>
      </c>
      <c r="K2588" s="1219" t="s">
        <v>3110</v>
      </c>
      <c r="L2588" s="8">
        <v>0</v>
      </c>
      <c r="M2588" s="8">
        <v>2</v>
      </c>
      <c r="N2588" s="1169" t="s">
        <v>275</v>
      </c>
      <c r="O2588" s="6" t="s">
        <v>3336</v>
      </c>
      <c r="P2588" s="6" t="s">
        <v>3324</v>
      </c>
      <c r="Q2588" s="1215" t="s">
        <v>253</v>
      </c>
      <c r="R2588" s="1215" t="s">
        <v>255</v>
      </c>
      <c r="S2588" s="1215" t="s">
        <v>534</v>
      </c>
      <c r="T2588" s="1215" t="s">
        <v>533</v>
      </c>
      <c r="U2588" s="6" t="s">
        <v>567</v>
      </c>
      <c r="V2588" s="6" t="s">
        <v>35</v>
      </c>
      <c r="W2588" s="6" t="s">
        <v>733</v>
      </c>
      <c r="X2588" s="6" t="s">
        <v>195</v>
      </c>
    </row>
    <row r="2589" spans="1:24" x14ac:dyDescent="0.3">
      <c r="A2589" s="6" t="s">
        <v>533</v>
      </c>
      <c r="B2589" s="6" t="s">
        <v>534</v>
      </c>
      <c r="C2589" s="6" t="s">
        <v>35</v>
      </c>
      <c r="D2589" s="1088" t="s">
        <v>567</v>
      </c>
      <c r="E2589" s="6" t="s">
        <v>195</v>
      </c>
      <c r="F2589" s="6" t="s">
        <v>733</v>
      </c>
      <c r="G2589" s="6" t="s">
        <v>2364</v>
      </c>
      <c r="H2589" s="6" t="s">
        <v>2365</v>
      </c>
      <c r="J2589" s="1215" t="s">
        <v>511</v>
      </c>
      <c r="K2589" s="1219" t="s">
        <v>3033</v>
      </c>
      <c r="L2589" s="8">
        <v>5</v>
      </c>
      <c r="M2589" s="8">
        <v>24</v>
      </c>
      <c r="N2589" s="1169" t="s">
        <v>271</v>
      </c>
      <c r="P2589" s="6" t="s">
        <v>3361</v>
      </c>
      <c r="Q2589" s="1215" t="s">
        <v>240</v>
      </c>
      <c r="R2589" s="1168" t="s">
        <v>242</v>
      </c>
      <c r="S2589" s="1088"/>
      <c r="T2589" s="1088"/>
    </row>
    <row r="2590" spans="1:24" x14ac:dyDescent="0.3">
      <c r="A2590" s="6" t="s">
        <v>533</v>
      </c>
      <c r="B2590" s="6" t="s">
        <v>534</v>
      </c>
      <c r="C2590" s="6" t="s">
        <v>35</v>
      </c>
      <c r="D2590" s="1088" t="s">
        <v>567</v>
      </c>
      <c r="E2590" s="6" t="s">
        <v>191</v>
      </c>
      <c r="F2590" s="6" t="s">
        <v>659</v>
      </c>
      <c r="G2590" s="6" t="s">
        <v>1814</v>
      </c>
      <c r="H2590" s="6" t="s">
        <v>1815</v>
      </c>
      <c r="J2590" s="1215" t="s">
        <v>511</v>
      </c>
      <c r="K2590" s="1219" t="s">
        <v>3033</v>
      </c>
      <c r="L2590" s="8">
        <v>3</v>
      </c>
      <c r="M2590" s="8">
        <v>24</v>
      </c>
      <c r="N2590" s="1169" t="s">
        <v>271</v>
      </c>
      <c r="P2590" s="6" t="s">
        <v>3361</v>
      </c>
      <c r="Q2590" s="1215" t="s">
        <v>240</v>
      </c>
      <c r="R2590" s="1168" t="s">
        <v>242</v>
      </c>
      <c r="S2590" s="1088"/>
      <c r="T2590" s="1088"/>
    </row>
    <row r="2591" spans="1:24" x14ac:dyDescent="0.3">
      <c r="A2591" s="6" t="s">
        <v>533</v>
      </c>
      <c r="B2591" s="6" t="s">
        <v>534</v>
      </c>
      <c r="C2591" s="6" t="s">
        <v>35</v>
      </c>
      <c r="D2591" s="1088" t="s">
        <v>567</v>
      </c>
      <c r="E2591" s="6" t="s">
        <v>191</v>
      </c>
      <c r="F2591" s="6" t="s">
        <v>659</v>
      </c>
      <c r="G2591" s="6" t="s">
        <v>660</v>
      </c>
      <c r="H2591" s="6" t="s">
        <v>661</v>
      </c>
      <c r="J2591" s="1215" t="s">
        <v>511</v>
      </c>
      <c r="K2591" s="1219" t="s">
        <v>3033</v>
      </c>
      <c r="L2591" s="8">
        <v>3</v>
      </c>
      <c r="M2591" s="8">
        <v>22</v>
      </c>
      <c r="N2591" s="1169" t="s">
        <v>271</v>
      </c>
      <c r="P2591" s="6" t="s">
        <v>3361</v>
      </c>
      <c r="Q2591" s="1215" t="s">
        <v>240</v>
      </c>
      <c r="R2591" s="1168" t="s">
        <v>242</v>
      </c>
      <c r="S2591" s="1088"/>
      <c r="T2591" s="1088"/>
    </row>
    <row r="2592" spans="1:24" x14ac:dyDescent="0.3">
      <c r="A2592" s="6" t="s">
        <v>533</v>
      </c>
      <c r="B2592" s="6" t="s">
        <v>534</v>
      </c>
      <c r="C2592" s="6" t="s">
        <v>35</v>
      </c>
      <c r="D2592" s="1088" t="s">
        <v>567</v>
      </c>
      <c r="E2592" s="6" t="s">
        <v>191</v>
      </c>
      <c r="F2592" s="6" t="s">
        <v>659</v>
      </c>
      <c r="G2592" s="6" t="s">
        <v>660</v>
      </c>
      <c r="H2592" s="6" t="s">
        <v>661</v>
      </c>
      <c r="J2592" s="1215" t="s">
        <v>511</v>
      </c>
      <c r="K2592" s="1219" t="s">
        <v>3110</v>
      </c>
      <c r="L2592" s="8">
        <v>1</v>
      </c>
      <c r="M2592" s="8">
        <v>11</v>
      </c>
      <c r="N2592" s="1169" t="s">
        <v>271</v>
      </c>
      <c r="P2592" s="6" t="s">
        <v>3361</v>
      </c>
      <c r="Q2592" s="1215" t="s">
        <v>240</v>
      </c>
      <c r="R2592" s="1168" t="s">
        <v>242</v>
      </c>
      <c r="S2592" s="1088"/>
      <c r="T2592" s="1088"/>
    </row>
    <row r="2593" spans="1:24" x14ac:dyDescent="0.3">
      <c r="A2593" s="6" t="s">
        <v>533</v>
      </c>
      <c r="B2593" s="6" t="s">
        <v>534</v>
      </c>
      <c r="C2593" s="6" t="s">
        <v>35</v>
      </c>
      <c r="D2593" s="1088" t="s">
        <v>567</v>
      </c>
      <c r="E2593" s="6" t="s">
        <v>191</v>
      </c>
      <c r="F2593" s="6" t="s">
        <v>659</v>
      </c>
      <c r="G2593" s="6" t="s">
        <v>2101</v>
      </c>
      <c r="H2593" s="6" t="s">
        <v>2102</v>
      </c>
      <c r="J2593" s="1215" t="s">
        <v>511</v>
      </c>
      <c r="K2593" s="1219" t="s">
        <v>3033</v>
      </c>
      <c r="L2593" s="8">
        <v>3</v>
      </c>
      <c r="M2593" s="8">
        <v>29</v>
      </c>
      <c r="N2593" s="1169" t="s">
        <v>271</v>
      </c>
      <c r="P2593" s="6" t="s">
        <v>3361</v>
      </c>
      <c r="Q2593" s="1215" t="s">
        <v>240</v>
      </c>
      <c r="R2593" s="1168" t="s">
        <v>242</v>
      </c>
      <c r="S2593" s="1088"/>
      <c r="T2593" s="1088"/>
    </row>
    <row r="2594" spans="1:24" x14ac:dyDescent="0.3">
      <c r="A2594" s="6" t="s">
        <v>533</v>
      </c>
      <c r="B2594" s="6" t="s">
        <v>534</v>
      </c>
      <c r="C2594" s="6" t="s">
        <v>35</v>
      </c>
      <c r="D2594" s="1088" t="s">
        <v>567</v>
      </c>
      <c r="E2594" s="6" t="s">
        <v>191</v>
      </c>
      <c r="F2594" s="6" t="s">
        <v>659</v>
      </c>
      <c r="G2594" s="6" t="s">
        <v>2306</v>
      </c>
      <c r="H2594" s="6" t="s">
        <v>2307</v>
      </c>
      <c r="J2594" s="1215" t="s">
        <v>511</v>
      </c>
      <c r="K2594" s="1219" t="s">
        <v>3033</v>
      </c>
      <c r="L2594" s="8">
        <v>1</v>
      </c>
      <c r="M2594" s="8">
        <v>6</v>
      </c>
      <c r="N2594" s="1169" t="s">
        <v>271</v>
      </c>
      <c r="P2594" s="6" t="s">
        <v>3361</v>
      </c>
      <c r="Q2594" s="1215" t="s">
        <v>240</v>
      </c>
      <c r="R2594" s="1168" t="s">
        <v>242</v>
      </c>
      <c r="S2594" s="1088"/>
      <c r="T2594" s="1088"/>
    </row>
    <row r="2595" spans="1:24" x14ac:dyDescent="0.3">
      <c r="A2595" s="6" t="s">
        <v>533</v>
      </c>
      <c r="B2595" s="6" t="s">
        <v>534</v>
      </c>
      <c r="C2595" s="6" t="s">
        <v>35</v>
      </c>
      <c r="D2595" s="1088" t="s">
        <v>567</v>
      </c>
      <c r="E2595" s="1088" t="s">
        <v>191</v>
      </c>
      <c r="F2595" s="6" t="s">
        <v>659</v>
      </c>
      <c r="G2595" s="6" t="s">
        <v>2306</v>
      </c>
      <c r="H2595" s="6" t="s">
        <v>2307</v>
      </c>
      <c r="J2595" s="1215" t="s">
        <v>511</v>
      </c>
      <c r="K2595" s="1219" t="s">
        <v>3112</v>
      </c>
      <c r="L2595" s="8">
        <v>0</v>
      </c>
      <c r="M2595" s="8">
        <v>1</v>
      </c>
      <c r="N2595" s="6" t="s">
        <v>271</v>
      </c>
      <c r="P2595" s="6" t="s">
        <v>3361</v>
      </c>
      <c r="Q2595" s="1215" t="s">
        <v>240</v>
      </c>
      <c r="R2595" s="1168" t="s">
        <v>242</v>
      </c>
      <c r="S2595" s="1088"/>
      <c r="T2595" s="1088"/>
    </row>
    <row r="2596" spans="1:24" x14ac:dyDescent="0.3">
      <c r="A2596" s="6" t="s">
        <v>533</v>
      </c>
      <c r="B2596" s="6" t="s">
        <v>534</v>
      </c>
      <c r="C2596" s="6" t="s">
        <v>35</v>
      </c>
      <c r="D2596" s="1088" t="s">
        <v>567</v>
      </c>
      <c r="E2596" s="1088" t="s">
        <v>191</v>
      </c>
      <c r="F2596" s="6" t="s">
        <v>659</v>
      </c>
      <c r="G2596" s="6" t="s">
        <v>2067</v>
      </c>
      <c r="H2596" s="6" t="s">
        <v>2068</v>
      </c>
      <c r="J2596" s="1215" t="s">
        <v>511</v>
      </c>
      <c r="K2596" s="1219" t="s">
        <v>3033</v>
      </c>
      <c r="L2596" s="8">
        <v>2</v>
      </c>
      <c r="M2596" s="8">
        <v>29</v>
      </c>
      <c r="N2596" s="6" t="s">
        <v>271</v>
      </c>
      <c r="P2596" s="6" t="s">
        <v>3361</v>
      </c>
      <c r="Q2596" s="1215" t="s">
        <v>240</v>
      </c>
      <c r="R2596" s="1088" t="s">
        <v>242</v>
      </c>
      <c r="S2596" s="1088"/>
      <c r="T2596" s="1088"/>
    </row>
    <row r="2597" spans="1:24" x14ac:dyDescent="0.3">
      <c r="A2597" s="6" t="s">
        <v>533</v>
      </c>
      <c r="B2597" s="6" t="s">
        <v>534</v>
      </c>
      <c r="C2597" s="6" t="s">
        <v>35</v>
      </c>
      <c r="D2597" s="1088" t="s">
        <v>567</v>
      </c>
      <c r="E2597" s="1088" t="s">
        <v>191</v>
      </c>
      <c r="F2597" s="6" t="s">
        <v>659</v>
      </c>
      <c r="G2597" s="6" t="s">
        <v>2067</v>
      </c>
      <c r="H2597" s="6" t="s">
        <v>2068</v>
      </c>
      <c r="J2597" s="1215" t="s">
        <v>511</v>
      </c>
      <c r="K2597" s="1219" t="s">
        <v>3112</v>
      </c>
      <c r="L2597" s="8">
        <v>0</v>
      </c>
      <c r="M2597" s="8">
        <v>2</v>
      </c>
      <c r="N2597" s="6" t="s">
        <v>275</v>
      </c>
      <c r="O2597" s="6" t="s">
        <v>3332</v>
      </c>
      <c r="P2597" s="6" t="s">
        <v>3324</v>
      </c>
      <c r="Q2597" s="1215" t="s">
        <v>253</v>
      </c>
      <c r="R2597" s="1215" t="s">
        <v>255</v>
      </c>
      <c r="S2597" s="1215" t="s">
        <v>534</v>
      </c>
      <c r="T2597" s="1215" t="s">
        <v>533</v>
      </c>
      <c r="U2597" s="6" t="s">
        <v>567</v>
      </c>
      <c r="V2597" s="6" t="s">
        <v>35</v>
      </c>
      <c r="W2597" s="6" t="s">
        <v>659</v>
      </c>
      <c r="X2597" s="6" t="s">
        <v>191</v>
      </c>
    </row>
    <row r="2598" spans="1:24" x14ac:dyDescent="0.3">
      <c r="A2598" s="6" t="s">
        <v>533</v>
      </c>
      <c r="B2598" s="6" t="s">
        <v>534</v>
      </c>
      <c r="C2598" s="6" t="s">
        <v>35</v>
      </c>
      <c r="D2598" s="1088" t="s">
        <v>567</v>
      </c>
      <c r="E2598" s="1088" t="s">
        <v>191</v>
      </c>
      <c r="F2598" s="6" t="s">
        <v>659</v>
      </c>
      <c r="G2598" s="6" t="s">
        <v>1462</v>
      </c>
      <c r="H2598" s="6" t="s">
        <v>1463</v>
      </c>
      <c r="J2598" s="1215" t="s">
        <v>511</v>
      </c>
      <c r="K2598" s="1219" t="s">
        <v>3033</v>
      </c>
      <c r="L2598" s="8">
        <v>2</v>
      </c>
      <c r="M2598" s="8">
        <v>12</v>
      </c>
      <c r="N2598" s="6" t="s">
        <v>271</v>
      </c>
      <c r="P2598" s="6" t="s">
        <v>3361</v>
      </c>
      <c r="Q2598" s="1215" t="s">
        <v>240</v>
      </c>
      <c r="R2598" s="1088" t="s">
        <v>242</v>
      </c>
      <c r="S2598" s="1088"/>
      <c r="T2598" s="1088"/>
    </row>
    <row r="2599" spans="1:24" x14ac:dyDescent="0.3">
      <c r="A2599" s="6" t="s">
        <v>533</v>
      </c>
      <c r="B2599" s="6" t="s">
        <v>534</v>
      </c>
      <c r="C2599" s="6" t="s">
        <v>35</v>
      </c>
      <c r="D2599" s="1088" t="s">
        <v>567</v>
      </c>
      <c r="E2599" s="6" t="s">
        <v>191</v>
      </c>
      <c r="F2599" s="6" t="s">
        <v>659</v>
      </c>
      <c r="G2599" s="6" t="s">
        <v>741</v>
      </c>
      <c r="H2599" s="6" t="s">
        <v>742</v>
      </c>
      <c r="J2599" s="1215" t="s">
        <v>511</v>
      </c>
      <c r="K2599" s="1219" t="s">
        <v>3110</v>
      </c>
      <c r="L2599" s="8">
        <v>1</v>
      </c>
      <c r="M2599" s="8">
        <v>7</v>
      </c>
      <c r="N2599" s="1169" t="s">
        <v>271</v>
      </c>
      <c r="P2599" s="6" t="s">
        <v>3361</v>
      </c>
      <c r="Q2599" s="1215" t="s">
        <v>240</v>
      </c>
      <c r="R2599" s="1168" t="s">
        <v>242</v>
      </c>
      <c r="S2599" s="1088"/>
      <c r="T2599" s="1088"/>
    </row>
    <row r="2600" spans="1:24" x14ac:dyDescent="0.3">
      <c r="A2600" s="6" t="s">
        <v>533</v>
      </c>
      <c r="B2600" s="6" t="s">
        <v>534</v>
      </c>
      <c r="C2600" s="6" t="s">
        <v>35</v>
      </c>
      <c r="D2600" s="1088" t="s">
        <v>567</v>
      </c>
      <c r="E2600" s="1088" t="s">
        <v>191</v>
      </c>
      <c r="F2600" s="6" t="s">
        <v>659</v>
      </c>
      <c r="G2600" s="6" t="s">
        <v>741</v>
      </c>
      <c r="H2600" s="6" t="s">
        <v>742</v>
      </c>
      <c r="J2600" s="1215" t="s">
        <v>511</v>
      </c>
      <c r="K2600" s="1219" t="s">
        <v>3033</v>
      </c>
      <c r="L2600" s="8">
        <v>1</v>
      </c>
      <c r="M2600" s="8">
        <v>5</v>
      </c>
      <c r="N2600" s="1169" t="s">
        <v>271</v>
      </c>
      <c r="P2600" s="6" t="s">
        <v>3361</v>
      </c>
      <c r="Q2600" s="1215" t="s">
        <v>240</v>
      </c>
      <c r="R2600" s="1168" t="s">
        <v>242</v>
      </c>
      <c r="S2600" s="1088"/>
      <c r="T2600" s="1088"/>
    </row>
    <row r="2601" spans="1:24" x14ac:dyDescent="0.3">
      <c r="A2601" s="6" t="s">
        <v>533</v>
      </c>
      <c r="B2601" s="6" t="s">
        <v>534</v>
      </c>
      <c r="C2601" s="6" t="s">
        <v>35</v>
      </c>
      <c r="D2601" s="1088" t="s">
        <v>567</v>
      </c>
      <c r="E2601" s="1088" t="s">
        <v>191</v>
      </c>
      <c r="F2601" s="6" t="s">
        <v>659</v>
      </c>
      <c r="G2601" s="6" t="s">
        <v>741</v>
      </c>
      <c r="H2601" s="6" t="s">
        <v>742</v>
      </c>
      <c r="J2601" s="1215" t="s">
        <v>511</v>
      </c>
      <c r="K2601" s="1219" t="s">
        <v>3112</v>
      </c>
      <c r="L2601" s="8">
        <v>0</v>
      </c>
      <c r="M2601" s="8">
        <v>2</v>
      </c>
      <c r="N2601" s="6" t="s">
        <v>275</v>
      </c>
      <c r="O2601" s="6" t="s">
        <v>3332</v>
      </c>
      <c r="P2601" s="6" t="s">
        <v>3361</v>
      </c>
      <c r="Q2601" s="1215" t="s">
        <v>240</v>
      </c>
      <c r="R2601" s="1088" t="s">
        <v>242</v>
      </c>
      <c r="S2601" s="1088"/>
      <c r="T2601" s="1088"/>
    </row>
    <row r="2602" spans="1:24" x14ac:dyDescent="0.3">
      <c r="A2602" s="6" t="s">
        <v>533</v>
      </c>
      <c r="B2602" s="6" t="s">
        <v>534</v>
      </c>
      <c r="C2602" s="6" t="s">
        <v>35</v>
      </c>
      <c r="D2602" s="1088" t="s">
        <v>567</v>
      </c>
      <c r="E2602" s="1088" t="s">
        <v>191</v>
      </c>
      <c r="F2602" s="6" t="s">
        <v>659</v>
      </c>
      <c r="G2602" s="6" t="s">
        <v>662</v>
      </c>
      <c r="H2602" s="6" t="s">
        <v>663</v>
      </c>
      <c r="J2602" s="1215" t="s">
        <v>511</v>
      </c>
      <c r="K2602" s="1219" t="s">
        <v>3033</v>
      </c>
      <c r="L2602" s="8">
        <v>3</v>
      </c>
      <c r="M2602" s="8">
        <v>32</v>
      </c>
      <c r="N2602" s="6" t="s">
        <v>271</v>
      </c>
      <c r="P2602" s="6" t="s">
        <v>3361</v>
      </c>
      <c r="Q2602" s="1215" t="s">
        <v>240</v>
      </c>
      <c r="R2602" s="1088" t="s">
        <v>242</v>
      </c>
      <c r="S2602" s="1088"/>
      <c r="T2602" s="1088"/>
    </row>
    <row r="2603" spans="1:24" x14ac:dyDescent="0.3">
      <c r="A2603" s="6" t="s">
        <v>533</v>
      </c>
      <c r="B2603" s="6" t="s">
        <v>534</v>
      </c>
      <c r="C2603" s="6" t="s">
        <v>35</v>
      </c>
      <c r="D2603" s="1088" t="s">
        <v>567</v>
      </c>
      <c r="E2603" s="6" t="s">
        <v>191</v>
      </c>
      <c r="F2603" s="6" t="s">
        <v>659</v>
      </c>
      <c r="G2603" s="6" t="s">
        <v>662</v>
      </c>
      <c r="H2603" s="6" t="s">
        <v>663</v>
      </c>
      <c r="J2603" s="1215" t="s">
        <v>511</v>
      </c>
      <c r="K2603" s="1219" t="s">
        <v>3112</v>
      </c>
      <c r="L2603" s="8">
        <v>0</v>
      </c>
      <c r="M2603" s="8">
        <v>2</v>
      </c>
      <c r="N2603" s="1169" t="s">
        <v>271</v>
      </c>
      <c r="P2603" s="6" t="s">
        <v>3361</v>
      </c>
      <c r="Q2603" s="1215" t="s">
        <v>240</v>
      </c>
      <c r="R2603" s="1168" t="s">
        <v>242</v>
      </c>
      <c r="S2603" s="1088"/>
      <c r="T2603" s="1088"/>
    </row>
    <row r="2604" spans="1:24" x14ac:dyDescent="0.3">
      <c r="A2604" s="6" t="s">
        <v>533</v>
      </c>
      <c r="B2604" s="6" t="s">
        <v>534</v>
      </c>
      <c r="C2604" s="6" t="s">
        <v>31</v>
      </c>
      <c r="D2604" s="1088" t="s">
        <v>549</v>
      </c>
      <c r="E2604" s="6" t="s">
        <v>171</v>
      </c>
      <c r="F2604" s="6" t="s">
        <v>634</v>
      </c>
      <c r="G2604" s="6" t="s">
        <v>2022</v>
      </c>
      <c r="H2604" s="6" t="s">
        <v>1752</v>
      </c>
      <c r="J2604" s="1215" t="s">
        <v>511</v>
      </c>
      <c r="K2604" s="1219" t="s">
        <v>3111</v>
      </c>
      <c r="L2604" s="8">
        <v>35</v>
      </c>
      <c r="M2604" s="8">
        <v>220</v>
      </c>
      <c r="N2604" s="1169" t="s">
        <v>271</v>
      </c>
      <c r="P2604" s="6" t="s">
        <v>3324</v>
      </c>
      <c r="Q2604" s="1215" t="s">
        <v>253</v>
      </c>
      <c r="R2604" s="1215" t="s">
        <v>255</v>
      </c>
      <c r="S2604" s="1215" t="s">
        <v>534</v>
      </c>
      <c r="T2604" s="1215" t="s">
        <v>533</v>
      </c>
      <c r="U2604" s="6" t="s">
        <v>549</v>
      </c>
      <c r="V2604" s="6" t="s">
        <v>31</v>
      </c>
      <c r="W2604" s="6" t="s">
        <v>634</v>
      </c>
      <c r="X2604" s="6" t="s">
        <v>171</v>
      </c>
    </row>
    <row r="2605" spans="1:24" x14ac:dyDescent="0.3">
      <c r="A2605" s="6" t="s">
        <v>533</v>
      </c>
      <c r="B2605" s="6" t="s">
        <v>534</v>
      </c>
      <c r="C2605" s="6" t="s">
        <v>31</v>
      </c>
      <c r="D2605" s="1088" t="s">
        <v>549</v>
      </c>
      <c r="E2605" s="6" t="s">
        <v>164</v>
      </c>
      <c r="F2605" s="6" t="s">
        <v>748</v>
      </c>
      <c r="G2605" s="6" t="s">
        <v>1970</v>
      </c>
      <c r="H2605" s="6" t="s">
        <v>1971</v>
      </c>
      <c r="J2605" s="1215" t="s">
        <v>511</v>
      </c>
      <c r="K2605" s="1219" t="s">
        <v>3112</v>
      </c>
      <c r="L2605" s="8">
        <v>7</v>
      </c>
      <c r="M2605" s="8">
        <v>27</v>
      </c>
      <c r="N2605" s="1169" t="s">
        <v>271</v>
      </c>
      <c r="P2605" s="6" t="s">
        <v>3323</v>
      </c>
      <c r="Q2605" s="1215" t="s">
        <v>253</v>
      </c>
      <c r="R2605" s="1215" t="s">
        <v>255</v>
      </c>
      <c r="S2605" s="1215" t="s">
        <v>534</v>
      </c>
      <c r="T2605" s="1215" t="s">
        <v>533</v>
      </c>
      <c r="U2605" s="6" t="s">
        <v>549</v>
      </c>
      <c r="V2605" s="6" t="s">
        <v>31</v>
      </c>
      <c r="W2605" s="6" t="s">
        <v>767</v>
      </c>
      <c r="X2605" s="6" t="s">
        <v>2797</v>
      </c>
    </row>
    <row r="2606" spans="1:24" x14ac:dyDescent="0.3">
      <c r="A2606" s="6" t="s">
        <v>533</v>
      </c>
      <c r="B2606" s="6" t="s">
        <v>534</v>
      </c>
      <c r="C2606" s="6" t="s">
        <v>31</v>
      </c>
      <c r="D2606" s="1088" t="s">
        <v>549</v>
      </c>
      <c r="E2606" s="6" t="s">
        <v>171</v>
      </c>
      <c r="F2606" s="6" t="s">
        <v>634</v>
      </c>
      <c r="G2606" s="6" t="s">
        <v>1320</v>
      </c>
      <c r="H2606" s="6" t="s">
        <v>1321</v>
      </c>
      <c r="J2606" s="1215" t="s">
        <v>511</v>
      </c>
      <c r="K2606" s="1219" t="s">
        <v>3111</v>
      </c>
      <c r="L2606" s="8">
        <v>4</v>
      </c>
      <c r="M2606" s="8">
        <v>28</v>
      </c>
      <c r="N2606" s="1169" t="s">
        <v>271</v>
      </c>
      <c r="P2606" s="6" t="s">
        <v>3323</v>
      </c>
      <c r="Q2606" s="1215" t="s">
        <v>253</v>
      </c>
      <c r="R2606" s="1215" t="s">
        <v>255</v>
      </c>
      <c r="S2606" s="1215" t="s">
        <v>534</v>
      </c>
      <c r="T2606" s="1215" t="s">
        <v>533</v>
      </c>
      <c r="U2606" s="6" t="s">
        <v>549</v>
      </c>
      <c r="V2606" s="6" t="s">
        <v>31</v>
      </c>
      <c r="W2606" s="6" t="s">
        <v>844</v>
      </c>
      <c r="X2606" s="6" t="s">
        <v>166</v>
      </c>
    </row>
    <row r="2607" spans="1:24" x14ac:dyDescent="0.3">
      <c r="A2607" s="6" t="s">
        <v>533</v>
      </c>
      <c r="B2607" s="6" t="s">
        <v>534</v>
      </c>
      <c r="C2607" s="6" t="s">
        <v>35</v>
      </c>
      <c r="D2607" s="1088" t="s">
        <v>567</v>
      </c>
      <c r="E2607" s="6" t="s">
        <v>192</v>
      </c>
      <c r="F2607" s="6" t="s">
        <v>853</v>
      </c>
      <c r="G2607" s="6" t="s">
        <v>945</v>
      </c>
      <c r="H2607" s="6" t="s">
        <v>1005</v>
      </c>
      <c r="J2607" s="1215" t="s">
        <v>511</v>
      </c>
      <c r="K2607" s="1219" t="s">
        <v>3109</v>
      </c>
      <c r="L2607" s="8">
        <v>1</v>
      </c>
      <c r="M2607" s="8">
        <v>8</v>
      </c>
      <c r="N2607" s="1169" t="s">
        <v>271</v>
      </c>
      <c r="P2607" s="6" t="s">
        <v>3323</v>
      </c>
      <c r="Q2607" s="1215" t="s">
        <v>253</v>
      </c>
      <c r="R2607" s="1215" t="s">
        <v>255</v>
      </c>
      <c r="S2607" s="1215" t="s">
        <v>534</v>
      </c>
      <c r="T2607" s="1215" t="s">
        <v>533</v>
      </c>
      <c r="U2607" s="6" t="s">
        <v>567</v>
      </c>
      <c r="V2607" s="6" t="s">
        <v>35</v>
      </c>
      <c r="W2607" s="6" t="s">
        <v>863</v>
      </c>
      <c r="X2607" s="6" t="s">
        <v>193</v>
      </c>
    </row>
    <row r="2608" spans="1:24" x14ac:dyDescent="0.3">
      <c r="A2608" s="6" t="s">
        <v>533</v>
      </c>
      <c r="B2608" s="6" t="s">
        <v>534</v>
      </c>
      <c r="C2608" s="6" t="s">
        <v>35</v>
      </c>
      <c r="D2608" s="1088" t="s">
        <v>567</v>
      </c>
      <c r="E2608" s="6" t="s">
        <v>192</v>
      </c>
      <c r="F2608" s="6" t="s">
        <v>853</v>
      </c>
      <c r="G2608" s="6" t="s">
        <v>945</v>
      </c>
      <c r="H2608" s="6" t="s">
        <v>1005</v>
      </c>
      <c r="J2608" s="1215" t="s">
        <v>511</v>
      </c>
      <c r="K2608" s="1219" t="s">
        <v>3110</v>
      </c>
      <c r="L2608" s="8">
        <v>6</v>
      </c>
      <c r="M2608" s="8">
        <v>12</v>
      </c>
      <c r="N2608" s="1169" t="s">
        <v>271</v>
      </c>
      <c r="P2608" s="6" t="s">
        <v>3324</v>
      </c>
      <c r="Q2608" s="1215" t="s">
        <v>253</v>
      </c>
      <c r="R2608" s="1215" t="s">
        <v>255</v>
      </c>
      <c r="S2608" s="1215" t="s">
        <v>534</v>
      </c>
      <c r="T2608" s="1215" t="s">
        <v>533</v>
      </c>
      <c r="U2608" s="6" t="s">
        <v>567</v>
      </c>
      <c r="V2608" s="6" t="s">
        <v>35</v>
      </c>
      <c r="W2608" s="6" t="s">
        <v>853</v>
      </c>
      <c r="X2608" s="6" t="s">
        <v>192</v>
      </c>
    </row>
    <row r="2609" spans="1:24" x14ac:dyDescent="0.3">
      <c r="A2609" s="6" t="s">
        <v>533</v>
      </c>
      <c r="B2609" s="6" t="s">
        <v>534</v>
      </c>
      <c r="C2609" s="6" t="s">
        <v>35</v>
      </c>
      <c r="D2609" s="1088" t="s">
        <v>567</v>
      </c>
      <c r="E2609" s="6" t="s">
        <v>192</v>
      </c>
      <c r="F2609" s="6" t="s">
        <v>853</v>
      </c>
      <c r="G2609" s="6" t="s">
        <v>945</v>
      </c>
      <c r="H2609" s="6" t="s">
        <v>1005</v>
      </c>
      <c r="J2609" s="1215" t="s">
        <v>511</v>
      </c>
      <c r="K2609" s="1219" t="s">
        <v>3111</v>
      </c>
      <c r="L2609" s="8">
        <v>2</v>
      </c>
      <c r="M2609" s="8">
        <v>4</v>
      </c>
      <c r="N2609" s="1169" t="s">
        <v>271</v>
      </c>
      <c r="P2609" s="6" t="s">
        <v>3324</v>
      </c>
      <c r="Q2609" s="1215" t="s">
        <v>253</v>
      </c>
      <c r="R2609" s="1215" t="s">
        <v>255</v>
      </c>
      <c r="S2609" s="1215" t="s">
        <v>534</v>
      </c>
      <c r="T2609" s="1215" t="s">
        <v>533</v>
      </c>
      <c r="U2609" s="6" t="s">
        <v>567</v>
      </c>
      <c r="V2609" s="6" t="s">
        <v>35</v>
      </c>
      <c r="W2609" s="6" t="s">
        <v>853</v>
      </c>
      <c r="X2609" s="6" t="s">
        <v>192</v>
      </c>
    </row>
    <row r="2610" spans="1:24" x14ac:dyDescent="0.3">
      <c r="A2610" s="6" t="s">
        <v>533</v>
      </c>
      <c r="B2610" s="6" t="s">
        <v>534</v>
      </c>
      <c r="C2610" s="6" t="s">
        <v>35</v>
      </c>
      <c r="D2610" s="1088" t="s">
        <v>567</v>
      </c>
      <c r="E2610" s="1088" t="s">
        <v>192</v>
      </c>
      <c r="F2610" s="6" t="s">
        <v>853</v>
      </c>
      <c r="G2610" s="6" t="s">
        <v>1532</v>
      </c>
      <c r="H2610" s="6" t="s">
        <v>1611</v>
      </c>
      <c r="J2610" s="1215" t="s">
        <v>511</v>
      </c>
      <c r="K2610" s="1219" t="s">
        <v>3109</v>
      </c>
      <c r="L2610" s="8">
        <v>16</v>
      </c>
      <c r="M2610" s="8">
        <v>96</v>
      </c>
      <c r="N2610" s="1169" t="s">
        <v>271</v>
      </c>
      <c r="P2610" s="6" t="s">
        <v>3323</v>
      </c>
      <c r="Q2610" s="1215" t="s">
        <v>253</v>
      </c>
      <c r="R2610" s="1215" t="s">
        <v>255</v>
      </c>
      <c r="S2610" s="1215" t="s">
        <v>534</v>
      </c>
      <c r="T2610" s="1215" t="s">
        <v>533</v>
      </c>
      <c r="U2610" s="6" t="s">
        <v>567</v>
      </c>
      <c r="V2610" s="6" t="s">
        <v>35</v>
      </c>
      <c r="W2610" s="6" t="s">
        <v>863</v>
      </c>
      <c r="X2610" s="6" t="s">
        <v>193</v>
      </c>
    </row>
    <row r="2611" spans="1:24" x14ac:dyDescent="0.3">
      <c r="A2611" s="6" t="s">
        <v>533</v>
      </c>
      <c r="B2611" s="6" t="s">
        <v>534</v>
      </c>
      <c r="C2611" s="6" t="s">
        <v>35</v>
      </c>
      <c r="D2611" s="1088" t="s">
        <v>567</v>
      </c>
      <c r="E2611" s="6" t="s">
        <v>192</v>
      </c>
      <c r="F2611" s="6" t="s">
        <v>853</v>
      </c>
      <c r="G2611" s="6" t="s">
        <v>1532</v>
      </c>
      <c r="H2611" s="6" t="s">
        <v>1611</v>
      </c>
      <c r="J2611" s="1215" t="s">
        <v>511</v>
      </c>
      <c r="K2611" s="1219" t="s">
        <v>3110</v>
      </c>
      <c r="L2611" s="8">
        <v>12</v>
      </c>
      <c r="M2611" s="8">
        <v>72</v>
      </c>
      <c r="N2611" s="1169" t="s">
        <v>271</v>
      </c>
      <c r="P2611" s="6" t="s">
        <v>3324</v>
      </c>
      <c r="Q2611" s="1215" t="s">
        <v>253</v>
      </c>
      <c r="R2611" s="1215" t="s">
        <v>255</v>
      </c>
      <c r="S2611" s="1215" t="s">
        <v>534</v>
      </c>
      <c r="T2611" s="1215" t="s">
        <v>533</v>
      </c>
      <c r="U2611" s="6" t="s">
        <v>567</v>
      </c>
      <c r="V2611" s="6" t="s">
        <v>35</v>
      </c>
      <c r="W2611" s="6" t="s">
        <v>853</v>
      </c>
      <c r="X2611" s="6" t="s">
        <v>192</v>
      </c>
    </row>
    <row r="2612" spans="1:24" x14ac:dyDescent="0.3">
      <c r="A2612" s="6" t="s">
        <v>533</v>
      </c>
      <c r="B2612" s="6" t="s">
        <v>534</v>
      </c>
      <c r="C2612" s="6" t="s">
        <v>35</v>
      </c>
      <c r="D2612" s="1088" t="s">
        <v>567</v>
      </c>
      <c r="E2612" s="1088" t="s">
        <v>192</v>
      </c>
      <c r="F2612" s="6" t="s">
        <v>853</v>
      </c>
      <c r="G2612" s="6" t="s">
        <v>1532</v>
      </c>
      <c r="H2612" s="6" t="s">
        <v>1611</v>
      </c>
      <c r="J2612" s="1215" t="s">
        <v>511</v>
      </c>
      <c r="K2612" s="1219" t="s">
        <v>3111</v>
      </c>
      <c r="L2612" s="8">
        <v>95</v>
      </c>
      <c r="M2612" s="8">
        <v>259</v>
      </c>
      <c r="N2612" s="6" t="s">
        <v>271</v>
      </c>
      <c r="P2612" s="6" t="s">
        <v>3324</v>
      </c>
      <c r="Q2612" s="1215" t="s">
        <v>253</v>
      </c>
      <c r="R2612" s="1215" t="s">
        <v>255</v>
      </c>
      <c r="S2612" s="1215" t="s">
        <v>534</v>
      </c>
      <c r="T2612" s="1215" t="s">
        <v>533</v>
      </c>
      <c r="U2612" s="6" t="s">
        <v>567</v>
      </c>
      <c r="V2612" s="6" t="s">
        <v>35</v>
      </c>
      <c r="W2612" s="6" t="s">
        <v>853</v>
      </c>
      <c r="X2612" s="6" t="s">
        <v>192</v>
      </c>
    </row>
    <row r="2613" spans="1:24" x14ac:dyDescent="0.3">
      <c r="A2613" s="6" t="s">
        <v>533</v>
      </c>
      <c r="B2613" s="6" t="s">
        <v>534</v>
      </c>
      <c r="C2613" s="6" t="s">
        <v>35</v>
      </c>
      <c r="D2613" s="1088" t="s">
        <v>567</v>
      </c>
      <c r="E2613" s="1088" t="s">
        <v>192</v>
      </c>
      <c r="F2613" s="6" t="s">
        <v>853</v>
      </c>
      <c r="G2613" s="6" t="s">
        <v>1532</v>
      </c>
      <c r="H2613" s="6" t="s">
        <v>1611</v>
      </c>
      <c r="J2613" s="1215" t="s">
        <v>511</v>
      </c>
      <c r="K2613" s="1219" t="s">
        <v>3112</v>
      </c>
      <c r="L2613" s="8">
        <v>5</v>
      </c>
      <c r="M2613" s="8">
        <v>31</v>
      </c>
      <c r="N2613" s="1169" t="s">
        <v>271</v>
      </c>
      <c r="P2613" s="6" t="s">
        <v>3324</v>
      </c>
      <c r="Q2613" s="1215" t="s">
        <v>253</v>
      </c>
      <c r="R2613" s="1215" t="s">
        <v>255</v>
      </c>
      <c r="S2613" s="1215" t="s">
        <v>534</v>
      </c>
      <c r="T2613" s="1215" t="s">
        <v>533</v>
      </c>
      <c r="U2613" s="6" t="s">
        <v>567</v>
      </c>
      <c r="V2613" s="6" t="s">
        <v>35</v>
      </c>
      <c r="W2613" s="6" t="s">
        <v>853</v>
      </c>
      <c r="X2613" s="6" t="s">
        <v>192</v>
      </c>
    </row>
    <row r="2614" spans="1:24" x14ac:dyDescent="0.3">
      <c r="A2614" s="6" t="s">
        <v>533</v>
      </c>
      <c r="B2614" s="6" t="s">
        <v>534</v>
      </c>
      <c r="C2614" s="6" t="s">
        <v>35</v>
      </c>
      <c r="D2614" s="1088" t="s">
        <v>567</v>
      </c>
      <c r="E2614" s="1088" t="s">
        <v>192</v>
      </c>
      <c r="F2614" s="6" t="s">
        <v>853</v>
      </c>
      <c r="G2614" s="6" t="s">
        <v>1532</v>
      </c>
      <c r="H2614" s="6" t="s">
        <v>1611</v>
      </c>
      <c r="J2614" s="1215" t="s">
        <v>511</v>
      </c>
      <c r="K2614" s="1219" t="s">
        <v>3033</v>
      </c>
      <c r="L2614" s="8">
        <v>36</v>
      </c>
      <c r="M2614" s="8">
        <v>270</v>
      </c>
      <c r="N2614" s="1169" t="s">
        <v>271</v>
      </c>
      <c r="P2614" s="6" t="s">
        <v>3324</v>
      </c>
      <c r="Q2614" s="1215" t="s">
        <v>253</v>
      </c>
      <c r="R2614" s="1215" t="s">
        <v>255</v>
      </c>
      <c r="S2614" s="1215" t="s">
        <v>534</v>
      </c>
      <c r="T2614" s="1215" t="s">
        <v>533</v>
      </c>
      <c r="U2614" s="6" t="s">
        <v>567</v>
      </c>
      <c r="V2614" s="6" t="s">
        <v>35</v>
      </c>
      <c r="W2614" s="6" t="s">
        <v>853</v>
      </c>
      <c r="X2614" s="6" t="s">
        <v>192</v>
      </c>
    </row>
    <row r="2615" spans="1:24" x14ac:dyDescent="0.3">
      <c r="A2615" s="6" t="s">
        <v>533</v>
      </c>
      <c r="B2615" s="6" t="s">
        <v>534</v>
      </c>
      <c r="C2615" s="6" t="s">
        <v>35</v>
      </c>
      <c r="D2615" s="1088" t="s">
        <v>567</v>
      </c>
      <c r="E2615" s="1088" t="s">
        <v>192</v>
      </c>
      <c r="F2615" s="6" t="s">
        <v>853</v>
      </c>
      <c r="G2615" s="6" t="s">
        <v>1166</v>
      </c>
      <c r="H2615" s="6" t="s">
        <v>855</v>
      </c>
      <c r="J2615" s="1215" t="s">
        <v>511</v>
      </c>
      <c r="K2615" s="1219" t="s">
        <v>3033</v>
      </c>
      <c r="L2615" s="8">
        <v>26</v>
      </c>
      <c r="M2615" s="8">
        <v>128</v>
      </c>
      <c r="N2615" s="1169" t="s">
        <v>271</v>
      </c>
      <c r="P2615" s="6" t="s">
        <v>3323</v>
      </c>
      <c r="Q2615" s="1215" t="s">
        <v>253</v>
      </c>
      <c r="R2615" s="1215" t="s">
        <v>255</v>
      </c>
      <c r="S2615" s="1215" t="s">
        <v>534</v>
      </c>
      <c r="T2615" s="1215" t="s">
        <v>533</v>
      </c>
      <c r="U2615" s="6" t="s">
        <v>567</v>
      </c>
      <c r="V2615" s="6" t="s">
        <v>35</v>
      </c>
      <c r="W2615" s="6" t="s">
        <v>863</v>
      </c>
      <c r="X2615" s="6" t="s">
        <v>193</v>
      </c>
    </row>
    <row r="2616" spans="1:24" x14ac:dyDescent="0.3">
      <c r="A2616" s="6" t="s">
        <v>533</v>
      </c>
      <c r="B2616" s="6" t="s">
        <v>534</v>
      </c>
      <c r="C2616" s="6" t="s">
        <v>35</v>
      </c>
      <c r="D2616" s="1088" t="s">
        <v>567</v>
      </c>
      <c r="E2616" s="1088" t="s">
        <v>192</v>
      </c>
      <c r="F2616" s="6" t="s">
        <v>853</v>
      </c>
      <c r="G2616" s="6" t="s">
        <v>1166</v>
      </c>
      <c r="H2616" s="6" t="s">
        <v>855</v>
      </c>
      <c r="J2616" s="1215" t="s">
        <v>511</v>
      </c>
      <c r="K2616" s="1219" t="s">
        <v>3112</v>
      </c>
      <c r="L2616" s="8">
        <v>30</v>
      </c>
      <c r="M2616" s="8">
        <v>153</v>
      </c>
      <c r="N2616" s="1169" t="s">
        <v>271</v>
      </c>
      <c r="P2616" s="6" t="s">
        <v>3324</v>
      </c>
      <c r="Q2616" s="1215" t="s">
        <v>253</v>
      </c>
      <c r="R2616" s="1215" t="s">
        <v>255</v>
      </c>
      <c r="S2616" s="1215" t="s">
        <v>534</v>
      </c>
      <c r="T2616" s="1215" t="s">
        <v>533</v>
      </c>
      <c r="U2616" s="6" t="s">
        <v>567</v>
      </c>
      <c r="V2616" s="6" t="s">
        <v>35</v>
      </c>
      <c r="W2616" s="6" t="s">
        <v>853</v>
      </c>
      <c r="X2616" s="6" t="s">
        <v>192</v>
      </c>
    </row>
    <row r="2617" spans="1:24" x14ac:dyDescent="0.3">
      <c r="A2617" s="6" t="s">
        <v>533</v>
      </c>
      <c r="B2617" s="6" t="s">
        <v>534</v>
      </c>
      <c r="C2617" s="6" t="s">
        <v>35</v>
      </c>
      <c r="D2617" s="1088" t="s">
        <v>567</v>
      </c>
      <c r="E2617" s="6" t="s">
        <v>192</v>
      </c>
      <c r="F2617" s="6" t="s">
        <v>853</v>
      </c>
      <c r="G2617" s="6" t="s">
        <v>1166</v>
      </c>
      <c r="H2617" s="6" t="s">
        <v>855</v>
      </c>
      <c r="J2617" s="1215" t="s">
        <v>511</v>
      </c>
      <c r="K2617" s="1219" t="s">
        <v>3110</v>
      </c>
      <c r="L2617" s="8">
        <v>28</v>
      </c>
      <c r="M2617" s="8">
        <v>176</v>
      </c>
      <c r="N2617" s="1169" t="s">
        <v>271</v>
      </c>
      <c r="P2617" s="6" t="s">
        <v>3324</v>
      </c>
      <c r="Q2617" s="1215" t="s">
        <v>253</v>
      </c>
      <c r="R2617" s="1215" t="s">
        <v>255</v>
      </c>
      <c r="S2617" s="1215" t="s">
        <v>534</v>
      </c>
      <c r="T2617" s="1215" t="s">
        <v>533</v>
      </c>
      <c r="U2617" s="6" t="s">
        <v>567</v>
      </c>
      <c r="V2617" s="6" t="s">
        <v>35</v>
      </c>
      <c r="W2617" s="6" t="s">
        <v>853</v>
      </c>
      <c r="X2617" s="6" t="s">
        <v>192</v>
      </c>
    </row>
    <row r="2618" spans="1:24" x14ac:dyDescent="0.3">
      <c r="A2618" s="6" t="s">
        <v>533</v>
      </c>
      <c r="B2618" s="6" t="s">
        <v>534</v>
      </c>
      <c r="C2618" s="6" t="s">
        <v>35</v>
      </c>
      <c r="D2618" s="1088" t="s">
        <v>567</v>
      </c>
      <c r="E2618" s="6" t="s">
        <v>192</v>
      </c>
      <c r="F2618" s="6" t="s">
        <v>853</v>
      </c>
      <c r="G2618" s="6" t="s">
        <v>1505</v>
      </c>
      <c r="H2618" s="6" t="s">
        <v>1169</v>
      </c>
      <c r="J2618" s="1215" t="s">
        <v>511</v>
      </c>
      <c r="K2618" s="1219" t="s">
        <v>3111</v>
      </c>
      <c r="L2618" s="8">
        <v>11</v>
      </c>
      <c r="M2618" s="8">
        <v>87</v>
      </c>
      <c r="N2618" s="1169" t="s">
        <v>271</v>
      </c>
      <c r="P2618" s="6" t="s">
        <v>3324</v>
      </c>
      <c r="Q2618" s="1215" t="s">
        <v>253</v>
      </c>
      <c r="R2618" s="1215" t="s">
        <v>255</v>
      </c>
      <c r="S2618" s="1215" t="s">
        <v>534</v>
      </c>
      <c r="T2618" s="1215" t="s">
        <v>533</v>
      </c>
      <c r="U2618" s="6" t="s">
        <v>567</v>
      </c>
      <c r="V2618" s="6" t="s">
        <v>35</v>
      </c>
      <c r="W2618" s="6" t="s">
        <v>853</v>
      </c>
      <c r="X2618" s="6" t="s">
        <v>192</v>
      </c>
    </row>
    <row r="2619" spans="1:24" x14ac:dyDescent="0.3">
      <c r="A2619" s="6" t="s">
        <v>533</v>
      </c>
      <c r="B2619" s="6" t="s">
        <v>534</v>
      </c>
      <c r="C2619" s="6" t="s">
        <v>32</v>
      </c>
      <c r="D2619" s="1088" t="s">
        <v>542</v>
      </c>
      <c r="E2619" s="6" t="s">
        <v>178</v>
      </c>
      <c r="F2619" s="6" t="s">
        <v>543</v>
      </c>
      <c r="G2619" s="6" t="s">
        <v>2257</v>
      </c>
      <c r="H2619" s="6" t="s">
        <v>2258</v>
      </c>
      <c r="J2619" s="1215" t="s">
        <v>511</v>
      </c>
      <c r="K2619" s="1219" t="s">
        <v>3109</v>
      </c>
      <c r="L2619" s="8">
        <v>29</v>
      </c>
      <c r="M2619" s="8">
        <v>260</v>
      </c>
      <c r="N2619" s="1169" t="s">
        <v>272</v>
      </c>
      <c r="P2619" s="6" t="s">
        <v>3324</v>
      </c>
      <c r="Q2619" s="1215" t="s">
        <v>253</v>
      </c>
      <c r="R2619" s="1215" t="s">
        <v>255</v>
      </c>
      <c r="S2619" s="1215" t="s">
        <v>534</v>
      </c>
      <c r="T2619" s="1215" t="s">
        <v>533</v>
      </c>
      <c r="U2619" s="6" t="s">
        <v>542</v>
      </c>
      <c r="V2619" s="6" t="s">
        <v>32</v>
      </c>
      <c r="W2619" s="6" t="s">
        <v>543</v>
      </c>
      <c r="X2619" s="6" t="s">
        <v>178</v>
      </c>
    </row>
    <row r="2620" spans="1:24" x14ac:dyDescent="0.3">
      <c r="A2620" s="6" t="s">
        <v>533</v>
      </c>
      <c r="B2620" s="6" t="s">
        <v>534</v>
      </c>
      <c r="C2620" s="6" t="s">
        <v>32</v>
      </c>
      <c r="D2620" s="1088" t="s">
        <v>542</v>
      </c>
      <c r="E2620" s="6" t="s">
        <v>178</v>
      </c>
      <c r="F2620" s="6" t="s">
        <v>543</v>
      </c>
      <c r="G2620" s="6" t="s">
        <v>2257</v>
      </c>
      <c r="H2620" s="6" t="s">
        <v>2258</v>
      </c>
      <c r="J2620" s="1215" t="s">
        <v>511</v>
      </c>
      <c r="K2620" s="1219" t="s">
        <v>3110</v>
      </c>
      <c r="L2620" s="8">
        <v>0</v>
      </c>
      <c r="M2620" s="8">
        <v>17</v>
      </c>
      <c r="N2620" s="1169" t="s">
        <v>272</v>
      </c>
      <c r="O2620" s="1088"/>
      <c r="P2620" s="6" t="s">
        <v>3324</v>
      </c>
      <c r="Q2620" s="1215" t="s">
        <v>253</v>
      </c>
      <c r="R2620" s="1215" t="s">
        <v>255</v>
      </c>
      <c r="S2620" s="1215" t="s">
        <v>534</v>
      </c>
      <c r="T2620" s="1215" t="s">
        <v>533</v>
      </c>
      <c r="U2620" s="6" t="s">
        <v>542</v>
      </c>
      <c r="V2620" s="6" t="s">
        <v>32</v>
      </c>
      <c r="W2620" s="6" t="s">
        <v>543</v>
      </c>
      <c r="X2620" s="6" t="s">
        <v>178</v>
      </c>
    </row>
    <row r="2621" spans="1:24" x14ac:dyDescent="0.3">
      <c r="A2621" s="6" t="s">
        <v>533</v>
      </c>
      <c r="B2621" s="6" t="s">
        <v>534</v>
      </c>
      <c r="C2621" s="6" t="s">
        <v>32</v>
      </c>
      <c r="D2621" s="1088" t="s">
        <v>542</v>
      </c>
      <c r="E2621" s="6" t="s">
        <v>178</v>
      </c>
      <c r="F2621" s="6" t="s">
        <v>543</v>
      </c>
      <c r="G2621" s="6" t="s">
        <v>2257</v>
      </c>
      <c r="H2621" s="6" t="s">
        <v>2258</v>
      </c>
      <c r="J2621" s="1215" t="s">
        <v>511</v>
      </c>
      <c r="K2621" s="1219" t="s">
        <v>3111</v>
      </c>
      <c r="L2621" s="8">
        <v>0</v>
      </c>
      <c r="M2621" s="8">
        <v>11</v>
      </c>
      <c r="N2621" s="1169" t="s">
        <v>272</v>
      </c>
      <c r="P2621" s="6" t="s">
        <v>3324</v>
      </c>
      <c r="Q2621" s="1215" t="s">
        <v>253</v>
      </c>
      <c r="R2621" s="1215" t="s">
        <v>255</v>
      </c>
      <c r="S2621" s="1215" t="s">
        <v>534</v>
      </c>
      <c r="T2621" s="1215" t="s">
        <v>533</v>
      </c>
      <c r="U2621" s="6" t="s">
        <v>542</v>
      </c>
      <c r="V2621" s="6" t="s">
        <v>32</v>
      </c>
      <c r="W2621" s="6" t="s">
        <v>543</v>
      </c>
      <c r="X2621" s="6" t="s">
        <v>178</v>
      </c>
    </row>
    <row r="2622" spans="1:24" x14ac:dyDescent="0.3">
      <c r="A2622" s="6" t="s">
        <v>533</v>
      </c>
      <c r="B2622" s="6" t="s">
        <v>534</v>
      </c>
      <c r="C2622" s="6" t="s">
        <v>32</v>
      </c>
      <c r="D2622" s="6" t="s">
        <v>542</v>
      </c>
      <c r="E2622" s="1088" t="s">
        <v>178</v>
      </c>
      <c r="F2622" s="6" t="s">
        <v>543</v>
      </c>
      <c r="G2622" s="6" t="s">
        <v>2257</v>
      </c>
      <c r="H2622" s="6" t="s">
        <v>2258</v>
      </c>
      <c r="J2622" s="1215" t="s">
        <v>511</v>
      </c>
      <c r="K2622" s="1219" t="s">
        <v>3112</v>
      </c>
      <c r="L2622" s="8">
        <v>0</v>
      </c>
      <c r="M2622" s="8">
        <v>7</v>
      </c>
      <c r="N2622" s="1169" t="s">
        <v>272</v>
      </c>
      <c r="P2622" s="6" t="s">
        <v>3324</v>
      </c>
      <c r="Q2622" s="1215" t="s">
        <v>253</v>
      </c>
      <c r="R2622" s="1215" t="s">
        <v>255</v>
      </c>
      <c r="S2622" s="1215" t="s">
        <v>534</v>
      </c>
      <c r="T2622" s="1215" t="s">
        <v>533</v>
      </c>
      <c r="U2622" s="6" t="s">
        <v>542</v>
      </c>
      <c r="V2622" s="6" t="s">
        <v>32</v>
      </c>
      <c r="W2622" s="6" t="s">
        <v>543</v>
      </c>
      <c r="X2622" s="6" t="s">
        <v>178</v>
      </c>
    </row>
    <row r="2623" spans="1:24" x14ac:dyDescent="0.3">
      <c r="A2623" s="6" t="s">
        <v>533</v>
      </c>
      <c r="B2623" s="6" t="s">
        <v>534</v>
      </c>
      <c r="C2623" s="6" t="s">
        <v>31</v>
      </c>
      <c r="D2623" s="6" t="s">
        <v>549</v>
      </c>
      <c r="E2623" s="6" t="s">
        <v>171</v>
      </c>
      <c r="F2623" s="6" t="s">
        <v>634</v>
      </c>
      <c r="G2623" s="6" t="s">
        <v>1147</v>
      </c>
      <c r="H2623" s="6" t="s">
        <v>1148</v>
      </c>
      <c r="J2623" s="1215" t="s">
        <v>511</v>
      </c>
      <c r="K2623" s="1219" t="s">
        <v>3109</v>
      </c>
      <c r="L2623" s="8">
        <v>6</v>
      </c>
      <c r="M2623" s="8">
        <v>30</v>
      </c>
      <c r="N2623" s="1169" t="s">
        <v>271</v>
      </c>
      <c r="P2623" s="6" t="s">
        <v>3324</v>
      </c>
      <c r="Q2623" s="1215" t="s">
        <v>253</v>
      </c>
      <c r="R2623" s="1215" t="s">
        <v>255</v>
      </c>
      <c r="S2623" s="1215" t="s">
        <v>534</v>
      </c>
      <c r="T2623" s="1215" t="s">
        <v>533</v>
      </c>
      <c r="U2623" s="6" t="s">
        <v>549</v>
      </c>
      <c r="V2623" s="6" t="s">
        <v>31</v>
      </c>
      <c r="W2623" s="6" t="s">
        <v>634</v>
      </c>
      <c r="X2623" s="6" t="s">
        <v>171</v>
      </c>
    </row>
    <row r="2624" spans="1:24" x14ac:dyDescent="0.3">
      <c r="A2624" s="6" t="s">
        <v>533</v>
      </c>
      <c r="B2624" s="6" t="s">
        <v>534</v>
      </c>
      <c r="C2624" s="6" t="s">
        <v>34</v>
      </c>
      <c r="D2624" s="1088" t="s">
        <v>539</v>
      </c>
      <c r="E2624" s="6" t="s">
        <v>188</v>
      </c>
      <c r="F2624" s="6" t="s">
        <v>546</v>
      </c>
      <c r="G2624" s="6" t="s">
        <v>1264</v>
      </c>
      <c r="H2624" s="6" t="s">
        <v>1043</v>
      </c>
      <c r="J2624" s="1215" t="s">
        <v>511</v>
      </c>
      <c r="K2624" s="1219" t="s">
        <v>3033</v>
      </c>
      <c r="L2624" s="8">
        <v>94</v>
      </c>
      <c r="M2624" s="8">
        <v>570</v>
      </c>
      <c r="N2624" s="1169" t="s">
        <v>271</v>
      </c>
      <c r="P2624" s="6" t="s">
        <v>3324</v>
      </c>
      <c r="Q2624" s="1215" t="s">
        <v>253</v>
      </c>
      <c r="R2624" s="1215" t="s">
        <v>255</v>
      </c>
      <c r="S2624" s="1215" t="s">
        <v>534</v>
      </c>
      <c r="T2624" s="1215" t="s">
        <v>533</v>
      </c>
      <c r="U2624" s="6" t="s">
        <v>539</v>
      </c>
      <c r="V2624" s="6" t="s">
        <v>34</v>
      </c>
      <c r="W2624" s="6" t="s">
        <v>546</v>
      </c>
      <c r="X2624" s="6" t="s">
        <v>188</v>
      </c>
    </row>
    <row r="2625" spans="1:24" x14ac:dyDescent="0.3">
      <c r="A2625" s="6" t="s">
        <v>533</v>
      </c>
      <c r="B2625" s="6" t="s">
        <v>534</v>
      </c>
      <c r="C2625" s="6" t="s">
        <v>34</v>
      </c>
      <c r="D2625" s="1088" t="s">
        <v>539</v>
      </c>
      <c r="E2625" s="6" t="s">
        <v>188</v>
      </c>
      <c r="F2625" s="6" t="s">
        <v>546</v>
      </c>
      <c r="G2625" s="6" t="s">
        <v>1264</v>
      </c>
      <c r="H2625" s="6" t="s">
        <v>1043</v>
      </c>
      <c r="J2625" s="1215" t="s">
        <v>511</v>
      </c>
      <c r="K2625" s="1219" t="s">
        <v>3110</v>
      </c>
      <c r="L2625" s="8">
        <v>10</v>
      </c>
      <c r="M2625" s="8">
        <v>40</v>
      </c>
      <c r="N2625" s="1169" t="s">
        <v>271</v>
      </c>
      <c r="P2625" s="6" t="s">
        <v>3324</v>
      </c>
      <c r="Q2625" s="1215" t="s">
        <v>253</v>
      </c>
      <c r="R2625" s="1215" t="s">
        <v>255</v>
      </c>
      <c r="S2625" s="1215" t="s">
        <v>534</v>
      </c>
      <c r="T2625" s="1215" t="s">
        <v>533</v>
      </c>
      <c r="U2625" s="6" t="s">
        <v>539</v>
      </c>
      <c r="V2625" s="6" t="s">
        <v>34</v>
      </c>
      <c r="W2625" s="6" t="s">
        <v>546</v>
      </c>
      <c r="X2625" s="6" t="s">
        <v>188</v>
      </c>
    </row>
    <row r="2626" spans="1:24" x14ac:dyDescent="0.3">
      <c r="A2626" s="6" t="s">
        <v>533</v>
      </c>
      <c r="B2626" s="6" t="s">
        <v>534</v>
      </c>
      <c r="C2626" s="6" t="s">
        <v>34</v>
      </c>
      <c r="D2626" s="1088" t="s">
        <v>539</v>
      </c>
      <c r="E2626" s="6" t="s">
        <v>188</v>
      </c>
      <c r="F2626" s="6" t="s">
        <v>546</v>
      </c>
      <c r="G2626" s="6" t="s">
        <v>1264</v>
      </c>
      <c r="H2626" s="6" t="s">
        <v>1043</v>
      </c>
      <c r="J2626" s="1215" t="s">
        <v>511</v>
      </c>
      <c r="K2626" s="1219" t="s">
        <v>3111</v>
      </c>
      <c r="L2626" s="8">
        <v>0</v>
      </c>
      <c r="M2626" s="8">
        <v>28</v>
      </c>
      <c r="N2626" s="1169" t="s">
        <v>271</v>
      </c>
      <c r="P2626" s="6" t="s">
        <v>3324</v>
      </c>
      <c r="Q2626" s="1215" t="s">
        <v>253</v>
      </c>
      <c r="R2626" s="1215" t="s">
        <v>255</v>
      </c>
      <c r="S2626" s="1215" t="s">
        <v>534</v>
      </c>
      <c r="T2626" s="1215" t="s">
        <v>533</v>
      </c>
      <c r="U2626" s="6" t="s">
        <v>539</v>
      </c>
      <c r="V2626" s="6" t="s">
        <v>34</v>
      </c>
      <c r="W2626" s="6" t="s">
        <v>546</v>
      </c>
      <c r="X2626" s="6" t="s">
        <v>188</v>
      </c>
    </row>
    <row r="2627" spans="1:24" x14ac:dyDescent="0.3">
      <c r="A2627" s="6" t="s">
        <v>533</v>
      </c>
      <c r="B2627" s="6" t="s">
        <v>534</v>
      </c>
      <c r="C2627" s="6" t="s">
        <v>34</v>
      </c>
      <c r="D2627" s="1088" t="s">
        <v>539</v>
      </c>
      <c r="E2627" s="6" t="s">
        <v>188</v>
      </c>
      <c r="F2627" s="6" t="s">
        <v>546</v>
      </c>
      <c r="G2627" s="6" t="s">
        <v>1264</v>
      </c>
      <c r="H2627" s="6" t="s">
        <v>1043</v>
      </c>
      <c r="J2627" s="1215" t="s">
        <v>511</v>
      </c>
      <c r="K2627" s="1219" t="s">
        <v>3112</v>
      </c>
      <c r="L2627" s="8">
        <v>0</v>
      </c>
      <c r="M2627" s="8">
        <v>21</v>
      </c>
      <c r="N2627" s="1169" t="s">
        <v>271</v>
      </c>
      <c r="P2627" s="6" t="s">
        <v>3324</v>
      </c>
      <c r="Q2627" s="1215" t="s">
        <v>253</v>
      </c>
      <c r="R2627" s="1215" t="s">
        <v>255</v>
      </c>
      <c r="S2627" s="1215" t="s">
        <v>534</v>
      </c>
      <c r="T2627" s="1215" t="s">
        <v>533</v>
      </c>
      <c r="U2627" s="6" t="s">
        <v>539</v>
      </c>
      <c r="V2627" s="6" t="s">
        <v>34</v>
      </c>
      <c r="W2627" s="6" t="s">
        <v>546</v>
      </c>
      <c r="X2627" s="6" t="s">
        <v>188</v>
      </c>
    </row>
    <row r="2628" spans="1:24" x14ac:dyDescent="0.3">
      <c r="A2628" s="6" t="s">
        <v>533</v>
      </c>
      <c r="B2628" s="6" t="s">
        <v>534</v>
      </c>
      <c r="C2628" s="6" t="s">
        <v>34</v>
      </c>
      <c r="D2628" s="1088" t="s">
        <v>539</v>
      </c>
      <c r="E2628" s="6" t="s">
        <v>188</v>
      </c>
      <c r="F2628" s="6" t="s">
        <v>546</v>
      </c>
      <c r="G2628" s="6" t="s">
        <v>1264</v>
      </c>
      <c r="H2628" s="6" t="s">
        <v>1043</v>
      </c>
      <c r="J2628" s="1215" t="s">
        <v>511</v>
      </c>
      <c r="K2628" s="1219" t="s">
        <v>3109</v>
      </c>
      <c r="L2628" s="8">
        <v>0</v>
      </c>
      <c r="M2628" s="8">
        <v>18</v>
      </c>
      <c r="N2628" s="1169" t="s">
        <v>271</v>
      </c>
      <c r="P2628" s="6" t="s">
        <v>3324</v>
      </c>
      <c r="Q2628" s="1215" t="s">
        <v>253</v>
      </c>
      <c r="R2628" s="1215" t="s">
        <v>255</v>
      </c>
      <c r="S2628" s="1215" t="s">
        <v>534</v>
      </c>
      <c r="T2628" s="1215" t="s">
        <v>533</v>
      </c>
      <c r="U2628" s="6" t="s">
        <v>539</v>
      </c>
      <c r="V2628" s="6" t="s">
        <v>34</v>
      </c>
      <c r="W2628" s="6" t="s">
        <v>546</v>
      </c>
      <c r="X2628" s="6" t="s">
        <v>188</v>
      </c>
    </row>
    <row r="2629" spans="1:24" x14ac:dyDescent="0.3">
      <c r="A2629" s="6" t="s">
        <v>533</v>
      </c>
      <c r="B2629" s="6" t="s">
        <v>534</v>
      </c>
      <c r="C2629" s="6" t="s">
        <v>31</v>
      </c>
      <c r="D2629" s="1088" t="s">
        <v>549</v>
      </c>
      <c r="E2629" s="6" t="s">
        <v>170</v>
      </c>
      <c r="F2629" s="6" t="s">
        <v>866</v>
      </c>
      <c r="G2629" s="6" t="s">
        <v>1955</v>
      </c>
      <c r="H2629" s="6" t="s">
        <v>1577</v>
      </c>
      <c r="J2629" s="1215" t="s">
        <v>511</v>
      </c>
      <c r="K2629" s="1219" t="s">
        <v>3112</v>
      </c>
      <c r="L2629" s="8">
        <v>60</v>
      </c>
      <c r="M2629" s="8">
        <v>500</v>
      </c>
      <c r="N2629" s="1169" t="s">
        <v>274</v>
      </c>
      <c r="P2629" s="6" t="s">
        <v>3361</v>
      </c>
      <c r="Q2629" s="1215" t="s">
        <v>241</v>
      </c>
      <c r="R2629" s="1168" t="s">
        <v>243</v>
      </c>
      <c r="S2629" s="1088"/>
      <c r="T2629" s="1088"/>
    </row>
    <row r="2630" spans="1:24" x14ac:dyDescent="0.3">
      <c r="A2630" s="6" t="s">
        <v>533</v>
      </c>
      <c r="B2630" s="6" t="s">
        <v>534</v>
      </c>
      <c r="C2630" s="6" t="s">
        <v>35</v>
      </c>
      <c r="D2630" s="1088" t="s">
        <v>567</v>
      </c>
      <c r="E2630" s="6" t="s">
        <v>192</v>
      </c>
      <c r="F2630" s="6" t="s">
        <v>853</v>
      </c>
      <c r="G2630" s="6" t="s">
        <v>2867</v>
      </c>
      <c r="H2630" s="6" t="s">
        <v>944</v>
      </c>
      <c r="J2630" s="1215" t="s">
        <v>511</v>
      </c>
      <c r="K2630" s="1219" t="s">
        <v>3112</v>
      </c>
      <c r="L2630" s="8">
        <v>6</v>
      </c>
      <c r="M2630" s="8">
        <v>40</v>
      </c>
      <c r="N2630" s="1169" t="s">
        <v>271</v>
      </c>
      <c r="P2630" s="6" t="s">
        <v>3323</v>
      </c>
      <c r="Q2630" s="1215" t="s">
        <v>253</v>
      </c>
      <c r="R2630" s="1215" t="s">
        <v>255</v>
      </c>
      <c r="S2630" s="1215" t="s">
        <v>534</v>
      </c>
      <c r="T2630" s="1215" t="s">
        <v>533</v>
      </c>
      <c r="U2630" s="6" t="s">
        <v>567</v>
      </c>
      <c r="V2630" s="6" t="s">
        <v>35</v>
      </c>
      <c r="W2630" s="6" t="s">
        <v>863</v>
      </c>
      <c r="X2630" s="6" t="s">
        <v>193</v>
      </c>
    </row>
    <row r="2631" spans="1:24" x14ac:dyDescent="0.3">
      <c r="A2631" s="6" t="s">
        <v>533</v>
      </c>
      <c r="B2631" s="6" t="s">
        <v>534</v>
      </c>
      <c r="C2631" s="6" t="s">
        <v>35</v>
      </c>
      <c r="D2631" s="1088" t="s">
        <v>567</v>
      </c>
      <c r="E2631" s="6" t="s">
        <v>194</v>
      </c>
      <c r="F2631" s="6" t="s">
        <v>2150</v>
      </c>
      <c r="G2631" s="6" t="s">
        <v>2175</v>
      </c>
      <c r="H2631" s="6" t="s">
        <v>2176</v>
      </c>
      <c r="J2631" s="1215" t="s">
        <v>511</v>
      </c>
      <c r="K2631" s="1219" t="s">
        <v>3033</v>
      </c>
      <c r="L2631" s="8">
        <v>16</v>
      </c>
      <c r="M2631" s="8">
        <v>70</v>
      </c>
      <c r="N2631" s="1169" t="s">
        <v>271</v>
      </c>
      <c r="P2631" s="6" t="s">
        <v>3361</v>
      </c>
      <c r="Q2631" s="1215" t="s">
        <v>240</v>
      </c>
      <c r="R2631" s="1168" t="s">
        <v>242</v>
      </c>
      <c r="S2631" s="1088"/>
      <c r="T2631" s="1088"/>
    </row>
    <row r="2632" spans="1:24" x14ac:dyDescent="0.3">
      <c r="A2632" s="6" t="s">
        <v>533</v>
      </c>
      <c r="B2632" s="6" t="s">
        <v>534</v>
      </c>
      <c r="C2632" s="6" t="s">
        <v>35</v>
      </c>
      <c r="D2632" s="1088" t="s">
        <v>567</v>
      </c>
      <c r="E2632" s="6" t="s">
        <v>194</v>
      </c>
      <c r="F2632" s="6" t="s">
        <v>2150</v>
      </c>
      <c r="G2632" s="6" t="s">
        <v>2175</v>
      </c>
      <c r="H2632" s="6" t="s">
        <v>2176</v>
      </c>
      <c r="J2632" s="1215" t="s">
        <v>511</v>
      </c>
      <c r="K2632" s="1219" t="s">
        <v>3109</v>
      </c>
      <c r="L2632" s="8">
        <v>10</v>
      </c>
      <c r="M2632" s="8">
        <v>30</v>
      </c>
      <c r="N2632" s="1169" t="s">
        <v>271</v>
      </c>
      <c r="P2632" s="6" t="s">
        <v>3361</v>
      </c>
      <c r="Q2632" s="1215" t="s">
        <v>240</v>
      </c>
      <c r="R2632" s="1168" t="s">
        <v>242</v>
      </c>
      <c r="S2632" s="1088"/>
      <c r="T2632" s="1088"/>
    </row>
    <row r="2633" spans="1:24" x14ac:dyDescent="0.3">
      <c r="A2633" s="6" t="s">
        <v>533</v>
      </c>
      <c r="B2633" s="6" t="s">
        <v>534</v>
      </c>
      <c r="C2633" s="6" t="s">
        <v>35</v>
      </c>
      <c r="D2633" s="1088" t="s">
        <v>567</v>
      </c>
      <c r="E2633" s="6" t="s">
        <v>194</v>
      </c>
      <c r="F2633" s="6" t="s">
        <v>2150</v>
      </c>
      <c r="G2633" s="6" t="s">
        <v>2175</v>
      </c>
      <c r="H2633" s="6" t="s">
        <v>2176</v>
      </c>
      <c r="J2633" s="1215" t="s">
        <v>511</v>
      </c>
      <c r="K2633" s="1219" t="s">
        <v>3110</v>
      </c>
      <c r="L2633" s="8">
        <v>0</v>
      </c>
      <c r="M2633" s="8">
        <v>3</v>
      </c>
      <c r="N2633" s="1169" t="s">
        <v>271</v>
      </c>
      <c r="P2633" s="6" t="s">
        <v>3361</v>
      </c>
      <c r="Q2633" s="1215" t="s">
        <v>240</v>
      </c>
      <c r="R2633" s="1168" t="s">
        <v>242</v>
      </c>
      <c r="S2633" s="1088"/>
      <c r="T2633" s="1088"/>
    </row>
    <row r="2634" spans="1:24" x14ac:dyDescent="0.3">
      <c r="A2634" s="6" t="s">
        <v>533</v>
      </c>
      <c r="B2634" s="6" t="s">
        <v>534</v>
      </c>
      <c r="C2634" s="6" t="s">
        <v>35</v>
      </c>
      <c r="D2634" s="1088" t="s">
        <v>567</v>
      </c>
      <c r="E2634" s="6" t="s">
        <v>194</v>
      </c>
      <c r="F2634" s="6" t="s">
        <v>2150</v>
      </c>
      <c r="G2634" s="6" t="s">
        <v>2175</v>
      </c>
      <c r="H2634" s="6" t="s">
        <v>2176</v>
      </c>
      <c r="J2634" s="1215" t="s">
        <v>511</v>
      </c>
      <c r="K2634" s="1219" t="s">
        <v>3111</v>
      </c>
      <c r="L2634" s="8">
        <v>0</v>
      </c>
      <c r="M2634" s="8">
        <v>1</v>
      </c>
      <c r="N2634" s="1169" t="s">
        <v>271</v>
      </c>
      <c r="P2634" s="6" t="s">
        <v>3361</v>
      </c>
      <c r="Q2634" s="1215" t="s">
        <v>240</v>
      </c>
      <c r="R2634" s="1168" t="s">
        <v>242</v>
      </c>
      <c r="S2634" s="1088"/>
      <c r="T2634" s="1088"/>
    </row>
    <row r="2635" spans="1:24" x14ac:dyDescent="0.3">
      <c r="A2635" s="6" t="s">
        <v>533</v>
      </c>
      <c r="B2635" s="6" t="s">
        <v>534</v>
      </c>
      <c r="C2635" s="6" t="s">
        <v>35</v>
      </c>
      <c r="D2635" s="1088" t="s">
        <v>567</v>
      </c>
      <c r="E2635" s="1088" t="s">
        <v>194</v>
      </c>
      <c r="F2635" s="6" t="s">
        <v>2150</v>
      </c>
      <c r="G2635" s="6" t="s">
        <v>2175</v>
      </c>
      <c r="H2635" s="6" t="s">
        <v>2176</v>
      </c>
      <c r="J2635" s="1215" t="s">
        <v>511</v>
      </c>
      <c r="K2635" s="1219" t="s">
        <v>3112</v>
      </c>
      <c r="L2635" s="8">
        <v>2</v>
      </c>
      <c r="M2635" s="8">
        <v>12</v>
      </c>
      <c r="N2635" s="1169" t="s">
        <v>271</v>
      </c>
      <c r="P2635" s="6" t="s">
        <v>3361</v>
      </c>
      <c r="Q2635" s="1215" t="s">
        <v>240</v>
      </c>
      <c r="R2635" s="1168" t="s">
        <v>242</v>
      </c>
      <c r="S2635" s="1088"/>
      <c r="T2635" s="1088"/>
    </row>
    <row r="2636" spans="1:24" x14ac:dyDescent="0.3">
      <c r="A2636" s="6" t="s">
        <v>533</v>
      </c>
      <c r="B2636" s="6" t="s">
        <v>534</v>
      </c>
      <c r="C2636" s="6" t="s">
        <v>35</v>
      </c>
      <c r="D2636" s="1088" t="s">
        <v>567</v>
      </c>
      <c r="E2636" s="1088" t="s">
        <v>194</v>
      </c>
      <c r="F2636" s="6" t="s">
        <v>2150</v>
      </c>
      <c r="G2636" s="6" t="s">
        <v>2198</v>
      </c>
      <c r="H2636" s="6" t="s">
        <v>2199</v>
      </c>
      <c r="J2636" s="1215" t="s">
        <v>511</v>
      </c>
      <c r="K2636" s="1219" t="s">
        <v>3033</v>
      </c>
      <c r="L2636" s="8">
        <v>6</v>
      </c>
      <c r="M2636" s="8">
        <v>34</v>
      </c>
      <c r="N2636" s="1169" t="s">
        <v>271</v>
      </c>
      <c r="P2636" s="6" t="s">
        <v>3361</v>
      </c>
      <c r="Q2636" s="1215" t="s">
        <v>240</v>
      </c>
      <c r="R2636" s="1168" t="s">
        <v>242</v>
      </c>
      <c r="S2636" s="1088"/>
      <c r="T2636" s="1088"/>
    </row>
    <row r="2637" spans="1:24" x14ac:dyDescent="0.3">
      <c r="A2637" s="6" t="s">
        <v>533</v>
      </c>
      <c r="B2637" s="6" t="s">
        <v>534</v>
      </c>
      <c r="C2637" s="6" t="s">
        <v>35</v>
      </c>
      <c r="D2637" s="1088" t="s">
        <v>567</v>
      </c>
      <c r="E2637" s="6" t="s">
        <v>194</v>
      </c>
      <c r="F2637" s="6" t="s">
        <v>2150</v>
      </c>
      <c r="G2637" s="6" t="s">
        <v>2198</v>
      </c>
      <c r="H2637" s="6" t="s">
        <v>2199</v>
      </c>
      <c r="J2637" s="1215" t="s">
        <v>511</v>
      </c>
      <c r="K2637" s="1219" t="s">
        <v>3109</v>
      </c>
      <c r="L2637" s="8">
        <v>0</v>
      </c>
      <c r="M2637" s="8">
        <v>1</v>
      </c>
      <c r="N2637" s="1169" t="s">
        <v>271</v>
      </c>
      <c r="P2637" s="6" t="s">
        <v>3361</v>
      </c>
      <c r="Q2637" s="1215" t="s">
        <v>240</v>
      </c>
      <c r="R2637" s="1168" t="s">
        <v>242</v>
      </c>
      <c r="S2637" s="1088"/>
      <c r="T2637" s="1088"/>
    </row>
    <row r="2638" spans="1:24" x14ac:dyDescent="0.3">
      <c r="A2638" s="6" t="s">
        <v>533</v>
      </c>
      <c r="B2638" s="6" t="s">
        <v>534</v>
      </c>
      <c r="C2638" s="6" t="s">
        <v>35</v>
      </c>
      <c r="D2638" s="1088" t="s">
        <v>567</v>
      </c>
      <c r="E2638" s="6" t="s">
        <v>194</v>
      </c>
      <c r="F2638" s="6" t="s">
        <v>2150</v>
      </c>
      <c r="G2638" s="6" t="s">
        <v>2198</v>
      </c>
      <c r="H2638" s="6" t="s">
        <v>2199</v>
      </c>
      <c r="J2638" s="1215" t="s">
        <v>511</v>
      </c>
      <c r="K2638" s="1219" t="s">
        <v>3110</v>
      </c>
      <c r="L2638" s="8">
        <v>3</v>
      </c>
      <c r="M2638" s="8">
        <v>8</v>
      </c>
      <c r="N2638" s="1169" t="s">
        <v>271</v>
      </c>
      <c r="P2638" s="6" t="s">
        <v>3361</v>
      </c>
      <c r="Q2638" s="1215" t="s">
        <v>240</v>
      </c>
      <c r="R2638" s="1168" t="s">
        <v>242</v>
      </c>
      <c r="S2638" s="1088"/>
      <c r="T2638" s="1088"/>
    </row>
    <row r="2639" spans="1:24" x14ac:dyDescent="0.3">
      <c r="A2639" s="6" t="s">
        <v>533</v>
      </c>
      <c r="B2639" s="6" t="s">
        <v>534</v>
      </c>
      <c r="C2639" s="6" t="s">
        <v>35</v>
      </c>
      <c r="D2639" s="1088" t="s">
        <v>567</v>
      </c>
      <c r="E2639" s="6" t="s">
        <v>194</v>
      </c>
      <c r="F2639" s="6" t="s">
        <v>2150</v>
      </c>
      <c r="G2639" s="6" t="s">
        <v>2198</v>
      </c>
      <c r="H2639" s="6" t="s">
        <v>2199</v>
      </c>
      <c r="J2639" s="1215" t="s">
        <v>511</v>
      </c>
      <c r="K2639" s="1219" t="s">
        <v>3111</v>
      </c>
      <c r="L2639" s="8">
        <v>3</v>
      </c>
      <c r="M2639" s="8">
        <v>13</v>
      </c>
      <c r="N2639" s="1169" t="s">
        <v>271</v>
      </c>
      <c r="P2639" s="6" t="s">
        <v>3361</v>
      </c>
      <c r="Q2639" s="1215" t="s">
        <v>240</v>
      </c>
      <c r="R2639" s="1168" t="s">
        <v>242</v>
      </c>
      <c r="S2639" s="1088"/>
      <c r="T2639" s="1088"/>
    </row>
    <row r="2640" spans="1:24" x14ac:dyDescent="0.3">
      <c r="A2640" s="6" t="s">
        <v>533</v>
      </c>
      <c r="B2640" s="6" t="s">
        <v>534</v>
      </c>
      <c r="C2640" s="6" t="s">
        <v>31</v>
      </c>
      <c r="D2640" s="1088" t="s">
        <v>549</v>
      </c>
      <c r="E2640" s="6" t="s">
        <v>169</v>
      </c>
      <c r="F2640" s="6" t="s">
        <v>673</v>
      </c>
      <c r="G2640" s="6" t="s">
        <v>2981</v>
      </c>
      <c r="H2640" s="6" t="s">
        <v>1633</v>
      </c>
      <c r="J2640" s="1215" t="s">
        <v>511</v>
      </c>
      <c r="K2640" s="1219" t="s">
        <v>3111</v>
      </c>
      <c r="L2640" s="8">
        <v>5</v>
      </c>
      <c r="M2640" s="8">
        <v>30</v>
      </c>
      <c r="N2640" s="1169" t="s">
        <v>274</v>
      </c>
      <c r="P2640" s="6" t="s">
        <v>3361</v>
      </c>
      <c r="Q2640" s="1215" t="s">
        <v>241</v>
      </c>
      <c r="R2640" s="1168" t="s">
        <v>243</v>
      </c>
      <c r="S2640" s="1088"/>
      <c r="T2640" s="1088"/>
    </row>
    <row r="2641" spans="1:24" x14ac:dyDescent="0.3">
      <c r="A2641" s="6" t="s">
        <v>533</v>
      </c>
      <c r="B2641" s="6" t="s">
        <v>534</v>
      </c>
      <c r="C2641" s="6" t="s">
        <v>31</v>
      </c>
      <c r="D2641" s="1088" t="s">
        <v>549</v>
      </c>
      <c r="E2641" s="6" t="s">
        <v>169</v>
      </c>
      <c r="F2641" s="6" t="s">
        <v>673</v>
      </c>
      <c r="G2641" s="6" t="s">
        <v>2989</v>
      </c>
      <c r="H2641" s="6" t="s">
        <v>2356</v>
      </c>
      <c r="J2641" s="1215" t="s">
        <v>511</v>
      </c>
      <c r="K2641" s="1219" t="s">
        <v>3111</v>
      </c>
      <c r="L2641" s="8">
        <v>85</v>
      </c>
      <c r="M2641" s="8">
        <v>520</v>
      </c>
      <c r="N2641" s="1169" t="s">
        <v>274</v>
      </c>
      <c r="P2641" s="6" t="s">
        <v>3361</v>
      </c>
      <c r="Q2641" s="1215" t="s">
        <v>241</v>
      </c>
      <c r="R2641" s="1168" t="s">
        <v>243</v>
      </c>
      <c r="S2641" s="1088"/>
      <c r="T2641" s="1088"/>
    </row>
    <row r="2642" spans="1:24" x14ac:dyDescent="0.3">
      <c r="A2642" s="6" t="s">
        <v>533</v>
      </c>
      <c r="B2642" s="6" t="s">
        <v>534</v>
      </c>
      <c r="C2642" s="6" t="s">
        <v>31</v>
      </c>
      <c r="D2642" s="1088" t="s">
        <v>549</v>
      </c>
      <c r="E2642" s="1088" t="s">
        <v>169</v>
      </c>
      <c r="F2642" s="6" t="s">
        <v>673</v>
      </c>
      <c r="G2642" s="6" t="s">
        <v>2989</v>
      </c>
      <c r="H2642" s="6" t="s">
        <v>2356</v>
      </c>
      <c r="J2642" s="1215" t="s">
        <v>511</v>
      </c>
      <c r="K2642" s="1219" t="s">
        <v>3112</v>
      </c>
      <c r="L2642" s="8">
        <v>14</v>
      </c>
      <c r="M2642" s="8">
        <v>100</v>
      </c>
      <c r="N2642" s="1169" t="s">
        <v>274</v>
      </c>
      <c r="P2642" s="6" t="s">
        <v>3361</v>
      </c>
      <c r="Q2642" s="1215" t="s">
        <v>241</v>
      </c>
      <c r="R2642" s="1168" t="s">
        <v>243</v>
      </c>
      <c r="S2642" s="1088"/>
      <c r="T2642" s="1088"/>
    </row>
    <row r="2643" spans="1:24" x14ac:dyDescent="0.3">
      <c r="A2643" s="6" t="s">
        <v>533</v>
      </c>
      <c r="B2643" s="6" t="s">
        <v>534</v>
      </c>
      <c r="C2643" s="6" t="s">
        <v>31</v>
      </c>
      <c r="D2643" s="1088" t="s">
        <v>549</v>
      </c>
      <c r="E2643" s="1088" t="s">
        <v>171</v>
      </c>
      <c r="F2643" s="6" t="s">
        <v>634</v>
      </c>
      <c r="G2643" s="6" t="s">
        <v>1829</v>
      </c>
      <c r="H2643" s="6" t="s">
        <v>1358</v>
      </c>
      <c r="J2643" s="1215" t="s">
        <v>511</v>
      </c>
      <c r="K2643" s="1219" t="s">
        <v>3033</v>
      </c>
      <c r="L2643" s="8">
        <v>18</v>
      </c>
      <c r="M2643" s="8">
        <v>96</v>
      </c>
      <c r="N2643" s="1169" t="s">
        <v>271</v>
      </c>
      <c r="P2643" s="6" t="s">
        <v>3323</v>
      </c>
      <c r="Q2643" s="1215" t="s">
        <v>253</v>
      </c>
      <c r="R2643" s="1215" t="s">
        <v>255</v>
      </c>
      <c r="S2643" s="1215" t="s">
        <v>534</v>
      </c>
      <c r="T2643" s="1215" t="s">
        <v>533</v>
      </c>
      <c r="U2643" s="6" t="s">
        <v>549</v>
      </c>
      <c r="V2643" s="6" t="s">
        <v>31</v>
      </c>
      <c r="W2643" s="6" t="s">
        <v>844</v>
      </c>
      <c r="X2643" s="6" t="s">
        <v>166</v>
      </c>
    </row>
    <row r="2644" spans="1:24" x14ac:dyDescent="0.3">
      <c r="A2644" s="6" t="s">
        <v>533</v>
      </c>
      <c r="B2644" s="6" t="s">
        <v>534</v>
      </c>
      <c r="C2644" s="6" t="s">
        <v>34</v>
      </c>
      <c r="D2644" s="1088" t="s">
        <v>539</v>
      </c>
      <c r="E2644" s="6" t="s">
        <v>188</v>
      </c>
      <c r="F2644" s="6" t="s">
        <v>546</v>
      </c>
      <c r="G2644" s="6" t="s">
        <v>1070</v>
      </c>
      <c r="H2644" s="6" t="s">
        <v>1178</v>
      </c>
      <c r="J2644" s="1215" t="s">
        <v>511</v>
      </c>
      <c r="K2644" s="1219" t="s">
        <v>3109</v>
      </c>
      <c r="L2644" s="8">
        <v>5</v>
      </c>
      <c r="M2644" s="8">
        <v>31</v>
      </c>
      <c r="N2644" s="1169" t="s">
        <v>271</v>
      </c>
      <c r="P2644" s="6" t="s">
        <v>3324</v>
      </c>
      <c r="Q2644" s="1215" t="s">
        <v>253</v>
      </c>
      <c r="R2644" s="1215" t="s">
        <v>255</v>
      </c>
      <c r="S2644" s="1215" t="s">
        <v>534</v>
      </c>
      <c r="T2644" s="1215" t="s">
        <v>533</v>
      </c>
      <c r="U2644" s="6" t="s">
        <v>539</v>
      </c>
      <c r="V2644" s="6" t="s">
        <v>34</v>
      </c>
      <c r="W2644" s="6" t="s">
        <v>546</v>
      </c>
      <c r="X2644" s="6" t="s">
        <v>188</v>
      </c>
    </row>
    <row r="2645" spans="1:24" x14ac:dyDescent="0.3">
      <c r="A2645" s="6" t="s">
        <v>533</v>
      </c>
      <c r="B2645" s="6" t="s">
        <v>534</v>
      </c>
      <c r="C2645" s="6" t="s">
        <v>34</v>
      </c>
      <c r="D2645" s="1088" t="s">
        <v>539</v>
      </c>
      <c r="E2645" s="6" t="s">
        <v>188</v>
      </c>
      <c r="F2645" s="6" t="s">
        <v>546</v>
      </c>
      <c r="G2645" s="6" t="s">
        <v>1070</v>
      </c>
      <c r="H2645" s="6" t="s">
        <v>1178</v>
      </c>
      <c r="J2645" s="1215" t="s">
        <v>511</v>
      </c>
      <c r="K2645" s="1219" t="s">
        <v>3110</v>
      </c>
      <c r="L2645" s="8">
        <v>0</v>
      </c>
      <c r="M2645" s="8">
        <v>9</v>
      </c>
      <c r="N2645" s="1169" t="s">
        <v>271</v>
      </c>
      <c r="P2645" s="6" t="s">
        <v>3324</v>
      </c>
      <c r="Q2645" s="1215" t="s">
        <v>253</v>
      </c>
      <c r="R2645" s="1215" t="s">
        <v>255</v>
      </c>
      <c r="S2645" s="1215" t="s">
        <v>534</v>
      </c>
      <c r="T2645" s="1215" t="s">
        <v>533</v>
      </c>
      <c r="U2645" s="6" t="s">
        <v>539</v>
      </c>
      <c r="V2645" s="6" t="s">
        <v>34</v>
      </c>
      <c r="W2645" s="6" t="s">
        <v>546</v>
      </c>
      <c r="X2645" s="6" t="s">
        <v>188</v>
      </c>
    </row>
    <row r="2646" spans="1:24" x14ac:dyDescent="0.3">
      <c r="A2646" s="6" t="s">
        <v>533</v>
      </c>
      <c r="B2646" s="6" t="s">
        <v>534</v>
      </c>
      <c r="C2646" s="6" t="s">
        <v>34</v>
      </c>
      <c r="D2646" s="1088" t="s">
        <v>539</v>
      </c>
      <c r="E2646" s="6" t="s">
        <v>188</v>
      </c>
      <c r="F2646" s="6" t="s">
        <v>546</v>
      </c>
      <c r="G2646" s="6" t="s">
        <v>1070</v>
      </c>
      <c r="H2646" s="6" t="s">
        <v>1178</v>
      </c>
      <c r="J2646" s="1215" t="s">
        <v>511</v>
      </c>
      <c r="K2646" s="1219" t="s">
        <v>3111</v>
      </c>
      <c r="L2646" s="8">
        <v>3</v>
      </c>
      <c r="M2646" s="8">
        <v>24</v>
      </c>
      <c r="N2646" s="1169" t="s">
        <v>271</v>
      </c>
      <c r="P2646" s="6" t="s">
        <v>3324</v>
      </c>
      <c r="Q2646" s="1215" t="s">
        <v>253</v>
      </c>
      <c r="R2646" s="1215" t="s">
        <v>255</v>
      </c>
      <c r="S2646" s="1215" t="s">
        <v>534</v>
      </c>
      <c r="T2646" s="1215" t="s">
        <v>533</v>
      </c>
      <c r="U2646" s="6" t="s">
        <v>539</v>
      </c>
      <c r="V2646" s="6" t="s">
        <v>34</v>
      </c>
      <c r="W2646" s="6" t="s">
        <v>546</v>
      </c>
      <c r="X2646" s="6" t="s">
        <v>188</v>
      </c>
    </row>
    <row r="2647" spans="1:24" x14ac:dyDescent="0.3">
      <c r="A2647" s="6" t="s">
        <v>533</v>
      </c>
      <c r="B2647" s="6" t="s">
        <v>534</v>
      </c>
      <c r="C2647" s="6" t="s">
        <v>34</v>
      </c>
      <c r="D2647" s="1088" t="s">
        <v>539</v>
      </c>
      <c r="E2647" s="6" t="s">
        <v>188</v>
      </c>
      <c r="F2647" s="6" t="s">
        <v>546</v>
      </c>
      <c r="G2647" s="6" t="s">
        <v>1070</v>
      </c>
      <c r="H2647" s="6" t="s">
        <v>1178</v>
      </c>
      <c r="J2647" s="1215" t="s">
        <v>511</v>
      </c>
      <c r="K2647" s="1219" t="s">
        <v>3112</v>
      </c>
      <c r="L2647" s="8">
        <v>0</v>
      </c>
      <c r="M2647" s="8">
        <v>9</v>
      </c>
      <c r="N2647" s="1088" t="s">
        <v>271</v>
      </c>
      <c r="P2647" s="6" t="s">
        <v>3324</v>
      </c>
      <c r="Q2647" s="1215" t="s">
        <v>253</v>
      </c>
      <c r="R2647" s="1215" t="s">
        <v>255</v>
      </c>
      <c r="S2647" s="1215" t="s">
        <v>534</v>
      </c>
      <c r="T2647" s="1215" t="s">
        <v>533</v>
      </c>
      <c r="U2647" s="6" t="s">
        <v>539</v>
      </c>
      <c r="V2647" s="6" t="s">
        <v>34</v>
      </c>
      <c r="W2647" s="6" t="s">
        <v>546</v>
      </c>
      <c r="X2647" s="6" t="s">
        <v>188</v>
      </c>
    </row>
    <row r="2648" spans="1:24" x14ac:dyDescent="0.3">
      <c r="A2648" s="6" t="s">
        <v>533</v>
      </c>
      <c r="B2648" s="6" t="s">
        <v>534</v>
      </c>
      <c r="C2648" s="6" t="s">
        <v>35</v>
      </c>
      <c r="D2648" s="1088" t="s">
        <v>567</v>
      </c>
      <c r="E2648" s="6" t="s">
        <v>194</v>
      </c>
      <c r="F2648" s="6" t="s">
        <v>2150</v>
      </c>
      <c r="G2648" s="6" t="s">
        <v>2208</v>
      </c>
      <c r="H2648" s="6" t="s">
        <v>2209</v>
      </c>
      <c r="J2648" s="1215" t="s">
        <v>511</v>
      </c>
      <c r="K2648" s="1219" t="s">
        <v>3033</v>
      </c>
      <c r="L2648" s="8">
        <v>2</v>
      </c>
      <c r="M2648" s="8">
        <v>8</v>
      </c>
      <c r="N2648" s="1088" t="s">
        <v>271</v>
      </c>
      <c r="P2648" s="6" t="s">
        <v>3361</v>
      </c>
      <c r="Q2648" s="1215" t="s">
        <v>240</v>
      </c>
      <c r="R2648" s="1088" t="s">
        <v>242</v>
      </c>
      <c r="S2648" s="1088"/>
      <c r="T2648" s="1088"/>
    </row>
    <row r="2649" spans="1:24" x14ac:dyDescent="0.3">
      <c r="A2649" s="6" t="s">
        <v>533</v>
      </c>
      <c r="B2649" s="6" t="s">
        <v>534</v>
      </c>
      <c r="C2649" s="6" t="s">
        <v>35</v>
      </c>
      <c r="D2649" s="1088" t="s">
        <v>567</v>
      </c>
      <c r="E2649" s="6" t="s">
        <v>194</v>
      </c>
      <c r="F2649" s="6" t="s">
        <v>2150</v>
      </c>
      <c r="G2649" s="6" t="s">
        <v>2208</v>
      </c>
      <c r="H2649" s="6" t="s">
        <v>2209</v>
      </c>
      <c r="J2649" s="1215" t="s">
        <v>511</v>
      </c>
      <c r="K2649" s="1219" t="s">
        <v>3110</v>
      </c>
      <c r="L2649" s="8">
        <v>1</v>
      </c>
      <c r="M2649" s="8">
        <v>4</v>
      </c>
      <c r="N2649" s="1088" t="s">
        <v>271</v>
      </c>
      <c r="P2649" s="6" t="s">
        <v>3361</v>
      </c>
      <c r="Q2649" s="1215" t="s">
        <v>240</v>
      </c>
      <c r="R2649" s="1088" t="s">
        <v>242</v>
      </c>
      <c r="S2649" s="1088"/>
      <c r="T2649" s="1088"/>
    </row>
    <row r="2650" spans="1:24" x14ac:dyDescent="0.3">
      <c r="A2650" s="6" t="s">
        <v>533</v>
      </c>
      <c r="B2650" s="6" t="s">
        <v>534</v>
      </c>
      <c r="C2650" s="6" t="s">
        <v>35</v>
      </c>
      <c r="D2650" s="1088" t="s">
        <v>567</v>
      </c>
      <c r="E2650" s="1088" t="s">
        <v>194</v>
      </c>
      <c r="F2650" s="6" t="s">
        <v>2150</v>
      </c>
      <c r="G2650" s="6" t="s">
        <v>2208</v>
      </c>
      <c r="H2650" s="6" t="s">
        <v>2209</v>
      </c>
      <c r="J2650" s="1215" t="s">
        <v>511</v>
      </c>
      <c r="K2650" s="1219" t="s">
        <v>3111</v>
      </c>
      <c r="L2650" s="8">
        <v>0</v>
      </c>
      <c r="M2650" s="8">
        <v>3</v>
      </c>
      <c r="N2650" s="1169" t="s">
        <v>271</v>
      </c>
      <c r="P2650" s="6" t="s">
        <v>3361</v>
      </c>
      <c r="Q2650" s="1215" t="s">
        <v>240</v>
      </c>
      <c r="R2650" s="1168" t="s">
        <v>242</v>
      </c>
      <c r="S2650" s="1088"/>
      <c r="T2650" s="1088"/>
    </row>
    <row r="2651" spans="1:24" x14ac:dyDescent="0.3">
      <c r="A2651" s="6" t="s">
        <v>533</v>
      </c>
      <c r="B2651" s="6" t="s">
        <v>534</v>
      </c>
      <c r="C2651" s="6" t="s">
        <v>35</v>
      </c>
      <c r="D2651" s="1088" t="s">
        <v>567</v>
      </c>
      <c r="E2651" s="6" t="s">
        <v>194</v>
      </c>
      <c r="F2651" s="6" t="s">
        <v>2150</v>
      </c>
      <c r="G2651" s="6" t="s">
        <v>2192</v>
      </c>
      <c r="H2651" s="6" t="s">
        <v>2193</v>
      </c>
      <c r="J2651" s="1215" t="s">
        <v>511</v>
      </c>
      <c r="K2651" s="1219" t="s">
        <v>3033</v>
      </c>
      <c r="L2651" s="8">
        <v>45</v>
      </c>
      <c r="M2651" s="8">
        <v>273</v>
      </c>
      <c r="N2651" s="1169" t="s">
        <v>271</v>
      </c>
      <c r="P2651" s="6" t="s">
        <v>3361</v>
      </c>
      <c r="Q2651" s="1215" t="s">
        <v>240</v>
      </c>
      <c r="R2651" s="1168" t="s">
        <v>242</v>
      </c>
      <c r="S2651" s="1088"/>
      <c r="T2651" s="1088"/>
    </row>
    <row r="2652" spans="1:24" x14ac:dyDescent="0.3">
      <c r="A2652" s="6" t="s">
        <v>533</v>
      </c>
      <c r="B2652" s="6" t="s">
        <v>534</v>
      </c>
      <c r="C2652" s="6" t="s">
        <v>35</v>
      </c>
      <c r="D2652" s="1088" t="s">
        <v>567</v>
      </c>
      <c r="E2652" s="6" t="s">
        <v>194</v>
      </c>
      <c r="F2652" s="6" t="s">
        <v>2150</v>
      </c>
      <c r="G2652" s="6" t="s">
        <v>2192</v>
      </c>
      <c r="H2652" s="6" t="s">
        <v>2193</v>
      </c>
      <c r="J2652" s="1215" t="s">
        <v>511</v>
      </c>
      <c r="K2652" s="1219" t="s">
        <v>3110</v>
      </c>
      <c r="L2652" s="8">
        <v>0</v>
      </c>
      <c r="M2652" s="8">
        <v>4</v>
      </c>
      <c r="N2652" s="1169" t="s">
        <v>271</v>
      </c>
      <c r="P2652" s="6" t="s">
        <v>3361</v>
      </c>
      <c r="Q2652" s="1215" t="s">
        <v>240</v>
      </c>
      <c r="R2652" s="1168" t="s">
        <v>242</v>
      </c>
      <c r="S2652" s="1088"/>
      <c r="T2652" s="1088"/>
    </row>
    <row r="2653" spans="1:24" x14ac:dyDescent="0.3">
      <c r="A2653" s="6" t="s">
        <v>533</v>
      </c>
      <c r="B2653" s="6" t="s">
        <v>534</v>
      </c>
      <c r="C2653" s="6" t="s">
        <v>35</v>
      </c>
      <c r="D2653" s="1088" t="s">
        <v>567</v>
      </c>
      <c r="E2653" s="6" t="s">
        <v>194</v>
      </c>
      <c r="F2653" s="6" t="s">
        <v>2150</v>
      </c>
      <c r="G2653" s="6" t="s">
        <v>2192</v>
      </c>
      <c r="H2653" s="6" t="s">
        <v>2193</v>
      </c>
      <c r="J2653" s="1215" t="s">
        <v>511</v>
      </c>
      <c r="K2653" s="1219" t="s">
        <v>3111</v>
      </c>
      <c r="L2653" s="8">
        <v>0</v>
      </c>
      <c r="M2653" s="8">
        <v>9</v>
      </c>
      <c r="N2653" s="1169" t="s">
        <v>271</v>
      </c>
      <c r="P2653" s="6" t="s">
        <v>3361</v>
      </c>
      <c r="Q2653" s="1215" t="s">
        <v>240</v>
      </c>
      <c r="R2653" s="1168" t="s">
        <v>242</v>
      </c>
      <c r="S2653" s="1088"/>
      <c r="T2653" s="1088"/>
    </row>
    <row r="2654" spans="1:24" x14ac:dyDescent="0.3">
      <c r="A2654" s="6" t="s">
        <v>533</v>
      </c>
      <c r="B2654" s="6" t="s">
        <v>534</v>
      </c>
      <c r="C2654" s="6" t="s">
        <v>35</v>
      </c>
      <c r="D2654" s="1088" t="s">
        <v>567</v>
      </c>
      <c r="E2654" s="6" t="s">
        <v>194</v>
      </c>
      <c r="F2654" s="6" t="s">
        <v>2150</v>
      </c>
      <c r="G2654" s="6" t="s">
        <v>2192</v>
      </c>
      <c r="H2654" s="6" t="s">
        <v>2193</v>
      </c>
      <c r="J2654" s="1215" t="s">
        <v>511</v>
      </c>
      <c r="K2654" s="1219" t="s">
        <v>3112</v>
      </c>
      <c r="L2654" s="8">
        <v>2</v>
      </c>
      <c r="M2654" s="8">
        <v>8</v>
      </c>
      <c r="N2654" s="1169" t="s">
        <v>271</v>
      </c>
      <c r="P2654" s="6" t="s">
        <v>3361</v>
      </c>
      <c r="Q2654" s="1215" t="s">
        <v>240</v>
      </c>
      <c r="R2654" s="1168" t="s">
        <v>242</v>
      </c>
      <c r="S2654" s="1088"/>
      <c r="T2654" s="1088"/>
    </row>
    <row r="2655" spans="1:24" x14ac:dyDescent="0.3">
      <c r="A2655" s="6" t="s">
        <v>533</v>
      </c>
      <c r="B2655" s="6" t="s">
        <v>534</v>
      </c>
      <c r="C2655" s="6" t="s">
        <v>35</v>
      </c>
      <c r="D2655" s="1088" t="s">
        <v>567</v>
      </c>
      <c r="E2655" s="6" t="s">
        <v>194</v>
      </c>
      <c r="F2655" s="6" t="s">
        <v>2150</v>
      </c>
      <c r="G2655" s="6" t="s">
        <v>2210</v>
      </c>
      <c r="H2655" s="6" t="s">
        <v>2211</v>
      </c>
      <c r="J2655" s="1215" t="s">
        <v>511</v>
      </c>
      <c r="K2655" s="1219" t="s">
        <v>3033</v>
      </c>
      <c r="L2655" s="8">
        <v>17</v>
      </c>
      <c r="M2655" s="8">
        <v>87</v>
      </c>
      <c r="N2655" s="1169" t="s">
        <v>271</v>
      </c>
      <c r="P2655" s="6" t="s">
        <v>3361</v>
      </c>
      <c r="Q2655" s="1215" t="s">
        <v>240</v>
      </c>
      <c r="R2655" s="1168" t="s">
        <v>242</v>
      </c>
      <c r="S2655" s="1088"/>
      <c r="T2655" s="1088"/>
    </row>
    <row r="2656" spans="1:24" x14ac:dyDescent="0.3">
      <c r="A2656" s="6" t="s">
        <v>533</v>
      </c>
      <c r="B2656" s="6" t="s">
        <v>534</v>
      </c>
      <c r="C2656" s="6" t="s">
        <v>35</v>
      </c>
      <c r="D2656" s="1088" t="s">
        <v>567</v>
      </c>
      <c r="E2656" s="6" t="s">
        <v>194</v>
      </c>
      <c r="F2656" s="6" t="s">
        <v>2150</v>
      </c>
      <c r="G2656" s="6" t="s">
        <v>2210</v>
      </c>
      <c r="H2656" s="6" t="s">
        <v>2211</v>
      </c>
      <c r="J2656" s="1215" t="s">
        <v>511</v>
      </c>
      <c r="K2656" s="1219" t="s">
        <v>3109</v>
      </c>
      <c r="L2656" s="8">
        <v>1</v>
      </c>
      <c r="M2656" s="8">
        <v>3</v>
      </c>
      <c r="N2656" s="1169" t="s">
        <v>271</v>
      </c>
      <c r="P2656" s="6" t="s">
        <v>3361</v>
      </c>
      <c r="Q2656" s="1215" t="s">
        <v>240</v>
      </c>
      <c r="R2656" s="1168" t="s">
        <v>242</v>
      </c>
      <c r="S2656" s="1088"/>
      <c r="T2656" s="1088"/>
    </row>
    <row r="2657" spans="1:24" x14ac:dyDescent="0.3">
      <c r="A2657" s="6" t="s">
        <v>533</v>
      </c>
      <c r="B2657" s="6" t="s">
        <v>534</v>
      </c>
      <c r="C2657" s="6" t="s">
        <v>35</v>
      </c>
      <c r="D2657" s="6" t="s">
        <v>567</v>
      </c>
      <c r="E2657" s="1088" t="s">
        <v>194</v>
      </c>
      <c r="F2657" s="6" t="s">
        <v>2150</v>
      </c>
      <c r="G2657" s="6" t="s">
        <v>2210</v>
      </c>
      <c r="H2657" s="6" t="s">
        <v>2211</v>
      </c>
      <c r="J2657" s="1215" t="s">
        <v>511</v>
      </c>
      <c r="K2657" s="1219" t="s">
        <v>3111</v>
      </c>
      <c r="L2657" s="8">
        <v>0</v>
      </c>
      <c r="M2657" s="8">
        <v>8</v>
      </c>
      <c r="N2657" s="1169" t="s">
        <v>271</v>
      </c>
      <c r="P2657" s="6" t="s">
        <v>3361</v>
      </c>
      <c r="Q2657" s="1215" t="s">
        <v>240</v>
      </c>
      <c r="R2657" s="1168" t="s">
        <v>242</v>
      </c>
      <c r="S2657" s="1088"/>
      <c r="T2657" s="1088"/>
    </row>
    <row r="2658" spans="1:24" x14ac:dyDescent="0.3">
      <c r="A2658" s="6" t="s">
        <v>533</v>
      </c>
      <c r="B2658" s="6" t="s">
        <v>534</v>
      </c>
      <c r="C2658" s="6" t="s">
        <v>35</v>
      </c>
      <c r="D2658" s="1088" t="s">
        <v>567</v>
      </c>
      <c r="E2658" s="6" t="s">
        <v>194</v>
      </c>
      <c r="F2658" s="6" t="s">
        <v>2150</v>
      </c>
      <c r="G2658" s="6" t="s">
        <v>2163</v>
      </c>
      <c r="H2658" s="6" t="s">
        <v>2164</v>
      </c>
      <c r="J2658" s="1215" t="s">
        <v>511</v>
      </c>
      <c r="K2658" s="1219" t="s">
        <v>3033</v>
      </c>
      <c r="L2658" s="8">
        <v>50</v>
      </c>
      <c r="M2658" s="8">
        <v>152</v>
      </c>
      <c r="N2658" s="1169" t="s">
        <v>271</v>
      </c>
      <c r="P2658" s="6" t="s">
        <v>3361</v>
      </c>
      <c r="Q2658" s="1215" t="s">
        <v>240</v>
      </c>
      <c r="R2658" s="1168" t="s">
        <v>242</v>
      </c>
      <c r="S2658" s="1088"/>
      <c r="T2658" s="1088"/>
    </row>
    <row r="2659" spans="1:24" x14ac:dyDescent="0.3">
      <c r="A2659" s="6" t="s">
        <v>533</v>
      </c>
      <c r="B2659" s="6" t="s">
        <v>534</v>
      </c>
      <c r="C2659" s="6" t="s">
        <v>35</v>
      </c>
      <c r="D2659" s="1088" t="s">
        <v>567</v>
      </c>
      <c r="E2659" s="6" t="s">
        <v>194</v>
      </c>
      <c r="F2659" s="6" t="s">
        <v>2150</v>
      </c>
      <c r="G2659" s="6" t="s">
        <v>2163</v>
      </c>
      <c r="H2659" s="6" t="s">
        <v>2164</v>
      </c>
      <c r="J2659" s="1215" t="s">
        <v>511</v>
      </c>
      <c r="K2659" s="1219" t="s">
        <v>3110</v>
      </c>
      <c r="L2659" s="8">
        <v>0</v>
      </c>
      <c r="M2659" s="8">
        <v>2</v>
      </c>
      <c r="N2659" s="1169" t="s">
        <v>271</v>
      </c>
      <c r="P2659" s="6" t="s">
        <v>3361</v>
      </c>
      <c r="Q2659" s="1215" t="s">
        <v>240</v>
      </c>
      <c r="R2659" s="1168" t="s">
        <v>242</v>
      </c>
      <c r="S2659" s="1088"/>
      <c r="T2659" s="1088"/>
    </row>
    <row r="2660" spans="1:24" x14ac:dyDescent="0.3">
      <c r="A2660" s="6" t="s">
        <v>533</v>
      </c>
      <c r="B2660" s="6" t="s">
        <v>534</v>
      </c>
      <c r="C2660" s="6" t="s">
        <v>35</v>
      </c>
      <c r="D2660" s="1088" t="s">
        <v>567</v>
      </c>
      <c r="E2660" s="6" t="s">
        <v>194</v>
      </c>
      <c r="F2660" s="6" t="s">
        <v>2150</v>
      </c>
      <c r="G2660" s="6" t="s">
        <v>2165</v>
      </c>
      <c r="H2660" s="6" t="s">
        <v>2166</v>
      </c>
      <c r="J2660" s="1215" t="s">
        <v>511</v>
      </c>
      <c r="K2660" s="1219" t="s">
        <v>3033</v>
      </c>
      <c r="L2660" s="8">
        <v>5</v>
      </c>
      <c r="M2660" s="8">
        <v>31</v>
      </c>
      <c r="N2660" s="1169" t="s">
        <v>271</v>
      </c>
      <c r="P2660" s="6" t="s">
        <v>3361</v>
      </c>
      <c r="Q2660" s="1215" t="s">
        <v>240</v>
      </c>
      <c r="R2660" s="1168" t="s">
        <v>242</v>
      </c>
      <c r="S2660" s="1088"/>
      <c r="T2660" s="1088"/>
    </row>
    <row r="2661" spans="1:24" x14ac:dyDescent="0.3">
      <c r="A2661" s="6" t="s">
        <v>533</v>
      </c>
      <c r="B2661" s="6" t="s">
        <v>534</v>
      </c>
      <c r="C2661" s="6" t="s">
        <v>35</v>
      </c>
      <c r="D2661" s="1088" t="s">
        <v>567</v>
      </c>
      <c r="E2661" s="6" t="s">
        <v>194</v>
      </c>
      <c r="F2661" s="6" t="s">
        <v>2150</v>
      </c>
      <c r="G2661" s="6" t="s">
        <v>2165</v>
      </c>
      <c r="H2661" s="6" t="s">
        <v>2166</v>
      </c>
      <c r="J2661" s="1215" t="s">
        <v>511</v>
      </c>
      <c r="K2661" s="1219" t="s">
        <v>3110</v>
      </c>
      <c r="L2661" s="8">
        <v>0</v>
      </c>
      <c r="M2661" s="8">
        <v>7</v>
      </c>
      <c r="N2661" s="1169" t="s">
        <v>271</v>
      </c>
      <c r="P2661" s="6" t="s">
        <v>3361</v>
      </c>
      <c r="Q2661" s="1215" t="s">
        <v>240</v>
      </c>
      <c r="R2661" s="1168" t="s">
        <v>242</v>
      </c>
      <c r="S2661" s="1088"/>
      <c r="T2661" s="1088"/>
    </row>
    <row r="2662" spans="1:24" x14ac:dyDescent="0.3">
      <c r="A2662" s="6" t="s">
        <v>533</v>
      </c>
      <c r="B2662" s="6" t="s">
        <v>534</v>
      </c>
      <c r="C2662" s="6" t="s">
        <v>35</v>
      </c>
      <c r="D2662" s="1088" t="s">
        <v>567</v>
      </c>
      <c r="E2662" s="6" t="s">
        <v>194</v>
      </c>
      <c r="F2662" s="6" t="s">
        <v>2150</v>
      </c>
      <c r="G2662" s="6" t="s">
        <v>2165</v>
      </c>
      <c r="H2662" s="6" t="s">
        <v>2166</v>
      </c>
      <c r="J2662" s="1215" t="s">
        <v>511</v>
      </c>
      <c r="K2662" s="1219" t="s">
        <v>3111</v>
      </c>
      <c r="L2662" s="8">
        <v>0</v>
      </c>
      <c r="M2662" s="8">
        <v>2</v>
      </c>
      <c r="N2662" s="1169" t="s">
        <v>271</v>
      </c>
      <c r="P2662" s="6" t="s">
        <v>3361</v>
      </c>
      <c r="Q2662" s="1215" t="s">
        <v>240</v>
      </c>
      <c r="R2662" s="1168" t="s">
        <v>242</v>
      </c>
      <c r="S2662" s="1088"/>
      <c r="T2662" s="1088"/>
    </row>
    <row r="2663" spans="1:24" x14ac:dyDescent="0.3">
      <c r="A2663" s="6" t="s">
        <v>533</v>
      </c>
      <c r="B2663" s="6" t="s">
        <v>534</v>
      </c>
      <c r="C2663" s="6" t="s">
        <v>35</v>
      </c>
      <c r="D2663" s="1088" t="s">
        <v>567</v>
      </c>
      <c r="E2663" s="6" t="s">
        <v>194</v>
      </c>
      <c r="F2663" s="6" t="s">
        <v>2150</v>
      </c>
      <c r="G2663" s="6" t="s">
        <v>2165</v>
      </c>
      <c r="H2663" s="6" t="s">
        <v>2166</v>
      </c>
      <c r="J2663" s="1215" t="s">
        <v>511</v>
      </c>
      <c r="K2663" s="1219" t="s">
        <v>3112</v>
      </c>
      <c r="L2663" s="8">
        <v>0</v>
      </c>
      <c r="M2663" s="8">
        <v>2</v>
      </c>
      <c r="N2663" s="1169" t="s">
        <v>271</v>
      </c>
      <c r="P2663" s="6" t="s">
        <v>3361</v>
      </c>
      <c r="Q2663" s="1215" t="s">
        <v>240</v>
      </c>
      <c r="R2663" s="1168" t="s">
        <v>242</v>
      </c>
      <c r="S2663" s="1088"/>
      <c r="T2663" s="1088"/>
    </row>
    <row r="2664" spans="1:24" x14ac:dyDescent="0.3">
      <c r="A2664" s="6" t="s">
        <v>533</v>
      </c>
      <c r="B2664" s="6" t="s">
        <v>534</v>
      </c>
      <c r="C2664" s="6" t="s">
        <v>35</v>
      </c>
      <c r="D2664" s="1088" t="s">
        <v>567</v>
      </c>
      <c r="E2664" s="6" t="s">
        <v>194</v>
      </c>
      <c r="F2664" s="6" t="s">
        <v>2150</v>
      </c>
      <c r="G2664" s="6" t="s">
        <v>2221</v>
      </c>
      <c r="H2664" s="6" t="s">
        <v>2222</v>
      </c>
      <c r="J2664" s="1215" t="s">
        <v>511</v>
      </c>
      <c r="K2664" s="1219" t="s">
        <v>3033</v>
      </c>
      <c r="L2664" s="8">
        <v>47</v>
      </c>
      <c r="M2664" s="8">
        <v>133</v>
      </c>
      <c r="N2664" s="1169" t="s">
        <v>271</v>
      </c>
      <c r="P2664" s="6" t="s">
        <v>3361</v>
      </c>
      <c r="Q2664" s="1215" t="s">
        <v>240</v>
      </c>
      <c r="R2664" s="1168" t="s">
        <v>242</v>
      </c>
      <c r="S2664" s="1088"/>
      <c r="T2664" s="1088"/>
    </row>
    <row r="2665" spans="1:24" x14ac:dyDescent="0.3">
      <c r="A2665" s="6" t="s">
        <v>533</v>
      </c>
      <c r="B2665" s="6" t="s">
        <v>534</v>
      </c>
      <c r="C2665" s="6" t="s">
        <v>35</v>
      </c>
      <c r="D2665" s="1088" t="s">
        <v>567</v>
      </c>
      <c r="E2665" s="6" t="s">
        <v>194</v>
      </c>
      <c r="F2665" s="6" t="s">
        <v>2150</v>
      </c>
      <c r="G2665" s="6" t="s">
        <v>2221</v>
      </c>
      <c r="H2665" s="6" t="s">
        <v>2222</v>
      </c>
      <c r="J2665" s="1215" t="s">
        <v>511</v>
      </c>
      <c r="K2665" s="1219" t="s">
        <v>3109</v>
      </c>
      <c r="L2665" s="8">
        <v>0</v>
      </c>
      <c r="M2665" s="8">
        <v>3</v>
      </c>
      <c r="N2665" s="1169" t="s">
        <v>271</v>
      </c>
      <c r="P2665" s="6" t="s">
        <v>3361</v>
      </c>
      <c r="Q2665" s="1215" t="s">
        <v>240</v>
      </c>
      <c r="R2665" s="1168" t="s">
        <v>242</v>
      </c>
      <c r="S2665" s="1088"/>
      <c r="T2665" s="1088"/>
    </row>
    <row r="2666" spans="1:24" x14ac:dyDescent="0.3">
      <c r="A2666" s="6" t="s">
        <v>533</v>
      </c>
      <c r="B2666" s="6" t="s">
        <v>534</v>
      </c>
      <c r="C2666" s="6" t="s">
        <v>35</v>
      </c>
      <c r="D2666" s="1088" t="s">
        <v>567</v>
      </c>
      <c r="E2666" s="6" t="s">
        <v>194</v>
      </c>
      <c r="F2666" s="6" t="s">
        <v>2150</v>
      </c>
      <c r="G2666" s="6" t="s">
        <v>2221</v>
      </c>
      <c r="H2666" s="6" t="s">
        <v>2222</v>
      </c>
      <c r="J2666" s="1215" t="s">
        <v>511</v>
      </c>
      <c r="K2666" s="1219" t="s">
        <v>3110</v>
      </c>
      <c r="L2666" s="8">
        <v>0</v>
      </c>
      <c r="M2666" s="8">
        <v>5</v>
      </c>
      <c r="N2666" s="1169" t="s">
        <v>271</v>
      </c>
      <c r="P2666" s="6" t="s">
        <v>3361</v>
      </c>
      <c r="Q2666" s="1215" t="s">
        <v>240</v>
      </c>
      <c r="R2666" s="1168" t="s">
        <v>242</v>
      </c>
      <c r="S2666" s="1088"/>
      <c r="T2666" s="1088"/>
    </row>
    <row r="2667" spans="1:24" x14ac:dyDescent="0.3">
      <c r="A2667" s="6" t="s">
        <v>533</v>
      </c>
      <c r="B2667" s="6" t="s">
        <v>534</v>
      </c>
      <c r="C2667" s="6" t="s">
        <v>35</v>
      </c>
      <c r="D2667" s="1088" t="s">
        <v>567</v>
      </c>
      <c r="E2667" s="6" t="s">
        <v>194</v>
      </c>
      <c r="F2667" s="6" t="s">
        <v>2150</v>
      </c>
      <c r="G2667" s="6" t="s">
        <v>2221</v>
      </c>
      <c r="H2667" s="6" t="s">
        <v>2222</v>
      </c>
      <c r="J2667" s="1215" t="s">
        <v>511</v>
      </c>
      <c r="K2667" s="1219" t="s">
        <v>3111</v>
      </c>
      <c r="L2667" s="8">
        <v>0</v>
      </c>
      <c r="M2667" s="8">
        <v>8</v>
      </c>
      <c r="N2667" s="6" t="s">
        <v>271</v>
      </c>
      <c r="P2667" s="6" t="s">
        <v>3361</v>
      </c>
      <c r="Q2667" s="1215" t="s">
        <v>240</v>
      </c>
      <c r="R2667" s="1168" t="s">
        <v>242</v>
      </c>
      <c r="S2667" s="1088"/>
      <c r="T2667" s="1088"/>
    </row>
    <row r="2668" spans="1:24" x14ac:dyDescent="0.3">
      <c r="A2668" s="6" t="s">
        <v>533</v>
      </c>
      <c r="B2668" s="6" t="s">
        <v>534</v>
      </c>
      <c r="C2668" s="6" t="s">
        <v>35</v>
      </c>
      <c r="D2668" s="1088" t="s">
        <v>567</v>
      </c>
      <c r="E2668" s="6" t="s">
        <v>192</v>
      </c>
      <c r="F2668" s="6" t="s">
        <v>853</v>
      </c>
      <c r="G2668" s="6" t="s">
        <v>1408</v>
      </c>
      <c r="H2668" s="6" t="s">
        <v>1637</v>
      </c>
      <c r="J2668" s="1215" t="s">
        <v>511</v>
      </c>
      <c r="K2668" s="1219" t="s">
        <v>3111</v>
      </c>
      <c r="L2668" s="8">
        <v>10</v>
      </c>
      <c r="M2668" s="8">
        <v>47</v>
      </c>
      <c r="N2668" s="6" t="s">
        <v>271</v>
      </c>
      <c r="P2668" s="6" t="s">
        <v>3323</v>
      </c>
      <c r="Q2668" s="1215" t="s">
        <v>253</v>
      </c>
      <c r="R2668" s="1215" t="s">
        <v>255</v>
      </c>
      <c r="S2668" s="1215" t="s">
        <v>534</v>
      </c>
      <c r="T2668" s="1215" t="s">
        <v>533</v>
      </c>
      <c r="U2668" s="6" t="s">
        <v>567</v>
      </c>
      <c r="V2668" s="6" t="s">
        <v>35</v>
      </c>
      <c r="W2668" s="6" t="s">
        <v>863</v>
      </c>
      <c r="X2668" s="6" t="s">
        <v>193</v>
      </c>
    </row>
    <row r="2669" spans="1:24" x14ac:dyDescent="0.3">
      <c r="A2669" s="6" t="s">
        <v>533</v>
      </c>
      <c r="B2669" s="6" t="s">
        <v>534</v>
      </c>
      <c r="C2669" s="6" t="s">
        <v>35</v>
      </c>
      <c r="D2669" s="1088" t="s">
        <v>567</v>
      </c>
      <c r="E2669" s="6" t="s">
        <v>192</v>
      </c>
      <c r="F2669" s="6" t="s">
        <v>853</v>
      </c>
      <c r="G2669" s="6" t="s">
        <v>3208</v>
      </c>
      <c r="H2669" s="6" t="s">
        <v>2794</v>
      </c>
      <c r="J2669" s="1215" t="s">
        <v>511</v>
      </c>
      <c r="K2669" s="1219" t="s">
        <v>3112</v>
      </c>
      <c r="L2669" s="8">
        <v>2</v>
      </c>
      <c r="M2669" s="8">
        <v>16</v>
      </c>
      <c r="N2669" s="6" t="s">
        <v>275</v>
      </c>
      <c r="O2669" s="6" t="s">
        <v>3362</v>
      </c>
      <c r="P2669" s="6" t="s">
        <v>743</v>
      </c>
      <c r="Q2669" s="1215" t="s">
        <v>253</v>
      </c>
      <c r="R2669" s="1215" t="s">
        <v>255</v>
      </c>
      <c r="S2669" s="1088" t="s">
        <v>3405</v>
      </c>
      <c r="T2669" s="1088" t="s">
        <v>3326</v>
      </c>
    </row>
    <row r="2670" spans="1:24" x14ac:dyDescent="0.3">
      <c r="A2670" s="6" t="s">
        <v>533</v>
      </c>
      <c r="B2670" s="6" t="s">
        <v>534</v>
      </c>
      <c r="C2670" s="6" t="s">
        <v>31</v>
      </c>
      <c r="D2670" s="1088" t="s">
        <v>549</v>
      </c>
      <c r="E2670" s="6" t="s">
        <v>167</v>
      </c>
      <c r="F2670" s="6" t="s">
        <v>1113</v>
      </c>
      <c r="G2670" s="6" t="s">
        <v>2297</v>
      </c>
      <c r="H2670" s="6" t="s">
        <v>2127</v>
      </c>
      <c r="J2670" s="1215" t="s">
        <v>511</v>
      </c>
      <c r="K2670" s="1219" t="s">
        <v>3110</v>
      </c>
      <c r="L2670" s="8">
        <v>15</v>
      </c>
      <c r="M2670" s="8">
        <v>70</v>
      </c>
      <c r="N2670" s="6" t="s">
        <v>274</v>
      </c>
      <c r="P2670" s="6" t="s">
        <v>3323</v>
      </c>
      <c r="Q2670" s="1215" t="s">
        <v>253</v>
      </c>
      <c r="R2670" s="1215" t="s">
        <v>255</v>
      </c>
      <c r="S2670" s="1215" t="s">
        <v>534</v>
      </c>
      <c r="T2670" s="1215" t="s">
        <v>533</v>
      </c>
      <c r="U2670" s="6" t="s">
        <v>549</v>
      </c>
      <c r="V2670" s="6" t="s">
        <v>31</v>
      </c>
      <c r="W2670" s="6" t="s">
        <v>844</v>
      </c>
      <c r="X2670" s="6" t="s">
        <v>166</v>
      </c>
    </row>
    <row r="2671" spans="1:24" x14ac:dyDescent="0.3">
      <c r="A2671" s="6" t="s">
        <v>533</v>
      </c>
      <c r="B2671" s="6" t="s">
        <v>534</v>
      </c>
      <c r="C2671" s="6" t="s">
        <v>31</v>
      </c>
      <c r="D2671" s="1088" t="s">
        <v>549</v>
      </c>
      <c r="E2671" s="1088" t="s">
        <v>171</v>
      </c>
      <c r="F2671" s="6" t="s">
        <v>634</v>
      </c>
      <c r="G2671" s="6" t="s">
        <v>2606</v>
      </c>
      <c r="H2671" s="6" t="s">
        <v>2169</v>
      </c>
      <c r="J2671" s="1215" t="s">
        <v>511</v>
      </c>
      <c r="K2671" s="1219" t="s">
        <v>3111</v>
      </c>
      <c r="L2671" s="8">
        <v>7</v>
      </c>
      <c r="M2671" s="8">
        <v>20</v>
      </c>
      <c r="N2671" s="6" t="s">
        <v>271</v>
      </c>
      <c r="P2671" s="6" t="s">
        <v>3324</v>
      </c>
      <c r="Q2671" s="1215" t="s">
        <v>253</v>
      </c>
      <c r="R2671" s="1215" t="s">
        <v>255</v>
      </c>
      <c r="S2671" s="1215" t="s">
        <v>534</v>
      </c>
      <c r="T2671" s="1215" t="s">
        <v>533</v>
      </c>
      <c r="U2671" s="6" t="s">
        <v>549</v>
      </c>
      <c r="V2671" s="6" t="s">
        <v>31</v>
      </c>
      <c r="W2671" s="6" t="s">
        <v>634</v>
      </c>
      <c r="X2671" s="6" t="s">
        <v>171</v>
      </c>
    </row>
    <row r="2672" spans="1:24" x14ac:dyDescent="0.3">
      <c r="A2672" s="6" t="s">
        <v>533</v>
      </c>
      <c r="B2672" s="6" t="s">
        <v>534</v>
      </c>
      <c r="C2672" s="6" t="s">
        <v>31</v>
      </c>
      <c r="D2672" s="1088" t="s">
        <v>549</v>
      </c>
      <c r="E2672" s="6" t="s">
        <v>171</v>
      </c>
      <c r="F2672" s="6" t="s">
        <v>634</v>
      </c>
      <c r="G2672" s="6" t="s">
        <v>1392</v>
      </c>
      <c r="H2672" s="6" t="s">
        <v>1539</v>
      </c>
      <c r="J2672" s="1215" t="s">
        <v>511</v>
      </c>
      <c r="K2672" s="1219" t="s">
        <v>3111</v>
      </c>
      <c r="L2672" s="8">
        <v>12</v>
      </c>
      <c r="M2672" s="8">
        <v>60</v>
      </c>
      <c r="N2672" s="6" t="s">
        <v>271</v>
      </c>
      <c r="P2672" s="6" t="s">
        <v>3324</v>
      </c>
      <c r="Q2672" s="1215" t="s">
        <v>253</v>
      </c>
      <c r="R2672" s="1215" t="s">
        <v>255</v>
      </c>
      <c r="S2672" s="1215" t="s">
        <v>534</v>
      </c>
      <c r="T2672" s="1215" t="s">
        <v>533</v>
      </c>
      <c r="U2672" s="6" t="s">
        <v>549</v>
      </c>
      <c r="V2672" s="6" t="s">
        <v>31</v>
      </c>
      <c r="W2672" s="6" t="s">
        <v>634</v>
      </c>
      <c r="X2672" s="6" t="s">
        <v>171</v>
      </c>
    </row>
    <row r="2673" spans="1:24" x14ac:dyDescent="0.3">
      <c r="A2673" s="6" t="s">
        <v>533</v>
      </c>
      <c r="B2673" s="6" t="s">
        <v>534</v>
      </c>
      <c r="C2673" s="6" t="s">
        <v>31</v>
      </c>
      <c r="D2673" s="1088" t="s">
        <v>549</v>
      </c>
      <c r="E2673" s="6" t="s">
        <v>171</v>
      </c>
      <c r="F2673" s="6" t="s">
        <v>634</v>
      </c>
      <c r="G2673" s="6" t="s">
        <v>1278</v>
      </c>
      <c r="H2673" s="6" t="s">
        <v>1543</v>
      </c>
      <c r="J2673" s="1215" t="s">
        <v>511</v>
      </c>
      <c r="K2673" s="1219" t="s">
        <v>3111</v>
      </c>
      <c r="L2673" s="8">
        <v>30</v>
      </c>
      <c r="M2673" s="8">
        <v>158</v>
      </c>
      <c r="N2673" s="6" t="s">
        <v>271</v>
      </c>
      <c r="P2673" s="6" t="s">
        <v>3324</v>
      </c>
      <c r="Q2673" s="1215" t="s">
        <v>253</v>
      </c>
      <c r="R2673" s="1215" t="s">
        <v>255</v>
      </c>
      <c r="S2673" s="1215" t="s">
        <v>534</v>
      </c>
      <c r="T2673" s="1215" t="s">
        <v>533</v>
      </c>
      <c r="U2673" s="6" t="s">
        <v>549</v>
      </c>
      <c r="V2673" s="6" t="s">
        <v>31</v>
      </c>
      <c r="W2673" s="6" t="s">
        <v>634</v>
      </c>
      <c r="X2673" s="6" t="s">
        <v>171</v>
      </c>
    </row>
    <row r="2674" spans="1:24" x14ac:dyDescent="0.3">
      <c r="A2674" s="6" t="s">
        <v>533</v>
      </c>
      <c r="B2674" s="6" t="s">
        <v>534</v>
      </c>
      <c r="C2674" s="6" t="s">
        <v>35</v>
      </c>
      <c r="D2674" s="1088" t="s">
        <v>567</v>
      </c>
      <c r="E2674" s="6" t="s">
        <v>194</v>
      </c>
      <c r="F2674" s="6" t="s">
        <v>2150</v>
      </c>
      <c r="G2674" s="6" t="s">
        <v>2215</v>
      </c>
      <c r="H2674" s="6" t="s">
        <v>2216</v>
      </c>
      <c r="J2674" s="1215" t="s">
        <v>511</v>
      </c>
      <c r="K2674" s="1219" t="s">
        <v>3033</v>
      </c>
      <c r="L2674" s="8">
        <v>15</v>
      </c>
      <c r="M2674" s="8">
        <v>38</v>
      </c>
      <c r="N2674" s="1169" t="s">
        <v>271</v>
      </c>
      <c r="P2674" s="6" t="s">
        <v>3361</v>
      </c>
      <c r="Q2674" s="1215" t="s">
        <v>240</v>
      </c>
      <c r="R2674" s="1168" t="s">
        <v>242</v>
      </c>
      <c r="S2674" s="1088"/>
      <c r="T2674" s="1088"/>
    </row>
    <row r="2675" spans="1:24" x14ac:dyDescent="0.3">
      <c r="A2675" s="6" t="s">
        <v>533</v>
      </c>
      <c r="B2675" s="6" t="s">
        <v>534</v>
      </c>
      <c r="C2675" s="6" t="s">
        <v>35</v>
      </c>
      <c r="D2675" s="1088" t="s">
        <v>567</v>
      </c>
      <c r="E2675" s="6" t="s">
        <v>194</v>
      </c>
      <c r="F2675" s="6" t="s">
        <v>2150</v>
      </c>
      <c r="G2675" s="6" t="s">
        <v>2215</v>
      </c>
      <c r="H2675" s="6" t="s">
        <v>2216</v>
      </c>
      <c r="J2675" s="1215" t="s">
        <v>511</v>
      </c>
      <c r="K2675" s="1219" t="s">
        <v>3109</v>
      </c>
      <c r="L2675" s="8">
        <v>0</v>
      </c>
      <c r="M2675" s="8">
        <v>2</v>
      </c>
      <c r="N2675" s="1169" t="s">
        <v>271</v>
      </c>
      <c r="P2675" s="6" t="s">
        <v>3361</v>
      </c>
      <c r="Q2675" s="1215" t="s">
        <v>240</v>
      </c>
      <c r="R2675" s="1168" t="s">
        <v>242</v>
      </c>
      <c r="S2675" s="1088"/>
      <c r="T2675" s="1088"/>
    </row>
    <row r="2676" spans="1:24" x14ac:dyDescent="0.3">
      <c r="A2676" s="6" t="s">
        <v>533</v>
      </c>
      <c r="B2676" s="6" t="s">
        <v>534</v>
      </c>
      <c r="C2676" s="6" t="s">
        <v>35</v>
      </c>
      <c r="D2676" s="1088" t="s">
        <v>567</v>
      </c>
      <c r="E2676" s="6" t="s">
        <v>194</v>
      </c>
      <c r="F2676" s="6" t="s">
        <v>2150</v>
      </c>
      <c r="G2676" s="6" t="s">
        <v>2215</v>
      </c>
      <c r="H2676" s="6" t="s">
        <v>2216</v>
      </c>
      <c r="J2676" s="1215" t="s">
        <v>511</v>
      </c>
      <c r="K2676" s="1219" t="s">
        <v>3111</v>
      </c>
      <c r="L2676" s="8">
        <v>0</v>
      </c>
      <c r="M2676" s="8">
        <v>4</v>
      </c>
      <c r="N2676" s="6" t="s">
        <v>271</v>
      </c>
      <c r="P2676" s="6" t="s">
        <v>3361</v>
      </c>
      <c r="Q2676" s="1215" t="s">
        <v>240</v>
      </c>
      <c r="R2676" s="1088" t="s">
        <v>242</v>
      </c>
      <c r="S2676" s="1088"/>
      <c r="T2676" s="1088"/>
    </row>
    <row r="2677" spans="1:24" x14ac:dyDescent="0.3">
      <c r="A2677" s="6" t="s">
        <v>533</v>
      </c>
      <c r="B2677" s="6" t="s">
        <v>534</v>
      </c>
      <c r="C2677" s="6" t="s">
        <v>35</v>
      </c>
      <c r="D2677" s="1088" t="s">
        <v>567</v>
      </c>
      <c r="E2677" s="6" t="s">
        <v>194</v>
      </c>
      <c r="F2677" s="6" t="s">
        <v>2150</v>
      </c>
      <c r="G2677" s="6" t="s">
        <v>2917</v>
      </c>
      <c r="H2677" s="6" t="s">
        <v>2205</v>
      </c>
      <c r="J2677" s="1215" t="s">
        <v>511</v>
      </c>
      <c r="K2677" s="1219" t="s">
        <v>3111</v>
      </c>
      <c r="L2677" s="8">
        <v>3</v>
      </c>
      <c r="M2677" s="8">
        <v>21</v>
      </c>
      <c r="N2677" s="6" t="s">
        <v>271</v>
      </c>
      <c r="P2677" s="6" t="s">
        <v>3361</v>
      </c>
      <c r="Q2677" s="1215" t="s">
        <v>240</v>
      </c>
      <c r="R2677" s="1088" t="s">
        <v>242</v>
      </c>
      <c r="S2677" s="1088"/>
      <c r="T2677" s="1088"/>
    </row>
    <row r="2678" spans="1:24" x14ac:dyDescent="0.3">
      <c r="A2678" s="6" t="s">
        <v>533</v>
      </c>
      <c r="B2678" s="6" t="s">
        <v>534</v>
      </c>
      <c r="C2678" s="6" t="s">
        <v>35</v>
      </c>
      <c r="D2678" s="1088" t="s">
        <v>567</v>
      </c>
      <c r="E2678" s="6" t="s">
        <v>194</v>
      </c>
      <c r="F2678" s="6" t="s">
        <v>2150</v>
      </c>
      <c r="G2678" s="6" t="s">
        <v>2917</v>
      </c>
      <c r="H2678" s="6" t="s">
        <v>2205</v>
      </c>
      <c r="J2678" s="1215" t="s">
        <v>511</v>
      </c>
      <c r="K2678" s="1219" t="s">
        <v>3033</v>
      </c>
      <c r="L2678" s="8">
        <v>5</v>
      </c>
      <c r="M2678" s="8">
        <v>13</v>
      </c>
      <c r="N2678" s="1169" t="s">
        <v>271</v>
      </c>
      <c r="P2678" s="6" t="s">
        <v>3361</v>
      </c>
      <c r="Q2678" s="1215" t="s">
        <v>240</v>
      </c>
      <c r="R2678" s="1168" t="s">
        <v>242</v>
      </c>
      <c r="S2678" s="1088"/>
      <c r="T2678" s="1088"/>
    </row>
    <row r="2679" spans="1:24" x14ac:dyDescent="0.3">
      <c r="A2679" s="6" t="s">
        <v>533</v>
      </c>
      <c r="B2679" s="6" t="s">
        <v>534</v>
      </c>
      <c r="C2679" s="6" t="s">
        <v>35</v>
      </c>
      <c r="D2679" s="1088" t="s">
        <v>567</v>
      </c>
      <c r="E2679" s="6" t="s">
        <v>194</v>
      </c>
      <c r="F2679" s="6" t="s">
        <v>2150</v>
      </c>
      <c r="G2679" s="6" t="s">
        <v>2917</v>
      </c>
      <c r="H2679" s="6" t="s">
        <v>2205</v>
      </c>
      <c r="J2679" s="1215" t="s">
        <v>511</v>
      </c>
      <c r="K2679" s="1219" t="s">
        <v>3110</v>
      </c>
      <c r="L2679" s="8">
        <v>1</v>
      </c>
      <c r="M2679" s="8">
        <v>5</v>
      </c>
      <c r="N2679" s="1169" t="s">
        <v>271</v>
      </c>
      <c r="P2679" s="6" t="s">
        <v>3361</v>
      </c>
      <c r="Q2679" s="1215" t="s">
        <v>240</v>
      </c>
      <c r="R2679" s="1168" t="s">
        <v>242</v>
      </c>
      <c r="S2679" s="1088"/>
      <c r="T2679" s="1088"/>
    </row>
    <row r="2680" spans="1:24" x14ac:dyDescent="0.3">
      <c r="A2680" s="6" t="s">
        <v>533</v>
      </c>
      <c r="B2680" s="6" t="s">
        <v>534</v>
      </c>
      <c r="C2680" s="6" t="s">
        <v>35</v>
      </c>
      <c r="D2680" s="1088" t="s">
        <v>567</v>
      </c>
      <c r="E2680" s="6" t="s">
        <v>194</v>
      </c>
      <c r="F2680" s="6" t="s">
        <v>2150</v>
      </c>
      <c r="G2680" s="6" t="s">
        <v>2917</v>
      </c>
      <c r="H2680" s="6" t="s">
        <v>2205</v>
      </c>
      <c r="J2680" s="1215" t="s">
        <v>511</v>
      </c>
      <c r="K2680" s="1219" t="s">
        <v>3112</v>
      </c>
      <c r="L2680" s="8">
        <v>2</v>
      </c>
      <c r="M2680" s="8">
        <v>10</v>
      </c>
      <c r="N2680" s="1169" t="s">
        <v>271</v>
      </c>
      <c r="P2680" s="6" t="s">
        <v>3361</v>
      </c>
      <c r="Q2680" s="1215" t="s">
        <v>240</v>
      </c>
      <c r="R2680" s="1168" t="s">
        <v>242</v>
      </c>
      <c r="S2680" s="1088"/>
      <c r="T2680" s="1088"/>
    </row>
    <row r="2681" spans="1:24" x14ac:dyDescent="0.3">
      <c r="A2681" s="6" t="s">
        <v>533</v>
      </c>
      <c r="B2681" s="6" t="s">
        <v>534</v>
      </c>
      <c r="C2681" s="6" t="s">
        <v>35</v>
      </c>
      <c r="D2681" s="1088" t="s">
        <v>567</v>
      </c>
      <c r="E2681" s="6" t="s">
        <v>192</v>
      </c>
      <c r="F2681" s="6" t="s">
        <v>853</v>
      </c>
      <c r="G2681" s="6" t="s">
        <v>1456</v>
      </c>
      <c r="H2681" s="6" t="s">
        <v>1167</v>
      </c>
      <c r="J2681" s="1215" t="s">
        <v>511</v>
      </c>
      <c r="K2681" s="1219" t="s">
        <v>3110</v>
      </c>
      <c r="L2681" s="8">
        <v>6</v>
      </c>
      <c r="M2681" s="8">
        <v>10</v>
      </c>
      <c r="N2681" s="1169" t="s">
        <v>271</v>
      </c>
      <c r="P2681" s="6" t="s">
        <v>3323</v>
      </c>
      <c r="Q2681" s="1215" t="s">
        <v>253</v>
      </c>
      <c r="R2681" s="1215" t="s">
        <v>255</v>
      </c>
      <c r="S2681" s="1215" t="s">
        <v>534</v>
      </c>
      <c r="T2681" s="1215" t="s">
        <v>533</v>
      </c>
      <c r="U2681" s="6" t="s">
        <v>567</v>
      </c>
      <c r="V2681" s="6" t="s">
        <v>35</v>
      </c>
      <c r="W2681" s="6" t="s">
        <v>863</v>
      </c>
      <c r="X2681" s="6" t="s">
        <v>193</v>
      </c>
    </row>
    <row r="2682" spans="1:24" x14ac:dyDescent="0.3">
      <c r="A2682" s="6" t="s">
        <v>533</v>
      </c>
      <c r="B2682" s="6" t="s">
        <v>534</v>
      </c>
      <c r="C2682" s="6" t="s">
        <v>35</v>
      </c>
      <c r="D2682" s="1088" t="s">
        <v>567</v>
      </c>
      <c r="E2682" s="6" t="s">
        <v>192</v>
      </c>
      <c r="F2682" s="6" t="s">
        <v>853</v>
      </c>
      <c r="G2682" s="6" t="s">
        <v>1456</v>
      </c>
      <c r="H2682" s="6" t="s">
        <v>1167</v>
      </c>
      <c r="J2682" s="1215" t="s">
        <v>511</v>
      </c>
      <c r="K2682" s="1219" t="s">
        <v>3112</v>
      </c>
      <c r="L2682" s="8">
        <v>2</v>
      </c>
      <c r="M2682" s="8">
        <v>9</v>
      </c>
      <c r="N2682" s="1169" t="s">
        <v>271</v>
      </c>
      <c r="P2682" s="6" t="s">
        <v>3323</v>
      </c>
      <c r="Q2682" s="1215" t="s">
        <v>253</v>
      </c>
      <c r="R2682" s="1215" t="s">
        <v>255</v>
      </c>
      <c r="S2682" s="1215" t="s">
        <v>534</v>
      </c>
      <c r="T2682" s="1215" t="s">
        <v>533</v>
      </c>
      <c r="U2682" s="6" t="s">
        <v>567</v>
      </c>
      <c r="V2682" s="6" t="s">
        <v>35</v>
      </c>
      <c r="W2682" s="6" t="s">
        <v>863</v>
      </c>
      <c r="X2682" s="6" t="s">
        <v>193</v>
      </c>
    </row>
    <row r="2683" spans="1:24" x14ac:dyDescent="0.3">
      <c r="A2683" s="6" t="s">
        <v>533</v>
      </c>
      <c r="B2683" s="6" t="s">
        <v>534</v>
      </c>
      <c r="C2683" s="6" t="s">
        <v>35</v>
      </c>
      <c r="D2683" s="1088" t="s">
        <v>567</v>
      </c>
      <c r="E2683" s="6" t="s">
        <v>192</v>
      </c>
      <c r="F2683" s="6" t="s">
        <v>853</v>
      </c>
      <c r="G2683" s="6" t="s">
        <v>1952</v>
      </c>
      <c r="H2683" s="6" t="s">
        <v>1533</v>
      </c>
      <c r="J2683" s="1215" t="s">
        <v>511</v>
      </c>
      <c r="K2683" s="1219" t="s">
        <v>3110</v>
      </c>
      <c r="L2683" s="8">
        <v>12</v>
      </c>
      <c r="M2683" s="8">
        <v>56</v>
      </c>
      <c r="N2683" s="1169" t="s">
        <v>271</v>
      </c>
      <c r="P2683" s="6" t="s">
        <v>3323</v>
      </c>
      <c r="Q2683" s="1215" t="s">
        <v>253</v>
      </c>
      <c r="R2683" s="1215" t="s">
        <v>255</v>
      </c>
      <c r="S2683" s="1215" t="s">
        <v>534</v>
      </c>
      <c r="T2683" s="1215" t="s">
        <v>533</v>
      </c>
      <c r="U2683" s="6" t="s">
        <v>567</v>
      </c>
      <c r="V2683" s="6" t="s">
        <v>35</v>
      </c>
      <c r="W2683" s="6" t="s">
        <v>863</v>
      </c>
      <c r="X2683" s="6" t="s">
        <v>193</v>
      </c>
    </row>
    <row r="2684" spans="1:24" x14ac:dyDescent="0.3">
      <c r="A2684" s="6" t="s">
        <v>533</v>
      </c>
      <c r="B2684" s="6" t="s">
        <v>534</v>
      </c>
      <c r="C2684" s="6" t="s">
        <v>35</v>
      </c>
      <c r="D2684" s="1088" t="s">
        <v>567</v>
      </c>
      <c r="E2684" s="6" t="s">
        <v>192</v>
      </c>
      <c r="F2684" s="6" t="s">
        <v>853</v>
      </c>
      <c r="G2684" s="6" t="s">
        <v>1952</v>
      </c>
      <c r="H2684" s="6" t="s">
        <v>1533</v>
      </c>
      <c r="J2684" s="1215" t="s">
        <v>511</v>
      </c>
      <c r="K2684" s="1219" t="s">
        <v>3112</v>
      </c>
      <c r="L2684" s="8">
        <v>20</v>
      </c>
      <c r="M2684" s="8">
        <v>152</v>
      </c>
      <c r="N2684" s="1169" t="s">
        <v>271</v>
      </c>
      <c r="P2684" s="6" t="s">
        <v>3323</v>
      </c>
      <c r="Q2684" s="1215" t="s">
        <v>253</v>
      </c>
      <c r="R2684" s="1215" t="s">
        <v>255</v>
      </c>
      <c r="S2684" s="1215" t="s">
        <v>534</v>
      </c>
      <c r="T2684" s="1215" t="s">
        <v>533</v>
      </c>
      <c r="U2684" s="6" t="s">
        <v>567</v>
      </c>
      <c r="V2684" s="6" t="s">
        <v>35</v>
      </c>
      <c r="W2684" s="6" t="s">
        <v>863</v>
      </c>
      <c r="X2684" s="6" t="s">
        <v>193</v>
      </c>
    </row>
    <row r="2685" spans="1:24" x14ac:dyDescent="0.3">
      <c r="A2685" s="6" t="s">
        <v>533</v>
      </c>
      <c r="B2685" s="6" t="s">
        <v>534</v>
      </c>
      <c r="C2685" s="6" t="s">
        <v>35</v>
      </c>
      <c r="D2685" s="1088" t="s">
        <v>567</v>
      </c>
      <c r="E2685" s="6" t="s">
        <v>192</v>
      </c>
      <c r="F2685" s="6" t="s">
        <v>853</v>
      </c>
      <c r="G2685" s="6" t="s">
        <v>2947</v>
      </c>
      <c r="H2685" s="6" t="s">
        <v>900</v>
      </c>
      <c r="J2685" s="1215" t="s">
        <v>511</v>
      </c>
      <c r="K2685" s="1219" t="s">
        <v>3110</v>
      </c>
      <c r="L2685" s="8">
        <v>3</v>
      </c>
      <c r="M2685" s="8">
        <v>19</v>
      </c>
      <c r="N2685" s="1169" t="s">
        <v>271</v>
      </c>
      <c r="P2685" s="6" t="s">
        <v>3323</v>
      </c>
      <c r="Q2685" s="1215" t="s">
        <v>253</v>
      </c>
      <c r="R2685" s="1215" t="s">
        <v>255</v>
      </c>
      <c r="S2685" s="1215" t="s">
        <v>534</v>
      </c>
      <c r="T2685" s="1215" t="s">
        <v>533</v>
      </c>
      <c r="U2685" s="6" t="s">
        <v>567</v>
      </c>
      <c r="V2685" s="6" t="s">
        <v>35</v>
      </c>
      <c r="W2685" s="6" t="s">
        <v>863</v>
      </c>
      <c r="X2685" s="6" t="s">
        <v>193</v>
      </c>
    </row>
    <row r="2686" spans="1:24" x14ac:dyDescent="0.3">
      <c r="A2686" s="6" t="s">
        <v>533</v>
      </c>
      <c r="B2686" s="6" t="s">
        <v>534</v>
      </c>
      <c r="C2686" s="6" t="s">
        <v>35</v>
      </c>
      <c r="D2686" s="1088" t="s">
        <v>567</v>
      </c>
      <c r="E2686" s="6" t="s">
        <v>192</v>
      </c>
      <c r="F2686" s="6" t="s">
        <v>853</v>
      </c>
      <c r="G2686" s="6" t="s">
        <v>2947</v>
      </c>
      <c r="H2686" s="6" t="s">
        <v>900</v>
      </c>
      <c r="J2686" s="1215" t="s">
        <v>511</v>
      </c>
      <c r="K2686" s="1219" t="s">
        <v>3112</v>
      </c>
      <c r="L2686" s="8">
        <v>0</v>
      </c>
      <c r="M2686" s="8">
        <v>6</v>
      </c>
      <c r="N2686" s="1169" t="s">
        <v>271</v>
      </c>
      <c r="P2686" s="6" t="s">
        <v>3323</v>
      </c>
      <c r="Q2686" s="1215" t="s">
        <v>253</v>
      </c>
      <c r="R2686" s="1215" t="s">
        <v>255</v>
      </c>
      <c r="S2686" s="1215" t="s">
        <v>534</v>
      </c>
      <c r="T2686" s="1215" t="s">
        <v>533</v>
      </c>
      <c r="U2686" s="6" t="s">
        <v>567</v>
      </c>
      <c r="V2686" s="6" t="s">
        <v>35</v>
      </c>
      <c r="W2686" s="6" t="s">
        <v>863</v>
      </c>
      <c r="X2686" s="6" t="s">
        <v>193</v>
      </c>
    </row>
    <row r="2687" spans="1:24" x14ac:dyDescent="0.3">
      <c r="A2687" s="6" t="s">
        <v>533</v>
      </c>
      <c r="B2687" s="6" t="s">
        <v>534</v>
      </c>
      <c r="C2687" s="6" t="s">
        <v>35</v>
      </c>
      <c r="D2687" s="1088" t="s">
        <v>567</v>
      </c>
      <c r="E2687" s="6" t="s">
        <v>193</v>
      </c>
      <c r="F2687" s="6" t="s">
        <v>863</v>
      </c>
      <c r="G2687" s="6" t="s">
        <v>1586</v>
      </c>
      <c r="H2687" s="6" t="s">
        <v>876</v>
      </c>
      <c r="J2687" s="1215" t="s">
        <v>511</v>
      </c>
      <c r="K2687" s="1219" t="s">
        <v>3033</v>
      </c>
      <c r="L2687" s="8">
        <v>21</v>
      </c>
      <c r="M2687" s="8">
        <v>104</v>
      </c>
      <c r="N2687" s="1169" t="s">
        <v>275</v>
      </c>
      <c r="O2687" s="6" t="s">
        <v>3363</v>
      </c>
      <c r="P2687" s="6" t="s">
        <v>743</v>
      </c>
      <c r="Q2687" s="1215" t="s">
        <v>253</v>
      </c>
      <c r="R2687" s="1215" t="s">
        <v>255</v>
      </c>
      <c r="S2687" s="1088" t="s">
        <v>3404</v>
      </c>
      <c r="T2687" s="1088" t="s">
        <v>3325</v>
      </c>
    </row>
    <row r="2688" spans="1:24" x14ac:dyDescent="0.3">
      <c r="A2688" s="6" t="s">
        <v>533</v>
      </c>
      <c r="B2688" s="6" t="s">
        <v>534</v>
      </c>
      <c r="C2688" s="6" t="s">
        <v>35</v>
      </c>
      <c r="D2688" s="1088" t="s">
        <v>567</v>
      </c>
      <c r="E2688" s="6" t="s">
        <v>193</v>
      </c>
      <c r="F2688" s="6" t="s">
        <v>863</v>
      </c>
      <c r="G2688" s="6" t="s">
        <v>994</v>
      </c>
      <c r="H2688" s="6" t="s">
        <v>1608</v>
      </c>
      <c r="J2688" s="1215" t="s">
        <v>511</v>
      </c>
      <c r="K2688" s="1219" t="s">
        <v>3111</v>
      </c>
      <c r="L2688" s="8">
        <v>13</v>
      </c>
      <c r="M2688" s="8">
        <v>105</v>
      </c>
      <c r="N2688" s="1169" t="s">
        <v>275</v>
      </c>
      <c r="O2688" s="6" t="s">
        <v>3363</v>
      </c>
      <c r="P2688" s="6" t="s">
        <v>743</v>
      </c>
      <c r="Q2688" s="1215" t="s">
        <v>253</v>
      </c>
      <c r="R2688" s="1215" t="s">
        <v>255</v>
      </c>
      <c r="S2688" s="1088" t="s">
        <v>3404</v>
      </c>
      <c r="T2688" s="1088" t="s">
        <v>3325</v>
      </c>
    </row>
    <row r="2689" spans="1:24" x14ac:dyDescent="0.3">
      <c r="A2689" s="6" t="s">
        <v>533</v>
      </c>
      <c r="B2689" s="6" t="s">
        <v>534</v>
      </c>
      <c r="C2689" s="6" t="s">
        <v>35</v>
      </c>
      <c r="D2689" s="1088" t="s">
        <v>567</v>
      </c>
      <c r="E2689" s="6" t="s">
        <v>193</v>
      </c>
      <c r="F2689" s="6" t="s">
        <v>863</v>
      </c>
      <c r="G2689" s="6" t="s">
        <v>994</v>
      </c>
      <c r="H2689" s="6" t="s">
        <v>1608</v>
      </c>
      <c r="J2689" s="1215" t="s">
        <v>511</v>
      </c>
      <c r="K2689" s="1219" t="s">
        <v>3112</v>
      </c>
      <c r="L2689" s="8">
        <v>7</v>
      </c>
      <c r="M2689" s="8">
        <v>30</v>
      </c>
      <c r="N2689" s="1169" t="s">
        <v>275</v>
      </c>
      <c r="O2689" s="6" t="s">
        <v>3363</v>
      </c>
      <c r="P2689" s="6" t="s">
        <v>743</v>
      </c>
      <c r="Q2689" s="1215" t="s">
        <v>253</v>
      </c>
      <c r="R2689" s="1215" t="s">
        <v>255</v>
      </c>
      <c r="S2689" s="1088" t="s">
        <v>3404</v>
      </c>
      <c r="T2689" s="1088" t="s">
        <v>3325</v>
      </c>
    </row>
    <row r="2690" spans="1:24" x14ac:dyDescent="0.3">
      <c r="A2690" s="6" t="s">
        <v>533</v>
      </c>
      <c r="B2690" s="6" t="s">
        <v>534</v>
      </c>
      <c r="C2690" s="6" t="s">
        <v>35</v>
      </c>
      <c r="D2690" s="1088" t="s">
        <v>567</v>
      </c>
      <c r="E2690" s="6" t="s">
        <v>193</v>
      </c>
      <c r="F2690" s="6" t="s">
        <v>863</v>
      </c>
      <c r="G2690" s="6" t="s">
        <v>1297</v>
      </c>
      <c r="H2690" s="6" t="s">
        <v>1629</v>
      </c>
      <c r="J2690" s="1215" t="s">
        <v>511</v>
      </c>
      <c r="K2690" s="1219" t="s">
        <v>3111</v>
      </c>
      <c r="L2690" s="8">
        <v>59</v>
      </c>
      <c r="M2690" s="8">
        <v>417</v>
      </c>
      <c r="N2690" s="1169" t="s">
        <v>275</v>
      </c>
      <c r="O2690" s="6" t="s">
        <v>3363</v>
      </c>
      <c r="P2690" s="6" t="s">
        <v>743</v>
      </c>
      <c r="Q2690" s="1215" t="s">
        <v>253</v>
      </c>
      <c r="R2690" s="1215" t="s">
        <v>255</v>
      </c>
      <c r="S2690" s="1088" t="s">
        <v>3404</v>
      </c>
      <c r="T2690" s="1088" t="s">
        <v>3325</v>
      </c>
    </row>
    <row r="2691" spans="1:24" x14ac:dyDescent="0.3">
      <c r="A2691" s="6" t="s">
        <v>533</v>
      </c>
      <c r="B2691" s="6" t="s">
        <v>534</v>
      </c>
      <c r="C2691" s="6" t="s">
        <v>35</v>
      </c>
      <c r="D2691" s="1088" t="s">
        <v>567</v>
      </c>
      <c r="E2691" s="6" t="s">
        <v>193</v>
      </c>
      <c r="F2691" s="6" t="s">
        <v>863</v>
      </c>
      <c r="G2691" s="6" t="s">
        <v>1571</v>
      </c>
      <c r="H2691" s="6" t="s">
        <v>1572</v>
      </c>
      <c r="J2691" s="1215" t="s">
        <v>511</v>
      </c>
      <c r="K2691" s="1219" t="s">
        <v>3111</v>
      </c>
      <c r="L2691" s="8">
        <v>66</v>
      </c>
      <c r="M2691" s="8">
        <v>367</v>
      </c>
      <c r="N2691" s="1169" t="s">
        <v>275</v>
      </c>
      <c r="O2691" s="1088" t="s">
        <v>3363</v>
      </c>
      <c r="P2691" s="6" t="s">
        <v>743</v>
      </c>
      <c r="Q2691" s="1215" t="s">
        <v>253</v>
      </c>
      <c r="R2691" s="1215" t="s">
        <v>255</v>
      </c>
      <c r="S2691" s="1088" t="s">
        <v>3404</v>
      </c>
      <c r="T2691" s="1088" t="s">
        <v>3325</v>
      </c>
    </row>
    <row r="2692" spans="1:24" x14ac:dyDescent="0.3">
      <c r="A2692" s="6" t="s">
        <v>533</v>
      </c>
      <c r="B2692" s="6" t="s">
        <v>534</v>
      </c>
      <c r="C2692" s="6" t="s">
        <v>31</v>
      </c>
      <c r="D2692" s="1088" t="s">
        <v>549</v>
      </c>
      <c r="E2692" s="6" t="s">
        <v>171</v>
      </c>
      <c r="F2692" s="6" t="s">
        <v>634</v>
      </c>
      <c r="G2692" s="6" t="s">
        <v>1542</v>
      </c>
      <c r="H2692" s="6" t="s">
        <v>1012</v>
      </c>
      <c r="J2692" s="1215" t="s">
        <v>511</v>
      </c>
      <c r="K2692" s="1219" t="s">
        <v>3111</v>
      </c>
      <c r="L2692" s="8">
        <v>21</v>
      </c>
      <c r="M2692" s="8">
        <v>257</v>
      </c>
      <c r="N2692" s="1169" t="s">
        <v>271</v>
      </c>
      <c r="O2692" s="1088"/>
      <c r="P2692" s="6" t="s">
        <v>3324</v>
      </c>
      <c r="Q2692" s="1215" t="s">
        <v>253</v>
      </c>
      <c r="R2692" s="1215" t="s">
        <v>255</v>
      </c>
      <c r="S2692" s="1215" t="s">
        <v>534</v>
      </c>
      <c r="T2692" s="1215" t="s">
        <v>533</v>
      </c>
      <c r="U2692" s="6" t="s">
        <v>549</v>
      </c>
      <c r="V2692" s="6" t="s">
        <v>31</v>
      </c>
      <c r="W2692" s="6" t="s">
        <v>634</v>
      </c>
      <c r="X2692" s="6" t="s">
        <v>171</v>
      </c>
    </row>
    <row r="2693" spans="1:24" x14ac:dyDescent="0.3">
      <c r="A2693" s="6" t="s">
        <v>533</v>
      </c>
      <c r="B2693" s="6" t="s">
        <v>534</v>
      </c>
      <c r="C2693" s="6" t="s">
        <v>31</v>
      </c>
      <c r="D2693" s="1088" t="s">
        <v>549</v>
      </c>
      <c r="E2693" s="6" t="s">
        <v>171</v>
      </c>
      <c r="F2693" s="6" t="s">
        <v>634</v>
      </c>
      <c r="G2693" s="6" t="s">
        <v>1318</v>
      </c>
      <c r="H2693" s="6" t="s">
        <v>1319</v>
      </c>
      <c r="J2693" s="1215" t="s">
        <v>511</v>
      </c>
      <c r="K2693" s="1219" t="s">
        <v>3111</v>
      </c>
      <c r="L2693" s="8">
        <v>887</v>
      </c>
      <c r="M2693" s="8">
        <v>7299</v>
      </c>
      <c r="N2693" s="1169" t="s">
        <v>271</v>
      </c>
      <c r="O2693" s="1088"/>
      <c r="P2693" s="6" t="s">
        <v>3324</v>
      </c>
      <c r="Q2693" s="1215" t="s">
        <v>253</v>
      </c>
      <c r="R2693" s="1215" t="s">
        <v>255</v>
      </c>
      <c r="S2693" s="1215" t="s">
        <v>534</v>
      </c>
      <c r="T2693" s="1215" t="s">
        <v>533</v>
      </c>
      <c r="U2693" s="6" t="s">
        <v>549</v>
      </c>
      <c r="V2693" s="6" t="s">
        <v>31</v>
      </c>
      <c r="W2693" s="6" t="s">
        <v>634</v>
      </c>
      <c r="X2693" s="6" t="s">
        <v>171</v>
      </c>
    </row>
    <row r="2694" spans="1:24" x14ac:dyDescent="0.3">
      <c r="A2694" s="6" t="s">
        <v>533</v>
      </c>
      <c r="B2694" s="6" t="s">
        <v>534</v>
      </c>
      <c r="C2694" s="6" t="s">
        <v>31</v>
      </c>
      <c r="D2694" s="1088" t="s">
        <v>549</v>
      </c>
      <c r="E2694" s="6" t="s">
        <v>172</v>
      </c>
      <c r="F2694" s="6" t="s">
        <v>706</v>
      </c>
      <c r="G2694" s="6" t="s">
        <v>1030</v>
      </c>
      <c r="H2694" s="6" t="s">
        <v>1069</v>
      </c>
      <c r="J2694" s="1215" t="s">
        <v>511</v>
      </c>
      <c r="K2694" s="1219" t="s">
        <v>3033</v>
      </c>
      <c r="L2694" s="8">
        <v>100</v>
      </c>
      <c r="M2694" s="8">
        <v>492</v>
      </c>
      <c r="N2694" s="1169" t="s">
        <v>271</v>
      </c>
      <c r="O2694" s="1088"/>
      <c r="P2694" s="6" t="s">
        <v>3324</v>
      </c>
      <c r="Q2694" s="1215" t="s">
        <v>253</v>
      </c>
      <c r="R2694" s="1215" t="s">
        <v>255</v>
      </c>
      <c r="S2694" s="1215" t="s">
        <v>534</v>
      </c>
      <c r="T2694" s="1215" t="s">
        <v>533</v>
      </c>
      <c r="U2694" s="6" t="s">
        <v>549</v>
      </c>
      <c r="V2694" s="6" t="s">
        <v>31</v>
      </c>
      <c r="W2694" s="6" t="s">
        <v>706</v>
      </c>
      <c r="X2694" s="6" t="s">
        <v>172</v>
      </c>
    </row>
    <row r="2695" spans="1:24" x14ac:dyDescent="0.3">
      <c r="A2695" s="6" t="s">
        <v>533</v>
      </c>
      <c r="B2695" s="6" t="s">
        <v>534</v>
      </c>
      <c r="C2695" s="6" t="s">
        <v>31</v>
      </c>
      <c r="D2695" s="1088" t="s">
        <v>549</v>
      </c>
      <c r="E2695" s="6" t="s">
        <v>172</v>
      </c>
      <c r="F2695" s="6" t="s">
        <v>706</v>
      </c>
      <c r="G2695" s="6" t="s">
        <v>1030</v>
      </c>
      <c r="H2695" s="6" t="s">
        <v>1069</v>
      </c>
      <c r="J2695" s="1215" t="s">
        <v>511</v>
      </c>
      <c r="K2695" s="1219" t="s">
        <v>3109</v>
      </c>
      <c r="L2695" s="8">
        <v>0</v>
      </c>
      <c r="M2695" s="8">
        <v>20</v>
      </c>
      <c r="N2695" s="1169" t="s">
        <v>271</v>
      </c>
      <c r="P2695" s="6" t="s">
        <v>3324</v>
      </c>
      <c r="Q2695" s="1215" t="s">
        <v>253</v>
      </c>
      <c r="R2695" s="1215" t="s">
        <v>255</v>
      </c>
      <c r="S2695" s="1215" t="s">
        <v>534</v>
      </c>
      <c r="T2695" s="1215" t="s">
        <v>533</v>
      </c>
      <c r="U2695" s="6" t="s">
        <v>549</v>
      </c>
      <c r="V2695" s="6" t="s">
        <v>31</v>
      </c>
      <c r="W2695" s="6" t="s">
        <v>706</v>
      </c>
      <c r="X2695" s="6" t="s">
        <v>172</v>
      </c>
    </row>
    <row r="2696" spans="1:24" x14ac:dyDescent="0.3">
      <c r="A2696" s="6" t="s">
        <v>533</v>
      </c>
      <c r="B2696" s="6" t="s">
        <v>534</v>
      </c>
      <c r="C2696" s="6" t="s">
        <v>31</v>
      </c>
      <c r="D2696" s="1088" t="s">
        <v>549</v>
      </c>
      <c r="E2696" s="6" t="s">
        <v>172</v>
      </c>
      <c r="F2696" s="6" t="s">
        <v>706</v>
      </c>
      <c r="G2696" s="6" t="s">
        <v>1030</v>
      </c>
      <c r="H2696" s="1173" t="s">
        <v>1069</v>
      </c>
      <c r="J2696" s="1215" t="s">
        <v>511</v>
      </c>
      <c r="K2696" s="1219" t="s">
        <v>3110</v>
      </c>
      <c r="L2696" s="8">
        <v>0</v>
      </c>
      <c r="M2696" s="8">
        <v>12</v>
      </c>
      <c r="N2696" s="1169" t="s">
        <v>271</v>
      </c>
      <c r="O2696" s="1088"/>
      <c r="P2696" s="6" t="s">
        <v>3324</v>
      </c>
      <c r="Q2696" s="1215" t="s">
        <v>253</v>
      </c>
      <c r="R2696" s="1215" t="s">
        <v>255</v>
      </c>
      <c r="S2696" s="1215" t="s">
        <v>534</v>
      </c>
      <c r="T2696" s="1215" t="s">
        <v>533</v>
      </c>
      <c r="U2696" s="6" t="s">
        <v>549</v>
      </c>
      <c r="V2696" s="6" t="s">
        <v>31</v>
      </c>
      <c r="W2696" s="6" t="s">
        <v>706</v>
      </c>
      <c r="X2696" s="6" t="s">
        <v>172</v>
      </c>
    </row>
    <row r="2697" spans="1:24" x14ac:dyDescent="0.3">
      <c r="A2697" s="6" t="s">
        <v>533</v>
      </c>
      <c r="B2697" s="6" t="s">
        <v>534</v>
      </c>
      <c r="C2697" s="6" t="s">
        <v>31</v>
      </c>
      <c r="D2697" s="1088" t="s">
        <v>549</v>
      </c>
      <c r="E2697" s="6" t="s">
        <v>164</v>
      </c>
      <c r="F2697" s="6" t="s">
        <v>748</v>
      </c>
      <c r="G2697" s="6" t="s">
        <v>1195</v>
      </c>
      <c r="H2697" s="1173" t="s">
        <v>1196</v>
      </c>
      <c r="J2697" s="1215" t="s">
        <v>511</v>
      </c>
      <c r="K2697" s="1219" t="s">
        <v>3112</v>
      </c>
      <c r="L2697" s="8">
        <v>1</v>
      </c>
      <c r="M2697" s="8">
        <v>9</v>
      </c>
      <c r="N2697" s="1169" t="s">
        <v>271</v>
      </c>
      <c r="P2697" s="6" t="s">
        <v>3361</v>
      </c>
      <c r="Q2697" s="1215" t="s">
        <v>241</v>
      </c>
      <c r="R2697" s="1168" t="s">
        <v>243</v>
      </c>
      <c r="S2697" s="1088"/>
      <c r="T2697" s="1088"/>
    </row>
    <row r="2698" spans="1:24" x14ac:dyDescent="0.3">
      <c r="A2698" s="6" t="s">
        <v>533</v>
      </c>
      <c r="B2698" s="6" t="s">
        <v>534</v>
      </c>
      <c r="C2698" s="6" t="s">
        <v>31</v>
      </c>
      <c r="D2698" s="1088" t="s">
        <v>549</v>
      </c>
      <c r="E2698" s="6" t="s">
        <v>169</v>
      </c>
      <c r="F2698" s="6" t="s">
        <v>673</v>
      </c>
      <c r="G2698" s="6" t="s">
        <v>2847</v>
      </c>
      <c r="H2698" s="6" t="s">
        <v>2352</v>
      </c>
      <c r="J2698" s="1215" t="s">
        <v>511</v>
      </c>
      <c r="K2698" s="1219" t="s">
        <v>3111</v>
      </c>
      <c r="L2698" s="8">
        <v>80</v>
      </c>
      <c r="M2698" s="8">
        <v>600</v>
      </c>
      <c r="N2698" s="1169" t="s">
        <v>274</v>
      </c>
      <c r="P2698" s="6" t="s">
        <v>3323</v>
      </c>
      <c r="Q2698" s="1215" t="s">
        <v>253</v>
      </c>
      <c r="R2698" s="1215" t="s">
        <v>255</v>
      </c>
      <c r="S2698" s="1215" t="s">
        <v>534</v>
      </c>
      <c r="T2698" s="1215" t="s">
        <v>533</v>
      </c>
      <c r="U2698" s="6" t="s">
        <v>549</v>
      </c>
      <c r="V2698" s="6" t="s">
        <v>31</v>
      </c>
      <c r="W2698" s="6" t="s">
        <v>866</v>
      </c>
      <c r="X2698" s="6" t="s">
        <v>170</v>
      </c>
    </row>
    <row r="2699" spans="1:24" x14ac:dyDescent="0.3">
      <c r="A2699" s="6" t="s">
        <v>533</v>
      </c>
      <c r="B2699" s="6" t="s">
        <v>534</v>
      </c>
      <c r="C2699" s="6" t="s">
        <v>31</v>
      </c>
      <c r="D2699" s="1088" t="s">
        <v>549</v>
      </c>
      <c r="E2699" s="6" t="s">
        <v>169</v>
      </c>
      <c r="F2699" s="6" t="s">
        <v>673</v>
      </c>
      <c r="G2699" s="6" t="s">
        <v>2847</v>
      </c>
      <c r="H2699" s="6" t="s">
        <v>2352</v>
      </c>
      <c r="J2699" s="1215" t="s">
        <v>511</v>
      </c>
      <c r="K2699" s="1219" t="s">
        <v>3112</v>
      </c>
      <c r="L2699" s="8">
        <v>4</v>
      </c>
      <c r="M2699" s="8">
        <v>13</v>
      </c>
      <c r="N2699" s="1169" t="s">
        <v>274</v>
      </c>
      <c r="O2699" s="1088"/>
      <c r="P2699" s="6" t="s">
        <v>3361</v>
      </c>
      <c r="Q2699" s="1215" t="s">
        <v>241</v>
      </c>
      <c r="R2699" s="1168" t="s">
        <v>243</v>
      </c>
      <c r="S2699" s="1088"/>
      <c r="T2699" s="1088"/>
    </row>
    <row r="2700" spans="1:24" x14ac:dyDescent="0.3">
      <c r="A2700" s="6" t="s">
        <v>533</v>
      </c>
      <c r="B2700" s="6" t="s">
        <v>534</v>
      </c>
      <c r="C2700" s="6" t="s">
        <v>31</v>
      </c>
      <c r="D2700" s="1088" t="s">
        <v>549</v>
      </c>
      <c r="E2700" s="6" t="s">
        <v>169</v>
      </c>
      <c r="F2700" s="6" t="s">
        <v>673</v>
      </c>
      <c r="G2700" s="6" t="s">
        <v>2833</v>
      </c>
      <c r="H2700" s="6" t="s">
        <v>2353</v>
      </c>
      <c r="J2700" s="1215" t="s">
        <v>511</v>
      </c>
      <c r="K2700" s="1219" t="s">
        <v>3111</v>
      </c>
      <c r="L2700" s="8">
        <v>8</v>
      </c>
      <c r="M2700" s="8">
        <v>58</v>
      </c>
      <c r="N2700" s="1169" t="s">
        <v>274</v>
      </c>
      <c r="P2700" s="6" t="s">
        <v>3323</v>
      </c>
      <c r="Q2700" s="1215" t="s">
        <v>253</v>
      </c>
      <c r="R2700" s="1215" t="s">
        <v>255</v>
      </c>
      <c r="S2700" s="1215" t="s">
        <v>534</v>
      </c>
      <c r="T2700" s="1215" t="s">
        <v>533</v>
      </c>
      <c r="U2700" s="6" t="s">
        <v>549</v>
      </c>
      <c r="V2700" s="6" t="s">
        <v>31</v>
      </c>
      <c r="W2700" s="6" t="s">
        <v>866</v>
      </c>
      <c r="X2700" s="6" t="s">
        <v>170</v>
      </c>
    </row>
    <row r="2701" spans="1:24" x14ac:dyDescent="0.3">
      <c r="A2701" s="6" t="s">
        <v>533</v>
      </c>
      <c r="B2701" s="6" t="s">
        <v>534</v>
      </c>
      <c r="C2701" s="6" t="s">
        <v>31</v>
      </c>
      <c r="D2701" s="1088" t="s">
        <v>549</v>
      </c>
      <c r="E2701" s="6" t="s">
        <v>169</v>
      </c>
      <c r="F2701" s="6" t="s">
        <v>673</v>
      </c>
      <c r="G2701" s="6" t="s">
        <v>2833</v>
      </c>
      <c r="H2701" s="6" t="s">
        <v>2353</v>
      </c>
      <c r="J2701" s="1215" t="s">
        <v>511</v>
      </c>
      <c r="K2701" s="1219" t="s">
        <v>3112</v>
      </c>
      <c r="L2701" s="8">
        <v>5</v>
      </c>
      <c r="M2701" s="8">
        <v>14</v>
      </c>
      <c r="N2701" s="1088" t="s">
        <v>274</v>
      </c>
      <c r="O2701" s="1088"/>
      <c r="P2701" s="6" t="s">
        <v>3361</v>
      </c>
      <c r="Q2701" s="1215" t="s">
        <v>241</v>
      </c>
      <c r="R2701" s="1168" t="s">
        <v>243</v>
      </c>
      <c r="S2701" s="1088"/>
      <c r="T2701" s="1088"/>
    </row>
    <row r="2702" spans="1:24" x14ac:dyDescent="0.3">
      <c r="A2702" s="6" t="s">
        <v>533</v>
      </c>
      <c r="B2702" s="6" t="s">
        <v>534</v>
      </c>
      <c r="C2702" s="6" t="s">
        <v>31</v>
      </c>
      <c r="D2702" s="1088" t="s">
        <v>549</v>
      </c>
      <c r="E2702" s="6" t="s">
        <v>169</v>
      </c>
      <c r="F2702" s="6" t="s">
        <v>673</v>
      </c>
      <c r="G2702" s="6" t="s">
        <v>2969</v>
      </c>
      <c r="H2702" s="6" t="s">
        <v>2355</v>
      </c>
      <c r="J2702" s="1215" t="s">
        <v>511</v>
      </c>
      <c r="K2702" s="1219" t="s">
        <v>3111</v>
      </c>
      <c r="L2702" s="8">
        <v>48</v>
      </c>
      <c r="M2702" s="8">
        <v>300</v>
      </c>
      <c r="N2702" s="1088" t="s">
        <v>274</v>
      </c>
      <c r="P2702" s="6" t="s">
        <v>3323</v>
      </c>
      <c r="Q2702" s="1215" t="s">
        <v>253</v>
      </c>
      <c r="R2702" s="1215" t="s">
        <v>255</v>
      </c>
      <c r="S2702" s="1215" t="s">
        <v>534</v>
      </c>
      <c r="T2702" s="1215" t="s">
        <v>533</v>
      </c>
      <c r="U2702" s="6" t="s">
        <v>549</v>
      </c>
      <c r="V2702" s="6" t="s">
        <v>31</v>
      </c>
      <c r="W2702" s="6" t="s">
        <v>866</v>
      </c>
      <c r="X2702" s="6" t="s">
        <v>170</v>
      </c>
    </row>
    <row r="2703" spans="1:24" x14ac:dyDescent="0.3">
      <c r="A2703" s="6" t="s">
        <v>533</v>
      </c>
      <c r="B2703" s="6" t="s">
        <v>534</v>
      </c>
      <c r="C2703" s="6" t="s">
        <v>31</v>
      </c>
      <c r="D2703" s="1088" t="s">
        <v>549</v>
      </c>
      <c r="E2703" s="6" t="s">
        <v>169</v>
      </c>
      <c r="F2703" s="6" t="s">
        <v>673</v>
      </c>
      <c r="G2703" s="6" t="s">
        <v>2969</v>
      </c>
      <c r="H2703" s="6" t="s">
        <v>2355</v>
      </c>
      <c r="J2703" s="1215" t="s">
        <v>511</v>
      </c>
      <c r="K2703" s="1219" t="s">
        <v>3112</v>
      </c>
      <c r="L2703" s="8">
        <v>3</v>
      </c>
      <c r="M2703" s="8">
        <v>10</v>
      </c>
      <c r="N2703" s="1169" t="s">
        <v>274</v>
      </c>
      <c r="P2703" s="6" t="s">
        <v>3361</v>
      </c>
      <c r="Q2703" s="1215" t="s">
        <v>241</v>
      </c>
      <c r="R2703" s="1168" t="s">
        <v>243</v>
      </c>
      <c r="S2703" s="1088"/>
      <c r="T2703" s="1088"/>
    </row>
    <row r="2704" spans="1:24" x14ac:dyDescent="0.3">
      <c r="A2704" s="6" t="s">
        <v>533</v>
      </c>
      <c r="B2704" s="6" t="s">
        <v>534</v>
      </c>
      <c r="C2704" s="6" t="s">
        <v>33</v>
      </c>
      <c r="D2704" s="1088" t="s">
        <v>561</v>
      </c>
      <c r="E2704" s="6" t="s">
        <v>183</v>
      </c>
      <c r="F2704" s="6" t="s">
        <v>562</v>
      </c>
      <c r="G2704" s="6" t="s">
        <v>620</v>
      </c>
      <c r="H2704" s="6" t="s">
        <v>621</v>
      </c>
      <c r="J2704" s="1215" t="s">
        <v>511</v>
      </c>
      <c r="K2704" s="1219" t="s">
        <v>3109</v>
      </c>
      <c r="L2704" s="8">
        <v>1</v>
      </c>
      <c r="M2704" s="8">
        <v>8</v>
      </c>
      <c r="N2704" s="1169" t="s">
        <v>274</v>
      </c>
      <c r="P2704" s="6" t="s">
        <v>3322</v>
      </c>
      <c r="Q2704" s="1215" t="s">
        <v>253</v>
      </c>
      <c r="R2704" s="1215" t="s">
        <v>255</v>
      </c>
      <c r="S2704" s="1215" t="s">
        <v>534</v>
      </c>
      <c r="T2704" s="1215" t="s">
        <v>533</v>
      </c>
      <c r="U2704" s="6" t="s">
        <v>549</v>
      </c>
      <c r="V2704" s="6" t="s">
        <v>31</v>
      </c>
    </row>
    <row r="2705" spans="1:24" x14ac:dyDescent="0.3">
      <c r="A2705" s="6" t="s">
        <v>533</v>
      </c>
      <c r="B2705" s="6" t="s">
        <v>534</v>
      </c>
      <c r="C2705" s="6" t="s">
        <v>33</v>
      </c>
      <c r="D2705" s="1088" t="s">
        <v>561</v>
      </c>
      <c r="E2705" s="6" t="s">
        <v>183</v>
      </c>
      <c r="F2705" s="6" t="s">
        <v>562</v>
      </c>
      <c r="G2705" s="6" t="s">
        <v>620</v>
      </c>
      <c r="H2705" s="6" t="s">
        <v>621</v>
      </c>
      <c r="J2705" s="1215" t="s">
        <v>511</v>
      </c>
      <c r="K2705" s="1219" t="s">
        <v>3112</v>
      </c>
      <c r="L2705" s="8">
        <v>1</v>
      </c>
      <c r="M2705" s="8">
        <v>4</v>
      </c>
      <c r="N2705" s="1169" t="s">
        <v>274</v>
      </c>
      <c r="O2705" s="1088"/>
      <c r="P2705" s="6" t="s">
        <v>3322</v>
      </c>
      <c r="Q2705" s="1215" t="s">
        <v>253</v>
      </c>
      <c r="R2705" s="1215" t="s">
        <v>255</v>
      </c>
      <c r="S2705" s="1215" t="s">
        <v>534</v>
      </c>
      <c r="T2705" s="1215" t="s">
        <v>533</v>
      </c>
      <c r="U2705" s="6" t="s">
        <v>549</v>
      </c>
      <c r="V2705" s="6" t="s">
        <v>31</v>
      </c>
    </row>
    <row r="2706" spans="1:24" x14ac:dyDescent="0.3">
      <c r="A2706" s="6" t="s">
        <v>533</v>
      </c>
      <c r="B2706" s="6" t="s">
        <v>534</v>
      </c>
      <c r="C2706" s="6" t="s">
        <v>33</v>
      </c>
      <c r="D2706" s="1088" t="s">
        <v>561</v>
      </c>
      <c r="E2706" s="6" t="s">
        <v>183</v>
      </c>
      <c r="F2706" s="6" t="s">
        <v>562</v>
      </c>
      <c r="G2706" s="6" t="s">
        <v>2194</v>
      </c>
      <c r="H2706" s="6" t="s">
        <v>2195</v>
      </c>
      <c r="J2706" s="1215" t="s">
        <v>511</v>
      </c>
      <c r="K2706" s="1219" t="s">
        <v>3033</v>
      </c>
      <c r="L2706" s="8">
        <v>2</v>
      </c>
      <c r="M2706" s="8">
        <v>27</v>
      </c>
      <c r="N2706" s="1088" t="s">
        <v>274</v>
      </c>
      <c r="P2706" s="6" t="s">
        <v>3322</v>
      </c>
      <c r="Q2706" s="1215" t="s">
        <v>253</v>
      </c>
      <c r="R2706" s="1215" t="s">
        <v>255</v>
      </c>
      <c r="S2706" s="1215" t="s">
        <v>534</v>
      </c>
      <c r="T2706" s="1215" t="s">
        <v>533</v>
      </c>
      <c r="U2706" s="6" t="s">
        <v>549</v>
      </c>
      <c r="V2706" s="6" t="s">
        <v>31</v>
      </c>
    </row>
    <row r="2707" spans="1:24" x14ac:dyDescent="0.3">
      <c r="A2707" s="6" t="s">
        <v>533</v>
      </c>
      <c r="B2707" s="6" t="s">
        <v>534</v>
      </c>
      <c r="C2707" s="6" t="s">
        <v>34</v>
      </c>
      <c r="D2707" s="1088" t="s">
        <v>539</v>
      </c>
      <c r="E2707" s="6" t="s">
        <v>188</v>
      </c>
      <c r="F2707" s="6" t="s">
        <v>546</v>
      </c>
      <c r="G2707" s="6" t="s">
        <v>2911</v>
      </c>
      <c r="H2707" s="6" t="s">
        <v>1267</v>
      </c>
      <c r="J2707" s="1215" t="s">
        <v>511</v>
      </c>
      <c r="K2707" s="1219" t="s">
        <v>3033</v>
      </c>
      <c r="L2707" s="8">
        <v>5</v>
      </c>
      <c r="M2707" s="8">
        <v>35</v>
      </c>
      <c r="N2707" s="1169" t="s">
        <v>271</v>
      </c>
      <c r="P2707" s="6" t="s">
        <v>3324</v>
      </c>
      <c r="Q2707" s="1215" t="s">
        <v>253</v>
      </c>
      <c r="R2707" s="1215" t="s">
        <v>255</v>
      </c>
      <c r="S2707" s="1215" t="s">
        <v>534</v>
      </c>
      <c r="T2707" s="1215" t="s">
        <v>533</v>
      </c>
      <c r="U2707" s="6" t="s">
        <v>539</v>
      </c>
      <c r="V2707" s="6" t="s">
        <v>34</v>
      </c>
      <c r="W2707" s="6" t="s">
        <v>546</v>
      </c>
      <c r="X2707" s="6" t="s">
        <v>188</v>
      </c>
    </row>
    <row r="2708" spans="1:24" x14ac:dyDescent="0.3">
      <c r="A2708" s="6" t="s">
        <v>533</v>
      </c>
      <c r="B2708" s="6" t="s">
        <v>534</v>
      </c>
      <c r="C2708" s="6" t="s">
        <v>34</v>
      </c>
      <c r="D2708" s="6" t="s">
        <v>539</v>
      </c>
      <c r="E2708" s="6" t="s">
        <v>188</v>
      </c>
      <c r="F2708" s="6" t="s">
        <v>546</v>
      </c>
      <c r="G2708" s="6" t="s">
        <v>1513</v>
      </c>
      <c r="H2708" s="6" t="s">
        <v>1074</v>
      </c>
      <c r="J2708" s="1215" t="s">
        <v>511</v>
      </c>
      <c r="K2708" s="1219" t="s">
        <v>3033</v>
      </c>
      <c r="L2708" s="8">
        <v>2</v>
      </c>
      <c r="M2708" s="8">
        <v>8</v>
      </c>
      <c r="N2708" s="1169" t="s">
        <v>271</v>
      </c>
      <c r="P2708" s="6" t="s">
        <v>3324</v>
      </c>
      <c r="Q2708" s="1215" t="s">
        <v>253</v>
      </c>
      <c r="R2708" s="1215" t="s">
        <v>255</v>
      </c>
      <c r="S2708" s="1215" t="s">
        <v>534</v>
      </c>
      <c r="T2708" s="1215" t="s">
        <v>533</v>
      </c>
      <c r="U2708" s="6" t="s">
        <v>539</v>
      </c>
      <c r="V2708" s="6" t="s">
        <v>34</v>
      </c>
      <c r="W2708" s="6" t="s">
        <v>546</v>
      </c>
      <c r="X2708" s="6" t="s">
        <v>188</v>
      </c>
    </row>
    <row r="2709" spans="1:24" x14ac:dyDescent="0.3">
      <c r="A2709" s="6" t="s">
        <v>533</v>
      </c>
      <c r="B2709" s="6" t="s">
        <v>534</v>
      </c>
      <c r="C2709" s="6" t="s">
        <v>35</v>
      </c>
      <c r="D2709" s="1088" t="s">
        <v>567</v>
      </c>
      <c r="E2709" s="6" t="s">
        <v>192</v>
      </c>
      <c r="F2709" s="6" t="s">
        <v>853</v>
      </c>
      <c r="G2709" s="6" t="s">
        <v>947</v>
      </c>
      <c r="H2709" s="6" t="s">
        <v>962</v>
      </c>
      <c r="J2709" s="1215" t="s">
        <v>511</v>
      </c>
      <c r="K2709" s="1219" t="s">
        <v>3110</v>
      </c>
      <c r="L2709" s="8">
        <v>2</v>
      </c>
      <c r="M2709" s="8">
        <v>3</v>
      </c>
      <c r="N2709" s="1169" t="s">
        <v>271</v>
      </c>
      <c r="P2709" s="6" t="s">
        <v>3324</v>
      </c>
      <c r="Q2709" s="1215" t="s">
        <v>253</v>
      </c>
      <c r="R2709" s="1215" t="s">
        <v>255</v>
      </c>
      <c r="S2709" s="1215" t="s">
        <v>534</v>
      </c>
      <c r="T2709" s="1215" t="s">
        <v>533</v>
      </c>
      <c r="U2709" s="6" t="s">
        <v>567</v>
      </c>
      <c r="V2709" s="6" t="s">
        <v>35</v>
      </c>
      <c r="W2709" s="6" t="s">
        <v>853</v>
      </c>
      <c r="X2709" s="6" t="s">
        <v>192</v>
      </c>
    </row>
    <row r="2710" spans="1:24" x14ac:dyDescent="0.3">
      <c r="A2710" s="6" t="s">
        <v>533</v>
      </c>
      <c r="B2710" s="6" t="s">
        <v>534</v>
      </c>
      <c r="C2710" s="6" t="s">
        <v>35</v>
      </c>
      <c r="D2710" s="1088" t="s">
        <v>567</v>
      </c>
      <c r="E2710" s="6" t="s">
        <v>192</v>
      </c>
      <c r="F2710" s="6" t="s">
        <v>853</v>
      </c>
      <c r="G2710" s="6" t="s">
        <v>947</v>
      </c>
      <c r="H2710" s="6" t="s">
        <v>962</v>
      </c>
      <c r="J2710" s="1215" t="s">
        <v>511</v>
      </c>
      <c r="K2710" s="1219" t="s">
        <v>3111</v>
      </c>
      <c r="L2710" s="8">
        <v>2</v>
      </c>
      <c r="M2710" s="8">
        <v>5</v>
      </c>
      <c r="N2710" s="1169" t="s">
        <v>271</v>
      </c>
      <c r="P2710" s="6" t="s">
        <v>3324</v>
      </c>
      <c r="Q2710" s="1215" t="s">
        <v>253</v>
      </c>
      <c r="R2710" s="1215" t="s">
        <v>255</v>
      </c>
      <c r="S2710" s="1215" t="s">
        <v>534</v>
      </c>
      <c r="T2710" s="1215" t="s">
        <v>533</v>
      </c>
      <c r="U2710" s="6" t="s">
        <v>567</v>
      </c>
      <c r="V2710" s="6" t="s">
        <v>35</v>
      </c>
      <c r="W2710" s="6" t="s">
        <v>853</v>
      </c>
      <c r="X2710" s="6" t="s">
        <v>192</v>
      </c>
    </row>
    <row r="2711" spans="1:24" x14ac:dyDescent="0.3">
      <c r="A2711" s="6" t="s">
        <v>533</v>
      </c>
      <c r="B2711" s="6" t="s">
        <v>534</v>
      </c>
      <c r="C2711" s="6" t="s">
        <v>35</v>
      </c>
      <c r="D2711" s="1088" t="s">
        <v>567</v>
      </c>
      <c r="E2711" s="6" t="s">
        <v>192</v>
      </c>
      <c r="F2711" s="6" t="s">
        <v>853</v>
      </c>
      <c r="G2711" s="6" t="s">
        <v>947</v>
      </c>
      <c r="H2711" s="6" t="s">
        <v>962</v>
      </c>
      <c r="J2711" s="1215" t="s">
        <v>511</v>
      </c>
      <c r="K2711" s="1219" t="s">
        <v>3112</v>
      </c>
      <c r="L2711" s="8">
        <v>21</v>
      </c>
      <c r="M2711" s="8">
        <v>150</v>
      </c>
      <c r="N2711" s="1169" t="s">
        <v>271</v>
      </c>
      <c r="P2711" s="6" t="s">
        <v>3324</v>
      </c>
      <c r="Q2711" s="1215" t="s">
        <v>253</v>
      </c>
      <c r="R2711" s="1215" t="s">
        <v>255</v>
      </c>
      <c r="S2711" s="1215" t="s">
        <v>534</v>
      </c>
      <c r="T2711" s="1215" t="s">
        <v>533</v>
      </c>
      <c r="U2711" s="6" t="s">
        <v>567</v>
      </c>
      <c r="V2711" s="6" t="s">
        <v>35</v>
      </c>
      <c r="W2711" s="6" t="s">
        <v>853</v>
      </c>
      <c r="X2711" s="6" t="s">
        <v>192</v>
      </c>
    </row>
    <row r="2712" spans="1:24" x14ac:dyDescent="0.3">
      <c r="A2712" s="6" t="s">
        <v>533</v>
      </c>
      <c r="B2712" s="6" t="s">
        <v>534</v>
      </c>
      <c r="C2712" s="6" t="s">
        <v>34</v>
      </c>
      <c r="D2712" s="1088" t="s">
        <v>539</v>
      </c>
      <c r="E2712" s="6" t="s">
        <v>188</v>
      </c>
      <c r="F2712" s="6" t="s">
        <v>546</v>
      </c>
      <c r="G2712" s="6" t="s">
        <v>1687</v>
      </c>
      <c r="H2712" s="6" t="s">
        <v>1492</v>
      </c>
      <c r="J2712" s="1215" t="s">
        <v>511</v>
      </c>
      <c r="K2712" s="1219" t="s">
        <v>3033</v>
      </c>
      <c r="L2712" s="8">
        <v>15</v>
      </c>
      <c r="M2712" s="8">
        <v>68</v>
      </c>
      <c r="N2712" s="1169" t="s">
        <v>271</v>
      </c>
      <c r="P2712" s="6" t="s">
        <v>3324</v>
      </c>
      <c r="Q2712" s="1215" t="s">
        <v>253</v>
      </c>
      <c r="R2712" s="1215" t="s">
        <v>255</v>
      </c>
      <c r="S2712" s="1215" t="s">
        <v>534</v>
      </c>
      <c r="T2712" s="1215" t="s">
        <v>533</v>
      </c>
      <c r="U2712" s="6" t="s">
        <v>539</v>
      </c>
      <c r="V2712" s="6" t="s">
        <v>34</v>
      </c>
      <c r="W2712" s="6" t="s">
        <v>546</v>
      </c>
      <c r="X2712" s="6" t="s">
        <v>188</v>
      </c>
    </row>
    <row r="2713" spans="1:24" x14ac:dyDescent="0.3">
      <c r="A2713" s="6" t="s">
        <v>533</v>
      </c>
      <c r="B2713" s="6" t="s">
        <v>534</v>
      </c>
      <c r="C2713" s="6" t="s">
        <v>34</v>
      </c>
      <c r="D2713" s="1088" t="s">
        <v>539</v>
      </c>
      <c r="E2713" s="6" t="s">
        <v>188</v>
      </c>
      <c r="F2713" s="6" t="s">
        <v>546</v>
      </c>
      <c r="G2713" s="6" t="s">
        <v>1687</v>
      </c>
      <c r="H2713" s="6" t="s">
        <v>1492</v>
      </c>
      <c r="J2713" s="1215" t="s">
        <v>511</v>
      </c>
      <c r="K2713" s="1219" t="s">
        <v>3110</v>
      </c>
      <c r="L2713" s="8">
        <v>0</v>
      </c>
      <c r="M2713" s="8">
        <v>10</v>
      </c>
      <c r="N2713" s="1169" t="s">
        <v>271</v>
      </c>
      <c r="P2713" s="6" t="s">
        <v>3324</v>
      </c>
      <c r="Q2713" s="1215" t="s">
        <v>253</v>
      </c>
      <c r="R2713" s="1215" t="s">
        <v>255</v>
      </c>
      <c r="S2713" s="1215" t="s">
        <v>534</v>
      </c>
      <c r="T2713" s="1215" t="s">
        <v>533</v>
      </c>
      <c r="U2713" s="6" t="s">
        <v>539</v>
      </c>
      <c r="V2713" s="6" t="s">
        <v>34</v>
      </c>
      <c r="W2713" s="6" t="s">
        <v>546</v>
      </c>
      <c r="X2713" s="6" t="s">
        <v>188</v>
      </c>
    </row>
    <row r="2714" spans="1:24" x14ac:dyDescent="0.3">
      <c r="A2714" s="6" t="s">
        <v>533</v>
      </c>
      <c r="B2714" s="6" t="s">
        <v>534</v>
      </c>
      <c r="C2714" s="6" t="s">
        <v>31</v>
      </c>
      <c r="D2714" s="1088" t="s">
        <v>549</v>
      </c>
      <c r="E2714" s="6" t="s">
        <v>170</v>
      </c>
      <c r="F2714" s="6" t="s">
        <v>866</v>
      </c>
      <c r="G2714" s="6" t="s">
        <v>1702</v>
      </c>
      <c r="H2714" s="6" t="s">
        <v>874</v>
      </c>
      <c r="J2714" s="1215" t="s">
        <v>511</v>
      </c>
      <c r="K2714" s="1219" t="s">
        <v>3112</v>
      </c>
      <c r="L2714" s="8">
        <v>15</v>
      </c>
      <c r="M2714" s="8">
        <v>34</v>
      </c>
      <c r="N2714" s="1169" t="s">
        <v>272</v>
      </c>
      <c r="P2714" s="6" t="s">
        <v>3324</v>
      </c>
      <c r="Q2714" s="1215" t="s">
        <v>253</v>
      </c>
      <c r="R2714" s="1215" t="s">
        <v>255</v>
      </c>
      <c r="S2714" s="1215" t="s">
        <v>534</v>
      </c>
      <c r="T2714" s="1215" t="s">
        <v>533</v>
      </c>
      <c r="U2714" s="6" t="s">
        <v>549</v>
      </c>
      <c r="V2714" s="6" t="s">
        <v>31</v>
      </c>
      <c r="W2714" s="6" t="s">
        <v>866</v>
      </c>
      <c r="X2714" s="6" t="s">
        <v>170</v>
      </c>
    </row>
    <row r="2715" spans="1:24" x14ac:dyDescent="0.3">
      <c r="A2715" s="6" t="s">
        <v>533</v>
      </c>
      <c r="B2715" s="6" t="s">
        <v>534</v>
      </c>
      <c r="C2715" s="6" t="s">
        <v>34</v>
      </c>
      <c r="D2715" s="1088" t="s">
        <v>539</v>
      </c>
      <c r="E2715" s="6" t="s">
        <v>188</v>
      </c>
      <c r="F2715" s="6" t="s">
        <v>546</v>
      </c>
      <c r="G2715" s="6" t="s">
        <v>1042</v>
      </c>
      <c r="H2715" s="6" t="s">
        <v>1627</v>
      </c>
      <c r="J2715" s="1215" t="s">
        <v>511</v>
      </c>
      <c r="K2715" s="1219" t="s">
        <v>3111</v>
      </c>
      <c r="L2715" s="8">
        <v>1</v>
      </c>
      <c r="M2715" s="8">
        <v>6</v>
      </c>
      <c r="N2715" s="1169" t="s">
        <v>271</v>
      </c>
      <c r="P2715" s="6" t="s">
        <v>3324</v>
      </c>
      <c r="Q2715" s="1215" t="s">
        <v>253</v>
      </c>
      <c r="R2715" s="1215" t="s">
        <v>255</v>
      </c>
      <c r="S2715" s="1215" t="s">
        <v>534</v>
      </c>
      <c r="T2715" s="1215" t="s">
        <v>533</v>
      </c>
      <c r="U2715" s="6" t="s">
        <v>539</v>
      </c>
      <c r="V2715" s="6" t="s">
        <v>34</v>
      </c>
      <c r="W2715" s="6" t="s">
        <v>546</v>
      </c>
      <c r="X2715" s="6" t="s">
        <v>188</v>
      </c>
    </row>
    <row r="2716" spans="1:24" x14ac:dyDescent="0.3">
      <c r="A2716" s="6" t="s">
        <v>533</v>
      </c>
      <c r="B2716" s="6" t="s">
        <v>534</v>
      </c>
      <c r="C2716" s="6" t="s">
        <v>34</v>
      </c>
      <c r="D2716" s="1088" t="s">
        <v>539</v>
      </c>
      <c r="E2716" s="6" t="s">
        <v>188</v>
      </c>
      <c r="F2716" s="6" t="s">
        <v>546</v>
      </c>
      <c r="G2716" s="6" t="s">
        <v>1042</v>
      </c>
      <c r="H2716" s="6" t="s">
        <v>1627</v>
      </c>
      <c r="J2716" s="1215" t="s">
        <v>511</v>
      </c>
      <c r="K2716" s="1219" t="s">
        <v>3110</v>
      </c>
      <c r="L2716" s="8">
        <v>4</v>
      </c>
      <c r="M2716" s="8">
        <v>30</v>
      </c>
      <c r="N2716" s="1169" t="s">
        <v>271</v>
      </c>
      <c r="P2716" s="6" t="s">
        <v>3324</v>
      </c>
      <c r="Q2716" s="1215" t="s">
        <v>253</v>
      </c>
      <c r="R2716" s="1215" t="s">
        <v>255</v>
      </c>
      <c r="S2716" s="1215" t="s">
        <v>534</v>
      </c>
      <c r="T2716" s="1215" t="s">
        <v>533</v>
      </c>
      <c r="U2716" s="6" t="s">
        <v>539</v>
      </c>
      <c r="V2716" s="6" t="s">
        <v>34</v>
      </c>
      <c r="W2716" s="6" t="s">
        <v>546</v>
      </c>
      <c r="X2716" s="6" t="s">
        <v>188</v>
      </c>
    </row>
    <row r="2717" spans="1:24" x14ac:dyDescent="0.3">
      <c r="A2717" s="6" t="s">
        <v>533</v>
      </c>
      <c r="B2717" s="6" t="s">
        <v>534</v>
      </c>
      <c r="C2717" s="6" t="s">
        <v>35</v>
      </c>
      <c r="D2717" s="1088" t="s">
        <v>567</v>
      </c>
      <c r="E2717" s="6" t="s">
        <v>193</v>
      </c>
      <c r="F2717" s="6" t="s">
        <v>863</v>
      </c>
      <c r="G2717" s="6" t="s">
        <v>1569</v>
      </c>
      <c r="H2717" s="6" t="s">
        <v>1570</v>
      </c>
      <c r="J2717" s="1215" t="s">
        <v>511</v>
      </c>
      <c r="K2717" s="1219" t="s">
        <v>3110</v>
      </c>
      <c r="L2717" s="8">
        <v>29</v>
      </c>
      <c r="M2717" s="8">
        <v>143</v>
      </c>
      <c r="N2717" s="1169" t="s">
        <v>275</v>
      </c>
      <c r="O2717" s="6" t="s">
        <v>3363</v>
      </c>
      <c r="P2717" s="6" t="s">
        <v>743</v>
      </c>
      <c r="Q2717" s="1215" t="s">
        <v>253</v>
      </c>
      <c r="R2717" s="1215" t="s">
        <v>255</v>
      </c>
      <c r="S2717" s="1088" t="s">
        <v>3404</v>
      </c>
      <c r="T2717" s="1088" t="s">
        <v>3325</v>
      </c>
    </row>
    <row r="2718" spans="1:24" x14ac:dyDescent="0.3">
      <c r="A2718" s="6" t="s">
        <v>533</v>
      </c>
      <c r="B2718" s="6" t="s">
        <v>534</v>
      </c>
      <c r="C2718" s="6" t="s">
        <v>35</v>
      </c>
      <c r="D2718" s="6" t="s">
        <v>567</v>
      </c>
      <c r="E2718" s="1088" t="s">
        <v>193</v>
      </c>
      <c r="F2718" s="6" t="s">
        <v>863</v>
      </c>
      <c r="G2718" s="6" t="s">
        <v>1566</v>
      </c>
      <c r="H2718" s="6" t="s">
        <v>1123</v>
      </c>
      <c r="J2718" s="1215" t="s">
        <v>511</v>
      </c>
      <c r="K2718" s="1219" t="s">
        <v>3112</v>
      </c>
      <c r="L2718" s="8">
        <v>4</v>
      </c>
      <c r="M2718" s="8">
        <v>4</v>
      </c>
      <c r="N2718" s="1169" t="s">
        <v>275</v>
      </c>
      <c r="O2718" s="6" t="s">
        <v>3363</v>
      </c>
      <c r="P2718" s="6" t="s">
        <v>3323</v>
      </c>
      <c r="Q2718" s="1215" t="s">
        <v>253</v>
      </c>
      <c r="R2718" s="1215" t="s">
        <v>255</v>
      </c>
      <c r="S2718" s="1215" t="s">
        <v>534</v>
      </c>
      <c r="T2718" s="1215" t="s">
        <v>533</v>
      </c>
      <c r="U2718" s="6" t="s">
        <v>567</v>
      </c>
      <c r="V2718" s="6" t="s">
        <v>35</v>
      </c>
      <c r="W2718" s="6" t="s">
        <v>733</v>
      </c>
      <c r="X2718" s="6" t="s">
        <v>195</v>
      </c>
    </row>
    <row r="2719" spans="1:24" x14ac:dyDescent="0.3">
      <c r="A2719" s="6" t="s">
        <v>533</v>
      </c>
      <c r="B2719" s="6" t="s">
        <v>534</v>
      </c>
      <c r="C2719" s="6" t="s">
        <v>35</v>
      </c>
      <c r="D2719" s="1088" t="s">
        <v>567</v>
      </c>
      <c r="E2719" s="6" t="s">
        <v>195</v>
      </c>
      <c r="F2719" s="6" t="s">
        <v>733</v>
      </c>
      <c r="G2719" s="6" t="s">
        <v>1518</v>
      </c>
      <c r="H2719" s="6" t="s">
        <v>2142</v>
      </c>
      <c r="J2719" s="1215" t="s">
        <v>511</v>
      </c>
      <c r="K2719" s="1219" t="s">
        <v>3111</v>
      </c>
      <c r="L2719" s="8">
        <v>7</v>
      </c>
      <c r="M2719" s="8">
        <v>46</v>
      </c>
      <c r="N2719" s="1169" t="s">
        <v>271</v>
      </c>
      <c r="P2719" s="6" t="s">
        <v>3361</v>
      </c>
      <c r="Q2719" s="1215" t="s">
        <v>240</v>
      </c>
      <c r="R2719" s="1168" t="s">
        <v>242</v>
      </c>
      <c r="S2719" s="1088"/>
      <c r="T2719" s="1088"/>
    </row>
    <row r="2720" spans="1:24" x14ac:dyDescent="0.3">
      <c r="A2720" s="6" t="s">
        <v>533</v>
      </c>
      <c r="B2720" s="6" t="s">
        <v>534</v>
      </c>
      <c r="C2720" s="6" t="s">
        <v>35</v>
      </c>
      <c r="D2720" s="1088" t="s">
        <v>567</v>
      </c>
      <c r="E2720" s="6" t="s">
        <v>195</v>
      </c>
      <c r="F2720" s="6" t="s">
        <v>733</v>
      </c>
      <c r="G2720" s="6" t="s">
        <v>1518</v>
      </c>
      <c r="H2720" s="6" t="s">
        <v>2142</v>
      </c>
      <c r="J2720" s="1215" t="s">
        <v>511</v>
      </c>
      <c r="K2720" s="1219" t="s">
        <v>3112</v>
      </c>
      <c r="L2720" s="8">
        <v>7</v>
      </c>
      <c r="M2720" s="8">
        <v>52</v>
      </c>
      <c r="N2720" s="1169" t="s">
        <v>271</v>
      </c>
      <c r="P2720" s="6" t="s">
        <v>3361</v>
      </c>
      <c r="Q2720" s="1215" t="s">
        <v>240</v>
      </c>
      <c r="R2720" s="1168" t="s">
        <v>242</v>
      </c>
      <c r="S2720" s="1088"/>
      <c r="T2720" s="1088"/>
    </row>
    <row r="2721" spans="1:24" x14ac:dyDescent="0.3">
      <c r="A2721" s="6" t="s">
        <v>533</v>
      </c>
      <c r="B2721" s="6" t="s">
        <v>534</v>
      </c>
      <c r="C2721" s="6" t="s">
        <v>35</v>
      </c>
      <c r="D2721" s="1088" t="s">
        <v>567</v>
      </c>
      <c r="E2721" s="6" t="s">
        <v>192</v>
      </c>
      <c r="F2721" s="6" t="s">
        <v>853</v>
      </c>
      <c r="G2721" s="6" t="s">
        <v>897</v>
      </c>
      <c r="H2721" s="6" t="s">
        <v>1638</v>
      </c>
      <c r="J2721" s="1215" t="s">
        <v>511</v>
      </c>
      <c r="K2721" s="1219" t="s">
        <v>3112</v>
      </c>
      <c r="L2721" s="8">
        <v>7</v>
      </c>
      <c r="M2721" s="8">
        <v>31</v>
      </c>
      <c r="N2721" s="1169" t="s">
        <v>271</v>
      </c>
      <c r="P2721" s="6" t="s">
        <v>3323</v>
      </c>
      <c r="Q2721" s="1215" t="s">
        <v>253</v>
      </c>
      <c r="R2721" s="1215" t="s">
        <v>255</v>
      </c>
      <c r="S2721" s="1215" t="s">
        <v>534</v>
      </c>
      <c r="T2721" s="1215" t="s">
        <v>533</v>
      </c>
      <c r="U2721" s="6" t="s">
        <v>567</v>
      </c>
      <c r="V2721" s="6" t="s">
        <v>35</v>
      </c>
      <c r="W2721" s="6" t="s">
        <v>863</v>
      </c>
      <c r="X2721" s="6" t="s">
        <v>193</v>
      </c>
    </row>
    <row r="2722" spans="1:24" x14ac:dyDescent="0.3">
      <c r="A2722" s="6" t="s">
        <v>533</v>
      </c>
      <c r="B2722" s="6" t="s">
        <v>534</v>
      </c>
      <c r="C2722" s="6" t="s">
        <v>31</v>
      </c>
      <c r="D2722" s="1088" t="s">
        <v>549</v>
      </c>
      <c r="E2722" s="6" t="s">
        <v>2797</v>
      </c>
      <c r="F2722" s="6" t="s">
        <v>767</v>
      </c>
      <c r="G2722" s="6" t="s">
        <v>1198</v>
      </c>
      <c r="H2722" s="6" t="s">
        <v>1199</v>
      </c>
      <c r="J2722" s="1215" t="s">
        <v>511</v>
      </c>
      <c r="K2722" s="1219" t="s">
        <v>3033</v>
      </c>
      <c r="L2722" s="8">
        <v>18</v>
      </c>
      <c r="M2722" s="8">
        <v>160</v>
      </c>
      <c r="N2722" s="1169" t="s">
        <v>271</v>
      </c>
      <c r="P2722" s="6" t="s">
        <v>3324</v>
      </c>
      <c r="Q2722" s="1215" t="s">
        <v>253</v>
      </c>
      <c r="R2722" s="1215" t="s">
        <v>255</v>
      </c>
      <c r="S2722" s="1215" t="s">
        <v>534</v>
      </c>
      <c r="T2722" s="1215" t="s">
        <v>533</v>
      </c>
      <c r="U2722" s="6" t="s">
        <v>549</v>
      </c>
      <c r="V2722" s="6" t="s">
        <v>31</v>
      </c>
      <c r="W2722" s="6" t="s">
        <v>767</v>
      </c>
      <c r="X2722" s="6" t="s">
        <v>2797</v>
      </c>
    </row>
    <row r="2723" spans="1:24" x14ac:dyDescent="0.3">
      <c r="A2723" s="6" t="s">
        <v>533</v>
      </c>
      <c r="B2723" s="6" t="s">
        <v>534</v>
      </c>
      <c r="C2723" s="6" t="s">
        <v>31</v>
      </c>
      <c r="D2723" s="1088" t="s">
        <v>549</v>
      </c>
      <c r="E2723" s="6" t="s">
        <v>2797</v>
      </c>
      <c r="F2723" s="6" t="s">
        <v>767</v>
      </c>
      <c r="G2723" s="6" t="s">
        <v>1198</v>
      </c>
      <c r="H2723" s="6" t="s">
        <v>1199</v>
      </c>
      <c r="J2723" s="1215" t="s">
        <v>511</v>
      </c>
      <c r="K2723" s="1219" t="s">
        <v>3109</v>
      </c>
      <c r="L2723" s="8">
        <v>11</v>
      </c>
      <c r="M2723" s="8">
        <v>71</v>
      </c>
      <c r="N2723" s="1169" t="s">
        <v>271</v>
      </c>
      <c r="O2723" s="1088"/>
      <c r="P2723" s="6" t="s">
        <v>3324</v>
      </c>
      <c r="Q2723" s="1215" t="s">
        <v>253</v>
      </c>
      <c r="R2723" s="1215" t="s">
        <v>255</v>
      </c>
      <c r="S2723" s="1215" t="s">
        <v>534</v>
      </c>
      <c r="T2723" s="1215" t="s">
        <v>533</v>
      </c>
      <c r="U2723" s="6" t="s">
        <v>549</v>
      </c>
      <c r="V2723" s="6" t="s">
        <v>31</v>
      </c>
      <c r="W2723" s="6" t="s">
        <v>767</v>
      </c>
      <c r="X2723" s="6" t="s">
        <v>2797</v>
      </c>
    </row>
    <row r="2724" spans="1:24" x14ac:dyDescent="0.3">
      <c r="A2724" s="6" t="s">
        <v>533</v>
      </c>
      <c r="B2724" s="6" t="s">
        <v>534</v>
      </c>
      <c r="C2724" s="6" t="s">
        <v>31</v>
      </c>
      <c r="D2724" s="1088" t="s">
        <v>549</v>
      </c>
      <c r="E2724" s="6" t="s">
        <v>2797</v>
      </c>
      <c r="F2724" s="6" t="s">
        <v>767</v>
      </c>
      <c r="G2724" s="6" t="s">
        <v>1198</v>
      </c>
      <c r="H2724" s="6" t="s">
        <v>1199</v>
      </c>
      <c r="J2724" s="1215" t="s">
        <v>511</v>
      </c>
      <c r="K2724" s="1219" t="s">
        <v>3110</v>
      </c>
      <c r="L2724" s="8">
        <v>31</v>
      </c>
      <c r="M2724" s="8">
        <v>218</v>
      </c>
      <c r="N2724" s="1169" t="s">
        <v>271</v>
      </c>
      <c r="O2724" s="1088"/>
      <c r="P2724" s="6" t="s">
        <v>3324</v>
      </c>
      <c r="Q2724" s="1215" t="s">
        <v>253</v>
      </c>
      <c r="R2724" s="1215" t="s">
        <v>255</v>
      </c>
      <c r="S2724" s="1215" t="s">
        <v>534</v>
      </c>
      <c r="T2724" s="1215" t="s">
        <v>533</v>
      </c>
      <c r="U2724" s="6" t="s">
        <v>549</v>
      </c>
      <c r="V2724" s="6" t="s">
        <v>31</v>
      </c>
      <c r="W2724" s="6" t="s">
        <v>767</v>
      </c>
      <c r="X2724" s="6" t="s">
        <v>2797</v>
      </c>
    </row>
    <row r="2725" spans="1:24" x14ac:dyDescent="0.3">
      <c r="A2725" s="6" t="s">
        <v>533</v>
      </c>
      <c r="B2725" s="6" t="s">
        <v>534</v>
      </c>
      <c r="C2725" s="6" t="s">
        <v>31</v>
      </c>
      <c r="D2725" s="1088" t="s">
        <v>549</v>
      </c>
      <c r="E2725" s="6" t="s">
        <v>164</v>
      </c>
      <c r="F2725" s="6" t="s">
        <v>748</v>
      </c>
      <c r="G2725" s="6" t="s">
        <v>1088</v>
      </c>
      <c r="H2725" s="6" t="s">
        <v>1089</v>
      </c>
      <c r="J2725" s="1215" t="s">
        <v>511</v>
      </c>
      <c r="K2725" s="1219" t="s">
        <v>3112</v>
      </c>
      <c r="L2725" s="8">
        <v>2</v>
      </c>
      <c r="M2725" s="8">
        <v>7</v>
      </c>
      <c r="N2725" s="1169" t="s">
        <v>272</v>
      </c>
      <c r="P2725" s="6" t="s">
        <v>3323</v>
      </c>
      <c r="Q2725" s="1215" t="s">
        <v>253</v>
      </c>
      <c r="R2725" s="1215" t="s">
        <v>255</v>
      </c>
      <c r="S2725" s="1215" t="s">
        <v>534</v>
      </c>
      <c r="T2725" s="1215" t="s">
        <v>533</v>
      </c>
      <c r="U2725" s="6" t="s">
        <v>549</v>
      </c>
      <c r="V2725" s="6" t="s">
        <v>31</v>
      </c>
      <c r="W2725" s="6" t="s">
        <v>881</v>
      </c>
      <c r="X2725" s="6" t="s">
        <v>165</v>
      </c>
    </row>
    <row r="2726" spans="1:24" x14ac:dyDescent="0.3">
      <c r="A2726" s="6" t="s">
        <v>533</v>
      </c>
      <c r="B2726" s="6" t="s">
        <v>534</v>
      </c>
      <c r="C2726" s="6" t="s">
        <v>31</v>
      </c>
      <c r="D2726" s="1088" t="s">
        <v>549</v>
      </c>
      <c r="E2726" s="1088" t="s">
        <v>169</v>
      </c>
      <c r="F2726" s="6" t="s">
        <v>673</v>
      </c>
      <c r="G2726" s="6" t="s">
        <v>1646</v>
      </c>
      <c r="H2726" s="6" t="s">
        <v>2377</v>
      </c>
      <c r="J2726" s="1215" t="s">
        <v>511</v>
      </c>
      <c r="K2726" s="1219" t="s">
        <v>3112</v>
      </c>
      <c r="L2726" s="8">
        <v>56</v>
      </c>
      <c r="M2726" s="8">
        <v>370</v>
      </c>
      <c r="N2726" s="1169" t="s">
        <v>274</v>
      </c>
      <c r="P2726" s="6" t="s">
        <v>3324</v>
      </c>
      <c r="Q2726" s="1215" t="s">
        <v>253</v>
      </c>
      <c r="R2726" s="1215" t="s">
        <v>255</v>
      </c>
      <c r="S2726" s="1215" t="s">
        <v>534</v>
      </c>
      <c r="T2726" s="1215" t="s">
        <v>533</v>
      </c>
      <c r="U2726" s="6" t="s">
        <v>549</v>
      </c>
      <c r="V2726" s="6" t="s">
        <v>31</v>
      </c>
      <c r="W2726" s="6" t="s">
        <v>673</v>
      </c>
      <c r="X2726" s="6" t="s">
        <v>169</v>
      </c>
    </row>
    <row r="2727" spans="1:24" x14ac:dyDescent="0.3">
      <c r="A2727" s="6" t="s">
        <v>533</v>
      </c>
      <c r="B2727" s="6" t="s">
        <v>534</v>
      </c>
      <c r="C2727" s="6" t="s">
        <v>31</v>
      </c>
      <c r="D2727" s="1088" t="s">
        <v>549</v>
      </c>
      <c r="E2727" s="6" t="s">
        <v>169</v>
      </c>
      <c r="F2727" s="6" t="s">
        <v>673</v>
      </c>
      <c r="G2727" s="6" t="s">
        <v>3217</v>
      </c>
      <c r="H2727" s="6" t="s">
        <v>3073</v>
      </c>
      <c r="J2727" s="1215" t="s">
        <v>511</v>
      </c>
      <c r="K2727" s="1219" t="s">
        <v>3112</v>
      </c>
      <c r="L2727" s="8">
        <v>19</v>
      </c>
      <c r="M2727" s="8">
        <v>100</v>
      </c>
      <c r="N2727" s="1169" t="s">
        <v>274</v>
      </c>
      <c r="P2727" s="6" t="s">
        <v>3324</v>
      </c>
      <c r="Q2727" s="1215" t="s">
        <v>253</v>
      </c>
      <c r="R2727" s="1215" t="s">
        <v>255</v>
      </c>
      <c r="S2727" s="1215" t="s">
        <v>534</v>
      </c>
      <c r="T2727" s="1215" t="s">
        <v>533</v>
      </c>
      <c r="U2727" s="6" t="s">
        <v>549</v>
      </c>
      <c r="V2727" s="6" t="s">
        <v>31</v>
      </c>
      <c r="W2727" s="6" t="s">
        <v>673</v>
      </c>
      <c r="X2727" s="6" t="s">
        <v>169</v>
      </c>
    </row>
    <row r="2728" spans="1:24" x14ac:dyDescent="0.3">
      <c r="A2728" s="6" t="s">
        <v>533</v>
      </c>
      <c r="B2728" s="6" t="s">
        <v>534</v>
      </c>
      <c r="C2728" s="6" t="s">
        <v>35</v>
      </c>
      <c r="D2728" s="1088" t="s">
        <v>567</v>
      </c>
      <c r="E2728" s="6" t="s">
        <v>192</v>
      </c>
      <c r="F2728" s="6" t="s">
        <v>853</v>
      </c>
      <c r="G2728" s="6" t="s">
        <v>1400</v>
      </c>
      <c r="H2728" s="6" t="s">
        <v>1455</v>
      </c>
      <c r="J2728" s="1215" t="s">
        <v>511</v>
      </c>
      <c r="K2728" s="1219" t="s">
        <v>3111</v>
      </c>
      <c r="L2728" s="8">
        <v>22</v>
      </c>
      <c r="M2728" s="8">
        <v>86</v>
      </c>
      <c r="N2728" s="1169" t="s">
        <v>271</v>
      </c>
      <c r="O2728" s="1088"/>
      <c r="P2728" s="6" t="s">
        <v>3323</v>
      </c>
      <c r="Q2728" s="1215" t="s">
        <v>253</v>
      </c>
      <c r="R2728" s="1215" t="s">
        <v>255</v>
      </c>
      <c r="S2728" s="1215" t="s">
        <v>534</v>
      </c>
      <c r="T2728" s="1215" t="s">
        <v>533</v>
      </c>
      <c r="U2728" s="6" t="s">
        <v>567</v>
      </c>
      <c r="V2728" s="6" t="s">
        <v>35</v>
      </c>
      <c r="W2728" s="6" t="s">
        <v>863</v>
      </c>
      <c r="X2728" s="6" t="s">
        <v>193</v>
      </c>
    </row>
    <row r="2729" spans="1:24" x14ac:dyDescent="0.3">
      <c r="A2729" s="6" t="s">
        <v>533</v>
      </c>
      <c r="B2729" s="6" t="s">
        <v>534</v>
      </c>
      <c r="C2729" s="6" t="s">
        <v>35</v>
      </c>
      <c r="D2729" s="1088" t="s">
        <v>567</v>
      </c>
      <c r="E2729" s="6" t="s">
        <v>192</v>
      </c>
      <c r="F2729" s="6" t="s">
        <v>853</v>
      </c>
      <c r="G2729" s="6" t="s">
        <v>1610</v>
      </c>
      <c r="H2729" s="6" t="s">
        <v>946</v>
      </c>
      <c r="J2729" s="1215" t="s">
        <v>511</v>
      </c>
      <c r="K2729" s="1219" t="s">
        <v>3111</v>
      </c>
      <c r="L2729" s="8">
        <v>2</v>
      </c>
      <c r="M2729" s="8">
        <v>8</v>
      </c>
      <c r="N2729" s="1169" t="s">
        <v>271</v>
      </c>
      <c r="P2729" s="1172" t="s">
        <v>3323</v>
      </c>
      <c r="Q2729" s="1215" t="s">
        <v>253</v>
      </c>
      <c r="R2729" s="1215" t="s">
        <v>255</v>
      </c>
      <c r="S2729" s="1215" t="s">
        <v>534</v>
      </c>
      <c r="T2729" s="1215" t="s">
        <v>533</v>
      </c>
      <c r="U2729" s="6" t="s">
        <v>567</v>
      </c>
      <c r="V2729" s="6" t="s">
        <v>35</v>
      </c>
      <c r="W2729" s="6" t="s">
        <v>863</v>
      </c>
      <c r="X2729" s="6" t="s">
        <v>193</v>
      </c>
    </row>
    <row r="2730" spans="1:24" x14ac:dyDescent="0.3">
      <c r="A2730" s="6" t="s">
        <v>533</v>
      </c>
      <c r="B2730" s="6" t="s">
        <v>534</v>
      </c>
      <c r="C2730" s="6" t="s">
        <v>35</v>
      </c>
      <c r="D2730" s="1088" t="s">
        <v>567</v>
      </c>
      <c r="E2730" s="6" t="s">
        <v>192</v>
      </c>
      <c r="F2730" s="6" t="s">
        <v>853</v>
      </c>
      <c r="G2730" s="6" t="s">
        <v>1610</v>
      </c>
      <c r="H2730" s="6" t="s">
        <v>946</v>
      </c>
      <c r="J2730" s="1215" t="s">
        <v>511</v>
      </c>
      <c r="K2730" s="1219" t="s">
        <v>3112</v>
      </c>
      <c r="L2730" s="8">
        <v>6</v>
      </c>
      <c r="M2730" s="8">
        <v>16</v>
      </c>
      <c r="N2730" s="1169" t="s">
        <v>271</v>
      </c>
      <c r="P2730" s="6" t="s">
        <v>3323</v>
      </c>
      <c r="Q2730" s="1215" t="s">
        <v>253</v>
      </c>
      <c r="R2730" s="1215" t="s">
        <v>255</v>
      </c>
      <c r="S2730" s="1215" t="s">
        <v>534</v>
      </c>
      <c r="T2730" s="1215" t="s">
        <v>533</v>
      </c>
      <c r="U2730" s="6" t="s">
        <v>567</v>
      </c>
      <c r="V2730" s="6" t="s">
        <v>35</v>
      </c>
      <c r="W2730" s="6" t="s">
        <v>863</v>
      </c>
      <c r="X2730" s="6" t="s">
        <v>193</v>
      </c>
    </row>
    <row r="2731" spans="1:24" x14ac:dyDescent="0.3">
      <c r="A2731" s="6" t="s">
        <v>533</v>
      </c>
      <c r="B2731" s="6" t="s">
        <v>534</v>
      </c>
      <c r="C2731" s="6" t="s">
        <v>31</v>
      </c>
      <c r="D2731" s="1088" t="s">
        <v>549</v>
      </c>
      <c r="E2731" s="6" t="s">
        <v>172</v>
      </c>
      <c r="F2731" s="6" t="s">
        <v>706</v>
      </c>
      <c r="G2731" s="6" t="s">
        <v>1908</v>
      </c>
      <c r="H2731" s="6" t="s">
        <v>2000</v>
      </c>
      <c r="J2731" s="1215" t="s">
        <v>511</v>
      </c>
      <c r="K2731" s="1219" t="s">
        <v>3110</v>
      </c>
      <c r="L2731" s="8">
        <v>5</v>
      </c>
      <c r="M2731" s="8">
        <v>35</v>
      </c>
      <c r="N2731" s="1169" t="s">
        <v>271</v>
      </c>
      <c r="P2731" s="6" t="s">
        <v>3324</v>
      </c>
      <c r="Q2731" s="1215" t="s">
        <v>253</v>
      </c>
      <c r="R2731" s="1215" t="s">
        <v>255</v>
      </c>
      <c r="S2731" s="1215" t="s">
        <v>534</v>
      </c>
      <c r="T2731" s="1215" t="s">
        <v>533</v>
      </c>
      <c r="U2731" s="6" t="s">
        <v>549</v>
      </c>
      <c r="V2731" s="6" t="s">
        <v>31</v>
      </c>
      <c r="W2731" s="6" t="s">
        <v>706</v>
      </c>
      <c r="X2731" s="6" t="s">
        <v>172</v>
      </c>
    </row>
    <row r="2732" spans="1:24" x14ac:dyDescent="0.3">
      <c r="A2732" s="6" t="s">
        <v>533</v>
      </c>
      <c r="B2732" s="6" t="s">
        <v>534</v>
      </c>
      <c r="C2732" s="6" t="s">
        <v>31</v>
      </c>
      <c r="D2732" s="6" t="s">
        <v>549</v>
      </c>
      <c r="E2732" s="1088" t="s">
        <v>165</v>
      </c>
      <c r="F2732" s="6" t="s">
        <v>881</v>
      </c>
      <c r="G2732" s="6" t="s">
        <v>2024</v>
      </c>
      <c r="H2732" s="6" t="s">
        <v>1334</v>
      </c>
      <c r="J2732" s="1215" t="s">
        <v>511</v>
      </c>
      <c r="K2732" s="1219" t="s">
        <v>3112</v>
      </c>
      <c r="L2732" s="8">
        <v>30</v>
      </c>
      <c r="M2732" s="8">
        <v>70</v>
      </c>
      <c r="N2732" s="1169" t="s">
        <v>271</v>
      </c>
      <c r="P2732" s="6" t="s">
        <v>3324</v>
      </c>
      <c r="Q2732" s="1215" t="s">
        <v>253</v>
      </c>
      <c r="R2732" s="1215" t="s">
        <v>255</v>
      </c>
      <c r="S2732" s="1215" t="s">
        <v>534</v>
      </c>
      <c r="T2732" s="1215" t="s">
        <v>533</v>
      </c>
      <c r="U2732" s="6" t="s">
        <v>549</v>
      </c>
      <c r="V2732" s="6" t="s">
        <v>31</v>
      </c>
      <c r="W2732" s="6" t="s">
        <v>881</v>
      </c>
      <c r="X2732" s="6" t="s">
        <v>165</v>
      </c>
    </row>
    <row r="2733" spans="1:24" x14ac:dyDescent="0.3">
      <c r="A2733" s="6" t="s">
        <v>533</v>
      </c>
      <c r="B2733" s="6" t="s">
        <v>534</v>
      </c>
      <c r="C2733" s="6" t="s">
        <v>34</v>
      </c>
      <c r="D2733" s="1088" t="s">
        <v>539</v>
      </c>
      <c r="E2733" s="6" t="s">
        <v>188</v>
      </c>
      <c r="F2733" s="6" t="s">
        <v>546</v>
      </c>
      <c r="G2733" s="6" t="s">
        <v>1791</v>
      </c>
      <c r="H2733" s="6" t="s">
        <v>668</v>
      </c>
      <c r="J2733" s="1215" t="s">
        <v>511</v>
      </c>
      <c r="K2733" s="1219" t="s">
        <v>3109</v>
      </c>
      <c r="L2733" s="8">
        <v>2</v>
      </c>
      <c r="M2733" s="8">
        <v>9</v>
      </c>
      <c r="N2733" s="1169" t="s">
        <v>271</v>
      </c>
      <c r="P2733" s="6" t="s">
        <v>3324</v>
      </c>
      <c r="Q2733" s="1215" t="s">
        <v>253</v>
      </c>
      <c r="R2733" s="1215" t="s">
        <v>255</v>
      </c>
      <c r="S2733" s="1215" t="s">
        <v>534</v>
      </c>
      <c r="T2733" s="1215" t="s">
        <v>533</v>
      </c>
      <c r="U2733" s="6" t="s">
        <v>539</v>
      </c>
      <c r="V2733" s="6" t="s">
        <v>34</v>
      </c>
      <c r="W2733" s="6" t="s">
        <v>546</v>
      </c>
      <c r="X2733" s="6" t="s">
        <v>188</v>
      </c>
    </row>
    <row r="2734" spans="1:24" x14ac:dyDescent="0.3">
      <c r="A2734" s="6" t="s">
        <v>533</v>
      </c>
      <c r="B2734" s="6" t="s">
        <v>534</v>
      </c>
      <c r="C2734" s="6" t="s">
        <v>34</v>
      </c>
      <c r="D2734" s="1088" t="s">
        <v>539</v>
      </c>
      <c r="E2734" s="1088" t="s">
        <v>188</v>
      </c>
      <c r="F2734" s="6" t="s">
        <v>546</v>
      </c>
      <c r="G2734" s="6" t="s">
        <v>2796</v>
      </c>
      <c r="H2734" s="6" t="s">
        <v>646</v>
      </c>
      <c r="J2734" s="1215" t="s">
        <v>511</v>
      </c>
      <c r="K2734" s="1219" t="s">
        <v>3033</v>
      </c>
      <c r="L2734" s="8">
        <v>136</v>
      </c>
      <c r="M2734" s="8">
        <v>546</v>
      </c>
      <c r="N2734" s="1169" t="s">
        <v>271</v>
      </c>
      <c r="P2734" s="6" t="s">
        <v>3324</v>
      </c>
      <c r="Q2734" s="1215" t="s">
        <v>253</v>
      </c>
      <c r="R2734" s="1215" t="s">
        <v>255</v>
      </c>
      <c r="S2734" s="1215" t="s">
        <v>534</v>
      </c>
      <c r="T2734" s="1215" t="s">
        <v>533</v>
      </c>
      <c r="U2734" s="6" t="s">
        <v>539</v>
      </c>
      <c r="V2734" s="6" t="s">
        <v>34</v>
      </c>
      <c r="W2734" s="6" t="s">
        <v>546</v>
      </c>
      <c r="X2734" s="6" t="s">
        <v>188</v>
      </c>
    </row>
    <row r="2735" spans="1:24" x14ac:dyDescent="0.3">
      <c r="A2735" s="6" t="s">
        <v>533</v>
      </c>
      <c r="B2735" s="6" t="s">
        <v>534</v>
      </c>
      <c r="C2735" s="6" t="s">
        <v>34</v>
      </c>
      <c r="D2735" s="1088" t="s">
        <v>539</v>
      </c>
      <c r="E2735" s="6" t="s">
        <v>188</v>
      </c>
      <c r="F2735" s="6" t="s">
        <v>546</v>
      </c>
      <c r="G2735" s="6" t="s">
        <v>2796</v>
      </c>
      <c r="H2735" s="6" t="s">
        <v>646</v>
      </c>
      <c r="J2735" s="1215" t="s">
        <v>511</v>
      </c>
      <c r="K2735" s="1219" t="s">
        <v>3109</v>
      </c>
      <c r="L2735" s="8">
        <v>15</v>
      </c>
      <c r="M2735" s="8">
        <v>60</v>
      </c>
      <c r="N2735" s="1169" t="s">
        <v>271</v>
      </c>
      <c r="P2735" s="6" t="s">
        <v>3324</v>
      </c>
      <c r="Q2735" s="1215" t="s">
        <v>253</v>
      </c>
      <c r="R2735" s="1215" t="s">
        <v>255</v>
      </c>
      <c r="S2735" s="1215" t="s">
        <v>534</v>
      </c>
      <c r="T2735" s="1215" t="s">
        <v>533</v>
      </c>
      <c r="U2735" s="6" t="s">
        <v>539</v>
      </c>
      <c r="V2735" s="6" t="s">
        <v>34</v>
      </c>
      <c r="W2735" s="6" t="s">
        <v>546</v>
      </c>
      <c r="X2735" s="6" t="s">
        <v>188</v>
      </c>
    </row>
    <row r="2736" spans="1:24" x14ac:dyDescent="0.3">
      <c r="A2736" s="6" t="s">
        <v>533</v>
      </c>
      <c r="B2736" s="6" t="s">
        <v>534</v>
      </c>
      <c r="C2736" s="6" t="s">
        <v>34</v>
      </c>
      <c r="D2736" s="1088" t="s">
        <v>539</v>
      </c>
      <c r="E2736" s="6" t="s">
        <v>188</v>
      </c>
      <c r="F2736" s="6" t="s">
        <v>546</v>
      </c>
      <c r="G2736" s="6" t="s">
        <v>2796</v>
      </c>
      <c r="H2736" s="6" t="s">
        <v>646</v>
      </c>
      <c r="J2736" s="1215" t="s">
        <v>511</v>
      </c>
      <c r="K2736" s="1219" t="s">
        <v>3110</v>
      </c>
      <c r="L2736" s="8">
        <v>3</v>
      </c>
      <c r="M2736" s="8">
        <v>40</v>
      </c>
      <c r="N2736" s="1169" t="s">
        <v>271</v>
      </c>
      <c r="P2736" s="6" t="s">
        <v>3324</v>
      </c>
      <c r="Q2736" s="1215" t="s">
        <v>253</v>
      </c>
      <c r="R2736" s="1215" t="s">
        <v>255</v>
      </c>
      <c r="S2736" s="1215" t="s">
        <v>534</v>
      </c>
      <c r="T2736" s="1215" t="s">
        <v>533</v>
      </c>
      <c r="U2736" s="6" t="s">
        <v>539</v>
      </c>
      <c r="V2736" s="6" t="s">
        <v>34</v>
      </c>
      <c r="W2736" s="6" t="s">
        <v>546</v>
      </c>
      <c r="X2736" s="6" t="s">
        <v>188</v>
      </c>
    </row>
    <row r="2737" spans="1:24" x14ac:dyDescent="0.3">
      <c r="A2737" s="6" t="s">
        <v>533</v>
      </c>
      <c r="B2737" s="6" t="s">
        <v>534</v>
      </c>
      <c r="C2737" s="6" t="s">
        <v>34</v>
      </c>
      <c r="D2737" s="6" t="s">
        <v>539</v>
      </c>
      <c r="E2737" s="1088" t="s">
        <v>188</v>
      </c>
      <c r="F2737" s="6" t="s">
        <v>546</v>
      </c>
      <c r="G2737" s="6" t="s">
        <v>2796</v>
      </c>
      <c r="H2737" s="6" t="s">
        <v>646</v>
      </c>
      <c r="J2737" s="1215" t="s">
        <v>511</v>
      </c>
      <c r="K2737" s="1219" t="s">
        <v>3111</v>
      </c>
      <c r="L2737" s="8">
        <v>3</v>
      </c>
      <c r="M2737" s="8">
        <v>24</v>
      </c>
      <c r="N2737" s="1169" t="s">
        <v>271</v>
      </c>
      <c r="P2737" s="6" t="s">
        <v>3324</v>
      </c>
      <c r="Q2737" s="1215" t="s">
        <v>253</v>
      </c>
      <c r="R2737" s="1215" t="s">
        <v>255</v>
      </c>
      <c r="S2737" s="1215" t="s">
        <v>534</v>
      </c>
      <c r="T2737" s="1215" t="s">
        <v>533</v>
      </c>
      <c r="U2737" s="6" t="s">
        <v>539</v>
      </c>
      <c r="V2737" s="6" t="s">
        <v>34</v>
      </c>
      <c r="W2737" s="6" t="s">
        <v>546</v>
      </c>
      <c r="X2737" s="6" t="s">
        <v>188</v>
      </c>
    </row>
    <row r="2738" spans="1:24" x14ac:dyDescent="0.3">
      <c r="A2738" s="6" t="s">
        <v>533</v>
      </c>
      <c r="B2738" s="6" t="s">
        <v>534</v>
      </c>
      <c r="C2738" s="6" t="s">
        <v>31</v>
      </c>
      <c r="D2738" s="6" t="s">
        <v>549</v>
      </c>
      <c r="E2738" s="1088" t="s">
        <v>164</v>
      </c>
      <c r="F2738" s="6" t="s">
        <v>748</v>
      </c>
      <c r="G2738" s="6" t="s">
        <v>2259</v>
      </c>
      <c r="H2738" s="6" t="s">
        <v>3260</v>
      </c>
      <c r="J2738" s="1215" t="s">
        <v>511</v>
      </c>
      <c r="K2738" s="1219" t="s">
        <v>3109</v>
      </c>
      <c r="L2738" s="8">
        <v>18</v>
      </c>
      <c r="M2738" s="8">
        <v>182</v>
      </c>
      <c r="N2738" s="1169" t="s">
        <v>274</v>
      </c>
      <c r="P2738" s="6" t="s">
        <v>3361</v>
      </c>
      <c r="Q2738" s="1215" t="s">
        <v>241</v>
      </c>
      <c r="R2738" s="1168" t="s">
        <v>243</v>
      </c>
      <c r="S2738" s="1088"/>
      <c r="T2738" s="1088"/>
    </row>
    <row r="2739" spans="1:24" x14ac:dyDescent="0.3">
      <c r="A2739" s="6" t="s">
        <v>533</v>
      </c>
      <c r="B2739" s="6" t="s">
        <v>534</v>
      </c>
      <c r="C2739" s="6" t="s">
        <v>35</v>
      </c>
      <c r="D2739" s="1088" t="s">
        <v>567</v>
      </c>
      <c r="E2739" s="6" t="s">
        <v>192</v>
      </c>
      <c r="F2739" s="6" t="s">
        <v>853</v>
      </c>
      <c r="G2739" s="6" t="s">
        <v>1390</v>
      </c>
      <c r="H2739" s="6" t="s">
        <v>1453</v>
      </c>
      <c r="J2739" s="1215" t="s">
        <v>511</v>
      </c>
      <c r="K2739" s="1219" t="s">
        <v>3033</v>
      </c>
      <c r="L2739" s="8">
        <v>21</v>
      </c>
      <c r="M2739" s="8">
        <v>147</v>
      </c>
      <c r="N2739" s="1169" t="s">
        <v>271</v>
      </c>
      <c r="P2739" s="6" t="s">
        <v>3323</v>
      </c>
      <c r="Q2739" s="1215" t="s">
        <v>253</v>
      </c>
      <c r="R2739" s="1215" t="s">
        <v>255</v>
      </c>
      <c r="S2739" s="1215" t="s">
        <v>534</v>
      </c>
      <c r="T2739" s="1215" t="s">
        <v>533</v>
      </c>
      <c r="U2739" s="6" t="s">
        <v>567</v>
      </c>
      <c r="V2739" s="6" t="s">
        <v>35</v>
      </c>
      <c r="W2739" s="6" t="s">
        <v>863</v>
      </c>
      <c r="X2739" s="6" t="s">
        <v>193</v>
      </c>
    </row>
    <row r="2740" spans="1:24" x14ac:dyDescent="0.3">
      <c r="A2740" s="6" t="s">
        <v>533</v>
      </c>
      <c r="B2740" s="6" t="s">
        <v>534</v>
      </c>
      <c r="C2740" s="6" t="s">
        <v>35</v>
      </c>
      <c r="D2740" s="1088" t="s">
        <v>567</v>
      </c>
      <c r="E2740" s="1088" t="s">
        <v>192</v>
      </c>
      <c r="F2740" s="6" t="s">
        <v>853</v>
      </c>
      <c r="G2740" s="6" t="s">
        <v>1390</v>
      </c>
      <c r="H2740" s="6" t="s">
        <v>1453</v>
      </c>
      <c r="J2740" s="1215" t="s">
        <v>511</v>
      </c>
      <c r="K2740" s="1219" t="s">
        <v>3110</v>
      </c>
      <c r="L2740" s="8">
        <v>21</v>
      </c>
      <c r="M2740" s="8">
        <v>142</v>
      </c>
      <c r="N2740" s="1169" t="s">
        <v>271</v>
      </c>
      <c r="P2740" s="6" t="s">
        <v>3323</v>
      </c>
      <c r="Q2740" s="1215" t="s">
        <v>253</v>
      </c>
      <c r="R2740" s="1215" t="s">
        <v>255</v>
      </c>
      <c r="S2740" s="1215" t="s">
        <v>534</v>
      </c>
      <c r="T2740" s="1215" t="s">
        <v>533</v>
      </c>
      <c r="U2740" s="6" t="s">
        <v>567</v>
      </c>
      <c r="V2740" s="6" t="s">
        <v>35</v>
      </c>
      <c r="W2740" s="6" t="s">
        <v>863</v>
      </c>
      <c r="X2740" s="6" t="s">
        <v>193</v>
      </c>
    </row>
    <row r="2741" spans="1:24" x14ac:dyDescent="0.3">
      <c r="A2741" s="6" t="s">
        <v>533</v>
      </c>
      <c r="B2741" s="6" t="s">
        <v>534</v>
      </c>
      <c r="C2741" s="6" t="s">
        <v>35</v>
      </c>
      <c r="D2741" s="1088" t="s">
        <v>567</v>
      </c>
      <c r="E2741" s="6" t="s">
        <v>192</v>
      </c>
      <c r="F2741" s="6" t="s">
        <v>853</v>
      </c>
      <c r="G2741" s="6" t="s">
        <v>1390</v>
      </c>
      <c r="H2741" s="6" t="s">
        <v>1453</v>
      </c>
      <c r="J2741" s="1215" t="s">
        <v>511</v>
      </c>
      <c r="K2741" s="1219" t="s">
        <v>3112</v>
      </c>
      <c r="L2741" s="8">
        <v>1</v>
      </c>
      <c r="M2741" s="8">
        <v>3</v>
      </c>
      <c r="N2741" s="1169" t="s">
        <v>271</v>
      </c>
      <c r="P2741" s="6" t="s">
        <v>3324</v>
      </c>
      <c r="Q2741" s="1215" t="s">
        <v>253</v>
      </c>
      <c r="R2741" s="1215" t="s">
        <v>255</v>
      </c>
      <c r="S2741" s="1215" t="s">
        <v>534</v>
      </c>
      <c r="T2741" s="1215" t="s">
        <v>533</v>
      </c>
      <c r="U2741" s="6" t="s">
        <v>567</v>
      </c>
      <c r="V2741" s="6" t="s">
        <v>35</v>
      </c>
      <c r="W2741" s="6" t="s">
        <v>853</v>
      </c>
      <c r="X2741" s="6" t="s">
        <v>192</v>
      </c>
    </row>
    <row r="2742" spans="1:24" x14ac:dyDescent="0.3">
      <c r="A2742" s="6" t="s">
        <v>533</v>
      </c>
      <c r="B2742" s="6" t="s">
        <v>534</v>
      </c>
      <c r="C2742" s="6" t="s">
        <v>34</v>
      </c>
      <c r="D2742" s="1088" t="s">
        <v>539</v>
      </c>
      <c r="E2742" s="6" t="s">
        <v>188</v>
      </c>
      <c r="F2742" s="6" t="s">
        <v>546</v>
      </c>
      <c r="G2742" s="6" t="s">
        <v>1499</v>
      </c>
      <c r="H2742" s="6" t="s">
        <v>1076</v>
      </c>
      <c r="J2742" s="1215" t="s">
        <v>511</v>
      </c>
      <c r="K2742" s="1219" t="s">
        <v>3033</v>
      </c>
      <c r="L2742" s="8">
        <v>8</v>
      </c>
      <c r="M2742" s="8">
        <v>58</v>
      </c>
      <c r="N2742" s="1169" t="s">
        <v>271</v>
      </c>
      <c r="P2742" s="6" t="s">
        <v>3324</v>
      </c>
      <c r="Q2742" s="1215" t="s">
        <v>253</v>
      </c>
      <c r="R2742" s="1215" t="s">
        <v>255</v>
      </c>
      <c r="S2742" s="1215" t="s">
        <v>534</v>
      </c>
      <c r="T2742" s="1215" t="s">
        <v>533</v>
      </c>
      <c r="U2742" s="6" t="s">
        <v>539</v>
      </c>
      <c r="V2742" s="6" t="s">
        <v>34</v>
      </c>
      <c r="W2742" s="6" t="s">
        <v>546</v>
      </c>
      <c r="X2742" s="6" t="s">
        <v>188</v>
      </c>
    </row>
    <row r="2743" spans="1:24" x14ac:dyDescent="0.3">
      <c r="A2743" s="6" t="s">
        <v>533</v>
      </c>
      <c r="B2743" s="6" t="s">
        <v>534</v>
      </c>
      <c r="C2743" s="6" t="s">
        <v>34</v>
      </c>
      <c r="D2743" s="1088" t="s">
        <v>539</v>
      </c>
      <c r="E2743" s="6" t="s">
        <v>188</v>
      </c>
      <c r="F2743" s="6" t="s">
        <v>546</v>
      </c>
      <c r="G2743" s="6" t="s">
        <v>1329</v>
      </c>
      <c r="H2743" s="6" t="s">
        <v>1555</v>
      </c>
      <c r="J2743" s="1215" t="s">
        <v>511</v>
      </c>
      <c r="K2743" s="1219" t="s">
        <v>3033</v>
      </c>
      <c r="L2743" s="8">
        <v>3</v>
      </c>
      <c r="M2743" s="8">
        <v>13</v>
      </c>
      <c r="N2743" s="1169" t="s">
        <v>271</v>
      </c>
      <c r="P2743" s="6" t="s">
        <v>3324</v>
      </c>
      <c r="Q2743" s="1215" t="s">
        <v>253</v>
      </c>
      <c r="R2743" s="1215" t="s">
        <v>255</v>
      </c>
      <c r="S2743" s="1215" t="s">
        <v>534</v>
      </c>
      <c r="T2743" s="1215" t="s">
        <v>533</v>
      </c>
      <c r="U2743" s="6" t="s">
        <v>539</v>
      </c>
      <c r="V2743" s="6" t="s">
        <v>34</v>
      </c>
      <c r="W2743" s="6" t="s">
        <v>546</v>
      </c>
      <c r="X2743" s="6" t="s">
        <v>188</v>
      </c>
    </row>
    <row r="2744" spans="1:24" x14ac:dyDescent="0.3">
      <c r="A2744" s="6" t="s">
        <v>533</v>
      </c>
      <c r="B2744" s="6" t="s">
        <v>534</v>
      </c>
      <c r="C2744" s="6" t="s">
        <v>34</v>
      </c>
      <c r="D2744" s="1088" t="s">
        <v>539</v>
      </c>
      <c r="E2744" s="6" t="s">
        <v>188</v>
      </c>
      <c r="F2744" s="6" t="s">
        <v>546</v>
      </c>
      <c r="G2744" s="6" t="s">
        <v>1329</v>
      </c>
      <c r="H2744" s="6" t="s">
        <v>1555</v>
      </c>
      <c r="J2744" s="1215" t="s">
        <v>511</v>
      </c>
      <c r="K2744" s="1219" t="s">
        <v>3109</v>
      </c>
      <c r="L2744" s="8">
        <v>0</v>
      </c>
      <c r="M2744" s="8">
        <v>1</v>
      </c>
      <c r="N2744" s="1169" t="s">
        <v>271</v>
      </c>
      <c r="P2744" s="6" t="s">
        <v>3324</v>
      </c>
      <c r="Q2744" s="1215" t="s">
        <v>253</v>
      </c>
      <c r="R2744" s="1215" t="s">
        <v>255</v>
      </c>
      <c r="S2744" s="1215" t="s">
        <v>534</v>
      </c>
      <c r="T2744" s="1215" t="s">
        <v>533</v>
      </c>
      <c r="U2744" s="6" t="s">
        <v>539</v>
      </c>
      <c r="V2744" s="6" t="s">
        <v>34</v>
      </c>
      <c r="W2744" s="6" t="s">
        <v>546</v>
      </c>
      <c r="X2744" s="6" t="s">
        <v>188</v>
      </c>
    </row>
    <row r="2745" spans="1:24" x14ac:dyDescent="0.3">
      <c r="A2745" s="6" t="s">
        <v>533</v>
      </c>
      <c r="B2745" s="6" t="s">
        <v>534</v>
      </c>
      <c r="C2745" s="6" t="s">
        <v>34</v>
      </c>
      <c r="D2745" s="1088" t="s">
        <v>539</v>
      </c>
      <c r="E2745" s="6" t="s">
        <v>188</v>
      </c>
      <c r="F2745" s="6" t="s">
        <v>546</v>
      </c>
      <c r="G2745" s="6" t="s">
        <v>1181</v>
      </c>
      <c r="H2745" s="6" t="s">
        <v>758</v>
      </c>
      <c r="J2745" s="1215" t="s">
        <v>511</v>
      </c>
      <c r="K2745" s="1219" t="s">
        <v>3112</v>
      </c>
      <c r="L2745" s="8">
        <v>5</v>
      </c>
      <c r="M2745" s="8">
        <v>20</v>
      </c>
      <c r="N2745" s="1169" t="s">
        <v>271</v>
      </c>
      <c r="P2745" s="6" t="s">
        <v>3324</v>
      </c>
      <c r="Q2745" s="1215" t="s">
        <v>253</v>
      </c>
      <c r="R2745" s="1215" t="s">
        <v>255</v>
      </c>
      <c r="S2745" s="1215" t="s">
        <v>534</v>
      </c>
      <c r="T2745" s="1215" t="s">
        <v>533</v>
      </c>
      <c r="U2745" s="6" t="s">
        <v>539</v>
      </c>
      <c r="V2745" s="6" t="s">
        <v>34</v>
      </c>
      <c r="W2745" s="6" t="s">
        <v>546</v>
      </c>
      <c r="X2745" s="6" t="s">
        <v>188</v>
      </c>
    </row>
    <row r="2746" spans="1:24" x14ac:dyDescent="0.3">
      <c r="A2746" s="6" t="s">
        <v>533</v>
      </c>
      <c r="B2746" s="6" t="s">
        <v>534</v>
      </c>
      <c r="C2746" s="6" t="s">
        <v>34</v>
      </c>
      <c r="D2746" s="1088" t="s">
        <v>539</v>
      </c>
      <c r="E2746" s="6" t="s">
        <v>188</v>
      </c>
      <c r="F2746" s="6" t="s">
        <v>546</v>
      </c>
      <c r="G2746" s="6" t="s">
        <v>3014</v>
      </c>
      <c r="H2746" s="6" t="s">
        <v>1186</v>
      </c>
      <c r="J2746" s="1215" t="s">
        <v>511</v>
      </c>
      <c r="K2746" s="1219" t="s">
        <v>3033</v>
      </c>
      <c r="L2746" s="8">
        <v>60</v>
      </c>
      <c r="M2746" s="8">
        <v>356</v>
      </c>
      <c r="N2746" s="1169" t="s">
        <v>271</v>
      </c>
      <c r="P2746" s="6" t="s">
        <v>3324</v>
      </c>
      <c r="Q2746" s="1215" t="s">
        <v>253</v>
      </c>
      <c r="R2746" s="1215" t="s">
        <v>255</v>
      </c>
      <c r="S2746" s="1215" t="s">
        <v>534</v>
      </c>
      <c r="T2746" s="1215" t="s">
        <v>533</v>
      </c>
      <c r="U2746" s="6" t="s">
        <v>539</v>
      </c>
      <c r="V2746" s="6" t="s">
        <v>34</v>
      </c>
      <c r="W2746" s="6" t="s">
        <v>546</v>
      </c>
      <c r="X2746" s="6" t="s">
        <v>188</v>
      </c>
    </row>
    <row r="2747" spans="1:24" x14ac:dyDescent="0.3">
      <c r="A2747" s="6" t="s">
        <v>533</v>
      </c>
      <c r="B2747" s="6" t="s">
        <v>534</v>
      </c>
      <c r="C2747" s="6" t="s">
        <v>34</v>
      </c>
      <c r="D2747" s="1088" t="s">
        <v>539</v>
      </c>
      <c r="E2747" s="6" t="s">
        <v>188</v>
      </c>
      <c r="F2747" s="6" t="s">
        <v>546</v>
      </c>
      <c r="G2747" s="6" t="s">
        <v>3014</v>
      </c>
      <c r="H2747" s="6" t="s">
        <v>1186</v>
      </c>
      <c r="J2747" s="1215" t="s">
        <v>511</v>
      </c>
      <c r="K2747" s="1219" t="s">
        <v>3110</v>
      </c>
      <c r="L2747" s="8">
        <v>50</v>
      </c>
      <c r="M2747" s="8">
        <v>335</v>
      </c>
      <c r="N2747" s="1169" t="s">
        <v>271</v>
      </c>
      <c r="P2747" s="6" t="s">
        <v>3324</v>
      </c>
      <c r="Q2747" s="1215" t="s">
        <v>253</v>
      </c>
      <c r="R2747" s="1215" t="s">
        <v>255</v>
      </c>
      <c r="S2747" s="1215" t="s">
        <v>534</v>
      </c>
      <c r="T2747" s="1215" t="s">
        <v>533</v>
      </c>
      <c r="U2747" s="6" t="s">
        <v>539</v>
      </c>
      <c r="V2747" s="6" t="s">
        <v>34</v>
      </c>
      <c r="W2747" s="6" t="s">
        <v>546</v>
      </c>
      <c r="X2747" s="6" t="s">
        <v>188</v>
      </c>
    </row>
    <row r="2748" spans="1:24" x14ac:dyDescent="0.3">
      <c r="A2748" s="6" t="s">
        <v>533</v>
      </c>
      <c r="B2748" s="6" t="s">
        <v>534</v>
      </c>
      <c r="C2748" s="6" t="s">
        <v>34</v>
      </c>
      <c r="D2748" s="1088" t="s">
        <v>539</v>
      </c>
      <c r="E2748" s="6" t="s">
        <v>188</v>
      </c>
      <c r="F2748" s="6" t="s">
        <v>546</v>
      </c>
      <c r="G2748" s="6" t="s">
        <v>3014</v>
      </c>
      <c r="H2748" s="6" t="s">
        <v>1186</v>
      </c>
      <c r="J2748" s="1215" t="s">
        <v>511</v>
      </c>
      <c r="K2748" s="1219" t="s">
        <v>3111</v>
      </c>
      <c r="L2748" s="8">
        <v>10</v>
      </c>
      <c r="M2748" s="8">
        <v>80</v>
      </c>
      <c r="N2748" s="1169" t="s">
        <v>271</v>
      </c>
      <c r="P2748" s="6" t="s">
        <v>3324</v>
      </c>
      <c r="Q2748" s="1215" t="s">
        <v>253</v>
      </c>
      <c r="R2748" s="1215" t="s">
        <v>255</v>
      </c>
      <c r="S2748" s="1215" t="s">
        <v>534</v>
      </c>
      <c r="T2748" s="1215" t="s">
        <v>533</v>
      </c>
      <c r="U2748" s="6" t="s">
        <v>539</v>
      </c>
      <c r="V2748" s="6" t="s">
        <v>34</v>
      </c>
      <c r="W2748" s="6" t="s">
        <v>546</v>
      </c>
      <c r="X2748" s="6" t="s">
        <v>188</v>
      </c>
    </row>
    <row r="2749" spans="1:24" x14ac:dyDescent="0.3">
      <c r="A2749" s="6" t="s">
        <v>533</v>
      </c>
      <c r="B2749" s="6" t="s">
        <v>534</v>
      </c>
      <c r="C2749" s="6" t="s">
        <v>34</v>
      </c>
      <c r="D2749" s="1088" t="s">
        <v>539</v>
      </c>
      <c r="E2749" s="6" t="s">
        <v>188</v>
      </c>
      <c r="F2749" s="6" t="s">
        <v>546</v>
      </c>
      <c r="G2749" s="6" t="s">
        <v>3014</v>
      </c>
      <c r="H2749" s="6" t="s">
        <v>1186</v>
      </c>
      <c r="J2749" s="1215" t="s">
        <v>511</v>
      </c>
      <c r="K2749" s="1219" t="s">
        <v>3112</v>
      </c>
      <c r="L2749" s="8">
        <v>20</v>
      </c>
      <c r="M2749" s="8">
        <v>80</v>
      </c>
      <c r="N2749" s="1169" t="s">
        <v>271</v>
      </c>
      <c r="P2749" s="6" t="s">
        <v>3324</v>
      </c>
      <c r="Q2749" s="1215" t="s">
        <v>253</v>
      </c>
      <c r="R2749" s="1215" t="s">
        <v>255</v>
      </c>
      <c r="S2749" s="1215" t="s">
        <v>534</v>
      </c>
      <c r="T2749" s="1215" t="s">
        <v>533</v>
      </c>
      <c r="U2749" s="6" t="s">
        <v>539</v>
      </c>
      <c r="V2749" s="6" t="s">
        <v>34</v>
      </c>
      <c r="W2749" s="6" t="s">
        <v>546</v>
      </c>
      <c r="X2749" s="6" t="s">
        <v>188</v>
      </c>
    </row>
    <row r="2750" spans="1:24" x14ac:dyDescent="0.3">
      <c r="A2750" s="6" t="s">
        <v>533</v>
      </c>
      <c r="B2750" s="6" t="s">
        <v>534</v>
      </c>
      <c r="C2750" s="6" t="s">
        <v>31</v>
      </c>
      <c r="D2750" s="1088" t="s">
        <v>549</v>
      </c>
      <c r="E2750" s="6" t="s">
        <v>169</v>
      </c>
      <c r="F2750" s="6" t="s">
        <v>673</v>
      </c>
      <c r="G2750" s="6" t="s">
        <v>3202</v>
      </c>
      <c r="H2750" s="6" t="s">
        <v>3065</v>
      </c>
      <c r="J2750" s="1215" t="s">
        <v>511</v>
      </c>
      <c r="K2750" s="1219" t="s">
        <v>3111</v>
      </c>
      <c r="L2750" s="8">
        <v>57</v>
      </c>
      <c r="M2750" s="8">
        <v>450</v>
      </c>
      <c r="N2750" s="1169" t="s">
        <v>274</v>
      </c>
      <c r="P2750" s="6" t="s">
        <v>3361</v>
      </c>
      <c r="Q2750" s="1215" t="s">
        <v>241</v>
      </c>
      <c r="R2750" s="1168" t="s">
        <v>243</v>
      </c>
      <c r="S2750" s="1088"/>
      <c r="T2750" s="1088"/>
    </row>
    <row r="2751" spans="1:24" x14ac:dyDescent="0.3">
      <c r="A2751" s="6" t="s">
        <v>533</v>
      </c>
      <c r="B2751" s="6" t="s">
        <v>534</v>
      </c>
      <c r="C2751" s="6" t="s">
        <v>31</v>
      </c>
      <c r="D2751" s="1088" t="s">
        <v>549</v>
      </c>
      <c r="E2751" s="6" t="s">
        <v>169</v>
      </c>
      <c r="F2751" s="6" t="s">
        <v>673</v>
      </c>
      <c r="G2751" s="6" t="s">
        <v>3202</v>
      </c>
      <c r="H2751" s="6" t="s">
        <v>3065</v>
      </c>
      <c r="J2751" s="1215" t="s">
        <v>511</v>
      </c>
      <c r="K2751" s="1219" t="s">
        <v>3112</v>
      </c>
      <c r="L2751" s="8">
        <v>7</v>
      </c>
      <c r="M2751" s="8">
        <v>50</v>
      </c>
      <c r="N2751" s="1169" t="s">
        <v>274</v>
      </c>
      <c r="P2751" s="6" t="s">
        <v>3361</v>
      </c>
      <c r="Q2751" s="1215" t="s">
        <v>241</v>
      </c>
      <c r="R2751" s="1168" t="s">
        <v>243</v>
      </c>
      <c r="S2751" s="1088"/>
      <c r="T2751" s="1088"/>
    </row>
    <row r="2752" spans="1:24" x14ac:dyDescent="0.3">
      <c r="A2752" s="6" t="s">
        <v>533</v>
      </c>
      <c r="B2752" s="6" t="s">
        <v>534</v>
      </c>
      <c r="C2752" s="6" t="s">
        <v>34</v>
      </c>
      <c r="D2752" s="1088" t="s">
        <v>539</v>
      </c>
      <c r="E2752" s="6" t="s">
        <v>187</v>
      </c>
      <c r="F2752" s="6" t="s">
        <v>951</v>
      </c>
      <c r="G2752" s="6" t="s">
        <v>3004</v>
      </c>
      <c r="H2752" s="6" t="s">
        <v>1379</v>
      </c>
      <c r="J2752" s="1215" t="s">
        <v>511</v>
      </c>
      <c r="K2752" s="1219" t="s">
        <v>3033</v>
      </c>
      <c r="L2752" s="8">
        <v>23</v>
      </c>
      <c r="M2752" s="8">
        <v>135</v>
      </c>
      <c r="N2752" s="1169" t="s">
        <v>271</v>
      </c>
      <c r="P2752" s="6" t="s">
        <v>3324</v>
      </c>
      <c r="Q2752" s="1215" t="s">
        <v>253</v>
      </c>
      <c r="R2752" s="1215" t="s">
        <v>255</v>
      </c>
      <c r="S2752" s="1215" t="s">
        <v>534</v>
      </c>
      <c r="T2752" s="1215" t="s">
        <v>533</v>
      </c>
      <c r="U2752" s="6" t="s">
        <v>539</v>
      </c>
      <c r="V2752" s="6" t="s">
        <v>34</v>
      </c>
      <c r="W2752" s="6" t="s">
        <v>951</v>
      </c>
      <c r="X2752" s="6" t="s">
        <v>187</v>
      </c>
    </row>
    <row r="2753" spans="1:24" x14ac:dyDescent="0.3">
      <c r="A2753" s="6" t="s">
        <v>533</v>
      </c>
      <c r="B2753" s="6" t="s">
        <v>534</v>
      </c>
      <c r="C2753" s="6" t="s">
        <v>34</v>
      </c>
      <c r="D2753" s="1088" t="s">
        <v>539</v>
      </c>
      <c r="E2753" s="6" t="s">
        <v>187</v>
      </c>
      <c r="F2753" s="6" t="s">
        <v>951</v>
      </c>
      <c r="G2753" s="6" t="s">
        <v>3004</v>
      </c>
      <c r="H2753" s="6" t="s">
        <v>1379</v>
      </c>
      <c r="J2753" s="1215" t="s">
        <v>511</v>
      </c>
      <c r="K2753" s="1219" t="s">
        <v>3111</v>
      </c>
      <c r="L2753" s="8">
        <v>60</v>
      </c>
      <c r="M2753" s="8">
        <v>416</v>
      </c>
      <c r="N2753" s="1169" t="s">
        <v>271</v>
      </c>
      <c r="P2753" s="6" t="s">
        <v>3324</v>
      </c>
      <c r="Q2753" s="1215" t="s">
        <v>253</v>
      </c>
      <c r="R2753" s="1215" t="s">
        <v>255</v>
      </c>
      <c r="S2753" s="1215" t="s">
        <v>534</v>
      </c>
      <c r="T2753" s="1215" t="s">
        <v>533</v>
      </c>
      <c r="U2753" s="6" t="s">
        <v>539</v>
      </c>
      <c r="V2753" s="6" t="s">
        <v>34</v>
      </c>
      <c r="W2753" s="6" t="s">
        <v>951</v>
      </c>
      <c r="X2753" s="6" t="s">
        <v>187</v>
      </c>
    </row>
    <row r="2754" spans="1:24" x14ac:dyDescent="0.3">
      <c r="A2754" s="6" t="s">
        <v>533</v>
      </c>
      <c r="B2754" s="6" t="s">
        <v>534</v>
      </c>
      <c r="C2754" s="6" t="s">
        <v>34</v>
      </c>
      <c r="D2754" s="1088" t="s">
        <v>539</v>
      </c>
      <c r="E2754" s="6" t="s">
        <v>187</v>
      </c>
      <c r="F2754" s="6" t="s">
        <v>951</v>
      </c>
      <c r="G2754" s="6" t="s">
        <v>3004</v>
      </c>
      <c r="H2754" s="6" t="s">
        <v>1379</v>
      </c>
      <c r="J2754" s="1215" t="s">
        <v>511</v>
      </c>
      <c r="K2754" s="1219" t="s">
        <v>3112</v>
      </c>
      <c r="L2754" s="8">
        <v>0</v>
      </c>
      <c r="M2754" s="8">
        <v>5</v>
      </c>
      <c r="N2754" s="1169" t="s">
        <v>271</v>
      </c>
      <c r="P2754" s="6" t="s">
        <v>3324</v>
      </c>
      <c r="Q2754" s="1215" t="s">
        <v>253</v>
      </c>
      <c r="R2754" s="1215" t="s">
        <v>255</v>
      </c>
      <c r="S2754" s="1215" t="s">
        <v>534</v>
      </c>
      <c r="T2754" s="1215" t="s">
        <v>533</v>
      </c>
      <c r="U2754" s="6" t="s">
        <v>539</v>
      </c>
      <c r="V2754" s="6" t="s">
        <v>34</v>
      </c>
      <c r="W2754" s="6" t="s">
        <v>951</v>
      </c>
      <c r="X2754" s="6" t="s">
        <v>187</v>
      </c>
    </row>
    <row r="2755" spans="1:24" x14ac:dyDescent="0.3">
      <c r="A2755" s="6" t="s">
        <v>533</v>
      </c>
      <c r="B2755" s="6" t="s">
        <v>534</v>
      </c>
      <c r="C2755" s="6" t="s">
        <v>31</v>
      </c>
      <c r="D2755" s="1088" t="s">
        <v>549</v>
      </c>
      <c r="E2755" s="1088" t="s">
        <v>170</v>
      </c>
      <c r="F2755" s="6" t="s">
        <v>866</v>
      </c>
      <c r="G2755" s="6" t="s">
        <v>2099</v>
      </c>
      <c r="H2755" s="6" t="s">
        <v>2090</v>
      </c>
      <c r="J2755" s="1215" t="s">
        <v>511</v>
      </c>
      <c r="K2755" s="1219" t="s">
        <v>3112</v>
      </c>
      <c r="L2755" s="8">
        <v>10</v>
      </c>
      <c r="M2755" s="8">
        <v>56</v>
      </c>
      <c r="N2755" s="1169" t="s">
        <v>272</v>
      </c>
      <c r="P2755" s="6" t="s">
        <v>3361</v>
      </c>
      <c r="Q2755" s="1215" t="s">
        <v>241</v>
      </c>
      <c r="R2755" s="1168" t="s">
        <v>243</v>
      </c>
      <c r="S2755" s="1088"/>
      <c r="T2755" s="1088"/>
    </row>
    <row r="2756" spans="1:24" x14ac:dyDescent="0.3">
      <c r="A2756" s="6" t="s">
        <v>533</v>
      </c>
      <c r="B2756" s="6" t="s">
        <v>534</v>
      </c>
      <c r="C2756" s="6" t="s">
        <v>31</v>
      </c>
      <c r="D2756" s="1088" t="s">
        <v>549</v>
      </c>
      <c r="E2756" s="6" t="s">
        <v>170</v>
      </c>
      <c r="F2756" s="6" t="s">
        <v>866</v>
      </c>
      <c r="G2756" s="6" t="s">
        <v>2097</v>
      </c>
      <c r="H2756" s="6" t="s">
        <v>1557</v>
      </c>
      <c r="J2756" s="1215" t="s">
        <v>511</v>
      </c>
      <c r="K2756" s="1219" t="s">
        <v>3112</v>
      </c>
      <c r="L2756" s="8">
        <v>60</v>
      </c>
      <c r="M2756" s="8">
        <v>400</v>
      </c>
      <c r="N2756" s="1169" t="s">
        <v>272</v>
      </c>
      <c r="P2756" s="6" t="s">
        <v>3324</v>
      </c>
      <c r="Q2756" s="1215" t="s">
        <v>253</v>
      </c>
      <c r="R2756" s="1215" t="s">
        <v>255</v>
      </c>
      <c r="S2756" s="1215" t="s">
        <v>534</v>
      </c>
      <c r="T2756" s="1215" t="s">
        <v>533</v>
      </c>
      <c r="U2756" s="6" t="s">
        <v>549</v>
      </c>
      <c r="V2756" s="6" t="s">
        <v>31</v>
      </c>
      <c r="W2756" s="6" t="s">
        <v>866</v>
      </c>
      <c r="X2756" s="6" t="s">
        <v>170</v>
      </c>
    </row>
    <row r="2757" spans="1:24" x14ac:dyDescent="0.3">
      <c r="A2757" s="6" t="s">
        <v>533</v>
      </c>
      <c r="B2757" s="6" t="s">
        <v>534</v>
      </c>
      <c r="C2757" s="6" t="s">
        <v>31</v>
      </c>
      <c r="D2757" s="1088" t="s">
        <v>549</v>
      </c>
      <c r="E2757" s="6" t="s">
        <v>170</v>
      </c>
      <c r="F2757" s="6" t="s">
        <v>866</v>
      </c>
      <c r="G2757" s="6" t="s">
        <v>2007</v>
      </c>
      <c r="H2757" s="6" t="s">
        <v>880</v>
      </c>
      <c r="J2757" s="1215" t="s">
        <v>511</v>
      </c>
      <c r="K2757" s="1219" t="s">
        <v>3112</v>
      </c>
      <c r="L2757" s="8">
        <v>60</v>
      </c>
      <c r="M2757" s="8">
        <v>300</v>
      </c>
      <c r="N2757" s="1169" t="s">
        <v>272</v>
      </c>
      <c r="P2757" s="6" t="s">
        <v>3324</v>
      </c>
      <c r="Q2757" s="1215" t="s">
        <v>253</v>
      </c>
      <c r="R2757" s="1215" t="s">
        <v>255</v>
      </c>
      <c r="S2757" s="1215" t="s">
        <v>534</v>
      </c>
      <c r="T2757" s="1215" t="s">
        <v>533</v>
      </c>
      <c r="U2757" s="6" t="s">
        <v>549</v>
      </c>
      <c r="V2757" s="6" t="s">
        <v>31</v>
      </c>
      <c r="W2757" s="6" t="s">
        <v>866</v>
      </c>
      <c r="X2757" s="6" t="s">
        <v>170</v>
      </c>
    </row>
    <row r="2758" spans="1:24" x14ac:dyDescent="0.3">
      <c r="A2758" s="6" t="s">
        <v>533</v>
      </c>
      <c r="B2758" s="6" t="s">
        <v>534</v>
      </c>
      <c r="C2758" s="6" t="s">
        <v>34</v>
      </c>
      <c r="D2758" s="1088" t="s">
        <v>539</v>
      </c>
      <c r="E2758" s="6" t="s">
        <v>188</v>
      </c>
      <c r="F2758" s="6" t="s">
        <v>546</v>
      </c>
      <c r="G2758" s="6" t="s">
        <v>547</v>
      </c>
      <c r="H2758" s="6" t="s">
        <v>1332</v>
      </c>
      <c r="J2758" s="1215" t="s">
        <v>511</v>
      </c>
      <c r="K2758" s="1219" t="s">
        <v>3033</v>
      </c>
      <c r="L2758" s="8">
        <v>167</v>
      </c>
      <c r="M2758" s="8">
        <v>1082</v>
      </c>
      <c r="N2758" s="1169" t="s">
        <v>271</v>
      </c>
      <c r="P2758" s="6" t="s">
        <v>3324</v>
      </c>
      <c r="Q2758" s="1215" t="s">
        <v>253</v>
      </c>
      <c r="R2758" s="1215" t="s">
        <v>255</v>
      </c>
      <c r="S2758" s="1215" t="s">
        <v>534</v>
      </c>
      <c r="T2758" s="1215" t="s">
        <v>533</v>
      </c>
      <c r="U2758" s="6" t="s">
        <v>539</v>
      </c>
      <c r="V2758" s="6" t="s">
        <v>34</v>
      </c>
      <c r="W2758" s="6" t="s">
        <v>546</v>
      </c>
      <c r="X2758" s="6" t="s">
        <v>188</v>
      </c>
    </row>
    <row r="2759" spans="1:24" x14ac:dyDescent="0.3">
      <c r="A2759" s="6" t="s">
        <v>533</v>
      </c>
      <c r="B2759" s="6" t="s">
        <v>534</v>
      </c>
      <c r="C2759" s="6" t="s">
        <v>34</v>
      </c>
      <c r="D2759" s="1088" t="s">
        <v>539</v>
      </c>
      <c r="E2759" s="1088" t="s">
        <v>188</v>
      </c>
      <c r="F2759" s="6" t="s">
        <v>546</v>
      </c>
      <c r="G2759" s="6" t="s">
        <v>547</v>
      </c>
      <c r="H2759" s="6" t="s">
        <v>1332</v>
      </c>
      <c r="J2759" s="1215" t="s">
        <v>511</v>
      </c>
      <c r="K2759" s="1219" t="s">
        <v>3109</v>
      </c>
      <c r="L2759" s="8">
        <v>15</v>
      </c>
      <c r="M2759" s="8">
        <v>65</v>
      </c>
      <c r="N2759" s="1169" t="s">
        <v>271</v>
      </c>
      <c r="P2759" s="6" t="s">
        <v>3324</v>
      </c>
      <c r="Q2759" s="1215" t="s">
        <v>253</v>
      </c>
      <c r="R2759" s="1215" t="s">
        <v>255</v>
      </c>
      <c r="S2759" s="1215" t="s">
        <v>534</v>
      </c>
      <c r="T2759" s="1215" t="s">
        <v>533</v>
      </c>
      <c r="U2759" s="6" t="s">
        <v>539</v>
      </c>
      <c r="V2759" s="6" t="s">
        <v>34</v>
      </c>
      <c r="W2759" s="6" t="s">
        <v>546</v>
      </c>
      <c r="X2759" s="6" t="s">
        <v>188</v>
      </c>
    </row>
    <row r="2760" spans="1:24" x14ac:dyDescent="0.3">
      <c r="A2760" s="6" t="s">
        <v>533</v>
      </c>
      <c r="B2760" s="6" t="s">
        <v>534</v>
      </c>
      <c r="C2760" s="6" t="s">
        <v>34</v>
      </c>
      <c r="D2760" s="1088" t="s">
        <v>539</v>
      </c>
      <c r="E2760" s="1088" t="s">
        <v>188</v>
      </c>
      <c r="F2760" s="6" t="s">
        <v>546</v>
      </c>
      <c r="G2760" s="6" t="s">
        <v>547</v>
      </c>
      <c r="H2760" s="6" t="s">
        <v>1332</v>
      </c>
      <c r="J2760" s="1215" t="s">
        <v>511</v>
      </c>
      <c r="K2760" s="1219" t="s">
        <v>3110</v>
      </c>
      <c r="L2760" s="8">
        <v>1</v>
      </c>
      <c r="M2760" s="8">
        <v>15</v>
      </c>
      <c r="N2760" s="1169" t="s">
        <v>271</v>
      </c>
      <c r="P2760" s="6" t="s">
        <v>3324</v>
      </c>
      <c r="Q2760" s="1215" t="s">
        <v>253</v>
      </c>
      <c r="R2760" s="1215" t="s">
        <v>255</v>
      </c>
      <c r="S2760" s="1215" t="s">
        <v>534</v>
      </c>
      <c r="T2760" s="1215" t="s">
        <v>533</v>
      </c>
      <c r="U2760" s="6" t="s">
        <v>539</v>
      </c>
      <c r="V2760" s="6" t="s">
        <v>34</v>
      </c>
      <c r="W2760" s="6" t="s">
        <v>546</v>
      </c>
      <c r="X2760" s="6" t="s">
        <v>188</v>
      </c>
    </row>
    <row r="2761" spans="1:24" x14ac:dyDescent="0.3">
      <c r="A2761" s="6" t="s">
        <v>533</v>
      </c>
      <c r="B2761" s="6" t="s">
        <v>534</v>
      </c>
      <c r="C2761" s="6" t="s">
        <v>34</v>
      </c>
      <c r="D2761" s="6" t="s">
        <v>539</v>
      </c>
      <c r="E2761" s="1088" t="s">
        <v>188</v>
      </c>
      <c r="F2761" s="6" t="s">
        <v>546</v>
      </c>
      <c r="G2761" s="6" t="s">
        <v>547</v>
      </c>
      <c r="H2761" s="6" t="s">
        <v>1332</v>
      </c>
      <c r="J2761" s="1215" t="s">
        <v>511</v>
      </c>
      <c r="K2761" s="1219" t="s">
        <v>3111</v>
      </c>
      <c r="L2761" s="8">
        <v>12</v>
      </c>
      <c r="M2761" s="8">
        <v>53</v>
      </c>
      <c r="N2761" s="1169" t="s">
        <v>271</v>
      </c>
      <c r="P2761" s="6" t="s">
        <v>3324</v>
      </c>
      <c r="Q2761" s="1215" t="s">
        <v>253</v>
      </c>
      <c r="R2761" s="1215" t="s">
        <v>255</v>
      </c>
      <c r="S2761" s="1215" t="s">
        <v>534</v>
      </c>
      <c r="T2761" s="1215" t="s">
        <v>533</v>
      </c>
      <c r="U2761" s="6" t="s">
        <v>539</v>
      </c>
      <c r="V2761" s="6" t="s">
        <v>34</v>
      </c>
      <c r="W2761" s="6" t="s">
        <v>546</v>
      </c>
      <c r="X2761" s="6" t="s">
        <v>188</v>
      </c>
    </row>
    <row r="2762" spans="1:24" x14ac:dyDescent="0.3">
      <c r="A2762" s="6" t="s">
        <v>533</v>
      </c>
      <c r="B2762" s="6" t="s">
        <v>534</v>
      </c>
      <c r="C2762" s="6" t="s">
        <v>34</v>
      </c>
      <c r="D2762" s="1088" t="s">
        <v>539</v>
      </c>
      <c r="E2762" s="6" t="s">
        <v>188</v>
      </c>
      <c r="F2762" s="6" t="s">
        <v>546</v>
      </c>
      <c r="G2762" s="6" t="s">
        <v>547</v>
      </c>
      <c r="H2762" s="6" t="s">
        <v>1332</v>
      </c>
      <c r="J2762" s="1215" t="s">
        <v>511</v>
      </c>
      <c r="K2762" s="1219" t="s">
        <v>3112</v>
      </c>
      <c r="L2762" s="8">
        <v>0</v>
      </c>
      <c r="M2762" s="8">
        <v>7</v>
      </c>
      <c r="N2762" s="1169" t="s">
        <v>271</v>
      </c>
      <c r="P2762" s="6" t="s">
        <v>3324</v>
      </c>
      <c r="Q2762" s="1215" t="s">
        <v>253</v>
      </c>
      <c r="R2762" s="1215" t="s">
        <v>255</v>
      </c>
      <c r="S2762" s="1215" t="s">
        <v>534</v>
      </c>
      <c r="T2762" s="1215" t="s">
        <v>533</v>
      </c>
      <c r="U2762" s="6" t="s">
        <v>539</v>
      </c>
      <c r="V2762" s="6" t="s">
        <v>34</v>
      </c>
      <c r="W2762" s="6" t="s">
        <v>546</v>
      </c>
      <c r="X2762" s="6" t="s">
        <v>188</v>
      </c>
    </row>
    <row r="2763" spans="1:24" x14ac:dyDescent="0.3">
      <c r="A2763" s="6" t="s">
        <v>533</v>
      </c>
      <c r="B2763" s="6" t="s">
        <v>534</v>
      </c>
      <c r="C2763" s="6" t="s">
        <v>34</v>
      </c>
      <c r="D2763" s="1088" t="s">
        <v>539</v>
      </c>
      <c r="E2763" s="6" t="s">
        <v>187</v>
      </c>
      <c r="F2763" s="6" t="s">
        <v>951</v>
      </c>
      <c r="G2763" s="6" t="s">
        <v>2548</v>
      </c>
      <c r="H2763" s="6" t="s">
        <v>953</v>
      </c>
      <c r="J2763" s="1215" t="s">
        <v>511</v>
      </c>
      <c r="K2763" s="1219" t="s">
        <v>3111</v>
      </c>
      <c r="L2763" s="8">
        <v>8</v>
      </c>
      <c r="M2763" s="8">
        <v>64</v>
      </c>
      <c r="N2763" s="1169" t="s">
        <v>271</v>
      </c>
      <c r="P2763" s="6" t="s">
        <v>3324</v>
      </c>
      <c r="Q2763" s="1215" t="s">
        <v>253</v>
      </c>
      <c r="R2763" s="1215" t="s">
        <v>255</v>
      </c>
      <c r="S2763" s="1215" t="s">
        <v>534</v>
      </c>
      <c r="T2763" s="1215" t="s">
        <v>533</v>
      </c>
      <c r="U2763" s="6" t="s">
        <v>539</v>
      </c>
      <c r="V2763" s="6" t="s">
        <v>34</v>
      </c>
      <c r="W2763" s="6" t="s">
        <v>951</v>
      </c>
      <c r="X2763" s="6" t="s">
        <v>187</v>
      </c>
    </row>
    <row r="2764" spans="1:24" x14ac:dyDescent="0.3">
      <c r="A2764" s="6" t="s">
        <v>533</v>
      </c>
      <c r="B2764" s="6" t="s">
        <v>534</v>
      </c>
      <c r="C2764" s="6" t="s">
        <v>34</v>
      </c>
      <c r="D2764" s="1088" t="s">
        <v>539</v>
      </c>
      <c r="E2764" s="6" t="s">
        <v>187</v>
      </c>
      <c r="F2764" s="6" t="s">
        <v>951</v>
      </c>
      <c r="G2764" s="6" t="s">
        <v>2548</v>
      </c>
      <c r="H2764" s="6" t="s">
        <v>953</v>
      </c>
      <c r="J2764" s="1215" t="s">
        <v>511</v>
      </c>
      <c r="K2764" s="1219" t="s">
        <v>3112</v>
      </c>
      <c r="L2764" s="8">
        <v>0</v>
      </c>
      <c r="M2764" s="8">
        <v>35</v>
      </c>
      <c r="N2764" s="1169" t="s">
        <v>271</v>
      </c>
      <c r="P2764" s="6" t="s">
        <v>3324</v>
      </c>
      <c r="Q2764" s="1215" t="s">
        <v>253</v>
      </c>
      <c r="R2764" s="1215" t="s">
        <v>255</v>
      </c>
      <c r="S2764" s="1215" t="s">
        <v>534</v>
      </c>
      <c r="T2764" s="1215" t="s">
        <v>533</v>
      </c>
      <c r="U2764" s="6" t="s">
        <v>539</v>
      </c>
      <c r="V2764" s="6" t="s">
        <v>34</v>
      </c>
      <c r="W2764" s="6" t="s">
        <v>951</v>
      </c>
      <c r="X2764" s="6" t="s">
        <v>187</v>
      </c>
    </row>
    <row r="2765" spans="1:24" x14ac:dyDescent="0.3">
      <c r="A2765" s="6" t="s">
        <v>533</v>
      </c>
      <c r="B2765" s="6" t="s">
        <v>534</v>
      </c>
      <c r="C2765" s="6" t="s">
        <v>31</v>
      </c>
      <c r="D2765" s="1088" t="s">
        <v>549</v>
      </c>
      <c r="E2765" s="6" t="s">
        <v>167</v>
      </c>
      <c r="F2765" s="6" t="s">
        <v>1113</v>
      </c>
      <c r="G2765" s="6" t="s">
        <v>2121</v>
      </c>
      <c r="H2765" s="6" t="s">
        <v>910</v>
      </c>
      <c r="J2765" s="1215" t="s">
        <v>511</v>
      </c>
      <c r="K2765" s="1219" t="s">
        <v>3112</v>
      </c>
      <c r="L2765" s="8">
        <v>20</v>
      </c>
      <c r="M2765" s="8">
        <v>128</v>
      </c>
      <c r="N2765" s="1169" t="s">
        <v>272</v>
      </c>
      <c r="P2765" s="6" t="s">
        <v>3324</v>
      </c>
      <c r="Q2765" s="1215" t="s">
        <v>253</v>
      </c>
      <c r="R2765" s="1215" t="s">
        <v>255</v>
      </c>
      <c r="S2765" s="1215" t="s">
        <v>534</v>
      </c>
      <c r="T2765" s="1215" t="s">
        <v>533</v>
      </c>
      <c r="U2765" s="6" t="s">
        <v>549</v>
      </c>
      <c r="V2765" s="6" t="s">
        <v>31</v>
      </c>
      <c r="W2765" s="6" t="s">
        <v>1113</v>
      </c>
      <c r="X2765" s="6" t="s">
        <v>167</v>
      </c>
    </row>
    <row r="2766" spans="1:24" x14ac:dyDescent="0.3">
      <c r="A2766" s="6" t="s">
        <v>533</v>
      </c>
      <c r="B2766" s="6" t="s">
        <v>534</v>
      </c>
      <c r="C2766" s="6" t="s">
        <v>31</v>
      </c>
      <c r="D2766" s="1088" t="s">
        <v>549</v>
      </c>
      <c r="E2766" s="6" t="s">
        <v>167</v>
      </c>
      <c r="F2766" s="6" t="s">
        <v>1113</v>
      </c>
      <c r="G2766" s="6" t="s">
        <v>1946</v>
      </c>
      <c r="H2766" s="6" t="s">
        <v>1090</v>
      </c>
      <c r="J2766" s="1215" t="s">
        <v>511</v>
      </c>
      <c r="K2766" s="1219" t="s">
        <v>3111</v>
      </c>
      <c r="L2766" s="8">
        <v>56</v>
      </c>
      <c r="M2766" s="8">
        <v>204</v>
      </c>
      <c r="N2766" s="1215" t="s">
        <v>273</v>
      </c>
      <c r="O2766" s="1215" t="s">
        <v>3382</v>
      </c>
      <c r="P2766" s="6" t="s">
        <v>3323</v>
      </c>
      <c r="Q2766" s="1215" t="s">
        <v>253</v>
      </c>
      <c r="R2766" s="1215" t="s">
        <v>255</v>
      </c>
      <c r="S2766" s="1215" t="s">
        <v>534</v>
      </c>
      <c r="T2766" s="1215" t="s">
        <v>533</v>
      </c>
      <c r="U2766" s="6" t="s">
        <v>549</v>
      </c>
      <c r="V2766" s="6" t="s">
        <v>31</v>
      </c>
      <c r="W2766" s="1215" t="s">
        <v>634</v>
      </c>
      <c r="X2766" s="6" t="s">
        <v>171</v>
      </c>
    </row>
    <row r="2767" spans="1:24" x14ac:dyDescent="0.3">
      <c r="A2767" s="6" t="s">
        <v>533</v>
      </c>
      <c r="B2767" s="6" t="s">
        <v>534</v>
      </c>
      <c r="C2767" s="6" t="s">
        <v>31</v>
      </c>
      <c r="D2767" s="1088" t="s">
        <v>549</v>
      </c>
      <c r="E2767" s="6" t="s">
        <v>171</v>
      </c>
      <c r="F2767" s="6" t="s">
        <v>634</v>
      </c>
      <c r="G2767" s="6" t="s">
        <v>2831</v>
      </c>
      <c r="H2767" s="6" t="s">
        <v>2275</v>
      </c>
      <c r="J2767" s="1215" t="s">
        <v>511</v>
      </c>
      <c r="K2767" s="1219" t="s">
        <v>3033</v>
      </c>
      <c r="L2767" s="8">
        <v>116</v>
      </c>
      <c r="M2767" s="8">
        <v>751</v>
      </c>
      <c r="N2767" s="1169" t="s">
        <v>271</v>
      </c>
      <c r="P2767" s="6" t="s">
        <v>3324</v>
      </c>
      <c r="Q2767" s="1215" t="s">
        <v>253</v>
      </c>
      <c r="R2767" s="1215" t="s">
        <v>255</v>
      </c>
      <c r="S2767" s="1215" t="s">
        <v>534</v>
      </c>
      <c r="T2767" s="1215" t="s">
        <v>533</v>
      </c>
      <c r="U2767" s="6" t="s">
        <v>549</v>
      </c>
      <c r="V2767" s="6" t="s">
        <v>31</v>
      </c>
      <c r="W2767" s="6" t="s">
        <v>634</v>
      </c>
      <c r="X2767" s="6" t="s">
        <v>171</v>
      </c>
    </row>
    <row r="2768" spans="1:24" x14ac:dyDescent="0.3">
      <c r="A2768" s="6" t="s">
        <v>533</v>
      </c>
      <c r="B2768" s="6" t="s">
        <v>534</v>
      </c>
      <c r="C2768" s="6" t="s">
        <v>31</v>
      </c>
      <c r="D2768" s="1088" t="s">
        <v>549</v>
      </c>
      <c r="E2768" s="6" t="s">
        <v>171</v>
      </c>
      <c r="F2768" s="6" t="s">
        <v>634</v>
      </c>
      <c r="G2768" s="6" t="s">
        <v>2831</v>
      </c>
      <c r="H2768" s="6" t="s">
        <v>2275</v>
      </c>
      <c r="J2768" s="1215" t="s">
        <v>511</v>
      </c>
      <c r="K2768" s="1219" t="s">
        <v>3110</v>
      </c>
      <c r="L2768" s="8">
        <v>0</v>
      </c>
      <c r="M2768" s="8">
        <v>16</v>
      </c>
      <c r="N2768" s="1169" t="s">
        <v>271</v>
      </c>
      <c r="P2768" s="6" t="s">
        <v>3324</v>
      </c>
      <c r="Q2768" s="1215" t="s">
        <v>253</v>
      </c>
      <c r="R2768" s="1215" t="s">
        <v>255</v>
      </c>
      <c r="S2768" s="1215" t="s">
        <v>534</v>
      </c>
      <c r="T2768" s="1215" t="s">
        <v>533</v>
      </c>
      <c r="U2768" s="6" t="s">
        <v>549</v>
      </c>
      <c r="V2768" s="6" t="s">
        <v>31</v>
      </c>
      <c r="W2768" s="6" t="s">
        <v>634</v>
      </c>
      <c r="X2768" s="6" t="s">
        <v>171</v>
      </c>
    </row>
    <row r="2769" spans="1:24" x14ac:dyDescent="0.3">
      <c r="A2769" s="6" t="s">
        <v>533</v>
      </c>
      <c r="B2769" s="6" t="s">
        <v>534</v>
      </c>
      <c r="C2769" s="6" t="s">
        <v>31</v>
      </c>
      <c r="D2769" s="1088" t="s">
        <v>549</v>
      </c>
      <c r="E2769" s="6" t="s">
        <v>171</v>
      </c>
      <c r="F2769" s="6" t="s">
        <v>634</v>
      </c>
      <c r="G2769" s="6" t="s">
        <v>2831</v>
      </c>
      <c r="H2769" s="6" t="s">
        <v>2275</v>
      </c>
      <c r="J2769" s="1215" t="s">
        <v>511</v>
      </c>
      <c r="K2769" s="1219" t="s">
        <v>3109</v>
      </c>
      <c r="L2769" s="8">
        <v>1</v>
      </c>
      <c r="M2769" s="8">
        <v>7</v>
      </c>
      <c r="N2769" s="1169" t="s">
        <v>271</v>
      </c>
      <c r="P2769" s="6" t="s">
        <v>3324</v>
      </c>
      <c r="Q2769" s="1215" t="s">
        <v>253</v>
      </c>
      <c r="R2769" s="1215" t="s">
        <v>255</v>
      </c>
      <c r="S2769" s="1215" t="s">
        <v>534</v>
      </c>
      <c r="T2769" s="1215" t="s">
        <v>533</v>
      </c>
      <c r="U2769" s="6" t="s">
        <v>549</v>
      </c>
      <c r="V2769" s="6" t="s">
        <v>31</v>
      </c>
      <c r="W2769" s="6" t="s">
        <v>634</v>
      </c>
      <c r="X2769" s="6" t="s">
        <v>171</v>
      </c>
    </row>
    <row r="2770" spans="1:24" x14ac:dyDescent="0.3">
      <c r="A2770" s="6" t="s">
        <v>533</v>
      </c>
      <c r="B2770" s="6" t="s">
        <v>534</v>
      </c>
      <c r="C2770" s="6" t="s">
        <v>34</v>
      </c>
      <c r="D2770" s="1088" t="s">
        <v>539</v>
      </c>
      <c r="E2770" s="6" t="s">
        <v>188</v>
      </c>
      <c r="F2770" s="6" t="s">
        <v>546</v>
      </c>
      <c r="G2770" s="6" t="s">
        <v>1681</v>
      </c>
      <c r="H2770" s="6" t="s">
        <v>1792</v>
      </c>
      <c r="J2770" s="1215" t="s">
        <v>511</v>
      </c>
      <c r="K2770" s="1219" t="s">
        <v>3033</v>
      </c>
      <c r="L2770" s="8">
        <v>180</v>
      </c>
      <c r="M2770" s="8">
        <v>1304</v>
      </c>
      <c r="N2770" s="1169" t="s">
        <v>271</v>
      </c>
      <c r="P2770" s="6" t="s">
        <v>3324</v>
      </c>
      <c r="Q2770" s="1215" t="s">
        <v>253</v>
      </c>
      <c r="R2770" s="1215" t="s">
        <v>255</v>
      </c>
      <c r="S2770" s="1215" t="s">
        <v>534</v>
      </c>
      <c r="T2770" s="1215" t="s">
        <v>533</v>
      </c>
      <c r="U2770" s="6" t="s">
        <v>539</v>
      </c>
      <c r="V2770" s="6" t="s">
        <v>34</v>
      </c>
      <c r="W2770" s="6" t="s">
        <v>546</v>
      </c>
      <c r="X2770" s="6" t="s">
        <v>188</v>
      </c>
    </row>
    <row r="2771" spans="1:24" x14ac:dyDescent="0.3">
      <c r="A2771" s="6" t="s">
        <v>533</v>
      </c>
      <c r="B2771" s="6" t="s">
        <v>534</v>
      </c>
      <c r="C2771" s="6" t="s">
        <v>31</v>
      </c>
      <c r="D2771" s="1088" t="s">
        <v>549</v>
      </c>
      <c r="E2771" s="6" t="s">
        <v>2797</v>
      </c>
      <c r="F2771" s="6" t="s">
        <v>767</v>
      </c>
      <c r="G2771" s="6" t="s">
        <v>2880</v>
      </c>
      <c r="H2771" s="6" t="s">
        <v>1449</v>
      </c>
      <c r="J2771" s="1215" t="s">
        <v>511</v>
      </c>
      <c r="K2771" s="1219" t="s">
        <v>3033</v>
      </c>
      <c r="L2771" s="8">
        <v>131</v>
      </c>
      <c r="M2771" s="8">
        <v>999</v>
      </c>
      <c r="N2771" s="1169" t="s">
        <v>271</v>
      </c>
      <c r="P2771" s="6" t="s">
        <v>3324</v>
      </c>
      <c r="Q2771" s="1215" t="s">
        <v>253</v>
      </c>
      <c r="R2771" s="1215" t="s">
        <v>255</v>
      </c>
      <c r="S2771" s="1215" t="s">
        <v>534</v>
      </c>
      <c r="T2771" s="1215" t="s">
        <v>533</v>
      </c>
      <c r="U2771" s="6" t="s">
        <v>549</v>
      </c>
      <c r="V2771" s="6" t="s">
        <v>31</v>
      </c>
      <c r="W2771" s="6" t="s">
        <v>767</v>
      </c>
      <c r="X2771" s="6" t="s">
        <v>2797</v>
      </c>
    </row>
    <row r="2772" spans="1:24" x14ac:dyDescent="0.3">
      <c r="A2772" s="6" t="s">
        <v>533</v>
      </c>
      <c r="B2772" s="6" t="s">
        <v>534</v>
      </c>
      <c r="C2772" s="6" t="s">
        <v>31</v>
      </c>
      <c r="D2772" s="1088" t="s">
        <v>549</v>
      </c>
      <c r="E2772" s="6" t="s">
        <v>2797</v>
      </c>
      <c r="F2772" s="6" t="s">
        <v>767</v>
      </c>
      <c r="G2772" s="6" t="s">
        <v>2880</v>
      </c>
      <c r="H2772" s="6" t="s">
        <v>1449</v>
      </c>
      <c r="J2772" s="1215" t="s">
        <v>511</v>
      </c>
      <c r="K2772" s="1219" t="s">
        <v>3109</v>
      </c>
      <c r="L2772" s="8">
        <v>2</v>
      </c>
      <c r="M2772" s="8">
        <v>2</v>
      </c>
      <c r="N2772" s="1169" t="s">
        <v>271</v>
      </c>
      <c r="P2772" s="6" t="s">
        <v>3323</v>
      </c>
      <c r="Q2772" s="1215" t="s">
        <v>253</v>
      </c>
      <c r="R2772" s="1215" t="s">
        <v>255</v>
      </c>
      <c r="S2772" s="1215" t="s">
        <v>534</v>
      </c>
      <c r="T2772" s="1215" t="s">
        <v>533</v>
      </c>
      <c r="U2772" s="6" t="s">
        <v>549</v>
      </c>
      <c r="V2772" s="6" t="s">
        <v>31</v>
      </c>
      <c r="W2772" s="1215" t="s">
        <v>634</v>
      </c>
      <c r="X2772" s="6" t="s">
        <v>171</v>
      </c>
    </row>
    <row r="2773" spans="1:24" x14ac:dyDescent="0.3">
      <c r="A2773" s="6" t="s">
        <v>533</v>
      </c>
      <c r="B2773" s="6" t="s">
        <v>534</v>
      </c>
      <c r="C2773" s="6" t="s">
        <v>31</v>
      </c>
      <c r="D2773" s="1088" t="s">
        <v>549</v>
      </c>
      <c r="E2773" s="6" t="s">
        <v>2797</v>
      </c>
      <c r="F2773" s="6" t="s">
        <v>767</v>
      </c>
      <c r="G2773" s="6" t="s">
        <v>2880</v>
      </c>
      <c r="H2773" s="6" t="s">
        <v>1449</v>
      </c>
      <c r="J2773" s="1215" t="s">
        <v>511</v>
      </c>
      <c r="K2773" s="1219" t="s">
        <v>3111</v>
      </c>
      <c r="L2773" s="8">
        <v>11</v>
      </c>
      <c r="M2773" s="8">
        <v>158</v>
      </c>
      <c r="N2773" s="1169" t="s">
        <v>271</v>
      </c>
      <c r="P2773" s="6" t="s">
        <v>3324</v>
      </c>
      <c r="Q2773" s="1215" t="s">
        <v>253</v>
      </c>
      <c r="R2773" s="1215" t="s">
        <v>255</v>
      </c>
      <c r="S2773" s="1215" t="s">
        <v>534</v>
      </c>
      <c r="T2773" s="1215" t="s">
        <v>533</v>
      </c>
      <c r="U2773" s="6" t="s">
        <v>549</v>
      </c>
      <c r="V2773" s="6" t="s">
        <v>31</v>
      </c>
      <c r="W2773" s="6" t="s">
        <v>767</v>
      </c>
      <c r="X2773" s="6" t="s">
        <v>2797</v>
      </c>
    </row>
    <row r="2774" spans="1:24" x14ac:dyDescent="0.3">
      <c r="A2774" s="6" t="s">
        <v>533</v>
      </c>
      <c r="B2774" s="6" t="s">
        <v>534</v>
      </c>
      <c r="C2774" s="6" t="s">
        <v>34</v>
      </c>
      <c r="D2774" s="1088" t="s">
        <v>539</v>
      </c>
      <c r="E2774" s="6" t="s">
        <v>188</v>
      </c>
      <c r="F2774" s="6" t="s">
        <v>546</v>
      </c>
      <c r="G2774" s="6" t="s">
        <v>2829</v>
      </c>
      <c r="H2774" s="6" t="s">
        <v>1354</v>
      </c>
      <c r="J2774" s="1215" t="s">
        <v>511</v>
      </c>
      <c r="K2774" s="1219" t="s">
        <v>3033</v>
      </c>
      <c r="L2774" s="8">
        <v>113</v>
      </c>
      <c r="M2774" s="8">
        <v>751</v>
      </c>
      <c r="N2774" s="1169" t="s">
        <v>271</v>
      </c>
      <c r="P2774" s="6" t="s">
        <v>3324</v>
      </c>
      <c r="Q2774" s="1215" t="s">
        <v>253</v>
      </c>
      <c r="R2774" s="1215" t="s">
        <v>255</v>
      </c>
      <c r="S2774" s="1215" t="s">
        <v>534</v>
      </c>
      <c r="T2774" s="1215" t="s">
        <v>533</v>
      </c>
      <c r="U2774" s="6" t="s">
        <v>539</v>
      </c>
      <c r="V2774" s="6" t="s">
        <v>34</v>
      </c>
      <c r="W2774" s="6" t="s">
        <v>546</v>
      </c>
      <c r="X2774" s="6" t="s">
        <v>188</v>
      </c>
    </row>
    <row r="2775" spans="1:24" x14ac:dyDescent="0.3">
      <c r="A2775" s="6" t="s">
        <v>533</v>
      </c>
      <c r="B2775" s="6" t="s">
        <v>534</v>
      </c>
      <c r="C2775" s="6" t="s">
        <v>34</v>
      </c>
      <c r="D2775" s="1088" t="s">
        <v>539</v>
      </c>
      <c r="E2775" s="1088" t="s">
        <v>188</v>
      </c>
      <c r="F2775" s="6" t="s">
        <v>546</v>
      </c>
      <c r="G2775" s="6" t="s">
        <v>2829</v>
      </c>
      <c r="H2775" s="6" t="s">
        <v>1354</v>
      </c>
      <c r="J2775" s="1215" t="s">
        <v>511</v>
      </c>
      <c r="K2775" s="1219" t="s">
        <v>3110</v>
      </c>
      <c r="L2775" s="8">
        <v>10</v>
      </c>
      <c r="M2775" s="8">
        <v>53</v>
      </c>
      <c r="N2775" s="1169" t="s">
        <v>271</v>
      </c>
      <c r="P2775" s="6" t="s">
        <v>3324</v>
      </c>
      <c r="Q2775" s="1215" t="s">
        <v>253</v>
      </c>
      <c r="R2775" s="1215" t="s">
        <v>255</v>
      </c>
      <c r="S2775" s="1215" t="s">
        <v>534</v>
      </c>
      <c r="T2775" s="1215" t="s">
        <v>533</v>
      </c>
      <c r="U2775" s="6" t="s">
        <v>539</v>
      </c>
      <c r="V2775" s="6" t="s">
        <v>34</v>
      </c>
      <c r="W2775" s="6" t="s">
        <v>546</v>
      </c>
      <c r="X2775" s="6" t="s">
        <v>188</v>
      </c>
    </row>
    <row r="2776" spans="1:24" x14ac:dyDescent="0.3">
      <c r="A2776" s="6" t="s">
        <v>533</v>
      </c>
      <c r="B2776" s="6" t="s">
        <v>534</v>
      </c>
      <c r="C2776" s="6" t="s">
        <v>34</v>
      </c>
      <c r="D2776" s="1088" t="s">
        <v>539</v>
      </c>
      <c r="E2776" s="6" t="s">
        <v>188</v>
      </c>
      <c r="F2776" s="6" t="s">
        <v>546</v>
      </c>
      <c r="G2776" s="6" t="s">
        <v>2829</v>
      </c>
      <c r="H2776" s="6" t="s">
        <v>1354</v>
      </c>
      <c r="J2776" s="1215" t="s">
        <v>511</v>
      </c>
      <c r="K2776" s="1219" t="s">
        <v>3111</v>
      </c>
      <c r="L2776" s="8">
        <v>4</v>
      </c>
      <c r="M2776" s="8">
        <v>45</v>
      </c>
      <c r="N2776" s="1169" t="s">
        <v>271</v>
      </c>
      <c r="P2776" s="6" t="s">
        <v>3324</v>
      </c>
      <c r="Q2776" s="1215" t="s">
        <v>253</v>
      </c>
      <c r="R2776" s="1215" t="s">
        <v>255</v>
      </c>
      <c r="S2776" s="1215" t="s">
        <v>534</v>
      </c>
      <c r="T2776" s="1215" t="s">
        <v>533</v>
      </c>
      <c r="U2776" s="6" t="s">
        <v>539</v>
      </c>
      <c r="V2776" s="6" t="s">
        <v>34</v>
      </c>
      <c r="W2776" s="6" t="s">
        <v>546</v>
      </c>
      <c r="X2776" s="6" t="s">
        <v>188</v>
      </c>
    </row>
    <row r="2777" spans="1:24" x14ac:dyDescent="0.3">
      <c r="A2777" s="6" t="s">
        <v>533</v>
      </c>
      <c r="B2777" s="6" t="s">
        <v>534</v>
      </c>
      <c r="C2777" s="6" t="s">
        <v>31</v>
      </c>
      <c r="D2777" s="1088" t="s">
        <v>549</v>
      </c>
      <c r="E2777" s="1088" t="s">
        <v>166</v>
      </c>
      <c r="F2777" s="6" t="s">
        <v>844</v>
      </c>
      <c r="G2777" s="6" t="s">
        <v>1224</v>
      </c>
      <c r="H2777" s="6" t="s">
        <v>1225</v>
      </c>
      <c r="J2777" s="1215" t="s">
        <v>511</v>
      </c>
      <c r="K2777" s="1219" t="s">
        <v>3033</v>
      </c>
      <c r="L2777" s="8">
        <v>73</v>
      </c>
      <c r="M2777" s="8">
        <v>565</v>
      </c>
      <c r="N2777" s="1169" t="s">
        <v>271</v>
      </c>
      <c r="P2777" s="6" t="s">
        <v>3324</v>
      </c>
      <c r="Q2777" s="1215" t="s">
        <v>253</v>
      </c>
      <c r="R2777" s="1215" t="s">
        <v>255</v>
      </c>
      <c r="S2777" s="1215" t="s">
        <v>534</v>
      </c>
      <c r="T2777" s="1215" t="s">
        <v>533</v>
      </c>
      <c r="U2777" s="6" t="s">
        <v>549</v>
      </c>
      <c r="V2777" s="6" t="s">
        <v>31</v>
      </c>
      <c r="W2777" s="6" t="s">
        <v>844</v>
      </c>
      <c r="X2777" s="6" t="s">
        <v>166</v>
      </c>
    </row>
    <row r="2778" spans="1:24" x14ac:dyDescent="0.3">
      <c r="A2778" s="6" t="s">
        <v>533</v>
      </c>
      <c r="B2778" s="6" t="s">
        <v>534</v>
      </c>
      <c r="C2778" s="6" t="s">
        <v>31</v>
      </c>
      <c r="D2778" s="1088" t="s">
        <v>549</v>
      </c>
      <c r="E2778" s="6" t="s">
        <v>169</v>
      </c>
      <c r="F2778" s="6" t="s">
        <v>673</v>
      </c>
      <c r="G2778" s="6" t="s">
        <v>1562</v>
      </c>
      <c r="H2778" s="6" t="s">
        <v>2571</v>
      </c>
      <c r="J2778" s="1215" t="s">
        <v>511</v>
      </c>
      <c r="K2778" s="1219" t="s">
        <v>3111</v>
      </c>
      <c r="L2778" s="8">
        <v>32</v>
      </c>
      <c r="M2778" s="8">
        <v>315</v>
      </c>
      <c r="N2778" s="1169" t="s">
        <v>274</v>
      </c>
      <c r="P2778" s="6" t="s">
        <v>3323</v>
      </c>
      <c r="Q2778" s="1215" t="s">
        <v>253</v>
      </c>
      <c r="R2778" s="1215" t="s">
        <v>255</v>
      </c>
      <c r="S2778" s="1215" t="s">
        <v>534</v>
      </c>
      <c r="T2778" s="1215" t="s">
        <v>533</v>
      </c>
      <c r="U2778" s="6" t="s">
        <v>549</v>
      </c>
      <c r="V2778" s="6" t="s">
        <v>31</v>
      </c>
      <c r="W2778" s="6" t="s">
        <v>706</v>
      </c>
      <c r="X2778" s="6" t="s">
        <v>172</v>
      </c>
    </row>
    <row r="2779" spans="1:24" x14ac:dyDescent="0.3">
      <c r="A2779" s="6" t="s">
        <v>533</v>
      </c>
      <c r="B2779" s="6" t="s">
        <v>534</v>
      </c>
      <c r="C2779" s="6" t="s">
        <v>31</v>
      </c>
      <c r="D2779" s="1088" t="s">
        <v>549</v>
      </c>
      <c r="E2779" s="6" t="s">
        <v>169</v>
      </c>
      <c r="F2779" s="6" t="s">
        <v>673</v>
      </c>
      <c r="G2779" s="6" t="s">
        <v>1095</v>
      </c>
      <c r="H2779" s="6" t="s">
        <v>2573</v>
      </c>
      <c r="J2779" s="1215" t="s">
        <v>511</v>
      </c>
      <c r="K2779" s="1219" t="s">
        <v>3111</v>
      </c>
      <c r="L2779" s="8">
        <v>11</v>
      </c>
      <c r="M2779" s="8">
        <v>88</v>
      </c>
      <c r="N2779" s="6" t="s">
        <v>274</v>
      </c>
      <c r="P2779" s="6" t="s">
        <v>3323</v>
      </c>
      <c r="Q2779" s="1215" t="s">
        <v>253</v>
      </c>
      <c r="R2779" s="1215" t="s">
        <v>255</v>
      </c>
      <c r="S2779" s="1215" t="s">
        <v>534</v>
      </c>
      <c r="T2779" s="1215" t="s">
        <v>533</v>
      </c>
      <c r="U2779" s="6" t="s">
        <v>549</v>
      </c>
      <c r="V2779" s="6" t="s">
        <v>31</v>
      </c>
      <c r="W2779" s="6" t="s">
        <v>706</v>
      </c>
      <c r="X2779" s="6" t="s">
        <v>172</v>
      </c>
    </row>
    <row r="2780" spans="1:24" x14ac:dyDescent="0.3">
      <c r="A2780" s="6" t="s">
        <v>533</v>
      </c>
      <c r="B2780" s="6" t="s">
        <v>534</v>
      </c>
      <c r="C2780" s="6" t="s">
        <v>31</v>
      </c>
      <c r="D2780" s="1088" t="s">
        <v>549</v>
      </c>
      <c r="E2780" s="6" t="s">
        <v>169</v>
      </c>
      <c r="F2780" s="6" t="s">
        <v>673</v>
      </c>
      <c r="G2780" s="6" t="s">
        <v>1550</v>
      </c>
      <c r="H2780" s="6" t="s">
        <v>828</v>
      </c>
      <c r="J2780" s="1215" t="s">
        <v>511</v>
      </c>
      <c r="K2780" s="1219" t="s">
        <v>3111</v>
      </c>
      <c r="L2780" s="8">
        <v>65</v>
      </c>
      <c r="M2780" s="8">
        <v>400</v>
      </c>
      <c r="N2780" s="1169" t="s">
        <v>274</v>
      </c>
      <c r="P2780" s="6" t="s">
        <v>3323</v>
      </c>
      <c r="Q2780" s="1215" t="s">
        <v>253</v>
      </c>
      <c r="R2780" s="1215" t="s">
        <v>255</v>
      </c>
      <c r="S2780" s="1215" t="s">
        <v>534</v>
      </c>
      <c r="T2780" s="1215" t="s">
        <v>533</v>
      </c>
      <c r="U2780" s="6" t="s">
        <v>549</v>
      </c>
      <c r="V2780" s="6" t="s">
        <v>31</v>
      </c>
      <c r="W2780" s="6" t="s">
        <v>706</v>
      </c>
      <c r="X2780" s="6" t="s">
        <v>172</v>
      </c>
    </row>
    <row r="2781" spans="1:24" x14ac:dyDescent="0.3">
      <c r="A2781" s="6" t="s">
        <v>533</v>
      </c>
      <c r="B2781" s="6" t="s">
        <v>534</v>
      </c>
      <c r="C2781" s="6" t="s">
        <v>31</v>
      </c>
      <c r="D2781" s="1088" t="s">
        <v>549</v>
      </c>
      <c r="E2781" s="6" t="s">
        <v>169</v>
      </c>
      <c r="F2781" s="6" t="s">
        <v>673</v>
      </c>
      <c r="G2781" s="6" t="s">
        <v>3205</v>
      </c>
      <c r="H2781" s="6" t="s">
        <v>3087</v>
      </c>
      <c r="J2781" s="1215" t="s">
        <v>511</v>
      </c>
      <c r="K2781" s="1219" t="s">
        <v>3111</v>
      </c>
      <c r="L2781" s="8">
        <v>28</v>
      </c>
      <c r="M2781" s="8">
        <v>208</v>
      </c>
      <c r="N2781" s="1169" t="s">
        <v>274</v>
      </c>
      <c r="P2781" s="6" t="s">
        <v>3323</v>
      </c>
      <c r="Q2781" s="1215" t="s">
        <v>253</v>
      </c>
      <c r="R2781" s="1215" t="s">
        <v>255</v>
      </c>
      <c r="S2781" s="1215" t="s">
        <v>534</v>
      </c>
      <c r="T2781" s="1215" t="s">
        <v>533</v>
      </c>
      <c r="U2781" s="6" t="s">
        <v>549</v>
      </c>
      <c r="V2781" s="6" t="s">
        <v>31</v>
      </c>
      <c r="W2781" s="6" t="s">
        <v>706</v>
      </c>
      <c r="X2781" s="6" t="s">
        <v>172</v>
      </c>
    </row>
    <row r="2782" spans="1:24" x14ac:dyDescent="0.3">
      <c r="A2782" s="6" t="s">
        <v>533</v>
      </c>
      <c r="B2782" s="6" t="s">
        <v>534</v>
      </c>
      <c r="C2782" s="6" t="s">
        <v>31</v>
      </c>
      <c r="D2782" s="1088" t="s">
        <v>549</v>
      </c>
      <c r="E2782" s="1088" t="s">
        <v>169</v>
      </c>
      <c r="F2782" s="6" t="s">
        <v>673</v>
      </c>
      <c r="G2782" s="6" t="s">
        <v>2574</v>
      </c>
      <c r="H2782" s="6" t="s">
        <v>613</v>
      </c>
      <c r="J2782" s="1215" t="s">
        <v>511</v>
      </c>
      <c r="K2782" s="1219" t="s">
        <v>3111</v>
      </c>
      <c r="L2782" s="8">
        <v>49</v>
      </c>
      <c r="M2782" s="8">
        <v>450</v>
      </c>
      <c r="N2782" s="1169" t="s">
        <v>274</v>
      </c>
      <c r="P2782" s="6" t="s">
        <v>3323</v>
      </c>
      <c r="Q2782" s="1215" t="s">
        <v>253</v>
      </c>
      <c r="R2782" s="1215" t="s">
        <v>255</v>
      </c>
      <c r="S2782" s="1215" t="s">
        <v>534</v>
      </c>
      <c r="T2782" s="1215" t="s">
        <v>533</v>
      </c>
      <c r="U2782" s="6" t="s">
        <v>549</v>
      </c>
      <c r="V2782" s="6" t="s">
        <v>31</v>
      </c>
      <c r="W2782" s="6" t="s">
        <v>706</v>
      </c>
      <c r="X2782" s="6" t="s">
        <v>172</v>
      </c>
    </row>
    <row r="2783" spans="1:24" x14ac:dyDescent="0.3">
      <c r="A2783" s="6" t="s">
        <v>533</v>
      </c>
      <c r="B2783" s="6" t="s">
        <v>534</v>
      </c>
      <c r="C2783" s="6" t="s">
        <v>31</v>
      </c>
      <c r="D2783" s="1088" t="s">
        <v>549</v>
      </c>
      <c r="E2783" s="6" t="s">
        <v>169</v>
      </c>
      <c r="F2783" s="6" t="s">
        <v>673</v>
      </c>
      <c r="G2783" s="6" t="s">
        <v>3319</v>
      </c>
      <c r="H2783" s="6" t="s">
        <v>3083</v>
      </c>
      <c r="J2783" s="1215" t="s">
        <v>511</v>
      </c>
      <c r="K2783" s="1219" t="s">
        <v>3111</v>
      </c>
      <c r="L2783" s="8">
        <v>10</v>
      </c>
      <c r="M2783" s="8">
        <v>63</v>
      </c>
      <c r="N2783" s="1169" t="s">
        <v>274</v>
      </c>
      <c r="P2783" s="6" t="s">
        <v>3323</v>
      </c>
      <c r="Q2783" s="1215" t="s">
        <v>253</v>
      </c>
      <c r="R2783" s="1215" t="s">
        <v>255</v>
      </c>
      <c r="S2783" s="1215" t="s">
        <v>534</v>
      </c>
      <c r="T2783" s="1215" t="s">
        <v>533</v>
      </c>
      <c r="U2783" s="6" t="s">
        <v>549</v>
      </c>
      <c r="V2783" s="6" t="s">
        <v>31</v>
      </c>
      <c r="W2783" s="6" t="s">
        <v>706</v>
      </c>
      <c r="X2783" s="6" t="s">
        <v>172</v>
      </c>
    </row>
    <row r="2784" spans="1:24" x14ac:dyDescent="0.3">
      <c r="A2784" s="6" t="s">
        <v>533</v>
      </c>
      <c r="B2784" s="6" t="s">
        <v>534</v>
      </c>
      <c r="C2784" s="6" t="s">
        <v>31</v>
      </c>
      <c r="D2784" s="1088" t="s">
        <v>549</v>
      </c>
      <c r="E2784" s="6" t="s">
        <v>169</v>
      </c>
      <c r="F2784" s="6" t="s">
        <v>673</v>
      </c>
      <c r="G2784" s="6" t="s">
        <v>3320</v>
      </c>
      <c r="H2784" s="6" t="s">
        <v>3084</v>
      </c>
      <c r="J2784" s="1215" t="s">
        <v>511</v>
      </c>
      <c r="K2784" s="1219" t="s">
        <v>3111</v>
      </c>
      <c r="L2784" s="8">
        <v>20</v>
      </c>
      <c r="M2784" s="8">
        <v>97</v>
      </c>
      <c r="N2784" s="1169" t="s">
        <v>274</v>
      </c>
      <c r="P2784" s="6" t="s">
        <v>3323</v>
      </c>
      <c r="Q2784" s="1215" t="s">
        <v>253</v>
      </c>
      <c r="R2784" s="1215" t="s">
        <v>255</v>
      </c>
      <c r="S2784" s="1215" t="s">
        <v>534</v>
      </c>
      <c r="T2784" s="1215" t="s">
        <v>533</v>
      </c>
      <c r="U2784" s="6" t="s">
        <v>549</v>
      </c>
      <c r="V2784" s="6" t="s">
        <v>31</v>
      </c>
      <c r="W2784" s="6" t="s">
        <v>706</v>
      </c>
      <c r="X2784" s="6" t="s">
        <v>172</v>
      </c>
    </row>
    <row r="2785" spans="1:24" x14ac:dyDescent="0.3">
      <c r="A2785" s="6" t="s">
        <v>533</v>
      </c>
      <c r="B2785" s="6" t="s">
        <v>534</v>
      </c>
      <c r="C2785" s="6" t="s">
        <v>31</v>
      </c>
      <c r="D2785" s="1088" t="s">
        <v>549</v>
      </c>
      <c r="E2785" s="6" t="s">
        <v>169</v>
      </c>
      <c r="F2785" s="6" t="s">
        <v>673</v>
      </c>
      <c r="G2785" s="6" t="s">
        <v>550</v>
      </c>
      <c r="H2785" s="6" t="s">
        <v>3134</v>
      </c>
      <c r="I2785" s="6" t="s">
        <v>3134</v>
      </c>
      <c r="J2785" s="1215" t="s">
        <v>511</v>
      </c>
      <c r="K2785" s="1219" t="s">
        <v>3111</v>
      </c>
      <c r="L2785" s="8">
        <v>24</v>
      </c>
      <c r="M2785" s="8">
        <v>168</v>
      </c>
      <c r="N2785" s="1169" t="s">
        <v>274</v>
      </c>
      <c r="P2785" s="6" t="s">
        <v>3323</v>
      </c>
      <c r="Q2785" s="1215" t="s">
        <v>253</v>
      </c>
      <c r="R2785" s="1215" t="s">
        <v>255</v>
      </c>
      <c r="S2785" s="1215" t="s">
        <v>534</v>
      </c>
      <c r="T2785" s="1215" t="s">
        <v>533</v>
      </c>
      <c r="U2785" s="6" t="s">
        <v>549</v>
      </c>
      <c r="V2785" s="6" t="s">
        <v>31</v>
      </c>
      <c r="W2785" s="6" t="s">
        <v>706</v>
      </c>
      <c r="X2785" s="6" t="s">
        <v>172</v>
      </c>
    </row>
    <row r="2786" spans="1:24" x14ac:dyDescent="0.3">
      <c r="A2786" s="6" t="s">
        <v>533</v>
      </c>
      <c r="B2786" s="6" t="s">
        <v>534</v>
      </c>
      <c r="C2786" s="6" t="s">
        <v>31</v>
      </c>
      <c r="D2786" s="1088" t="s">
        <v>549</v>
      </c>
      <c r="E2786" s="6" t="s">
        <v>169</v>
      </c>
      <c r="F2786" s="6" t="s">
        <v>673</v>
      </c>
      <c r="G2786" s="6" t="s">
        <v>550</v>
      </c>
      <c r="H2786" s="6" t="s">
        <v>3135</v>
      </c>
      <c r="I2786" s="6" t="s">
        <v>3135</v>
      </c>
      <c r="J2786" s="1215" t="s">
        <v>511</v>
      </c>
      <c r="K2786" s="1219" t="s">
        <v>3111</v>
      </c>
      <c r="L2786" s="8">
        <v>46</v>
      </c>
      <c r="M2786" s="8">
        <v>322</v>
      </c>
      <c r="N2786" s="1169" t="s">
        <v>274</v>
      </c>
      <c r="P2786" s="6" t="s">
        <v>3323</v>
      </c>
      <c r="Q2786" s="1215" t="s">
        <v>253</v>
      </c>
      <c r="R2786" s="1215" t="s">
        <v>255</v>
      </c>
      <c r="S2786" s="1215" t="s">
        <v>534</v>
      </c>
      <c r="T2786" s="1215" t="s">
        <v>533</v>
      </c>
      <c r="U2786" s="6" t="s">
        <v>549</v>
      </c>
      <c r="V2786" s="6" t="s">
        <v>31</v>
      </c>
      <c r="W2786" s="6" t="s">
        <v>706</v>
      </c>
      <c r="X2786" s="6" t="s">
        <v>172</v>
      </c>
    </row>
    <row r="2787" spans="1:24" x14ac:dyDescent="0.3">
      <c r="A2787" s="6" t="s">
        <v>533</v>
      </c>
      <c r="B2787" s="6" t="s">
        <v>534</v>
      </c>
      <c r="C2787" s="6" t="s">
        <v>31</v>
      </c>
      <c r="D2787" s="1088" t="s">
        <v>549</v>
      </c>
      <c r="E2787" s="6" t="s">
        <v>169</v>
      </c>
      <c r="F2787" s="6" t="s">
        <v>673</v>
      </c>
      <c r="G2787" s="6" t="s">
        <v>550</v>
      </c>
      <c r="H2787" s="6" t="s">
        <v>3136</v>
      </c>
      <c r="I2787" s="6" t="s">
        <v>3136</v>
      </c>
      <c r="J2787" s="1215" t="s">
        <v>511</v>
      </c>
      <c r="K2787" s="1219" t="s">
        <v>3111</v>
      </c>
      <c r="L2787" s="8">
        <v>28</v>
      </c>
      <c r="M2787" s="8">
        <v>160</v>
      </c>
      <c r="N2787" s="1169" t="s">
        <v>274</v>
      </c>
      <c r="P2787" s="6" t="s">
        <v>3323</v>
      </c>
      <c r="Q2787" s="1215" t="s">
        <v>253</v>
      </c>
      <c r="R2787" s="1215" t="s">
        <v>255</v>
      </c>
      <c r="S2787" s="1215" t="s">
        <v>534</v>
      </c>
      <c r="T2787" s="1215" t="s">
        <v>533</v>
      </c>
      <c r="U2787" s="6" t="s">
        <v>549</v>
      </c>
      <c r="V2787" s="6" t="s">
        <v>31</v>
      </c>
      <c r="W2787" s="6" t="s">
        <v>706</v>
      </c>
      <c r="X2787" s="6" t="s">
        <v>172</v>
      </c>
    </row>
    <row r="2788" spans="1:24" x14ac:dyDescent="0.3">
      <c r="A2788" s="6" t="s">
        <v>533</v>
      </c>
      <c r="B2788" s="6" t="s">
        <v>534</v>
      </c>
      <c r="C2788" s="6" t="s">
        <v>31</v>
      </c>
      <c r="D2788" s="1088" t="s">
        <v>549</v>
      </c>
      <c r="E2788" s="6" t="s">
        <v>169</v>
      </c>
      <c r="F2788" s="6" t="s">
        <v>673</v>
      </c>
      <c r="G2788" s="6" t="s">
        <v>550</v>
      </c>
      <c r="H2788" s="6" t="s">
        <v>3137</v>
      </c>
      <c r="I2788" s="6" t="s">
        <v>3137</v>
      </c>
      <c r="J2788" s="1215" t="s">
        <v>511</v>
      </c>
      <c r="K2788" s="1219" t="s">
        <v>3033</v>
      </c>
      <c r="L2788" s="8">
        <v>30</v>
      </c>
      <c r="M2788" s="8">
        <v>200</v>
      </c>
      <c r="N2788" s="1169" t="s">
        <v>274</v>
      </c>
      <c r="P2788" s="6" t="s">
        <v>3323</v>
      </c>
      <c r="Q2788" s="1215" t="s">
        <v>253</v>
      </c>
      <c r="R2788" s="1215" t="s">
        <v>255</v>
      </c>
      <c r="S2788" s="1215" t="s">
        <v>534</v>
      </c>
      <c r="T2788" s="1215" t="s">
        <v>533</v>
      </c>
      <c r="U2788" s="6" t="s">
        <v>549</v>
      </c>
      <c r="V2788" s="6" t="s">
        <v>31</v>
      </c>
      <c r="W2788" s="6" t="s">
        <v>706</v>
      </c>
      <c r="X2788" s="6" t="s">
        <v>172</v>
      </c>
    </row>
    <row r="2789" spans="1:24" x14ac:dyDescent="0.3">
      <c r="A2789" s="6" t="s">
        <v>533</v>
      </c>
      <c r="B2789" s="6" t="s">
        <v>534</v>
      </c>
      <c r="C2789" s="6" t="s">
        <v>31</v>
      </c>
      <c r="D2789" s="1088" t="s">
        <v>549</v>
      </c>
      <c r="E2789" s="6" t="s">
        <v>169</v>
      </c>
      <c r="F2789" s="6" t="s">
        <v>673</v>
      </c>
      <c r="G2789" s="6" t="s">
        <v>550</v>
      </c>
      <c r="H2789" s="6" t="s">
        <v>3138</v>
      </c>
      <c r="I2789" s="6" t="s">
        <v>3138</v>
      </c>
      <c r="J2789" s="1215" t="s">
        <v>511</v>
      </c>
      <c r="K2789" s="1219" t="s">
        <v>3111</v>
      </c>
      <c r="L2789" s="8">
        <v>18</v>
      </c>
      <c r="M2789" s="8">
        <v>36</v>
      </c>
      <c r="N2789" s="1169" t="s">
        <v>274</v>
      </c>
      <c r="P2789" s="6" t="s">
        <v>3323</v>
      </c>
      <c r="Q2789" s="1215" t="s">
        <v>253</v>
      </c>
      <c r="R2789" s="1215" t="s">
        <v>255</v>
      </c>
      <c r="S2789" s="1215" t="s">
        <v>534</v>
      </c>
      <c r="T2789" s="1215" t="s">
        <v>533</v>
      </c>
      <c r="U2789" s="6" t="s">
        <v>549</v>
      </c>
      <c r="V2789" s="6" t="s">
        <v>31</v>
      </c>
      <c r="W2789" s="6" t="s">
        <v>706</v>
      </c>
      <c r="X2789" s="6" t="s">
        <v>172</v>
      </c>
    </row>
    <row r="2790" spans="1:24" x14ac:dyDescent="0.3">
      <c r="A2790" s="6" t="s">
        <v>533</v>
      </c>
      <c r="B2790" s="6" t="s">
        <v>534</v>
      </c>
      <c r="C2790" s="6" t="s">
        <v>31</v>
      </c>
      <c r="D2790" s="1088" t="s">
        <v>549</v>
      </c>
      <c r="E2790" s="6" t="s">
        <v>169</v>
      </c>
      <c r="F2790" s="6" t="s">
        <v>673</v>
      </c>
      <c r="G2790" s="6" t="s">
        <v>550</v>
      </c>
      <c r="H2790" s="6" t="s">
        <v>3139</v>
      </c>
      <c r="I2790" s="6" t="s">
        <v>3139</v>
      </c>
      <c r="J2790" s="1215" t="s">
        <v>511</v>
      </c>
      <c r="K2790" s="1219" t="s">
        <v>3111</v>
      </c>
      <c r="L2790" s="8">
        <v>19</v>
      </c>
      <c r="M2790" s="8">
        <v>150</v>
      </c>
      <c r="N2790" s="1169" t="s">
        <v>274</v>
      </c>
      <c r="P2790" s="6" t="s">
        <v>3323</v>
      </c>
      <c r="Q2790" s="1215" t="s">
        <v>253</v>
      </c>
      <c r="R2790" s="1215" t="s">
        <v>255</v>
      </c>
      <c r="S2790" s="1215" t="s">
        <v>534</v>
      </c>
      <c r="T2790" s="1215" t="s">
        <v>533</v>
      </c>
      <c r="U2790" s="6" t="s">
        <v>549</v>
      </c>
      <c r="V2790" s="6" t="s">
        <v>31</v>
      </c>
      <c r="W2790" s="6" t="s">
        <v>706</v>
      </c>
      <c r="X2790" s="6" t="s">
        <v>172</v>
      </c>
    </row>
    <row r="2791" spans="1:24" x14ac:dyDescent="0.3">
      <c r="A2791" s="6" t="s">
        <v>533</v>
      </c>
      <c r="B2791" s="6" t="s">
        <v>534</v>
      </c>
      <c r="C2791" s="6" t="s">
        <v>31</v>
      </c>
      <c r="D2791" s="1088" t="s">
        <v>549</v>
      </c>
      <c r="E2791" s="6" t="s">
        <v>169</v>
      </c>
      <c r="F2791" s="6" t="s">
        <v>673</v>
      </c>
      <c r="G2791" s="6" t="s">
        <v>550</v>
      </c>
      <c r="H2791" s="6" t="s">
        <v>3140</v>
      </c>
      <c r="I2791" s="6" t="s">
        <v>3140</v>
      </c>
      <c r="J2791" s="1215" t="s">
        <v>511</v>
      </c>
      <c r="K2791" s="1219" t="s">
        <v>3111</v>
      </c>
      <c r="L2791" s="8">
        <v>11</v>
      </c>
      <c r="M2791" s="8">
        <v>77</v>
      </c>
      <c r="N2791" s="6" t="s">
        <v>274</v>
      </c>
      <c r="P2791" s="6" t="s">
        <v>3323</v>
      </c>
      <c r="Q2791" s="1215" t="s">
        <v>253</v>
      </c>
      <c r="R2791" s="1215" t="s">
        <v>255</v>
      </c>
      <c r="S2791" s="1215" t="s">
        <v>534</v>
      </c>
      <c r="T2791" s="1215" t="s">
        <v>533</v>
      </c>
      <c r="U2791" s="6" t="s">
        <v>549</v>
      </c>
      <c r="V2791" s="6" t="s">
        <v>31</v>
      </c>
      <c r="W2791" s="6" t="s">
        <v>706</v>
      </c>
      <c r="X2791" s="6" t="s">
        <v>172</v>
      </c>
    </row>
    <row r="2792" spans="1:24" x14ac:dyDescent="0.3">
      <c r="A2792" s="6" t="s">
        <v>533</v>
      </c>
      <c r="B2792" s="6" t="s">
        <v>534</v>
      </c>
      <c r="C2792" s="6" t="s">
        <v>31</v>
      </c>
      <c r="D2792" s="1088" t="s">
        <v>549</v>
      </c>
      <c r="E2792" s="6" t="s">
        <v>169</v>
      </c>
      <c r="F2792" s="6" t="s">
        <v>673</v>
      </c>
      <c r="G2792" s="6" t="s">
        <v>3024</v>
      </c>
      <c r="H2792" s="6" t="s">
        <v>2327</v>
      </c>
      <c r="J2792" s="1215" t="s">
        <v>511</v>
      </c>
      <c r="K2792" s="1219" t="s">
        <v>3111</v>
      </c>
      <c r="L2792" s="8">
        <v>179</v>
      </c>
      <c r="M2792" s="8">
        <v>1130</v>
      </c>
      <c r="N2792" s="1169" t="s">
        <v>274</v>
      </c>
      <c r="P2792" s="6" t="s">
        <v>3324</v>
      </c>
      <c r="Q2792" s="1215" t="s">
        <v>253</v>
      </c>
      <c r="R2792" s="1215" t="s">
        <v>255</v>
      </c>
      <c r="S2792" s="1215" t="s">
        <v>534</v>
      </c>
      <c r="T2792" s="1215" t="s">
        <v>533</v>
      </c>
      <c r="U2792" s="6" t="s">
        <v>549</v>
      </c>
      <c r="V2792" s="6" t="s">
        <v>31</v>
      </c>
      <c r="W2792" s="6" t="s">
        <v>673</v>
      </c>
      <c r="X2792" s="6" t="s">
        <v>169</v>
      </c>
    </row>
    <row r="2793" spans="1:24" x14ac:dyDescent="0.3">
      <c r="A2793" s="6" t="s">
        <v>533</v>
      </c>
      <c r="B2793" s="6" t="s">
        <v>534</v>
      </c>
      <c r="C2793" s="6" t="s">
        <v>31</v>
      </c>
      <c r="D2793" s="1088" t="s">
        <v>549</v>
      </c>
      <c r="E2793" s="6" t="s">
        <v>169</v>
      </c>
      <c r="F2793" s="6" t="s">
        <v>673</v>
      </c>
      <c r="G2793" s="6" t="s">
        <v>3029</v>
      </c>
      <c r="H2793" s="6" t="s">
        <v>2341</v>
      </c>
      <c r="J2793" s="1215" t="s">
        <v>511</v>
      </c>
      <c r="K2793" s="1219" t="s">
        <v>3111</v>
      </c>
      <c r="L2793" s="8">
        <v>5</v>
      </c>
      <c r="M2793" s="8">
        <v>20</v>
      </c>
      <c r="N2793" s="1169" t="s">
        <v>274</v>
      </c>
      <c r="P2793" s="6" t="s">
        <v>3324</v>
      </c>
      <c r="Q2793" s="1215" t="s">
        <v>253</v>
      </c>
      <c r="R2793" s="1215" t="s">
        <v>255</v>
      </c>
      <c r="S2793" s="1215" t="s">
        <v>534</v>
      </c>
      <c r="T2793" s="1215" t="s">
        <v>533</v>
      </c>
      <c r="U2793" s="6" t="s">
        <v>549</v>
      </c>
      <c r="V2793" s="6" t="s">
        <v>31</v>
      </c>
      <c r="W2793" s="6" t="s">
        <v>673</v>
      </c>
      <c r="X2793" s="6" t="s">
        <v>169</v>
      </c>
    </row>
    <row r="2794" spans="1:24" x14ac:dyDescent="0.3">
      <c r="A2794" s="6" t="s">
        <v>533</v>
      </c>
      <c r="B2794" s="6" t="s">
        <v>534</v>
      </c>
      <c r="C2794" s="6" t="s">
        <v>31</v>
      </c>
      <c r="D2794" s="1088" t="s">
        <v>549</v>
      </c>
      <c r="E2794" s="6" t="s">
        <v>169</v>
      </c>
      <c r="F2794" s="6" t="s">
        <v>673</v>
      </c>
      <c r="G2794" s="6" t="s">
        <v>2860</v>
      </c>
      <c r="H2794" s="6" t="s">
        <v>2358</v>
      </c>
      <c r="J2794" s="1215" t="s">
        <v>511</v>
      </c>
      <c r="K2794" s="1219" t="s">
        <v>3111</v>
      </c>
      <c r="L2794" s="8">
        <v>68</v>
      </c>
      <c r="M2794" s="8">
        <v>291</v>
      </c>
      <c r="N2794" s="1169" t="s">
        <v>274</v>
      </c>
      <c r="P2794" s="6" t="s">
        <v>3324</v>
      </c>
      <c r="Q2794" s="1215" t="s">
        <v>253</v>
      </c>
      <c r="R2794" s="1215" t="s">
        <v>255</v>
      </c>
      <c r="S2794" s="1215" t="s">
        <v>534</v>
      </c>
      <c r="T2794" s="1215" t="s">
        <v>533</v>
      </c>
      <c r="U2794" s="6" t="s">
        <v>549</v>
      </c>
      <c r="V2794" s="6" t="s">
        <v>31</v>
      </c>
      <c r="W2794" s="6" t="s">
        <v>673</v>
      </c>
      <c r="X2794" s="6" t="s">
        <v>169</v>
      </c>
    </row>
    <row r="2795" spans="1:24" x14ac:dyDescent="0.3">
      <c r="A2795" s="6" t="s">
        <v>533</v>
      </c>
      <c r="B2795" s="6" t="s">
        <v>534</v>
      </c>
      <c r="C2795" s="6" t="s">
        <v>35</v>
      </c>
      <c r="D2795" s="1088" t="s">
        <v>567</v>
      </c>
      <c r="E2795" s="6" t="s">
        <v>190</v>
      </c>
      <c r="F2795" s="6" t="s">
        <v>800</v>
      </c>
      <c r="G2795" s="6" t="s">
        <v>2157</v>
      </c>
      <c r="H2795" s="6" t="s">
        <v>2158</v>
      </c>
      <c r="J2795" s="1215" t="s">
        <v>511</v>
      </c>
      <c r="K2795" s="1219" t="s">
        <v>3033</v>
      </c>
      <c r="L2795" s="8">
        <v>15</v>
      </c>
      <c r="M2795" s="8">
        <v>84</v>
      </c>
      <c r="N2795" s="1169" t="s">
        <v>271</v>
      </c>
      <c r="P2795" s="6" t="s">
        <v>3361</v>
      </c>
      <c r="Q2795" s="1215" t="s">
        <v>240</v>
      </c>
      <c r="R2795" s="1168" t="s">
        <v>242</v>
      </c>
      <c r="S2795" s="1088"/>
      <c r="T2795" s="1088"/>
    </row>
    <row r="2796" spans="1:24" x14ac:dyDescent="0.3">
      <c r="A2796" s="6" t="s">
        <v>533</v>
      </c>
      <c r="B2796" s="6" t="s">
        <v>534</v>
      </c>
      <c r="C2796" s="6" t="s">
        <v>35</v>
      </c>
      <c r="D2796" s="1088" t="s">
        <v>567</v>
      </c>
      <c r="E2796" s="1088" t="s">
        <v>190</v>
      </c>
      <c r="F2796" s="6" t="s">
        <v>800</v>
      </c>
      <c r="G2796" s="6" t="s">
        <v>2157</v>
      </c>
      <c r="H2796" s="6" t="s">
        <v>2158</v>
      </c>
      <c r="J2796" s="1215" t="s">
        <v>511</v>
      </c>
      <c r="K2796" s="1219" t="s">
        <v>3109</v>
      </c>
      <c r="L2796" s="8">
        <v>2</v>
      </c>
      <c r="M2796" s="8">
        <v>8</v>
      </c>
      <c r="N2796" s="1169" t="s">
        <v>271</v>
      </c>
      <c r="P2796" s="6" t="s">
        <v>3361</v>
      </c>
      <c r="Q2796" s="1215" t="s">
        <v>240</v>
      </c>
      <c r="R2796" s="1168" t="s">
        <v>242</v>
      </c>
      <c r="S2796" s="1088"/>
      <c r="T2796" s="1088"/>
    </row>
    <row r="2797" spans="1:24" x14ac:dyDescent="0.3">
      <c r="A2797" s="6" t="s">
        <v>533</v>
      </c>
      <c r="B2797" s="6" t="s">
        <v>534</v>
      </c>
      <c r="C2797" s="6" t="s">
        <v>35</v>
      </c>
      <c r="D2797" s="1088" t="s">
        <v>567</v>
      </c>
      <c r="E2797" s="6" t="s">
        <v>190</v>
      </c>
      <c r="F2797" s="6" t="s">
        <v>800</v>
      </c>
      <c r="G2797" s="6" t="s">
        <v>2157</v>
      </c>
      <c r="H2797" s="6" t="s">
        <v>2158</v>
      </c>
      <c r="J2797" s="1215" t="s">
        <v>511</v>
      </c>
      <c r="K2797" s="1219" t="s">
        <v>3110</v>
      </c>
      <c r="L2797" s="8">
        <v>1</v>
      </c>
      <c r="M2797" s="8">
        <v>4</v>
      </c>
      <c r="N2797" s="1169" t="s">
        <v>271</v>
      </c>
      <c r="P2797" s="6" t="s">
        <v>3361</v>
      </c>
      <c r="Q2797" s="1215" t="s">
        <v>240</v>
      </c>
      <c r="R2797" s="1168" t="s">
        <v>242</v>
      </c>
      <c r="S2797" s="1088"/>
      <c r="T2797" s="1088"/>
    </row>
    <row r="2798" spans="1:24" x14ac:dyDescent="0.3">
      <c r="A2798" s="6" t="s">
        <v>533</v>
      </c>
      <c r="B2798" s="6" t="s">
        <v>534</v>
      </c>
      <c r="C2798" s="6" t="s">
        <v>35</v>
      </c>
      <c r="D2798" s="1088" t="s">
        <v>567</v>
      </c>
      <c r="E2798" s="6" t="s">
        <v>190</v>
      </c>
      <c r="F2798" s="6" t="s">
        <v>800</v>
      </c>
      <c r="G2798" s="6" t="s">
        <v>2157</v>
      </c>
      <c r="H2798" s="6" t="s">
        <v>2158</v>
      </c>
      <c r="J2798" s="1215" t="s">
        <v>511</v>
      </c>
      <c r="K2798" s="1219" t="s">
        <v>3111</v>
      </c>
      <c r="L2798" s="8">
        <v>2</v>
      </c>
      <c r="M2798" s="8">
        <v>5</v>
      </c>
      <c r="N2798" s="1169" t="s">
        <v>271</v>
      </c>
      <c r="P2798" s="6" t="s">
        <v>3361</v>
      </c>
      <c r="Q2798" s="1215" t="s">
        <v>240</v>
      </c>
      <c r="R2798" s="1168" t="s">
        <v>242</v>
      </c>
      <c r="S2798" s="1088"/>
      <c r="T2798" s="1088"/>
    </row>
    <row r="2799" spans="1:24" x14ac:dyDescent="0.3">
      <c r="A2799" s="6" t="s">
        <v>533</v>
      </c>
      <c r="B2799" s="6" t="s">
        <v>534</v>
      </c>
      <c r="C2799" s="6" t="s">
        <v>34</v>
      </c>
      <c r="D2799" s="1088" t="s">
        <v>539</v>
      </c>
      <c r="E2799" s="1088" t="s">
        <v>187</v>
      </c>
      <c r="F2799" s="6" t="s">
        <v>951</v>
      </c>
      <c r="G2799" s="6" t="s">
        <v>2914</v>
      </c>
      <c r="H2799" s="6" t="s">
        <v>1618</v>
      </c>
      <c r="J2799" s="1215" t="s">
        <v>511</v>
      </c>
      <c r="K2799" s="1219" t="s">
        <v>3033</v>
      </c>
      <c r="L2799" s="8">
        <v>228</v>
      </c>
      <c r="M2799" s="8">
        <v>1134</v>
      </c>
      <c r="N2799" s="1169" t="s">
        <v>271</v>
      </c>
      <c r="P2799" s="6" t="s">
        <v>3324</v>
      </c>
      <c r="Q2799" s="1215" t="s">
        <v>253</v>
      </c>
      <c r="R2799" s="1215" t="s">
        <v>255</v>
      </c>
      <c r="S2799" s="1215" t="s">
        <v>534</v>
      </c>
      <c r="T2799" s="1215" t="s">
        <v>533</v>
      </c>
      <c r="U2799" s="6" t="s">
        <v>539</v>
      </c>
      <c r="V2799" s="6" t="s">
        <v>34</v>
      </c>
      <c r="W2799" s="6" t="s">
        <v>951</v>
      </c>
      <c r="X2799" s="6" t="s">
        <v>187</v>
      </c>
    </row>
    <row r="2800" spans="1:24" x14ac:dyDescent="0.3">
      <c r="A2800" s="6" t="s">
        <v>533</v>
      </c>
      <c r="B2800" s="6" t="s">
        <v>534</v>
      </c>
      <c r="C2800" s="6" t="s">
        <v>34</v>
      </c>
      <c r="D2800" s="1088" t="s">
        <v>539</v>
      </c>
      <c r="E2800" s="6" t="s">
        <v>187</v>
      </c>
      <c r="F2800" s="6" t="s">
        <v>951</v>
      </c>
      <c r="G2800" s="6" t="s">
        <v>2914</v>
      </c>
      <c r="H2800" s="6" t="s">
        <v>1618</v>
      </c>
      <c r="J2800" s="1215" t="s">
        <v>511</v>
      </c>
      <c r="K2800" s="1219" t="s">
        <v>3112</v>
      </c>
      <c r="L2800" s="8">
        <v>11</v>
      </c>
      <c r="M2800" s="8">
        <v>79</v>
      </c>
      <c r="N2800" s="1169" t="s">
        <v>271</v>
      </c>
      <c r="P2800" s="6" t="s">
        <v>3324</v>
      </c>
      <c r="Q2800" s="1215" t="s">
        <v>253</v>
      </c>
      <c r="R2800" s="1215" t="s">
        <v>255</v>
      </c>
      <c r="S2800" s="1215" t="s">
        <v>534</v>
      </c>
      <c r="T2800" s="1215" t="s">
        <v>533</v>
      </c>
      <c r="U2800" s="6" t="s">
        <v>539</v>
      </c>
      <c r="V2800" s="6" t="s">
        <v>34</v>
      </c>
      <c r="W2800" s="6" t="s">
        <v>951</v>
      </c>
      <c r="X2800" s="6" t="s">
        <v>187</v>
      </c>
    </row>
    <row r="2801" spans="1:24" x14ac:dyDescent="0.3">
      <c r="A2801" s="6" t="s">
        <v>533</v>
      </c>
      <c r="B2801" s="6" t="s">
        <v>534</v>
      </c>
      <c r="C2801" s="6" t="s">
        <v>34</v>
      </c>
      <c r="D2801" s="1088" t="s">
        <v>539</v>
      </c>
      <c r="E2801" s="6" t="s">
        <v>187</v>
      </c>
      <c r="F2801" s="6" t="s">
        <v>951</v>
      </c>
      <c r="G2801" s="6" t="s">
        <v>2914</v>
      </c>
      <c r="H2801" s="6" t="s">
        <v>1618</v>
      </c>
      <c r="J2801" s="1215" t="s">
        <v>511</v>
      </c>
      <c r="K2801" s="1219" t="s">
        <v>3111</v>
      </c>
      <c r="L2801" s="8">
        <v>0</v>
      </c>
      <c r="M2801" s="8">
        <v>10</v>
      </c>
      <c r="N2801" s="1169" t="s">
        <v>271</v>
      </c>
      <c r="P2801" s="6" t="s">
        <v>3324</v>
      </c>
      <c r="Q2801" s="1215" t="s">
        <v>253</v>
      </c>
      <c r="R2801" s="1215" t="s">
        <v>255</v>
      </c>
      <c r="S2801" s="1215" t="s">
        <v>534</v>
      </c>
      <c r="T2801" s="1215" t="s">
        <v>533</v>
      </c>
      <c r="U2801" s="6" t="s">
        <v>539</v>
      </c>
      <c r="V2801" s="6" t="s">
        <v>34</v>
      </c>
      <c r="W2801" s="6" t="s">
        <v>951</v>
      </c>
      <c r="X2801" s="6" t="s">
        <v>187</v>
      </c>
    </row>
    <row r="2802" spans="1:24" x14ac:dyDescent="0.3">
      <c r="A2802" s="6" t="s">
        <v>533</v>
      </c>
      <c r="B2802" s="6" t="s">
        <v>534</v>
      </c>
      <c r="C2802" s="6" t="s">
        <v>31</v>
      </c>
      <c r="D2802" s="1088" t="s">
        <v>549</v>
      </c>
      <c r="E2802" s="6" t="s">
        <v>169</v>
      </c>
      <c r="F2802" s="6" t="s">
        <v>673</v>
      </c>
      <c r="G2802" s="6" t="s">
        <v>2859</v>
      </c>
      <c r="H2802" s="6" t="s">
        <v>3082</v>
      </c>
      <c r="J2802" s="1215" t="s">
        <v>511</v>
      </c>
      <c r="K2802" s="1219" t="s">
        <v>3111</v>
      </c>
      <c r="L2802" s="8">
        <v>23</v>
      </c>
      <c r="M2802" s="8">
        <v>100</v>
      </c>
      <c r="N2802" s="1169" t="s">
        <v>274</v>
      </c>
      <c r="P2802" s="6" t="s">
        <v>3323</v>
      </c>
      <c r="Q2802" s="1215" t="s">
        <v>253</v>
      </c>
      <c r="R2802" s="1215" t="s">
        <v>255</v>
      </c>
      <c r="S2802" s="1215" t="s">
        <v>534</v>
      </c>
      <c r="T2802" s="1215" t="s">
        <v>533</v>
      </c>
      <c r="U2802" s="6" t="s">
        <v>549</v>
      </c>
      <c r="V2802" s="6" t="s">
        <v>31</v>
      </c>
      <c r="W2802" s="6" t="s">
        <v>706</v>
      </c>
      <c r="X2802" s="6" t="s">
        <v>172</v>
      </c>
    </row>
    <row r="2803" spans="1:24" x14ac:dyDescent="0.3">
      <c r="A2803" s="6" t="s">
        <v>533</v>
      </c>
      <c r="B2803" s="6" t="s">
        <v>534</v>
      </c>
      <c r="C2803" s="6" t="s">
        <v>31</v>
      </c>
      <c r="D2803" s="1088" t="s">
        <v>549</v>
      </c>
      <c r="E2803" s="6" t="s">
        <v>169</v>
      </c>
      <c r="F2803" s="6" t="s">
        <v>673</v>
      </c>
      <c r="G2803" s="6" t="s">
        <v>3209</v>
      </c>
      <c r="H2803" s="6" t="s">
        <v>3085</v>
      </c>
      <c r="J2803" s="1215" t="s">
        <v>511</v>
      </c>
      <c r="K2803" s="1219" t="s">
        <v>3111</v>
      </c>
      <c r="L2803" s="8">
        <v>47</v>
      </c>
      <c r="M2803" s="8">
        <v>211</v>
      </c>
      <c r="N2803" s="1169" t="s">
        <v>274</v>
      </c>
      <c r="P2803" s="6" t="s">
        <v>3323</v>
      </c>
      <c r="Q2803" s="1215" t="s">
        <v>253</v>
      </c>
      <c r="R2803" s="1215" t="s">
        <v>255</v>
      </c>
      <c r="S2803" s="1215" t="s">
        <v>534</v>
      </c>
      <c r="T2803" s="1215" t="s">
        <v>533</v>
      </c>
      <c r="U2803" s="6" t="s">
        <v>549</v>
      </c>
      <c r="V2803" s="6" t="s">
        <v>31</v>
      </c>
      <c r="W2803" s="6" t="s">
        <v>706</v>
      </c>
      <c r="X2803" s="6" t="s">
        <v>172</v>
      </c>
    </row>
    <row r="2804" spans="1:24" x14ac:dyDescent="0.3">
      <c r="A2804" s="6" t="s">
        <v>533</v>
      </c>
      <c r="B2804" s="6" t="s">
        <v>534</v>
      </c>
      <c r="C2804" s="6" t="s">
        <v>31</v>
      </c>
      <c r="D2804" s="1088" t="s">
        <v>549</v>
      </c>
      <c r="E2804" s="6" t="s">
        <v>169</v>
      </c>
      <c r="F2804" s="6" t="s">
        <v>673</v>
      </c>
      <c r="G2804" s="6" t="s">
        <v>3210</v>
      </c>
      <c r="H2804" s="6" t="s">
        <v>3086</v>
      </c>
      <c r="J2804" s="1215" t="s">
        <v>511</v>
      </c>
      <c r="K2804" s="1219" t="s">
        <v>3111</v>
      </c>
      <c r="L2804" s="8">
        <v>46</v>
      </c>
      <c r="M2804" s="8">
        <v>206</v>
      </c>
      <c r="N2804" s="1169" t="s">
        <v>274</v>
      </c>
      <c r="P2804" s="6" t="s">
        <v>3323</v>
      </c>
      <c r="Q2804" s="1215" t="s">
        <v>253</v>
      </c>
      <c r="R2804" s="1215" t="s">
        <v>255</v>
      </c>
      <c r="S2804" s="1215" t="s">
        <v>534</v>
      </c>
      <c r="T2804" s="1215" t="s">
        <v>533</v>
      </c>
      <c r="U2804" s="6" t="s">
        <v>549</v>
      </c>
      <c r="V2804" s="6" t="s">
        <v>31</v>
      </c>
      <c r="W2804" s="6" t="s">
        <v>706</v>
      </c>
      <c r="X2804" s="6" t="s">
        <v>172</v>
      </c>
    </row>
    <row r="2805" spans="1:24" x14ac:dyDescent="0.3">
      <c r="A2805" s="6" t="s">
        <v>533</v>
      </c>
      <c r="B2805" s="6" t="s">
        <v>534</v>
      </c>
      <c r="C2805" s="6" t="s">
        <v>32</v>
      </c>
      <c r="D2805" s="1088" t="s">
        <v>542</v>
      </c>
      <c r="E2805" s="6" t="s">
        <v>178</v>
      </c>
      <c r="F2805" s="6" t="s">
        <v>543</v>
      </c>
      <c r="G2805" s="6" t="s">
        <v>2294</v>
      </c>
      <c r="H2805" s="6" t="s">
        <v>2295</v>
      </c>
      <c r="J2805" s="1215" t="s">
        <v>511</v>
      </c>
      <c r="K2805" s="1219" t="s">
        <v>3109</v>
      </c>
      <c r="L2805" s="8">
        <v>17</v>
      </c>
      <c r="M2805" s="8">
        <v>180</v>
      </c>
      <c r="N2805" s="1169" t="s">
        <v>275</v>
      </c>
      <c r="O2805" s="6" t="s">
        <v>3364</v>
      </c>
      <c r="P2805" s="6" t="s">
        <v>3324</v>
      </c>
      <c r="Q2805" s="1215" t="s">
        <v>253</v>
      </c>
      <c r="R2805" s="1215" t="s">
        <v>255</v>
      </c>
      <c r="S2805" s="1215" t="s">
        <v>534</v>
      </c>
      <c r="T2805" s="1215" t="s">
        <v>533</v>
      </c>
      <c r="U2805" s="6" t="s">
        <v>542</v>
      </c>
      <c r="V2805" s="6" t="s">
        <v>32</v>
      </c>
      <c r="W2805" s="6" t="s">
        <v>543</v>
      </c>
      <c r="X2805" s="6" t="s">
        <v>178</v>
      </c>
    </row>
    <row r="2806" spans="1:24" x14ac:dyDescent="0.3">
      <c r="A2806" s="6" t="s">
        <v>533</v>
      </c>
      <c r="B2806" s="6" t="s">
        <v>534</v>
      </c>
      <c r="C2806" s="6" t="s">
        <v>32</v>
      </c>
      <c r="D2806" s="1088" t="s">
        <v>542</v>
      </c>
      <c r="E2806" s="6" t="s">
        <v>178</v>
      </c>
      <c r="F2806" s="6" t="s">
        <v>543</v>
      </c>
      <c r="G2806" s="6" t="s">
        <v>2294</v>
      </c>
      <c r="H2806" s="6" t="s">
        <v>2295</v>
      </c>
      <c r="J2806" s="1215" t="s">
        <v>511</v>
      </c>
      <c r="K2806" s="1219" t="s">
        <v>3110</v>
      </c>
      <c r="L2806" s="8">
        <v>0</v>
      </c>
      <c r="M2806" s="8">
        <v>10</v>
      </c>
      <c r="N2806" s="6" t="s">
        <v>272</v>
      </c>
      <c r="P2806" s="6" t="s">
        <v>3324</v>
      </c>
      <c r="Q2806" s="1215" t="s">
        <v>253</v>
      </c>
      <c r="R2806" s="1215" t="s">
        <v>255</v>
      </c>
      <c r="S2806" s="1215" t="s">
        <v>534</v>
      </c>
      <c r="T2806" s="1215" t="s">
        <v>533</v>
      </c>
      <c r="U2806" s="6" t="s">
        <v>542</v>
      </c>
      <c r="V2806" s="6" t="s">
        <v>32</v>
      </c>
      <c r="W2806" s="6" t="s">
        <v>543</v>
      </c>
      <c r="X2806" s="6" t="s">
        <v>178</v>
      </c>
    </row>
    <row r="2807" spans="1:24" x14ac:dyDescent="0.3">
      <c r="A2807" s="6" t="s">
        <v>533</v>
      </c>
      <c r="B2807" s="6" t="s">
        <v>534</v>
      </c>
      <c r="C2807" s="6" t="s">
        <v>32</v>
      </c>
      <c r="D2807" s="1088" t="s">
        <v>542</v>
      </c>
      <c r="E2807" s="1088" t="s">
        <v>178</v>
      </c>
      <c r="F2807" s="6" t="s">
        <v>543</v>
      </c>
      <c r="G2807" s="6" t="s">
        <v>2294</v>
      </c>
      <c r="H2807" s="6" t="s">
        <v>2295</v>
      </c>
      <c r="J2807" s="1215" t="s">
        <v>511</v>
      </c>
      <c r="K2807" s="1219" t="s">
        <v>3111</v>
      </c>
      <c r="L2807" s="8">
        <v>0</v>
      </c>
      <c r="M2807" s="8">
        <v>9</v>
      </c>
      <c r="N2807" s="1169" t="s">
        <v>272</v>
      </c>
      <c r="P2807" s="6" t="s">
        <v>3324</v>
      </c>
      <c r="Q2807" s="1215" t="s">
        <v>253</v>
      </c>
      <c r="R2807" s="1215" t="s">
        <v>255</v>
      </c>
      <c r="S2807" s="1215" t="s">
        <v>534</v>
      </c>
      <c r="T2807" s="1215" t="s">
        <v>533</v>
      </c>
      <c r="U2807" s="6" t="s">
        <v>542</v>
      </c>
      <c r="V2807" s="6" t="s">
        <v>32</v>
      </c>
      <c r="W2807" s="6" t="s">
        <v>543</v>
      </c>
      <c r="X2807" s="6" t="s">
        <v>178</v>
      </c>
    </row>
    <row r="2808" spans="1:24" x14ac:dyDescent="0.3">
      <c r="A2808" s="6" t="s">
        <v>533</v>
      </c>
      <c r="B2808" s="6" t="s">
        <v>534</v>
      </c>
      <c r="C2808" s="6" t="s">
        <v>32</v>
      </c>
      <c r="D2808" s="1088" t="s">
        <v>542</v>
      </c>
      <c r="E2808" s="1088" t="s">
        <v>178</v>
      </c>
      <c r="F2808" s="6" t="s">
        <v>543</v>
      </c>
      <c r="G2808" s="6" t="s">
        <v>2294</v>
      </c>
      <c r="H2808" s="6" t="s">
        <v>2295</v>
      </c>
      <c r="J2808" s="1215" t="s">
        <v>511</v>
      </c>
      <c r="K2808" s="1219" t="s">
        <v>3112</v>
      </c>
      <c r="L2808" s="8">
        <v>2</v>
      </c>
      <c r="M2808" s="8">
        <v>11</v>
      </c>
      <c r="N2808" s="1169" t="s">
        <v>272</v>
      </c>
      <c r="P2808" s="6" t="s">
        <v>3324</v>
      </c>
      <c r="Q2808" s="1215" t="s">
        <v>253</v>
      </c>
      <c r="R2808" s="1215" t="s">
        <v>255</v>
      </c>
      <c r="S2808" s="1215" t="s">
        <v>534</v>
      </c>
      <c r="T2808" s="1215" t="s">
        <v>533</v>
      </c>
      <c r="U2808" s="6" t="s">
        <v>542</v>
      </c>
      <c r="V2808" s="6" t="s">
        <v>32</v>
      </c>
      <c r="W2808" s="6" t="s">
        <v>543</v>
      </c>
      <c r="X2808" s="6" t="s">
        <v>178</v>
      </c>
    </row>
    <row r="2809" spans="1:24" x14ac:dyDescent="0.3">
      <c r="A2809" s="6" t="s">
        <v>533</v>
      </c>
      <c r="B2809" s="6" t="s">
        <v>534</v>
      </c>
      <c r="C2809" s="6" t="s">
        <v>32</v>
      </c>
      <c r="D2809" s="1088" t="s">
        <v>542</v>
      </c>
      <c r="E2809" s="1088" t="s">
        <v>178</v>
      </c>
      <c r="F2809" s="6" t="s">
        <v>543</v>
      </c>
      <c r="G2809" s="6" t="s">
        <v>3224</v>
      </c>
      <c r="H2809" s="6" t="s">
        <v>2779</v>
      </c>
      <c r="J2809" s="1215" t="s">
        <v>511</v>
      </c>
      <c r="K2809" s="1219" t="s">
        <v>3111</v>
      </c>
      <c r="L2809" s="8">
        <v>13</v>
      </c>
      <c r="M2809" s="8">
        <v>80</v>
      </c>
      <c r="N2809" s="1169" t="s">
        <v>274</v>
      </c>
      <c r="P2809" s="6" t="s">
        <v>3322</v>
      </c>
      <c r="Q2809" s="1215" t="s">
        <v>253</v>
      </c>
      <c r="R2809" s="1215" t="s">
        <v>255</v>
      </c>
      <c r="S2809" s="1215" t="s">
        <v>534</v>
      </c>
      <c r="T2809" s="1215" t="s">
        <v>533</v>
      </c>
      <c r="U2809" s="6" t="s">
        <v>535</v>
      </c>
      <c r="V2809" s="1215" t="s">
        <v>30</v>
      </c>
    </row>
    <row r="2810" spans="1:24" x14ac:dyDescent="0.3">
      <c r="A2810" s="6" t="s">
        <v>533</v>
      </c>
      <c r="B2810" s="6" t="s">
        <v>534</v>
      </c>
      <c r="C2810" s="6" t="s">
        <v>32</v>
      </c>
      <c r="D2810" s="1088" t="s">
        <v>542</v>
      </c>
      <c r="E2810" s="1088" t="s">
        <v>178</v>
      </c>
      <c r="F2810" s="6" t="s">
        <v>543</v>
      </c>
      <c r="G2810" s="6" t="s">
        <v>3224</v>
      </c>
      <c r="H2810" s="6" t="s">
        <v>2779</v>
      </c>
      <c r="J2810" s="1215" t="s">
        <v>511</v>
      </c>
      <c r="K2810" s="1219" t="s">
        <v>3112</v>
      </c>
      <c r="L2810" s="8">
        <v>0</v>
      </c>
      <c r="M2810" s="8">
        <v>3</v>
      </c>
      <c r="N2810" s="1169" t="s">
        <v>274</v>
      </c>
      <c r="P2810" s="6" t="s">
        <v>3322</v>
      </c>
      <c r="Q2810" s="1215" t="s">
        <v>253</v>
      </c>
      <c r="R2810" s="1215" t="s">
        <v>255</v>
      </c>
      <c r="S2810" s="1215" t="s">
        <v>534</v>
      </c>
      <c r="T2810" s="1215" t="s">
        <v>533</v>
      </c>
      <c r="U2810" s="6" t="s">
        <v>535</v>
      </c>
      <c r="V2810" s="6" t="s">
        <v>30</v>
      </c>
    </row>
    <row r="2811" spans="1:24" x14ac:dyDescent="0.3">
      <c r="A2811" s="6" t="s">
        <v>533</v>
      </c>
      <c r="B2811" s="6" t="s">
        <v>534</v>
      </c>
      <c r="C2811" s="6" t="s">
        <v>32</v>
      </c>
      <c r="D2811" s="1088" t="s">
        <v>542</v>
      </c>
      <c r="E2811" s="1088" t="s">
        <v>178</v>
      </c>
      <c r="F2811" s="6" t="s">
        <v>543</v>
      </c>
      <c r="G2811" s="6" t="s">
        <v>3197</v>
      </c>
      <c r="H2811" s="6" t="s">
        <v>2784</v>
      </c>
      <c r="J2811" s="1215" t="s">
        <v>511</v>
      </c>
      <c r="K2811" s="1219" t="s">
        <v>3111</v>
      </c>
      <c r="L2811" s="8">
        <v>38</v>
      </c>
      <c r="M2811" s="8">
        <v>200</v>
      </c>
      <c r="N2811" s="1169" t="s">
        <v>274</v>
      </c>
      <c r="P2811" s="6" t="s">
        <v>3324</v>
      </c>
      <c r="Q2811" s="1215" t="s">
        <v>253</v>
      </c>
      <c r="R2811" s="1215" t="s">
        <v>255</v>
      </c>
      <c r="S2811" s="1215" t="s">
        <v>534</v>
      </c>
      <c r="T2811" s="1215" t="s">
        <v>533</v>
      </c>
      <c r="U2811" s="6" t="s">
        <v>542</v>
      </c>
      <c r="V2811" s="6" t="s">
        <v>32</v>
      </c>
      <c r="W2811" s="6" t="s">
        <v>543</v>
      </c>
      <c r="X2811" s="6" t="s">
        <v>178</v>
      </c>
    </row>
    <row r="2812" spans="1:24" x14ac:dyDescent="0.3">
      <c r="A2812" s="6" t="s">
        <v>533</v>
      </c>
      <c r="B2812" s="6" t="s">
        <v>534</v>
      </c>
      <c r="C2812" s="6" t="s">
        <v>32</v>
      </c>
      <c r="D2812" s="1088" t="s">
        <v>542</v>
      </c>
      <c r="E2812" s="6" t="s">
        <v>178</v>
      </c>
      <c r="F2812" s="6" t="s">
        <v>543</v>
      </c>
      <c r="G2812" s="6" t="s">
        <v>3197</v>
      </c>
      <c r="H2812" s="6" t="s">
        <v>2784</v>
      </c>
      <c r="J2812" s="1215" t="s">
        <v>511</v>
      </c>
      <c r="K2812" s="1219" t="s">
        <v>3112</v>
      </c>
      <c r="L2812" s="8">
        <v>7</v>
      </c>
      <c r="M2812" s="8">
        <v>40</v>
      </c>
      <c r="N2812" s="1169" t="s">
        <v>274</v>
      </c>
      <c r="P2812" s="6" t="s">
        <v>3324</v>
      </c>
      <c r="Q2812" s="1215" t="s">
        <v>253</v>
      </c>
      <c r="R2812" s="1215" t="s">
        <v>255</v>
      </c>
      <c r="S2812" s="1215" t="s">
        <v>534</v>
      </c>
      <c r="T2812" s="1215" t="s">
        <v>533</v>
      </c>
      <c r="U2812" s="6" t="s">
        <v>542</v>
      </c>
      <c r="V2812" s="6" t="s">
        <v>32</v>
      </c>
      <c r="W2812" s="6" t="s">
        <v>543</v>
      </c>
      <c r="X2812" s="6" t="s">
        <v>178</v>
      </c>
    </row>
    <row r="2813" spans="1:24" x14ac:dyDescent="0.3">
      <c r="A2813" s="6" t="s">
        <v>533</v>
      </c>
      <c r="B2813" s="6" t="s">
        <v>534</v>
      </c>
      <c r="C2813" s="6" t="s">
        <v>31</v>
      </c>
      <c r="D2813" s="1088" t="s">
        <v>549</v>
      </c>
      <c r="E2813" s="6" t="s">
        <v>171</v>
      </c>
      <c r="F2813" s="6" t="s">
        <v>634</v>
      </c>
      <c r="G2813" s="6" t="s">
        <v>934</v>
      </c>
      <c r="H2813" s="6" t="s">
        <v>2064</v>
      </c>
      <c r="J2813" s="1215" t="s">
        <v>511</v>
      </c>
      <c r="K2813" s="1219" t="s">
        <v>3109</v>
      </c>
      <c r="L2813" s="8">
        <v>15</v>
      </c>
      <c r="M2813" s="8">
        <v>85</v>
      </c>
      <c r="N2813" s="6" t="s">
        <v>271</v>
      </c>
      <c r="P2813" s="6" t="s">
        <v>3324</v>
      </c>
      <c r="Q2813" s="1215" t="s">
        <v>253</v>
      </c>
      <c r="R2813" s="1215" t="s">
        <v>255</v>
      </c>
      <c r="S2813" s="1215" t="s">
        <v>534</v>
      </c>
      <c r="T2813" s="1215" t="s">
        <v>533</v>
      </c>
      <c r="U2813" s="6" t="s">
        <v>549</v>
      </c>
      <c r="V2813" s="6" t="s">
        <v>31</v>
      </c>
      <c r="W2813" s="6" t="s">
        <v>634</v>
      </c>
      <c r="X2813" s="6" t="s">
        <v>171</v>
      </c>
    </row>
    <row r="2814" spans="1:24" x14ac:dyDescent="0.3">
      <c r="A2814" s="6" t="s">
        <v>533</v>
      </c>
      <c r="B2814" s="6" t="s">
        <v>534</v>
      </c>
      <c r="C2814" s="6" t="s">
        <v>31</v>
      </c>
      <c r="D2814" s="1088" t="s">
        <v>549</v>
      </c>
      <c r="E2814" s="6" t="s">
        <v>171</v>
      </c>
      <c r="F2814" s="6" t="s">
        <v>634</v>
      </c>
      <c r="G2814" s="6" t="s">
        <v>934</v>
      </c>
      <c r="H2814" s="6" t="s">
        <v>2064</v>
      </c>
      <c r="J2814" s="1215" t="s">
        <v>511</v>
      </c>
      <c r="K2814" s="1219" t="s">
        <v>3112</v>
      </c>
      <c r="L2814" s="8">
        <v>5</v>
      </c>
      <c r="M2814" s="8">
        <v>17</v>
      </c>
      <c r="N2814" s="6" t="s">
        <v>272</v>
      </c>
      <c r="P2814" s="6" t="s">
        <v>3324</v>
      </c>
      <c r="Q2814" s="1215" t="s">
        <v>253</v>
      </c>
      <c r="R2814" s="1215" t="s">
        <v>255</v>
      </c>
      <c r="S2814" s="1215" t="s">
        <v>534</v>
      </c>
      <c r="T2814" s="1215" t="s">
        <v>533</v>
      </c>
      <c r="U2814" s="6" t="s">
        <v>549</v>
      </c>
      <c r="V2814" s="6" t="s">
        <v>31</v>
      </c>
      <c r="W2814" s="6" t="s">
        <v>634</v>
      </c>
      <c r="X2814" s="6" t="s">
        <v>171</v>
      </c>
    </row>
    <row r="2815" spans="1:24" x14ac:dyDescent="0.3">
      <c r="A2815" s="6" t="s">
        <v>533</v>
      </c>
      <c r="B2815" s="6" t="s">
        <v>534</v>
      </c>
      <c r="C2815" s="6" t="s">
        <v>32</v>
      </c>
      <c r="D2815" s="1088" t="s">
        <v>542</v>
      </c>
      <c r="E2815" s="1088" t="s">
        <v>178</v>
      </c>
      <c r="F2815" s="6" t="s">
        <v>543</v>
      </c>
      <c r="G2815" s="6" t="s">
        <v>3230</v>
      </c>
      <c r="H2815" s="6" t="s">
        <v>2790</v>
      </c>
      <c r="J2815" s="1215" t="s">
        <v>511</v>
      </c>
      <c r="K2815" s="1219" t="s">
        <v>3111</v>
      </c>
      <c r="L2815" s="8">
        <v>5</v>
      </c>
      <c r="M2815" s="8">
        <v>40</v>
      </c>
      <c r="N2815" s="6" t="s">
        <v>274</v>
      </c>
      <c r="P2815" s="6" t="s">
        <v>3322</v>
      </c>
      <c r="Q2815" s="1215" t="s">
        <v>253</v>
      </c>
      <c r="R2815" s="1215" t="s">
        <v>255</v>
      </c>
      <c r="S2815" s="1215" t="s">
        <v>534</v>
      </c>
      <c r="T2815" s="1215" t="s">
        <v>533</v>
      </c>
      <c r="U2815" s="6" t="s">
        <v>535</v>
      </c>
      <c r="V2815" s="6" t="s">
        <v>30</v>
      </c>
    </row>
    <row r="2816" spans="1:24" x14ac:dyDescent="0.3">
      <c r="A2816" s="6" t="s">
        <v>533</v>
      </c>
      <c r="B2816" s="6" t="s">
        <v>534</v>
      </c>
      <c r="C2816" s="6" t="s">
        <v>32</v>
      </c>
      <c r="D2816" s="1088" t="s">
        <v>542</v>
      </c>
      <c r="E2816" s="6" t="s">
        <v>178</v>
      </c>
      <c r="F2816" s="6" t="s">
        <v>543</v>
      </c>
      <c r="G2816" s="6" t="s">
        <v>3230</v>
      </c>
      <c r="H2816" s="6" t="s">
        <v>2790</v>
      </c>
      <c r="J2816" s="1215" t="s">
        <v>511</v>
      </c>
      <c r="K2816" s="1219" t="s">
        <v>3112</v>
      </c>
      <c r="L2816" s="8">
        <v>27</v>
      </c>
      <c r="M2816" s="8">
        <v>175</v>
      </c>
      <c r="N2816" s="6" t="s">
        <v>274</v>
      </c>
      <c r="P2816" s="6" t="s">
        <v>3322</v>
      </c>
      <c r="Q2816" s="1215" t="s">
        <v>253</v>
      </c>
      <c r="R2816" s="1215" t="s">
        <v>255</v>
      </c>
      <c r="S2816" s="1215" t="s">
        <v>534</v>
      </c>
      <c r="T2816" s="1215" t="s">
        <v>533</v>
      </c>
      <c r="U2816" s="6" t="s">
        <v>535</v>
      </c>
      <c r="V2816" s="6" t="s">
        <v>30</v>
      </c>
    </row>
    <row r="2817" spans="1:24" x14ac:dyDescent="0.3">
      <c r="A2817" s="6" t="s">
        <v>533</v>
      </c>
      <c r="B2817" s="6" t="s">
        <v>534</v>
      </c>
      <c r="C2817" s="6" t="s">
        <v>31</v>
      </c>
      <c r="D2817" s="1088" t="s">
        <v>549</v>
      </c>
      <c r="E2817" s="6" t="s">
        <v>2797</v>
      </c>
      <c r="F2817" s="6" t="s">
        <v>767</v>
      </c>
      <c r="G2817" s="6" t="s">
        <v>2538</v>
      </c>
      <c r="H2817" s="6" t="s">
        <v>1485</v>
      </c>
      <c r="J2817" s="1215" t="s">
        <v>511</v>
      </c>
      <c r="K2817" s="1219" t="s">
        <v>3033</v>
      </c>
      <c r="L2817" s="8">
        <v>90</v>
      </c>
      <c r="M2817" s="8">
        <v>472</v>
      </c>
      <c r="N2817" s="6" t="s">
        <v>271</v>
      </c>
      <c r="P2817" s="6" t="s">
        <v>3324</v>
      </c>
      <c r="Q2817" s="1215" t="s">
        <v>253</v>
      </c>
      <c r="R2817" s="1215" t="s">
        <v>255</v>
      </c>
      <c r="S2817" s="1215" t="s">
        <v>534</v>
      </c>
      <c r="T2817" s="1215" t="s">
        <v>533</v>
      </c>
      <c r="U2817" s="6" t="s">
        <v>549</v>
      </c>
      <c r="V2817" s="6" t="s">
        <v>31</v>
      </c>
      <c r="W2817" s="6" t="s">
        <v>767</v>
      </c>
      <c r="X2817" s="6" t="s">
        <v>2797</v>
      </c>
    </row>
    <row r="2818" spans="1:24" x14ac:dyDescent="0.3">
      <c r="A2818" s="6" t="s">
        <v>533</v>
      </c>
      <c r="B2818" s="6" t="s">
        <v>534</v>
      </c>
      <c r="C2818" s="6" t="s">
        <v>35</v>
      </c>
      <c r="D2818" s="1088" t="s">
        <v>567</v>
      </c>
      <c r="E2818" s="6" t="s">
        <v>193</v>
      </c>
      <c r="F2818" s="6" t="s">
        <v>863</v>
      </c>
      <c r="G2818" s="6" t="s">
        <v>2965</v>
      </c>
      <c r="H2818" s="6" t="s">
        <v>3295</v>
      </c>
      <c r="J2818" s="1215" t="s">
        <v>511</v>
      </c>
      <c r="K2818" s="1219" t="s">
        <v>3112</v>
      </c>
      <c r="L2818" s="8">
        <v>6</v>
      </c>
      <c r="M2818" s="8">
        <v>27</v>
      </c>
      <c r="N2818" s="6" t="s">
        <v>271</v>
      </c>
      <c r="P2818" s="6" t="s">
        <v>3323</v>
      </c>
      <c r="Q2818" s="1215" t="s">
        <v>253</v>
      </c>
      <c r="R2818" s="1215" t="s">
        <v>255</v>
      </c>
      <c r="S2818" s="1215" t="s">
        <v>534</v>
      </c>
      <c r="T2818" s="1215" t="s">
        <v>533</v>
      </c>
      <c r="U2818" s="6" t="s">
        <v>567</v>
      </c>
      <c r="V2818" s="6" t="s">
        <v>35</v>
      </c>
      <c r="W2818" s="6" t="s">
        <v>853</v>
      </c>
      <c r="X2818" s="1215" t="s">
        <v>192</v>
      </c>
    </row>
    <row r="2819" spans="1:24" x14ac:dyDescent="0.3">
      <c r="A2819" s="6" t="s">
        <v>533</v>
      </c>
      <c r="B2819" s="6" t="s">
        <v>534</v>
      </c>
      <c r="C2819" s="6" t="s">
        <v>35</v>
      </c>
      <c r="D2819" s="1088" t="s">
        <v>567</v>
      </c>
      <c r="E2819" s="6" t="s">
        <v>193</v>
      </c>
      <c r="F2819" s="6" t="s">
        <v>863</v>
      </c>
      <c r="G2819" s="6" t="s">
        <v>1630</v>
      </c>
      <c r="H2819" s="6" t="s">
        <v>1631</v>
      </c>
      <c r="J2819" s="1215" t="s">
        <v>511</v>
      </c>
      <c r="K2819" s="1219" t="s">
        <v>3033</v>
      </c>
      <c r="L2819" s="8">
        <v>13</v>
      </c>
      <c r="M2819" s="8">
        <v>68</v>
      </c>
      <c r="N2819" s="6" t="s">
        <v>271</v>
      </c>
      <c r="P2819" s="6" t="s">
        <v>743</v>
      </c>
      <c r="Q2819" s="1215" t="s">
        <v>253</v>
      </c>
      <c r="R2819" s="1215" t="s">
        <v>255</v>
      </c>
      <c r="S2819" s="1088" t="s">
        <v>3405</v>
      </c>
      <c r="T2819" s="1088" t="s">
        <v>3326</v>
      </c>
    </row>
    <row r="2820" spans="1:24" x14ac:dyDescent="0.3">
      <c r="A2820" s="6" t="s">
        <v>533</v>
      </c>
      <c r="B2820" s="6" t="s">
        <v>534</v>
      </c>
      <c r="C2820" s="6" t="s">
        <v>35</v>
      </c>
      <c r="D2820" s="1088" t="s">
        <v>567</v>
      </c>
      <c r="E2820" s="1088" t="s">
        <v>193</v>
      </c>
      <c r="F2820" s="6" t="s">
        <v>863</v>
      </c>
      <c r="G2820" s="6" t="s">
        <v>3030</v>
      </c>
      <c r="H2820" s="6" t="s">
        <v>3092</v>
      </c>
      <c r="J2820" s="1215" t="s">
        <v>511</v>
      </c>
      <c r="K2820" s="1219" t="s">
        <v>3033</v>
      </c>
      <c r="L2820" s="8">
        <v>32</v>
      </c>
      <c r="M2820" s="8">
        <v>161</v>
      </c>
      <c r="N2820" s="6" t="s">
        <v>271</v>
      </c>
      <c r="P2820" s="6" t="s">
        <v>3324</v>
      </c>
      <c r="Q2820" s="1215" t="s">
        <v>253</v>
      </c>
      <c r="R2820" s="1215" t="s">
        <v>255</v>
      </c>
      <c r="S2820" s="1215" t="s">
        <v>534</v>
      </c>
      <c r="T2820" s="1215" t="s">
        <v>533</v>
      </c>
      <c r="U2820" s="6" t="s">
        <v>567</v>
      </c>
      <c r="V2820" s="6" t="s">
        <v>35</v>
      </c>
      <c r="W2820" s="6" t="s">
        <v>863</v>
      </c>
      <c r="X2820" s="6" t="s">
        <v>193</v>
      </c>
    </row>
    <row r="2821" spans="1:24" x14ac:dyDescent="0.3">
      <c r="A2821" s="6" t="s">
        <v>533</v>
      </c>
      <c r="B2821" s="6" t="s">
        <v>534</v>
      </c>
      <c r="C2821" s="6" t="s">
        <v>35</v>
      </c>
      <c r="D2821" s="1088" t="s">
        <v>567</v>
      </c>
      <c r="E2821" s="1088" t="s">
        <v>193</v>
      </c>
      <c r="F2821" s="6" t="s">
        <v>863</v>
      </c>
      <c r="G2821" s="6" t="s">
        <v>3030</v>
      </c>
      <c r="H2821" s="6" t="s">
        <v>3092</v>
      </c>
      <c r="J2821" s="1215" t="s">
        <v>511</v>
      </c>
      <c r="K2821" s="1219" t="s">
        <v>3110</v>
      </c>
      <c r="L2821" s="8">
        <v>0</v>
      </c>
      <c r="M2821" s="8">
        <v>1</v>
      </c>
      <c r="N2821" s="6" t="s">
        <v>271</v>
      </c>
      <c r="P2821" s="6" t="s">
        <v>3324</v>
      </c>
      <c r="Q2821" s="1215" t="s">
        <v>253</v>
      </c>
      <c r="R2821" s="1215" t="s">
        <v>255</v>
      </c>
      <c r="S2821" s="1215" t="s">
        <v>534</v>
      </c>
      <c r="T2821" s="1215" t="s">
        <v>533</v>
      </c>
      <c r="U2821" s="6" t="s">
        <v>567</v>
      </c>
      <c r="V2821" s="6" t="s">
        <v>35</v>
      </c>
      <c r="W2821" s="6" t="s">
        <v>863</v>
      </c>
      <c r="X2821" s="6" t="s">
        <v>193</v>
      </c>
    </row>
    <row r="2822" spans="1:24" x14ac:dyDescent="0.3">
      <c r="A2822" s="6" t="s">
        <v>533</v>
      </c>
      <c r="B2822" s="6" t="s">
        <v>534</v>
      </c>
      <c r="C2822" s="6" t="s">
        <v>31</v>
      </c>
      <c r="D2822" s="1088" t="s">
        <v>549</v>
      </c>
      <c r="E2822" s="6" t="s">
        <v>170</v>
      </c>
      <c r="F2822" s="6" t="s">
        <v>866</v>
      </c>
      <c r="G2822" s="6" t="s">
        <v>957</v>
      </c>
      <c r="H2822" s="6" t="s">
        <v>2006</v>
      </c>
      <c r="J2822" s="1215" t="s">
        <v>511</v>
      </c>
      <c r="K2822" s="1219" t="s">
        <v>3112</v>
      </c>
      <c r="L2822" s="8">
        <v>4</v>
      </c>
      <c r="M2822" s="8">
        <v>30</v>
      </c>
      <c r="N2822" s="6" t="s">
        <v>272</v>
      </c>
      <c r="P2822" s="6" t="s">
        <v>3324</v>
      </c>
      <c r="Q2822" s="1215" t="s">
        <v>253</v>
      </c>
      <c r="R2822" s="1215" t="s">
        <v>255</v>
      </c>
      <c r="S2822" s="1215" t="s">
        <v>534</v>
      </c>
      <c r="T2822" s="1215" t="s">
        <v>533</v>
      </c>
      <c r="U2822" s="6" t="s">
        <v>549</v>
      </c>
      <c r="V2822" s="6" t="s">
        <v>31</v>
      </c>
      <c r="W2822" s="6" t="s">
        <v>866</v>
      </c>
      <c r="X2822" s="6" t="s">
        <v>170</v>
      </c>
    </row>
    <row r="2823" spans="1:24" x14ac:dyDescent="0.3">
      <c r="A2823" s="6" t="s">
        <v>533</v>
      </c>
      <c r="B2823" s="6" t="s">
        <v>534</v>
      </c>
      <c r="C2823" s="6" t="s">
        <v>31</v>
      </c>
      <c r="D2823" s="1088" t="s">
        <v>549</v>
      </c>
      <c r="E2823" s="1088" t="s">
        <v>170</v>
      </c>
      <c r="F2823" s="6" t="s">
        <v>866</v>
      </c>
      <c r="G2823" s="6" t="s">
        <v>1019</v>
      </c>
      <c r="H2823" s="6" t="s">
        <v>1855</v>
      </c>
      <c r="J2823" s="1215" t="s">
        <v>511</v>
      </c>
      <c r="K2823" s="1219" t="s">
        <v>3112</v>
      </c>
      <c r="L2823" s="8">
        <v>30</v>
      </c>
      <c r="M2823" s="8">
        <v>150</v>
      </c>
      <c r="N2823" s="1169" t="s">
        <v>272</v>
      </c>
      <c r="P2823" s="6" t="s">
        <v>3324</v>
      </c>
      <c r="Q2823" s="1215" t="s">
        <v>253</v>
      </c>
      <c r="R2823" s="1215" t="s">
        <v>255</v>
      </c>
      <c r="S2823" s="1215" t="s">
        <v>534</v>
      </c>
      <c r="T2823" s="1215" t="s">
        <v>533</v>
      </c>
      <c r="U2823" s="6" t="s">
        <v>549</v>
      </c>
      <c r="V2823" s="6" t="s">
        <v>31</v>
      </c>
      <c r="W2823" s="6" t="s">
        <v>866</v>
      </c>
      <c r="X2823" s="6" t="s">
        <v>170</v>
      </c>
    </row>
    <row r="2824" spans="1:24" x14ac:dyDescent="0.3">
      <c r="A2824" s="6" t="s">
        <v>533</v>
      </c>
      <c r="B2824" s="6" t="s">
        <v>534</v>
      </c>
      <c r="C2824" s="6" t="s">
        <v>31</v>
      </c>
      <c r="D2824" s="1088" t="s">
        <v>549</v>
      </c>
      <c r="E2824" s="6" t="s">
        <v>169</v>
      </c>
      <c r="F2824" s="6" t="s">
        <v>673</v>
      </c>
      <c r="G2824" s="6" t="s">
        <v>2904</v>
      </c>
      <c r="H2824" s="6" t="s">
        <v>2333</v>
      </c>
      <c r="J2824" s="1215" t="s">
        <v>511</v>
      </c>
      <c r="K2824" s="1219" t="s">
        <v>3111</v>
      </c>
      <c r="L2824" s="8">
        <v>83</v>
      </c>
      <c r="M2824" s="8">
        <v>215</v>
      </c>
      <c r="N2824" s="6" t="s">
        <v>274</v>
      </c>
      <c r="P2824" s="6" t="s">
        <v>3361</v>
      </c>
      <c r="Q2824" s="1215" t="s">
        <v>241</v>
      </c>
      <c r="R2824" s="1168" t="s">
        <v>243</v>
      </c>
      <c r="S2824" s="1088"/>
      <c r="T2824" s="1088"/>
    </row>
    <row r="2825" spans="1:24" x14ac:dyDescent="0.3">
      <c r="A2825" s="6" t="s">
        <v>533</v>
      </c>
      <c r="B2825" s="6" t="s">
        <v>534</v>
      </c>
      <c r="C2825" s="6" t="s">
        <v>31</v>
      </c>
      <c r="D2825" s="1088" t="s">
        <v>549</v>
      </c>
      <c r="E2825" s="6" t="s">
        <v>169</v>
      </c>
      <c r="F2825" s="6" t="s">
        <v>673</v>
      </c>
      <c r="G2825" s="6" t="s">
        <v>2904</v>
      </c>
      <c r="H2825" s="6" t="s">
        <v>2333</v>
      </c>
      <c r="J2825" s="1215" t="s">
        <v>511</v>
      </c>
      <c r="K2825" s="1219" t="s">
        <v>3112</v>
      </c>
      <c r="L2825" s="8">
        <v>20</v>
      </c>
      <c r="M2825" s="8">
        <v>100</v>
      </c>
      <c r="N2825" s="6" t="s">
        <v>274</v>
      </c>
      <c r="P2825" s="6" t="s">
        <v>3361</v>
      </c>
      <c r="Q2825" s="1215" t="s">
        <v>241</v>
      </c>
      <c r="R2825" s="1168" t="s">
        <v>243</v>
      </c>
      <c r="S2825" s="1088"/>
      <c r="T2825" s="1088"/>
    </row>
    <row r="2826" spans="1:24" x14ac:dyDescent="0.3">
      <c r="A2826" s="6" t="s">
        <v>533</v>
      </c>
      <c r="B2826" s="6" t="s">
        <v>534</v>
      </c>
      <c r="C2826" s="6" t="s">
        <v>31</v>
      </c>
      <c r="D2826" s="1088" t="s">
        <v>549</v>
      </c>
      <c r="E2826" s="6" t="s">
        <v>169</v>
      </c>
      <c r="F2826" s="6" t="s">
        <v>673</v>
      </c>
      <c r="G2826" s="6" t="s">
        <v>2942</v>
      </c>
      <c r="H2826" s="6" t="s">
        <v>830</v>
      </c>
      <c r="J2826" s="1215" t="s">
        <v>511</v>
      </c>
      <c r="K2826" s="1219" t="s">
        <v>3112</v>
      </c>
      <c r="L2826" s="8">
        <v>10</v>
      </c>
      <c r="M2826" s="8">
        <v>54</v>
      </c>
      <c r="N2826" s="1169" t="s">
        <v>274</v>
      </c>
      <c r="P2826" s="6" t="s">
        <v>3361</v>
      </c>
      <c r="Q2826" s="1215" t="s">
        <v>241</v>
      </c>
      <c r="R2826" s="1168" t="s">
        <v>243</v>
      </c>
      <c r="S2826" s="1088"/>
      <c r="T2826" s="1088"/>
    </row>
    <row r="2827" spans="1:24" x14ac:dyDescent="0.3">
      <c r="A2827" s="6" t="s">
        <v>533</v>
      </c>
      <c r="B2827" s="6" t="s">
        <v>534</v>
      </c>
      <c r="C2827" s="6" t="s">
        <v>31</v>
      </c>
      <c r="D2827" s="1088" t="s">
        <v>549</v>
      </c>
      <c r="E2827" s="6" t="s">
        <v>172</v>
      </c>
      <c r="F2827" s="6" t="s">
        <v>706</v>
      </c>
      <c r="G2827" s="6" t="s">
        <v>1866</v>
      </c>
      <c r="H2827" s="6" t="s">
        <v>708</v>
      </c>
      <c r="J2827" s="1215" t="s">
        <v>511</v>
      </c>
      <c r="K2827" s="1219" t="s">
        <v>3033</v>
      </c>
      <c r="L2827" s="8">
        <v>5</v>
      </c>
      <c r="M2827" s="8">
        <v>21</v>
      </c>
      <c r="N2827" s="1169" t="s">
        <v>271</v>
      </c>
      <c r="P2827" s="6" t="s">
        <v>3324</v>
      </c>
      <c r="Q2827" s="1215" t="s">
        <v>253</v>
      </c>
      <c r="R2827" s="1215" t="s">
        <v>255</v>
      </c>
      <c r="S2827" s="1215" t="s">
        <v>534</v>
      </c>
      <c r="T2827" s="1215" t="s">
        <v>533</v>
      </c>
      <c r="U2827" s="6" t="s">
        <v>549</v>
      </c>
      <c r="V2827" s="6" t="s">
        <v>31</v>
      </c>
      <c r="W2827" s="6" t="s">
        <v>706</v>
      </c>
      <c r="X2827" s="6" t="s">
        <v>172</v>
      </c>
    </row>
    <row r="2828" spans="1:24" x14ac:dyDescent="0.3">
      <c r="A2828" s="6" t="s">
        <v>533</v>
      </c>
      <c r="B2828" s="6" t="s">
        <v>534</v>
      </c>
      <c r="C2828" s="6" t="s">
        <v>35</v>
      </c>
      <c r="D2828" s="1088" t="s">
        <v>567</v>
      </c>
      <c r="E2828" s="6" t="s">
        <v>195</v>
      </c>
      <c r="F2828" s="6" t="s">
        <v>733</v>
      </c>
      <c r="G2828" s="6" t="s">
        <v>1806</v>
      </c>
      <c r="H2828" s="6" t="s">
        <v>1807</v>
      </c>
      <c r="J2828" s="1215" t="s">
        <v>511</v>
      </c>
      <c r="K2828" s="1219" t="s">
        <v>3033</v>
      </c>
      <c r="L2828" s="8">
        <v>156</v>
      </c>
      <c r="M2828" s="8">
        <v>1236</v>
      </c>
      <c r="N2828" s="1169" t="s">
        <v>271</v>
      </c>
      <c r="P2828" s="6" t="s">
        <v>3324</v>
      </c>
      <c r="Q2828" s="1215" t="s">
        <v>253</v>
      </c>
      <c r="R2828" s="1215" t="s">
        <v>255</v>
      </c>
      <c r="S2828" s="1215" t="s">
        <v>534</v>
      </c>
      <c r="T2828" s="1215" t="s">
        <v>533</v>
      </c>
      <c r="U2828" s="6" t="s">
        <v>567</v>
      </c>
      <c r="V2828" s="6" t="s">
        <v>35</v>
      </c>
      <c r="W2828" s="6" t="s">
        <v>733</v>
      </c>
      <c r="X2828" s="6" t="s">
        <v>195</v>
      </c>
    </row>
    <row r="2829" spans="1:24" x14ac:dyDescent="0.3">
      <c r="A2829" s="6" t="s">
        <v>533</v>
      </c>
      <c r="B2829" s="6" t="s">
        <v>534</v>
      </c>
      <c r="C2829" s="6" t="s">
        <v>31</v>
      </c>
      <c r="D2829" s="1088" t="s">
        <v>549</v>
      </c>
      <c r="E2829" s="6" t="s">
        <v>167</v>
      </c>
      <c r="F2829" s="6" t="s">
        <v>1113</v>
      </c>
      <c r="G2829" s="6" t="s">
        <v>1833</v>
      </c>
      <c r="H2829" s="6" t="s">
        <v>1938</v>
      </c>
      <c r="J2829" s="1215" t="s">
        <v>511</v>
      </c>
      <c r="K2829" s="1219" t="s">
        <v>3033</v>
      </c>
      <c r="L2829" s="8">
        <v>5</v>
      </c>
      <c r="M2829" s="8">
        <v>17</v>
      </c>
      <c r="N2829" s="1169" t="s">
        <v>272</v>
      </c>
      <c r="P2829" s="6" t="s">
        <v>3324</v>
      </c>
      <c r="Q2829" s="1215" t="s">
        <v>253</v>
      </c>
      <c r="R2829" s="1215" t="s">
        <v>255</v>
      </c>
      <c r="S2829" s="1215" t="s">
        <v>534</v>
      </c>
      <c r="T2829" s="1215" t="s">
        <v>533</v>
      </c>
      <c r="U2829" s="6" t="s">
        <v>549</v>
      </c>
      <c r="V2829" s="6" t="s">
        <v>31</v>
      </c>
      <c r="W2829" s="6" t="s">
        <v>1113</v>
      </c>
      <c r="X2829" s="6" t="s">
        <v>167</v>
      </c>
    </row>
    <row r="2830" spans="1:24" x14ac:dyDescent="0.3">
      <c r="A2830" s="6" t="s">
        <v>533</v>
      </c>
      <c r="B2830" s="6" t="s">
        <v>534</v>
      </c>
      <c r="C2830" s="6" t="s">
        <v>32</v>
      </c>
      <c r="D2830" s="1088" t="s">
        <v>542</v>
      </c>
      <c r="E2830" s="6" t="s">
        <v>176</v>
      </c>
      <c r="F2830" s="6" t="s">
        <v>772</v>
      </c>
      <c r="G2830" s="6" t="s">
        <v>550</v>
      </c>
      <c r="H2830" s="6" t="s">
        <v>3141</v>
      </c>
      <c r="I2830" s="6" t="s">
        <v>3141</v>
      </c>
      <c r="J2830" s="1215" t="s">
        <v>511</v>
      </c>
      <c r="K2830" s="1219" t="s">
        <v>3112</v>
      </c>
      <c r="L2830" s="8">
        <v>937</v>
      </c>
      <c r="M2830" s="8">
        <v>8433</v>
      </c>
      <c r="N2830" s="1169" t="s">
        <v>272</v>
      </c>
      <c r="P2830" s="6" t="s">
        <v>3324</v>
      </c>
      <c r="Q2830" s="1215" t="s">
        <v>253</v>
      </c>
      <c r="R2830" s="1215" t="s">
        <v>255</v>
      </c>
      <c r="S2830" s="1215" t="s">
        <v>534</v>
      </c>
      <c r="T2830" s="1215" t="s">
        <v>533</v>
      </c>
      <c r="U2830" s="6" t="s">
        <v>542</v>
      </c>
      <c r="V2830" s="6" t="s">
        <v>32</v>
      </c>
      <c r="W2830" s="6" t="s">
        <v>772</v>
      </c>
      <c r="X2830" s="6" t="s">
        <v>176</v>
      </c>
    </row>
    <row r="2831" spans="1:24" x14ac:dyDescent="0.3">
      <c r="A2831" s="6" t="s">
        <v>533</v>
      </c>
      <c r="B2831" s="6" t="s">
        <v>534</v>
      </c>
      <c r="C2831" s="6" t="s">
        <v>32</v>
      </c>
      <c r="D2831" s="1088" t="s">
        <v>542</v>
      </c>
      <c r="E2831" s="6" t="s">
        <v>176</v>
      </c>
      <c r="F2831" s="6" t="s">
        <v>772</v>
      </c>
      <c r="G2831" s="6" t="s">
        <v>2336</v>
      </c>
      <c r="H2831" s="6" t="s">
        <v>2337</v>
      </c>
      <c r="J2831" s="1215" t="s">
        <v>511</v>
      </c>
      <c r="K2831" s="1219" t="s">
        <v>3112</v>
      </c>
      <c r="L2831" s="8">
        <v>417</v>
      </c>
      <c r="M2831" s="8">
        <v>2140</v>
      </c>
      <c r="N2831" s="1169" t="s">
        <v>272</v>
      </c>
      <c r="P2831" s="6" t="s">
        <v>3324</v>
      </c>
      <c r="Q2831" s="1215" t="s">
        <v>253</v>
      </c>
      <c r="R2831" s="1215" t="s">
        <v>255</v>
      </c>
      <c r="S2831" s="1215" t="s">
        <v>534</v>
      </c>
      <c r="T2831" s="1215" t="s">
        <v>533</v>
      </c>
      <c r="U2831" s="6" t="s">
        <v>542</v>
      </c>
      <c r="V2831" s="6" t="s">
        <v>32</v>
      </c>
      <c r="W2831" s="6" t="s">
        <v>772</v>
      </c>
      <c r="X2831" s="6" t="s">
        <v>176</v>
      </c>
    </row>
    <row r="2832" spans="1:24" x14ac:dyDescent="0.3">
      <c r="A2832" s="6" t="s">
        <v>533</v>
      </c>
      <c r="B2832" s="6" t="s">
        <v>534</v>
      </c>
      <c r="C2832" s="6" t="s">
        <v>32</v>
      </c>
      <c r="D2832" s="1088" t="s">
        <v>542</v>
      </c>
      <c r="E2832" s="6" t="s">
        <v>177</v>
      </c>
      <c r="F2832" s="6" t="s">
        <v>777</v>
      </c>
      <c r="G2832" s="6" t="s">
        <v>778</v>
      </c>
      <c r="H2832" s="6" t="s">
        <v>779</v>
      </c>
      <c r="J2832" s="1215" t="s">
        <v>511</v>
      </c>
      <c r="K2832" s="1219" t="s">
        <v>3112</v>
      </c>
      <c r="L2832" s="8">
        <v>93</v>
      </c>
      <c r="M2832" s="8">
        <v>920</v>
      </c>
      <c r="N2832" s="1169" t="s">
        <v>272</v>
      </c>
      <c r="P2832" s="6" t="s">
        <v>3324</v>
      </c>
      <c r="Q2832" s="1215" t="s">
        <v>253</v>
      </c>
      <c r="R2832" s="1215" t="s">
        <v>255</v>
      </c>
      <c r="S2832" s="1215" t="s">
        <v>534</v>
      </c>
      <c r="T2832" s="1215" t="s">
        <v>533</v>
      </c>
      <c r="U2832" s="6" t="s">
        <v>542</v>
      </c>
      <c r="V2832" s="6" t="s">
        <v>32</v>
      </c>
      <c r="W2832" s="6" t="s">
        <v>777</v>
      </c>
      <c r="X2832" s="6" t="s">
        <v>177</v>
      </c>
    </row>
    <row r="2833" spans="1:24" x14ac:dyDescent="0.3">
      <c r="A2833" s="6" t="s">
        <v>533</v>
      </c>
      <c r="B2833" s="6" t="s">
        <v>534</v>
      </c>
      <c r="C2833" s="6" t="s">
        <v>32</v>
      </c>
      <c r="D2833" s="1088" t="s">
        <v>542</v>
      </c>
      <c r="E2833" s="6" t="s">
        <v>177</v>
      </c>
      <c r="F2833" s="6" t="s">
        <v>777</v>
      </c>
      <c r="G2833" s="6" t="s">
        <v>3206</v>
      </c>
      <c r="H2833" s="6" t="s">
        <v>1696</v>
      </c>
      <c r="J2833" s="1215" t="s">
        <v>511</v>
      </c>
      <c r="K2833" s="1219" t="s">
        <v>3112</v>
      </c>
      <c r="L2833" s="8">
        <v>34</v>
      </c>
      <c r="M2833" s="8">
        <v>183</v>
      </c>
      <c r="N2833" s="1169" t="s">
        <v>272</v>
      </c>
      <c r="P2833" s="6" t="s">
        <v>3324</v>
      </c>
      <c r="Q2833" s="1215" t="s">
        <v>253</v>
      </c>
      <c r="R2833" s="1215" t="s">
        <v>255</v>
      </c>
      <c r="S2833" s="1215" t="s">
        <v>534</v>
      </c>
      <c r="T2833" s="1215" t="s">
        <v>533</v>
      </c>
      <c r="U2833" s="6" t="s">
        <v>542</v>
      </c>
      <c r="V2833" s="6" t="s">
        <v>32</v>
      </c>
      <c r="W2833" s="6" t="s">
        <v>777</v>
      </c>
      <c r="X2833" s="6" t="s">
        <v>177</v>
      </c>
    </row>
    <row r="2834" spans="1:24" x14ac:dyDescent="0.3">
      <c r="A2834" s="6" t="s">
        <v>533</v>
      </c>
      <c r="B2834" s="6" t="s">
        <v>534</v>
      </c>
      <c r="C2834" s="6" t="s">
        <v>34</v>
      </c>
      <c r="D2834" s="1088" t="s">
        <v>539</v>
      </c>
      <c r="E2834" s="6" t="s">
        <v>187</v>
      </c>
      <c r="F2834" s="6" t="s">
        <v>951</v>
      </c>
      <c r="G2834" s="6" t="s">
        <v>1240</v>
      </c>
      <c r="H2834" s="6" t="s">
        <v>1241</v>
      </c>
      <c r="J2834" s="1215" t="s">
        <v>511</v>
      </c>
      <c r="K2834" s="1219" t="s">
        <v>3033</v>
      </c>
      <c r="L2834" s="8">
        <v>1589</v>
      </c>
      <c r="M2834" s="8">
        <v>11690</v>
      </c>
      <c r="N2834" s="1169" t="s">
        <v>271</v>
      </c>
      <c r="P2834" s="6" t="s">
        <v>3324</v>
      </c>
      <c r="Q2834" s="1215" t="s">
        <v>253</v>
      </c>
      <c r="R2834" s="1215" t="s">
        <v>255</v>
      </c>
      <c r="S2834" s="1215" t="s">
        <v>534</v>
      </c>
      <c r="T2834" s="1215" t="s">
        <v>533</v>
      </c>
      <c r="U2834" s="6" t="s">
        <v>539</v>
      </c>
      <c r="V2834" s="6" t="s">
        <v>34</v>
      </c>
      <c r="W2834" s="6" t="s">
        <v>951</v>
      </c>
      <c r="X2834" s="6" t="s">
        <v>187</v>
      </c>
    </row>
    <row r="2835" spans="1:24" x14ac:dyDescent="0.3">
      <c r="A2835" s="6" t="s">
        <v>533</v>
      </c>
      <c r="B2835" s="6" t="s">
        <v>534</v>
      </c>
      <c r="C2835" s="6" t="s">
        <v>34</v>
      </c>
      <c r="D2835" s="1088" t="s">
        <v>539</v>
      </c>
      <c r="E2835" s="6" t="s">
        <v>187</v>
      </c>
      <c r="F2835" s="6" t="s">
        <v>951</v>
      </c>
      <c r="G2835" s="6" t="s">
        <v>1240</v>
      </c>
      <c r="H2835" s="6" t="s">
        <v>1241</v>
      </c>
      <c r="J2835" s="1215" t="s">
        <v>511</v>
      </c>
      <c r="K2835" s="1219" t="s">
        <v>3109</v>
      </c>
      <c r="L2835" s="8">
        <v>0</v>
      </c>
      <c r="M2835" s="8">
        <v>18</v>
      </c>
      <c r="N2835" s="6" t="s">
        <v>271</v>
      </c>
      <c r="P2835" s="6" t="s">
        <v>3324</v>
      </c>
      <c r="Q2835" s="1215" t="s">
        <v>253</v>
      </c>
      <c r="R2835" s="1215" t="s">
        <v>255</v>
      </c>
      <c r="S2835" s="1215" t="s">
        <v>534</v>
      </c>
      <c r="T2835" s="1215" t="s">
        <v>533</v>
      </c>
      <c r="U2835" s="6" t="s">
        <v>539</v>
      </c>
      <c r="V2835" s="6" t="s">
        <v>34</v>
      </c>
      <c r="W2835" s="6" t="s">
        <v>951</v>
      </c>
      <c r="X2835" s="6" t="s">
        <v>187</v>
      </c>
    </row>
    <row r="2836" spans="1:24" x14ac:dyDescent="0.3">
      <c r="A2836" s="6" t="s">
        <v>533</v>
      </c>
      <c r="B2836" s="6" t="s">
        <v>534</v>
      </c>
      <c r="C2836" s="6" t="s">
        <v>34</v>
      </c>
      <c r="D2836" s="1088" t="s">
        <v>539</v>
      </c>
      <c r="E2836" s="6" t="s">
        <v>187</v>
      </c>
      <c r="F2836" s="6" t="s">
        <v>951</v>
      </c>
      <c r="G2836" s="6" t="s">
        <v>1240</v>
      </c>
      <c r="H2836" s="6" t="s">
        <v>1241</v>
      </c>
      <c r="J2836" s="1215" t="s">
        <v>511</v>
      </c>
      <c r="K2836" s="1219" t="s">
        <v>3110</v>
      </c>
      <c r="L2836" s="8">
        <v>115</v>
      </c>
      <c r="M2836" s="8">
        <v>768</v>
      </c>
      <c r="N2836" s="6" t="s">
        <v>271</v>
      </c>
      <c r="P2836" s="6" t="s">
        <v>3324</v>
      </c>
      <c r="Q2836" s="1215" t="s">
        <v>253</v>
      </c>
      <c r="R2836" s="1215" t="s">
        <v>255</v>
      </c>
      <c r="S2836" s="1215" t="s">
        <v>534</v>
      </c>
      <c r="T2836" s="1215" t="s">
        <v>533</v>
      </c>
      <c r="U2836" s="6" t="s">
        <v>539</v>
      </c>
      <c r="V2836" s="6" t="s">
        <v>34</v>
      </c>
      <c r="W2836" s="6" t="s">
        <v>951</v>
      </c>
      <c r="X2836" s="6" t="s">
        <v>187</v>
      </c>
    </row>
    <row r="2837" spans="1:24" x14ac:dyDescent="0.3">
      <c r="A2837" s="6" t="s">
        <v>533</v>
      </c>
      <c r="B2837" s="6" t="s">
        <v>534</v>
      </c>
      <c r="C2837" s="6" t="s">
        <v>34</v>
      </c>
      <c r="D2837" s="1088" t="s">
        <v>539</v>
      </c>
      <c r="E2837" s="6" t="s">
        <v>187</v>
      </c>
      <c r="F2837" s="6" t="s">
        <v>951</v>
      </c>
      <c r="G2837" s="6" t="s">
        <v>1240</v>
      </c>
      <c r="H2837" s="6" t="s">
        <v>1241</v>
      </c>
      <c r="J2837" s="1215" t="s">
        <v>511</v>
      </c>
      <c r="K2837" s="1219" t="s">
        <v>3111</v>
      </c>
      <c r="L2837" s="8">
        <v>20</v>
      </c>
      <c r="M2837" s="8">
        <v>100</v>
      </c>
      <c r="N2837" s="6" t="s">
        <v>271</v>
      </c>
      <c r="P2837" s="6" t="s">
        <v>3324</v>
      </c>
      <c r="Q2837" s="1215" t="s">
        <v>253</v>
      </c>
      <c r="R2837" s="1215" t="s">
        <v>255</v>
      </c>
      <c r="S2837" s="1215" t="s">
        <v>534</v>
      </c>
      <c r="T2837" s="1215" t="s">
        <v>533</v>
      </c>
      <c r="U2837" s="6" t="s">
        <v>539</v>
      </c>
      <c r="V2837" s="6" t="s">
        <v>34</v>
      </c>
      <c r="W2837" s="6" t="s">
        <v>951</v>
      </c>
      <c r="X2837" s="6" t="s">
        <v>187</v>
      </c>
    </row>
    <row r="2838" spans="1:24" x14ac:dyDescent="0.3">
      <c r="A2838" s="6" t="s">
        <v>533</v>
      </c>
      <c r="B2838" s="6" t="s">
        <v>534</v>
      </c>
      <c r="C2838" s="6" t="s">
        <v>34</v>
      </c>
      <c r="D2838" s="1088" t="s">
        <v>539</v>
      </c>
      <c r="E2838" s="6" t="s">
        <v>187</v>
      </c>
      <c r="F2838" s="6" t="s">
        <v>951</v>
      </c>
      <c r="G2838" s="6" t="s">
        <v>1240</v>
      </c>
      <c r="H2838" s="6" t="s">
        <v>1241</v>
      </c>
      <c r="J2838" s="1215" t="s">
        <v>511</v>
      </c>
      <c r="K2838" s="1219" t="s">
        <v>3112</v>
      </c>
      <c r="L2838" s="8">
        <v>0</v>
      </c>
      <c r="M2838" s="8">
        <v>30</v>
      </c>
      <c r="N2838" s="6" t="s">
        <v>271</v>
      </c>
      <c r="P2838" s="6" t="s">
        <v>3324</v>
      </c>
      <c r="Q2838" s="1215" t="s">
        <v>253</v>
      </c>
      <c r="R2838" s="1215" t="s">
        <v>255</v>
      </c>
      <c r="S2838" s="1215" t="s">
        <v>534</v>
      </c>
      <c r="T2838" s="1215" t="s">
        <v>533</v>
      </c>
      <c r="U2838" s="6" t="s">
        <v>539</v>
      </c>
      <c r="V2838" s="6" t="s">
        <v>34</v>
      </c>
      <c r="W2838" s="6" t="s">
        <v>951</v>
      </c>
      <c r="X2838" s="6" t="s">
        <v>187</v>
      </c>
    </row>
    <row r="2839" spans="1:24" x14ac:dyDescent="0.3">
      <c r="A2839" s="6" t="s">
        <v>533</v>
      </c>
      <c r="B2839" s="6" t="s">
        <v>534</v>
      </c>
      <c r="C2839" s="6" t="s">
        <v>31</v>
      </c>
      <c r="D2839" s="1088" t="s">
        <v>549</v>
      </c>
      <c r="E2839" s="6" t="s">
        <v>166</v>
      </c>
      <c r="F2839" s="6" t="s">
        <v>844</v>
      </c>
      <c r="G2839" s="6" t="s">
        <v>2493</v>
      </c>
      <c r="H2839" s="6" t="s">
        <v>1559</v>
      </c>
      <c r="J2839" s="1215" t="s">
        <v>511</v>
      </c>
      <c r="K2839" s="1219" t="s">
        <v>3033</v>
      </c>
      <c r="L2839" s="8">
        <v>1302</v>
      </c>
      <c r="M2839" s="8">
        <v>9935</v>
      </c>
      <c r="N2839" s="6" t="s">
        <v>271</v>
      </c>
      <c r="P2839" s="6" t="s">
        <v>3324</v>
      </c>
      <c r="Q2839" s="1215" t="s">
        <v>253</v>
      </c>
      <c r="R2839" s="1215" t="s">
        <v>255</v>
      </c>
      <c r="S2839" s="1215" t="s">
        <v>534</v>
      </c>
      <c r="T2839" s="1215" t="s">
        <v>533</v>
      </c>
      <c r="U2839" s="6" t="s">
        <v>549</v>
      </c>
      <c r="V2839" s="6" t="s">
        <v>31</v>
      </c>
      <c r="W2839" s="6" t="s">
        <v>844</v>
      </c>
      <c r="X2839" s="6" t="s">
        <v>166</v>
      </c>
    </row>
    <row r="2840" spans="1:24" x14ac:dyDescent="0.3">
      <c r="A2840" s="6" t="s">
        <v>533</v>
      </c>
      <c r="B2840" s="6" t="s">
        <v>534</v>
      </c>
      <c r="C2840" s="6" t="s">
        <v>31</v>
      </c>
      <c r="D2840" s="1088" t="s">
        <v>549</v>
      </c>
      <c r="E2840" s="6" t="s">
        <v>166</v>
      </c>
      <c r="F2840" s="6" t="s">
        <v>844</v>
      </c>
      <c r="G2840" s="6" t="s">
        <v>2493</v>
      </c>
      <c r="H2840" s="6" t="s">
        <v>1559</v>
      </c>
      <c r="J2840" s="1215" t="s">
        <v>511</v>
      </c>
      <c r="K2840" s="1219" t="s">
        <v>3109</v>
      </c>
      <c r="L2840" s="8">
        <v>39</v>
      </c>
      <c r="M2840" s="8">
        <v>235</v>
      </c>
      <c r="N2840" s="1169" t="s">
        <v>271</v>
      </c>
      <c r="P2840" s="6" t="s">
        <v>3324</v>
      </c>
      <c r="Q2840" s="1215" t="s">
        <v>253</v>
      </c>
      <c r="R2840" s="1215" t="s">
        <v>255</v>
      </c>
      <c r="S2840" s="1215" t="s">
        <v>534</v>
      </c>
      <c r="T2840" s="1215" t="s">
        <v>533</v>
      </c>
      <c r="U2840" s="6" t="s">
        <v>549</v>
      </c>
      <c r="V2840" s="6" t="s">
        <v>31</v>
      </c>
      <c r="W2840" s="6" t="s">
        <v>844</v>
      </c>
      <c r="X2840" s="6" t="s">
        <v>166</v>
      </c>
    </row>
    <row r="2841" spans="1:24" x14ac:dyDescent="0.3">
      <c r="A2841" s="6" t="s">
        <v>533</v>
      </c>
      <c r="B2841" s="6" t="s">
        <v>534</v>
      </c>
      <c r="C2841" s="6" t="s">
        <v>31</v>
      </c>
      <c r="D2841" s="1088" t="s">
        <v>549</v>
      </c>
      <c r="E2841" s="6" t="s">
        <v>166</v>
      </c>
      <c r="F2841" s="6" t="s">
        <v>844</v>
      </c>
      <c r="G2841" s="6" t="s">
        <v>2493</v>
      </c>
      <c r="H2841" s="6" t="s">
        <v>1559</v>
      </c>
      <c r="J2841" s="1215" t="s">
        <v>511</v>
      </c>
      <c r="K2841" s="1219" t="s">
        <v>3110</v>
      </c>
      <c r="L2841" s="8">
        <v>43</v>
      </c>
      <c r="M2841" s="8">
        <v>321</v>
      </c>
      <c r="N2841" s="1169" t="s">
        <v>271</v>
      </c>
      <c r="P2841" s="6" t="s">
        <v>3324</v>
      </c>
      <c r="Q2841" s="1215" t="s">
        <v>253</v>
      </c>
      <c r="R2841" s="1215" t="s">
        <v>255</v>
      </c>
      <c r="S2841" s="1215" t="s">
        <v>534</v>
      </c>
      <c r="T2841" s="1215" t="s">
        <v>533</v>
      </c>
      <c r="U2841" s="6" t="s">
        <v>549</v>
      </c>
      <c r="V2841" s="6" t="s">
        <v>31</v>
      </c>
      <c r="W2841" s="6" t="s">
        <v>844</v>
      </c>
      <c r="X2841" s="6" t="s">
        <v>166</v>
      </c>
    </row>
    <row r="2842" spans="1:24" x14ac:dyDescent="0.3">
      <c r="A2842" s="6" t="s">
        <v>533</v>
      </c>
      <c r="B2842" s="6" t="s">
        <v>534</v>
      </c>
      <c r="C2842" s="6" t="s">
        <v>31</v>
      </c>
      <c r="D2842" s="1088" t="s">
        <v>549</v>
      </c>
      <c r="E2842" s="6" t="s">
        <v>166</v>
      </c>
      <c r="F2842" s="6" t="s">
        <v>844</v>
      </c>
      <c r="G2842" s="6" t="s">
        <v>2493</v>
      </c>
      <c r="H2842" s="6" t="s">
        <v>1559</v>
      </c>
      <c r="J2842" s="1215" t="s">
        <v>511</v>
      </c>
      <c r="K2842" s="1219" t="s">
        <v>3111</v>
      </c>
      <c r="L2842" s="8">
        <v>2</v>
      </c>
      <c r="M2842" s="8">
        <v>13</v>
      </c>
      <c r="N2842" s="1169" t="s">
        <v>271</v>
      </c>
      <c r="P2842" s="6" t="s">
        <v>3324</v>
      </c>
      <c r="Q2842" s="1215" t="s">
        <v>253</v>
      </c>
      <c r="R2842" s="1215" t="s">
        <v>255</v>
      </c>
      <c r="S2842" s="1215" t="s">
        <v>534</v>
      </c>
      <c r="T2842" s="1215" t="s">
        <v>533</v>
      </c>
      <c r="U2842" s="6" t="s">
        <v>549</v>
      </c>
      <c r="V2842" s="6" t="s">
        <v>31</v>
      </c>
      <c r="W2842" s="6" t="s">
        <v>844</v>
      </c>
      <c r="X2842" s="6" t="s">
        <v>166</v>
      </c>
    </row>
    <row r="2843" spans="1:24" x14ac:dyDescent="0.3">
      <c r="A2843" s="6" t="s">
        <v>533</v>
      </c>
      <c r="B2843" s="6" t="s">
        <v>534</v>
      </c>
      <c r="C2843" s="6" t="s">
        <v>31</v>
      </c>
      <c r="D2843" s="1088" t="s">
        <v>549</v>
      </c>
      <c r="E2843" s="6" t="s">
        <v>172</v>
      </c>
      <c r="F2843" s="6" t="s">
        <v>706</v>
      </c>
      <c r="G2843" s="6" t="s">
        <v>1999</v>
      </c>
      <c r="H2843" s="6" t="s">
        <v>2697</v>
      </c>
      <c r="J2843" s="1215" t="s">
        <v>511</v>
      </c>
      <c r="K2843" s="1219" t="s">
        <v>3112</v>
      </c>
      <c r="L2843" s="8">
        <v>15</v>
      </c>
      <c r="M2843" s="8">
        <v>102</v>
      </c>
      <c r="N2843" s="6" t="s">
        <v>271</v>
      </c>
      <c r="P2843" s="6" t="s">
        <v>3324</v>
      </c>
      <c r="Q2843" s="1215" t="s">
        <v>253</v>
      </c>
      <c r="R2843" s="1215" t="s">
        <v>255</v>
      </c>
      <c r="S2843" s="1215" t="s">
        <v>534</v>
      </c>
      <c r="T2843" s="1215" t="s">
        <v>533</v>
      </c>
      <c r="U2843" s="6" t="s">
        <v>549</v>
      </c>
      <c r="V2843" s="6" t="s">
        <v>31</v>
      </c>
      <c r="W2843" s="6" t="s">
        <v>706</v>
      </c>
      <c r="X2843" s="6" t="s">
        <v>172</v>
      </c>
    </row>
    <row r="2844" spans="1:24" x14ac:dyDescent="0.3">
      <c r="A2844" s="6" t="s">
        <v>533</v>
      </c>
      <c r="B2844" s="6" t="s">
        <v>534</v>
      </c>
      <c r="C2844" s="6" t="s">
        <v>32</v>
      </c>
      <c r="D2844" s="1088" t="s">
        <v>542</v>
      </c>
      <c r="E2844" s="6" t="s">
        <v>178</v>
      </c>
      <c r="F2844" s="6" t="s">
        <v>543</v>
      </c>
      <c r="G2844" s="6" t="s">
        <v>1015</v>
      </c>
      <c r="H2844" s="6" t="s">
        <v>1016</v>
      </c>
      <c r="J2844" s="1215" t="s">
        <v>511</v>
      </c>
      <c r="K2844" s="1219" t="s">
        <v>3112</v>
      </c>
      <c r="L2844" s="8">
        <v>12</v>
      </c>
      <c r="M2844" s="8">
        <v>100</v>
      </c>
      <c r="N2844" s="6" t="s">
        <v>272</v>
      </c>
      <c r="P2844" s="6" t="s">
        <v>3324</v>
      </c>
      <c r="Q2844" s="1215" t="s">
        <v>253</v>
      </c>
      <c r="R2844" s="1215" t="s">
        <v>255</v>
      </c>
      <c r="S2844" s="1215" t="s">
        <v>534</v>
      </c>
      <c r="T2844" s="1215" t="s">
        <v>533</v>
      </c>
      <c r="U2844" s="6" t="s">
        <v>542</v>
      </c>
      <c r="V2844" s="6" t="s">
        <v>32</v>
      </c>
      <c r="W2844" s="6" t="s">
        <v>543</v>
      </c>
      <c r="X2844" s="6" t="s">
        <v>178</v>
      </c>
    </row>
    <row r="2845" spans="1:24" x14ac:dyDescent="0.3">
      <c r="A2845" s="6" t="s">
        <v>533</v>
      </c>
      <c r="B2845" s="6" t="s">
        <v>534</v>
      </c>
      <c r="C2845" s="6" t="s">
        <v>32</v>
      </c>
      <c r="D2845" s="1088" t="s">
        <v>542</v>
      </c>
      <c r="E2845" s="6" t="s">
        <v>178</v>
      </c>
      <c r="F2845" s="6" t="s">
        <v>543</v>
      </c>
      <c r="G2845" s="6" t="s">
        <v>3214</v>
      </c>
      <c r="H2845" s="6" t="s">
        <v>2780</v>
      </c>
      <c r="J2845" s="1215" t="s">
        <v>511</v>
      </c>
      <c r="K2845" s="1219" t="s">
        <v>3112</v>
      </c>
      <c r="L2845" s="8">
        <v>12</v>
      </c>
      <c r="M2845" s="8">
        <v>123</v>
      </c>
      <c r="N2845" s="6" t="s">
        <v>274</v>
      </c>
      <c r="P2845" s="6" t="s">
        <v>3322</v>
      </c>
      <c r="Q2845" s="1215" t="s">
        <v>253</v>
      </c>
      <c r="R2845" s="1215" t="s">
        <v>255</v>
      </c>
      <c r="S2845" s="1215" t="s">
        <v>534</v>
      </c>
      <c r="T2845" s="1215" t="s">
        <v>533</v>
      </c>
      <c r="U2845" s="6" t="s">
        <v>535</v>
      </c>
      <c r="V2845" s="6" t="s">
        <v>30</v>
      </c>
    </row>
    <row r="2846" spans="1:24" x14ac:dyDescent="0.3">
      <c r="A2846" s="6" t="s">
        <v>533</v>
      </c>
      <c r="B2846" s="6" t="s">
        <v>534</v>
      </c>
      <c r="C2846" s="6" t="s">
        <v>32</v>
      </c>
      <c r="D2846" s="1088" t="s">
        <v>542</v>
      </c>
      <c r="E2846" s="6" t="s">
        <v>178</v>
      </c>
      <c r="F2846" s="6" t="s">
        <v>543</v>
      </c>
      <c r="G2846" s="6" t="s">
        <v>3216</v>
      </c>
      <c r="H2846" s="6" t="s">
        <v>2776</v>
      </c>
      <c r="J2846" s="1215" t="s">
        <v>511</v>
      </c>
      <c r="K2846" s="1219" t="s">
        <v>3112</v>
      </c>
      <c r="L2846" s="8">
        <v>3</v>
      </c>
      <c r="M2846" s="8">
        <v>18</v>
      </c>
      <c r="N2846" s="6" t="s">
        <v>274</v>
      </c>
      <c r="P2846" s="6" t="s">
        <v>3361</v>
      </c>
      <c r="Q2846" s="1215" t="s">
        <v>241</v>
      </c>
      <c r="R2846" s="1168" t="s">
        <v>243</v>
      </c>
      <c r="S2846" s="1088"/>
      <c r="T2846" s="1088"/>
    </row>
    <row r="2847" spans="1:24" x14ac:dyDescent="0.3">
      <c r="A2847" s="6" t="s">
        <v>533</v>
      </c>
      <c r="B2847" s="6" t="s">
        <v>534</v>
      </c>
      <c r="C2847" s="6" t="s">
        <v>32</v>
      </c>
      <c r="D2847" s="1088" t="s">
        <v>542</v>
      </c>
      <c r="E2847" s="6" t="s">
        <v>178</v>
      </c>
      <c r="F2847" s="6" t="s">
        <v>543</v>
      </c>
      <c r="G2847" s="6" t="s">
        <v>544</v>
      </c>
      <c r="H2847" s="6" t="s">
        <v>545</v>
      </c>
      <c r="J2847" s="1215" t="s">
        <v>511</v>
      </c>
      <c r="K2847" s="1219" t="s">
        <v>3112</v>
      </c>
      <c r="L2847" s="8">
        <v>23</v>
      </c>
      <c r="M2847" s="8">
        <v>162</v>
      </c>
      <c r="N2847" s="6" t="s">
        <v>274</v>
      </c>
      <c r="P2847" s="6" t="s">
        <v>3324</v>
      </c>
      <c r="Q2847" s="1215" t="s">
        <v>253</v>
      </c>
      <c r="R2847" s="1215" t="s">
        <v>255</v>
      </c>
      <c r="S2847" s="1215" t="s">
        <v>534</v>
      </c>
      <c r="T2847" s="1215" t="s">
        <v>533</v>
      </c>
      <c r="U2847" s="6" t="s">
        <v>542</v>
      </c>
      <c r="V2847" s="6" t="s">
        <v>32</v>
      </c>
      <c r="W2847" s="6" t="s">
        <v>543</v>
      </c>
      <c r="X2847" s="6" t="s">
        <v>178</v>
      </c>
    </row>
    <row r="2848" spans="1:24" x14ac:dyDescent="0.3">
      <c r="A2848" s="6" t="s">
        <v>533</v>
      </c>
      <c r="B2848" s="6" t="s">
        <v>534</v>
      </c>
      <c r="C2848" s="6" t="s">
        <v>32</v>
      </c>
      <c r="D2848" s="1088" t="s">
        <v>542</v>
      </c>
      <c r="E2848" s="6" t="s">
        <v>178</v>
      </c>
      <c r="F2848" s="6" t="s">
        <v>543</v>
      </c>
      <c r="G2848" s="6" t="s">
        <v>544</v>
      </c>
      <c r="H2848" s="6" t="s">
        <v>545</v>
      </c>
      <c r="J2848" s="1215" t="s">
        <v>511</v>
      </c>
      <c r="K2848" s="1219" t="s">
        <v>3111</v>
      </c>
      <c r="L2848" s="8">
        <v>15</v>
      </c>
      <c r="M2848" s="8">
        <v>90</v>
      </c>
      <c r="N2848" s="6" t="s">
        <v>274</v>
      </c>
      <c r="P2848" s="6" t="s">
        <v>3322</v>
      </c>
      <c r="Q2848" s="1215" t="s">
        <v>253</v>
      </c>
      <c r="R2848" s="1215" t="s">
        <v>255</v>
      </c>
      <c r="S2848" s="1215" t="s">
        <v>534</v>
      </c>
      <c r="T2848" s="1215" t="s">
        <v>533</v>
      </c>
      <c r="U2848" s="6" t="s">
        <v>535</v>
      </c>
      <c r="V2848" s="6" t="s">
        <v>30</v>
      </c>
    </row>
    <row r="2849" spans="1:22" x14ac:dyDescent="0.3">
      <c r="A2849" s="6" t="s">
        <v>533</v>
      </c>
      <c r="B2849" s="6" t="s">
        <v>534</v>
      </c>
      <c r="C2849" s="6" t="s">
        <v>32</v>
      </c>
      <c r="D2849" s="1088" t="s">
        <v>542</v>
      </c>
      <c r="E2849" s="6" t="s">
        <v>178</v>
      </c>
      <c r="F2849" s="6" t="s">
        <v>543</v>
      </c>
      <c r="G2849" s="6" t="s">
        <v>3219</v>
      </c>
      <c r="H2849" s="6" t="s">
        <v>2787</v>
      </c>
      <c r="J2849" s="1215" t="s">
        <v>511</v>
      </c>
      <c r="K2849" s="1219" t="s">
        <v>3111</v>
      </c>
      <c r="L2849" s="8">
        <v>7</v>
      </c>
      <c r="M2849" s="8">
        <v>27</v>
      </c>
      <c r="N2849" s="1169" t="s">
        <v>274</v>
      </c>
      <c r="P2849" s="6" t="s">
        <v>3322</v>
      </c>
      <c r="Q2849" s="1215" t="s">
        <v>253</v>
      </c>
      <c r="R2849" s="1215" t="s">
        <v>255</v>
      </c>
      <c r="S2849" s="1215" t="s">
        <v>534</v>
      </c>
      <c r="T2849" s="1215" t="s">
        <v>533</v>
      </c>
      <c r="U2849" s="6" t="s">
        <v>535</v>
      </c>
      <c r="V2849" s="6" t="s">
        <v>30</v>
      </c>
    </row>
    <row r="2850" spans="1:22" x14ac:dyDescent="0.3">
      <c r="A2850" s="6" t="s">
        <v>533</v>
      </c>
      <c r="B2850" s="6" t="s">
        <v>534</v>
      </c>
      <c r="C2850" s="6" t="s">
        <v>32</v>
      </c>
      <c r="D2850" s="1088" t="s">
        <v>542</v>
      </c>
      <c r="E2850" s="6" t="s">
        <v>178</v>
      </c>
      <c r="F2850" s="6" t="s">
        <v>543</v>
      </c>
      <c r="G2850" s="6" t="s">
        <v>3219</v>
      </c>
      <c r="H2850" s="6" t="s">
        <v>2787</v>
      </c>
      <c r="J2850" s="1215" t="s">
        <v>511</v>
      </c>
      <c r="K2850" s="1219" t="s">
        <v>3112</v>
      </c>
      <c r="L2850" s="8">
        <v>35</v>
      </c>
      <c r="M2850" s="8">
        <v>103</v>
      </c>
      <c r="N2850" s="1169" t="s">
        <v>274</v>
      </c>
      <c r="P2850" s="6" t="s">
        <v>3322</v>
      </c>
      <c r="Q2850" s="1215" t="s">
        <v>253</v>
      </c>
      <c r="R2850" s="1215" t="s">
        <v>255</v>
      </c>
      <c r="S2850" s="1215" t="s">
        <v>534</v>
      </c>
      <c r="T2850" s="1215" t="s">
        <v>533</v>
      </c>
      <c r="U2850" s="6" t="s">
        <v>535</v>
      </c>
      <c r="V2850" s="6" t="s">
        <v>30</v>
      </c>
    </row>
    <row r="2851" spans="1:22" x14ac:dyDescent="0.3">
      <c r="A2851" s="6" t="s">
        <v>533</v>
      </c>
      <c r="B2851" s="6" t="s">
        <v>534</v>
      </c>
      <c r="C2851" s="6" t="s">
        <v>32</v>
      </c>
      <c r="D2851" s="1088" t="s">
        <v>542</v>
      </c>
      <c r="E2851" s="6" t="s">
        <v>178</v>
      </c>
      <c r="F2851" s="6" t="s">
        <v>543</v>
      </c>
      <c r="G2851" s="6" t="s">
        <v>3316</v>
      </c>
      <c r="H2851" s="6" t="s">
        <v>2782</v>
      </c>
      <c r="J2851" s="1215" t="s">
        <v>511</v>
      </c>
      <c r="K2851" s="1219" t="s">
        <v>3111</v>
      </c>
      <c r="L2851" s="8">
        <v>20</v>
      </c>
      <c r="M2851" s="8">
        <v>158</v>
      </c>
      <c r="N2851" s="1169" t="s">
        <v>274</v>
      </c>
      <c r="P2851" s="6" t="s">
        <v>3322</v>
      </c>
      <c r="Q2851" s="1215" t="s">
        <v>253</v>
      </c>
      <c r="R2851" s="1215" t="s">
        <v>255</v>
      </c>
      <c r="S2851" s="1215" t="s">
        <v>534</v>
      </c>
      <c r="T2851" s="1215" t="s">
        <v>533</v>
      </c>
      <c r="U2851" s="6" t="s">
        <v>535</v>
      </c>
      <c r="V2851" s="6" t="s">
        <v>30</v>
      </c>
    </row>
    <row r="2852" spans="1:22" x14ac:dyDescent="0.3">
      <c r="A2852" s="6" t="s">
        <v>533</v>
      </c>
      <c r="B2852" s="6" t="s">
        <v>534</v>
      </c>
      <c r="C2852" s="6" t="s">
        <v>32</v>
      </c>
      <c r="D2852" s="1088" t="s">
        <v>542</v>
      </c>
      <c r="E2852" s="6" t="s">
        <v>178</v>
      </c>
      <c r="F2852" s="6" t="s">
        <v>543</v>
      </c>
      <c r="G2852" s="6" t="s">
        <v>3316</v>
      </c>
      <c r="H2852" s="6" t="s">
        <v>2782</v>
      </c>
      <c r="J2852" s="1215" t="s">
        <v>511</v>
      </c>
      <c r="K2852" s="1219" t="s">
        <v>3112</v>
      </c>
      <c r="L2852" s="8">
        <v>42</v>
      </c>
      <c r="M2852" s="8">
        <v>326</v>
      </c>
      <c r="N2852" s="1169" t="s">
        <v>274</v>
      </c>
      <c r="P2852" s="6" t="s">
        <v>3322</v>
      </c>
      <c r="Q2852" s="1215" t="s">
        <v>253</v>
      </c>
      <c r="R2852" s="1215" t="s">
        <v>255</v>
      </c>
      <c r="S2852" s="1215" t="s">
        <v>534</v>
      </c>
      <c r="T2852" s="1215" t="s">
        <v>533</v>
      </c>
      <c r="U2852" s="6" t="s">
        <v>535</v>
      </c>
      <c r="V2852" s="6" t="s">
        <v>30</v>
      </c>
    </row>
    <row r="2853" spans="1:22" x14ac:dyDescent="0.3">
      <c r="A2853" s="6" t="s">
        <v>533</v>
      </c>
      <c r="B2853" s="6" t="s">
        <v>534</v>
      </c>
      <c r="C2853" s="6" t="s">
        <v>32</v>
      </c>
      <c r="D2853" s="1088" t="s">
        <v>542</v>
      </c>
      <c r="E2853" s="6" t="s">
        <v>178</v>
      </c>
      <c r="F2853" s="6" t="s">
        <v>543</v>
      </c>
      <c r="G2853" s="6" t="s">
        <v>3194</v>
      </c>
      <c r="H2853" s="6" t="s">
        <v>2792</v>
      </c>
      <c r="J2853" s="1215" t="s">
        <v>511</v>
      </c>
      <c r="K2853" s="1219" t="s">
        <v>3111</v>
      </c>
      <c r="L2853" s="8">
        <v>30</v>
      </c>
      <c r="M2853" s="8">
        <v>237</v>
      </c>
      <c r="N2853" s="1169" t="s">
        <v>274</v>
      </c>
      <c r="P2853" s="6" t="s">
        <v>3322</v>
      </c>
      <c r="Q2853" s="1215" t="s">
        <v>253</v>
      </c>
      <c r="R2853" s="1215" t="s">
        <v>255</v>
      </c>
      <c r="S2853" s="1215" t="s">
        <v>534</v>
      </c>
      <c r="T2853" s="1215" t="s">
        <v>533</v>
      </c>
      <c r="U2853" s="6" t="s">
        <v>535</v>
      </c>
      <c r="V2853" s="6" t="s">
        <v>30</v>
      </c>
    </row>
    <row r="2854" spans="1:22" x14ac:dyDescent="0.3">
      <c r="A2854" s="6" t="s">
        <v>533</v>
      </c>
      <c r="B2854" s="6" t="s">
        <v>534</v>
      </c>
      <c r="C2854" s="6" t="s">
        <v>32</v>
      </c>
      <c r="D2854" s="1088" t="s">
        <v>542</v>
      </c>
      <c r="E2854" s="6" t="s">
        <v>178</v>
      </c>
      <c r="F2854" s="6" t="s">
        <v>543</v>
      </c>
      <c r="G2854" s="6" t="s">
        <v>3194</v>
      </c>
      <c r="H2854" s="6" t="s">
        <v>2792</v>
      </c>
      <c r="J2854" s="1215" t="s">
        <v>511</v>
      </c>
      <c r="K2854" s="1219" t="s">
        <v>3112</v>
      </c>
      <c r="L2854" s="8">
        <v>130</v>
      </c>
      <c r="M2854" s="8">
        <v>963</v>
      </c>
      <c r="N2854" s="1169" t="s">
        <v>274</v>
      </c>
      <c r="P2854" s="6" t="s">
        <v>3322</v>
      </c>
      <c r="Q2854" s="1215" t="s">
        <v>253</v>
      </c>
      <c r="R2854" s="1215" t="s">
        <v>255</v>
      </c>
      <c r="S2854" s="1215" t="s">
        <v>534</v>
      </c>
      <c r="T2854" s="1215" t="s">
        <v>533</v>
      </c>
      <c r="U2854" s="6" t="s">
        <v>535</v>
      </c>
      <c r="V2854" s="6" t="s">
        <v>30</v>
      </c>
    </row>
    <row r="2855" spans="1:22" x14ac:dyDescent="0.3">
      <c r="A2855" s="6" t="s">
        <v>533</v>
      </c>
      <c r="B2855" s="6" t="s">
        <v>534</v>
      </c>
      <c r="C2855" s="6" t="s">
        <v>32</v>
      </c>
      <c r="D2855" s="1088" t="s">
        <v>542</v>
      </c>
      <c r="E2855" s="6" t="s">
        <v>178</v>
      </c>
      <c r="F2855" s="6" t="s">
        <v>543</v>
      </c>
      <c r="G2855" s="6" t="s">
        <v>3317</v>
      </c>
      <c r="H2855" s="6" t="s">
        <v>2788</v>
      </c>
      <c r="J2855" s="1215" t="s">
        <v>511</v>
      </c>
      <c r="K2855" s="1219" t="s">
        <v>3111</v>
      </c>
      <c r="L2855" s="8">
        <v>7</v>
      </c>
      <c r="M2855" s="8">
        <v>46</v>
      </c>
      <c r="N2855" s="1169" t="s">
        <v>274</v>
      </c>
      <c r="P2855" s="6" t="s">
        <v>3322</v>
      </c>
      <c r="Q2855" s="1215" t="s">
        <v>253</v>
      </c>
      <c r="R2855" s="1215" t="s">
        <v>255</v>
      </c>
      <c r="S2855" s="1215" t="s">
        <v>534</v>
      </c>
      <c r="T2855" s="1215" t="s">
        <v>533</v>
      </c>
      <c r="U2855" s="6" t="s">
        <v>535</v>
      </c>
      <c r="V2855" s="6" t="s">
        <v>30</v>
      </c>
    </row>
    <row r="2856" spans="1:22" x14ac:dyDescent="0.3">
      <c r="A2856" s="6" t="s">
        <v>533</v>
      </c>
      <c r="B2856" s="6" t="s">
        <v>534</v>
      </c>
      <c r="C2856" s="6" t="s">
        <v>32</v>
      </c>
      <c r="D2856" s="1088" t="s">
        <v>542</v>
      </c>
      <c r="E2856" s="6" t="s">
        <v>178</v>
      </c>
      <c r="F2856" s="6" t="s">
        <v>543</v>
      </c>
      <c r="G2856" s="6" t="s">
        <v>3317</v>
      </c>
      <c r="H2856" s="6" t="s">
        <v>2788</v>
      </c>
      <c r="J2856" s="1215" t="s">
        <v>511</v>
      </c>
      <c r="K2856" s="1219" t="s">
        <v>3112</v>
      </c>
      <c r="L2856" s="8">
        <v>0</v>
      </c>
      <c r="M2856" s="8">
        <v>1</v>
      </c>
      <c r="N2856" s="1169" t="s">
        <v>274</v>
      </c>
      <c r="P2856" s="6" t="s">
        <v>3322</v>
      </c>
      <c r="Q2856" s="1215" t="s">
        <v>253</v>
      </c>
      <c r="R2856" s="1215" t="s">
        <v>255</v>
      </c>
      <c r="S2856" s="1215" t="s">
        <v>534</v>
      </c>
      <c r="T2856" s="1215" t="s">
        <v>533</v>
      </c>
      <c r="U2856" s="6" t="s">
        <v>535</v>
      </c>
      <c r="V2856" s="6" t="s">
        <v>30</v>
      </c>
    </row>
    <row r="2857" spans="1:22" x14ac:dyDescent="0.3">
      <c r="A2857" s="6" t="s">
        <v>533</v>
      </c>
      <c r="B2857" s="6" t="s">
        <v>534</v>
      </c>
      <c r="C2857" s="6" t="s">
        <v>32</v>
      </c>
      <c r="D2857" s="1088" t="s">
        <v>542</v>
      </c>
      <c r="E2857" s="6" t="s">
        <v>178</v>
      </c>
      <c r="F2857" s="6" t="s">
        <v>543</v>
      </c>
      <c r="G2857" s="6" t="s">
        <v>3215</v>
      </c>
      <c r="H2857" s="6" t="s">
        <v>2785</v>
      </c>
      <c r="J2857" s="1215" t="s">
        <v>511</v>
      </c>
      <c r="K2857" s="1219" t="s">
        <v>3111</v>
      </c>
      <c r="L2857" s="8">
        <v>15</v>
      </c>
      <c r="M2857" s="8">
        <v>37</v>
      </c>
      <c r="N2857" s="1169" t="s">
        <v>274</v>
      </c>
      <c r="P2857" s="6" t="s">
        <v>3322</v>
      </c>
      <c r="Q2857" s="1215" t="s">
        <v>253</v>
      </c>
      <c r="R2857" s="1215" t="s">
        <v>255</v>
      </c>
      <c r="S2857" s="1215" t="s">
        <v>534</v>
      </c>
      <c r="T2857" s="1215" t="s">
        <v>533</v>
      </c>
      <c r="U2857" s="6" t="s">
        <v>535</v>
      </c>
      <c r="V2857" s="6" t="s">
        <v>30</v>
      </c>
    </row>
    <row r="2858" spans="1:22" x14ac:dyDescent="0.3">
      <c r="A2858" s="6" t="s">
        <v>533</v>
      </c>
      <c r="B2858" s="6" t="s">
        <v>534</v>
      </c>
      <c r="C2858" s="6" t="s">
        <v>32</v>
      </c>
      <c r="D2858" s="1088" t="s">
        <v>542</v>
      </c>
      <c r="E2858" s="6" t="s">
        <v>178</v>
      </c>
      <c r="F2858" s="6" t="s">
        <v>543</v>
      </c>
      <c r="G2858" s="6" t="s">
        <v>3215</v>
      </c>
      <c r="H2858" s="6" t="s">
        <v>2785</v>
      </c>
      <c r="J2858" s="1215" t="s">
        <v>511</v>
      </c>
      <c r="K2858" s="1219" t="s">
        <v>3112</v>
      </c>
      <c r="L2858" s="8">
        <v>5</v>
      </c>
      <c r="M2858" s="8">
        <v>63</v>
      </c>
      <c r="N2858" s="1169" t="s">
        <v>274</v>
      </c>
      <c r="P2858" s="6" t="s">
        <v>3322</v>
      </c>
      <c r="Q2858" s="1215" t="s">
        <v>253</v>
      </c>
      <c r="R2858" s="1215" t="s">
        <v>255</v>
      </c>
      <c r="S2858" s="1215" t="s">
        <v>534</v>
      </c>
      <c r="T2858" s="1215" t="s">
        <v>533</v>
      </c>
      <c r="U2858" s="6" t="s">
        <v>535</v>
      </c>
      <c r="V2858" s="6" t="s">
        <v>30</v>
      </c>
    </row>
    <row r="2859" spans="1:22" x14ac:dyDescent="0.3">
      <c r="A2859" s="6" t="s">
        <v>533</v>
      </c>
      <c r="B2859" s="6" t="s">
        <v>534</v>
      </c>
      <c r="C2859" s="6" t="s">
        <v>32</v>
      </c>
      <c r="D2859" s="1088" t="s">
        <v>542</v>
      </c>
      <c r="E2859" s="6" t="s">
        <v>178</v>
      </c>
      <c r="F2859" s="6" t="s">
        <v>543</v>
      </c>
      <c r="G2859" s="6" t="s">
        <v>3228</v>
      </c>
      <c r="H2859" s="6" t="s">
        <v>2777</v>
      </c>
      <c r="J2859" s="1215" t="s">
        <v>511</v>
      </c>
      <c r="K2859" s="1219" t="s">
        <v>3111</v>
      </c>
      <c r="L2859" s="8">
        <v>10</v>
      </c>
      <c r="M2859" s="8">
        <v>50</v>
      </c>
      <c r="N2859" s="1169" t="s">
        <v>274</v>
      </c>
      <c r="P2859" s="6" t="s">
        <v>3322</v>
      </c>
      <c r="Q2859" s="1215" t="s">
        <v>253</v>
      </c>
      <c r="R2859" s="1215" t="s">
        <v>255</v>
      </c>
      <c r="S2859" s="1215" t="s">
        <v>534</v>
      </c>
      <c r="T2859" s="1215" t="s">
        <v>533</v>
      </c>
      <c r="U2859" s="6" t="s">
        <v>535</v>
      </c>
      <c r="V2859" s="6" t="s">
        <v>30</v>
      </c>
    </row>
    <row r="2860" spans="1:22" x14ac:dyDescent="0.3">
      <c r="A2860" s="6" t="s">
        <v>533</v>
      </c>
      <c r="B2860" s="6" t="s">
        <v>534</v>
      </c>
      <c r="C2860" s="6" t="s">
        <v>32</v>
      </c>
      <c r="D2860" s="1088" t="s">
        <v>542</v>
      </c>
      <c r="E2860" s="6" t="s">
        <v>178</v>
      </c>
      <c r="F2860" s="6" t="s">
        <v>543</v>
      </c>
      <c r="G2860" s="6" t="s">
        <v>3228</v>
      </c>
      <c r="H2860" s="6" t="s">
        <v>2777</v>
      </c>
      <c r="J2860" s="1215" t="s">
        <v>511</v>
      </c>
      <c r="K2860" s="1219" t="s">
        <v>3112</v>
      </c>
      <c r="L2860" s="8">
        <v>11</v>
      </c>
      <c r="M2860" s="8">
        <v>77</v>
      </c>
      <c r="N2860" s="1169" t="s">
        <v>274</v>
      </c>
      <c r="P2860" s="6" t="s">
        <v>3322</v>
      </c>
      <c r="Q2860" s="1215" t="s">
        <v>253</v>
      </c>
      <c r="R2860" s="1215" t="s">
        <v>255</v>
      </c>
      <c r="S2860" s="1215" t="s">
        <v>534</v>
      </c>
      <c r="T2860" s="1215" t="s">
        <v>533</v>
      </c>
      <c r="U2860" s="6" t="s">
        <v>535</v>
      </c>
      <c r="V2860" s="6" t="s">
        <v>30</v>
      </c>
    </row>
    <row r="2861" spans="1:22" x14ac:dyDescent="0.3">
      <c r="A2861" s="6" t="s">
        <v>533</v>
      </c>
      <c r="B2861" s="6" t="s">
        <v>534</v>
      </c>
      <c r="C2861" s="6" t="s">
        <v>32</v>
      </c>
      <c r="D2861" s="1088" t="s">
        <v>542</v>
      </c>
      <c r="E2861" s="6" t="s">
        <v>178</v>
      </c>
      <c r="F2861" s="6" t="s">
        <v>543</v>
      </c>
      <c r="G2861" s="6" t="s">
        <v>3229</v>
      </c>
      <c r="H2861" s="6" t="s">
        <v>2781</v>
      </c>
      <c r="J2861" s="1215" t="s">
        <v>511</v>
      </c>
      <c r="K2861" s="1219" t="s">
        <v>3111</v>
      </c>
      <c r="L2861" s="8">
        <v>13</v>
      </c>
      <c r="M2861" s="8">
        <v>60</v>
      </c>
      <c r="N2861" s="1169" t="s">
        <v>274</v>
      </c>
      <c r="P2861" s="6" t="s">
        <v>3322</v>
      </c>
      <c r="Q2861" s="1215" t="s">
        <v>253</v>
      </c>
      <c r="R2861" s="1215" t="s">
        <v>255</v>
      </c>
      <c r="S2861" s="1215" t="s">
        <v>534</v>
      </c>
      <c r="T2861" s="1215" t="s">
        <v>533</v>
      </c>
      <c r="U2861" s="6" t="s">
        <v>535</v>
      </c>
      <c r="V2861" s="6" t="s">
        <v>30</v>
      </c>
    </row>
    <row r="2862" spans="1:22" x14ac:dyDescent="0.3">
      <c r="A2862" s="6" t="s">
        <v>533</v>
      </c>
      <c r="B2862" s="6" t="s">
        <v>534</v>
      </c>
      <c r="C2862" s="6" t="s">
        <v>32</v>
      </c>
      <c r="D2862" s="1088" t="s">
        <v>542</v>
      </c>
      <c r="E2862" s="6" t="s">
        <v>178</v>
      </c>
      <c r="F2862" s="6" t="s">
        <v>543</v>
      </c>
      <c r="G2862" s="6" t="s">
        <v>3229</v>
      </c>
      <c r="H2862" s="6" t="s">
        <v>2781</v>
      </c>
      <c r="J2862" s="1215" t="s">
        <v>511</v>
      </c>
      <c r="K2862" s="1219" t="s">
        <v>3112</v>
      </c>
      <c r="L2862" s="8">
        <v>7</v>
      </c>
      <c r="M2862" s="8">
        <v>59</v>
      </c>
      <c r="N2862" s="1169" t="s">
        <v>274</v>
      </c>
      <c r="P2862" s="6" t="s">
        <v>3322</v>
      </c>
      <c r="Q2862" s="1215" t="s">
        <v>253</v>
      </c>
      <c r="R2862" s="1215" t="s">
        <v>255</v>
      </c>
      <c r="S2862" s="1215" t="s">
        <v>534</v>
      </c>
      <c r="T2862" s="1215" t="s">
        <v>533</v>
      </c>
      <c r="U2862" s="6" t="s">
        <v>535</v>
      </c>
      <c r="V2862" s="6" t="s">
        <v>30</v>
      </c>
    </row>
    <row r="2863" spans="1:22" x14ac:dyDescent="0.3">
      <c r="A2863" s="6" t="s">
        <v>533</v>
      </c>
      <c r="B2863" s="6" t="s">
        <v>534</v>
      </c>
      <c r="C2863" s="6" t="s">
        <v>32</v>
      </c>
      <c r="D2863" s="1088" t="s">
        <v>542</v>
      </c>
      <c r="E2863" s="6" t="s">
        <v>178</v>
      </c>
      <c r="F2863" s="6" t="s">
        <v>543</v>
      </c>
      <c r="G2863" s="6" t="s">
        <v>3231</v>
      </c>
      <c r="H2863" s="6" t="s">
        <v>2778</v>
      </c>
      <c r="J2863" s="1215" t="s">
        <v>511</v>
      </c>
      <c r="K2863" s="1219" t="s">
        <v>3111</v>
      </c>
      <c r="L2863" s="8">
        <v>23</v>
      </c>
      <c r="M2863" s="8">
        <v>100</v>
      </c>
      <c r="N2863" s="1169" t="s">
        <v>274</v>
      </c>
      <c r="P2863" s="6" t="s">
        <v>3322</v>
      </c>
      <c r="Q2863" s="1215" t="s">
        <v>253</v>
      </c>
      <c r="R2863" s="1215" t="s">
        <v>255</v>
      </c>
      <c r="S2863" s="1215" t="s">
        <v>534</v>
      </c>
      <c r="T2863" s="1215" t="s">
        <v>533</v>
      </c>
      <c r="U2863" s="6" t="s">
        <v>535</v>
      </c>
      <c r="V2863" s="6" t="s">
        <v>30</v>
      </c>
    </row>
    <row r="2864" spans="1:22" x14ac:dyDescent="0.3">
      <c r="A2864" s="6" t="s">
        <v>533</v>
      </c>
      <c r="B2864" s="6" t="s">
        <v>534</v>
      </c>
      <c r="C2864" s="6" t="s">
        <v>32</v>
      </c>
      <c r="D2864" s="1088" t="s">
        <v>542</v>
      </c>
      <c r="E2864" s="6" t="s">
        <v>178</v>
      </c>
      <c r="F2864" s="6" t="s">
        <v>543</v>
      </c>
      <c r="G2864" s="6" t="s">
        <v>3231</v>
      </c>
      <c r="H2864" s="6" t="s">
        <v>2778</v>
      </c>
      <c r="J2864" s="1215" t="s">
        <v>511</v>
      </c>
      <c r="K2864" s="1219" t="s">
        <v>3112</v>
      </c>
      <c r="L2864" s="8">
        <v>18</v>
      </c>
      <c r="M2864" s="8">
        <v>183</v>
      </c>
      <c r="N2864" s="1169" t="s">
        <v>274</v>
      </c>
      <c r="P2864" s="6" t="s">
        <v>3322</v>
      </c>
      <c r="Q2864" s="1215" t="s">
        <v>253</v>
      </c>
      <c r="R2864" s="1215" t="s">
        <v>255</v>
      </c>
      <c r="S2864" s="1215" t="s">
        <v>534</v>
      </c>
      <c r="T2864" s="1215" t="s">
        <v>533</v>
      </c>
      <c r="U2864" s="6" t="s">
        <v>535</v>
      </c>
      <c r="V2864" s="6" t="s">
        <v>30</v>
      </c>
    </row>
    <row r="2865" spans="1:24" x14ac:dyDescent="0.3">
      <c r="A2865" s="6" t="s">
        <v>533</v>
      </c>
      <c r="B2865" s="6" t="s">
        <v>534</v>
      </c>
      <c r="C2865" s="6" t="s">
        <v>32</v>
      </c>
      <c r="D2865" s="1088" t="s">
        <v>542</v>
      </c>
      <c r="E2865" s="6" t="s">
        <v>177</v>
      </c>
      <c r="F2865" s="6" t="s">
        <v>777</v>
      </c>
      <c r="G2865" s="6" t="s">
        <v>1695</v>
      </c>
      <c r="H2865" s="6" t="s">
        <v>1259</v>
      </c>
      <c r="J2865" s="1215" t="s">
        <v>511</v>
      </c>
      <c r="K2865" s="1219" t="s">
        <v>3112</v>
      </c>
      <c r="L2865" s="8">
        <v>62</v>
      </c>
      <c r="M2865" s="8">
        <v>646</v>
      </c>
      <c r="N2865" s="1169" t="s">
        <v>272</v>
      </c>
      <c r="P2865" s="6" t="s">
        <v>3324</v>
      </c>
      <c r="Q2865" s="1215" t="s">
        <v>253</v>
      </c>
      <c r="R2865" s="1215" t="s">
        <v>255</v>
      </c>
      <c r="S2865" s="1215" t="s">
        <v>534</v>
      </c>
      <c r="T2865" s="1215" t="s">
        <v>533</v>
      </c>
      <c r="U2865" s="6" t="s">
        <v>542</v>
      </c>
      <c r="V2865" s="6" t="s">
        <v>32</v>
      </c>
      <c r="W2865" s="6" t="s">
        <v>777</v>
      </c>
      <c r="X2865" s="6" t="s">
        <v>177</v>
      </c>
    </row>
    <row r="2866" spans="1:24" x14ac:dyDescent="0.3">
      <c r="A2866" s="6" t="s">
        <v>533</v>
      </c>
      <c r="B2866" s="6" t="s">
        <v>534</v>
      </c>
      <c r="C2866" s="6" t="s">
        <v>32</v>
      </c>
      <c r="D2866" s="1088" t="s">
        <v>542</v>
      </c>
      <c r="E2866" s="6" t="s">
        <v>177</v>
      </c>
      <c r="F2866" s="6" t="s">
        <v>777</v>
      </c>
      <c r="G2866" s="6" t="s">
        <v>1258</v>
      </c>
      <c r="H2866" s="6" t="s">
        <v>887</v>
      </c>
      <c r="J2866" s="1215" t="s">
        <v>511</v>
      </c>
      <c r="K2866" s="1219" t="s">
        <v>3112</v>
      </c>
      <c r="L2866" s="8">
        <v>67</v>
      </c>
      <c r="M2866" s="8">
        <v>565</v>
      </c>
      <c r="N2866" s="1169" t="s">
        <v>272</v>
      </c>
      <c r="P2866" s="6" t="s">
        <v>3324</v>
      </c>
      <c r="Q2866" s="1215" t="s">
        <v>253</v>
      </c>
      <c r="R2866" s="1215" t="s">
        <v>255</v>
      </c>
      <c r="S2866" s="1215" t="s">
        <v>534</v>
      </c>
      <c r="T2866" s="1215" t="s">
        <v>533</v>
      </c>
      <c r="U2866" s="6" t="s">
        <v>542</v>
      </c>
      <c r="V2866" s="6" t="s">
        <v>32</v>
      </c>
      <c r="W2866" s="6" t="s">
        <v>777</v>
      </c>
      <c r="X2866" s="6" t="s">
        <v>177</v>
      </c>
    </row>
    <row r="2867" spans="1:24" x14ac:dyDescent="0.3">
      <c r="A2867" s="6" t="s">
        <v>533</v>
      </c>
      <c r="B2867" s="6" t="s">
        <v>534</v>
      </c>
      <c r="C2867" s="6" t="s">
        <v>32</v>
      </c>
      <c r="D2867" s="1088" t="s">
        <v>542</v>
      </c>
      <c r="E2867" s="6" t="s">
        <v>177</v>
      </c>
      <c r="F2867" s="6" t="s">
        <v>777</v>
      </c>
      <c r="G2867" s="6" t="s">
        <v>886</v>
      </c>
      <c r="H2867" s="6" t="s">
        <v>1041</v>
      </c>
      <c r="J2867" s="1215" t="s">
        <v>511</v>
      </c>
      <c r="K2867" s="1219" t="s">
        <v>3112</v>
      </c>
      <c r="L2867" s="8">
        <v>75</v>
      </c>
      <c r="M2867" s="8">
        <v>900</v>
      </c>
      <c r="N2867" s="1088" t="s">
        <v>272</v>
      </c>
      <c r="P2867" s="6" t="s">
        <v>3324</v>
      </c>
      <c r="Q2867" s="1215" t="s">
        <v>253</v>
      </c>
      <c r="R2867" s="1215" t="s">
        <v>255</v>
      </c>
      <c r="S2867" s="1215" t="s">
        <v>534</v>
      </c>
      <c r="T2867" s="1215" t="s">
        <v>533</v>
      </c>
      <c r="U2867" s="6" t="s">
        <v>542</v>
      </c>
      <c r="V2867" s="6" t="s">
        <v>32</v>
      </c>
      <c r="W2867" s="6" t="s">
        <v>777</v>
      </c>
      <c r="X2867" s="6" t="s">
        <v>177</v>
      </c>
    </row>
    <row r="2868" spans="1:24" x14ac:dyDescent="0.3">
      <c r="A2868" s="6" t="s">
        <v>533</v>
      </c>
      <c r="B2868" s="6" t="s">
        <v>534</v>
      </c>
      <c r="C2868" s="6" t="s">
        <v>31</v>
      </c>
      <c r="D2868" s="1088" t="s">
        <v>549</v>
      </c>
      <c r="E2868" s="6" t="s">
        <v>166</v>
      </c>
      <c r="F2868" s="6" t="s">
        <v>844</v>
      </c>
      <c r="G2868" s="6" t="s">
        <v>2503</v>
      </c>
      <c r="H2868" s="6" t="s">
        <v>1549</v>
      </c>
      <c r="J2868" s="1215" t="s">
        <v>511</v>
      </c>
      <c r="K2868" s="1219" t="s">
        <v>3033</v>
      </c>
      <c r="L2868" s="8">
        <v>197</v>
      </c>
      <c r="M2868" s="8">
        <v>1427</v>
      </c>
      <c r="N2868" s="1088" t="s">
        <v>271</v>
      </c>
      <c r="P2868" s="6" t="s">
        <v>3324</v>
      </c>
      <c r="Q2868" s="1215" t="s">
        <v>253</v>
      </c>
      <c r="R2868" s="1215" t="s">
        <v>255</v>
      </c>
      <c r="S2868" s="1215" t="s">
        <v>534</v>
      </c>
      <c r="T2868" s="1215" t="s">
        <v>533</v>
      </c>
      <c r="U2868" s="6" t="s">
        <v>549</v>
      </c>
      <c r="V2868" s="6" t="s">
        <v>31</v>
      </c>
      <c r="W2868" s="6" t="s">
        <v>844</v>
      </c>
      <c r="X2868" s="6" t="s">
        <v>166</v>
      </c>
    </row>
    <row r="2869" spans="1:24" x14ac:dyDescent="0.3">
      <c r="A2869" s="6" t="s">
        <v>533</v>
      </c>
      <c r="B2869" s="6" t="s">
        <v>534</v>
      </c>
      <c r="C2869" s="6" t="s">
        <v>32</v>
      </c>
      <c r="D2869" s="1088" t="s">
        <v>542</v>
      </c>
      <c r="E2869" s="6" t="s">
        <v>177</v>
      </c>
      <c r="F2869" s="6" t="s">
        <v>777</v>
      </c>
      <c r="G2869" s="6" t="s">
        <v>1040</v>
      </c>
      <c r="H2869" s="6" t="s">
        <v>2287</v>
      </c>
      <c r="J2869" s="1215" t="s">
        <v>511</v>
      </c>
      <c r="K2869" s="1219" t="s">
        <v>3033</v>
      </c>
      <c r="L2869" s="8">
        <v>59</v>
      </c>
      <c r="M2869" s="8">
        <v>181</v>
      </c>
      <c r="N2869" s="1169" t="s">
        <v>272</v>
      </c>
      <c r="P2869" s="6" t="s">
        <v>3324</v>
      </c>
      <c r="Q2869" s="1215" t="s">
        <v>253</v>
      </c>
      <c r="R2869" s="1215" t="s">
        <v>255</v>
      </c>
      <c r="S2869" s="1215" t="s">
        <v>534</v>
      </c>
      <c r="T2869" s="1215" t="s">
        <v>533</v>
      </c>
      <c r="U2869" s="6" t="s">
        <v>542</v>
      </c>
      <c r="V2869" s="6" t="s">
        <v>32</v>
      </c>
      <c r="W2869" s="6" t="s">
        <v>777</v>
      </c>
      <c r="X2869" s="6" t="s">
        <v>177</v>
      </c>
    </row>
    <row r="2870" spans="1:24" x14ac:dyDescent="0.3">
      <c r="A2870" s="6" t="s">
        <v>533</v>
      </c>
      <c r="B2870" s="6" t="s">
        <v>534</v>
      </c>
      <c r="C2870" s="6" t="s">
        <v>32</v>
      </c>
      <c r="D2870" s="1088" t="s">
        <v>542</v>
      </c>
      <c r="E2870" s="6" t="s">
        <v>177</v>
      </c>
      <c r="F2870" s="6" t="s">
        <v>777</v>
      </c>
      <c r="G2870" s="6" t="s">
        <v>1040</v>
      </c>
      <c r="H2870" s="6" t="s">
        <v>2287</v>
      </c>
      <c r="J2870" s="1215" t="s">
        <v>511</v>
      </c>
      <c r="K2870" s="1219" t="s">
        <v>3111</v>
      </c>
      <c r="L2870" s="8">
        <v>0</v>
      </c>
      <c r="M2870" s="8">
        <v>4</v>
      </c>
      <c r="N2870" s="6" t="s">
        <v>272</v>
      </c>
      <c r="P2870" s="6" t="s">
        <v>3324</v>
      </c>
      <c r="Q2870" s="1215" t="s">
        <v>253</v>
      </c>
      <c r="R2870" s="1215" t="s">
        <v>255</v>
      </c>
      <c r="S2870" s="1215" t="s">
        <v>534</v>
      </c>
      <c r="T2870" s="1215" t="s">
        <v>533</v>
      </c>
      <c r="U2870" s="6" t="s">
        <v>542</v>
      </c>
      <c r="V2870" s="6" t="s">
        <v>32</v>
      </c>
      <c r="W2870" s="6" t="s">
        <v>777</v>
      </c>
      <c r="X2870" s="6" t="s">
        <v>177</v>
      </c>
    </row>
    <row r="2871" spans="1:24" x14ac:dyDescent="0.3">
      <c r="A2871" s="6" t="s">
        <v>533</v>
      </c>
      <c r="B2871" s="6" t="s">
        <v>534</v>
      </c>
      <c r="C2871" s="6" t="s">
        <v>35</v>
      </c>
      <c r="D2871" s="1088" t="s">
        <v>567</v>
      </c>
      <c r="E2871" s="6" t="s">
        <v>196</v>
      </c>
      <c r="F2871" s="6" t="s">
        <v>568</v>
      </c>
      <c r="G2871" s="6" t="s">
        <v>569</v>
      </c>
      <c r="H2871" s="6" t="s">
        <v>570</v>
      </c>
      <c r="J2871" s="1215" t="s">
        <v>511</v>
      </c>
      <c r="K2871" s="1219" t="s">
        <v>3112</v>
      </c>
      <c r="L2871" s="8">
        <v>1</v>
      </c>
      <c r="M2871" s="8">
        <v>3</v>
      </c>
      <c r="N2871" s="6" t="s">
        <v>271</v>
      </c>
      <c r="P2871" s="6" t="s">
        <v>3323</v>
      </c>
      <c r="Q2871" s="1215" t="s">
        <v>253</v>
      </c>
      <c r="R2871" s="1215" t="s">
        <v>255</v>
      </c>
      <c r="S2871" s="1215" t="s">
        <v>534</v>
      </c>
      <c r="T2871" s="1215" t="s">
        <v>533</v>
      </c>
      <c r="U2871" s="6" t="s">
        <v>567</v>
      </c>
      <c r="V2871" s="6" t="s">
        <v>35</v>
      </c>
      <c r="W2871" s="6" t="s">
        <v>863</v>
      </c>
      <c r="X2871" s="6" t="s">
        <v>193</v>
      </c>
    </row>
    <row r="2872" spans="1:24" x14ac:dyDescent="0.3">
      <c r="A2872" s="6" t="s">
        <v>533</v>
      </c>
      <c r="B2872" s="6" t="s">
        <v>534</v>
      </c>
      <c r="C2872" s="6" t="s">
        <v>35</v>
      </c>
      <c r="D2872" s="1088" t="s">
        <v>567</v>
      </c>
      <c r="E2872" s="6" t="s">
        <v>196</v>
      </c>
      <c r="F2872" s="6" t="s">
        <v>568</v>
      </c>
      <c r="G2872" s="6" t="s">
        <v>2110</v>
      </c>
      <c r="H2872" s="6" t="s">
        <v>2111</v>
      </c>
      <c r="J2872" s="1215" t="s">
        <v>511</v>
      </c>
      <c r="K2872" s="1219" t="s">
        <v>3111</v>
      </c>
      <c r="L2872" s="8">
        <v>4</v>
      </c>
      <c r="M2872" s="8">
        <v>25</v>
      </c>
      <c r="N2872" s="1169" t="s">
        <v>271</v>
      </c>
      <c r="P2872" s="6" t="s">
        <v>3323</v>
      </c>
      <c r="Q2872" s="1215" t="s">
        <v>253</v>
      </c>
      <c r="R2872" s="1215" t="s">
        <v>255</v>
      </c>
      <c r="S2872" s="1215" t="s">
        <v>534</v>
      </c>
      <c r="T2872" s="1215" t="s">
        <v>533</v>
      </c>
      <c r="U2872" s="6" t="s">
        <v>567</v>
      </c>
      <c r="V2872" s="6" t="s">
        <v>35</v>
      </c>
      <c r="W2872" s="6" t="s">
        <v>863</v>
      </c>
      <c r="X2872" s="6" t="s">
        <v>193</v>
      </c>
    </row>
    <row r="2873" spans="1:24" x14ac:dyDescent="0.3">
      <c r="A2873" s="6" t="s">
        <v>533</v>
      </c>
      <c r="B2873" s="6" t="s">
        <v>534</v>
      </c>
      <c r="C2873" s="6" t="s">
        <v>35</v>
      </c>
      <c r="D2873" s="1088" t="s">
        <v>567</v>
      </c>
      <c r="E2873" s="6" t="s">
        <v>196</v>
      </c>
      <c r="F2873" s="6" t="s">
        <v>568</v>
      </c>
      <c r="G2873" s="6" t="s">
        <v>2110</v>
      </c>
      <c r="H2873" s="6" t="s">
        <v>2111</v>
      </c>
      <c r="J2873" s="1215" t="s">
        <v>511</v>
      </c>
      <c r="K2873" s="1219" t="s">
        <v>3112</v>
      </c>
      <c r="L2873" s="8">
        <v>1</v>
      </c>
      <c r="M2873" s="8">
        <v>3</v>
      </c>
      <c r="N2873" s="1169" t="s">
        <v>271</v>
      </c>
      <c r="P2873" s="6" t="s">
        <v>3323</v>
      </c>
      <c r="Q2873" s="1215" t="s">
        <v>253</v>
      </c>
      <c r="R2873" s="1215" t="s">
        <v>255</v>
      </c>
      <c r="S2873" s="1215" t="s">
        <v>534</v>
      </c>
      <c r="T2873" s="1215" t="s">
        <v>533</v>
      </c>
      <c r="U2873" s="6" t="s">
        <v>567</v>
      </c>
      <c r="V2873" s="6" t="s">
        <v>35</v>
      </c>
      <c r="W2873" s="6" t="s">
        <v>863</v>
      </c>
      <c r="X2873" s="6" t="s">
        <v>193</v>
      </c>
    </row>
    <row r="2874" spans="1:24" x14ac:dyDescent="0.3">
      <c r="A2874" s="6" t="s">
        <v>533</v>
      </c>
      <c r="B2874" s="6" t="s">
        <v>534</v>
      </c>
      <c r="C2874" s="6" t="s">
        <v>35</v>
      </c>
      <c r="D2874" s="1088" t="s">
        <v>567</v>
      </c>
      <c r="E2874" s="6" t="s">
        <v>196</v>
      </c>
      <c r="F2874" s="6" t="s">
        <v>568</v>
      </c>
      <c r="G2874" s="6" t="s">
        <v>2108</v>
      </c>
      <c r="H2874" s="6" t="s">
        <v>2109</v>
      </c>
      <c r="J2874" s="1215" t="s">
        <v>511</v>
      </c>
      <c r="K2874" s="1219" t="s">
        <v>3111</v>
      </c>
      <c r="L2874" s="8">
        <v>14</v>
      </c>
      <c r="M2874" s="8">
        <v>42</v>
      </c>
      <c r="N2874" s="1169" t="s">
        <v>271</v>
      </c>
      <c r="P2874" s="6" t="s">
        <v>3323</v>
      </c>
      <c r="Q2874" s="1215" t="s">
        <v>253</v>
      </c>
      <c r="R2874" s="1215" t="s">
        <v>255</v>
      </c>
      <c r="S2874" s="1215" t="s">
        <v>534</v>
      </c>
      <c r="T2874" s="1215" t="s">
        <v>533</v>
      </c>
      <c r="U2874" s="6" t="s">
        <v>567</v>
      </c>
      <c r="V2874" s="6" t="s">
        <v>35</v>
      </c>
      <c r="W2874" s="6" t="s">
        <v>853</v>
      </c>
      <c r="X2874" s="6" t="s">
        <v>192</v>
      </c>
    </row>
    <row r="2875" spans="1:24" x14ac:dyDescent="0.3">
      <c r="A2875" s="6" t="s">
        <v>533</v>
      </c>
      <c r="B2875" s="6" t="s">
        <v>534</v>
      </c>
      <c r="C2875" s="6" t="s">
        <v>35</v>
      </c>
      <c r="D2875" s="1088" t="s">
        <v>567</v>
      </c>
      <c r="E2875" s="6" t="s">
        <v>196</v>
      </c>
      <c r="F2875" s="6" t="s">
        <v>568</v>
      </c>
      <c r="G2875" s="6" t="s">
        <v>2108</v>
      </c>
      <c r="H2875" s="6" t="s">
        <v>2109</v>
      </c>
      <c r="J2875" s="1215" t="s">
        <v>511</v>
      </c>
      <c r="K2875" s="1219" t="s">
        <v>3112</v>
      </c>
      <c r="L2875" s="8">
        <v>1</v>
      </c>
      <c r="M2875" s="8">
        <v>4</v>
      </c>
      <c r="N2875" s="1169" t="s">
        <v>271</v>
      </c>
      <c r="P2875" s="6" t="s">
        <v>3323</v>
      </c>
      <c r="Q2875" s="1215" t="s">
        <v>253</v>
      </c>
      <c r="R2875" s="1215" t="s">
        <v>255</v>
      </c>
      <c r="S2875" s="1215" t="s">
        <v>534</v>
      </c>
      <c r="T2875" s="1215" t="s">
        <v>533</v>
      </c>
      <c r="U2875" s="6" t="s">
        <v>567</v>
      </c>
      <c r="V2875" s="6" t="s">
        <v>35</v>
      </c>
      <c r="W2875" s="6" t="s">
        <v>853</v>
      </c>
      <c r="X2875" s="6" t="s">
        <v>192</v>
      </c>
    </row>
    <row r="2876" spans="1:24" x14ac:dyDescent="0.3">
      <c r="A2876" s="6" t="s">
        <v>533</v>
      </c>
      <c r="B2876" s="6" t="s">
        <v>534</v>
      </c>
      <c r="C2876" s="6" t="s">
        <v>35</v>
      </c>
      <c r="D2876" s="1088" t="s">
        <v>567</v>
      </c>
      <c r="E2876" s="6" t="s">
        <v>195</v>
      </c>
      <c r="F2876" s="6" t="s">
        <v>733</v>
      </c>
      <c r="G2876" s="6" t="s">
        <v>3213</v>
      </c>
      <c r="H2876" s="6" t="s">
        <v>3070</v>
      </c>
      <c r="J2876" s="1215" t="s">
        <v>511</v>
      </c>
      <c r="K2876" s="1219" t="s">
        <v>3112</v>
      </c>
      <c r="L2876" s="8">
        <v>20</v>
      </c>
      <c r="M2876" s="8">
        <v>90</v>
      </c>
      <c r="N2876" s="1169" t="s">
        <v>271</v>
      </c>
      <c r="P2876" s="6" t="s">
        <v>3324</v>
      </c>
      <c r="Q2876" s="1215" t="s">
        <v>253</v>
      </c>
      <c r="R2876" s="1215" t="s">
        <v>255</v>
      </c>
      <c r="S2876" s="1215" t="s">
        <v>534</v>
      </c>
      <c r="T2876" s="1215" t="s">
        <v>533</v>
      </c>
      <c r="U2876" s="6" t="s">
        <v>567</v>
      </c>
      <c r="V2876" s="6" t="s">
        <v>35</v>
      </c>
      <c r="W2876" s="6" t="s">
        <v>733</v>
      </c>
      <c r="X2876" s="6" t="s">
        <v>195</v>
      </c>
    </row>
    <row r="2877" spans="1:24" x14ac:dyDescent="0.3">
      <c r="A2877" s="6" t="s">
        <v>533</v>
      </c>
      <c r="B2877" s="6" t="s">
        <v>534</v>
      </c>
      <c r="C2877" s="6" t="s">
        <v>35</v>
      </c>
      <c r="D2877" s="1088" t="s">
        <v>567</v>
      </c>
      <c r="E2877" s="6" t="s">
        <v>196</v>
      </c>
      <c r="F2877" s="6" t="s">
        <v>568</v>
      </c>
      <c r="G2877" s="6" t="s">
        <v>2689</v>
      </c>
      <c r="H2877" s="6" t="s">
        <v>672</v>
      </c>
      <c r="J2877" s="1215" t="s">
        <v>511</v>
      </c>
      <c r="K2877" s="1219" t="s">
        <v>3111</v>
      </c>
      <c r="L2877" s="8">
        <v>14</v>
      </c>
      <c r="M2877" s="8">
        <v>66</v>
      </c>
      <c r="N2877" s="1169" t="s">
        <v>271</v>
      </c>
      <c r="P2877" s="6" t="s">
        <v>3323</v>
      </c>
      <c r="Q2877" s="1215" t="s">
        <v>253</v>
      </c>
      <c r="R2877" s="1215" t="s">
        <v>255</v>
      </c>
      <c r="S2877" s="1215" t="s">
        <v>534</v>
      </c>
      <c r="T2877" s="1215" t="s">
        <v>533</v>
      </c>
      <c r="U2877" s="6" t="s">
        <v>567</v>
      </c>
      <c r="V2877" s="6" t="s">
        <v>35</v>
      </c>
      <c r="W2877" s="6" t="s">
        <v>853</v>
      </c>
      <c r="X2877" s="6" t="s">
        <v>192</v>
      </c>
    </row>
    <row r="2878" spans="1:24" x14ac:dyDescent="0.3">
      <c r="A2878" s="6" t="s">
        <v>533</v>
      </c>
      <c r="B2878" s="6" t="s">
        <v>534</v>
      </c>
      <c r="C2878" s="6" t="s">
        <v>35</v>
      </c>
      <c r="D2878" s="1088" t="s">
        <v>567</v>
      </c>
      <c r="E2878" s="6" t="s">
        <v>196</v>
      </c>
      <c r="F2878" s="6" t="s">
        <v>568</v>
      </c>
      <c r="G2878" s="6" t="s">
        <v>2689</v>
      </c>
      <c r="H2878" s="6" t="s">
        <v>672</v>
      </c>
      <c r="J2878" s="1215" t="s">
        <v>511</v>
      </c>
      <c r="K2878" s="1219" t="s">
        <v>3112</v>
      </c>
      <c r="L2878" s="8">
        <v>3</v>
      </c>
      <c r="M2878" s="8">
        <v>23</v>
      </c>
      <c r="N2878" s="1169" t="s">
        <v>271</v>
      </c>
      <c r="P2878" s="6" t="s">
        <v>3322</v>
      </c>
      <c r="Q2878" s="1215" t="s">
        <v>253</v>
      </c>
      <c r="R2878" s="1215" t="s">
        <v>255</v>
      </c>
      <c r="S2878" s="1215" t="s">
        <v>534</v>
      </c>
      <c r="T2878" s="1215" t="s">
        <v>533</v>
      </c>
      <c r="U2878" s="6" t="s">
        <v>539</v>
      </c>
      <c r="V2878" s="6" t="s">
        <v>34</v>
      </c>
    </row>
    <row r="2879" spans="1:24" x14ac:dyDescent="0.3">
      <c r="A2879" s="6" t="s">
        <v>533</v>
      </c>
      <c r="B2879" s="6" t="s">
        <v>534</v>
      </c>
      <c r="C2879" s="6" t="s">
        <v>35</v>
      </c>
      <c r="D2879" s="1088" t="s">
        <v>567</v>
      </c>
      <c r="E2879" s="1088" t="s">
        <v>196</v>
      </c>
      <c r="F2879" s="6" t="s">
        <v>568</v>
      </c>
      <c r="G2879" s="6" t="s">
        <v>2987</v>
      </c>
      <c r="H2879" s="6" t="s">
        <v>2690</v>
      </c>
      <c r="J2879" s="1215" t="s">
        <v>511</v>
      </c>
      <c r="K2879" s="1219" t="s">
        <v>3111</v>
      </c>
      <c r="L2879" s="8">
        <v>4</v>
      </c>
      <c r="M2879" s="8">
        <v>29</v>
      </c>
      <c r="N2879" s="1169" t="s">
        <v>271</v>
      </c>
      <c r="P2879" s="6" t="s">
        <v>3322</v>
      </c>
      <c r="Q2879" s="1215" t="s">
        <v>253</v>
      </c>
      <c r="R2879" s="1215" t="s">
        <v>255</v>
      </c>
      <c r="S2879" s="1215" t="s">
        <v>534</v>
      </c>
      <c r="T2879" s="1215" t="s">
        <v>533</v>
      </c>
      <c r="U2879" s="6" t="s">
        <v>539</v>
      </c>
      <c r="V2879" s="6" t="s">
        <v>34</v>
      </c>
    </row>
    <row r="2880" spans="1:24" x14ac:dyDescent="0.3">
      <c r="A2880" s="6" t="s">
        <v>533</v>
      </c>
      <c r="B2880" s="6" t="s">
        <v>534</v>
      </c>
      <c r="C2880" s="6" t="s">
        <v>35</v>
      </c>
      <c r="D2880" s="1088" t="s">
        <v>567</v>
      </c>
      <c r="E2880" s="6" t="s">
        <v>196</v>
      </c>
      <c r="F2880" s="6" t="s">
        <v>568</v>
      </c>
      <c r="G2880" s="6" t="s">
        <v>2987</v>
      </c>
      <c r="H2880" s="6" t="s">
        <v>2690</v>
      </c>
      <c r="J2880" s="1215" t="s">
        <v>511</v>
      </c>
      <c r="K2880" s="1219" t="s">
        <v>3112</v>
      </c>
      <c r="L2880" s="8">
        <v>1</v>
      </c>
      <c r="M2880" s="8">
        <v>8</v>
      </c>
      <c r="N2880" s="1169" t="s">
        <v>271</v>
      </c>
      <c r="P2880" s="6" t="s">
        <v>3322</v>
      </c>
      <c r="Q2880" s="1215" t="s">
        <v>253</v>
      </c>
      <c r="R2880" s="1215" t="s">
        <v>255</v>
      </c>
      <c r="S2880" s="1215" t="s">
        <v>534</v>
      </c>
      <c r="T2880" s="1215" t="s">
        <v>533</v>
      </c>
      <c r="U2880" s="6" t="s">
        <v>539</v>
      </c>
      <c r="V2880" s="6" t="s">
        <v>34</v>
      </c>
    </row>
    <row r="2881" spans="1:24" x14ac:dyDescent="0.3">
      <c r="A2881" s="6" t="s">
        <v>533</v>
      </c>
      <c r="B2881" s="6" t="s">
        <v>534</v>
      </c>
      <c r="C2881" s="6" t="s">
        <v>35</v>
      </c>
      <c r="D2881" s="1088" t="s">
        <v>567</v>
      </c>
      <c r="E2881" s="6" t="s">
        <v>196</v>
      </c>
      <c r="F2881" s="6" t="s">
        <v>568</v>
      </c>
      <c r="G2881" s="6" t="s">
        <v>671</v>
      </c>
      <c r="H2881" s="6" t="s">
        <v>2107</v>
      </c>
      <c r="J2881" s="1215" t="s">
        <v>511</v>
      </c>
      <c r="K2881" s="1219" t="s">
        <v>3112</v>
      </c>
      <c r="L2881" s="8">
        <v>2</v>
      </c>
      <c r="M2881" s="8">
        <v>13</v>
      </c>
      <c r="N2881" s="1169" t="s">
        <v>271</v>
      </c>
      <c r="P2881" s="6" t="s">
        <v>3323</v>
      </c>
      <c r="Q2881" s="1215" t="s">
        <v>253</v>
      </c>
      <c r="R2881" s="1215" t="s">
        <v>255</v>
      </c>
      <c r="S2881" s="1215" t="s">
        <v>534</v>
      </c>
      <c r="T2881" s="1215" t="s">
        <v>533</v>
      </c>
      <c r="U2881" s="6" t="s">
        <v>567</v>
      </c>
      <c r="V2881" s="6" t="s">
        <v>35</v>
      </c>
      <c r="W2881" s="6" t="s">
        <v>853</v>
      </c>
      <c r="X2881" s="6" t="s">
        <v>192</v>
      </c>
    </row>
    <row r="2882" spans="1:24" x14ac:dyDescent="0.3">
      <c r="A2882" s="6" t="s">
        <v>533</v>
      </c>
      <c r="B2882" s="6" t="s">
        <v>534</v>
      </c>
      <c r="C2882" s="6" t="s">
        <v>31</v>
      </c>
      <c r="D2882" s="1088" t="s">
        <v>549</v>
      </c>
      <c r="E2882" s="6" t="s">
        <v>170</v>
      </c>
      <c r="F2882" s="6" t="s">
        <v>866</v>
      </c>
      <c r="G2882" s="6" t="s">
        <v>879</v>
      </c>
      <c r="H2882" s="6" t="s">
        <v>958</v>
      </c>
      <c r="J2882" s="1215" t="s">
        <v>511</v>
      </c>
      <c r="K2882" s="1219" t="s">
        <v>3112</v>
      </c>
      <c r="L2882" s="8">
        <v>2</v>
      </c>
      <c r="M2882" s="8">
        <v>15</v>
      </c>
      <c r="N2882" s="1169" t="s">
        <v>272</v>
      </c>
      <c r="P2882" s="6" t="s">
        <v>3324</v>
      </c>
      <c r="Q2882" s="1215" t="s">
        <v>253</v>
      </c>
      <c r="R2882" s="1215" t="s">
        <v>255</v>
      </c>
      <c r="S2882" s="1215" t="s">
        <v>534</v>
      </c>
      <c r="T2882" s="1215" t="s">
        <v>533</v>
      </c>
      <c r="U2882" s="6" t="s">
        <v>549</v>
      </c>
      <c r="V2882" s="6" t="s">
        <v>31</v>
      </c>
      <c r="W2882" s="6" t="s">
        <v>866</v>
      </c>
      <c r="X2882" s="6" t="s">
        <v>170</v>
      </c>
    </row>
    <row r="2883" spans="1:24" x14ac:dyDescent="0.3">
      <c r="A2883" s="6" t="s">
        <v>533</v>
      </c>
      <c r="B2883" s="6" t="s">
        <v>534</v>
      </c>
      <c r="C2883" s="6" t="s">
        <v>34</v>
      </c>
      <c r="D2883" s="1088" t="s">
        <v>539</v>
      </c>
      <c r="E2883" s="6" t="s">
        <v>187</v>
      </c>
      <c r="F2883" s="6" t="s">
        <v>951</v>
      </c>
      <c r="G2883" s="6" t="s">
        <v>3005</v>
      </c>
      <c r="H2883" s="6" t="s">
        <v>1612</v>
      </c>
      <c r="J2883" s="1215" t="s">
        <v>511</v>
      </c>
      <c r="K2883" s="1219" t="s">
        <v>3110</v>
      </c>
      <c r="L2883" s="8">
        <v>40</v>
      </c>
      <c r="M2883" s="8">
        <v>314</v>
      </c>
      <c r="N2883" s="1169" t="s">
        <v>271</v>
      </c>
      <c r="P2883" s="6" t="s">
        <v>3324</v>
      </c>
      <c r="Q2883" s="1215" t="s">
        <v>253</v>
      </c>
      <c r="R2883" s="1215" t="s">
        <v>255</v>
      </c>
      <c r="S2883" s="1215" t="s">
        <v>534</v>
      </c>
      <c r="T2883" s="1215" t="s">
        <v>533</v>
      </c>
      <c r="U2883" s="6" t="s">
        <v>539</v>
      </c>
      <c r="V2883" s="6" t="s">
        <v>34</v>
      </c>
      <c r="W2883" s="6" t="s">
        <v>951</v>
      </c>
      <c r="X2883" s="6" t="s">
        <v>187</v>
      </c>
    </row>
    <row r="2884" spans="1:24" x14ac:dyDescent="0.3">
      <c r="A2884" s="6" t="s">
        <v>533</v>
      </c>
      <c r="B2884" s="6" t="s">
        <v>534</v>
      </c>
      <c r="C2884" s="6" t="s">
        <v>35</v>
      </c>
      <c r="D2884" s="1088" t="s">
        <v>567</v>
      </c>
      <c r="E2884" s="6" t="s">
        <v>195</v>
      </c>
      <c r="F2884" s="6" t="s">
        <v>733</v>
      </c>
      <c r="G2884" s="6" t="s">
        <v>1749</v>
      </c>
      <c r="H2884" s="6" t="s">
        <v>1750</v>
      </c>
      <c r="J2884" s="1215" t="s">
        <v>511</v>
      </c>
      <c r="K2884" s="1219" t="s">
        <v>3033</v>
      </c>
      <c r="L2884" s="8">
        <v>5</v>
      </c>
      <c r="M2884" s="8">
        <v>35</v>
      </c>
      <c r="N2884" s="1169" t="s">
        <v>271</v>
      </c>
      <c r="P2884" s="6" t="s">
        <v>3324</v>
      </c>
      <c r="Q2884" s="1215" t="s">
        <v>253</v>
      </c>
      <c r="R2884" s="1215" t="s">
        <v>255</v>
      </c>
      <c r="S2884" s="1215" t="s">
        <v>534</v>
      </c>
      <c r="T2884" s="1215" t="s">
        <v>533</v>
      </c>
      <c r="U2884" s="6" t="s">
        <v>567</v>
      </c>
      <c r="V2884" s="6" t="s">
        <v>35</v>
      </c>
      <c r="W2884" s="6" t="s">
        <v>733</v>
      </c>
      <c r="X2884" s="6" t="s">
        <v>195</v>
      </c>
    </row>
    <row r="2885" spans="1:24" x14ac:dyDescent="0.3">
      <c r="A2885" s="6" t="s">
        <v>533</v>
      </c>
      <c r="B2885" s="6" t="s">
        <v>534</v>
      </c>
      <c r="C2885" s="6" t="s">
        <v>35</v>
      </c>
      <c r="D2885" s="1088" t="s">
        <v>567</v>
      </c>
      <c r="E2885" s="6" t="s">
        <v>195</v>
      </c>
      <c r="F2885" s="6" t="s">
        <v>733</v>
      </c>
      <c r="G2885" s="6" t="s">
        <v>1749</v>
      </c>
      <c r="H2885" s="6" t="s">
        <v>1750</v>
      </c>
      <c r="J2885" s="1215" t="s">
        <v>511</v>
      </c>
      <c r="K2885" s="1219" t="s">
        <v>3110</v>
      </c>
      <c r="L2885" s="8">
        <v>1</v>
      </c>
      <c r="M2885" s="8">
        <v>1</v>
      </c>
      <c r="N2885" s="1169" t="s">
        <v>271</v>
      </c>
      <c r="P2885" s="6" t="s">
        <v>3324</v>
      </c>
      <c r="Q2885" s="1215" t="s">
        <v>253</v>
      </c>
      <c r="R2885" s="1215" t="s">
        <v>255</v>
      </c>
      <c r="S2885" s="1215" t="s">
        <v>534</v>
      </c>
      <c r="T2885" s="1215" t="s">
        <v>533</v>
      </c>
      <c r="U2885" s="6" t="s">
        <v>567</v>
      </c>
      <c r="V2885" s="6" t="s">
        <v>35</v>
      </c>
      <c r="W2885" s="6" t="s">
        <v>733</v>
      </c>
      <c r="X2885" s="6" t="s">
        <v>195</v>
      </c>
    </row>
    <row r="2886" spans="1:24" x14ac:dyDescent="0.3">
      <c r="A2886" s="6" t="s">
        <v>533</v>
      </c>
      <c r="B2886" s="6" t="s">
        <v>534</v>
      </c>
      <c r="C2886" s="6" t="s">
        <v>34</v>
      </c>
      <c r="D2886" s="1088" t="s">
        <v>539</v>
      </c>
      <c r="E2886" s="6" t="s">
        <v>187</v>
      </c>
      <c r="F2886" s="6" t="s">
        <v>951</v>
      </c>
      <c r="G2886" s="6" t="s">
        <v>3017</v>
      </c>
      <c r="H2886" s="6" t="s">
        <v>1616</v>
      </c>
      <c r="J2886" s="1215" t="s">
        <v>511</v>
      </c>
      <c r="K2886" s="1219" t="s">
        <v>3110</v>
      </c>
      <c r="L2886" s="8">
        <v>10</v>
      </c>
      <c r="M2886" s="8">
        <v>50</v>
      </c>
      <c r="N2886" s="1169" t="s">
        <v>271</v>
      </c>
      <c r="P2886" s="6" t="s">
        <v>3324</v>
      </c>
      <c r="Q2886" s="1215" t="s">
        <v>253</v>
      </c>
      <c r="R2886" s="1215" t="s">
        <v>255</v>
      </c>
      <c r="S2886" s="1215" t="s">
        <v>534</v>
      </c>
      <c r="T2886" s="1215" t="s">
        <v>533</v>
      </c>
      <c r="U2886" s="6" t="s">
        <v>539</v>
      </c>
      <c r="V2886" s="6" t="s">
        <v>34</v>
      </c>
      <c r="W2886" s="6" t="s">
        <v>951</v>
      </c>
      <c r="X2886" s="6" t="s">
        <v>187</v>
      </c>
    </row>
    <row r="2887" spans="1:24" x14ac:dyDescent="0.3">
      <c r="A2887" s="6" t="s">
        <v>533</v>
      </c>
      <c r="B2887" s="6" t="s">
        <v>534</v>
      </c>
      <c r="C2887" s="6" t="s">
        <v>34</v>
      </c>
      <c r="D2887" s="1088" t="s">
        <v>539</v>
      </c>
      <c r="E2887" s="6" t="s">
        <v>187</v>
      </c>
      <c r="F2887" s="6" t="s">
        <v>951</v>
      </c>
      <c r="G2887" s="6" t="s">
        <v>3017</v>
      </c>
      <c r="H2887" s="6" t="s">
        <v>1616</v>
      </c>
      <c r="J2887" s="1215" t="s">
        <v>511</v>
      </c>
      <c r="K2887" s="1219" t="s">
        <v>3109</v>
      </c>
      <c r="L2887" s="8">
        <v>0</v>
      </c>
      <c r="M2887" s="8">
        <v>12</v>
      </c>
      <c r="N2887" s="1169" t="s">
        <v>271</v>
      </c>
      <c r="P2887" s="6" t="s">
        <v>3324</v>
      </c>
      <c r="Q2887" s="1215" t="s">
        <v>253</v>
      </c>
      <c r="R2887" s="1215" t="s">
        <v>255</v>
      </c>
      <c r="S2887" s="1215" t="s">
        <v>534</v>
      </c>
      <c r="T2887" s="1215" t="s">
        <v>533</v>
      </c>
      <c r="U2887" s="6" t="s">
        <v>539</v>
      </c>
      <c r="V2887" s="6" t="s">
        <v>34</v>
      </c>
      <c r="W2887" s="6" t="s">
        <v>951</v>
      </c>
      <c r="X2887" s="6" t="s">
        <v>187</v>
      </c>
    </row>
    <row r="2888" spans="1:24" x14ac:dyDescent="0.3">
      <c r="A2888" s="6" t="s">
        <v>533</v>
      </c>
      <c r="B2888" s="6" t="s">
        <v>534</v>
      </c>
      <c r="C2888" s="6" t="s">
        <v>34</v>
      </c>
      <c r="D2888" s="1088" t="s">
        <v>539</v>
      </c>
      <c r="E2888" s="6" t="s">
        <v>187</v>
      </c>
      <c r="F2888" s="6" t="s">
        <v>951</v>
      </c>
      <c r="G2888" s="6" t="s">
        <v>3017</v>
      </c>
      <c r="H2888" s="6" t="s">
        <v>1616</v>
      </c>
      <c r="J2888" s="1215" t="s">
        <v>511</v>
      </c>
      <c r="K2888" s="1219" t="s">
        <v>3033</v>
      </c>
      <c r="L2888" s="8">
        <v>50</v>
      </c>
      <c r="M2888" s="8">
        <v>304</v>
      </c>
      <c r="N2888" s="1169" t="s">
        <v>271</v>
      </c>
      <c r="P2888" s="6" t="s">
        <v>3324</v>
      </c>
      <c r="Q2888" s="1215" t="s">
        <v>253</v>
      </c>
      <c r="R2888" s="1215" t="s">
        <v>255</v>
      </c>
      <c r="S2888" s="1215" t="s">
        <v>534</v>
      </c>
      <c r="T2888" s="1215" t="s">
        <v>533</v>
      </c>
      <c r="U2888" s="6" t="s">
        <v>539</v>
      </c>
      <c r="V2888" s="6" t="s">
        <v>34</v>
      </c>
      <c r="W2888" s="6" t="s">
        <v>951</v>
      </c>
      <c r="X2888" s="6" t="s">
        <v>187</v>
      </c>
    </row>
    <row r="2889" spans="1:24" x14ac:dyDescent="0.3">
      <c r="A2889" s="6" t="s">
        <v>533</v>
      </c>
      <c r="B2889" s="6" t="s">
        <v>534</v>
      </c>
      <c r="C2889" s="6" t="s">
        <v>34</v>
      </c>
      <c r="D2889" s="1088" t="s">
        <v>539</v>
      </c>
      <c r="E2889" s="6" t="s">
        <v>187</v>
      </c>
      <c r="F2889" s="6" t="s">
        <v>951</v>
      </c>
      <c r="G2889" s="6" t="s">
        <v>3017</v>
      </c>
      <c r="H2889" s="6" t="s">
        <v>1616</v>
      </c>
      <c r="J2889" s="1215" t="s">
        <v>511</v>
      </c>
      <c r="K2889" s="1219" t="s">
        <v>3111</v>
      </c>
      <c r="L2889" s="8">
        <v>15</v>
      </c>
      <c r="M2889" s="8">
        <v>80</v>
      </c>
      <c r="N2889" s="1169" t="s">
        <v>271</v>
      </c>
      <c r="P2889" s="6" t="s">
        <v>3324</v>
      </c>
      <c r="Q2889" s="1215" t="s">
        <v>253</v>
      </c>
      <c r="R2889" s="1215" t="s">
        <v>255</v>
      </c>
      <c r="S2889" s="1215" t="s">
        <v>534</v>
      </c>
      <c r="T2889" s="1215" t="s">
        <v>533</v>
      </c>
      <c r="U2889" s="6" t="s">
        <v>539</v>
      </c>
      <c r="V2889" s="6" t="s">
        <v>34</v>
      </c>
      <c r="W2889" s="6" t="s">
        <v>951</v>
      </c>
      <c r="X2889" s="6" t="s">
        <v>187</v>
      </c>
    </row>
    <row r="2890" spans="1:24" x14ac:dyDescent="0.3">
      <c r="A2890" s="6" t="s">
        <v>533</v>
      </c>
      <c r="B2890" s="6" t="s">
        <v>534</v>
      </c>
      <c r="C2890" s="6" t="s">
        <v>34</v>
      </c>
      <c r="D2890" s="1088" t="s">
        <v>539</v>
      </c>
      <c r="E2890" s="6" t="s">
        <v>187</v>
      </c>
      <c r="F2890" s="6" t="s">
        <v>951</v>
      </c>
      <c r="G2890" s="6" t="s">
        <v>3017</v>
      </c>
      <c r="H2890" s="6" t="s">
        <v>1616</v>
      </c>
      <c r="J2890" s="1215" t="s">
        <v>511</v>
      </c>
      <c r="K2890" s="1219" t="s">
        <v>3112</v>
      </c>
      <c r="L2890" s="8">
        <v>0</v>
      </c>
      <c r="M2890" s="8">
        <v>6</v>
      </c>
      <c r="N2890" s="6" t="s">
        <v>271</v>
      </c>
      <c r="P2890" s="6" t="s">
        <v>3324</v>
      </c>
      <c r="Q2890" s="1215" t="s">
        <v>253</v>
      </c>
      <c r="R2890" s="1215" t="s">
        <v>255</v>
      </c>
      <c r="S2890" s="1215" t="s">
        <v>534</v>
      </c>
      <c r="T2890" s="1215" t="s">
        <v>533</v>
      </c>
      <c r="U2890" s="6" t="s">
        <v>539</v>
      </c>
      <c r="V2890" s="6" t="s">
        <v>34</v>
      </c>
      <c r="W2890" s="6" t="s">
        <v>951</v>
      </c>
      <c r="X2890" s="6" t="s">
        <v>187</v>
      </c>
    </row>
    <row r="2891" spans="1:24" x14ac:dyDescent="0.3">
      <c r="A2891" s="6" t="s">
        <v>533</v>
      </c>
      <c r="B2891" s="6" t="s">
        <v>534</v>
      </c>
      <c r="C2891" s="6" t="s">
        <v>32</v>
      </c>
      <c r="D2891" s="1088" t="s">
        <v>542</v>
      </c>
      <c r="E2891" s="6" t="s">
        <v>177</v>
      </c>
      <c r="F2891" s="6" t="s">
        <v>777</v>
      </c>
      <c r="G2891" s="6" t="s">
        <v>1651</v>
      </c>
      <c r="H2891" s="6" t="s">
        <v>1650</v>
      </c>
      <c r="J2891" s="1215" t="s">
        <v>511</v>
      </c>
      <c r="K2891" s="1219" t="s">
        <v>3109</v>
      </c>
      <c r="L2891" s="8">
        <v>45</v>
      </c>
      <c r="M2891" s="8">
        <v>295</v>
      </c>
      <c r="N2891" s="1169" t="s">
        <v>272</v>
      </c>
      <c r="P2891" s="6" t="s">
        <v>3324</v>
      </c>
      <c r="Q2891" s="1215" t="s">
        <v>253</v>
      </c>
      <c r="R2891" s="1215" t="s">
        <v>255</v>
      </c>
      <c r="S2891" s="1215" t="s">
        <v>534</v>
      </c>
      <c r="T2891" s="1215" t="s">
        <v>533</v>
      </c>
      <c r="U2891" s="6" t="s">
        <v>542</v>
      </c>
      <c r="V2891" s="6" t="s">
        <v>32</v>
      </c>
      <c r="W2891" s="6" t="s">
        <v>777</v>
      </c>
      <c r="X2891" s="6" t="s">
        <v>177</v>
      </c>
    </row>
    <row r="2892" spans="1:24" x14ac:dyDescent="0.3">
      <c r="A2892" s="6" t="s">
        <v>533</v>
      </c>
      <c r="B2892" s="6" t="s">
        <v>534</v>
      </c>
      <c r="C2892" s="6" t="s">
        <v>32</v>
      </c>
      <c r="D2892" s="1088" t="s">
        <v>542</v>
      </c>
      <c r="E2892" s="6" t="s">
        <v>177</v>
      </c>
      <c r="F2892" s="6" t="s">
        <v>777</v>
      </c>
      <c r="G2892" s="6" t="s">
        <v>1649</v>
      </c>
      <c r="H2892" s="6" t="s">
        <v>2285</v>
      </c>
      <c r="J2892" s="1215" t="s">
        <v>511</v>
      </c>
      <c r="K2892" s="1219" t="s">
        <v>3112</v>
      </c>
      <c r="L2892" s="8">
        <v>122</v>
      </c>
      <c r="M2892" s="8">
        <v>642</v>
      </c>
      <c r="N2892" s="6" t="s">
        <v>272</v>
      </c>
      <c r="P2892" s="6" t="s">
        <v>3324</v>
      </c>
      <c r="Q2892" s="1215" t="s">
        <v>253</v>
      </c>
      <c r="R2892" s="1215" t="s">
        <v>255</v>
      </c>
      <c r="S2892" s="1215" t="s">
        <v>534</v>
      </c>
      <c r="T2892" s="1215" t="s">
        <v>533</v>
      </c>
      <c r="U2892" s="6" t="s">
        <v>542</v>
      </c>
      <c r="V2892" s="6" t="s">
        <v>32</v>
      </c>
      <c r="W2892" s="6" t="s">
        <v>777</v>
      </c>
      <c r="X2892" s="6" t="s">
        <v>177</v>
      </c>
    </row>
    <row r="2893" spans="1:24" x14ac:dyDescent="0.3">
      <c r="A2893" s="6" t="s">
        <v>533</v>
      </c>
      <c r="B2893" s="6" t="s">
        <v>534</v>
      </c>
      <c r="C2893" s="6" t="s">
        <v>32</v>
      </c>
      <c r="D2893" s="1088" t="s">
        <v>542</v>
      </c>
      <c r="E2893" s="6" t="s">
        <v>177</v>
      </c>
      <c r="F2893" s="6" t="s">
        <v>777</v>
      </c>
      <c r="G2893" s="6" t="s">
        <v>2284</v>
      </c>
      <c r="H2893" s="6" t="s">
        <v>2248</v>
      </c>
      <c r="J2893" s="1215" t="s">
        <v>511</v>
      </c>
      <c r="K2893" s="1219" t="s">
        <v>3112</v>
      </c>
      <c r="L2893" s="8">
        <v>122</v>
      </c>
      <c r="M2893" s="8">
        <v>841</v>
      </c>
      <c r="N2893" s="1169" t="s">
        <v>272</v>
      </c>
      <c r="P2893" s="6" t="s">
        <v>3324</v>
      </c>
      <c r="Q2893" s="1215" t="s">
        <v>253</v>
      </c>
      <c r="R2893" s="1215" t="s">
        <v>255</v>
      </c>
      <c r="S2893" s="1215" t="s">
        <v>534</v>
      </c>
      <c r="T2893" s="1215" t="s">
        <v>533</v>
      </c>
      <c r="U2893" s="6" t="s">
        <v>542</v>
      </c>
      <c r="V2893" s="6" t="s">
        <v>32</v>
      </c>
      <c r="W2893" s="6" t="s">
        <v>777</v>
      </c>
      <c r="X2893" s="6" t="s">
        <v>177</v>
      </c>
    </row>
    <row r="2894" spans="1:24" x14ac:dyDescent="0.3">
      <c r="A2894" s="6" t="s">
        <v>533</v>
      </c>
      <c r="B2894" s="6" t="s">
        <v>534</v>
      </c>
      <c r="C2894" s="6" t="s">
        <v>32</v>
      </c>
      <c r="D2894" s="1088" t="s">
        <v>542</v>
      </c>
      <c r="E2894" s="6" t="s">
        <v>177</v>
      </c>
      <c r="F2894" s="6" t="s">
        <v>777</v>
      </c>
      <c r="G2894" s="6" t="s">
        <v>2247</v>
      </c>
      <c r="H2894" s="6" t="s">
        <v>2775</v>
      </c>
      <c r="J2894" s="1215" t="s">
        <v>511</v>
      </c>
      <c r="K2894" s="1219" t="s">
        <v>3111</v>
      </c>
      <c r="L2894" s="8">
        <v>150</v>
      </c>
      <c r="M2894" s="8">
        <v>511</v>
      </c>
      <c r="N2894" s="1169" t="s">
        <v>272</v>
      </c>
      <c r="P2894" s="6" t="s">
        <v>3324</v>
      </c>
      <c r="Q2894" s="1215" t="s">
        <v>253</v>
      </c>
      <c r="R2894" s="1215" t="s">
        <v>255</v>
      </c>
      <c r="S2894" s="1215" t="s">
        <v>534</v>
      </c>
      <c r="T2894" s="1215" t="s">
        <v>533</v>
      </c>
      <c r="U2894" s="6" t="s">
        <v>542</v>
      </c>
      <c r="V2894" s="6" t="s">
        <v>32</v>
      </c>
      <c r="W2894" s="6" t="s">
        <v>777</v>
      </c>
      <c r="X2894" s="6" t="s">
        <v>177</v>
      </c>
    </row>
    <row r="2895" spans="1:24" x14ac:dyDescent="0.3">
      <c r="A2895" s="6" t="s">
        <v>533</v>
      </c>
      <c r="B2895" s="6" t="s">
        <v>534</v>
      </c>
      <c r="C2895" s="6" t="s">
        <v>32</v>
      </c>
      <c r="D2895" s="1088" t="s">
        <v>542</v>
      </c>
      <c r="E2895" s="6" t="s">
        <v>177</v>
      </c>
      <c r="F2895" s="6" t="s">
        <v>777</v>
      </c>
      <c r="G2895" s="6" t="s">
        <v>2247</v>
      </c>
      <c r="H2895" s="6" t="s">
        <v>2775</v>
      </c>
      <c r="J2895" s="1215" t="s">
        <v>511</v>
      </c>
      <c r="K2895" s="1219" t="s">
        <v>3112</v>
      </c>
      <c r="L2895" s="8">
        <v>30</v>
      </c>
      <c r="M2895" s="8">
        <v>450</v>
      </c>
      <c r="N2895" s="1169" t="s">
        <v>272</v>
      </c>
      <c r="P2895" s="6" t="s">
        <v>3324</v>
      </c>
      <c r="Q2895" s="1215" t="s">
        <v>253</v>
      </c>
      <c r="R2895" s="1215" t="s">
        <v>255</v>
      </c>
      <c r="S2895" s="1215" t="s">
        <v>534</v>
      </c>
      <c r="T2895" s="1215" t="s">
        <v>533</v>
      </c>
      <c r="U2895" s="6" t="s">
        <v>542</v>
      </c>
      <c r="V2895" s="6" t="s">
        <v>32</v>
      </c>
      <c r="W2895" s="6" t="s">
        <v>777</v>
      </c>
      <c r="X2895" s="6" t="s">
        <v>177</v>
      </c>
    </row>
    <row r="2896" spans="1:24" x14ac:dyDescent="0.3">
      <c r="A2896" s="6" t="s">
        <v>533</v>
      </c>
      <c r="B2896" s="6" t="s">
        <v>534</v>
      </c>
      <c r="C2896" s="6" t="s">
        <v>31</v>
      </c>
      <c r="D2896" s="1088" t="s">
        <v>549</v>
      </c>
      <c r="E2896" s="6" t="s">
        <v>169</v>
      </c>
      <c r="F2896" s="6" t="s">
        <v>673</v>
      </c>
      <c r="G2896" s="6" t="s">
        <v>2566</v>
      </c>
      <c r="H2896" s="6" t="s">
        <v>1563</v>
      </c>
      <c r="J2896" s="1215" t="s">
        <v>511</v>
      </c>
      <c r="K2896" s="1219" t="s">
        <v>3111</v>
      </c>
      <c r="L2896" s="8">
        <v>58</v>
      </c>
      <c r="M2896" s="8">
        <v>581</v>
      </c>
      <c r="N2896" s="1169" t="s">
        <v>272</v>
      </c>
      <c r="P2896" s="6" t="s">
        <v>3324</v>
      </c>
      <c r="Q2896" s="1215" t="s">
        <v>253</v>
      </c>
      <c r="R2896" s="1215" t="s">
        <v>255</v>
      </c>
      <c r="S2896" s="1215" t="s">
        <v>534</v>
      </c>
      <c r="T2896" s="1215" t="s">
        <v>533</v>
      </c>
      <c r="U2896" s="6" t="s">
        <v>549</v>
      </c>
      <c r="V2896" s="6" t="s">
        <v>31</v>
      </c>
      <c r="W2896" s="6" t="s">
        <v>673</v>
      </c>
      <c r="X2896" s="6" t="s">
        <v>169</v>
      </c>
    </row>
    <row r="2897" spans="1:24" x14ac:dyDescent="0.3">
      <c r="A2897" s="6" t="s">
        <v>533</v>
      </c>
      <c r="B2897" s="6" t="s">
        <v>534</v>
      </c>
      <c r="C2897" s="6" t="s">
        <v>31</v>
      </c>
      <c r="D2897" s="1088" t="s">
        <v>549</v>
      </c>
      <c r="E2897" s="6" t="s">
        <v>169</v>
      </c>
      <c r="F2897" s="6" t="s">
        <v>673</v>
      </c>
      <c r="G2897" s="6" t="s">
        <v>2844</v>
      </c>
      <c r="H2897" s="6" t="s">
        <v>2055</v>
      </c>
      <c r="J2897" s="1215" t="s">
        <v>511</v>
      </c>
      <c r="K2897" s="1219" t="s">
        <v>3111</v>
      </c>
      <c r="L2897" s="8">
        <v>250</v>
      </c>
      <c r="M2897" s="8">
        <v>2000</v>
      </c>
      <c r="N2897" s="1169" t="s">
        <v>274</v>
      </c>
      <c r="P2897" s="6" t="s">
        <v>3324</v>
      </c>
      <c r="Q2897" s="1215" t="s">
        <v>253</v>
      </c>
      <c r="R2897" s="1215" t="s">
        <v>255</v>
      </c>
      <c r="S2897" s="1215" t="s">
        <v>534</v>
      </c>
      <c r="T2897" s="1215" t="s">
        <v>533</v>
      </c>
      <c r="U2897" s="6" t="s">
        <v>549</v>
      </c>
      <c r="V2897" s="6" t="s">
        <v>31</v>
      </c>
      <c r="W2897" s="6" t="s">
        <v>673</v>
      </c>
      <c r="X2897" s="6" t="s">
        <v>169</v>
      </c>
    </row>
    <row r="2898" spans="1:24" x14ac:dyDescent="0.3">
      <c r="A2898" s="6" t="s">
        <v>533</v>
      </c>
      <c r="B2898" s="6" t="s">
        <v>534</v>
      </c>
      <c r="C2898" s="6" t="s">
        <v>35</v>
      </c>
      <c r="D2898" s="1088" t="s">
        <v>567</v>
      </c>
      <c r="E2898" s="6" t="s">
        <v>195</v>
      </c>
      <c r="F2898" s="6" t="s">
        <v>733</v>
      </c>
      <c r="G2898" s="6" t="s">
        <v>2950</v>
      </c>
      <c r="H2898" s="6" t="s">
        <v>2066</v>
      </c>
      <c r="J2898" s="1215" t="s">
        <v>511</v>
      </c>
      <c r="K2898" s="1219" t="s">
        <v>3033</v>
      </c>
      <c r="L2898" s="8">
        <v>98</v>
      </c>
      <c r="M2898" s="8">
        <v>136</v>
      </c>
      <c r="N2898" s="1169" t="s">
        <v>271</v>
      </c>
      <c r="P2898" s="6" t="s">
        <v>3324</v>
      </c>
      <c r="Q2898" s="1215" t="s">
        <v>253</v>
      </c>
      <c r="R2898" s="1215" t="s">
        <v>255</v>
      </c>
      <c r="S2898" s="1215" t="s">
        <v>534</v>
      </c>
      <c r="T2898" s="1215" t="s">
        <v>533</v>
      </c>
      <c r="U2898" s="6" t="s">
        <v>567</v>
      </c>
      <c r="V2898" s="6" t="s">
        <v>35</v>
      </c>
      <c r="W2898" s="6" t="s">
        <v>733</v>
      </c>
      <c r="X2898" s="6" t="s">
        <v>195</v>
      </c>
    </row>
    <row r="2899" spans="1:24" x14ac:dyDescent="0.3">
      <c r="A2899" s="6" t="s">
        <v>533</v>
      </c>
      <c r="B2899" s="6" t="s">
        <v>534</v>
      </c>
      <c r="C2899" s="6" t="s">
        <v>35</v>
      </c>
      <c r="D2899" s="1088" t="s">
        <v>567</v>
      </c>
      <c r="E2899" s="6" t="s">
        <v>195</v>
      </c>
      <c r="F2899" s="6" t="s">
        <v>733</v>
      </c>
      <c r="G2899" s="6" t="s">
        <v>2950</v>
      </c>
      <c r="H2899" s="6" t="s">
        <v>2066</v>
      </c>
      <c r="J2899" s="1215" t="s">
        <v>511</v>
      </c>
      <c r="K2899" s="1219" t="s">
        <v>3110</v>
      </c>
      <c r="L2899" s="8">
        <v>4</v>
      </c>
      <c r="M2899" s="8">
        <v>18</v>
      </c>
      <c r="N2899" s="1169" t="s">
        <v>271</v>
      </c>
      <c r="P2899" s="6" t="s">
        <v>3324</v>
      </c>
      <c r="Q2899" s="1215" t="s">
        <v>253</v>
      </c>
      <c r="R2899" s="1215" t="s">
        <v>255</v>
      </c>
      <c r="S2899" s="1215" t="s">
        <v>534</v>
      </c>
      <c r="T2899" s="1215" t="s">
        <v>533</v>
      </c>
      <c r="U2899" s="6" t="s">
        <v>567</v>
      </c>
      <c r="V2899" s="6" t="s">
        <v>35</v>
      </c>
      <c r="W2899" s="6" t="s">
        <v>733</v>
      </c>
      <c r="X2899" s="6" t="s">
        <v>195</v>
      </c>
    </row>
    <row r="2900" spans="1:24" x14ac:dyDescent="0.3">
      <c r="A2900" s="6" t="s">
        <v>533</v>
      </c>
      <c r="B2900" s="6" t="s">
        <v>534</v>
      </c>
      <c r="C2900" s="6" t="s">
        <v>35</v>
      </c>
      <c r="D2900" s="1088" t="s">
        <v>567</v>
      </c>
      <c r="E2900" s="6" t="s">
        <v>195</v>
      </c>
      <c r="F2900" s="6" t="s">
        <v>733</v>
      </c>
      <c r="G2900" s="6" t="s">
        <v>1032</v>
      </c>
      <c r="H2900" s="6" t="s">
        <v>1837</v>
      </c>
      <c r="J2900" s="1215" t="s">
        <v>511</v>
      </c>
      <c r="K2900" s="1219" t="s">
        <v>3033</v>
      </c>
      <c r="L2900" s="8">
        <v>1</v>
      </c>
      <c r="M2900" s="8">
        <v>14</v>
      </c>
      <c r="N2900" s="1169" t="s">
        <v>271</v>
      </c>
      <c r="P2900" s="6" t="s">
        <v>3324</v>
      </c>
      <c r="Q2900" s="1215" t="s">
        <v>253</v>
      </c>
      <c r="R2900" s="1215" t="s">
        <v>255</v>
      </c>
      <c r="S2900" s="1215" t="s">
        <v>534</v>
      </c>
      <c r="T2900" s="1215" t="s">
        <v>533</v>
      </c>
      <c r="U2900" s="6" t="s">
        <v>567</v>
      </c>
      <c r="V2900" s="6" t="s">
        <v>35</v>
      </c>
      <c r="W2900" s="6" t="s">
        <v>733</v>
      </c>
      <c r="X2900" s="6" t="s">
        <v>195</v>
      </c>
    </row>
    <row r="2901" spans="1:24" x14ac:dyDescent="0.3">
      <c r="A2901" s="6" t="s">
        <v>533</v>
      </c>
      <c r="B2901" s="6" t="s">
        <v>534</v>
      </c>
      <c r="C2901" s="6" t="s">
        <v>31</v>
      </c>
      <c r="D2901" s="1088" t="s">
        <v>549</v>
      </c>
      <c r="E2901" s="6" t="s">
        <v>173</v>
      </c>
      <c r="F2901" s="6" t="s">
        <v>556</v>
      </c>
      <c r="G2901" s="6" t="s">
        <v>1604</v>
      </c>
      <c r="H2901" s="6" t="s">
        <v>1112</v>
      </c>
      <c r="J2901" s="1215" t="s">
        <v>511</v>
      </c>
      <c r="K2901" s="1219" t="s">
        <v>3111</v>
      </c>
      <c r="L2901" s="8">
        <v>5</v>
      </c>
      <c r="M2901" s="8">
        <v>52</v>
      </c>
      <c r="N2901" s="1169" t="s">
        <v>272</v>
      </c>
      <c r="P2901" s="6" t="s">
        <v>3324</v>
      </c>
      <c r="Q2901" s="1215" t="s">
        <v>253</v>
      </c>
      <c r="R2901" s="1215" t="s">
        <v>255</v>
      </c>
      <c r="S2901" s="1215" t="s">
        <v>534</v>
      </c>
      <c r="T2901" s="1215" t="s">
        <v>533</v>
      </c>
      <c r="U2901" s="6" t="s">
        <v>549</v>
      </c>
      <c r="V2901" s="6" t="s">
        <v>31</v>
      </c>
      <c r="W2901" s="6" t="s">
        <v>556</v>
      </c>
      <c r="X2901" s="6" t="s">
        <v>173</v>
      </c>
    </row>
    <row r="2902" spans="1:24" x14ac:dyDescent="0.3">
      <c r="A2902" s="6" t="s">
        <v>533</v>
      </c>
      <c r="B2902" s="6" t="s">
        <v>534</v>
      </c>
      <c r="C2902" s="6" t="s">
        <v>31</v>
      </c>
      <c r="D2902" s="1088" t="s">
        <v>549</v>
      </c>
      <c r="E2902" s="6" t="s">
        <v>173</v>
      </c>
      <c r="F2902" s="6" t="s">
        <v>556</v>
      </c>
      <c r="G2902" s="6" t="s">
        <v>1105</v>
      </c>
      <c r="H2902" s="6" t="s">
        <v>832</v>
      </c>
      <c r="J2902" s="1215" t="s">
        <v>511</v>
      </c>
      <c r="K2902" s="1219" t="s">
        <v>3111</v>
      </c>
      <c r="L2902" s="8">
        <v>20</v>
      </c>
      <c r="M2902" s="8">
        <v>100</v>
      </c>
      <c r="N2902" s="1169" t="s">
        <v>272</v>
      </c>
      <c r="P2902" s="6" t="s">
        <v>3324</v>
      </c>
      <c r="Q2902" s="1215" t="s">
        <v>253</v>
      </c>
      <c r="R2902" s="1215" t="s">
        <v>255</v>
      </c>
      <c r="S2902" s="1215" t="s">
        <v>534</v>
      </c>
      <c r="T2902" s="1215" t="s">
        <v>533</v>
      </c>
      <c r="U2902" s="6" t="s">
        <v>549</v>
      </c>
      <c r="V2902" s="6" t="s">
        <v>31</v>
      </c>
      <c r="W2902" s="6" t="s">
        <v>556</v>
      </c>
      <c r="X2902" s="6" t="s">
        <v>173</v>
      </c>
    </row>
    <row r="2903" spans="1:24" x14ac:dyDescent="0.3">
      <c r="A2903" s="6" t="s">
        <v>533</v>
      </c>
      <c r="B2903" s="6" t="s">
        <v>534</v>
      </c>
      <c r="C2903" s="6" t="s">
        <v>31</v>
      </c>
      <c r="D2903" s="1088" t="s">
        <v>549</v>
      </c>
      <c r="E2903" s="6" t="s">
        <v>173</v>
      </c>
      <c r="F2903" s="6" t="s">
        <v>556</v>
      </c>
      <c r="G2903" s="6" t="s">
        <v>559</v>
      </c>
      <c r="H2903" s="6" t="s">
        <v>1442</v>
      </c>
      <c r="J2903" s="1215" t="s">
        <v>511</v>
      </c>
      <c r="K2903" s="1219" t="s">
        <v>3112</v>
      </c>
      <c r="L2903" s="8">
        <v>4</v>
      </c>
      <c r="M2903" s="8">
        <v>28</v>
      </c>
      <c r="N2903" s="1215" t="s">
        <v>273</v>
      </c>
      <c r="O2903" s="1215" t="s">
        <v>3382</v>
      </c>
      <c r="P2903" s="6" t="s">
        <v>3324</v>
      </c>
      <c r="Q2903" s="1215" t="s">
        <v>253</v>
      </c>
      <c r="R2903" s="1215" t="s">
        <v>255</v>
      </c>
      <c r="S2903" s="1215" t="s">
        <v>534</v>
      </c>
      <c r="T2903" s="1215" t="s">
        <v>533</v>
      </c>
      <c r="U2903" s="6" t="s">
        <v>549</v>
      </c>
      <c r="V2903" s="6" t="s">
        <v>31</v>
      </c>
      <c r="W2903" s="6" t="s">
        <v>556</v>
      </c>
      <c r="X2903" s="6" t="s">
        <v>173</v>
      </c>
    </row>
    <row r="2904" spans="1:24" x14ac:dyDescent="0.3">
      <c r="A2904" s="6" t="s">
        <v>533</v>
      </c>
      <c r="B2904" s="6" t="s">
        <v>534</v>
      </c>
      <c r="C2904" s="6" t="s">
        <v>35</v>
      </c>
      <c r="D2904" s="1088" t="s">
        <v>567</v>
      </c>
      <c r="E2904" s="6" t="s">
        <v>195</v>
      </c>
      <c r="F2904" s="6" t="s">
        <v>733</v>
      </c>
      <c r="G2904" s="6" t="s">
        <v>1620</v>
      </c>
      <c r="H2904" s="6" t="s">
        <v>2096</v>
      </c>
      <c r="J2904" s="1215" t="s">
        <v>511</v>
      </c>
      <c r="K2904" s="1219" t="s">
        <v>3109</v>
      </c>
      <c r="L2904" s="8">
        <v>70</v>
      </c>
      <c r="M2904" s="8">
        <v>356</v>
      </c>
      <c r="N2904" s="1169" t="s">
        <v>271</v>
      </c>
      <c r="P2904" s="6" t="s">
        <v>3324</v>
      </c>
      <c r="Q2904" s="1215" t="s">
        <v>253</v>
      </c>
      <c r="R2904" s="1215" t="s">
        <v>255</v>
      </c>
      <c r="S2904" s="1215" t="s">
        <v>534</v>
      </c>
      <c r="T2904" s="1215" t="s">
        <v>533</v>
      </c>
      <c r="U2904" s="6" t="s">
        <v>567</v>
      </c>
      <c r="V2904" s="6" t="s">
        <v>35</v>
      </c>
      <c r="W2904" s="6" t="s">
        <v>733</v>
      </c>
      <c r="X2904" s="6" t="s">
        <v>195</v>
      </c>
    </row>
    <row r="2905" spans="1:24" x14ac:dyDescent="0.3">
      <c r="A2905" s="6" t="s">
        <v>533</v>
      </c>
      <c r="B2905" s="6" t="s">
        <v>534</v>
      </c>
      <c r="C2905" s="6" t="s">
        <v>32</v>
      </c>
      <c r="D2905" s="1088" t="s">
        <v>542</v>
      </c>
      <c r="E2905" s="6" t="s">
        <v>178</v>
      </c>
      <c r="F2905" s="6" t="s">
        <v>543</v>
      </c>
      <c r="G2905" s="6" t="s">
        <v>963</v>
      </c>
      <c r="H2905" s="6" t="s">
        <v>3304</v>
      </c>
      <c r="J2905" s="1215" t="s">
        <v>511</v>
      </c>
      <c r="K2905" s="1219" t="s">
        <v>3033</v>
      </c>
      <c r="L2905" s="8">
        <v>29</v>
      </c>
      <c r="M2905" s="8">
        <v>203</v>
      </c>
      <c r="N2905" s="1169" t="s">
        <v>272</v>
      </c>
      <c r="P2905" s="6" t="s">
        <v>3322</v>
      </c>
      <c r="Q2905" s="1215" t="s">
        <v>253</v>
      </c>
      <c r="R2905" s="1215" t="s">
        <v>255</v>
      </c>
      <c r="S2905" s="1215" t="s">
        <v>534</v>
      </c>
      <c r="T2905" s="1215" t="s">
        <v>533</v>
      </c>
      <c r="U2905" s="6" t="s">
        <v>549</v>
      </c>
      <c r="V2905" s="6" t="s">
        <v>31</v>
      </c>
    </row>
    <row r="2906" spans="1:24" x14ac:dyDescent="0.3">
      <c r="A2906" s="6" t="s">
        <v>533</v>
      </c>
      <c r="B2906" s="6" t="s">
        <v>534</v>
      </c>
      <c r="C2906" s="6" t="s">
        <v>32</v>
      </c>
      <c r="D2906" s="1088" t="s">
        <v>542</v>
      </c>
      <c r="E2906" s="6" t="s">
        <v>178</v>
      </c>
      <c r="F2906" s="6" t="s">
        <v>543</v>
      </c>
      <c r="G2906" s="6" t="s">
        <v>963</v>
      </c>
      <c r="H2906" s="6" t="s">
        <v>3304</v>
      </c>
      <c r="J2906" s="1215" t="s">
        <v>511</v>
      </c>
      <c r="K2906" s="1219" t="s">
        <v>3109</v>
      </c>
      <c r="L2906" s="8">
        <v>0</v>
      </c>
      <c r="M2906" s="8">
        <v>18</v>
      </c>
      <c r="N2906" s="1169" t="s">
        <v>272</v>
      </c>
      <c r="P2906" s="6" t="s">
        <v>3322</v>
      </c>
      <c r="Q2906" s="1215" t="s">
        <v>253</v>
      </c>
      <c r="R2906" s="1215" t="s">
        <v>255</v>
      </c>
      <c r="S2906" s="1215" t="s">
        <v>534</v>
      </c>
      <c r="T2906" s="1215" t="s">
        <v>533</v>
      </c>
      <c r="U2906" s="6" t="s">
        <v>549</v>
      </c>
      <c r="V2906" s="6" t="s">
        <v>31</v>
      </c>
    </row>
    <row r="2907" spans="1:24" x14ac:dyDescent="0.3">
      <c r="A2907" s="6" t="s">
        <v>533</v>
      </c>
      <c r="B2907" s="6" t="s">
        <v>534</v>
      </c>
      <c r="C2907" s="6" t="s">
        <v>32</v>
      </c>
      <c r="D2907" s="1088" t="s">
        <v>542</v>
      </c>
      <c r="E2907" s="6" t="s">
        <v>178</v>
      </c>
      <c r="F2907" s="6" t="s">
        <v>543</v>
      </c>
      <c r="G2907" s="6" t="s">
        <v>963</v>
      </c>
      <c r="H2907" s="6" t="s">
        <v>3304</v>
      </c>
      <c r="J2907" s="1215" t="s">
        <v>511</v>
      </c>
      <c r="K2907" s="1219" t="s">
        <v>3110</v>
      </c>
      <c r="L2907" s="8">
        <v>0</v>
      </c>
      <c r="M2907" s="8">
        <v>6</v>
      </c>
      <c r="N2907" s="1169" t="s">
        <v>272</v>
      </c>
      <c r="P2907" s="6" t="s">
        <v>3322</v>
      </c>
      <c r="Q2907" s="1215" t="s">
        <v>253</v>
      </c>
      <c r="R2907" s="1215" t="s">
        <v>255</v>
      </c>
      <c r="S2907" s="1215" t="s">
        <v>534</v>
      </c>
      <c r="T2907" s="1215" t="s">
        <v>533</v>
      </c>
      <c r="U2907" s="6" t="s">
        <v>549</v>
      </c>
      <c r="V2907" s="6" t="s">
        <v>31</v>
      </c>
    </row>
    <row r="2908" spans="1:24" x14ac:dyDescent="0.3">
      <c r="A2908" s="6" t="s">
        <v>533</v>
      </c>
      <c r="B2908" s="6" t="s">
        <v>534</v>
      </c>
      <c r="C2908" s="6" t="s">
        <v>32</v>
      </c>
      <c r="D2908" s="1088" t="s">
        <v>542</v>
      </c>
      <c r="E2908" s="6" t="s">
        <v>178</v>
      </c>
      <c r="F2908" s="6" t="s">
        <v>543</v>
      </c>
      <c r="G2908" s="6" t="s">
        <v>963</v>
      </c>
      <c r="H2908" s="6" t="s">
        <v>3304</v>
      </c>
      <c r="J2908" s="1215" t="s">
        <v>511</v>
      </c>
      <c r="K2908" s="1219" t="s">
        <v>3111</v>
      </c>
      <c r="L2908" s="8">
        <v>0</v>
      </c>
      <c r="M2908" s="8">
        <v>4</v>
      </c>
      <c r="N2908" s="1169" t="s">
        <v>272</v>
      </c>
      <c r="P2908" s="6" t="s">
        <v>3322</v>
      </c>
      <c r="Q2908" s="1215" t="s">
        <v>253</v>
      </c>
      <c r="R2908" s="1215" t="s">
        <v>255</v>
      </c>
      <c r="S2908" s="1215" t="s">
        <v>534</v>
      </c>
      <c r="T2908" s="1215" t="s">
        <v>533</v>
      </c>
      <c r="U2908" s="6" t="s">
        <v>549</v>
      </c>
      <c r="V2908" s="6" t="s">
        <v>31</v>
      </c>
    </row>
    <row r="2909" spans="1:24" x14ac:dyDescent="0.3">
      <c r="A2909" s="6" t="s">
        <v>533</v>
      </c>
      <c r="B2909" s="6" t="s">
        <v>534</v>
      </c>
      <c r="C2909" s="6" t="s">
        <v>32</v>
      </c>
      <c r="D2909" s="1088" t="s">
        <v>542</v>
      </c>
      <c r="E2909" s="6" t="s">
        <v>178</v>
      </c>
      <c r="F2909" s="6" t="s">
        <v>543</v>
      </c>
      <c r="G2909" s="6" t="s">
        <v>963</v>
      </c>
      <c r="H2909" s="6" t="s">
        <v>3304</v>
      </c>
      <c r="J2909" s="1215" t="s">
        <v>511</v>
      </c>
      <c r="K2909" s="1219" t="s">
        <v>3112</v>
      </c>
      <c r="L2909" s="8">
        <v>0</v>
      </c>
      <c r="M2909" s="8">
        <v>2</v>
      </c>
      <c r="N2909" s="6" t="s">
        <v>272</v>
      </c>
      <c r="P2909" s="6" t="s">
        <v>3322</v>
      </c>
      <c r="Q2909" s="1215" t="s">
        <v>253</v>
      </c>
      <c r="R2909" s="1215" t="s">
        <v>255</v>
      </c>
      <c r="S2909" s="1215" t="s">
        <v>534</v>
      </c>
      <c r="T2909" s="1215" t="s">
        <v>533</v>
      </c>
      <c r="U2909" s="6" t="s">
        <v>549</v>
      </c>
      <c r="V2909" s="6" t="s">
        <v>31</v>
      </c>
    </row>
    <row r="2910" spans="1:24" x14ac:dyDescent="0.3">
      <c r="A2910" s="6" t="s">
        <v>533</v>
      </c>
      <c r="B2910" s="6" t="s">
        <v>534</v>
      </c>
      <c r="C2910" s="6" t="s">
        <v>32</v>
      </c>
      <c r="D2910" s="1088" t="s">
        <v>542</v>
      </c>
      <c r="E2910" s="6" t="s">
        <v>178</v>
      </c>
      <c r="F2910" s="6" t="s">
        <v>543</v>
      </c>
      <c r="G2910" s="6" t="s">
        <v>550</v>
      </c>
      <c r="H2910" s="6" t="s">
        <v>3145</v>
      </c>
      <c r="I2910" s="6" t="s">
        <v>3145</v>
      </c>
      <c r="J2910" s="1215" t="s">
        <v>511</v>
      </c>
      <c r="K2910" s="1219" t="s">
        <v>3112</v>
      </c>
      <c r="L2910" s="8">
        <v>23</v>
      </c>
      <c r="M2910" s="8">
        <v>175</v>
      </c>
      <c r="N2910" s="1169" t="s">
        <v>274</v>
      </c>
      <c r="P2910" s="6" t="s">
        <v>3322</v>
      </c>
      <c r="Q2910" s="1215" t="s">
        <v>253</v>
      </c>
      <c r="R2910" s="1215" t="s">
        <v>255</v>
      </c>
      <c r="S2910" s="1215" t="s">
        <v>534</v>
      </c>
      <c r="T2910" s="1215" t="s">
        <v>533</v>
      </c>
      <c r="U2910" s="6" t="s">
        <v>535</v>
      </c>
      <c r="V2910" s="6" t="s">
        <v>30</v>
      </c>
    </row>
    <row r="2911" spans="1:24" x14ac:dyDescent="0.3">
      <c r="A2911" s="6" t="s">
        <v>533</v>
      </c>
      <c r="B2911" s="6" t="s">
        <v>534</v>
      </c>
      <c r="C2911" s="6" t="s">
        <v>35</v>
      </c>
      <c r="D2911" s="1088" t="s">
        <v>567</v>
      </c>
      <c r="E2911" s="6" t="s">
        <v>195</v>
      </c>
      <c r="F2911" s="6" t="s">
        <v>733</v>
      </c>
      <c r="G2911" s="6" t="s">
        <v>2921</v>
      </c>
      <c r="H2911" s="6" t="s">
        <v>2094</v>
      </c>
      <c r="J2911" s="1215" t="s">
        <v>511</v>
      </c>
      <c r="K2911" s="1219" t="s">
        <v>3033</v>
      </c>
      <c r="L2911" s="8">
        <v>70</v>
      </c>
      <c r="M2911" s="8">
        <v>356</v>
      </c>
      <c r="N2911" s="1169" t="s">
        <v>271</v>
      </c>
      <c r="P2911" s="6" t="s">
        <v>3324</v>
      </c>
      <c r="Q2911" s="1215" t="s">
        <v>253</v>
      </c>
      <c r="R2911" s="1215" t="s">
        <v>255</v>
      </c>
      <c r="S2911" s="1215" t="s">
        <v>534</v>
      </c>
      <c r="T2911" s="1215" t="s">
        <v>533</v>
      </c>
      <c r="U2911" s="6" t="s">
        <v>567</v>
      </c>
      <c r="V2911" s="6" t="s">
        <v>35</v>
      </c>
      <c r="W2911" s="6" t="s">
        <v>733</v>
      </c>
      <c r="X2911" s="6" t="s">
        <v>195</v>
      </c>
    </row>
    <row r="2912" spans="1:24" x14ac:dyDescent="0.3">
      <c r="A2912" s="6" t="s">
        <v>533</v>
      </c>
      <c r="B2912" s="6" t="s">
        <v>534</v>
      </c>
      <c r="C2912" s="6" t="s">
        <v>35</v>
      </c>
      <c r="D2912" s="1088" t="s">
        <v>567</v>
      </c>
      <c r="E2912" s="6" t="s">
        <v>195</v>
      </c>
      <c r="F2912" s="6" t="s">
        <v>733</v>
      </c>
      <c r="G2912" s="6" t="s">
        <v>3023</v>
      </c>
      <c r="H2912" s="6" t="s">
        <v>1797</v>
      </c>
      <c r="J2912" s="1215" t="s">
        <v>511</v>
      </c>
      <c r="K2912" s="1219" t="s">
        <v>3033</v>
      </c>
      <c r="L2912" s="8">
        <v>19</v>
      </c>
      <c r="M2912" s="8">
        <v>75</v>
      </c>
      <c r="N2912" s="1088" t="s">
        <v>271</v>
      </c>
      <c r="P2912" s="6" t="s">
        <v>3324</v>
      </c>
      <c r="Q2912" s="1215" t="s">
        <v>253</v>
      </c>
      <c r="R2912" s="1215" t="s">
        <v>255</v>
      </c>
      <c r="S2912" s="1215" t="s">
        <v>534</v>
      </c>
      <c r="T2912" s="1215" t="s">
        <v>533</v>
      </c>
      <c r="U2912" s="6" t="s">
        <v>567</v>
      </c>
      <c r="V2912" s="6" t="s">
        <v>35</v>
      </c>
      <c r="W2912" s="6" t="s">
        <v>733</v>
      </c>
      <c r="X2912" s="6" t="s">
        <v>195</v>
      </c>
    </row>
    <row r="2913" spans="1:24" x14ac:dyDescent="0.3">
      <c r="A2913" s="6" t="s">
        <v>533</v>
      </c>
      <c r="B2913" s="6" t="s">
        <v>534</v>
      </c>
      <c r="C2913" s="6" t="s">
        <v>31</v>
      </c>
      <c r="D2913" s="1088" t="s">
        <v>549</v>
      </c>
      <c r="E2913" s="6" t="s">
        <v>166</v>
      </c>
      <c r="F2913" s="6" t="s">
        <v>844</v>
      </c>
      <c r="G2913" s="6" t="s">
        <v>550</v>
      </c>
      <c r="H2913" s="6" t="s">
        <v>3146</v>
      </c>
      <c r="I2913" s="6" t="s">
        <v>3146</v>
      </c>
      <c r="J2913" s="1215" t="s">
        <v>511</v>
      </c>
      <c r="K2913" s="1219" t="s">
        <v>3112</v>
      </c>
      <c r="L2913" s="8">
        <v>12</v>
      </c>
      <c r="M2913" s="8">
        <v>67</v>
      </c>
      <c r="N2913" s="1088" t="s">
        <v>271</v>
      </c>
      <c r="P2913" s="6" t="s">
        <v>3324</v>
      </c>
      <c r="Q2913" s="1215" t="s">
        <v>253</v>
      </c>
      <c r="R2913" s="1215" t="s">
        <v>255</v>
      </c>
      <c r="S2913" s="1215" t="s">
        <v>534</v>
      </c>
      <c r="T2913" s="1215" t="s">
        <v>533</v>
      </c>
      <c r="U2913" s="6" t="s">
        <v>549</v>
      </c>
      <c r="V2913" s="6" t="s">
        <v>31</v>
      </c>
      <c r="W2913" s="6" t="s">
        <v>844</v>
      </c>
      <c r="X2913" s="6" t="s">
        <v>166</v>
      </c>
    </row>
    <row r="2914" spans="1:24" x14ac:dyDescent="0.3">
      <c r="A2914" s="6" t="s">
        <v>533</v>
      </c>
      <c r="B2914" s="6" t="s">
        <v>534</v>
      </c>
      <c r="C2914" s="6" t="s">
        <v>35</v>
      </c>
      <c r="D2914" s="1088" t="s">
        <v>567</v>
      </c>
      <c r="E2914" s="6" t="s">
        <v>195</v>
      </c>
      <c r="F2914" s="6" t="s">
        <v>733</v>
      </c>
      <c r="G2914" s="6" t="s">
        <v>1622</v>
      </c>
      <c r="H2914" s="6" t="s">
        <v>1942</v>
      </c>
      <c r="J2914" s="1215" t="s">
        <v>511</v>
      </c>
      <c r="K2914" s="1219" t="s">
        <v>3112</v>
      </c>
      <c r="L2914" s="8">
        <v>2</v>
      </c>
      <c r="M2914" s="8">
        <v>18</v>
      </c>
      <c r="N2914" s="1088" t="s">
        <v>271</v>
      </c>
      <c r="P2914" s="6" t="s">
        <v>3323</v>
      </c>
      <c r="Q2914" s="1215" t="s">
        <v>253</v>
      </c>
      <c r="R2914" s="1215" t="s">
        <v>255</v>
      </c>
      <c r="S2914" s="1215" t="s">
        <v>534</v>
      </c>
      <c r="T2914" s="1215" t="s">
        <v>533</v>
      </c>
      <c r="U2914" s="6" t="s">
        <v>567</v>
      </c>
      <c r="V2914" s="6" t="s">
        <v>35</v>
      </c>
      <c r="W2914" s="6" t="s">
        <v>863</v>
      </c>
      <c r="X2914" s="6" t="s">
        <v>193</v>
      </c>
    </row>
    <row r="2915" spans="1:24" x14ac:dyDescent="0.3">
      <c r="A2915" s="6" t="s">
        <v>533</v>
      </c>
      <c r="B2915" s="6" t="s">
        <v>534</v>
      </c>
      <c r="C2915" s="6" t="s">
        <v>35</v>
      </c>
      <c r="D2915" s="1088" t="s">
        <v>567</v>
      </c>
      <c r="E2915" s="6" t="s">
        <v>195</v>
      </c>
      <c r="F2915" s="6" t="s">
        <v>733</v>
      </c>
      <c r="G2915" s="6" t="s">
        <v>1747</v>
      </c>
      <c r="H2915" s="6" t="s">
        <v>1748</v>
      </c>
      <c r="J2915" s="1215" t="s">
        <v>511</v>
      </c>
      <c r="K2915" s="1219" t="s">
        <v>3033</v>
      </c>
      <c r="L2915" s="8">
        <v>8</v>
      </c>
      <c r="M2915" s="8">
        <v>50</v>
      </c>
      <c r="N2915" s="1169" t="s">
        <v>271</v>
      </c>
      <c r="P2915" s="6" t="s">
        <v>3324</v>
      </c>
      <c r="Q2915" s="1215" t="s">
        <v>253</v>
      </c>
      <c r="R2915" s="1215" t="s">
        <v>255</v>
      </c>
      <c r="S2915" s="1215" t="s">
        <v>534</v>
      </c>
      <c r="T2915" s="1215" t="s">
        <v>533</v>
      </c>
      <c r="U2915" s="6" t="s">
        <v>567</v>
      </c>
      <c r="V2915" s="6" t="s">
        <v>35</v>
      </c>
      <c r="W2915" s="6" t="s">
        <v>733</v>
      </c>
      <c r="X2915" s="6" t="s">
        <v>195</v>
      </c>
    </row>
    <row r="2916" spans="1:24" x14ac:dyDescent="0.3">
      <c r="A2916" s="6" t="s">
        <v>533</v>
      </c>
      <c r="B2916" s="6" t="s">
        <v>534</v>
      </c>
      <c r="C2916" s="6" t="s">
        <v>35</v>
      </c>
      <c r="D2916" s="1088" t="s">
        <v>567</v>
      </c>
      <c r="E2916" s="6" t="s">
        <v>195</v>
      </c>
      <c r="F2916" s="6" t="s">
        <v>733</v>
      </c>
      <c r="G2916" s="6" t="s">
        <v>1906</v>
      </c>
      <c r="H2916" s="6" t="s">
        <v>1839</v>
      </c>
      <c r="J2916" s="1215" t="s">
        <v>511</v>
      </c>
      <c r="K2916" s="1219" t="s">
        <v>3033</v>
      </c>
      <c r="L2916" s="8">
        <v>3</v>
      </c>
      <c r="M2916" s="8">
        <v>9</v>
      </c>
      <c r="N2916" s="6" t="s">
        <v>271</v>
      </c>
      <c r="P2916" s="6" t="s">
        <v>3324</v>
      </c>
      <c r="Q2916" s="1215" t="s">
        <v>253</v>
      </c>
      <c r="R2916" s="1215" t="s">
        <v>255</v>
      </c>
      <c r="S2916" s="1215" t="s">
        <v>534</v>
      </c>
      <c r="T2916" s="1215" t="s">
        <v>533</v>
      </c>
      <c r="U2916" s="6" t="s">
        <v>567</v>
      </c>
      <c r="V2916" s="6" t="s">
        <v>35</v>
      </c>
      <c r="W2916" s="6" t="s">
        <v>733</v>
      </c>
      <c r="X2916" s="6" t="s">
        <v>195</v>
      </c>
    </row>
    <row r="2917" spans="1:24" x14ac:dyDescent="0.3">
      <c r="A2917" s="6" t="s">
        <v>533</v>
      </c>
      <c r="B2917" s="6" t="s">
        <v>534</v>
      </c>
      <c r="C2917" s="6" t="s">
        <v>31</v>
      </c>
      <c r="D2917" s="1088" t="s">
        <v>549</v>
      </c>
      <c r="E2917" s="6" t="s">
        <v>172</v>
      </c>
      <c r="F2917" s="6" t="s">
        <v>706</v>
      </c>
      <c r="G2917" s="6" t="s">
        <v>2887</v>
      </c>
      <c r="H2917" s="6" t="s">
        <v>1165</v>
      </c>
      <c r="J2917" s="1215" t="s">
        <v>511</v>
      </c>
      <c r="K2917" s="1219" t="s">
        <v>3033</v>
      </c>
      <c r="L2917" s="8">
        <v>17</v>
      </c>
      <c r="M2917" s="8">
        <v>93</v>
      </c>
      <c r="N2917" s="6" t="s">
        <v>271</v>
      </c>
      <c r="P2917" s="6" t="s">
        <v>3324</v>
      </c>
      <c r="Q2917" s="1215" t="s">
        <v>253</v>
      </c>
      <c r="R2917" s="1215" t="s">
        <v>255</v>
      </c>
      <c r="S2917" s="1215" t="s">
        <v>534</v>
      </c>
      <c r="T2917" s="1215" t="s">
        <v>533</v>
      </c>
      <c r="U2917" s="6" t="s">
        <v>549</v>
      </c>
      <c r="V2917" s="6" t="s">
        <v>31</v>
      </c>
      <c r="W2917" s="6" t="s">
        <v>706</v>
      </c>
      <c r="X2917" s="6" t="s">
        <v>172</v>
      </c>
    </row>
    <row r="2918" spans="1:24" x14ac:dyDescent="0.3">
      <c r="A2918" s="6" t="s">
        <v>533</v>
      </c>
      <c r="B2918" s="6" t="s">
        <v>534</v>
      </c>
      <c r="C2918" s="6" t="s">
        <v>31</v>
      </c>
      <c r="D2918" s="1088" t="s">
        <v>549</v>
      </c>
      <c r="E2918" s="6" t="s">
        <v>172</v>
      </c>
      <c r="F2918" s="6" t="s">
        <v>706</v>
      </c>
      <c r="G2918" s="6" t="s">
        <v>2887</v>
      </c>
      <c r="H2918" s="6" t="s">
        <v>1165</v>
      </c>
      <c r="J2918" s="1215" t="s">
        <v>511</v>
      </c>
      <c r="K2918" s="1219" t="s">
        <v>3112</v>
      </c>
      <c r="L2918" s="8">
        <v>0</v>
      </c>
      <c r="M2918" s="8">
        <v>5</v>
      </c>
      <c r="N2918" s="6" t="s">
        <v>271</v>
      </c>
      <c r="P2918" s="6" t="s">
        <v>3324</v>
      </c>
      <c r="Q2918" s="1215" t="s">
        <v>253</v>
      </c>
      <c r="R2918" s="1215" t="s">
        <v>255</v>
      </c>
      <c r="S2918" s="1215" t="s">
        <v>534</v>
      </c>
      <c r="T2918" s="1215" t="s">
        <v>533</v>
      </c>
      <c r="U2918" s="6" t="s">
        <v>549</v>
      </c>
      <c r="V2918" s="6" t="s">
        <v>31</v>
      </c>
      <c r="W2918" s="6" t="s">
        <v>706</v>
      </c>
      <c r="X2918" s="6" t="s">
        <v>172</v>
      </c>
    </row>
    <row r="2919" spans="1:24" x14ac:dyDescent="0.3">
      <c r="A2919" s="6" t="s">
        <v>533</v>
      </c>
      <c r="B2919" s="6" t="s">
        <v>534</v>
      </c>
      <c r="C2919" s="6" t="s">
        <v>33</v>
      </c>
      <c r="D2919" s="1088" t="s">
        <v>561</v>
      </c>
      <c r="E2919" s="6" t="s">
        <v>183</v>
      </c>
      <c r="F2919" s="6" t="s">
        <v>562</v>
      </c>
      <c r="G2919" s="6" t="s">
        <v>726</v>
      </c>
      <c r="H2919" s="6" t="s">
        <v>727</v>
      </c>
      <c r="J2919" s="1215" t="s">
        <v>511</v>
      </c>
      <c r="K2919" s="1219" t="s">
        <v>3033</v>
      </c>
      <c r="L2919" s="8">
        <v>2</v>
      </c>
      <c r="M2919" s="8">
        <v>9</v>
      </c>
      <c r="N2919" s="6" t="s">
        <v>271</v>
      </c>
      <c r="P2919" s="6" t="s">
        <v>3322</v>
      </c>
      <c r="Q2919" s="1215" t="s">
        <v>253</v>
      </c>
      <c r="R2919" s="1215" t="s">
        <v>255</v>
      </c>
      <c r="S2919" s="1215" t="s">
        <v>534</v>
      </c>
      <c r="T2919" s="1215" t="s">
        <v>533</v>
      </c>
      <c r="U2919" s="6" t="s">
        <v>549</v>
      </c>
      <c r="V2919" s="6" t="s">
        <v>31</v>
      </c>
    </row>
    <row r="2920" spans="1:24" x14ac:dyDescent="0.3">
      <c r="A2920" s="6" t="s">
        <v>533</v>
      </c>
      <c r="B2920" s="6" t="s">
        <v>534</v>
      </c>
      <c r="C2920" s="6" t="s">
        <v>31</v>
      </c>
      <c r="D2920" s="1088" t="s">
        <v>549</v>
      </c>
      <c r="E2920" s="6" t="s">
        <v>169</v>
      </c>
      <c r="F2920" s="6" t="s">
        <v>673</v>
      </c>
      <c r="G2920" s="6" t="s">
        <v>1474</v>
      </c>
      <c r="H2920" s="6" t="s">
        <v>2569</v>
      </c>
      <c r="J2920" s="1215" t="s">
        <v>511</v>
      </c>
      <c r="K2920" s="1219" t="s">
        <v>3111</v>
      </c>
      <c r="L2920" s="8">
        <v>100</v>
      </c>
      <c r="M2920" s="8">
        <v>491</v>
      </c>
      <c r="N2920" s="6" t="s">
        <v>274</v>
      </c>
      <c r="P2920" s="6" t="s">
        <v>3324</v>
      </c>
      <c r="Q2920" s="1215" t="s">
        <v>253</v>
      </c>
      <c r="R2920" s="1215" t="s">
        <v>255</v>
      </c>
      <c r="S2920" s="1215" t="s">
        <v>534</v>
      </c>
      <c r="T2920" s="1215" t="s">
        <v>533</v>
      </c>
      <c r="U2920" s="6" t="s">
        <v>549</v>
      </c>
      <c r="V2920" s="6" t="s">
        <v>31</v>
      </c>
      <c r="W2920" s="6" t="s">
        <v>673</v>
      </c>
      <c r="X2920" s="6" t="s">
        <v>169</v>
      </c>
    </row>
    <row r="2921" spans="1:24" x14ac:dyDescent="0.3">
      <c r="A2921" s="6" t="s">
        <v>533</v>
      </c>
      <c r="B2921" s="6" t="s">
        <v>534</v>
      </c>
      <c r="C2921" s="6" t="s">
        <v>31</v>
      </c>
      <c r="D2921" s="1088" t="s">
        <v>549</v>
      </c>
      <c r="E2921" s="6" t="s">
        <v>169</v>
      </c>
      <c r="F2921" s="6" t="s">
        <v>673</v>
      </c>
      <c r="G2921" s="6" t="s">
        <v>2912</v>
      </c>
      <c r="H2921" s="6" t="s">
        <v>2277</v>
      </c>
      <c r="J2921" s="1215" t="s">
        <v>511</v>
      </c>
      <c r="K2921" s="1219" t="s">
        <v>3111</v>
      </c>
      <c r="L2921" s="8">
        <v>496</v>
      </c>
      <c r="M2921" s="8">
        <v>3490</v>
      </c>
      <c r="N2921" s="1169" t="s">
        <v>274</v>
      </c>
      <c r="P2921" s="6" t="s">
        <v>3361</v>
      </c>
      <c r="Q2921" s="1215" t="s">
        <v>241</v>
      </c>
      <c r="R2921" s="1168" t="s">
        <v>243</v>
      </c>
      <c r="S2921" s="1088"/>
      <c r="T2921" s="1088"/>
    </row>
    <row r="2922" spans="1:24" x14ac:dyDescent="0.3">
      <c r="A2922" s="6" t="s">
        <v>533</v>
      </c>
      <c r="B2922" s="6" t="s">
        <v>534</v>
      </c>
      <c r="C2922" s="6" t="s">
        <v>31</v>
      </c>
      <c r="D2922" s="1088" t="s">
        <v>549</v>
      </c>
      <c r="E2922" s="6" t="s">
        <v>169</v>
      </c>
      <c r="F2922" s="6" t="s">
        <v>673</v>
      </c>
      <c r="G2922" s="6" t="s">
        <v>2912</v>
      </c>
      <c r="H2922" s="6" t="s">
        <v>2277</v>
      </c>
      <c r="J2922" s="1215" t="s">
        <v>511</v>
      </c>
      <c r="K2922" s="1219" t="s">
        <v>3112</v>
      </c>
      <c r="L2922" s="8">
        <v>4</v>
      </c>
      <c r="M2922" s="8">
        <v>10</v>
      </c>
      <c r="N2922" s="1169" t="s">
        <v>274</v>
      </c>
      <c r="P2922" s="6" t="s">
        <v>3361</v>
      </c>
      <c r="Q2922" s="1215" t="s">
        <v>241</v>
      </c>
      <c r="R2922" s="1168" t="s">
        <v>243</v>
      </c>
      <c r="S2922" s="1088"/>
      <c r="T2922" s="1088"/>
    </row>
    <row r="2923" spans="1:24" x14ac:dyDescent="0.3">
      <c r="A2923" s="6" t="s">
        <v>533</v>
      </c>
      <c r="B2923" s="6" t="s">
        <v>534</v>
      </c>
      <c r="C2923" s="6" t="s">
        <v>31</v>
      </c>
      <c r="D2923" s="1088" t="s">
        <v>549</v>
      </c>
      <c r="E2923" s="6" t="s">
        <v>169</v>
      </c>
      <c r="F2923" s="6" t="s">
        <v>673</v>
      </c>
      <c r="G2923" s="6" t="s">
        <v>2872</v>
      </c>
      <c r="H2923" s="6" t="s">
        <v>2261</v>
      </c>
      <c r="J2923" s="1215" t="s">
        <v>511</v>
      </c>
      <c r="K2923" s="1219" t="s">
        <v>3111</v>
      </c>
      <c r="L2923" s="8">
        <v>64</v>
      </c>
      <c r="M2923" s="8">
        <v>500</v>
      </c>
      <c r="N2923" s="1169" t="s">
        <v>274</v>
      </c>
      <c r="P2923" s="6" t="s">
        <v>3361</v>
      </c>
      <c r="Q2923" s="1215" t="s">
        <v>241</v>
      </c>
      <c r="R2923" s="1168" t="s">
        <v>243</v>
      </c>
      <c r="S2923" s="1088"/>
      <c r="T2923" s="1088"/>
    </row>
    <row r="2924" spans="1:24" x14ac:dyDescent="0.3">
      <c r="A2924" s="6" t="s">
        <v>533</v>
      </c>
      <c r="B2924" s="6" t="s">
        <v>534</v>
      </c>
      <c r="C2924" s="6" t="s">
        <v>31</v>
      </c>
      <c r="D2924" s="1088" t="s">
        <v>549</v>
      </c>
      <c r="E2924" s="6" t="s">
        <v>169</v>
      </c>
      <c r="F2924" s="6" t="s">
        <v>673</v>
      </c>
      <c r="G2924" s="6" t="s">
        <v>3203</v>
      </c>
      <c r="H2924" s="6" t="s">
        <v>3072</v>
      </c>
      <c r="J2924" s="1215" t="s">
        <v>511</v>
      </c>
      <c r="K2924" s="1219" t="s">
        <v>3111</v>
      </c>
      <c r="L2924" s="8">
        <v>46</v>
      </c>
      <c r="M2924" s="8">
        <v>300</v>
      </c>
      <c r="N2924" s="1169" t="s">
        <v>274</v>
      </c>
      <c r="P2924" s="6" t="s">
        <v>3323</v>
      </c>
      <c r="Q2924" s="1215" t="s">
        <v>253</v>
      </c>
      <c r="R2924" s="1215" t="s">
        <v>255</v>
      </c>
      <c r="S2924" s="1215" t="s">
        <v>534</v>
      </c>
      <c r="T2924" s="1215" t="s">
        <v>533</v>
      </c>
      <c r="U2924" s="6" t="s">
        <v>549</v>
      </c>
      <c r="V2924" s="6" t="s">
        <v>31</v>
      </c>
      <c r="W2924" s="1215" t="s">
        <v>634</v>
      </c>
      <c r="X2924" s="6" t="s">
        <v>171</v>
      </c>
    </row>
    <row r="2925" spans="1:24" x14ac:dyDescent="0.3">
      <c r="A2925" s="6" t="s">
        <v>533</v>
      </c>
      <c r="B2925" s="6" t="s">
        <v>534</v>
      </c>
      <c r="C2925" s="6" t="s">
        <v>31</v>
      </c>
      <c r="D2925" s="1088" t="s">
        <v>549</v>
      </c>
      <c r="E2925" s="6" t="s">
        <v>169</v>
      </c>
      <c r="F2925" s="6" t="s">
        <v>673</v>
      </c>
      <c r="G2925" s="6" t="s">
        <v>3226</v>
      </c>
      <c r="H2925" s="6" t="s">
        <v>3071</v>
      </c>
      <c r="J2925" s="1215" t="s">
        <v>511</v>
      </c>
      <c r="K2925" s="1219" t="s">
        <v>3111</v>
      </c>
      <c r="L2925" s="8">
        <v>44</v>
      </c>
      <c r="M2925" s="8">
        <v>352</v>
      </c>
      <c r="N2925" s="1169" t="s">
        <v>274</v>
      </c>
      <c r="P2925" s="6" t="s">
        <v>3361</v>
      </c>
      <c r="Q2925" s="1215" t="s">
        <v>241</v>
      </c>
      <c r="R2925" s="1168" t="s">
        <v>243</v>
      </c>
      <c r="S2925" s="1088"/>
      <c r="T2925" s="1088"/>
    </row>
    <row r="2926" spans="1:24" x14ac:dyDescent="0.3">
      <c r="A2926" s="6" t="s">
        <v>533</v>
      </c>
      <c r="B2926" s="6" t="s">
        <v>534</v>
      </c>
      <c r="C2926" s="6" t="s">
        <v>31</v>
      </c>
      <c r="D2926" s="1088" t="s">
        <v>549</v>
      </c>
      <c r="E2926" s="1088" t="s">
        <v>169</v>
      </c>
      <c r="F2926" s="6" t="s">
        <v>673</v>
      </c>
      <c r="G2926" s="6" t="s">
        <v>3226</v>
      </c>
      <c r="H2926" s="6" t="s">
        <v>3071</v>
      </c>
      <c r="J2926" s="1215" t="s">
        <v>511</v>
      </c>
      <c r="K2926" s="1219" t="s">
        <v>3112</v>
      </c>
      <c r="L2926" s="8">
        <v>2</v>
      </c>
      <c r="M2926" s="8">
        <v>8</v>
      </c>
      <c r="N2926" s="1169" t="s">
        <v>274</v>
      </c>
      <c r="P2926" s="6" t="s">
        <v>3361</v>
      </c>
      <c r="Q2926" s="1215" t="s">
        <v>241</v>
      </c>
      <c r="R2926" s="1168" t="s">
        <v>243</v>
      </c>
      <c r="S2926" s="1088"/>
      <c r="T2926" s="1088"/>
    </row>
    <row r="2927" spans="1:24" x14ac:dyDescent="0.3">
      <c r="A2927" s="6" t="s">
        <v>533</v>
      </c>
      <c r="B2927" s="6" t="s">
        <v>534</v>
      </c>
      <c r="C2927" s="6" t="s">
        <v>31</v>
      </c>
      <c r="D2927" s="1088" t="s">
        <v>549</v>
      </c>
      <c r="E2927" s="1088" t="s">
        <v>169</v>
      </c>
      <c r="F2927" s="6" t="s">
        <v>673</v>
      </c>
      <c r="G2927" s="6" t="s">
        <v>1472</v>
      </c>
      <c r="H2927" s="6" t="s">
        <v>2376</v>
      </c>
      <c r="J2927" s="1215" t="s">
        <v>511</v>
      </c>
      <c r="K2927" s="1219" t="s">
        <v>3111</v>
      </c>
      <c r="L2927" s="8">
        <v>201</v>
      </c>
      <c r="M2927" s="8">
        <v>1500</v>
      </c>
      <c r="N2927" s="1088" t="s">
        <v>274</v>
      </c>
      <c r="P2927" s="6" t="s">
        <v>3361</v>
      </c>
      <c r="Q2927" s="1215" t="s">
        <v>241</v>
      </c>
      <c r="R2927" s="1168" t="s">
        <v>243</v>
      </c>
      <c r="S2927" s="1088"/>
      <c r="T2927" s="1088"/>
      <c r="X2927" s="1088"/>
    </row>
    <row r="2928" spans="1:24" x14ac:dyDescent="0.3">
      <c r="A2928" s="6" t="s">
        <v>533</v>
      </c>
      <c r="B2928" s="6" t="s">
        <v>534</v>
      </c>
      <c r="C2928" s="6" t="s">
        <v>31</v>
      </c>
      <c r="D2928" s="1088" t="s">
        <v>549</v>
      </c>
      <c r="E2928" s="1088" t="s">
        <v>169</v>
      </c>
      <c r="F2928" s="6" t="s">
        <v>673</v>
      </c>
      <c r="G2928" s="6" t="s">
        <v>1472</v>
      </c>
      <c r="H2928" s="6" t="s">
        <v>2376</v>
      </c>
      <c r="J2928" s="1215" t="s">
        <v>511</v>
      </c>
      <c r="K2928" s="1219" t="s">
        <v>3112</v>
      </c>
      <c r="L2928" s="8">
        <v>3</v>
      </c>
      <c r="M2928" s="8">
        <v>10</v>
      </c>
      <c r="N2928" s="1088" t="s">
        <v>274</v>
      </c>
      <c r="P2928" s="6" t="s">
        <v>3361</v>
      </c>
      <c r="Q2928" s="1215" t="s">
        <v>241</v>
      </c>
      <c r="R2928" s="1168" t="s">
        <v>243</v>
      </c>
      <c r="S2928" s="1088"/>
      <c r="T2928" s="1088"/>
      <c r="X2928" s="1088"/>
    </row>
    <row r="2929" spans="1:24" x14ac:dyDescent="0.3">
      <c r="A2929" s="6" t="s">
        <v>533</v>
      </c>
      <c r="B2929" s="6" t="s">
        <v>534</v>
      </c>
      <c r="C2929" s="6" t="s">
        <v>31</v>
      </c>
      <c r="D2929" s="1088" t="s">
        <v>549</v>
      </c>
      <c r="E2929" s="6" t="s">
        <v>169</v>
      </c>
      <c r="F2929" s="6" t="s">
        <v>673</v>
      </c>
      <c r="G2929" s="6" t="s">
        <v>2939</v>
      </c>
      <c r="H2929" s="6" t="s">
        <v>2296</v>
      </c>
      <c r="J2929" s="1215" t="s">
        <v>511</v>
      </c>
      <c r="K2929" s="1219" t="s">
        <v>3111</v>
      </c>
      <c r="L2929" s="8">
        <v>56</v>
      </c>
      <c r="M2929" s="8">
        <v>247</v>
      </c>
      <c r="N2929" s="1169" t="s">
        <v>274</v>
      </c>
      <c r="P2929" s="6" t="s">
        <v>3324</v>
      </c>
      <c r="Q2929" s="1215" t="s">
        <v>253</v>
      </c>
      <c r="R2929" s="1215" t="s">
        <v>255</v>
      </c>
      <c r="S2929" s="1215" t="s">
        <v>534</v>
      </c>
      <c r="T2929" s="1215" t="s">
        <v>533</v>
      </c>
      <c r="U2929" s="6" t="s">
        <v>549</v>
      </c>
      <c r="V2929" s="6" t="s">
        <v>31</v>
      </c>
      <c r="W2929" s="6" t="s">
        <v>673</v>
      </c>
      <c r="X2929" s="6" t="s">
        <v>169</v>
      </c>
    </row>
    <row r="2930" spans="1:24" x14ac:dyDescent="0.3">
      <c r="A2930" s="6" t="s">
        <v>533</v>
      </c>
      <c r="B2930" s="6" t="s">
        <v>534</v>
      </c>
      <c r="C2930" s="6" t="s">
        <v>31</v>
      </c>
      <c r="D2930" s="1088" t="s">
        <v>549</v>
      </c>
      <c r="E2930" s="6" t="s">
        <v>169</v>
      </c>
      <c r="F2930" s="6" t="s">
        <v>673</v>
      </c>
      <c r="G2930" s="6" t="s">
        <v>2881</v>
      </c>
      <c r="H2930" s="6" t="s">
        <v>2314</v>
      </c>
      <c r="J2930" s="1215" t="s">
        <v>511</v>
      </c>
      <c r="K2930" s="1219" t="s">
        <v>3111</v>
      </c>
      <c r="L2930" s="8">
        <v>37</v>
      </c>
      <c r="M2930" s="8">
        <v>189</v>
      </c>
      <c r="N2930" s="1169" t="s">
        <v>274</v>
      </c>
      <c r="P2930" s="6" t="s">
        <v>3324</v>
      </c>
      <c r="Q2930" s="1215" t="s">
        <v>253</v>
      </c>
      <c r="R2930" s="1215" t="s">
        <v>255</v>
      </c>
      <c r="S2930" s="1215" t="s">
        <v>534</v>
      </c>
      <c r="T2930" s="1215" t="s">
        <v>533</v>
      </c>
      <c r="U2930" s="6" t="s">
        <v>549</v>
      </c>
      <c r="V2930" s="6" t="s">
        <v>31</v>
      </c>
      <c r="W2930" s="6" t="s">
        <v>673</v>
      </c>
      <c r="X2930" s="6" t="s">
        <v>169</v>
      </c>
    </row>
    <row r="2931" spans="1:24" x14ac:dyDescent="0.3">
      <c r="A2931" s="6" t="s">
        <v>533</v>
      </c>
      <c r="B2931" s="6" t="s">
        <v>534</v>
      </c>
      <c r="C2931" s="6" t="s">
        <v>35</v>
      </c>
      <c r="D2931" s="1088" t="s">
        <v>567</v>
      </c>
      <c r="E2931" s="6" t="s">
        <v>193</v>
      </c>
      <c r="F2931" s="6" t="s">
        <v>863</v>
      </c>
      <c r="G2931" s="6" t="s">
        <v>2902</v>
      </c>
      <c r="H2931" s="6" t="s">
        <v>1643</v>
      </c>
      <c r="J2931" s="1215" t="s">
        <v>511</v>
      </c>
      <c r="K2931" s="1219" t="s">
        <v>3033</v>
      </c>
      <c r="L2931" s="8">
        <v>16</v>
      </c>
      <c r="M2931" s="8">
        <v>126</v>
      </c>
      <c r="N2931" s="6" t="s">
        <v>271</v>
      </c>
      <c r="P2931" s="6" t="s">
        <v>3324</v>
      </c>
      <c r="Q2931" s="1215" t="s">
        <v>253</v>
      </c>
      <c r="R2931" s="1215" t="s">
        <v>255</v>
      </c>
      <c r="S2931" s="1215" t="s">
        <v>534</v>
      </c>
      <c r="T2931" s="1215" t="s">
        <v>533</v>
      </c>
      <c r="U2931" s="6" t="s">
        <v>567</v>
      </c>
      <c r="V2931" s="6" t="s">
        <v>35</v>
      </c>
      <c r="W2931" s="6" t="s">
        <v>863</v>
      </c>
      <c r="X2931" s="6" t="s">
        <v>193</v>
      </c>
    </row>
    <row r="2932" spans="1:24" x14ac:dyDescent="0.3">
      <c r="A2932" s="6" t="s">
        <v>533</v>
      </c>
      <c r="B2932" s="6" t="s">
        <v>534</v>
      </c>
      <c r="C2932" s="6" t="s">
        <v>31</v>
      </c>
      <c r="D2932" s="1088" t="s">
        <v>549</v>
      </c>
      <c r="E2932" s="6" t="s">
        <v>169</v>
      </c>
      <c r="F2932" s="6" t="s">
        <v>673</v>
      </c>
      <c r="G2932" s="6" t="s">
        <v>2842</v>
      </c>
      <c r="H2932" s="6" t="s">
        <v>2338</v>
      </c>
      <c r="J2932" s="1215" t="s">
        <v>511</v>
      </c>
      <c r="K2932" s="1219" t="s">
        <v>3111</v>
      </c>
      <c r="L2932" s="8">
        <v>122</v>
      </c>
      <c r="M2932" s="8">
        <v>800</v>
      </c>
      <c r="N2932" s="1169" t="s">
        <v>274</v>
      </c>
      <c r="P2932" s="6" t="s">
        <v>3324</v>
      </c>
      <c r="Q2932" s="1215" t="s">
        <v>253</v>
      </c>
      <c r="R2932" s="1215" t="s">
        <v>255</v>
      </c>
      <c r="S2932" s="1215" t="s">
        <v>534</v>
      </c>
      <c r="T2932" s="1215" t="s">
        <v>533</v>
      </c>
      <c r="U2932" s="6" t="s">
        <v>549</v>
      </c>
      <c r="V2932" s="6" t="s">
        <v>31</v>
      </c>
      <c r="W2932" s="6" t="s">
        <v>673</v>
      </c>
      <c r="X2932" s="6" t="s">
        <v>169</v>
      </c>
    </row>
    <row r="2933" spans="1:24" x14ac:dyDescent="0.3">
      <c r="A2933" s="6" t="s">
        <v>533</v>
      </c>
      <c r="B2933" s="6" t="s">
        <v>534</v>
      </c>
      <c r="C2933" s="6" t="s">
        <v>31</v>
      </c>
      <c r="D2933" s="1088" t="s">
        <v>549</v>
      </c>
      <c r="E2933" s="6" t="s">
        <v>169</v>
      </c>
      <c r="F2933" s="6" t="s">
        <v>673</v>
      </c>
      <c r="G2933" s="6" t="s">
        <v>3222</v>
      </c>
      <c r="H2933" s="6" t="s">
        <v>3067</v>
      </c>
      <c r="J2933" s="1215" t="s">
        <v>511</v>
      </c>
      <c r="K2933" s="1219" t="s">
        <v>3111</v>
      </c>
      <c r="L2933" s="8">
        <v>35</v>
      </c>
      <c r="M2933" s="8">
        <v>350</v>
      </c>
      <c r="N2933" s="1169" t="s">
        <v>274</v>
      </c>
      <c r="P2933" s="6" t="s">
        <v>3324</v>
      </c>
      <c r="Q2933" s="1215" t="s">
        <v>253</v>
      </c>
      <c r="R2933" s="1215" t="s">
        <v>255</v>
      </c>
      <c r="S2933" s="1215" t="s">
        <v>534</v>
      </c>
      <c r="T2933" s="1215" t="s">
        <v>533</v>
      </c>
      <c r="U2933" s="6" t="s">
        <v>549</v>
      </c>
      <c r="V2933" s="6" t="s">
        <v>31</v>
      </c>
      <c r="W2933" s="6" t="s">
        <v>673</v>
      </c>
      <c r="X2933" s="6" t="s">
        <v>169</v>
      </c>
    </row>
    <row r="2934" spans="1:24" x14ac:dyDescent="0.3">
      <c r="A2934" s="6" t="s">
        <v>533</v>
      </c>
      <c r="B2934" s="6" t="s">
        <v>534</v>
      </c>
      <c r="C2934" s="6" t="s">
        <v>31</v>
      </c>
      <c r="D2934" s="1088" t="s">
        <v>549</v>
      </c>
      <c r="E2934" s="6" t="s">
        <v>169</v>
      </c>
      <c r="F2934" s="6" t="s">
        <v>673</v>
      </c>
      <c r="G2934" s="6" t="s">
        <v>3222</v>
      </c>
      <c r="H2934" s="6" t="s">
        <v>3067</v>
      </c>
      <c r="J2934" s="1215" t="s">
        <v>511</v>
      </c>
      <c r="K2934" s="1219" t="s">
        <v>3112</v>
      </c>
      <c r="L2934" s="8">
        <v>0</v>
      </c>
      <c r="M2934" s="8">
        <v>10</v>
      </c>
      <c r="N2934" s="1169" t="s">
        <v>274</v>
      </c>
      <c r="P2934" s="6" t="s">
        <v>3324</v>
      </c>
      <c r="Q2934" s="1215" t="s">
        <v>253</v>
      </c>
      <c r="R2934" s="1215" t="s">
        <v>255</v>
      </c>
      <c r="S2934" s="1215" t="s">
        <v>534</v>
      </c>
      <c r="T2934" s="1215" t="s">
        <v>533</v>
      </c>
      <c r="U2934" s="6" t="s">
        <v>549</v>
      </c>
      <c r="V2934" s="6" t="s">
        <v>31</v>
      </c>
      <c r="W2934" s="6" t="s">
        <v>673</v>
      </c>
      <c r="X2934" s="6" t="s">
        <v>169</v>
      </c>
    </row>
    <row r="2935" spans="1:24" x14ac:dyDescent="0.3">
      <c r="A2935" s="6" t="s">
        <v>533</v>
      </c>
      <c r="B2935" s="6" t="s">
        <v>534</v>
      </c>
      <c r="C2935" s="6" t="s">
        <v>32</v>
      </c>
      <c r="D2935" s="1088" t="s">
        <v>542</v>
      </c>
      <c r="E2935" s="6" t="s">
        <v>176</v>
      </c>
      <c r="F2935" s="6" t="s">
        <v>772</v>
      </c>
      <c r="G2935" s="6" t="s">
        <v>1210</v>
      </c>
      <c r="H2935" s="6" t="s">
        <v>1211</v>
      </c>
      <c r="J2935" s="1215" t="s">
        <v>511</v>
      </c>
      <c r="K2935" s="1219" t="s">
        <v>3112</v>
      </c>
      <c r="L2935" s="8">
        <v>16</v>
      </c>
      <c r="M2935" s="8">
        <v>128</v>
      </c>
      <c r="N2935" s="1169" t="s">
        <v>272</v>
      </c>
      <c r="P2935" s="6" t="s">
        <v>3324</v>
      </c>
      <c r="Q2935" s="1215" t="s">
        <v>253</v>
      </c>
      <c r="R2935" s="1215" t="s">
        <v>255</v>
      </c>
      <c r="S2935" s="1215" t="s">
        <v>534</v>
      </c>
      <c r="T2935" s="1215" t="s">
        <v>533</v>
      </c>
      <c r="U2935" s="6" t="s">
        <v>542</v>
      </c>
      <c r="V2935" s="6" t="s">
        <v>32</v>
      </c>
      <c r="W2935" s="6" t="s">
        <v>772</v>
      </c>
      <c r="X2935" s="6" t="s">
        <v>176</v>
      </c>
    </row>
    <row r="2936" spans="1:24" x14ac:dyDescent="0.3">
      <c r="A2936" s="6" t="s">
        <v>533</v>
      </c>
      <c r="B2936" s="6" t="s">
        <v>534</v>
      </c>
      <c r="C2936" s="6" t="s">
        <v>32</v>
      </c>
      <c r="D2936" s="1088" t="s">
        <v>542</v>
      </c>
      <c r="E2936" s="6" t="s">
        <v>176</v>
      </c>
      <c r="F2936" s="6" t="s">
        <v>772</v>
      </c>
      <c r="G2936" s="6" t="s">
        <v>1060</v>
      </c>
      <c r="H2936" s="6" t="s">
        <v>1061</v>
      </c>
      <c r="J2936" s="1215" t="s">
        <v>511</v>
      </c>
      <c r="K2936" s="1219" t="s">
        <v>3112</v>
      </c>
      <c r="L2936" s="8">
        <v>45</v>
      </c>
      <c r="M2936" s="8">
        <v>284</v>
      </c>
      <c r="N2936" s="1169" t="s">
        <v>272</v>
      </c>
      <c r="P2936" s="6" t="s">
        <v>3324</v>
      </c>
      <c r="Q2936" s="1215" t="s">
        <v>253</v>
      </c>
      <c r="R2936" s="1215" t="s">
        <v>255</v>
      </c>
      <c r="S2936" s="1215" t="s">
        <v>534</v>
      </c>
      <c r="T2936" s="1215" t="s">
        <v>533</v>
      </c>
      <c r="U2936" s="6" t="s">
        <v>542</v>
      </c>
      <c r="V2936" s="6" t="s">
        <v>32</v>
      </c>
      <c r="W2936" s="6" t="s">
        <v>772</v>
      </c>
      <c r="X2936" s="6" t="s">
        <v>176</v>
      </c>
    </row>
    <row r="2937" spans="1:24" x14ac:dyDescent="0.3">
      <c r="A2937" s="6" t="s">
        <v>533</v>
      </c>
      <c r="B2937" s="6" t="s">
        <v>534</v>
      </c>
      <c r="C2937" s="6" t="s">
        <v>32</v>
      </c>
      <c r="D2937" s="1088" t="s">
        <v>542</v>
      </c>
      <c r="E2937" s="6" t="s">
        <v>176</v>
      </c>
      <c r="F2937" s="6" t="s">
        <v>772</v>
      </c>
      <c r="G2937" s="6" t="s">
        <v>2281</v>
      </c>
      <c r="H2937" s="6" t="s">
        <v>2282</v>
      </c>
      <c r="J2937" s="1215" t="s">
        <v>511</v>
      </c>
      <c r="K2937" s="1219" t="s">
        <v>3112</v>
      </c>
      <c r="L2937" s="8">
        <v>13</v>
      </c>
      <c r="M2937" s="8">
        <v>111</v>
      </c>
      <c r="N2937" s="6" t="s">
        <v>272</v>
      </c>
      <c r="P2937" s="6" t="s">
        <v>3324</v>
      </c>
      <c r="Q2937" s="1215" t="s">
        <v>253</v>
      </c>
      <c r="R2937" s="1215" t="s">
        <v>255</v>
      </c>
      <c r="S2937" s="1215" t="s">
        <v>534</v>
      </c>
      <c r="T2937" s="1215" t="s">
        <v>533</v>
      </c>
      <c r="U2937" s="6" t="s">
        <v>542</v>
      </c>
      <c r="V2937" s="6" t="s">
        <v>32</v>
      </c>
      <c r="W2937" s="6" t="s">
        <v>772</v>
      </c>
      <c r="X2937" s="6" t="s">
        <v>176</v>
      </c>
    </row>
    <row r="2938" spans="1:24" x14ac:dyDescent="0.3">
      <c r="A2938" s="6" t="s">
        <v>533</v>
      </c>
      <c r="B2938" s="6" t="s">
        <v>534</v>
      </c>
      <c r="C2938" s="6" t="s">
        <v>32</v>
      </c>
      <c r="D2938" s="1088" t="s">
        <v>542</v>
      </c>
      <c r="E2938" s="6" t="s">
        <v>176</v>
      </c>
      <c r="F2938" s="6" t="s">
        <v>772</v>
      </c>
      <c r="G2938" s="6" t="s">
        <v>1535</v>
      </c>
      <c r="H2938" s="6" t="s">
        <v>1536</v>
      </c>
      <c r="J2938" s="1215" t="s">
        <v>511</v>
      </c>
      <c r="K2938" s="1219" t="s">
        <v>3112</v>
      </c>
      <c r="L2938" s="8">
        <v>11</v>
      </c>
      <c r="M2938" s="8">
        <v>129</v>
      </c>
      <c r="N2938" s="1169" t="s">
        <v>272</v>
      </c>
      <c r="P2938" s="6" t="s">
        <v>3324</v>
      </c>
      <c r="Q2938" s="1215" t="s">
        <v>253</v>
      </c>
      <c r="R2938" s="1215" t="s">
        <v>255</v>
      </c>
      <c r="S2938" s="1215" t="s">
        <v>534</v>
      </c>
      <c r="T2938" s="1215" t="s">
        <v>533</v>
      </c>
      <c r="U2938" s="6" t="s">
        <v>542</v>
      </c>
      <c r="V2938" s="6" t="s">
        <v>32</v>
      </c>
      <c r="W2938" s="6" t="s">
        <v>772</v>
      </c>
      <c r="X2938" s="6" t="s">
        <v>176</v>
      </c>
    </row>
    <row r="2939" spans="1:24" x14ac:dyDescent="0.3">
      <c r="A2939" s="6" t="s">
        <v>533</v>
      </c>
      <c r="B2939" s="6" t="s">
        <v>534</v>
      </c>
      <c r="C2939" s="6" t="s">
        <v>32</v>
      </c>
      <c r="D2939" s="1088" t="s">
        <v>542</v>
      </c>
      <c r="E2939" s="6" t="s">
        <v>176</v>
      </c>
      <c r="F2939" s="6" t="s">
        <v>772</v>
      </c>
      <c r="G2939" s="6" t="s">
        <v>2255</v>
      </c>
      <c r="H2939" s="6" t="s">
        <v>2256</v>
      </c>
      <c r="J2939" s="1215" t="s">
        <v>511</v>
      </c>
      <c r="K2939" s="1219" t="s">
        <v>3112</v>
      </c>
      <c r="L2939" s="8">
        <v>45</v>
      </c>
      <c r="M2939" s="8">
        <v>306</v>
      </c>
      <c r="N2939" s="1169" t="s">
        <v>272</v>
      </c>
      <c r="P2939" s="6" t="s">
        <v>3324</v>
      </c>
      <c r="Q2939" s="1215" t="s">
        <v>253</v>
      </c>
      <c r="R2939" s="1215" t="s">
        <v>255</v>
      </c>
      <c r="S2939" s="1215" t="s">
        <v>534</v>
      </c>
      <c r="T2939" s="1215" t="s">
        <v>533</v>
      </c>
      <c r="U2939" s="6" t="s">
        <v>542</v>
      </c>
      <c r="V2939" s="6" t="s">
        <v>32</v>
      </c>
      <c r="W2939" s="6" t="s">
        <v>772</v>
      </c>
      <c r="X2939" s="6" t="s">
        <v>176</v>
      </c>
    </row>
    <row r="2940" spans="1:24" x14ac:dyDescent="0.3">
      <c r="A2940" s="6" t="s">
        <v>533</v>
      </c>
      <c r="B2940" s="6" t="s">
        <v>534</v>
      </c>
      <c r="C2940" s="6" t="s">
        <v>32</v>
      </c>
      <c r="D2940" s="1088" t="s">
        <v>542</v>
      </c>
      <c r="E2940" s="6" t="s">
        <v>176</v>
      </c>
      <c r="F2940" s="6" t="s">
        <v>772</v>
      </c>
      <c r="G2940" s="6" t="s">
        <v>2267</v>
      </c>
      <c r="H2940" s="6" t="s">
        <v>2268</v>
      </c>
      <c r="J2940" s="1215" t="s">
        <v>511</v>
      </c>
      <c r="K2940" s="1219" t="s">
        <v>3112</v>
      </c>
      <c r="L2940" s="8">
        <v>9</v>
      </c>
      <c r="M2940" s="8">
        <v>97</v>
      </c>
      <c r="N2940" s="1169" t="s">
        <v>272</v>
      </c>
      <c r="P2940" s="6" t="s">
        <v>3324</v>
      </c>
      <c r="Q2940" s="1215" t="s">
        <v>253</v>
      </c>
      <c r="R2940" s="1215" t="s">
        <v>255</v>
      </c>
      <c r="S2940" s="1215" t="s">
        <v>534</v>
      </c>
      <c r="T2940" s="1215" t="s">
        <v>533</v>
      </c>
      <c r="U2940" s="6" t="s">
        <v>542</v>
      </c>
      <c r="V2940" s="6" t="s">
        <v>32</v>
      </c>
      <c r="W2940" s="6" t="s">
        <v>772</v>
      </c>
      <c r="X2940" s="6" t="s">
        <v>176</v>
      </c>
    </row>
    <row r="2941" spans="1:24" x14ac:dyDescent="0.3">
      <c r="A2941" s="6" t="s">
        <v>533</v>
      </c>
      <c r="B2941" s="6" t="s">
        <v>534</v>
      </c>
      <c r="C2941" s="6" t="s">
        <v>32</v>
      </c>
      <c r="D2941" s="1088" t="s">
        <v>542</v>
      </c>
      <c r="E2941" s="6" t="s">
        <v>176</v>
      </c>
      <c r="F2941" s="6" t="s">
        <v>772</v>
      </c>
      <c r="G2941" s="6" t="s">
        <v>2308</v>
      </c>
      <c r="H2941" s="6" t="s">
        <v>2309</v>
      </c>
      <c r="J2941" s="1215" t="s">
        <v>511</v>
      </c>
      <c r="K2941" s="1219" t="s">
        <v>3112</v>
      </c>
      <c r="L2941" s="8">
        <v>13</v>
      </c>
      <c r="M2941" s="8">
        <v>118</v>
      </c>
      <c r="N2941" s="1169" t="s">
        <v>272</v>
      </c>
      <c r="P2941" s="6" t="s">
        <v>3324</v>
      </c>
      <c r="Q2941" s="1215" t="s">
        <v>253</v>
      </c>
      <c r="R2941" s="1215" t="s">
        <v>255</v>
      </c>
      <c r="S2941" s="1215" t="s">
        <v>534</v>
      </c>
      <c r="T2941" s="1215" t="s">
        <v>533</v>
      </c>
      <c r="U2941" s="6" t="s">
        <v>542</v>
      </c>
      <c r="V2941" s="6" t="s">
        <v>32</v>
      </c>
      <c r="W2941" s="6" t="s">
        <v>772</v>
      </c>
      <c r="X2941" s="6" t="s">
        <v>176</v>
      </c>
    </row>
    <row r="2942" spans="1:24" x14ac:dyDescent="0.3">
      <c r="A2942" s="6" t="s">
        <v>533</v>
      </c>
      <c r="B2942" s="6" t="s">
        <v>534</v>
      </c>
      <c r="C2942" s="6" t="s">
        <v>32</v>
      </c>
      <c r="D2942" s="1088" t="s">
        <v>542</v>
      </c>
      <c r="E2942" s="6" t="s">
        <v>176</v>
      </c>
      <c r="F2942" s="6" t="s">
        <v>772</v>
      </c>
      <c r="G2942" s="6" t="s">
        <v>2269</v>
      </c>
      <c r="H2942" s="6" t="s">
        <v>2270</v>
      </c>
      <c r="J2942" s="1215" t="s">
        <v>511</v>
      </c>
      <c r="K2942" s="1219" t="s">
        <v>3112</v>
      </c>
      <c r="L2942" s="8">
        <v>45</v>
      </c>
      <c r="M2942" s="8">
        <v>278</v>
      </c>
      <c r="N2942" s="1169" t="s">
        <v>272</v>
      </c>
      <c r="P2942" s="6" t="s">
        <v>3324</v>
      </c>
      <c r="Q2942" s="1215" t="s">
        <v>253</v>
      </c>
      <c r="R2942" s="1215" t="s">
        <v>255</v>
      </c>
      <c r="S2942" s="1215" t="s">
        <v>534</v>
      </c>
      <c r="T2942" s="1215" t="s">
        <v>533</v>
      </c>
      <c r="U2942" s="6" t="s">
        <v>542</v>
      </c>
      <c r="V2942" s="6" t="s">
        <v>32</v>
      </c>
      <c r="W2942" s="6" t="s">
        <v>772</v>
      </c>
      <c r="X2942" s="6" t="s">
        <v>176</v>
      </c>
    </row>
    <row r="2943" spans="1:24" x14ac:dyDescent="0.3">
      <c r="A2943" s="6" t="s">
        <v>533</v>
      </c>
      <c r="B2943" s="6" t="s">
        <v>534</v>
      </c>
      <c r="C2943" s="6" t="s">
        <v>32</v>
      </c>
      <c r="D2943" s="1088" t="s">
        <v>542</v>
      </c>
      <c r="E2943" s="6" t="s">
        <v>176</v>
      </c>
      <c r="F2943" s="6" t="s">
        <v>772</v>
      </c>
      <c r="G2943" s="6" t="s">
        <v>2310</v>
      </c>
      <c r="H2943" s="6" t="s">
        <v>2311</v>
      </c>
      <c r="J2943" s="1215" t="s">
        <v>511</v>
      </c>
      <c r="K2943" s="1219" t="s">
        <v>3112</v>
      </c>
      <c r="L2943" s="8">
        <v>23</v>
      </c>
      <c r="M2943" s="8">
        <v>160</v>
      </c>
      <c r="N2943" s="1088" t="s">
        <v>272</v>
      </c>
      <c r="P2943" s="6" t="s">
        <v>3324</v>
      </c>
      <c r="Q2943" s="1215" t="s">
        <v>253</v>
      </c>
      <c r="R2943" s="1215" t="s">
        <v>255</v>
      </c>
      <c r="S2943" s="1215" t="s">
        <v>534</v>
      </c>
      <c r="T2943" s="1215" t="s">
        <v>533</v>
      </c>
      <c r="U2943" s="6" t="s">
        <v>542</v>
      </c>
      <c r="V2943" s="6" t="s">
        <v>32</v>
      </c>
      <c r="W2943" s="6" t="s">
        <v>772</v>
      </c>
      <c r="X2943" s="6" t="s">
        <v>176</v>
      </c>
    </row>
    <row r="2944" spans="1:24" x14ac:dyDescent="0.3">
      <c r="A2944" s="6" t="s">
        <v>533</v>
      </c>
      <c r="B2944" s="6" t="s">
        <v>534</v>
      </c>
      <c r="C2944" s="6" t="s">
        <v>32</v>
      </c>
      <c r="D2944" s="1088" t="s">
        <v>542</v>
      </c>
      <c r="E2944" s="6" t="s">
        <v>176</v>
      </c>
      <c r="F2944" s="6" t="s">
        <v>772</v>
      </c>
      <c r="G2944" s="6" t="s">
        <v>2310</v>
      </c>
      <c r="H2944" s="6" t="s">
        <v>2311</v>
      </c>
      <c r="J2944" s="1215" t="s">
        <v>511</v>
      </c>
      <c r="K2944" s="1219" t="s">
        <v>3111</v>
      </c>
      <c r="L2944" s="8">
        <v>0</v>
      </c>
      <c r="M2944" s="8">
        <v>7</v>
      </c>
      <c r="N2944" s="1169" t="s">
        <v>272</v>
      </c>
      <c r="P2944" s="6" t="s">
        <v>3324</v>
      </c>
      <c r="Q2944" s="1215" t="s">
        <v>253</v>
      </c>
      <c r="R2944" s="1215" t="s">
        <v>255</v>
      </c>
      <c r="S2944" s="1215" t="s">
        <v>534</v>
      </c>
      <c r="T2944" s="1215" t="s">
        <v>533</v>
      </c>
      <c r="U2944" s="6" t="s">
        <v>542</v>
      </c>
      <c r="V2944" s="6" t="s">
        <v>32</v>
      </c>
      <c r="W2944" s="6" t="s">
        <v>772</v>
      </c>
      <c r="X2944" s="6" t="s">
        <v>176</v>
      </c>
    </row>
    <row r="2945" spans="1:24" x14ac:dyDescent="0.3">
      <c r="A2945" s="6" t="s">
        <v>533</v>
      </c>
      <c r="B2945" s="6" t="s">
        <v>534</v>
      </c>
      <c r="C2945" s="6" t="s">
        <v>32</v>
      </c>
      <c r="D2945" s="1088" t="s">
        <v>542</v>
      </c>
      <c r="E2945" s="6" t="s">
        <v>176</v>
      </c>
      <c r="F2945" s="6" t="s">
        <v>772</v>
      </c>
      <c r="G2945" s="6" t="s">
        <v>2299</v>
      </c>
      <c r="H2945" s="6" t="s">
        <v>2300</v>
      </c>
      <c r="J2945" s="1215" t="s">
        <v>511</v>
      </c>
      <c r="K2945" s="1219" t="s">
        <v>3111</v>
      </c>
      <c r="L2945" s="8">
        <v>27</v>
      </c>
      <c r="M2945" s="8">
        <v>197</v>
      </c>
      <c r="N2945" s="1169" t="s">
        <v>272</v>
      </c>
      <c r="P2945" s="6" t="s">
        <v>3324</v>
      </c>
      <c r="Q2945" s="1215" t="s">
        <v>253</v>
      </c>
      <c r="R2945" s="1215" t="s">
        <v>255</v>
      </c>
      <c r="S2945" s="1215" t="s">
        <v>534</v>
      </c>
      <c r="T2945" s="1215" t="s">
        <v>533</v>
      </c>
      <c r="U2945" s="6" t="s">
        <v>542</v>
      </c>
      <c r="V2945" s="6" t="s">
        <v>32</v>
      </c>
      <c r="W2945" s="6" t="s">
        <v>772</v>
      </c>
      <c r="X2945" s="6" t="s">
        <v>176</v>
      </c>
    </row>
    <row r="2946" spans="1:24" x14ac:dyDescent="0.3">
      <c r="A2946" s="6" t="s">
        <v>533</v>
      </c>
      <c r="B2946" s="6" t="s">
        <v>534</v>
      </c>
      <c r="C2946" s="6" t="s">
        <v>32</v>
      </c>
      <c r="D2946" s="1088" t="s">
        <v>542</v>
      </c>
      <c r="E2946" s="6" t="s">
        <v>176</v>
      </c>
      <c r="F2946" s="6" t="s">
        <v>772</v>
      </c>
      <c r="G2946" s="6" t="s">
        <v>2299</v>
      </c>
      <c r="H2946" s="6" t="s">
        <v>2300</v>
      </c>
      <c r="J2946" s="1215" t="s">
        <v>511</v>
      </c>
      <c r="K2946" s="1219" t="s">
        <v>3112</v>
      </c>
      <c r="L2946" s="8">
        <v>6</v>
      </c>
      <c r="M2946" s="8">
        <v>60</v>
      </c>
      <c r="N2946" s="1169" t="s">
        <v>272</v>
      </c>
      <c r="P2946" s="6" t="s">
        <v>3324</v>
      </c>
      <c r="Q2946" s="1215" t="s">
        <v>253</v>
      </c>
      <c r="R2946" s="1215" t="s">
        <v>255</v>
      </c>
      <c r="S2946" s="1215" t="s">
        <v>534</v>
      </c>
      <c r="T2946" s="1215" t="s">
        <v>533</v>
      </c>
      <c r="U2946" s="6" t="s">
        <v>542</v>
      </c>
      <c r="V2946" s="6" t="s">
        <v>32</v>
      </c>
      <c r="W2946" s="6" t="s">
        <v>772</v>
      </c>
      <c r="X2946" s="6" t="s">
        <v>176</v>
      </c>
    </row>
    <row r="2947" spans="1:24" x14ac:dyDescent="0.3">
      <c r="A2947" s="6" t="s">
        <v>533</v>
      </c>
      <c r="B2947" s="6" t="s">
        <v>534</v>
      </c>
      <c r="C2947" s="6" t="s">
        <v>32</v>
      </c>
      <c r="D2947" s="1088" t="s">
        <v>542</v>
      </c>
      <c r="E2947" s="6" t="s">
        <v>175</v>
      </c>
      <c r="F2947" s="6" t="s">
        <v>1136</v>
      </c>
      <c r="G2947" s="6" t="s">
        <v>1137</v>
      </c>
      <c r="H2947" s="6" t="s">
        <v>1138</v>
      </c>
      <c r="J2947" s="1215" t="s">
        <v>511</v>
      </c>
      <c r="K2947" s="1219" t="s">
        <v>3112</v>
      </c>
      <c r="L2947" s="8">
        <v>550</v>
      </c>
      <c r="M2947" s="8">
        <v>3200</v>
      </c>
      <c r="N2947" s="1169" t="s">
        <v>272</v>
      </c>
      <c r="P2947" s="6" t="s">
        <v>3324</v>
      </c>
      <c r="Q2947" s="1215" t="s">
        <v>253</v>
      </c>
      <c r="R2947" s="1215" t="s">
        <v>255</v>
      </c>
      <c r="S2947" s="1215" t="s">
        <v>534</v>
      </c>
      <c r="T2947" s="1215" t="s">
        <v>533</v>
      </c>
      <c r="U2947" s="6" t="s">
        <v>542</v>
      </c>
      <c r="V2947" s="6" t="s">
        <v>32</v>
      </c>
      <c r="W2947" s="6" t="s">
        <v>1136</v>
      </c>
      <c r="X2947" s="6" t="s">
        <v>175</v>
      </c>
    </row>
    <row r="2948" spans="1:24" x14ac:dyDescent="0.3">
      <c r="A2948" s="6" t="s">
        <v>533</v>
      </c>
      <c r="B2948" s="6" t="s">
        <v>534</v>
      </c>
      <c r="C2948" s="6" t="s">
        <v>32</v>
      </c>
      <c r="D2948" s="1088" t="s">
        <v>542</v>
      </c>
      <c r="E2948" s="6" t="s">
        <v>175</v>
      </c>
      <c r="F2948" s="6" t="s">
        <v>1136</v>
      </c>
      <c r="G2948" s="6" t="s">
        <v>1758</v>
      </c>
      <c r="H2948" s="6" t="s">
        <v>1759</v>
      </c>
      <c r="J2948" s="1215" t="s">
        <v>511</v>
      </c>
      <c r="K2948" s="1219" t="s">
        <v>3112</v>
      </c>
      <c r="L2948" s="8">
        <v>75</v>
      </c>
      <c r="M2948" s="8">
        <v>310</v>
      </c>
      <c r="N2948" s="1169" t="s">
        <v>272</v>
      </c>
      <c r="P2948" s="6" t="s">
        <v>3324</v>
      </c>
      <c r="Q2948" s="1215" t="s">
        <v>253</v>
      </c>
      <c r="R2948" s="1215" t="s">
        <v>255</v>
      </c>
      <c r="S2948" s="1215" t="s">
        <v>534</v>
      </c>
      <c r="T2948" s="1215" t="s">
        <v>533</v>
      </c>
      <c r="U2948" s="6" t="s">
        <v>542</v>
      </c>
      <c r="V2948" s="6" t="s">
        <v>32</v>
      </c>
      <c r="W2948" s="6" t="s">
        <v>1136</v>
      </c>
      <c r="X2948" s="6" t="s">
        <v>175</v>
      </c>
    </row>
    <row r="2949" spans="1:24" x14ac:dyDescent="0.3">
      <c r="A2949" s="6" t="s">
        <v>533</v>
      </c>
      <c r="B2949" s="6" t="s">
        <v>534</v>
      </c>
      <c r="C2949" s="6" t="s">
        <v>32</v>
      </c>
      <c r="D2949" s="1088" t="s">
        <v>542</v>
      </c>
      <c r="E2949" s="6" t="s">
        <v>175</v>
      </c>
      <c r="F2949" s="6" t="s">
        <v>1136</v>
      </c>
      <c r="G2949" s="6" t="s">
        <v>1762</v>
      </c>
      <c r="H2949" s="6" t="s">
        <v>1763</v>
      </c>
      <c r="J2949" s="1215" t="s">
        <v>511</v>
      </c>
      <c r="K2949" s="1219" t="s">
        <v>3112</v>
      </c>
      <c r="L2949" s="8">
        <v>360</v>
      </c>
      <c r="M2949" s="8">
        <v>1900</v>
      </c>
      <c r="N2949" s="1169" t="s">
        <v>272</v>
      </c>
      <c r="P2949" s="6" t="s">
        <v>3324</v>
      </c>
      <c r="Q2949" s="1215" t="s">
        <v>253</v>
      </c>
      <c r="R2949" s="1215" t="s">
        <v>255</v>
      </c>
      <c r="S2949" s="1215" t="s">
        <v>534</v>
      </c>
      <c r="T2949" s="1215" t="s">
        <v>533</v>
      </c>
      <c r="U2949" s="6" t="s">
        <v>542</v>
      </c>
      <c r="V2949" s="6" t="s">
        <v>32</v>
      </c>
      <c r="W2949" s="6" t="s">
        <v>1136</v>
      </c>
      <c r="X2949" s="6" t="s">
        <v>175</v>
      </c>
    </row>
    <row r="2950" spans="1:24" x14ac:dyDescent="0.3">
      <c r="A2950" s="6" t="s">
        <v>533</v>
      </c>
      <c r="B2950" s="6" t="s">
        <v>534</v>
      </c>
      <c r="C2950" s="6" t="s">
        <v>32</v>
      </c>
      <c r="D2950" s="1088" t="s">
        <v>542</v>
      </c>
      <c r="E2950" s="6" t="s">
        <v>175</v>
      </c>
      <c r="F2950" s="6" t="s">
        <v>1136</v>
      </c>
      <c r="G2950" s="6" t="s">
        <v>1769</v>
      </c>
      <c r="H2950" s="6" t="s">
        <v>1770</v>
      </c>
      <c r="J2950" s="1215" t="s">
        <v>511</v>
      </c>
      <c r="K2950" s="1219" t="s">
        <v>3112</v>
      </c>
      <c r="L2950" s="8">
        <v>390</v>
      </c>
      <c r="M2950" s="8">
        <v>2800</v>
      </c>
      <c r="N2950" s="1169" t="s">
        <v>272</v>
      </c>
      <c r="P2950" s="6" t="s">
        <v>3324</v>
      </c>
      <c r="Q2950" s="1215" t="s">
        <v>253</v>
      </c>
      <c r="R2950" s="1215" t="s">
        <v>255</v>
      </c>
      <c r="S2950" s="1215" t="s">
        <v>534</v>
      </c>
      <c r="T2950" s="1215" t="s">
        <v>533</v>
      </c>
      <c r="U2950" s="6" t="s">
        <v>542</v>
      </c>
      <c r="V2950" s="6" t="s">
        <v>32</v>
      </c>
      <c r="W2950" s="6" t="s">
        <v>1136</v>
      </c>
      <c r="X2950" s="6" t="s">
        <v>175</v>
      </c>
    </row>
    <row r="2951" spans="1:24" x14ac:dyDescent="0.3">
      <c r="A2951" s="6" t="s">
        <v>533</v>
      </c>
      <c r="B2951" s="6" t="s">
        <v>534</v>
      </c>
      <c r="C2951" s="6" t="s">
        <v>31</v>
      </c>
      <c r="D2951" s="1088" t="s">
        <v>549</v>
      </c>
      <c r="E2951" s="6" t="s">
        <v>169</v>
      </c>
      <c r="F2951" s="6" t="s">
        <v>673</v>
      </c>
      <c r="G2951" s="6" t="s">
        <v>2998</v>
      </c>
      <c r="H2951" s="6" t="s">
        <v>2339</v>
      </c>
      <c r="J2951" s="1215" t="s">
        <v>511</v>
      </c>
      <c r="K2951" s="1219" t="s">
        <v>3111</v>
      </c>
      <c r="L2951" s="8">
        <v>126</v>
      </c>
      <c r="M2951" s="8">
        <v>402</v>
      </c>
      <c r="N2951" s="1169" t="s">
        <v>274</v>
      </c>
      <c r="P2951" s="6" t="s">
        <v>3324</v>
      </c>
      <c r="Q2951" s="1215" t="s">
        <v>253</v>
      </c>
      <c r="R2951" s="1215" t="s">
        <v>255</v>
      </c>
      <c r="S2951" s="1215" t="s">
        <v>534</v>
      </c>
      <c r="T2951" s="1215" t="s">
        <v>533</v>
      </c>
      <c r="U2951" s="6" t="s">
        <v>549</v>
      </c>
      <c r="V2951" s="6" t="s">
        <v>31</v>
      </c>
      <c r="W2951" s="6" t="s">
        <v>673</v>
      </c>
      <c r="X2951" s="6" t="s">
        <v>169</v>
      </c>
    </row>
    <row r="2952" spans="1:24" x14ac:dyDescent="0.3">
      <c r="A2952" s="6" t="s">
        <v>533</v>
      </c>
      <c r="B2952" s="6" t="s">
        <v>534</v>
      </c>
      <c r="C2952" s="6" t="s">
        <v>31</v>
      </c>
      <c r="D2952" s="1088" t="s">
        <v>549</v>
      </c>
      <c r="E2952" s="6" t="s">
        <v>169</v>
      </c>
      <c r="F2952" s="6" t="s">
        <v>673</v>
      </c>
      <c r="G2952" s="6" t="s">
        <v>1093</v>
      </c>
      <c r="H2952" s="6" t="s">
        <v>1504</v>
      </c>
      <c r="J2952" s="1215" t="s">
        <v>511</v>
      </c>
      <c r="K2952" s="1219" t="s">
        <v>3111</v>
      </c>
      <c r="L2952" s="8">
        <v>44</v>
      </c>
      <c r="M2952" s="8">
        <v>321</v>
      </c>
      <c r="N2952" s="1169" t="s">
        <v>274</v>
      </c>
      <c r="P2952" s="6" t="s">
        <v>3324</v>
      </c>
      <c r="Q2952" s="1215" t="s">
        <v>253</v>
      </c>
      <c r="R2952" s="1215" t="s">
        <v>255</v>
      </c>
      <c r="S2952" s="1215" t="s">
        <v>534</v>
      </c>
      <c r="T2952" s="1215" t="s">
        <v>533</v>
      </c>
      <c r="U2952" s="6" t="s">
        <v>549</v>
      </c>
      <c r="V2952" s="6" t="s">
        <v>31</v>
      </c>
      <c r="W2952" s="6" t="s">
        <v>673</v>
      </c>
      <c r="X2952" s="6" t="s">
        <v>169</v>
      </c>
    </row>
    <row r="2953" spans="1:24" x14ac:dyDescent="0.3">
      <c r="A2953" s="6" t="s">
        <v>533</v>
      </c>
      <c r="B2953" s="6" t="s">
        <v>534</v>
      </c>
      <c r="C2953" s="6" t="s">
        <v>31</v>
      </c>
      <c r="D2953" s="1088" t="s">
        <v>549</v>
      </c>
      <c r="E2953" s="6" t="s">
        <v>169</v>
      </c>
      <c r="F2953" s="6" t="s">
        <v>673</v>
      </c>
      <c r="G2953" s="6" t="s">
        <v>814</v>
      </c>
      <c r="H2953" s="6" t="s">
        <v>1553</v>
      </c>
      <c r="J2953" s="1215" t="s">
        <v>511</v>
      </c>
      <c r="K2953" s="1219" t="s">
        <v>3111</v>
      </c>
      <c r="L2953" s="8">
        <v>45</v>
      </c>
      <c r="M2953" s="8">
        <v>150</v>
      </c>
      <c r="N2953" s="1169" t="s">
        <v>274</v>
      </c>
      <c r="P2953" s="6" t="s">
        <v>3324</v>
      </c>
      <c r="Q2953" s="1215" t="s">
        <v>253</v>
      </c>
      <c r="R2953" s="1215" t="s">
        <v>255</v>
      </c>
      <c r="S2953" s="1215" t="s">
        <v>534</v>
      </c>
      <c r="T2953" s="1215" t="s">
        <v>533</v>
      </c>
      <c r="U2953" s="6" t="s">
        <v>549</v>
      </c>
      <c r="V2953" s="6" t="s">
        <v>31</v>
      </c>
      <c r="W2953" s="6" t="s">
        <v>673</v>
      </c>
      <c r="X2953" s="6" t="s">
        <v>169</v>
      </c>
    </row>
    <row r="2954" spans="1:24" x14ac:dyDescent="0.3">
      <c r="A2954" s="6" t="s">
        <v>533</v>
      </c>
      <c r="B2954" s="6" t="s">
        <v>534</v>
      </c>
      <c r="C2954" s="6" t="s">
        <v>31</v>
      </c>
      <c r="D2954" s="1088" t="s">
        <v>549</v>
      </c>
      <c r="E2954" s="6" t="s">
        <v>169</v>
      </c>
      <c r="F2954" s="6" t="s">
        <v>673</v>
      </c>
      <c r="G2954" s="6" t="s">
        <v>1552</v>
      </c>
      <c r="H2954" s="6" t="s">
        <v>1642</v>
      </c>
      <c r="J2954" s="1215" t="s">
        <v>511</v>
      </c>
      <c r="K2954" s="1219" t="s">
        <v>3111</v>
      </c>
      <c r="L2954" s="8">
        <v>75</v>
      </c>
      <c r="M2954" s="8">
        <v>395</v>
      </c>
      <c r="N2954" s="1169" t="s">
        <v>274</v>
      </c>
      <c r="P2954" s="6" t="s">
        <v>3324</v>
      </c>
      <c r="Q2954" s="1215" t="s">
        <v>253</v>
      </c>
      <c r="R2954" s="1215" t="s">
        <v>255</v>
      </c>
      <c r="S2954" s="1215" t="s">
        <v>534</v>
      </c>
      <c r="T2954" s="1215" t="s">
        <v>533</v>
      </c>
      <c r="U2954" s="6" t="s">
        <v>549</v>
      </c>
      <c r="V2954" s="6" t="s">
        <v>31</v>
      </c>
      <c r="W2954" s="6" t="s">
        <v>673</v>
      </c>
      <c r="X2954" s="6" t="s">
        <v>169</v>
      </c>
    </row>
    <row r="2955" spans="1:24" x14ac:dyDescent="0.3">
      <c r="A2955" s="6" t="s">
        <v>533</v>
      </c>
      <c r="B2955" s="6" t="s">
        <v>534</v>
      </c>
      <c r="C2955" s="6" t="s">
        <v>31</v>
      </c>
      <c r="D2955" s="1088" t="s">
        <v>549</v>
      </c>
      <c r="E2955" s="6" t="s">
        <v>169</v>
      </c>
      <c r="F2955" s="6" t="s">
        <v>673</v>
      </c>
      <c r="G2955" s="6" t="s">
        <v>1644</v>
      </c>
      <c r="H2955" s="1167" t="s">
        <v>1640</v>
      </c>
      <c r="J2955" s="1215" t="s">
        <v>511</v>
      </c>
      <c r="K2955" s="1219" t="s">
        <v>3111</v>
      </c>
      <c r="L2955" s="8">
        <v>60</v>
      </c>
      <c r="M2955" s="8">
        <v>352</v>
      </c>
      <c r="N2955" s="6" t="s">
        <v>274</v>
      </c>
      <c r="P2955" s="6" t="s">
        <v>3324</v>
      </c>
      <c r="Q2955" s="1215" t="s">
        <v>253</v>
      </c>
      <c r="R2955" s="1215" t="s">
        <v>255</v>
      </c>
      <c r="S2955" s="1215" t="s">
        <v>534</v>
      </c>
      <c r="T2955" s="1215" t="s">
        <v>533</v>
      </c>
      <c r="U2955" s="6" t="s">
        <v>549</v>
      </c>
      <c r="V2955" s="6" t="s">
        <v>31</v>
      </c>
      <c r="W2955" s="6" t="s">
        <v>673</v>
      </c>
      <c r="X2955" s="6" t="s">
        <v>169</v>
      </c>
    </row>
    <row r="2956" spans="1:24" x14ac:dyDescent="0.3">
      <c r="A2956" s="6" t="s">
        <v>533</v>
      </c>
      <c r="B2956" s="6" t="s">
        <v>534</v>
      </c>
      <c r="C2956" s="6" t="s">
        <v>32</v>
      </c>
      <c r="D2956" s="1088" t="s">
        <v>542</v>
      </c>
      <c r="E2956" s="6" t="s">
        <v>175</v>
      </c>
      <c r="F2956" s="6" t="s">
        <v>1136</v>
      </c>
      <c r="G2956" s="6" t="s">
        <v>1478</v>
      </c>
      <c r="H2956" s="6" t="s">
        <v>1479</v>
      </c>
      <c r="J2956" s="1215" t="s">
        <v>511</v>
      </c>
      <c r="K2956" s="1219" t="s">
        <v>3112</v>
      </c>
      <c r="L2956" s="8">
        <v>65</v>
      </c>
      <c r="M2956" s="8">
        <v>405</v>
      </c>
      <c r="N2956" s="6" t="s">
        <v>272</v>
      </c>
      <c r="P2956" s="6" t="s">
        <v>3324</v>
      </c>
      <c r="Q2956" s="1215" t="s">
        <v>253</v>
      </c>
      <c r="R2956" s="1215" t="s">
        <v>255</v>
      </c>
      <c r="S2956" s="1215" t="s">
        <v>534</v>
      </c>
      <c r="T2956" s="1215" t="s">
        <v>533</v>
      </c>
      <c r="U2956" s="6" t="s">
        <v>542</v>
      </c>
      <c r="V2956" s="6" t="s">
        <v>32</v>
      </c>
      <c r="W2956" s="6" t="s">
        <v>1136</v>
      </c>
      <c r="X2956" s="6" t="s">
        <v>175</v>
      </c>
    </row>
    <row r="2957" spans="1:24" x14ac:dyDescent="0.3">
      <c r="A2957" s="6" t="s">
        <v>533</v>
      </c>
      <c r="B2957" s="6" t="s">
        <v>534</v>
      </c>
      <c r="C2957" s="6" t="s">
        <v>32</v>
      </c>
      <c r="D2957" s="1088" t="s">
        <v>542</v>
      </c>
      <c r="E2957" s="6" t="s">
        <v>175</v>
      </c>
      <c r="F2957" s="6" t="s">
        <v>1136</v>
      </c>
      <c r="G2957" s="6" t="s">
        <v>1476</v>
      </c>
      <c r="H2957" s="6" t="s">
        <v>1477</v>
      </c>
      <c r="J2957" s="1215" t="s">
        <v>511</v>
      </c>
      <c r="K2957" s="1219" t="s">
        <v>3112</v>
      </c>
      <c r="L2957" s="8">
        <v>90</v>
      </c>
      <c r="M2957" s="8">
        <v>600</v>
      </c>
      <c r="N2957" s="1169" t="s">
        <v>272</v>
      </c>
      <c r="P2957" s="6" t="s">
        <v>3324</v>
      </c>
      <c r="Q2957" s="1215" t="s">
        <v>253</v>
      </c>
      <c r="R2957" s="1215" t="s">
        <v>255</v>
      </c>
      <c r="S2957" s="1215" t="s">
        <v>534</v>
      </c>
      <c r="T2957" s="1215" t="s">
        <v>533</v>
      </c>
      <c r="U2957" s="6" t="s">
        <v>542</v>
      </c>
      <c r="V2957" s="6" t="s">
        <v>32</v>
      </c>
      <c r="W2957" s="6" t="s">
        <v>1136</v>
      </c>
      <c r="X2957" s="6" t="s">
        <v>175</v>
      </c>
    </row>
    <row r="2958" spans="1:24" x14ac:dyDescent="0.3">
      <c r="A2958" s="6" t="s">
        <v>533</v>
      </c>
      <c r="B2958" s="6" t="s">
        <v>534</v>
      </c>
      <c r="C2958" s="6" t="s">
        <v>32</v>
      </c>
      <c r="D2958" s="1088" t="s">
        <v>542</v>
      </c>
      <c r="E2958" s="6" t="s">
        <v>175</v>
      </c>
      <c r="F2958" s="6" t="s">
        <v>1136</v>
      </c>
      <c r="G2958" s="6" t="s">
        <v>550</v>
      </c>
      <c r="H2958" s="6" t="s">
        <v>3149</v>
      </c>
      <c r="I2958" s="6" t="s">
        <v>3149</v>
      </c>
      <c r="J2958" s="1215" t="s">
        <v>511</v>
      </c>
      <c r="K2958" s="1219" t="s">
        <v>3112</v>
      </c>
      <c r="L2958" s="8">
        <v>50</v>
      </c>
      <c r="M2958" s="8">
        <v>311</v>
      </c>
      <c r="N2958" s="6" t="s">
        <v>272</v>
      </c>
      <c r="P2958" s="6" t="s">
        <v>3324</v>
      </c>
      <c r="Q2958" s="1215" t="s">
        <v>253</v>
      </c>
      <c r="R2958" s="1215" t="s">
        <v>255</v>
      </c>
      <c r="S2958" s="1215" t="s">
        <v>534</v>
      </c>
      <c r="T2958" s="1215" t="s">
        <v>533</v>
      </c>
      <c r="U2958" s="6" t="s">
        <v>542</v>
      </c>
      <c r="V2958" s="6" t="s">
        <v>32</v>
      </c>
      <c r="W2958" s="6" t="s">
        <v>1136</v>
      </c>
      <c r="X2958" s="6" t="s">
        <v>175</v>
      </c>
    </row>
    <row r="2959" spans="1:24" x14ac:dyDescent="0.3">
      <c r="A2959" s="6" t="s">
        <v>533</v>
      </c>
      <c r="B2959" s="6" t="s">
        <v>534</v>
      </c>
      <c r="C2959" s="6" t="s">
        <v>32</v>
      </c>
      <c r="D2959" s="6" t="s">
        <v>542</v>
      </c>
      <c r="E2959" s="1088" t="s">
        <v>175</v>
      </c>
      <c r="F2959" s="6" t="s">
        <v>1136</v>
      </c>
      <c r="G2959" s="6" t="s">
        <v>1771</v>
      </c>
      <c r="H2959" s="6" t="s">
        <v>1772</v>
      </c>
      <c r="J2959" s="1215" t="s">
        <v>511</v>
      </c>
      <c r="K2959" s="1219" t="s">
        <v>3112</v>
      </c>
      <c r="L2959" s="8">
        <v>121</v>
      </c>
      <c r="M2959" s="8">
        <v>1350</v>
      </c>
      <c r="N2959" s="1169" t="s">
        <v>272</v>
      </c>
      <c r="P2959" s="6" t="s">
        <v>3324</v>
      </c>
      <c r="Q2959" s="1215" t="s">
        <v>253</v>
      </c>
      <c r="R2959" s="1215" t="s">
        <v>255</v>
      </c>
      <c r="S2959" s="1215" t="s">
        <v>534</v>
      </c>
      <c r="T2959" s="1215" t="s">
        <v>533</v>
      </c>
      <c r="U2959" s="6" t="s">
        <v>542</v>
      </c>
      <c r="V2959" s="6" t="s">
        <v>32</v>
      </c>
      <c r="W2959" s="6" t="s">
        <v>1136</v>
      </c>
      <c r="X2959" s="6" t="s">
        <v>175</v>
      </c>
    </row>
    <row r="2960" spans="1:24" x14ac:dyDescent="0.3">
      <c r="A2960" s="6" t="s">
        <v>533</v>
      </c>
      <c r="B2960" s="6" t="s">
        <v>534</v>
      </c>
      <c r="C2960" s="6" t="s">
        <v>32</v>
      </c>
      <c r="D2960" s="6" t="s">
        <v>542</v>
      </c>
      <c r="E2960" s="1088" t="s">
        <v>176</v>
      </c>
      <c r="F2960" s="6" t="s">
        <v>772</v>
      </c>
      <c r="G2960" s="6" t="s">
        <v>550</v>
      </c>
      <c r="H2960" s="6" t="s">
        <v>3150</v>
      </c>
      <c r="I2960" s="6" t="s">
        <v>3150</v>
      </c>
      <c r="J2960" s="1215" t="s">
        <v>511</v>
      </c>
      <c r="K2960" s="1219" t="s">
        <v>3112</v>
      </c>
      <c r="L2960" s="8">
        <v>25</v>
      </c>
      <c r="M2960" s="8">
        <v>280</v>
      </c>
      <c r="N2960" s="6" t="s">
        <v>272</v>
      </c>
      <c r="P2960" s="6" t="s">
        <v>3324</v>
      </c>
      <c r="Q2960" s="1215" t="s">
        <v>253</v>
      </c>
      <c r="R2960" s="1215" t="s">
        <v>255</v>
      </c>
      <c r="S2960" s="1215" t="s">
        <v>534</v>
      </c>
      <c r="T2960" s="1215" t="s">
        <v>533</v>
      </c>
      <c r="U2960" s="6" t="s">
        <v>542</v>
      </c>
      <c r="V2960" s="6" t="s">
        <v>32</v>
      </c>
      <c r="W2960" s="6" t="s">
        <v>772</v>
      </c>
      <c r="X2960" s="6" t="s">
        <v>176</v>
      </c>
    </row>
    <row r="2961" spans="1:24" x14ac:dyDescent="0.3">
      <c r="A2961" s="6" t="s">
        <v>533</v>
      </c>
      <c r="B2961" s="6" t="s">
        <v>534</v>
      </c>
      <c r="C2961" s="6" t="s">
        <v>32</v>
      </c>
      <c r="D2961" s="1088" t="s">
        <v>542</v>
      </c>
      <c r="E2961" s="6" t="s">
        <v>176</v>
      </c>
      <c r="F2961" s="6" t="s">
        <v>772</v>
      </c>
      <c r="G2961" s="6" t="s">
        <v>550</v>
      </c>
      <c r="H2961" s="6" t="s">
        <v>3150</v>
      </c>
      <c r="I2961" s="6" t="s">
        <v>3150</v>
      </c>
      <c r="J2961" s="1215" t="s">
        <v>511</v>
      </c>
      <c r="K2961" s="1219" t="s">
        <v>3111</v>
      </c>
      <c r="L2961" s="8">
        <v>10</v>
      </c>
      <c r="M2961" s="8">
        <v>100</v>
      </c>
      <c r="N2961" s="6" t="s">
        <v>272</v>
      </c>
      <c r="P2961" s="6" t="s">
        <v>3324</v>
      </c>
      <c r="Q2961" s="1215" t="s">
        <v>253</v>
      </c>
      <c r="R2961" s="1215" t="s">
        <v>255</v>
      </c>
      <c r="S2961" s="1215" t="s">
        <v>534</v>
      </c>
      <c r="T2961" s="1215" t="s">
        <v>533</v>
      </c>
      <c r="U2961" s="6" t="s">
        <v>542</v>
      </c>
      <c r="V2961" s="6" t="s">
        <v>32</v>
      </c>
      <c r="W2961" s="6" t="s">
        <v>772</v>
      </c>
      <c r="X2961" s="6" t="s">
        <v>176</v>
      </c>
    </row>
    <row r="2962" spans="1:24" x14ac:dyDescent="0.3">
      <c r="A2962" s="6" t="s">
        <v>533</v>
      </c>
      <c r="B2962" s="6" t="s">
        <v>534</v>
      </c>
      <c r="C2962" s="6" t="s">
        <v>32</v>
      </c>
      <c r="D2962" s="1088" t="s">
        <v>542</v>
      </c>
      <c r="E2962" s="6" t="s">
        <v>176</v>
      </c>
      <c r="F2962" s="6" t="s">
        <v>772</v>
      </c>
      <c r="G2962" s="6" t="s">
        <v>550</v>
      </c>
      <c r="H2962" s="6" t="s">
        <v>3150</v>
      </c>
      <c r="I2962" s="6" t="s">
        <v>3150</v>
      </c>
      <c r="J2962" s="1215" t="s">
        <v>511</v>
      </c>
      <c r="K2962" s="1219" t="s">
        <v>3110</v>
      </c>
      <c r="L2962" s="8">
        <v>5</v>
      </c>
      <c r="M2962" s="8">
        <v>35</v>
      </c>
      <c r="N2962" s="6" t="s">
        <v>272</v>
      </c>
      <c r="P2962" s="6" t="s">
        <v>3324</v>
      </c>
      <c r="Q2962" s="1215" t="s">
        <v>253</v>
      </c>
      <c r="R2962" s="1215" t="s">
        <v>255</v>
      </c>
      <c r="S2962" s="1215" t="s">
        <v>534</v>
      </c>
      <c r="T2962" s="1215" t="s">
        <v>533</v>
      </c>
      <c r="U2962" s="6" t="s">
        <v>542</v>
      </c>
      <c r="V2962" s="6" t="s">
        <v>32</v>
      </c>
      <c r="W2962" s="6" t="s">
        <v>772</v>
      </c>
      <c r="X2962" s="6" t="s">
        <v>176</v>
      </c>
    </row>
    <row r="2963" spans="1:24" x14ac:dyDescent="0.3">
      <c r="A2963" s="6" t="s">
        <v>533</v>
      </c>
      <c r="B2963" s="6" t="s">
        <v>534</v>
      </c>
      <c r="C2963" s="6" t="s">
        <v>32</v>
      </c>
      <c r="D2963" s="1088" t="s">
        <v>542</v>
      </c>
      <c r="E2963" s="6" t="s">
        <v>176</v>
      </c>
      <c r="F2963" s="6" t="s">
        <v>772</v>
      </c>
      <c r="G2963" s="6" t="s">
        <v>550</v>
      </c>
      <c r="H2963" s="6" t="s">
        <v>3152</v>
      </c>
      <c r="I2963" s="6" t="s">
        <v>3152</v>
      </c>
      <c r="J2963" s="1215" t="s">
        <v>511</v>
      </c>
      <c r="K2963" s="1219" t="s">
        <v>3112</v>
      </c>
      <c r="L2963" s="8">
        <v>0</v>
      </c>
      <c r="M2963" s="8">
        <v>4</v>
      </c>
      <c r="N2963" s="6" t="s">
        <v>272</v>
      </c>
      <c r="P2963" s="6" t="s">
        <v>3324</v>
      </c>
      <c r="Q2963" s="1215" t="s">
        <v>253</v>
      </c>
      <c r="R2963" s="1215" t="s">
        <v>255</v>
      </c>
      <c r="S2963" s="1215" t="s">
        <v>534</v>
      </c>
      <c r="T2963" s="1215" t="s">
        <v>533</v>
      </c>
      <c r="U2963" s="6" t="s">
        <v>542</v>
      </c>
      <c r="V2963" s="6" t="s">
        <v>32</v>
      </c>
      <c r="W2963" s="6" t="s">
        <v>772</v>
      </c>
      <c r="X2963" s="6" t="s">
        <v>176</v>
      </c>
    </row>
    <row r="2964" spans="1:24" x14ac:dyDescent="0.3">
      <c r="A2964" s="6" t="s">
        <v>533</v>
      </c>
      <c r="B2964" s="6" t="s">
        <v>534</v>
      </c>
      <c r="C2964" s="6" t="s">
        <v>32</v>
      </c>
      <c r="D2964" s="1088" t="s">
        <v>542</v>
      </c>
      <c r="E2964" s="6" t="s">
        <v>176</v>
      </c>
      <c r="F2964" s="6" t="s">
        <v>772</v>
      </c>
      <c r="G2964" s="6" t="s">
        <v>550</v>
      </c>
      <c r="H2964" s="6" t="s">
        <v>3152</v>
      </c>
      <c r="I2964" s="6" t="s">
        <v>3152</v>
      </c>
      <c r="J2964" s="1215" t="s">
        <v>511</v>
      </c>
      <c r="K2964" s="1219" t="s">
        <v>3111</v>
      </c>
      <c r="L2964" s="8">
        <v>20</v>
      </c>
      <c r="M2964" s="8">
        <v>190</v>
      </c>
      <c r="N2964" s="1169" t="s">
        <v>272</v>
      </c>
      <c r="P2964" s="6" t="s">
        <v>3324</v>
      </c>
      <c r="Q2964" s="1215" t="s">
        <v>253</v>
      </c>
      <c r="R2964" s="1215" t="s">
        <v>255</v>
      </c>
      <c r="S2964" s="1215" t="s">
        <v>534</v>
      </c>
      <c r="T2964" s="1215" t="s">
        <v>533</v>
      </c>
      <c r="U2964" s="6" t="s">
        <v>542</v>
      </c>
      <c r="V2964" s="6" t="s">
        <v>32</v>
      </c>
      <c r="W2964" s="6" t="s">
        <v>772</v>
      </c>
      <c r="X2964" s="6" t="s">
        <v>176</v>
      </c>
    </row>
    <row r="2965" spans="1:24" x14ac:dyDescent="0.3">
      <c r="A2965" s="6" t="s">
        <v>533</v>
      </c>
      <c r="B2965" s="6" t="s">
        <v>534</v>
      </c>
      <c r="C2965" s="6" t="s">
        <v>32</v>
      </c>
      <c r="D2965" s="1088" t="s">
        <v>542</v>
      </c>
      <c r="E2965" s="6" t="s">
        <v>176</v>
      </c>
      <c r="F2965" s="6" t="s">
        <v>772</v>
      </c>
      <c r="G2965" s="6" t="s">
        <v>2265</v>
      </c>
      <c r="H2965" s="6" t="s">
        <v>2266</v>
      </c>
      <c r="J2965" s="1215" t="s">
        <v>511</v>
      </c>
      <c r="K2965" s="1219" t="s">
        <v>3112</v>
      </c>
      <c r="L2965" s="8">
        <v>34</v>
      </c>
      <c r="M2965" s="8">
        <v>184</v>
      </c>
      <c r="N2965" s="1169" t="s">
        <v>272</v>
      </c>
      <c r="P2965" s="6" t="s">
        <v>3324</v>
      </c>
      <c r="Q2965" s="1215" t="s">
        <v>253</v>
      </c>
      <c r="R2965" s="1215" t="s">
        <v>255</v>
      </c>
      <c r="S2965" s="1215" t="s">
        <v>534</v>
      </c>
      <c r="T2965" s="1215" t="s">
        <v>533</v>
      </c>
      <c r="U2965" s="6" t="s">
        <v>542</v>
      </c>
      <c r="V2965" s="6" t="s">
        <v>32</v>
      </c>
      <c r="W2965" s="6" t="s">
        <v>772</v>
      </c>
      <c r="X2965" s="6" t="s">
        <v>176</v>
      </c>
    </row>
    <row r="2966" spans="1:24" x14ac:dyDescent="0.3">
      <c r="A2966" s="6" t="s">
        <v>533</v>
      </c>
      <c r="B2966" s="6" t="s">
        <v>534</v>
      </c>
      <c r="C2966" s="6" t="s">
        <v>32</v>
      </c>
      <c r="D2966" s="1088" t="s">
        <v>542</v>
      </c>
      <c r="E2966" s="6" t="s">
        <v>176</v>
      </c>
      <c r="F2966" s="6" t="s">
        <v>772</v>
      </c>
      <c r="G2966" s="6" t="s">
        <v>550</v>
      </c>
      <c r="H2966" s="6" t="s">
        <v>3153</v>
      </c>
      <c r="I2966" s="6" t="s">
        <v>3153</v>
      </c>
      <c r="J2966" s="1215" t="s">
        <v>511</v>
      </c>
      <c r="K2966" s="1219" t="s">
        <v>3112</v>
      </c>
      <c r="L2966" s="8">
        <v>6</v>
      </c>
      <c r="M2966" s="8">
        <v>70</v>
      </c>
      <c r="N2966" s="1169" t="s">
        <v>272</v>
      </c>
      <c r="P2966" s="6" t="s">
        <v>3324</v>
      </c>
      <c r="Q2966" s="1215" t="s">
        <v>253</v>
      </c>
      <c r="R2966" s="1215" t="s">
        <v>255</v>
      </c>
      <c r="S2966" s="1215" t="s">
        <v>534</v>
      </c>
      <c r="T2966" s="1215" t="s">
        <v>533</v>
      </c>
      <c r="U2966" s="6" t="s">
        <v>542</v>
      </c>
      <c r="V2966" s="6" t="s">
        <v>32</v>
      </c>
      <c r="W2966" s="6" t="s">
        <v>772</v>
      </c>
      <c r="X2966" s="6" t="s">
        <v>176</v>
      </c>
    </row>
    <row r="2967" spans="1:24" x14ac:dyDescent="0.3">
      <c r="A2967" s="6" t="s">
        <v>533</v>
      </c>
      <c r="B2967" s="6" t="s">
        <v>534</v>
      </c>
      <c r="C2967" s="6" t="s">
        <v>31</v>
      </c>
      <c r="D2967" s="1088" t="s">
        <v>549</v>
      </c>
      <c r="E2967" s="6" t="s">
        <v>170</v>
      </c>
      <c r="F2967" s="6" t="s">
        <v>866</v>
      </c>
      <c r="G2967" s="6" t="s">
        <v>1367</v>
      </c>
      <c r="H2967" s="6" t="s">
        <v>1368</v>
      </c>
      <c r="J2967" s="1215" t="s">
        <v>511</v>
      </c>
      <c r="K2967" s="1219" t="s">
        <v>3112</v>
      </c>
      <c r="L2967" s="8">
        <v>3</v>
      </c>
      <c r="M2967" s="8">
        <v>15</v>
      </c>
      <c r="N2967" s="1169" t="s">
        <v>272</v>
      </c>
      <c r="P2967" s="6" t="s">
        <v>3361</v>
      </c>
      <c r="Q2967" s="1215" t="s">
        <v>241</v>
      </c>
      <c r="R2967" s="1168" t="s">
        <v>243</v>
      </c>
      <c r="S2967" s="1088"/>
      <c r="T2967" s="1088"/>
    </row>
    <row r="2968" spans="1:24" x14ac:dyDescent="0.3">
      <c r="A2968" s="6" t="s">
        <v>533</v>
      </c>
      <c r="B2968" s="6" t="s">
        <v>534</v>
      </c>
      <c r="C2968" s="6" t="s">
        <v>32</v>
      </c>
      <c r="D2968" s="1088" t="s">
        <v>542</v>
      </c>
      <c r="E2968" s="6" t="s">
        <v>176</v>
      </c>
      <c r="F2968" s="6" t="s">
        <v>772</v>
      </c>
      <c r="G2968" s="6" t="s">
        <v>2233</v>
      </c>
      <c r="H2968" s="6" t="s">
        <v>2234</v>
      </c>
      <c r="J2968" s="1215" t="s">
        <v>511</v>
      </c>
      <c r="K2968" s="1219" t="s">
        <v>3112</v>
      </c>
      <c r="L2968" s="8">
        <v>42</v>
      </c>
      <c r="M2968" s="8">
        <v>340</v>
      </c>
      <c r="N2968" s="1169" t="s">
        <v>272</v>
      </c>
      <c r="P2968" s="6" t="s">
        <v>3324</v>
      </c>
      <c r="Q2968" s="1215" t="s">
        <v>253</v>
      </c>
      <c r="R2968" s="1215" t="s">
        <v>255</v>
      </c>
      <c r="S2968" s="1215" t="s">
        <v>534</v>
      </c>
      <c r="T2968" s="1215" t="s">
        <v>533</v>
      </c>
      <c r="U2968" s="6" t="s">
        <v>542</v>
      </c>
      <c r="V2968" s="6" t="s">
        <v>32</v>
      </c>
      <c r="W2968" s="6" t="s">
        <v>772</v>
      </c>
      <c r="X2968" s="6" t="s">
        <v>176</v>
      </c>
    </row>
    <row r="2969" spans="1:24" x14ac:dyDescent="0.3">
      <c r="A2969" s="6" t="s">
        <v>533</v>
      </c>
      <c r="B2969" s="6" t="s">
        <v>534</v>
      </c>
      <c r="C2969" s="6" t="s">
        <v>32</v>
      </c>
      <c r="D2969" s="1088" t="s">
        <v>542</v>
      </c>
      <c r="E2969" s="6" t="s">
        <v>176</v>
      </c>
      <c r="F2969" s="6" t="s">
        <v>772</v>
      </c>
      <c r="G2969" s="6" t="s">
        <v>1739</v>
      </c>
      <c r="H2969" s="6" t="s">
        <v>1740</v>
      </c>
      <c r="J2969" s="1215" t="s">
        <v>511</v>
      </c>
      <c r="K2969" s="1219" t="s">
        <v>3033</v>
      </c>
      <c r="L2969" s="8">
        <v>535</v>
      </c>
      <c r="M2969" s="8">
        <v>4240</v>
      </c>
      <c r="N2969" s="1169" t="s">
        <v>272</v>
      </c>
      <c r="P2969" s="6" t="s">
        <v>3324</v>
      </c>
      <c r="Q2969" s="1215" t="s">
        <v>253</v>
      </c>
      <c r="R2969" s="1215" t="s">
        <v>255</v>
      </c>
      <c r="S2969" s="1215" t="s">
        <v>534</v>
      </c>
      <c r="T2969" s="1215" t="s">
        <v>533</v>
      </c>
      <c r="U2969" s="6" t="s">
        <v>542</v>
      </c>
      <c r="V2969" s="6" t="s">
        <v>32</v>
      </c>
      <c r="W2969" s="6" t="s">
        <v>772</v>
      </c>
      <c r="X2969" s="6" t="s">
        <v>176</v>
      </c>
    </row>
    <row r="2970" spans="1:24" x14ac:dyDescent="0.3">
      <c r="A2970" s="6" t="s">
        <v>533</v>
      </c>
      <c r="B2970" s="6" t="s">
        <v>534</v>
      </c>
      <c r="C2970" s="6" t="s">
        <v>32</v>
      </c>
      <c r="D2970" s="1088" t="s">
        <v>542</v>
      </c>
      <c r="E2970" s="6" t="s">
        <v>176</v>
      </c>
      <c r="F2970" s="6" t="s">
        <v>772</v>
      </c>
      <c r="G2970" s="6" t="s">
        <v>1739</v>
      </c>
      <c r="H2970" s="6" t="s">
        <v>1740</v>
      </c>
      <c r="J2970" s="1215" t="s">
        <v>511</v>
      </c>
      <c r="K2970" s="1219" t="s">
        <v>3112</v>
      </c>
      <c r="L2970" s="8">
        <v>13</v>
      </c>
      <c r="M2970" s="8">
        <v>90</v>
      </c>
      <c r="N2970" s="1169" t="s">
        <v>272</v>
      </c>
      <c r="P2970" s="6" t="s">
        <v>3324</v>
      </c>
      <c r="Q2970" s="1215" t="s">
        <v>253</v>
      </c>
      <c r="R2970" s="1215" t="s">
        <v>255</v>
      </c>
      <c r="S2970" s="1215" t="s">
        <v>534</v>
      </c>
      <c r="T2970" s="1215" t="s">
        <v>533</v>
      </c>
      <c r="U2970" s="6" t="s">
        <v>542</v>
      </c>
      <c r="V2970" s="6" t="s">
        <v>32</v>
      </c>
      <c r="W2970" s="6" t="s">
        <v>772</v>
      </c>
      <c r="X2970" s="6" t="s">
        <v>176</v>
      </c>
    </row>
    <row r="2971" spans="1:24" x14ac:dyDescent="0.3">
      <c r="A2971" s="6" t="s">
        <v>533</v>
      </c>
      <c r="B2971" s="6" t="s">
        <v>534</v>
      </c>
      <c r="C2971" s="6" t="s">
        <v>32</v>
      </c>
      <c r="D2971" s="1088" t="s">
        <v>542</v>
      </c>
      <c r="E2971" s="1088" t="s">
        <v>176</v>
      </c>
      <c r="F2971" s="6" t="s">
        <v>772</v>
      </c>
      <c r="G2971" s="6" t="s">
        <v>1739</v>
      </c>
      <c r="H2971" s="6" t="s">
        <v>1740</v>
      </c>
      <c r="J2971" s="1215" t="s">
        <v>511</v>
      </c>
      <c r="K2971" s="1219" t="s">
        <v>3111</v>
      </c>
      <c r="L2971" s="8">
        <v>0</v>
      </c>
      <c r="M2971" s="8">
        <v>8</v>
      </c>
      <c r="N2971" s="1169" t="s">
        <v>272</v>
      </c>
      <c r="P2971" s="6" t="s">
        <v>3324</v>
      </c>
      <c r="Q2971" s="1215" t="s">
        <v>253</v>
      </c>
      <c r="R2971" s="1215" t="s">
        <v>255</v>
      </c>
      <c r="S2971" s="1215" t="s">
        <v>534</v>
      </c>
      <c r="T2971" s="1215" t="s">
        <v>533</v>
      </c>
      <c r="U2971" s="6" t="s">
        <v>542</v>
      </c>
      <c r="V2971" s="6" t="s">
        <v>32</v>
      </c>
      <c r="W2971" s="6" t="s">
        <v>772</v>
      </c>
      <c r="X2971" s="6" t="s">
        <v>176</v>
      </c>
    </row>
    <row r="2972" spans="1:24" x14ac:dyDescent="0.3">
      <c r="A2972" s="6" t="s">
        <v>533</v>
      </c>
      <c r="B2972" s="6" t="s">
        <v>534</v>
      </c>
      <c r="C2972" s="6" t="s">
        <v>31</v>
      </c>
      <c r="D2972" s="6" t="s">
        <v>549</v>
      </c>
      <c r="E2972" s="1169" t="s">
        <v>169</v>
      </c>
      <c r="F2972" s="6" t="s">
        <v>673</v>
      </c>
      <c r="G2972" s="6" t="s">
        <v>3204</v>
      </c>
      <c r="H2972" s="6" t="s">
        <v>3076</v>
      </c>
      <c r="J2972" s="1215" t="s">
        <v>511</v>
      </c>
      <c r="K2972" s="1219" t="s">
        <v>3111</v>
      </c>
      <c r="L2972" s="8">
        <v>58</v>
      </c>
      <c r="M2972" s="8">
        <v>316</v>
      </c>
      <c r="N2972" s="1169" t="s">
        <v>274</v>
      </c>
      <c r="P2972" s="6" t="s">
        <v>3361</v>
      </c>
      <c r="Q2972" s="1215" t="s">
        <v>241</v>
      </c>
      <c r="R2972" s="1168" t="s">
        <v>243</v>
      </c>
      <c r="S2972" s="1088"/>
      <c r="T2972" s="1088"/>
    </row>
    <row r="2973" spans="1:24" x14ac:dyDescent="0.3">
      <c r="A2973" s="6" t="s">
        <v>533</v>
      </c>
      <c r="B2973" s="6" t="s">
        <v>534</v>
      </c>
      <c r="C2973" s="6" t="s">
        <v>31</v>
      </c>
      <c r="D2973" s="6" t="s">
        <v>549</v>
      </c>
      <c r="E2973" s="1169" t="s">
        <v>169</v>
      </c>
      <c r="F2973" s="6" t="s">
        <v>673</v>
      </c>
      <c r="G2973" s="6" t="s">
        <v>3204</v>
      </c>
      <c r="H2973" s="6" t="s">
        <v>3076</v>
      </c>
      <c r="J2973" s="1215" t="s">
        <v>511</v>
      </c>
      <c r="K2973" s="1219" t="s">
        <v>3112</v>
      </c>
      <c r="L2973" s="8">
        <v>13</v>
      </c>
      <c r="M2973" s="8">
        <v>90</v>
      </c>
      <c r="N2973" s="1169" t="s">
        <v>274</v>
      </c>
      <c r="P2973" s="6" t="s">
        <v>3361</v>
      </c>
      <c r="Q2973" s="1215" t="s">
        <v>241</v>
      </c>
      <c r="R2973" s="1168" t="s">
        <v>243</v>
      </c>
      <c r="S2973" s="1088"/>
      <c r="T2973" s="1088"/>
    </row>
    <row r="2974" spans="1:24" x14ac:dyDescent="0.3">
      <c r="A2974" s="6" t="s">
        <v>533</v>
      </c>
      <c r="B2974" s="6" t="s">
        <v>534</v>
      </c>
      <c r="C2974" s="6" t="s">
        <v>31</v>
      </c>
      <c r="D2974" s="1088" t="s">
        <v>549</v>
      </c>
      <c r="E2974" s="1169" t="s">
        <v>169</v>
      </c>
      <c r="F2974" s="6" t="s">
        <v>673</v>
      </c>
      <c r="G2974" s="6" t="s">
        <v>2990</v>
      </c>
      <c r="H2974" s="6" t="s">
        <v>2331</v>
      </c>
      <c r="J2974" s="1215" t="s">
        <v>511</v>
      </c>
      <c r="K2974" s="1219" t="s">
        <v>3111</v>
      </c>
      <c r="L2974" s="8">
        <v>5</v>
      </c>
      <c r="M2974" s="8">
        <v>15</v>
      </c>
      <c r="N2974" s="1169" t="s">
        <v>274</v>
      </c>
      <c r="P2974" s="6" t="s">
        <v>3361</v>
      </c>
      <c r="Q2974" s="1215" t="s">
        <v>241</v>
      </c>
      <c r="R2974" s="1168" t="s">
        <v>243</v>
      </c>
      <c r="S2974" s="1088"/>
      <c r="T2974" s="1088"/>
    </row>
    <row r="2975" spans="1:24" x14ac:dyDescent="0.3">
      <c r="A2975" s="6" t="s">
        <v>533</v>
      </c>
      <c r="B2975" s="6" t="s">
        <v>534</v>
      </c>
      <c r="C2975" s="6" t="s">
        <v>31</v>
      </c>
      <c r="D2975" s="1088" t="s">
        <v>549</v>
      </c>
      <c r="E2975" s="1169" t="s">
        <v>169</v>
      </c>
      <c r="F2975" s="6" t="s">
        <v>673</v>
      </c>
      <c r="G2975" s="6" t="s">
        <v>2990</v>
      </c>
      <c r="H2975" s="6" t="s">
        <v>2331</v>
      </c>
      <c r="J2975" s="1215" t="s">
        <v>511</v>
      </c>
      <c r="K2975" s="1219" t="s">
        <v>3112</v>
      </c>
      <c r="L2975" s="8">
        <v>10</v>
      </c>
      <c r="M2975" s="8">
        <v>92</v>
      </c>
      <c r="N2975" s="1169" t="s">
        <v>274</v>
      </c>
      <c r="P2975" s="6" t="s">
        <v>3361</v>
      </c>
      <c r="Q2975" s="1215" t="s">
        <v>241</v>
      </c>
      <c r="R2975" s="1168" t="s">
        <v>243</v>
      </c>
      <c r="S2975" s="1088"/>
      <c r="T2975" s="1088"/>
    </row>
    <row r="2976" spans="1:24" x14ac:dyDescent="0.3">
      <c r="A2976" s="6" t="s">
        <v>533</v>
      </c>
      <c r="B2976" s="6" t="s">
        <v>534</v>
      </c>
      <c r="C2976" s="6" t="s">
        <v>32</v>
      </c>
      <c r="D2976" s="1088" t="s">
        <v>542</v>
      </c>
      <c r="E2976" s="6" t="s">
        <v>181</v>
      </c>
      <c r="F2976" s="6" t="s">
        <v>1661</v>
      </c>
      <c r="G2976" s="6" t="s">
        <v>1664</v>
      </c>
      <c r="H2976" s="6" t="s">
        <v>1665</v>
      </c>
      <c r="J2976" s="1215" t="s">
        <v>511</v>
      </c>
      <c r="K2976" s="1219" t="s">
        <v>3112</v>
      </c>
      <c r="L2976" s="8">
        <v>172</v>
      </c>
      <c r="M2976" s="8">
        <v>860</v>
      </c>
      <c r="N2976" s="6" t="s">
        <v>272</v>
      </c>
      <c r="P2976" s="6" t="s">
        <v>3324</v>
      </c>
      <c r="Q2976" s="1215" t="s">
        <v>253</v>
      </c>
      <c r="R2976" s="1215" t="s">
        <v>255</v>
      </c>
      <c r="S2976" s="1215" t="s">
        <v>534</v>
      </c>
      <c r="T2976" s="1215" t="s">
        <v>533</v>
      </c>
      <c r="U2976" s="6" t="s">
        <v>542</v>
      </c>
      <c r="V2976" s="6" t="s">
        <v>32</v>
      </c>
      <c r="W2976" s="6" t="s">
        <v>1661</v>
      </c>
      <c r="X2976" s="6" t="s">
        <v>181</v>
      </c>
    </row>
    <row r="2977" spans="1:24" x14ac:dyDescent="0.3">
      <c r="A2977" s="6" t="s">
        <v>533</v>
      </c>
      <c r="B2977" s="6" t="s">
        <v>534</v>
      </c>
      <c r="C2977" s="6" t="s">
        <v>32</v>
      </c>
      <c r="D2977" s="1088" t="s">
        <v>542</v>
      </c>
      <c r="E2977" s="6" t="s">
        <v>181</v>
      </c>
      <c r="F2977" s="6" t="s">
        <v>1661</v>
      </c>
      <c r="G2977" s="6" t="s">
        <v>2320</v>
      </c>
      <c r="H2977" s="6" t="s">
        <v>821</v>
      </c>
      <c r="J2977" s="1215" t="s">
        <v>511</v>
      </c>
      <c r="K2977" s="1219" t="s">
        <v>3033</v>
      </c>
      <c r="L2977" s="8">
        <v>4</v>
      </c>
      <c r="M2977" s="8">
        <v>26</v>
      </c>
      <c r="N2977" s="1169" t="s">
        <v>271</v>
      </c>
      <c r="P2977" s="6" t="s">
        <v>3322</v>
      </c>
      <c r="Q2977" s="1215" t="s">
        <v>253</v>
      </c>
      <c r="R2977" s="1215" t="s">
        <v>255</v>
      </c>
      <c r="S2977" s="1215" t="s">
        <v>534</v>
      </c>
      <c r="T2977" s="1215" t="s">
        <v>533</v>
      </c>
      <c r="U2977" s="6" t="s">
        <v>567</v>
      </c>
      <c r="V2977" s="6" t="s">
        <v>35</v>
      </c>
    </row>
    <row r="2978" spans="1:24" x14ac:dyDescent="0.3">
      <c r="A2978" s="6" t="s">
        <v>533</v>
      </c>
      <c r="B2978" s="6" t="s">
        <v>534</v>
      </c>
      <c r="C2978" s="6" t="s">
        <v>32</v>
      </c>
      <c r="D2978" s="1088" t="s">
        <v>542</v>
      </c>
      <c r="E2978" s="6" t="s">
        <v>181</v>
      </c>
      <c r="F2978" s="6" t="s">
        <v>1661</v>
      </c>
      <c r="G2978" s="6" t="s">
        <v>2320</v>
      </c>
      <c r="H2978" s="6" t="s">
        <v>821</v>
      </c>
      <c r="J2978" s="1215" t="s">
        <v>511</v>
      </c>
      <c r="K2978" s="1219" t="s">
        <v>3109</v>
      </c>
      <c r="L2978" s="8">
        <v>1</v>
      </c>
      <c r="M2978" s="8">
        <v>1</v>
      </c>
      <c r="N2978" s="1169" t="s">
        <v>272</v>
      </c>
      <c r="P2978" s="6" t="s">
        <v>3324</v>
      </c>
      <c r="Q2978" s="1215" t="s">
        <v>253</v>
      </c>
      <c r="R2978" s="1215" t="s">
        <v>255</v>
      </c>
      <c r="S2978" s="1215" t="s">
        <v>534</v>
      </c>
      <c r="T2978" s="1215" t="s">
        <v>533</v>
      </c>
      <c r="U2978" s="6" t="s">
        <v>542</v>
      </c>
      <c r="V2978" s="6" t="s">
        <v>32</v>
      </c>
      <c r="W2978" s="6" t="s">
        <v>1661</v>
      </c>
      <c r="X2978" s="6" t="s">
        <v>181</v>
      </c>
    </row>
    <row r="2979" spans="1:24" x14ac:dyDescent="0.3">
      <c r="A2979" s="6" t="s">
        <v>533</v>
      </c>
      <c r="B2979" s="6" t="s">
        <v>534</v>
      </c>
      <c r="C2979" s="6" t="s">
        <v>32</v>
      </c>
      <c r="D2979" s="1088" t="s">
        <v>542</v>
      </c>
      <c r="E2979" s="6" t="s">
        <v>181</v>
      </c>
      <c r="F2979" s="6" t="s">
        <v>1661</v>
      </c>
      <c r="G2979" s="6" t="s">
        <v>2320</v>
      </c>
      <c r="H2979" s="6" t="s">
        <v>821</v>
      </c>
      <c r="J2979" s="1215" t="s">
        <v>511</v>
      </c>
      <c r="K2979" s="1219" t="s">
        <v>3112</v>
      </c>
      <c r="L2979" s="8">
        <v>0</v>
      </c>
      <c r="M2979" s="8">
        <v>2</v>
      </c>
      <c r="N2979" s="1169" t="s">
        <v>272</v>
      </c>
      <c r="P2979" s="6" t="s">
        <v>3324</v>
      </c>
      <c r="Q2979" s="1215" t="s">
        <v>253</v>
      </c>
      <c r="R2979" s="1215" t="s">
        <v>255</v>
      </c>
      <c r="S2979" s="1215" t="s">
        <v>534</v>
      </c>
      <c r="T2979" s="1215" t="s">
        <v>533</v>
      </c>
      <c r="U2979" s="6" t="s">
        <v>542</v>
      </c>
      <c r="V2979" s="6" t="s">
        <v>32</v>
      </c>
      <c r="W2979" s="6" t="s">
        <v>1661</v>
      </c>
      <c r="X2979" s="6" t="s">
        <v>181</v>
      </c>
    </row>
    <row r="2980" spans="1:24" x14ac:dyDescent="0.3">
      <c r="A2980" s="6" t="s">
        <v>533</v>
      </c>
      <c r="B2980" s="6" t="s">
        <v>534</v>
      </c>
      <c r="C2980" s="6" t="s">
        <v>32</v>
      </c>
      <c r="D2980" s="1088" t="s">
        <v>542</v>
      </c>
      <c r="E2980" s="6" t="s">
        <v>181</v>
      </c>
      <c r="F2980" s="6" t="s">
        <v>1661</v>
      </c>
      <c r="G2980" s="6" t="s">
        <v>550</v>
      </c>
      <c r="H2980" s="6" t="s">
        <v>3155</v>
      </c>
      <c r="I2980" s="6" t="s">
        <v>3155</v>
      </c>
      <c r="J2980" s="1215" t="s">
        <v>511</v>
      </c>
      <c r="K2980" s="1219" t="s">
        <v>3112</v>
      </c>
      <c r="L2980" s="8">
        <v>141</v>
      </c>
      <c r="M2980" s="8">
        <v>1742</v>
      </c>
      <c r="N2980" s="1169" t="s">
        <v>272</v>
      </c>
      <c r="P2980" s="6" t="s">
        <v>3324</v>
      </c>
      <c r="Q2980" s="1215" t="s">
        <v>253</v>
      </c>
      <c r="R2980" s="1215" t="s">
        <v>255</v>
      </c>
      <c r="S2980" s="1215" t="s">
        <v>534</v>
      </c>
      <c r="T2980" s="1215" t="s">
        <v>533</v>
      </c>
      <c r="U2980" s="6" t="s">
        <v>542</v>
      </c>
      <c r="V2980" s="6" t="s">
        <v>32</v>
      </c>
      <c r="W2980" s="6" t="s">
        <v>1661</v>
      </c>
      <c r="X2980" s="6" t="s">
        <v>181</v>
      </c>
    </row>
    <row r="2981" spans="1:24" x14ac:dyDescent="0.3">
      <c r="A2981" s="6" t="s">
        <v>533</v>
      </c>
      <c r="B2981" s="6" t="s">
        <v>534</v>
      </c>
      <c r="C2981" s="6" t="s">
        <v>32</v>
      </c>
      <c r="D2981" s="1088" t="s">
        <v>542</v>
      </c>
      <c r="E2981" s="6" t="s">
        <v>174</v>
      </c>
      <c r="F2981" s="6" t="s">
        <v>1658</v>
      </c>
      <c r="G2981" s="6" t="s">
        <v>1659</v>
      </c>
      <c r="H2981" s="6" t="s">
        <v>1660</v>
      </c>
      <c r="J2981" s="1215" t="s">
        <v>511</v>
      </c>
      <c r="K2981" s="1219" t="s">
        <v>3112</v>
      </c>
      <c r="L2981" s="8">
        <v>12</v>
      </c>
      <c r="M2981" s="8">
        <v>68</v>
      </c>
      <c r="N2981" s="6" t="s">
        <v>272</v>
      </c>
      <c r="P2981" s="6" t="s">
        <v>3324</v>
      </c>
      <c r="Q2981" s="1215" t="s">
        <v>253</v>
      </c>
      <c r="R2981" s="1215" t="s">
        <v>255</v>
      </c>
      <c r="S2981" s="1215" t="s">
        <v>534</v>
      </c>
      <c r="T2981" s="1215" t="s">
        <v>533</v>
      </c>
      <c r="U2981" s="6" t="s">
        <v>542</v>
      </c>
      <c r="V2981" s="6" t="s">
        <v>32</v>
      </c>
      <c r="W2981" s="6" t="s">
        <v>1658</v>
      </c>
      <c r="X2981" s="6" t="s">
        <v>174</v>
      </c>
    </row>
    <row r="2982" spans="1:24" x14ac:dyDescent="0.3">
      <c r="A2982" s="6" t="s">
        <v>533</v>
      </c>
      <c r="B2982" s="6" t="s">
        <v>534</v>
      </c>
      <c r="C2982" s="6" t="s">
        <v>32</v>
      </c>
      <c r="D2982" s="1088" t="s">
        <v>542</v>
      </c>
      <c r="E2982" s="6" t="s">
        <v>180</v>
      </c>
      <c r="F2982" s="6" t="s">
        <v>1653</v>
      </c>
      <c r="G2982" s="6" t="s">
        <v>550</v>
      </c>
      <c r="H2982" s="6" t="s">
        <v>3156</v>
      </c>
      <c r="I2982" s="6" t="s">
        <v>3156</v>
      </c>
      <c r="J2982" s="1215" t="s">
        <v>511</v>
      </c>
      <c r="K2982" s="1219" t="s">
        <v>3112</v>
      </c>
      <c r="L2982" s="8">
        <v>776</v>
      </c>
      <c r="M2982" s="8">
        <v>6208</v>
      </c>
      <c r="N2982" s="6" t="s">
        <v>272</v>
      </c>
      <c r="P2982" s="6" t="s">
        <v>3324</v>
      </c>
      <c r="Q2982" s="1215" t="s">
        <v>253</v>
      </c>
      <c r="R2982" s="1215" t="s">
        <v>255</v>
      </c>
      <c r="S2982" s="1215" t="s">
        <v>534</v>
      </c>
      <c r="T2982" s="1215" t="s">
        <v>533</v>
      </c>
      <c r="U2982" s="6" t="s">
        <v>542</v>
      </c>
      <c r="V2982" s="6" t="s">
        <v>32</v>
      </c>
      <c r="W2982" s="6" t="s">
        <v>1653</v>
      </c>
      <c r="X2982" s="6" t="s">
        <v>180</v>
      </c>
    </row>
    <row r="2983" spans="1:24" x14ac:dyDescent="0.3">
      <c r="A2983" s="6" t="s">
        <v>533</v>
      </c>
      <c r="B2983" s="6" t="s">
        <v>534</v>
      </c>
      <c r="C2983" s="6" t="s">
        <v>32</v>
      </c>
      <c r="D2983" s="1088" t="s">
        <v>542</v>
      </c>
      <c r="E2983" s="6" t="s">
        <v>180</v>
      </c>
      <c r="F2983" s="6" t="s">
        <v>1653</v>
      </c>
      <c r="G2983" s="6" t="s">
        <v>1656</v>
      </c>
      <c r="H2983" s="6" t="s">
        <v>1657</v>
      </c>
      <c r="J2983" s="1215" t="s">
        <v>511</v>
      </c>
      <c r="K2983" s="1219" t="s">
        <v>3112</v>
      </c>
      <c r="L2983" s="8">
        <v>50</v>
      </c>
      <c r="M2983" s="8">
        <v>800</v>
      </c>
      <c r="N2983" s="6" t="s">
        <v>272</v>
      </c>
      <c r="P2983" s="6" t="s">
        <v>3324</v>
      </c>
      <c r="Q2983" s="1215" t="s">
        <v>253</v>
      </c>
      <c r="R2983" s="1215" t="s">
        <v>255</v>
      </c>
      <c r="S2983" s="1215" t="s">
        <v>534</v>
      </c>
      <c r="T2983" s="1215" t="s">
        <v>533</v>
      </c>
      <c r="U2983" s="6" t="s">
        <v>542</v>
      </c>
      <c r="V2983" s="6" t="s">
        <v>32</v>
      </c>
      <c r="W2983" s="6" t="s">
        <v>1653</v>
      </c>
      <c r="X2983" s="6" t="s">
        <v>180</v>
      </c>
    </row>
    <row r="2984" spans="1:24" x14ac:dyDescent="0.3">
      <c r="A2984" s="6" t="s">
        <v>533</v>
      </c>
      <c r="B2984" s="6" t="s">
        <v>534</v>
      </c>
      <c r="C2984" s="6" t="s">
        <v>32</v>
      </c>
      <c r="D2984" s="1088" t="s">
        <v>542</v>
      </c>
      <c r="E2984" s="6" t="s">
        <v>180</v>
      </c>
      <c r="F2984" s="6" t="s">
        <v>1653</v>
      </c>
      <c r="G2984" s="6" t="s">
        <v>550</v>
      </c>
      <c r="H2984" s="6" t="s">
        <v>3157</v>
      </c>
      <c r="I2984" s="6" t="s">
        <v>3157</v>
      </c>
      <c r="J2984" s="1215" t="s">
        <v>511</v>
      </c>
      <c r="K2984" s="1219" t="s">
        <v>3112</v>
      </c>
      <c r="L2984" s="8">
        <v>1098</v>
      </c>
      <c r="M2984" s="8">
        <v>7686</v>
      </c>
      <c r="N2984" s="1169" t="s">
        <v>272</v>
      </c>
      <c r="P2984" s="6" t="s">
        <v>3324</v>
      </c>
      <c r="Q2984" s="1215" t="s">
        <v>253</v>
      </c>
      <c r="R2984" s="1215" t="s">
        <v>255</v>
      </c>
      <c r="S2984" s="1215" t="s">
        <v>534</v>
      </c>
      <c r="T2984" s="1215" t="s">
        <v>533</v>
      </c>
      <c r="U2984" s="6" t="s">
        <v>542</v>
      </c>
      <c r="V2984" s="6" t="s">
        <v>32</v>
      </c>
      <c r="W2984" s="6" t="s">
        <v>1653</v>
      </c>
      <c r="X2984" s="6" t="s">
        <v>180</v>
      </c>
    </row>
    <row r="2985" spans="1:24" x14ac:dyDescent="0.3">
      <c r="A2985" s="6" t="s">
        <v>533</v>
      </c>
      <c r="B2985" s="6" t="s">
        <v>534</v>
      </c>
      <c r="C2985" s="6" t="s">
        <v>32</v>
      </c>
      <c r="D2985" s="1088" t="s">
        <v>542</v>
      </c>
      <c r="E2985" s="6" t="s">
        <v>180</v>
      </c>
      <c r="F2985" s="6" t="s">
        <v>1653</v>
      </c>
      <c r="G2985" s="6" t="s">
        <v>550</v>
      </c>
      <c r="H2985" s="6" t="s">
        <v>3158</v>
      </c>
      <c r="I2985" s="6" t="s">
        <v>3158</v>
      </c>
      <c r="J2985" s="1215" t="s">
        <v>511</v>
      </c>
      <c r="K2985" s="1219" t="s">
        <v>3112</v>
      </c>
      <c r="L2985" s="8">
        <v>441</v>
      </c>
      <c r="M2985" s="8">
        <v>5292</v>
      </c>
      <c r="N2985" s="1169" t="s">
        <v>272</v>
      </c>
      <c r="P2985" s="6" t="s">
        <v>3324</v>
      </c>
      <c r="Q2985" s="1215" t="s">
        <v>253</v>
      </c>
      <c r="R2985" s="1215" t="s">
        <v>255</v>
      </c>
      <c r="S2985" s="1215" t="s">
        <v>534</v>
      </c>
      <c r="T2985" s="1215" t="s">
        <v>533</v>
      </c>
      <c r="U2985" s="6" t="s">
        <v>542</v>
      </c>
      <c r="V2985" s="6" t="s">
        <v>32</v>
      </c>
      <c r="W2985" s="6" t="s">
        <v>1653</v>
      </c>
      <c r="X2985" s="6" t="s">
        <v>180</v>
      </c>
    </row>
    <row r="2986" spans="1:24" x14ac:dyDescent="0.3">
      <c r="A2986" s="6" t="s">
        <v>533</v>
      </c>
      <c r="B2986" s="6" t="s">
        <v>534</v>
      </c>
      <c r="C2986" s="6" t="s">
        <v>32</v>
      </c>
      <c r="D2986" s="1088" t="s">
        <v>542</v>
      </c>
      <c r="E2986" s="6" t="s">
        <v>180</v>
      </c>
      <c r="F2986" s="6" t="s">
        <v>1653</v>
      </c>
      <c r="G2986" s="6" t="s">
        <v>550</v>
      </c>
      <c r="H2986" s="6" t="s">
        <v>3159</v>
      </c>
      <c r="I2986" s="6" t="s">
        <v>3159</v>
      </c>
      <c r="J2986" s="1215" t="s">
        <v>511</v>
      </c>
      <c r="K2986" s="1219" t="s">
        <v>3112</v>
      </c>
      <c r="L2986" s="8">
        <v>698</v>
      </c>
      <c r="M2986" s="8">
        <v>6980</v>
      </c>
      <c r="N2986" s="1169" t="s">
        <v>272</v>
      </c>
      <c r="P2986" s="6" t="s">
        <v>3324</v>
      </c>
      <c r="Q2986" s="1215" t="s">
        <v>253</v>
      </c>
      <c r="R2986" s="1215" t="s">
        <v>255</v>
      </c>
      <c r="S2986" s="1215" t="s">
        <v>534</v>
      </c>
      <c r="T2986" s="1215" t="s">
        <v>533</v>
      </c>
      <c r="U2986" s="6" t="s">
        <v>542</v>
      </c>
      <c r="V2986" s="6" t="s">
        <v>32</v>
      </c>
      <c r="W2986" s="6" t="s">
        <v>1653</v>
      </c>
      <c r="X2986" s="6" t="s">
        <v>180</v>
      </c>
    </row>
    <row r="2987" spans="1:24" x14ac:dyDescent="0.3">
      <c r="A2987" s="6" t="s">
        <v>533</v>
      </c>
      <c r="B2987" s="6" t="s">
        <v>534</v>
      </c>
      <c r="C2987" s="6" t="s">
        <v>32</v>
      </c>
      <c r="D2987" s="1088" t="s">
        <v>542</v>
      </c>
      <c r="E2987" s="6" t="s">
        <v>180</v>
      </c>
      <c r="F2987" s="6" t="s">
        <v>1653</v>
      </c>
      <c r="G2987" s="6" t="s">
        <v>550</v>
      </c>
      <c r="H2987" s="6" t="s">
        <v>3160</v>
      </c>
      <c r="I2987" s="6" t="s">
        <v>3160</v>
      </c>
      <c r="J2987" s="1215" t="s">
        <v>511</v>
      </c>
      <c r="K2987" s="1219" t="s">
        <v>3112</v>
      </c>
      <c r="L2987" s="8">
        <v>1227</v>
      </c>
      <c r="M2987" s="8">
        <v>9816</v>
      </c>
      <c r="N2987" s="6" t="s">
        <v>272</v>
      </c>
      <c r="P2987" s="6" t="s">
        <v>3324</v>
      </c>
      <c r="Q2987" s="1215" t="s">
        <v>253</v>
      </c>
      <c r="R2987" s="1215" t="s">
        <v>255</v>
      </c>
      <c r="S2987" s="1215" t="s">
        <v>534</v>
      </c>
      <c r="T2987" s="1215" t="s">
        <v>533</v>
      </c>
      <c r="U2987" s="6" t="s">
        <v>542</v>
      </c>
      <c r="V2987" s="6" t="s">
        <v>32</v>
      </c>
      <c r="W2987" s="6" t="s">
        <v>1653</v>
      </c>
      <c r="X2987" s="6" t="s">
        <v>180</v>
      </c>
    </row>
    <row r="2988" spans="1:24" x14ac:dyDescent="0.3">
      <c r="A2988" s="6" t="s">
        <v>533</v>
      </c>
      <c r="B2988" s="6" t="s">
        <v>534</v>
      </c>
      <c r="C2988" s="6" t="s">
        <v>32</v>
      </c>
      <c r="D2988" s="1088" t="s">
        <v>542</v>
      </c>
      <c r="E2988" s="6" t="s">
        <v>181</v>
      </c>
      <c r="F2988" s="6" t="s">
        <v>1661</v>
      </c>
      <c r="G2988" s="6" t="s">
        <v>1669</v>
      </c>
      <c r="H2988" s="6" t="s">
        <v>1670</v>
      </c>
      <c r="J2988" s="1215" t="s">
        <v>511</v>
      </c>
      <c r="K2988" s="1219" t="s">
        <v>3112</v>
      </c>
      <c r="L2988" s="8">
        <v>94</v>
      </c>
      <c r="M2988" s="8">
        <v>465</v>
      </c>
      <c r="N2988" s="6" t="s">
        <v>272</v>
      </c>
      <c r="P2988" s="6" t="s">
        <v>3324</v>
      </c>
      <c r="Q2988" s="1215" t="s">
        <v>253</v>
      </c>
      <c r="R2988" s="1215" t="s">
        <v>255</v>
      </c>
      <c r="S2988" s="1215" t="s">
        <v>534</v>
      </c>
      <c r="T2988" s="1215" t="s">
        <v>533</v>
      </c>
      <c r="U2988" s="6" t="s">
        <v>542</v>
      </c>
      <c r="V2988" s="6" t="s">
        <v>32</v>
      </c>
      <c r="W2988" s="6" t="s">
        <v>1661</v>
      </c>
      <c r="X2988" s="6" t="s">
        <v>181</v>
      </c>
    </row>
    <row r="2989" spans="1:24" x14ac:dyDescent="0.3">
      <c r="A2989" s="6" t="s">
        <v>533</v>
      </c>
      <c r="B2989" s="6" t="s">
        <v>534</v>
      </c>
      <c r="C2989" s="6" t="s">
        <v>32</v>
      </c>
      <c r="D2989" s="1088" t="s">
        <v>542</v>
      </c>
      <c r="E2989" s="6" t="s">
        <v>181</v>
      </c>
      <c r="F2989" s="6" t="s">
        <v>1661</v>
      </c>
      <c r="G2989" s="6" t="s">
        <v>1671</v>
      </c>
      <c r="H2989" s="6" t="s">
        <v>1672</v>
      </c>
      <c r="J2989" s="1215" t="s">
        <v>511</v>
      </c>
      <c r="K2989" s="1219" t="s">
        <v>3112</v>
      </c>
      <c r="L2989" s="8">
        <v>72</v>
      </c>
      <c r="M2989" s="8">
        <v>364</v>
      </c>
      <c r="N2989" s="6" t="s">
        <v>272</v>
      </c>
      <c r="P2989" s="6" t="s">
        <v>3324</v>
      </c>
      <c r="Q2989" s="1215" t="s">
        <v>253</v>
      </c>
      <c r="R2989" s="1215" t="s">
        <v>255</v>
      </c>
      <c r="S2989" s="1215" t="s">
        <v>534</v>
      </c>
      <c r="T2989" s="1215" t="s">
        <v>533</v>
      </c>
      <c r="U2989" s="6" t="s">
        <v>542</v>
      </c>
      <c r="V2989" s="6" t="s">
        <v>32</v>
      </c>
      <c r="W2989" s="6" t="s">
        <v>1661</v>
      </c>
      <c r="X2989" s="6" t="s">
        <v>181</v>
      </c>
    </row>
    <row r="2990" spans="1:24" x14ac:dyDescent="0.3">
      <c r="A2990" s="6" t="s">
        <v>533</v>
      </c>
      <c r="B2990" s="6" t="s">
        <v>534</v>
      </c>
      <c r="C2990" s="6" t="s">
        <v>31</v>
      </c>
      <c r="D2990" s="1088" t="s">
        <v>549</v>
      </c>
      <c r="E2990" s="6" t="s">
        <v>169</v>
      </c>
      <c r="F2990" s="6" t="s">
        <v>673</v>
      </c>
      <c r="G2990" s="6" t="s">
        <v>2814</v>
      </c>
      <c r="H2990" s="6" t="s">
        <v>2348</v>
      </c>
      <c r="J2990" s="1215" t="s">
        <v>511</v>
      </c>
      <c r="K2990" s="1219" t="s">
        <v>3111</v>
      </c>
      <c r="L2990" s="8">
        <v>25</v>
      </c>
      <c r="M2990" s="8">
        <v>325</v>
      </c>
      <c r="N2990" s="6" t="s">
        <v>274</v>
      </c>
      <c r="P2990" s="6" t="s">
        <v>3324</v>
      </c>
      <c r="Q2990" s="1215" t="s">
        <v>253</v>
      </c>
      <c r="R2990" s="1215" t="s">
        <v>255</v>
      </c>
      <c r="S2990" s="1215" t="s">
        <v>534</v>
      </c>
      <c r="T2990" s="1215" t="s">
        <v>533</v>
      </c>
      <c r="U2990" s="6" t="s">
        <v>549</v>
      </c>
      <c r="V2990" s="6" t="s">
        <v>31</v>
      </c>
      <c r="W2990" s="6" t="s">
        <v>673</v>
      </c>
      <c r="X2990" s="6" t="s">
        <v>169</v>
      </c>
    </row>
    <row r="2991" spans="1:24" x14ac:dyDescent="0.3">
      <c r="A2991" s="6" t="s">
        <v>533</v>
      </c>
      <c r="B2991" s="6" t="s">
        <v>534</v>
      </c>
      <c r="C2991" s="6" t="s">
        <v>31</v>
      </c>
      <c r="D2991" s="1088" t="s">
        <v>549</v>
      </c>
      <c r="E2991" s="6" t="s">
        <v>169</v>
      </c>
      <c r="F2991" s="6" t="s">
        <v>673</v>
      </c>
      <c r="G2991" s="6" t="s">
        <v>2814</v>
      </c>
      <c r="H2991" s="6" t="s">
        <v>2348</v>
      </c>
      <c r="J2991" s="1215" t="s">
        <v>511</v>
      </c>
      <c r="K2991" s="1219" t="s">
        <v>3112</v>
      </c>
      <c r="L2991" s="8">
        <v>8</v>
      </c>
      <c r="M2991" s="8">
        <v>66</v>
      </c>
      <c r="N2991" s="1169" t="s">
        <v>274</v>
      </c>
      <c r="P2991" s="6" t="s">
        <v>3324</v>
      </c>
      <c r="Q2991" s="1215" t="s">
        <v>253</v>
      </c>
      <c r="R2991" s="1215" t="s">
        <v>255</v>
      </c>
      <c r="S2991" s="1215" t="s">
        <v>534</v>
      </c>
      <c r="T2991" s="1215" t="s">
        <v>533</v>
      </c>
      <c r="U2991" s="6" t="s">
        <v>549</v>
      </c>
      <c r="V2991" s="6" t="s">
        <v>31</v>
      </c>
      <c r="W2991" s="6" t="s">
        <v>673</v>
      </c>
      <c r="X2991" s="6" t="s">
        <v>169</v>
      </c>
    </row>
    <row r="2992" spans="1:24" x14ac:dyDescent="0.3">
      <c r="A2992" s="6" t="s">
        <v>533</v>
      </c>
      <c r="B2992" s="6" t="s">
        <v>534</v>
      </c>
      <c r="C2992" s="6" t="s">
        <v>31</v>
      </c>
      <c r="D2992" s="1088" t="s">
        <v>549</v>
      </c>
      <c r="E2992" s="6" t="s">
        <v>169</v>
      </c>
      <c r="F2992" s="6" t="s">
        <v>673</v>
      </c>
      <c r="G2992" s="6" t="s">
        <v>2971</v>
      </c>
      <c r="H2992" s="6" t="s">
        <v>2359</v>
      </c>
      <c r="J2992" s="1215" t="s">
        <v>511</v>
      </c>
      <c r="K2992" s="1219" t="s">
        <v>3111</v>
      </c>
      <c r="L2992" s="8">
        <v>60</v>
      </c>
      <c r="M2992" s="8">
        <v>100</v>
      </c>
      <c r="N2992" s="6" t="s">
        <v>274</v>
      </c>
      <c r="P2992" s="6" t="s">
        <v>3324</v>
      </c>
      <c r="Q2992" s="1215" t="s">
        <v>253</v>
      </c>
      <c r="R2992" s="1215" t="s">
        <v>255</v>
      </c>
      <c r="S2992" s="1215" t="s">
        <v>534</v>
      </c>
      <c r="T2992" s="1215" t="s">
        <v>533</v>
      </c>
      <c r="U2992" s="6" t="s">
        <v>549</v>
      </c>
      <c r="V2992" s="6" t="s">
        <v>31</v>
      </c>
      <c r="W2992" s="6" t="s">
        <v>673</v>
      </c>
      <c r="X2992" s="6" t="s">
        <v>169</v>
      </c>
    </row>
    <row r="2993" spans="1:24" x14ac:dyDescent="0.3">
      <c r="A2993" s="6" t="s">
        <v>533</v>
      </c>
      <c r="B2993" s="6" t="s">
        <v>534</v>
      </c>
      <c r="C2993" s="6" t="s">
        <v>31</v>
      </c>
      <c r="D2993" s="1088" t="s">
        <v>549</v>
      </c>
      <c r="E2993" s="6" t="s">
        <v>169</v>
      </c>
      <c r="F2993" s="6" t="s">
        <v>673</v>
      </c>
      <c r="G2993" s="6" t="s">
        <v>2971</v>
      </c>
      <c r="H2993" s="6" t="s">
        <v>2359</v>
      </c>
      <c r="J2993" s="1215" t="s">
        <v>511</v>
      </c>
      <c r="K2993" s="1219" t="s">
        <v>3112</v>
      </c>
      <c r="L2993" s="8">
        <v>6</v>
      </c>
      <c r="M2993" s="8">
        <v>27</v>
      </c>
      <c r="N2993" s="6" t="s">
        <v>274</v>
      </c>
      <c r="P2993" s="6" t="s">
        <v>3324</v>
      </c>
      <c r="Q2993" s="1215" t="s">
        <v>253</v>
      </c>
      <c r="R2993" s="1215" t="s">
        <v>255</v>
      </c>
      <c r="S2993" s="1215" t="s">
        <v>534</v>
      </c>
      <c r="T2993" s="1215" t="s">
        <v>533</v>
      </c>
      <c r="U2993" s="6" t="s">
        <v>549</v>
      </c>
      <c r="V2993" s="6" t="s">
        <v>31</v>
      </c>
      <c r="W2993" s="6" t="s">
        <v>673</v>
      </c>
      <c r="X2993" s="6" t="s">
        <v>169</v>
      </c>
    </row>
    <row r="2994" spans="1:24" x14ac:dyDescent="0.3">
      <c r="A2994" s="6" t="s">
        <v>533</v>
      </c>
      <c r="B2994" s="6" t="s">
        <v>534</v>
      </c>
      <c r="C2994" s="6" t="s">
        <v>31</v>
      </c>
      <c r="D2994" s="1088" t="s">
        <v>549</v>
      </c>
      <c r="E2994" s="6" t="s">
        <v>169</v>
      </c>
      <c r="F2994" s="6" t="s">
        <v>673</v>
      </c>
      <c r="G2994" s="6" t="s">
        <v>2858</v>
      </c>
      <c r="H2994" s="6" t="s">
        <v>2276</v>
      </c>
      <c r="J2994" s="1215" t="s">
        <v>511</v>
      </c>
      <c r="K2994" s="1219" t="s">
        <v>3111</v>
      </c>
      <c r="L2994" s="8">
        <v>146</v>
      </c>
      <c r="M2994" s="8">
        <v>800</v>
      </c>
      <c r="N2994" s="1169" t="s">
        <v>274</v>
      </c>
      <c r="P2994" s="6" t="s">
        <v>3324</v>
      </c>
      <c r="Q2994" s="1215" t="s">
        <v>253</v>
      </c>
      <c r="R2994" s="1215" t="s">
        <v>255</v>
      </c>
      <c r="S2994" s="1215" t="s">
        <v>534</v>
      </c>
      <c r="T2994" s="1215" t="s">
        <v>533</v>
      </c>
      <c r="U2994" s="6" t="s">
        <v>549</v>
      </c>
      <c r="V2994" s="6" t="s">
        <v>31</v>
      </c>
      <c r="W2994" s="6" t="s">
        <v>673</v>
      </c>
      <c r="X2994" s="6" t="s">
        <v>169</v>
      </c>
    </row>
    <row r="2995" spans="1:24" x14ac:dyDescent="0.3">
      <c r="A2995" s="6" t="s">
        <v>533</v>
      </c>
      <c r="B2995" s="6" t="s">
        <v>534</v>
      </c>
      <c r="C2995" s="6" t="s">
        <v>31</v>
      </c>
      <c r="D2995" s="1088" t="s">
        <v>549</v>
      </c>
      <c r="E2995" s="1088" t="s">
        <v>169</v>
      </c>
      <c r="F2995" s="6" t="s">
        <v>673</v>
      </c>
      <c r="G2995" s="6" t="s">
        <v>2841</v>
      </c>
      <c r="H2995" s="6" t="s">
        <v>2349</v>
      </c>
      <c r="J2995" s="1215" t="s">
        <v>511</v>
      </c>
      <c r="K2995" s="1219" t="s">
        <v>3111</v>
      </c>
      <c r="L2995" s="8">
        <v>27</v>
      </c>
      <c r="M2995" s="8">
        <v>210</v>
      </c>
      <c r="N2995" s="1169" t="s">
        <v>274</v>
      </c>
      <c r="P2995" s="6" t="s">
        <v>3324</v>
      </c>
      <c r="Q2995" s="1215" t="s">
        <v>253</v>
      </c>
      <c r="R2995" s="1215" t="s">
        <v>255</v>
      </c>
      <c r="S2995" s="1215" t="s">
        <v>534</v>
      </c>
      <c r="T2995" s="1215" t="s">
        <v>533</v>
      </c>
      <c r="U2995" s="6" t="s">
        <v>549</v>
      </c>
      <c r="V2995" s="6" t="s">
        <v>31</v>
      </c>
      <c r="W2995" s="6" t="s">
        <v>673</v>
      </c>
      <c r="X2995" s="6" t="s">
        <v>169</v>
      </c>
    </row>
    <row r="2996" spans="1:24" x14ac:dyDescent="0.3">
      <c r="A2996" s="6" t="s">
        <v>533</v>
      </c>
      <c r="B2996" s="6" t="s">
        <v>534</v>
      </c>
      <c r="C2996" s="6" t="s">
        <v>32</v>
      </c>
      <c r="D2996" s="1088" t="s">
        <v>542</v>
      </c>
      <c r="E2996" s="1088" t="s">
        <v>175</v>
      </c>
      <c r="F2996" s="6" t="s">
        <v>1136</v>
      </c>
      <c r="G2996" s="6" t="s">
        <v>550</v>
      </c>
      <c r="H2996" s="6" t="s">
        <v>3161</v>
      </c>
      <c r="I2996" s="6" t="s">
        <v>3161</v>
      </c>
      <c r="J2996" s="1215" t="s">
        <v>511</v>
      </c>
      <c r="K2996" s="1219" t="s">
        <v>3112</v>
      </c>
      <c r="L2996" s="8">
        <v>50</v>
      </c>
      <c r="M2996" s="8">
        <v>450</v>
      </c>
      <c r="N2996" s="1169" t="s">
        <v>272</v>
      </c>
      <c r="P2996" s="6" t="s">
        <v>3324</v>
      </c>
      <c r="Q2996" s="1215" t="s">
        <v>253</v>
      </c>
      <c r="R2996" s="1215" t="s">
        <v>255</v>
      </c>
      <c r="S2996" s="1215" t="s">
        <v>534</v>
      </c>
      <c r="T2996" s="1215" t="s">
        <v>533</v>
      </c>
      <c r="U2996" s="6" t="s">
        <v>542</v>
      </c>
      <c r="V2996" s="6" t="s">
        <v>32</v>
      </c>
      <c r="W2996" s="6" t="s">
        <v>1136</v>
      </c>
      <c r="X2996" s="6" t="s">
        <v>175</v>
      </c>
    </row>
    <row r="2997" spans="1:24" x14ac:dyDescent="0.3">
      <c r="A2997" s="6" t="s">
        <v>533</v>
      </c>
      <c r="B2997" s="6" t="s">
        <v>534</v>
      </c>
      <c r="C2997" s="6" t="s">
        <v>32</v>
      </c>
      <c r="D2997" s="1088" t="s">
        <v>542</v>
      </c>
      <c r="E2997" s="1088" t="s">
        <v>179</v>
      </c>
      <c r="F2997" s="6" t="s">
        <v>1666</v>
      </c>
      <c r="G2997" s="6" t="s">
        <v>2318</v>
      </c>
      <c r="H2997" s="6" t="s">
        <v>2319</v>
      </c>
      <c r="J2997" s="1215" t="s">
        <v>511</v>
      </c>
      <c r="K2997" s="1219" t="s">
        <v>3033</v>
      </c>
      <c r="L2997" s="8">
        <v>15</v>
      </c>
      <c r="M2997" s="8">
        <v>102</v>
      </c>
      <c r="N2997" s="1169" t="s">
        <v>272</v>
      </c>
      <c r="P2997" s="6" t="s">
        <v>3324</v>
      </c>
      <c r="Q2997" s="1215" t="s">
        <v>253</v>
      </c>
      <c r="R2997" s="1215" t="s">
        <v>255</v>
      </c>
      <c r="S2997" s="1215" t="s">
        <v>534</v>
      </c>
      <c r="T2997" s="1215" t="s">
        <v>533</v>
      </c>
      <c r="U2997" s="6" t="s">
        <v>542</v>
      </c>
      <c r="V2997" s="6" t="s">
        <v>32</v>
      </c>
      <c r="W2997" s="6" t="s">
        <v>1666</v>
      </c>
      <c r="X2997" s="6" t="s">
        <v>179</v>
      </c>
    </row>
    <row r="2998" spans="1:24" x14ac:dyDescent="0.3">
      <c r="A2998" s="6" t="s">
        <v>533</v>
      </c>
      <c r="B2998" s="6" t="s">
        <v>534</v>
      </c>
      <c r="C2998" s="6" t="s">
        <v>32</v>
      </c>
      <c r="D2998" s="1088" t="s">
        <v>542</v>
      </c>
      <c r="E2998" s="6" t="s">
        <v>179</v>
      </c>
      <c r="F2998" s="6" t="s">
        <v>1666</v>
      </c>
      <c r="G2998" s="6" t="s">
        <v>2321</v>
      </c>
      <c r="H2998" s="6" t="s">
        <v>2322</v>
      </c>
      <c r="J2998" s="1215" t="s">
        <v>511</v>
      </c>
      <c r="K2998" s="1219" t="s">
        <v>3112</v>
      </c>
      <c r="L2998" s="8">
        <v>76</v>
      </c>
      <c r="M2998" s="8">
        <v>480</v>
      </c>
      <c r="N2998" s="1169" t="s">
        <v>272</v>
      </c>
      <c r="P2998" s="6" t="s">
        <v>3324</v>
      </c>
      <c r="Q2998" s="1215" t="s">
        <v>253</v>
      </c>
      <c r="R2998" s="1215" t="s">
        <v>255</v>
      </c>
      <c r="S2998" s="1215" t="s">
        <v>534</v>
      </c>
      <c r="T2998" s="1215" t="s">
        <v>533</v>
      </c>
      <c r="U2998" s="6" t="s">
        <v>542</v>
      </c>
      <c r="V2998" s="6" t="s">
        <v>32</v>
      </c>
      <c r="W2998" s="6" t="s">
        <v>1666</v>
      </c>
      <c r="X2998" s="6" t="s">
        <v>179</v>
      </c>
    </row>
    <row r="2999" spans="1:24" x14ac:dyDescent="0.3">
      <c r="A2999" s="6" t="s">
        <v>533</v>
      </c>
      <c r="B2999" s="6" t="s">
        <v>534</v>
      </c>
      <c r="C2999" s="6" t="s">
        <v>32</v>
      </c>
      <c r="D2999" s="1088" t="s">
        <v>542</v>
      </c>
      <c r="E2999" s="6" t="s">
        <v>179</v>
      </c>
      <c r="F2999" s="6" t="s">
        <v>1666</v>
      </c>
      <c r="G2999" s="6" t="s">
        <v>2316</v>
      </c>
      <c r="H2999" s="6" t="s">
        <v>2317</v>
      </c>
      <c r="J2999" s="1215" t="s">
        <v>511</v>
      </c>
      <c r="K2999" s="1219" t="s">
        <v>3033</v>
      </c>
      <c r="L2999" s="8">
        <v>50</v>
      </c>
      <c r="M2999" s="8">
        <v>250</v>
      </c>
      <c r="N2999" s="1169" t="s">
        <v>272</v>
      </c>
      <c r="P2999" s="6" t="s">
        <v>3324</v>
      </c>
      <c r="Q2999" s="1215" t="s">
        <v>253</v>
      </c>
      <c r="R2999" s="1215" t="s">
        <v>255</v>
      </c>
      <c r="S2999" s="1215" t="s">
        <v>534</v>
      </c>
      <c r="T2999" s="1215" t="s">
        <v>533</v>
      </c>
      <c r="U2999" s="6" t="s">
        <v>542</v>
      </c>
      <c r="V2999" s="6" t="s">
        <v>32</v>
      </c>
      <c r="W2999" s="6" t="s">
        <v>1666</v>
      </c>
      <c r="X2999" s="6" t="s">
        <v>179</v>
      </c>
    </row>
    <row r="3000" spans="1:24" x14ac:dyDescent="0.3">
      <c r="A3000" s="6" t="s">
        <v>533</v>
      </c>
      <c r="B3000" s="6" t="s">
        <v>534</v>
      </c>
      <c r="C3000" s="6" t="s">
        <v>32</v>
      </c>
      <c r="D3000" s="1088" t="s">
        <v>542</v>
      </c>
      <c r="E3000" s="6" t="s">
        <v>179</v>
      </c>
      <c r="F3000" s="6" t="s">
        <v>1666</v>
      </c>
      <c r="G3000" s="6" t="s">
        <v>2316</v>
      </c>
      <c r="H3000" s="6" t="s">
        <v>2317</v>
      </c>
      <c r="J3000" s="1215" t="s">
        <v>511</v>
      </c>
      <c r="K3000" s="1219" t="s">
        <v>3109</v>
      </c>
      <c r="L3000" s="8">
        <v>0</v>
      </c>
      <c r="M3000" s="8">
        <v>10</v>
      </c>
      <c r="N3000" s="1169" t="s">
        <v>272</v>
      </c>
      <c r="P3000" s="6" t="s">
        <v>3324</v>
      </c>
      <c r="Q3000" s="1215" t="s">
        <v>253</v>
      </c>
      <c r="R3000" s="1215" t="s">
        <v>255</v>
      </c>
      <c r="S3000" s="1215" t="s">
        <v>534</v>
      </c>
      <c r="T3000" s="1215" t="s">
        <v>533</v>
      </c>
      <c r="U3000" s="6" t="s">
        <v>542</v>
      </c>
      <c r="V3000" s="6" t="s">
        <v>32</v>
      </c>
      <c r="W3000" s="6" t="s">
        <v>1666</v>
      </c>
      <c r="X3000" s="6" t="s">
        <v>179</v>
      </c>
    </row>
    <row r="3001" spans="1:24" x14ac:dyDescent="0.3">
      <c r="A3001" s="6" t="s">
        <v>533</v>
      </c>
      <c r="B3001" s="6" t="s">
        <v>534</v>
      </c>
      <c r="C3001" s="6" t="s">
        <v>31</v>
      </c>
      <c r="D3001" s="1088" t="s">
        <v>549</v>
      </c>
      <c r="E3001" s="6" t="s">
        <v>169</v>
      </c>
      <c r="F3001" s="6" t="s">
        <v>673</v>
      </c>
      <c r="G3001" s="6" t="s">
        <v>3002</v>
      </c>
      <c r="H3001" s="6" t="s">
        <v>2334</v>
      </c>
      <c r="J3001" s="1215" t="s">
        <v>511</v>
      </c>
      <c r="K3001" s="1219" t="s">
        <v>3111</v>
      </c>
      <c r="L3001" s="8">
        <v>127</v>
      </c>
      <c r="M3001" s="8">
        <v>255</v>
      </c>
      <c r="N3001" s="1169" t="s">
        <v>274</v>
      </c>
      <c r="P3001" s="6" t="s">
        <v>3324</v>
      </c>
      <c r="Q3001" s="1215" t="s">
        <v>253</v>
      </c>
      <c r="R3001" s="1215" t="s">
        <v>255</v>
      </c>
      <c r="S3001" s="1215" t="s">
        <v>534</v>
      </c>
      <c r="T3001" s="1215" t="s">
        <v>533</v>
      </c>
      <c r="U3001" s="6" t="s">
        <v>549</v>
      </c>
      <c r="V3001" s="6" t="s">
        <v>31</v>
      </c>
      <c r="W3001" s="6" t="s">
        <v>673</v>
      </c>
      <c r="X3001" s="6" t="s">
        <v>169</v>
      </c>
    </row>
    <row r="3002" spans="1:24" x14ac:dyDescent="0.3">
      <c r="A3002" s="6" t="s">
        <v>533</v>
      </c>
      <c r="B3002" s="6" t="s">
        <v>534</v>
      </c>
      <c r="C3002" s="6" t="s">
        <v>31</v>
      </c>
      <c r="D3002" s="1088" t="s">
        <v>549</v>
      </c>
      <c r="E3002" s="6" t="s">
        <v>169</v>
      </c>
      <c r="F3002" s="6" t="s">
        <v>673</v>
      </c>
      <c r="G3002" s="6" t="s">
        <v>2959</v>
      </c>
      <c r="H3002" s="6" t="s">
        <v>2340</v>
      </c>
      <c r="J3002" s="1215" t="s">
        <v>511</v>
      </c>
      <c r="K3002" s="1219" t="s">
        <v>3111</v>
      </c>
      <c r="L3002" s="8">
        <v>196</v>
      </c>
      <c r="M3002" s="8">
        <v>685</v>
      </c>
      <c r="N3002" s="1169" t="s">
        <v>274</v>
      </c>
      <c r="P3002" s="6" t="s">
        <v>3324</v>
      </c>
      <c r="Q3002" s="1215" t="s">
        <v>253</v>
      </c>
      <c r="R3002" s="1215" t="s">
        <v>255</v>
      </c>
      <c r="S3002" s="1215" t="s">
        <v>534</v>
      </c>
      <c r="T3002" s="1215" t="s">
        <v>533</v>
      </c>
      <c r="U3002" s="6" t="s">
        <v>549</v>
      </c>
      <c r="V3002" s="6" t="s">
        <v>31</v>
      </c>
      <c r="W3002" s="6" t="s">
        <v>673</v>
      </c>
      <c r="X3002" s="6" t="s">
        <v>169</v>
      </c>
    </row>
    <row r="3003" spans="1:24" x14ac:dyDescent="0.3">
      <c r="A3003" s="6" t="s">
        <v>533</v>
      </c>
      <c r="B3003" s="6" t="s">
        <v>534</v>
      </c>
      <c r="C3003" s="6" t="s">
        <v>31</v>
      </c>
      <c r="D3003" s="1088" t="s">
        <v>549</v>
      </c>
      <c r="E3003" s="6" t="s">
        <v>169</v>
      </c>
      <c r="F3003" s="6" t="s">
        <v>673</v>
      </c>
      <c r="G3003" s="6" t="s">
        <v>3198</v>
      </c>
      <c r="H3003" s="6" t="s">
        <v>3075</v>
      </c>
      <c r="J3003" s="1215" t="s">
        <v>511</v>
      </c>
      <c r="K3003" s="1219" t="s">
        <v>3111</v>
      </c>
      <c r="L3003" s="8">
        <v>20</v>
      </c>
      <c r="M3003" s="8">
        <v>60</v>
      </c>
      <c r="N3003" s="1169" t="s">
        <v>274</v>
      </c>
      <c r="P3003" s="6" t="s">
        <v>3324</v>
      </c>
      <c r="Q3003" s="1215" t="s">
        <v>253</v>
      </c>
      <c r="R3003" s="1215" t="s">
        <v>255</v>
      </c>
      <c r="S3003" s="1215" t="s">
        <v>534</v>
      </c>
      <c r="T3003" s="1215" t="s">
        <v>533</v>
      </c>
      <c r="U3003" s="6" t="s">
        <v>549</v>
      </c>
      <c r="V3003" s="6" t="s">
        <v>31</v>
      </c>
      <c r="W3003" s="6" t="s">
        <v>673</v>
      </c>
      <c r="X3003" s="6" t="s">
        <v>169</v>
      </c>
    </row>
    <row r="3004" spans="1:24" x14ac:dyDescent="0.3">
      <c r="A3004" s="6" t="s">
        <v>533</v>
      </c>
      <c r="B3004" s="6" t="s">
        <v>534</v>
      </c>
      <c r="C3004" s="6" t="s">
        <v>31</v>
      </c>
      <c r="D3004" s="1088" t="s">
        <v>549</v>
      </c>
      <c r="E3004" s="6" t="s">
        <v>169</v>
      </c>
      <c r="F3004" s="6" t="s">
        <v>673</v>
      </c>
      <c r="G3004" s="6" t="s">
        <v>3198</v>
      </c>
      <c r="H3004" s="6" t="s">
        <v>3075</v>
      </c>
      <c r="J3004" s="1215" t="s">
        <v>511</v>
      </c>
      <c r="K3004" s="1219" t="s">
        <v>3112</v>
      </c>
      <c r="L3004" s="8">
        <v>1</v>
      </c>
      <c r="M3004" s="8">
        <v>6</v>
      </c>
      <c r="N3004" s="6" t="s">
        <v>272</v>
      </c>
      <c r="P3004" s="6" t="s">
        <v>3323</v>
      </c>
      <c r="Q3004" s="1215" t="s">
        <v>253</v>
      </c>
      <c r="R3004" s="1215" t="s">
        <v>255</v>
      </c>
      <c r="S3004" s="1215" t="s">
        <v>534</v>
      </c>
      <c r="T3004" s="1215" t="s">
        <v>533</v>
      </c>
      <c r="U3004" s="6" t="s">
        <v>549</v>
      </c>
      <c r="V3004" s="6" t="s">
        <v>31</v>
      </c>
      <c r="W3004" s="6" t="s">
        <v>706</v>
      </c>
      <c r="X3004" s="6" t="s">
        <v>172</v>
      </c>
    </row>
    <row r="3005" spans="1:24" x14ac:dyDescent="0.3">
      <c r="A3005" s="6" t="s">
        <v>533</v>
      </c>
      <c r="B3005" s="6" t="s">
        <v>534</v>
      </c>
      <c r="C3005" s="6" t="s">
        <v>31</v>
      </c>
      <c r="D3005" s="1088" t="s">
        <v>549</v>
      </c>
      <c r="E3005" s="6" t="s">
        <v>169</v>
      </c>
      <c r="F3005" s="6" t="s">
        <v>673</v>
      </c>
      <c r="G3005" s="6" t="s">
        <v>2846</v>
      </c>
      <c r="H3005" s="6" t="s">
        <v>2262</v>
      </c>
      <c r="J3005" s="1215" t="s">
        <v>511</v>
      </c>
      <c r="K3005" s="1219" t="s">
        <v>3111</v>
      </c>
      <c r="L3005" s="8">
        <v>65</v>
      </c>
      <c r="M3005" s="8">
        <v>150</v>
      </c>
      <c r="N3005" s="1169" t="s">
        <v>274</v>
      </c>
      <c r="P3005" s="6" t="s">
        <v>3324</v>
      </c>
      <c r="Q3005" s="1215" t="s">
        <v>253</v>
      </c>
      <c r="R3005" s="1215" t="s">
        <v>255</v>
      </c>
      <c r="S3005" s="1215" t="s">
        <v>534</v>
      </c>
      <c r="T3005" s="1215" t="s">
        <v>533</v>
      </c>
      <c r="U3005" s="6" t="s">
        <v>549</v>
      </c>
      <c r="V3005" s="6" t="s">
        <v>31</v>
      </c>
      <c r="W3005" s="6" t="s">
        <v>673</v>
      </c>
      <c r="X3005" s="6" t="s">
        <v>169</v>
      </c>
    </row>
    <row r="3006" spans="1:24" x14ac:dyDescent="0.3">
      <c r="A3006" s="6" t="s">
        <v>533</v>
      </c>
      <c r="B3006" s="6" t="s">
        <v>534</v>
      </c>
      <c r="C3006" s="6" t="s">
        <v>31</v>
      </c>
      <c r="D3006" s="1088" t="s">
        <v>549</v>
      </c>
      <c r="E3006" s="6" t="s">
        <v>169</v>
      </c>
      <c r="F3006" s="6" t="s">
        <v>673</v>
      </c>
      <c r="G3006" s="6" t="s">
        <v>2846</v>
      </c>
      <c r="H3006" s="6" t="s">
        <v>2262</v>
      </c>
      <c r="J3006" s="1215" t="s">
        <v>511</v>
      </c>
      <c r="K3006" s="1219" t="s">
        <v>3112</v>
      </c>
      <c r="L3006" s="8">
        <v>1</v>
      </c>
      <c r="M3006" s="8">
        <v>4</v>
      </c>
      <c r="N3006" s="1169" t="s">
        <v>274</v>
      </c>
      <c r="P3006" s="6" t="s">
        <v>3361</v>
      </c>
      <c r="Q3006" s="1215" t="s">
        <v>241</v>
      </c>
      <c r="R3006" s="1168" t="s">
        <v>243</v>
      </c>
      <c r="S3006" s="1088"/>
      <c r="T3006" s="1088"/>
    </row>
    <row r="3007" spans="1:24" x14ac:dyDescent="0.3">
      <c r="A3007" s="6" t="s">
        <v>533</v>
      </c>
      <c r="B3007" s="6" t="s">
        <v>534</v>
      </c>
      <c r="C3007" s="6" t="s">
        <v>31</v>
      </c>
      <c r="D3007" s="1088" t="s">
        <v>549</v>
      </c>
      <c r="E3007" s="6" t="s">
        <v>169</v>
      </c>
      <c r="F3007" s="6" t="s">
        <v>673</v>
      </c>
      <c r="G3007" s="6" t="s">
        <v>3200</v>
      </c>
      <c r="H3007" s="6" t="s">
        <v>3088</v>
      </c>
      <c r="J3007" s="1215" t="s">
        <v>511</v>
      </c>
      <c r="K3007" s="1219" t="s">
        <v>3111</v>
      </c>
      <c r="L3007" s="8">
        <v>18</v>
      </c>
      <c r="M3007" s="8">
        <v>40</v>
      </c>
      <c r="N3007" s="1169" t="s">
        <v>274</v>
      </c>
      <c r="P3007" s="6" t="s">
        <v>3324</v>
      </c>
      <c r="Q3007" s="1215" t="s">
        <v>253</v>
      </c>
      <c r="R3007" s="1215" t="s">
        <v>255</v>
      </c>
      <c r="S3007" s="1215" t="s">
        <v>534</v>
      </c>
      <c r="T3007" s="1215" t="s">
        <v>533</v>
      </c>
      <c r="U3007" s="6" t="s">
        <v>549</v>
      </c>
      <c r="V3007" s="6" t="s">
        <v>31</v>
      </c>
      <c r="W3007" s="6" t="s">
        <v>673</v>
      </c>
      <c r="X3007" s="6" t="s">
        <v>169</v>
      </c>
    </row>
    <row r="3008" spans="1:24" x14ac:dyDescent="0.3">
      <c r="A3008" s="6" t="s">
        <v>533</v>
      </c>
      <c r="B3008" s="6" t="s">
        <v>534</v>
      </c>
      <c r="C3008" s="6" t="s">
        <v>31</v>
      </c>
      <c r="D3008" s="1088" t="s">
        <v>549</v>
      </c>
      <c r="E3008" s="6" t="s">
        <v>169</v>
      </c>
      <c r="F3008" s="6" t="s">
        <v>673</v>
      </c>
      <c r="G3008" s="6" t="s">
        <v>1127</v>
      </c>
      <c r="H3008" s="6" t="s">
        <v>677</v>
      </c>
      <c r="J3008" s="1215" t="s">
        <v>511</v>
      </c>
      <c r="K3008" s="1219" t="s">
        <v>3111</v>
      </c>
      <c r="L3008" s="8">
        <v>20</v>
      </c>
      <c r="M3008" s="8">
        <v>100</v>
      </c>
      <c r="N3008" s="1169" t="s">
        <v>274</v>
      </c>
      <c r="P3008" s="6" t="s">
        <v>3361</v>
      </c>
      <c r="Q3008" s="1215" t="s">
        <v>241</v>
      </c>
      <c r="R3008" s="1168" t="s">
        <v>243</v>
      </c>
      <c r="S3008" s="1088"/>
      <c r="T3008" s="1088"/>
    </row>
    <row r="3009" spans="1:24" x14ac:dyDescent="0.3">
      <c r="A3009" s="6" t="s">
        <v>533</v>
      </c>
      <c r="B3009" s="6" t="s">
        <v>534</v>
      </c>
      <c r="C3009" s="6" t="s">
        <v>31</v>
      </c>
      <c r="D3009" s="1088" t="s">
        <v>549</v>
      </c>
      <c r="E3009" s="6" t="s">
        <v>169</v>
      </c>
      <c r="F3009" s="6" t="s">
        <v>673</v>
      </c>
      <c r="G3009" s="6" t="s">
        <v>1270</v>
      </c>
      <c r="H3009" s="6" t="s">
        <v>674</v>
      </c>
      <c r="J3009" s="1215" t="s">
        <v>511</v>
      </c>
      <c r="K3009" s="1219" t="s">
        <v>3112</v>
      </c>
      <c r="L3009" s="8">
        <v>150</v>
      </c>
      <c r="M3009" s="8">
        <v>629</v>
      </c>
      <c r="N3009" s="1169" t="s">
        <v>274</v>
      </c>
      <c r="P3009" s="6" t="s">
        <v>3361</v>
      </c>
      <c r="Q3009" s="1215" t="s">
        <v>241</v>
      </c>
      <c r="R3009" s="1168" t="s">
        <v>243</v>
      </c>
      <c r="S3009" s="1088"/>
      <c r="T3009" s="1088"/>
    </row>
    <row r="3010" spans="1:24" x14ac:dyDescent="0.3">
      <c r="A3010" s="6" t="s">
        <v>533</v>
      </c>
      <c r="B3010" s="6" t="s">
        <v>534</v>
      </c>
      <c r="C3010" s="6" t="s">
        <v>31</v>
      </c>
      <c r="D3010" s="1088" t="s">
        <v>549</v>
      </c>
      <c r="E3010" s="6" t="s">
        <v>169</v>
      </c>
      <c r="F3010" s="6" t="s">
        <v>673</v>
      </c>
      <c r="G3010" s="6" t="s">
        <v>1647</v>
      </c>
      <c r="H3010" s="6" t="s">
        <v>676</v>
      </c>
      <c r="J3010" s="1215" t="s">
        <v>511</v>
      </c>
      <c r="K3010" s="1219" t="s">
        <v>3111</v>
      </c>
      <c r="L3010" s="8">
        <v>51</v>
      </c>
      <c r="M3010" s="8">
        <v>249</v>
      </c>
      <c r="N3010" s="1169" t="s">
        <v>274</v>
      </c>
      <c r="P3010" s="6" t="s">
        <v>3361</v>
      </c>
      <c r="Q3010" s="1215" t="s">
        <v>241</v>
      </c>
      <c r="R3010" s="1168" t="s">
        <v>243</v>
      </c>
      <c r="S3010" s="1088"/>
      <c r="T3010" s="1088"/>
    </row>
    <row r="3011" spans="1:24" x14ac:dyDescent="0.3">
      <c r="A3011" s="6" t="s">
        <v>533</v>
      </c>
      <c r="B3011" s="6" t="s">
        <v>534</v>
      </c>
      <c r="C3011" s="6" t="s">
        <v>31</v>
      </c>
      <c r="D3011" s="1088" t="s">
        <v>549</v>
      </c>
      <c r="E3011" s="1169" t="s">
        <v>170</v>
      </c>
      <c r="F3011" s="6" t="s">
        <v>866</v>
      </c>
      <c r="G3011" s="6" t="s">
        <v>873</v>
      </c>
      <c r="H3011" s="6" t="s">
        <v>1502</v>
      </c>
      <c r="J3011" s="1215" t="s">
        <v>511</v>
      </c>
      <c r="K3011" s="1219" t="s">
        <v>3112</v>
      </c>
      <c r="L3011" s="8">
        <v>100</v>
      </c>
      <c r="M3011" s="8">
        <v>445</v>
      </c>
      <c r="N3011" s="1169" t="s">
        <v>272</v>
      </c>
      <c r="P3011" s="6" t="s">
        <v>3361</v>
      </c>
      <c r="Q3011" s="1215" t="s">
        <v>241</v>
      </c>
      <c r="R3011" s="1168" t="s">
        <v>243</v>
      </c>
      <c r="S3011" s="1088"/>
      <c r="T3011" s="1088"/>
    </row>
    <row r="3012" spans="1:24" x14ac:dyDescent="0.3">
      <c r="A3012" s="6" t="s">
        <v>533</v>
      </c>
      <c r="B3012" s="6" t="s">
        <v>534</v>
      </c>
      <c r="C3012" s="6" t="s">
        <v>32</v>
      </c>
      <c r="D3012" s="1088" t="s">
        <v>542</v>
      </c>
      <c r="E3012" s="1169" t="s">
        <v>179</v>
      </c>
      <c r="F3012" s="6" t="s">
        <v>1666</v>
      </c>
      <c r="G3012" s="6" t="s">
        <v>1667</v>
      </c>
      <c r="H3012" s="6" t="s">
        <v>1668</v>
      </c>
      <c r="J3012" s="1215" t="s">
        <v>511</v>
      </c>
      <c r="K3012" s="1219" t="s">
        <v>3033</v>
      </c>
      <c r="L3012" s="8">
        <v>18</v>
      </c>
      <c r="M3012" s="8">
        <v>248</v>
      </c>
      <c r="N3012" s="1169" t="s">
        <v>272</v>
      </c>
      <c r="P3012" s="6" t="s">
        <v>3324</v>
      </c>
      <c r="Q3012" s="1215" t="s">
        <v>253</v>
      </c>
      <c r="R3012" s="1215" t="s">
        <v>255</v>
      </c>
      <c r="S3012" s="1215" t="s">
        <v>534</v>
      </c>
      <c r="T3012" s="1215" t="s">
        <v>533</v>
      </c>
      <c r="U3012" s="6" t="s">
        <v>542</v>
      </c>
      <c r="V3012" s="6" t="s">
        <v>32</v>
      </c>
      <c r="W3012" s="6" t="s">
        <v>1666</v>
      </c>
      <c r="X3012" s="6" t="s">
        <v>179</v>
      </c>
    </row>
    <row r="3013" spans="1:24" x14ac:dyDescent="0.3">
      <c r="A3013" s="6" t="s">
        <v>533</v>
      </c>
      <c r="B3013" s="6" t="s">
        <v>534</v>
      </c>
      <c r="C3013" s="6" t="s">
        <v>32</v>
      </c>
      <c r="D3013" s="1088" t="s">
        <v>542</v>
      </c>
      <c r="E3013" s="6" t="s">
        <v>179</v>
      </c>
      <c r="F3013" s="6" t="s">
        <v>1666</v>
      </c>
      <c r="G3013" s="6" t="s">
        <v>1667</v>
      </c>
      <c r="H3013" s="6" t="s">
        <v>1668</v>
      </c>
      <c r="J3013" s="1215" t="s">
        <v>511</v>
      </c>
      <c r="K3013" s="1219" t="s">
        <v>3109</v>
      </c>
      <c r="L3013" s="8">
        <v>0</v>
      </c>
      <c r="M3013" s="8">
        <v>2</v>
      </c>
      <c r="N3013" s="6" t="s">
        <v>272</v>
      </c>
      <c r="P3013" s="6" t="s">
        <v>3324</v>
      </c>
      <c r="Q3013" s="1215" t="s">
        <v>253</v>
      </c>
      <c r="R3013" s="1215" t="s">
        <v>255</v>
      </c>
      <c r="S3013" s="1215" t="s">
        <v>534</v>
      </c>
      <c r="T3013" s="1215" t="s">
        <v>533</v>
      </c>
      <c r="U3013" s="6" t="s">
        <v>542</v>
      </c>
      <c r="V3013" s="6" t="s">
        <v>32</v>
      </c>
      <c r="W3013" s="6" t="s">
        <v>1666</v>
      </c>
      <c r="X3013" s="6" t="s">
        <v>179</v>
      </c>
    </row>
    <row r="3014" spans="1:24" x14ac:dyDescent="0.3">
      <c r="A3014" s="6" t="s">
        <v>533</v>
      </c>
      <c r="B3014" s="6" t="s">
        <v>534</v>
      </c>
      <c r="C3014" s="6" t="s">
        <v>32</v>
      </c>
      <c r="D3014" s="1088" t="s">
        <v>542</v>
      </c>
      <c r="E3014" s="6" t="s">
        <v>179</v>
      </c>
      <c r="F3014" s="6" t="s">
        <v>1666</v>
      </c>
      <c r="G3014" s="6" t="s">
        <v>2323</v>
      </c>
      <c r="H3014" s="6" t="s">
        <v>2324</v>
      </c>
      <c r="J3014" s="1215" t="s">
        <v>511</v>
      </c>
      <c r="K3014" s="1219" t="s">
        <v>3112</v>
      </c>
      <c r="L3014" s="8">
        <v>50</v>
      </c>
      <c r="M3014" s="8">
        <v>475</v>
      </c>
      <c r="N3014" s="6" t="s">
        <v>272</v>
      </c>
      <c r="P3014" s="6" t="s">
        <v>3324</v>
      </c>
      <c r="Q3014" s="1215" t="s">
        <v>253</v>
      </c>
      <c r="R3014" s="1215" t="s">
        <v>255</v>
      </c>
      <c r="S3014" s="1215" t="s">
        <v>534</v>
      </c>
      <c r="T3014" s="1215" t="s">
        <v>533</v>
      </c>
      <c r="U3014" s="6" t="s">
        <v>542</v>
      </c>
      <c r="V3014" s="6" t="s">
        <v>32</v>
      </c>
      <c r="W3014" s="6" t="s">
        <v>1666</v>
      </c>
      <c r="X3014" s="6" t="s">
        <v>179</v>
      </c>
    </row>
    <row r="3015" spans="1:24" x14ac:dyDescent="0.3">
      <c r="A3015" s="6" t="s">
        <v>533</v>
      </c>
      <c r="B3015" s="6" t="s">
        <v>534</v>
      </c>
      <c r="C3015" s="6" t="s">
        <v>31</v>
      </c>
      <c r="D3015" s="1088" t="s">
        <v>549</v>
      </c>
      <c r="E3015" s="1169" t="s">
        <v>171</v>
      </c>
      <c r="F3015" s="6" t="s">
        <v>634</v>
      </c>
      <c r="G3015" s="6" t="s">
        <v>1920</v>
      </c>
      <c r="H3015" s="6" t="s">
        <v>1323</v>
      </c>
      <c r="J3015" s="1215" t="s">
        <v>511</v>
      </c>
      <c r="K3015" s="1219" t="s">
        <v>3112</v>
      </c>
      <c r="L3015" s="8">
        <v>10</v>
      </c>
      <c r="M3015" s="8">
        <v>45</v>
      </c>
      <c r="N3015" s="1169" t="s">
        <v>271</v>
      </c>
      <c r="P3015" s="6" t="s">
        <v>3323</v>
      </c>
      <c r="Q3015" s="1215" t="s">
        <v>253</v>
      </c>
      <c r="R3015" s="1215" t="s">
        <v>255</v>
      </c>
      <c r="S3015" s="1215" t="s">
        <v>534</v>
      </c>
      <c r="T3015" s="1215" t="s">
        <v>533</v>
      </c>
      <c r="U3015" s="6" t="s">
        <v>549</v>
      </c>
      <c r="V3015" s="6" t="s">
        <v>31</v>
      </c>
      <c r="W3015" s="6" t="s">
        <v>881</v>
      </c>
      <c r="X3015" s="6" t="s">
        <v>165</v>
      </c>
    </row>
    <row r="3016" spans="1:24" x14ac:dyDescent="0.3">
      <c r="A3016" s="6" t="s">
        <v>533</v>
      </c>
      <c r="B3016" s="6" t="s">
        <v>534</v>
      </c>
      <c r="C3016" s="6" t="s">
        <v>32</v>
      </c>
      <c r="D3016" s="1088" t="s">
        <v>542</v>
      </c>
      <c r="E3016" s="6" t="s">
        <v>178</v>
      </c>
      <c r="F3016" s="6" t="s">
        <v>543</v>
      </c>
      <c r="G3016" s="6" t="s">
        <v>3220</v>
      </c>
      <c r="H3016" s="6" t="s">
        <v>2789</v>
      </c>
      <c r="J3016" s="1215" t="s">
        <v>511</v>
      </c>
      <c r="K3016" s="1219" t="s">
        <v>3111</v>
      </c>
      <c r="L3016" s="8">
        <v>25</v>
      </c>
      <c r="M3016" s="8">
        <v>200</v>
      </c>
      <c r="N3016" s="1169" t="s">
        <v>274</v>
      </c>
      <c r="P3016" s="6" t="s">
        <v>3322</v>
      </c>
      <c r="Q3016" s="1215" t="s">
        <v>253</v>
      </c>
      <c r="R3016" s="1215" t="s">
        <v>255</v>
      </c>
      <c r="S3016" s="1215" t="s">
        <v>534</v>
      </c>
      <c r="T3016" s="1215" t="s">
        <v>533</v>
      </c>
      <c r="U3016" s="6" t="s">
        <v>535</v>
      </c>
      <c r="V3016" s="6" t="s">
        <v>30</v>
      </c>
    </row>
    <row r="3017" spans="1:24" x14ac:dyDescent="0.3">
      <c r="A3017" s="6" t="s">
        <v>533</v>
      </c>
      <c r="B3017" s="6" t="s">
        <v>534</v>
      </c>
      <c r="C3017" s="6" t="s">
        <v>32</v>
      </c>
      <c r="D3017" s="1088" t="s">
        <v>542</v>
      </c>
      <c r="E3017" s="6" t="s">
        <v>178</v>
      </c>
      <c r="F3017" s="6" t="s">
        <v>543</v>
      </c>
      <c r="G3017" s="6" t="s">
        <v>3220</v>
      </c>
      <c r="H3017" s="6" t="s">
        <v>2789</v>
      </c>
      <c r="J3017" s="1215" t="s">
        <v>511</v>
      </c>
      <c r="K3017" s="1219" t="s">
        <v>3112</v>
      </c>
      <c r="L3017" s="8">
        <v>135</v>
      </c>
      <c r="M3017" s="8">
        <v>1300</v>
      </c>
      <c r="N3017" s="1169" t="s">
        <v>274</v>
      </c>
      <c r="P3017" s="6" t="s">
        <v>3322</v>
      </c>
      <c r="Q3017" s="1215" t="s">
        <v>253</v>
      </c>
      <c r="R3017" s="1215" t="s">
        <v>255</v>
      </c>
      <c r="S3017" s="1215" t="s">
        <v>534</v>
      </c>
      <c r="T3017" s="1215" t="s">
        <v>533</v>
      </c>
      <c r="U3017" s="6" t="s">
        <v>535</v>
      </c>
      <c r="V3017" s="6" t="s">
        <v>30</v>
      </c>
    </row>
    <row r="3018" spans="1:24" x14ac:dyDescent="0.3">
      <c r="A3018" s="6" t="s">
        <v>533</v>
      </c>
      <c r="B3018" s="6" t="s">
        <v>534</v>
      </c>
      <c r="C3018" s="6" t="s">
        <v>34</v>
      </c>
      <c r="D3018" s="1088" t="s">
        <v>539</v>
      </c>
      <c r="E3018" s="6" t="s">
        <v>187</v>
      </c>
      <c r="F3018" s="6" t="s">
        <v>951</v>
      </c>
      <c r="G3018" s="6" t="s">
        <v>952</v>
      </c>
      <c r="H3018" s="6" t="s">
        <v>1239</v>
      </c>
      <c r="J3018" s="1215" t="s">
        <v>511</v>
      </c>
      <c r="K3018" s="1219" t="s">
        <v>3109</v>
      </c>
      <c r="L3018" s="8">
        <v>5</v>
      </c>
      <c r="M3018" s="8">
        <v>25</v>
      </c>
      <c r="N3018" s="1169" t="s">
        <v>271</v>
      </c>
      <c r="P3018" s="6" t="s">
        <v>3324</v>
      </c>
      <c r="Q3018" s="1215" t="s">
        <v>253</v>
      </c>
      <c r="R3018" s="1215" t="s">
        <v>255</v>
      </c>
      <c r="S3018" s="1215" t="s">
        <v>534</v>
      </c>
      <c r="T3018" s="1215" t="s">
        <v>533</v>
      </c>
      <c r="U3018" s="6" t="s">
        <v>539</v>
      </c>
      <c r="V3018" s="6" t="s">
        <v>34</v>
      </c>
      <c r="W3018" s="6" t="s">
        <v>951</v>
      </c>
      <c r="X3018" s="6" t="s">
        <v>187</v>
      </c>
    </row>
    <row r="3019" spans="1:24" x14ac:dyDescent="0.3">
      <c r="A3019" s="6" t="s">
        <v>533</v>
      </c>
      <c r="B3019" s="6" t="s">
        <v>534</v>
      </c>
      <c r="C3019" s="6" t="s">
        <v>34</v>
      </c>
      <c r="D3019" s="1088" t="s">
        <v>539</v>
      </c>
      <c r="E3019" s="6" t="s">
        <v>187</v>
      </c>
      <c r="F3019" s="6" t="s">
        <v>951</v>
      </c>
      <c r="G3019" s="6" t="s">
        <v>952</v>
      </c>
      <c r="H3019" s="6" t="s">
        <v>1239</v>
      </c>
      <c r="J3019" s="1215" t="s">
        <v>511</v>
      </c>
      <c r="K3019" s="1219" t="s">
        <v>3111</v>
      </c>
      <c r="L3019" s="8">
        <v>10</v>
      </c>
      <c r="M3019" s="8">
        <v>50</v>
      </c>
      <c r="N3019" s="1169" t="s">
        <v>271</v>
      </c>
      <c r="P3019" s="6" t="s">
        <v>3324</v>
      </c>
      <c r="Q3019" s="1215" t="s">
        <v>253</v>
      </c>
      <c r="R3019" s="1215" t="s">
        <v>255</v>
      </c>
      <c r="S3019" s="1215" t="s">
        <v>534</v>
      </c>
      <c r="T3019" s="1215" t="s">
        <v>533</v>
      </c>
      <c r="U3019" s="6" t="s">
        <v>539</v>
      </c>
      <c r="V3019" s="6" t="s">
        <v>34</v>
      </c>
      <c r="W3019" s="6" t="s">
        <v>951</v>
      </c>
      <c r="X3019" s="6" t="s">
        <v>187</v>
      </c>
    </row>
    <row r="3020" spans="1:24" x14ac:dyDescent="0.3">
      <c r="A3020" s="6" t="s">
        <v>533</v>
      </c>
      <c r="B3020" s="6" t="s">
        <v>534</v>
      </c>
      <c r="C3020" s="6" t="s">
        <v>34</v>
      </c>
      <c r="D3020" s="1088" t="s">
        <v>539</v>
      </c>
      <c r="E3020" s="6" t="s">
        <v>187</v>
      </c>
      <c r="F3020" s="6" t="s">
        <v>951</v>
      </c>
      <c r="G3020" s="6" t="s">
        <v>952</v>
      </c>
      <c r="H3020" s="6" t="s">
        <v>1239</v>
      </c>
      <c r="J3020" s="1215" t="s">
        <v>511</v>
      </c>
      <c r="K3020" s="1219" t="s">
        <v>3112</v>
      </c>
      <c r="L3020" s="8">
        <v>0</v>
      </c>
      <c r="M3020" s="8">
        <v>16</v>
      </c>
      <c r="N3020" s="1169" t="s">
        <v>271</v>
      </c>
      <c r="P3020" s="6" t="s">
        <v>3324</v>
      </c>
      <c r="Q3020" s="1215" t="s">
        <v>253</v>
      </c>
      <c r="R3020" s="1215" t="s">
        <v>255</v>
      </c>
      <c r="S3020" s="1215" t="s">
        <v>534</v>
      </c>
      <c r="T3020" s="1215" t="s">
        <v>533</v>
      </c>
      <c r="U3020" s="6" t="s">
        <v>539</v>
      </c>
      <c r="V3020" s="6" t="s">
        <v>34</v>
      </c>
      <c r="W3020" s="6" t="s">
        <v>951</v>
      </c>
      <c r="X3020" s="6" t="s">
        <v>187</v>
      </c>
    </row>
    <row r="3021" spans="1:24" x14ac:dyDescent="0.3">
      <c r="A3021" s="6" t="s">
        <v>533</v>
      </c>
      <c r="B3021" s="6" t="s">
        <v>534</v>
      </c>
      <c r="C3021" s="6" t="s">
        <v>34</v>
      </c>
      <c r="D3021" s="1088" t="s">
        <v>539</v>
      </c>
      <c r="E3021" s="6" t="s">
        <v>187</v>
      </c>
      <c r="F3021" s="6" t="s">
        <v>951</v>
      </c>
      <c r="G3021" s="6" t="s">
        <v>952</v>
      </c>
      <c r="H3021" s="6" t="s">
        <v>1239</v>
      </c>
      <c r="J3021" s="1215" t="s">
        <v>511</v>
      </c>
      <c r="K3021" s="1219" t="s">
        <v>3110</v>
      </c>
      <c r="L3021" s="8">
        <v>0</v>
      </c>
      <c r="M3021" s="8">
        <v>3</v>
      </c>
      <c r="N3021" s="1169" t="s">
        <v>271</v>
      </c>
      <c r="P3021" s="6" t="s">
        <v>3324</v>
      </c>
      <c r="Q3021" s="1215" t="s">
        <v>253</v>
      </c>
      <c r="R3021" s="1215" t="s">
        <v>255</v>
      </c>
      <c r="S3021" s="1215" t="s">
        <v>534</v>
      </c>
      <c r="T3021" s="1215" t="s">
        <v>533</v>
      </c>
      <c r="U3021" s="6" t="s">
        <v>539</v>
      </c>
      <c r="V3021" s="6" t="s">
        <v>34</v>
      </c>
      <c r="W3021" s="6" t="s">
        <v>951</v>
      </c>
      <c r="X3021" s="6" t="s">
        <v>187</v>
      </c>
    </row>
    <row r="3022" spans="1:24" x14ac:dyDescent="0.3">
      <c r="A3022" s="6" t="s">
        <v>533</v>
      </c>
      <c r="B3022" s="6" t="s">
        <v>534</v>
      </c>
      <c r="C3022" s="6" t="s">
        <v>31</v>
      </c>
      <c r="D3022" s="1088" t="s">
        <v>549</v>
      </c>
      <c r="E3022" s="6" t="s">
        <v>167</v>
      </c>
      <c r="F3022" s="6" t="s">
        <v>1113</v>
      </c>
      <c r="G3022" s="6" t="s">
        <v>2325</v>
      </c>
      <c r="H3022" s="6" t="s">
        <v>2246</v>
      </c>
      <c r="J3022" s="1215" t="s">
        <v>511</v>
      </c>
      <c r="K3022" s="1219" t="s">
        <v>3112</v>
      </c>
      <c r="L3022" s="8">
        <v>30</v>
      </c>
      <c r="M3022" s="8">
        <v>251</v>
      </c>
      <c r="N3022" s="1169" t="s">
        <v>272</v>
      </c>
      <c r="P3022" s="6" t="s">
        <v>3324</v>
      </c>
      <c r="Q3022" s="1215" t="s">
        <v>253</v>
      </c>
      <c r="R3022" s="1215" t="s">
        <v>255</v>
      </c>
      <c r="S3022" s="1215" t="s">
        <v>534</v>
      </c>
      <c r="T3022" s="1215" t="s">
        <v>533</v>
      </c>
      <c r="U3022" s="6" t="s">
        <v>549</v>
      </c>
      <c r="V3022" s="6" t="s">
        <v>31</v>
      </c>
      <c r="W3022" s="6" t="s">
        <v>1113</v>
      </c>
      <c r="X3022" s="6" t="s">
        <v>167</v>
      </c>
    </row>
    <row r="3023" spans="1:24" x14ac:dyDescent="0.3">
      <c r="A3023" s="6" t="s">
        <v>533</v>
      </c>
      <c r="B3023" s="6" t="s">
        <v>534</v>
      </c>
      <c r="C3023" s="6" t="s">
        <v>35</v>
      </c>
      <c r="D3023" s="1088" t="s">
        <v>567</v>
      </c>
      <c r="E3023" s="6" t="s">
        <v>193</v>
      </c>
      <c r="F3023" s="6" t="s">
        <v>863</v>
      </c>
      <c r="G3023" s="6" t="s">
        <v>2680</v>
      </c>
      <c r="H3023" s="6" t="s">
        <v>989</v>
      </c>
      <c r="J3023" s="1215" t="s">
        <v>511</v>
      </c>
      <c r="K3023" s="1219" t="s">
        <v>3033</v>
      </c>
      <c r="L3023" s="8">
        <v>6</v>
      </c>
      <c r="M3023" s="8">
        <v>32</v>
      </c>
      <c r="N3023" s="1169" t="s">
        <v>271</v>
      </c>
      <c r="P3023" s="6" t="s">
        <v>3324</v>
      </c>
      <c r="Q3023" s="1215" t="s">
        <v>253</v>
      </c>
      <c r="R3023" s="1215" t="s">
        <v>255</v>
      </c>
      <c r="S3023" s="1215" t="s">
        <v>534</v>
      </c>
      <c r="T3023" s="1215" t="s">
        <v>533</v>
      </c>
      <c r="U3023" s="6" t="s">
        <v>567</v>
      </c>
      <c r="V3023" s="6" t="s">
        <v>35</v>
      </c>
      <c r="W3023" s="6" t="s">
        <v>863</v>
      </c>
      <c r="X3023" s="6" t="s">
        <v>193</v>
      </c>
    </row>
    <row r="3024" spans="1:24" x14ac:dyDescent="0.3">
      <c r="A3024" s="6" t="s">
        <v>533</v>
      </c>
      <c r="B3024" s="6" t="s">
        <v>534</v>
      </c>
      <c r="C3024" s="6" t="s">
        <v>31</v>
      </c>
      <c r="D3024" s="1088" t="s">
        <v>549</v>
      </c>
      <c r="E3024" s="6" t="s">
        <v>170</v>
      </c>
      <c r="F3024" s="6" t="s">
        <v>866</v>
      </c>
      <c r="G3024" s="6" t="s">
        <v>955</v>
      </c>
      <c r="H3024" s="6" t="s">
        <v>956</v>
      </c>
      <c r="J3024" s="1215" t="s">
        <v>511</v>
      </c>
      <c r="K3024" s="1219" t="s">
        <v>3111</v>
      </c>
      <c r="L3024" s="8">
        <v>107</v>
      </c>
      <c r="M3024" s="8">
        <v>1022</v>
      </c>
      <c r="N3024" s="1169" t="s">
        <v>274</v>
      </c>
      <c r="P3024" s="6" t="s">
        <v>3324</v>
      </c>
      <c r="Q3024" s="1215" t="s">
        <v>253</v>
      </c>
      <c r="R3024" s="1215" t="s">
        <v>255</v>
      </c>
      <c r="S3024" s="1215" t="s">
        <v>534</v>
      </c>
      <c r="T3024" s="1215" t="s">
        <v>533</v>
      </c>
      <c r="U3024" s="6" t="s">
        <v>549</v>
      </c>
      <c r="V3024" s="6" t="s">
        <v>31</v>
      </c>
      <c r="W3024" s="6" t="s">
        <v>866</v>
      </c>
      <c r="X3024" s="6" t="s">
        <v>170</v>
      </c>
    </row>
    <row r="3025" spans="4:20" x14ac:dyDescent="0.3">
      <c r="D3025" s="1088"/>
      <c r="E3025" s="1088"/>
      <c r="J3025" s="1088"/>
      <c r="L3025" s="8"/>
      <c r="M3025" s="8"/>
      <c r="N3025" s="1088"/>
      <c r="O3025" s="1088"/>
      <c r="Q3025" s="1088"/>
      <c r="R3025" s="1088"/>
      <c r="S3025" s="1088"/>
      <c r="T3025" s="1088"/>
    </row>
    <row r="3026" spans="4:20" x14ac:dyDescent="0.3">
      <c r="D3026" s="1088"/>
      <c r="E3026" s="1088"/>
      <c r="J3026" s="1088"/>
      <c r="L3026" s="8"/>
      <c r="M3026" s="8"/>
      <c r="N3026" s="1088"/>
      <c r="O3026" s="1088"/>
      <c r="Q3026" s="1088"/>
      <c r="R3026" s="1088"/>
      <c r="S3026" s="1088"/>
      <c r="T3026" s="1088"/>
    </row>
    <row r="3027" spans="4:20" x14ac:dyDescent="0.3">
      <c r="D3027" s="1088"/>
      <c r="J3027" s="1088"/>
      <c r="L3027" s="8"/>
      <c r="M3027" s="8"/>
      <c r="Q3027" s="1088"/>
      <c r="R3027" s="1088"/>
      <c r="S3027" s="1088"/>
      <c r="T3027" s="1088"/>
    </row>
    <row r="3028" spans="4:20" x14ac:dyDescent="0.3">
      <c r="D3028" s="1088"/>
      <c r="J3028" s="1088"/>
      <c r="L3028" s="8"/>
      <c r="M3028" s="8"/>
      <c r="N3028" s="1088"/>
      <c r="O3028" s="1088"/>
      <c r="Q3028" s="1088"/>
      <c r="R3028" s="1088"/>
      <c r="S3028" s="1088"/>
      <c r="T3028" s="1088"/>
    </row>
    <row r="3029" spans="4:20" x14ac:dyDescent="0.3">
      <c r="D3029" s="1088"/>
      <c r="J3029" s="1088"/>
      <c r="L3029" s="8"/>
      <c r="M3029" s="8"/>
      <c r="N3029" s="1088"/>
      <c r="O3029" s="1088"/>
      <c r="Q3029" s="1088"/>
      <c r="R3029" s="1088"/>
      <c r="S3029" s="1088"/>
      <c r="T3029" s="1088"/>
    </row>
    <row r="3030" spans="4:20" x14ac:dyDescent="0.3">
      <c r="D3030" s="1088"/>
      <c r="J3030" s="1088"/>
      <c r="L3030" s="8"/>
      <c r="M3030" s="8"/>
      <c r="N3030" s="1088"/>
      <c r="O3030" s="1088"/>
      <c r="Q3030" s="1088"/>
      <c r="R3030" s="1088"/>
      <c r="S3030" s="1088"/>
      <c r="T3030" s="1088"/>
    </row>
    <row r="3031" spans="4:20" x14ac:dyDescent="0.3">
      <c r="D3031" s="1088"/>
      <c r="J3031" s="1088"/>
      <c r="L3031" s="8"/>
      <c r="M3031" s="8"/>
      <c r="N3031" s="1088"/>
      <c r="O3031" s="1088"/>
      <c r="Q3031" s="1088"/>
      <c r="R3031" s="1088"/>
      <c r="S3031" s="1088"/>
      <c r="T3031" s="1088"/>
    </row>
    <row r="3032" spans="4:20" x14ac:dyDescent="0.3">
      <c r="D3032" s="1088"/>
      <c r="J3032" s="1088"/>
      <c r="L3032" s="8"/>
      <c r="M3032" s="8"/>
      <c r="N3032" s="1088"/>
      <c r="O3032" s="1088"/>
      <c r="Q3032" s="1088"/>
      <c r="R3032" s="1088"/>
      <c r="S3032" s="1088"/>
      <c r="T3032" s="1088"/>
    </row>
    <row r="3033" spans="4:20" x14ac:dyDescent="0.3">
      <c r="D3033" s="1088"/>
      <c r="J3033" s="1088"/>
      <c r="L3033" s="8"/>
      <c r="M3033" s="8"/>
      <c r="N3033" s="1088"/>
      <c r="O3033" s="1088"/>
      <c r="Q3033" s="1088"/>
      <c r="R3033" s="1088"/>
      <c r="S3033" s="1088"/>
      <c r="T3033" s="1088"/>
    </row>
    <row r="3034" spans="4:20" x14ac:dyDescent="0.3">
      <c r="D3034" s="1088"/>
      <c r="J3034" s="1088"/>
      <c r="L3034" s="8"/>
      <c r="M3034" s="8"/>
      <c r="N3034" s="1088"/>
      <c r="O3034" s="1088"/>
      <c r="Q3034" s="1088"/>
      <c r="R3034" s="1088"/>
      <c r="S3034" s="1088"/>
      <c r="T3034" s="1088"/>
    </row>
    <row r="3035" spans="4:20" x14ac:dyDescent="0.3">
      <c r="D3035" s="1088"/>
      <c r="J3035" s="1088"/>
      <c r="L3035" s="8"/>
      <c r="M3035" s="8"/>
      <c r="Q3035" s="1088"/>
      <c r="R3035" s="1088"/>
      <c r="S3035" s="1088"/>
      <c r="T3035" s="1088"/>
    </row>
    <row r="3036" spans="4:20" x14ac:dyDescent="0.3">
      <c r="D3036" s="1088"/>
      <c r="J3036" s="1088"/>
      <c r="L3036" s="8"/>
      <c r="M3036" s="8"/>
      <c r="Q3036" s="1088"/>
      <c r="R3036" s="1088"/>
      <c r="S3036" s="1088"/>
      <c r="T3036" s="1088"/>
    </row>
    <row r="3037" spans="4:20" x14ac:dyDescent="0.3">
      <c r="D3037" s="1088"/>
      <c r="J3037" s="1088"/>
      <c r="L3037" s="8"/>
      <c r="M3037" s="8"/>
      <c r="N3037" s="1088"/>
      <c r="Q3037" s="1088"/>
      <c r="R3037" s="1088"/>
      <c r="S3037" s="1088"/>
      <c r="T3037" s="1088"/>
    </row>
    <row r="3038" spans="4:20" x14ac:dyDescent="0.3">
      <c r="D3038" s="1088"/>
      <c r="J3038" s="1088"/>
      <c r="L3038" s="8"/>
      <c r="M3038" s="8"/>
      <c r="Q3038" s="1088"/>
      <c r="R3038" s="1088"/>
      <c r="S3038" s="1088"/>
      <c r="T3038" s="1088"/>
    </row>
    <row r="3039" spans="4:20" x14ac:dyDescent="0.3">
      <c r="D3039" s="1088"/>
      <c r="J3039" s="1088"/>
      <c r="L3039" s="8"/>
      <c r="M3039" s="8"/>
      <c r="Q3039" s="1088"/>
      <c r="R3039" s="1088"/>
      <c r="S3039" s="1088"/>
      <c r="T3039" s="1088"/>
    </row>
    <row r="3040" spans="4:20" x14ac:dyDescent="0.3">
      <c r="D3040" s="1088"/>
      <c r="J3040" s="1088"/>
      <c r="L3040" s="8"/>
      <c r="M3040" s="8"/>
      <c r="Q3040" s="1088"/>
      <c r="R3040" s="1088"/>
      <c r="S3040" s="1088"/>
      <c r="T3040" s="1088"/>
    </row>
    <row r="3041" spans="4:20" x14ac:dyDescent="0.3">
      <c r="D3041" s="1088"/>
      <c r="J3041" s="1088"/>
      <c r="L3041" s="8"/>
      <c r="M3041" s="8"/>
      <c r="Q3041" s="1088"/>
      <c r="R3041" s="1088"/>
      <c r="S3041" s="1088"/>
      <c r="T3041" s="1088"/>
    </row>
    <row r="3042" spans="4:20" x14ac:dyDescent="0.3">
      <c r="D3042" s="1088"/>
      <c r="J3042" s="1088"/>
      <c r="L3042" s="8"/>
      <c r="M3042" s="8"/>
      <c r="N3042" s="1088"/>
      <c r="Q3042" s="1088"/>
      <c r="R3042" s="1088"/>
      <c r="S3042" s="1088"/>
      <c r="T3042" s="1088"/>
    </row>
    <row r="3043" spans="4:20" x14ac:dyDescent="0.3">
      <c r="D3043" s="1088"/>
      <c r="J3043" s="1088"/>
      <c r="L3043" s="8"/>
      <c r="M3043" s="8"/>
      <c r="Q3043" s="1088"/>
      <c r="R3043" s="1088"/>
      <c r="S3043" s="1088"/>
      <c r="T3043" s="1088"/>
    </row>
    <row r="3044" spans="4:20" x14ac:dyDescent="0.3">
      <c r="D3044" s="1088"/>
      <c r="J3044" s="1088"/>
      <c r="L3044" s="8"/>
      <c r="M3044" s="8"/>
      <c r="Q3044" s="1088"/>
      <c r="R3044" s="1088"/>
      <c r="S3044" s="1088"/>
      <c r="T3044" s="1088"/>
    </row>
    <row r="3045" spans="4:20" x14ac:dyDescent="0.3">
      <c r="D3045" s="1088"/>
      <c r="J3045" s="1088"/>
      <c r="L3045" s="8"/>
      <c r="M3045" s="8"/>
      <c r="N3045" s="1088"/>
      <c r="Q3045" s="1088"/>
      <c r="R3045" s="1088"/>
      <c r="S3045" s="1088"/>
      <c r="T3045" s="1088"/>
    </row>
    <row r="3046" spans="4:20" x14ac:dyDescent="0.3">
      <c r="D3046" s="1088"/>
      <c r="J3046" s="1088"/>
      <c r="L3046" s="8"/>
      <c r="M3046" s="8"/>
      <c r="Q3046" s="1088"/>
      <c r="R3046" s="1088"/>
      <c r="S3046" s="1088"/>
      <c r="T3046" s="1088"/>
    </row>
    <row r="3047" spans="4:20" x14ac:dyDescent="0.3">
      <c r="D3047" s="1088"/>
      <c r="J3047" s="1088"/>
      <c r="L3047" s="8"/>
      <c r="M3047" s="8"/>
      <c r="Q3047" s="1088"/>
      <c r="R3047" s="1088"/>
      <c r="S3047" s="1088"/>
      <c r="T3047" s="1088"/>
    </row>
    <row r="3048" spans="4:20" x14ac:dyDescent="0.3">
      <c r="D3048" s="1088"/>
      <c r="J3048" s="1088"/>
      <c r="L3048" s="8"/>
      <c r="M3048" s="8"/>
      <c r="Q3048" s="1088"/>
      <c r="R3048" s="1088"/>
      <c r="S3048" s="1088"/>
      <c r="T3048" s="1088"/>
    </row>
    <row r="3049" spans="4:20" x14ac:dyDescent="0.3">
      <c r="D3049" s="1088"/>
      <c r="J3049" s="1088"/>
      <c r="L3049" s="8"/>
      <c r="M3049" s="8"/>
      <c r="Q3049" s="1088"/>
      <c r="R3049" s="1088"/>
      <c r="S3049" s="1088"/>
      <c r="T3049" s="1088"/>
    </row>
    <row r="3050" spans="4:20" x14ac:dyDescent="0.3">
      <c r="D3050" s="1088"/>
      <c r="J3050" s="1088"/>
      <c r="L3050" s="8"/>
      <c r="M3050" s="8"/>
      <c r="Q3050" s="1088"/>
      <c r="R3050" s="1088"/>
      <c r="S3050" s="1088"/>
      <c r="T3050" s="1088"/>
    </row>
    <row r="3051" spans="4:20" x14ac:dyDescent="0.3">
      <c r="D3051" s="1088"/>
      <c r="J3051" s="1088"/>
      <c r="L3051" s="8"/>
      <c r="M3051" s="8"/>
      <c r="Q3051" s="1088"/>
      <c r="R3051" s="1088"/>
      <c r="S3051" s="1088"/>
      <c r="T3051" s="1088"/>
    </row>
    <row r="3052" spans="4:20" x14ac:dyDescent="0.3">
      <c r="J3052" s="1088"/>
      <c r="L3052" s="8"/>
      <c r="M3052" s="8"/>
      <c r="R3052" s="1088"/>
    </row>
    <row r="3053" spans="4:20" x14ac:dyDescent="0.3">
      <c r="J3053" s="1088"/>
      <c r="L3053" s="8"/>
      <c r="M3053" s="8"/>
      <c r="R3053" s="1088"/>
    </row>
    <row r="3054" spans="4:20" x14ac:dyDescent="0.3">
      <c r="J3054" s="1088"/>
      <c r="L3054" s="8"/>
      <c r="M3054" s="8"/>
      <c r="R3054" s="1088"/>
    </row>
    <row r="3055" spans="4:20" x14ac:dyDescent="0.3">
      <c r="J3055" s="1088"/>
      <c r="L3055" s="8"/>
      <c r="M3055" s="8"/>
      <c r="N3055" s="1088"/>
      <c r="R3055" s="1088"/>
    </row>
    <row r="3056" spans="4:20" x14ac:dyDescent="0.3">
      <c r="J3056" s="1088"/>
      <c r="L3056" s="8"/>
      <c r="M3056" s="8"/>
      <c r="N3056" s="1088"/>
      <c r="R3056" s="1088"/>
    </row>
    <row r="3057" spans="10:20" x14ac:dyDescent="0.3">
      <c r="J3057" s="1088"/>
      <c r="L3057" s="8"/>
      <c r="M3057" s="8"/>
      <c r="N3057" s="1088"/>
      <c r="R3057" s="1088"/>
    </row>
    <row r="3058" spans="10:20" x14ac:dyDescent="0.3">
      <c r="J3058" s="1088"/>
      <c r="L3058" s="8"/>
      <c r="M3058" s="8"/>
      <c r="Q3058" s="1088"/>
      <c r="R3058" s="1088"/>
      <c r="S3058" s="1088"/>
      <c r="T3058" s="1088"/>
    </row>
    <row r="3059" spans="10:20" x14ac:dyDescent="0.3">
      <c r="J3059" s="1088"/>
      <c r="L3059" s="8"/>
      <c r="M3059" s="8"/>
      <c r="N3059" s="1088"/>
      <c r="O3059" s="1088"/>
      <c r="R3059" s="1088"/>
    </row>
    <row r="3060" spans="10:20" x14ac:dyDescent="0.3">
      <c r="J3060" s="1088"/>
      <c r="L3060" s="8"/>
      <c r="M3060" s="8"/>
      <c r="N3060" s="1088"/>
      <c r="O3060" s="1088"/>
      <c r="Q3060" s="1088"/>
      <c r="R3060" s="1088"/>
      <c r="S3060" s="1088"/>
      <c r="T3060" s="1088"/>
    </row>
    <row r="3061" spans="10:20" x14ac:dyDescent="0.3">
      <c r="J3061" s="1088"/>
      <c r="L3061" s="8"/>
      <c r="M3061" s="8"/>
      <c r="N3061" s="1088"/>
      <c r="O3061" s="1088"/>
      <c r="Q3061" s="1088"/>
      <c r="R3061" s="1088"/>
      <c r="S3061" s="1088"/>
      <c r="T3061" s="1088"/>
    </row>
    <row r="3062" spans="10:20" x14ac:dyDescent="0.3">
      <c r="J3062" s="1088"/>
      <c r="L3062" s="8"/>
      <c r="M3062" s="8"/>
      <c r="R3062" s="1088"/>
    </row>
    <row r="3063" spans="10:20" x14ac:dyDescent="0.3">
      <c r="J3063" s="1088"/>
      <c r="L3063" s="8"/>
      <c r="M3063" s="8"/>
      <c r="R3063" s="1088"/>
    </row>
    <row r="3064" spans="10:20" x14ac:dyDescent="0.3">
      <c r="J3064" s="1088"/>
      <c r="L3064" s="8"/>
      <c r="M3064" s="8"/>
      <c r="R3064" s="1088"/>
    </row>
    <row r="3065" spans="10:20" x14ac:dyDescent="0.3">
      <c r="J3065" s="1088"/>
      <c r="L3065" s="8"/>
      <c r="M3065" s="8"/>
      <c r="R3065" s="1088"/>
    </row>
    <row r="3066" spans="10:20" x14ac:dyDescent="0.3">
      <c r="J3066" s="1088"/>
      <c r="L3066" s="8"/>
      <c r="M3066" s="8"/>
      <c r="N3066" s="1088"/>
      <c r="O3066" s="1088"/>
      <c r="R3066" s="1088"/>
    </row>
    <row r="3067" spans="10:20" x14ac:dyDescent="0.3">
      <c r="J3067" s="1088"/>
      <c r="L3067" s="8"/>
      <c r="M3067" s="8"/>
      <c r="R3067" s="1088"/>
    </row>
    <row r="3068" spans="10:20" x14ac:dyDescent="0.3">
      <c r="J3068" s="1088"/>
      <c r="L3068" s="8"/>
      <c r="M3068" s="8"/>
      <c r="R3068" s="1088"/>
    </row>
    <row r="3069" spans="10:20" x14ac:dyDescent="0.3">
      <c r="J3069" s="1088"/>
      <c r="L3069" s="8"/>
      <c r="M3069" s="8"/>
      <c r="R3069" s="1088"/>
    </row>
    <row r="3070" spans="10:20" x14ac:dyDescent="0.3">
      <c r="J3070" s="1088"/>
      <c r="L3070" s="8"/>
      <c r="M3070" s="8"/>
      <c r="R3070" s="1088"/>
    </row>
    <row r="3071" spans="10:20" x14ac:dyDescent="0.3">
      <c r="J3071" s="1088"/>
      <c r="L3071" s="8"/>
      <c r="M3071" s="8"/>
      <c r="R3071" s="1088"/>
    </row>
    <row r="3072" spans="10:20" x14ac:dyDescent="0.3">
      <c r="J3072" s="1088"/>
      <c r="L3072" s="8"/>
      <c r="M3072" s="8"/>
      <c r="R3072" s="1088"/>
    </row>
    <row r="3073" spans="4:20" x14ac:dyDescent="0.3">
      <c r="J3073" s="1088"/>
      <c r="L3073" s="8"/>
      <c r="M3073" s="8"/>
      <c r="Q3073" s="1088"/>
      <c r="R3073" s="1088"/>
      <c r="S3073" s="1088"/>
      <c r="T3073" s="1088"/>
    </row>
    <row r="3074" spans="4:20" x14ac:dyDescent="0.3">
      <c r="D3074" s="1088"/>
      <c r="J3074" s="1088"/>
      <c r="L3074" s="8"/>
      <c r="M3074" s="8"/>
      <c r="N3074" s="1088"/>
      <c r="O3074" s="1088"/>
      <c r="Q3074" s="1088"/>
      <c r="R3074" s="1088"/>
      <c r="S3074" s="1088"/>
      <c r="T3074" s="1088"/>
    </row>
    <row r="3075" spans="4:20" x14ac:dyDescent="0.3">
      <c r="D3075" s="1088"/>
      <c r="J3075" s="1088"/>
      <c r="L3075" s="8"/>
      <c r="M3075" s="8"/>
      <c r="Q3075" s="1088"/>
      <c r="R3075" s="1088"/>
      <c r="S3075" s="1088"/>
      <c r="T3075" s="1088"/>
    </row>
    <row r="3076" spans="4:20" x14ac:dyDescent="0.3">
      <c r="D3076" s="1088"/>
      <c r="J3076" s="1088"/>
      <c r="L3076" s="8"/>
      <c r="M3076" s="8"/>
      <c r="N3076" s="1088"/>
      <c r="O3076" s="1088"/>
      <c r="Q3076" s="1088"/>
      <c r="R3076" s="1088"/>
      <c r="S3076" s="1088"/>
      <c r="T3076" s="1088"/>
    </row>
    <row r="3077" spans="4:20" x14ac:dyDescent="0.3">
      <c r="D3077" s="1088"/>
      <c r="J3077" s="1088"/>
      <c r="L3077" s="8"/>
      <c r="M3077" s="8"/>
      <c r="N3077" s="1088"/>
      <c r="O3077" s="1088"/>
      <c r="Q3077" s="1088"/>
      <c r="R3077" s="1088"/>
      <c r="S3077" s="1088"/>
      <c r="T3077" s="1088"/>
    </row>
    <row r="3078" spans="4:20" x14ac:dyDescent="0.3">
      <c r="D3078" s="1088"/>
      <c r="J3078" s="1088"/>
      <c r="L3078" s="8"/>
      <c r="M3078" s="8"/>
      <c r="N3078" s="1088"/>
      <c r="O3078" s="1088"/>
      <c r="Q3078" s="1088"/>
      <c r="R3078" s="1088"/>
      <c r="S3078" s="1088"/>
      <c r="T3078" s="1088"/>
    </row>
    <row r="3079" spans="4:20" x14ac:dyDescent="0.3">
      <c r="D3079" s="1088"/>
      <c r="J3079" s="1088"/>
      <c r="L3079" s="8"/>
      <c r="M3079" s="8"/>
      <c r="N3079" s="1088"/>
      <c r="O3079" s="1088"/>
      <c r="Q3079" s="1088"/>
      <c r="R3079" s="1088"/>
      <c r="S3079" s="1088"/>
      <c r="T3079" s="1088"/>
    </row>
    <row r="3080" spans="4:20" x14ac:dyDescent="0.3">
      <c r="D3080" s="1088"/>
      <c r="J3080" s="1088"/>
      <c r="L3080" s="8"/>
      <c r="M3080" s="8"/>
      <c r="Q3080" s="1088"/>
      <c r="R3080" s="1088"/>
      <c r="S3080" s="1088"/>
      <c r="T3080" s="1088"/>
    </row>
    <row r="3081" spans="4:20" x14ac:dyDescent="0.3">
      <c r="D3081" s="1088"/>
      <c r="J3081" s="1088"/>
      <c r="L3081" s="8"/>
      <c r="M3081" s="8"/>
      <c r="N3081" s="1088"/>
      <c r="O3081" s="1088"/>
      <c r="Q3081" s="1088"/>
      <c r="R3081" s="1088"/>
      <c r="S3081" s="1088"/>
      <c r="T3081" s="1088"/>
    </row>
    <row r="3082" spans="4:20" x14ac:dyDescent="0.3">
      <c r="D3082" s="1088"/>
      <c r="J3082" s="1088"/>
      <c r="L3082" s="8"/>
      <c r="M3082" s="8"/>
      <c r="N3082" s="1088"/>
      <c r="O3082" s="1088"/>
      <c r="Q3082" s="1088"/>
      <c r="R3082" s="1088"/>
      <c r="S3082" s="1088"/>
      <c r="T3082" s="1088"/>
    </row>
    <row r="3083" spans="4:20" x14ac:dyDescent="0.3">
      <c r="D3083" s="1088"/>
      <c r="J3083" s="1088"/>
      <c r="L3083" s="8"/>
      <c r="M3083" s="8"/>
      <c r="N3083" s="1088"/>
      <c r="O3083" s="1088"/>
      <c r="Q3083" s="1088"/>
      <c r="R3083" s="1088"/>
      <c r="S3083" s="1088"/>
      <c r="T3083" s="1088"/>
    </row>
    <row r="3084" spans="4:20" x14ac:dyDescent="0.3">
      <c r="D3084" s="1088"/>
      <c r="J3084" s="1088"/>
      <c r="L3084" s="8"/>
      <c r="M3084" s="8"/>
      <c r="N3084" s="1088"/>
      <c r="O3084" s="1088"/>
      <c r="Q3084" s="1088"/>
      <c r="R3084" s="1088"/>
      <c r="S3084" s="1088"/>
      <c r="T3084" s="1088"/>
    </row>
    <row r="3085" spans="4:20" x14ac:dyDescent="0.3">
      <c r="D3085" s="1088"/>
      <c r="J3085" s="1088"/>
      <c r="L3085" s="8"/>
      <c r="M3085" s="8"/>
      <c r="N3085" s="1088"/>
      <c r="O3085" s="1088"/>
      <c r="Q3085" s="1088"/>
      <c r="R3085" s="1088"/>
      <c r="S3085" s="1088"/>
      <c r="T3085" s="1088"/>
    </row>
    <row r="3086" spans="4:20" x14ac:dyDescent="0.3">
      <c r="D3086" s="1088"/>
      <c r="J3086" s="1088"/>
      <c r="L3086" s="8"/>
      <c r="M3086" s="8"/>
      <c r="N3086" s="1088"/>
      <c r="O3086" s="1088"/>
      <c r="Q3086" s="1088"/>
      <c r="R3086" s="1088"/>
      <c r="S3086" s="1088"/>
      <c r="T3086" s="1088"/>
    </row>
    <row r="3087" spans="4:20" x14ac:dyDescent="0.3">
      <c r="D3087" s="1088"/>
      <c r="J3087" s="1088"/>
      <c r="L3087" s="8"/>
      <c r="M3087" s="8"/>
      <c r="O3087" s="1088"/>
      <c r="Q3087" s="1088"/>
      <c r="R3087" s="1088"/>
      <c r="S3087" s="1088"/>
      <c r="T3087" s="1088"/>
    </row>
    <row r="3088" spans="4:20" x14ac:dyDescent="0.3">
      <c r="D3088" s="1088"/>
      <c r="J3088" s="1088"/>
      <c r="L3088" s="8"/>
      <c r="M3088" s="8"/>
      <c r="Q3088" s="1088"/>
      <c r="R3088" s="1088"/>
      <c r="S3088" s="1088"/>
      <c r="T3088" s="1088"/>
    </row>
    <row r="3089" spans="4:20" x14ac:dyDescent="0.3">
      <c r="D3089" s="1088"/>
      <c r="J3089" s="1088"/>
      <c r="L3089" s="8"/>
      <c r="M3089" s="8"/>
      <c r="Q3089" s="1088"/>
      <c r="R3089" s="1088"/>
      <c r="S3089" s="1088"/>
      <c r="T3089" s="1088"/>
    </row>
    <row r="3090" spans="4:20" x14ac:dyDescent="0.3">
      <c r="D3090" s="1088"/>
      <c r="J3090" s="1088"/>
      <c r="L3090" s="8"/>
      <c r="M3090" s="8"/>
      <c r="N3090" s="1088"/>
      <c r="O3090" s="1088"/>
      <c r="Q3090" s="1088"/>
      <c r="R3090" s="1088"/>
      <c r="S3090" s="1088"/>
      <c r="T3090" s="1088"/>
    </row>
    <row r="3091" spans="4:20" x14ac:dyDescent="0.3">
      <c r="D3091" s="1088"/>
      <c r="J3091" s="1088"/>
      <c r="L3091" s="8"/>
      <c r="M3091" s="8"/>
      <c r="N3091" s="1088"/>
      <c r="O3091" s="1088"/>
      <c r="Q3091" s="1088"/>
      <c r="R3091" s="1088"/>
      <c r="S3091" s="1088"/>
      <c r="T3091" s="1088"/>
    </row>
    <row r="3092" spans="4:20" x14ac:dyDescent="0.3">
      <c r="D3092" s="1088"/>
      <c r="J3092" s="1088"/>
      <c r="L3092" s="8"/>
      <c r="M3092" s="8"/>
      <c r="N3092" s="1088"/>
      <c r="O3092" s="1088"/>
      <c r="Q3092" s="1088"/>
      <c r="R3092" s="1088"/>
      <c r="S3092" s="1088"/>
      <c r="T3092" s="1088"/>
    </row>
    <row r="3093" spans="4:20" x14ac:dyDescent="0.3">
      <c r="D3093" s="1088"/>
      <c r="J3093" s="1088"/>
      <c r="L3093" s="8"/>
      <c r="M3093" s="8"/>
      <c r="N3093" s="1088"/>
      <c r="O3093" s="1088"/>
      <c r="Q3093" s="1088"/>
      <c r="R3093" s="1088"/>
      <c r="S3093" s="1088"/>
      <c r="T3093" s="1088"/>
    </row>
    <row r="3094" spans="4:20" x14ac:dyDescent="0.3">
      <c r="D3094" s="1088"/>
      <c r="J3094" s="1088"/>
      <c r="L3094" s="8"/>
      <c r="M3094" s="8"/>
      <c r="N3094" s="1088"/>
      <c r="Q3094" s="1088"/>
      <c r="R3094" s="1088"/>
      <c r="S3094" s="1088"/>
      <c r="T3094" s="1088"/>
    </row>
    <row r="3095" spans="4:20" x14ac:dyDescent="0.3">
      <c r="D3095" s="1088"/>
      <c r="J3095" s="1088"/>
      <c r="L3095" s="8"/>
      <c r="M3095" s="8"/>
      <c r="Q3095" s="1088"/>
      <c r="R3095" s="1088"/>
      <c r="S3095" s="1088"/>
      <c r="T3095" s="1088"/>
    </row>
    <row r="3096" spans="4:20" x14ac:dyDescent="0.3">
      <c r="D3096" s="1088"/>
      <c r="J3096" s="1088"/>
      <c r="L3096" s="8"/>
      <c r="M3096" s="8"/>
      <c r="N3096" s="1088"/>
      <c r="O3096" s="1088"/>
      <c r="Q3096" s="1088"/>
      <c r="R3096" s="1088"/>
      <c r="S3096" s="1088"/>
      <c r="T3096" s="1088"/>
    </row>
    <row r="3097" spans="4:20" x14ac:dyDescent="0.3">
      <c r="D3097" s="1088"/>
      <c r="J3097" s="1088"/>
      <c r="L3097" s="8"/>
      <c r="M3097" s="8"/>
      <c r="Q3097" s="1088"/>
      <c r="R3097" s="1088"/>
      <c r="S3097" s="1088"/>
      <c r="T3097" s="1088"/>
    </row>
    <row r="3098" spans="4:20" x14ac:dyDescent="0.3">
      <c r="D3098" s="1088"/>
      <c r="J3098" s="1088"/>
      <c r="L3098" s="8"/>
      <c r="M3098" s="8"/>
      <c r="N3098" s="1088"/>
      <c r="O3098" s="1088"/>
      <c r="Q3098" s="1088"/>
      <c r="R3098" s="1088"/>
      <c r="S3098" s="1088"/>
      <c r="T3098" s="1088"/>
    </row>
    <row r="3099" spans="4:20" x14ac:dyDescent="0.3">
      <c r="D3099" s="1088"/>
      <c r="J3099" s="1088"/>
      <c r="L3099" s="8"/>
      <c r="M3099" s="8"/>
      <c r="N3099" s="1088"/>
      <c r="O3099" s="1088"/>
      <c r="Q3099" s="1088"/>
      <c r="R3099" s="1088"/>
      <c r="S3099" s="1088"/>
      <c r="T3099" s="1088"/>
    </row>
    <row r="3100" spans="4:20" x14ac:dyDescent="0.3">
      <c r="D3100" s="1088"/>
      <c r="J3100" s="1088"/>
      <c r="L3100" s="8"/>
      <c r="M3100" s="8"/>
      <c r="N3100" s="1088"/>
      <c r="O3100" s="1088"/>
      <c r="Q3100" s="1088"/>
      <c r="R3100" s="1088"/>
      <c r="S3100" s="1088"/>
      <c r="T3100" s="1088"/>
    </row>
    <row r="3101" spans="4:20" x14ac:dyDescent="0.3">
      <c r="D3101" s="1088"/>
      <c r="J3101" s="1088"/>
      <c r="L3101" s="8"/>
      <c r="M3101" s="8"/>
      <c r="N3101" s="1088"/>
      <c r="O3101" s="1088"/>
      <c r="Q3101" s="1088"/>
      <c r="R3101" s="1088"/>
      <c r="S3101" s="1088"/>
      <c r="T3101" s="1088"/>
    </row>
    <row r="3102" spans="4:20" x14ac:dyDescent="0.3">
      <c r="D3102" s="1088"/>
      <c r="J3102" s="1088"/>
      <c r="L3102" s="8"/>
      <c r="M3102" s="8"/>
      <c r="N3102" s="1088"/>
      <c r="O3102" s="1088"/>
      <c r="Q3102" s="1088"/>
      <c r="R3102" s="1088"/>
      <c r="S3102" s="1088"/>
      <c r="T3102" s="1088"/>
    </row>
    <row r="3103" spans="4:20" x14ac:dyDescent="0.3">
      <c r="D3103" s="1088"/>
      <c r="J3103" s="1088"/>
      <c r="L3103" s="8"/>
      <c r="M3103" s="8"/>
      <c r="N3103" s="1088"/>
      <c r="O3103" s="1088"/>
      <c r="Q3103" s="1088"/>
      <c r="R3103" s="1088"/>
      <c r="S3103" s="1088"/>
      <c r="T3103" s="1088"/>
    </row>
    <row r="3104" spans="4:20" x14ac:dyDescent="0.3">
      <c r="D3104" s="1088"/>
      <c r="J3104" s="1088"/>
      <c r="L3104" s="8"/>
      <c r="M3104" s="8"/>
      <c r="N3104" s="1088"/>
      <c r="O3104" s="1088"/>
      <c r="Q3104" s="1088"/>
      <c r="R3104" s="1088"/>
      <c r="S3104" s="1088"/>
      <c r="T3104" s="1088"/>
    </row>
    <row r="3105" spans="4:20" x14ac:dyDescent="0.3">
      <c r="D3105" s="1088"/>
      <c r="J3105" s="1088"/>
      <c r="L3105" s="8"/>
      <c r="M3105" s="8"/>
      <c r="N3105" s="1088"/>
      <c r="O3105" s="1088"/>
      <c r="Q3105" s="1088"/>
      <c r="R3105" s="1088"/>
      <c r="S3105" s="1088"/>
      <c r="T3105" s="1088"/>
    </row>
    <row r="3106" spans="4:20" x14ac:dyDescent="0.3">
      <c r="D3106" s="1088"/>
      <c r="J3106" s="1088"/>
      <c r="L3106" s="8"/>
      <c r="M3106" s="8"/>
      <c r="N3106" s="1088"/>
      <c r="O3106" s="1088"/>
      <c r="Q3106" s="1088"/>
      <c r="R3106" s="1088"/>
      <c r="S3106" s="1088"/>
      <c r="T3106" s="1088"/>
    </row>
    <row r="3107" spans="4:20" x14ac:dyDescent="0.3">
      <c r="D3107" s="1088"/>
      <c r="J3107" s="1088"/>
      <c r="L3107" s="8"/>
      <c r="M3107" s="8"/>
      <c r="N3107" s="1088"/>
      <c r="O3107" s="1088"/>
      <c r="Q3107" s="1088"/>
      <c r="R3107" s="1088"/>
      <c r="S3107" s="1088"/>
      <c r="T3107" s="1088"/>
    </row>
    <row r="3108" spans="4:20" x14ac:dyDescent="0.3">
      <c r="D3108" s="1088"/>
      <c r="J3108" s="1088"/>
      <c r="L3108" s="8"/>
      <c r="M3108" s="8"/>
      <c r="N3108" s="1088"/>
      <c r="O3108" s="1088"/>
      <c r="Q3108" s="1088"/>
      <c r="R3108" s="1088"/>
      <c r="S3108" s="1088"/>
      <c r="T3108" s="1088"/>
    </row>
    <row r="3109" spans="4:20" x14ac:dyDescent="0.3">
      <c r="D3109" s="1088"/>
      <c r="J3109" s="1088"/>
      <c r="L3109" s="8"/>
      <c r="M3109" s="8"/>
      <c r="N3109" s="1088"/>
      <c r="O3109" s="1088"/>
      <c r="Q3109" s="1088"/>
      <c r="R3109" s="1088"/>
      <c r="S3109" s="1088"/>
      <c r="T3109" s="1088"/>
    </row>
    <row r="3110" spans="4:20" x14ac:dyDescent="0.3">
      <c r="D3110" s="1088"/>
      <c r="J3110" s="1088"/>
      <c r="L3110" s="8"/>
      <c r="M3110" s="8"/>
      <c r="N3110" s="1088"/>
      <c r="O3110" s="1088"/>
      <c r="Q3110" s="1088"/>
      <c r="R3110" s="1088"/>
      <c r="S3110" s="1088"/>
      <c r="T3110" s="1088"/>
    </row>
    <row r="3111" spans="4:20" x14ac:dyDescent="0.3">
      <c r="D3111" s="1088"/>
      <c r="J3111" s="1088"/>
      <c r="L3111" s="8"/>
      <c r="M3111" s="8"/>
      <c r="N3111" s="1088"/>
      <c r="O3111" s="1088"/>
      <c r="Q3111" s="1088"/>
      <c r="R3111" s="1088"/>
      <c r="S3111" s="1088"/>
      <c r="T3111" s="1088"/>
    </row>
    <row r="3112" spans="4:20" x14ac:dyDescent="0.3">
      <c r="D3112" s="1088"/>
      <c r="J3112" s="1088"/>
      <c r="L3112" s="8"/>
      <c r="M3112" s="8"/>
      <c r="Q3112" s="1088"/>
      <c r="R3112" s="1088"/>
      <c r="S3112" s="1088"/>
      <c r="T3112" s="1088"/>
    </row>
    <row r="3113" spans="4:20" x14ac:dyDescent="0.3">
      <c r="D3113" s="1088"/>
      <c r="J3113" s="1088"/>
      <c r="L3113" s="8"/>
      <c r="M3113" s="8"/>
      <c r="Q3113" s="1088"/>
      <c r="R3113" s="1088"/>
      <c r="S3113" s="1088"/>
      <c r="T3113" s="1088"/>
    </row>
    <row r="3114" spans="4:20" x14ac:dyDescent="0.3">
      <c r="D3114" s="1088"/>
      <c r="J3114" s="1088"/>
      <c r="L3114" s="8"/>
      <c r="M3114" s="8"/>
      <c r="Q3114" s="1088"/>
      <c r="R3114" s="1088"/>
      <c r="S3114" s="1088"/>
      <c r="T3114" s="1088"/>
    </row>
    <row r="3115" spans="4:20" x14ac:dyDescent="0.3">
      <c r="D3115" s="1088"/>
      <c r="J3115" s="1088"/>
      <c r="L3115" s="8"/>
      <c r="M3115" s="8"/>
      <c r="Q3115" s="1088"/>
      <c r="R3115" s="1088"/>
      <c r="S3115" s="1088"/>
      <c r="T3115" s="1088"/>
    </row>
    <row r="3116" spans="4:20" x14ac:dyDescent="0.3">
      <c r="D3116" s="1088"/>
      <c r="J3116" s="1088"/>
      <c r="L3116" s="8"/>
      <c r="M3116" s="8"/>
      <c r="Q3116" s="1088"/>
      <c r="R3116" s="1088"/>
      <c r="S3116" s="1088"/>
      <c r="T3116" s="1088"/>
    </row>
    <row r="3117" spans="4:20" x14ac:dyDescent="0.3">
      <c r="D3117" s="1088"/>
      <c r="J3117" s="1088"/>
      <c r="L3117" s="8"/>
      <c r="M3117" s="8"/>
      <c r="Q3117" s="1088"/>
      <c r="R3117" s="1088"/>
      <c r="S3117" s="1088"/>
      <c r="T3117" s="1088"/>
    </row>
    <row r="3118" spans="4:20" x14ac:dyDescent="0.3">
      <c r="D3118" s="1088"/>
      <c r="J3118" s="1088"/>
      <c r="L3118" s="8"/>
      <c r="M3118" s="8"/>
      <c r="Q3118" s="1088"/>
      <c r="R3118" s="1088"/>
      <c r="S3118" s="1088"/>
      <c r="T3118" s="1088"/>
    </row>
    <row r="3119" spans="4:20" x14ac:dyDescent="0.3">
      <c r="D3119" s="1088"/>
      <c r="J3119" s="1088"/>
      <c r="L3119" s="8"/>
      <c r="M3119" s="8"/>
      <c r="N3119" s="1088"/>
      <c r="O3119" s="1088"/>
      <c r="Q3119" s="1088"/>
      <c r="R3119" s="1088"/>
      <c r="S3119" s="1088"/>
      <c r="T3119" s="1088"/>
    </row>
    <row r="3120" spans="4:20" x14ac:dyDescent="0.3">
      <c r="D3120" s="1088"/>
      <c r="J3120" s="1088"/>
      <c r="L3120" s="8"/>
      <c r="M3120" s="8"/>
      <c r="N3120" s="1088"/>
      <c r="O3120" s="1088"/>
      <c r="Q3120" s="1088"/>
      <c r="R3120" s="1088"/>
      <c r="S3120" s="1088"/>
      <c r="T3120" s="1088"/>
    </row>
    <row r="3121" spans="4:20" x14ac:dyDescent="0.3">
      <c r="D3121" s="1088"/>
      <c r="J3121" s="1088"/>
      <c r="L3121" s="8"/>
      <c r="M3121" s="8"/>
      <c r="N3121" s="1088"/>
      <c r="O3121" s="1088"/>
      <c r="Q3121" s="1088"/>
      <c r="R3121" s="1088"/>
      <c r="S3121" s="1088"/>
      <c r="T3121" s="1088"/>
    </row>
    <row r="3122" spans="4:20" x14ac:dyDescent="0.3">
      <c r="D3122" s="1088"/>
      <c r="J3122" s="1088"/>
      <c r="L3122" s="8"/>
      <c r="M3122" s="8"/>
      <c r="N3122" s="1088"/>
      <c r="O3122" s="1088"/>
      <c r="Q3122" s="1088"/>
      <c r="R3122" s="1088"/>
      <c r="S3122" s="1088"/>
      <c r="T3122" s="1088"/>
    </row>
    <row r="3123" spans="4:20" x14ac:dyDescent="0.3">
      <c r="D3123" s="1088"/>
      <c r="J3123" s="1088"/>
      <c r="L3123" s="8"/>
      <c r="M3123" s="8"/>
      <c r="N3123" s="1088"/>
      <c r="O3123" s="1088"/>
      <c r="Q3123" s="1088"/>
      <c r="R3123" s="1088"/>
      <c r="S3123" s="1088"/>
      <c r="T3123" s="1088"/>
    </row>
    <row r="3124" spans="4:20" x14ac:dyDescent="0.3">
      <c r="D3124" s="1088"/>
      <c r="J3124" s="1088"/>
      <c r="L3124" s="8"/>
      <c r="M3124" s="8"/>
      <c r="Q3124" s="1088"/>
      <c r="R3124" s="1088"/>
      <c r="S3124" s="1088"/>
      <c r="T3124" s="1088"/>
    </row>
    <row r="3125" spans="4:20" x14ac:dyDescent="0.3">
      <c r="D3125" s="1088"/>
      <c r="J3125" s="1088"/>
      <c r="L3125" s="8"/>
      <c r="M3125" s="8"/>
      <c r="Q3125" s="1088"/>
      <c r="R3125" s="1088"/>
      <c r="S3125" s="1088"/>
      <c r="T3125" s="1088"/>
    </row>
    <row r="3126" spans="4:20" x14ac:dyDescent="0.3">
      <c r="D3126" s="1088"/>
      <c r="J3126" s="1088"/>
      <c r="L3126" s="8"/>
      <c r="M3126" s="8"/>
      <c r="N3126" s="1088"/>
      <c r="O3126" s="1088"/>
      <c r="Q3126" s="1088"/>
      <c r="R3126" s="1088"/>
      <c r="S3126" s="1088"/>
      <c r="T3126" s="1088"/>
    </row>
    <row r="3127" spans="4:20" x14ac:dyDescent="0.3">
      <c r="D3127" s="1088"/>
      <c r="J3127" s="1088"/>
      <c r="L3127" s="8"/>
      <c r="M3127" s="8"/>
      <c r="N3127" s="1088"/>
      <c r="O3127" s="1088"/>
      <c r="Q3127" s="1088"/>
      <c r="R3127" s="1088"/>
      <c r="S3127" s="1088"/>
      <c r="T3127" s="1088"/>
    </row>
    <row r="3128" spans="4:20" x14ac:dyDescent="0.3">
      <c r="D3128" s="1088"/>
      <c r="J3128" s="1088"/>
      <c r="L3128" s="8"/>
      <c r="M3128" s="8"/>
      <c r="N3128" s="1088"/>
      <c r="Q3128" s="1088"/>
      <c r="R3128" s="1088"/>
      <c r="S3128" s="1088"/>
      <c r="T3128" s="1088"/>
    </row>
    <row r="3129" spans="4:20" x14ac:dyDescent="0.3">
      <c r="D3129" s="1088"/>
      <c r="J3129" s="1088"/>
      <c r="L3129" s="8"/>
      <c r="M3129" s="8"/>
      <c r="Q3129" s="1088"/>
      <c r="R3129" s="1088"/>
      <c r="S3129" s="1088"/>
      <c r="T3129" s="1088"/>
    </row>
    <row r="3130" spans="4:20" x14ac:dyDescent="0.3">
      <c r="D3130" s="1088"/>
      <c r="J3130" s="1088"/>
      <c r="L3130" s="8"/>
      <c r="M3130" s="8"/>
      <c r="Q3130" s="1088"/>
      <c r="R3130" s="1088"/>
      <c r="S3130" s="1088"/>
      <c r="T3130" s="1088"/>
    </row>
    <row r="3131" spans="4:20" x14ac:dyDescent="0.3">
      <c r="D3131" s="1088"/>
      <c r="J3131" s="1088"/>
      <c r="L3131" s="8"/>
      <c r="M3131" s="8"/>
      <c r="Q3131" s="1088"/>
      <c r="R3131" s="1088"/>
      <c r="S3131" s="1088"/>
      <c r="T3131" s="1088"/>
    </row>
    <row r="3132" spans="4:20" x14ac:dyDescent="0.3">
      <c r="D3132" s="1088"/>
      <c r="J3132" s="1088"/>
      <c r="L3132" s="8"/>
      <c r="M3132" s="8"/>
      <c r="Q3132" s="1088"/>
      <c r="R3132" s="1088"/>
      <c r="S3132" s="1088"/>
      <c r="T3132" s="1088"/>
    </row>
    <row r="3133" spans="4:20" x14ac:dyDescent="0.3">
      <c r="D3133" s="1088"/>
      <c r="J3133" s="1088"/>
      <c r="L3133" s="8"/>
      <c r="M3133" s="8"/>
      <c r="Q3133" s="1088"/>
      <c r="R3133" s="1088"/>
      <c r="S3133" s="1088"/>
      <c r="T3133" s="1088"/>
    </row>
    <row r="3134" spans="4:20" x14ac:dyDescent="0.3">
      <c r="D3134" s="1088"/>
      <c r="J3134" s="1088"/>
      <c r="L3134" s="8"/>
      <c r="M3134" s="8"/>
      <c r="Q3134" s="1088"/>
      <c r="R3134" s="1088"/>
      <c r="S3134" s="1088"/>
      <c r="T3134" s="1088"/>
    </row>
    <row r="3135" spans="4:20" x14ac:dyDescent="0.3">
      <c r="D3135" s="1088"/>
      <c r="J3135" s="1088"/>
      <c r="L3135" s="8"/>
      <c r="M3135" s="8"/>
      <c r="Q3135" s="1088"/>
      <c r="R3135" s="1088"/>
      <c r="S3135" s="1088"/>
      <c r="T3135" s="1088"/>
    </row>
    <row r="3136" spans="4:20" x14ac:dyDescent="0.3">
      <c r="D3136" s="1088"/>
      <c r="J3136" s="1088"/>
      <c r="L3136" s="8"/>
      <c r="M3136" s="8"/>
      <c r="N3136" s="1088"/>
      <c r="O3136" s="1088"/>
      <c r="Q3136" s="1088"/>
      <c r="R3136" s="1088"/>
      <c r="S3136" s="1088"/>
      <c r="T3136" s="1088"/>
    </row>
    <row r="3137" spans="4:20" x14ac:dyDescent="0.3">
      <c r="D3137" s="1088"/>
      <c r="J3137" s="1088"/>
      <c r="L3137" s="8"/>
      <c r="M3137" s="8"/>
      <c r="N3137" s="1088"/>
      <c r="O3137" s="1088"/>
      <c r="Q3137" s="1088"/>
      <c r="R3137" s="1088"/>
      <c r="S3137" s="1088"/>
      <c r="T3137" s="1088"/>
    </row>
    <row r="3138" spans="4:20" x14ac:dyDescent="0.3">
      <c r="D3138" s="1088"/>
      <c r="J3138" s="1088"/>
      <c r="L3138" s="8"/>
      <c r="M3138" s="8"/>
      <c r="Q3138" s="1088"/>
      <c r="R3138" s="1088"/>
      <c r="S3138" s="1088"/>
      <c r="T3138" s="1088"/>
    </row>
    <row r="3139" spans="4:20" x14ac:dyDescent="0.3">
      <c r="D3139" s="1088"/>
      <c r="J3139" s="1088"/>
      <c r="L3139" s="8"/>
      <c r="M3139" s="8"/>
      <c r="Q3139" s="1088"/>
      <c r="R3139" s="1088"/>
      <c r="S3139" s="1088"/>
      <c r="T3139" s="1088"/>
    </row>
    <row r="3140" spans="4:20" x14ac:dyDescent="0.3">
      <c r="D3140" s="1088"/>
      <c r="J3140" s="1088"/>
      <c r="L3140" s="8"/>
      <c r="M3140" s="8"/>
      <c r="Q3140" s="1088"/>
      <c r="R3140" s="1088"/>
      <c r="S3140" s="1088"/>
      <c r="T3140" s="1088"/>
    </row>
    <row r="3141" spans="4:20" x14ac:dyDescent="0.3">
      <c r="D3141" s="1088"/>
      <c r="J3141" s="1088"/>
      <c r="L3141" s="8"/>
      <c r="M3141" s="8"/>
      <c r="Q3141" s="1088"/>
      <c r="R3141" s="1088"/>
      <c r="S3141" s="1088"/>
      <c r="T3141" s="1088"/>
    </row>
    <row r="3142" spans="4:20" x14ac:dyDescent="0.3">
      <c r="D3142" s="1088"/>
      <c r="J3142" s="1088"/>
      <c r="L3142" s="8"/>
      <c r="M3142" s="8"/>
      <c r="N3142" s="1088"/>
      <c r="O3142" s="1088"/>
      <c r="Q3142" s="1088"/>
      <c r="R3142" s="1088"/>
      <c r="S3142" s="1088"/>
      <c r="T3142" s="1088"/>
    </row>
    <row r="3143" spans="4:20" x14ac:dyDescent="0.3">
      <c r="D3143" s="1088"/>
      <c r="J3143" s="1088"/>
      <c r="L3143" s="8"/>
      <c r="M3143" s="8"/>
      <c r="N3143" s="1088"/>
      <c r="O3143" s="1088"/>
      <c r="Q3143" s="1088"/>
      <c r="R3143" s="1088"/>
      <c r="S3143" s="1088"/>
      <c r="T3143" s="1088"/>
    </row>
    <row r="3144" spans="4:20" x14ac:dyDescent="0.3">
      <c r="D3144" s="1088"/>
      <c r="J3144" s="1088"/>
      <c r="L3144" s="8"/>
      <c r="M3144" s="8"/>
      <c r="N3144" s="1088"/>
      <c r="O3144" s="1088"/>
      <c r="Q3144" s="1088"/>
      <c r="R3144" s="1088"/>
      <c r="S3144" s="1088"/>
      <c r="T3144" s="1088"/>
    </row>
    <row r="3145" spans="4:20" x14ac:dyDescent="0.3">
      <c r="D3145" s="1088"/>
      <c r="J3145" s="1088"/>
      <c r="L3145" s="8"/>
      <c r="M3145" s="8"/>
      <c r="N3145" s="1088"/>
      <c r="O3145" s="1088"/>
      <c r="Q3145" s="1088"/>
      <c r="R3145" s="1088"/>
      <c r="S3145" s="1088"/>
      <c r="T3145" s="1088"/>
    </row>
    <row r="3146" spans="4:20" x14ac:dyDescent="0.3">
      <c r="D3146" s="1088"/>
      <c r="J3146" s="1088"/>
      <c r="L3146" s="8"/>
      <c r="M3146" s="8"/>
      <c r="N3146" s="1088"/>
      <c r="O3146" s="1088"/>
      <c r="Q3146" s="1088"/>
      <c r="R3146" s="1088"/>
      <c r="S3146" s="1088"/>
      <c r="T3146" s="1088"/>
    </row>
    <row r="3147" spans="4:20" x14ac:dyDescent="0.3">
      <c r="D3147" s="1088"/>
      <c r="J3147" s="1088"/>
      <c r="L3147" s="8"/>
      <c r="M3147" s="8"/>
      <c r="Q3147" s="1088"/>
      <c r="R3147" s="1088"/>
      <c r="S3147" s="1088"/>
      <c r="T3147" s="1088"/>
    </row>
    <row r="3148" spans="4:20" x14ac:dyDescent="0.3">
      <c r="D3148" s="1088"/>
      <c r="J3148" s="1088"/>
      <c r="L3148" s="8"/>
      <c r="M3148" s="8"/>
      <c r="Q3148" s="1088"/>
      <c r="R3148" s="1088"/>
      <c r="S3148" s="1088"/>
      <c r="T3148" s="1088"/>
    </row>
    <row r="3149" spans="4:20" x14ac:dyDescent="0.3">
      <c r="D3149" s="1088"/>
      <c r="J3149" s="1088"/>
      <c r="L3149" s="8"/>
      <c r="M3149" s="8"/>
      <c r="N3149" s="1088"/>
      <c r="O3149" s="1088"/>
      <c r="Q3149" s="1088"/>
      <c r="R3149" s="1088"/>
      <c r="S3149" s="1088"/>
      <c r="T3149" s="1088"/>
    </row>
    <row r="3150" spans="4:20" x14ac:dyDescent="0.3">
      <c r="D3150" s="1088"/>
      <c r="J3150" s="1088"/>
      <c r="L3150" s="8"/>
      <c r="M3150" s="8"/>
      <c r="N3150" s="1088"/>
      <c r="O3150" s="1088"/>
      <c r="Q3150" s="1088"/>
      <c r="R3150" s="1088"/>
      <c r="S3150" s="1088"/>
      <c r="T3150" s="1088"/>
    </row>
    <row r="3151" spans="4:20" x14ac:dyDescent="0.3">
      <c r="D3151" s="1088"/>
      <c r="J3151" s="1088"/>
      <c r="L3151" s="8"/>
      <c r="M3151" s="8"/>
      <c r="N3151" s="1088"/>
      <c r="O3151" s="1088"/>
      <c r="Q3151" s="1088"/>
      <c r="R3151" s="1088"/>
      <c r="S3151" s="1088"/>
      <c r="T3151" s="1088"/>
    </row>
    <row r="3152" spans="4:20" x14ac:dyDescent="0.3">
      <c r="D3152" s="1088"/>
      <c r="J3152" s="1088"/>
      <c r="L3152" s="8"/>
      <c r="M3152" s="8"/>
      <c r="Q3152" s="1088"/>
      <c r="R3152" s="1088"/>
      <c r="S3152" s="1088"/>
      <c r="T3152" s="1088"/>
    </row>
    <row r="3153" spans="4:20" x14ac:dyDescent="0.3">
      <c r="D3153" s="1088"/>
      <c r="J3153" s="1088"/>
      <c r="L3153" s="8"/>
      <c r="M3153" s="8"/>
      <c r="N3153" s="1088"/>
      <c r="O3153" s="1088"/>
      <c r="Q3153" s="1088"/>
      <c r="R3153" s="1088"/>
      <c r="S3153" s="1088"/>
      <c r="T3153" s="1088"/>
    </row>
    <row r="3154" spans="4:20" x14ac:dyDescent="0.3">
      <c r="D3154" s="1088"/>
      <c r="J3154" s="1088"/>
      <c r="L3154" s="8"/>
      <c r="M3154" s="8"/>
      <c r="Q3154" s="1088"/>
      <c r="R3154" s="1088"/>
      <c r="S3154" s="1088"/>
      <c r="T3154" s="1088"/>
    </row>
    <row r="3155" spans="4:20" x14ac:dyDescent="0.3">
      <c r="D3155" s="1088"/>
      <c r="J3155" s="1088"/>
      <c r="L3155" s="8"/>
      <c r="M3155" s="8"/>
      <c r="Q3155" s="1088"/>
      <c r="R3155" s="1088"/>
      <c r="S3155" s="1088"/>
      <c r="T3155" s="1088"/>
    </row>
    <row r="3156" spans="4:20" x14ac:dyDescent="0.3">
      <c r="D3156" s="1088"/>
      <c r="J3156" s="1088"/>
      <c r="L3156" s="8"/>
      <c r="M3156" s="8"/>
      <c r="N3156" s="1088"/>
      <c r="O3156" s="1088"/>
      <c r="Q3156" s="1088"/>
      <c r="R3156" s="1088"/>
      <c r="S3156" s="1088"/>
      <c r="T3156" s="1088"/>
    </row>
    <row r="3157" spans="4:20" x14ac:dyDescent="0.3">
      <c r="D3157" s="1088"/>
      <c r="J3157" s="1088"/>
      <c r="L3157" s="8"/>
      <c r="M3157" s="8"/>
      <c r="Q3157" s="1088"/>
      <c r="R3157" s="1088"/>
      <c r="S3157" s="1088"/>
      <c r="T3157" s="1088"/>
    </row>
    <row r="3158" spans="4:20" x14ac:dyDescent="0.3">
      <c r="D3158" s="1088"/>
      <c r="J3158" s="1088"/>
      <c r="L3158" s="8"/>
      <c r="M3158" s="8"/>
      <c r="Q3158" s="1088"/>
      <c r="R3158" s="1088"/>
      <c r="S3158" s="1088"/>
      <c r="T3158" s="1088"/>
    </row>
    <row r="3159" spans="4:20" x14ac:dyDescent="0.3">
      <c r="D3159" s="1088"/>
      <c r="J3159" s="1088"/>
      <c r="L3159" s="8"/>
      <c r="M3159" s="8"/>
      <c r="Q3159" s="1088"/>
      <c r="R3159" s="1088"/>
      <c r="S3159" s="1088"/>
      <c r="T3159" s="1088"/>
    </row>
    <row r="3160" spans="4:20" x14ac:dyDescent="0.3">
      <c r="D3160" s="1088"/>
      <c r="J3160" s="1088"/>
      <c r="L3160" s="8"/>
      <c r="M3160" s="8"/>
      <c r="Q3160" s="1088"/>
      <c r="R3160" s="1088"/>
      <c r="S3160" s="1088"/>
      <c r="T3160" s="1088"/>
    </row>
    <row r="3161" spans="4:20" x14ac:dyDescent="0.3">
      <c r="D3161" s="1088"/>
      <c r="J3161" s="1088"/>
      <c r="L3161" s="8"/>
      <c r="M3161" s="8"/>
      <c r="Q3161" s="1088"/>
      <c r="R3161" s="1088"/>
      <c r="S3161" s="1088"/>
      <c r="T3161" s="1088"/>
    </row>
    <row r="3162" spans="4:20" x14ac:dyDescent="0.3">
      <c r="D3162" s="1088"/>
      <c r="J3162" s="1088"/>
      <c r="L3162" s="8"/>
      <c r="M3162" s="8"/>
      <c r="Q3162" s="1088"/>
      <c r="R3162" s="1088"/>
      <c r="S3162" s="1088"/>
      <c r="T3162" s="1088"/>
    </row>
    <row r="3163" spans="4:20" x14ac:dyDescent="0.3">
      <c r="D3163" s="1088"/>
      <c r="J3163" s="1088"/>
      <c r="L3163" s="8"/>
      <c r="M3163" s="8"/>
      <c r="Q3163" s="1088"/>
      <c r="R3163" s="1088"/>
      <c r="S3163" s="1088"/>
      <c r="T3163" s="1088"/>
    </row>
    <row r="3164" spans="4:20" x14ac:dyDescent="0.3">
      <c r="D3164" s="1088"/>
      <c r="J3164" s="1088"/>
      <c r="L3164" s="8"/>
      <c r="M3164" s="8"/>
      <c r="Q3164" s="1088"/>
      <c r="R3164" s="1088"/>
      <c r="S3164" s="1088"/>
      <c r="T3164" s="1088"/>
    </row>
    <row r="3165" spans="4:20" x14ac:dyDescent="0.3">
      <c r="D3165" s="1088"/>
      <c r="J3165" s="1088"/>
      <c r="L3165" s="8"/>
      <c r="M3165" s="8"/>
      <c r="Q3165" s="1088"/>
      <c r="R3165" s="1088"/>
      <c r="S3165" s="1088"/>
      <c r="T3165" s="1088"/>
    </row>
    <row r="3166" spans="4:20" x14ac:dyDescent="0.3">
      <c r="D3166" s="1088"/>
      <c r="J3166" s="1088"/>
      <c r="L3166" s="8"/>
      <c r="M3166" s="8"/>
      <c r="N3166" s="1088"/>
      <c r="O3166" s="1088"/>
      <c r="Q3166" s="1088"/>
      <c r="R3166" s="1088"/>
      <c r="S3166" s="1088"/>
      <c r="T3166" s="1088"/>
    </row>
    <row r="3167" spans="4:20" x14ac:dyDescent="0.3">
      <c r="D3167" s="1088"/>
      <c r="J3167" s="1088"/>
      <c r="L3167" s="8"/>
      <c r="M3167" s="8"/>
      <c r="N3167" s="1088"/>
      <c r="O3167" s="1088"/>
      <c r="Q3167" s="1088"/>
      <c r="R3167" s="1088"/>
      <c r="S3167" s="1088"/>
      <c r="T3167" s="1088"/>
    </row>
    <row r="3168" spans="4:20" x14ac:dyDescent="0.3">
      <c r="D3168" s="1088"/>
      <c r="J3168" s="1088"/>
      <c r="L3168" s="8"/>
      <c r="M3168" s="8"/>
      <c r="N3168" s="1088"/>
      <c r="O3168" s="1088"/>
      <c r="Q3168" s="1088"/>
      <c r="R3168" s="1088"/>
      <c r="S3168" s="1088"/>
      <c r="T3168" s="1088"/>
    </row>
    <row r="3169" spans="4:20" x14ac:dyDescent="0.3">
      <c r="D3169" s="1088"/>
      <c r="J3169" s="1088"/>
      <c r="L3169" s="8"/>
      <c r="M3169" s="8"/>
      <c r="Q3169" s="1088"/>
      <c r="R3169" s="1088"/>
      <c r="S3169" s="1088"/>
      <c r="T3169" s="1088"/>
    </row>
    <row r="3170" spans="4:20" x14ac:dyDescent="0.3">
      <c r="D3170" s="1088"/>
      <c r="J3170" s="1088"/>
      <c r="L3170" s="8"/>
      <c r="M3170" s="8"/>
      <c r="Q3170" s="1088"/>
      <c r="R3170" s="1088"/>
      <c r="S3170" s="1088"/>
      <c r="T3170" s="1088"/>
    </row>
    <row r="3171" spans="4:20" x14ac:dyDescent="0.3">
      <c r="D3171" s="1088"/>
      <c r="J3171" s="1088"/>
      <c r="L3171" s="8"/>
      <c r="M3171" s="8"/>
      <c r="Q3171" s="1088"/>
      <c r="R3171" s="1088"/>
      <c r="S3171" s="1088"/>
      <c r="T3171" s="1088"/>
    </row>
    <row r="3172" spans="4:20" x14ac:dyDescent="0.3">
      <c r="D3172" s="1088"/>
      <c r="J3172" s="1088"/>
      <c r="L3172" s="8"/>
      <c r="M3172" s="8"/>
      <c r="N3172" s="1088"/>
      <c r="O3172" s="1088"/>
      <c r="Q3172" s="1088"/>
      <c r="R3172" s="1088"/>
      <c r="S3172" s="1088"/>
      <c r="T3172" s="1088"/>
    </row>
    <row r="3173" spans="4:20" x14ac:dyDescent="0.3">
      <c r="D3173" s="1088"/>
      <c r="J3173" s="1088"/>
      <c r="L3173" s="8"/>
      <c r="M3173" s="8"/>
      <c r="Q3173" s="1088"/>
      <c r="R3173" s="1088"/>
      <c r="S3173" s="1088"/>
      <c r="T3173" s="1088"/>
    </row>
    <row r="3174" spans="4:20" x14ac:dyDescent="0.3">
      <c r="D3174" s="1088"/>
      <c r="J3174" s="1088"/>
      <c r="L3174" s="8"/>
      <c r="M3174" s="8"/>
      <c r="Q3174" s="1088"/>
      <c r="R3174" s="1088"/>
      <c r="S3174" s="1088"/>
      <c r="T3174" s="1088"/>
    </row>
    <row r="3175" spans="4:20" x14ac:dyDescent="0.3">
      <c r="D3175" s="1088"/>
      <c r="J3175" s="1088"/>
      <c r="L3175" s="8"/>
      <c r="M3175" s="8"/>
      <c r="N3175" s="1088"/>
      <c r="O3175" s="1088"/>
      <c r="Q3175" s="1088"/>
      <c r="R3175" s="1088"/>
      <c r="S3175" s="1088"/>
      <c r="T3175" s="1088"/>
    </row>
    <row r="3176" spans="4:20" x14ac:dyDescent="0.3">
      <c r="D3176" s="1088"/>
      <c r="J3176" s="1088"/>
      <c r="L3176" s="8"/>
      <c r="M3176" s="8"/>
      <c r="N3176" s="1088"/>
      <c r="O3176" s="1088"/>
      <c r="Q3176" s="1088"/>
      <c r="R3176" s="1088"/>
      <c r="S3176" s="1088"/>
      <c r="T3176" s="1088"/>
    </row>
    <row r="3177" spans="4:20" x14ac:dyDescent="0.3">
      <c r="D3177" s="1088"/>
      <c r="J3177" s="1088"/>
      <c r="L3177" s="8"/>
      <c r="M3177" s="8"/>
      <c r="Q3177" s="1088"/>
      <c r="R3177" s="1088"/>
      <c r="S3177" s="1088"/>
      <c r="T3177" s="1088"/>
    </row>
    <row r="3178" spans="4:20" x14ac:dyDescent="0.3">
      <c r="D3178" s="1088"/>
      <c r="J3178" s="1088"/>
      <c r="L3178" s="8"/>
      <c r="M3178" s="8"/>
      <c r="N3178" s="1088"/>
      <c r="O3178" s="1088"/>
      <c r="Q3178" s="1088"/>
      <c r="R3178" s="1088"/>
      <c r="S3178" s="1088"/>
      <c r="T3178" s="1088"/>
    </row>
    <row r="3179" spans="4:20" x14ac:dyDescent="0.3">
      <c r="D3179" s="1088"/>
      <c r="J3179" s="1088"/>
      <c r="L3179" s="8"/>
      <c r="M3179" s="8"/>
      <c r="N3179" s="1088"/>
      <c r="Q3179" s="1088"/>
      <c r="R3179" s="1088"/>
      <c r="S3179" s="1088"/>
      <c r="T3179" s="1088"/>
    </row>
    <row r="3180" spans="4:20" x14ac:dyDescent="0.3">
      <c r="D3180" s="1088"/>
      <c r="J3180" s="1088"/>
      <c r="L3180" s="8"/>
      <c r="M3180" s="8"/>
      <c r="Q3180" s="1088"/>
      <c r="R3180" s="1088"/>
      <c r="S3180" s="1088"/>
      <c r="T3180" s="1088"/>
    </row>
    <row r="3181" spans="4:20" x14ac:dyDescent="0.3">
      <c r="D3181" s="1088"/>
      <c r="J3181" s="1088"/>
      <c r="L3181" s="8"/>
      <c r="M3181" s="8"/>
      <c r="Q3181" s="1088"/>
      <c r="R3181" s="1088"/>
      <c r="S3181" s="1088"/>
      <c r="T3181" s="1088"/>
    </row>
    <row r="3182" spans="4:20" x14ac:dyDescent="0.3">
      <c r="D3182" s="1088"/>
      <c r="J3182" s="1088"/>
      <c r="L3182" s="8"/>
      <c r="M3182" s="8"/>
      <c r="Q3182" s="1088"/>
      <c r="R3182" s="1088"/>
      <c r="S3182" s="1088"/>
      <c r="T3182" s="1088"/>
    </row>
    <row r="3183" spans="4:20" x14ac:dyDescent="0.3">
      <c r="D3183" s="1088"/>
      <c r="J3183" s="1088"/>
      <c r="L3183" s="8"/>
      <c r="M3183" s="8"/>
      <c r="Q3183" s="1088"/>
      <c r="R3183" s="1088"/>
      <c r="S3183" s="1088"/>
      <c r="T3183" s="1088"/>
    </row>
    <row r="3184" spans="4:20" x14ac:dyDescent="0.3">
      <c r="D3184" s="1088"/>
      <c r="J3184" s="1088"/>
      <c r="L3184" s="8"/>
      <c r="M3184" s="8"/>
      <c r="O3184" s="1088"/>
      <c r="Q3184" s="1088"/>
      <c r="R3184" s="1088"/>
      <c r="S3184" s="1088"/>
      <c r="T3184" s="1088"/>
    </row>
    <row r="3185" spans="4:20" x14ac:dyDescent="0.3">
      <c r="D3185" s="1088"/>
      <c r="J3185" s="1088"/>
      <c r="L3185" s="8"/>
      <c r="M3185" s="8"/>
      <c r="N3185" s="1088"/>
      <c r="O3185" s="1088"/>
      <c r="Q3185" s="1088"/>
      <c r="R3185" s="1088"/>
      <c r="S3185" s="1088"/>
      <c r="T3185" s="1088"/>
    </row>
    <row r="3186" spans="4:20" x14ac:dyDescent="0.3">
      <c r="D3186" s="1088"/>
      <c r="J3186" s="1088"/>
      <c r="L3186" s="8"/>
      <c r="M3186" s="8"/>
      <c r="Q3186" s="1088"/>
      <c r="R3186" s="1088"/>
      <c r="S3186" s="1088"/>
      <c r="T3186" s="1088"/>
    </row>
    <row r="3187" spans="4:20" x14ac:dyDescent="0.3">
      <c r="D3187" s="1088"/>
      <c r="J3187" s="1088"/>
      <c r="L3187" s="8"/>
      <c r="M3187" s="8"/>
      <c r="Q3187" s="1088"/>
      <c r="R3187" s="1088"/>
      <c r="S3187" s="1088"/>
      <c r="T3187" s="1088"/>
    </row>
    <row r="3188" spans="4:20" x14ac:dyDescent="0.3">
      <c r="D3188" s="1088"/>
      <c r="J3188" s="1088"/>
      <c r="L3188" s="8"/>
      <c r="M3188" s="8"/>
      <c r="N3188" s="1088"/>
      <c r="O3188" s="1088"/>
      <c r="Q3188" s="1088"/>
      <c r="R3188" s="1088"/>
      <c r="S3188" s="1088"/>
      <c r="T3188" s="1088"/>
    </row>
    <row r="3189" spans="4:20" x14ac:dyDescent="0.3">
      <c r="D3189" s="1088"/>
      <c r="J3189" s="1088"/>
      <c r="L3189" s="8"/>
      <c r="M3189" s="8"/>
      <c r="Q3189" s="1088"/>
      <c r="R3189" s="1088"/>
      <c r="S3189" s="1088"/>
      <c r="T3189" s="1088"/>
    </row>
    <row r="3190" spans="4:20" x14ac:dyDescent="0.3">
      <c r="D3190" s="1088"/>
      <c r="J3190" s="1088"/>
      <c r="L3190" s="8"/>
      <c r="M3190" s="8"/>
      <c r="N3190" s="1088"/>
      <c r="O3190" s="1088"/>
      <c r="Q3190" s="1088"/>
      <c r="R3190" s="1088"/>
      <c r="S3190" s="1088"/>
      <c r="T3190" s="1088"/>
    </row>
    <row r="3191" spans="4:20" x14ac:dyDescent="0.3">
      <c r="D3191" s="1088"/>
      <c r="J3191" s="1088"/>
      <c r="L3191" s="8"/>
      <c r="M3191" s="8"/>
      <c r="N3191" s="1088"/>
      <c r="Q3191" s="1088"/>
      <c r="R3191" s="1088"/>
      <c r="S3191" s="1088"/>
      <c r="T3191" s="1088"/>
    </row>
    <row r="3192" spans="4:20" x14ac:dyDescent="0.3">
      <c r="D3192" s="1088"/>
      <c r="J3192" s="1088"/>
      <c r="L3192" s="8"/>
      <c r="M3192" s="8"/>
      <c r="N3192" s="1088"/>
      <c r="O3192" s="1088"/>
      <c r="Q3192" s="1088"/>
      <c r="R3192" s="1088"/>
      <c r="S3192" s="1088"/>
      <c r="T3192" s="1088"/>
    </row>
    <row r="3193" spans="4:20" x14ac:dyDescent="0.3">
      <c r="D3193" s="1088"/>
      <c r="J3193" s="1088"/>
      <c r="L3193" s="8"/>
      <c r="M3193" s="8"/>
      <c r="N3193" s="1088"/>
      <c r="O3193" s="1088"/>
      <c r="Q3193" s="1088"/>
      <c r="R3193" s="1088"/>
      <c r="S3193" s="1088"/>
      <c r="T3193" s="1088"/>
    </row>
    <row r="3194" spans="4:20" x14ac:dyDescent="0.3">
      <c r="D3194" s="1088"/>
      <c r="J3194" s="1088"/>
      <c r="L3194" s="8"/>
      <c r="M3194" s="8"/>
      <c r="N3194" s="1088"/>
      <c r="O3194" s="1088"/>
      <c r="Q3194" s="1088"/>
      <c r="R3194" s="1088"/>
      <c r="S3194" s="1088"/>
      <c r="T3194" s="1088"/>
    </row>
    <row r="3195" spans="4:20" x14ac:dyDescent="0.3">
      <c r="D3195" s="1088"/>
      <c r="J3195" s="1088"/>
      <c r="L3195" s="8"/>
      <c r="M3195" s="8"/>
      <c r="Q3195" s="1088"/>
      <c r="R3195" s="1088"/>
      <c r="S3195" s="1088"/>
      <c r="T3195" s="1088"/>
    </row>
    <row r="3196" spans="4:20" x14ac:dyDescent="0.3">
      <c r="D3196" s="1088"/>
      <c r="J3196" s="1088"/>
      <c r="L3196" s="8"/>
      <c r="M3196" s="8"/>
      <c r="N3196" s="1088"/>
      <c r="O3196" s="1088"/>
      <c r="Q3196" s="1088"/>
      <c r="R3196" s="1088"/>
      <c r="S3196" s="1088"/>
      <c r="T3196" s="1088"/>
    </row>
    <row r="3197" spans="4:20" x14ac:dyDescent="0.3">
      <c r="D3197" s="1088"/>
      <c r="J3197" s="1088"/>
      <c r="L3197" s="8"/>
      <c r="M3197" s="8"/>
      <c r="Q3197" s="1088"/>
      <c r="R3197" s="1088"/>
      <c r="S3197" s="1088"/>
      <c r="T3197" s="1088"/>
    </row>
    <row r="3198" spans="4:20" x14ac:dyDescent="0.3">
      <c r="D3198" s="1088"/>
      <c r="J3198" s="1088"/>
      <c r="L3198" s="8"/>
      <c r="M3198" s="8"/>
      <c r="Q3198" s="1088"/>
      <c r="R3198" s="1088"/>
      <c r="S3198" s="1088"/>
      <c r="T3198" s="1088"/>
    </row>
    <row r="3199" spans="4:20" x14ac:dyDescent="0.3">
      <c r="D3199" s="1088"/>
      <c r="E3199" s="1088"/>
      <c r="J3199" s="1088"/>
      <c r="L3199" s="8"/>
      <c r="M3199" s="8"/>
      <c r="Q3199" s="1088"/>
      <c r="R3199" s="1088"/>
      <c r="S3199" s="1088"/>
      <c r="T3199" s="1088"/>
    </row>
    <row r="3200" spans="4:20" x14ac:dyDescent="0.3">
      <c r="D3200" s="1088"/>
      <c r="E3200" s="1088"/>
      <c r="J3200" s="1088"/>
      <c r="L3200" s="8"/>
      <c r="M3200" s="8"/>
      <c r="N3200" s="1088"/>
      <c r="O3200" s="1088"/>
      <c r="Q3200" s="1088"/>
      <c r="R3200" s="1088"/>
      <c r="S3200" s="1088"/>
      <c r="T3200" s="1088"/>
    </row>
    <row r="3201" spans="4:21" x14ac:dyDescent="0.3">
      <c r="J3201" s="1088"/>
      <c r="L3201" s="8"/>
      <c r="M3201" s="8"/>
      <c r="N3201" s="1088"/>
      <c r="R3201" s="1088"/>
    </row>
    <row r="3202" spans="4:21" x14ac:dyDescent="0.3">
      <c r="D3202" s="1088"/>
      <c r="J3202" s="1088"/>
      <c r="L3202" s="8"/>
      <c r="M3202" s="8"/>
      <c r="N3202" s="1088"/>
      <c r="O3202" s="1088"/>
      <c r="Q3202" s="1088"/>
      <c r="R3202" s="1088"/>
      <c r="T3202" s="1088"/>
      <c r="U3202" s="1088"/>
    </row>
    <row r="3203" spans="4:21" x14ac:dyDescent="0.3">
      <c r="D3203" s="1088"/>
      <c r="J3203" s="1088"/>
      <c r="L3203" s="8"/>
      <c r="M3203" s="8"/>
      <c r="Q3203" s="1088"/>
      <c r="R3203" s="1088"/>
      <c r="S3203" s="1088"/>
      <c r="T3203" s="1088"/>
    </row>
    <row r="3204" spans="4:21" x14ac:dyDescent="0.3">
      <c r="D3204" s="1088"/>
      <c r="J3204" s="1088"/>
      <c r="L3204" s="8"/>
      <c r="M3204" s="8"/>
      <c r="Q3204" s="1088"/>
      <c r="R3204" s="1088"/>
      <c r="S3204" s="1088"/>
      <c r="T3204" s="1088"/>
    </row>
    <row r="3205" spans="4:21" x14ac:dyDescent="0.3">
      <c r="D3205" s="1088"/>
      <c r="J3205" s="1088"/>
      <c r="L3205" s="8"/>
      <c r="M3205" s="8"/>
      <c r="Q3205" s="1088"/>
      <c r="R3205" s="1088"/>
      <c r="S3205" s="1088"/>
      <c r="T3205" s="1088"/>
    </row>
    <row r="3206" spans="4:21" x14ac:dyDescent="0.3">
      <c r="D3206" s="1088"/>
      <c r="J3206" s="1088"/>
      <c r="L3206" s="8"/>
      <c r="M3206" s="8"/>
      <c r="Q3206" s="1088"/>
      <c r="R3206" s="1088"/>
      <c r="S3206" s="1088"/>
      <c r="T3206" s="1088"/>
    </row>
    <row r="3207" spans="4:21" x14ac:dyDescent="0.3">
      <c r="D3207" s="1088"/>
      <c r="J3207" s="1088"/>
      <c r="L3207" s="8"/>
      <c r="M3207" s="8"/>
      <c r="R3207" s="1088"/>
    </row>
    <row r="3208" spans="4:21" x14ac:dyDescent="0.3">
      <c r="D3208" s="1088"/>
      <c r="J3208" s="1088"/>
      <c r="L3208" s="8"/>
      <c r="M3208" s="8"/>
      <c r="R3208" s="1088"/>
    </row>
    <row r="3209" spans="4:21" x14ac:dyDescent="0.3">
      <c r="D3209" s="1088"/>
      <c r="J3209" s="1088"/>
      <c r="L3209" s="8"/>
      <c r="M3209" s="8"/>
      <c r="N3209" s="1088"/>
      <c r="O3209" s="1088"/>
      <c r="R3209" s="1088"/>
    </row>
    <row r="3210" spans="4:21" x14ac:dyDescent="0.3">
      <c r="D3210" s="1088"/>
      <c r="J3210" s="1088"/>
      <c r="L3210" s="8"/>
      <c r="M3210" s="8"/>
      <c r="R3210" s="1088"/>
    </row>
    <row r="3211" spans="4:21" x14ac:dyDescent="0.3">
      <c r="D3211" s="1088"/>
      <c r="J3211" s="1088"/>
      <c r="L3211" s="8"/>
      <c r="M3211" s="8"/>
      <c r="R3211" s="1088"/>
    </row>
    <row r="3212" spans="4:21" x14ac:dyDescent="0.3">
      <c r="D3212" s="1088"/>
      <c r="J3212" s="1088"/>
      <c r="L3212" s="8"/>
      <c r="M3212" s="8"/>
      <c r="R3212" s="1088"/>
    </row>
    <row r="3213" spans="4:21" x14ac:dyDescent="0.3">
      <c r="D3213" s="1088"/>
      <c r="J3213" s="1088"/>
      <c r="L3213" s="8"/>
      <c r="M3213" s="8"/>
      <c r="N3213" s="1088"/>
      <c r="O3213" s="1088"/>
      <c r="R3213" s="1088"/>
    </row>
    <row r="3214" spans="4:21" x14ac:dyDescent="0.3">
      <c r="D3214" s="1088"/>
      <c r="J3214" s="1088"/>
      <c r="L3214" s="8"/>
      <c r="M3214" s="8"/>
      <c r="R3214" s="1088"/>
    </row>
    <row r="3215" spans="4:21" x14ac:dyDescent="0.3">
      <c r="D3215" s="1088"/>
      <c r="J3215" s="1088"/>
      <c r="L3215" s="8"/>
      <c r="M3215" s="8"/>
      <c r="R3215" s="1088"/>
    </row>
    <row r="3216" spans="4:21" x14ac:dyDescent="0.3">
      <c r="D3216" s="1088"/>
      <c r="J3216" s="1088"/>
      <c r="L3216" s="8"/>
      <c r="M3216" s="8"/>
      <c r="R3216" s="1088"/>
    </row>
    <row r="3217" spans="4:20" x14ac:dyDescent="0.3">
      <c r="D3217" s="1088"/>
      <c r="J3217" s="1088"/>
      <c r="L3217" s="8"/>
      <c r="M3217" s="8"/>
      <c r="R3217" s="1088"/>
    </row>
    <row r="3218" spans="4:20" x14ac:dyDescent="0.3">
      <c r="D3218" s="1088"/>
      <c r="J3218" s="1088"/>
      <c r="L3218" s="8"/>
      <c r="M3218" s="8"/>
      <c r="N3218" s="1088"/>
      <c r="O3218" s="1088"/>
      <c r="R3218" s="1088"/>
    </row>
    <row r="3219" spans="4:20" x14ac:dyDescent="0.3">
      <c r="D3219" s="1088"/>
      <c r="J3219" s="1088"/>
      <c r="L3219" s="8"/>
      <c r="M3219" s="8"/>
      <c r="R3219" s="1088"/>
    </row>
    <row r="3220" spans="4:20" x14ac:dyDescent="0.3">
      <c r="D3220" s="1088"/>
      <c r="J3220" s="1088"/>
      <c r="L3220" s="8"/>
      <c r="M3220" s="8"/>
      <c r="R3220" s="1088"/>
    </row>
    <row r="3221" spans="4:20" x14ac:dyDescent="0.3">
      <c r="D3221" s="1088"/>
      <c r="J3221" s="1088"/>
      <c r="L3221" s="8"/>
      <c r="M3221" s="8"/>
      <c r="R3221" s="1088"/>
    </row>
    <row r="3222" spans="4:20" x14ac:dyDescent="0.3">
      <c r="D3222" s="1088"/>
      <c r="J3222" s="1088"/>
      <c r="L3222" s="8"/>
      <c r="M3222" s="8"/>
      <c r="R3222" s="1088"/>
    </row>
    <row r="3223" spans="4:20" x14ac:dyDescent="0.3">
      <c r="D3223" s="1088"/>
      <c r="J3223" s="1088"/>
      <c r="L3223" s="8"/>
      <c r="M3223" s="8"/>
      <c r="R3223" s="1088"/>
    </row>
    <row r="3224" spans="4:20" x14ac:dyDescent="0.3">
      <c r="D3224" s="1088"/>
      <c r="J3224" s="1088"/>
      <c r="L3224" s="8"/>
      <c r="M3224" s="8"/>
      <c r="N3224" s="1088"/>
      <c r="O3224" s="1088"/>
      <c r="R3224" s="1088"/>
    </row>
    <row r="3225" spans="4:20" x14ac:dyDescent="0.3">
      <c r="D3225" s="1088"/>
      <c r="J3225" s="1088"/>
      <c r="L3225" s="8"/>
      <c r="M3225" s="8"/>
      <c r="N3225" s="1088"/>
      <c r="O3225" s="1088"/>
      <c r="R3225" s="1088"/>
    </row>
    <row r="3226" spans="4:20" x14ac:dyDescent="0.3">
      <c r="D3226" s="1088"/>
      <c r="J3226" s="1088"/>
      <c r="L3226" s="8"/>
      <c r="M3226" s="8"/>
      <c r="N3226" s="1088"/>
      <c r="O3226" s="1088"/>
      <c r="R3226" s="1088"/>
    </row>
    <row r="3227" spans="4:20" x14ac:dyDescent="0.3">
      <c r="D3227" s="1088"/>
      <c r="J3227" s="1088"/>
      <c r="L3227" s="8"/>
      <c r="M3227" s="8"/>
      <c r="N3227" s="1088"/>
      <c r="O3227" s="1088"/>
      <c r="R3227" s="1088"/>
    </row>
    <row r="3228" spans="4:20" x14ac:dyDescent="0.3">
      <c r="D3228" s="1088"/>
      <c r="J3228" s="1088"/>
      <c r="L3228" s="8"/>
      <c r="M3228" s="8"/>
      <c r="N3228" s="1088"/>
      <c r="O3228" s="1088"/>
      <c r="R3228" s="1088"/>
    </row>
    <row r="3229" spans="4:20" x14ac:dyDescent="0.3">
      <c r="D3229" s="1088"/>
      <c r="J3229" s="1088"/>
      <c r="L3229" s="8"/>
      <c r="M3229" s="8"/>
      <c r="N3229" s="1088"/>
      <c r="O3229" s="1088"/>
      <c r="R3229" s="1088"/>
    </row>
    <row r="3230" spans="4:20" x14ac:dyDescent="0.3">
      <c r="D3230" s="1088"/>
      <c r="J3230" s="1088"/>
      <c r="L3230" s="8"/>
      <c r="M3230" s="8"/>
      <c r="N3230" s="1088"/>
      <c r="O3230" s="1088"/>
      <c r="Q3230" s="1088"/>
      <c r="R3230" s="1088"/>
      <c r="S3230" s="1088"/>
      <c r="T3230" s="1088"/>
    </row>
    <row r="3231" spans="4:20" x14ac:dyDescent="0.3">
      <c r="D3231" s="1088"/>
      <c r="J3231" s="1088"/>
      <c r="L3231" s="8"/>
      <c r="M3231" s="8"/>
      <c r="N3231" s="1088"/>
      <c r="O3231" s="1088"/>
      <c r="R3231" s="1088"/>
    </row>
    <row r="3232" spans="4:20" x14ac:dyDescent="0.3">
      <c r="D3232" s="1088"/>
      <c r="J3232" s="1088"/>
      <c r="L3232" s="8"/>
      <c r="M3232" s="8"/>
      <c r="N3232" s="1088"/>
      <c r="O3232" s="1088"/>
      <c r="R3232" s="1088"/>
    </row>
    <row r="3233" spans="4:20" x14ac:dyDescent="0.3">
      <c r="D3233" s="1088"/>
      <c r="J3233" s="1088"/>
      <c r="L3233" s="8"/>
      <c r="M3233" s="8"/>
      <c r="N3233" s="1088"/>
      <c r="O3233" s="1088"/>
      <c r="R3233" s="1088"/>
    </row>
    <row r="3234" spans="4:20" x14ac:dyDescent="0.3">
      <c r="D3234" s="1088"/>
      <c r="J3234" s="1088"/>
      <c r="L3234" s="8"/>
      <c r="M3234" s="8"/>
      <c r="N3234" s="1088"/>
      <c r="O3234" s="1088"/>
      <c r="R3234" s="1088"/>
    </row>
    <row r="3235" spans="4:20" x14ac:dyDescent="0.3">
      <c r="D3235" s="1088"/>
      <c r="J3235" s="1088"/>
      <c r="L3235" s="8"/>
      <c r="M3235" s="8"/>
      <c r="N3235" s="1088"/>
      <c r="O3235" s="1088"/>
      <c r="R3235" s="1088"/>
    </row>
    <row r="3236" spans="4:20" x14ac:dyDescent="0.3">
      <c r="D3236" s="1088"/>
      <c r="J3236" s="1088"/>
      <c r="L3236" s="8"/>
      <c r="M3236" s="8"/>
      <c r="N3236" s="1088"/>
      <c r="O3236" s="1088"/>
      <c r="R3236" s="1088"/>
    </row>
    <row r="3237" spans="4:20" x14ac:dyDescent="0.3">
      <c r="D3237" s="1088"/>
      <c r="J3237" s="1088"/>
      <c r="K3237" s="1089"/>
      <c r="L3237" s="8"/>
      <c r="M3237" s="8"/>
      <c r="N3237" s="1088"/>
      <c r="O3237" s="1088"/>
      <c r="R3237" s="1088"/>
    </row>
    <row r="3238" spans="4:20" x14ac:dyDescent="0.3">
      <c r="D3238" s="1088"/>
      <c r="J3238" s="1088"/>
      <c r="L3238" s="8"/>
      <c r="M3238" s="8"/>
      <c r="Q3238" s="1088"/>
      <c r="R3238" s="1088"/>
      <c r="S3238" s="1088"/>
      <c r="T3238" s="1088"/>
    </row>
    <row r="3239" spans="4:20" x14ac:dyDescent="0.3">
      <c r="D3239" s="1088"/>
      <c r="J3239" s="1088"/>
      <c r="L3239" s="8"/>
      <c r="M3239" s="8"/>
      <c r="Q3239" s="1088"/>
      <c r="R3239" s="1088"/>
      <c r="S3239" s="1088"/>
      <c r="T3239" s="1088"/>
    </row>
    <row r="3240" spans="4:20" x14ac:dyDescent="0.3">
      <c r="D3240" s="1088"/>
      <c r="J3240" s="1088"/>
      <c r="L3240" s="8"/>
      <c r="M3240" s="8"/>
      <c r="Q3240" s="1088"/>
      <c r="R3240" s="1088"/>
      <c r="S3240" s="1088"/>
      <c r="T3240" s="1088"/>
    </row>
    <row r="3241" spans="4:20" x14ac:dyDescent="0.3">
      <c r="D3241" s="1088"/>
      <c r="J3241" s="1088"/>
      <c r="L3241" s="8"/>
      <c r="M3241" s="8"/>
      <c r="Q3241" s="1088"/>
      <c r="R3241" s="1088"/>
      <c r="S3241" s="1088"/>
      <c r="T3241" s="1088"/>
    </row>
    <row r="3242" spans="4:20" x14ac:dyDescent="0.3">
      <c r="D3242" s="1088"/>
      <c r="J3242" s="1088"/>
      <c r="L3242" s="8"/>
      <c r="M3242" s="8"/>
      <c r="Q3242" s="1088"/>
      <c r="R3242" s="1088"/>
      <c r="S3242" s="1088"/>
      <c r="T3242" s="1088"/>
    </row>
    <row r="3243" spans="4:20" x14ac:dyDescent="0.3">
      <c r="D3243" s="1088"/>
      <c r="J3243" s="1088"/>
      <c r="L3243" s="8"/>
      <c r="M3243" s="8"/>
      <c r="Q3243" s="1088"/>
      <c r="R3243" s="1088"/>
      <c r="S3243" s="1088"/>
      <c r="T3243" s="1088"/>
    </row>
    <row r="3244" spans="4:20" x14ac:dyDescent="0.3">
      <c r="D3244" s="1088"/>
      <c r="J3244" s="1088"/>
      <c r="L3244" s="8"/>
      <c r="M3244" s="8"/>
      <c r="Q3244" s="1088"/>
      <c r="R3244" s="1088"/>
      <c r="S3244" s="1088"/>
      <c r="T3244" s="1088"/>
    </row>
    <row r="3245" spans="4:20" x14ac:dyDescent="0.3">
      <c r="D3245" s="1088"/>
      <c r="G3245" s="585"/>
      <c r="J3245" s="1088"/>
      <c r="L3245" s="8"/>
      <c r="M3245" s="8"/>
      <c r="Q3245" s="1088"/>
      <c r="R3245" s="1088"/>
      <c r="S3245" s="1088"/>
      <c r="T3245" s="1088"/>
    </row>
    <row r="3246" spans="4:20" x14ac:dyDescent="0.3">
      <c r="D3246" s="1088"/>
      <c r="J3246" s="1088"/>
      <c r="L3246" s="8"/>
      <c r="M3246" s="8"/>
      <c r="Q3246" s="1088"/>
      <c r="R3246" s="1088"/>
      <c r="S3246" s="1088"/>
      <c r="T3246" s="1088"/>
    </row>
    <row r="3247" spans="4:20" x14ac:dyDescent="0.3">
      <c r="D3247" s="1088"/>
      <c r="J3247" s="1088"/>
      <c r="L3247" s="8"/>
      <c r="M3247" s="8"/>
      <c r="Q3247" s="1088"/>
      <c r="R3247" s="1088"/>
      <c r="S3247" s="1088"/>
      <c r="T3247" s="1088"/>
    </row>
    <row r="3248" spans="4:20" x14ac:dyDescent="0.3">
      <c r="D3248" s="1088"/>
      <c r="J3248" s="1088"/>
      <c r="L3248" s="8"/>
      <c r="M3248" s="8"/>
      <c r="Q3248" s="1088"/>
      <c r="R3248" s="1088"/>
      <c r="S3248" s="1088"/>
      <c r="T3248" s="1088"/>
    </row>
    <row r="3249" spans="4:20" x14ac:dyDescent="0.3">
      <c r="D3249" s="1088"/>
      <c r="J3249" s="1088"/>
      <c r="L3249" s="8"/>
      <c r="M3249" s="8"/>
      <c r="N3249" s="1088"/>
      <c r="O3249" s="1088"/>
      <c r="Q3249" s="1088"/>
      <c r="R3249" s="1088"/>
      <c r="S3249" s="1088"/>
      <c r="T3249" s="1088"/>
    </row>
    <row r="3250" spans="4:20" x14ac:dyDescent="0.3">
      <c r="D3250" s="1088"/>
      <c r="J3250" s="1088"/>
      <c r="L3250" s="8"/>
      <c r="M3250" s="8"/>
      <c r="N3250" s="1088"/>
      <c r="O3250" s="1088"/>
      <c r="Q3250" s="1088"/>
      <c r="R3250" s="1088"/>
      <c r="S3250" s="1088"/>
      <c r="T3250" s="1088"/>
    </row>
    <row r="3251" spans="4:20" x14ac:dyDescent="0.3">
      <c r="D3251" s="1088"/>
      <c r="J3251" s="1088"/>
      <c r="L3251" s="8"/>
      <c r="M3251" s="8"/>
      <c r="Q3251" s="1088"/>
      <c r="R3251" s="1088"/>
      <c r="S3251" s="1088"/>
      <c r="T3251" s="1088"/>
    </row>
    <row r="3252" spans="4:20" x14ac:dyDescent="0.3">
      <c r="D3252" s="1088"/>
      <c r="J3252" s="1088"/>
      <c r="L3252" s="8"/>
      <c r="M3252" s="8"/>
      <c r="Q3252" s="1088"/>
      <c r="R3252" s="1088"/>
      <c r="S3252" s="1088"/>
      <c r="T3252" s="1088"/>
    </row>
    <row r="3253" spans="4:20" x14ac:dyDescent="0.3">
      <c r="D3253" s="1088"/>
      <c r="J3253" s="1088"/>
      <c r="L3253" s="8"/>
      <c r="M3253" s="8"/>
      <c r="Q3253" s="1088"/>
      <c r="R3253" s="1088"/>
      <c r="S3253" s="1088"/>
      <c r="T3253" s="1088"/>
    </row>
    <row r="3254" spans="4:20" x14ac:dyDescent="0.3">
      <c r="D3254" s="1088"/>
      <c r="J3254" s="1088"/>
      <c r="L3254" s="8"/>
      <c r="M3254" s="8"/>
      <c r="Q3254" s="1088"/>
      <c r="R3254" s="1088"/>
      <c r="S3254" s="1088"/>
      <c r="T3254" s="1088"/>
    </row>
    <row r="3255" spans="4:20" x14ac:dyDescent="0.3">
      <c r="D3255" s="1088"/>
      <c r="J3255" s="1088"/>
      <c r="L3255" s="8"/>
      <c r="M3255" s="8"/>
      <c r="Q3255" s="1088"/>
      <c r="R3255" s="1088"/>
      <c r="S3255" s="1088"/>
      <c r="T3255" s="1088"/>
    </row>
    <row r="3256" spans="4:20" x14ac:dyDescent="0.3">
      <c r="D3256" s="1088"/>
      <c r="J3256" s="1088"/>
      <c r="L3256" s="8"/>
      <c r="M3256" s="8"/>
      <c r="Q3256" s="1088"/>
      <c r="R3256" s="1088"/>
      <c r="S3256" s="1088"/>
      <c r="T3256" s="1088"/>
    </row>
    <row r="3257" spans="4:20" x14ac:dyDescent="0.3">
      <c r="D3257" s="1088"/>
      <c r="J3257" s="1088"/>
      <c r="L3257" s="8"/>
      <c r="M3257" s="8"/>
      <c r="R3257" s="1088"/>
    </row>
    <row r="3258" spans="4:20" x14ac:dyDescent="0.3">
      <c r="D3258" s="1088"/>
      <c r="J3258" s="1088"/>
      <c r="L3258" s="8"/>
      <c r="M3258" s="8"/>
      <c r="Q3258" s="1088"/>
      <c r="R3258" s="1088"/>
      <c r="S3258" s="1088"/>
      <c r="T3258" s="1088"/>
    </row>
    <row r="3259" spans="4:20" x14ac:dyDescent="0.3">
      <c r="D3259" s="1088"/>
      <c r="J3259" s="1088"/>
      <c r="L3259" s="8"/>
      <c r="M3259" s="8"/>
      <c r="R3259" s="1088"/>
    </row>
    <row r="3260" spans="4:20" x14ac:dyDescent="0.3">
      <c r="D3260" s="1088"/>
      <c r="J3260" s="1088"/>
      <c r="L3260" s="8"/>
      <c r="M3260" s="8"/>
      <c r="R3260" s="1088"/>
    </row>
    <row r="3261" spans="4:20" x14ac:dyDescent="0.3">
      <c r="D3261" s="1088"/>
      <c r="J3261" s="1088"/>
      <c r="L3261" s="8"/>
      <c r="M3261" s="8"/>
      <c r="R3261" s="1088"/>
    </row>
    <row r="3262" spans="4:20" x14ac:dyDescent="0.3">
      <c r="D3262" s="1088"/>
      <c r="J3262" s="1088"/>
      <c r="L3262" s="8"/>
      <c r="M3262" s="8"/>
      <c r="Q3262" s="1088"/>
      <c r="R3262" s="1088"/>
      <c r="S3262" s="1088"/>
      <c r="T3262" s="1088"/>
    </row>
    <row r="3263" spans="4:20" x14ac:dyDescent="0.3">
      <c r="D3263" s="1088"/>
      <c r="J3263" s="1088"/>
      <c r="L3263" s="8"/>
      <c r="M3263" s="8"/>
      <c r="Q3263" s="1088"/>
      <c r="R3263" s="1088"/>
      <c r="S3263" s="1088"/>
      <c r="T3263" s="1088"/>
    </row>
    <row r="3264" spans="4:20" x14ac:dyDescent="0.3">
      <c r="D3264" s="1088"/>
      <c r="J3264" s="1088"/>
      <c r="L3264" s="8"/>
      <c r="M3264" s="8"/>
      <c r="Q3264" s="1088"/>
      <c r="R3264" s="1088"/>
      <c r="S3264" s="1088"/>
      <c r="T3264" s="1088"/>
    </row>
    <row r="3265" spans="4:20" x14ac:dyDescent="0.3">
      <c r="D3265" s="1088"/>
      <c r="J3265" s="1088"/>
      <c r="L3265" s="8"/>
      <c r="M3265" s="8"/>
      <c r="Q3265" s="1088"/>
      <c r="R3265" s="1088"/>
      <c r="S3265" s="1088"/>
      <c r="T3265" s="1088"/>
    </row>
    <row r="3266" spans="4:20" x14ac:dyDescent="0.3">
      <c r="D3266" s="1088"/>
      <c r="J3266" s="1088"/>
      <c r="L3266" s="8"/>
      <c r="M3266" s="8"/>
      <c r="Q3266" s="1088"/>
      <c r="R3266" s="1088"/>
      <c r="S3266" s="1088"/>
      <c r="T3266" s="1088"/>
    </row>
    <row r="3267" spans="4:20" x14ac:dyDescent="0.3">
      <c r="D3267" s="1088"/>
      <c r="J3267" s="1088"/>
      <c r="L3267" s="8"/>
      <c r="M3267" s="8"/>
      <c r="Q3267" s="1088"/>
      <c r="R3267" s="1088"/>
      <c r="S3267" s="1088"/>
      <c r="T3267" s="1088"/>
    </row>
    <row r="3268" spans="4:20" x14ac:dyDescent="0.3">
      <c r="D3268" s="1088"/>
      <c r="J3268" s="1088"/>
      <c r="L3268" s="8"/>
      <c r="M3268" s="8"/>
      <c r="Q3268" s="1088"/>
      <c r="R3268" s="1088"/>
      <c r="S3268" s="1088"/>
      <c r="T3268" s="1088"/>
    </row>
    <row r="3269" spans="4:20" x14ac:dyDescent="0.3">
      <c r="D3269" s="1088"/>
      <c r="J3269" s="1088"/>
      <c r="L3269" s="8"/>
      <c r="M3269" s="8"/>
      <c r="Q3269" s="1088"/>
      <c r="R3269" s="1088"/>
      <c r="S3269" s="1088"/>
      <c r="T3269" s="1088"/>
    </row>
    <row r="3270" spans="4:20" x14ac:dyDescent="0.3">
      <c r="D3270" s="1088"/>
      <c r="J3270" s="1088"/>
      <c r="L3270" s="8"/>
      <c r="M3270" s="8"/>
      <c r="Q3270" s="1088"/>
      <c r="R3270" s="1088"/>
      <c r="S3270" s="1088"/>
      <c r="T3270" s="1088"/>
    </row>
    <row r="3271" spans="4:20" x14ac:dyDescent="0.3">
      <c r="D3271" s="1088"/>
      <c r="J3271" s="1088"/>
      <c r="L3271" s="8"/>
      <c r="M3271" s="8"/>
      <c r="Q3271" s="1088"/>
      <c r="R3271" s="1088"/>
      <c r="S3271" s="1088"/>
      <c r="T3271" s="1088"/>
    </row>
    <row r="3272" spans="4:20" x14ac:dyDescent="0.3">
      <c r="D3272" s="1088"/>
      <c r="J3272" s="1088"/>
      <c r="L3272" s="8"/>
      <c r="M3272" s="8"/>
      <c r="Q3272" s="1088"/>
      <c r="R3272" s="1088"/>
      <c r="S3272" s="1088"/>
      <c r="T3272" s="1088"/>
    </row>
    <row r="3273" spans="4:20" x14ac:dyDescent="0.3">
      <c r="D3273" s="1088"/>
      <c r="J3273" s="1088"/>
      <c r="L3273" s="8"/>
      <c r="M3273" s="8"/>
      <c r="Q3273" s="1088"/>
      <c r="R3273" s="1088"/>
      <c r="S3273" s="1088"/>
      <c r="T3273" s="1088"/>
    </row>
    <row r="3274" spans="4:20" x14ac:dyDescent="0.3">
      <c r="D3274" s="1088"/>
      <c r="J3274" s="1088"/>
      <c r="L3274" s="8"/>
      <c r="M3274" s="8"/>
      <c r="Q3274" s="1088"/>
      <c r="R3274" s="1088"/>
      <c r="S3274" s="1088"/>
      <c r="T3274" s="1088"/>
    </row>
    <row r="3275" spans="4:20" x14ac:dyDescent="0.3">
      <c r="D3275" s="1088"/>
      <c r="J3275" s="1088"/>
      <c r="L3275" s="8"/>
      <c r="M3275" s="8"/>
      <c r="Q3275" s="1088"/>
      <c r="R3275" s="1088"/>
      <c r="S3275" s="1088"/>
      <c r="T3275" s="1088"/>
    </row>
    <row r="3276" spans="4:20" x14ac:dyDescent="0.3">
      <c r="D3276" s="1088"/>
      <c r="J3276" s="1088"/>
      <c r="L3276" s="8"/>
      <c r="M3276" s="8"/>
      <c r="Q3276" s="1088"/>
      <c r="R3276" s="1088"/>
      <c r="S3276" s="1088"/>
      <c r="T3276" s="1088"/>
    </row>
    <row r="3277" spans="4:20" x14ac:dyDescent="0.3">
      <c r="D3277" s="1088"/>
      <c r="J3277" s="1088"/>
      <c r="L3277" s="8"/>
      <c r="M3277" s="8"/>
      <c r="Q3277" s="1088"/>
      <c r="R3277" s="1088"/>
      <c r="S3277" s="1088"/>
      <c r="T3277" s="1088"/>
    </row>
    <row r="3278" spans="4:20" x14ac:dyDescent="0.3">
      <c r="D3278" s="1088"/>
      <c r="J3278" s="1088"/>
      <c r="L3278" s="8"/>
      <c r="M3278" s="8"/>
      <c r="R3278" s="1088"/>
    </row>
    <row r="3279" spans="4:20" x14ac:dyDescent="0.3">
      <c r="D3279" s="1088"/>
      <c r="J3279" s="1088"/>
      <c r="L3279" s="8"/>
      <c r="M3279" s="8"/>
      <c r="Q3279" s="1088"/>
      <c r="R3279" s="1088"/>
      <c r="S3279" s="1088"/>
      <c r="T3279" s="1088"/>
    </row>
    <row r="3280" spans="4:20" x14ac:dyDescent="0.3">
      <c r="D3280" s="1088"/>
      <c r="J3280" s="1088"/>
      <c r="L3280" s="8"/>
      <c r="M3280" s="8"/>
      <c r="Q3280" s="1088"/>
      <c r="R3280" s="1088"/>
      <c r="S3280" s="1088"/>
      <c r="T3280" s="1088"/>
    </row>
    <row r="3281" spans="4:21" x14ac:dyDescent="0.3">
      <c r="D3281" s="1088"/>
      <c r="J3281" s="1088"/>
      <c r="L3281" s="8"/>
      <c r="M3281" s="8"/>
      <c r="Q3281" s="1088"/>
      <c r="R3281" s="1088"/>
      <c r="S3281" s="1088"/>
      <c r="T3281" s="1088"/>
    </row>
    <row r="3282" spans="4:21" x14ac:dyDescent="0.3">
      <c r="D3282" s="1088"/>
      <c r="J3282" s="1088"/>
      <c r="L3282" s="8"/>
      <c r="M3282" s="8"/>
      <c r="Q3282" s="1088"/>
      <c r="R3282" s="1088"/>
      <c r="S3282" s="1088"/>
      <c r="T3282" s="1088"/>
    </row>
    <row r="3283" spans="4:21" x14ac:dyDescent="0.3">
      <c r="D3283" s="1088"/>
      <c r="J3283" s="1088"/>
      <c r="L3283" s="8"/>
      <c r="M3283" s="8"/>
      <c r="Q3283" s="1088"/>
      <c r="R3283" s="1088"/>
      <c r="S3283" s="1088"/>
      <c r="T3283" s="1088"/>
    </row>
    <row r="3284" spans="4:21" x14ac:dyDescent="0.3">
      <c r="D3284" s="1088"/>
      <c r="J3284" s="1088"/>
      <c r="L3284" s="8"/>
      <c r="M3284" s="8"/>
      <c r="Q3284" s="1088"/>
      <c r="R3284" s="1088"/>
      <c r="S3284" s="1088"/>
      <c r="T3284" s="1088"/>
    </row>
    <row r="3285" spans="4:21" x14ac:dyDescent="0.3">
      <c r="D3285" s="1088"/>
      <c r="J3285" s="1088"/>
      <c r="L3285" s="8"/>
      <c r="M3285" s="8"/>
      <c r="Q3285" s="1088"/>
      <c r="R3285" s="1088"/>
      <c r="S3285" s="1088"/>
      <c r="T3285" s="1088"/>
    </row>
    <row r="3286" spans="4:21" x14ac:dyDescent="0.3">
      <c r="D3286" s="1088"/>
      <c r="J3286" s="1088"/>
      <c r="L3286" s="8"/>
      <c r="M3286" s="8"/>
      <c r="Q3286" s="1088"/>
      <c r="R3286" s="1088"/>
      <c r="S3286" s="1088"/>
      <c r="T3286" s="1088"/>
    </row>
    <row r="3287" spans="4:21" x14ac:dyDescent="0.3">
      <c r="D3287" s="1088"/>
      <c r="J3287" s="1088"/>
      <c r="L3287" s="8"/>
      <c r="M3287" s="8"/>
      <c r="Q3287" s="1088"/>
      <c r="R3287" s="1088"/>
      <c r="S3287" s="1088"/>
      <c r="T3287" s="1088"/>
    </row>
    <row r="3288" spans="4:21" x14ac:dyDescent="0.3">
      <c r="D3288" s="1088"/>
      <c r="J3288" s="1088"/>
      <c r="L3288" s="8"/>
      <c r="M3288" s="8"/>
      <c r="Q3288" s="1088"/>
      <c r="R3288" s="1088"/>
      <c r="S3288" s="1088"/>
      <c r="T3288" s="1088"/>
    </row>
    <row r="3289" spans="4:21" x14ac:dyDescent="0.3">
      <c r="D3289" s="1088"/>
      <c r="J3289" s="1088"/>
      <c r="L3289" s="8"/>
      <c r="M3289" s="8"/>
      <c r="N3289" s="1088"/>
      <c r="O3289" s="1088"/>
      <c r="Q3289" s="1088"/>
      <c r="R3289" s="1088"/>
      <c r="S3289" s="1088"/>
      <c r="T3289" s="1088"/>
    </row>
    <row r="3290" spans="4:21" x14ac:dyDescent="0.3">
      <c r="D3290" s="1088"/>
      <c r="J3290" s="1088"/>
      <c r="L3290" s="8"/>
      <c r="M3290" s="8"/>
      <c r="Q3290" s="1088"/>
      <c r="R3290" s="1088"/>
      <c r="S3290" s="1088"/>
      <c r="T3290" s="1088"/>
    </row>
    <row r="3291" spans="4:21" x14ac:dyDescent="0.3">
      <c r="D3291" s="1088"/>
      <c r="J3291" s="1088"/>
      <c r="L3291" s="8"/>
      <c r="M3291" s="8"/>
      <c r="Q3291" s="1088"/>
      <c r="R3291" s="1088"/>
      <c r="S3291" s="1088"/>
      <c r="T3291" s="1088"/>
    </row>
    <row r="3292" spans="4:21" x14ac:dyDescent="0.3">
      <c r="D3292" s="1088"/>
      <c r="J3292" s="1088"/>
      <c r="L3292" s="8"/>
      <c r="M3292" s="8"/>
      <c r="N3292" s="1088"/>
      <c r="O3292" s="1088"/>
      <c r="Q3292" s="1088"/>
      <c r="R3292" s="1088"/>
      <c r="S3292" s="1088"/>
      <c r="T3292" s="1088"/>
    </row>
    <row r="3293" spans="4:21" x14ac:dyDescent="0.3">
      <c r="D3293" s="1088"/>
      <c r="J3293" s="1088"/>
      <c r="L3293" s="8"/>
      <c r="M3293" s="8"/>
      <c r="N3293" s="1088"/>
      <c r="O3293" s="1088"/>
      <c r="Q3293" s="1088"/>
      <c r="R3293" s="1088"/>
      <c r="S3293" s="1088"/>
      <c r="T3293" s="1088"/>
    </row>
    <row r="3294" spans="4:21" x14ac:dyDescent="0.3">
      <c r="D3294" s="1088"/>
      <c r="J3294" s="1088"/>
      <c r="L3294" s="8"/>
      <c r="M3294" s="8"/>
      <c r="Q3294" s="1088"/>
      <c r="R3294" s="1088"/>
      <c r="S3294" s="1088"/>
      <c r="T3294" s="1088"/>
    </row>
    <row r="3295" spans="4:21" x14ac:dyDescent="0.3">
      <c r="D3295" s="1088"/>
      <c r="J3295" s="1088"/>
      <c r="L3295" s="8"/>
      <c r="M3295" s="8"/>
      <c r="N3295" s="1088"/>
      <c r="O3295" s="1088"/>
      <c r="Q3295" s="1088"/>
      <c r="R3295" s="1088"/>
      <c r="T3295" s="1088"/>
      <c r="U3295" s="1088"/>
    </row>
    <row r="3296" spans="4:21" x14ac:dyDescent="0.3">
      <c r="D3296" s="1088"/>
      <c r="J3296" s="1088"/>
      <c r="L3296" s="8"/>
      <c r="M3296" s="8"/>
      <c r="N3296" s="1088"/>
      <c r="O3296" s="1088"/>
      <c r="Q3296" s="1088"/>
      <c r="R3296" s="1088"/>
      <c r="T3296" s="1088"/>
      <c r="U3296" s="1088"/>
    </row>
    <row r="3297" spans="4:20" x14ac:dyDescent="0.3">
      <c r="D3297" s="1088"/>
      <c r="J3297" s="1088"/>
      <c r="L3297" s="8"/>
      <c r="M3297" s="8"/>
      <c r="N3297" s="1088"/>
      <c r="O3297" s="1088"/>
      <c r="Q3297" s="1088"/>
      <c r="R3297" s="1088"/>
      <c r="S3297" s="1088"/>
      <c r="T3297" s="1088"/>
    </row>
    <row r="3298" spans="4:20" x14ac:dyDescent="0.3">
      <c r="D3298" s="1088"/>
      <c r="J3298" s="1088"/>
      <c r="L3298" s="8"/>
      <c r="M3298" s="8"/>
      <c r="N3298" s="1088"/>
      <c r="O3298" s="1088"/>
      <c r="Q3298" s="1088"/>
      <c r="R3298" s="1088"/>
      <c r="S3298" s="1088"/>
      <c r="T3298" s="1088"/>
    </row>
    <row r="3299" spans="4:20" x14ac:dyDescent="0.3">
      <c r="D3299" s="1088"/>
      <c r="J3299" s="1088"/>
      <c r="L3299" s="8"/>
      <c r="M3299" s="8"/>
      <c r="N3299" s="1088"/>
      <c r="O3299" s="1088"/>
      <c r="Q3299" s="1088"/>
      <c r="R3299" s="1088"/>
      <c r="S3299" s="1088"/>
      <c r="T3299" s="1088"/>
    </row>
    <row r="3300" spans="4:20" x14ac:dyDescent="0.3">
      <c r="D3300" s="1088"/>
      <c r="J3300" s="1088"/>
      <c r="L3300" s="8"/>
      <c r="M3300" s="8"/>
      <c r="N3300" s="1088"/>
      <c r="Q3300" s="1088"/>
      <c r="R3300" s="1088"/>
      <c r="S3300" s="1088"/>
      <c r="T3300" s="1088"/>
    </row>
    <row r="3301" spans="4:20" x14ac:dyDescent="0.3">
      <c r="D3301" s="1088"/>
      <c r="J3301" s="1088"/>
      <c r="L3301" s="8"/>
      <c r="M3301" s="8"/>
      <c r="Q3301" s="1088"/>
      <c r="R3301" s="1088"/>
      <c r="S3301" s="1088"/>
      <c r="T3301" s="1088"/>
    </row>
    <row r="3302" spans="4:20" x14ac:dyDescent="0.3">
      <c r="D3302" s="1088"/>
      <c r="J3302" s="1088"/>
      <c r="L3302" s="8"/>
      <c r="M3302" s="8"/>
      <c r="Q3302" s="1088"/>
      <c r="R3302" s="1088"/>
      <c r="S3302" s="1088"/>
      <c r="T3302" s="1088"/>
    </row>
    <row r="3303" spans="4:20" x14ac:dyDescent="0.3">
      <c r="D3303" s="1088"/>
      <c r="J3303" s="1088"/>
      <c r="L3303" s="8"/>
      <c r="M3303" s="8"/>
      <c r="Q3303" s="1088"/>
      <c r="R3303" s="1088"/>
      <c r="S3303" s="1088"/>
      <c r="T3303" s="1088"/>
    </row>
    <row r="3304" spans="4:20" x14ac:dyDescent="0.3">
      <c r="D3304" s="1088"/>
      <c r="J3304" s="1088"/>
      <c r="L3304" s="8"/>
      <c r="M3304" s="8"/>
      <c r="Q3304" s="1088"/>
      <c r="R3304" s="1088"/>
      <c r="S3304" s="1088"/>
      <c r="T3304" s="1088"/>
    </row>
    <row r="3305" spans="4:20" x14ac:dyDescent="0.3">
      <c r="D3305" s="1088"/>
      <c r="J3305" s="1088"/>
      <c r="L3305" s="8"/>
      <c r="M3305" s="8"/>
      <c r="Q3305" s="1088"/>
      <c r="R3305" s="1088"/>
      <c r="S3305" s="1088"/>
      <c r="T3305" s="1088"/>
    </row>
    <row r="3306" spans="4:20" x14ac:dyDescent="0.3">
      <c r="D3306" s="1088"/>
      <c r="J3306" s="1088"/>
      <c r="L3306" s="8"/>
      <c r="M3306" s="8"/>
      <c r="Q3306" s="1088"/>
      <c r="R3306" s="1088"/>
      <c r="S3306" s="1088"/>
      <c r="T3306" s="1088"/>
    </row>
    <row r="3307" spans="4:20" x14ac:dyDescent="0.3">
      <c r="D3307" s="1088"/>
      <c r="J3307" s="1088"/>
      <c r="L3307" s="8"/>
      <c r="M3307" s="8"/>
      <c r="Q3307" s="1088"/>
      <c r="R3307" s="1088"/>
      <c r="S3307" s="1088"/>
      <c r="T3307" s="1088"/>
    </row>
    <row r="3308" spans="4:20" x14ac:dyDescent="0.3">
      <c r="D3308" s="1088"/>
      <c r="J3308" s="1088"/>
      <c r="L3308" s="8"/>
      <c r="M3308" s="8"/>
      <c r="Q3308" s="1088"/>
      <c r="R3308" s="1088"/>
      <c r="S3308" s="1088"/>
      <c r="T3308" s="1088"/>
    </row>
    <row r="3309" spans="4:20" x14ac:dyDescent="0.3">
      <c r="D3309" s="1088"/>
      <c r="J3309" s="1088"/>
      <c r="L3309" s="8"/>
      <c r="M3309" s="8"/>
      <c r="Q3309" s="1088"/>
      <c r="R3309" s="1088"/>
      <c r="S3309" s="1088"/>
      <c r="T3309" s="1088"/>
    </row>
    <row r="3310" spans="4:20" x14ac:dyDescent="0.3">
      <c r="D3310" s="1088"/>
      <c r="J3310" s="1088"/>
      <c r="L3310" s="8"/>
      <c r="M3310" s="8"/>
      <c r="Q3310" s="1088"/>
      <c r="R3310" s="1088"/>
      <c r="S3310" s="1088"/>
      <c r="T3310" s="1088"/>
    </row>
    <row r="3311" spans="4:20" x14ac:dyDescent="0.3">
      <c r="D3311" s="1088"/>
      <c r="J3311" s="1088"/>
      <c r="L3311" s="8"/>
      <c r="M3311" s="8"/>
      <c r="Q3311" s="1088"/>
      <c r="R3311" s="1088"/>
      <c r="S3311" s="1088"/>
      <c r="T3311" s="1088"/>
    </row>
    <row r="3312" spans="4:20" x14ac:dyDescent="0.3">
      <c r="D3312" s="1088"/>
      <c r="J3312" s="1088"/>
      <c r="L3312" s="8"/>
      <c r="M3312" s="8"/>
      <c r="N3312" s="1088"/>
      <c r="O3312" s="1088"/>
      <c r="Q3312" s="1088"/>
      <c r="R3312" s="1088"/>
      <c r="S3312" s="1088"/>
      <c r="T3312" s="1088"/>
    </row>
    <row r="3313" spans="4:20" x14ac:dyDescent="0.3">
      <c r="D3313" s="1088"/>
      <c r="J3313" s="1088"/>
      <c r="L3313" s="8"/>
      <c r="M3313" s="8"/>
      <c r="N3313" s="1088"/>
      <c r="O3313" s="1088"/>
      <c r="Q3313" s="1088"/>
      <c r="R3313" s="1088"/>
      <c r="S3313" s="1088"/>
      <c r="T3313" s="1088"/>
    </row>
    <row r="3314" spans="4:20" x14ac:dyDescent="0.3">
      <c r="D3314" s="1088"/>
      <c r="J3314" s="1088"/>
      <c r="L3314" s="8"/>
      <c r="M3314" s="8"/>
      <c r="N3314" s="1088"/>
      <c r="O3314" s="1088"/>
      <c r="Q3314" s="1088"/>
      <c r="R3314" s="1088"/>
      <c r="S3314" s="1088"/>
      <c r="T3314" s="1088"/>
    </row>
    <row r="3315" spans="4:20" x14ac:dyDescent="0.3">
      <c r="D3315" s="1088"/>
      <c r="J3315" s="1088"/>
      <c r="L3315" s="8"/>
      <c r="M3315" s="8"/>
      <c r="N3315" s="1088"/>
      <c r="O3315" s="1088"/>
      <c r="Q3315" s="1088"/>
      <c r="R3315" s="1088"/>
      <c r="S3315" s="1088"/>
      <c r="T3315" s="1088"/>
    </row>
    <row r="3316" spans="4:20" x14ac:dyDescent="0.3">
      <c r="D3316" s="1088"/>
      <c r="J3316" s="1088"/>
      <c r="L3316" s="8"/>
      <c r="M3316" s="8"/>
      <c r="N3316" s="1088"/>
      <c r="O3316" s="1088"/>
      <c r="Q3316" s="1088"/>
      <c r="R3316" s="1088"/>
      <c r="S3316" s="1088"/>
      <c r="T3316" s="1088"/>
    </row>
    <row r="3317" spans="4:20" x14ac:dyDescent="0.3">
      <c r="D3317" s="1088"/>
      <c r="J3317" s="1088"/>
      <c r="L3317" s="8"/>
      <c r="M3317" s="8"/>
      <c r="Q3317" s="1088"/>
      <c r="R3317" s="1088"/>
      <c r="S3317" s="1088"/>
      <c r="T3317" s="1088"/>
    </row>
    <row r="3318" spans="4:20" x14ac:dyDescent="0.3">
      <c r="D3318" s="1088"/>
      <c r="J3318" s="1088"/>
      <c r="L3318" s="8"/>
      <c r="M3318" s="8"/>
      <c r="Q3318" s="1088"/>
      <c r="R3318" s="1088"/>
      <c r="S3318" s="1088"/>
      <c r="T3318" s="1088"/>
    </row>
    <row r="3319" spans="4:20" x14ac:dyDescent="0.3">
      <c r="D3319" s="1088"/>
      <c r="J3319" s="1088"/>
      <c r="L3319" s="8"/>
      <c r="M3319" s="8"/>
      <c r="Q3319" s="1088"/>
      <c r="R3319" s="1088"/>
      <c r="S3319" s="1088"/>
      <c r="T3319" s="1088"/>
    </row>
    <row r="3320" spans="4:20" x14ac:dyDescent="0.3">
      <c r="D3320" s="1088"/>
      <c r="J3320" s="1088"/>
      <c r="L3320" s="8"/>
      <c r="M3320" s="8"/>
      <c r="Q3320" s="1088"/>
      <c r="R3320" s="1088"/>
      <c r="S3320" s="1088"/>
      <c r="T3320" s="1088"/>
    </row>
    <row r="3321" spans="4:20" x14ac:dyDescent="0.3">
      <c r="D3321" s="1088"/>
      <c r="J3321" s="1088"/>
      <c r="L3321" s="8"/>
      <c r="M3321" s="8"/>
      <c r="N3321" s="1088"/>
      <c r="O3321" s="1088"/>
      <c r="Q3321" s="1088"/>
      <c r="R3321" s="1088"/>
      <c r="S3321" s="1088"/>
      <c r="T3321" s="1088"/>
    </row>
    <row r="3322" spans="4:20" x14ac:dyDescent="0.3">
      <c r="D3322" s="1088"/>
      <c r="J3322" s="1088"/>
      <c r="L3322" s="8"/>
      <c r="M3322" s="8"/>
      <c r="N3322" s="1088"/>
      <c r="O3322" s="1088"/>
      <c r="Q3322" s="1088"/>
      <c r="R3322" s="1088"/>
      <c r="S3322" s="1088"/>
      <c r="T3322" s="1088"/>
    </row>
    <row r="3323" spans="4:20" x14ac:dyDescent="0.3">
      <c r="D3323" s="1088"/>
      <c r="J3323" s="1088"/>
      <c r="L3323" s="8"/>
      <c r="M3323" s="8"/>
      <c r="N3323" s="1088"/>
      <c r="O3323" s="1088"/>
      <c r="Q3323" s="1088"/>
      <c r="R3323" s="1088"/>
      <c r="S3323" s="1088"/>
      <c r="T3323" s="1088"/>
    </row>
    <row r="3324" spans="4:20" x14ac:dyDescent="0.3">
      <c r="D3324" s="1088"/>
      <c r="J3324" s="1088"/>
      <c r="L3324" s="8"/>
      <c r="M3324" s="8"/>
      <c r="N3324" s="1088"/>
      <c r="O3324" s="1088"/>
      <c r="Q3324" s="1088"/>
      <c r="R3324" s="1088"/>
      <c r="S3324" s="1088"/>
      <c r="T3324" s="1088"/>
    </row>
    <row r="3325" spans="4:20" x14ac:dyDescent="0.3">
      <c r="D3325" s="1088"/>
      <c r="J3325" s="1088"/>
      <c r="L3325" s="8"/>
      <c r="M3325" s="8"/>
      <c r="N3325" s="1088"/>
      <c r="O3325" s="1088"/>
      <c r="Q3325" s="1088"/>
      <c r="R3325" s="1088"/>
      <c r="S3325" s="1088"/>
      <c r="T3325" s="1088"/>
    </row>
    <row r="3326" spans="4:20" x14ac:dyDescent="0.3">
      <c r="D3326" s="1088"/>
      <c r="J3326" s="1088"/>
      <c r="L3326" s="8"/>
      <c r="M3326" s="8"/>
      <c r="Q3326" s="1088"/>
      <c r="R3326" s="1088"/>
      <c r="S3326" s="1088"/>
      <c r="T3326" s="1088"/>
    </row>
    <row r="3327" spans="4:20" x14ac:dyDescent="0.3">
      <c r="D3327" s="1088"/>
      <c r="J3327" s="1088"/>
      <c r="L3327" s="8"/>
      <c r="M3327" s="8"/>
      <c r="Q3327" s="1088"/>
      <c r="R3327" s="1088"/>
      <c r="S3327" s="1088"/>
      <c r="T3327" s="1088"/>
    </row>
    <row r="3328" spans="4:20" x14ac:dyDescent="0.3">
      <c r="D3328" s="1088"/>
      <c r="J3328" s="1088"/>
      <c r="L3328" s="8"/>
      <c r="M3328" s="8"/>
      <c r="Q3328" s="1088"/>
      <c r="R3328" s="1088"/>
      <c r="S3328" s="1088"/>
      <c r="T3328" s="1088"/>
    </row>
    <row r="3329" spans="4:21" x14ac:dyDescent="0.3">
      <c r="D3329" s="1088"/>
      <c r="J3329" s="1088"/>
      <c r="L3329" s="8"/>
      <c r="M3329" s="8"/>
      <c r="N3329" s="1088"/>
      <c r="O3329" s="1088"/>
      <c r="Q3329" s="1088"/>
      <c r="R3329" s="1088"/>
      <c r="T3329" s="1088"/>
      <c r="U3329" s="1088"/>
    </row>
    <row r="3330" spans="4:21" x14ac:dyDescent="0.3">
      <c r="D3330" s="1088"/>
      <c r="J3330" s="1088"/>
      <c r="L3330" s="8"/>
      <c r="M3330" s="8"/>
      <c r="N3330" s="1088"/>
      <c r="O3330" s="1088"/>
      <c r="Q3330" s="1088"/>
      <c r="R3330" s="1088"/>
      <c r="T3330" s="1088"/>
      <c r="U3330" s="1088"/>
    </row>
    <row r="3331" spans="4:21" x14ac:dyDescent="0.3">
      <c r="D3331" s="1088"/>
      <c r="J3331" s="1088"/>
      <c r="L3331" s="8"/>
      <c r="M3331" s="8"/>
      <c r="N3331" s="1088"/>
      <c r="O3331" s="1088"/>
      <c r="Q3331" s="1088"/>
      <c r="R3331" s="1088"/>
      <c r="T3331" s="1088"/>
      <c r="U3331" s="1088"/>
    </row>
    <row r="3332" spans="4:21" x14ac:dyDescent="0.3">
      <c r="D3332" s="1088"/>
      <c r="J3332" s="1088"/>
      <c r="L3332" s="8"/>
      <c r="M3332" s="8"/>
      <c r="N3332" s="1088"/>
      <c r="O3332" s="1088"/>
      <c r="Q3332" s="1088"/>
      <c r="R3332" s="1088"/>
      <c r="S3332" s="1088"/>
      <c r="T3332" s="1088"/>
    </row>
    <row r="3333" spans="4:21" x14ac:dyDescent="0.3">
      <c r="D3333" s="1088"/>
      <c r="J3333" s="1088"/>
      <c r="L3333" s="8"/>
      <c r="M3333" s="8"/>
      <c r="N3333" s="1088"/>
      <c r="O3333" s="1088"/>
      <c r="Q3333" s="1088"/>
      <c r="R3333" s="1088"/>
      <c r="S3333" s="1088"/>
      <c r="T3333" s="1088"/>
    </row>
    <row r="3334" spans="4:21" x14ac:dyDescent="0.3">
      <c r="D3334" s="1088"/>
      <c r="J3334" s="1088"/>
      <c r="L3334" s="8"/>
      <c r="M3334" s="8"/>
      <c r="N3334" s="1088"/>
      <c r="O3334" s="1088"/>
      <c r="Q3334" s="1088"/>
      <c r="R3334" s="1088"/>
      <c r="S3334" s="1088"/>
      <c r="T3334" s="1088"/>
    </row>
    <row r="3335" spans="4:21" x14ac:dyDescent="0.3">
      <c r="D3335" s="1088"/>
      <c r="J3335" s="1088"/>
      <c r="L3335" s="8"/>
      <c r="M3335" s="8"/>
      <c r="N3335" s="1088"/>
      <c r="O3335" s="1088"/>
      <c r="Q3335" s="1088"/>
      <c r="R3335" s="1088"/>
      <c r="S3335" s="1088"/>
      <c r="T3335" s="1088"/>
    </row>
    <row r="3336" spans="4:21" x14ac:dyDescent="0.3">
      <c r="D3336" s="1088"/>
      <c r="J3336" s="1088"/>
      <c r="L3336" s="8"/>
      <c r="M3336" s="8"/>
      <c r="N3336" s="1088"/>
      <c r="O3336" s="1088"/>
      <c r="Q3336" s="1088"/>
      <c r="R3336" s="1088"/>
      <c r="S3336" s="1088"/>
      <c r="T3336" s="1088"/>
    </row>
    <row r="3337" spans="4:21" x14ac:dyDescent="0.3">
      <c r="D3337" s="1088"/>
      <c r="J3337" s="1088"/>
      <c r="L3337" s="8"/>
      <c r="M3337" s="8"/>
      <c r="N3337" s="1088"/>
      <c r="O3337" s="1088"/>
      <c r="Q3337" s="1088"/>
      <c r="R3337" s="1088"/>
      <c r="S3337" s="1088"/>
      <c r="T3337" s="1088"/>
    </row>
    <row r="3338" spans="4:21" x14ac:dyDescent="0.3">
      <c r="D3338" s="1088"/>
      <c r="J3338" s="1088"/>
      <c r="L3338" s="8"/>
      <c r="M3338" s="8"/>
      <c r="N3338" s="1088"/>
      <c r="O3338" s="1088"/>
      <c r="Q3338" s="1088"/>
      <c r="R3338" s="1088"/>
      <c r="S3338" s="1088"/>
      <c r="T3338" s="1088"/>
    </row>
    <row r="3339" spans="4:21" x14ac:dyDescent="0.3">
      <c r="D3339" s="1088"/>
      <c r="J3339" s="1088"/>
      <c r="L3339" s="8"/>
      <c r="M3339" s="8"/>
      <c r="N3339" s="1088"/>
      <c r="O3339" s="1088"/>
      <c r="Q3339" s="1088"/>
      <c r="R3339" s="1088"/>
      <c r="T3339" s="1088"/>
      <c r="U3339" s="1088"/>
    </row>
    <row r="3340" spans="4:21" x14ac:dyDescent="0.3">
      <c r="D3340" s="1088"/>
      <c r="J3340" s="1088"/>
      <c r="L3340" s="8"/>
      <c r="M3340" s="8"/>
      <c r="N3340" s="1088"/>
      <c r="O3340" s="1088"/>
      <c r="Q3340" s="1088"/>
      <c r="R3340" s="1088"/>
      <c r="S3340" s="1088"/>
      <c r="T3340" s="1088"/>
    </row>
    <row r="3341" spans="4:21" x14ac:dyDescent="0.3">
      <c r="D3341" s="1088"/>
      <c r="J3341" s="1088"/>
      <c r="L3341" s="8"/>
      <c r="M3341" s="8"/>
      <c r="N3341" s="1088"/>
      <c r="O3341" s="1088"/>
      <c r="Q3341" s="1088"/>
      <c r="R3341" s="1088"/>
      <c r="S3341" s="1088"/>
      <c r="T3341" s="1088"/>
    </row>
    <row r="3342" spans="4:21" x14ac:dyDescent="0.3">
      <c r="D3342" s="1088"/>
      <c r="J3342" s="1088"/>
      <c r="L3342" s="8"/>
      <c r="M3342" s="8"/>
      <c r="N3342" s="1088"/>
      <c r="O3342" s="1088"/>
      <c r="Q3342" s="1088"/>
      <c r="R3342" s="1088"/>
      <c r="S3342" s="1088"/>
      <c r="T3342" s="1088"/>
    </row>
    <row r="3343" spans="4:21" x14ac:dyDescent="0.3">
      <c r="D3343" s="1088"/>
      <c r="J3343" s="1088"/>
      <c r="L3343" s="8"/>
      <c r="M3343" s="8"/>
      <c r="N3343" s="1088"/>
      <c r="O3343" s="1088"/>
      <c r="Q3343" s="1088"/>
      <c r="R3343" s="1088"/>
      <c r="S3343" s="1088"/>
      <c r="T3343" s="1088"/>
    </row>
    <row r="3344" spans="4:21" x14ac:dyDescent="0.3">
      <c r="D3344" s="1088"/>
      <c r="J3344" s="1088"/>
      <c r="L3344" s="8"/>
      <c r="M3344" s="8"/>
      <c r="N3344" s="1088"/>
      <c r="O3344" s="1088"/>
      <c r="Q3344" s="1088"/>
      <c r="R3344" s="1088"/>
      <c r="S3344" s="1088"/>
      <c r="T3344" s="1088"/>
    </row>
    <row r="3345" spans="4:21" x14ac:dyDescent="0.3">
      <c r="D3345" s="1088"/>
      <c r="J3345" s="1088"/>
      <c r="L3345" s="8"/>
      <c r="M3345" s="8"/>
      <c r="Q3345" s="1088"/>
      <c r="R3345" s="1088"/>
      <c r="T3345" s="1088"/>
      <c r="U3345" s="1088"/>
    </row>
    <row r="3346" spans="4:21" x14ac:dyDescent="0.3">
      <c r="D3346" s="1088"/>
      <c r="J3346" s="1088"/>
      <c r="L3346" s="8"/>
      <c r="M3346" s="8"/>
      <c r="N3346" s="1088"/>
      <c r="O3346" s="1088"/>
      <c r="Q3346" s="1088"/>
      <c r="R3346" s="1088"/>
      <c r="T3346" s="1088"/>
      <c r="U3346" s="1088"/>
    </row>
    <row r="3347" spans="4:21" x14ac:dyDescent="0.3">
      <c r="D3347" s="1088"/>
      <c r="J3347" s="1088"/>
      <c r="L3347" s="8"/>
      <c r="M3347" s="8"/>
      <c r="Q3347" s="1088"/>
      <c r="R3347" s="1088"/>
      <c r="S3347" s="1088"/>
      <c r="T3347" s="1088"/>
    </row>
    <row r="3348" spans="4:21" x14ac:dyDescent="0.3">
      <c r="D3348" s="1088"/>
      <c r="J3348" s="1088"/>
      <c r="L3348" s="8"/>
      <c r="M3348" s="8"/>
      <c r="N3348" s="1088"/>
      <c r="O3348" s="1088"/>
      <c r="Q3348" s="1088"/>
      <c r="R3348" s="1088"/>
      <c r="S3348" s="1088"/>
      <c r="T3348" s="1088"/>
    </row>
    <row r="3349" spans="4:21" x14ac:dyDescent="0.3">
      <c r="D3349" s="1088"/>
      <c r="J3349" s="1088"/>
      <c r="L3349" s="8"/>
      <c r="M3349" s="8"/>
      <c r="N3349" s="1088"/>
      <c r="O3349" s="1088"/>
      <c r="Q3349" s="1088"/>
      <c r="R3349" s="1088"/>
      <c r="S3349" s="1088"/>
      <c r="T3349" s="1088"/>
    </row>
    <row r="3350" spans="4:21" x14ac:dyDescent="0.3">
      <c r="D3350" s="1088"/>
      <c r="J3350" s="1088"/>
      <c r="L3350" s="8"/>
      <c r="M3350" s="8"/>
      <c r="N3350" s="1088"/>
      <c r="O3350" s="1088"/>
      <c r="Q3350" s="1088"/>
      <c r="R3350" s="1088"/>
      <c r="S3350" s="1088"/>
      <c r="T3350" s="1088"/>
    </row>
    <row r="3351" spans="4:21" x14ac:dyDescent="0.3">
      <c r="D3351" s="1088"/>
      <c r="J3351" s="1088"/>
      <c r="L3351" s="8"/>
      <c r="M3351" s="8"/>
      <c r="N3351" s="1088"/>
      <c r="O3351" s="1088"/>
      <c r="Q3351" s="1088"/>
      <c r="R3351" s="1088"/>
      <c r="S3351" s="1088"/>
      <c r="T3351" s="1088"/>
    </row>
    <row r="3352" spans="4:21" x14ac:dyDescent="0.3">
      <c r="D3352" s="1088"/>
      <c r="J3352" s="1088"/>
      <c r="L3352" s="8"/>
      <c r="M3352" s="8"/>
      <c r="N3352" s="1088"/>
      <c r="O3352" s="1088"/>
      <c r="Q3352" s="1088"/>
      <c r="R3352" s="1088"/>
      <c r="S3352" s="1088"/>
      <c r="T3352" s="1088"/>
    </row>
    <row r="3353" spans="4:21" x14ac:dyDescent="0.3">
      <c r="D3353" s="1088"/>
      <c r="J3353" s="1088"/>
      <c r="L3353" s="8"/>
      <c r="M3353" s="8"/>
      <c r="N3353" s="1088"/>
      <c r="Q3353" s="1088"/>
      <c r="R3353" s="1088"/>
      <c r="S3353" s="1088"/>
      <c r="T3353" s="1088"/>
    </row>
    <row r="3354" spans="4:21" x14ac:dyDescent="0.3">
      <c r="D3354" s="1088"/>
      <c r="J3354" s="1088"/>
      <c r="L3354" s="8"/>
      <c r="M3354" s="8"/>
      <c r="Q3354" s="1088"/>
      <c r="R3354" s="1088"/>
      <c r="S3354" s="1088"/>
      <c r="T3354" s="1088"/>
    </row>
    <row r="3355" spans="4:21" x14ac:dyDescent="0.3">
      <c r="D3355" s="1088"/>
      <c r="J3355" s="1088"/>
      <c r="L3355" s="8"/>
      <c r="M3355" s="8"/>
      <c r="N3355" s="1088"/>
      <c r="O3355" s="1088"/>
      <c r="Q3355" s="1088"/>
      <c r="R3355" s="1088"/>
      <c r="T3355" s="1088"/>
      <c r="U3355" s="1088"/>
    </row>
    <row r="3356" spans="4:21" x14ac:dyDescent="0.3">
      <c r="D3356" s="1088"/>
      <c r="J3356" s="1088"/>
      <c r="L3356" s="8"/>
      <c r="M3356" s="8"/>
      <c r="N3356" s="1088"/>
      <c r="O3356" s="1088"/>
      <c r="Q3356" s="1088"/>
      <c r="R3356" s="1088"/>
      <c r="T3356" s="1088"/>
      <c r="U3356" s="1088"/>
    </row>
    <row r="3357" spans="4:21" x14ac:dyDescent="0.3">
      <c r="D3357" s="1088"/>
      <c r="J3357" s="1088"/>
      <c r="L3357" s="8"/>
      <c r="M3357" s="8"/>
      <c r="N3357" s="1088"/>
      <c r="O3357" s="1088"/>
      <c r="Q3357" s="1088"/>
      <c r="R3357" s="1088"/>
      <c r="S3357" s="1088"/>
      <c r="T3357" s="1088"/>
    </row>
    <row r="3358" spans="4:21" x14ac:dyDescent="0.3">
      <c r="D3358" s="1088"/>
      <c r="J3358" s="1088"/>
      <c r="L3358" s="8"/>
      <c r="M3358" s="8"/>
      <c r="N3358" s="1088"/>
      <c r="O3358" s="1088"/>
      <c r="Q3358" s="1088"/>
      <c r="R3358" s="1088"/>
      <c r="S3358" s="1088"/>
      <c r="T3358" s="1088"/>
    </row>
    <row r="3359" spans="4:21" x14ac:dyDescent="0.3">
      <c r="D3359" s="1088"/>
      <c r="J3359" s="1088"/>
      <c r="L3359" s="8"/>
      <c r="M3359" s="8"/>
      <c r="Q3359" s="1088"/>
      <c r="R3359" s="1088"/>
      <c r="S3359" s="1088"/>
      <c r="T3359" s="1088"/>
    </row>
    <row r="3360" spans="4:21" x14ac:dyDescent="0.3">
      <c r="D3360" s="1088"/>
      <c r="J3360" s="1088"/>
      <c r="L3360" s="8"/>
      <c r="M3360" s="8"/>
      <c r="N3360" s="1088"/>
      <c r="O3360" s="1088"/>
      <c r="Q3360" s="1088"/>
      <c r="R3360" s="1088"/>
      <c r="S3360" s="1088"/>
      <c r="T3360" s="1088"/>
    </row>
    <row r="3361" spans="4:20" x14ac:dyDescent="0.3">
      <c r="D3361" s="1088"/>
      <c r="J3361" s="1088"/>
      <c r="L3361" s="8"/>
      <c r="M3361" s="8"/>
      <c r="N3361" s="1088"/>
      <c r="O3361" s="1088"/>
      <c r="Q3361" s="1088"/>
      <c r="R3361" s="1088"/>
      <c r="S3361" s="1088"/>
      <c r="T3361" s="1088"/>
    </row>
    <row r="3362" spans="4:20" x14ac:dyDescent="0.3">
      <c r="D3362" s="1088"/>
      <c r="J3362" s="1088"/>
      <c r="L3362" s="8"/>
      <c r="M3362" s="8"/>
      <c r="N3362" s="1088"/>
      <c r="O3362" s="1088"/>
      <c r="Q3362" s="1088"/>
      <c r="R3362" s="1088"/>
      <c r="S3362" s="1088"/>
      <c r="T3362" s="1088"/>
    </row>
    <row r="3363" spans="4:20" x14ac:dyDescent="0.3">
      <c r="D3363" s="1088"/>
      <c r="J3363" s="1088"/>
      <c r="L3363" s="8"/>
      <c r="M3363" s="8"/>
      <c r="N3363" s="1088"/>
      <c r="O3363" s="1088"/>
      <c r="Q3363" s="1088"/>
      <c r="R3363" s="1088"/>
      <c r="S3363" s="1088"/>
      <c r="T3363" s="1088"/>
    </row>
    <row r="3364" spans="4:20" x14ac:dyDescent="0.3">
      <c r="D3364" s="1088"/>
      <c r="J3364" s="1088"/>
      <c r="L3364" s="8"/>
      <c r="M3364" s="8"/>
      <c r="N3364" s="1088"/>
      <c r="O3364" s="1088"/>
      <c r="Q3364" s="1088"/>
      <c r="R3364" s="1088"/>
      <c r="S3364" s="1088"/>
      <c r="T3364" s="1088"/>
    </row>
    <row r="3365" spans="4:20" x14ac:dyDescent="0.3">
      <c r="D3365" s="1088"/>
      <c r="J3365" s="1088"/>
      <c r="L3365" s="8"/>
      <c r="M3365" s="8"/>
      <c r="N3365" s="1088"/>
      <c r="O3365" s="1088"/>
      <c r="Q3365" s="1088"/>
      <c r="R3365" s="1088"/>
      <c r="S3365" s="1088"/>
      <c r="T3365" s="1088"/>
    </row>
    <row r="3366" spans="4:20" x14ac:dyDescent="0.3">
      <c r="D3366" s="1088"/>
      <c r="J3366" s="1088"/>
      <c r="L3366" s="8"/>
      <c r="M3366" s="8"/>
      <c r="N3366" s="1088"/>
      <c r="O3366" s="1088"/>
      <c r="Q3366" s="1088"/>
      <c r="R3366" s="1088"/>
      <c r="S3366" s="1088"/>
      <c r="T3366" s="1088"/>
    </row>
    <row r="3367" spans="4:20" x14ac:dyDescent="0.3">
      <c r="D3367" s="1088"/>
      <c r="J3367" s="1088"/>
      <c r="L3367" s="8"/>
      <c r="M3367" s="8"/>
      <c r="N3367" s="1088"/>
      <c r="O3367" s="1088"/>
      <c r="Q3367" s="1088"/>
      <c r="R3367" s="1088"/>
      <c r="S3367" s="1088"/>
      <c r="T3367" s="1088"/>
    </row>
    <row r="3368" spans="4:20" x14ac:dyDescent="0.3">
      <c r="D3368" s="1088"/>
      <c r="J3368" s="1088"/>
      <c r="L3368" s="8"/>
      <c r="M3368" s="8"/>
      <c r="N3368" s="1088"/>
      <c r="O3368" s="1088"/>
      <c r="Q3368" s="1088"/>
      <c r="R3368" s="1088"/>
      <c r="S3368" s="1088"/>
      <c r="T3368" s="1088"/>
    </row>
    <row r="3369" spans="4:20" x14ac:dyDescent="0.3">
      <c r="D3369" s="1088"/>
      <c r="J3369" s="1088"/>
      <c r="L3369" s="8"/>
      <c r="M3369" s="8"/>
      <c r="N3369" s="1088"/>
      <c r="O3369" s="1088"/>
      <c r="Q3369" s="1088"/>
      <c r="R3369" s="1088"/>
      <c r="S3369" s="1088"/>
      <c r="T3369" s="1088"/>
    </row>
    <row r="3370" spans="4:20" x14ac:dyDescent="0.3">
      <c r="D3370" s="1088"/>
      <c r="J3370" s="1088"/>
      <c r="L3370" s="8"/>
      <c r="M3370" s="8"/>
      <c r="N3370" s="1088"/>
      <c r="O3370" s="1088"/>
      <c r="Q3370" s="1088"/>
      <c r="R3370" s="1088"/>
      <c r="S3370" s="1088"/>
      <c r="T3370" s="1088"/>
    </row>
    <row r="3371" spans="4:20" x14ac:dyDescent="0.3">
      <c r="D3371" s="1088"/>
      <c r="J3371" s="1088"/>
      <c r="L3371" s="8"/>
      <c r="M3371" s="8"/>
      <c r="N3371" s="1088"/>
      <c r="O3371" s="1088"/>
      <c r="Q3371" s="1088"/>
      <c r="R3371" s="1088"/>
      <c r="S3371" s="1088"/>
      <c r="T3371" s="1088"/>
    </row>
    <row r="3372" spans="4:20" x14ac:dyDescent="0.3">
      <c r="D3372" s="1088"/>
      <c r="J3372" s="1088"/>
      <c r="L3372" s="8"/>
      <c r="M3372" s="8"/>
      <c r="N3372" s="1088"/>
      <c r="O3372" s="1088"/>
      <c r="Q3372" s="1088"/>
      <c r="R3372" s="1088"/>
      <c r="S3372" s="1088"/>
      <c r="T3372" s="1088"/>
    </row>
    <row r="3373" spans="4:20" x14ac:dyDescent="0.3">
      <c r="D3373" s="1088"/>
      <c r="J3373" s="1088"/>
      <c r="L3373" s="8"/>
      <c r="M3373" s="8"/>
      <c r="N3373" s="1088"/>
      <c r="O3373" s="1088"/>
      <c r="Q3373" s="1088"/>
      <c r="R3373" s="1088"/>
      <c r="S3373" s="1088"/>
      <c r="T3373" s="1088"/>
    </row>
    <row r="3374" spans="4:20" x14ac:dyDescent="0.3">
      <c r="D3374" s="1088"/>
      <c r="J3374" s="1088"/>
      <c r="L3374" s="8"/>
      <c r="M3374" s="8"/>
      <c r="N3374" s="1088"/>
      <c r="O3374" s="1088"/>
      <c r="Q3374" s="1088"/>
      <c r="R3374" s="1088"/>
      <c r="S3374" s="1088"/>
      <c r="T3374" s="1088"/>
    </row>
    <row r="3375" spans="4:20" x14ac:dyDescent="0.3">
      <c r="D3375" s="1088"/>
      <c r="J3375" s="1088"/>
      <c r="L3375" s="8"/>
      <c r="M3375" s="8"/>
      <c r="N3375" s="1088"/>
      <c r="O3375" s="1088"/>
      <c r="Q3375" s="1088"/>
      <c r="R3375" s="1088"/>
      <c r="S3375" s="1088"/>
      <c r="T3375" s="1088"/>
    </row>
    <row r="3376" spans="4:20" x14ac:dyDescent="0.3">
      <c r="D3376" s="1088"/>
      <c r="J3376" s="1088"/>
      <c r="L3376" s="8"/>
      <c r="M3376" s="8"/>
      <c r="N3376" s="1088"/>
      <c r="O3376" s="1088"/>
      <c r="Q3376" s="1088"/>
      <c r="R3376" s="1088"/>
      <c r="S3376" s="1088"/>
      <c r="T3376" s="1088"/>
    </row>
    <row r="3377" spans="4:20" x14ac:dyDescent="0.3">
      <c r="D3377" s="1088"/>
      <c r="J3377" s="1088"/>
      <c r="L3377" s="8"/>
      <c r="M3377" s="8"/>
      <c r="N3377" s="1088"/>
      <c r="Q3377" s="1088"/>
      <c r="R3377" s="1088"/>
      <c r="S3377" s="1088"/>
      <c r="T3377" s="1088"/>
    </row>
    <row r="3378" spans="4:20" x14ac:dyDescent="0.3">
      <c r="D3378" s="1088"/>
      <c r="J3378" s="1088"/>
      <c r="L3378" s="8"/>
      <c r="M3378" s="8"/>
      <c r="R3378" s="1088"/>
    </row>
    <row r="3379" spans="4:20" x14ac:dyDescent="0.3">
      <c r="D3379" s="1088"/>
      <c r="J3379" s="1088"/>
      <c r="L3379" s="8"/>
      <c r="M3379" s="8"/>
      <c r="R3379" s="1088"/>
    </row>
    <row r="3380" spans="4:20" x14ac:dyDescent="0.3">
      <c r="D3380" s="1088"/>
      <c r="J3380" s="1088"/>
      <c r="L3380" s="8"/>
      <c r="M3380" s="8"/>
      <c r="R3380" s="1088"/>
    </row>
    <row r="3381" spans="4:20" x14ac:dyDescent="0.3">
      <c r="D3381" s="1088"/>
      <c r="J3381" s="1088"/>
      <c r="L3381" s="8"/>
      <c r="M3381" s="8"/>
      <c r="R3381" s="1088"/>
    </row>
    <row r="3382" spans="4:20" x14ac:dyDescent="0.3">
      <c r="D3382" s="1088"/>
      <c r="J3382" s="1088"/>
      <c r="L3382" s="8"/>
      <c r="M3382" s="8"/>
      <c r="R3382" s="1088"/>
    </row>
    <row r="3383" spans="4:20" x14ac:dyDescent="0.3">
      <c r="D3383" s="1088"/>
      <c r="J3383" s="1088"/>
      <c r="L3383" s="8"/>
      <c r="M3383" s="8"/>
      <c r="R3383" s="1088"/>
    </row>
    <row r="3384" spans="4:20" x14ac:dyDescent="0.3">
      <c r="D3384" s="1088"/>
      <c r="J3384" s="1088"/>
      <c r="L3384" s="8"/>
      <c r="M3384" s="8"/>
      <c r="R3384" s="1088"/>
    </row>
    <row r="3385" spans="4:20" x14ac:dyDescent="0.3">
      <c r="D3385" s="1088"/>
      <c r="J3385" s="1088"/>
      <c r="L3385" s="8"/>
      <c r="M3385" s="8"/>
      <c r="R3385" s="1088"/>
    </row>
    <row r="3386" spans="4:20" x14ac:dyDescent="0.3">
      <c r="D3386" s="1088"/>
      <c r="J3386" s="1088"/>
      <c r="L3386" s="8"/>
      <c r="M3386" s="8"/>
      <c r="R3386" s="1088"/>
    </row>
    <row r="3387" spans="4:20" x14ac:dyDescent="0.3">
      <c r="D3387" s="1088"/>
      <c r="J3387" s="1088"/>
      <c r="L3387" s="8"/>
      <c r="M3387" s="8"/>
      <c r="R3387" s="1088"/>
    </row>
    <row r="3388" spans="4:20" x14ac:dyDescent="0.3">
      <c r="D3388" s="1088"/>
      <c r="J3388" s="1088"/>
      <c r="L3388" s="8"/>
      <c r="M3388" s="8"/>
      <c r="R3388" s="1088"/>
    </row>
    <row r="3389" spans="4:20" x14ac:dyDescent="0.3">
      <c r="D3389" s="1088"/>
      <c r="J3389" s="1088"/>
      <c r="L3389" s="8"/>
      <c r="M3389" s="8"/>
      <c r="R3389" s="1088"/>
    </row>
    <row r="3390" spans="4:20" x14ac:dyDescent="0.3">
      <c r="D3390" s="1088"/>
      <c r="J3390" s="1088"/>
      <c r="L3390" s="8"/>
      <c r="M3390" s="8"/>
      <c r="R3390" s="1088"/>
    </row>
    <row r="3391" spans="4:20" x14ac:dyDescent="0.3">
      <c r="D3391" s="1088"/>
      <c r="J3391" s="1088"/>
      <c r="L3391" s="8"/>
      <c r="M3391" s="8"/>
      <c r="R3391" s="1088"/>
    </row>
    <row r="3392" spans="4:20" x14ac:dyDescent="0.3">
      <c r="D3392" s="1088"/>
      <c r="J3392" s="1088"/>
      <c r="L3392" s="8"/>
      <c r="M3392" s="8"/>
      <c r="R3392" s="1088"/>
    </row>
    <row r="3393" spans="4:18" x14ac:dyDescent="0.3">
      <c r="D3393" s="1088"/>
      <c r="J3393" s="1088"/>
      <c r="L3393" s="8"/>
      <c r="M3393" s="8"/>
      <c r="N3393" s="1088"/>
      <c r="R3393" s="1088"/>
    </row>
    <row r="3394" spans="4:18" x14ac:dyDescent="0.3">
      <c r="D3394" s="1088"/>
      <c r="J3394" s="1088"/>
      <c r="L3394" s="8"/>
      <c r="M3394" s="8"/>
      <c r="R3394" s="1088"/>
    </row>
    <row r="3395" spans="4:18" x14ac:dyDescent="0.3">
      <c r="D3395" s="1088"/>
      <c r="J3395" s="1088"/>
      <c r="L3395" s="8"/>
      <c r="M3395" s="8"/>
      <c r="R3395" s="1088"/>
    </row>
    <row r="3396" spans="4:18" x14ac:dyDescent="0.3">
      <c r="D3396" s="1088"/>
      <c r="J3396" s="1088"/>
      <c r="L3396" s="8"/>
      <c r="M3396" s="8"/>
      <c r="R3396" s="1088"/>
    </row>
    <row r="3397" spans="4:18" x14ac:dyDescent="0.3">
      <c r="D3397" s="1088"/>
      <c r="J3397" s="1088"/>
      <c r="L3397" s="8"/>
      <c r="M3397" s="8"/>
      <c r="R3397" s="1088"/>
    </row>
    <row r="3398" spans="4:18" x14ac:dyDescent="0.3">
      <c r="D3398" s="1088"/>
      <c r="J3398" s="1088"/>
      <c r="L3398" s="8"/>
      <c r="M3398" s="8"/>
      <c r="R3398" s="1088"/>
    </row>
    <row r="3399" spans="4:18" x14ac:dyDescent="0.3">
      <c r="D3399" s="1088"/>
      <c r="J3399" s="1088"/>
      <c r="L3399" s="8"/>
      <c r="M3399" s="8"/>
      <c r="R3399" s="1088"/>
    </row>
    <row r="3400" spans="4:18" x14ac:dyDescent="0.3">
      <c r="D3400" s="1088"/>
      <c r="J3400" s="1088"/>
      <c r="L3400" s="8"/>
      <c r="M3400" s="8"/>
      <c r="R3400" s="1088"/>
    </row>
    <row r="3401" spans="4:18" x14ac:dyDescent="0.3">
      <c r="D3401" s="1088"/>
      <c r="J3401" s="1088"/>
      <c r="L3401" s="8"/>
      <c r="M3401" s="8"/>
      <c r="R3401" s="1088"/>
    </row>
    <row r="3402" spans="4:18" x14ac:dyDescent="0.3">
      <c r="D3402" s="1088"/>
      <c r="J3402" s="1088"/>
      <c r="L3402" s="8"/>
      <c r="M3402" s="8"/>
      <c r="R3402" s="1088"/>
    </row>
    <row r="3403" spans="4:18" x14ac:dyDescent="0.3">
      <c r="D3403" s="1088"/>
      <c r="J3403" s="1088"/>
      <c r="L3403" s="8"/>
      <c r="M3403" s="8"/>
      <c r="R3403" s="1088"/>
    </row>
    <row r="3404" spans="4:18" x14ac:dyDescent="0.3">
      <c r="D3404" s="1088"/>
      <c r="J3404" s="1088"/>
      <c r="L3404" s="8"/>
      <c r="M3404" s="8"/>
      <c r="R3404" s="1088"/>
    </row>
    <row r="3405" spans="4:18" x14ac:dyDescent="0.3">
      <c r="D3405" s="1088"/>
      <c r="J3405" s="1088"/>
      <c r="L3405" s="8"/>
      <c r="M3405" s="8"/>
      <c r="R3405" s="1088"/>
    </row>
    <row r="3406" spans="4:18" x14ac:dyDescent="0.3">
      <c r="D3406" s="1088"/>
      <c r="J3406" s="1088"/>
      <c r="L3406" s="8"/>
      <c r="M3406" s="8"/>
      <c r="R3406" s="1088"/>
    </row>
    <row r="3407" spans="4:18" x14ac:dyDescent="0.3">
      <c r="D3407" s="1088"/>
      <c r="J3407" s="1088"/>
      <c r="L3407" s="8"/>
      <c r="M3407" s="8"/>
      <c r="R3407" s="1088"/>
    </row>
    <row r="3408" spans="4:18" x14ac:dyDescent="0.3">
      <c r="D3408" s="1088"/>
      <c r="J3408" s="1088"/>
      <c r="L3408" s="8"/>
      <c r="M3408" s="8"/>
      <c r="R3408" s="1088"/>
    </row>
    <row r="3409" spans="4:20" x14ac:dyDescent="0.3">
      <c r="D3409" s="1088"/>
      <c r="J3409" s="1088"/>
      <c r="L3409" s="8"/>
      <c r="M3409" s="8"/>
      <c r="R3409" s="1088"/>
    </row>
    <row r="3410" spans="4:20" x14ac:dyDescent="0.3">
      <c r="D3410" s="1088"/>
      <c r="J3410" s="1088"/>
      <c r="L3410" s="8"/>
      <c r="M3410" s="8"/>
      <c r="R3410" s="1088"/>
    </row>
    <row r="3411" spans="4:20" x14ac:dyDescent="0.3">
      <c r="D3411" s="1088"/>
      <c r="J3411" s="1088"/>
      <c r="L3411" s="8"/>
      <c r="M3411" s="8"/>
      <c r="R3411" s="1088"/>
    </row>
    <row r="3412" spans="4:20" x14ac:dyDescent="0.3">
      <c r="D3412" s="1088"/>
      <c r="J3412" s="1088"/>
      <c r="L3412" s="8"/>
      <c r="M3412" s="8"/>
      <c r="R3412" s="1088"/>
    </row>
    <row r="3413" spans="4:20" x14ac:dyDescent="0.3">
      <c r="D3413" s="1088"/>
      <c r="J3413" s="1088"/>
      <c r="L3413" s="8"/>
      <c r="M3413" s="8"/>
      <c r="R3413" s="1088"/>
    </row>
    <row r="3414" spans="4:20" x14ac:dyDescent="0.3">
      <c r="D3414" s="1088"/>
      <c r="J3414" s="1088"/>
      <c r="L3414" s="8"/>
      <c r="M3414" s="8"/>
      <c r="R3414" s="1088"/>
    </row>
    <row r="3415" spans="4:20" x14ac:dyDescent="0.3">
      <c r="D3415" s="1088"/>
      <c r="J3415" s="1088"/>
      <c r="L3415" s="8"/>
      <c r="M3415" s="8"/>
      <c r="R3415" s="1088"/>
    </row>
    <row r="3416" spans="4:20" x14ac:dyDescent="0.3">
      <c r="D3416" s="1088"/>
      <c r="J3416" s="1088"/>
      <c r="L3416" s="8"/>
      <c r="M3416" s="8"/>
      <c r="R3416" s="1088"/>
    </row>
    <row r="3417" spans="4:20" x14ac:dyDescent="0.3">
      <c r="D3417" s="1088"/>
      <c r="J3417" s="1088"/>
      <c r="L3417" s="8"/>
      <c r="M3417" s="8"/>
      <c r="R3417" s="1088"/>
    </row>
    <row r="3418" spans="4:20" x14ac:dyDescent="0.3">
      <c r="D3418" s="1088"/>
      <c r="J3418" s="1088"/>
      <c r="L3418" s="8"/>
      <c r="M3418" s="8"/>
      <c r="N3418" s="1088"/>
      <c r="O3418" s="1088"/>
      <c r="R3418" s="1088"/>
    </row>
    <row r="3419" spans="4:20" x14ac:dyDescent="0.3">
      <c r="D3419" s="1088"/>
      <c r="J3419" s="1088"/>
      <c r="L3419" s="8"/>
      <c r="M3419" s="8"/>
      <c r="R3419" s="1088"/>
    </row>
    <row r="3420" spans="4:20" x14ac:dyDescent="0.3">
      <c r="D3420" s="1088"/>
      <c r="J3420" s="1088"/>
      <c r="L3420" s="8"/>
      <c r="M3420" s="8"/>
      <c r="Q3420" s="1088"/>
      <c r="R3420" s="1088"/>
      <c r="S3420" s="1088"/>
      <c r="T3420" s="1088"/>
    </row>
    <row r="3421" spans="4:20" x14ac:dyDescent="0.3">
      <c r="D3421" s="1088"/>
      <c r="J3421" s="1088"/>
      <c r="L3421" s="8"/>
      <c r="M3421" s="8"/>
      <c r="Q3421" s="1088"/>
      <c r="R3421" s="1088"/>
      <c r="S3421" s="1088"/>
      <c r="T3421" s="1088"/>
    </row>
    <row r="3422" spans="4:20" x14ac:dyDescent="0.3">
      <c r="D3422" s="1088"/>
      <c r="J3422" s="1088"/>
      <c r="L3422" s="8"/>
      <c r="M3422" s="8"/>
      <c r="Q3422" s="1088"/>
      <c r="R3422" s="1088"/>
      <c r="S3422" s="1088"/>
      <c r="T3422" s="1088"/>
    </row>
    <row r="3423" spans="4:20" x14ac:dyDescent="0.3">
      <c r="D3423" s="1088"/>
      <c r="J3423" s="1088"/>
      <c r="L3423" s="8"/>
      <c r="M3423" s="8"/>
      <c r="Q3423" s="1088"/>
      <c r="R3423" s="1088"/>
      <c r="S3423" s="1088"/>
      <c r="T3423" s="1088"/>
    </row>
    <row r="3424" spans="4:20" x14ac:dyDescent="0.3">
      <c r="D3424" s="1088"/>
      <c r="G3424" s="1088"/>
      <c r="J3424" s="1088"/>
      <c r="K3424" s="1089"/>
      <c r="L3424" s="8"/>
      <c r="M3424" s="8"/>
      <c r="Q3424" s="1088"/>
      <c r="R3424" s="1088"/>
      <c r="S3424" s="1088"/>
      <c r="T3424" s="1088"/>
    </row>
    <row r="3425" spans="4:21" x14ac:dyDescent="0.3">
      <c r="D3425" s="1088"/>
      <c r="J3425" s="1088"/>
      <c r="L3425" s="8"/>
      <c r="M3425" s="8"/>
      <c r="Q3425" s="1088"/>
      <c r="R3425" s="1088"/>
      <c r="S3425" s="1088"/>
      <c r="T3425" s="1088"/>
    </row>
    <row r="3426" spans="4:21" x14ac:dyDescent="0.3">
      <c r="D3426" s="1088"/>
      <c r="J3426" s="1088"/>
      <c r="L3426" s="8"/>
      <c r="M3426" s="8"/>
      <c r="N3426" s="1088"/>
      <c r="Q3426" s="1088"/>
      <c r="R3426" s="1088"/>
      <c r="S3426" s="1088"/>
      <c r="T3426" s="1088"/>
    </row>
    <row r="3427" spans="4:21" x14ac:dyDescent="0.3">
      <c r="D3427" s="1088"/>
      <c r="J3427" s="1088"/>
      <c r="L3427" s="8"/>
      <c r="M3427" s="8"/>
      <c r="R3427" s="1088"/>
    </row>
    <row r="3428" spans="4:21" x14ac:dyDescent="0.3">
      <c r="D3428" s="1088"/>
      <c r="J3428" s="1088"/>
      <c r="L3428" s="8"/>
      <c r="M3428" s="8"/>
      <c r="R3428" s="1088"/>
    </row>
    <row r="3429" spans="4:21" x14ac:dyDescent="0.3">
      <c r="D3429" s="1088"/>
      <c r="J3429" s="1088"/>
      <c r="L3429" s="8"/>
      <c r="M3429" s="8"/>
      <c r="Q3429" s="1088"/>
      <c r="R3429" s="1088"/>
      <c r="S3429" s="1088"/>
      <c r="T3429" s="1088"/>
    </row>
    <row r="3430" spans="4:21" x14ac:dyDescent="0.3">
      <c r="D3430" s="1088"/>
      <c r="J3430" s="1088"/>
      <c r="L3430" s="8"/>
      <c r="M3430" s="8"/>
      <c r="N3430" s="1088"/>
      <c r="Q3430" s="1088"/>
      <c r="R3430" s="1088"/>
      <c r="T3430" s="1088"/>
      <c r="U3430" s="1088"/>
    </row>
    <row r="3431" spans="4:21" x14ac:dyDescent="0.3">
      <c r="D3431" s="1088"/>
      <c r="J3431" s="1088"/>
      <c r="L3431" s="8"/>
      <c r="M3431" s="8"/>
      <c r="R3431" s="1088"/>
    </row>
    <row r="3432" spans="4:21" x14ac:dyDescent="0.3">
      <c r="D3432" s="1088"/>
      <c r="J3432" s="1088"/>
      <c r="L3432" s="8"/>
      <c r="M3432" s="8"/>
      <c r="N3432" s="1088"/>
      <c r="R3432" s="1088"/>
    </row>
    <row r="3433" spans="4:21" x14ac:dyDescent="0.3">
      <c r="D3433" s="1088"/>
      <c r="J3433" s="1088"/>
      <c r="L3433" s="8"/>
      <c r="M3433" s="8"/>
      <c r="N3433" s="1088"/>
      <c r="O3433" s="1088"/>
      <c r="R3433" s="1088"/>
    </row>
    <row r="3434" spans="4:21" x14ac:dyDescent="0.3">
      <c r="D3434" s="1088"/>
      <c r="J3434" s="1088"/>
      <c r="L3434" s="8"/>
      <c r="M3434" s="8"/>
      <c r="N3434" s="1088"/>
      <c r="O3434" s="1088"/>
      <c r="R3434" s="1088"/>
    </row>
    <row r="3435" spans="4:21" x14ac:dyDescent="0.3">
      <c r="D3435" s="1088"/>
      <c r="J3435" s="1088"/>
      <c r="L3435" s="8"/>
      <c r="M3435" s="8"/>
      <c r="Q3435" s="1088"/>
      <c r="R3435" s="1088"/>
      <c r="S3435" s="1088"/>
      <c r="T3435" s="1088"/>
    </row>
    <row r="3436" spans="4:21" x14ac:dyDescent="0.3">
      <c r="D3436" s="1088"/>
      <c r="J3436" s="1088"/>
      <c r="L3436" s="8"/>
      <c r="M3436" s="8"/>
      <c r="N3436" s="1088"/>
      <c r="Q3436" s="1088"/>
      <c r="R3436" s="1088"/>
      <c r="S3436" s="1088"/>
      <c r="T3436" s="1088"/>
    </row>
    <row r="3437" spans="4:21" x14ac:dyDescent="0.3">
      <c r="D3437" s="1088"/>
      <c r="J3437" s="1088"/>
      <c r="L3437" s="8"/>
      <c r="M3437" s="8"/>
      <c r="Q3437" s="1088"/>
      <c r="R3437" s="1088"/>
      <c r="S3437" s="1088"/>
      <c r="T3437" s="1088"/>
    </row>
    <row r="3438" spans="4:21" x14ac:dyDescent="0.3">
      <c r="D3438" s="1088"/>
      <c r="J3438" s="1088"/>
      <c r="L3438" s="8"/>
      <c r="M3438" s="8"/>
      <c r="N3438" s="1088"/>
      <c r="O3438" s="1088"/>
      <c r="Q3438" s="1088"/>
      <c r="R3438" s="1088"/>
      <c r="S3438" s="1088"/>
      <c r="T3438" s="1088"/>
    </row>
    <row r="3439" spans="4:21" x14ac:dyDescent="0.3">
      <c r="D3439" s="1088"/>
      <c r="J3439" s="1088"/>
      <c r="L3439" s="8"/>
      <c r="M3439" s="8"/>
      <c r="Q3439" s="1088"/>
      <c r="R3439" s="1088"/>
      <c r="S3439" s="1088"/>
      <c r="T3439" s="1088"/>
    </row>
    <row r="3440" spans="4:21" x14ac:dyDescent="0.3">
      <c r="D3440" s="1088"/>
      <c r="J3440" s="1088"/>
      <c r="L3440" s="8"/>
      <c r="M3440" s="8"/>
      <c r="Q3440" s="1088"/>
      <c r="R3440" s="1088"/>
      <c r="S3440" s="1088"/>
      <c r="T3440" s="1088"/>
    </row>
    <row r="3441" spans="4:20" x14ac:dyDescent="0.3">
      <c r="D3441" s="1088"/>
      <c r="J3441" s="1088"/>
      <c r="L3441" s="8"/>
      <c r="M3441" s="8"/>
      <c r="Q3441" s="1088"/>
      <c r="R3441" s="1088"/>
      <c r="S3441" s="1088"/>
      <c r="T3441" s="1088"/>
    </row>
    <row r="3442" spans="4:20" x14ac:dyDescent="0.3">
      <c r="D3442" s="1088"/>
      <c r="J3442" s="1088"/>
      <c r="L3442" s="8"/>
      <c r="M3442" s="8"/>
      <c r="Q3442" s="1088"/>
      <c r="R3442" s="1088"/>
      <c r="S3442" s="1088"/>
      <c r="T3442" s="1088"/>
    </row>
    <row r="3443" spans="4:20" x14ac:dyDescent="0.3">
      <c r="D3443" s="1088"/>
      <c r="J3443" s="1088"/>
      <c r="L3443" s="8"/>
      <c r="M3443" s="8"/>
      <c r="Q3443" s="1088"/>
      <c r="R3443" s="1088"/>
      <c r="S3443" s="1088"/>
      <c r="T3443" s="1088"/>
    </row>
    <row r="3444" spans="4:20" x14ac:dyDescent="0.3">
      <c r="D3444" s="1088"/>
      <c r="J3444" s="1088"/>
      <c r="L3444" s="8"/>
      <c r="M3444" s="8"/>
      <c r="N3444" s="1088"/>
      <c r="O3444" s="1088"/>
      <c r="R3444" s="1088"/>
    </row>
    <row r="3445" spans="4:20" x14ac:dyDescent="0.3">
      <c r="D3445" s="1088"/>
      <c r="J3445" s="1088"/>
      <c r="L3445" s="8"/>
      <c r="M3445" s="8"/>
      <c r="R3445" s="1088"/>
    </row>
    <row r="3446" spans="4:20" x14ac:dyDescent="0.3">
      <c r="D3446" s="1088"/>
      <c r="J3446" s="1088"/>
      <c r="L3446" s="8"/>
      <c r="M3446" s="8"/>
      <c r="R3446" s="1088"/>
    </row>
    <row r="3447" spans="4:20" x14ac:dyDescent="0.3">
      <c r="D3447" s="1088"/>
      <c r="J3447" s="1088"/>
      <c r="L3447" s="8"/>
      <c r="M3447" s="8"/>
      <c r="R3447" s="1088"/>
    </row>
    <row r="3448" spans="4:20" x14ac:dyDescent="0.3">
      <c r="D3448" s="1088"/>
      <c r="J3448" s="1088"/>
      <c r="L3448" s="8"/>
      <c r="M3448" s="8"/>
      <c r="N3448" s="1088"/>
      <c r="O3448" s="1088"/>
      <c r="Q3448" s="1088"/>
      <c r="R3448" s="1088"/>
      <c r="S3448" s="1088"/>
      <c r="T3448" s="1088"/>
    </row>
    <row r="3449" spans="4:20" x14ac:dyDescent="0.3">
      <c r="D3449" s="1088"/>
      <c r="J3449" s="1088"/>
      <c r="L3449" s="8"/>
      <c r="M3449" s="8"/>
      <c r="O3449" s="1088"/>
      <c r="Q3449" s="1088"/>
      <c r="R3449" s="1088"/>
      <c r="S3449" s="1088"/>
      <c r="T3449" s="1088"/>
    </row>
    <row r="3450" spans="4:20" x14ac:dyDescent="0.3">
      <c r="D3450" s="1088"/>
      <c r="J3450" s="1088"/>
      <c r="L3450" s="8"/>
      <c r="M3450" s="8"/>
      <c r="N3450" s="1088"/>
      <c r="O3450" s="1088"/>
      <c r="Q3450" s="1088"/>
      <c r="R3450" s="1088"/>
      <c r="S3450" s="1088"/>
      <c r="T3450" s="1088"/>
    </row>
    <row r="3451" spans="4:20" x14ac:dyDescent="0.3">
      <c r="D3451" s="1088"/>
      <c r="J3451" s="1088"/>
      <c r="L3451" s="8"/>
      <c r="M3451" s="8"/>
      <c r="R3451" s="1088"/>
    </row>
    <row r="3452" spans="4:20" x14ac:dyDescent="0.3">
      <c r="D3452" s="1088"/>
      <c r="J3452" s="1088"/>
      <c r="L3452" s="8"/>
      <c r="M3452" s="8"/>
      <c r="N3452" s="1088"/>
      <c r="O3452" s="1088"/>
      <c r="Q3452" s="1088"/>
      <c r="R3452" s="1088"/>
      <c r="S3452" s="1088"/>
      <c r="T3452" s="1088"/>
    </row>
    <row r="3453" spans="4:20" x14ac:dyDescent="0.3">
      <c r="D3453" s="1088"/>
      <c r="J3453" s="1088"/>
      <c r="L3453" s="8"/>
      <c r="M3453" s="8"/>
      <c r="N3453" s="1088"/>
      <c r="O3453" s="1088"/>
      <c r="Q3453" s="1088"/>
      <c r="R3453" s="1088"/>
      <c r="S3453" s="1088"/>
      <c r="T3453" s="1088"/>
    </row>
    <row r="3454" spans="4:20" x14ac:dyDescent="0.3">
      <c r="D3454" s="1088"/>
      <c r="J3454" s="1088"/>
      <c r="L3454" s="8"/>
      <c r="M3454" s="8"/>
      <c r="Q3454" s="1088"/>
      <c r="R3454" s="1088"/>
      <c r="S3454" s="1088"/>
      <c r="T3454" s="1088"/>
    </row>
    <row r="3455" spans="4:20" x14ac:dyDescent="0.3">
      <c r="D3455" s="1088"/>
      <c r="J3455" s="1088"/>
      <c r="L3455" s="8"/>
      <c r="M3455" s="8"/>
      <c r="Q3455" s="1088"/>
      <c r="R3455" s="1088"/>
      <c r="S3455" s="1088"/>
      <c r="T3455" s="1088"/>
    </row>
    <row r="3456" spans="4:20" x14ac:dyDescent="0.3">
      <c r="D3456" s="1088"/>
      <c r="J3456" s="1088"/>
      <c r="L3456" s="8"/>
      <c r="M3456" s="8"/>
      <c r="N3456" s="1088"/>
      <c r="O3456" s="1088"/>
      <c r="Q3456" s="1088"/>
      <c r="R3456" s="1088"/>
      <c r="S3456" s="1088"/>
      <c r="T3456" s="1088"/>
    </row>
    <row r="3457" spans="4:21" x14ac:dyDescent="0.3">
      <c r="D3457" s="1088"/>
      <c r="J3457" s="1088"/>
      <c r="L3457" s="8"/>
      <c r="M3457" s="8"/>
      <c r="R3457" s="1088"/>
    </row>
    <row r="3458" spans="4:21" x14ac:dyDescent="0.3">
      <c r="D3458" s="1088"/>
      <c r="J3458" s="1088"/>
      <c r="L3458" s="8"/>
      <c r="M3458" s="8"/>
      <c r="R3458" s="1088"/>
    </row>
    <row r="3459" spans="4:21" x14ac:dyDescent="0.3">
      <c r="D3459" s="1088"/>
      <c r="J3459" s="1088"/>
      <c r="L3459" s="8"/>
      <c r="M3459" s="8"/>
      <c r="N3459" s="1088"/>
      <c r="O3459" s="1088"/>
      <c r="R3459" s="1088"/>
    </row>
    <row r="3460" spans="4:21" x14ac:dyDescent="0.3">
      <c r="D3460" s="1088"/>
      <c r="J3460" s="1088"/>
      <c r="L3460" s="8"/>
      <c r="M3460" s="8"/>
      <c r="R3460" s="1088"/>
    </row>
    <row r="3461" spans="4:21" x14ac:dyDescent="0.3">
      <c r="D3461" s="1088"/>
      <c r="J3461" s="1088"/>
      <c r="L3461" s="8"/>
      <c r="M3461" s="8"/>
      <c r="R3461" s="1088"/>
    </row>
    <row r="3462" spans="4:21" x14ac:dyDescent="0.3">
      <c r="D3462" s="1088"/>
      <c r="J3462" s="1088"/>
      <c r="L3462" s="8"/>
      <c r="M3462" s="8"/>
      <c r="R3462" s="1088"/>
    </row>
    <row r="3463" spans="4:21" x14ac:dyDescent="0.3">
      <c r="D3463" s="1088"/>
      <c r="J3463" s="1088"/>
      <c r="L3463" s="8"/>
      <c r="M3463" s="8"/>
      <c r="R3463" s="1088"/>
    </row>
    <row r="3464" spans="4:21" x14ac:dyDescent="0.3">
      <c r="D3464" s="1088"/>
      <c r="J3464" s="1088"/>
      <c r="L3464" s="8"/>
      <c r="M3464" s="8"/>
      <c r="Q3464" s="1088"/>
      <c r="R3464" s="1088"/>
      <c r="S3464" s="1088"/>
      <c r="T3464" s="1088"/>
    </row>
    <row r="3465" spans="4:21" x14ac:dyDescent="0.3">
      <c r="D3465" s="1088"/>
      <c r="J3465" s="1088"/>
      <c r="L3465" s="8"/>
      <c r="M3465" s="8"/>
      <c r="N3465" s="1088"/>
      <c r="Q3465" s="1088"/>
      <c r="R3465" s="1088"/>
      <c r="S3465" s="1088"/>
      <c r="T3465" s="1088"/>
    </row>
    <row r="3466" spans="4:21" x14ac:dyDescent="0.3">
      <c r="D3466" s="1088"/>
      <c r="J3466" s="1088"/>
      <c r="L3466" s="8"/>
      <c r="M3466" s="8"/>
      <c r="Q3466" s="1088"/>
      <c r="R3466" s="1088"/>
      <c r="S3466" s="1088"/>
      <c r="T3466" s="1088"/>
    </row>
    <row r="3467" spans="4:21" x14ac:dyDescent="0.3">
      <c r="D3467" s="1088"/>
      <c r="J3467" s="1088"/>
      <c r="L3467" s="8"/>
      <c r="M3467" s="8"/>
      <c r="Q3467" s="1088"/>
      <c r="R3467" s="1088"/>
      <c r="S3467" s="1088"/>
      <c r="T3467" s="1088"/>
    </row>
    <row r="3468" spans="4:21" x14ac:dyDescent="0.3">
      <c r="D3468" s="1088"/>
      <c r="J3468" s="1088"/>
      <c r="L3468" s="8"/>
      <c r="M3468" s="8"/>
      <c r="Q3468" s="1088"/>
      <c r="R3468" s="1088"/>
      <c r="S3468" s="1088"/>
      <c r="T3468" s="1088"/>
    </row>
    <row r="3469" spans="4:21" x14ac:dyDescent="0.3">
      <c r="D3469" s="1088"/>
      <c r="J3469" s="1088"/>
      <c r="L3469" s="8"/>
      <c r="M3469" s="8"/>
      <c r="N3469" s="1088"/>
      <c r="O3469" s="1088"/>
      <c r="Q3469" s="1088"/>
      <c r="R3469" s="1088"/>
      <c r="T3469" s="1088"/>
      <c r="U3469" s="1088"/>
    </row>
    <row r="3470" spans="4:21" x14ac:dyDescent="0.3">
      <c r="D3470" s="1088"/>
      <c r="J3470" s="1088"/>
      <c r="L3470" s="8"/>
      <c r="M3470" s="8"/>
      <c r="N3470" s="1088"/>
      <c r="Q3470" s="1088"/>
      <c r="R3470" s="1088"/>
      <c r="T3470" s="1088"/>
      <c r="U3470" s="1088"/>
    </row>
    <row r="3471" spans="4:21" x14ac:dyDescent="0.3">
      <c r="D3471" s="1088"/>
      <c r="J3471" s="1088"/>
      <c r="L3471" s="8"/>
      <c r="M3471" s="8"/>
      <c r="N3471" s="1088"/>
      <c r="Q3471" s="1088"/>
      <c r="R3471" s="1088"/>
      <c r="T3471" s="1088"/>
      <c r="U3471" s="1088"/>
    </row>
    <row r="3472" spans="4:21" x14ac:dyDescent="0.3">
      <c r="D3472" s="1088"/>
      <c r="J3472" s="1088"/>
      <c r="L3472" s="8"/>
      <c r="M3472" s="8"/>
      <c r="N3472" s="1088"/>
      <c r="O3472" s="1088"/>
      <c r="Q3472" s="1088"/>
      <c r="R3472" s="1088"/>
      <c r="S3472" s="1088"/>
      <c r="T3472" s="1088"/>
      <c r="U3472" s="1088"/>
    </row>
    <row r="3473" spans="4:20" x14ac:dyDescent="0.3">
      <c r="D3473" s="1088"/>
      <c r="J3473" s="1088"/>
      <c r="L3473" s="8"/>
      <c r="M3473" s="8"/>
      <c r="R3473" s="1088"/>
    </row>
    <row r="3474" spans="4:20" x14ac:dyDescent="0.3">
      <c r="D3474" s="1088"/>
      <c r="J3474" s="1088"/>
      <c r="L3474" s="8"/>
      <c r="M3474" s="8"/>
      <c r="R3474" s="1088"/>
    </row>
    <row r="3475" spans="4:20" x14ac:dyDescent="0.3">
      <c r="D3475" s="1088"/>
      <c r="J3475" s="1088"/>
      <c r="L3475" s="8"/>
      <c r="M3475" s="8"/>
      <c r="R3475" s="1088"/>
    </row>
    <row r="3476" spans="4:20" x14ac:dyDescent="0.3">
      <c r="D3476" s="1088"/>
      <c r="J3476" s="1088"/>
      <c r="L3476" s="8"/>
      <c r="M3476" s="8"/>
      <c r="Q3476" s="1088"/>
      <c r="R3476" s="1088"/>
      <c r="S3476" s="1088"/>
      <c r="T3476" s="1088"/>
    </row>
    <row r="3477" spans="4:20" x14ac:dyDescent="0.3">
      <c r="D3477" s="1088"/>
      <c r="J3477" s="1088"/>
      <c r="L3477" s="8"/>
      <c r="M3477" s="8"/>
      <c r="N3477" s="1088"/>
      <c r="Q3477" s="1088"/>
      <c r="R3477" s="1088"/>
      <c r="S3477" s="1088"/>
      <c r="T3477" s="1088"/>
    </row>
    <row r="3478" spans="4:20" x14ac:dyDescent="0.3">
      <c r="D3478" s="1088"/>
      <c r="J3478" s="1088"/>
      <c r="L3478" s="8"/>
      <c r="M3478" s="8"/>
      <c r="N3478" s="1088"/>
      <c r="Q3478" s="1088"/>
      <c r="R3478" s="1088"/>
      <c r="S3478" s="1088"/>
      <c r="T3478" s="1088"/>
    </row>
    <row r="3479" spans="4:20" x14ac:dyDescent="0.3">
      <c r="D3479" s="1088"/>
      <c r="J3479" s="1088"/>
      <c r="L3479" s="8"/>
      <c r="M3479" s="8"/>
      <c r="Q3479" s="1088"/>
      <c r="R3479" s="1088"/>
      <c r="S3479" s="1088"/>
      <c r="T3479" s="1088"/>
    </row>
    <row r="3480" spans="4:20" x14ac:dyDescent="0.3">
      <c r="D3480" s="1088"/>
      <c r="J3480" s="1088"/>
      <c r="L3480" s="8"/>
      <c r="M3480" s="8"/>
      <c r="N3480" s="1088"/>
      <c r="O3480" s="1088"/>
      <c r="Q3480" s="1088"/>
      <c r="R3480" s="1088"/>
      <c r="S3480" s="1088"/>
      <c r="T3480" s="1088"/>
    </row>
    <row r="3481" spans="4:20" x14ac:dyDescent="0.3">
      <c r="D3481" s="1088"/>
      <c r="J3481" s="1088"/>
      <c r="L3481" s="8"/>
      <c r="M3481" s="8"/>
      <c r="N3481" s="1088"/>
      <c r="O3481" s="1088"/>
      <c r="Q3481" s="1088"/>
      <c r="R3481" s="1088"/>
      <c r="S3481" s="1088"/>
      <c r="T3481" s="1088"/>
    </row>
    <row r="3482" spans="4:20" x14ac:dyDescent="0.3">
      <c r="D3482" s="1088"/>
      <c r="J3482" s="1088"/>
      <c r="L3482" s="8"/>
      <c r="M3482" s="8"/>
      <c r="Q3482" s="1088"/>
      <c r="R3482" s="1088"/>
      <c r="S3482" s="1088"/>
      <c r="T3482" s="1088"/>
    </row>
    <row r="3483" spans="4:20" x14ac:dyDescent="0.3">
      <c r="D3483" s="1088"/>
      <c r="J3483" s="1088"/>
      <c r="L3483" s="8"/>
      <c r="M3483" s="8"/>
      <c r="Q3483" s="1088"/>
      <c r="R3483" s="1088"/>
      <c r="S3483" s="1088"/>
      <c r="T3483" s="1088"/>
    </row>
    <row r="3484" spans="4:20" x14ac:dyDescent="0.3">
      <c r="D3484" s="1088"/>
      <c r="J3484" s="1088"/>
      <c r="L3484" s="8"/>
      <c r="M3484" s="8"/>
      <c r="R3484" s="1088"/>
    </row>
    <row r="3485" spans="4:20" x14ac:dyDescent="0.3">
      <c r="D3485" s="1088"/>
      <c r="J3485" s="1088"/>
      <c r="L3485" s="8"/>
      <c r="M3485" s="8"/>
      <c r="Q3485" s="1088"/>
      <c r="R3485" s="1088"/>
      <c r="S3485" s="1088"/>
      <c r="T3485" s="1088"/>
    </row>
    <row r="3486" spans="4:20" x14ac:dyDescent="0.3">
      <c r="D3486" s="1088"/>
      <c r="J3486" s="1088"/>
      <c r="L3486" s="8"/>
      <c r="M3486" s="8"/>
      <c r="R3486" s="1088"/>
    </row>
    <row r="3487" spans="4:20" x14ac:dyDescent="0.3">
      <c r="D3487" s="1088"/>
      <c r="J3487" s="1088"/>
      <c r="L3487" s="8"/>
      <c r="M3487" s="8"/>
      <c r="R3487" s="1088"/>
    </row>
    <row r="3488" spans="4:20" x14ac:dyDescent="0.3">
      <c r="D3488" s="1088"/>
      <c r="J3488" s="1088"/>
      <c r="L3488" s="8"/>
      <c r="M3488" s="8"/>
      <c r="Q3488" s="1088"/>
      <c r="R3488" s="1088"/>
      <c r="S3488" s="1088"/>
      <c r="T3488" s="1088"/>
    </row>
    <row r="3489" spans="4:20" x14ac:dyDescent="0.3">
      <c r="D3489" s="1088"/>
      <c r="J3489" s="1088"/>
      <c r="L3489" s="8"/>
      <c r="M3489" s="8"/>
      <c r="R3489" s="1088"/>
    </row>
    <row r="3490" spans="4:20" x14ac:dyDescent="0.3">
      <c r="D3490" s="1088"/>
      <c r="J3490" s="1088"/>
      <c r="L3490" s="8"/>
      <c r="M3490" s="8"/>
      <c r="N3490" s="1088"/>
      <c r="Q3490" s="1088"/>
      <c r="R3490" s="1088"/>
      <c r="S3490" s="1088"/>
      <c r="T3490" s="1088"/>
    </row>
    <row r="3491" spans="4:20" x14ac:dyDescent="0.3">
      <c r="D3491" s="1088"/>
      <c r="J3491" s="1088"/>
      <c r="L3491" s="8"/>
      <c r="M3491" s="8"/>
      <c r="R3491" s="1088"/>
    </row>
    <row r="3492" spans="4:20" x14ac:dyDescent="0.3">
      <c r="D3492" s="1088"/>
      <c r="J3492" s="1088"/>
      <c r="L3492" s="8"/>
      <c r="M3492" s="8"/>
      <c r="R3492" s="1088"/>
    </row>
    <row r="3493" spans="4:20" x14ac:dyDescent="0.3">
      <c r="D3493" s="1088"/>
      <c r="J3493" s="1088"/>
      <c r="L3493" s="8"/>
      <c r="M3493" s="8"/>
      <c r="R3493" s="1088"/>
    </row>
    <row r="3494" spans="4:20" x14ac:dyDescent="0.3">
      <c r="D3494" s="1088"/>
      <c r="J3494" s="1088"/>
      <c r="L3494" s="8"/>
      <c r="M3494" s="8"/>
      <c r="R3494" s="1088"/>
    </row>
    <row r="3495" spans="4:20" x14ac:dyDescent="0.3">
      <c r="D3495" s="1088"/>
      <c r="J3495" s="1088"/>
      <c r="L3495" s="8"/>
      <c r="M3495" s="8"/>
      <c r="R3495" s="1088"/>
    </row>
    <row r="3496" spans="4:20" x14ac:dyDescent="0.3">
      <c r="D3496" s="1088"/>
      <c r="J3496" s="1088"/>
      <c r="L3496" s="8"/>
      <c r="M3496" s="8"/>
      <c r="R3496" s="1088"/>
    </row>
    <row r="3497" spans="4:20" x14ac:dyDescent="0.3">
      <c r="D3497" s="1088"/>
      <c r="J3497" s="1088"/>
      <c r="L3497" s="8"/>
      <c r="M3497" s="8"/>
      <c r="R3497" s="1088"/>
    </row>
    <row r="3498" spans="4:20" x14ac:dyDescent="0.3">
      <c r="D3498" s="1088"/>
      <c r="J3498" s="1088"/>
      <c r="L3498" s="8"/>
      <c r="M3498" s="8"/>
      <c r="R3498" s="1088"/>
    </row>
    <row r="3499" spans="4:20" x14ac:dyDescent="0.3">
      <c r="D3499" s="1088"/>
      <c r="J3499" s="1088"/>
      <c r="L3499" s="8"/>
      <c r="M3499" s="8"/>
      <c r="R3499" s="1088"/>
    </row>
    <row r="3500" spans="4:20" x14ac:dyDescent="0.3">
      <c r="D3500" s="1088"/>
      <c r="J3500" s="1088"/>
      <c r="L3500" s="8"/>
      <c r="M3500" s="8"/>
      <c r="R3500" s="1088"/>
    </row>
    <row r="3501" spans="4:20" x14ac:dyDescent="0.3">
      <c r="D3501" s="1088"/>
      <c r="J3501" s="1088"/>
      <c r="L3501" s="8"/>
      <c r="M3501" s="8"/>
      <c r="N3501" s="1088"/>
      <c r="O3501" s="1088"/>
      <c r="R3501" s="1088"/>
    </row>
    <row r="3502" spans="4:20" x14ac:dyDescent="0.3">
      <c r="D3502" s="1088"/>
      <c r="J3502" s="1088"/>
      <c r="L3502" s="8"/>
      <c r="M3502" s="8"/>
      <c r="R3502" s="1088"/>
    </row>
    <row r="3503" spans="4:20" x14ac:dyDescent="0.3">
      <c r="D3503" s="1088"/>
      <c r="J3503" s="1088"/>
      <c r="L3503" s="8"/>
      <c r="M3503" s="8"/>
      <c r="R3503" s="1088"/>
    </row>
    <row r="3504" spans="4:20" x14ac:dyDescent="0.3">
      <c r="D3504" s="1088"/>
      <c r="J3504" s="1088"/>
      <c r="L3504" s="8"/>
      <c r="M3504" s="8"/>
      <c r="R3504" s="1088"/>
    </row>
    <row r="3505" spans="4:20" x14ac:dyDescent="0.3">
      <c r="D3505" s="1088"/>
      <c r="J3505" s="1088"/>
      <c r="L3505" s="8"/>
      <c r="M3505" s="8"/>
      <c r="R3505" s="1088"/>
    </row>
    <row r="3506" spans="4:20" x14ac:dyDescent="0.3">
      <c r="D3506" s="1088"/>
      <c r="J3506" s="1088"/>
      <c r="L3506" s="8"/>
      <c r="M3506" s="8"/>
      <c r="Q3506" s="1088"/>
      <c r="R3506" s="1088"/>
      <c r="S3506" s="1088"/>
      <c r="T3506" s="1088"/>
    </row>
    <row r="3507" spans="4:20" x14ac:dyDescent="0.3">
      <c r="D3507" s="1088"/>
      <c r="J3507" s="1088"/>
      <c r="L3507" s="8"/>
      <c r="M3507" s="8"/>
      <c r="Q3507" s="1088"/>
      <c r="R3507" s="1088"/>
      <c r="S3507" s="1088"/>
      <c r="T3507" s="1088"/>
    </row>
    <row r="3508" spans="4:20" x14ac:dyDescent="0.3">
      <c r="D3508" s="1088"/>
      <c r="J3508" s="1088"/>
      <c r="L3508" s="8"/>
      <c r="M3508" s="8"/>
      <c r="N3508" s="1088"/>
      <c r="O3508" s="1088"/>
      <c r="Q3508" s="1088"/>
      <c r="R3508" s="1088"/>
      <c r="S3508" s="1088"/>
      <c r="T3508" s="1088"/>
    </row>
    <row r="3509" spans="4:20" x14ac:dyDescent="0.3">
      <c r="D3509" s="1088"/>
      <c r="J3509" s="1088"/>
      <c r="L3509" s="8"/>
      <c r="M3509" s="8"/>
      <c r="N3509" s="1088"/>
      <c r="O3509" s="1088"/>
      <c r="Q3509" s="1088"/>
      <c r="R3509" s="1088"/>
      <c r="S3509" s="1088"/>
      <c r="T3509" s="1088"/>
    </row>
    <row r="3510" spans="4:20" x14ac:dyDescent="0.3">
      <c r="D3510" s="1088"/>
      <c r="J3510" s="1088"/>
      <c r="L3510" s="8"/>
      <c r="M3510" s="8"/>
      <c r="Q3510" s="1088"/>
      <c r="R3510" s="1088"/>
      <c r="S3510" s="1088"/>
      <c r="T3510" s="1088"/>
    </row>
    <row r="3511" spans="4:20" x14ac:dyDescent="0.3">
      <c r="D3511" s="1088"/>
      <c r="J3511" s="1088"/>
      <c r="L3511" s="8"/>
      <c r="M3511" s="8"/>
      <c r="Q3511" s="1088"/>
      <c r="R3511" s="1088"/>
      <c r="S3511" s="1088"/>
      <c r="T3511" s="1088"/>
    </row>
    <row r="3512" spans="4:20" x14ac:dyDescent="0.3">
      <c r="D3512" s="1088"/>
      <c r="J3512" s="1088"/>
      <c r="L3512" s="8"/>
      <c r="M3512" s="8"/>
      <c r="N3512" s="1088"/>
      <c r="O3512" s="1088"/>
      <c r="R3512" s="1088"/>
    </row>
    <row r="3513" spans="4:20" x14ac:dyDescent="0.3">
      <c r="D3513" s="1088"/>
      <c r="J3513" s="1088"/>
      <c r="L3513" s="8"/>
      <c r="M3513" s="8"/>
      <c r="R3513" s="1088"/>
    </row>
    <row r="3514" spans="4:20" x14ac:dyDescent="0.3">
      <c r="D3514" s="1088"/>
      <c r="H3514" s="1088"/>
      <c r="J3514" s="1088"/>
      <c r="L3514" s="8"/>
      <c r="M3514" s="8"/>
      <c r="Q3514" s="1088"/>
      <c r="R3514" s="1088"/>
      <c r="S3514" s="1088"/>
      <c r="T3514" s="1088"/>
    </row>
    <row r="3515" spans="4:20" x14ac:dyDescent="0.3">
      <c r="D3515" s="1088"/>
      <c r="H3515" s="1088"/>
      <c r="J3515" s="1088"/>
      <c r="L3515" s="8"/>
      <c r="M3515" s="8"/>
      <c r="R3515" s="1088"/>
    </row>
    <row r="3516" spans="4:20" x14ac:dyDescent="0.3">
      <c r="D3516" s="1088"/>
      <c r="E3516" s="1088"/>
      <c r="J3516" s="1088"/>
      <c r="L3516" s="8"/>
      <c r="M3516" s="8"/>
      <c r="R3516" s="1088"/>
    </row>
    <row r="3517" spans="4:20" x14ac:dyDescent="0.3">
      <c r="D3517" s="1088"/>
      <c r="J3517" s="1088"/>
      <c r="L3517" s="8"/>
      <c r="M3517" s="8"/>
      <c r="R3517" s="1088"/>
    </row>
    <row r="3518" spans="4:20" x14ac:dyDescent="0.3">
      <c r="D3518" s="1088"/>
      <c r="J3518" s="1088"/>
      <c r="L3518" s="8"/>
      <c r="M3518" s="8"/>
      <c r="R3518" s="1088"/>
    </row>
    <row r="3519" spans="4:20" x14ac:dyDescent="0.3">
      <c r="D3519" s="1088"/>
      <c r="E3519" s="1088"/>
      <c r="J3519" s="1088"/>
      <c r="L3519" s="8"/>
      <c r="M3519" s="8"/>
      <c r="R3519" s="1088"/>
    </row>
    <row r="3520" spans="4:20" x14ac:dyDescent="0.3">
      <c r="D3520" s="1088"/>
      <c r="E3520" s="1088"/>
      <c r="J3520" s="1088"/>
      <c r="L3520" s="8"/>
      <c r="M3520" s="8"/>
      <c r="R3520" s="1088"/>
    </row>
    <row r="3521" spans="1:20" x14ac:dyDescent="0.3">
      <c r="D3521" s="1088"/>
      <c r="E3521" s="1088"/>
      <c r="J3521" s="1088"/>
      <c r="L3521" s="8"/>
      <c r="M3521" s="8"/>
      <c r="N3521" s="1088"/>
      <c r="O3521" s="1088"/>
      <c r="Q3521" s="1088"/>
      <c r="R3521" s="1088"/>
      <c r="S3521" s="1088"/>
      <c r="T3521" s="1088"/>
    </row>
    <row r="3522" spans="1:20" x14ac:dyDescent="0.3">
      <c r="D3522" s="1088"/>
      <c r="E3522" s="1088"/>
      <c r="J3522" s="1088"/>
      <c r="L3522" s="8"/>
      <c r="M3522" s="8"/>
      <c r="N3522" s="1088"/>
      <c r="O3522" s="1088"/>
      <c r="Q3522" s="1088"/>
      <c r="R3522" s="1088"/>
      <c r="S3522" s="1088"/>
      <c r="T3522" s="1088"/>
    </row>
    <row r="3523" spans="1:20" x14ac:dyDescent="0.3">
      <c r="D3523" s="1088"/>
      <c r="J3523" s="1088"/>
      <c r="L3523" s="8"/>
      <c r="M3523" s="8"/>
      <c r="R3523" s="1088"/>
    </row>
    <row r="3524" spans="1:20" x14ac:dyDescent="0.3">
      <c r="D3524" s="1088"/>
      <c r="E3524" s="1088"/>
      <c r="J3524" s="1088"/>
      <c r="L3524" s="8"/>
      <c r="M3524" s="8"/>
      <c r="R3524" s="1088"/>
    </row>
    <row r="3525" spans="1:20" x14ac:dyDescent="0.3">
      <c r="D3525" s="1088"/>
      <c r="E3525" s="1088"/>
      <c r="J3525" s="1088"/>
      <c r="L3525" s="8"/>
      <c r="M3525" s="8"/>
      <c r="N3525" s="1088"/>
      <c r="O3525" s="1088"/>
      <c r="R3525" s="1088"/>
    </row>
    <row r="3526" spans="1:20" x14ac:dyDescent="0.3">
      <c r="D3526" s="1088"/>
      <c r="J3526" s="1088"/>
      <c r="L3526" s="8"/>
      <c r="M3526" s="8"/>
      <c r="R3526" s="1088"/>
    </row>
    <row r="3527" spans="1:20" x14ac:dyDescent="0.3">
      <c r="D3527" s="1088"/>
      <c r="E3527" s="1088"/>
      <c r="J3527" s="1088"/>
      <c r="L3527" s="8"/>
      <c r="M3527" s="8"/>
      <c r="R3527" s="1088"/>
    </row>
    <row r="3528" spans="1:20" x14ac:dyDescent="0.3">
      <c r="D3528" s="1088"/>
      <c r="E3528" s="1088"/>
      <c r="J3528" s="1088"/>
      <c r="L3528" s="8"/>
      <c r="M3528" s="8"/>
      <c r="Q3528" s="1088"/>
      <c r="R3528" s="1088"/>
      <c r="S3528" s="1088"/>
      <c r="T3528" s="1088"/>
    </row>
    <row r="3529" spans="1:20" x14ac:dyDescent="0.3">
      <c r="D3529" s="1088"/>
      <c r="J3529" s="1088"/>
      <c r="L3529" s="8"/>
      <c r="M3529" s="8"/>
      <c r="R3529" s="1088"/>
    </row>
    <row r="3530" spans="1:20" x14ac:dyDescent="0.3">
      <c r="D3530" s="1088"/>
      <c r="E3530" s="1088"/>
      <c r="J3530" s="1088"/>
      <c r="L3530" s="8"/>
      <c r="M3530" s="8"/>
      <c r="N3530" s="1088"/>
      <c r="O3530" s="1088"/>
      <c r="R3530" s="1088"/>
    </row>
    <row r="3531" spans="1:20" x14ac:dyDescent="0.3">
      <c r="D3531" s="1088"/>
      <c r="J3531" s="1088"/>
      <c r="L3531" s="8"/>
      <c r="M3531" s="8"/>
      <c r="R3531" s="1088"/>
    </row>
    <row r="3532" spans="1:20" x14ac:dyDescent="0.3">
      <c r="D3532" s="1088"/>
      <c r="E3532" s="1088"/>
      <c r="J3532" s="1088"/>
      <c r="L3532" s="8"/>
      <c r="M3532" s="8"/>
      <c r="N3532" s="1088"/>
      <c r="O3532" s="1088"/>
      <c r="R3532" s="1088"/>
    </row>
    <row r="3533" spans="1:20" x14ac:dyDescent="0.3">
      <c r="A3533" s="1088"/>
      <c r="D3533" s="1088"/>
      <c r="J3533" s="1088"/>
      <c r="L3533" s="8"/>
      <c r="M3533" s="8"/>
      <c r="Q3533" s="1088"/>
      <c r="R3533" s="1088"/>
      <c r="S3533" s="1088"/>
      <c r="T3533" s="1088"/>
    </row>
    <row r="3534" spans="1:20" x14ac:dyDescent="0.3">
      <c r="J3534" s="1088"/>
      <c r="L3534" s="8"/>
      <c r="M3534" s="8"/>
    </row>
    <row r="3536" spans="1:20" x14ac:dyDescent="0.3">
      <c r="J3536" s="1088"/>
    </row>
  </sheetData>
  <phoneticPr fontId="51"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F226F-6876-48BB-B597-5932BF2D1D1F}">
  <sheetPr>
    <tabColor theme="8" tint="0.39997558519241921"/>
  </sheetPr>
  <dimension ref="B1:T79"/>
  <sheetViews>
    <sheetView showGridLines="0" topLeftCell="A2" zoomScale="80" zoomScaleNormal="80" workbookViewId="0">
      <selection activeCell="G20" sqref="G20"/>
    </sheetView>
  </sheetViews>
  <sheetFormatPr defaultColWidth="11.44140625" defaultRowHeight="14.4" x14ac:dyDescent="0.3"/>
  <cols>
    <col min="1" max="1" width="7.77734375" style="476" customWidth="1"/>
    <col min="2" max="2" width="5.77734375" style="476" customWidth="1"/>
    <col min="3" max="6" width="22.44140625" style="476" customWidth="1"/>
    <col min="7" max="7" width="38.21875" style="476" customWidth="1"/>
    <col min="8" max="13" width="14.21875" style="476" customWidth="1"/>
    <col min="15" max="15" width="14.77734375" style="937" bestFit="1" customWidth="1"/>
    <col min="16" max="16" width="15.5546875" style="937" bestFit="1" customWidth="1"/>
    <col min="17" max="17" width="11.5546875" style="937" bestFit="1" customWidth="1"/>
    <col min="18" max="18" width="10.5546875" style="937" bestFit="1" customWidth="1"/>
    <col min="19" max="19" width="11" style="937" bestFit="1" customWidth="1"/>
    <col min="20" max="20" width="10.77734375" style="937" bestFit="1" customWidth="1"/>
    <col min="21" max="21" width="28.77734375" style="476" bestFit="1" customWidth="1"/>
    <col min="22" max="22" width="28.44140625" style="476" bestFit="1" customWidth="1"/>
    <col min="23" max="23" width="16.44140625" style="476" bestFit="1" customWidth="1"/>
    <col min="24" max="24" width="16.21875" style="476" bestFit="1" customWidth="1"/>
    <col min="25" max="26" width="11.44140625" style="476"/>
    <col min="27" max="27" width="19" style="476" bestFit="1" customWidth="1"/>
    <col min="28" max="16384" width="11.44140625" style="476"/>
  </cols>
  <sheetData>
    <row r="1" spans="2:16" ht="15" thickBot="1" x14ac:dyDescent="0.35"/>
    <row r="2" spans="2:16" ht="57.6" customHeight="1" thickBot="1" x14ac:dyDescent="0.35">
      <c r="B2" s="511" t="s">
        <v>3374</v>
      </c>
      <c r="C2" s="510" t="s">
        <v>48</v>
      </c>
      <c r="D2" s="1441" t="s">
        <v>4208</v>
      </c>
      <c r="E2" s="1182" t="s">
        <v>433</v>
      </c>
      <c r="F2" s="1440" t="s">
        <v>4207</v>
      </c>
      <c r="G2" s="1182" t="s">
        <v>2372</v>
      </c>
      <c r="H2" s="1178" t="s">
        <v>434</v>
      </c>
      <c r="I2" s="1181" t="s">
        <v>2373</v>
      </c>
      <c r="J2" s="1178" t="s">
        <v>23</v>
      </c>
      <c r="K2" s="1179" t="s">
        <v>2374</v>
      </c>
      <c r="L2" s="1181" t="s">
        <v>24</v>
      </c>
      <c r="M2" s="1179" t="s">
        <v>2375</v>
      </c>
    </row>
    <row r="3" spans="2:16" x14ac:dyDescent="0.3">
      <c r="B3" s="583">
        <v>1</v>
      </c>
      <c r="C3" s="584" t="s">
        <v>35</v>
      </c>
      <c r="D3" s="584" t="s">
        <v>35</v>
      </c>
      <c r="E3" s="584" t="s">
        <v>193</v>
      </c>
      <c r="F3" s="1439" t="s">
        <v>3983</v>
      </c>
      <c r="G3" s="938" t="s">
        <v>3114</v>
      </c>
      <c r="H3" s="939">
        <v>240</v>
      </c>
      <c r="I3" s="1177">
        <v>42</v>
      </c>
      <c r="J3" s="939">
        <v>0</v>
      </c>
      <c r="K3" s="940">
        <v>0</v>
      </c>
      <c r="L3" s="1177">
        <v>0</v>
      </c>
      <c r="M3" s="940">
        <v>0</v>
      </c>
      <c r="P3" s="498"/>
    </row>
    <row r="4" spans="2:16" x14ac:dyDescent="0.3">
      <c r="B4" s="583">
        <v>2</v>
      </c>
      <c r="C4" s="584" t="s">
        <v>35</v>
      </c>
      <c r="D4" s="584" t="s">
        <v>35</v>
      </c>
      <c r="E4" s="584" t="s">
        <v>195</v>
      </c>
      <c r="F4" s="1439" t="s">
        <v>195</v>
      </c>
      <c r="G4" s="938" t="s">
        <v>3115</v>
      </c>
      <c r="H4" s="939">
        <v>0</v>
      </c>
      <c r="I4" s="1177">
        <v>0</v>
      </c>
      <c r="J4" s="939">
        <v>0</v>
      </c>
      <c r="K4" s="940">
        <v>0</v>
      </c>
      <c r="L4" s="1177">
        <v>0</v>
      </c>
      <c r="M4" s="940">
        <v>0</v>
      </c>
      <c r="P4" s="498"/>
    </row>
    <row r="5" spans="2:16" x14ac:dyDescent="0.3">
      <c r="B5" s="583">
        <v>3</v>
      </c>
      <c r="C5" s="584" t="s">
        <v>35</v>
      </c>
      <c r="D5" s="584" t="s">
        <v>35</v>
      </c>
      <c r="E5" s="584" t="s">
        <v>195</v>
      </c>
      <c r="F5" s="1439" t="s">
        <v>195</v>
      </c>
      <c r="G5" s="938" t="s">
        <v>3116</v>
      </c>
      <c r="H5" s="939">
        <v>0</v>
      </c>
      <c r="I5" s="1177">
        <v>0</v>
      </c>
      <c r="J5" s="939">
        <v>0</v>
      </c>
      <c r="K5" s="940">
        <v>0</v>
      </c>
      <c r="L5" s="1177">
        <v>0</v>
      </c>
      <c r="M5" s="940">
        <v>0</v>
      </c>
      <c r="P5" s="498"/>
    </row>
    <row r="6" spans="2:16" x14ac:dyDescent="0.3">
      <c r="B6" s="583">
        <v>4</v>
      </c>
      <c r="C6" s="584" t="s">
        <v>35</v>
      </c>
      <c r="D6" s="584" t="s">
        <v>35</v>
      </c>
      <c r="E6" s="584" t="s">
        <v>193</v>
      </c>
      <c r="F6" s="1439" t="s">
        <v>3983</v>
      </c>
      <c r="G6" s="938" t="s">
        <v>3117</v>
      </c>
      <c r="H6" s="939">
        <v>0</v>
      </c>
      <c r="I6" s="1177">
        <v>0</v>
      </c>
      <c r="J6" s="939">
        <v>0</v>
      </c>
      <c r="K6" s="940">
        <v>0</v>
      </c>
      <c r="L6" s="1177">
        <v>0</v>
      </c>
      <c r="M6" s="940">
        <v>0</v>
      </c>
      <c r="P6" s="498"/>
    </row>
    <row r="7" spans="2:16" x14ac:dyDescent="0.3">
      <c r="B7" s="583">
        <v>5</v>
      </c>
      <c r="C7" s="584" t="s">
        <v>31</v>
      </c>
      <c r="D7" s="584" t="s">
        <v>31</v>
      </c>
      <c r="E7" s="584" t="s">
        <v>172</v>
      </c>
      <c r="F7" s="1439" t="s">
        <v>172</v>
      </c>
      <c r="G7" s="938" t="s">
        <v>3118</v>
      </c>
      <c r="H7" s="939">
        <v>109</v>
      </c>
      <c r="I7" s="1177">
        <v>22</v>
      </c>
      <c r="J7" s="939">
        <v>95</v>
      </c>
      <c r="K7" s="940">
        <v>25</v>
      </c>
      <c r="L7" s="1177">
        <v>0</v>
      </c>
      <c r="M7" s="940">
        <v>0</v>
      </c>
      <c r="P7" s="498"/>
    </row>
    <row r="8" spans="2:16" x14ac:dyDescent="0.3">
      <c r="B8" s="583">
        <v>6</v>
      </c>
      <c r="C8" s="584" t="s">
        <v>35</v>
      </c>
      <c r="D8" s="584" t="s">
        <v>35</v>
      </c>
      <c r="E8" s="584" t="s">
        <v>195</v>
      </c>
      <c r="F8" s="1439" t="s">
        <v>195</v>
      </c>
      <c r="G8" s="938" t="s">
        <v>3119</v>
      </c>
      <c r="H8" s="939">
        <v>0</v>
      </c>
      <c r="I8" s="1177">
        <v>0</v>
      </c>
      <c r="J8" s="939">
        <v>0</v>
      </c>
      <c r="K8" s="940">
        <v>0</v>
      </c>
      <c r="L8" s="1177">
        <v>0</v>
      </c>
      <c r="M8" s="940">
        <v>0</v>
      </c>
      <c r="P8" s="498"/>
    </row>
    <row r="9" spans="2:16" x14ac:dyDescent="0.3">
      <c r="B9" s="583">
        <v>7</v>
      </c>
      <c r="C9" s="584" t="s">
        <v>35</v>
      </c>
      <c r="D9" s="584" t="s">
        <v>35</v>
      </c>
      <c r="E9" s="584" t="s">
        <v>195</v>
      </c>
      <c r="F9" s="1439" t="s">
        <v>195</v>
      </c>
      <c r="G9" s="938" t="s">
        <v>3120</v>
      </c>
      <c r="H9" s="939">
        <v>0</v>
      </c>
      <c r="I9" s="1177">
        <v>0</v>
      </c>
      <c r="J9" s="939">
        <v>0</v>
      </c>
      <c r="K9" s="940">
        <v>0</v>
      </c>
      <c r="L9" s="1177">
        <v>0</v>
      </c>
      <c r="M9" s="940">
        <v>0</v>
      </c>
      <c r="P9" s="498"/>
    </row>
    <row r="10" spans="2:16" x14ac:dyDescent="0.3">
      <c r="B10" s="583">
        <v>8</v>
      </c>
      <c r="C10" s="584" t="s">
        <v>35</v>
      </c>
      <c r="D10" s="584" t="s">
        <v>35</v>
      </c>
      <c r="E10" s="584" t="s">
        <v>192</v>
      </c>
      <c r="F10" s="1439" t="s">
        <v>192</v>
      </c>
      <c r="G10" s="938" t="s">
        <v>3121</v>
      </c>
      <c r="H10" s="939">
        <v>300</v>
      </c>
      <c r="I10" s="1177">
        <v>60</v>
      </c>
      <c r="J10" s="939">
        <v>0</v>
      </c>
      <c r="K10" s="940">
        <v>0</v>
      </c>
      <c r="L10" s="1177">
        <v>160</v>
      </c>
      <c r="M10" s="940">
        <v>30</v>
      </c>
      <c r="P10" s="498"/>
    </row>
    <row r="11" spans="2:16" x14ac:dyDescent="0.3">
      <c r="B11" s="583">
        <v>9</v>
      </c>
      <c r="C11" s="584" t="s">
        <v>31</v>
      </c>
      <c r="D11" s="584" t="s">
        <v>31</v>
      </c>
      <c r="E11" s="584" t="s">
        <v>169</v>
      </c>
      <c r="F11" s="1439" t="s">
        <v>169</v>
      </c>
      <c r="G11" s="938" t="s">
        <v>3122</v>
      </c>
      <c r="H11" s="939">
        <v>0</v>
      </c>
      <c r="I11" s="1177">
        <v>0</v>
      </c>
      <c r="J11" s="939">
        <v>350</v>
      </c>
      <c r="K11" s="940">
        <v>50</v>
      </c>
      <c r="L11" s="1177">
        <v>0</v>
      </c>
      <c r="M11" s="940">
        <v>0</v>
      </c>
      <c r="P11" s="498"/>
    </row>
    <row r="12" spans="2:16" x14ac:dyDescent="0.3">
      <c r="B12" s="583">
        <v>10</v>
      </c>
      <c r="C12" s="584" t="s">
        <v>31</v>
      </c>
      <c r="D12" s="584" t="s">
        <v>31</v>
      </c>
      <c r="E12" s="584" t="s">
        <v>169</v>
      </c>
      <c r="F12" s="1439" t="s">
        <v>169</v>
      </c>
      <c r="G12" s="938" t="s">
        <v>3123</v>
      </c>
      <c r="H12" s="939">
        <v>0</v>
      </c>
      <c r="I12" s="1177">
        <v>0</v>
      </c>
      <c r="J12" s="939">
        <v>0</v>
      </c>
      <c r="K12" s="940">
        <v>0</v>
      </c>
      <c r="L12" s="1177">
        <v>30</v>
      </c>
      <c r="M12" s="940">
        <v>5</v>
      </c>
      <c r="P12" s="498"/>
    </row>
    <row r="13" spans="2:16" x14ac:dyDescent="0.3">
      <c r="B13" s="583">
        <v>11</v>
      </c>
      <c r="C13" s="584" t="s">
        <v>31</v>
      </c>
      <c r="D13" s="584" t="s">
        <v>31</v>
      </c>
      <c r="E13" s="584" t="s">
        <v>169</v>
      </c>
      <c r="F13" s="1439" t="s">
        <v>169</v>
      </c>
      <c r="G13" s="938" t="s">
        <v>3124</v>
      </c>
      <c r="H13" s="939">
        <v>50</v>
      </c>
      <c r="I13" s="1177">
        <v>15</v>
      </c>
      <c r="J13" s="939">
        <v>0</v>
      </c>
      <c r="K13" s="940">
        <v>0</v>
      </c>
      <c r="L13" s="1177">
        <v>20</v>
      </c>
      <c r="M13" s="940">
        <v>6</v>
      </c>
      <c r="P13" s="498"/>
    </row>
    <row r="14" spans="2:16" x14ac:dyDescent="0.3">
      <c r="B14" s="583">
        <v>12</v>
      </c>
      <c r="C14" s="584" t="s">
        <v>35</v>
      </c>
      <c r="D14" s="584" t="s">
        <v>35</v>
      </c>
      <c r="E14" s="584" t="s">
        <v>192</v>
      </c>
      <c r="F14" s="1439" t="s">
        <v>192</v>
      </c>
      <c r="G14" s="938" t="s">
        <v>3125</v>
      </c>
      <c r="H14" s="939">
        <v>79</v>
      </c>
      <c r="I14" s="1177">
        <v>34</v>
      </c>
      <c r="J14" s="939">
        <v>0</v>
      </c>
      <c r="K14" s="940">
        <v>0</v>
      </c>
      <c r="L14" s="1177">
        <v>0</v>
      </c>
      <c r="M14" s="940">
        <v>0</v>
      </c>
      <c r="P14" s="498"/>
    </row>
    <row r="15" spans="2:16" x14ac:dyDescent="0.3">
      <c r="B15" s="583">
        <v>13</v>
      </c>
      <c r="C15" s="584" t="s">
        <v>33</v>
      </c>
      <c r="D15" s="584" t="s">
        <v>33</v>
      </c>
      <c r="E15" s="584" t="s">
        <v>183</v>
      </c>
      <c r="F15" s="1439" t="s">
        <v>183</v>
      </c>
      <c r="G15" s="938" t="s">
        <v>3126</v>
      </c>
      <c r="H15" s="939">
        <v>26</v>
      </c>
      <c r="I15" s="1177">
        <v>4</v>
      </c>
      <c r="J15" s="939">
        <v>0</v>
      </c>
      <c r="K15" s="940">
        <v>0</v>
      </c>
      <c r="L15" s="1177">
        <v>0</v>
      </c>
      <c r="M15" s="940">
        <v>0</v>
      </c>
      <c r="P15" s="498"/>
    </row>
    <row r="16" spans="2:16" x14ac:dyDescent="0.3">
      <c r="B16" s="583">
        <v>14</v>
      </c>
      <c r="C16" s="584" t="s">
        <v>33</v>
      </c>
      <c r="D16" s="584" t="s">
        <v>33</v>
      </c>
      <c r="E16" s="584" t="s">
        <v>183</v>
      </c>
      <c r="F16" s="1439" t="s">
        <v>183</v>
      </c>
      <c r="G16" s="938" t="s">
        <v>3127</v>
      </c>
      <c r="H16" s="939">
        <v>100</v>
      </c>
      <c r="I16" s="1177">
        <v>15</v>
      </c>
      <c r="J16" s="939">
        <v>0</v>
      </c>
      <c r="K16" s="940">
        <v>0</v>
      </c>
      <c r="L16" s="1177">
        <v>0</v>
      </c>
      <c r="M16" s="940">
        <v>0</v>
      </c>
      <c r="P16" s="498"/>
    </row>
    <row r="17" spans="2:16" x14ac:dyDescent="0.3">
      <c r="B17" s="583">
        <v>15</v>
      </c>
      <c r="C17" s="584" t="s">
        <v>31</v>
      </c>
      <c r="D17" s="584" t="s">
        <v>31</v>
      </c>
      <c r="E17" s="584" t="s">
        <v>165</v>
      </c>
      <c r="F17" s="1439" t="s">
        <v>165</v>
      </c>
      <c r="G17" s="938" t="s">
        <v>3128</v>
      </c>
      <c r="H17" s="939">
        <v>0</v>
      </c>
      <c r="I17" s="1177">
        <v>0</v>
      </c>
      <c r="J17" s="939">
        <v>0</v>
      </c>
      <c r="K17" s="940">
        <v>0</v>
      </c>
      <c r="L17" s="1177">
        <v>0</v>
      </c>
      <c r="M17" s="940">
        <v>0</v>
      </c>
      <c r="P17" s="498"/>
    </row>
    <row r="18" spans="2:16" x14ac:dyDescent="0.3">
      <c r="B18" s="583">
        <v>16</v>
      </c>
      <c r="C18" s="584" t="s">
        <v>35</v>
      </c>
      <c r="D18" s="584" t="s">
        <v>35</v>
      </c>
      <c r="E18" s="584" t="s">
        <v>192</v>
      </c>
      <c r="F18" s="1439" t="s">
        <v>192</v>
      </c>
      <c r="G18" s="938" t="s">
        <v>3129</v>
      </c>
      <c r="H18" s="939">
        <v>150</v>
      </c>
      <c r="I18" s="1177">
        <v>40</v>
      </c>
      <c r="J18" s="939">
        <v>0</v>
      </c>
      <c r="K18" s="940">
        <v>0</v>
      </c>
      <c r="L18" s="1177">
        <v>0</v>
      </c>
      <c r="M18" s="940">
        <v>0</v>
      </c>
      <c r="P18" s="498"/>
    </row>
    <row r="19" spans="2:16" x14ac:dyDescent="0.3">
      <c r="B19" s="583">
        <v>17</v>
      </c>
      <c r="C19" s="584" t="s">
        <v>31</v>
      </c>
      <c r="D19" s="584" t="s">
        <v>31</v>
      </c>
      <c r="E19" s="584" t="s">
        <v>172</v>
      </c>
      <c r="F19" s="1439" t="s">
        <v>172</v>
      </c>
      <c r="G19" s="938" t="s">
        <v>3130</v>
      </c>
      <c r="H19" s="939">
        <v>0</v>
      </c>
      <c r="I19" s="1177">
        <v>0</v>
      </c>
      <c r="J19" s="939">
        <v>0</v>
      </c>
      <c r="K19" s="940">
        <v>0</v>
      </c>
      <c r="L19" s="1177">
        <v>0</v>
      </c>
      <c r="M19" s="940">
        <v>0</v>
      </c>
      <c r="P19" s="498"/>
    </row>
    <row r="20" spans="2:16" x14ac:dyDescent="0.3">
      <c r="B20" s="583">
        <v>18</v>
      </c>
      <c r="C20" s="584" t="s">
        <v>31</v>
      </c>
      <c r="D20" s="584" t="s">
        <v>31</v>
      </c>
      <c r="E20" s="584" t="s">
        <v>167</v>
      </c>
      <c r="F20" s="1439" t="s">
        <v>167</v>
      </c>
      <c r="G20" s="938" t="s">
        <v>3131</v>
      </c>
      <c r="H20" s="939">
        <v>0</v>
      </c>
      <c r="I20" s="1177">
        <v>0</v>
      </c>
      <c r="J20" s="939">
        <v>0</v>
      </c>
      <c r="K20" s="940">
        <v>0</v>
      </c>
      <c r="L20" s="1177">
        <v>0</v>
      </c>
      <c r="M20" s="940">
        <v>0</v>
      </c>
      <c r="P20" s="498"/>
    </row>
    <row r="21" spans="2:16" x14ac:dyDescent="0.3">
      <c r="B21" s="583">
        <v>19</v>
      </c>
      <c r="C21" s="584" t="s">
        <v>31</v>
      </c>
      <c r="D21" s="584" t="s">
        <v>31</v>
      </c>
      <c r="E21" s="584" t="s">
        <v>167</v>
      </c>
      <c r="F21" s="1439" t="s">
        <v>167</v>
      </c>
      <c r="G21" s="938" t="s">
        <v>3132</v>
      </c>
      <c r="H21" s="939">
        <v>0</v>
      </c>
      <c r="I21" s="1177">
        <v>0</v>
      </c>
      <c r="J21" s="939">
        <v>0</v>
      </c>
      <c r="K21" s="940">
        <v>0</v>
      </c>
      <c r="L21" s="1177">
        <v>0</v>
      </c>
      <c r="M21" s="940">
        <v>0</v>
      </c>
      <c r="P21" s="498"/>
    </row>
    <row r="22" spans="2:16" x14ac:dyDescent="0.3">
      <c r="B22" s="583">
        <v>20</v>
      </c>
      <c r="C22" s="584" t="s">
        <v>33</v>
      </c>
      <c r="D22" s="584" t="s">
        <v>33</v>
      </c>
      <c r="E22" s="584" t="s">
        <v>185</v>
      </c>
      <c r="F22" s="1439" t="s">
        <v>185</v>
      </c>
      <c r="G22" s="938" t="s">
        <v>3133</v>
      </c>
      <c r="H22" s="939">
        <v>206</v>
      </c>
      <c r="I22" s="1177">
        <v>28</v>
      </c>
      <c r="J22" s="939">
        <v>0</v>
      </c>
      <c r="K22" s="940">
        <v>0</v>
      </c>
      <c r="L22" s="1177">
        <v>0</v>
      </c>
      <c r="M22" s="940">
        <v>0</v>
      </c>
      <c r="P22" s="498"/>
    </row>
    <row r="23" spans="2:16" x14ac:dyDescent="0.3">
      <c r="B23" s="583">
        <v>21</v>
      </c>
      <c r="C23" s="584" t="s">
        <v>31</v>
      </c>
      <c r="D23" s="584" t="s">
        <v>31</v>
      </c>
      <c r="E23" s="584" t="s">
        <v>169</v>
      </c>
      <c r="F23" s="1439" t="s">
        <v>169</v>
      </c>
      <c r="G23" s="938" t="s">
        <v>3134</v>
      </c>
      <c r="H23" s="939">
        <v>0</v>
      </c>
      <c r="I23" s="1177">
        <v>0</v>
      </c>
      <c r="J23" s="939">
        <v>0</v>
      </c>
      <c r="K23" s="940">
        <v>0</v>
      </c>
      <c r="L23" s="1177">
        <v>168</v>
      </c>
      <c r="M23" s="940">
        <v>24</v>
      </c>
      <c r="P23" s="498"/>
    </row>
    <row r="24" spans="2:16" x14ac:dyDescent="0.3">
      <c r="B24" s="583">
        <v>22</v>
      </c>
      <c r="C24" s="584" t="s">
        <v>31</v>
      </c>
      <c r="D24" s="584" t="s">
        <v>31</v>
      </c>
      <c r="E24" s="584" t="s">
        <v>169</v>
      </c>
      <c r="F24" s="1439" t="s">
        <v>169</v>
      </c>
      <c r="G24" s="938" t="s">
        <v>3135</v>
      </c>
      <c r="H24" s="939">
        <v>0</v>
      </c>
      <c r="I24" s="1177">
        <v>0</v>
      </c>
      <c r="J24" s="939">
        <v>0</v>
      </c>
      <c r="K24" s="940">
        <v>0</v>
      </c>
      <c r="L24" s="1177">
        <v>322</v>
      </c>
      <c r="M24" s="940">
        <v>46</v>
      </c>
      <c r="P24" s="498"/>
    </row>
    <row r="25" spans="2:16" x14ac:dyDescent="0.3">
      <c r="B25" s="583">
        <v>23</v>
      </c>
      <c r="C25" s="584" t="s">
        <v>31</v>
      </c>
      <c r="D25" s="584" t="s">
        <v>31</v>
      </c>
      <c r="E25" s="584" t="s">
        <v>169</v>
      </c>
      <c r="F25" s="1439" t="s">
        <v>169</v>
      </c>
      <c r="G25" s="938" t="s">
        <v>3136</v>
      </c>
      <c r="H25" s="939">
        <v>0</v>
      </c>
      <c r="I25" s="1177">
        <v>0</v>
      </c>
      <c r="J25" s="939">
        <v>0</v>
      </c>
      <c r="K25" s="940">
        <v>0</v>
      </c>
      <c r="L25" s="1177">
        <v>160</v>
      </c>
      <c r="M25" s="940">
        <v>28</v>
      </c>
      <c r="P25" s="498"/>
    </row>
    <row r="26" spans="2:16" x14ac:dyDescent="0.3">
      <c r="B26" s="583">
        <v>24</v>
      </c>
      <c r="C26" s="584" t="s">
        <v>31</v>
      </c>
      <c r="D26" s="584" t="s">
        <v>31</v>
      </c>
      <c r="E26" s="584" t="s">
        <v>169</v>
      </c>
      <c r="F26" s="1439" t="s">
        <v>169</v>
      </c>
      <c r="G26" s="938" t="s">
        <v>3137</v>
      </c>
      <c r="H26" s="939">
        <v>0</v>
      </c>
      <c r="I26" s="1177">
        <v>0</v>
      </c>
      <c r="J26" s="939">
        <v>0</v>
      </c>
      <c r="K26" s="940">
        <v>0</v>
      </c>
      <c r="L26" s="1177">
        <v>200</v>
      </c>
      <c r="M26" s="940">
        <v>30</v>
      </c>
      <c r="P26" s="498"/>
    </row>
    <row r="27" spans="2:16" x14ac:dyDescent="0.3">
      <c r="B27" s="583">
        <v>25</v>
      </c>
      <c r="C27" s="584" t="s">
        <v>31</v>
      </c>
      <c r="D27" s="584" t="s">
        <v>31</v>
      </c>
      <c r="E27" s="584" t="s">
        <v>169</v>
      </c>
      <c r="F27" s="1439" t="s">
        <v>169</v>
      </c>
      <c r="G27" s="938" t="s">
        <v>3138</v>
      </c>
      <c r="H27" s="939">
        <v>0</v>
      </c>
      <c r="I27" s="1177">
        <v>0</v>
      </c>
      <c r="J27" s="939">
        <v>0</v>
      </c>
      <c r="K27" s="940">
        <v>0</v>
      </c>
      <c r="L27" s="1177">
        <v>36</v>
      </c>
      <c r="M27" s="940">
        <v>18</v>
      </c>
      <c r="P27" s="498"/>
    </row>
    <row r="28" spans="2:16" x14ac:dyDescent="0.3">
      <c r="B28" s="583">
        <v>26</v>
      </c>
      <c r="C28" s="584" t="s">
        <v>31</v>
      </c>
      <c r="D28" s="584" t="s">
        <v>31</v>
      </c>
      <c r="E28" s="584" t="s">
        <v>169</v>
      </c>
      <c r="F28" s="1439" t="s">
        <v>169</v>
      </c>
      <c r="G28" s="938" t="s">
        <v>3139</v>
      </c>
      <c r="H28" s="939">
        <v>0</v>
      </c>
      <c r="I28" s="1177">
        <v>0</v>
      </c>
      <c r="J28" s="939">
        <v>0</v>
      </c>
      <c r="K28" s="940">
        <v>0</v>
      </c>
      <c r="L28" s="1177">
        <v>150</v>
      </c>
      <c r="M28" s="940">
        <v>19</v>
      </c>
      <c r="P28" s="498"/>
    </row>
    <row r="29" spans="2:16" x14ac:dyDescent="0.3">
      <c r="B29" s="583">
        <v>27</v>
      </c>
      <c r="C29" s="584" t="s">
        <v>31</v>
      </c>
      <c r="D29" s="584" t="s">
        <v>31</v>
      </c>
      <c r="E29" s="584" t="s">
        <v>169</v>
      </c>
      <c r="F29" s="1439" t="s">
        <v>169</v>
      </c>
      <c r="G29" s="938" t="s">
        <v>3140</v>
      </c>
      <c r="H29" s="939">
        <v>0</v>
      </c>
      <c r="I29" s="1177">
        <v>0</v>
      </c>
      <c r="J29" s="939">
        <v>0</v>
      </c>
      <c r="K29" s="940">
        <v>0</v>
      </c>
      <c r="L29" s="1177">
        <v>77</v>
      </c>
      <c r="M29" s="940">
        <v>11</v>
      </c>
      <c r="P29" s="498"/>
    </row>
    <row r="30" spans="2:16" x14ac:dyDescent="0.3">
      <c r="B30" s="583">
        <v>28</v>
      </c>
      <c r="C30" s="584" t="s">
        <v>32</v>
      </c>
      <c r="D30" s="584" t="s">
        <v>32</v>
      </c>
      <c r="E30" s="584" t="s">
        <v>176</v>
      </c>
      <c r="F30" s="1439" t="s">
        <v>176</v>
      </c>
      <c r="G30" s="938" t="s">
        <v>3141</v>
      </c>
      <c r="H30" s="939">
        <v>0</v>
      </c>
      <c r="I30" s="1177">
        <v>0</v>
      </c>
      <c r="J30" s="939">
        <v>0</v>
      </c>
      <c r="K30" s="940">
        <v>0</v>
      </c>
      <c r="L30" s="1177">
        <v>8433</v>
      </c>
      <c r="M30" s="940">
        <v>937</v>
      </c>
      <c r="P30" s="498"/>
    </row>
    <row r="31" spans="2:16" x14ac:dyDescent="0.3">
      <c r="B31" s="583">
        <v>29</v>
      </c>
      <c r="C31" s="584" t="s">
        <v>31</v>
      </c>
      <c r="D31" s="584" t="s">
        <v>31</v>
      </c>
      <c r="E31" s="584" t="s">
        <v>169</v>
      </c>
      <c r="F31" s="1439" t="s">
        <v>169</v>
      </c>
      <c r="G31" s="938" t="s">
        <v>3142</v>
      </c>
      <c r="H31" s="939">
        <v>250</v>
      </c>
      <c r="I31" s="1177">
        <v>40</v>
      </c>
      <c r="J31" s="939">
        <v>60</v>
      </c>
      <c r="K31" s="940">
        <v>7</v>
      </c>
      <c r="L31" s="1177">
        <v>0</v>
      </c>
      <c r="M31" s="940">
        <v>0</v>
      </c>
      <c r="P31" s="498"/>
    </row>
    <row r="32" spans="2:16" x14ac:dyDescent="0.3">
      <c r="B32" s="583">
        <v>30</v>
      </c>
      <c r="C32" s="584" t="s">
        <v>35</v>
      </c>
      <c r="D32" s="584" t="s">
        <v>35</v>
      </c>
      <c r="E32" s="584" t="s">
        <v>195</v>
      </c>
      <c r="F32" s="1439" t="s">
        <v>195</v>
      </c>
      <c r="G32" s="938" t="s">
        <v>3143</v>
      </c>
      <c r="H32" s="939">
        <v>0</v>
      </c>
      <c r="I32" s="1177">
        <v>0</v>
      </c>
      <c r="J32" s="939">
        <v>0</v>
      </c>
      <c r="K32" s="940">
        <v>0</v>
      </c>
      <c r="L32" s="1177">
        <v>0</v>
      </c>
      <c r="M32" s="940">
        <v>0</v>
      </c>
      <c r="P32" s="498"/>
    </row>
    <row r="33" spans="2:16" x14ac:dyDescent="0.3">
      <c r="B33" s="583">
        <v>31</v>
      </c>
      <c r="C33" s="584" t="s">
        <v>31</v>
      </c>
      <c r="D33" s="584" t="s">
        <v>31</v>
      </c>
      <c r="E33" s="584" t="s">
        <v>173</v>
      </c>
      <c r="F33" s="1439" t="s">
        <v>173</v>
      </c>
      <c r="G33" s="938" t="s">
        <v>3144</v>
      </c>
      <c r="H33" s="939">
        <v>570</v>
      </c>
      <c r="I33" s="1177">
        <v>67</v>
      </c>
      <c r="J33" s="939">
        <v>0</v>
      </c>
      <c r="K33" s="940">
        <v>0</v>
      </c>
      <c r="L33" s="1177">
        <v>0</v>
      </c>
      <c r="M33" s="940">
        <v>0</v>
      </c>
      <c r="P33" s="498"/>
    </row>
    <row r="34" spans="2:16" x14ac:dyDescent="0.3">
      <c r="B34" s="583">
        <v>32</v>
      </c>
      <c r="C34" s="584" t="s">
        <v>32</v>
      </c>
      <c r="D34" s="584" t="s">
        <v>32</v>
      </c>
      <c r="E34" s="584" t="s">
        <v>178</v>
      </c>
      <c r="F34" s="1439" t="s">
        <v>178</v>
      </c>
      <c r="G34" s="938" t="s">
        <v>3145</v>
      </c>
      <c r="H34" s="939">
        <v>0</v>
      </c>
      <c r="I34" s="1177">
        <v>0</v>
      </c>
      <c r="J34" s="939">
        <v>0</v>
      </c>
      <c r="K34" s="940">
        <v>0</v>
      </c>
      <c r="L34" s="1177">
        <v>175</v>
      </c>
      <c r="M34" s="940">
        <v>23</v>
      </c>
      <c r="P34" s="498"/>
    </row>
    <row r="35" spans="2:16" x14ac:dyDescent="0.3">
      <c r="B35" s="583">
        <v>33</v>
      </c>
      <c r="C35" s="584" t="s">
        <v>31</v>
      </c>
      <c r="D35" s="584" t="s">
        <v>31</v>
      </c>
      <c r="E35" s="584" t="s">
        <v>166</v>
      </c>
      <c r="F35" s="1439" t="s">
        <v>166</v>
      </c>
      <c r="G35" s="938" t="s">
        <v>3146</v>
      </c>
      <c r="H35" s="939">
        <v>0</v>
      </c>
      <c r="I35" s="1177">
        <v>0</v>
      </c>
      <c r="J35" s="939">
        <v>0</v>
      </c>
      <c r="K35" s="940">
        <v>0</v>
      </c>
      <c r="L35" s="1177">
        <v>67</v>
      </c>
      <c r="M35" s="940">
        <v>12</v>
      </c>
      <c r="P35" s="498"/>
    </row>
    <row r="36" spans="2:16" x14ac:dyDescent="0.3">
      <c r="B36" s="583">
        <v>34</v>
      </c>
      <c r="C36" s="584" t="s">
        <v>35</v>
      </c>
      <c r="D36" s="584" t="s">
        <v>35</v>
      </c>
      <c r="E36" s="584" t="s">
        <v>195</v>
      </c>
      <c r="F36" s="1439" t="s">
        <v>195</v>
      </c>
      <c r="G36" s="938" t="s">
        <v>3147</v>
      </c>
      <c r="H36" s="939">
        <v>60</v>
      </c>
      <c r="I36" s="1177">
        <v>15</v>
      </c>
      <c r="J36" s="939">
        <v>0</v>
      </c>
      <c r="K36" s="940">
        <v>0</v>
      </c>
      <c r="L36" s="1177">
        <v>0</v>
      </c>
      <c r="M36" s="940">
        <v>0</v>
      </c>
      <c r="P36" s="498"/>
    </row>
    <row r="37" spans="2:16" x14ac:dyDescent="0.3">
      <c r="B37" s="583">
        <v>35</v>
      </c>
      <c r="C37" s="584" t="s">
        <v>31</v>
      </c>
      <c r="D37" s="584" t="s">
        <v>31</v>
      </c>
      <c r="E37" s="584" t="s">
        <v>169</v>
      </c>
      <c r="F37" s="1439" t="s">
        <v>169</v>
      </c>
      <c r="G37" s="938" t="s">
        <v>3148</v>
      </c>
      <c r="H37" s="939">
        <v>0</v>
      </c>
      <c r="I37" s="1177">
        <v>0</v>
      </c>
      <c r="J37" s="939">
        <v>0</v>
      </c>
      <c r="K37" s="940">
        <v>0</v>
      </c>
      <c r="L37" s="1177">
        <v>0</v>
      </c>
      <c r="M37" s="940">
        <v>0</v>
      </c>
      <c r="P37" s="498"/>
    </row>
    <row r="38" spans="2:16" x14ac:dyDescent="0.3">
      <c r="B38" s="583">
        <v>36</v>
      </c>
      <c r="C38" s="584" t="s">
        <v>32</v>
      </c>
      <c r="D38" s="584" t="s">
        <v>32</v>
      </c>
      <c r="E38" s="584" t="s">
        <v>175</v>
      </c>
      <c r="F38" s="1439" t="s">
        <v>175</v>
      </c>
      <c r="G38" s="938" t="s">
        <v>3149</v>
      </c>
      <c r="H38" s="939">
        <v>0</v>
      </c>
      <c r="I38" s="1177">
        <v>0</v>
      </c>
      <c r="J38" s="939">
        <v>0</v>
      </c>
      <c r="K38" s="940">
        <v>0</v>
      </c>
      <c r="L38" s="1177">
        <v>311</v>
      </c>
      <c r="M38" s="940">
        <v>50</v>
      </c>
      <c r="P38" s="498"/>
    </row>
    <row r="39" spans="2:16" x14ac:dyDescent="0.3">
      <c r="B39" s="583">
        <v>37</v>
      </c>
      <c r="C39" s="584" t="s">
        <v>32</v>
      </c>
      <c r="D39" s="584" t="s">
        <v>32</v>
      </c>
      <c r="E39" s="584" t="s">
        <v>176</v>
      </c>
      <c r="F39" s="1439" t="s">
        <v>176</v>
      </c>
      <c r="G39" s="938" t="s">
        <v>3150</v>
      </c>
      <c r="H39" s="939">
        <v>0</v>
      </c>
      <c r="I39" s="1177">
        <v>0</v>
      </c>
      <c r="J39" s="939">
        <v>0</v>
      </c>
      <c r="K39" s="940">
        <v>0</v>
      </c>
      <c r="L39" s="1177">
        <v>415</v>
      </c>
      <c r="M39" s="940">
        <v>40</v>
      </c>
      <c r="P39" s="498"/>
    </row>
    <row r="40" spans="2:16" x14ac:dyDescent="0.3">
      <c r="B40" s="583">
        <v>38</v>
      </c>
      <c r="C40" s="584" t="s">
        <v>35</v>
      </c>
      <c r="D40" s="584" t="s">
        <v>35</v>
      </c>
      <c r="E40" s="584" t="s">
        <v>195</v>
      </c>
      <c r="F40" s="1439" t="s">
        <v>195</v>
      </c>
      <c r="G40" s="938" t="s">
        <v>3151</v>
      </c>
      <c r="H40" s="939">
        <v>0</v>
      </c>
      <c r="I40" s="1177">
        <v>0</v>
      </c>
      <c r="J40" s="939">
        <v>0</v>
      </c>
      <c r="K40" s="940">
        <v>0</v>
      </c>
      <c r="L40" s="1177">
        <v>0</v>
      </c>
      <c r="M40" s="940">
        <v>0</v>
      </c>
      <c r="P40" s="498"/>
    </row>
    <row r="41" spans="2:16" x14ac:dyDescent="0.3">
      <c r="B41" s="583">
        <v>39</v>
      </c>
      <c r="C41" s="584" t="s">
        <v>32</v>
      </c>
      <c r="D41" s="584" t="s">
        <v>32</v>
      </c>
      <c r="E41" s="584" t="s">
        <v>176</v>
      </c>
      <c r="F41" s="1439" t="s">
        <v>176</v>
      </c>
      <c r="G41" s="938" t="s">
        <v>3152</v>
      </c>
      <c r="H41" s="939">
        <v>0</v>
      </c>
      <c r="I41" s="1177">
        <v>0</v>
      </c>
      <c r="J41" s="939">
        <v>0</v>
      </c>
      <c r="K41" s="940">
        <v>0</v>
      </c>
      <c r="L41" s="1177">
        <v>194</v>
      </c>
      <c r="M41" s="940">
        <v>20</v>
      </c>
      <c r="P41" s="498"/>
    </row>
    <row r="42" spans="2:16" x14ac:dyDescent="0.3">
      <c r="B42" s="583">
        <v>40</v>
      </c>
      <c r="C42" s="584" t="s">
        <v>32</v>
      </c>
      <c r="D42" s="584" t="s">
        <v>32</v>
      </c>
      <c r="E42" s="584" t="s">
        <v>176</v>
      </c>
      <c r="F42" s="1439" t="s">
        <v>176</v>
      </c>
      <c r="G42" s="938" t="s">
        <v>3153</v>
      </c>
      <c r="H42" s="939">
        <v>37</v>
      </c>
      <c r="I42" s="1177">
        <v>4</v>
      </c>
      <c r="J42" s="939">
        <v>0</v>
      </c>
      <c r="K42" s="940">
        <v>0</v>
      </c>
      <c r="L42" s="1177">
        <v>70</v>
      </c>
      <c r="M42" s="940">
        <v>6</v>
      </c>
      <c r="P42" s="498"/>
    </row>
    <row r="43" spans="2:16" x14ac:dyDescent="0.3">
      <c r="B43" s="583">
        <v>41</v>
      </c>
      <c r="C43" s="584" t="s">
        <v>32</v>
      </c>
      <c r="D43" s="584" t="s">
        <v>32</v>
      </c>
      <c r="E43" s="584" t="s">
        <v>181</v>
      </c>
      <c r="F43" s="1439" t="s">
        <v>181</v>
      </c>
      <c r="G43" s="938" t="s">
        <v>3154</v>
      </c>
      <c r="H43" s="939">
        <v>0</v>
      </c>
      <c r="I43" s="1177">
        <v>0</v>
      </c>
      <c r="J43" s="939">
        <v>0</v>
      </c>
      <c r="K43" s="940">
        <v>0</v>
      </c>
      <c r="L43" s="1177">
        <v>0</v>
      </c>
      <c r="M43" s="940">
        <v>0</v>
      </c>
      <c r="P43" s="498"/>
    </row>
    <row r="44" spans="2:16" x14ac:dyDescent="0.3">
      <c r="B44" s="583">
        <v>42</v>
      </c>
      <c r="C44" s="584" t="s">
        <v>32</v>
      </c>
      <c r="D44" s="584" t="s">
        <v>32</v>
      </c>
      <c r="E44" s="584" t="s">
        <v>181</v>
      </c>
      <c r="F44" s="1439" t="s">
        <v>181</v>
      </c>
      <c r="G44" s="938" t="s">
        <v>3155</v>
      </c>
      <c r="H44" s="939">
        <v>0</v>
      </c>
      <c r="I44" s="1177">
        <v>0</v>
      </c>
      <c r="J44" s="939">
        <v>0</v>
      </c>
      <c r="K44" s="940">
        <v>0</v>
      </c>
      <c r="L44" s="1177">
        <v>1742</v>
      </c>
      <c r="M44" s="940">
        <v>141</v>
      </c>
      <c r="P44" s="498"/>
    </row>
    <row r="45" spans="2:16" x14ac:dyDescent="0.3">
      <c r="B45" s="583">
        <v>43</v>
      </c>
      <c r="C45" s="584" t="s">
        <v>32</v>
      </c>
      <c r="D45" s="584" t="s">
        <v>32</v>
      </c>
      <c r="E45" s="584" t="s">
        <v>180</v>
      </c>
      <c r="F45" s="1439" t="s">
        <v>180</v>
      </c>
      <c r="G45" s="938" t="s">
        <v>3156</v>
      </c>
      <c r="H45" s="939">
        <v>0</v>
      </c>
      <c r="I45" s="1177">
        <v>0</v>
      </c>
      <c r="J45" s="939">
        <v>0</v>
      </c>
      <c r="K45" s="940">
        <v>0</v>
      </c>
      <c r="L45" s="1177">
        <v>6208</v>
      </c>
      <c r="M45" s="940">
        <v>776</v>
      </c>
      <c r="P45" s="498"/>
    </row>
    <row r="46" spans="2:16" x14ac:dyDescent="0.3">
      <c r="B46" s="583">
        <v>44</v>
      </c>
      <c r="C46" s="584" t="s">
        <v>32</v>
      </c>
      <c r="D46" s="584" t="s">
        <v>32</v>
      </c>
      <c r="E46" s="584" t="s">
        <v>180</v>
      </c>
      <c r="F46" s="1439" t="s">
        <v>180</v>
      </c>
      <c r="G46" s="938" t="s">
        <v>3157</v>
      </c>
      <c r="H46" s="939">
        <v>0</v>
      </c>
      <c r="I46" s="1177">
        <v>0</v>
      </c>
      <c r="J46" s="939">
        <v>0</v>
      </c>
      <c r="K46" s="940">
        <v>0</v>
      </c>
      <c r="L46" s="1177">
        <v>7686</v>
      </c>
      <c r="M46" s="940">
        <v>1098</v>
      </c>
      <c r="P46" s="498"/>
    </row>
    <row r="47" spans="2:16" x14ac:dyDescent="0.3">
      <c r="B47" s="583">
        <v>45</v>
      </c>
      <c r="C47" s="584" t="s">
        <v>32</v>
      </c>
      <c r="D47" s="584" t="s">
        <v>32</v>
      </c>
      <c r="E47" s="584" t="s">
        <v>180</v>
      </c>
      <c r="F47" s="1439" t="s">
        <v>180</v>
      </c>
      <c r="G47" s="938" t="s">
        <v>3158</v>
      </c>
      <c r="H47" s="939">
        <v>0</v>
      </c>
      <c r="I47" s="1177">
        <v>0</v>
      </c>
      <c r="J47" s="939">
        <v>0</v>
      </c>
      <c r="K47" s="940">
        <v>0</v>
      </c>
      <c r="L47" s="1177">
        <v>5292</v>
      </c>
      <c r="M47" s="940">
        <v>441</v>
      </c>
      <c r="P47" s="498"/>
    </row>
    <row r="48" spans="2:16" x14ac:dyDescent="0.3">
      <c r="B48" s="583">
        <v>46</v>
      </c>
      <c r="C48" s="584" t="s">
        <v>32</v>
      </c>
      <c r="D48" s="584" t="s">
        <v>32</v>
      </c>
      <c r="E48" s="584" t="s">
        <v>180</v>
      </c>
      <c r="F48" s="1439" t="s">
        <v>180</v>
      </c>
      <c r="G48" s="938" t="s">
        <v>3159</v>
      </c>
      <c r="H48" s="939">
        <v>0</v>
      </c>
      <c r="I48" s="1177">
        <v>0</v>
      </c>
      <c r="J48" s="939">
        <v>0</v>
      </c>
      <c r="K48" s="940">
        <v>0</v>
      </c>
      <c r="L48" s="1177">
        <v>6980</v>
      </c>
      <c r="M48" s="940">
        <v>698</v>
      </c>
      <c r="P48" s="498"/>
    </row>
    <row r="49" spans="2:16" x14ac:dyDescent="0.3">
      <c r="B49" s="583">
        <v>47</v>
      </c>
      <c r="C49" s="584" t="s">
        <v>32</v>
      </c>
      <c r="D49" s="584" t="s">
        <v>32</v>
      </c>
      <c r="E49" s="584" t="s">
        <v>180</v>
      </c>
      <c r="F49" s="1439" t="s">
        <v>180</v>
      </c>
      <c r="G49" s="938" t="s">
        <v>3160</v>
      </c>
      <c r="H49" s="939">
        <v>0</v>
      </c>
      <c r="I49" s="1177">
        <v>0</v>
      </c>
      <c r="J49" s="939">
        <v>0</v>
      </c>
      <c r="K49" s="940">
        <v>0</v>
      </c>
      <c r="L49" s="1177">
        <v>9816</v>
      </c>
      <c r="M49" s="940">
        <v>1227</v>
      </c>
      <c r="P49" s="498"/>
    </row>
    <row r="50" spans="2:16" x14ac:dyDescent="0.3">
      <c r="B50" s="583">
        <v>48</v>
      </c>
      <c r="C50" s="584" t="s">
        <v>32</v>
      </c>
      <c r="D50" s="584" t="s">
        <v>32</v>
      </c>
      <c r="E50" s="584" t="s">
        <v>175</v>
      </c>
      <c r="F50" s="1439" t="s">
        <v>175</v>
      </c>
      <c r="G50" s="938" t="s">
        <v>3161</v>
      </c>
      <c r="H50" s="939">
        <v>0</v>
      </c>
      <c r="I50" s="1177">
        <v>0</v>
      </c>
      <c r="J50" s="939">
        <v>0</v>
      </c>
      <c r="K50" s="940">
        <v>0</v>
      </c>
      <c r="L50" s="1177">
        <v>450</v>
      </c>
      <c r="M50" s="940">
        <v>50</v>
      </c>
      <c r="P50" s="498"/>
    </row>
    <row r="51" spans="2:16" x14ac:dyDescent="0.3">
      <c r="B51" s="583">
        <v>49</v>
      </c>
      <c r="C51" s="584" t="s">
        <v>35</v>
      </c>
      <c r="D51" s="584" t="s">
        <v>35</v>
      </c>
      <c r="E51" s="584" t="s">
        <v>195</v>
      </c>
      <c r="F51" s="1439" t="s">
        <v>195</v>
      </c>
      <c r="G51" s="938" t="s">
        <v>3162</v>
      </c>
      <c r="H51" s="939">
        <v>75</v>
      </c>
      <c r="I51" s="1177">
        <v>23</v>
      </c>
      <c r="J51" s="939">
        <v>0</v>
      </c>
      <c r="K51" s="940">
        <v>0</v>
      </c>
      <c r="L51" s="1177">
        <v>0</v>
      </c>
      <c r="M51" s="940">
        <v>0</v>
      </c>
      <c r="P51" s="498"/>
    </row>
    <row r="52" spans="2:16" x14ac:dyDescent="0.3">
      <c r="B52" s="583">
        <v>50</v>
      </c>
      <c r="C52" s="584" t="s">
        <v>31</v>
      </c>
      <c r="D52" s="584" t="s">
        <v>31</v>
      </c>
      <c r="E52" s="584" t="s">
        <v>170</v>
      </c>
      <c r="F52" s="1439" t="s">
        <v>170</v>
      </c>
      <c r="G52" s="938" t="s">
        <v>3164</v>
      </c>
      <c r="H52" s="939">
        <v>3500</v>
      </c>
      <c r="I52" s="1177">
        <v>277</v>
      </c>
      <c r="J52" s="939">
        <v>0</v>
      </c>
      <c r="K52" s="940">
        <v>0</v>
      </c>
      <c r="L52" s="1177">
        <v>0</v>
      </c>
      <c r="M52" s="940">
        <v>0</v>
      </c>
      <c r="P52" s="498"/>
    </row>
    <row r="53" spans="2:16" x14ac:dyDescent="0.3">
      <c r="B53" s="583">
        <v>51</v>
      </c>
      <c r="C53" s="584" t="s">
        <v>31</v>
      </c>
      <c r="D53" s="584" t="s">
        <v>31</v>
      </c>
      <c r="E53" s="584" t="s">
        <v>167</v>
      </c>
      <c r="F53" s="1439" t="s">
        <v>167</v>
      </c>
      <c r="G53" s="938" t="s">
        <v>3165</v>
      </c>
      <c r="H53" s="939">
        <v>122</v>
      </c>
      <c r="I53" s="1177">
        <v>12</v>
      </c>
      <c r="J53" s="939">
        <v>0</v>
      </c>
      <c r="K53" s="940">
        <v>0</v>
      </c>
      <c r="L53" s="1177">
        <v>0</v>
      </c>
      <c r="M53" s="940">
        <v>0</v>
      </c>
      <c r="P53" s="498"/>
    </row>
    <row r="54" spans="2:16" x14ac:dyDescent="0.3">
      <c r="B54" s="583">
        <v>52</v>
      </c>
      <c r="C54" s="584" t="s">
        <v>31</v>
      </c>
      <c r="D54" s="584" t="s">
        <v>31</v>
      </c>
      <c r="E54" s="584" t="s">
        <v>2797</v>
      </c>
      <c r="F54" s="1439" t="s">
        <v>3898</v>
      </c>
      <c r="G54" s="938" t="s">
        <v>3166</v>
      </c>
      <c r="H54" s="939">
        <v>2450</v>
      </c>
      <c r="I54" s="1177">
        <v>350</v>
      </c>
      <c r="J54" s="939">
        <v>0</v>
      </c>
      <c r="K54" s="940">
        <v>0</v>
      </c>
      <c r="L54" s="1177">
        <v>0</v>
      </c>
      <c r="M54" s="940">
        <v>0</v>
      </c>
      <c r="P54" s="498"/>
    </row>
    <row r="55" spans="2:16" x14ac:dyDescent="0.3">
      <c r="B55" s="583">
        <v>53</v>
      </c>
      <c r="C55" s="584" t="s">
        <v>31</v>
      </c>
      <c r="D55" s="584" t="s">
        <v>31</v>
      </c>
      <c r="E55" s="584" t="s">
        <v>167</v>
      </c>
      <c r="F55" s="1439" t="s">
        <v>167</v>
      </c>
      <c r="G55" s="938" t="s">
        <v>3167</v>
      </c>
      <c r="H55" s="939">
        <v>172</v>
      </c>
      <c r="I55" s="1177">
        <v>15</v>
      </c>
      <c r="J55" s="939">
        <v>0</v>
      </c>
      <c r="K55" s="940">
        <v>0</v>
      </c>
      <c r="L55" s="1177">
        <v>0</v>
      </c>
      <c r="M55" s="940">
        <v>0</v>
      </c>
      <c r="P55" s="498"/>
    </row>
    <row r="56" spans="2:16" x14ac:dyDescent="0.3">
      <c r="B56" s="583">
        <v>54</v>
      </c>
      <c r="C56" s="584" t="s">
        <v>31</v>
      </c>
      <c r="D56" s="584" t="s">
        <v>31</v>
      </c>
      <c r="E56" s="584" t="s">
        <v>2797</v>
      </c>
      <c r="F56" s="1439" t="s">
        <v>3898</v>
      </c>
      <c r="G56" s="938" t="s">
        <v>3169</v>
      </c>
      <c r="H56" s="939">
        <v>700</v>
      </c>
      <c r="I56" s="1177">
        <v>100</v>
      </c>
      <c r="J56" s="939">
        <v>0</v>
      </c>
      <c r="K56" s="940">
        <v>0</v>
      </c>
      <c r="L56" s="1177">
        <v>0</v>
      </c>
      <c r="M56" s="940">
        <v>0</v>
      </c>
      <c r="P56" s="498"/>
    </row>
    <row r="57" spans="2:16" x14ac:dyDescent="0.3">
      <c r="B57" s="583">
        <v>55</v>
      </c>
      <c r="C57" s="584" t="s">
        <v>31</v>
      </c>
      <c r="D57" s="584" t="s">
        <v>31</v>
      </c>
      <c r="E57" s="584" t="s">
        <v>171</v>
      </c>
      <c r="F57" s="1439" t="s">
        <v>171</v>
      </c>
      <c r="G57" s="938" t="s">
        <v>3170</v>
      </c>
      <c r="H57" s="939">
        <v>200</v>
      </c>
      <c r="I57" s="1177">
        <v>100</v>
      </c>
      <c r="J57" s="939">
        <v>150</v>
      </c>
      <c r="K57" s="940">
        <v>50</v>
      </c>
      <c r="L57" s="1177">
        <v>0</v>
      </c>
      <c r="M57" s="940">
        <v>0</v>
      </c>
      <c r="P57" s="498"/>
    </row>
    <row r="58" spans="2:16" x14ac:dyDescent="0.3">
      <c r="B58" s="583">
        <v>56</v>
      </c>
      <c r="C58" s="584" t="s">
        <v>31</v>
      </c>
      <c r="D58" s="584" t="s">
        <v>31</v>
      </c>
      <c r="E58" s="584" t="s">
        <v>169</v>
      </c>
      <c r="F58" s="1439" t="s">
        <v>169</v>
      </c>
      <c r="G58" s="938" t="s">
        <v>3171</v>
      </c>
      <c r="H58" s="939">
        <v>1186</v>
      </c>
      <c r="I58" s="1177">
        <v>131</v>
      </c>
      <c r="J58" s="939">
        <v>79</v>
      </c>
      <c r="K58" s="940">
        <v>15</v>
      </c>
      <c r="L58" s="1177">
        <v>0</v>
      </c>
      <c r="M58" s="940">
        <v>0</v>
      </c>
      <c r="P58" s="498"/>
    </row>
    <row r="59" spans="2:16" x14ac:dyDescent="0.3">
      <c r="B59" s="583">
        <v>57</v>
      </c>
      <c r="C59" s="584" t="s">
        <v>31</v>
      </c>
      <c r="D59" s="584" t="s">
        <v>31</v>
      </c>
      <c r="E59" s="584" t="s">
        <v>164</v>
      </c>
      <c r="F59" s="1439" t="s">
        <v>164</v>
      </c>
      <c r="G59" s="938" t="s">
        <v>3172</v>
      </c>
      <c r="H59" s="939">
        <v>116</v>
      </c>
      <c r="I59" s="1177">
        <v>29</v>
      </c>
      <c r="J59" s="939">
        <v>0</v>
      </c>
      <c r="K59" s="940">
        <v>0</v>
      </c>
      <c r="L59" s="1177">
        <v>0</v>
      </c>
      <c r="M59" s="940">
        <v>0</v>
      </c>
      <c r="P59" s="498"/>
    </row>
    <row r="60" spans="2:16" x14ac:dyDescent="0.3">
      <c r="B60" s="583">
        <v>58</v>
      </c>
      <c r="C60" s="584" t="s">
        <v>31</v>
      </c>
      <c r="D60" s="584" t="s">
        <v>31</v>
      </c>
      <c r="E60" s="584" t="s">
        <v>169</v>
      </c>
      <c r="F60" s="1439" t="s">
        <v>169</v>
      </c>
      <c r="G60" s="938" t="s">
        <v>3173</v>
      </c>
      <c r="H60" s="939">
        <v>0</v>
      </c>
      <c r="I60" s="1177">
        <v>0</v>
      </c>
      <c r="J60" s="939">
        <v>238</v>
      </c>
      <c r="K60" s="940">
        <v>34</v>
      </c>
      <c r="L60" s="1177">
        <v>0</v>
      </c>
      <c r="M60" s="940">
        <v>0</v>
      </c>
      <c r="P60" s="498"/>
    </row>
    <row r="61" spans="2:16" x14ac:dyDescent="0.3">
      <c r="B61" s="583">
        <v>59</v>
      </c>
      <c r="C61" s="584" t="s">
        <v>35</v>
      </c>
      <c r="D61" s="584" t="s">
        <v>35</v>
      </c>
      <c r="E61" s="584" t="s">
        <v>193</v>
      </c>
      <c r="F61" s="1439" t="s">
        <v>3983</v>
      </c>
      <c r="G61" s="938" t="s">
        <v>3174</v>
      </c>
      <c r="H61" s="939">
        <v>550</v>
      </c>
      <c r="I61" s="1177">
        <v>83</v>
      </c>
      <c r="J61" s="939">
        <v>0</v>
      </c>
      <c r="K61" s="940">
        <v>0</v>
      </c>
      <c r="L61" s="1177">
        <v>0</v>
      </c>
      <c r="M61" s="940">
        <v>0</v>
      </c>
      <c r="P61" s="498"/>
    </row>
    <row r="62" spans="2:16" x14ac:dyDescent="0.3">
      <c r="B62" s="583">
        <v>60</v>
      </c>
      <c r="C62" s="584" t="s">
        <v>34</v>
      </c>
      <c r="D62" s="584" t="s">
        <v>34</v>
      </c>
      <c r="E62" s="584" t="s">
        <v>187</v>
      </c>
      <c r="F62" s="1439" t="s">
        <v>187</v>
      </c>
      <c r="G62" s="938" t="s">
        <v>3175</v>
      </c>
      <c r="H62" s="939">
        <v>600</v>
      </c>
      <c r="I62" s="1177">
        <v>200</v>
      </c>
      <c r="J62" s="939">
        <v>0</v>
      </c>
      <c r="K62" s="940">
        <v>0</v>
      </c>
      <c r="L62" s="1177">
        <v>0</v>
      </c>
      <c r="M62" s="940">
        <v>0</v>
      </c>
      <c r="P62" s="498"/>
    </row>
    <row r="63" spans="2:16" x14ac:dyDescent="0.3">
      <c r="B63" s="583">
        <v>61</v>
      </c>
      <c r="C63" s="584" t="s">
        <v>31</v>
      </c>
      <c r="D63" s="584" t="s">
        <v>31</v>
      </c>
      <c r="E63" s="584" t="s">
        <v>2797</v>
      </c>
      <c r="F63" s="1439" t="s">
        <v>3898</v>
      </c>
      <c r="G63" s="938" t="s">
        <v>3176</v>
      </c>
      <c r="H63" s="939">
        <v>1100</v>
      </c>
      <c r="I63" s="1177">
        <v>146</v>
      </c>
      <c r="J63" s="939">
        <v>0</v>
      </c>
      <c r="K63" s="940">
        <v>0</v>
      </c>
      <c r="L63" s="1177">
        <v>0</v>
      </c>
      <c r="M63" s="940">
        <v>0</v>
      </c>
      <c r="P63" s="498"/>
    </row>
    <row r="64" spans="2:16" x14ac:dyDescent="0.3">
      <c r="B64" s="583">
        <v>62</v>
      </c>
      <c r="C64" s="584" t="s">
        <v>31</v>
      </c>
      <c r="D64" s="584" t="s">
        <v>31</v>
      </c>
      <c r="E64" s="584" t="s">
        <v>170</v>
      </c>
      <c r="F64" s="1439" t="s">
        <v>170</v>
      </c>
      <c r="G64" s="938" t="s">
        <v>3177</v>
      </c>
      <c r="H64" s="939">
        <v>1150</v>
      </c>
      <c r="I64" s="1177">
        <v>100</v>
      </c>
      <c r="J64" s="939">
        <v>200</v>
      </c>
      <c r="K64" s="940">
        <v>21</v>
      </c>
      <c r="L64" s="1177">
        <v>0</v>
      </c>
      <c r="M64" s="940">
        <v>0</v>
      </c>
      <c r="P64" s="498"/>
    </row>
    <row r="65" spans="2:16" x14ac:dyDescent="0.3">
      <c r="B65" s="583">
        <v>63</v>
      </c>
      <c r="C65" s="584" t="s">
        <v>31</v>
      </c>
      <c r="D65" s="584" t="s">
        <v>31</v>
      </c>
      <c r="E65" s="584" t="s">
        <v>170</v>
      </c>
      <c r="F65" s="1439" t="s">
        <v>170</v>
      </c>
      <c r="G65" s="938" t="s">
        <v>3178</v>
      </c>
      <c r="H65" s="939">
        <v>0</v>
      </c>
      <c r="I65" s="1177">
        <v>0</v>
      </c>
      <c r="J65" s="939">
        <v>5</v>
      </c>
      <c r="K65" s="940">
        <v>2</v>
      </c>
      <c r="L65" s="1177">
        <v>0</v>
      </c>
      <c r="M65" s="940">
        <v>0</v>
      </c>
      <c r="P65" s="498"/>
    </row>
    <row r="66" spans="2:16" x14ac:dyDescent="0.3">
      <c r="B66" s="583">
        <v>64</v>
      </c>
      <c r="C66" s="584" t="s">
        <v>31</v>
      </c>
      <c r="D66" s="584" t="s">
        <v>31</v>
      </c>
      <c r="E66" s="584" t="s">
        <v>164</v>
      </c>
      <c r="F66" s="1439" t="s">
        <v>164</v>
      </c>
      <c r="G66" s="938" t="s">
        <v>3179</v>
      </c>
      <c r="H66" s="939">
        <v>2285</v>
      </c>
      <c r="I66" s="1177">
        <v>669</v>
      </c>
      <c r="J66" s="939">
        <v>0</v>
      </c>
      <c r="K66" s="940">
        <v>0</v>
      </c>
      <c r="L66" s="1177">
        <v>0</v>
      </c>
      <c r="M66" s="940">
        <v>0</v>
      </c>
      <c r="P66" s="498"/>
    </row>
    <row r="67" spans="2:16" x14ac:dyDescent="0.3">
      <c r="B67" s="583">
        <v>65</v>
      </c>
      <c r="C67" s="584" t="s">
        <v>31</v>
      </c>
      <c r="D67" s="584" t="s">
        <v>31</v>
      </c>
      <c r="E67" s="584" t="s">
        <v>170</v>
      </c>
      <c r="F67" s="1439" t="s">
        <v>170</v>
      </c>
      <c r="G67" s="938" t="s">
        <v>3180</v>
      </c>
      <c r="H67" s="939">
        <v>577</v>
      </c>
      <c r="I67" s="1177">
        <v>300</v>
      </c>
      <c r="J67" s="939">
        <v>0</v>
      </c>
      <c r="K67" s="940">
        <v>0</v>
      </c>
      <c r="L67" s="1177">
        <v>0</v>
      </c>
      <c r="M67" s="940">
        <v>0</v>
      </c>
      <c r="P67" s="498"/>
    </row>
    <row r="68" spans="2:16" x14ac:dyDescent="0.3">
      <c r="B68" s="583">
        <v>66</v>
      </c>
      <c r="C68" s="584" t="s">
        <v>31</v>
      </c>
      <c r="D68" s="584" t="s">
        <v>31</v>
      </c>
      <c r="E68" s="584" t="s">
        <v>171</v>
      </c>
      <c r="F68" s="1439" t="s">
        <v>171</v>
      </c>
      <c r="G68" s="938" t="s">
        <v>3181</v>
      </c>
      <c r="H68" s="939">
        <v>401</v>
      </c>
      <c r="I68" s="1177">
        <v>263</v>
      </c>
      <c r="J68" s="939">
        <v>0</v>
      </c>
      <c r="K68" s="940">
        <v>0</v>
      </c>
      <c r="L68" s="1177">
        <v>0</v>
      </c>
      <c r="M68" s="940">
        <v>0</v>
      </c>
      <c r="P68" s="498"/>
    </row>
    <row r="69" spans="2:16" x14ac:dyDescent="0.3">
      <c r="B69" s="583">
        <v>67</v>
      </c>
      <c r="C69" s="584" t="s">
        <v>31</v>
      </c>
      <c r="D69" s="584" t="s">
        <v>31</v>
      </c>
      <c r="E69" s="584" t="s">
        <v>164</v>
      </c>
      <c r="F69" s="1439" t="s">
        <v>164</v>
      </c>
      <c r="G69" s="938" t="s">
        <v>3182</v>
      </c>
      <c r="H69" s="939">
        <v>800</v>
      </c>
      <c r="I69" s="1177">
        <v>130</v>
      </c>
      <c r="J69" s="939">
        <v>0</v>
      </c>
      <c r="K69" s="940">
        <v>0</v>
      </c>
      <c r="L69" s="1177">
        <v>0</v>
      </c>
      <c r="M69" s="940">
        <v>0</v>
      </c>
      <c r="P69" s="498"/>
    </row>
    <row r="70" spans="2:16" x14ac:dyDescent="0.3">
      <c r="B70" s="583">
        <v>68</v>
      </c>
      <c r="C70" s="584" t="s">
        <v>31</v>
      </c>
      <c r="D70" s="584" t="s">
        <v>31</v>
      </c>
      <c r="E70" s="584" t="s">
        <v>2797</v>
      </c>
      <c r="F70" s="1439" t="s">
        <v>3898</v>
      </c>
      <c r="G70" s="938" t="s">
        <v>3183</v>
      </c>
      <c r="H70" s="939">
        <v>2800</v>
      </c>
      <c r="I70" s="1177">
        <v>400</v>
      </c>
      <c r="J70" s="939">
        <v>0</v>
      </c>
      <c r="K70" s="940">
        <v>0</v>
      </c>
      <c r="L70" s="1177">
        <v>0</v>
      </c>
      <c r="M70" s="940">
        <v>0</v>
      </c>
      <c r="P70" s="498"/>
    </row>
    <row r="71" spans="2:16" x14ac:dyDescent="0.3">
      <c r="B71" s="583">
        <v>69</v>
      </c>
      <c r="C71" s="584" t="s">
        <v>32</v>
      </c>
      <c r="D71" s="584" t="s">
        <v>32</v>
      </c>
      <c r="E71" s="584" t="s">
        <v>181</v>
      </c>
      <c r="F71" s="1439" t="s">
        <v>181</v>
      </c>
      <c r="G71" s="938" t="s">
        <v>3184</v>
      </c>
      <c r="H71" s="939">
        <v>375</v>
      </c>
      <c r="I71" s="1177">
        <v>58</v>
      </c>
      <c r="J71" s="939">
        <v>0</v>
      </c>
      <c r="K71" s="940">
        <v>0</v>
      </c>
      <c r="L71" s="1177">
        <v>0</v>
      </c>
      <c r="M71" s="940">
        <v>0</v>
      </c>
      <c r="P71" s="498"/>
    </row>
    <row r="72" spans="2:16" x14ac:dyDescent="0.3">
      <c r="B72" s="583">
        <v>70</v>
      </c>
      <c r="C72" s="584" t="s">
        <v>30</v>
      </c>
      <c r="D72" s="584" t="s">
        <v>3522</v>
      </c>
      <c r="E72" s="584" t="s">
        <v>162</v>
      </c>
      <c r="F72" s="1439" t="s">
        <v>3529</v>
      </c>
      <c r="G72" s="938" t="s">
        <v>3185</v>
      </c>
      <c r="H72" s="939">
        <v>48</v>
      </c>
      <c r="I72" s="1177">
        <v>5</v>
      </c>
      <c r="J72" s="939">
        <v>0</v>
      </c>
      <c r="K72" s="940">
        <v>0</v>
      </c>
      <c r="L72" s="1177">
        <v>0</v>
      </c>
      <c r="M72" s="940">
        <v>0</v>
      </c>
      <c r="P72" s="498"/>
    </row>
    <row r="73" spans="2:16" x14ac:dyDescent="0.3">
      <c r="B73" s="583">
        <v>71</v>
      </c>
      <c r="C73" s="584" t="s">
        <v>31</v>
      </c>
      <c r="D73" s="584" t="s">
        <v>31</v>
      </c>
      <c r="E73" s="584" t="s">
        <v>2797</v>
      </c>
      <c r="F73" s="1439" t="s">
        <v>3898</v>
      </c>
      <c r="G73" s="938" t="s">
        <v>3186</v>
      </c>
      <c r="H73" s="939">
        <v>658</v>
      </c>
      <c r="I73" s="1177">
        <v>94</v>
      </c>
      <c r="J73" s="939">
        <v>0</v>
      </c>
      <c r="K73" s="940">
        <v>0</v>
      </c>
      <c r="L73" s="1177">
        <v>0</v>
      </c>
      <c r="M73" s="940">
        <v>0</v>
      </c>
      <c r="P73" s="498"/>
    </row>
    <row r="74" spans="2:16" x14ac:dyDescent="0.3">
      <c r="B74" s="583">
        <v>72</v>
      </c>
      <c r="C74" s="584" t="s">
        <v>31</v>
      </c>
      <c r="D74" s="584" t="s">
        <v>31</v>
      </c>
      <c r="E74" s="584" t="s">
        <v>169</v>
      </c>
      <c r="F74" s="1439" t="s">
        <v>169</v>
      </c>
      <c r="G74" s="938" t="s">
        <v>3187</v>
      </c>
      <c r="H74" s="939">
        <v>567</v>
      </c>
      <c r="I74" s="1177">
        <v>82</v>
      </c>
      <c r="J74" s="939">
        <v>0</v>
      </c>
      <c r="K74" s="940">
        <v>0</v>
      </c>
      <c r="L74" s="1177">
        <v>0</v>
      </c>
      <c r="M74" s="940">
        <v>0</v>
      </c>
      <c r="P74" s="498"/>
    </row>
    <row r="75" spans="2:16" x14ac:dyDescent="0.3">
      <c r="B75" s="583">
        <v>73</v>
      </c>
      <c r="C75" s="584" t="s">
        <v>31</v>
      </c>
      <c r="D75" s="584" t="s">
        <v>31</v>
      </c>
      <c r="E75" s="584" t="s">
        <v>167</v>
      </c>
      <c r="F75" s="1439" t="s">
        <v>167</v>
      </c>
      <c r="G75" s="938" t="s">
        <v>3188</v>
      </c>
      <c r="H75" s="939">
        <v>350</v>
      </c>
      <c r="I75" s="1177">
        <v>50</v>
      </c>
      <c r="J75" s="939">
        <v>0</v>
      </c>
      <c r="K75" s="940">
        <v>0</v>
      </c>
      <c r="L75" s="1177">
        <v>0</v>
      </c>
      <c r="M75" s="940">
        <v>0</v>
      </c>
      <c r="P75" s="498"/>
    </row>
    <row r="76" spans="2:16" x14ac:dyDescent="0.3">
      <c r="B76" s="583">
        <v>74</v>
      </c>
      <c r="C76" s="584" t="s">
        <v>31</v>
      </c>
      <c r="D76" s="584" t="s">
        <v>31</v>
      </c>
      <c r="E76" s="584" t="s">
        <v>169</v>
      </c>
      <c r="F76" s="1439" t="s">
        <v>169</v>
      </c>
      <c r="G76" s="938" t="s">
        <v>3189</v>
      </c>
      <c r="H76" s="939">
        <v>622</v>
      </c>
      <c r="I76" s="1177">
        <v>74</v>
      </c>
      <c r="J76" s="939">
        <v>254</v>
      </c>
      <c r="K76" s="940">
        <v>44</v>
      </c>
      <c r="L76" s="1177">
        <v>0</v>
      </c>
      <c r="M76" s="940">
        <v>0</v>
      </c>
      <c r="P76" s="498"/>
    </row>
    <row r="77" spans="2:16" x14ac:dyDescent="0.3">
      <c r="B77" s="583">
        <v>75</v>
      </c>
      <c r="C77" s="584" t="s">
        <v>31</v>
      </c>
      <c r="D77" s="584" t="s">
        <v>31</v>
      </c>
      <c r="E77" s="584" t="s">
        <v>169</v>
      </c>
      <c r="F77" s="1439" t="s">
        <v>169</v>
      </c>
      <c r="G77" s="938" t="s">
        <v>3190</v>
      </c>
      <c r="H77" s="939">
        <v>0</v>
      </c>
      <c r="I77" s="1177">
        <v>0</v>
      </c>
      <c r="J77" s="939">
        <v>1050</v>
      </c>
      <c r="K77" s="940">
        <v>200</v>
      </c>
      <c r="L77" s="1177">
        <v>0</v>
      </c>
      <c r="M77" s="940">
        <v>0</v>
      </c>
      <c r="P77" s="498"/>
    </row>
    <row r="78" spans="2:16" ht="15" thickBot="1" x14ac:dyDescent="0.35">
      <c r="B78" s="583">
        <v>76</v>
      </c>
      <c r="C78" s="584" t="s">
        <v>35</v>
      </c>
      <c r="D78" s="584" t="s">
        <v>35</v>
      </c>
      <c r="E78" s="584" t="s">
        <v>193</v>
      </c>
      <c r="F78" s="1439" t="s">
        <v>3983</v>
      </c>
      <c r="G78" s="938" t="s">
        <v>3191</v>
      </c>
      <c r="H78" s="939">
        <v>150</v>
      </c>
      <c r="I78" s="1177">
        <v>30</v>
      </c>
      <c r="J78" s="939">
        <v>0</v>
      </c>
      <c r="K78" s="940">
        <v>0</v>
      </c>
      <c r="L78" s="1177">
        <v>0</v>
      </c>
      <c r="M78" s="940">
        <v>0</v>
      </c>
      <c r="P78" s="498"/>
    </row>
    <row r="79" spans="2:16" ht="15" thickBot="1" x14ac:dyDescent="0.35">
      <c r="B79" s="511"/>
      <c r="C79" s="510"/>
      <c r="D79" s="510"/>
      <c r="E79" s="512"/>
      <c r="F79" s="512"/>
      <c r="G79" s="512"/>
      <c r="H79" s="1180">
        <f t="shared" ref="H79:M79" si="0">SUM(H3:H78)</f>
        <v>23731</v>
      </c>
      <c r="I79" s="1180">
        <f t="shared" si="0"/>
        <v>4107</v>
      </c>
      <c r="J79" s="1180">
        <f t="shared" si="0"/>
        <v>2481</v>
      </c>
      <c r="K79" s="1180">
        <f t="shared" si="0"/>
        <v>448</v>
      </c>
      <c r="L79" s="1180">
        <f t="shared" si="0"/>
        <v>49162</v>
      </c>
      <c r="M79" s="1180">
        <f t="shared" si="0"/>
        <v>5736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B6744-ABB6-4A0C-992B-3F7523CB120E}">
  <dimension ref="A1:CV1264"/>
  <sheetViews>
    <sheetView zoomScaleNormal="100" workbookViewId="0">
      <pane ySplit="1" topLeftCell="A2" activePane="bottomLeft" state="frozen"/>
      <selection activeCell="BP1" sqref="BP1"/>
      <selection pane="bottomLeft" activeCell="CF1" sqref="CF1:CI1"/>
    </sheetView>
  </sheetViews>
  <sheetFormatPr defaultColWidth="11.44140625" defaultRowHeight="14.4" x14ac:dyDescent="0.3"/>
  <cols>
    <col min="1" max="1" width="12.44140625" style="390" customWidth="1"/>
    <col min="2" max="3" width="14.21875" style="5" customWidth="1"/>
    <col min="4" max="4" width="8.21875" style="5" customWidth="1"/>
    <col min="5" max="6" width="18.77734375" style="5" customWidth="1"/>
    <col min="7" max="7" width="13.77734375" style="5" customWidth="1"/>
    <col min="8" max="9" width="15.21875" style="5" customWidth="1"/>
    <col min="10" max="10" width="15.77734375" style="5" customWidth="1"/>
    <col min="11" max="11" width="14.21875" customWidth="1"/>
    <col min="12" max="12" width="23.77734375" style="5" customWidth="1"/>
    <col min="13" max="13" width="19.5546875" style="5" customWidth="1"/>
    <col min="14" max="14" width="25.44140625" style="5" customWidth="1"/>
    <col min="15" max="15" width="27.77734375" style="5" customWidth="1"/>
    <col min="16" max="17" width="12.77734375" style="5" customWidth="1"/>
    <col min="18" max="18" width="19.21875" style="5" customWidth="1"/>
    <col min="19" max="19" width="17.77734375" style="390" customWidth="1"/>
    <col min="20" max="20" width="12.77734375" style="390" customWidth="1"/>
    <col min="21" max="21" width="12.77734375" style="5" customWidth="1"/>
    <col min="22" max="22" width="20.77734375" style="5" customWidth="1"/>
    <col min="23" max="23" width="36.21875" style="5" customWidth="1"/>
    <col min="24" max="24" width="29.44140625" style="5" customWidth="1"/>
    <col min="25" max="25" width="21.21875" style="5" customWidth="1"/>
    <col min="26" max="26" width="20.21875" style="5" customWidth="1"/>
    <col min="27" max="27" width="18.109375" style="5" customWidth="1"/>
    <col min="28" max="29" width="23.5546875" style="5" customWidth="1"/>
    <col min="30" max="30" width="11.21875" style="5" customWidth="1"/>
    <col min="31" max="31" width="9.21875" style="5" customWidth="1"/>
    <col min="32" max="32" width="11.77734375" style="5" customWidth="1"/>
    <col min="33" max="33" width="13.5546875" style="5" customWidth="1"/>
    <col min="34" max="34" width="14" style="5" customWidth="1"/>
    <col min="35" max="35" width="12.33203125" style="5" customWidth="1"/>
    <col min="36" max="36" width="8.77734375" style="5" customWidth="1"/>
    <col min="37" max="39" width="13.21875" style="5" customWidth="1"/>
    <col min="40" max="43" width="19.88671875" style="5" customWidth="1"/>
    <col min="44" max="44" width="12.44140625" style="5" customWidth="1"/>
    <col min="45" max="45" width="15" style="5" customWidth="1"/>
    <col min="46" max="47" width="19.88671875" style="5" customWidth="1"/>
    <col min="48" max="48" width="11.44140625" style="5" customWidth="1"/>
    <col min="49" max="49" width="12.44140625" style="5" customWidth="1"/>
    <col min="50" max="50" width="19.88671875" style="5" customWidth="1"/>
    <col min="51" max="51" width="11.21875" style="5" customWidth="1"/>
    <col min="52" max="55" width="13.5546875" style="5" customWidth="1"/>
    <col min="56" max="65" width="13.21875" style="5" customWidth="1"/>
    <col min="66" max="66" width="11.77734375" style="5" customWidth="1"/>
    <col min="67" max="70" width="13.44140625" style="5" customWidth="1"/>
    <col min="71" max="71" width="22.33203125" style="5" customWidth="1"/>
    <col min="72" max="72" width="13.21875" style="5" customWidth="1"/>
    <col min="73" max="73" width="11.77734375" style="5" customWidth="1"/>
    <col min="74" max="74" width="12.21875" style="5" customWidth="1"/>
    <col min="75" max="75" width="11.77734375" style="5" customWidth="1"/>
    <col min="76" max="76" width="8.21875" style="5" customWidth="1"/>
    <col min="77" max="77" width="15.5546875" style="5" customWidth="1"/>
    <col min="78" max="78" width="11.44140625" style="5" customWidth="1"/>
    <col min="79" max="79" width="9.77734375" style="5" customWidth="1"/>
    <col min="80" max="80" width="13.21875" style="5" customWidth="1"/>
    <col min="81" max="81" width="13.109375" style="5" customWidth="1"/>
    <col min="82" max="82" width="10.88671875" style="5" customWidth="1"/>
    <col min="83" max="83" width="16.44140625" style="5" customWidth="1"/>
  </cols>
  <sheetData>
    <row r="1" spans="1:87" s="397" customFormat="1" ht="62.4" customHeight="1" x14ac:dyDescent="0.3">
      <c r="A1" s="9" t="s">
        <v>2387</v>
      </c>
      <c r="B1" s="9" t="s">
        <v>2388</v>
      </c>
      <c r="C1" s="1431" t="s">
        <v>4197</v>
      </c>
      <c r="D1" s="9" t="s">
        <v>2389</v>
      </c>
      <c r="E1" s="9" t="s">
        <v>2390</v>
      </c>
      <c r="F1" s="1431" t="s">
        <v>4198</v>
      </c>
      <c r="G1" s="9" t="s">
        <v>2391</v>
      </c>
      <c r="H1" s="9" t="s">
        <v>2392</v>
      </c>
      <c r="I1" s="1431" t="s">
        <v>4199</v>
      </c>
      <c r="J1" s="9" t="s">
        <v>2393</v>
      </c>
      <c r="K1" s="9" t="s">
        <v>2394</v>
      </c>
      <c r="L1" s="9" t="s">
        <v>519</v>
      </c>
      <c r="M1" s="9" t="s">
        <v>2395</v>
      </c>
      <c r="N1" s="9" t="s">
        <v>3054</v>
      </c>
      <c r="O1" s="9" t="s">
        <v>2396</v>
      </c>
      <c r="P1" s="9" t="s">
        <v>2397</v>
      </c>
      <c r="Q1" s="9" t="s">
        <v>2398</v>
      </c>
      <c r="R1" s="9" t="s">
        <v>2399</v>
      </c>
      <c r="S1" s="1189" t="s">
        <v>2400</v>
      </c>
      <c r="T1" s="1189" t="s">
        <v>2401</v>
      </c>
      <c r="U1" s="9" t="s">
        <v>2402</v>
      </c>
      <c r="V1" s="9" t="s">
        <v>2403</v>
      </c>
      <c r="W1" s="575" t="s">
        <v>2404</v>
      </c>
      <c r="X1" s="9" t="s">
        <v>2405</v>
      </c>
      <c r="Y1" s="9" t="s">
        <v>2406</v>
      </c>
      <c r="Z1" s="9" t="s">
        <v>2407</v>
      </c>
      <c r="AA1" s="576" t="s">
        <v>3416</v>
      </c>
      <c r="AB1" s="9" t="s">
        <v>2408</v>
      </c>
      <c r="AC1" s="9" t="s">
        <v>2409</v>
      </c>
      <c r="AD1" s="9" t="s">
        <v>2410</v>
      </c>
      <c r="AE1" s="9" t="s">
        <v>2411</v>
      </c>
      <c r="AF1" s="9" t="s">
        <v>2412</v>
      </c>
      <c r="AG1" s="9" t="s">
        <v>2413</v>
      </c>
      <c r="AH1" s="575" t="s">
        <v>2414</v>
      </c>
      <c r="AI1" s="9" t="s">
        <v>2415</v>
      </c>
      <c r="AJ1" s="9" t="s">
        <v>2416</v>
      </c>
      <c r="AK1" s="9" t="s">
        <v>2417</v>
      </c>
      <c r="AL1" s="9" t="s">
        <v>2418</v>
      </c>
      <c r="AM1" s="9" t="s">
        <v>2419</v>
      </c>
      <c r="AN1" s="9" t="s">
        <v>2420</v>
      </c>
      <c r="AO1" s="9" t="s">
        <v>2421</v>
      </c>
      <c r="AP1" s="9" t="s">
        <v>2422</v>
      </c>
      <c r="AQ1" s="9" t="s">
        <v>2423</v>
      </c>
      <c r="AR1" s="576" t="s">
        <v>2424</v>
      </c>
      <c r="AS1" s="576" t="s">
        <v>2425</v>
      </c>
      <c r="AT1" s="9" t="s">
        <v>2426</v>
      </c>
      <c r="AU1" s="9" t="s">
        <v>2427</v>
      </c>
      <c r="AV1" s="576" t="s">
        <v>2428</v>
      </c>
      <c r="AW1" s="576" t="s">
        <v>2429</v>
      </c>
      <c r="AX1" s="9" t="s">
        <v>2430</v>
      </c>
      <c r="AY1" s="575" t="s">
        <v>2431</v>
      </c>
      <c r="AZ1" s="9" t="s">
        <v>2432</v>
      </c>
      <c r="BA1" s="9" t="s">
        <v>2433</v>
      </c>
      <c r="BB1" s="9" t="s">
        <v>2434</v>
      </c>
      <c r="BC1" s="9" t="s">
        <v>2435</v>
      </c>
      <c r="BD1" s="9" t="s">
        <v>2436</v>
      </c>
      <c r="BE1" s="9" t="s">
        <v>2437</v>
      </c>
      <c r="BF1" s="9" t="s">
        <v>2438</v>
      </c>
      <c r="BG1" s="576" t="s">
        <v>2439</v>
      </c>
      <c r="BH1" s="9" t="s">
        <v>2440</v>
      </c>
      <c r="BI1" s="9" t="s">
        <v>2441</v>
      </c>
      <c r="BJ1" s="576" t="s">
        <v>2442</v>
      </c>
      <c r="BK1" s="576" t="s">
        <v>2443</v>
      </c>
      <c r="BL1" s="9" t="s">
        <v>2444</v>
      </c>
      <c r="BM1" s="467" t="s">
        <v>2445</v>
      </c>
      <c r="BN1" s="579" t="s">
        <v>2446</v>
      </c>
      <c r="BO1" s="9" t="s">
        <v>2447</v>
      </c>
      <c r="BP1" s="9" t="s">
        <v>2448</v>
      </c>
      <c r="BQ1" s="9" t="s">
        <v>2449</v>
      </c>
      <c r="BR1" s="9" t="s">
        <v>2450</v>
      </c>
      <c r="BS1" s="467" t="s">
        <v>2451</v>
      </c>
      <c r="BT1" s="9" t="s">
        <v>3035</v>
      </c>
      <c r="BU1" s="9" t="s">
        <v>2452</v>
      </c>
      <c r="BV1" s="9" t="s">
        <v>2453</v>
      </c>
      <c r="BW1" s="9" t="s">
        <v>2454</v>
      </c>
      <c r="BX1" s="9" t="s">
        <v>2455</v>
      </c>
      <c r="BY1" s="576" t="s">
        <v>2456</v>
      </c>
      <c r="BZ1" s="9" t="s">
        <v>2457</v>
      </c>
      <c r="CA1" s="9" t="s">
        <v>2458</v>
      </c>
      <c r="CB1" s="576" t="s">
        <v>2459</v>
      </c>
      <c r="CC1" s="9" t="s">
        <v>2460</v>
      </c>
      <c r="CD1" s="9" t="s">
        <v>2461</v>
      </c>
      <c r="CE1" s="576" t="s">
        <v>2462</v>
      </c>
      <c r="CF1" s="1443" t="s">
        <v>2463</v>
      </c>
      <c r="CG1" s="1443" t="s">
        <v>2464</v>
      </c>
      <c r="CH1" s="1443" t="s">
        <v>2465</v>
      </c>
      <c r="CI1" s="1443" t="s">
        <v>2466</v>
      </c>
    </row>
    <row r="2" spans="1:87" ht="14.55" customHeight="1" x14ac:dyDescent="0.3">
      <c r="A2" s="390">
        <v>2543964</v>
      </c>
      <c r="B2" s="5" t="s">
        <v>533</v>
      </c>
      <c r="C2" s="1430" t="s">
        <v>3449</v>
      </c>
      <c r="D2" s="1090" t="s">
        <v>534</v>
      </c>
      <c r="E2" s="5" t="s">
        <v>30</v>
      </c>
      <c r="F2" s="5" t="s">
        <v>3522</v>
      </c>
      <c r="G2" s="5" t="s">
        <v>535</v>
      </c>
      <c r="H2" s="1090" t="s">
        <v>156</v>
      </c>
      <c r="I2" s="1090" t="str">
        <f>_xlfn.XLOOKUP(sommaire[[#This Row],[Arrondissement_code]],OCHA_GIS!$F:$F,OCHA_GIS!$E:$E,,)</f>
        <v>Bogo</v>
      </c>
      <c r="J2" s="5" t="s">
        <v>697</v>
      </c>
      <c r="K2" t="s">
        <v>2827</v>
      </c>
      <c r="L2" s="5" t="s">
        <v>1573</v>
      </c>
      <c r="N2" s="5" t="s">
        <v>3052</v>
      </c>
      <c r="O2" s="5" t="s">
        <v>2467</v>
      </c>
      <c r="P2" s="5" t="s">
        <v>85</v>
      </c>
      <c r="Q2" s="5" t="s">
        <v>86</v>
      </c>
      <c r="R2" s="5" t="s">
        <v>85</v>
      </c>
      <c r="T2" s="390">
        <v>3</v>
      </c>
      <c r="U2" s="5" t="s">
        <v>97</v>
      </c>
      <c r="W2" s="5" t="s">
        <v>2468</v>
      </c>
      <c r="X2" s="5" t="s">
        <v>102</v>
      </c>
      <c r="AA2" s="5" t="s">
        <v>85</v>
      </c>
      <c r="AB2" s="5" t="s">
        <v>2469</v>
      </c>
      <c r="AC2" s="5" t="s">
        <v>2470</v>
      </c>
      <c r="AD2" s="5" t="s">
        <v>86</v>
      </c>
      <c r="AF2" s="5">
        <v>8</v>
      </c>
      <c r="AG2" s="5">
        <v>2500</v>
      </c>
      <c r="AH2" s="5" t="s">
        <v>85</v>
      </c>
      <c r="AI2" s="5" t="s">
        <v>2471</v>
      </c>
      <c r="AJ2" s="5">
        <v>8</v>
      </c>
      <c r="AK2" s="5">
        <v>58</v>
      </c>
      <c r="AL2" s="5">
        <v>22</v>
      </c>
      <c r="AM2" s="5">
        <v>36</v>
      </c>
      <c r="AN2" s="5">
        <v>0</v>
      </c>
      <c r="AO2" s="5">
        <v>0</v>
      </c>
      <c r="AP2" s="5">
        <v>0</v>
      </c>
      <c r="AQ2" s="5">
        <v>8</v>
      </c>
      <c r="AR2" s="5" t="s">
        <v>2477</v>
      </c>
      <c r="AT2" s="5">
        <v>0</v>
      </c>
      <c r="AU2" s="5">
        <v>0</v>
      </c>
      <c r="AX2" s="5">
        <v>0</v>
      </c>
      <c r="AY2" s="5" t="s">
        <v>86</v>
      </c>
      <c r="BN2" s="5" t="s">
        <v>86</v>
      </c>
      <c r="CD2" s="5">
        <v>0</v>
      </c>
      <c r="CF2" s="1442" t="str">
        <f>IF([1]!sommaire[[#This Row],[présence des personnes déplacés interne]]="Oui","1","0")</f>
        <v>1</v>
      </c>
      <c r="CG2" s="1442" t="str">
        <f>IF([1]!sommaire[[#This Row],[présence Réfugié hors camp]]="Oui","1","0")</f>
        <v>0</v>
      </c>
      <c r="CH2" s="1442" t="str">
        <f>IF([1]!sommaire[[#This Row],[présence personnes retournées]]="Oui","1","0")</f>
        <v>0</v>
      </c>
      <c r="CI2" s="1442">
        <f>[1]!sommaire[[#This Row],[Flag PDI]]+[1]!sommaire[[#This Row],[Flag REF]]+[1]!sommaire[[#This Row],[Flag RET]]</f>
        <v>1</v>
      </c>
    </row>
    <row r="3" spans="1:87" ht="14.55" customHeight="1" x14ac:dyDescent="0.3">
      <c r="A3" s="390">
        <v>2550323</v>
      </c>
      <c r="B3" s="5" t="s">
        <v>533</v>
      </c>
      <c r="C3" s="1430" t="s">
        <v>3449</v>
      </c>
      <c r="D3" s="1090" t="s">
        <v>534</v>
      </c>
      <c r="E3" s="5" t="s">
        <v>30</v>
      </c>
      <c r="F3" s="5" t="s">
        <v>3522</v>
      </c>
      <c r="G3" s="5" t="s">
        <v>535</v>
      </c>
      <c r="H3" s="1144" t="s">
        <v>156</v>
      </c>
      <c r="I3" s="1144" t="str">
        <f>_xlfn.XLOOKUP(sommaire[[#This Row],[Arrondissement_code]],OCHA_GIS!$F:$F,OCHA_GIS!$E:$E,,)</f>
        <v>Bogo</v>
      </c>
      <c r="J3" s="5" t="s">
        <v>697</v>
      </c>
      <c r="K3" t="s">
        <v>2884</v>
      </c>
      <c r="L3" s="5" t="s">
        <v>2379</v>
      </c>
      <c r="N3" s="5" t="s">
        <v>3053</v>
      </c>
      <c r="O3" s="5" t="s">
        <v>2467</v>
      </c>
      <c r="P3" s="5" t="s">
        <v>86</v>
      </c>
      <c r="Q3" s="5" t="s">
        <v>86</v>
      </c>
      <c r="R3" s="5" t="s">
        <v>85</v>
      </c>
      <c r="U3" s="5" t="s">
        <v>97</v>
      </c>
      <c r="W3" s="5" t="s">
        <v>2468</v>
      </c>
      <c r="X3" s="5" t="s">
        <v>102</v>
      </c>
      <c r="AA3" s="5" t="s">
        <v>86</v>
      </c>
      <c r="AH3" s="1430" t="s">
        <v>86</v>
      </c>
      <c r="AY3" s="1430" t="s">
        <v>86</v>
      </c>
      <c r="BN3" s="1430" t="s">
        <v>86</v>
      </c>
      <c r="CF3" s="1442" t="str">
        <f>IF([1]!sommaire[[#This Row],[présence des personnes déplacés interne]]="Oui","1","0")</f>
        <v>0</v>
      </c>
      <c r="CG3" s="1442" t="str">
        <f>IF([1]!sommaire[[#This Row],[présence Réfugié hors camp]]="Oui","1","0")</f>
        <v>0</v>
      </c>
      <c r="CH3" s="1442" t="str">
        <f>IF([1]!sommaire[[#This Row],[présence personnes retournées]]="Oui","1","0")</f>
        <v>0</v>
      </c>
      <c r="CI3" s="1442">
        <f>[1]!sommaire[[#This Row],[Flag PDI]]+[1]!sommaire[[#This Row],[Flag REF]]+[1]!sommaire[[#This Row],[Flag RET]]</f>
        <v>0</v>
      </c>
    </row>
    <row r="4" spans="1:87" ht="14.55" customHeight="1" x14ac:dyDescent="0.3">
      <c r="A4" s="390">
        <v>2657496</v>
      </c>
      <c r="B4" s="5" t="s">
        <v>533</v>
      </c>
      <c r="C4" s="1430" t="s">
        <v>3449</v>
      </c>
      <c r="D4" s="1090" t="s">
        <v>534</v>
      </c>
      <c r="E4" s="5" t="s">
        <v>30</v>
      </c>
      <c r="F4" s="5" t="s">
        <v>3522</v>
      </c>
      <c r="G4" s="5" t="s">
        <v>535</v>
      </c>
      <c r="H4" s="5" t="s">
        <v>156</v>
      </c>
      <c r="I4" s="5" t="str">
        <f>_xlfn.XLOOKUP(sommaire[[#This Row],[Arrondissement_code]],OCHA_GIS!$F:$F,OCHA_GIS!$E:$E,,)</f>
        <v>Bogo</v>
      </c>
      <c r="J4" s="5" t="s">
        <v>697</v>
      </c>
      <c r="K4" t="s">
        <v>2964</v>
      </c>
      <c r="L4" s="5" t="s">
        <v>2383</v>
      </c>
      <c r="N4" s="5" t="s">
        <v>3053</v>
      </c>
      <c r="O4" s="5" t="s">
        <v>2467</v>
      </c>
      <c r="P4" s="5" t="s">
        <v>85</v>
      </c>
      <c r="Q4" s="5" t="s">
        <v>86</v>
      </c>
      <c r="R4" s="5" t="s">
        <v>86</v>
      </c>
      <c r="T4" s="390">
        <v>3</v>
      </c>
      <c r="U4" s="5" t="s">
        <v>97</v>
      </c>
      <c r="W4" s="1175" t="s">
        <v>2482</v>
      </c>
      <c r="AA4" s="5" t="s">
        <v>86</v>
      </c>
      <c r="AH4" s="1430" t="s">
        <v>86</v>
      </c>
      <c r="AY4" s="1430" t="s">
        <v>86</v>
      </c>
      <c r="BN4" s="1430" t="s">
        <v>86</v>
      </c>
      <c r="CF4" s="1442" t="str">
        <f>IF([1]!sommaire[[#This Row],[présence des personnes déplacés interne]]="Oui","1","0")</f>
        <v>0</v>
      </c>
      <c r="CG4" s="1442" t="str">
        <f>IF([1]!sommaire[[#This Row],[présence Réfugié hors camp]]="Oui","1","0")</f>
        <v>0</v>
      </c>
      <c r="CH4" s="1442" t="str">
        <f>IF([1]!sommaire[[#This Row],[présence personnes retournées]]="Oui","1","0")</f>
        <v>0</v>
      </c>
      <c r="CI4" s="1442">
        <f>[1]!sommaire[[#This Row],[Flag PDI]]+[1]!sommaire[[#This Row],[Flag REF]]+[1]!sommaire[[#This Row],[Flag RET]]</f>
        <v>0</v>
      </c>
    </row>
    <row r="5" spans="1:87" ht="14.55" customHeight="1" x14ac:dyDescent="0.3">
      <c r="A5" s="390">
        <v>2543965</v>
      </c>
      <c r="B5" s="5" t="s">
        <v>533</v>
      </c>
      <c r="C5" s="1430" t="s">
        <v>3449</v>
      </c>
      <c r="D5" s="1090" t="s">
        <v>534</v>
      </c>
      <c r="E5" s="5" t="s">
        <v>30</v>
      </c>
      <c r="F5" s="5" t="s">
        <v>3522</v>
      </c>
      <c r="G5" s="5" t="s">
        <v>535</v>
      </c>
      <c r="H5" s="5" t="s">
        <v>156</v>
      </c>
      <c r="I5" s="5" t="str">
        <f>_xlfn.XLOOKUP(sommaire[[#This Row],[Arrondissement_code]],OCHA_GIS!$F:$F,OCHA_GIS!$E:$E,,)</f>
        <v>Bogo</v>
      </c>
      <c r="J5" s="5" t="s">
        <v>697</v>
      </c>
      <c r="K5" t="s">
        <v>2978</v>
      </c>
      <c r="L5" s="5" t="s">
        <v>2384</v>
      </c>
      <c r="N5" s="5" t="s">
        <v>3053</v>
      </c>
      <c r="O5" s="5" t="s">
        <v>2467</v>
      </c>
      <c r="P5" s="5" t="s">
        <v>85</v>
      </c>
      <c r="Q5" s="5" t="s">
        <v>86</v>
      </c>
      <c r="R5" s="5" t="s">
        <v>86</v>
      </c>
      <c r="T5" s="390">
        <v>3</v>
      </c>
      <c r="U5" s="5" t="s">
        <v>97</v>
      </c>
      <c r="W5" s="5" t="s">
        <v>2468</v>
      </c>
      <c r="X5" s="5" t="s">
        <v>102</v>
      </c>
      <c r="AA5" s="5" t="s">
        <v>86</v>
      </c>
      <c r="AH5" s="1430" t="s">
        <v>86</v>
      </c>
      <c r="AY5" s="1430" t="s">
        <v>86</v>
      </c>
      <c r="BN5" s="1430" t="s">
        <v>86</v>
      </c>
      <c r="CF5" s="1442" t="str">
        <f>IF([1]!sommaire[[#This Row],[présence des personnes déplacés interne]]="Oui","1","0")</f>
        <v>0</v>
      </c>
      <c r="CG5" s="1442" t="str">
        <f>IF([1]!sommaire[[#This Row],[présence Réfugié hors camp]]="Oui","1","0")</f>
        <v>0</v>
      </c>
      <c r="CH5" s="1442" t="str">
        <f>IF([1]!sommaire[[#This Row],[présence personnes retournées]]="Oui","1","0")</f>
        <v>0</v>
      </c>
      <c r="CI5" s="1442">
        <f>[1]!sommaire[[#This Row],[Flag PDI]]+[1]!sommaire[[#This Row],[Flag REF]]+[1]!sommaire[[#This Row],[Flag RET]]</f>
        <v>0</v>
      </c>
    </row>
    <row r="6" spans="1:87" ht="14.55" customHeight="1" x14ac:dyDescent="0.3">
      <c r="A6" s="390">
        <v>2617094</v>
      </c>
      <c r="B6" s="5" t="s">
        <v>533</v>
      </c>
      <c r="C6" s="1430" t="s">
        <v>3449</v>
      </c>
      <c r="D6" s="1090" t="s">
        <v>534</v>
      </c>
      <c r="E6" s="5" t="s">
        <v>30</v>
      </c>
      <c r="F6" s="5" t="s">
        <v>3522</v>
      </c>
      <c r="G6" s="5" t="s">
        <v>535</v>
      </c>
      <c r="H6" s="5" t="s">
        <v>156</v>
      </c>
      <c r="I6" s="5" t="str">
        <f>_xlfn.XLOOKUP(sommaire[[#This Row],[Arrondissement_code]],OCHA_GIS!$F:$F,OCHA_GIS!$E:$E,,)</f>
        <v>Bogo</v>
      </c>
      <c r="J6" s="5" t="s">
        <v>697</v>
      </c>
      <c r="K6" t="s">
        <v>2799</v>
      </c>
      <c r="L6" s="5" t="s">
        <v>3240</v>
      </c>
      <c r="N6" s="5" t="s">
        <v>3052</v>
      </c>
      <c r="O6" s="5" t="s">
        <v>2473</v>
      </c>
      <c r="P6" s="5" t="s">
        <v>86</v>
      </c>
      <c r="Q6" s="5" t="s">
        <v>85</v>
      </c>
      <c r="R6" s="5" t="s">
        <v>85</v>
      </c>
      <c r="S6" s="390">
        <v>10</v>
      </c>
      <c r="U6" s="5" t="s">
        <v>97</v>
      </c>
      <c r="W6" s="5" t="s">
        <v>2468</v>
      </c>
      <c r="X6" s="5" t="s">
        <v>102</v>
      </c>
      <c r="AA6" s="5" t="s">
        <v>85</v>
      </c>
      <c r="AB6" s="5" t="s">
        <v>2473</v>
      </c>
      <c r="AC6" s="5" t="s">
        <v>2470</v>
      </c>
      <c r="AF6" s="5">
        <v>312</v>
      </c>
      <c r="AG6" s="5">
        <v>1874</v>
      </c>
      <c r="AH6" s="5" t="s">
        <v>85</v>
      </c>
      <c r="AI6" s="5" t="s">
        <v>2471</v>
      </c>
      <c r="AJ6" s="5">
        <v>312</v>
      </c>
      <c r="AK6" s="5">
        <v>1874</v>
      </c>
      <c r="AL6" s="5">
        <v>624</v>
      </c>
      <c r="AM6" s="5">
        <v>1250</v>
      </c>
      <c r="AN6" s="5">
        <v>0</v>
      </c>
      <c r="AO6" s="5">
        <v>0</v>
      </c>
      <c r="AP6" s="5">
        <v>0</v>
      </c>
      <c r="AQ6" s="5">
        <v>0</v>
      </c>
      <c r="AT6" s="5">
        <v>312</v>
      </c>
      <c r="AU6" s="5">
        <v>0</v>
      </c>
      <c r="AX6" s="5">
        <v>0</v>
      </c>
      <c r="AY6" s="5" t="s">
        <v>86</v>
      </c>
      <c r="BN6" s="5" t="s">
        <v>86</v>
      </c>
      <c r="CD6" s="5">
        <v>0</v>
      </c>
      <c r="CF6" s="1442" t="str">
        <f>IF([1]!sommaire[[#This Row],[présence des personnes déplacés interne]]="Oui","1","0")</f>
        <v>1</v>
      </c>
      <c r="CG6" s="1442" t="str">
        <f>IF([1]!sommaire[[#This Row],[présence Réfugié hors camp]]="Oui","1","0")</f>
        <v>0</v>
      </c>
      <c r="CH6" s="1442" t="str">
        <f>IF([1]!sommaire[[#This Row],[présence personnes retournées]]="Oui","1","0")</f>
        <v>0</v>
      </c>
      <c r="CI6" s="1442">
        <f>[1]!sommaire[[#This Row],[Flag PDI]]+[1]!sommaire[[#This Row],[Flag REF]]+[1]!sommaire[[#This Row],[Flag RET]]</f>
        <v>1</v>
      </c>
    </row>
    <row r="7" spans="1:87" ht="14.55" customHeight="1" x14ac:dyDescent="0.3">
      <c r="A7" s="390">
        <v>2605096</v>
      </c>
      <c r="B7" s="5" t="s">
        <v>533</v>
      </c>
      <c r="C7" s="1430" t="s">
        <v>3449</v>
      </c>
      <c r="D7" s="5" t="s">
        <v>534</v>
      </c>
      <c r="E7" s="5" t="s">
        <v>30</v>
      </c>
      <c r="F7" s="5" t="s">
        <v>3522</v>
      </c>
      <c r="G7" s="5" t="s">
        <v>535</v>
      </c>
      <c r="H7" s="5" t="s">
        <v>156</v>
      </c>
      <c r="I7" s="5" t="str">
        <f>_xlfn.XLOOKUP(sommaire[[#This Row],[Arrondissement_code]],OCHA_GIS!$F:$F,OCHA_GIS!$E:$E,,)</f>
        <v>Bogo</v>
      </c>
      <c r="J7" s="5" t="s">
        <v>697</v>
      </c>
      <c r="K7" t="s">
        <v>2918</v>
      </c>
      <c r="L7" s="5" t="s">
        <v>3272</v>
      </c>
      <c r="N7" s="5" t="s">
        <v>3053</v>
      </c>
      <c r="O7" s="5" t="s">
        <v>2473</v>
      </c>
      <c r="P7" s="5" t="s">
        <v>86</v>
      </c>
      <c r="Q7" s="5" t="s">
        <v>85</v>
      </c>
      <c r="R7" s="5" t="s">
        <v>86</v>
      </c>
      <c r="S7" s="390">
        <v>6</v>
      </c>
      <c r="U7" s="5" t="s">
        <v>97</v>
      </c>
      <c r="W7" s="5" t="s">
        <v>2468</v>
      </c>
      <c r="X7" s="5" t="s">
        <v>102</v>
      </c>
      <c r="AA7" s="5" t="s">
        <v>85</v>
      </c>
      <c r="AB7" s="5" t="s">
        <v>2473</v>
      </c>
      <c r="AC7" s="5" t="s">
        <v>2469</v>
      </c>
      <c r="AF7" s="5">
        <v>57</v>
      </c>
      <c r="AG7" s="5">
        <v>5000</v>
      </c>
      <c r="AH7" s="5" t="s">
        <v>85</v>
      </c>
      <c r="AI7" s="5" t="s">
        <v>2471</v>
      </c>
      <c r="AJ7" s="5">
        <v>57</v>
      </c>
      <c r="AK7" s="5">
        <v>358</v>
      </c>
      <c r="AL7" s="5">
        <v>162</v>
      </c>
      <c r="AM7" s="5">
        <v>196</v>
      </c>
      <c r="AN7" s="5">
        <v>0</v>
      </c>
      <c r="AO7" s="5">
        <v>0</v>
      </c>
      <c r="AP7" s="5">
        <v>0</v>
      </c>
      <c r="AQ7" s="5">
        <v>0</v>
      </c>
      <c r="AT7" s="5">
        <v>0</v>
      </c>
      <c r="AU7" s="5">
        <v>57</v>
      </c>
      <c r="AV7" s="5" t="s">
        <v>2474</v>
      </c>
      <c r="AX7" s="5">
        <v>0</v>
      </c>
      <c r="AY7" s="5" t="s">
        <v>86</v>
      </c>
      <c r="BN7" s="5" t="s">
        <v>86</v>
      </c>
      <c r="CD7" s="5">
        <v>0</v>
      </c>
      <c r="CF7" s="1442" t="str">
        <f>IF([1]!sommaire[[#This Row],[présence des personnes déplacés interne]]="Oui","1","0")</f>
        <v>1</v>
      </c>
      <c r="CG7" s="1442" t="str">
        <f>IF([1]!sommaire[[#This Row],[présence Réfugié hors camp]]="Oui","1","0")</f>
        <v>0</v>
      </c>
      <c r="CH7" s="1442" t="str">
        <f>IF([1]!sommaire[[#This Row],[présence personnes retournées]]="Oui","1","0")</f>
        <v>0</v>
      </c>
      <c r="CI7" s="1442">
        <f>[1]!sommaire[[#This Row],[Flag PDI]]+[1]!sommaire[[#This Row],[Flag REF]]+[1]!sommaire[[#This Row],[Flag RET]]</f>
        <v>1</v>
      </c>
    </row>
    <row r="8" spans="1:87" ht="14.55" customHeight="1" x14ac:dyDescent="0.3">
      <c r="A8" s="390">
        <v>2617095</v>
      </c>
      <c r="B8" s="5" t="s">
        <v>533</v>
      </c>
      <c r="C8" s="1430" t="s">
        <v>3449</v>
      </c>
      <c r="D8" s="5" t="s">
        <v>534</v>
      </c>
      <c r="E8" s="5" t="s">
        <v>30</v>
      </c>
      <c r="F8" s="5" t="s">
        <v>3522</v>
      </c>
      <c r="G8" s="5" t="s">
        <v>535</v>
      </c>
      <c r="H8" s="5" t="s">
        <v>156</v>
      </c>
      <c r="I8" s="5" t="str">
        <f>_xlfn.XLOOKUP(sommaire[[#This Row],[Arrondissement_code]],OCHA_GIS!$F:$F,OCHA_GIS!$E:$E,,)</f>
        <v>Bogo</v>
      </c>
      <c r="J8" s="5" t="s">
        <v>697</v>
      </c>
      <c r="K8" t="s">
        <v>2993</v>
      </c>
      <c r="L8" s="5" t="s">
        <v>3298</v>
      </c>
      <c r="N8" s="5" t="s">
        <v>3053</v>
      </c>
      <c r="O8" s="5" t="s">
        <v>2473</v>
      </c>
      <c r="P8" s="5" t="s">
        <v>86</v>
      </c>
      <c r="Q8" s="5" t="s">
        <v>85</v>
      </c>
      <c r="R8" s="5" t="s">
        <v>85</v>
      </c>
      <c r="S8" s="390">
        <v>6</v>
      </c>
      <c r="U8" s="5" t="s">
        <v>97</v>
      </c>
      <c r="W8" s="5" t="s">
        <v>2468</v>
      </c>
      <c r="X8" s="5" t="s">
        <v>102</v>
      </c>
      <c r="AA8" s="5" t="s">
        <v>85</v>
      </c>
      <c r="AB8" s="5" t="s">
        <v>2473</v>
      </c>
      <c r="AC8" s="5" t="s">
        <v>2470</v>
      </c>
      <c r="AF8" s="5">
        <v>122</v>
      </c>
      <c r="AG8" s="5">
        <v>650</v>
      </c>
      <c r="AH8" s="5" t="s">
        <v>85</v>
      </c>
      <c r="AI8" s="5" t="s">
        <v>2471</v>
      </c>
      <c r="AJ8" s="5">
        <v>122</v>
      </c>
      <c r="AK8" s="5">
        <v>650</v>
      </c>
      <c r="AL8" s="5">
        <v>216</v>
      </c>
      <c r="AM8" s="5">
        <v>434</v>
      </c>
      <c r="AN8" s="5">
        <v>0</v>
      </c>
      <c r="AO8" s="5">
        <v>0</v>
      </c>
      <c r="AP8" s="5">
        <v>0</v>
      </c>
      <c r="AQ8" s="5">
        <v>0</v>
      </c>
      <c r="AT8" s="5">
        <v>122</v>
      </c>
      <c r="AU8" s="5">
        <v>0</v>
      </c>
      <c r="AX8" s="5">
        <v>0</v>
      </c>
      <c r="AY8" s="5" t="s">
        <v>86</v>
      </c>
      <c r="BN8" s="5" t="s">
        <v>86</v>
      </c>
      <c r="CD8" s="5">
        <v>0</v>
      </c>
      <c r="CF8" s="1442" t="str">
        <f>IF([1]!sommaire[[#This Row],[présence des personnes déplacés interne]]="Oui","1","0")</f>
        <v>1</v>
      </c>
      <c r="CG8" s="1442" t="str">
        <f>IF([1]!sommaire[[#This Row],[présence Réfugié hors camp]]="Oui","1","0")</f>
        <v>0</v>
      </c>
      <c r="CH8" s="1442" t="str">
        <f>IF([1]!sommaire[[#This Row],[présence personnes retournées]]="Oui","1","0")</f>
        <v>0</v>
      </c>
      <c r="CI8" s="1442">
        <f>[1]!sommaire[[#This Row],[Flag PDI]]+[1]!sommaire[[#This Row],[Flag REF]]+[1]!sommaire[[#This Row],[Flag RET]]</f>
        <v>1</v>
      </c>
    </row>
    <row r="9" spans="1:87" ht="14.55" customHeight="1" x14ac:dyDescent="0.3">
      <c r="A9" s="390">
        <v>2550056</v>
      </c>
      <c r="B9" s="5" t="s">
        <v>533</v>
      </c>
      <c r="C9" s="1430" t="s">
        <v>3449</v>
      </c>
      <c r="D9" s="1090" t="s">
        <v>534</v>
      </c>
      <c r="E9" s="5" t="s">
        <v>30</v>
      </c>
      <c r="F9" s="5" t="s">
        <v>3522</v>
      </c>
      <c r="G9" s="5" t="s">
        <v>535</v>
      </c>
      <c r="H9" s="1144" t="s">
        <v>157</v>
      </c>
      <c r="I9" s="1144" t="str">
        <f>_xlfn.XLOOKUP(sommaire[[#This Row],[Arrondissement_code]],OCHA_GIS!$F:$F,OCHA_GIS!$E:$E,,)</f>
        <v>Dargala</v>
      </c>
      <c r="J9" s="5" t="s">
        <v>2236</v>
      </c>
      <c r="K9" t="s">
        <v>2243</v>
      </c>
      <c r="L9" s="5" t="s">
        <v>2244</v>
      </c>
      <c r="N9" s="5" t="s">
        <v>3053</v>
      </c>
      <c r="O9" s="5" t="s">
        <v>2467</v>
      </c>
      <c r="P9" s="5" t="s">
        <v>85</v>
      </c>
      <c r="Q9" s="5" t="s">
        <v>86</v>
      </c>
      <c r="R9" s="5" t="s">
        <v>85</v>
      </c>
      <c r="T9" s="390">
        <v>3</v>
      </c>
      <c r="U9" s="5" t="s">
        <v>97</v>
      </c>
      <c r="W9" s="5" t="s">
        <v>2468</v>
      </c>
      <c r="X9" s="5" t="s">
        <v>102</v>
      </c>
      <c r="AA9" s="5" t="s">
        <v>85</v>
      </c>
      <c r="AB9" s="5" t="s">
        <v>2469</v>
      </c>
      <c r="AC9" s="5" t="s">
        <v>2470</v>
      </c>
      <c r="AD9" s="5" t="s">
        <v>86</v>
      </c>
      <c r="AG9" s="5">
        <v>1990</v>
      </c>
      <c r="AH9" s="5" t="s">
        <v>86</v>
      </c>
      <c r="AY9" s="5" t="s">
        <v>86</v>
      </c>
      <c r="BN9" s="5" t="s">
        <v>85</v>
      </c>
      <c r="BO9" s="5">
        <v>2</v>
      </c>
      <c r="BP9" s="5">
        <v>16</v>
      </c>
      <c r="BQ9" s="5">
        <v>9</v>
      </c>
      <c r="BR9" s="5">
        <v>7</v>
      </c>
      <c r="BS9" s="5" t="s">
        <v>2479</v>
      </c>
      <c r="BT9" s="5">
        <v>0</v>
      </c>
      <c r="BU9" s="5">
        <v>2</v>
      </c>
      <c r="BV9" s="5">
        <v>0</v>
      </c>
      <c r="BW9" s="5">
        <v>0</v>
      </c>
      <c r="BX9" s="5">
        <v>0</v>
      </c>
      <c r="BZ9" s="5">
        <v>0</v>
      </c>
      <c r="CA9" s="5">
        <v>0</v>
      </c>
      <c r="CC9" s="5">
        <v>0</v>
      </c>
      <c r="CD9" s="5">
        <v>0</v>
      </c>
      <c r="CF9" s="1442" t="str">
        <f>IF([1]!sommaire[[#This Row],[présence des personnes déplacés interne]]="Oui","1","0")</f>
        <v>0</v>
      </c>
      <c r="CG9" s="1442" t="str">
        <f>IF([1]!sommaire[[#This Row],[présence Réfugié hors camp]]="Oui","1","0")</f>
        <v>0</v>
      </c>
      <c r="CH9" s="1442" t="str">
        <f>IF([1]!sommaire[[#This Row],[présence personnes retournées]]="Oui","1","0")</f>
        <v>1</v>
      </c>
      <c r="CI9" s="1442">
        <f>[1]!sommaire[[#This Row],[Flag PDI]]+[1]!sommaire[[#This Row],[Flag REF]]+[1]!sommaire[[#This Row],[Flag RET]]</f>
        <v>1</v>
      </c>
    </row>
    <row r="10" spans="1:87" ht="14.55" customHeight="1" x14ac:dyDescent="0.3">
      <c r="A10" s="390">
        <v>2550057</v>
      </c>
      <c r="B10" s="5" t="s">
        <v>533</v>
      </c>
      <c r="C10" s="1430" t="s">
        <v>3449</v>
      </c>
      <c r="D10" s="1090" t="s">
        <v>534</v>
      </c>
      <c r="E10" s="5" t="s">
        <v>30</v>
      </c>
      <c r="F10" s="5" t="s">
        <v>3522</v>
      </c>
      <c r="G10" s="5" t="s">
        <v>535</v>
      </c>
      <c r="H10" s="5" t="s">
        <v>157</v>
      </c>
      <c r="I10" s="5" t="str">
        <f>_xlfn.XLOOKUP(sommaire[[#This Row],[Arrondissement_code]],OCHA_GIS!$F:$F,OCHA_GIS!$E:$E,,)</f>
        <v>Dargala</v>
      </c>
      <c r="J10" s="5" t="s">
        <v>2236</v>
      </c>
      <c r="K10" t="s">
        <v>2360</v>
      </c>
      <c r="L10" s="5" t="s">
        <v>2361</v>
      </c>
      <c r="N10" s="5" t="s">
        <v>3053</v>
      </c>
      <c r="O10" s="5" t="s">
        <v>2467</v>
      </c>
      <c r="P10" s="5" t="s">
        <v>85</v>
      </c>
      <c r="Q10" s="5" t="s">
        <v>86</v>
      </c>
      <c r="R10" s="5" t="s">
        <v>86</v>
      </c>
      <c r="T10" s="1190">
        <v>3</v>
      </c>
      <c r="U10" s="5" t="s">
        <v>97</v>
      </c>
      <c r="W10" s="5" t="s">
        <v>2468</v>
      </c>
      <c r="X10" s="5" t="s">
        <v>102</v>
      </c>
      <c r="AA10" s="5" t="s">
        <v>85</v>
      </c>
      <c r="AB10" s="5" t="s">
        <v>2469</v>
      </c>
      <c r="AC10" s="5" t="s">
        <v>2470</v>
      </c>
      <c r="AD10" s="5" t="s">
        <v>86</v>
      </c>
      <c r="AG10" s="5">
        <v>283</v>
      </c>
      <c r="AH10" s="5" t="s">
        <v>86</v>
      </c>
      <c r="AY10" s="5" t="s">
        <v>86</v>
      </c>
      <c r="BN10" s="5" t="s">
        <v>85</v>
      </c>
      <c r="BO10" s="5">
        <v>3</v>
      </c>
      <c r="BP10" s="5">
        <v>45</v>
      </c>
      <c r="BQ10" s="5">
        <v>31</v>
      </c>
      <c r="BR10" s="5">
        <v>14</v>
      </c>
      <c r="BS10" s="5" t="s">
        <v>2479</v>
      </c>
      <c r="BT10" s="5">
        <v>0</v>
      </c>
      <c r="BU10" s="5">
        <v>3</v>
      </c>
      <c r="BV10" s="5">
        <v>0</v>
      </c>
      <c r="BW10" s="5">
        <v>0</v>
      </c>
      <c r="BX10" s="5">
        <v>0</v>
      </c>
      <c r="BZ10" s="5">
        <v>0</v>
      </c>
      <c r="CA10" s="5">
        <v>0</v>
      </c>
      <c r="CC10" s="5">
        <v>0</v>
      </c>
      <c r="CD10" s="5">
        <v>0</v>
      </c>
      <c r="CF10" s="1442" t="str">
        <f>IF([1]!sommaire[[#This Row],[présence des personnes déplacés interne]]="Oui","1","0")</f>
        <v>0</v>
      </c>
      <c r="CG10" s="1442" t="str">
        <f>IF([1]!sommaire[[#This Row],[présence Réfugié hors camp]]="Oui","1","0")</f>
        <v>0</v>
      </c>
      <c r="CH10" s="1442" t="str">
        <f>IF([1]!sommaire[[#This Row],[présence personnes retournées]]="Oui","1","0")</f>
        <v>1</v>
      </c>
      <c r="CI10" s="1442">
        <f>[1]!sommaire[[#This Row],[Flag PDI]]+[1]!sommaire[[#This Row],[Flag REF]]+[1]!sommaire[[#This Row],[Flag RET]]</f>
        <v>1</v>
      </c>
    </row>
    <row r="11" spans="1:87" ht="14.55" customHeight="1" x14ac:dyDescent="0.3">
      <c r="A11" s="390">
        <v>2554521</v>
      </c>
      <c r="B11" s="5" t="s">
        <v>533</v>
      </c>
      <c r="C11" s="1430" t="s">
        <v>3449</v>
      </c>
      <c r="D11" s="1090" t="s">
        <v>534</v>
      </c>
      <c r="E11" s="5" t="s">
        <v>30</v>
      </c>
      <c r="F11" s="5" t="s">
        <v>3522</v>
      </c>
      <c r="G11" s="5" t="s">
        <v>535</v>
      </c>
      <c r="H11" s="5" t="s">
        <v>157</v>
      </c>
      <c r="I11" s="5" t="str">
        <f>_xlfn.XLOOKUP(sommaire[[#This Row],[Arrondissement_code]],OCHA_GIS!$F:$F,OCHA_GIS!$E:$E,,)</f>
        <v>Dargala</v>
      </c>
      <c r="J11" s="5" t="s">
        <v>2236</v>
      </c>
      <c r="K11" t="s">
        <v>2362</v>
      </c>
      <c r="L11" s="5" t="s">
        <v>2363</v>
      </c>
      <c r="N11" s="5" t="s">
        <v>3053</v>
      </c>
      <c r="O11" s="5" t="s">
        <v>2467</v>
      </c>
      <c r="P11" s="5" t="s">
        <v>86</v>
      </c>
      <c r="Q11" s="5" t="s">
        <v>85</v>
      </c>
      <c r="R11" s="5" t="s">
        <v>85</v>
      </c>
      <c r="S11" s="390">
        <v>6</v>
      </c>
      <c r="U11" s="5" t="s">
        <v>97</v>
      </c>
      <c r="W11" s="5" t="s">
        <v>2468</v>
      </c>
      <c r="X11" s="5" t="s">
        <v>102</v>
      </c>
      <c r="AA11" s="5" t="s">
        <v>85</v>
      </c>
      <c r="AB11" s="5" t="s">
        <v>2469</v>
      </c>
      <c r="AC11" s="5" t="s">
        <v>2470</v>
      </c>
      <c r="AD11" s="5" t="s">
        <v>86</v>
      </c>
      <c r="AG11" s="5">
        <v>1552</v>
      </c>
      <c r="AH11" s="5" t="s">
        <v>86</v>
      </c>
      <c r="AY11" s="5" t="s">
        <v>86</v>
      </c>
      <c r="BN11" s="5" t="s">
        <v>85</v>
      </c>
      <c r="BO11" s="5">
        <v>11</v>
      </c>
      <c r="BP11" s="5">
        <v>135</v>
      </c>
      <c r="BQ11" s="5">
        <v>40</v>
      </c>
      <c r="BR11" s="5">
        <v>95</v>
      </c>
      <c r="BS11" s="5" t="s">
        <v>2479</v>
      </c>
      <c r="BT11" s="5">
        <v>0</v>
      </c>
      <c r="BU11" s="5">
        <v>11</v>
      </c>
      <c r="BV11" s="5">
        <v>0</v>
      </c>
      <c r="BW11" s="5">
        <v>0</v>
      </c>
      <c r="BX11" s="5">
        <v>0</v>
      </c>
      <c r="BZ11" s="5">
        <v>0</v>
      </c>
      <c r="CA11" s="5">
        <v>0</v>
      </c>
      <c r="CC11" s="5">
        <v>0</v>
      </c>
      <c r="CD11" s="5">
        <v>0</v>
      </c>
      <c r="CF11" s="1442" t="str">
        <f>IF([1]!sommaire[[#This Row],[présence des personnes déplacés interne]]="Oui","1","0")</f>
        <v>0</v>
      </c>
      <c r="CG11" s="1442" t="str">
        <f>IF([1]!sommaire[[#This Row],[présence Réfugié hors camp]]="Oui","1","0")</f>
        <v>0</v>
      </c>
      <c r="CH11" s="1442" t="str">
        <f>IF([1]!sommaire[[#This Row],[présence personnes retournées]]="Oui","1","0")</f>
        <v>1</v>
      </c>
      <c r="CI11" s="1442">
        <f>[1]!sommaire[[#This Row],[Flag PDI]]+[1]!sommaire[[#This Row],[Flag REF]]+[1]!sommaire[[#This Row],[Flag RET]]</f>
        <v>1</v>
      </c>
    </row>
    <row r="12" spans="1:87" ht="14.55" customHeight="1" x14ac:dyDescent="0.3">
      <c r="A12" s="390">
        <v>2559493</v>
      </c>
      <c r="B12" s="5" t="s">
        <v>533</v>
      </c>
      <c r="C12" s="1430" t="s">
        <v>3449</v>
      </c>
      <c r="D12" s="1090" t="s">
        <v>534</v>
      </c>
      <c r="E12" s="5" t="s">
        <v>30</v>
      </c>
      <c r="F12" s="5" t="s">
        <v>3522</v>
      </c>
      <c r="G12" s="5" t="s">
        <v>535</v>
      </c>
      <c r="H12" s="5" t="s">
        <v>157</v>
      </c>
      <c r="I12" s="5" t="str">
        <f>_xlfn.XLOOKUP(sommaire[[#This Row],[Arrondissement_code]],OCHA_GIS!$F:$F,OCHA_GIS!$E:$E,,)</f>
        <v>Dargala</v>
      </c>
      <c r="J12" s="5" t="s">
        <v>2236</v>
      </c>
      <c r="K12" t="s">
        <v>2366</v>
      </c>
      <c r="L12" s="5" t="s">
        <v>2367</v>
      </c>
      <c r="N12" s="5" t="s">
        <v>3053</v>
      </c>
      <c r="O12" s="5" t="s">
        <v>2467</v>
      </c>
      <c r="P12" s="5" t="s">
        <v>85</v>
      </c>
      <c r="Q12" s="5" t="s">
        <v>86</v>
      </c>
      <c r="R12" s="5" t="s">
        <v>85</v>
      </c>
      <c r="T12" s="390">
        <v>3</v>
      </c>
      <c r="U12" s="5" t="s">
        <v>97</v>
      </c>
      <c r="W12" s="5" t="s">
        <v>2468</v>
      </c>
      <c r="X12" s="5" t="s">
        <v>102</v>
      </c>
      <c r="AA12" s="5" t="s">
        <v>85</v>
      </c>
      <c r="AB12" s="5" t="s">
        <v>2469</v>
      </c>
      <c r="AC12" s="5" t="s">
        <v>2470</v>
      </c>
      <c r="AD12" s="5" t="s">
        <v>86</v>
      </c>
      <c r="AG12" s="5">
        <v>510</v>
      </c>
      <c r="AH12" s="5" t="s">
        <v>86</v>
      </c>
      <c r="AY12" s="5" t="s">
        <v>86</v>
      </c>
      <c r="BN12" s="5" t="s">
        <v>85</v>
      </c>
      <c r="BO12" s="5">
        <v>1</v>
      </c>
      <c r="BP12" s="5">
        <v>5</v>
      </c>
      <c r="BQ12" s="5">
        <v>2</v>
      </c>
      <c r="BR12" s="5">
        <v>3</v>
      </c>
      <c r="BS12" s="5" t="s">
        <v>2479</v>
      </c>
      <c r="BT12" s="5">
        <v>0</v>
      </c>
      <c r="BU12" s="5">
        <v>1</v>
      </c>
      <c r="BV12" s="5">
        <v>0</v>
      </c>
      <c r="BW12" s="5">
        <v>0</v>
      </c>
      <c r="BX12" s="5">
        <v>0</v>
      </c>
      <c r="BZ12" s="5">
        <v>0</v>
      </c>
      <c r="CA12" s="5">
        <v>0</v>
      </c>
      <c r="CC12" s="5">
        <v>0</v>
      </c>
      <c r="CD12" s="5">
        <v>0</v>
      </c>
      <c r="CF12" s="1442" t="str">
        <f>IF([1]!sommaire[[#This Row],[présence des personnes déplacés interne]]="Oui","1","0")</f>
        <v>0</v>
      </c>
      <c r="CG12" s="1442" t="str">
        <f>IF([1]!sommaire[[#This Row],[présence Réfugié hors camp]]="Oui","1","0")</f>
        <v>0</v>
      </c>
      <c r="CH12" s="1442" t="str">
        <f>IF([1]!sommaire[[#This Row],[présence personnes retournées]]="Oui","1","0")</f>
        <v>1</v>
      </c>
      <c r="CI12" s="1442">
        <f>[1]!sommaire[[#This Row],[Flag PDI]]+[1]!sommaire[[#This Row],[Flag REF]]+[1]!sommaire[[#This Row],[Flag RET]]</f>
        <v>1</v>
      </c>
    </row>
    <row r="13" spans="1:87" ht="14.55" customHeight="1" x14ac:dyDescent="0.3">
      <c r="A13" s="390">
        <v>2554519</v>
      </c>
      <c r="B13" s="5" t="s">
        <v>533</v>
      </c>
      <c r="C13" s="1430" t="s">
        <v>3449</v>
      </c>
      <c r="D13" s="5" t="s">
        <v>534</v>
      </c>
      <c r="E13" s="5" t="s">
        <v>30</v>
      </c>
      <c r="F13" s="5" t="s">
        <v>3522</v>
      </c>
      <c r="G13" s="5" t="s">
        <v>535</v>
      </c>
      <c r="H13" s="5" t="s">
        <v>157</v>
      </c>
      <c r="I13" s="5" t="str">
        <f>_xlfn.XLOOKUP(sommaire[[#This Row],[Arrondissement_code]],OCHA_GIS!$F:$F,OCHA_GIS!$E:$E,,)</f>
        <v>Dargala</v>
      </c>
      <c r="J13" s="5" t="s">
        <v>2236</v>
      </c>
      <c r="K13" t="s">
        <v>2239</v>
      </c>
      <c r="L13" s="5" t="s">
        <v>2240</v>
      </c>
      <c r="N13" s="5" t="s">
        <v>3053</v>
      </c>
      <c r="O13" s="5" t="s">
        <v>2467</v>
      </c>
      <c r="P13" s="5" t="s">
        <v>85</v>
      </c>
      <c r="Q13" s="5" t="s">
        <v>86</v>
      </c>
      <c r="R13" s="5" t="s">
        <v>86</v>
      </c>
      <c r="T13" s="390">
        <v>4</v>
      </c>
      <c r="U13" s="5" t="s">
        <v>97</v>
      </c>
      <c r="W13" s="5" t="s">
        <v>2468</v>
      </c>
      <c r="X13" s="5" t="s">
        <v>102</v>
      </c>
      <c r="AA13" s="5" t="s">
        <v>85</v>
      </c>
      <c r="AB13" s="5" t="s">
        <v>2469</v>
      </c>
      <c r="AC13" s="5" t="s">
        <v>2470</v>
      </c>
      <c r="AD13" s="5" t="s">
        <v>86</v>
      </c>
      <c r="AG13" s="5">
        <v>300</v>
      </c>
      <c r="AH13" s="5" t="s">
        <v>86</v>
      </c>
      <c r="AY13" s="5" t="s">
        <v>86</v>
      </c>
      <c r="BN13" s="5" t="s">
        <v>85</v>
      </c>
      <c r="BO13" s="5">
        <v>6</v>
      </c>
      <c r="BP13" s="5">
        <v>86</v>
      </c>
      <c r="BQ13" s="5">
        <v>33</v>
      </c>
      <c r="BR13" s="5">
        <v>53</v>
      </c>
      <c r="BS13" s="5" t="s">
        <v>2479</v>
      </c>
      <c r="BT13" s="5">
        <v>0</v>
      </c>
      <c r="BU13" s="5">
        <v>6</v>
      </c>
      <c r="BV13" s="5">
        <v>0</v>
      </c>
      <c r="BW13" s="5">
        <v>0</v>
      </c>
      <c r="BX13" s="5">
        <v>0</v>
      </c>
      <c r="BZ13" s="5">
        <v>0</v>
      </c>
      <c r="CA13" s="5">
        <v>0</v>
      </c>
      <c r="CC13" s="5">
        <v>0</v>
      </c>
      <c r="CD13" s="5">
        <v>0</v>
      </c>
      <c r="CF13" s="1442" t="str">
        <f>IF([1]!sommaire[[#This Row],[présence des personnes déplacés interne]]="Oui","1","0")</f>
        <v>0</v>
      </c>
      <c r="CG13" s="1442" t="str">
        <f>IF([1]!sommaire[[#This Row],[présence Réfugié hors camp]]="Oui","1","0")</f>
        <v>0</v>
      </c>
      <c r="CH13" s="1442" t="str">
        <f>IF([1]!sommaire[[#This Row],[présence personnes retournées]]="Oui","1","0")</f>
        <v>1</v>
      </c>
      <c r="CI13" s="1442">
        <f>[1]!sommaire[[#This Row],[Flag PDI]]+[1]!sommaire[[#This Row],[Flag REF]]+[1]!sommaire[[#This Row],[Flag RET]]</f>
        <v>1</v>
      </c>
    </row>
    <row r="14" spans="1:87" ht="14.55" customHeight="1" x14ac:dyDescent="0.3">
      <c r="A14" s="390">
        <v>2577103</v>
      </c>
      <c r="B14" s="5" t="s">
        <v>533</v>
      </c>
      <c r="C14" s="1430" t="s">
        <v>3449</v>
      </c>
      <c r="D14" s="5" t="s">
        <v>534</v>
      </c>
      <c r="E14" s="5" t="s">
        <v>30</v>
      </c>
      <c r="F14" s="5" t="s">
        <v>3522</v>
      </c>
      <c r="G14" s="5" t="s">
        <v>535</v>
      </c>
      <c r="H14" s="5" t="s">
        <v>157</v>
      </c>
      <c r="I14" s="5" t="str">
        <f>_xlfn.XLOOKUP(sommaire[[#This Row],[Arrondissement_code]],OCHA_GIS!$F:$F,OCHA_GIS!$E:$E,,)</f>
        <v>Dargala</v>
      </c>
      <c r="J14" s="5" t="s">
        <v>2236</v>
      </c>
      <c r="K14" t="s">
        <v>2241</v>
      </c>
      <c r="L14" s="5" t="s">
        <v>2242</v>
      </c>
      <c r="N14" s="5" t="s">
        <v>3053</v>
      </c>
      <c r="O14" s="5" t="s">
        <v>2467</v>
      </c>
      <c r="P14" s="5" t="s">
        <v>85</v>
      </c>
      <c r="Q14" s="5" t="s">
        <v>86</v>
      </c>
      <c r="R14" s="5" t="s">
        <v>85</v>
      </c>
      <c r="T14" s="390">
        <v>3</v>
      </c>
      <c r="U14" s="5" t="s">
        <v>97</v>
      </c>
      <c r="W14" s="5" t="s">
        <v>2468</v>
      </c>
      <c r="X14" s="5" t="s">
        <v>102</v>
      </c>
      <c r="AA14" s="5" t="s">
        <v>85</v>
      </c>
      <c r="AB14" s="5" t="s">
        <v>2469</v>
      </c>
      <c r="AC14" s="5" t="s">
        <v>2470</v>
      </c>
      <c r="AD14" s="5" t="s">
        <v>86</v>
      </c>
      <c r="AG14" s="5">
        <v>405</v>
      </c>
      <c r="AH14" s="5" t="s">
        <v>86</v>
      </c>
      <c r="AY14" s="5" t="s">
        <v>86</v>
      </c>
      <c r="BN14" s="5" t="s">
        <v>85</v>
      </c>
      <c r="BO14" s="5">
        <v>9</v>
      </c>
      <c r="BP14" s="5">
        <v>74</v>
      </c>
      <c r="BQ14" s="5">
        <v>30</v>
      </c>
      <c r="BR14" s="5">
        <v>44</v>
      </c>
      <c r="BS14" s="5" t="s">
        <v>2479</v>
      </c>
      <c r="BT14" s="5">
        <v>0</v>
      </c>
      <c r="BU14" s="5">
        <v>9</v>
      </c>
      <c r="BV14" s="5">
        <v>0</v>
      </c>
      <c r="BW14" s="5">
        <v>0</v>
      </c>
      <c r="BX14" s="5">
        <v>0</v>
      </c>
      <c r="BZ14" s="5">
        <v>0</v>
      </c>
      <c r="CA14" s="5">
        <v>0</v>
      </c>
      <c r="CC14" s="5">
        <v>0</v>
      </c>
      <c r="CD14" s="5">
        <v>0</v>
      </c>
      <c r="CF14" s="1442" t="str">
        <f>IF([1]!sommaire[[#This Row],[présence des personnes déplacés interne]]="Oui","1","0")</f>
        <v>0</v>
      </c>
      <c r="CG14" s="1442" t="str">
        <f>IF([1]!sommaire[[#This Row],[présence Réfugié hors camp]]="Oui","1","0")</f>
        <v>0</v>
      </c>
      <c r="CH14" s="1442" t="str">
        <f>IF([1]!sommaire[[#This Row],[présence personnes retournées]]="Oui","1","0")</f>
        <v>1</v>
      </c>
      <c r="CI14" s="1442">
        <f>[1]!sommaire[[#This Row],[Flag PDI]]+[1]!sommaire[[#This Row],[Flag REF]]+[1]!sommaire[[#This Row],[Flag RET]]</f>
        <v>1</v>
      </c>
    </row>
    <row r="15" spans="1:87" ht="14.55" customHeight="1" x14ac:dyDescent="0.3">
      <c r="A15" s="390">
        <v>2576953</v>
      </c>
      <c r="B15" s="5" t="s">
        <v>533</v>
      </c>
      <c r="C15" s="1430" t="s">
        <v>3449</v>
      </c>
      <c r="D15" s="5" t="s">
        <v>534</v>
      </c>
      <c r="E15" s="5" t="s">
        <v>30</v>
      </c>
      <c r="F15" s="5" t="s">
        <v>3522</v>
      </c>
      <c r="G15" s="5" t="s">
        <v>535</v>
      </c>
      <c r="H15" s="5" t="s">
        <v>157</v>
      </c>
      <c r="I15" s="5" t="str">
        <f>_xlfn.XLOOKUP(sommaire[[#This Row],[Arrondissement_code]],OCHA_GIS!$F:$F,OCHA_GIS!$E:$E,,)</f>
        <v>Dargala</v>
      </c>
      <c r="J15" s="5" t="s">
        <v>2236</v>
      </c>
      <c r="K15" t="s">
        <v>2237</v>
      </c>
      <c r="L15" s="5" t="s">
        <v>2238</v>
      </c>
      <c r="N15" s="5" t="s">
        <v>3053</v>
      </c>
      <c r="O15" s="5" t="s">
        <v>2467</v>
      </c>
      <c r="P15" s="5" t="s">
        <v>85</v>
      </c>
      <c r="Q15" s="5" t="s">
        <v>86</v>
      </c>
      <c r="R15" s="5" t="s">
        <v>85</v>
      </c>
      <c r="T15" s="390">
        <v>3</v>
      </c>
      <c r="U15" s="5" t="s">
        <v>97</v>
      </c>
      <c r="W15" s="5" t="s">
        <v>2468</v>
      </c>
      <c r="X15" s="5" t="s">
        <v>102</v>
      </c>
      <c r="AA15" s="5" t="s">
        <v>85</v>
      </c>
      <c r="AB15" s="5" t="s">
        <v>2469</v>
      </c>
      <c r="AC15" s="5" t="s">
        <v>2470</v>
      </c>
      <c r="AD15" s="5" t="s">
        <v>86</v>
      </c>
      <c r="AG15" s="5">
        <v>250</v>
      </c>
      <c r="AH15" s="5" t="s">
        <v>86</v>
      </c>
      <c r="AY15" s="5" t="s">
        <v>86</v>
      </c>
      <c r="BN15" s="5" t="s">
        <v>85</v>
      </c>
      <c r="BO15" s="5">
        <v>4</v>
      </c>
      <c r="BP15" s="5">
        <v>29</v>
      </c>
      <c r="BQ15" s="5">
        <v>20</v>
      </c>
      <c r="BR15" s="5">
        <v>9</v>
      </c>
      <c r="BS15" s="5" t="s">
        <v>2479</v>
      </c>
      <c r="BT15" s="5">
        <v>0</v>
      </c>
      <c r="BU15" s="5">
        <v>4</v>
      </c>
      <c r="BV15" s="5">
        <v>0</v>
      </c>
      <c r="BW15" s="5">
        <v>0</v>
      </c>
      <c r="BX15" s="5">
        <v>0</v>
      </c>
      <c r="BZ15" s="5">
        <v>0</v>
      </c>
      <c r="CA15" s="5">
        <v>0</v>
      </c>
      <c r="CC15" s="5">
        <v>0</v>
      </c>
      <c r="CD15" s="5">
        <v>0</v>
      </c>
      <c r="CF15" s="1442" t="str">
        <f>IF([1]!sommaire[[#This Row],[présence des personnes déplacés interne]]="Oui","1","0")</f>
        <v>0</v>
      </c>
      <c r="CG15" s="1442" t="str">
        <f>IF([1]!sommaire[[#This Row],[présence Réfugié hors camp]]="Oui","1","0")</f>
        <v>0</v>
      </c>
      <c r="CH15" s="1442" t="str">
        <f>IF([1]!sommaire[[#This Row],[présence personnes retournées]]="Oui","1","0")</f>
        <v>1</v>
      </c>
      <c r="CI15" s="1442">
        <f>[1]!sommaire[[#This Row],[Flag PDI]]+[1]!sommaire[[#This Row],[Flag REF]]+[1]!sommaire[[#This Row],[Flag RET]]</f>
        <v>1</v>
      </c>
    </row>
    <row r="16" spans="1:87" ht="14.55" customHeight="1" x14ac:dyDescent="0.3">
      <c r="A16" s="390">
        <v>2578034</v>
      </c>
      <c r="B16" s="5" t="s">
        <v>533</v>
      </c>
      <c r="C16" s="1430" t="s">
        <v>3449</v>
      </c>
      <c r="D16" s="1090" t="s">
        <v>534</v>
      </c>
      <c r="E16" s="5" t="s">
        <v>30</v>
      </c>
      <c r="F16" s="5" t="s">
        <v>3522</v>
      </c>
      <c r="G16" s="5" t="s">
        <v>535</v>
      </c>
      <c r="H16" s="5" t="s">
        <v>158</v>
      </c>
      <c r="I16" s="5" t="str">
        <f>_xlfn.XLOOKUP(sommaire[[#This Row],[Arrondissement_code]],OCHA_GIS!$F:$F,OCHA_GIS!$E:$E,,)</f>
        <v>Gazawa</v>
      </c>
      <c r="J16" s="5" t="s">
        <v>571</v>
      </c>
      <c r="K16" t="s">
        <v>2524</v>
      </c>
      <c r="L16" s="5" t="s">
        <v>2525</v>
      </c>
      <c r="N16" s="5" t="s">
        <v>3053</v>
      </c>
      <c r="O16" s="5" t="s">
        <v>2467</v>
      </c>
      <c r="P16" s="5" t="s">
        <v>85</v>
      </c>
      <c r="Q16" s="5" t="s">
        <v>86</v>
      </c>
      <c r="R16" s="5" t="s">
        <v>86</v>
      </c>
      <c r="T16" s="390">
        <v>3</v>
      </c>
      <c r="U16" s="5" t="s">
        <v>97</v>
      </c>
      <c r="W16" s="5" t="s">
        <v>2468</v>
      </c>
      <c r="X16" s="5" t="s">
        <v>102</v>
      </c>
      <c r="AA16" s="5" t="s">
        <v>86</v>
      </c>
      <c r="AH16" s="1430" t="s">
        <v>86</v>
      </c>
      <c r="AV16" s="1090"/>
      <c r="AY16" s="1430" t="s">
        <v>86</v>
      </c>
      <c r="BN16" s="1430" t="s">
        <v>86</v>
      </c>
      <c r="CF16" s="1442" t="str">
        <f>IF([1]!sommaire[[#This Row],[présence des personnes déplacés interne]]="Oui","1","0")</f>
        <v>0</v>
      </c>
      <c r="CG16" s="1442" t="str">
        <f>IF([1]!sommaire[[#This Row],[présence Réfugié hors camp]]="Oui","1","0")</f>
        <v>0</v>
      </c>
      <c r="CH16" s="1442" t="str">
        <f>IF([1]!sommaire[[#This Row],[présence personnes retournées]]="Oui","1","0")</f>
        <v>0</v>
      </c>
      <c r="CI16" s="1442">
        <f>[1]!sommaire[[#This Row],[Flag PDI]]+[1]!sommaire[[#This Row],[Flag REF]]+[1]!sommaire[[#This Row],[Flag RET]]</f>
        <v>0</v>
      </c>
    </row>
    <row r="17" spans="1:87" ht="14.55" customHeight="1" x14ac:dyDescent="0.3">
      <c r="A17" s="390">
        <v>2545442</v>
      </c>
      <c r="B17" s="5" t="s">
        <v>533</v>
      </c>
      <c r="C17" s="1430" t="s">
        <v>3449</v>
      </c>
      <c r="D17" s="1090" t="s">
        <v>534</v>
      </c>
      <c r="E17" s="5" t="s">
        <v>30</v>
      </c>
      <c r="F17" s="5" t="s">
        <v>3522</v>
      </c>
      <c r="G17" s="5" t="s">
        <v>535</v>
      </c>
      <c r="H17" s="5" t="s">
        <v>158</v>
      </c>
      <c r="I17" s="5" t="str">
        <f>_xlfn.XLOOKUP(sommaire[[#This Row],[Arrondissement_code]],OCHA_GIS!$F:$F,OCHA_GIS!$E:$E,,)</f>
        <v>Gazawa</v>
      </c>
      <c r="J17" s="5" t="s">
        <v>571</v>
      </c>
      <c r="K17" t="s">
        <v>602</v>
      </c>
      <c r="L17" s="5" t="s">
        <v>603</v>
      </c>
      <c r="N17" s="5" t="s">
        <v>3053</v>
      </c>
      <c r="O17" s="5" t="s">
        <v>2467</v>
      </c>
      <c r="P17" s="5" t="s">
        <v>85</v>
      </c>
      <c r="Q17" s="5" t="s">
        <v>86</v>
      </c>
      <c r="R17" s="5" t="s">
        <v>86</v>
      </c>
      <c r="T17" s="390">
        <v>4</v>
      </c>
      <c r="U17" s="5" t="s">
        <v>97</v>
      </c>
      <c r="W17" s="5" t="s">
        <v>2468</v>
      </c>
      <c r="X17" s="5" t="s">
        <v>102</v>
      </c>
      <c r="AA17" s="5" t="s">
        <v>85</v>
      </c>
      <c r="AB17" s="5" t="s">
        <v>2469</v>
      </c>
      <c r="AC17" s="5" t="s">
        <v>2470</v>
      </c>
      <c r="AD17" s="5" t="s">
        <v>86</v>
      </c>
      <c r="AF17" s="5">
        <v>3</v>
      </c>
      <c r="AG17" s="5">
        <v>360</v>
      </c>
      <c r="AH17" s="5" t="s">
        <v>85</v>
      </c>
      <c r="AI17" s="5" t="s">
        <v>2471</v>
      </c>
      <c r="AJ17" s="5">
        <v>3</v>
      </c>
      <c r="AK17" s="5">
        <v>10</v>
      </c>
      <c r="AL17" s="5">
        <v>4</v>
      </c>
      <c r="AM17" s="5">
        <v>6</v>
      </c>
      <c r="AN17" s="5">
        <v>0</v>
      </c>
      <c r="AO17" s="5">
        <v>3</v>
      </c>
      <c r="AP17" s="5">
        <v>0</v>
      </c>
      <c r="AQ17" s="5">
        <v>0</v>
      </c>
      <c r="AT17" s="5">
        <v>0</v>
      </c>
      <c r="AU17" s="5">
        <v>0</v>
      </c>
      <c r="AX17" s="5">
        <v>0</v>
      </c>
      <c r="AY17" s="5" t="s">
        <v>86</v>
      </c>
      <c r="BN17" s="5" t="s">
        <v>86</v>
      </c>
      <c r="CD17" s="5">
        <v>0</v>
      </c>
      <c r="CF17" s="1442" t="str">
        <f>IF([1]!sommaire[[#This Row],[présence des personnes déplacés interne]]="Oui","1","0")</f>
        <v>1</v>
      </c>
      <c r="CG17" s="1442" t="str">
        <f>IF([1]!sommaire[[#This Row],[présence Réfugié hors camp]]="Oui","1","0")</f>
        <v>0</v>
      </c>
      <c r="CH17" s="1442" t="str">
        <f>IF([1]!sommaire[[#This Row],[présence personnes retournées]]="Oui","1","0")</f>
        <v>0</v>
      </c>
      <c r="CI17" s="1442">
        <f>[1]!sommaire[[#This Row],[Flag PDI]]+[1]!sommaire[[#This Row],[Flag REF]]+[1]!sommaire[[#This Row],[Flag RET]]</f>
        <v>1</v>
      </c>
    </row>
    <row r="18" spans="1:87" ht="14.55" customHeight="1" x14ac:dyDescent="0.3">
      <c r="A18" s="390">
        <v>2550325</v>
      </c>
      <c r="B18" s="5" t="s">
        <v>533</v>
      </c>
      <c r="C18" s="1430" t="s">
        <v>3449</v>
      </c>
      <c r="D18" s="1090" t="s">
        <v>534</v>
      </c>
      <c r="E18" s="5" t="s">
        <v>30</v>
      </c>
      <c r="F18" s="5" t="s">
        <v>3522</v>
      </c>
      <c r="G18" s="5" t="s">
        <v>535</v>
      </c>
      <c r="H18" s="1144" t="s">
        <v>158</v>
      </c>
      <c r="I18" s="1144" t="str">
        <f>_xlfn.XLOOKUP(sommaire[[#This Row],[Arrondissement_code]],OCHA_GIS!$F:$F,OCHA_GIS!$E:$E,,)</f>
        <v>Gazawa</v>
      </c>
      <c r="J18" s="5" t="s">
        <v>571</v>
      </c>
      <c r="K18" t="s">
        <v>572</v>
      </c>
      <c r="L18" s="5" t="s">
        <v>573</v>
      </c>
      <c r="N18" s="5" t="s">
        <v>3053</v>
      </c>
      <c r="O18" s="5" t="s">
        <v>2467</v>
      </c>
      <c r="P18" s="5" t="s">
        <v>85</v>
      </c>
      <c r="Q18" s="5" t="s">
        <v>86</v>
      </c>
      <c r="R18" s="5" t="s">
        <v>85</v>
      </c>
      <c r="T18" s="390">
        <v>3</v>
      </c>
      <c r="U18" s="5" t="s">
        <v>97</v>
      </c>
      <c r="W18" s="5" t="s">
        <v>2468</v>
      </c>
      <c r="X18" s="5" t="s">
        <v>102</v>
      </c>
      <c r="AA18" s="5" t="s">
        <v>85</v>
      </c>
      <c r="AB18" s="5" t="s">
        <v>2469</v>
      </c>
      <c r="AC18" s="5" t="s">
        <v>2470</v>
      </c>
      <c r="AD18" s="5" t="s">
        <v>86</v>
      </c>
      <c r="AF18" s="5">
        <v>8</v>
      </c>
      <c r="AG18" s="5">
        <v>814</v>
      </c>
      <c r="AH18" s="5" t="s">
        <v>85</v>
      </c>
      <c r="AI18" s="5" t="s">
        <v>2471</v>
      </c>
      <c r="AJ18" s="5">
        <v>8</v>
      </c>
      <c r="AK18" s="5">
        <v>62</v>
      </c>
      <c r="AL18" s="5">
        <v>32</v>
      </c>
      <c r="AM18" s="5">
        <v>30</v>
      </c>
      <c r="AN18" s="5">
        <v>0</v>
      </c>
      <c r="AO18" s="5">
        <v>8</v>
      </c>
      <c r="AP18" s="5">
        <v>0</v>
      </c>
      <c r="AQ18" s="5">
        <v>0</v>
      </c>
      <c r="AT18" s="5">
        <v>0</v>
      </c>
      <c r="AU18" s="5">
        <v>0</v>
      </c>
      <c r="AX18" s="5">
        <v>0</v>
      </c>
      <c r="AY18" s="5" t="s">
        <v>86</v>
      </c>
      <c r="BN18" s="5" t="s">
        <v>86</v>
      </c>
      <c r="CD18" s="5">
        <v>0</v>
      </c>
      <c r="CF18" s="1442" t="str">
        <f>IF([1]!sommaire[[#This Row],[présence des personnes déplacés interne]]="Oui","1","0")</f>
        <v>1</v>
      </c>
      <c r="CG18" s="1442" t="str">
        <f>IF([1]!sommaire[[#This Row],[présence Réfugié hors camp]]="Oui","1","0")</f>
        <v>0</v>
      </c>
      <c r="CH18" s="1442" t="str">
        <f>IF([1]!sommaire[[#This Row],[présence personnes retournées]]="Oui","1","0")</f>
        <v>0</v>
      </c>
      <c r="CI18" s="1442">
        <f>[1]!sommaire[[#This Row],[Flag PDI]]+[1]!sommaire[[#This Row],[Flag REF]]+[1]!sommaire[[#This Row],[Flag RET]]</f>
        <v>1</v>
      </c>
    </row>
    <row r="19" spans="1:87" ht="14.55" customHeight="1" x14ac:dyDescent="0.3">
      <c r="A19" s="390">
        <v>2580744</v>
      </c>
      <c r="B19" s="5" t="s">
        <v>533</v>
      </c>
      <c r="C19" s="1430" t="s">
        <v>3449</v>
      </c>
      <c r="D19" s="5" t="s">
        <v>534</v>
      </c>
      <c r="E19" s="5" t="s">
        <v>30</v>
      </c>
      <c r="F19" s="5" t="s">
        <v>3522</v>
      </c>
      <c r="G19" s="5" t="s">
        <v>535</v>
      </c>
      <c r="H19" s="5" t="s">
        <v>158</v>
      </c>
      <c r="I19" s="5" t="str">
        <f>_xlfn.XLOOKUP(sommaire[[#This Row],[Arrondissement_code]],OCHA_GIS!$F:$F,OCHA_GIS!$E:$E,,)</f>
        <v>Gazawa</v>
      </c>
      <c r="J19" s="5" t="s">
        <v>571</v>
      </c>
      <c r="K19" t="s">
        <v>604</v>
      </c>
      <c r="L19" s="5" t="s">
        <v>605</v>
      </c>
      <c r="N19" s="5" t="s">
        <v>3053</v>
      </c>
      <c r="O19" s="5" t="s">
        <v>2467</v>
      </c>
      <c r="P19" s="5" t="s">
        <v>85</v>
      </c>
      <c r="Q19" s="5" t="s">
        <v>86</v>
      </c>
      <c r="R19" s="5" t="s">
        <v>86</v>
      </c>
      <c r="T19" s="390">
        <v>3</v>
      </c>
      <c r="U19" s="5" t="s">
        <v>97</v>
      </c>
      <c r="W19" s="5" t="s">
        <v>2468</v>
      </c>
      <c r="X19" s="5" t="s">
        <v>102</v>
      </c>
      <c r="AA19" s="5" t="s">
        <v>85</v>
      </c>
      <c r="AB19" s="5" t="s">
        <v>2469</v>
      </c>
      <c r="AC19" s="5" t="s">
        <v>2470</v>
      </c>
      <c r="AD19" s="5" t="s">
        <v>86</v>
      </c>
      <c r="AF19" s="5">
        <v>2</v>
      </c>
      <c r="AG19" s="5">
        <v>830</v>
      </c>
      <c r="AH19" s="5" t="s">
        <v>85</v>
      </c>
      <c r="AI19" s="5" t="s">
        <v>2471</v>
      </c>
      <c r="AJ19" s="5">
        <v>2</v>
      </c>
      <c r="AK19" s="5">
        <v>23</v>
      </c>
      <c r="AL19" s="5">
        <v>12</v>
      </c>
      <c r="AM19" s="5">
        <v>11</v>
      </c>
      <c r="AN19" s="5">
        <v>1</v>
      </c>
      <c r="AO19" s="5">
        <v>0</v>
      </c>
      <c r="AP19" s="5">
        <v>0</v>
      </c>
      <c r="AQ19" s="5">
        <v>1</v>
      </c>
      <c r="AR19" s="5" t="s">
        <v>2472</v>
      </c>
      <c r="AT19" s="5">
        <v>0</v>
      </c>
      <c r="AU19" s="5">
        <v>0</v>
      </c>
      <c r="AX19" s="5">
        <v>0</v>
      </c>
      <c r="AY19" s="5" t="s">
        <v>86</v>
      </c>
      <c r="BN19" s="5" t="s">
        <v>86</v>
      </c>
      <c r="CD19" s="5">
        <v>0</v>
      </c>
      <c r="CF19" s="1442" t="str">
        <f>IF([1]!sommaire[[#This Row],[présence des personnes déplacés interne]]="Oui","1","0")</f>
        <v>1</v>
      </c>
      <c r="CG19" s="1442" t="str">
        <f>IF([1]!sommaire[[#This Row],[présence Réfugié hors camp]]="Oui","1","0")</f>
        <v>0</v>
      </c>
      <c r="CH19" s="1442" t="str">
        <f>IF([1]!sommaire[[#This Row],[présence personnes retournées]]="Oui","1","0")</f>
        <v>0</v>
      </c>
      <c r="CI19" s="1442">
        <f>[1]!sommaire[[#This Row],[Flag PDI]]+[1]!sommaire[[#This Row],[Flag REF]]+[1]!sommaire[[#This Row],[Flag RET]]</f>
        <v>1</v>
      </c>
    </row>
    <row r="20" spans="1:87" ht="14.55" customHeight="1" x14ac:dyDescent="0.3">
      <c r="A20" s="390">
        <v>2545443</v>
      </c>
      <c r="B20" s="5" t="s">
        <v>533</v>
      </c>
      <c r="C20" s="1430" t="s">
        <v>3449</v>
      </c>
      <c r="D20" s="1090" t="s">
        <v>534</v>
      </c>
      <c r="E20" s="5" t="s">
        <v>30</v>
      </c>
      <c r="F20" s="5" t="s">
        <v>3522</v>
      </c>
      <c r="G20" s="5" t="s">
        <v>535</v>
      </c>
      <c r="H20" s="5" t="s">
        <v>158</v>
      </c>
      <c r="I20" s="5" t="str">
        <f>_xlfn.XLOOKUP(sommaire[[#This Row],[Arrondissement_code]],OCHA_GIS!$F:$F,OCHA_GIS!$E:$E,,)</f>
        <v>Gazawa</v>
      </c>
      <c r="J20" s="5" t="s">
        <v>571</v>
      </c>
      <c r="K20" t="s">
        <v>2526</v>
      </c>
      <c r="L20" s="5" t="s">
        <v>2527</v>
      </c>
      <c r="N20" s="5" t="s">
        <v>3053</v>
      </c>
      <c r="O20" s="5" t="s">
        <v>2467</v>
      </c>
      <c r="P20" s="5" t="s">
        <v>85</v>
      </c>
      <c r="Q20" s="5" t="s">
        <v>86</v>
      </c>
      <c r="R20" s="5" t="s">
        <v>86</v>
      </c>
      <c r="T20" s="390">
        <v>3</v>
      </c>
      <c r="U20" s="5" t="s">
        <v>97</v>
      </c>
      <c r="W20" s="5" t="s">
        <v>2468</v>
      </c>
      <c r="X20" s="1090" t="s">
        <v>102</v>
      </c>
      <c r="AA20" s="5" t="s">
        <v>86</v>
      </c>
      <c r="AH20" s="1430" t="s">
        <v>86</v>
      </c>
      <c r="AY20" s="1430" t="s">
        <v>86</v>
      </c>
      <c r="BN20" s="1430" t="s">
        <v>86</v>
      </c>
      <c r="CF20" s="1442" t="str">
        <f>IF([1]!sommaire[[#This Row],[présence des personnes déplacés interne]]="Oui","1","0")</f>
        <v>0</v>
      </c>
      <c r="CG20" s="1442" t="str">
        <f>IF([1]!sommaire[[#This Row],[présence Réfugié hors camp]]="Oui","1","0")</f>
        <v>0</v>
      </c>
      <c r="CH20" s="1442" t="str">
        <f>IF([1]!sommaire[[#This Row],[présence personnes retournées]]="Oui","1","0")</f>
        <v>0</v>
      </c>
      <c r="CI20" s="1442">
        <f>[1]!sommaire[[#This Row],[Flag PDI]]+[1]!sommaire[[#This Row],[Flag REF]]+[1]!sommaire[[#This Row],[Flag RET]]</f>
        <v>0</v>
      </c>
    </row>
    <row r="21" spans="1:87" ht="14.55" customHeight="1" x14ac:dyDescent="0.3">
      <c r="A21" s="390">
        <v>2545444</v>
      </c>
      <c r="B21" s="5" t="s">
        <v>533</v>
      </c>
      <c r="C21" s="1430" t="s">
        <v>3449</v>
      </c>
      <c r="D21" s="1090" t="s">
        <v>534</v>
      </c>
      <c r="E21" s="5" t="s">
        <v>30</v>
      </c>
      <c r="F21" s="5" t="s">
        <v>3522</v>
      </c>
      <c r="G21" s="5" t="s">
        <v>535</v>
      </c>
      <c r="H21" s="5" t="s">
        <v>158</v>
      </c>
      <c r="I21" s="5" t="str">
        <f>_xlfn.XLOOKUP(sommaire[[#This Row],[Arrondissement_code]],OCHA_GIS!$F:$F,OCHA_GIS!$E:$E,,)</f>
        <v>Gazawa</v>
      </c>
      <c r="J21" s="5" t="s">
        <v>571</v>
      </c>
      <c r="K21" t="s">
        <v>637</v>
      </c>
      <c r="L21" s="5" t="s">
        <v>638</v>
      </c>
      <c r="N21" s="5" t="s">
        <v>3053</v>
      </c>
      <c r="O21" s="5" t="s">
        <v>2467</v>
      </c>
      <c r="P21" s="5" t="s">
        <v>85</v>
      </c>
      <c r="Q21" s="5" t="s">
        <v>86</v>
      </c>
      <c r="R21" s="5" t="s">
        <v>86</v>
      </c>
      <c r="T21" s="390">
        <v>3</v>
      </c>
      <c r="U21" s="5" t="s">
        <v>97</v>
      </c>
      <c r="W21" s="5" t="s">
        <v>2468</v>
      </c>
      <c r="X21" s="1090" t="s">
        <v>102</v>
      </c>
      <c r="AA21" s="1090" t="s">
        <v>85</v>
      </c>
      <c r="AB21" s="5" t="s">
        <v>2469</v>
      </c>
      <c r="AC21" s="5" t="s">
        <v>2470</v>
      </c>
      <c r="AD21" s="5" t="s">
        <v>86</v>
      </c>
      <c r="AF21" s="5">
        <v>4</v>
      </c>
      <c r="AG21" s="5">
        <v>930</v>
      </c>
      <c r="AH21" s="5" t="s">
        <v>85</v>
      </c>
      <c r="AI21" s="5" t="s">
        <v>2471</v>
      </c>
      <c r="AJ21" s="5">
        <v>4</v>
      </c>
      <c r="AK21" s="5">
        <v>11</v>
      </c>
      <c r="AL21" s="5">
        <v>8</v>
      </c>
      <c r="AM21" s="5">
        <v>3</v>
      </c>
      <c r="AN21" s="5">
        <v>0</v>
      </c>
      <c r="AO21" s="5">
        <v>4</v>
      </c>
      <c r="AP21" s="5">
        <v>0</v>
      </c>
      <c r="AQ21" s="5">
        <v>0</v>
      </c>
      <c r="AT21" s="5">
        <v>0</v>
      </c>
      <c r="AU21" s="5">
        <v>0</v>
      </c>
      <c r="AX21" s="5">
        <v>0</v>
      </c>
      <c r="AY21" s="1090" t="s">
        <v>86</v>
      </c>
      <c r="BN21" s="1090" t="s">
        <v>86</v>
      </c>
      <c r="CD21" s="5">
        <v>0</v>
      </c>
      <c r="CF21" s="1442" t="str">
        <f>IF([1]!sommaire[[#This Row],[présence des personnes déplacés interne]]="Oui","1","0")</f>
        <v>1</v>
      </c>
      <c r="CG21" s="1442" t="str">
        <f>IF([1]!sommaire[[#This Row],[présence Réfugié hors camp]]="Oui","1","0")</f>
        <v>0</v>
      </c>
      <c r="CH21" s="1442" t="str">
        <f>IF([1]!sommaire[[#This Row],[présence personnes retournées]]="Oui","1","0")</f>
        <v>0</v>
      </c>
      <c r="CI21" s="1442">
        <f>[1]!sommaire[[#This Row],[Flag PDI]]+[1]!sommaire[[#This Row],[Flag REF]]+[1]!sommaire[[#This Row],[Flag RET]]</f>
        <v>1</v>
      </c>
    </row>
    <row r="22" spans="1:87" ht="14.55" customHeight="1" x14ac:dyDescent="0.3">
      <c r="A22" s="390">
        <v>2550324</v>
      </c>
      <c r="B22" s="5" t="s">
        <v>533</v>
      </c>
      <c r="C22" s="1430" t="s">
        <v>3449</v>
      </c>
      <c r="D22" s="1090" t="s">
        <v>534</v>
      </c>
      <c r="E22" s="5" t="s">
        <v>30</v>
      </c>
      <c r="F22" s="5" t="s">
        <v>3522</v>
      </c>
      <c r="G22" s="5" t="s">
        <v>535</v>
      </c>
      <c r="H22" s="5" t="s">
        <v>158</v>
      </c>
      <c r="I22" s="5" t="str">
        <f>_xlfn.XLOOKUP(sommaire[[#This Row],[Arrondissement_code]],OCHA_GIS!$F:$F,OCHA_GIS!$E:$E,,)</f>
        <v>Gazawa</v>
      </c>
      <c r="J22" s="5" t="s">
        <v>571</v>
      </c>
      <c r="K22" t="s">
        <v>600</v>
      </c>
      <c r="L22" s="1186" t="s">
        <v>601</v>
      </c>
      <c r="N22" s="5" t="s">
        <v>3052</v>
      </c>
      <c r="O22" s="5" t="s">
        <v>2467</v>
      </c>
      <c r="P22" s="5" t="s">
        <v>85</v>
      </c>
      <c r="Q22" s="5" t="s">
        <v>86</v>
      </c>
      <c r="R22" s="5" t="s">
        <v>85</v>
      </c>
      <c r="T22" s="390">
        <v>4</v>
      </c>
      <c r="U22" s="5" t="s">
        <v>97</v>
      </c>
      <c r="W22" s="5" t="s">
        <v>2468</v>
      </c>
      <c r="X22" s="5" t="s">
        <v>102</v>
      </c>
      <c r="AA22" s="5" t="s">
        <v>85</v>
      </c>
      <c r="AB22" s="5" t="s">
        <v>2469</v>
      </c>
      <c r="AC22" s="5" t="s">
        <v>2470</v>
      </c>
      <c r="AD22" s="5" t="s">
        <v>86</v>
      </c>
      <c r="AF22" s="5">
        <v>23</v>
      </c>
      <c r="AG22" s="5">
        <v>10496</v>
      </c>
      <c r="AH22" s="5" t="s">
        <v>85</v>
      </c>
      <c r="AI22" s="5" t="s">
        <v>2471</v>
      </c>
      <c r="AJ22" s="5">
        <v>23</v>
      </c>
      <c r="AK22" s="5">
        <v>151</v>
      </c>
      <c r="AL22" s="5">
        <v>55</v>
      </c>
      <c r="AM22" s="5">
        <v>96</v>
      </c>
      <c r="AN22" s="5">
        <v>0</v>
      </c>
      <c r="AO22" s="5">
        <v>23</v>
      </c>
      <c r="AP22" s="5">
        <v>0</v>
      </c>
      <c r="AQ22" s="5">
        <v>0</v>
      </c>
      <c r="AT22" s="5">
        <v>0</v>
      </c>
      <c r="AU22" s="5">
        <v>0</v>
      </c>
      <c r="AX22" s="5">
        <v>0</v>
      </c>
      <c r="AY22" s="5" t="s">
        <v>86</v>
      </c>
      <c r="BN22" s="5" t="s">
        <v>86</v>
      </c>
      <c r="CD22" s="5">
        <v>0</v>
      </c>
      <c r="CF22" s="1442" t="str">
        <f>IF([1]!sommaire[[#This Row],[présence des personnes déplacés interne]]="Oui","1","0")</f>
        <v>1</v>
      </c>
      <c r="CG22" s="1442" t="str">
        <f>IF([1]!sommaire[[#This Row],[présence Réfugié hors camp]]="Oui","1","0")</f>
        <v>0</v>
      </c>
      <c r="CH22" s="1442" t="str">
        <f>IF([1]!sommaire[[#This Row],[présence personnes retournées]]="Oui","1","0")</f>
        <v>0</v>
      </c>
      <c r="CI22" s="1442">
        <f>[1]!sommaire[[#This Row],[Flag PDI]]+[1]!sommaire[[#This Row],[Flag REF]]+[1]!sommaire[[#This Row],[Flag RET]]</f>
        <v>1</v>
      </c>
    </row>
    <row r="23" spans="1:87" ht="14.55" customHeight="1" x14ac:dyDescent="0.3">
      <c r="A23" s="390">
        <v>2590523</v>
      </c>
      <c r="B23" s="5" t="s">
        <v>533</v>
      </c>
      <c r="C23" s="1430" t="s">
        <v>3449</v>
      </c>
      <c r="D23" s="1090" t="s">
        <v>534</v>
      </c>
      <c r="E23" s="5" t="s">
        <v>30</v>
      </c>
      <c r="F23" s="5" t="s">
        <v>3522</v>
      </c>
      <c r="G23" s="5" t="s">
        <v>535</v>
      </c>
      <c r="H23" s="5" t="s">
        <v>158</v>
      </c>
      <c r="I23" s="5" t="str">
        <f>_xlfn.XLOOKUP(sommaire[[#This Row],[Arrondissement_code]],OCHA_GIS!$F:$F,OCHA_GIS!$E:$E,,)</f>
        <v>Gazawa</v>
      </c>
      <c r="J23" s="5" t="s">
        <v>571</v>
      </c>
      <c r="K23" t="s">
        <v>1725</v>
      </c>
      <c r="L23" s="5" t="s">
        <v>1726</v>
      </c>
      <c r="N23" s="5" t="s">
        <v>3053</v>
      </c>
      <c r="O23" s="5" t="s">
        <v>2467</v>
      </c>
      <c r="P23" s="5" t="s">
        <v>85</v>
      </c>
      <c r="Q23" s="5" t="s">
        <v>86</v>
      </c>
      <c r="R23" s="5" t="s">
        <v>86</v>
      </c>
      <c r="T23" s="390">
        <v>3</v>
      </c>
      <c r="U23" s="5" t="s">
        <v>97</v>
      </c>
      <c r="W23" s="5" t="s">
        <v>2468</v>
      </c>
      <c r="X23" s="5" t="s">
        <v>102</v>
      </c>
      <c r="AA23" s="5" t="s">
        <v>85</v>
      </c>
      <c r="AB23" s="5" t="s">
        <v>2469</v>
      </c>
      <c r="AC23" s="5" t="s">
        <v>2470</v>
      </c>
      <c r="AD23" s="5" t="s">
        <v>86</v>
      </c>
      <c r="AF23" s="5">
        <v>2</v>
      </c>
      <c r="AG23" s="5">
        <v>1530</v>
      </c>
      <c r="AH23" s="5" t="s">
        <v>85</v>
      </c>
      <c r="AI23" s="5" t="s">
        <v>2471</v>
      </c>
      <c r="AJ23" s="5">
        <v>2</v>
      </c>
      <c r="AK23" s="5">
        <v>12</v>
      </c>
      <c r="AL23" s="5">
        <v>5</v>
      </c>
      <c r="AM23" s="5">
        <v>7</v>
      </c>
      <c r="AN23" s="5">
        <v>0</v>
      </c>
      <c r="AO23" s="5">
        <v>0</v>
      </c>
      <c r="AP23" s="5">
        <v>0</v>
      </c>
      <c r="AQ23" s="5">
        <v>2</v>
      </c>
      <c r="AR23" s="5" t="s">
        <v>2472</v>
      </c>
      <c r="AT23" s="5">
        <v>0</v>
      </c>
      <c r="AU23" s="5">
        <v>0</v>
      </c>
      <c r="AX23" s="5">
        <v>0</v>
      </c>
      <c r="AY23" s="5" t="s">
        <v>86</v>
      </c>
      <c r="BN23" s="5" t="s">
        <v>86</v>
      </c>
      <c r="CD23" s="5">
        <v>0</v>
      </c>
      <c r="CF23" s="1442" t="str">
        <f>IF([1]!sommaire[[#This Row],[présence des personnes déplacés interne]]="Oui","1","0")</f>
        <v>1</v>
      </c>
      <c r="CG23" s="1442" t="str">
        <f>IF([1]!sommaire[[#This Row],[présence Réfugié hors camp]]="Oui","1","0")</f>
        <v>0</v>
      </c>
      <c r="CH23" s="1442" t="str">
        <f>IF([1]!sommaire[[#This Row],[présence personnes retournées]]="Oui","1","0")</f>
        <v>0</v>
      </c>
      <c r="CI23" s="1442">
        <f>[1]!sommaire[[#This Row],[Flag PDI]]+[1]!sommaire[[#This Row],[Flag REF]]+[1]!sommaire[[#This Row],[Flag RET]]</f>
        <v>1</v>
      </c>
    </row>
    <row r="24" spans="1:87" ht="14.55" customHeight="1" x14ac:dyDescent="0.3">
      <c r="A24" s="390">
        <v>2549693</v>
      </c>
      <c r="B24" s="5" t="s">
        <v>533</v>
      </c>
      <c r="C24" s="1430" t="s">
        <v>3449</v>
      </c>
      <c r="D24" s="5" t="s">
        <v>534</v>
      </c>
      <c r="E24" s="5" t="s">
        <v>30</v>
      </c>
      <c r="F24" s="5" t="s">
        <v>3522</v>
      </c>
      <c r="G24" s="5" t="s">
        <v>535</v>
      </c>
      <c r="H24" s="5" t="s">
        <v>158</v>
      </c>
      <c r="I24" s="5" t="str">
        <f>_xlfn.XLOOKUP(sommaire[[#This Row],[Arrondissement_code]],OCHA_GIS!$F:$F,OCHA_GIS!$E:$E,,)</f>
        <v>Gazawa</v>
      </c>
      <c r="J24" s="5" t="s">
        <v>571</v>
      </c>
      <c r="K24" t="s">
        <v>728</v>
      </c>
      <c r="L24" s="5" t="s">
        <v>729</v>
      </c>
      <c r="N24" s="5" t="s">
        <v>3053</v>
      </c>
      <c r="O24" s="5" t="s">
        <v>2467</v>
      </c>
      <c r="P24" s="5" t="s">
        <v>85</v>
      </c>
      <c r="Q24" s="5" t="s">
        <v>86</v>
      </c>
      <c r="R24" s="5" t="s">
        <v>86</v>
      </c>
      <c r="T24" s="390">
        <v>3</v>
      </c>
      <c r="U24" s="5" t="s">
        <v>97</v>
      </c>
      <c r="W24" s="5" t="s">
        <v>2468</v>
      </c>
      <c r="X24" s="5" t="s">
        <v>102</v>
      </c>
      <c r="AA24" s="5" t="s">
        <v>85</v>
      </c>
      <c r="AB24" s="5" t="s">
        <v>2469</v>
      </c>
      <c r="AC24" s="5" t="s">
        <v>2470</v>
      </c>
      <c r="AD24" s="5" t="s">
        <v>86</v>
      </c>
      <c r="AF24" s="5">
        <v>3</v>
      </c>
      <c r="AG24" s="5">
        <v>1050</v>
      </c>
      <c r="AH24" s="5" t="s">
        <v>85</v>
      </c>
      <c r="AI24" s="5" t="s">
        <v>2471</v>
      </c>
      <c r="AJ24" s="5">
        <v>3</v>
      </c>
      <c r="AK24" s="5">
        <v>14</v>
      </c>
      <c r="AL24" s="5">
        <v>5</v>
      </c>
      <c r="AM24" s="5">
        <v>9</v>
      </c>
      <c r="AN24" s="5">
        <v>0</v>
      </c>
      <c r="AO24" s="5">
        <v>1</v>
      </c>
      <c r="AP24" s="5">
        <v>0</v>
      </c>
      <c r="AQ24" s="5">
        <v>2</v>
      </c>
      <c r="AR24" s="5" t="s">
        <v>2472</v>
      </c>
      <c r="AT24" s="5">
        <v>0</v>
      </c>
      <c r="AU24" s="5">
        <v>0</v>
      </c>
      <c r="AX24" s="5">
        <v>0</v>
      </c>
      <c r="AY24" s="5" t="s">
        <v>86</v>
      </c>
      <c r="BN24" s="5" t="s">
        <v>86</v>
      </c>
      <c r="CD24" s="5">
        <v>0</v>
      </c>
      <c r="CF24" s="1442" t="str">
        <f>IF([1]!sommaire[[#This Row],[présence des personnes déplacés interne]]="Oui","1","0")</f>
        <v>1</v>
      </c>
      <c r="CG24" s="1442" t="str">
        <f>IF([1]!sommaire[[#This Row],[présence Réfugié hors camp]]="Oui","1","0")</f>
        <v>0</v>
      </c>
      <c r="CH24" s="1442" t="str">
        <f>IF([1]!sommaire[[#This Row],[présence personnes retournées]]="Oui","1","0")</f>
        <v>0</v>
      </c>
      <c r="CI24" s="1442">
        <f>[1]!sommaire[[#This Row],[Flag PDI]]+[1]!sommaire[[#This Row],[Flag REF]]+[1]!sommaire[[#This Row],[Flag RET]]</f>
        <v>1</v>
      </c>
    </row>
    <row r="25" spans="1:87" ht="14.55" customHeight="1" x14ac:dyDescent="0.3">
      <c r="A25" s="390">
        <v>2646243</v>
      </c>
      <c r="B25" s="5" t="s">
        <v>533</v>
      </c>
      <c r="C25" s="1430" t="s">
        <v>3449</v>
      </c>
      <c r="D25" s="1090" t="s">
        <v>534</v>
      </c>
      <c r="E25" s="5" t="s">
        <v>30</v>
      </c>
      <c r="F25" s="5" t="s">
        <v>3522</v>
      </c>
      <c r="G25" s="5" t="s">
        <v>535</v>
      </c>
      <c r="H25" s="5" t="s">
        <v>159</v>
      </c>
      <c r="I25" s="5" t="str">
        <f>_xlfn.XLOOKUP(sommaire[[#This Row],[Arrondissement_code]],OCHA_GIS!$F:$F,OCHA_GIS!$E:$E,,)</f>
        <v>Maroua I</v>
      </c>
      <c r="J25" s="5" t="s">
        <v>574</v>
      </c>
      <c r="K25" t="s">
        <v>581</v>
      </c>
      <c r="L25" s="5" t="s">
        <v>582</v>
      </c>
      <c r="N25" s="5" t="s">
        <v>3053</v>
      </c>
      <c r="O25" s="5" t="s">
        <v>2467</v>
      </c>
      <c r="P25" s="5" t="s">
        <v>85</v>
      </c>
      <c r="Q25" s="5" t="s">
        <v>86</v>
      </c>
      <c r="R25" s="5" t="s">
        <v>85</v>
      </c>
      <c r="T25" s="390">
        <v>3</v>
      </c>
      <c r="U25" s="5" t="s">
        <v>97</v>
      </c>
      <c r="W25" s="5" t="s">
        <v>2468</v>
      </c>
      <c r="X25" s="5" t="s">
        <v>102</v>
      </c>
      <c r="AA25" s="5" t="s">
        <v>85</v>
      </c>
      <c r="AB25" s="5" t="s">
        <v>2469</v>
      </c>
      <c r="AC25" s="5" t="s">
        <v>2470</v>
      </c>
      <c r="AD25" s="1090" t="s">
        <v>86</v>
      </c>
      <c r="AF25" s="5">
        <v>8</v>
      </c>
      <c r="AG25" s="5">
        <v>528</v>
      </c>
      <c r="AH25" s="5" t="s">
        <v>85</v>
      </c>
      <c r="AI25" s="5" t="s">
        <v>2471</v>
      </c>
      <c r="AJ25" s="5">
        <v>8</v>
      </c>
      <c r="AK25" s="5">
        <v>44</v>
      </c>
      <c r="AL25" s="5">
        <v>24</v>
      </c>
      <c r="AM25" s="5">
        <v>20</v>
      </c>
      <c r="AN25" s="5">
        <v>0</v>
      </c>
      <c r="AO25" s="5">
        <v>0</v>
      </c>
      <c r="AP25" s="5">
        <v>0</v>
      </c>
      <c r="AQ25" s="5">
        <v>8</v>
      </c>
      <c r="AR25" s="5" t="s">
        <v>2477</v>
      </c>
      <c r="AT25" s="5">
        <v>0</v>
      </c>
      <c r="AU25" s="5">
        <v>0</v>
      </c>
      <c r="AX25" s="5">
        <v>0</v>
      </c>
      <c r="AY25" s="5" t="s">
        <v>86</v>
      </c>
      <c r="BN25" s="5" t="s">
        <v>86</v>
      </c>
      <c r="CD25" s="5">
        <v>0</v>
      </c>
      <c r="CF25" s="1442" t="str">
        <f>IF([1]!sommaire[[#This Row],[présence des personnes déplacés interne]]="Oui","1","0")</f>
        <v>1</v>
      </c>
      <c r="CG25" s="1442" t="str">
        <f>IF([1]!sommaire[[#This Row],[présence Réfugié hors camp]]="Oui","1","0")</f>
        <v>0</v>
      </c>
      <c r="CH25" s="1442" t="str">
        <f>IF([1]!sommaire[[#This Row],[présence personnes retournées]]="Oui","1","0")</f>
        <v>0</v>
      </c>
      <c r="CI25" s="1442">
        <f>[1]!sommaire[[#This Row],[Flag PDI]]+[1]!sommaire[[#This Row],[Flag REF]]+[1]!sommaire[[#This Row],[Flag RET]]</f>
        <v>1</v>
      </c>
    </row>
    <row r="26" spans="1:87" ht="14.55" customHeight="1" x14ac:dyDescent="0.3">
      <c r="A26" s="390">
        <v>2543967</v>
      </c>
      <c r="B26" s="5" t="s">
        <v>533</v>
      </c>
      <c r="C26" s="1430" t="s">
        <v>3449</v>
      </c>
      <c r="D26" s="1090" t="s">
        <v>534</v>
      </c>
      <c r="E26" s="5" t="s">
        <v>30</v>
      </c>
      <c r="F26" s="5" t="s">
        <v>3522</v>
      </c>
      <c r="G26" s="5" t="s">
        <v>535</v>
      </c>
      <c r="H26" s="5" t="s">
        <v>159</v>
      </c>
      <c r="I26" s="5" t="str">
        <f>_xlfn.XLOOKUP(sommaire[[#This Row],[Arrondissement_code]],OCHA_GIS!$F:$F,OCHA_GIS!$E:$E,,)</f>
        <v>Maroua I</v>
      </c>
      <c r="J26" s="5" t="s">
        <v>574</v>
      </c>
      <c r="K26" t="s">
        <v>594</v>
      </c>
      <c r="L26" s="5" t="s">
        <v>595</v>
      </c>
      <c r="N26" s="5" t="s">
        <v>3052</v>
      </c>
      <c r="O26" s="5" t="s">
        <v>2467</v>
      </c>
      <c r="P26" s="5" t="s">
        <v>85</v>
      </c>
      <c r="Q26" s="5" t="s">
        <v>86</v>
      </c>
      <c r="R26" s="5" t="s">
        <v>85</v>
      </c>
      <c r="T26" s="390">
        <v>3</v>
      </c>
      <c r="U26" s="5" t="s">
        <v>97</v>
      </c>
      <c r="W26" s="5" t="s">
        <v>2468</v>
      </c>
      <c r="X26" s="1090" t="s">
        <v>102</v>
      </c>
      <c r="AA26" s="5" t="s">
        <v>86</v>
      </c>
      <c r="AH26" s="1430" t="s">
        <v>86</v>
      </c>
      <c r="AY26" s="1430" t="s">
        <v>86</v>
      </c>
      <c r="BN26" s="1430" t="s">
        <v>86</v>
      </c>
      <c r="CF26" s="1442" t="str">
        <f>IF([1]!sommaire[[#This Row],[présence des personnes déplacés interne]]="Oui","1","0")</f>
        <v>0</v>
      </c>
      <c r="CG26" s="1442" t="str">
        <f>IF([1]!sommaire[[#This Row],[présence Réfugié hors camp]]="Oui","1","0")</f>
        <v>0</v>
      </c>
      <c r="CH26" s="1442" t="str">
        <f>IF([1]!sommaire[[#This Row],[présence personnes retournées]]="Oui","1","0")</f>
        <v>0</v>
      </c>
      <c r="CI26" s="1442">
        <f>[1]!sommaire[[#This Row],[Flag PDI]]+[1]!sommaire[[#This Row],[Flag REF]]+[1]!sommaire[[#This Row],[Flag RET]]</f>
        <v>0</v>
      </c>
    </row>
    <row r="27" spans="1:87" ht="14.55" customHeight="1" x14ac:dyDescent="0.3">
      <c r="A27" s="390">
        <v>2589207</v>
      </c>
      <c r="B27" s="5" t="s">
        <v>533</v>
      </c>
      <c r="C27" s="1430" t="s">
        <v>3449</v>
      </c>
      <c r="D27" s="1090" t="s">
        <v>534</v>
      </c>
      <c r="E27" s="5" t="s">
        <v>30</v>
      </c>
      <c r="F27" s="5" t="s">
        <v>3522</v>
      </c>
      <c r="G27" s="5" t="s">
        <v>535</v>
      </c>
      <c r="H27" s="5" t="s">
        <v>159</v>
      </c>
      <c r="I27" s="5" t="str">
        <f>_xlfn.XLOOKUP(sommaire[[#This Row],[Arrondissement_code]],OCHA_GIS!$F:$F,OCHA_GIS!$E:$E,,)</f>
        <v>Maroua I</v>
      </c>
      <c r="J27" s="5" t="s">
        <v>574</v>
      </c>
      <c r="K27" t="s">
        <v>592</v>
      </c>
      <c r="L27" s="5" t="s">
        <v>593</v>
      </c>
      <c r="N27" s="5" t="s">
        <v>3053</v>
      </c>
      <c r="O27" s="5" t="s">
        <v>2467</v>
      </c>
      <c r="P27" s="5" t="s">
        <v>85</v>
      </c>
      <c r="Q27" s="5" t="s">
        <v>86</v>
      </c>
      <c r="R27" s="5" t="s">
        <v>86</v>
      </c>
      <c r="T27" s="390">
        <v>3</v>
      </c>
      <c r="U27" s="5" t="s">
        <v>97</v>
      </c>
      <c r="W27" s="5" t="s">
        <v>2468</v>
      </c>
      <c r="X27" s="5" t="s">
        <v>102</v>
      </c>
      <c r="AA27" s="5" t="s">
        <v>85</v>
      </c>
      <c r="AB27" s="5" t="s">
        <v>2469</v>
      </c>
      <c r="AC27" s="5" t="s">
        <v>2470</v>
      </c>
      <c r="AD27" s="5" t="s">
        <v>86</v>
      </c>
      <c r="AF27" s="5">
        <v>2</v>
      </c>
      <c r="AG27" s="5">
        <v>500</v>
      </c>
      <c r="AH27" s="5" t="s">
        <v>85</v>
      </c>
      <c r="AI27" s="5" t="s">
        <v>2471</v>
      </c>
      <c r="AJ27" s="5">
        <v>2</v>
      </c>
      <c r="AK27" s="5">
        <v>11</v>
      </c>
      <c r="AL27" s="5">
        <v>5</v>
      </c>
      <c r="AM27" s="5">
        <v>6</v>
      </c>
      <c r="AN27" s="5">
        <v>0</v>
      </c>
      <c r="AO27" s="5">
        <v>2</v>
      </c>
      <c r="AP27" s="5">
        <v>0</v>
      </c>
      <c r="AQ27" s="5">
        <v>0</v>
      </c>
      <c r="AT27" s="5">
        <v>0</v>
      </c>
      <c r="AU27" s="5">
        <v>0</v>
      </c>
      <c r="AX27" s="5">
        <v>0</v>
      </c>
      <c r="AY27" s="5" t="s">
        <v>86</v>
      </c>
      <c r="BN27" s="5" t="s">
        <v>86</v>
      </c>
      <c r="CD27" s="5">
        <v>0</v>
      </c>
      <c r="CF27" s="1442" t="str">
        <f>IF([1]!sommaire[[#This Row],[présence des personnes déplacés interne]]="Oui","1","0")</f>
        <v>1</v>
      </c>
      <c r="CG27" s="1442" t="str">
        <f>IF([1]!sommaire[[#This Row],[présence Réfugié hors camp]]="Oui","1","0")</f>
        <v>0</v>
      </c>
      <c r="CH27" s="1442" t="str">
        <f>IF([1]!sommaire[[#This Row],[présence personnes retournées]]="Oui","1","0")</f>
        <v>0</v>
      </c>
      <c r="CI27" s="1442">
        <f>[1]!sommaire[[#This Row],[Flag PDI]]+[1]!sommaire[[#This Row],[Flag REF]]+[1]!sommaire[[#This Row],[Flag RET]]</f>
        <v>1</v>
      </c>
    </row>
    <row r="28" spans="1:87" ht="14.55" customHeight="1" x14ac:dyDescent="0.3">
      <c r="A28" s="390">
        <v>2608198</v>
      </c>
      <c r="B28" s="5" t="s">
        <v>533</v>
      </c>
      <c r="C28" s="1430" t="s">
        <v>3449</v>
      </c>
      <c r="D28" s="1090" t="s">
        <v>534</v>
      </c>
      <c r="E28" s="5" t="s">
        <v>30</v>
      </c>
      <c r="F28" s="5" t="s">
        <v>3522</v>
      </c>
      <c r="G28" s="5" t="s">
        <v>535</v>
      </c>
      <c r="H28" s="5" t="s">
        <v>159</v>
      </c>
      <c r="I28" s="5" t="str">
        <f>_xlfn.XLOOKUP(sommaire[[#This Row],[Arrondissement_code]],OCHA_GIS!$F:$F,OCHA_GIS!$E:$E,,)</f>
        <v>Maroua I</v>
      </c>
      <c r="J28" s="5" t="s">
        <v>574</v>
      </c>
      <c r="K28" t="s">
        <v>822</v>
      </c>
      <c r="L28" s="5" t="s">
        <v>823</v>
      </c>
      <c r="N28" s="5" t="s">
        <v>3052</v>
      </c>
      <c r="O28" s="5" t="s">
        <v>2467</v>
      </c>
      <c r="P28" s="5" t="s">
        <v>85</v>
      </c>
      <c r="Q28" s="5" t="s">
        <v>86</v>
      </c>
      <c r="R28" s="5" t="s">
        <v>85</v>
      </c>
      <c r="T28" s="390">
        <v>3</v>
      </c>
      <c r="U28" s="5" t="s">
        <v>97</v>
      </c>
      <c r="W28" s="5" t="s">
        <v>2468</v>
      </c>
      <c r="X28" s="1090" t="s">
        <v>102</v>
      </c>
      <c r="AA28" s="1090" t="s">
        <v>85</v>
      </c>
      <c r="AB28" s="5" t="s">
        <v>2469</v>
      </c>
      <c r="AC28" s="5" t="s">
        <v>2470</v>
      </c>
      <c r="AD28" s="5" t="s">
        <v>86</v>
      </c>
      <c r="AF28" s="5">
        <v>31</v>
      </c>
      <c r="AG28" s="5">
        <v>3010</v>
      </c>
      <c r="AH28" s="5" t="s">
        <v>85</v>
      </c>
      <c r="AI28" s="5" t="s">
        <v>2471</v>
      </c>
      <c r="AJ28" s="5">
        <v>31</v>
      </c>
      <c r="AK28" s="5">
        <v>166</v>
      </c>
      <c r="AL28" s="5">
        <v>76</v>
      </c>
      <c r="AM28" s="5">
        <v>90</v>
      </c>
      <c r="AN28" s="5">
        <v>0</v>
      </c>
      <c r="AO28" s="5">
        <v>0</v>
      </c>
      <c r="AP28" s="5">
        <v>0</v>
      </c>
      <c r="AQ28" s="5">
        <v>31</v>
      </c>
      <c r="AR28" s="5" t="s">
        <v>2477</v>
      </c>
      <c r="AT28" s="5">
        <v>0</v>
      </c>
      <c r="AU28" s="5">
        <v>0</v>
      </c>
      <c r="AX28" s="5">
        <v>0</v>
      </c>
      <c r="AY28" s="1090" t="s">
        <v>86</v>
      </c>
      <c r="BN28" s="1090" t="s">
        <v>86</v>
      </c>
      <c r="CD28" s="5">
        <v>0</v>
      </c>
      <c r="CF28" s="1442" t="str">
        <f>IF([1]!sommaire[[#This Row],[présence des personnes déplacés interne]]="Oui","1","0")</f>
        <v>1</v>
      </c>
      <c r="CG28" s="1442" t="str">
        <f>IF([1]!sommaire[[#This Row],[présence Réfugié hors camp]]="Oui","1","0")</f>
        <v>0</v>
      </c>
      <c r="CH28" s="1442" t="str">
        <f>IF([1]!sommaire[[#This Row],[présence personnes retournées]]="Oui","1","0")</f>
        <v>0</v>
      </c>
      <c r="CI28" s="1442">
        <f>[1]!sommaire[[#This Row],[Flag PDI]]+[1]!sommaire[[#This Row],[Flag REF]]+[1]!sommaire[[#This Row],[Flag RET]]</f>
        <v>1</v>
      </c>
    </row>
    <row r="29" spans="1:87" ht="14.55" customHeight="1" x14ac:dyDescent="0.3">
      <c r="A29" s="390">
        <v>2617096</v>
      </c>
      <c r="B29" s="5" t="s">
        <v>533</v>
      </c>
      <c r="C29" s="1430" t="s">
        <v>3449</v>
      </c>
      <c r="D29" s="5" t="s">
        <v>534</v>
      </c>
      <c r="E29" s="5" t="s">
        <v>30</v>
      </c>
      <c r="F29" s="5" t="s">
        <v>3522</v>
      </c>
      <c r="G29" s="5" t="s">
        <v>535</v>
      </c>
      <c r="H29" s="5" t="s">
        <v>159</v>
      </c>
      <c r="I29" s="5" t="str">
        <f>_xlfn.XLOOKUP(sommaire[[#This Row],[Arrondissement_code]],OCHA_GIS!$F:$F,OCHA_GIS!$E:$E,,)</f>
        <v>Maroua I</v>
      </c>
      <c r="J29" s="5" t="s">
        <v>574</v>
      </c>
      <c r="K29" t="s">
        <v>3096</v>
      </c>
      <c r="L29" s="5" t="s">
        <v>3249</v>
      </c>
      <c r="N29" s="5" t="s">
        <v>3052</v>
      </c>
      <c r="O29" s="5" t="s">
        <v>2473</v>
      </c>
      <c r="P29" s="5" t="s">
        <v>86</v>
      </c>
      <c r="Q29" s="5" t="s">
        <v>85</v>
      </c>
      <c r="R29" s="5" t="s">
        <v>85</v>
      </c>
      <c r="S29" s="390">
        <v>6</v>
      </c>
      <c r="U29" s="5" t="s">
        <v>97</v>
      </c>
      <c r="W29" s="5" t="s">
        <v>2468</v>
      </c>
      <c r="X29" s="5" t="s">
        <v>102</v>
      </c>
      <c r="AA29" s="5" t="s">
        <v>85</v>
      </c>
      <c r="AB29" s="5" t="s">
        <v>2473</v>
      </c>
      <c r="AC29" s="5" t="s">
        <v>2470</v>
      </c>
      <c r="AF29" s="5">
        <v>102</v>
      </c>
      <c r="AG29" s="5">
        <v>708</v>
      </c>
      <c r="AH29" s="5" t="s">
        <v>85</v>
      </c>
      <c r="AI29" s="5" t="s">
        <v>2471</v>
      </c>
      <c r="AJ29" s="5">
        <v>102</v>
      </c>
      <c r="AK29" s="5">
        <v>708</v>
      </c>
      <c r="AL29" s="5">
        <v>236</v>
      </c>
      <c r="AM29" s="5">
        <v>472</v>
      </c>
      <c r="AN29" s="5">
        <v>0</v>
      </c>
      <c r="AO29" s="5">
        <v>0</v>
      </c>
      <c r="AP29" s="5">
        <v>0</v>
      </c>
      <c r="AQ29" s="5">
        <v>0</v>
      </c>
      <c r="AT29" s="5">
        <v>102</v>
      </c>
      <c r="AU29" s="5">
        <v>0</v>
      </c>
      <c r="AX29" s="5">
        <v>0</v>
      </c>
      <c r="AY29" s="5" t="s">
        <v>86</v>
      </c>
      <c r="BN29" s="5" t="s">
        <v>86</v>
      </c>
      <c r="CD29" s="5">
        <v>0</v>
      </c>
      <c r="CF29" s="1442" t="str">
        <f>IF([1]!sommaire[[#This Row],[présence des personnes déplacés interne]]="Oui","1","0")</f>
        <v>1</v>
      </c>
      <c r="CG29" s="1442" t="str">
        <f>IF([1]!sommaire[[#This Row],[présence Réfugié hors camp]]="Oui","1","0")</f>
        <v>0</v>
      </c>
      <c r="CH29" s="1442" t="str">
        <f>IF([1]!sommaire[[#This Row],[présence personnes retournées]]="Oui","1","0")</f>
        <v>0</v>
      </c>
      <c r="CI29" s="1442">
        <f>[1]!sommaire[[#This Row],[Flag PDI]]+[1]!sommaire[[#This Row],[Flag REF]]+[1]!sommaire[[#This Row],[Flag RET]]</f>
        <v>1</v>
      </c>
    </row>
    <row r="30" spans="1:87" ht="14.55" customHeight="1" x14ac:dyDescent="0.3">
      <c r="A30" s="390">
        <v>2679445</v>
      </c>
      <c r="B30" s="5" t="s">
        <v>533</v>
      </c>
      <c r="C30" s="1430" t="s">
        <v>3449</v>
      </c>
      <c r="D30" s="5" t="s">
        <v>534</v>
      </c>
      <c r="E30" s="5" t="s">
        <v>30</v>
      </c>
      <c r="F30" s="5" t="s">
        <v>3522</v>
      </c>
      <c r="G30" s="5" t="s">
        <v>535</v>
      </c>
      <c r="H30" s="5" t="s">
        <v>159</v>
      </c>
      <c r="I30" s="5" t="str">
        <f>_xlfn.XLOOKUP(sommaire[[#This Row],[Arrondissement_code]],OCHA_GIS!$F:$F,OCHA_GIS!$E:$E,,)</f>
        <v>Maroua I</v>
      </c>
      <c r="J30" s="5" t="s">
        <v>574</v>
      </c>
      <c r="K30" t="s">
        <v>3026</v>
      </c>
      <c r="L30" s="5" t="s">
        <v>719</v>
      </c>
      <c r="N30" s="5" t="s">
        <v>3053</v>
      </c>
      <c r="O30" s="5" t="s">
        <v>2467</v>
      </c>
      <c r="P30" s="5" t="s">
        <v>85</v>
      </c>
      <c r="Q30" s="5" t="s">
        <v>86</v>
      </c>
      <c r="R30" s="5" t="s">
        <v>85</v>
      </c>
      <c r="T30" s="390">
        <v>3</v>
      </c>
      <c r="U30" s="5" t="s">
        <v>97</v>
      </c>
      <c r="W30" s="5" t="s">
        <v>2468</v>
      </c>
      <c r="X30" s="5" t="s">
        <v>102</v>
      </c>
      <c r="AA30" s="5" t="s">
        <v>85</v>
      </c>
      <c r="AB30" s="5" t="s">
        <v>2469</v>
      </c>
      <c r="AC30" s="5" t="s">
        <v>2470</v>
      </c>
      <c r="AD30" s="5" t="s">
        <v>86</v>
      </c>
      <c r="AF30" s="5">
        <v>3</v>
      </c>
      <c r="AG30" s="5">
        <v>1500</v>
      </c>
      <c r="AH30" s="5" t="s">
        <v>85</v>
      </c>
      <c r="AI30" s="5" t="s">
        <v>2471</v>
      </c>
      <c r="AJ30" s="5">
        <v>3</v>
      </c>
      <c r="AK30" s="5">
        <v>11</v>
      </c>
      <c r="AL30" s="5">
        <v>4</v>
      </c>
      <c r="AM30" s="5">
        <v>7</v>
      </c>
      <c r="AN30" s="5">
        <v>0</v>
      </c>
      <c r="AO30" s="5">
        <v>3</v>
      </c>
      <c r="AP30" s="5">
        <v>0</v>
      </c>
      <c r="AQ30" s="5">
        <v>0</v>
      </c>
      <c r="AT30" s="5">
        <v>0</v>
      </c>
      <c r="AU30" s="5">
        <v>0</v>
      </c>
      <c r="AX30" s="5">
        <v>0</v>
      </c>
      <c r="AY30" s="5" t="s">
        <v>86</v>
      </c>
      <c r="BN30" s="5" t="s">
        <v>86</v>
      </c>
      <c r="CD30" s="5">
        <v>0</v>
      </c>
      <c r="CF30" s="1442" t="str">
        <f>IF([1]!sommaire[[#This Row],[présence des personnes déplacés interne]]="Oui","1","0")</f>
        <v>1</v>
      </c>
      <c r="CG30" s="1442" t="str">
        <f>IF([1]!sommaire[[#This Row],[présence Réfugié hors camp]]="Oui","1","0")</f>
        <v>0</v>
      </c>
      <c r="CH30" s="1442" t="str">
        <f>IF([1]!sommaire[[#This Row],[présence personnes retournées]]="Oui","1","0")</f>
        <v>0</v>
      </c>
      <c r="CI30" s="1442">
        <f>[1]!sommaire[[#This Row],[Flag PDI]]+[1]!sommaire[[#This Row],[Flag REF]]+[1]!sommaire[[#This Row],[Flag RET]]</f>
        <v>1</v>
      </c>
    </row>
    <row r="31" spans="1:87" ht="14.55" customHeight="1" x14ac:dyDescent="0.3">
      <c r="A31" s="390">
        <v>2543966</v>
      </c>
      <c r="B31" s="5" t="s">
        <v>533</v>
      </c>
      <c r="C31" s="1430" t="s">
        <v>3449</v>
      </c>
      <c r="D31" s="5" t="s">
        <v>534</v>
      </c>
      <c r="E31" s="5" t="s">
        <v>30</v>
      </c>
      <c r="F31" s="5" t="s">
        <v>3522</v>
      </c>
      <c r="G31" s="5" t="s">
        <v>535</v>
      </c>
      <c r="H31" s="5" t="s">
        <v>159</v>
      </c>
      <c r="I31" s="5" t="str">
        <f>_xlfn.XLOOKUP(sommaire[[#This Row],[Arrondissement_code]],OCHA_GIS!$F:$F,OCHA_GIS!$E:$E,,)</f>
        <v>Maroua I</v>
      </c>
      <c r="J31" s="5" t="s">
        <v>574</v>
      </c>
      <c r="K31" t="s">
        <v>575</v>
      </c>
      <c r="L31" s="5" t="s">
        <v>576</v>
      </c>
      <c r="N31" s="5" t="s">
        <v>3052</v>
      </c>
      <c r="O31" s="5" t="s">
        <v>2467</v>
      </c>
      <c r="P31" s="5" t="s">
        <v>85</v>
      </c>
      <c r="Q31" s="5" t="s">
        <v>86</v>
      </c>
      <c r="R31" s="5" t="s">
        <v>85</v>
      </c>
      <c r="T31" s="390">
        <v>3</v>
      </c>
      <c r="U31" s="5" t="s">
        <v>97</v>
      </c>
      <c r="W31" s="5" t="s">
        <v>2468</v>
      </c>
      <c r="X31" s="5" t="s">
        <v>102</v>
      </c>
      <c r="AA31" s="5" t="s">
        <v>85</v>
      </c>
      <c r="AB31" s="5" t="s">
        <v>2469</v>
      </c>
      <c r="AC31" s="5" t="s">
        <v>2470</v>
      </c>
      <c r="AD31" s="5" t="s">
        <v>86</v>
      </c>
      <c r="AF31" s="5">
        <v>2</v>
      </c>
      <c r="AG31" s="5">
        <v>3000</v>
      </c>
      <c r="AH31" s="5" t="s">
        <v>85</v>
      </c>
      <c r="AI31" s="5" t="s">
        <v>2485</v>
      </c>
      <c r="AJ31" s="5">
        <v>2</v>
      </c>
      <c r="AK31" s="5">
        <v>12</v>
      </c>
      <c r="AL31" s="5">
        <v>5</v>
      </c>
      <c r="AM31" s="5">
        <v>7</v>
      </c>
      <c r="AN31" s="5">
        <v>0</v>
      </c>
      <c r="AO31" s="5">
        <v>0</v>
      </c>
      <c r="AP31" s="5">
        <v>0</v>
      </c>
      <c r="AQ31" s="5">
        <v>2</v>
      </c>
      <c r="AR31" s="5" t="s">
        <v>2472</v>
      </c>
      <c r="AT31" s="5">
        <v>0</v>
      </c>
      <c r="AU31" s="5">
        <v>0</v>
      </c>
      <c r="AX31" s="5">
        <v>0</v>
      </c>
      <c r="AY31" s="5" t="s">
        <v>86</v>
      </c>
      <c r="BN31" s="5" t="s">
        <v>86</v>
      </c>
      <c r="CD31" s="5">
        <v>0</v>
      </c>
      <c r="CF31" s="1442" t="str">
        <f>IF([1]!sommaire[[#This Row],[présence des personnes déplacés interne]]="Oui","1","0")</f>
        <v>1</v>
      </c>
      <c r="CG31" s="1442" t="str">
        <f>IF([1]!sommaire[[#This Row],[présence Réfugié hors camp]]="Oui","1","0")</f>
        <v>0</v>
      </c>
      <c r="CH31" s="1442" t="str">
        <f>IF([1]!sommaire[[#This Row],[présence personnes retournées]]="Oui","1","0")</f>
        <v>0</v>
      </c>
      <c r="CI31" s="1442">
        <f>[1]!sommaire[[#This Row],[Flag PDI]]+[1]!sommaire[[#This Row],[Flag REF]]+[1]!sommaire[[#This Row],[Flag RET]]</f>
        <v>1</v>
      </c>
    </row>
    <row r="32" spans="1:87" ht="14.55" customHeight="1" x14ac:dyDescent="0.3">
      <c r="A32" s="390">
        <v>2548496</v>
      </c>
      <c r="B32" s="5" t="s">
        <v>533</v>
      </c>
      <c r="C32" s="1430" t="s">
        <v>3449</v>
      </c>
      <c r="D32" s="1090" t="s">
        <v>534</v>
      </c>
      <c r="E32" s="5" t="s">
        <v>30</v>
      </c>
      <c r="F32" s="5" t="s">
        <v>3522</v>
      </c>
      <c r="G32" s="5" t="s">
        <v>535</v>
      </c>
      <c r="H32" s="5" t="s">
        <v>160</v>
      </c>
      <c r="I32" s="5" t="str">
        <f>_xlfn.XLOOKUP(sommaire[[#This Row],[Arrondissement_code]],OCHA_GIS!$F:$F,OCHA_GIS!$E:$E,,)</f>
        <v>Maroua Ii</v>
      </c>
      <c r="J32" s="5" t="s">
        <v>555</v>
      </c>
      <c r="K32" t="s">
        <v>701</v>
      </c>
      <c r="L32" s="5" t="s">
        <v>702</v>
      </c>
      <c r="N32" s="5" t="s">
        <v>3052</v>
      </c>
      <c r="O32" s="5" t="s">
        <v>2467</v>
      </c>
      <c r="P32" s="5" t="s">
        <v>85</v>
      </c>
      <c r="Q32" s="5" t="s">
        <v>86</v>
      </c>
      <c r="R32" s="5" t="s">
        <v>85</v>
      </c>
      <c r="T32" s="390">
        <v>4</v>
      </c>
      <c r="U32" s="5" t="s">
        <v>97</v>
      </c>
      <c r="W32" s="5" t="s">
        <v>2468</v>
      </c>
      <c r="X32" s="5" t="s">
        <v>102</v>
      </c>
      <c r="AA32" s="5" t="s">
        <v>85</v>
      </c>
      <c r="AB32" s="5" t="s">
        <v>2469</v>
      </c>
      <c r="AC32" s="5" t="s">
        <v>2470</v>
      </c>
      <c r="AD32" s="5" t="s">
        <v>86</v>
      </c>
      <c r="AF32" s="5">
        <v>12</v>
      </c>
      <c r="AG32" s="5">
        <v>595</v>
      </c>
      <c r="AH32" s="5" t="s">
        <v>85</v>
      </c>
      <c r="AI32" s="5" t="s">
        <v>2471</v>
      </c>
      <c r="AJ32" s="5">
        <v>12</v>
      </c>
      <c r="AK32" s="5">
        <v>58</v>
      </c>
      <c r="AL32" s="5">
        <v>20</v>
      </c>
      <c r="AM32" s="5">
        <v>38</v>
      </c>
      <c r="AN32" s="5">
        <v>0</v>
      </c>
      <c r="AO32" s="5">
        <v>12</v>
      </c>
      <c r="AP32" s="5">
        <v>0</v>
      </c>
      <c r="AQ32" s="5">
        <v>0</v>
      </c>
      <c r="AT32" s="5">
        <v>0</v>
      </c>
      <c r="AU32" s="5">
        <v>0</v>
      </c>
      <c r="AX32" s="5">
        <v>0</v>
      </c>
      <c r="AY32" s="5" t="s">
        <v>86</v>
      </c>
      <c r="BN32" s="5" t="s">
        <v>86</v>
      </c>
      <c r="CD32" s="5">
        <v>0</v>
      </c>
      <c r="CF32" s="1442" t="str">
        <f>IF([1]!sommaire[[#This Row],[présence des personnes déplacés interne]]="Oui","1","0")</f>
        <v>1</v>
      </c>
      <c r="CG32" s="1442" t="str">
        <f>IF([1]!sommaire[[#This Row],[présence Réfugié hors camp]]="Oui","1","0")</f>
        <v>0</v>
      </c>
      <c r="CH32" s="1442" t="str">
        <f>IF([1]!sommaire[[#This Row],[présence personnes retournées]]="Oui","1","0")</f>
        <v>0</v>
      </c>
      <c r="CI32" s="1442">
        <f>[1]!sommaire[[#This Row],[Flag PDI]]+[1]!sommaire[[#This Row],[Flag REF]]+[1]!sommaire[[#This Row],[Flag RET]]</f>
        <v>1</v>
      </c>
    </row>
    <row r="33" spans="1:87" ht="14.55" customHeight="1" x14ac:dyDescent="0.3">
      <c r="A33" s="390">
        <v>2559313</v>
      </c>
      <c r="B33" s="5" t="s">
        <v>533</v>
      </c>
      <c r="C33" s="1430" t="s">
        <v>3449</v>
      </c>
      <c r="D33" s="1090" t="s">
        <v>534</v>
      </c>
      <c r="E33" s="5" t="s">
        <v>30</v>
      </c>
      <c r="F33" s="5" t="s">
        <v>3522</v>
      </c>
      <c r="G33" s="5" t="s">
        <v>535</v>
      </c>
      <c r="H33" s="5" t="s">
        <v>160</v>
      </c>
      <c r="I33" s="5" t="str">
        <f>_xlfn.XLOOKUP(sommaire[[#This Row],[Arrondissement_code]],OCHA_GIS!$F:$F,OCHA_GIS!$E:$E,,)</f>
        <v>Maroua Ii</v>
      </c>
      <c r="J33" s="5" t="s">
        <v>555</v>
      </c>
      <c r="K33" t="s">
        <v>630</v>
      </c>
      <c r="L33" s="5" t="s">
        <v>631</v>
      </c>
      <c r="N33" s="5" t="s">
        <v>3052</v>
      </c>
      <c r="O33" s="5" t="s">
        <v>2467</v>
      </c>
      <c r="P33" s="5" t="s">
        <v>85</v>
      </c>
      <c r="Q33" s="5" t="s">
        <v>86</v>
      </c>
      <c r="R33" s="5" t="s">
        <v>85</v>
      </c>
      <c r="T33" s="390">
        <v>3</v>
      </c>
      <c r="U33" s="5" t="s">
        <v>97</v>
      </c>
      <c r="W33" s="5" t="s">
        <v>2468</v>
      </c>
      <c r="X33" s="5" t="s">
        <v>102</v>
      </c>
      <c r="AA33" s="5" t="s">
        <v>85</v>
      </c>
      <c r="AB33" s="5" t="s">
        <v>2469</v>
      </c>
      <c r="AC33" s="5" t="s">
        <v>312</v>
      </c>
      <c r="AD33" s="5" t="s">
        <v>86</v>
      </c>
      <c r="AF33" s="5">
        <v>44</v>
      </c>
      <c r="AG33" s="5">
        <v>2074</v>
      </c>
      <c r="AH33" s="5" t="s">
        <v>85</v>
      </c>
      <c r="AI33" s="5" t="s">
        <v>2471</v>
      </c>
      <c r="AJ33" s="5">
        <v>44</v>
      </c>
      <c r="AK33" s="5">
        <v>374</v>
      </c>
      <c r="AL33" s="5">
        <v>174</v>
      </c>
      <c r="AM33" s="5">
        <v>200</v>
      </c>
      <c r="AN33" s="5">
        <v>0</v>
      </c>
      <c r="AO33" s="5">
        <v>0</v>
      </c>
      <c r="AP33" s="5">
        <v>0</v>
      </c>
      <c r="AQ33" s="5">
        <v>44</v>
      </c>
      <c r="AR33" s="5" t="s">
        <v>2477</v>
      </c>
      <c r="AT33" s="5">
        <v>0</v>
      </c>
      <c r="AU33" s="5">
        <v>0</v>
      </c>
      <c r="AX33" s="5">
        <v>0</v>
      </c>
      <c r="AY33" s="5" t="s">
        <v>86</v>
      </c>
      <c r="BN33" s="5" t="s">
        <v>86</v>
      </c>
      <c r="CD33" s="5">
        <v>0</v>
      </c>
      <c r="CF33" s="1442" t="str">
        <f>IF([1]!sommaire[[#This Row],[présence des personnes déplacés interne]]="Oui","1","0")</f>
        <v>1</v>
      </c>
      <c r="CG33" s="1442" t="str">
        <f>IF([1]!sommaire[[#This Row],[présence Réfugié hors camp]]="Oui","1","0")</f>
        <v>0</v>
      </c>
      <c r="CH33" s="1442" t="str">
        <f>IF([1]!sommaire[[#This Row],[présence personnes retournées]]="Oui","1","0")</f>
        <v>0</v>
      </c>
      <c r="CI33" s="1442">
        <f>[1]!sommaire[[#This Row],[Flag PDI]]+[1]!sommaire[[#This Row],[Flag REF]]+[1]!sommaire[[#This Row],[Flag RET]]</f>
        <v>1</v>
      </c>
    </row>
    <row r="34" spans="1:87" ht="14.55" customHeight="1" x14ac:dyDescent="0.3">
      <c r="A34" s="390">
        <v>2559338</v>
      </c>
      <c r="B34" s="5" t="s">
        <v>533</v>
      </c>
      <c r="C34" s="1430" t="s">
        <v>3449</v>
      </c>
      <c r="D34" s="1090" t="s">
        <v>534</v>
      </c>
      <c r="E34" s="5" t="s">
        <v>30</v>
      </c>
      <c r="F34" s="5" t="s">
        <v>3522</v>
      </c>
      <c r="G34" s="5" t="s">
        <v>535</v>
      </c>
      <c r="H34" s="5" t="s">
        <v>160</v>
      </c>
      <c r="I34" s="5" t="str">
        <f>_xlfn.XLOOKUP(sommaire[[#This Row],[Arrondissement_code]],OCHA_GIS!$F:$F,OCHA_GIS!$E:$E,,)</f>
        <v>Maroua Ii</v>
      </c>
      <c r="J34" s="5" t="s">
        <v>555</v>
      </c>
      <c r="K34" t="s">
        <v>632</v>
      </c>
      <c r="L34" s="5" t="s">
        <v>633</v>
      </c>
      <c r="N34" s="5" t="s">
        <v>3052</v>
      </c>
      <c r="O34" s="5" t="s">
        <v>2467</v>
      </c>
      <c r="P34" s="5" t="s">
        <v>85</v>
      </c>
      <c r="Q34" s="5" t="s">
        <v>86</v>
      </c>
      <c r="R34" s="5" t="s">
        <v>85</v>
      </c>
      <c r="T34" s="390">
        <v>3</v>
      </c>
      <c r="U34" s="5" t="s">
        <v>97</v>
      </c>
      <c r="W34" s="5" t="s">
        <v>2468</v>
      </c>
      <c r="X34" s="5" t="s">
        <v>102</v>
      </c>
      <c r="AA34" s="5" t="s">
        <v>85</v>
      </c>
      <c r="AB34" s="5" t="s">
        <v>2469</v>
      </c>
      <c r="AC34" s="5" t="s">
        <v>312</v>
      </c>
      <c r="AD34" s="5" t="s">
        <v>86</v>
      </c>
      <c r="AF34" s="5">
        <v>119</v>
      </c>
      <c r="AG34" s="5">
        <v>2104</v>
      </c>
      <c r="AH34" s="5" t="s">
        <v>85</v>
      </c>
      <c r="AI34" s="5" t="s">
        <v>2471</v>
      </c>
      <c r="AJ34" s="5">
        <v>119</v>
      </c>
      <c r="AK34" s="5">
        <v>831</v>
      </c>
      <c r="AL34" s="5">
        <v>331</v>
      </c>
      <c r="AM34" s="5">
        <v>500</v>
      </c>
      <c r="AN34" s="5">
        <v>0</v>
      </c>
      <c r="AO34" s="5">
        <v>0</v>
      </c>
      <c r="AP34" s="5">
        <v>0</v>
      </c>
      <c r="AQ34" s="5">
        <v>119</v>
      </c>
      <c r="AR34" s="5" t="s">
        <v>2472</v>
      </c>
      <c r="AT34" s="5">
        <v>0</v>
      </c>
      <c r="AU34" s="5">
        <v>0</v>
      </c>
      <c r="AX34" s="5">
        <v>0</v>
      </c>
      <c r="AY34" s="5" t="s">
        <v>86</v>
      </c>
      <c r="BN34" s="5" t="s">
        <v>86</v>
      </c>
      <c r="CD34" s="5">
        <v>0</v>
      </c>
      <c r="CF34" s="1442" t="str">
        <f>IF([1]!sommaire[[#This Row],[présence des personnes déplacés interne]]="Oui","1","0")</f>
        <v>1</v>
      </c>
      <c r="CG34" s="1442" t="str">
        <f>IF([1]!sommaire[[#This Row],[présence Réfugié hors camp]]="Oui","1","0")</f>
        <v>0</v>
      </c>
      <c r="CH34" s="1442" t="str">
        <f>IF([1]!sommaire[[#This Row],[présence personnes retournées]]="Oui","1","0")</f>
        <v>0</v>
      </c>
      <c r="CI34" s="1442">
        <f>[1]!sommaire[[#This Row],[Flag PDI]]+[1]!sommaire[[#This Row],[Flag REF]]+[1]!sommaire[[#This Row],[Flag RET]]</f>
        <v>1</v>
      </c>
    </row>
    <row r="35" spans="1:87" ht="14.55" customHeight="1" x14ac:dyDescent="0.3">
      <c r="A35" s="390">
        <v>2550054</v>
      </c>
      <c r="B35" s="5" t="s">
        <v>533</v>
      </c>
      <c r="C35" s="1430" t="s">
        <v>3449</v>
      </c>
      <c r="D35" s="1090" t="s">
        <v>534</v>
      </c>
      <c r="E35" s="5" t="s">
        <v>30</v>
      </c>
      <c r="F35" s="5" t="s">
        <v>3522</v>
      </c>
      <c r="G35" s="5" t="s">
        <v>535</v>
      </c>
      <c r="H35" s="5" t="s">
        <v>160</v>
      </c>
      <c r="I35" s="5" t="str">
        <f>_xlfn.XLOOKUP(sommaire[[#This Row],[Arrondissement_code]],OCHA_GIS!$F:$F,OCHA_GIS!$E:$E,,)</f>
        <v>Maroua Ii</v>
      </c>
      <c r="J35" s="5" t="s">
        <v>555</v>
      </c>
      <c r="K35" t="s">
        <v>639</v>
      </c>
      <c r="L35" s="5" t="s">
        <v>690</v>
      </c>
      <c r="N35" s="5" t="s">
        <v>3053</v>
      </c>
      <c r="O35" s="5" t="s">
        <v>2467</v>
      </c>
      <c r="P35" s="5" t="s">
        <v>85</v>
      </c>
      <c r="Q35" s="5" t="s">
        <v>86</v>
      </c>
      <c r="R35" s="5" t="s">
        <v>86</v>
      </c>
      <c r="T35" s="390">
        <v>3</v>
      </c>
      <c r="U35" s="5" t="s">
        <v>97</v>
      </c>
      <c r="W35" s="1090" t="s">
        <v>2468</v>
      </c>
      <c r="X35" s="5" t="s">
        <v>102</v>
      </c>
      <c r="AA35" s="5" t="s">
        <v>85</v>
      </c>
      <c r="AB35" s="5" t="s">
        <v>2469</v>
      </c>
      <c r="AC35" s="5" t="s">
        <v>312</v>
      </c>
      <c r="AD35" s="5" t="s">
        <v>86</v>
      </c>
      <c r="AF35" s="5">
        <v>20</v>
      </c>
      <c r="AG35" s="5">
        <v>2500</v>
      </c>
      <c r="AH35" s="5" t="s">
        <v>85</v>
      </c>
      <c r="AI35" s="5" t="s">
        <v>2485</v>
      </c>
      <c r="AJ35" s="5">
        <v>20</v>
      </c>
      <c r="AK35" s="5">
        <v>252</v>
      </c>
      <c r="AL35" s="5">
        <v>140</v>
      </c>
      <c r="AM35" s="5">
        <v>112</v>
      </c>
      <c r="AN35" s="5">
        <v>0</v>
      </c>
      <c r="AO35" s="5">
        <v>0</v>
      </c>
      <c r="AP35" s="5">
        <v>0</v>
      </c>
      <c r="AQ35" s="5">
        <v>20</v>
      </c>
      <c r="AR35" s="5" t="s">
        <v>2472</v>
      </c>
      <c r="AT35" s="5">
        <v>0</v>
      </c>
      <c r="AU35" s="5">
        <v>0</v>
      </c>
      <c r="AX35" s="5">
        <v>0</v>
      </c>
      <c r="AY35" s="1090" t="s">
        <v>86</v>
      </c>
      <c r="BN35" s="1090" t="s">
        <v>86</v>
      </c>
      <c r="CD35" s="5">
        <v>0</v>
      </c>
      <c r="CF35" s="1442" t="str">
        <f>IF([1]!sommaire[[#This Row],[présence des personnes déplacés interne]]="Oui","1","0")</f>
        <v>1</v>
      </c>
      <c r="CG35" s="1442" t="str">
        <f>IF([1]!sommaire[[#This Row],[présence Réfugié hors camp]]="Oui","1","0")</f>
        <v>0</v>
      </c>
      <c r="CH35" s="1442" t="str">
        <f>IF([1]!sommaire[[#This Row],[présence personnes retournées]]="Oui","1","0")</f>
        <v>0</v>
      </c>
      <c r="CI35" s="1442">
        <f>[1]!sommaire[[#This Row],[Flag PDI]]+[1]!sommaire[[#This Row],[Flag REF]]+[1]!sommaire[[#This Row],[Flag RET]]</f>
        <v>1</v>
      </c>
    </row>
    <row r="36" spans="1:87" ht="14.55" customHeight="1" x14ac:dyDescent="0.3">
      <c r="A36" s="390">
        <v>2597959</v>
      </c>
      <c r="B36" s="5" t="s">
        <v>533</v>
      </c>
      <c r="C36" s="1430" t="s">
        <v>3449</v>
      </c>
      <c r="D36" s="1090" t="s">
        <v>534</v>
      </c>
      <c r="E36" s="5" t="s">
        <v>30</v>
      </c>
      <c r="F36" s="5" t="s">
        <v>3522</v>
      </c>
      <c r="G36" s="5" t="s">
        <v>535</v>
      </c>
      <c r="H36" s="5" t="s">
        <v>160</v>
      </c>
      <c r="I36" s="5" t="str">
        <f>_xlfn.XLOOKUP(sommaire[[#This Row],[Arrondissement_code]],OCHA_GIS!$F:$F,OCHA_GIS!$E:$E,,)</f>
        <v>Maroua Ii</v>
      </c>
      <c r="J36" s="5" t="s">
        <v>555</v>
      </c>
      <c r="K36" t="s">
        <v>2869</v>
      </c>
      <c r="L36" s="5" t="s">
        <v>700</v>
      </c>
      <c r="N36" s="5" t="s">
        <v>3053</v>
      </c>
      <c r="O36" s="5" t="s">
        <v>2467</v>
      </c>
      <c r="P36" s="5" t="s">
        <v>85</v>
      </c>
      <c r="Q36" s="5" t="s">
        <v>86</v>
      </c>
      <c r="R36" s="5" t="s">
        <v>86</v>
      </c>
      <c r="T36" s="390">
        <v>3</v>
      </c>
      <c r="U36" s="5" t="s">
        <v>97</v>
      </c>
      <c r="W36" s="5" t="s">
        <v>2468</v>
      </c>
      <c r="X36" s="5" t="s">
        <v>102</v>
      </c>
      <c r="AA36" s="5" t="s">
        <v>85</v>
      </c>
      <c r="AB36" s="5" t="s">
        <v>2469</v>
      </c>
      <c r="AC36" s="5" t="s">
        <v>312</v>
      </c>
      <c r="AD36" s="1090" t="s">
        <v>86</v>
      </c>
      <c r="AF36" s="5">
        <v>12</v>
      </c>
      <c r="AG36" s="5">
        <v>4960</v>
      </c>
      <c r="AH36" s="5" t="s">
        <v>85</v>
      </c>
      <c r="AI36" s="5" t="s">
        <v>2485</v>
      </c>
      <c r="AJ36" s="5">
        <v>12</v>
      </c>
      <c r="AK36" s="5">
        <v>203</v>
      </c>
      <c r="AL36" s="5">
        <v>103</v>
      </c>
      <c r="AM36" s="5">
        <v>100</v>
      </c>
      <c r="AN36" s="5">
        <v>0</v>
      </c>
      <c r="AO36" s="5">
        <v>0</v>
      </c>
      <c r="AP36" s="5">
        <v>0</v>
      </c>
      <c r="AQ36" s="5">
        <v>12</v>
      </c>
      <c r="AR36" s="5" t="s">
        <v>2472</v>
      </c>
      <c r="AT36" s="5">
        <v>0</v>
      </c>
      <c r="AU36" s="5">
        <v>0</v>
      </c>
      <c r="AX36" s="5">
        <v>0</v>
      </c>
      <c r="AY36" s="5" t="s">
        <v>86</v>
      </c>
      <c r="BN36" s="5" t="s">
        <v>86</v>
      </c>
      <c r="CD36" s="5">
        <v>0</v>
      </c>
      <c r="CF36" s="1442" t="str">
        <f>IF([1]!sommaire[[#This Row],[présence des personnes déplacés interne]]="Oui","1","0")</f>
        <v>1</v>
      </c>
      <c r="CG36" s="1442" t="str">
        <f>IF([1]!sommaire[[#This Row],[présence Réfugié hors camp]]="Oui","1","0")</f>
        <v>0</v>
      </c>
      <c r="CH36" s="1442" t="str">
        <f>IF([1]!sommaire[[#This Row],[présence personnes retournées]]="Oui","1","0")</f>
        <v>0</v>
      </c>
      <c r="CI36" s="1442">
        <f>[1]!sommaire[[#This Row],[Flag PDI]]+[1]!sommaire[[#This Row],[Flag REF]]+[1]!sommaire[[#This Row],[Flag RET]]</f>
        <v>1</v>
      </c>
    </row>
    <row r="37" spans="1:87" ht="14.55" customHeight="1" x14ac:dyDescent="0.3">
      <c r="A37" s="390">
        <v>2629754</v>
      </c>
      <c r="B37" s="5" t="s">
        <v>533</v>
      </c>
      <c r="C37" s="1430" t="s">
        <v>3449</v>
      </c>
      <c r="D37" s="1090" t="s">
        <v>534</v>
      </c>
      <c r="E37" s="5" t="s">
        <v>30</v>
      </c>
      <c r="F37" s="5" t="s">
        <v>3522</v>
      </c>
      <c r="G37" s="5" t="s">
        <v>535</v>
      </c>
      <c r="H37" s="5" t="s">
        <v>160</v>
      </c>
      <c r="I37" s="5" t="str">
        <f>_xlfn.XLOOKUP(sommaire[[#This Row],[Arrondissement_code]],OCHA_GIS!$F:$F,OCHA_GIS!$E:$E,,)</f>
        <v>Maroua Ii</v>
      </c>
      <c r="J37" s="5" t="s">
        <v>555</v>
      </c>
      <c r="K37" t="s">
        <v>689</v>
      </c>
      <c r="L37" s="5" t="s">
        <v>596</v>
      </c>
      <c r="N37" s="5" t="s">
        <v>3052</v>
      </c>
      <c r="O37" s="5" t="s">
        <v>2467</v>
      </c>
      <c r="P37" s="5" t="s">
        <v>85</v>
      </c>
      <c r="Q37" s="5" t="s">
        <v>86</v>
      </c>
      <c r="R37" s="5" t="s">
        <v>85</v>
      </c>
      <c r="T37" s="390">
        <v>3</v>
      </c>
      <c r="U37" s="5" t="s">
        <v>97</v>
      </c>
      <c r="W37" s="5" t="s">
        <v>2468</v>
      </c>
      <c r="X37" s="5" t="s">
        <v>102</v>
      </c>
      <c r="AA37" s="5" t="s">
        <v>85</v>
      </c>
      <c r="AB37" s="5" t="s">
        <v>2469</v>
      </c>
      <c r="AC37" s="5" t="s">
        <v>312</v>
      </c>
      <c r="AD37" s="5" t="s">
        <v>86</v>
      </c>
      <c r="AF37" s="5">
        <v>21</v>
      </c>
      <c r="AG37" s="5">
        <v>5636</v>
      </c>
      <c r="AH37" s="5" t="s">
        <v>85</v>
      </c>
      <c r="AI37" s="5" t="s">
        <v>2471</v>
      </c>
      <c r="AJ37" s="5">
        <v>21</v>
      </c>
      <c r="AK37" s="5">
        <v>136</v>
      </c>
      <c r="AL37" s="5">
        <v>51</v>
      </c>
      <c r="AM37" s="5">
        <v>85</v>
      </c>
      <c r="AN37" s="5">
        <v>0</v>
      </c>
      <c r="AO37" s="5">
        <v>5</v>
      </c>
      <c r="AP37" s="5">
        <v>0</v>
      </c>
      <c r="AQ37" s="5">
        <v>16</v>
      </c>
      <c r="AR37" s="5" t="s">
        <v>2472</v>
      </c>
      <c r="AT37" s="5">
        <v>0</v>
      </c>
      <c r="AU37" s="5">
        <v>0</v>
      </c>
      <c r="AX37" s="5">
        <v>0</v>
      </c>
      <c r="AY37" s="5" t="s">
        <v>86</v>
      </c>
      <c r="BN37" s="5" t="s">
        <v>86</v>
      </c>
      <c r="CD37" s="5">
        <v>0</v>
      </c>
      <c r="CF37" s="1442" t="str">
        <f>IF([1]!sommaire[[#This Row],[présence des personnes déplacés interne]]="Oui","1","0")</f>
        <v>1</v>
      </c>
      <c r="CG37" s="1442" t="str">
        <f>IF([1]!sommaire[[#This Row],[présence Réfugié hors camp]]="Oui","1","0")</f>
        <v>0</v>
      </c>
      <c r="CH37" s="1442" t="str">
        <f>IF([1]!sommaire[[#This Row],[présence personnes retournées]]="Oui","1","0")</f>
        <v>0</v>
      </c>
      <c r="CI37" s="1442">
        <f>[1]!sommaire[[#This Row],[Flag PDI]]+[1]!sommaire[[#This Row],[Flag REF]]+[1]!sommaire[[#This Row],[Flag RET]]</f>
        <v>1</v>
      </c>
    </row>
    <row r="38" spans="1:87" ht="14.55" customHeight="1" x14ac:dyDescent="0.3">
      <c r="A38" s="390">
        <v>2548495</v>
      </c>
      <c r="B38" s="5" t="s">
        <v>533</v>
      </c>
      <c r="C38" s="1430" t="s">
        <v>3449</v>
      </c>
      <c r="D38" s="5" t="s">
        <v>534</v>
      </c>
      <c r="E38" s="5" t="s">
        <v>30</v>
      </c>
      <c r="F38" s="5" t="s">
        <v>3522</v>
      </c>
      <c r="G38" s="5" t="s">
        <v>535</v>
      </c>
      <c r="H38" s="5" t="s">
        <v>160</v>
      </c>
      <c r="I38" s="5" t="str">
        <f>_xlfn.XLOOKUP(sommaire[[#This Row],[Arrondissement_code]],OCHA_GIS!$F:$F,OCHA_GIS!$E:$E,,)</f>
        <v>Maroua Ii</v>
      </c>
      <c r="J38" s="5" t="s">
        <v>555</v>
      </c>
      <c r="K38" t="s">
        <v>699</v>
      </c>
      <c r="L38" s="5" t="s">
        <v>640</v>
      </c>
      <c r="N38" s="5" t="s">
        <v>3053</v>
      </c>
      <c r="O38" s="5" t="s">
        <v>2467</v>
      </c>
      <c r="P38" s="5" t="s">
        <v>85</v>
      </c>
      <c r="Q38" s="5" t="s">
        <v>86</v>
      </c>
      <c r="R38" s="5" t="s">
        <v>85</v>
      </c>
      <c r="T38" s="390">
        <v>4</v>
      </c>
      <c r="U38" s="5" t="s">
        <v>97</v>
      </c>
      <c r="W38" s="5" t="s">
        <v>2468</v>
      </c>
      <c r="X38" s="5" t="s">
        <v>102</v>
      </c>
      <c r="AA38" s="5" t="s">
        <v>85</v>
      </c>
      <c r="AB38" s="5" t="s">
        <v>2469</v>
      </c>
      <c r="AC38" s="5" t="s">
        <v>2470</v>
      </c>
      <c r="AD38" s="5" t="s">
        <v>86</v>
      </c>
      <c r="AF38" s="5">
        <v>25</v>
      </c>
      <c r="AG38" s="5">
        <v>1500</v>
      </c>
      <c r="AH38" s="5" t="s">
        <v>85</v>
      </c>
      <c r="AI38" s="5" t="s">
        <v>2471</v>
      </c>
      <c r="AJ38" s="5">
        <v>25</v>
      </c>
      <c r="AK38" s="5">
        <v>134</v>
      </c>
      <c r="AL38" s="5">
        <v>53</v>
      </c>
      <c r="AM38" s="5">
        <v>81</v>
      </c>
      <c r="AN38" s="5">
        <v>0</v>
      </c>
      <c r="AO38" s="5">
        <v>0</v>
      </c>
      <c r="AP38" s="5">
        <v>0</v>
      </c>
      <c r="AQ38" s="5">
        <v>25</v>
      </c>
      <c r="AR38" s="5" t="s">
        <v>2477</v>
      </c>
      <c r="AT38" s="5">
        <v>0</v>
      </c>
      <c r="AU38" s="5">
        <v>0</v>
      </c>
      <c r="AX38" s="5">
        <v>0</v>
      </c>
      <c r="AY38" s="5" t="s">
        <v>86</v>
      </c>
      <c r="BN38" s="5" t="s">
        <v>86</v>
      </c>
      <c r="CD38" s="5">
        <v>0</v>
      </c>
      <c r="CF38" s="1442" t="str">
        <f>IF([1]!sommaire[[#This Row],[présence des personnes déplacés interne]]="Oui","1","0")</f>
        <v>1</v>
      </c>
      <c r="CG38" s="1442" t="str">
        <f>IF([1]!sommaire[[#This Row],[présence Réfugié hors camp]]="Oui","1","0")</f>
        <v>0</v>
      </c>
      <c r="CH38" s="1442" t="str">
        <f>IF([1]!sommaire[[#This Row],[présence personnes retournées]]="Oui","1","0")</f>
        <v>0</v>
      </c>
      <c r="CI38" s="1442">
        <f>[1]!sommaire[[#This Row],[Flag PDI]]+[1]!sommaire[[#This Row],[Flag REF]]+[1]!sommaire[[#This Row],[Flag RET]]</f>
        <v>1</v>
      </c>
    </row>
    <row r="39" spans="1:87" ht="14.55" customHeight="1" x14ac:dyDescent="0.3">
      <c r="A39" s="390">
        <v>2616258</v>
      </c>
      <c r="B39" s="5" t="s">
        <v>533</v>
      </c>
      <c r="C39" s="1430" t="s">
        <v>3449</v>
      </c>
      <c r="D39" s="1090" t="s">
        <v>534</v>
      </c>
      <c r="E39" s="5" t="s">
        <v>30</v>
      </c>
      <c r="F39" s="5" t="s">
        <v>3522</v>
      </c>
      <c r="G39" s="5" t="s">
        <v>535</v>
      </c>
      <c r="H39" s="5" t="s">
        <v>161</v>
      </c>
      <c r="I39" s="5" t="str">
        <f>_xlfn.XLOOKUP(sommaire[[#This Row],[Arrondissement_code]],OCHA_GIS!$F:$F,OCHA_GIS!$E:$E,,)</f>
        <v>Maroua Iii</v>
      </c>
      <c r="J39" s="5" t="s">
        <v>587</v>
      </c>
      <c r="K39" t="s">
        <v>628</v>
      </c>
      <c r="L39" s="5" t="s">
        <v>629</v>
      </c>
      <c r="N39" s="5" t="s">
        <v>3052</v>
      </c>
      <c r="O39" s="5" t="s">
        <v>2467</v>
      </c>
      <c r="P39" s="5" t="s">
        <v>85</v>
      </c>
      <c r="Q39" s="5" t="s">
        <v>86</v>
      </c>
      <c r="R39" s="5" t="s">
        <v>86</v>
      </c>
      <c r="T39" s="390">
        <v>3</v>
      </c>
      <c r="U39" s="5" t="s">
        <v>97</v>
      </c>
      <c r="W39" s="5" t="s">
        <v>2468</v>
      </c>
      <c r="X39" s="5" t="s">
        <v>102</v>
      </c>
      <c r="AA39" s="5" t="s">
        <v>85</v>
      </c>
      <c r="AB39" s="5" t="s">
        <v>2469</v>
      </c>
      <c r="AC39" s="5" t="s">
        <v>2470</v>
      </c>
      <c r="AD39" s="5" t="s">
        <v>86</v>
      </c>
      <c r="AF39" s="5">
        <v>75</v>
      </c>
      <c r="AG39" s="5">
        <v>33856</v>
      </c>
      <c r="AH39" s="5" t="s">
        <v>85</v>
      </c>
      <c r="AI39" s="5" t="s">
        <v>2485</v>
      </c>
      <c r="AJ39" s="5">
        <v>75</v>
      </c>
      <c r="AK39" s="5">
        <v>440</v>
      </c>
      <c r="AL39" s="5">
        <v>200</v>
      </c>
      <c r="AM39" s="5">
        <v>240</v>
      </c>
      <c r="AN39" s="5">
        <v>0</v>
      </c>
      <c r="AO39" s="5">
        <v>0</v>
      </c>
      <c r="AP39" s="5">
        <v>0</v>
      </c>
      <c r="AQ39" s="5">
        <v>75</v>
      </c>
      <c r="AR39" s="5" t="s">
        <v>2477</v>
      </c>
      <c r="AT39" s="5">
        <v>0</v>
      </c>
      <c r="AU39" s="5">
        <v>0</v>
      </c>
      <c r="AX39" s="5">
        <v>0</v>
      </c>
      <c r="AY39" s="5" t="s">
        <v>86</v>
      </c>
      <c r="BN39" s="5" t="s">
        <v>86</v>
      </c>
      <c r="CD39" s="5">
        <v>0</v>
      </c>
      <c r="CF39" s="1442" t="str">
        <f>IF([1]!sommaire[[#This Row],[présence des personnes déplacés interne]]="Oui","1","0")</f>
        <v>1</v>
      </c>
      <c r="CG39" s="1442" t="str">
        <f>IF([1]!sommaire[[#This Row],[présence Réfugié hors camp]]="Oui","1","0")</f>
        <v>0</v>
      </c>
      <c r="CH39" s="1442" t="str">
        <f>IF([1]!sommaire[[#This Row],[présence personnes retournées]]="Oui","1","0")</f>
        <v>0</v>
      </c>
      <c r="CI39" s="1442">
        <f>[1]!sommaire[[#This Row],[Flag PDI]]+[1]!sommaire[[#This Row],[Flag REF]]+[1]!sommaire[[#This Row],[Flag RET]]</f>
        <v>1</v>
      </c>
    </row>
    <row r="40" spans="1:87" ht="14.55" customHeight="1" x14ac:dyDescent="0.3">
      <c r="A40" s="390">
        <v>2629751</v>
      </c>
      <c r="B40" s="5" t="s">
        <v>533</v>
      </c>
      <c r="C40" s="1430" t="s">
        <v>3449</v>
      </c>
      <c r="D40" s="1090" t="s">
        <v>534</v>
      </c>
      <c r="E40" s="5" t="s">
        <v>30</v>
      </c>
      <c r="F40" s="5" t="s">
        <v>3522</v>
      </c>
      <c r="G40" s="5" t="s">
        <v>535</v>
      </c>
      <c r="H40" s="5" t="s">
        <v>161</v>
      </c>
      <c r="I40" s="5" t="str">
        <f>_xlfn.XLOOKUP(sommaire[[#This Row],[Arrondissement_code]],OCHA_GIS!$F:$F,OCHA_GIS!$E:$E,,)</f>
        <v>Maroua Iii</v>
      </c>
      <c r="J40" s="5" t="s">
        <v>587</v>
      </c>
      <c r="K40" t="s">
        <v>626</v>
      </c>
      <c r="L40" s="5" t="s">
        <v>627</v>
      </c>
      <c r="N40" s="5" t="s">
        <v>3052</v>
      </c>
      <c r="O40" s="5" t="s">
        <v>2467</v>
      </c>
      <c r="P40" s="5" t="s">
        <v>85</v>
      </c>
      <c r="Q40" s="5" t="s">
        <v>86</v>
      </c>
      <c r="R40" s="5" t="s">
        <v>85</v>
      </c>
      <c r="T40" s="390">
        <v>3</v>
      </c>
      <c r="U40" s="5" t="s">
        <v>97</v>
      </c>
      <c r="W40" s="5" t="s">
        <v>2468</v>
      </c>
      <c r="X40" s="1090" t="s">
        <v>102</v>
      </c>
      <c r="AA40" s="1090" t="s">
        <v>85</v>
      </c>
      <c r="AB40" s="5" t="s">
        <v>2469</v>
      </c>
      <c r="AC40" s="5" t="s">
        <v>2470</v>
      </c>
      <c r="AD40" s="5" t="s">
        <v>86</v>
      </c>
      <c r="AF40" s="5">
        <v>111</v>
      </c>
      <c r="AG40" s="5">
        <v>13540</v>
      </c>
      <c r="AH40" s="5" t="s">
        <v>85</v>
      </c>
      <c r="AI40" s="5" t="s">
        <v>2471</v>
      </c>
      <c r="AJ40" s="5">
        <v>111</v>
      </c>
      <c r="AK40" s="5">
        <v>580</v>
      </c>
      <c r="AL40" s="5">
        <v>254</v>
      </c>
      <c r="AM40" s="5">
        <v>326</v>
      </c>
      <c r="AN40" s="5">
        <v>1</v>
      </c>
      <c r="AO40" s="5">
        <v>0</v>
      </c>
      <c r="AP40" s="5">
        <v>0</v>
      </c>
      <c r="AQ40" s="5">
        <v>110</v>
      </c>
      <c r="AR40" s="5" t="s">
        <v>2472</v>
      </c>
      <c r="AT40" s="5">
        <v>0</v>
      </c>
      <c r="AU40" s="5">
        <v>0</v>
      </c>
      <c r="AX40" s="5">
        <v>0</v>
      </c>
      <c r="AY40" s="1090" t="s">
        <v>86</v>
      </c>
      <c r="BN40" s="1090" t="s">
        <v>86</v>
      </c>
      <c r="CD40" s="5">
        <v>0</v>
      </c>
      <c r="CF40" s="1442" t="str">
        <f>IF([1]!sommaire[[#This Row],[présence des personnes déplacés interne]]="Oui","1","0")</f>
        <v>1</v>
      </c>
      <c r="CG40" s="1442" t="str">
        <f>IF([1]!sommaire[[#This Row],[présence Réfugié hors camp]]="Oui","1","0")</f>
        <v>0</v>
      </c>
      <c r="CH40" s="1442" t="str">
        <f>IF([1]!sommaire[[#This Row],[présence personnes retournées]]="Oui","1","0")</f>
        <v>0</v>
      </c>
      <c r="CI40" s="1442">
        <f>[1]!sommaire[[#This Row],[Flag PDI]]+[1]!sommaire[[#This Row],[Flag REF]]+[1]!sommaire[[#This Row],[Flag RET]]</f>
        <v>1</v>
      </c>
    </row>
    <row r="41" spans="1:87" ht="14.55" customHeight="1" x14ac:dyDescent="0.3">
      <c r="A41" s="390">
        <v>2559341</v>
      </c>
      <c r="B41" s="5" t="s">
        <v>533</v>
      </c>
      <c r="C41" s="1430" t="s">
        <v>3449</v>
      </c>
      <c r="D41" s="1090" t="s">
        <v>534</v>
      </c>
      <c r="E41" s="5" t="s">
        <v>30</v>
      </c>
      <c r="F41" s="5" t="s">
        <v>3522</v>
      </c>
      <c r="G41" s="5" t="s">
        <v>535</v>
      </c>
      <c r="H41" s="5" t="s">
        <v>161</v>
      </c>
      <c r="I41" s="5" t="str">
        <f>_xlfn.XLOOKUP(sommaire[[#This Row],[Arrondissement_code]],OCHA_GIS!$F:$F,OCHA_GIS!$E:$E,,)</f>
        <v>Maroua Iii</v>
      </c>
      <c r="J41" s="5" t="s">
        <v>587</v>
      </c>
      <c r="K41" t="s">
        <v>691</v>
      </c>
      <c r="L41" s="5" t="s">
        <v>692</v>
      </c>
      <c r="N41" s="5" t="s">
        <v>3053</v>
      </c>
      <c r="O41" s="5" t="s">
        <v>2467</v>
      </c>
      <c r="P41" s="5" t="s">
        <v>85</v>
      </c>
      <c r="Q41" s="5" t="s">
        <v>86</v>
      </c>
      <c r="R41" s="5" t="s">
        <v>85</v>
      </c>
      <c r="T41" s="390">
        <v>3</v>
      </c>
      <c r="U41" s="5" t="s">
        <v>97</v>
      </c>
      <c r="W41" s="5" t="s">
        <v>2468</v>
      </c>
      <c r="X41" s="5" t="s">
        <v>102</v>
      </c>
      <c r="AA41" s="586" t="s">
        <v>85</v>
      </c>
      <c r="AB41" s="5" t="s">
        <v>2469</v>
      </c>
      <c r="AC41" s="5" t="s">
        <v>2470</v>
      </c>
      <c r="AD41" s="5" t="s">
        <v>86</v>
      </c>
      <c r="AF41" s="5">
        <v>6</v>
      </c>
      <c r="AG41" s="5">
        <v>1500</v>
      </c>
      <c r="AH41" s="5" t="s">
        <v>85</v>
      </c>
      <c r="AI41" s="5" t="s">
        <v>2471</v>
      </c>
      <c r="AJ41" s="5">
        <v>6</v>
      </c>
      <c r="AK41" s="5">
        <v>52</v>
      </c>
      <c r="AL41" s="5">
        <v>30</v>
      </c>
      <c r="AM41" s="5">
        <v>22</v>
      </c>
      <c r="AN41" s="5">
        <v>0</v>
      </c>
      <c r="AO41" s="5">
        <v>0</v>
      </c>
      <c r="AP41" s="5">
        <v>0</v>
      </c>
      <c r="AQ41" s="5">
        <v>6</v>
      </c>
      <c r="AR41" s="5" t="s">
        <v>2472</v>
      </c>
      <c r="AT41" s="5">
        <v>0</v>
      </c>
      <c r="AU41" s="5">
        <v>0</v>
      </c>
      <c r="AX41" s="5">
        <v>0</v>
      </c>
      <c r="AY41" s="5" t="s">
        <v>86</v>
      </c>
      <c r="BN41" s="5" t="s">
        <v>86</v>
      </c>
      <c r="CD41" s="5">
        <v>0</v>
      </c>
      <c r="CF41" s="1442" t="str">
        <f>IF([1]!sommaire[[#This Row],[présence des personnes déplacés interne]]="Oui","1","0")</f>
        <v>1</v>
      </c>
      <c r="CG41" s="1442" t="str">
        <f>IF([1]!sommaire[[#This Row],[présence Réfugié hors camp]]="Oui","1","0")</f>
        <v>0</v>
      </c>
      <c r="CH41" s="1442" t="str">
        <f>IF([1]!sommaire[[#This Row],[présence personnes retournées]]="Oui","1","0")</f>
        <v>0</v>
      </c>
      <c r="CI41" s="1442">
        <f>[1]!sommaire[[#This Row],[Flag PDI]]+[1]!sommaire[[#This Row],[Flag REF]]+[1]!sommaire[[#This Row],[Flag RET]]</f>
        <v>1</v>
      </c>
    </row>
    <row r="42" spans="1:87" ht="14.55" customHeight="1" x14ac:dyDescent="0.3">
      <c r="A42" s="390">
        <v>2559669</v>
      </c>
      <c r="B42" s="5" t="s">
        <v>533</v>
      </c>
      <c r="C42" s="1430" t="s">
        <v>3449</v>
      </c>
      <c r="D42" s="1090" t="s">
        <v>534</v>
      </c>
      <c r="E42" s="5" t="s">
        <v>30</v>
      </c>
      <c r="F42" s="5" t="s">
        <v>3522</v>
      </c>
      <c r="G42" s="5" t="s">
        <v>535</v>
      </c>
      <c r="H42" s="5" t="s">
        <v>161</v>
      </c>
      <c r="I42" s="5" t="str">
        <f>_xlfn.XLOOKUP(sommaire[[#This Row],[Arrondissement_code]],OCHA_GIS!$F:$F,OCHA_GIS!$E:$E,,)</f>
        <v>Maroua Iii</v>
      </c>
      <c r="J42" s="5" t="s">
        <v>587</v>
      </c>
      <c r="K42" t="s">
        <v>608</v>
      </c>
      <c r="L42" s="5" t="s">
        <v>609</v>
      </c>
      <c r="N42" s="5" t="s">
        <v>3052</v>
      </c>
      <c r="O42" s="5" t="s">
        <v>2467</v>
      </c>
      <c r="P42" s="5" t="s">
        <v>86</v>
      </c>
      <c r="Q42" s="5" t="s">
        <v>85</v>
      </c>
      <c r="R42" s="5" t="s">
        <v>86</v>
      </c>
      <c r="S42" s="390">
        <v>7</v>
      </c>
      <c r="U42" s="5" t="s">
        <v>97</v>
      </c>
      <c r="W42" s="5" t="s">
        <v>2468</v>
      </c>
      <c r="X42" s="5" t="s">
        <v>102</v>
      </c>
      <c r="AA42" s="5" t="s">
        <v>85</v>
      </c>
      <c r="AB42" s="5" t="s">
        <v>2469</v>
      </c>
      <c r="AC42" s="5" t="s">
        <v>2470</v>
      </c>
      <c r="AD42" s="5" t="s">
        <v>86</v>
      </c>
      <c r="AF42" s="5">
        <v>20</v>
      </c>
      <c r="AG42" s="5">
        <v>7000</v>
      </c>
      <c r="AH42" s="5" t="s">
        <v>85</v>
      </c>
      <c r="AI42" s="5" t="s">
        <v>2471</v>
      </c>
      <c r="AJ42" s="5">
        <v>20</v>
      </c>
      <c r="AK42" s="5">
        <v>220</v>
      </c>
      <c r="AL42" s="5">
        <v>93</v>
      </c>
      <c r="AM42" s="5">
        <v>127</v>
      </c>
      <c r="AN42" s="5">
        <v>0</v>
      </c>
      <c r="AO42" s="5">
        <v>0</v>
      </c>
      <c r="AP42" s="5">
        <v>0</v>
      </c>
      <c r="AQ42" s="5">
        <v>20</v>
      </c>
      <c r="AR42" s="5" t="s">
        <v>2477</v>
      </c>
      <c r="AT42" s="5">
        <v>0</v>
      </c>
      <c r="AU42" s="5">
        <v>0</v>
      </c>
      <c r="AX42" s="5">
        <v>0</v>
      </c>
      <c r="AY42" s="5" t="s">
        <v>86</v>
      </c>
      <c r="BN42" s="5" t="s">
        <v>86</v>
      </c>
      <c r="CD42" s="5">
        <v>0</v>
      </c>
      <c r="CF42" s="1442" t="str">
        <f>IF([1]!sommaire[[#This Row],[présence des personnes déplacés interne]]="Oui","1","0")</f>
        <v>1</v>
      </c>
      <c r="CG42" s="1442" t="str">
        <f>IF([1]!sommaire[[#This Row],[présence Réfugié hors camp]]="Oui","1","0")</f>
        <v>0</v>
      </c>
      <c r="CH42" s="1442" t="str">
        <f>IF([1]!sommaire[[#This Row],[présence personnes retournées]]="Oui","1","0")</f>
        <v>0</v>
      </c>
      <c r="CI42" s="1442">
        <f>[1]!sommaire[[#This Row],[Flag PDI]]+[1]!sommaire[[#This Row],[Flag REF]]+[1]!sommaire[[#This Row],[Flag RET]]</f>
        <v>1</v>
      </c>
    </row>
    <row r="43" spans="1:87" ht="14.55" customHeight="1" x14ac:dyDescent="0.3">
      <c r="A43" s="390">
        <v>2580037</v>
      </c>
      <c r="B43" s="5" t="s">
        <v>533</v>
      </c>
      <c r="C43" s="1430" t="s">
        <v>3449</v>
      </c>
      <c r="D43" s="1090" t="s">
        <v>534</v>
      </c>
      <c r="E43" s="5" t="s">
        <v>30</v>
      </c>
      <c r="F43" s="5" t="s">
        <v>3522</v>
      </c>
      <c r="G43" s="5" t="s">
        <v>535</v>
      </c>
      <c r="H43" s="1144" t="s">
        <v>161</v>
      </c>
      <c r="I43" s="1144" t="str">
        <f>_xlfn.XLOOKUP(sommaire[[#This Row],[Arrondissement_code]],OCHA_GIS!$F:$F,OCHA_GIS!$E:$E,,)</f>
        <v>Maroua Iii</v>
      </c>
      <c r="J43" s="5" t="s">
        <v>587</v>
      </c>
      <c r="K43" t="s">
        <v>588</v>
      </c>
      <c r="L43" s="5" t="s">
        <v>589</v>
      </c>
      <c r="N43" s="5" t="s">
        <v>3052</v>
      </c>
      <c r="O43" s="5" t="s">
        <v>2467</v>
      </c>
      <c r="P43" s="5" t="s">
        <v>85</v>
      </c>
      <c r="Q43" s="5" t="s">
        <v>86</v>
      </c>
      <c r="R43" s="5" t="s">
        <v>85</v>
      </c>
      <c r="T43" s="390">
        <v>4</v>
      </c>
      <c r="U43" s="5" t="s">
        <v>97</v>
      </c>
      <c r="W43" s="5" t="s">
        <v>2468</v>
      </c>
      <c r="X43" s="5" t="s">
        <v>102</v>
      </c>
      <c r="AA43" s="5" t="s">
        <v>85</v>
      </c>
      <c r="AB43" s="5" t="s">
        <v>2469</v>
      </c>
      <c r="AC43" s="5" t="s">
        <v>2470</v>
      </c>
      <c r="AD43" s="1090" t="s">
        <v>86</v>
      </c>
      <c r="AF43" s="5">
        <v>184</v>
      </c>
      <c r="AG43" s="5">
        <v>30000</v>
      </c>
      <c r="AH43" s="5" t="s">
        <v>85</v>
      </c>
      <c r="AI43" s="5" t="s">
        <v>2471</v>
      </c>
      <c r="AJ43" s="5">
        <v>184</v>
      </c>
      <c r="AK43" s="5">
        <v>1078</v>
      </c>
      <c r="AL43" s="5">
        <v>478</v>
      </c>
      <c r="AM43" s="5">
        <v>600</v>
      </c>
      <c r="AN43" s="5">
        <v>1</v>
      </c>
      <c r="AO43" s="5">
        <v>4</v>
      </c>
      <c r="AP43" s="5">
        <v>0</v>
      </c>
      <c r="AQ43" s="5">
        <v>179</v>
      </c>
      <c r="AR43" s="5" t="s">
        <v>2472</v>
      </c>
      <c r="AT43" s="5">
        <v>0</v>
      </c>
      <c r="AU43" s="5">
        <v>0</v>
      </c>
      <c r="AX43" s="5">
        <v>0</v>
      </c>
      <c r="AY43" s="5" t="s">
        <v>86</v>
      </c>
      <c r="BN43" s="5" t="s">
        <v>86</v>
      </c>
      <c r="CD43" s="5">
        <v>0</v>
      </c>
      <c r="CF43" s="1442" t="str">
        <f>IF([1]!sommaire[[#This Row],[présence des personnes déplacés interne]]="Oui","1","0")</f>
        <v>1</v>
      </c>
      <c r="CG43" s="1442" t="str">
        <f>IF([1]!sommaire[[#This Row],[présence Réfugié hors camp]]="Oui","1","0")</f>
        <v>0</v>
      </c>
      <c r="CH43" s="1442" t="str">
        <f>IF([1]!sommaire[[#This Row],[présence personnes retournées]]="Oui","1","0")</f>
        <v>0</v>
      </c>
      <c r="CI43" s="1442">
        <f>[1]!sommaire[[#This Row],[Flag PDI]]+[1]!sommaire[[#This Row],[Flag REF]]+[1]!sommaire[[#This Row],[Flag RET]]</f>
        <v>1</v>
      </c>
    </row>
    <row r="44" spans="1:87" ht="14.55" customHeight="1" x14ac:dyDescent="0.3">
      <c r="A44" s="390">
        <v>2678274</v>
      </c>
      <c r="B44" s="5" t="s">
        <v>533</v>
      </c>
      <c r="C44" s="1430" t="s">
        <v>3449</v>
      </c>
      <c r="D44" s="1090" t="s">
        <v>534</v>
      </c>
      <c r="E44" s="5" t="s">
        <v>30</v>
      </c>
      <c r="F44" s="5" t="s">
        <v>3522</v>
      </c>
      <c r="G44" s="5" t="s">
        <v>535</v>
      </c>
      <c r="H44" s="5" t="s">
        <v>161</v>
      </c>
      <c r="I44" s="5" t="str">
        <f>_xlfn.XLOOKUP(sommaire[[#This Row],[Arrondissement_code]],OCHA_GIS!$F:$F,OCHA_GIS!$E:$E,,)</f>
        <v>Maroua Iii</v>
      </c>
      <c r="J44" s="5" t="s">
        <v>587</v>
      </c>
      <c r="K44" t="s">
        <v>2945</v>
      </c>
      <c r="L44" s="5" t="s">
        <v>597</v>
      </c>
      <c r="N44" s="5" t="s">
        <v>3052</v>
      </c>
      <c r="O44" s="5" t="s">
        <v>2467</v>
      </c>
      <c r="P44" s="5" t="s">
        <v>85</v>
      </c>
      <c r="Q44" s="5" t="s">
        <v>86</v>
      </c>
      <c r="R44" s="5" t="s">
        <v>86</v>
      </c>
      <c r="T44" s="390">
        <v>3</v>
      </c>
      <c r="U44" s="5" t="s">
        <v>97</v>
      </c>
      <c r="W44" s="5" t="s">
        <v>2468</v>
      </c>
      <c r="X44" s="5" t="s">
        <v>102</v>
      </c>
      <c r="AA44" s="5" t="s">
        <v>85</v>
      </c>
      <c r="AB44" s="5" t="s">
        <v>2469</v>
      </c>
      <c r="AC44" s="5" t="s">
        <v>2470</v>
      </c>
      <c r="AD44" s="5" t="s">
        <v>86</v>
      </c>
      <c r="AF44" s="5">
        <v>78</v>
      </c>
      <c r="AG44" s="5">
        <v>8000</v>
      </c>
      <c r="AH44" s="5" t="s">
        <v>85</v>
      </c>
      <c r="AI44" s="5" t="s">
        <v>2471</v>
      </c>
      <c r="AJ44" s="5">
        <v>78</v>
      </c>
      <c r="AK44" s="5">
        <v>687</v>
      </c>
      <c r="AL44" s="5">
        <v>275</v>
      </c>
      <c r="AM44" s="5">
        <v>412</v>
      </c>
      <c r="AN44" s="5">
        <v>0</v>
      </c>
      <c r="AO44" s="5">
        <v>18</v>
      </c>
      <c r="AP44" s="5">
        <v>0</v>
      </c>
      <c r="AQ44" s="5">
        <v>60</v>
      </c>
      <c r="AR44" s="5" t="s">
        <v>2472</v>
      </c>
      <c r="AT44" s="5">
        <v>0</v>
      </c>
      <c r="AU44" s="5">
        <v>0</v>
      </c>
      <c r="AX44" s="5">
        <v>0</v>
      </c>
      <c r="AY44" s="5" t="s">
        <v>86</v>
      </c>
      <c r="BN44" s="5" t="s">
        <v>86</v>
      </c>
      <c r="CD44" s="5">
        <v>0</v>
      </c>
      <c r="CF44" s="1442" t="str">
        <f>IF([1]!sommaire[[#This Row],[présence des personnes déplacés interne]]="Oui","1","0")</f>
        <v>1</v>
      </c>
      <c r="CG44" s="1442" t="str">
        <f>IF([1]!sommaire[[#This Row],[présence Réfugié hors camp]]="Oui","1","0")</f>
        <v>0</v>
      </c>
      <c r="CH44" s="1442" t="str">
        <f>IF([1]!sommaire[[#This Row],[présence personnes retournées]]="Oui","1","0")</f>
        <v>0</v>
      </c>
      <c r="CI44" s="1442">
        <f>[1]!sommaire[[#This Row],[Flag PDI]]+[1]!sommaire[[#This Row],[Flag REF]]+[1]!sommaire[[#This Row],[Flag RET]]</f>
        <v>1</v>
      </c>
    </row>
    <row r="45" spans="1:87" ht="14.55" customHeight="1" x14ac:dyDescent="0.3">
      <c r="A45" s="390">
        <v>2604761</v>
      </c>
      <c r="B45" s="5" t="s">
        <v>533</v>
      </c>
      <c r="C45" s="1430" t="s">
        <v>3449</v>
      </c>
      <c r="D45" s="1090" t="s">
        <v>534</v>
      </c>
      <c r="E45" s="5" t="s">
        <v>30</v>
      </c>
      <c r="F45" s="5" t="s">
        <v>3522</v>
      </c>
      <c r="G45" s="5" t="s">
        <v>535</v>
      </c>
      <c r="H45" s="5" t="s">
        <v>161</v>
      </c>
      <c r="I45" s="5" t="str">
        <f>_xlfn.XLOOKUP(sommaire[[#This Row],[Arrondissement_code]],OCHA_GIS!$F:$F,OCHA_GIS!$E:$E,,)</f>
        <v>Maroua Iii</v>
      </c>
      <c r="J45" s="5" t="s">
        <v>587</v>
      </c>
      <c r="K45" t="s">
        <v>703</v>
      </c>
      <c r="L45" s="5" t="s">
        <v>704</v>
      </c>
      <c r="N45" s="5" t="s">
        <v>3052</v>
      </c>
      <c r="O45" s="5" t="s">
        <v>2467</v>
      </c>
      <c r="P45" s="5" t="s">
        <v>85</v>
      </c>
      <c r="Q45" s="5" t="s">
        <v>86</v>
      </c>
      <c r="R45" s="5" t="s">
        <v>85</v>
      </c>
      <c r="T45" s="390">
        <v>3</v>
      </c>
      <c r="U45" s="5" t="s">
        <v>97</v>
      </c>
      <c r="W45" s="5" t="s">
        <v>2468</v>
      </c>
      <c r="X45" s="5" t="s">
        <v>102</v>
      </c>
      <c r="AA45" s="5" t="s">
        <v>85</v>
      </c>
      <c r="AB45" s="5" t="s">
        <v>2469</v>
      </c>
      <c r="AC45" s="5" t="s">
        <v>2470</v>
      </c>
      <c r="AD45" s="5" t="s">
        <v>86</v>
      </c>
      <c r="AF45" s="5">
        <v>9</v>
      </c>
      <c r="AG45" s="5">
        <v>1517</v>
      </c>
      <c r="AH45" s="5" t="s">
        <v>85</v>
      </c>
      <c r="AI45" s="5" t="s">
        <v>2471</v>
      </c>
      <c r="AJ45" s="5">
        <v>9</v>
      </c>
      <c r="AK45" s="5">
        <v>110</v>
      </c>
      <c r="AL45" s="5">
        <v>50</v>
      </c>
      <c r="AM45" s="5">
        <v>60</v>
      </c>
      <c r="AN45" s="5">
        <v>0</v>
      </c>
      <c r="AO45" s="5">
        <v>0</v>
      </c>
      <c r="AP45" s="5">
        <v>0</v>
      </c>
      <c r="AQ45" s="5">
        <v>9</v>
      </c>
      <c r="AR45" s="5" t="s">
        <v>2472</v>
      </c>
      <c r="AT45" s="5">
        <v>0</v>
      </c>
      <c r="AU45" s="5">
        <v>0</v>
      </c>
      <c r="AX45" s="5">
        <v>0</v>
      </c>
      <c r="AY45" s="5" t="s">
        <v>86</v>
      </c>
      <c r="BN45" s="5" t="s">
        <v>86</v>
      </c>
      <c r="CD45" s="5">
        <v>0</v>
      </c>
      <c r="CF45" s="1442" t="str">
        <f>IF([1]!sommaire[[#This Row],[présence des personnes déplacés interne]]="Oui","1","0")</f>
        <v>1</v>
      </c>
      <c r="CG45" s="1442" t="str">
        <f>IF([1]!sommaire[[#This Row],[présence Réfugié hors camp]]="Oui","1","0")</f>
        <v>0</v>
      </c>
      <c r="CH45" s="1442" t="str">
        <f>IF([1]!sommaire[[#This Row],[présence personnes retournées]]="Oui","1","0")</f>
        <v>0</v>
      </c>
      <c r="CI45" s="1442">
        <f>[1]!sommaire[[#This Row],[Flag PDI]]+[1]!sommaire[[#This Row],[Flag REF]]+[1]!sommaire[[#This Row],[Flag RET]]</f>
        <v>1</v>
      </c>
    </row>
    <row r="46" spans="1:87" ht="14.55" customHeight="1" x14ac:dyDescent="0.3">
      <c r="A46" s="390">
        <v>2629753</v>
      </c>
      <c r="B46" s="5" t="s">
        <v>533</v>
      </c>
      <c r="C46" s="1430" t="s">
        <v>3449</v>
      </c>
      <c r="D46" s="1090" t="s">
        <v>534</v>
      </c>
      <c r="E46" s="5" t="s">
        <v>30</v>
      </c>
      <c r="F46" s="5" t="s">
        <v>3522</v>
      </c>
      <c r="G46" s="5" t="s">
        <v>535</v>
      </c>
      <c r="H46" s="5" t="s">
        <v>163</v>
      </c>
      <c r="I46" s="5" t="str">
        <f>_xlfn.XLOOKUP(sommaire[[#This Row],[Arrondissement_code]],OCHA_GIS!$F:$F,OCHA_GIS!$E:$E,,)</f>
        <v>Meri</v>
      </c>
      <c r="J46" s="5" t="s">
        <v>713</v>
      </c>
      <c r="K46" t="s">
        <v>716</v>
      </c>
      <c r="L46" s="5" t="s">
        <v>717</v>
      </c>
      <c r="N46" s="5" t="s">
        <v>3053</v>
      </c>
      <c r="O46" s="5" t="s">
        <v>2467</v>
      </c>
      <c r="P46" s="5" t="s">
        <v>85</v>
      </c>
      <c r="Q46" s="5" t="s">
        <v>86</v>
      </c>
      <c r="R46" s="5" t="s">
        <v>85</v>
      </c>
      <c r="T46" s="390">
        <v>3</v>
      </c>
      <c r="U46" s="5" t="s">
        <v>97</v>
      </c>
      <c r="W46" s="5" t="s">
        <v>2468</v>
      </c>
      <c r="X46" s="1090" t="s">
        <v>102</v>
      </c>
      <c r="AA46" s="1090" t="s">
        <v>85</v>
      </c>
      <c r="AB46" s="5" t="s">
        <v>2469</v>
      </c>
      <c r="AC46" s="5" t="s">
        <v>2470</v>
      </c>
      <c r="AD46" s="5" t="s">
        <v>86</v>
      </c>
      <c r="AF46" s="5">
        <v>3</v>
      </c>
      <c r="AG46" s="5">
        <v>1200</v>
      </c>
      <c r="AH46" s="5" t="s">
        <v>85</v>
      </c>
      <c r="AI46" s="5" t="s">
        <v>2471</v>
      </c>
      <c r="AJ46" s="5">
        <v>3</v>
      </c>
      <c r="AK46" s="5">
        <v>23</v>
      </c>
      <c r="AL46" s="5">
        <v>13</v>
      </c>
      <c r="AM46" s="5">
        <v>10</v>
      </c>
      <c r="AN46" s="5">
        <v>0</v>
      </c>
      <c r="AO46" s="5">
        <v>3</v>
      </c>
      <c r="AP46" s="5">
        <v>0</v>
      </c>
      <c r="AQ46" s="5">
        <v>0</v>
      </c>
      <c r="AT46" s="5">
        <v>0</v>
      </c>
      <c r="AU46" s="5">
        <v>0</v>
      </c>
      <c r="AX46" s="5">
        <v>0</v>
      </c>
      <c r="AY46" s="1090" t="s">
        <v>86</v>
      </c>
      <c r="BN46" s="1090" t="s">
        <v>86</v>
      </c>
      <c r="CD46" s="5">
        <v>0</v>
      </c>
      <c r="CF46" s="1442" t="str">
        <f>IF([1]!sommaire[[#This Row],[présence des personnes déplacés interne]]="Oui","1","0")</f>
        <v>1</v>
      </c>
      <c r="CG46" s="1442" t="str">
        <f>IF([1]!sommaire[[#This Row],[présence Réfugié hors camp]]="Oui","1","0")</f>
        <v>0</v>
      </c>
      <c r="CH46" s="1442" t="str">
        <f>IF([1]!sommaire[[#This Row],[présence personnes retournées]]="Oui","1","0")</f>
        <v>0</v>
      </c>
      <c r="CI46" s="1442">
        <f>[1]!sommaire[[#This Row],[Flag PDI]]+[1]!sommaire[[#This Row],[Flag REF]]+[1]!sommaire[[#This Row],[Flag RET]]</f>
        <v>1</v>
      </c>
    </row>
    <row r="47" spans="1:87" ht="14.55" customHeight="1" x14ac:dyDescent="0.3">
      <c r="A47" s="390">
        <v>2629752</v>
      </c>
      <c r="B47" s="5" t="s">
        <v>533</v>
      </c>
      <c r="C47" s="1430" t="s">
        <v>3449</v>
      </c>
      <c r="D47" s="1090" t="s">
        <v>534</v>
      </c>
      <c r="E47" s="5" t="s">
        <v>30</v>
      </c>
      <c r="F47" s="5" t="s">
        <v>3522</v>
      </c>
      <c r="G47" s="5" t="s">
        <v>535</v>
      </c>
      <c r="H47" s="5" t="s">
        <v>163</v>
      </c>
      <c r="I47" s="5" t="str">
        <f>_xlfn.XLOOKUP(sommaire[[#This Row],[Arrondissement_code]],OCHA_GIS!$F:$F,OCHA_GIS!$E:$E,,)</f>
        <v>Meri</v>
      </c>
      <c r="J47" s="5" t="s">
        <v>713</v>
      </c>
      <c r="K47" t="s">
        <v>714</v>
      </c>
      <c r="L47" s="5" t="s">
        <v>715</v>
      </c>
      <c r="N47" s="5" t="s">
        <v>3052</v>
      </c>
      <c r="O47" s="5" t="s">
        <v>2467</v>
      </c>
      <c r="P47" s="5" t="s">
        <v>85</v>
      </c>
      <c r="Q47" s="5" t="s">
        <v>86</v>
      </c>
      <c r="R47" s="5" t="s">
        <v>85</v>
      </c>
      <c r="T47" s="390">
        <v>3</v>
      </c>
      <c r="U47" s="5" t="s">
        <v>97</v>
      </c>
      <c r="W47" s="5" t="s">
        <v>2468</v>
      </c>
      <c r="X47" s="5" t="s">
        <v>102</v>
      </c>
      <c r="AA47" s="5" t="s">
        <v>85</v>
      </c>
      <c r="AB47" s="5" t="s">
        <v>2469</v>
      </c>
      <c r="AC47" s="5" t="s">
        <v>2470</v>
      </c>
      <c r="AD47" s="5" t="s">
        <v>86</v>
      </c>
      <c r="AF47" s="5">
        <v>8</v>
      </c>
      <c r="AG47" s="5">
        <v>6500</v>
      </c>
      <c r="AH47" s="5" t="s">
        <v>85</v>
      </c>
      <c r="AI47" s="5" t="s">
        <v>2471</v>
      </c>
      <c r="AJ47" s="5">
        <v>8</v>
      </c>
      <c r="AK47" s="5">
        <v>79</v>
      </c>
      <c r="AL47" s="5">
        <v>50</v>
      </c>
      <c r="AM47" s="5">
        <v>29</v>
      </c>
      <c r="AN47" s="5">
        <v>0</v>
      </c>
      <c r="AO47" s="5">
        <v>8</v>
      </c>
      <c r="AP47" s="5">
        <v>0</v>
      </c>
      <c r="AQ47" s="5">
        <v>0</v>
      </c>
      <c r="AT47" s="5">
        <v>0</v>
      </c>
      <c r="AU47" s="5">
        <v>0</v>
      </c>
      <c r="AX47" s="5">
        <v>0</v>
      </c>
      <c r="AY47" s="5" t="s">
        <v>86</v>
      </c>
      <c r="BN47" s="5" t="s">
        <v>86</v>
      </c>
      <c r="CD47" s="5">
        <v>0</v>
      </c>
      <c r="CF47" s="1442" t="str">
        <f>IF([1]!sommaire[[#This Row],[présence des personnes déplacés interne]]="Oui","1","0")</f>
        <v>1</v>
      </c>
      <c r="CG47" s="1442" t="str">
        <f>IF([1]!sommaire[[#This Row],[présence Réfugié hors camp]]="Oui","1","0")</f>
        <v>0</v>
      </c>
      <c r="CH47" s="1442" t="str">
        <f>IF([1]!sommaire[[#This Row],[présence personnes retournées]]="Oui","1","0")</f>
        <v>0</v>
      </c>
      <c r="CI47" s="1442">
        <f>[1]!sommaire[[#This Row],[Flag PDI]]+[1]!sommaire[[#This Row],[Flag REF]]+[1]!sommaire[[#This Row],[Flag RET]]</f>
        <v>1</v>
      </c>
    </row>
    <row r="48" spans="1:87" ht="14.55" customHeight="1" x14ac:dyDescent="0.3">
      <c r="A48" s="390">
        <v>2673411</v>
      </c>
      <c r="B48" s="5" t="s">
        <v>533</v>
      </c>
      <c r="C48" s="1430" t="s">
        <v>3449</v>
      </c>
      <c r="D48" s="1090" t="s">
        <v>534</v>
      </c>
      <c r="E48" s="5" t="s">
        <v>30</v>
      </c>
      <c r="F48" s="5" t="s">
        <v>3522</v>
      </c>
      <c r="G48" s="5" t="s">
        <v>535</v>
      </c>
      <c r="H48" s="5" t="s">
        <v>163</v>
      </c>
      <c r="I48" s="5" t="str">
        <f>_xlfn.XLOOKUP(sommaire[[#This Row],[Arrondissement_code]],OCHA_GIS!$F:$F,OCHA_GIS!$E:$E,,)</f>
        <v>Meri</v>
      </c>
      <c r="J48" s="5" t="s">
        <v>713</v>
      </c>
      <c r="K48" t="s">
        <v>2637</v>
      </c>
      <c r="L48" s="5" t="s">
        <v>2638</v>
      </c>
      <c r="N48" s="5" t="s">
        <v>3053</v>
      </c>
      <c r="O48" s="5" t="s">
        <v>2467</v>
      </c>
      <c r="P48" s="5" t="s">
        <v>85</v>
      </c>
      <c r="Q48" s="5" t="s">
        <v>86</v>
      </c>
      <c r="R48" s="5" t="s">
        <v>86</v>
      </c>
      <c r="T48" s="390">
        <v>3</v>
      </c>
      <c r="U48" s="5" t="s">
        <v>97</v>
      </c>
      <c r="W48" s="5" t="s">
        <v>2468</v>
      </c>
      <c r="X48" s="5" t="s">
        <v>102</v>
      </c>
      <c r="AA48" s="5" t="s">
        <v>86</v>
      </c>
      <c r="AH48" s="1430" t="s">
        <v>86</v>
      </c>
      <c r="AY48" s="1430" t="s">
        <v>86</v>
      </c>
      <c r="BN48" s="1430" t="s">
        <v>86</v>
      </c>
      <c r="CF48" s="1442" t="str">
        <f>IF([1]!sommaire[[#This Row],[présence des personnes déplacés interne]]="Oui","1","0")</f>
        <v>0</v>
      </c>
      <c r="CG48" s="1442" t="str">
        <f>IF([1]!sommaire[[#This Row],[présence Réfugié hors camp]]="Oui","1","0")</f>
        <v>0</v>
      </c>
      <c r="CH48" s="1442" t="str">
        <f>IF([1]!sommaire[[#This Row],[présence personnes retournées]]="Oui","1","0")</f>
        <v>0</v>
      </c>
      <c r="CI48" s="1442">
        <f>[1]!sommaire[[#This Row],[Flag PDI]]+[1]!sommaire[[#This Row],[Flag REF]]+[1]!sommaire[[#This Row],[Flag RET]]</f>
        <v>0</v>
      </c>
    </row>
    <row r="49" spans="1:87" ht="14.55" customHeight="1" x14ac:dyDescent="0.3">
      <c r="A49" s="390">
        <v>2617134</v>
      </c>
      <c r="B49" s="5" t="s">
        <v>533</v>
      </c>
      <c r="C49" s="1430" t="s">
        <v>3449</v>
      </c>
      <c r="D49" s="1090" t="s">
        <v>534</v>
      </c>
      <c r="E49" s="5" t="s">
        <v>30</v>
      </c>
      <c r="F49" s="5" t="s">
        <v>3522</v>
      </c>
      <c r="G49" s="5" t="s">
        <v>535</v>
      </c>
      <c r="H49" s="5" t="s">
        <v>162</v>
      </c>
      <c r="I49" s="5" t="str">
        <f>_xlfn.XLOOKUP(sommaire[[#This Row],[Arrondissement_code]],OCHA_GIS!$F:$F,OCHA_GIS!$E:$E,,)</f>
        <v>Pétté</v>
      </c>
      <c r="J49" s="5" t="s">
        <v>536</v>
      </c>
      <c r="K49" t="s">
        <v>550</v>
      </c>
      <c r="L49" s="5" t="s">
        <v>3185</v>
      </c>
      <c r="M49" s="5" t="s">
        <v>3185</v>
      </c>
      <c r="N49" s="5" t="s">
        <v>3053</v>
      </c>
      <c r="O49" s="5" t="s">
        <v>2473</v>
      </c>
      <c r="P49" s="5" t="s">
        <v>85</v>
      </c>
      <c r="Q49" s="5" t="s">
        <v>86</v>
      </c>
      <c r="R49" s="5" t="s">
        <v>85</v>
      </c>
      <c r="T49" s="390">
        <v>3</v>
      </c>
      <c r="U49" s="5" t="s">
        <v>97</v>
      </c>
      <c r="W49" s="5" t="s">
        <v>2468</v>
      </c>
      <c r="X49" s="5" t="s">
        <v>102</v>
      </c>
      <c r="AA49" s="5" t="s">
        <v>85</v>
      </c>
      <c r="AB49" s="5" t="s">
        <v>2473</v>
      </c>
      <c r="AC49" s="5" t="s">
        <v>2470</v>
      </c>
      <c r="AF49" s="5">
        <v>5</v>
      </c>
      <c r="AG49" s="5">
        <v>48</v>
      </c>
      <c r="AH49" s="5" t="s">
        <v>85</v>
      </c>
      <c r="AI49" s="5" t="s">
        <v>2471</v>
      </c>
      <c r="AJ49" s="5">
        <v>5</v>
      </c>
      <c r="AK49" s="5">
        <v>48</v>
      </c>
      <c r="AL49" s="5">
        <v>20</v>
      </c>
      <c r="AM49" s="5">
        <v>28</v>
      </c>
      <c r="AN49" s="5">
        <v>0</v>
      </c>
      <c r="AO49" s="5">
        <v>0</v>
      </c>
      <c r="AP49" s="5">
        <v>0</v>
      </c>
      <c r="AQ49" s="5">
        <v>0</v>
      </c>
      <c r="AT49" s="5">
        <v>0</v>
      </c>
      <c r="AU49" s="5">
        <v>5</v>
      </c>
      <c r="AV49" s="5" t="s">
        <v>2474</v>
      </c>
      <c r="AX49" s="5">
        <v>0</v>
      </c>
      <c r="AY49" s="5" t="s">
        <v>86</v>
      </c>
      <c r="BN49" s="5" t="s">
        <v>86</v>
      </c>
      <c r="CD49" s="5">
        <v>0</v>
      </c>
      <c r="CF49" s="1442" t="str">
        <f>IF([1]!sommaire[[#This Row],[présence des personnes déplacés interne]]="Oui","1","0")</f>
        <v>1</v>
      </c>
      <c r="CG49" s="1442" t="str">
        <f>IF([1]!sommaire[[#This Row],[présence Réfugié hors camp]]="Oui","1","0")</f>
        <v>0</v>
      </c>
      <c r="CH49" s="1442" t="str">
        <f>IF([1]!sommaire[[#This Row],[présence personnes retournées]]="Oui","1","0")</f>
        <v>0</v>
      </c>
      <c r="CI49" s="1442">
        <f>[1]!sommaire[[#This Row],[Flag PDI]]+[1]!sommaire[[#This Row],[Flag REF]]+[1]!sommaire[[#This Row],[Flag RET]]</f>
        <v>1</v>
      </c>
    </row>
    <row r="50" spans="1:87" ht="14.55" customHeight="1" x14ac:dyDescent="0.3">
      <c r="A50" s="390">
        <v>2557895</v>
      </c>
      <c r="B50" s="5" t="s">
        <v>533</v>
      </c>
      <c r="C50" s="1430" t="s">
        <v>3449</v>
      </c>
      <c r="D50" s="1090" t="s">
        <v>534</v>
      </c>
      <c r="E50" s="5" t="s">
        <v>30</v>
      </c>
      <c r="F50" s="5" t="s">
        <v>3522</v>
      </c>
      <c r="G50" s="5" t="s">
        <v>535</v>
      </c>
      <c r="H50" s="5" t="s">
        <v>162</v>
      </c>
      <c r="I50" s="5" t="str">
        <f>_xlfn.XLOOKUP(sommaire[[#This Row],[Arrondissement_code]],OCHA_GIS!$F:$F,OCHA_GIS!$E:$E,,)</f>
        <v>Pétté</v>
      </c>
      <c r="J50" s="5" t="s">
        <v>536</v>
      </c>
      <c r="K50" t="s">
        <v>643</v>
      </c>
      <c r="L50" s="5" t="s">
        <v>644</v>
      </c>
      <c r="N50" s="5" t="s">
        <v>3053</v>
      </c>
      <c r="O50" s="5" t="s">
        <v>2467</v>
      </c>
      <c r="P50" s="5" t="s">
        <v>85</v>
      </c>
      <c r="Q50" s="5" t="s">
        <v>86</v>
      </c>
      <c r="R50" s="5" t="s">
        <v>85</v>
      </c>
      <c r="T50" s="390">
        <v>3</v>
      </c>
      <c r="U50" s="5" t="s">
        <v>97</v>
      </c>
      <c r="W50" s="5" t="s">
        <v>2468</v>
      </c>
      <c r="X50" s="5" t="s">
        <v>102</v>
      </c>
      <c r="AA50" s="5" t="s">
        <v>85</v>
      </c>
      <c r="AB50" s="5" t="s">
        <v>2469</v>
      </c>
      <c r="AC50" s="5" t="s">
        <v>2470</v>
      </c>
      <c r="AD50" s="5" t="s">
        <v>86</v>
      </c>
      <c r="AF50" s="5">
        <v>2</v>
      </c>
      <c r="AG50" s="5">
        <v>507</v>
      </c>
      <c r="AH50" s="5" t="s">
        <v>85</v>
      </c>
      <c r="AI50" s="5" t="s">
        <v>2471</v>
      </c>
      <c r="AJ50" s="5">
        <v>2</v>
      </c>
      <c r="AK50" s="5">
        <v>18</v>
      </c>
      <c r="AL50" s="5">
        <v>7</v>
      </c>
      <c r="AM50" s="5">
        <v>11</v>
      </c>
      <c r="AN50" s="5">
        <v>0</v>
      </c>
      <c r="AO50" s="5">
        <v>2</v>
      </c>
      <c r="AP50" s="5">
        <v>0</v>
      </c>
      <c r="AQ50" s="5">
        <v>0</v>
      </c>
      <c r="AT50" s="5">
        <v>0</v>
      </c>
      <c r="AU50" s="5">
        <v>0</v>
      </c>
      <c r="AX50" s="5">
        <v>0</v>
      </c>
      <c r="AY50" s="5" t="s">
        <v>86</v>
      </c>
      <c r="BN50" s="5" t="s">
        <v>86</v>
      </c>
      <c r="CD50" s="5">
        <v>0</v>
      </c>
      <c r="CF50" s="1442" t="str">
        <f>IF([1]!sommaire[[#This Row],[présence des personnes déplacés interne]]="Oui","1","0")</f>
        <v>1</v>
      </c>
      <c r="CG50" s="1442" t="str">
        <f>IF([1]!sommaire[[#This Row],[présence Réfugié hors camp]]="Oui","1","0")</f>
        <v>0</v>
      </c>
      <c r="CH50" s="1442" t="str">
        <f>IF([1]!sommaire[[#This Row],[présence personnes retournées]]="Oui","1","0")</f>
        <v>0</v>
      </c>
      <c r="CI50" s="1442">
        <f>[1]!sommaire[[#This Row],[Flag PDI]]+[1]!sommaire[[#This Row],[Flag REF]]+[1]!sommaire[[#This Row],[Flag RET]]</f>
        <v>1</v>
      </c>
    </row>
    <row r="51" spans="1:87" ht="14.55" customHeight="1" x14ac:dyDescent="0.3">
      <c r="A51" s="390">
        <v>2558257</v>
      </c>
      <c r="B51" s="5" t="s">
        <v>533</v>
      </c>
      <c r="C51" s="1430" t="s">
        <v>3449</v>
      </c>
      <c r="D51" s="1090" t="s">
        <v>534</v>
      </c>
      <c r="E51" s="5" t="s">
        <v>30</v>
      </c>
      <c r="F51" s="5" t="s">
        <v>3522</v>
      </c>
      <c r="G51" s="5" t="s">
        <v>535</v>
      </c>
      <c r="H51" s="5" t="s">
        <v>162</v>
      </c>
      <c r="I51" s="5" t="str">
        <f>_xlfn.XLOOKUP(sommaire[[#This Row],[Arrondissement_code]],OCHA_GIS!$F:$F,OCHA_GIS!$E:$E,,)</f>
        <v>Pétté</v>
      </c>
      <c r="J51" s="5" t="s">
        <v>536</v>
      </c>
      <c r="K51" t="s">
        <v>652</v>
      </c>
      <c r="L51" s="5" t="s">
        <v>655</v>
      </c>
      <c r="N51" s="5" t="s">
        <v>3053</v>
      </c>
      <c r="O51" s="5" t="s">
        <v>2467</v>
      </c>
      <c r="P51" s="5" t="s">
        <v>85</v>
      </c>
      <c r="Q51" s="5" t="s">
        <v>86</v>
      </c>
      <c r="R51" s="5" t="s">
        <v>85</v>
      </c>
      <c r="T51" s="390">
        <v>3</v>
      </c>
      <c r="U51" s="5" t="s">
        <v>97</v>
      </c>
      <c r="W51" s="5" t="s">
        <v>2468</v>
      </c>
      <c r="X51" s="5" t="s">
        <v>102</v>
      </c>
      <c r="AA51" s="5" t="s">
        <v>85</v>
      </c>
      <c r="AB51" s="5" t="s">
        <v>2469</v>
      </c>
      <c r="AC51" s="5" t="s">
        <v>2470</v>
      </c>
      <c r="AD51" s="5" t="s">
        <v>86</v>
      </c>
      <c r="AF51" s="5">
        <v>5</v>
      </c>
      <c r="AG51" s="5">
        <v>216</v>
      </c>
      <c r="AH51" s="5" t="s">
        <v>85</v>
      </c>
      <c r="AI51" s="5" t="s">
        <v>2471</v>
      </c>
      <c r="AJ51" s="5">
        <v>5</v>
      </c>
      <c r="AK51" s="5">
        <v>28</v>
      </c>
      <c r="AL51" s="5">
        <v>12</v>
      </c>
      <c r="AM51" s="5">
        <v>16</v>
      </c>
      <c r="AN51" s="5">
        <v>0</v>
      </c>
      <c r="AO51" s="5">
        <v>5</v>
      </c>
      <c r="AP51" s="5">
        <v>0</v>
      </c>
      <c r="AQ51" s="5">
        <v>0</v>
      </c>
      <c r="AT51" s="5">
        <v>0</v>
      </c>
      <c r="AU51" s="5">
        <v>0</v>
      </c>
      <c r="AX51" s="5">
        <v>0</v>
      </c>
      <c r="AY51" s="5" t="s">
        <v>86</v>
      </c>
      <c r="BN51" s="5" t="s">
        <v>86</v>
      </c>
      <c r="CD51" s="5">
        <v>0</v>
      </c>
      <c r="CF51" s="1442" t="str">
        <f>IF([1]!sommaire[[#This Row],[présence des personnes déplacés interne]]="Oui","1","0")</f>
        <v>1</v>
      </c>
      <c r="CG51" s="1442" t="str">
        <f>IF([1]!sommaire[[#This Row],[présence Réfugié hors camp]]="Oui","1","0")</f>
        <v>0</v>
      </c>
      <c r="CH51" s="1442" t="str">
        <f>IF([1]!sommaire[[#This Row],[présence personnes retournées]]="Oui","1","0")</f>
        <v>0</v>
      </c>
      <c r="CI51" s="1442">
        <f>[1]!sommaire[[#This Row],[Flag PDI]]+[1]!sommaire[[#This Row],[Flag REF]]+[1]!sommaire[[#This Row],[Flag RET]]</f>
        <v>1</v>
      </c>
    </row>
    <row r="52" spans="1:87" ht="14.55" customHeight="1" x14ac:dyDescent="0.3">
      <c r="A52" s="390">
        <v>2533509</v>
      </c>
      <c r="B52" s="5" t="s">
        <v>533</v>
      </c>
      <c r="C52" s="1430" t="s">
        <v>3449</v>
      </c>
      <c r="D52" s="1090" t="s">
        <v>534</v>
      </c>
      <c r="E52" s="5" t="s">
        <v>30</v>
      </c>
      <c r="F52" s="5" t="s">
        <v>3522</v>
      </c>
      <c r="G52" s="5" t="s">
        <v>535</v>
      </c>
      <c r="H52" s="1144" t="s">
        <v>162</v>
      </c>
      <c r="I52" s="1144" t="str">
        <f>_xlfn.XLOOKUP(sommaire[[#This Row],[Arrondissement_code]],OCHA_GIS!$F:$F,OCHA_GIS!$E:$E,,)</f>
        <v>Pétté</v>
      </c>
      <c r="J52" s="5" t="s">
        <v>536</v>
      </c>
      <c r="K52" t="s">
        <v>540</v>
      </c>
      <c r="L52" s="5" t="s">
        <v>541</v>
      </c>
      <c r="N52" s="5" t="s">
        <v>3053</v>
      </c>
      <c r="O52" s="5" t="s">
        <v>2467</v>
      </c>
      <c r="P52" s="5" t="s">
        <v>85</v>
      </c>
      <c r="Q52" s="5" t="s">
        <v>86</v>
      </c>
      <c r="R52" s="5" t="s">
        <v>85</v>
      </c>
      <c r="T52" s="390">
        <v>3</v>
      </c>
      <c r="U52" s="5" t="s">
        <v>97</v>
      </c>
      <c r="W52" s="5" t="s">
        <v>2468</v>
      </c>
      <c r="X52" s="5" t="s">
        <v>102</v>
      </c>
      <c r="AA52" s="5" t="s">
        <v>85</v>
      </c>
      <c r="AB52" s="5" t="s">
        <v>2469</v>
      </c>
      <c r="AC52" s="5" t="s">
        <v>2470</v>
      </c>
      <c r="AD52" s="5" t="s">
        <v>86</v>
      </c>
      <c r="AF52" s="5">
        <v>15</v>
      </c>
      <c r="AG52" s="5">
        <v>1893</v>
      </c>
      <c r="AH52" s="5" t="s">
        <v>85</v>
      </c>
      <c r="AI52" s="5" t="s">
        <v>2471</v>
      </c>
      <c r="AJ52" s="5">
        <v>15</v>
      </c>
      <c r="AK52" s="5">
        <v>158</v>
      </c>
      <c r="AL52" s="5">
        <v>63</v>
      </c>
      <c r="AM52" s="5">
        <v>95</v>
      </c>
      <c r="AN52" s="5">
        <v>1</v>
      </c>
      <c r="AO52" s="5">
        <v>14</v>
      </c>
      <c r="AP52" s="5">
        <v>0</v>
      </c>
      <c r="AQ52" s="5">
        <v>0</v>
      </c>
      <c r="AT52" s="5">
        <v>0</v>
      </c>
      <c r="AU52" s="5">
        <v>0</v>
      </c>
      <c r="AX52" s="5">
        <v>0</v>
      </c>
      <c r="AY52" s="5" t="s">
        <v>86</v>
      </c>
      <c r="BN52" s="5" t="s">
        <v>86</v>
      </c>
      <c r="CD52" s="5">
        <v>0</v>
      </c>
      <c r="CF52" s="1442" t="str">
        <f>IF([1]!sommaire[[#This Row],[présence des personnes déplacés interne]]="Oui","1","0")</f>
        <v>1</v>
      </c>
      <c r="CG52" s="1442" t="str">
        <f>IF([1]!sommaire[[#This Row],[présence Réfugié hors camp]]="Oui","1","0")</f>
        <v>0</v>
      </c>
      <c r="CH52" s="1442" t="str">
        <f>IF([1]!sommaire[[#This Row],[présence personnes retournées]]="Oui","1","0")</f>
        <v>0</v>
      </c>
      <c r="CI52" s="1442">
        <f>[1]!sommaire[[#This Row],[Flag PDI]]+[1]!sommaire[[#This Row],[Flag REF]]+[1]!sommaire[[#This Row],[Flag RET]]</f>
        <v>1</v>
      </c>
    </row>
    <row r="53" spans="1:87" ht="14.55" customHeight="1" x14ac:dyDescent="0.3">
      <c r="A53" s="390">
        <v>2533510</v>
      </c>
      <c r="B53" s="5" t="s">
        <v>533</v>
      </c>
      <c r="C53" s="1430" t="s">
        <v>3449</v>
      </c>
      <c r="D53" s="1090" t="s">
        <v>534</v>
      </c>
      <c r="E53" s="5" t="s">
        <v>30</v>
      </c>
      <c r="F53" s="5" t="s">
        <v>3522</v>
      </c>
      <c r="G53" s="5" t="s">
        <v>535</v>
      </c>
      <c r="H53" s="5" t="s">
        <v>162</v>
      </c>
      <c r="I53" s="5" t="str">
        <f>_xlfn.XLOOKUP(sommaire[[#This Row],[Arrondissement_code]],OCHA_GIS!$F:$F,OCHA_GIS!$E:$E,,)</f>
        <v>Pétté</v>
      </c>
      <c r="J53" s="5" t="s">
        <v>536</v>
      </c>
      <c r="K53" t="s">
        <v>537</v>
      </c>
      <c r="L53" s="5" t="s">
        <v>538</v>
      </c>
      <c r="N53" s="5" t="s">
        <v>3053</v>
      </c>
      <c r="O53" s="5" t="s">
        <v>2467</v>
      </c>
      <c r="P53" s="5" t="s">
        <v>85</v>
      </c>
      <c r="Q53" s="5" t="s">
        <v>86</v>
      </c>
      <c r="R53" s="5" t="s">
        <v>86</v>
      </c>
      <c r="T53" s="390">
        <v>3</v>
      </c>
      <c r="U53" s="5" t="s">
        <v>97</v>
      </c>
      <c r="W53" s="5" t="s">
        <v>2468</v>
      </c>
      <c r="X53" s="5" t="s">
        <v>102</v>
      </c>
      <c r="AA53" s="586" t="s">
        <v>85</v>
      </c>
      <c r="AB53" s="5" t="s">
        <v>2469</v>
      </c>
      <c r="AC53" s="5" t="s">
        <v>2470</v>
      </c>
      <c r="AD53" s="5" t="s">
        <v>86</v>
      </c>
      <c r="AF53" s="5">
        <v>135</v>
      </c>
      <c r="AG53" s="5">
        <v>2400</v>
      </c>
      <c r="AH53" s="5" t="s">
        <v>85</v>
      </c>
      <c r="AI53" s="5" t="s">
        <v>2485</v>
      </c>
      <c r="AJ53" s="5">
        <v>135</v>
      </c>
      <c r="AK53" s="5">
        <v>725</v>
      </c>
      <c r="AL53" s="5">
        <v>279</v>
      </c>
      <c r="AM53" s="5">
        <v>446</v>
      </c>
      <c r="AN53" s="5">
        <v>0</v>
      </c>
      <c r="AO53" s="5">
        <v>135</v>
      </c>
      <c r="AP53" s="5">
        <v>0</v>
      </c>
      <c r="AQ53" s="5">
        <v>0</v>
      </c>
      <c r="AT53" s="5">
        <v>0</v>
      </c>
      <c r="AU53" s="5">
        <v>0</v>
      </c>
      <c r="AX53" s="5">
        <v>0</v>
      </c>
      <c r="AY53" s="5" t="s">
        <v>86</v>
      </c>
      <c r="BN53" s="5" t="s">
        <v>86</v>
      </c>
      <c r="CD53" s="5">
        <v>0</v>
      </c>
      <c r="CF53" s="1442" t="str">
        <f>IF([1]!sommaire[[#This Row],[présence des personnes déplacés interne]]="Oui","1","0")</f>
        <v>1</v>
      </c>
      <c r="CG53" s="1442" t="str">
        <f>IF([1]!sommaire[[#This Row],[présence Réfugié hors camp]]="Oui","1","0")</f>
        <v>0</v>
      </c>
      <c r="CH53" s="1442" t="str">
        <f>IF([1]!sommaire[[#This Row],[présence personnes retournées]]="Oui","1","0")</f>
        <v>0</v>
      </c>
      <c r="CI53" s="1442">
        <f>[1]!sommaire[[#This Row],[Flag PDI]]+[1]!sommaire[[#This Row],[Flag REF]]+[1]!sommaire[[#This Row],[Flag RET]]</f>
        <v>1</v>
      </c>
    </row>
    <row r="54" spans="1:87" ht="14.55" customHeight="1" x14ac:dyDescent="0.3">
      <c r="A54" s="390">
        <v>2574080</v>
      </c>
      <c r="B54" s="5" t="s">
        <v>533</v>
      </c>
      <c r="C54" s="1430" t="s">
        <v>3449</v>
      </c>
      <c r="D54" s="1090" t="s">
        <v>534</v>
      </c>
      <c r="E54" s="5" t="s">
        <v>30</v>
      </c>
      <c r="F54" s="5" t="s">
        <v>3522</v>
      </c>
      <c r="G54" s="5" t="s">
        <v>535</v>
      </c>
      <c r="H54" s="5" t="s">
        <v>162</v>
      </c>
      <c r="I54" s="5" t="str">
        <f>_xlfn.XLOOKUP(sommaire[[#This Row],[Arrondissement_code]],OCHA_GIS!$F:$F,OCHA_GIS!$E:$E,,)</f>
        <v>Pétté</v>
      </c>
      <c r="J54" s="5" t="s">
        <v>536</v>
      </c>
      <c r="K54" t="s">
        <v>616</v>
      </c>
      <c r="L54" s="5" t="s">
        <v>617</v>
      </c>
      <c r="N54" s="5" t="s">
        <v>3053</v>
      </c>
      <c r="O54" s="5" t="s">
        <v>2467</v>
      </c>
      <c r="P54" s="5" t="s">
        <v>85</v>
      </c>
      <c r="Q54" s="5" t="s">
        <v>86</v>
      </c>
      <c r="R54" s="5" t="s">
        <v>85</v>
      </c>
      <c r="T54" s="390">
        <v>3</v>
      </c>
      <c r="U54" s="5" t="s">
        <v>97</v>
      </c>
      <c r="W54" s="5" t="s">
        <v>2468</v>
      </c>
      <c r="X54" s="5" t="s">
        <v>102</v>
      </c>
      <c r="AA54" s="1175" t="s">
        <v>85</v>
      </c>
      <c r="AB54" s="5" t="s">
        <v>2469</v>
      </c>
      <c r="AC54" s="5" t="s">
        <v>2470</v>
      </c>
      <c r="AD54" s="5" t="s">
        <v>86</v>
      </c>
      <c r="AF54" s="5">
        <v>3</v>
      </c>
      <c r="AG54" s="5">
        <v>774</v>
      </c>
      <c r="AH54" s="5" t="s">
        <v>85</v>
      </c>
      <c r="AI54" s="5" t="s">
        <v>2471</v>
      </c>
      <c r="AJ54" s="5">
        <v>3</v>
      </c>
      <c r="AK54" s="5">
        <v>17</v>
      </c>
      <c r="AL54" s="5">
        <v>7</v>
      </c>
      <c r="AM54" s="5">
        <v>10</v>
      </c>
      <c r="AN54" s="5">
        <v>0</v>
      </c>
      <c r="AO54" s="5">
        <v>3</v>
      </c>
      <c r="AP54" s="5">
        <v>0</v>
      </c>
      <c r="AQ54" s="5">
        <v>0</v>
      </c>
      <c r="AT54" s="5">
        <v>0</v>
      </c>
      <c r="AU54" s="5">
        <v>0</v>
      </c>
      <c r="AX54" s="5">
        <v>0</v>
      </c>
      <c r="AY54" s="5" t="s">
        <v>86</v>
      </c>
      <c r="BN54" s="5" t="s">
        <v>85</v>
      </c>
      <c r="BO54" s="5">
        <v>3</v>
      </c>
      <c r="BP54" s="5">
        <v>10</v>
      </c>
      <c r="BQ54" s="5">
        <v>4</v>
      </c>
      <c r="BR54" s="5">
        <v>6</v>
      </c>
      <c r="BS54" s="5" t="s">
        <v>2479</v>
      </c>
      <c r="BT54" s="5">
        <v>0</v>
      </c>
      <c r="BU54" s="5">
        <v>3</v>
      </c>
      <c r="BV54" s="5">
        <v>0</v>
      </c>
      <c r="BW54" s="5">
        <v>0</v>
      </c>
      <c r="BX54" s="5">
        <v>0</v>
      </c>
      <c r="BZ54" s="5">
        <v>0</v>
      </c>
      <c r="CA54" s="5">
        <v>0</v>
      </c>
      <c r="CC54" s="5">
        <v>0</v>
      </c>
      <c r="CD54" s="5">
        <v>0</v>
      </c>
      <c r="CF54" s="1442" t="str">
        <f>IF([1]!sommaire[[#This Row],[présence des personnes déplacés interne]]="Oui","1","0")</f>
        <v>1</v>
      </c>
      <c r="CG54" s="1442" t="str">
        <f>IF([1]!sommaire[[#This Row],[présence Réfugié hors camp]]="Oui","1","0")</f>
        <v>0</v>
      </c>
      <c r="CH54" s="1442" t="str">
        <f>IF([1]!sommaire[[#This Row],[présence personnes retournées]]="Oui","1","0")</f>
        <v>1</v>
      </c>
      <c r="CI54" s="1442">
        <f>[1]!sommaire[[#This Row],[Flag PDI]]+[1]!sommaire[[#This Row],[Flag REF]]+[1]!sommaire[[#This Row],[Flag RET]]</f>
        <v>2</v>
      </c>
    </row>
    <row r="55" spans="1:87" ht="14.55" customHeight="1" x14ac:dyDescent="0.3">
      <c r="A55" s="390">
        <v>2588738</v>
      </c>
      <c r="B55" s="5" t="s">
        <v>533</v>
      </c>
      <c r="C55" s="1430" t="s">
        <v>3449</v>
      </c>
      <c r="D55" s="1090" t="s">
        <v>534</v>
      </c>
      <c r="E55" s="5" t="s">
        <v>30</v>
      </c>
      <c r="F55" s="5" t="s">
        <v>3522</v>
      </c>
      <c r="G55" s="5" t="s">
        <v>535</v>
      </c>
      <c r="H55" s="5" t="s">
        <v>162</v>
      </c>
      <c r="I55" s="5" t="str">
        <f>_xlfn.XLOOKUP(sommaire[[#This Row],[Arrondissement_code]],OCHA_GIS!$F:$F,OCHA_GIS!$E:$E,,)</f>
        <v>Pétté</v>
      </c>
      <c r="J55" s="5" t="s">
        <v>536</v>
      </c>
      <c r="K55" t="s">
        <v>618</v>
      </c>
      <c r="L55" s="5" t="s">
        <v>619</v>
      </c>
      <c r="N55" s="5" t="s">
        <v>3053</v>
      </c>
      <c r="O55" s="5" t="s">
        <v>2467</v>
      </c>
      <c r="P55" s="5" t="s">
        <v>85</v>
      </c>
      <c r="Q55" s="5" t="s">
        <v>86</v>
      </c>
      <c r="R55" s="5" t="s">
        <v>85</v>
      </c>
      <c r="T55" s="390">
        <v>3</v>
      </c>
      <c r="U55" s="5" t="s">
        <v>97</v>
      </c>
      <c r="W55" s="5" t="s">
        <v>2468</v>
      </c>
      <c r="X55" s="5" t="s">
        <v>102</v>
      </c>
      <c r="AA55" s="5" t="s">
        <v>85</v>
      </c>
      <c r="AB55" s="5" t="s">
        <v>2469</v>
      </c>
      <c r="AC55" s="5" t="s">
        <v>2470</v>
      </c>
      <c r="AD55" s="5" t="s">
        <v>86</v>
      </c>
      <c r="AF55" s="5">
        <v>11</v>
      </c>
      <c r="AG55" s="5">
        <v>726</v>
      </c>
      <c r="AH55" s="5" t="s">
        <v>85</v>
      </c>
      <c r="AI55" s="5" t="s">
        <v>2471</v>
      </c>
      <c r="AJ55" s="5">
        <v>11</v>
      </c>
      <c r="AK55" s="5">
        <v>66</v>
      </c>
      <c r="AL55" s="5">
        <v>22</v>
      </c>
      <c r="AM55" s="5">
        <v>44</v>
      </c>
      <c r="AN55" s="5">
        <v>0</v>
      </c>
      <c r="AO55" s="5">
        <v>11</v>
      </c>
      <c r="AP55" s="5">
        <v>0</v>
      </c>
      <c r="AQ55" s="5">
        <v>0</v>
      </c>
      <c r="AT55" s="5">
        <v>0</v>
      </c>
      <c r="AU55" s="5">
        <v>0</v>
      </c>
      <c r="AX55" s="5">
        <v>0</v>
      </c>
      <c r="AY55" s="5" t="s">
        <v>86</v>
      </c>
      <c r="BN55" s="5" t="s">
        <v>86</v>
      </c>
      <c r="CD55" s="5">
        <v>0</v>
      </c>
      <c r="CF55" s="1442" t="str">
        <f>IF([1]!sommaire[[#This Row],[présence des personnes déplacés interne]]="Oui","1","0")</f>
        <v>1</v>
      </c>
      <c r="CG55" s="1442" t="str">
        <f>IF([1]!sommaire[[#This Row],[présence Réfugié hors camp]]="Oui","1","0")</f>
        <v>0</v>
      </c>
      <c r="CH55" s="1442" t="str">
        <f>IF([1]!sommaire[[#This Row],[présence personnes retournées]]="Oui","1","0")</f>
        <v>0</v>
      </c>
      <c r="CI55" s="1442">
        <f>[1]!sommaire[[#This Row],[Flag PDI]]+[1]!sommaire[[#This Row],[Flag REF]]+[1]!sommaire[[#This Row],[Flag RET]]</f>
        <v>1</v>
      </c>
    </row>
    <row r="56" spans="1:87" ht="14.55" customHeight="1" x14ac:dyDescent="0.3">
      <c r="A56" s="390">
        <v>2605732</v>
      </c>
      <c r="B56" s="5" t="s">
        <v>533</v>
      </c>
      <c r="C56" s="1430" t="s">
        <v>3449</v>
      </c>
      <c r="D56" s="1090" t="s">
        <v>534</v>
      </c>
      <c r="E56" s="5" t="s">
        <v>30</v>
      </c>
      <c r="F56" s="5" t="s">
        <v>3522</v>
      </c>
      <c r="G56" s="5" t="s">
        <v>535</v>
      </c>
      <c r="H56" s="5" t="s">
        <v>162</v>
      </c>
      <c r="I56" s="5" t="str">
        <f>_xlfn.XLOOKUP(sommaire[[#This Row],[Arrondissement_code]],OCHA_GIS!$F:$F,OCHA_GIS!$E:$E,,)</f>
        <v>Pétté</v>
      </c>
      <c r="J56" s="5" t="s">
        <v>536</v>
      </c>
      <c r="K56" t="s">
        <v>2683</v>
      </c>
      <c r="L56" s="5" t="s">
        <v>2684</v>
      </c>
      <c r="N56" s="5" t="s">
        <v>3053</v>
      </c>
      <c r="O56" s="5" t="s">
        <v>2467</v>
      </c>
      <c r="P56" s="5" t="s">
        <v>86</v>
      </c>
      <c r="Q56" s="5" t="s">
        <v>86</v>
      </c>
      <c r="R56" s="5" t="s">
        <v>85</v>
      </c>
      <c r="U56" s="5" t="s">
        <v>97</v>
      </c>
      <c r="W56" s="5" t="s">
        <v>2468</v>
      </c>
      <c r="X56" s="5" t="s">
        <v>102</v>
      </c>
      <c r="AA56" s="5" t="s">
        <v>86</v>
      </c>
      <c r="AH56" s="1430" t="s">
        <v>86</v>
      </c>
      <c r="AY56" s="1430" t="s">
        <v>86</v>
      </c>
      <c r="BN56" s="1430" t="s">
        <v>86</v>
      </c>
      <c r="CF56" s="1442" t="str">
        <f>IF([1]!sommaire[[#This Row],[présence des personnes déplacés interne]]="Oui","1","0")</f>
        <v>0</v>
      </c>
      <c r="CG56" s="1442" t="str">
        <f>IF([1]!sommaire[[#This Row],[présence Réfugié hors camp]]="Oui","1","0")</f>
        <v>0</v>
      </c>
      <c r="CH56" s="1442" t="str">
        <f>IF([1]!sommaire[[#This Row],[présence personnes retournées]]="Oui","1","0")</f>
        <v>0</v>
      </c>
      <c r="CI56" s="1442">
        <f>[1]!sommaire[[#This Row],[Flag PDI]]+[1]!sommaire[[#This Row],[Flag REF]]+[1]!sommaire[[#This Row],[Flag RET]]</f>
        <v>0</v>
      </c>
    </row>
    <row r="57" spans="1:87" ht="14.55" customHeight="1" x14ac:dyDescent="0.3">
      <c r="A57" s="390">
        <v>2539307</v>
      </c>
      <c r="B57" s="5" t="s">
        <v>533</v>
      </c>
      <c r="C57" s="1430" t="s">
        <v>3449</v>
      </c>
      <c r="D57" s="1090" t="s">
        <v>534</v>
      </c>
      <c r="E57" s="5" t="s">
        <v>30</v>
      </c>
      <c r="F57" s="5" t="s">
        <v>3522</v>
      </c>
      <c r="G57" s="5" t="s">
        <v>535</v>
      </c>
      <c r="H57" s="5" t="s">
        <v>162</v>
      </c>
      <c r="I57" s="5" t="str">
        <f>_xlfn.XLOOKUP(sommaire[[#This Row],[Arrondissement_code]],OCHA_GIS!$F:$F,OCHA_GIS!$E:$E,,)</f>
        <v>Pétté</v>
      </c>
      <c r="J57" s="5" t="s">
        <v>536</v>
      </c>
      <c r="K57" t="s">
        <v>641</v>
      </c>
      <c r="L57" s="5" t="s">
        <v>642</v>
      </c>
      <c r="N57" s="5" t="s">
        <v>3053</v>
      </c>
      <c r="O57" s="5" t="s">
        <v>2467</v>
      </c>
      <c r="P57" s="5" t="s">
        <v>85</v>
      </c>
      <c r="Q57" s="5" t="s">
        <v>86</v>
      </c>
      <c r="R57" s="5" t="s">
        <v>85</v>
      </c>
      <c r="T57" s="390">
        <v>3</v>
      </c>
      <c r="U57" s="5" t="s">
        <v>97</v>
      </c>
      <c r="W57" s="5" t="s">
        <v>2468</v>
      </c>
      <c r="X57" s="5" t="s">
        <v>102</v>
      </c>
      <c r="AA57" s="5" t="s">
        <v>85</v>
      </c>
      <c r="AB57" s="5" t="s">
        <v>2469</v>
      </c>
      <c r="AC57" s="5" t="s">
        <v>2470</v>
      </c>
      <c r="AD57" s="5" t="s">
        <v>86</v>
      </c>
      <c r="AF57" s="5">
        <v>3</v>
      </c>
      <c r="AG57" s="5">
        <v>1079</v>
      </c>
      <c r="AH57" s="5" t="s">
        <v>85</v>
      </c>
      <c r="AI57" s="5" t="s">
        <v>2471</v>
      </c>
      <c r="AJ57" s="5">
        <v>3</v>
      </c>
      <c r="AK57" s="5">
        <v>31</v>
      </c>
      <c r="AL57" s="5">
        <v>9</v>
      </c>
      <c r="AM57" s="5">
        <v>22</v>
      </c>
      <c r="AN57" s="5">
        <v>0</v>
      </c>
      <c r="AO57" s="5">
        <v>3</v>
      </c>
      <c r="AP57" s="5">
        <v>0</v>
      </c>
      <c r="AQ57" s="5">
        <v>0</v>
      </c>
      <c r="AT57" s="5">
        <v>0</v>
      </c>
      <c r="AU57" s="5">
        <v>0</v>
      </c>
      <c r="AX57" s="5">
        <v>0</v>
      </c>
      <c r="AY57" s="1090" t="s">
        <v>86</v>
      </c>
      <c r="BN57" s="1090" t="s">
        <v>86</v>
      </c>
      <c r="CD57" s="5">
        <v>0</v>
      </c>
      <c r="CF57" s="1442" t="str">
        <f>IF([1]!sommaire[[#This Row],[présence des personnes déplacés interne]]="Oui","1","0")</f>
        <v>1</v>
      </c>
      <c r="CG57" s="1442" t="str">
        <f>IF([1]!sommaire[[#This Row],[présence Réfugié hors camp]]="Oui","1","0")</f>
        <v>0</v>
      </c>
      <c r="CH57" s="1442" t="str">
        <f>IF([1]!sommaire[[#This Row],[présence personnes retournées]]="Oui","1","0")</f>
        <v>0</v>
      </c>
      <c r="CI57" s="1442">
        <f>[1]!sommaire[[#This Row],[Flag PDI]]+[1]!sommaire[[#This Row],[Flag REF]]+[1]!sommaire[[#This Row],[Flag RET]]</f>
        <v>1</v>
      </c>
    </row>
    <row r="58" spans="1:87" ht="14.55" customHeight="1" x14ac:dyDescent="0.3">
      <c r="A58" s="390">
        <v>2605736</v>
      </c>
      <c r="B58" s="5" t="s">
        <v>533</v>
      </c>
      <c r="C58" s="1430" t="s">
        <v>3449</v>
      </c>
      <c r="D58" s="1090" t="s">
        <v>534</v>
      </c>
      <c r="E58" s="5" t="s">
        <v>30</v>
      </c>
      <c r="F58" s="5" t="s">
        <v>3522</v>
      </c>
      <c r="G58" s="5" t="s">
        <v>535</v>
      </c>
      <c r="H58" s="5" t="s">
        <v>162</v>
      </c>
      <c r="I58" s="5" t="str">
        <f>_xlfn.XLOOKUP(sommaire[[#This Row],[Arrondissement_code]],OCHA_GIS!$F:$F,OCHA_GIS!$E:$E,,)</f>
        <v>Pétté</v>
      </c>
      <c r="J58" s="5" t="s">
        <v>536</v>
      </c>
      <c r="K58" t="s">
        <v>2873</v>
      </c>
      <c r="L58" s="5" t="s">
        <v>705</v>
      </c>
      <c r="N58" s="5" t="s">
        <v>3053</v>
      </c>
      <c r="O58" s="5" t="s">
        <v>2467</v>
      </c>
      <c r="P58" s="5" t="s">
        <v>85</v>
      </c>
      <c r="Q58" s="5" t="s">
        <v>86</v>
      </c>
      <c r="R58" s="5" t="s">
        <v>85</v>
      </c>
      <c r="T58" s="390">
        <v>3</v>
      </c>
      <c r="U58" s="5" t="s">
        <v>97</v>
      </c>
      <c r="W58" s="5" t="s">
        <v>2468</v>
      </c>
      <c r="X58" s="5" t="s">
        <v>102</v>
      </c>
      <c r="AA58" s="5" t="s">
        <v>85</v>
      </c>
      <c r="AB58" s="5" t="s">
        <v>2469</v>
      </c>
      <c r="AC58" s="5" t="s">
        <v>2470</v>
      </c>
      <c r="AD58" s="5" t="s">
        <v>86</v>
      </c>
      <c r="AF58" s="5">
        <v>5</v>
      </c>
      <c r="AG58" s="5">
        <v>300</v>
      </c>
      <c r="AH58" s="5" t="s">
        <v>85</v>
      </c>
      <c r="AI58" s="5" t="s">
        <v>2471</v>
      </c>
      <c r="AJ58" s="5">
        <v>5</v>
      </c>
      <c r="AK58" s="5">
        <v>30</v>
      </c>
      <c r="AL58" s="5">
        <v>12</v>
      </c>
      <c r="AM58" s="5">
        <v>18</v>
      </c>
      <c r="AN58" s="5">
        <v>0</v>
      </c>
      <c r="AO58" s="5">
        <v>5</v>
      </c>
      <c r="AP58" s="5">
        <v>0</v>
      </c>
      <c r="AQ58" s="5">
        <v>0</v>
      </c>
      <c r="AT58" s="5">
        <v>0</v>
      </c>
      <c r="AU58" s="5">
        <v>0</v>
      </c>
      <c r="AX58" s="5">
        <v>0</v>
      </c>
      <c r="AY58" s="5" t="s">
        <v>86</v>
      </c>
      <c r="BN58" s="5" t="s">
        <v>86</v>
      </c>
      <c r="CD58" s="5">
        <v>0</v>
      </c>
      <c r="CF58" s="1442" t="str">
        <f>IF([1]!sommaire[[#This Row],[présence des personnes déplacés interne]]="Oui","1","0")</f>
        <v>1</v>
      </c>
      <c r="CG58" s="1442" t="str">
        <f>IF([1]!sommaire[[#This Row],[présence Réfugié hors camp]]="Oui","1","0")</f>
        <v>0</v>
      </c>
      <c r="CH58" s="1442" t="str">
        <f>IF([1]!sommaire[[#This Row],[présence personnes retournées]]="Oui","1","0")</f>
        <v>0</v>
      </c>
      <c r="CI58" s="1442">
        <f>[1]!sommaire[[#This Row],[Flag PDI]]+[1]!sommaire[[#This Row],[Flag REF]]+[1]!sommaire[[#This Row],[Flag RET]]</f>
        <v>1</v>
      </c>
    </row>
    <row r="59" spans="1:87" ht="14.55" customHeight="1" x14ac:dyDescent="0.3">
      <c r="A59" s="390">
        <v>2539306</v>
      </c>
      <c r="B59" s="5" t="s">
        <v>533</v>
      </c>
      <c r="C59" s="1430" t="s">
        <v>3449</v>
      </c>
      <c r="D59" s="5" t="s">
        <v>534</v>
      </c>
      <c r="E59" s="5" t="s">
        <v>30</v>
      </c>
      <c r="F59" s="5" t="s">
        <v>3522</v>
      </c>
      <c r="G59" s="5" t="s">
        <v>535</v>
      </c>
      <c r="H59" s="5" t="s">
        <v>162</v>
      </c>
      <c r="I59" s="5" t="str">
        <f>_xlfn.XLOOKUP(sommaire[[#This Row],[Arrondissement_code]],OCHA_GIS!$F:$F,OCHA_GIS!$E:$E,,)</f>
        <v>Pétté</v>
      </c>
      <c r="J59" s="5" t="s">
        <v>536</v>
      </c>
      <c r="K59" t="s">
        <v>2685</v>
      </c>
      <c r="L59" s="5" t="s">
        <v>2686</v>
      </c>
      <c r="N59" s="5" t="s">
        <v>3053</v>
      </c>
      <c r="O59" s="5" t="s">
        <v>2467</v>
      </c>
      <c r="P59" s="5" t="s">
        <v>85</v>
      </c>
      <c r="Q59" s="5" t="s">
        <v>86</v>
      </c>
      <c r="R59" s="5" t="s">
        <v>86</v>
      </c>
      <c r="T59" s="390">
        <v>3</v>
      </c>
      <c r="U59" s="5" t="s">
        <v>97</v>
      </c>
      <c r="W59" s="5" t="s">
        <v>2468</v>
      </c>
      <c r="X59" s="1090" t="s">
        <v>102</v>
      </c>
      <c r="AA59" s="5" t="s">
        <v>86</v>
      </c>
      <c r="AH59" s="1430" t="s">
        <v>86</v>
      </c>
      <c r="AY59" s="1430" t="s">
        <v>86</v>
      </c>
      <c r="BN59" s="1430" t="s">
        <v>86</v>
      </c>
      <c r="CF59" s="1442" t="str">
        <f>IF([1]!sommaire[[#This Row],[présence des personnes déplacés interne]]="Oui","1","0")</f>
        <v>0</v>
      </c>
      <c r="CG59" s="1442" t="str">
        <f>IF([1]!sommaire[[#This Row],[présence Réfugié hors camp]]="Oui","1","0")</f>
        <v>0</v>
      </c>
      <c r="CH59" s="1442" t="str">
        <f>IF([1]!sommaire[[#This Row],[présence personnes retournées]]="Oui","1","0")</f>
        <v>0</v>
      </c>
      <c r="CI59" s="1442">
        <f>[1]!sommaire[[#This Row],[Flag PDI]]+[1]!sommaire[[#This Row],[Flag REF]]+[1]!sommaire[[#This Row],[Flag RET]]</f>
        <v>0</v>
      </c>
    </row>
    <row r="60" spans="1:87" ht="14.55" customHeight="1" x14ac:dyDescent="0.3">
      <c r="A60" s="390">
        <v>2533512</v>
      </c>
      <c r="B60" s="5" t="s">
        <v>533</v>
      </c>
      <c r="C60" s="1430" t="s">
        <v>3449</v>
      </c>
      <c r="D60" s="1090" t="s">
        <v>534</v>
      </c>
      <c r="E60" s="5" t="s">
        <v>30</v>
      </c>
      <c r="F60" s="5" t="s">
        <v>3522</v>
      </c>
      <c r="G60" s="5" t="s">
        <v>535</v>
      </c>
      <c r="H60" s="5" t="s">
        <v>162</v>
      </c>
      <c r="I60" s="5" t="str">
        <f>_xlfn.XLOOKUP(sommaire[[#This Row],[Arrondissement_code]],OCHA_GIS!$F:$F,OCHA_GIS!$E:$E,,)</f>
        <v>Pétté</v>
      </c>
      <c r="J60" s="5" t="s">
        <v>536</v>
      </c>
      <c r="K60" t="s">
        <v>577</v>
      </c>
      <c r="L60" s="5" t="s">
        <v>578</v>
      </c>
      <c r="N60" s="5" t="s">
        <v>3053</v>
      </c>
      <c r="O60" s="5" t="s">
        <v>2467</v>
      </c>
      <c r="P60" s="5" t="s">
        <v>85</v>
      </c>
      <c r="Q60" s="5" t="s">
        <v>86</v>
      </c>
      <c r="R60" s="5" t="s">
        <v>85</v>
      </c>
      <c r="T60" s="390">
        <v>3</v>
      </c>
      <c r="U60" s="5" t="s">
        <v>97</v>
      </c>
      <c r="W60" s="5" t="s">
        <v>2468</v>
      </c>
      <c r="X60" s="5" t="s">
        <v>102</v>
      </c>
      <c r="AA60" s="5" t="s">
        <v>85</v>
      </c>
      <c r="AB60" s="5" t="s">
        <v>2469</v>
      </c>
      <c r="AC60" s="5" t="s">
        <v>2470</v>
      </c>
      <c r="AD60" s="5" t="s">
        <v>86</v>
      </c>
      <c r="AF60" s="5">
        <v>5</v>
      </c>
      <c r="AG60" s="5">
        <v>730</v>
      </c>
      <c r="AH60" s="5" t="s">
        <v>85</v>
      </c>
      <c r="AI60" s="5" t="s">
        <v>2471</v>
      </c>
      <c r="AJ60" s="5">
        <v>5</v>
      </c>
      <c r="AK60" s="5">
        <v>36</v>
      </c>
      <c r="AL60" s="5">
        <v>14</v>
      </c>
      <c r="AM60" s="5">
        <v>22</v>
      </c>
      <c r="AN60" s="5">
        <v>0</v>
      </c>
      <c r="AO60" s="5">
        <v>5</v>
      </c>
      <c r="AP60" s="5">
        <v>0</v>
      </c>
      <c r="AQ60" s="5">
        <v>0</v>
      </c>
      <c r="AT60" s="5">
        <v>0</v>
      </c>
      <c r="AU60" s="5">
        <v>0</v>
      </c>
      <c r="AX60" s="5">
        <v>0</v>
      </c>
      <c r="AY60" s="5" t="s">
        <v>86</v>
      </c>
      <c r="BN60" s="5" t="s">
        <v>86</v>
      </c>
      <c r="CD60" s="5">
        <v>0</v>
      </c>
      <c r="CF60" s="1442" t="str">
        <f>IF([1]!sommaire[[#This Row],[présence des personnes déplacés interne]]="Oui","1","0")</f>
        <v>1</v>
      </c>
      <c r="CG60" s="1442" t="str">
        <f>IF([1]!sommaire[[#This Row],[présence Réfugié hors camp]]="Oui","1","0")</f>
        <v>0</v>
      </c>
      <c r="CH60" s="1442" t="str">
        <f>IF([1]!sommaire[[#This Row],[présence personnes retournées]]="Oui","1","0")</f>
        <v>0</v>
      </c>
      <c r="CI60" s="1442">
        <f>[1]!sommaire[[#This Row],[Flag PDI]]+[1]!sommaire[[#This Row],[Flag REF]]+[1]!sommaire[[#This Row],[Flag RET]]</f>
        <v>1</v>
      </c>
    </row>
    <row r="61" spans="1:87" ht="14.55" customHeight="1" x14ac:dyDescent="0.3">
      <c r="A61" s="390">
        <v>2574078</v>
      </c>
      <c r="B61" s="5" t="s">
        <v>533</v>
      </c>
      <c r="C61" s="1430" t="s">
        <v>3449</v>
      </c>
      <c r="D61" s="1090" t="s">
        <v>534</v>
      </c>
      <c r="E61" s="5" t="s">
        <v>30</v>
      </c>
      <c r="F61" s="5" t="s">
        <v>3522</v>
      </c>
      <c r="G61" s="5" t="s">
        <v>535</v>
      </c>
      <c r="H61" s="5" t="s">
        <v>162</v>
      </c>
      <c r="I61" s="5" t="str">
        <f>_xlfn.XLOOKUP(sommaire[[#This Row],[Arrondissement_code]],OCHA_GIS!$F:$F,OCHA_GIS!$E:$E,,)</f>
        <v>Pétté</v>
      </c>
      <c r="J61" s="5" t="s">
        <v>536</v>
      </c>
      <c r="K61" t="s">
        <v>693</v>
      </c>
      <c r="L61" s="5" t="s">
        <v>694</v>
      </c>
      <c r="N61" s="5" t="s">
        <v>3053</v>
      </c>
      <c r="O61" s="5" t="s">
        <v>2467</v>
      </c>
      <c r="P61" s="5" t="s">
        <v>85</v>
      </c>
      <c r="Q61" s="5" t="s">
        <v>86</v>
      </c>
      <c r="R61" s="5" t="s">
        <v>85</v>
      </c>
      <c r="T61" s="390">
        <v>3</v>
      </c>
      <c r="U61" s="5" t="s">
        <v>97</v>
      </c>
      <c r="W61" s="5" t="s">
        <v>2468</v>
      </c>
      <c r="X61" s="5" t="s">
        <v>102</v>
      </c>
      <c r="AA61" s="5" t="s">
        <v>85</v>
      </c>
      <c r="AB61" s="5" t="s">
        <v>2469</v>
      </c>
      <c r="AC61" s="5" t="s">
        <v>2470</v>
      </c>
      <c r="AD61" s="5" t="s">
        <v>86</v>
      </c>
      <c r="AF61" s="5">
        <v>5</v>
      </c>
      <c r="AG61" s="5">
        <v>1500</v>
      </c>
      <c r="AH61" s="5" t="s">
        <v>85</v>
      </c>
      <c r="AI61" s="5" t="s">
        <v>2471</v>
      </c>
      <c r="AJ61" s="5">
        <v>5</v>
      </c>
      <c r="AK61" s="5">
        <v>44</v>
      </c>
      <c r="AL61" s="5">
        <v>15</v>
      </c>
      <c r="AM61" s="5">
        <v>29</v>
      </c>
      <c r="AN61" s="5">
        <v>0</v>
      </c>
      <c r="AO61" s="5">
        <v>5</v>
      </c>
      <c r="AP61" s="5">
        <v>0</v>
      </c>
      <c r="AQ61" s="5">
        <v>0</v>
      </c>
      <c r="AT61" s="5">
        <v>0</v>
      </c>
      <c r="AU61" s="5">
        <v>0</v>
      </c>
      <c r="AX61" s="5">
        <v>0</v>
      </c>
      <c r="AY61" s="5" t="s">
        <v>86</v>
      </c>
      <c r="BN61" s="5" t="s">
        <v>86</v>
      </c>
      <c r="CD61" s="5">
        <v>0</v>
      </c>
      <c r="CF61" s="1442" t="str">
        <f>IF([1]!sommaire[[#This Row],[présence des personnes déplacés interne]]="Oui","1","0")</f>
        <v>1</v>
      </c>
      <c r="CG61" s="1442" t="str">
        <f>IF([1]!sommaire[[#This Row],[présence Réfugié hors camp]]="Oui","1","0")</f>
        <v>0</v>
      </c>
      <c r="CH61" s="1442" t="str">
        <f>IF([1]!sommaire[[#This Row],[présence personnes retournées]]="Oui","1","0")</f>
        <v>0</v>
      </c>
      <c r="CI61" s="1442">
        <f>[1]!sommaire[[#This Row],[Flag PDI]]+[1]!sommaire[[#This Row],[Flag REF]]+[1]!sommaire[[#This Row],[Flag RET]]</f>
        <v>1</v>
      </c>
    </row>
    <row r="62" spans="1:87" ht="14.55" customHeight="1" x14ac:dyDescent="0.3">
      <c r="A62" s="390">
        <v>2533513</v>
      </c>
      <c r="B62" s="5" t="s">
        <v>533</v>
      </c>
      <c r="C62" s="1430" t="s">
        <v>3449</v>
      </c>
      <c r="D62" s="1090" t="s">
        <v>534</v>
      </c>
      <c r="E62" s="5" t="s">
        <v>30</v>
      </c>
      <c r="F62" s="5" t="s">
        <v>3522</v>
      </c>
      <c r="G62" s="5" t="s">
        <v>535</v>
      </c>
      <c r="H62" s="5" t="s">
        <v>162</v>
      </c>
      <c r="I62" s="5" t="str">
        <f>_xlfn.XLOOKUP(sommaire[[#This Row],[Arrondissement_code]],OCHA_GIS!$F:$F,OCHA_GIS!$E:$E,,)</f>
        <v>Pétté</v>
      </c>
      <c r="J62" s="5" t="s">
        <v>536</v>
      </c>
      <c r="K62" t="s">
        <v>579</v>
      </c>
      <c r="L62" s="5" t="s">
        <v>580</v>
      </c>
      <c r="N62" s="5" t="s">
        <v>3053</v>
      </c>
      <c r="O62" s="5" t="s">
        <v>2467</v>
      </c>
      <c r="P62" s="5" t="s">
        <v>85</v>
      </c>
      <c r="Q62" s="5" t="s">
        <v>86</v>
      </c>
      <c r="R62" s="5" t="s">
        <v>85</v>
      </c>
      <c r="T62" s="390">
        <v>3</v>
      </c>
      <c r="U62" s="5" t="s">
        <v>97</v>
      </c>
      <c r="W62" s="5" t="s">
        <v>2468</v>
      </c>
      <c r="X62" s="5" t="s">
        <v>102</v>
      </c>
      <c r="AA62" s="5" t="s">
        <v>85</v>
      </c>
      <c r="AB62" s="5" t="s">
        <v>2469</v>
      </c>
      <c r="AC62" s="5" t="s">
        <v>2470</v>
      </c>
      <c r="AD62" s="5" t="s">
        <v>86</v>
      </c>
      <c r="AF62" s="5">
        <v>10</v>
      </c>
      <c r="AG62" s="5">
        <v>307</v>
      </c>
      <c r="AH62" s="5" t="s">
        <v>85</v>
      </c>
      <c r="AI62" s="5" t="s">
        <v>2471</v>
      </c>
      <c r="AJ62" s="5">
        <v>10</v>
      </c>
      <c r="AK62" s="5">
        <v>50</v>
      </c>
      <c r="AL62" s="5">
        <v>20</v>
      </c>
      <c r="AM62" s="5">
        <v>30</v>
      </c>
      <c r="AN62" s="5">
        <v>0</v>
      </c>
      <c r="AO62" s="5">
        <v>10</v>
      </c>
      <c r="AP62" s="5">
        <v>0</v>
      </c>
      <c r="AQ62" s="5">
        <v>0</v>
      </c>
      <c r="AT62" s="5">
        <v>0</v>
      </c>
      <c r="AU62" s="5">
        <v>0</v>
      </c>
      <c r="AX62" s="5">
        <v>0</v>
      </c>
      <c r="AY62" s="5" t="s">
        <v>86</v>
      </c>
      <c r="BN62" s="5" t="s">
        <v>86</v>
      </c>
      <c r="CD62" s="5">
        <v>0</v>
      </c>
      <c r="CF62" s="1442" t="str">
        <f>IF([1]!sommaire[[#This Row],[présence des personnes déplacés interne]]="Oui","1","0")</f>
        <v>1</v>
      </c>
      <c r="CG62" s="1442" t="str">
        <f>IF([1]!sommaire[[#This Row],[présence Réfugié hors camp]]="Oui","1","0")</f>
        <v>0</v>
      </c>
      <c r="CH62" s="1442" t="str">
        <f>IF([1]!sommaire[[#This Row],[présence personnes retournées]]="Oui","1","0")</f>
        <v>0</v>
      </c>
      <c r="CI62" s="1442">
        <f>[1]!sommaire[[#This Row],[Flag PDI]]+[1]!sommaire[[#This Row],[Flag REF]]+[1]!sommaire[[#This Row],[Flag RET]]</f>
        <v>1</v>
      </c>
    </row>
    <row r="63" spans="1:87" ht="14.55" customHeight="1" x14ac:dyDescent="0.3">
      <c r="A63" s="390">
        <v>2534352</v>
      </c>
      <c r="B63" s="5" t="s">
        <v>533</v>
      </c>
      <c r="C63" s="1430" t="s">
        <v>3449</v>
      </c>
      <c r="D63" s="1090" t="s">
        <v>534</v>
      </c>
      <c r="E63" s="5" t="s">
        <v>30</v>
      </c>
      <c r="F63" s="5" t="s">
        <v>3522</v>
      </c>
      <c r="G63" s="5" t="s">
        <v>535</v>
      </c>
      <c r="H63" s="5" t="s">
        <v>162</v>
      </c>
      <c r="I63" s="5" t="str">
        <f>_xlfn.XLOOKUP(sommaire[[#This Row],[Arrondissement_code]],OCHA_GIS!$F:$F,OCHA_GIS!$E:$E,,)</f>
        <v>Pétté</v>
      </c>
      <c r="J63" s="5" t="s">
        <v>536</v>
      </c>
      <c r="K63" t="s">
        <v>583</v>
      </c>
      <c r="L63" s="5" t="s">
        <v>584</v>
      </c>
      <c r="N63" s="5" t="s">
        <v>3053</v>
      </c>
      <c r="O63" s="5" t="s">
        <v>2467</v>
      </c>
      <c r="P63" s="5" t="s">
        <v>85</v>
      </c>
      <c r="Q63" s="5" t="s">
        <v>86</v>
      </c>
      <c r="R63" s="5" t="s">
        <v>86</v>
      </c>
      <c r="T63" s="390">
        <v>3</v>
      </c>
      <c r="U63" s="5" t="s">
        <v>97</v>
      </c>
      <c r="W63" s="1090" t="s">
        <v>2468</v>
      </c>
      <c r="X63" s="5" t="s">
        <v>102</v>
      </c>
      <c r="AA63" s="586" t="s">
        <v>85</v>
      </c>
      <c r="AB63" s="5" t="s">
        <v>2469</v>
      </c>
      <c r="AC63" s="5" t="s">
        <v>2470</v>
      </c>
      <c r="AD63" s="5" t="s">
        <v>86</v>
      </c>
      <c r="AF63" s="5">
        <v>22</v>
      </c>
      <c r="AG63" s="5">
        <v>1300</v>
      </c>
      <c r="AH63" s="5" t="s">
        <v>85</v>
      </c>
      <c r="AI63" s="5" t="s">
        <v>2471</v>
      </c>
      <c r="AJ63" s="5">
        <v>22</v>
      </c>
      <c r="AK63" s="5">
        <v>84</v>
      </c>
      <c r="AL63" s="5">
        <v>40</v>
      </c>
      <c r="AM63" s="5">
        <v>44</v>
      </c>
      <c r="AN63" s="5">
        <v>4</v>
      </c>
      <c r="AO63" s="5">
        <v>18</v>
      </c>
      <c r="AP63" s="5">
        <v>0</v>
      </c>
      <c r="AQ63" s="5">
        <v>0</v>
      </c>
      <c r="AT63" s="5">
        <v>0</v>
      </c>
      <c r="AU63" s="5">
        <v>0</v>
      </c>
      <c r="AX63" s="5">
        <v>0</v>
      </c>
      <c r="AY63" s="1090" t="s">
        <v>85</v>
      </c>
      <c r="AZ63" s="5">
        <v>1</v>
      </c>
      <c r="BA63" s="5">
        <v>5</v>
      </c>
      <c r="BB63" s="5">
        <v>2</v>
      </c>
      <c r="BC63" s="5">
        <v>3</v>
      </c>
      <c r="BD63" s="5">
        <v>1</v>
      </c>
      <c r="BE63" s="5">
        <v>0</v>
      </c>
      <c r="BF63" s="5">
        <v>0</v>
      </c>
      <c r="BH63" s="5">
        <v>0</v>
      </c>
      <c r="BI63" s="5">
        <v>0</v>
      </c>
      <c r="BL63" s="5">
        <v>0</v>
      </c>
      <c r="BM63" s="5">
        <v>0</v>
      </c>
      <c r="BN63" s="1090" t="s">
        <v>85</v>
      </c>
      <c r="BO63" s="5">
        <v>2</v>
      </c>
      <c r="BP63" s="5">
        <v>7</v>
      </c>
      <c r="BQ63" s="5">
        <v>3</v>
      </c>
      <c r="BR63" s="5">
        <v>4</v>
      </c>
      <c r="BS63" s="5" t="s">
        <v>2479</v>
      </c>
      <c r="BT63" s="5">
        <v>0</v>
      </c>
      <c r="BU63" s="5">
        <v>2</v>
      </c>
      <c r="BV63" s="5">
        <v>0</v>
      </c>
      <c r="BW63" s="5">
        <v>0</v>
      </c>
      <c r="BX63" s="5">
        <v>0</v>
      </c>
      <c r="BZ63" s="5">
        <v>0</v>
      </c>
      <c r="CA63" s="5">
        <v>0</v>
      </c>
      <c r="CC63" s="5">
        <v>0</v>
      </c>
      <c r="CD63" s="5">
        <v>0</v>
      </c>
      <c r="CF63" s="1442" t="str">
        <f>IF([1]!sommaire[[#This Row],[présence des personnes déplacés interne]]="Oui","1","0")</f>
        <v>1</v>
      </c>
      <c r="CG63" s="1442" t="str">
        <f>IF([1]!sommaire[[#This Row],[présence Réfugié hors camp]]="Oui","1","0")</f>
        <v>1</v>
      </c>
      <c r="CH63" s="1442" t="str">
        <f>IF([1]!sommaire[[#This Row],[présence personnes retournées]]="Oui","1","0")</f>
        <v>1</v>
      </c>
      <c r="CI63" s="1442">
        <f>[1]!sommaire[[#This Row],[Flag PDI]]+[1]!sommaire[[#This Row],[Flag REF]]+[1]!sommaire[[#This Row],[Flag RET]]</f>
        <v>3</v>
      </c>
    </row>
    <row r="64" spans="1:87" ht="14.55" customHeight="1" x14ac:dyDescent="0.3">
      <c r="A64" s="390">
        <v>2542319</v>
      </c>
      <c r="B64" s="5" t="s">
        <v>533</v>
      </c>
      <c r="C64" s="1430" t="s">
        <v>3449</v>
      </c>
      <c r="D64" s="1090" t="s">
        <v>534</v>
      </c>
      <c r="E64" s="5" t="s">
        <v>30</v>
      </c>
      <c r="F64" s="5" t="s">
        <v>3522</v>
      </c>
      <c r="G64" s="5" t="s">
        <v>535</v>
      </c>
      <c r="H64" s="5" t="s">
        <v>162</v>
      </c>
      <c r="I64" s="5" t="str">
        <f>_xlfn.XLOOKUP(sommaire[[#This Row],[Arrondissement_code]],OCHA_GIS!$F:$F,OCHA_GIS!$E:$E,,)</f>
        <v>Pétté</v>
      </c>
      <c r="J64" s="5" t="s">
        <v>536</v>
      </c>
      <c r="K64" t="s">
        <v>2772</v>
      </c>
      <c r="L64" s="5" t="s">
        <v>732</v>
      </c>
      <c r="N64" s="5" t="s">
        <v>3053</v>
      </c>
      <c r="O64" s="5" t="s">
        <v>2467</v>
      </c>
      <c r="P64" s="5" t="s">
        <v>85</v>
      </c>
      <c r="Q64" s="5" t="s">
        <v>86</v>
      </c>
      <c r="R64" s="5" t="s">
        <v>85</v>
      </c>
      <c r="T64" s="390">
        <v>3</v>
      </c>
      <c r="U64" s="5" t="s">
        <v>97</v>
      </c>
      <c r="W64" s="5" t="s">
        <v>2468</v>
      </c>
      <c r="X64" s="5" t="s">
        <v>102</v>
      </c>
      <c r="AA64" s="5" t="s">
        <v>85</v>
      </c>
      <c r="AB64" s="5" t="s">
        <v>2469</v>
      </c>
      <c r="AC64" s="5" t="s">
        <v>2470</v>
      </c>
      <c r="AD64" s="5" t="s">
        <v>85</v>
      </c>
      <c r="AE64" s="5">
        <v>1</v>
      </c>
      <c r="AF64" s="5">
        <v>40</v>
      </c>
      <c r="AG64" s="5">
        <v>1122</v>
      </c>
      <c r="AH64" s="5" t="s">
        <v>85</v>
      </c>
      <c r="AI64" s="5" t="s">
        <v>2471</v>
      </c>
      <c r="AJ64" s="5">
        <v>40</v>
      </c>
      <c r="AK64" s="5">
        <v>223</v>
      </c>
      <c r="AL64" s="5">
        <v>99</v>
      </c>
      <c r="AM64" s="5">
        <v>124</v>
      </c>
      <c r="AN64" s="5">
        <v>0</v>
      </c>
      <c r="AO64" s="5">
        <v>40</v>
      </c>
      <c r="AP64" s="5">
        <v>0</v>
      </c>
      <c r="AQ64" s="5">
        <v>0</v>
      </c>
      <c r="AT64" s="5">
        <v>0</v>
      </c>
      <c r="AU64" s="5">
        <v>0</v>
      </c>
      <c r="AX64" s="5">
        <v>0</v>
      </c>
      <c r="AY64" s="5" t="s">
        <v>86</v>
      </c>
      <c r="BN64" s="5" t="s">
        <v>86</v>
      </c>
      <c r="CD64" s="5">
        <v>0</v>
      </c>
      <c r="CF64" s="1442" t="str">
        <f>IF([1]!sommaire[[#This Row],[présence des personnes déplacés interne]]="Oui","1","0")</f>
        <v>1</v>
      </c>
      <c r="CG64" s="1442" t="str">
        <f>IF([1]!sommaire[[#This Row],[présence Réfugié hors camp]]="Oui","1","0")</f>
        <v>0</v>
      </c>
      <c r="CH64" s="1442" t="str">
        <f>IF([1]!sommaire[[#This Row],[présence personnes retournées]]="Oui","1","0")</f>
        <v>0</v>
      </c>
      <c r="CI64" s="1442">
        <f>[1]!sommaire[[#This Row],[Flag PDI]]+[1]!sommaire[[#This Row],[Flag REF]]+[1]!sommaire[[#This Row],[Flag RET]]</f>
        <v>1</v>
      </c>
    </row>
    <row r="65" spans="1:87" ht="14.55" customHeight="1" x14ac:dyDescent="0.3">
      <c r="A65" s="390">
        <v>2542318</v>
      </c>
      <c r="B65" s="5" t="s">
        <v>533</v>
      </c>
      <c r="C65" s="1430" t="s">
        <v>3449</v>
      </c>
      <c r="D65" s="1090" t="s">
        <v>534</v>
      </c>
      <c r="E65" s="5" t="s">
        <v>30</v>
      </c>
      <c r="F65" s="5" t="s">
        <v>3522</v>
      </c>
      <c r="G65" s="5" t="s">
        <v>535</v>
      </c>
      <c r="H65" s="5" t="s">
        <v>162</v>
      </c>
      <c r="I65" s="5" t="str">
        <f>_xlfn.XLOOKUP(sommaire[[#This Row],[Arrondissement_code]],OCHA_GIS!$F:$F,OCHA_GIS!$E:$E,,)</f>
        <v>Pétté</v>
      </c>
      <c r="J65" s="5" t="s">
        <v>536</v>
      </c>
      <c r="K65" t="s">
        <v>2190</v>
      </c>
      <c r="L65" s="5" t="s">
        <v>551</v>
      </c>
      <c r="N65" s="5" t="s">
        <v>3053</v>
      </c>
      <c r="O65" s="5" t="s">
        <v>2467</v>
      </c>
      <c r="P65" s="5" t="s">
        <v>85</v>
      </c>
      <c r="Q65" s="5" t="s">
        <v>86</v>
      </c>
      <c r="R65" s="5" t="s">
        <v>85</v>
      </c>
      <c r="T65" s="390">
        <v>3</v>
      </c>
      <c r="U65" s="5" t="s">
        <v>97</v>
      </c>
      <c r="W65" s="5" t="s">
        <v>2468</v>
      </c>
      <c r="X65" s="5" t="s">
        <v>102</v>
      </c>
      <c r="AA65" s="5" t="s">
        <v>85</v>
      </c>
      <c r="AB65" s="5" t="s">
        <v>2469</v>
      </c>
      <c r="AC65" s="5" t="s">
        <v>2470</v>
      </c>
      <c r="AD65" s="5" t="s">
        <v>85</v>
      </c>
      <c r="AE65" s="5">
        <v>1</v>
      </c>
      <c r="AF65" s="5">
        <v>6</v>
      </c>
      <c r="AG65" s="5">
        <v>231</v>
      </c>
      <c r="AH65" s="5" t="s">
        <v>85</v>
      </c>
      <c r="AI65" s="5" t="s">
        <v>2471</v>
      </c>
      <c r="AJ65" s="5">
        <v>6</v>
      </c>
      <c r="AK65" s="5">
        <v>20</v>
      </c>
      <c r="AL65" s="5">
        <v>8</v>
      </c>
      <c r="AM65" s="5">
        <v>12</v>
      </c>
      <c r="AN65" s="5">
        <v>0</v>
      </c>
      <c r="AO65" s="5">
        <v>6</v>
      </c>
      <c r="AP65" s="5">
        <v>0</v>
      </c>
      <c r="AQ65" s="5">
        <v>0</v>
      </c>
      <c r="AT65" s="5">
        <v>0</v>
      </c>
      <c r="AU65" s="5">
        <v>0</v>
      </c>
      <c r="AX65" s="5">
        <v>0</v>
      </c>
      <c r="AY65" s="5" t="s">
        <v>86</v>
      </c>
      <c r="BN65" s="5" t="s">
        <v>86</v>
      </c>
      <c r="CD65" s="5">
        <v>0</v>
      </c>
      <c r="CF65" s="1442" t="str">
        <f>IF([1]!sommaire[[#This Row],[présence des personnes déplacés interne]]="Oui","1","0")</f>
        <v>1</v>
      </c>
      <c r="CG65" s="1442" t="str">
        <f>IF([1]!sommaire[[#This Row],[présence Réfugié hors camp]]="Oui","1","0")</f>
        <v>0</v>
      </c>
      <c r="CH65" s="1442" t="str">
        <f>IF([1]!sommaire[[#This Row],[présence personnes retournées]]="Oui","1","0")</f>
        <v>0</v>
      </c>
      <c r="CI65" s="1442">
        <f>[1]!sommaire[[#This Row],[Flag PDI]]+[1]!sommaire[[#This Row],[Flag REF]]+[1]!sommaire[[#This Row],[Flag RET]]</f>
        <v>1</v>
      </c>
    </row>
    <row r="66" spans="1:87" ht="14.55" customHeight="1" x14ac:dyDescent="0.3">
      <c r="A66" s="390">
        <v>2533131</v>
      </c>
      <c r="B66" s="5" t="s">
        <v>533</v>
      </c>
      <c r="C66" s="1430" t="s">
        <v>3449</v>
      </c>
      <c r="D66" s="1090" t="s">
        <v>534</v>
      </c>
      <c r="E66" s="5" t="s">
        <v>30</v>
      </c>
      <c r="F66" s="5" t="s">
        <v>3522</v>
      </c>
      <c r="G66" s="5" t="s">
        <v>535</v>
      </c>
      <c r="H66" s="5" t="s">
        <v>162</v>
      </c>
      <c r="I66" s="5" t="str">
        <f>_xlfn.XLOOKUP(sommaire[[#This Row],[Arrondissement_code]],OCHA_GIS!$F:$F,OCHA_GIS!$E:$E,,)</f>
        <v>Pétté</v>
      </c>
      <c r="J66" s="5" t="s">
        <v>536</v>
      </c>
      <c r="K66" t="s">
        <v>1727</v>
      </c>
      <c r="L66" s="5" t="s">
        <v>1728</v>
      </c>
      <c r="N66" s="5" t="s">
        <v>3053</v>
      </c>
      <c r="O66" s="5" t="s">
        <v>2467</v>
      </c>
      <c r="P66" s="5" t="s">
        <v>85</v>
      </c>
      <c r="Q66" s="5" t="s">
        <v>86</v>
      </c>
      <c r="R66" s="5" t="s">
        <v>86</v>
      </c>
      <c r="T66" s="390">
        <v>3</v>
      </c>
      <c r="U66" s="5" t="s">
        <v>97</v>
      </c>
      <c r="W66" s="5" t="s">
        <v>2468</v>
      </c>
      <c r="X66" s="5" t="s">
        <v>102</v>
      </c>
      <c r="AA66" s="5" t="s">
        <v>85</v>
      </c>
      <c r="AB66" s="5" t="s">
        <v>2469</v>
      </c>
      <c r="AC66" s="5" t="s">
        <v>2470</v>
      </c>
      <c r="AD66" s="5" t="s">
        <v>86</v>
      </c>
      <c r="AF66" s="5">
        <v>4</v>
      </c>
      <c r="AG66" s="5">
        <v>850</v>
      </c>
      <c r="AH66" s="5" t="s">
        <v>85</v>
      </c>
      <c r="AI66" s="5" t="s">
        <v>2471</v>
      </c>
      <c r="AJ66" s="5">
        <v>4</v>
      </c>
      <c r="AK66" s="5">
        <v>21</v>
      </c>
      <c r="AL66" s="5">
        <v>8</v>
      </c>
      <c r="AM66" s="5">
        <v>13</v>
      </c>
      <c r="AN66" s="5">
        <v>0</v>
      </c>
      <c r="AO66" s="5">
        <v>4</v>
      </c>
      <c r="AP66" s="5">
        <v>0</v>
      </c>
      <c r="AQ66" s="5">
        <v>0</v>
      </c>
      <c r="AT66" s="5">
        <v>0</v>
      </c>
      <c r="AU66" s="5">
        <v>0</v>
      </c>
      <c r="AX66" s="5">
        <v>0</v>
      </c>
      <c r="AY66" s="5" t="s">
        <v>86</v>
      </c>
      <c r="BN66" s="5" t="s">
        <v>86</v>
      </c>
      <c r="CD66" s="5">
        <v>0</v>
      </c>
      <c r="CF66" s="1442" t="str">
        <f>IF([1]!sommaire[[#This Row],[présence des personnes déplacés interne]]="Oui","1","0")</f>
        <v>1</v>
      </c>
      <c r="CG66" s="1442" t="str">
        <f>IF([1]!sommaire[[#This Row],[présence Réfugié hors camp]]="Oui","1","0")</f>
        <v>0</v>
      </c>
      <c r="CH66" s="1442" t="str">
        <f>IF([1]!sommaire[[#This Row],[présence personnes retournées]]="Oui","1","0")</f>
        <v>0</v>
      </c>
      <c r="CI66" s="1442">
        <f>[1]!sommaire[[#This Row],[Flag PDI]]+[1]!sommaire[[#This Row],[Flag REF]]+[1]!sommaire[[#This Row],[Flag RET]]</f>
        <v>1</v>
      </c>
    </row>
    <row r="67" spans="1:87" ht="14.55" customHeight="1" x14ac:dyDescent="0.3">
      <c r="A67" s="390">
        <v>2533133</v>
      </c>
      <c r="B67" s="5" t="s">
        <v>533</v>
      </c>
      <c r="C67" s="1430" t="s">
        <v>3449</v>
      </c>
      <c r="D67" s="1090" t="s">
        <v>534</v>
      </c>
      <c r="E67" s="5" t="s">
        <v>30</v>
      </c>
      <c r="F67" s="5" t="s">
        <v>3522</v>
      </c>
      <c r="G67" s="5" t="s">
        <v>535</v>
      </c>
      <c r="H67" s="5" t="s">
        <v>162</v>
      </c>
      <c r="I67" s="5" t="str">
        <f>_xlfn.XLOOKUP(sommaire[[#This Row],[Arrondissement_code]],OCHA_GIS!$F:$F,OCHA_GIS!$E:$E,,)</f>
        <v>Pétté</v>
      </c>
      <c r="J67" s="5" t="s">
        <v>536</v>
      </c>
      <c r="K67" t="s">
        <v>775</v>
      </c>
      <c r="L67" s="5" t="s">
        <v>776</v>
      </c>
      <c r="N67" s="5" t="s">
        <v>3053</v>
      </c>
      <c r="O67" s="5" t="s">
        <v>2467</v>
      </c>
      <c r="P67" s="5" t="s">
        <v>85</v>
      </c>
      <c r="Q67" s="5" t="s">
        <v>86</v>
      </c>
      <c r="R67" s="5" t="s">
        <v>86</v>
      </c>
      <c r="T67" s="390">
        <v>3</v>
      </c>
      <c r="U67" s="5" t="s">
        <v>97</v>
      </c>
      <c r="W67" s="5" t="s">
        <v>2468</v>
      </c>
      <c r="X67" s="1090" t="s">
        <v>102</v>
      </c>
      <c r="AA67" s="1090" t="s">
        <v>85</v>
      </c>
      <c r="AB67" s="5" t="s">
        <v>2469</v>
      </c>
      <c r="AC67" s="5" t="s">
        <v>2470</v>
      </c>
      <c r="AD67" s="5" t="s">
        <v>86</v>
      </c>
      <c r="AF67" s="5">
        <v>1</v>
      </c>
      <c r="AG67" s="5">
        <v>3322</v>
      </c>
      <c r="AH67" s="5" t="s">
        <v>85</v>
      </c>
      <c r="AI67" s="5" t="s">
        <v>2471</v>
      </c>
      <c r="AJ67" s="5">
        <v>1</v>
      </c>
      <c r="AK67" s="5">
        <v>8</v>
      </c>
      <c r="AL67" s="5">
        <v>4</v>
      </c>
      <c r="AM67" s="5">
        <v>4</v>
      </c>
      <c r="AN67" s="5">
        <v>0</v>
      </c>
      <c r="AO67" s="5">
        <v>1</v>
      </c>
      <c r="AP67" s="5">
        <v>0</v>
      </c>
      <c r="AQ67" s="5">
        <v>0</v>
      </c>
      <c r="AT67" s="5">
        <v>0</v>
      </c>
      <c r="AU67" s="5">
        <v>0</v>
      </c>
      <c r="AX67" s="5">
        <v>0</v>
      </c>
      <c r="AY67" s="1090" t="s">
        <v>86</v>
      </c>
      <c r="BN67" s="1090" t="s">
        <v>86</v>
      </c>
      <c r="CD67" s="5">
        <v>0</v>
      </c>
      <c r="CF67" s="1442" t="str">
        <f>IF([1]!sommaire[[#This Row],[présence des personnes déplacés interne]]="Oui","1","0")</f>
        <v>1</v>
      </c>
      <c r="CG67" s="1442" t="str">
        <f>IF([1]!sommaire[[#This Row],[présence Réfugié hors camp]]="Oui","1","0")</f>
        <v>0</v>
      </c>
      <c r="CH67" s="1442" t="str">
        <f>IF([1]!sommaire[[#This Row],[présence personnes retournées]]="Oui","1","0")</f>
        <v>0</v>
      </c>
      <c r="CI67" s="1442">
        <f>[1]!sommaire[[#This Row],[Flag PDI]]+[1]!sommaire[[#This Row],[Flag REF]]+[1]!sommaire[[#This Row],[Flag RET]]</f>
        <v>1</v>
      </c>
    </row>
    <row r="68" spans="1:87" ht="14.55" customHeight="1" x14ac:dyDescent="0.3">
      <c r="A68" s="390">
        <v>2533507</v>
      </c>
      <c r="B68" s="5" t="s">
        <v>533</v>
      </c>
      <c r="C68" s="1430" t="s">
        <v>3449</v>
      </c>
      <c r="D68" s="1090" t="s">
        <v>534</v>
      </c>
      <c r="E68" s="5" t="s">
        <v>30</v>
      </c>
      <c r="F68" s="5" t="s">
        <v>3522</v>
      </c>
      <c r="G68" s="5" t="s">
        <v>535</v>
      </c>
      <c r="H68" s="5" t="s">
        <v>162</v>
      </c>
      <c r="I68" s="5" t="str">
        <f>_xlfn.XLOOKUP(sommaire[[#This Row],[Arrondissement_code]],OCHA_GIS!$F:$F,OCHA_GIS!$E:$E,,)</f>
        <v>Pétté</v>
      </c>
      <c r="J68" s="5" t="s">
        <v>536</v>
      </c>
      <c r="K68" t="s">
        <v>720</v>
      </c>
      <c r="L68" s="5" t="s">
        <v>721</v>
      </c>
      <c r="N68" s="5" t="s">
        <v>3053</v>
      </c>
      <c r="O68" s="5" t="s">
        <v>2467</v>
      </c>
      <c r="P68" s="5" t="s">
        <v>85</v>
      </c>
      <c r="Q68" s="5" t="s">
        <v>86</v>
      </c>
      <c r="R68" s="5" t="s">
        <v>85</v>
      </c>
      <c r="T68" s="390">
        <v>3</v>
      </c>
      <c r="U68" s="5" t="s">
        <v>97</v>
      </c>
      <c r="W68" s="5" t="s">
        <v>2468</v>
      </c>
      <c r="X68" s="5" t="s">
        <v>102</v>
      </c>
      <c r="AA68" s="5" t="s">
        <v>85</v>
      </c>
      <c r="AB68" s="5" t="s">
        <v>2469</v>
      </c>
      <c r="AC68" s="5" t="s">
        <v>2470</v>
      </c>
      <c r="AD68" s="5" t="s">
        <v>86</v>
      </c>
      <c r="AF68" s="5">
        <v>4</v>
      </c>
      <c r="AG68" s="5">
        <v>235</v>
      </c>
      <c r="AH68" s="5" t="s">
        <v>85</v>
      </c>
      <c r="AI68" s="5" t="s">
        <v>2471</v>
      </c>
      <c r="AJ68" s="5">
        <v>4</v>
      </c>
      <c r="AK68" s="5">
        <v>36</v>
      </c>
      <c r="AL68" s="5">
        <v>11</v>
      </c>
      <c r="AM68" s="5">
        <v>25</v>
      </c>
      <c r="AN68" s="5">
        <v>0</v>
      </c>
      <c r="AO68" s="5">
        <v>4</v>
      </c>
      <c r="AP68" s="5">
        <v>0</v>
      </c>
      <c r="AQ68" s="5">
        <v>0</v>
      </c>
      <c r="AT68" s="5">
        <v>0</v>
      </c>
      <c r="AU68" s="5">
        <v>0</v>
      </c>
      <c r="AX68" s="5">
        <v>0</v>
      </c>
      <c r="AY68" s="5" t="s">
        <v>86</v>
      </c>
      <c r="BN68" s="5" t="s">
        <v>85</v>
      </c>
      <c r="BO68" s="5">
        <v>4</v>
      </c>
      <c r="BP68" s="5">
        <v>22</v>
      </c>
      <c r="BQ68" s="5">
        <v>9</v>
      </c>
      <c r="BR68" s="5">
        <v>13</v>
      </c>
      <c r="BS68" s="5" t="s">
        <v>2479</v>
      </c>
      <c r="BT68" s="5">
        <v>0</v>
      </c>
      <c r="BU68" s="5">
        <v>4</v>
      </c>
      <c r="BV68" s="5">
        <v>0</v>
      </c>
      <c r="BW68" s="5">
        <v>0</v>
      </c>
      <c r="BX68" s="5">
        <v>0</v>
      </c>
      <c r="BZ68" s="5">
        <v>0</v>
      </c>
      <c r="CA68" s="5">
        <v>0</v>
      </c>
      <c r="CC68" s="5">
        <v>0</v>
      </c>
      <c r="CD68" s="5">
        <v>0</v>
      </c>
      <c r="CF68" s="1442" t="str">
        <f>IF([1]!sommaire[[#This Row],[présence des personnes déplacés interne]]="Oui","1","0")</f>
        <v>1</v>
      </c>
      <c r="CG68" s="1442" t="str">
        <f>IF([1]!sommaire[[#This Row],[présence Réfugié hors camp]]="Oui","1","0")</f>
        <v>0</v>
      </c>
      <c r="CH68" s="1442" t="str">
        <f>IF([1]!sommaire[[#This Row],[présence personnes retournées]]="Oui","1","0")</f>
        <v>1</v>
      </c>
      <c r="CI68" s="1442">
        <f>[1]!sommaire[[#This Row],[Flag PDI]]+[1]!sommaire[[#This Row],[Flag REF]]+[1]!sommaire[[#This Row],[Flag RET]]</f>
        <v>2</v>
      </c>
    </row>
    <row r="69" spans="1:87" ht="14.55" customHeight="1" x14ac:dyDescent="0.3">
      <c r="A69" s="390">
        <v>2557896</v>
      </c>
      <c r="B69" s="5" t="s">
        <v>533</v>
      </c>
      <c r="C69" s="1430" t="s">
        <v>3449</v>
      </c>
      <c r="D69" s="1090" t="s">
        <v>534</v>
      </c>
      <c r="E69" s="5" t="s">
        <v>30</v>
      </c>
      <c r="F69" s="5" t="s">
        <v>3522</v>
      </c>
      <c r="G69" s="5" t="s">
        <v>535</v>
      </c>
      <c r="H69" s="5" t="s">
        <v>162</v>
      </c>
      <c r="I69" s="5" t="str">
        <f>_xlfn.XLOOKUP(sommaire[[#This Row],[Arrondissement_code]],OCHA_GIS!$F:$F,OCHA_GIS!$E:$E,,)</f>
        <v>Pétté</v>
      </c>
      <c r="J69" s="5" t="s">
        <v>536</v>
      </c>
      <c r="K69" t="s">
        <v>695</v>
      </c>
      <c r="L69" s="5" t="s">
        <v>696</v>
      </c>
      <c r="N69" s="5" t="s">
        <v>3053</v>
      </c>
      <c r="O69" s="5" t="s">
        <v>2467</v>
      </c>
      <c r="P69" s="5" t="s">
        <v>85</v>
      </c>
      <c r="Q69" s="5" t="s">
        <v>86</v>
      </c>
      <c r="R69" s="5" t="s">
        <v>85</v>
      </c>
      <c r="T69" s="390">
        <v>3</v>
      </c>
      <c r="U69" s="5" t="s">
        <v>97</v>
      </c>
      <c r="W69" s="5" t="s">
        <v>2468</v>
      </c>
      <c r="X69" s="5" t="s">
        <v>102</v>
      </c>
      <c r="AA69" s="5" t="s">
        <v>85</v>
      </c>
      <c r="AB69" s="5" t="s">
        <v>2469</v>
      </c>
      <c r="AC69" s="5" t="s">
        <v>2470</v>
      </c>
      <c r="AD69" s="5" t="s">
        <v>86</v>
      </c>
      <c r="AF69" s="5">
        <v>20</v>
      </c>
      <c r="AG69" s="5">
        <v>738</v>
      </c>
      <c r="AH69" s="5" t="s">
        <v>85</v>
      </c>
      <c r="AI69" s="5" t="s">
        <v>2485</v>
      </c>
      <c r="AJ69" s="5">
        <v>20</v>
      </c>
      <c r="AK69" s="5">
        <v>228</v>
      </c>
      <c r="AL69" s="5">
        <v>105</v>
      </c>
      <c r="AM69" s="5">
        <v>123</v>
      </c>
      <c r="AN69" s="5">
        <v>0</v>
      </c>
      <c r="AO69" s="5">
        <v>20</v>
      </c>
      <c r="AP69" s="5">
        <v>0</v>
      </c>
      <c r="AQ69" s="5">
        <v>0</v>
      </c>
      <c r="AT69" s="5">
        <v>0</v>
      </c>
      <c r="AU69" s="5">
        <v>0</v>
      </c>
      <c r="AX69" s="5">
        <v>0</v>
      </c>
      <c r="AY69" s="5" t="s">
        <v>85</v>
      </c>
      <c r="AZ69" s="5">
        <v>2</v>
      </c>
      <c r="BA69" s="5">
        <v>10</v>
      </c>
      <c r="BB69" s="5">
        <v>4</v>
      </c>
      <c r="BC69" s="5">
        <v>6</v>
      </c>
      <c r="BD69" s="5">
        <v>2</v>
      </c>
      <c r="BE69" s="5">
        <v>0</v>
      </c>
      <c r="BF69" s="5">
        <v>0</v>
      </c>
      <c r="BH69" s="5">
        <v>0</v>
      </c>
      <c r="BI69" s="5">
        <v>0</v>
      </c>
      <c r="BL69" s="5">
        <v>0</v>
      </c>
      <c r="BM69" s="5">
        <v>0</v>
      </c>
      <c r="BN69" s="5" t="s">
        <v>86</v>
      </c>
      <c r="CD69" s="5">
        <v>0</v>
      </c>
      <c r="CF69" s="1442" t="str">
        <f>IF([1]!sommaire[[#This Row],[présence des personnes déplacés interne]]="Oui","1","0")</f>
        <v>1</v>
      </c>
      <c r="CG69" s="1442" t="str">
        <f>IF([1]!sommaire[[#This Row],[présence Réfugié hors camp]]="Oui","1","0")</f>
        <v>1</v>
      </c>
      <c r="CH69" s="1442" t="str">
        <f>IF([1]!sommaire[[#This Row],[présence personnes retournées]]="Oui","1","0")</f>
        <v>0</v>
      </c>
      <c r="CI69" s="1442">
        <f>[1]!sommaire[[#This Row],[Flag PDI]]+[1]!sommaire[[#This Row],[Flag REF]]+[1]!sommaire[[#This Row],[Flag RET]]</f>
        <v>2</v>
      </c>
    </row>
    <row r="70" spans="1:87" ht="14.55" customHeight="1" x14ac:dyDescent="0.3">
      <c r="A70" s="390">
        <v>2588736</v>
      </c>
      <c r="B70" s="5" t="s">
        <v>533</v>
      </c>
      <c r="C70" s="1430" t="s">
        <v>3449</v>
      </c>
      <c r="D70" s="1090" t="s">
        <v>534</v>
      </c>
      <c r="E70" s="1090" t="s">
        <v>30</v>
      </c>
      <c r="F70" s="1090" t="s">
        <v>3522</v>
      </c>
      <c r="G70" s="5" t="s">
        <v>535</v>
      </c>
      <c r="H70" s="5" t="s">
        <v>162</v>
      </c>
      <c r="I70" s="5" t="str">
        <f>_xlfn.XLOOKUP(sommaire[[#This Row],[Arrondissement_code]],OCHA_GIS!$F:$F,OCHA_GIS!$E:$E,,)</f>
        <v>Pétté</v>
      </c>
      <c r="J70" s="5" t="s">
        <v>536</v>
      </c>
      <c r="K70" t="s">
        <v>687</v>
      </c>
      <c r="L70" s="5" t="s">
        <v>688</v>
      </c>
      <c r="N70" s="5" t="s">
        <v>3053</v>
      </c>
      <c r="O70" s="5" t="s">
        <v>2467</v>
      </c>
      <c r="P70" s="5" t="s">
        <v>85</v>
      </c>
      <c r="Q70" s="5" t="s">
        <v>86</v>
      </c>
      <c r="R70" s="5" t="s">
        <v>85</v>
      </c>
      <c r="T70" s="390">
        <v>3</v>
      </c>
      <c r="U70" s="5" t="s">
        <v>97</v>
      </c>
      <c r="W70" s="5" t="s">
        <v>2468</v>
      </c>
      <c r="X70" s="5" t="s">
        <v>102</v>
      </c>
      <c r="AA70" s="5" t="s">
        <v>85</v>
      </c>
      <c r="AB70" s="5" t="s">
        <v>2469</v>
      </c>
      <c r="AC70" s="5" t="s">
        <v>2470</v>
      </c>
      <c r="AD70" s="5" t="s">
        <v>86</v>
      </c>
      <c r="AF70" s="5">
        <v>9</v>
      </c>
      <c r="AG70" s="5">
        <v>253</v>
      </c>
      <c r="AH70" s="5" t="s">
        <v>85</v>
      </c>
      <c r="AI70" s="5" t="s">
        <v>2471</v>
      </c>
      <c r="AJ70" s="5">
        <v>9</v>
      </c>
      <c r="AK70" s="5">
        <v>98</v>
      </c>
      <c r="AL70" s="5">
        <v>40</v>
      </c>
      <c r="AM70" s="5">
        <v>58</v>
      </c>
      <c r="AN70" s="5">
        <v>0</v>
      </c>
      <c r="AO70" s="5">
        <v>9</v>
      </c>
      <c r="AP70" s="5">
        <v>0</v>
      </c>
      <c r="AQ70" s="5">
        <v>0</v>
      </c>
      <c r="AT70" s="5">
        <v>0</v>
      </c>
      <c r="AU70" s="5">
        <v>0</v>
      </c>
      <c r="AX70" s="5">
        <v>0</v>
      </c>
      <c r="AY70" s="5" t="s">
        <v>85</v>
      </c>
      <c r="AZ70" s="5">
        <v>2</v>
      </c>
      <c r="BA70" s="5">
        <v>16</v>
      </c>
      <c r="BB70" s="5">
        <v>8</v>
      </c>
      <c r="BC70" s="5">
        <v>8</v>
      </c>
      <c r="BD70" s="5">
        <v>2</v>
      </c>
      <c r="BE70" s="5">
        <v>0</v>
      </c>
      <c r="BF70" s="5">
        <v>0</v>
      </c>
      <c r="BH70" s="5">
        <v>0</v>
      </c>
      <c r="BI70" s="5">
        <v>0</v>
      </c>
      <c r="BL70" s="5">
        <v>0</v>
      </c>
      <c r="BM70" s="5">
        <v>2</v>
      </c>
      <c r="BN70" s="5" t="s">
        <v>86</v>
      </c>
      <c r="CD70" s="5">
        <v>0</v>
      </c>
      <c r="CF70" s="1442" t="str">
        <f>IF([1]!sommaire[[#This Row],[présence des personnes déplacés interne]]="Oui","1","0")</f>
        <v>1</v>
      </c>
      <c r="CG70" s="1442" t="str">
        <f>IF([1]!sommaire[[#This Row],[présence Réfugié hors camp]]="Oui","1","0")</f>
        <v>1</v>
      </c>
      <c r="CH70" s="1442" t="str">
        <f>IF([1]!sommaire[[#This Row],[présence personnes retournées]]="Oui","1","0")</f>
        <v>0</v>
      </c>
      <c r="CI70" s="1442">
        <f>[1]!sommaire[[#This Row],[Flag PDI]]+[1]!sommaire[[#This Row],[Flag REF]]+[1]!sommaire[[#This Row],[Flag RET]]</f>
        <v>2</v>
      </c>
    </row>
    <row r="71" spans="1:87" ht="14.55" customHeight="1" x14ac:dyDescent="0.3">
      <c r="A71" s="390">
        <v>2602003</v>
      </c>
      <c r="B71" s="5" t="s">
        <v>533</v>
      </c>
      <c r="C71" s="1430" t="s">
        <v>3449</v>
      </c>
      <c r="D71" s="1090" t="s">
        <v>534</v>
      </c>
      <c r="E71" s="5" t="s">
        <v>30</v>
      </c>
      <c r="F71" s="5" t="s">
        <v>3522</v>
      </c>
      <c r="G71" s="5" t="s">
        <v>535</v>
      </c>
      <c r="H71" s="5" t="s">
        <v>162</v>
      </c>
      <c r="I71" s="5" t="str">
        <f>_xlfn.XLOOKUP(sommaire[[#This Row],[Arrondissement_code]],OCHA_GIS!$F:$F,OCHA_GIS!$E:$E,,)</f>
        <v>Pétté</v>
      </c>
      <c r="J71" s="5" t="s">
        <v>536</v>
      </c>
      <c r="K71" t="s">
        <v>612</v>
      </c>
      <c r="L71" s="5" t="s">
        <v>613</v>
      </c>
      <c r="N71" s="5" t="s">
        <v>3053</v>
      </c>
      <c r="O71" s="5" t="s">
        <v>2467</v>
      </c>
      <c r="P71" s="5" t="s">
        <v>85</v>
      </c>
      <c r="Q71" s="5" t="s">
        <v>86</v>
      </c>
      <c r="R71" s="5" t="s">
        <v>85</v>
      </c>
      <c r="T71" s="390">
        <v>3</v>
      </c>
      <c r="U71" s="5" t="s">
        <v>97</v>
      </c>
      <c r="W71" s="5" t="s">
        <v>2468</v>
      </c>
      <c r="X71" s="1090" t="s">
        <v>102</v>
      </c>
      <c r="AA71" s="1090" t="s">
        <v>85</v>
      </c>
      <c r="AB71" s="5" t="s">
        <v>2469</v>
      </c>
      <c r="AC71" s="5" t="s">
        <v>2470</v>
      </c>
      <c r="AD71" s="5" t="s">
        <v>86</v>
      </c>
      <c r="AF71" s="5">
        <v>3</v>
      </c>
      <c r="AG71" s="5">
        <v>311</v>
      </c>
      <c r="AH71" s="5" t="s">
        <v>85</v>
      </c>
      <c r="AI71" s="5" t="s">
        <v>2471</v>
      </c>
      <c r="AJ71" s="5">
        <v>3</v>
      </c>
      <c r="AK71" s="5">
        <v>23</v>
      </c>
      <c r="AL71" s="5">
        <v>10</v>
      </c>
      <c r="AM71" s="5">
        <v>13</v>
      </c>
      <c r="AN71" s="5">
        <v>0</v>
      </c>
      <c r="AO71" s="5">
        <v>3</v>
      </c>
      <c r="AP71" s="5">
        <v>0</v>
      </c>
      <c r="AQ71" s="5">
        <v>0</v>
      </c>
      <c r="AT71" s="5">
        <v>0</v>
      </c>
      <c r="AU71" s="5">
        <v>0</v>
      </c>
      <c r="AX71" s="5">
        <v>0</v>
      </c>
      <c r="AY71" s="1090" t="s">
        <v>86</v>
      </c>
      <c r="BN71" s="1090" t="s">
        <v>86</v>
      </c>
      <c r="CD71" s="5">
        <v>0</v>
      </c>
      <c r="CF71" s="1442" t="str">
        <f>IF([1]!sommaire[[#This Row],[présence des personnes déplacés interne]]="Oui","1","0")</f>
        <v>1</v>
      </c>
      <c r="CG71" s="1442" t="str">
        <f>IF([1]!sommaire[[#This Row],[présence Réfugié hors camp]]="Oui","1","0")</f>
        <v>0</v>
      </c>
      <c r="CH71" s="1442" t="str">
        <f>IF([1]!sommaire[[#This Row],[présence personnes retournées]]="Oui","1","0")</f>
        <v>0</v>
      </c>
      <c r="CI71" s="1442">
        <f>[1]!sommaire[[#This Row],[Flag PDI]]+[1]!sommaire[[#This Row],[Flag REF]]+[1]!sommaire[[#This Row],[Flag RET]]</f>
        <v>1</v>
      </c>
    </row>
    <row r="72" spans="1:87" ht="14.55" customHeight="1" x14ac:dyDescent="0.3">
      <c r="A72" s="390">
        <v>2533134</v>
      </c>
      <c r="B72" s="5" t="s">
        <v>533</v>
      </c>
      <c r="C72" s="1430" t="s">
        <v>3449</v>
      </c>
      <c r="D72" s="1090" t="s">
        <v>534</v>
      </c>
      <c r="E72" s="5" t="s">
        <v>30</v>
      </c>
      <c r="F72" s="5" t="s">
        <v>3522</v>
      </c>
      <c r="G72" s="5" t="s">
        <v>535</v>
      </c>
      <c r="H72" s="5" t="s">
        <v>162</v>
      </c>
      <c r="I72" s="5" t="str">
        <f>_xlfn.XLOOKUP(sommaire[[#This Row],[Arrondissement_code]],OCHA_GIS!$F:$F,OCHA_GIS!$E:$E,,)</f>
        <v>Pétté</v>
      </c>
      <c r="J72" s="5" t="s">
        <v>536</v>
      </c>
      <c r="K72" t="s">
        <v>915</v>
      </c>
      <c r="L72" s="5" t="s">
        <v>916</v>
      </c>
      <c r="N72" s="5" t="s">
        <v>3053</v>
      </c>
      <c r="O72" s="5" t="s">
        <v>2467</v>
      </c>
      <c r="P72" s="5" t="s">
        <v>85</v>
      </c>
      <c r="Q72" s="5" t="s">
        <v>86</v>
      </c>
      <c r="R72" s="5" t="s">
        <v>86</v>
      </c>
      <c r="T72" s="390">
        <v>3</v>
      </c>
      <c r="U72" s="5" t="s">
        <v>97</v>
      </c>
      <c r="W72" s="5" t="s">
        <v>2468</v>
      </c>
      <c r="X72" s="5" t="s">
        <v>102</v>
      </c>
      <c r="AA72" s="5" t="s">
        <v>85</v>
      </c>
      <c r="AB72" s="5" t="s">
        <v>2469</v>
      </c>
      <c r="AC72" s="5" t="s">
        <v>2470</v>
      </c>
      <c r="AD72" s="5" t="s">
        <v>86</v>
      </c>
      <c r="AF72" s="5">
        <v>6</v>
      </c>
      <c r="AG72" s="5">
        <v>735</v>
      </c>
      <c r="AH72" s="5" t="s">
        <v>85</v>
      </c>
      <c r="AI72" s="5" t="s">
        <v>2471</v>
      </c>
      <c r="AJ72" s="5">
        <v>6</v>
      </c>
      <c r="AK72" s="5">
        <v>44</v>
      </c>
      <c r="AL72" s="5">
        <v>20</v>
      </c>
      <c r="AM72" s="5">
        <v>24</v>
      </c>
      <c r="AN72" s="5">
        <v>2</v>
      </c>
      <c r="AO72" s="5">
        <v>4</v>
      </c>
      <c r="AP72" s="5">
        <v>0</v>
      </c>
      <c r="AQ72" s="5">
        <v>0</v>
      </c>
      <c r="AT72" s="5">
        <v>0</v>
      </c>
      <c r="AU72" s="5">
        <v>0</v>
      </c>
      <c r="AX72" s="5">
        <v>0</v>
      </c>
      <c r="AY72" s="5" t="s">
        <v>86</v>
      </c>
      <c r="BN72" s="5" t="s">
        <v>86</v>
      </c>
      <c r="CD72" s="5">
        <v>0</v>
      </c>
      <c r="CF72" s="1442" t="str">
        <f>IF([1]!sommaire[[#This Row],[présence des personnes déplacés interne]]="Oui","1","0")</f>
        <v>1</v>
      </c>
      <c r="CG72" s="1442" t="str">
        <f>IF([1]!sommaire[[#This Row],[présence Réfugié hors camp]]="Oui","1","0")</f>
        <v>0</v>
      </c>
      <c r="CH72" s="1442" t="str">
        <f>IF([1]!sommaire[[#This Row],[présence personnes retournées]]="Oui","1","0")</f>
        <v>0</v>
      </c>
      <c r="CI72" s="1442">
        <f>[1]!sommaire[[#This Row],[Flag PDI]]+[1]!sommaire[[#This Row],[Flag REF]]+[1]!sommaire[[#This Row],[Flag RET]]</f>
        <v>1</v>
      </c>
    </row>
    <row r="73" spans="1:87" ht="14.55" customHeight="1" x14ac:dyDescent="0.3">
      <c r="A73" s="390">
        <v>2533508</v>
      </c>
      <c r="B73" s="5" t="s">
        <v>533</v>
      </c>
      <c r="C73" s="1430" t="s">
        <v>3449</v>
      </c>
      <c r="D73" s="1090" t="s">
        <v>534</v>
      </c>
      <c r="E73" s="5" t="s">
        <v>30</v>
      </c>
      <c r="F73" s="5" t="s">
        <v>3522</v>
      </c>
      <c r="G73" s="5" t="s">
        <v>535</v>
      </c>
      <c r="H73" s="5" t="s">
        <v>162</v>
      </c>
      <c r="I73" s="5" t="str">
        <f>_xlfn.XLOOKUP(sommaire[[#This Row],[Arrondissement_code]],OCHA_GIS!$F:$F,OCHA_GIS!$E:$E,,)</f>
        <v>Pétté</v>
      </c>
      <c r="J73" s="5" t="s">
        <v>536</v>
      </c>
      <c r="K73" t="s">
        <v>722</v>
      </c>
      <c r="L73" s="5" t="s">
        <v>723</v>
      </c>
      <c r="N73" s="5" t="s">
        <v>3052</v>
      </c>
      <c r="O73" s="5" t="s">
        <v>2467</v>
      </c>
      <c r="P73" s="5" t="s">
        <v>85</v>
      </c>
      <c r="Q73" s="5" t="s">
        <v>86</v>
      </c>
      <c r="R73" s="5" t="s">
        <v>86</v>
      </c>
      <c r="T73" s="390">
        <v>3</v>
      </c>
      <c r="U73" s="5" t="s">
        <v>97</v>
      </c>
      <c r="W73" s="5" t="s">
        <v>2468</v>
      </c>
      <c r="X73" s="5" t="s">
        <v>102</v>
      </c>
      <c r="AA73" s="5" t="s">
        <v>85</v>
      </c>
      <c r="AB73" s="5" t="s">
        <v>2469</v>
      </c>
      <c r="AC73" s="5" t="s">
        <v>312</v>
      </c>
      <c r="AD73" s="5" t="s">
        <v>86</v>
      </c>
      <c r="AF73" s="5">
        <v>19</v>
      </c>
      <c r="AG73" s="5">
        <v>3010</v>
      </c>
      <c r="AH73" s="5" t="s">
        <v>85</v>
      </c>
      <c r="AI73" s="5" t="s">
        <v>2471</v>
      </c>
      <c r="AJ73" s="5">
        <v>19</v>
      </c>
      <c r="AK73" s="5">
        <v>127</v>
      </c>
      <c r="AL73" s="5">
        <v>49</v>
      </c>
      <c r="AM73" s="5">
        <v>78</v>
      </c>
      <c r="AN73" s="5">
        <v>0</v>
      </c>
      <c r="AO73" s="5">
        <v>5</v>
      </c>
      <c r="AP73" s="5">
        <v>0</v>
      </c>
      <c r="AQ73" s="5">
        <v>14</v>
      </c>
      <c r="AR73" s="5" t="s">
        <v>2477</v>
      </c>
      <c r="AT73" s="5">
        <v>0</v>
      </c>
      <c r="AU73" s="5">
        <v>0</v>
      </c>
      <c r="AX73" s="5">
        <v>0</v>
      </c>
      <c r="AY73" s="5" t="s">
        <v>86</v>
      </c>
      <c r="BN73" s="5" t="s">
        <v>86</v>
      </c>
      <c r="CD73" s="5">
        <v>0</v>
      </c>
      <c r="CF73" s="1442" t="str">
        <f>IF([1]!sommaire[[#This Row],[présence des personnes déplacés interne]]="Oui","1","0")</f>
        <v>1</v>
      </c>
      <c r="CG73" s="1442" t="str">
        <f>IF([1]!sommaire[[#This Row],[présence Réfugié hors camp]]="Oui","1","0")</f>
        <v>0</v>
      </c>
      <c r="CH73" s="1442" t="str">
        <f>IF([1]!sommaire[[#This Row],[présence personnes retournées]]="Oui","1","0")</f>
        <v>0</v>
      </c>
      <c r="CI73" s="1442">
        <f>[1]!sommaire[[#This Row],[Flag PDI]]+[1]!sommaire[[#This Row],[Flag REF]]+[1]!sommaire[[#This Row],[Flag RET]]</f>
        <v>1</v>
      </c>
    </row>
    <row r="74" spans="1:87" ht="14.55" customHeight="1" x14ac:dyDescent="0.3">
      <c r="A74" s="390">
        <v>2533542</v>
      </c>
      <c r="B74" s="5" t="s">
        <v>533</v>
      </c>
      <c r="C74" s="1430" t="s">
        <v>3449</v>
      </c>
      <c r="D74" s="1090" t="s">
        <v>534</v>
      </c>
      <c r="E74" s="5" t="s">
        <v>30</v>
      </c>
      <c r="F74" s="5" t="s">
        <v>3522</v>
      </c>
      <c r="G74" s="5" t="s">
        <v>535</v>
      </c>
      <c r="H74" s="5" t="s">
        <v>162</v>
      </c>
      <c r="I74" s="5" t="str">
        <f>_xlfn.XLOOKUP(sommaire[[#This Row],[Arrondissement_code]],OCHA_GIS!$F:$F,OCHA_GIS!$E:$E,,)</f>
        <v>Pétté</v>
      </c>
      <c r="J74" s="5" t="s">
        <v>536</v>
      </c>
      <c r="K74" t="s">
        <v>585</v>
      </c>
      <c r="L74" s="5" t="s">
        <v>586</v>
      </c>
      <c r="N74" s="5" t="s">
        <v>3053</v>
      </c>
      <c r="O74" s="5" t="s">
        <v>2467</v>
      </c>
      <c r="P74" s="5" t="s">
        <v>85</v>
      </c>
      <c r="Q74" s="5" t="s">
        <v>86</v>
      </c>
      <c r="R74" s="5" t="s">
        <v>86</v>
      </c>
      <c r="T74" s="390">
        <v>3</v>
      </c>
      <c r="U74" s="5" t="s">
        <v>97</v>
      </c>
      <c r="W74" s="5" t="s">
        <v>2468</v>
      </c>
      <c r="X74" s="5" t="s">
        <v>102</v>
      </c>
      <c r="AA74" s="5" t="s">
        <v>85</v>
      </c>
      <c r="AB74" s="5" t="s">
        <v>2469</v>
      </c>
      <c r="AC74" s="5" t="s">
        <v>2470</v>
      </c>
      <c r="AD74" s="1090" t="s">
        <v>86</v>
      </c>
      <c r="AF74" s="5">
        <v>3</v>
      </c>
      <c r="AG74" s="5">
        <v>655</v>
      </c>
      <c r="AH74" s="5" t="s">
        <v>85</v>
      </c>
      <c r="AI74" s="5" t="s">
        <v>2471</v>
      </c>
      <c r="AJ74" s="5">
        <v>3</v>
      </c>
      <c r="AK74" s="5">
        <v>27</v>
      </c>
      <c r="AL74" s="5">
        <v>10</v>
      </c>
      <c r="AM74" s="5">
        <v>17</v>
      </c>
      <c r="AN74" s="5">
        <v>0</v>
      </c>
      <c r="AO74" s="5">
        <v>3</v>
      </c>
      <c r="AP74" s="5">
        <v>0</v>
      </c>
      <c r="AQ74" s="5">
        <v>0</v>
      </c>
      <c r="AT74" s="5">
        <v>0</v>
      </c>
      <c r="AU74" s="5">
        <v>0</v>
      </c>
      <c r="AX74" s="5">
        <v>0</v>
      </c>
      <c r="AY74" s="5" t="s">
        <v>86</v>
      </c>
      <c r="BN74" s="5" t="s">
        <v>86</v>
      </c>
      <c r="CD74" s="5">
        <v>0</v>
      </c>
      <c r="CF74" s="1442" t="str">
        <f>IF([1]!sommaire[[#This Row],[présence des personnes déplacés interne]]="Oui","1","0")</f>
        <v>1</v>
      </c>
      <c r="CG74" s="1442" t="str">
        <f>IF([1]!sommaire[[#This Row],[présence Réfugié hors camp]]="Oui","1","0")</f>
        <v>0</v>
      </c>
      <c r="CH74" s="1442" t="str">
        <f>IF([1]!sommaire[[#This Row],[présence personnes retournées]]="Oui","1","0")</f>
        <v>0</v>
      </c>
      <c r="CI74" s="1442">
        <f>[1]!sommaire[[#This Row],[Flag PDI]]+[1]!sommaire[[#This Row],[Flag REF]]+[1]!sommaire[[#This Row],[Flag RET]]</f>
        <v>1</v>
      </c>
    </row>
    <row r="75" spans="1:87" ht="14.55" customHeight="1" x14ac:dyDescent="0.3">
      <c r="A75" s="1091">
        <v>2605730</v>
      </c>
      <c r="B75" s="5" t="s">
        <v>533</v>
      </c>
      <c r="C75" s="1430" t="s">
        <v>3449</v>
      </c>
      <c r="D75" s="5" t="s">
        <v>534</v>
      </c>
      <c r="E75" s="5" t="s">
        <v>30</v>
      </c>
      <c r="F75" s="5" t="s">
        <v>3522</v>
      </c>
      <c r="G75" s="5" t="s">
        <v>535</v>
      </c>
      <c r="H75" s="5" t="s">
        <v>162</v>
      </c>
      <c r="I75" s="5" t="str">
        <f>_xlfn.XLOOKUP(sommaire[[#This Row],[Arrondissement_code]],OCHA_GIS!$F:$F,OCHA_GIS!$E:$E,,)</f>
        <v>Pétté</v>
      </c>
      <c r="J75" s="5" t="s">
        <v>536</v>
      </c>
      <c r="K75" t="s">
        <v>3233</v>
      </c>
      <c r="L75" s="5" t="s">
        <v>3234</v>
      </c>
      <c r="N75" s="5" t="s">
        <v>3053</v>
      </c>
      <c r="O75" s="5" t="s">
        <v>2473</v>
      </c>
      <c r="P75" s="5" t="s">
        <v>85</v>
      </c>
      <c r="Q75" s="5" t="s">
        <v>86</v>
      </c>
      <c r="R75" s="5" t="s">
        <v>85</v>
      </c>
      <c r="T75" s="390">
        <v>3</v>
      </c>
      <c r="U75" s="5" t="s">
        <v>97</v>
      </c>
      <c r="W75" s="5" t="s">
        <v>2468</v>
      </c>
      <c r="X75" s="1090" t="s">
        <v>102</v>
      </c>
      <c r="AA75" s="1090" t="s">
        <v>85</v>
      </c>
      <c r="AB75" s="5" t="s">
        <v>2473</v>
      </c>
      <c r="AC75" s="5" t="s">
        <v>2470</v>
      </c>
      <c r="AF75" s="5">
        <v>30</v>
      </c>
      <c r="AG75" s="5">
        <v>235</v>
      </c>
      <c r="AH75" s="5" t="s">
        <v>85</v>
      </c>
      <c r="AI75" s="5" t="s">
        <v>2471</v>
      </c>
      <c r="AJ75" s="5">
        <v>30</v>
      </c>
      <c r="AK75" s="5">
        <v>235</v>
      </c>
      <c r="AL75" s="5">
        <v>99</v>
      </c>
      <c r="AM75" s="5">
        <v>136</v>
      </c>
      <c r="AN75" s="5">
        <v>0</v>
      </c>
      <c r="AO75" s="5">
        <v>0</v>
      </c>
      <c r="AP75" s="5">
        <v>0</v>
      </c>
      <c r="AQ75" s="5">
        <v>0</v>
      </c>
      <c r="AT75" s="5">
        <v>0</v>
      </c>
      <c r="AU75" s="5">
        <v>30</v>
      </c>
      <c r="AV75" s="5" t="s">
        <v>2474</v>
      </c>
      <c r="AX75" s="5">
        <v>0</v>
      </c>
      <c r="AY75" s="1090" t="s">
        <v>86</v>
      </c>
      <c r="BN75" s="1090" t="s">
        <v>86</v>
      </c>
      <c r="CD75" s="5">
        <v>0</v>
      </c>
      <c r="CE75" s="1090"/>
      <c r="CF75" s="1442" t="str">
        <f>IF([1]!sommaire[[#This Row],[présence des personnes déplacés interne]]="Oui","1","0")</f>
        <v>1</v>
      </c>
      <c r="CG75" s="1442" t="str">
        <f>IF([1]!sommaire[[#This Row],[présence Réfugié hors camp]]="Oui","1","0")</f>
        <v>0</v>
      </c>
      <c r="CH75" s="1442" t="str">
        <f>IF([1]!sommaire[[#This Row],[présence personnes retournées]]="Oui","1","0")</f>
        <v>0</v>
      </c>
      <c r="CI75" s="1442">
        <f>[1]!sommaire[[#This Row],[Flag PDI]]+[1]!sommaire[[#This Row],[Flag REF]]+[1]!sommaire[[#This Row],[Flag RET]]</f>
        <v>1</v>
      </c>
    </row>
    <row r="76" spans="1:87" ht="14.55" customHeight="1" x14ac:dyDescent="0.3">
      <c r="A76" s="390">
        <v>2589302</v>
      </c>
      <c r="B76" s="5" t="s">
        <v>533</v>
      </c>
      <c r="C76" s="1430" t="s">
        <v>3449</v>
      </c>
      <c r="D76" s="5" t="s">
        <v>534</v>
      </c>
      <c r="E76" s="5" t="s">
        <v>30</v>
      </c>
      <c r="F76" s="5" t="s">
        <v>3522</v>
      </c>
      <c r="G76" s="5" t="s">
        <v>535</v>
      </c>
      <c r="H76" s="5" t="s">
        <v>162</v>
      </c>
      <c r="I76" s="5" t="str">
        <f>_xlfn.XLOOKUP(sommaire[[#This Row],[Arrondissement_code]],OCHA_GIS!$F:$F,OCHA_GIS!$E:$E,,)</f>
        <v>Pétté</v>
      </c>
      <c r="J76" s="5" t="s">
        <v>536</v>
      </c>
      <c r="K76" t="s">
        <v>2219</v>
      </c>
      <c r="L76" s="5" t="s">
        <v>3248</v>
      </c>
      <c r="N76" s="5" t="s">
        <v>3053</v>
      </c>
      <c r="O76" s="5" t="s">
        <v>2473</v>
      </c>
      <c r="P76" s="5" t="s">
        <v>85</v>
      </c>
      <c r="Q76" s="5" t="s">
        <v>86</v>
      </c>
      <c r="R76" s="5" t="s">
        <v>85</v>
      </c>
      <c r="T76" s="390">
        <v>3</v>
      </c>
      <c r="U76" s="5" t="s">
        <v>97</v>
      </c>
      <c r="W76" s="5" t="s">
        <v>2468</v>
      </c>
      <c r="X76" s="5" t="s">
        <v>102</v>
      </c>
      <c r="AA76" s="5" t="s">
        <v>85</v>
      </c>
      <c r="AB76" s="5" t="s">
        <v>2473</v>
      </c>
      <c r="AC76" s="5" t="s">
        <v>2470</v>
      </c>
      <c r="AG76" s="5">
        <v>191</v>
      </c>
      <c r="AH76" s="5" t="s">
        <v>86</v>
      </c>
      <c r="AY76" s="5" t="s">
        <v>85</v>
      </c>
      <c r="AZ76" s="5">
        <v>18</v>
      </c>
      <c r="BA76" s="5">
        <v>191</v>
      </c>
      <c r="BB76" s="5">
        <v>84</v>
      </c>
      <c r="BC76" s="5">
        <v>107</v>
      </c>
      <c r="BD76" s="5">
        <v>0</v>
      </c>
      <c r="BE76" s="5">
        <v>0</v>
      </c>
      <c r="BF76" s="5">
        <v>0</v>
      </c>
      <c r="BH76" s="5">
        <v>0</v>
      </c>
      <c r="BI76" s="5">
        <v>18</v>
      </c>
      <c r="BJ76" s="5" t="s">
        <v>2475</v>
      </c>
      <c r="BL76" s="5">
        <v>0</v>
      </c>
      <c r="BM76" s="5">
        <v>0</v>
      </c>
      <c r="BN76" s="5" t="s">
        <v>86</v>
      </c>
      <c r="CD76" s="5">
        <v>0</v>
      </c>
      <c r="CF76" s="1442" t="str">
        <f>IF([1]!sommaire[[#This Row],[présence des personnes déplacés interne]]="Oui","1","0")</f>
        <v>0</v>
      </c>
      <c r="CG76" s="1442" t="str">
        <f>IF([1]!sommaire[[#This Row],[présence Réfugié hors camp]]="Oui","1","0")</f>
        <v>1</v>
      </c>
      <c r="CH76" s="1442" t="str">
        <f>IF([1]!sommaire[[#This Row],[présence personnes retournées]]="Oui","1","0")</f>
        <v>0</v>
      </c>
      <c r="CI76" s="1442">
        <f>[1]!sommaire[[#This Row],[Flag PDI]]+[1]!sommaire[[#This Row],[Flag REF]]+[1]!sommaire[[#This Row],[Flag RET]]</f>
        <v>1</v>
      </c>
    </row>
    <row r="77" spans="1:87" ht="14.55" customHeight="1" x14ac:dyDescent="0.3">
      <c r="A77" s="390">
        <v>2542316</v>
      </c>
      <c r="B77" s="5" t="s">
        <v>533</v>
      </c>
      <c r="C77" s="1430" t="s">
        <v>3449</v>
      </c>
      <c r="D77" s="5" t="s">
        <v>534</v>
      </c>
      <c r="E77" s="5" t="s">
        <v>30</v>
      </c>
      <c r="F77" s="5" t="s">
        <v>3522</v>
      </c>
      <c r="G77" s="5" t="s">
        <v>535</v>
      </c>
      <c r="H77" s="1090" t="s">
        <v>162</v>
      </c>
      <c r="I77" s="1090" t="str">
        <f>_xlfn.XLOOKUP(sommaire[[#This Row],[Arrondissement_code]],OCHA_GIS!$F:$F,OCHA_GIS!$E:$E,,)</f>
        <v>Pétté</v>
      </c>
      <c r="J77" s="5" t="s">
        <v>536</v>
      </c>
      <c r="K77" t="s">
        <v>730</v>
      </c>
      <c r="L77" s="5" t="s">
        <v>3269</v>
      </c>
      <c r="N77" s="5" t="s">
        <v>3053</v>
      </c>
      <c r="O77" s="5" t="s">
        <v>2473</v>
      </c>
      <c r="P77" s="5" t="s">
        <v>85</v>
      </c>
      <c r="Q77" s="5" t="s">
        <v>86</v>
      </c>
      <c r="R77" s="5" t="s">
        <v>85</v>
      </c>
      <c r="T77" s="390">
        <v>3</v>
      </c>
      <c r="U77" s="5" t="s">
        <v>97</v>
      </c>
      <c r="W77" s="5" t="s">
        <v>2468</v>
      </c>
      <c r="X77" s="5" t="s">
        <v>102</v>
      </c>
      <c r="AA77" s="5" t="s">
        <v>85</v>
      </c>
      <c r="AB77" s="5" t="s">
        <v>2473</v>
      </c>
      <c r="AC77" s="5" t="s">
        <v>2470</v>
      </c>
      <c r="AF77" s="5">
        <v>20</v>
      </c>
      <c r="AG77" s="5">
        <v>99</v>
      </c>
      <c r="AH77" s="5" t="s">
        <v>85</v>
      </c>
      <c r="AI77" s="5" t="s">
        <v>2471</v>
      </c>
      <c r="AJ77" s="5">
        <v>20</v>
      </c>
      <c r="AK77" s="5">
        <v>99</v>
      </c>
      <c r="AL77" s="5">
        <v>49</v>
      </c>
      <c r="AM77" s="5">
        <v>50</v>
      </c>
      <c r="AN77" s="5">
        <v>0</v>
      </c>
      <c r="AO77" s="5">
        <v>20</v>
      </c>
      <c r="AP77" s="5">
        <v>0</v>
      </c>
      <c r="AQ77" s="5">
        <v>0</v>
      </c>
      <c r="AT77" s="5">
        <v>0</v>
      </c>
      <c r="AU77" s="5">
        <v>0</v>
      </c>
      <c r="AX77" s="5">
        <v>0</v>
      </c>
      <c r="AY77" s="5" t="s">
        <v>86</v>
      </c>
      <c r="BN77" s="5" t="s">
        <v>86</v>
      </c>
      <c r="CD77" s="5">
        <v>0</v>
      </c>
      <c r="CF77" s="1442" t="str">
        <f>IF([1]!sommaire[[#This Row],[présence des personnes déplacés interne]]="Oui","1","0")</f>
        <v>1</v>
      </c>
      <c r="CG77" s="1442" t="str">
        <f>IF([1]!sommaire[[#This Row],[présence Réfugié hors camp]]="Oui","1","0")</f>
        <v>0</v>
      </c>
      <c r="CH77" s="1442" t="str">
        <f>IF([1]!sommaire[[#This Row],[présence personnes retournées]]="Oui","1","0")</f>
        <v>0</v>
      </c>
      <c r="CI77" s="1442">
        <f>[1]!sommaire[[#This Row],[Flag PDI]]+[1]!sommaire[[#This Row],[Flag REF]]+[1]!sommaire[[#This Row],[Flag RET]]</f>
        <v>1</v>
      </c>
    </row>
    <row r="78" spans="1:87" ht="14.55" customHeight="1" x14ac:dyDescent="0.3">
      <c r="A78" s="390">
        <v>2542317</v>
      </c>
      <c r="B78" s="5" t="s">
        <v>533</v>
      </c>
      <c r="C78" s="1430" t="s">
        <v>3449</v>
      </c>
      <c r="D78" s="5" t="s">
        <v>534</v>
      </c>
      <c r="E78" s="5" t="s">
        <v>30</v>
      </c>
      <c r="F78" s="5" t="s">
        <v>3522</v>
      </c>
      <c r="G78" s="5" t="s">
        <v>535</v>
      </c>
      <c r="H78" s="5" t="s">
        <v>162</v>
      </c>
      <c r="I78" s="5" t="str">
        <f>_xlfn.XLOOKUP(sommaire[[#This Row],[Arrondissement_code]],OCHA_GIS!$F:$F,OCHA_GIS!$E:$E,,)</f>
        <v>Pétté</v>
      </c>
      <c r="J78" s="5" t="s">
        <v>536</v>
      </c>
      <c r="K78" t="s">
        <v>552</v>
      </c>
      <c r="L78" s="5" t="s">
        <v>3270</v>
      </c>
      <c r="N78" s="5" t="s">
        <v>3053</v>
      </c>
      <c r="O78" s="5" t="s">
        <v>2473</v>
      </c>
      <c r="P78" s="5" t="s">
        <v>85</v>
      </c>
      <c r="Q78" s="5" t="s">
        <v>86</v>
      </c>
      <c r="R78" s="5" t="s">
        <v>85</v>
      </c>
      <c r="T78" s="390">
        <v>3</v>
      </c>
      <c r="U78" s="5" t="s">
        <v>97</v>
      </c>
      <c r="W78" s="5" t="s">
        <v>2468</v>
      </c>
      <c r="X78" s="5" t="s">
        <v>102</v>
      </c>
      <c r="AA78" s="5" t="s">
        <v>85</v>
      </c>
      <c r="AB78" s="5" t="s">
        <v>2473</v>
      </c>
      <c r="AC78" s="5" t="s">
        <v>2470</v>
      </c>
      <c r="AF78" s="5">
        <v>13</v>
      </c>
      <c r="AG78" s="5">
        <v>77</v>
      </c>
      <c r="AH78" s="5" t="s">
        <v>85</v>
      </c>
      <c r="AI78" s="5" t="s">
        <v>2471</v>
      </c>
      <c r="AJ78" s="5">
        <v>13</v>
      </c>
      <c r="AK78" s="5">
        <v>77</v>
      </c>
      <c r="AL78" s="5">
        <v>37</v>
      </c>
      <c r="AM78" s="5">
        <v>40</v>
      </c>
      <c r="AN78" s="5">
        <v>0</v>
      </c>
      <c r="AO78" s="5">
        <v>0</v>
      </c>
      <c r="AP78" s="5">
        <v>0</v>
      </c>
      <c r="AQ78" s="5">
        <v>0</v>
      </c>
      <c r="AT78" s="5">
        <v>0</v>
      </c>
      <c r="AU78" s="5">
        <v>13</v>
      </c>
      <c r="AV78" s="5" t="s">
        <v>2475</v>
      </c>
      <c r="AX78" s="5">
        <v>0</v>
      </c>
      <c r="AY78" s="5" t="s">
        <v>86</v>
      </c>
      <c r="BN78" s="5" t="s">
        <v>86</v>
      </c>
      <c r="CD78" s="5">
        <v>0</v>
      </c>
      <c r="CF78" s="1442" t="str">
        <f>IF([1]!sommaire[[#This Row],[présence des personnes déplacés interne]]="Oui","1","0")</f>
        <v>1</v>
      </c>
      <c r="CG78" s="1442" t="str">
        <f>IF([1]!sommaire[[#This Row],[présence Réfugié hors camp]]="Oui","1","0")</f>
        <v>0</v>
      </c>
      <c r="CH78" s="1442" t="str">
        <f>IF([1]!sommaire[[#This Row],[présence personnes retournées]]="Oui","1","0")</f>
        <v>0</v>
      </c>
      <c r="CI78" s="1442">
        <f>[1]!sommaire[[#This Row],[Flag PDI]]+[1]!sommaire[[#This Row],[Flag REF]]+[1]!sommaire[[#This Row],[Flag RET]]</f>
        <v>1</v>
      </c>
    </row>
    <row r="79" spans="1:87" ht="14.55" customHeight="1" x14ac:dyDescent="0.3">
      <c r="A79" s="390">
        <v>2605731</v>
      </c>
      <c r="B79" s="5" t="s">
        <v>533</v>
      </c>
      <c r="C79" s="1430" t="s">
        <v>3449</v>
      </c>
      <c r="D79" s="5" t="s">
        <v>534</v>
      </c>
      <c r="E79" s="5" t="s">
        <v>30</v>
      </c>
      <c r="F79" s="5" t="s">
        <v>3522</v>
      </c>
      <c r="G79" s="5" t="s">
        <v>535</v>
      </c>
      <c r="H79" s="5" t="s">
        <v>162</v>
      </c>
      <c r="I79" s="5" t="str">
        <f>_xlfn.XLOOKUP(sommaire[[#This Row],[Arrondissement_code]],OCHA_GIS!$F:$F,OCHA_GIS!$E:$E,,)</f>
        <v>Pétté</v>
      </c>
      <c r="J79" s="5" t="s">
        <v>536</v>
      </c>
      <c r="K79" t="s">
        <v>678</v>
      </c>
      <c r="L79" s="5" t="s">
        <v>3273</v>
      </c>
      <c r="N79" s="5" t="s">
        <v>3053</v>
      </c>
      <c r="O79" s="5" t="s">
        <v>2473</v>
      </c>
      <c r="P79" s="5" t="s">
        <v>85</v>
      </c>
      <c r="Q79" s="5" t="s">
        <v>86</v>
      </c>
      <c r="R79" s="5" t="s">
        <v>85</v>
      </c>
      <c r="T79" s="390">
        <v>3</v>
      </c>
      <c r="U79" s="5" t="s">
        <v>97</v>
      </c>
      <c r="W79" s="5" t="s">
        <v>2468</v>
      </c>
      <c r="X79" s="5" t="s">
        <v>102</v>
      </c>
      <c r="AA79" s="5" t="s">
        <v>85</v>
      </c>
      <c r="AB79" s="5" t="s">
        <v>2473</v>
      </c>
      <c r="AC79" s="5" t="s">
        <v>2470</v>
      </c>
      <c r="AF79" s="5">
        <v>30</v>
      </c>
      <c r="AG79" s="5">
        <v>254</v>
      </c>
      <c r="AH79" s="5" t="s">
        <v>85</v>
      </c>
      <c r="AI79" s="5" t="s">
        <v>2471</v>
      </c>
      <c r="AJ79" s="5">
        <v>30</v>
      </c>
      <c r="AK79" s="5">
        <v>254</v>
      </c>
      <c r="AL79" s="5">
        <v>110</v>
      </c>
      <c r="AM79" s="5">
        <v>144</v>
      </c>
      <c r="AN79" s="5">
        <v>0</v>
      </c>
      <c r="AO79" s="5">
        <v>0</v>
      </c>
      <c r="AP79" s="5">
        <v>0</v>
      </c>
      <c r="AQ79" s="5">
        <v>0</v>
      </c>
      <c r="AT79" s="5">
        <v>0</v>
      </c>
      <c r="AU79" s="5">
        <v>30</v>
      </c>
      <c r="AV79" s="5" t="s">
        <v>2474</v>
      </c>
      <c r="AX79" s="5">
        <v>0</v>
      </c>
      <c r="AY79" s="5" t="s">
        <v>86</v>
      </c>
      <c r="BN79" s="5" t="s">
        <v>86</v>
      </c>
      <c r="CD79" s="5">
        <v>0</v>
      </c>
      <c r="CF79" s="1442" t="str">
        <f>IF([1]!sommaire[[#This Row],[présence des personnes déplacés interne]]="Oui","1","0")</f>
        <v>1</v>
      </c>
      <c r="CG79" s="1442" t="str">
        <f>IF([1]!sommaire[[#This Row],[présence Réfugié hors camp]]="Oui","1","0")</f>
        <v>0</v>
      </c>
      <c r="CH79" s="1442" t="str">
        <f>IF([1]!sommaire[[#This Row],[présence personnes retournées]]="Oui","1","0")</f>
        <v>0</v>
      </c>
      <c r="CI79" s="1442">
        <f>[1]!sommaire[[#This Row],[Flag PDI]]+[1]!sommaire[[#This Row],[Flag REF]]+[1]!sommaire[[#This Row],[Flag RET]]</f>
        <v>1</v>
      </c>
    </row>
    <row r="80" spans="1:87" ht="14.55" customHeight="1" x14ac:dyDescent="0.3">
      <c r="A80" s="390">
        <v>2617135</v>
      </c>
      <c r="B80" s="5" t="s">
        <v>533</v>
      </c>
      <c r="C80" s="1430" t="s">
        <v>3449</v>
      </c>
      <c r="D80" s="5" t="s">
        <v>534</v>
      </c>
      <c r="E80" s="5" t="s">
        <v>30</v>
      </c>
      <c r="F80" s="5" t="s">
        <v>3522</v>
      </c>
      <c r="G80" s="5" t="s">
        <v>535</v>
      </c>
      <c r="H80" s="5" t="s">
        <v>162</v>
      </c>
      <c r="I80" s="5" t="str">
        <f>_xlfn.XLOOKUP(sommaire[[#This Row],[Arrondissement_code]],OCHA_GIS!$F:$F,OCHA_GIS!$E:$E,,)</f>
        <v>Pétté</v>
      </c>
      <c r="J80" s="5" t="s">
        <v>536</v>
      </c>
      <c r="K80" t="s">
        <v>614</v>
      </c>
      <c r="L80" s="5" t="s">
        <v>3299</v>
      </c>
      <c r="N80" s="5" t="s">
        <v>3053</v>
      </c>
      <c r="O80" s="5" t="s">
        <v>2473</v>
      </c>
      <c r="P80" s="5" t="s">
        <v>85</v>
      </c>
      <c r="Q80" s="5" t="s">
        <v>86</v>
      </c>
      <c r="R80" s="5" t="s">
        <v>85</v>
      </c>
      <c r="T80" s="390">
        <v>3</v>
      </c>
      <c r="U80" s="5" t="s">
        <v>97</v>
      </c>
      <c r="W80" s="5" t="s">
        <v>2468</v>
      </c>
      <c r="X80" s="5" t="s">
        <v>102</v>
      </c>
      <c r="AA80" s="5" t="s">
        <v>85</v>
      </c>
      <c r="AB80" s="5" t="s">
        <v>2473</v>
      </c>
      <c r="AC80" s="5" t="s">
        <v>2470</v>
      </c>
      <c r="AF80" s="5">
        <v>17</v>
      </c>
      <c r="AG80" s="5">
        <v>140</v>
      </c>
      <c r="AH80" s="5" t="s">
        <v>85</v>
      </c>
      <c r="AI80" s="5" t="s">
        <v>2471</v>
      </c>
      <c r="AJ80" s="5">
        <v>17</v>
      </c>
      <c r="AK80" s="5">
        <v>140</v>
      </c>
      <c r="AL80" s="5">
        <v>60</v>
      </c>
      <c r="AM80" s="5">
        <v>80</v>
      </c>
      <c r="AN80" s="5">
        <v>0</v>
      </c>
      <c r="AO80" s="5">
        <v>0</v>
      </c>
      <c r="AP80" s="5">
        <v>0</v>
      </c>
      <c r="AQ80" s="5">
        <v>0</v>
      </c>
      <c r="AT80" s="5">
        <v>0</v>
      </c>
      <c r="AU80" s="5">
        <v>17</v>
      </c>
      <c r="AV80" s="5" t="s">
        <v>2475</v>
      </c>
      <c r="AX80" s="5">
        <v>0</v>
      </c>
      <c r="AY80" s="5" t="s">
        <v>86</v>
      </c>
      <c r="BN80" s="5" t="s">
        <v>86</v>
      </c>
      <c r="CD80" s="5">
        <v>0</v>
      </c>
      <c r="CF80" s="1442" t="str">
        <f>IF([1]!sommaire[[#This Row],[présence des personnes déplacés interne]]="Oui","1","0")</f>
        <v>1</v>
      </c>
      <c r="CG80" s="1442" t="str">
        <f>IF([1]!sommaire[[#This Row],[présence Réfugié hors camp]]="Oui","1","0")</f>
        <v>0</v>
      </c>
      <c r="CH80" s="1442" t="str">
        <f>IF([1]!sommaire[[#This Row],[présence personnes retournées]]="Oui","1","0")</f>
        <v>0</v>
      </c>
      <c r="CI80" s="1442">
        <f>[1]!sommaire[[#This Row],[Flag PDI]]+[1]!sommaire[[#This Row],[Flag REF]]+[1]!sommaire[[#This Row],[Flag RET]]</f>
        <v>1</v>
      </c>
    </row>
    <row r="81" spans="1:87" ht="14.55" customHeight="1" x14ac:dyDescent="0.3">
      <c r="A81" s="390">
        <v>2605735</v>
      </c>
      <c r="B81" s="5" t="s">
        <v>533</v>
      </c>
      <c r="C81" s="1430" t="s">
        <v>3449</v>
      </c>
      <c r="D81" s="5" t="s">
        <v>534</v>
      </c>
      <c r="E81" s="5" t="s">
        <v>30</v>
      </c>
      <c r="F81" s="5" t="s">
        <v>3522</v>
      </c>
      <c r="G81" s="5" t="s">
        <v>535</v>
      </c>
      <c r="H81" s="5" t="s">
        <v>162</v>
      </c>
      <c r="I81" s="5" t="str">
        <f>_xlfn.XLOOKUP(sommaire[[#This Row],[Arrondissement_code]],OCHA_GIS!$F:$F,OCHA_GIS!$E:$E,,)</f>
        <v>Pétté</v>
      </c>
      <c r="J81" s="5" t="s">
        <v>536</v>
      </c>
      <c r="K81" t="s">
        <v>2687</v>
      </c>
      <c r="L81" s="5" t="s">
        <v>3306</v>
      </c>
      <c r="N81" s="5" t="s">
        <v>3053</v>
      </c>
      <c r="O81" s="5" t="s">
        <v>2473</v>
      </c>
      <c r="P81" s="5" t="s">
        <v>85</v>
      </c>
      <c r="Q81" s="5" t="s">
        <v>86</v>
      </c>
      <c r="R81" s="5" t="s">
        <v>85</v>
      </c>
      <c r="T81" s="390">
        <v>3</v>
      </c>
      <c r="U81" s="5" t="s">
        <v>97</v>
      </c>
      <c r="W81" s="5" t="s">
        <v>2468</v>
      </c>
      <c r="X81" s="5" t="s">
        <v>102</v>
      </c>
      <c r="AA81" s="5" t="s">
        <v>85</v>
      </c>
      <c r="AB81" s="5" t="s">
        <v>2473</v>
      </c>
      <c r="AC81" s="5" t="s">
        <v>2470</v>
      </c>
      <c r="AG81" s="5">
        <v>112</v>
      </c>
      <c r="AH81" s="5" t="s">
        <v>86</v>
      </c>
      <c r="AY81" s="5" t="s">
        <v>85</v>
      </c>
      <c r="AZ81" s="5">
        <v>19</v>
      </c>
      <c r="BA81" s="5">
        <v>112</v>
      </c>
      <c r="BB81" s="5">
        <v>58</v>
      </c>
      <c r="BC81" s="5">
        <v>54</v>
      </c>
      <c r="BD81" s="5">
        <v>0</v>
      </c>
      <c r="BE81" s="5">
        <v>0</v>
      </c>
      <c r="BF81" s="5">
        <v>0</v>
      </c>
      <c r="BH81" s="5">
        <v>0</v>
      </c>
      <c r="BI81" s="5">
        <v>19</v>
      </c>
      <c r="BJ81" s="5" t="s">
        <v>2474</v>
      </c>
      <c r="BL81" s="5">
        <v>0</v>
      </c>
      <c r="BM81" s="5">
        <v>0</v>
      </c>
      <c r="BN81" s="5" t="s">
        <v>86</v>
      </c>
      <c r="CD81" s="5">
        <v>0</v>
      </c>
      <c r="CF81" s="1442" t="str">
        <f>IF([1]!sommaire[[#This Row],[présence des personnes déplacés interne]]="Oui","1","0")</f>
        <v>0</v>
      </c>
      <c r="CG81" s="1442" t="str">
        <f>IF([1]!sommaire[[#This Row],[présence Réfugié hors camp]]="Oui","1","0")</f>
        <v>1</v>
      </c>
      <c r="CH81" s="1442" t="str">
        <f>IF([1]!sommaire[[#This Row],[présence personnes retournées]]="Oui","1","0")</f>
        <v>0</v>
      </c>
      <c r="CI81" s="1442">
        <f>[1]!sommaire[[#This Row],[Flag PDI]]+[1]!sommaire[[#This Row],[Flag REF]]+[1]!sommaire[[#This Row],[Flag RET]]</f>
        <v>1</v>
      </c>
    </row>
    <row r="82" spans="1:87" ht="14.55" customHeight="1" x14ac:dyDescent="0.3">
      <c r="A82" s="390">
        <v>2605734</v>
      </c>
      <c r="B82" s="5" t="s">
        <v>533</v>
      </c>
      <c r="C82" s="1430" t="s">
        <v>3449</v>
      </c>
      <c r="D82" s="5" t="s">
        <v>534</v>
      </c>
      <c r="E82" s="5" t="s">
        <v>30</v>
      </c>
      <c r="F82" s="5" t="s">
        <v>3522</v>
      </c>
      <c r="G82" s="5" t="s">
        <v>535</v>
      </c>
      <c r="H82" s="5" t="s">
        <v>162</v>
      </c>
      <c r="I82" s="5" t="str">
        <f>_xlfn.XLOOKUP(sommaire[[#This Row],[Arrondissement_code]],OCHA_GIS!$F:$F,OCHA_GIS!$E:$E,,)</f>
        <v>Pétté</v>
      </c>
      <c r="J82" s="5" t="s">
        <v>536</v>
      </c>
      <c r="K82" t="s">
        <v>650</v>
      </c>
      <c r="L82" s="5" t="s">
        <v>3314</v>
      </c>
      <c r="N82" s="5" t="s">
        <v>3053</v>
      </c>
      <c r="O82" s="5" t="s">
        <v>2473</v>
      </c>
      <c r="P82" s="5" t="s">
        <v>85</v>
      </c>
      <c r="Q82" s="5" t="s">
        <v>86</v>
      </c>
      <c r="R82" s="5" t="s">
        <v>86</v>
      </c>
      <c r="T82" s="390">
        <v>3</v>
      </c>
      <c r="U82" s="5" t="s">
        <v>97</v>
      </c>
      <c r="W82" s="5" t="s">
        <v>2468</v>
      </c>
      <c r="X82" s="5" t="s">
        <v>102</v>
      </c>
      <c r="AA82" s="5" t="s">
        <v>85</v>
      </c>
      <c r="AB82" s="5" t="s">
        <v>2469</v>
      </c>
      <c r="AC82" s="5" t="s">
        <v>2470</v>
      </c>
      <c r="AF82" s="5">
        <v>3</v>
      </c>
      <c r="AG82" s="5">
        <v>220</v>
      </c>
      <c r="AH82" s="5" t="s">
        <v>85</v>
      </c>
      <c r="AI82" s="5" t="s">
        <v>2471</v>
      </c>
      <c r="AJ82" s="5">
        <v>3</v>
      </c>
      <c r="AK82" s="5">
        <v>30</v>
      </c>
      <c r="AL82" s="5">
        <v>16</v>
      </c>
      <c r="AM82" s="5">
        <v>14</v>
      </c>
      <c r="AN82" s="5">
        <v>0</v>
      </c>
      <c r="AO82" s="5">
        <v>3</v>
      </c>
      <c r="AP82" s="5">
        <v>0</v>
      </c>
      <c r="AQ82" s="5">
        <v>0</v>
      </c>
      <c r="AT82" s="5">
        <v>0</v>
      </c>
      <c r="AU82" s="5">
        <v>0</v>
      </c>
      <c r="AX82" s="5">
        <v>0</v>
      </c>
      <c r="AY82" s="5" t="s">
        <v>86</v>
      </c>
      <c r="BN82" s="5" t="s">
        <v>86</v>
      </c>
      <c r="CD82" s="5">
        <v>0</v>
      </c>
      <c r="CF82" s="1442" t="str">
        <f>IF([1]!sommaire[[#This Row],[présence des personnes déplacés interne]]="Oui","1","0")</f>
        <v>1</v>
      </c>
      <c r="CG82" s="1442" t="str">
        <f>IF([1]!sommaire[[#This Row],[présence Réfugié hors camp]]="Oui","1","0")</f>
        <v>0</v>
      </c>
      <c r="CH82" s="1442" t="str">
        <f>IF([1]!sommaire[[#This Row],[présence personnes retournées]]="Oui","1","0")</f>
        <v>0</v>
      </c>
      <c r="CI82" s="1442">
        <f>[1]!sommaire[[#This Row],[Flag PDI]]+[1]!sommaire[[#This Row],[Flag REF]]+[1]!sommaire[[#This Row],[Flag RET]]</f>
        <v>1</v>
      </c>
    </row>
    <row r="83" spans="1:87" ht="14.55" customHeight="1" x14ac:dyDescent="0.3">
      <c r="A83" s="390">
        <v>2605733</v>
      </c>
      <c r="B83" s="5" t="s">
        <v>533</v>
      </c>
      <c r="C83" s="1430" t="s">
        <v>3449</v>
      </c>
      <c r="D83" s="5" t="s">
        <v>534</v>
      </c>
      <c r="E83" s="5" t="s">
        <v>30</v>
      </c>
      <c r="F83" s="5" t="s">
        <v>3522</v>
      </c>
      <c r="G83" s="5" t="s">
        <v>535</v>
      </c>
      <c r="H83" s="5" t="s">
        <v>162</v>
      </c>
      <c r="I83" s="5" t="str">
        <f>_xlfn.XLOOKUP(sommaire[[#This Row],[Arrondissement_code]],OCHA_GIS!$F:$F,OCHA_GIS!$E:$E,,)</f>
        <v>Pétté</v>
      </c>
      <c r="J83" s="5" t="s">
        <v>536</v>
      </c>
      <c r="K83" t="s">
        <v>3318</v>
      </c>
      <c r="L83" s="5" t="s">
        <v>2773</v>
      </c>
      <c r="N83" s="5" t="s">
        <v>3053</v>
      </c>
      <c r="O83" s="5" t="s">
        <v>2467</v>
      </c>
      <c r="P83" s="5" t="s">
        <v>85</v>
      </c>
      <c r="Q83" s="5" t="s">
        <v>86</v>
      </c>
      <c r="R83" s="5" t="s">
        <v>86</v>
      </c>
      <c r="T83" s="390">
        <v>3</v>
      </c>
      <c r="U83" s="5" t="s">
        <v>97</v>
      </c>
      <c r="W83" s="5" t="s">
        <v>2468</v>
      </c>
      <c r="X83" s="5" t="s">
        <v>102</v>
      </c>
      <c r="AA83" s="5" t="s">
        <v>85</v>
      </c>
      <c r="AB83" s="5" t="s">
        <v>2469</v>
      </c>
      <c r="AC83" s="5" t="s">
        <v>2470</v>
      </c>
      <c r="AD83" s="5" t="s">
        <v>86</v>
      </c>
      <c r="AF83" s="5">
        <v>2</v>
      </c>
      <c r="AG83" s="5">
        <v>1000</v>
      </c>
      <c r="AH83" s="5" t="s">
        <v>85</v>
      </c>
      <c r="AI83" s="5" t="s">
        <v>2471</v>
      </c>
      <c r="AJ83" s="5">
        <v>2</v>
      </c>
      <c r="AK83" s="5">
        <v>11</v>
      </c>
      <c r="AL83" s="5">
        <v>6</v>
      </c>
      <c r="AM83" s="5">
        <v>5</v>
      </c>
      <c r="AN83" s="5">
        <v>0</v>
      </c>
      <c r="AO83" s="5">
        <v>2</v>
      </c>
      <c r="AP83" s="5">
        <v>0</v>
      </c>
      <c r="AQ83" s="5">
        <v>0</v>
      </c>
      <c r="AT83" s="5">
        <v>0</v>
      </c>
      <c r="AU83" s="5">
        <v>0</v>
      </c>
      <c r="AX83" s="5">
        <v>0</v>
      </c>
      <c r="AY83" s="5" t="s">
        <v>86</v>
      </c>
      <c r="BN83" s="5" t="s">
        <v>86</v>
      </c>
      <c r="CD83" s="5">
        <v>0</v>
      </c>
      <c r="CF83" s="1442" t="str">
        <f>IF([1]!sommaire[[#This Row],[présence des personnes déplacés interne]]="Oui","1","0")</f>
        <v>1</v>
      </c>
      <c r="CG83" s="1442" t="str">
        <f>IF([1]!sommaire[[#This Row],[présence Réfugié hors camp]]="Oui","1","0")</f>
        <v>0</v>
      </c>
      <c r="CH83" s="1442" t="str">
        <f>IF([1]!sommaire[[#This Row],[présence personnes retournées]]="Oui","1","0")</f>
        <v>0</v>
      </c>
      <c r="CI83" s="1442">
        <f>[1]!sommaire[[#This Row],[Flag PDI]]+[1]!sommaire[[#This Row],[Flag REF]]+[1]!sommaire[[#This Row],[Flag RET]]</f>
        <v>1</v>
      </c>
    </row>
    <row r="84" spans="1:87" ht="14.55" customHeight="1" x14ac:dyDescent="0.3">
      <c r="A84" s="390">
        <v>2576191</v>
      </c>
      <c r="B84" s="5" t="s">
        <v>533</v>
      </c>
      <c r="C84" s="1430" t="s">
        <v>3449</v>
      </c>
      <c r="D84" s="5" t="s">
        <v>534</v>
      </c>
      <c r="E84" s="5" t="s">
        <v>30</v>
      </c>
      <c r="F84" s="5" t="s">
        <v>3522</v>
      </c>
      <c r="G84" s="5" t="s">
        <v>535</v>
      </c>
      <c r="H84" s="5" t="s">
        <v>162</v>
      </c>
      <c r="I84" s="5" t="str">
        <f>_xlfn.XLOOKUP(sommaire[[#This Row],[Arrondissement_code]],OCHA_GIS!$F:$F,OCHA_GIS!$E:$E,,)</f>
        <v>Pétté</v>
      </c>
      <c r="J84" s="5" t="s">
        <v>536</v>
      </c>
      <c r="K84" t="s">
        <v>654</v>
      </c>
      <c r="L84" s="5" t="s">
        <v>651</v>
      </c>
      <c r="N84" s="5" t="s">
        <v>3053</v>
      </c>
      <c r="O84" s="5" t="s">
        <v>2467</v>
      </c>
      <c r="P84" s="5" t="s">
        <v>85</v>
      </c>
      <c r="Q84" s="5" t="s">
        <v>86</v>
      </c>
      <c r="R84" s="5" t="s">
        <v>85</v>
      </c>
      <c r="T84" s="390">
        <v>3</v>
      </c>
      <c r="U84" s="5" t="s">
        <v>97</v>
      </c>
      <c r="W84" s="5" t="s">
        <v>2468</v>
      </c>
      <c r="X84" s="5" t="s">
        <v>102</v>
      </c>
      <c r="AA84" s="5" t="s">
        <v>85</v>
      </c>
      <c r="AB84" s="5" t="s">
        <v>2469</v>
      </c>
      <c r="AC84" s="5" t="s">
        <v>2470</v>
      </c>
      <c r="AD84" s="5" t="s">
        <v>86</v>
      </c>
      <c r="AF84" s="5">
        <v>8</v>
      </c>
      <c r="AG84" s="5">
        <v>280</v>
      </c>
      <c r="AH84" s="5" t="s">
        <v>85</v>
      </c>
      <c r="AI84" s="5" t="s">
        <v>2471</v>
      </c>
      <c r="AJ84" s="5">
        <v>8</v>
      </c>
      <c r="AK84" s="5">
        <v>53</v>
      </c>
      <c r="AL84" s="5">
        <v>21</v>
      </c>
      <c r="AM84" s="5">
        <v>32</v>
      </c>
      <c r="AN84" s="5">
        <v>0</v>
      </c>
      <c r="AO84" s="5">
        <v>8</v>
      </c>
      <c r="AP84" s="5">
        <v>0</v>
      </c>
      <c r="AQ84" s="5">
        <v>0</v>
      </c>
      <c r="AT84" s="5">
        <v>0</v>
      </c>
      <c r="AU84" s="5">
        <v>0</v>
      </c>
      <c r="AX84" s="5">
        <v>0</v>
      </c>
      <c r="AY84" s="5" t="s">
        <v>86</v>
      </c>
      <c r="BN84" s="5" t="s">
        <v>86</v>
      </c>
      <c r="CD84" s="5">
        <v>0</v>
      </c>
      <c r="CF84" s="1442" t="str">
        <f>IF([1]!sommaire[[#This Row],[présence des personnes déplacés interne]]="Oui","1","0")</f>
        <v>1</v>
      </c>
      <c r="CG84" s="1442" t="str">
        <f>IF([1]!sommaire[[#This Row],[présence Réfugié hors camp]]="Oui","1","0")</f>
        <v>0</v>
      </c>
      <c r="CH84" s="1442" t="str">
        <f>IF([1]!sommaire[[#This Row],[présence personnes retournées]]="Oui","1","0")</f>
        <v>0</v>
      </c>
      <c r="CI84" s="1442">
        <f>[1]!sommaire[[#This Row],[Flag PDI]]+[1]!sommaire[[#This Row],[Flag REF]]+[1]!sommaire[[#This Row],[Flag RET]]</f>
        <v>1</v>
      </c>
    </row>
    <row r="85" spans="1:87" ht="14.55" customHeight="1" x14ac:dyDescent="0.3">
      <c r="A85" s="390">
        <v>2621475</v>
      </c>
      <c r="B85" s="5" t="s">
        <v>533</v>
      </c>
      <c r="C85" s="1430" t="s">
        <v>3449</v>
      </c>
      <c r="D85" s="5" t="s">
        <v>534</v>
      </c>
      <c r="E85" s="5" t="s">
        <v>30</v>
      </c>
      <c r="F85" s="5" t="s">
        <v>3522</v>
      </c>
      <c r="G85" s="5" t="s">
        <v>535</v>
      </c>
      <c r="H85" s="5" t="s">
        <v>162</v>
      </c>
      <c r="I85" s="5" t="str">
        <f>_xlfn.XLOOKUP(sommaire[[#This Row],[Arrondissement_code]],OCHA_GIS!$F:$F,OCHA_GIS!$E:$E,,)</f>
        <v>Pétté</v>
      </c>
      <c r="J85" s="5" t="s">
        <v>536</v>
      </c>
      <c r="K85" t="s">
        <v>3018</v>
      </c>
      <c r="L85" s="5" t="s">
        <v>653</v>
      </c>
      <c r="N85" s="5" t="s">
        <v>3053</v>
      </c>
      <c r="O85" s="5" t="s">
        <v>2467</v>
      </c>
      <c r="P85" s="5" t="s">
        <v>85</v>
      </c>
      <c r="Q85" s="5" t="s">
        <v>86</v>
      </c>
      <c r="R85" s="5" t="s">
        <v>85</v>
      </c>
      <c r="T85" s="390">
        <v>3</v>
      </c>
      <c r="U85" s="5" t="s">
        <v>97</v>
      </c>
      <c r="W85" s="5" t="s">
        <v>2468</v>
      </c>
      <c r="X85" s="5" t="s">
        <v>102</v>
      </c>
      <c r="AA85" s="5" t="s">
        <v>85</v>
      </c>
      <c r="AB85" s="5" t="s">
        <v>2469</v>
      </c>
      <c r="AC85" s="5" t="s">
        <v>2470</v>
      </c>
      <c r="AD85" s="5" t="s">
        <v>86</v>
      </c>
      <c r="AF85" s="5">
        <v>3</v>
      </c>
      <c r="AG85" s="5">
        <v>163</v>
      </c>
      <c r="AH85" s="5" t="s">
        <v>85</v>
      </c>
      <c r="AI85" s="5" t="s">
        <v>2471</v>
      </c>
      <c r="AJ85" s="5">
        <v>3</v>
      </c>
      <c r="AK85" s="5">
        <v>21</v>
      </c>
      <c r="AL85" s="5">
        <v>10</v>
      </c>
      <c r="AM85" s="5">
        <v>11</v>
      </c>
      <c r="AN85" s="5">
        <v>0</v>
      </c>
      <c r="AO85" s="5">
        <v>3</v>
      </c>
      <c r="AP85" s="5">
        <v>0</v>
      </c>
      <c r="AQ85" s="5">
        <v>0</v>
      </c>
      <c r="AT85" s="5">
        <v>0</v>
      </c>
      <c r="AU85" s="5">
        <v>0</v>
      </c>
      <c r="AX85" s="5">
        <v>0</v>
      </c>
      <c r="AY85" s="5" t="s">
        <v>86</v>
      </c>
      <c r="BN85" s="5" t="s">
        <v>86</v>
      </c>
      <c r="CD85" s="5">
        <v>0</v>
      </c>
      <c r="CF85" s="1442" t="str">
        <f>IF([1]!sommaire[[#This Row],[présence des personnes déplacés interne]]="Oui","1","0")</f>
        <v>1</v>
      </c>
      <c r="CG85" s="1442" t="str">
        <f>IF([1]!sommaire[[#This Row],[présence Réfugié hors camp]]="Oui","1","0")</f>
        <v>0</v>
      </c>
      <c r="CH85" s="1442" t="str">
        <f>IF([1]!sommaire[[#This Row],[présence personnes retournées]]="Oui","1","0")</f>
        <v>0</v>
      </c>
      <c r="CI85" s="1442">
        <f>[1]!sommaire[[#This Row],[Flag PDI]]+[1]!sommaire[[#This Row],[Flag REF]]+[1]!sommaire[[#This Row],[Flag RET]]</f>
        <v>1</v>
      </c>
    </row>
    <row r="86" spans="1:87" ht="14.55" customHeight="1" x14ac:dyDescent="0.3">
      <c r="A86" s="390">
        <v>2660377</v>
      </c>
      <c r="B86" s="5" t="s">
        <v>533</v>
      </c>
      <c r="C86" s="1430" t="s">
        <v>3449</v>
      </c>
      <c r="D86" s="1090" t="s">
        <v>534</v>
      </c>
      <c r="E86" s="5" t="s">
        <v>31</v>
      </c>
      <c r="F86" s="5" t="s">
        <v>31</v>
      </c>
      <c r="G86" s="5" t="s">
        <v>549</v>
      </c>
      <c r="H86" s="5" t="s">
        <v>164</v>
      </c>
      <c r="I86" s="5" t="str">
        <f>_xlfn.XLOOKUP(sommaire[[#This Row],[Arrondissement_code]],OCHA_GIS!$F:$F,OCHA_GIS!$E:$E,,)</f>
        <v>Blangoua</v>
      </c>
      <c r="J86" s="5" t="s">
        <v>748</v>
      </c>
      <c r="K86" t="s">
        <v>550</v>
      </c>
      <c r="L86" s="5" t="s">
        <v>3172</v>
      </c>
      <c r="M86" s="5" t="s">
        <v>3172</v>
      </c>
      <c r="N86" s="5" t="s">
        <v>3053</v>
      </c>
      <c r="O86" s="5" t="s">
        <v>2473</v>
      </c>
      <c r="P86" s="5" t="s">
        <v>85</v>
      </c>
      <c r="Q86" s="5" t="s">
        <v>86</v>
      </c>
      <c r="R86" s="5" t="s">
        <v>86</v>
      </c>
      <c r="T86" s="390">
        <v>3</v>
      </c>
      <c r="U86" s="5" t="s">
        <v>97</v>
      </c>
      <c r="W86" s="5" t="s">
        <v>2468</v>
      </c>
      <c r="X86" s="5" t="s">
        <v>101</v>
      </c>
      <c r="Y86" s="5" t="s">
        <v>2476</v>
      </c>
      <c r="AA86" s="5" t="s">
        <v>85</v>
      </c>
      <c r="AB86" s="5" t="s">
        <v>2473</v>
      </c>
      <c r="AC86" s="5" t="s">
        <v>2470</v>
      </c>
      <c r="AF86" s="5">
        <v>29</v>
      </c>
      <c r="AG86" s="5">
        <v>116</v>
      </c>
      <c r="AH86" s="5" t="s">
        <v>85</v>
      </c>
      <c r="AI86" s="5" t="s">
        <v>2471</v>
      </c>
      <c r="AJ86" s="5">
        <v>29</v>
      </c>
      <c r="AK86" s="5">
        <v>116</v>
      </c>
      <c r="AL86" s="5">
        <v>46</v>
      </c>
      <c r="AM86" s="5">
        <v>70</v>
      </c>
      <c r="AN86" s="5">
        <v>0</v>
      </c>
      <c r="AO86" s="5">
        <v>0</v>
      </c>
      <c r="AP86" s="5">
        <v>0</v>
      </c>
      <c r="AQ86" s="5">
        <v>0</v>
      </c>
      <c r="AT86" s="5">
        <v>0</v>
      </c>
      <c r="AU86" s="5">
        <v>29</v>
      </c>
      <c r="AV86" s="5" t="s">
        <v>2490</v>
      </c>
      <c r="AX86" s="5">
        <v>0</v>
      </c>
      <c r="AY86" s="5" t="s">
        <v>86</v>
      </c>
      <c r="BN86" s="5" t="s">
        <v>86</v>
      </c>
      <c r="CD86" s="5">
        <v>0</v>
      </c>
      <c r="CF86" s="1442" t="str">
        <f>IF([1]!sommaire[[#This Row],[présence des personnes déplacés interne]]="Oui","1","0")</f>
        <v>1</v>
      </c>
      <c r="CG86" s="1442" t="str">
        <f>IF([1]!sommaire[[#This Row],[présence Réfugié hors camp]]="Oui","1","0")</f>
        <v>0</v>
      </c>
      <c r="CH86" s="1442" t="str">
        <f>IF([1]!sommaire[[#This Row],[présence personnes retournées]]="Oui","1","0")</f>
        <v>0</v>
      </c>
      <c r="CI86" s="1442">
        <f>[1]!sommaire[[#This Row],[Flag PDI]]+[1]!sommaire[[#This Row],[Flag REF]]+[1]!sommaire[[#This Row],[Flag RET]]</f>
        <v>1</v>
      </c>
    </row>
    <row r="87" spans="1:87" ht="14.55" customHeight="1" x14ac:dyDescent="0.3">
      <c r="A87" s="390">
        <v>2577860</v>
      </c>
      <c r="B87" s="5" t="s">
        <v>533</v>
      </c>
      <c r="C87" s="1430" t="s">
        <v>3449</v>
      </c>
      <c r="D87" s="1090" t="s">
        <v>534</v>
      </c>
      <c r="E87" s="5" t="s">
        <v>31</v>
      </c>
      <c r="F87" s="5" t="s">
        <v>31</v>
      </c>
      <c r="G87" s="5" t="s">
        <v>549</v>
      </c>
      <c r="H87" s="5" t="s">
        <v>164</v>
      </c>
      <c r="I87" s="5" t="str">
        <f>_xlfn.XLOOKUP(sommaire[[#This Row],[Arrondissement_code]],OCHA_GIS!$F:$F,OCHA_GIS!$E:$E,,)</f>
        <v>Blangoua</v>
      </c>
      <c r="J87" s="5" t="s">
        <v>748</v>
      </c>
      <c r="K87" t="s">
        <v>550</v>
      </c>
      <c r="L87" s="5" t="s">
        <v>3179</v>
      </c>
      <c r="M87" s="5" t="s">
        <v>3179</v>
      </c>
      <c r="N87" s="5" t="s">
        <v>3053</v>
      </c>
      <c r="O87" s="5" t="s">
        <v>2473</v>
      </c>
      <c r="P87" s="5" t="s">
        <v>86</v>
      </c>
      <c r="Q87" s="5" t="s">
        <v>85</v>
      </c>
      <c r="R87" s="5" t="s">
        <v>86</v>
      </c>
      <c r="S87" s="390">
        <v>6</v>
      </c>
      <c r="U87" s="5" t="s">
        <v>97</v>
      </c>
      <c r="W87" s="5" t="s">
        <v>2468</v>
      </c>
      <c r="X87" s="5" t="s">
        <v>102</v>
      </c>
      <c r="AA87" s="5" t="s">
        <v>85</v>
      </c>
      <c r="AB87" s="5" t="s">
        <v>2473</v>
      </c>
      <c r="AC87" s="5" t="s">
        <v>2470</v>
      </c>
      <c r="AD87" s="1090"/>
      <c r="AF87" s="5">
        <v>669</v>
      </c>
      <c r="AG87" s="5">
        <v>2285</v>
      </c>
      <c r="AH87" s="5" t="s">
        <v>85</v>
      </c>
      <c r="AI87" s="5" t="s">
        <v>2471</v>
      </c>
      <c r="AJ87" s="5">
        <v>669</v>
      </c>
      <c r="AK87" s="5">
        <v>2285</v>
      </c>
      <c r="AL87" s="5">
        <v>1000</v>
      </c>
      <c r="AM87" s="5">
        <v>1285</v>
      </c>
      <c r="AN87" s="5">
        <v>0</v>
      </c>
      <c r="AO87" s="5">
        <v>0</v>
      </c>
      <c r="AP87" s="5">
        <v>0</v>
      </c>
      <c r="AQ87" s="5">
        <v>0</v>
      </c>
      <c r="AT87" s="5">
        <v>0</v>
      </c>
      <c r="AU87" s="5">
        <v>669</v>
      </c>
      <c r="AV87" s="5" t="s">
        <v>2490</v>
      </c>
      <c r="AX87" s="5">
        <v>0</v>
      </c>
      <c r="AY87" s="5" t="s">
        <v>86</v>
      </c>
      <c r="BN87" s="5" t="s">
        <v>86</v>
      </c>
      <c r="CD87" s="5">
        <v>0</v>
      </c>
      <c r="CF87" s="1442" t="str">
        <f>IF([1]!sommaire[[#This Row],[présence des personnes déplacés interne]]="Oui","1","0")</f>
        <v>1</v>
      </c>
      <c r="CG87" s="1442" t="str">
        <f>IF([1]!sommaire[[#This Row],[présence Réfugié hors camp]]="Oui","1","0")</f>
        <v>0</v>
      </c>
      <c r="CH87" s="1442" t="str">
        <f>IF([1]!sommaire[[#This Row],[présence personnes retournées]]="Oui","1","0")</f>
        <v>0</v>
      </c>
      <c r="CI87" s="1442">
        <f>[1]!sommaire[[#This Row],[Flag PDI]]+[1]!sommaire[[#This Row],[Flag REF]]+[1]!sommaire[[#This Row],[Flag RET]]</f>
        <v>1</v>
      </c>
    </row>
    <row r="88" spans="1:87" ht="14.55" customHeight="1" x14ac:dyDescent="0.3">
      <c r="A88" s="390">
        <v>2590842</v>
      </c>
      <c r="B88" s="5" t="s">
        <v>533</v>
      </c>
      <c r="C88" s="1430" t="s">
        <v>3449</v>
      </c>
      <c r="D88" s="1090" t="s">
        <v>534</v>
      </c>
      <c r="E88" s="5" t="s">
        <v>31</v>
      </c>
      <c r="F88" s="5" t="s">
        <v>31</v>
      </c>
      <c r="G88" s="5" t="s">
        <v>549</v>
      </c>
      <c r="H88" s="5" t="s">
        <v>164</v>
      </c>
      <c r="I88" s="5" t="str">
        <f>_xlfn.XLOOKUP(sommaire[[#This Row],[Arrondissement_code]],OCHA_GIS!$F:$F,OCHA_GIS!$E:$E,,)</f>
        <v>Blangoua</v>
      </c>
      <c r="J88" s="5" t="s">
        <v>748</v>
      </c>
      <c r="K88" t="s">
        <v>550</v>
      </c>
      <c r="L88" s="5" t="s">
        <v>3182</v>
      </c>
      <c r="M88" s="5" t="s">
        <v>3182</v>
      </c>
      <c r="N88" s="5" t="s">
        <v>3053</v>
      </c>
      <c r="O88" s="5" t="s">
        <v>2473</v>
      </c>
      <c r="P88" s="5" t="s">
        <v>85</v>
      </c>
      <c r="Q88" s="5" t="s">
        <v>86</v>
      </c>
      <c r="R88" s="5" t="s">
        <v>86</v>
      </c>
      <c r="T88" s="390">
        <v>4</v>
      </c>
      <c r="U88" s="5" t="s">
        <v>97</v>
      </c>
      <c r="W88" s="5" t="s">
        <v>2468</v>
      </c>
      <c r="X88" s="5" t="s">
        <v>102</v>
      </c>
      <c r="AA88" s="5" t="s">
        <v>85</v>
      </c>
      <c r="AB88" s="5" t="s">
        <v>2473</v>
      </c>
      <c r="AC88" s="5" t="s">
        <v>2470</v>
      </c>
      <c r="AD88" s="1090"/>
      <c r="AF88" s="5">
        <v>130</v>
      </c>
      <c r="AG88" s="5">
        <v>800</v>
      </c>
      <c r="AH88" s="5" t="s">
        <v>85</v>
      </c>
      <c r="AI88" s="5" t="s">
        <v>2471</v>
      </c>
      <c r="AJ88" s="5">
        <v>130</v>
      </c>
      <c r="AK88" s="5">
        <v>800</v>
      </c>
      <c r="AL88" s="5">
        <v>350</v>
      </c>
      <c r="AM88" s="5">
        <v>450</v>
      </c>
      <c r="AN88" s="5">
        <v>0</v>
      </c>
      <c r="AO88" s="5">
        <v>0</v>
      </c>
      <c r="AP88" s="5">
        <v>0</v>
      </c>
      <c r="AQ88" s="5">
        <v>0</v>
      </c>
      <c r="AT88" s="5">
        <v>0</v>
      </c>
      <c r="AU88" s="5">
        <v>130</v>
      </c>
      <c r="AV88" s="5" t="s">
        <v>2490</v>
      </c>
      <c r="AX88" s="5">
        <v>0</v>
      </c>
      <c r="AY88" s="5" t="s">
        <v>86</v>
      </c>
      <c r="BN88" s="5" t="s">
        <v>86</v>
      </c>
      <c r="CD88" s="5">
        <v>0</v>
      </c>
      <c r="CF88" s="1442" t="str">
        <f>IF([1]!sommaire[[#This Row],[présence des personnes déplacés interne]]="Oui","1","0")</f>
        <v>1</v>
      </c>
      <c r="CG88" s="1442" t="str">
        <f>IF([1]!sommaire[[#This Row],[présence Réfugié hors camp]]="Oui","1","0")</f>
        <v>0</v>
      </c>
      <c r="CH88" s="1442" t="str">
        <f>IF([1]!sommaire[[#This Row],[présence personnes retournées]]="Oui","1","0")</f>
        <v>0</v>
      </c>
      <c r="CI88" s="1442">
        <f>[1]!sommaire[[#This Row],[Flag PDI]]+[1]!sommaire[[#This Row],[Flag REF]]+[1]!sommaire[[#This Row],[Flag RET]]</f>
        <v>1</v>
      </c>
    </row>
    <row r="89" spans="1:87" ht="14.55" customHeight="1" x14ac:dyDescent="0.3">
      <c r="A89" s="390">
        <v>2622924</v>
      </c>
      <c r="B89" s="5" t="s">
        <v>533</v>
      </c>
      <c r="C89" s="1430" t="s">
        <v>3449</v>
      </c>
      <c r="D89" s="1090" t="s">
        <v>534</v>
      </c>
      <c r="E89" s="5" t="s">
        <v>31</v>
      </c>
      <c r="F89" s="5" t="s">
        <v>31</v>
      </c>
      <c r="G89" s="5" t="s">
        <v>549</v>
      </c>
      <c r="H89" s="5" t="s">
        <v>164</v>
      </c>
      <c r="I89" s="5" t="str">
        <f>_xlfn.XLOOKUP(sommaire[[#This Row],[Arrondissement_code]],OCHA_GIS!$F:$F,OCHA_GIS!$E:$E,,)</f>
        <v>Blangoua</v>
      </c>
      <c r="J89" s="5" t="s">
        <v>748</v>
      </c>
      <c r="K89" t="s">
        <v>909</v>
      </c>
      <c r="L89" s="5" t="s">
        <v>910</v>
      </c>
      <c r="N89" s="5" t="s">
        <v>3053</v>
      </c>
      <c r="O89" s="5" t="s">
        <v>2467</v>
      </c>
      <c r="P89" s="5" t="s">
        <v>85</v>
      </c>
      <c r="Q89" s="5" t="s">
        <v>86</v>
      </c>
      <c r="R89" s="5" t="s">
        <v>86</v>
      </c>
      <c r="T89" s="390">
        <v>3</v>
      </c>
      <c r="U89" s="5" t="s">
        <v>97</v>
      </c>
      <c r="W89" s="5" t="s">
        <v>2468</v>
      </c>
      <c r="X89" s="5" t="s">
        <v>102</v>
      </c>
      <c r="AA89" s="5" t="s">
        <v>85</v>
      </c>
      <c r="AB89" s="5" t="s">
        <v>2469</v>
      </c>
      <c r="AC89" s="5" t="s">
        <v>2470</v>
      </c>
      <c r="AD89" s="5" t="s">
        <v>86</v>
      </c>
      <c r="AF89" s="5">
        <v>14</v>
      </c>
      <c r="AG89" s="5">
        <v>198</v>
      </c>
      <c r="AH89" s="5" t="s">
        <v>85</v>
      </c>
      <c r="AI89" s="5" t="s">
        <v>2471</v>
      </c>
      <c r="AJ89" s="5">
        <v>14</v>
      </c>
      <c r="AK89" s="5">
        <v>38</v>
      </c>
      <c r="AL89" s="5">
        <v>14</v>
      </c>
      <c r="AM89" s="5">
        <v>24</v>
      </c>
      <c r="AN89" s="5">
        <v>10</v>
      </c>
      <c r="AO89" s="5">
        <v>3</v>
      </c>
      <c r="AP89" s="5">
        <v>1</v>
      </c>
      <c r="AQ89" s="5">
        <v>0</v>
      </c>
      <c r="AT89" s="5">
        <v>0</v>
      </c>
      <c r="AU89" s="5">
        <v>0</v>
      </c>
      <c r="AX89" s="5">
        <v>0</v>
      </c>
      <c r="AY89" s="5" t="s">
        <v>85</v>
      </c>
      <c r="AZ89" s="5">
        <v>1</v>
      </c>
      <c r="BA89" s="5">
        <v>4</v>
      </c>
      <c r="BB89" s="5">
        <v>2</v>
      </c>
      <c r="BC89" s="5">
        <v>2</v>
      </c>
      <c r="BD89" s="5">
        <v>1</v>
      </c>
      <c r="BE89" s="5">
        <v>0</v>
      </c>
      <c r="BF89" s="5">
        <v>0</v>
      </c>
      <c r="BH89" s="5">
        <v>0</v>
      </c>
      <c r="BI89" s="5">
        <v>0</v>
      </c>
      <c r="BL89" s="5">
        <v>0</v>
      </c>
      <c r="BM89" s="5">
        <v>0</v>
      </c>
      <c r="BN89" s="5" t="s">
        <v>86</v>
      </c>
      <c r="CD89" s="5">
        <v>0</v>
      </c>
      <c r="CF89" s="1442" t="str">
        <f>IF([1]!sommaire[[#This Row],[présence des personnes déplacés interne]]="Oui","1","0")</f>
        <v>1</v>
      </c>
      <c r="CG89" s="1442" t="str">
        <f>IF([1]!sommaire[[#This Row],[présence Réfugié hors camp]]="Oui","1","0")</f>
        <v>1</v>
      </c>
      <c r="CH89" s="1442" t="str">
        <f>IF([1]!sommaire[[#This Row],[présence personnes retournées]]="Oui","1","0")</f>
        <v>0</v>
      </c>
      <c r="CI89" s="1442">
        <f>[1]!sommaire[[#This Row],[Flag PDI]]+[1]!sommaire[[#This Row],[Flag REF]]+[1]!sommaire[[#This Row],[Flag RET]]</f>
        <v>2</v>
      </c>
    </row>
    <row r="90" spans="1:87" ht="14.55" customHeight="1" x14ac:dyDescent="0.3">
      <c r="A90" s="390">
        <v>2587753</v>
      </c>
      <c r="B90" s="5" t="s">
        <v>533</v>
      </c>
      <c r="C90" s="1430" t="s">
        <v>3449</v>
      </c>
      <c r="D90" s="1090" t="s">
        <v>534</v>
      </c>
      <c r="E90" s="5" t="s">
        <v>31</v>
      </c>
      <c r="F90" s="5" t="s">
        <v>31</v>
      </c>
      <c r="G90" s="5" t="s">
        <v>549</v>
      </c>
      <c r="H90" s="1090" t="s">
        <v>164</v>
      </c>
      <c r="I90" s="1090" t="str">
        <f>_xlfn.XLOOKUP(sommaire[[#This Row],[Arrondissement_code]],OCHA_GIS!$F:$F,OCHA_GIS!$E:$E,,)</f>
        <v>Blangoua</v>
      </c>
      <c r="J90" s="5" t="s">
        <v>748</v>
      </c>
      <c r="K90" t="s">
        <v>749</v>
      </c>
      <c r="L90" s="5" t="s">
        <v>750</v>
      </c>
      <c r="N90" s="5" t="s">
        <v>3053</v>
      </c>
      <c r="O90" s="5" t="s">
        <v>2467</v>
      </c>
      <c r="P90" s="5" t="s">
        <v>85</v>
      </c>
      <c r="Q90" s="5" t="s">
        <v>86</v>
      </c>
      <c r="R90" s="5" t="s">
        <v>86</v>
      </c>
      <c r="T90" s="390">
        <v>3</v>
      </c>
      <c r="U90" s="5" t="s">
        <v>97</v>
      </c>
      <c r="W90" s="5" t="s">
        <v>2468</v>
      </c>
      <c r="X90" s="5" t="s">
        <v>103</v>
      </c>
      <c r="Y90" s="5" t="s">
        <v>2476</v>
      </c>
      <c r="AA90" s="5" t="s">
        <v>85</v>
      </c>
      <c r="AB90" s="5" t="s">
        <v>2469</v>
      </c>
      <c r="AC90" s="5" t="s">
        <v>2470</v>
      </c>
      <c r="AD90" s="5" t="s">
        <v>86</v>
      </c>
      <c r="AF90" s="5">
        <v>7</v>
      </c>
      <c r="AG90" s="5">
        <v>450</v>
      </c>
      <c r="AH90" s="5" t="s">
        <v>85</v>
      </c>
      <c r="AI90" s="5" t="s">
        <v>2471</v>
      </c>
      <c r="AJ90" s="5">
        <v>7</v>
      </c>
      <c r="AK90" s="5">
        <v>28</v>
      </c>
      <c r="AL90" s="5">
        <v>8</v>
      </c>
      <c r="AM90" s="5">
        <v>20</v>
      </c>
      <c r="AN90" s="5">
        <v>4</v>
      </c>
      <c r="AO90" s="5">
        <v>2</v>
      </c>
      <c r="AP90" s="5">
        <v>1</v>
      </c>
      <c r="AQ90" s="5">
        <v>0</v>
      </c>
      <c r="AT90" s="5">
        <v>0</v>
      </c>
      <c r="AU90" s="5">
        <v>0</v>
      </c>
      <c r="AX90" s="5">
        <v>0</v>
      </c>
      <c r="AY90" s="5" t="s">
        <v>85</v>
      </c>
      <c r="AZ90" s="5">
        <v>2</v>
      </c>
      <c r="BA90" s="5">
        <v>5</v>
      </c>
      <c r="BB90" s="5">
        <v>3</v>
      </c>
      <c r="BC90" s="5">
        <v>2</v>
      </c>
      <c r="BD90" s="5">
        <v>2</v>
      </c>
      <c r="BE90" s="5">
        <v>0</v>
      </c>
      <c r="BF90" s="5">
        <v>0</v>
      </c>
      <c r="BH90" s="5">
        <v>0</v>
      </c>
      <c r="BI90" s="5">
        <v>0</v>
      </c>
      <c r="BL90" s="5">
        <v>0</v>
      </c>
      <c r="BM90" s="5">
        <v>0</v>
      </c>
      <c r="BN90" s="5" t="s">
        <v>86</v>
      </c>
      <c r="CD90" s="5">
        <v>2</v>
      </c>
      <c r="CF90" s="1442" t="str">
        <f>IF([1]!sommaire[[#This Row],[présence des personnes déplacés interne]]="Oui","1","0")</f>
        <v>1</v>
      </c>
      <c r="CG90" s="1442" t="str">
        <f>IF([1]!sommaire[[#This Row],[présence Réfugié hors camp]]="Oui","1","0")</f>
        <v>1</v>
      </c>
      <c r="CH90" s="1442" t="str">
        <f>IF([1]!sommaire[[#This Row],[présence personnes retournées]]="Oui","1","0")</f>
        <v>0</v>
      </c>
      <c r="CI90" s="1442">
        <f>[1]!sommaire[[#This Row],[Flag PDI]]+[1]!sommaire[[#This Row],[Flag REF]]+[1]!sommaire[[#This Row],[Flag RET]]</f>
        <v>2</v>
      </c>
    </row>
    <row r="91" spans="1:87" ht="14.55" customHeight="1" x14ac:dyDescent="0.3">
      <c r="A91" s="390">
        <v>2622926</v>
      </c>
      <c r="B91" s="5" t="s">
        <v>533</v>
      </c>
      <c r="C91" s="1430" t="s">
        <v>3449</v>
      </c>
      <c r="D91" s="1090" t="s">
        <v>534</v>
      </c>
      <c r="E91" s="5" t="s">
        <v>31</v>
      </c>
      <c r="F91" s="5" t="s">
        <v>31</v>
      </c>
      <c r="G91" s="5" t="s">
        <v>549</v>
      </c>
      <c r="H91" s="1090" t="s">
        <v>164</v>
      </c>
      <c r="I91" s="1090" t="str">
        <f>_xlfn.XLOOKUP(sommaire[[#This Row],[Arrondissement_code]],OCHA_GIS!$F:$F,OCHA_GIS!$E:$E,,)</f>
        <v>Blangoua</v>
      </c>
      <c r="J91" s="5" t="s">
        <v>748</v>
      </c>
      <c r="K91" t="s">
        <v>2038</v>
      </c>
      <c r="L91" s="5" t="s">
        <v>2039</v>
      </c>
      <c r="N91" s="5" t="s">
        <v>3052</v>
      </c>
      <c r="O91" s="5" t="s">
        <v>2467</v>
      </c>
      <c r="P91" s="5" t="s">
        <v>85</v>
      </c>
      <c r="Q91" s="5" t="s">
        <v>86</v>
      </c>
      <c r="R91" s="5" t="s">
        <v>86</v>
      </c>
      <c r="T91" s="390">
        <v>3</v>
      </c>
      <c r="U91" s="5" t="s">
        <v>97</v>
      </c>
      <c r="W91" s="5" t="s">
        <v>2468</v>
      </c>
      <c r="X91" s="5" t="s">
        <v>102</v>
      </c>
      <c r="AA91" s="5" t="s">
        <v>85</v>
      </c>
      <c r="AB91" s="5" t="s">
        <v>2469</v>
      </c>
      <c r="AC91" s="5" t="s">
        <v>2470</v>
      </c>
      <c r="AD91" s="5" t="s">
        <v>86</v>
      </c>
      <c r="AF91" s="5">
        <v>900</v>
      </c>
      <c r="AG91" s="5">
        <v>24500</v>
      </c>
      <c r="AH91" s="5" t="s">
        <v>85</v>
      </c>
      <c r="AI91" s="5" t="s">
        <v>2471</v>
      </c>
      <c r="AJ91" s="5">
        <v>900</v>
      </c>
      <c r="AK91" s="5">
        <v>5010</v>
      </c>
      <c r="AL91" s="5">
        <v>1504</v>
      </c>
      <c r="AM91" s="5">
        <v>3506</v>
      </c>
      <c r="AN91" s="5">
        <v>450</v>
      </c>
      <c r="AO91" s="5">
        <v>200</v>
      </c>
      <c r="AP91" s="5">
        <v>100</v>
      </c>
      <c r="AQ91" s="5">
        <v>100</v>
      </c>
      <c r="AR91" s="5" t="s">
        <v>2472</v>
      </c>
      <c r="AT91" s="5">
        <v>0</v>
      </c>
      <c r="AU91" s="5">
        <v>30</v>
      </c>
      <c r="AV91" s="5" t="s">
        <v>2478</v>
      </c>
      <c r="AX91" s="5">
        <v>20</v>
      </c>
      <c r="AY91" s="5" t="s">
        <v>85</v>
      </c>
      <c r="AZ91" s="5">
        <v>152</v>
      </c>
      <c r="BA91" s="5">
        <v>410</v>
      </c>
      <c r="BB91" s="5">
        <v>102</v>
      </c>
      <c r="BC91" s="5">
        <v>308</v>
      </c>
      <c r="BD91" s="5">
        <v>80</v>
      </c>
      <c r="BE91" s="5">
        <v>32</v>
      </c>
      <c r="BF91" s="5">
        <v>20</v>
      </c>
      <c r="BG91" s="5" t="s">
        <v>2477</v>
      </c>
      <c r="BH91" s="5">
        <v>0</v>
      </c>
      <c r="BI91" s="5">
        <v>10</v>
      </c>
      <c r="BJ91" s="5" t="s">
        <v>2475</v>
      </c>
      <c r="BL91" s="5">
        <v>10</v>
      </c>
      <c r="BM91" s="5">
        <v>50</v>
      </c>
      <c r="BN91" s="5" t="s">
        <v>85</v>
      </c>
      <c r="BO91" s="5">
        <v>140</v>
      </c>
      <c r="BP91" s="5">
        <v>500</v>
      </c>
      <c r="BQ91" s="5">
        <v>170</v>
      </c>
      <c r="BR91" s="5">
        <v>330</v>
      </c>
      <c r="BS91" s="5" t="s">
        <v>2479</v>
      </c>
      <c r="BT91" s="5">
        <v>100</v>
      </c>
      <c r="BU91" s="5">
        <v>10</v>
      </c>
      <c r="BV91" s="5">
        <v>20</v>
      </c>
      <c r="BW91" s="5">
        <v>0</v>
      </c>
      <c r="BX91" s="5">
        <v>10</v>
      </c>
      <c r="BY91" s="5" t="s">
        <v>2472</v>
      </c>
      <c r="BZ91" s="5">
        <v>0</v>
      </c>
      <c r="CA91" s="5">
        <v>0</v>
      </c>
      <c r="CC91" s="5">
        <v>0</v>
      </c>
      <c r="CD91" s="5">
        <v>30</v>
      </c>
      <c r="CF91" s="1442" t="str">
        <f>IF([1]!sommaire[[#This Row],[présence des personnes déplacés interne]]="Oui","1","0")</f>
        <v>1</v>
      </c>
      <c r="CG91" s="1442" t="str">
        <f>IF([1]!sommaire[[#This Row],[présence Réfugié hors camp]]="Oui","1","0")</f>
        <v>1</v>
      </c>
      <c r="CH91" s="1442" t="str">
        <f>IF([1]!sommaire[[#This Row],[présence personnes retournées]]="Oui","1","0")</f>
        <v>1</v>
      </c>
      <c r="CI91" s="1442">
        <f>[1]!sommaire[[#This Row],[Flag PDI]]+[1]!sommaire[[#This Row],[Flag REF]]+[1]!sommaire[[#This Row],[Flag RET]]</f>
        <v>3</v>
      </c>
    </row>
    <row r="92" spans="1:87" ht="14.55" customHeight="1" x14ac:dyDescent="0.3">
      <c r="A92" s="390">
        <v>2627335</v>
      </c>
      <c r="B92" s="5" t="s">
        <v>533</v>
      </c>
      <c r="C92" s="1430" t="s">
        <v>3449</v>
      </c>
      <c r="D92" s="1090" t="s">
        <v>534</v>
      </c>
      <c r="E92" s="5" t="s">
        <v>31</v>
      </c>
      <c r="F92" s="5" t="s">
        <v>31</v>
      </c>
      <c r="G92" s="5" t="s">
        <v>549</v>
      </c>
      <c r="H92" s="1090" t="s">
        <v>164</v>
      </c>
      <c r="I92" s="1090" t="str">
        <f>_xlfn.XLOOKUP(sommaire[[#This Row],[Arrondissement_code]],OCHA_GIS!$F:$F,OCHA_GIS!$E:$E,,)</f>
        <v>Blangoua</v>
      </c>
      <c r="J92" s="5" t="s">
        <v>748</v>
      </c>
      <c r="K92" t="s">
        <v>1189</v>
      </c>
      <c r="L92" s="5" t="s">
        <v>1190</v>
      </c>
      <c r="N92" s="5" t="s">
        <v>3053</v>
      </c>
      <c r="O92" s="5" t="s">
        <v>2467</v>
      </c>
      <c r="P92" s="5" t="s">
        <v>85</v>
      </c>
      <c r="Q92" s="5" t="s">
        <v>86</v>
      </c>
      <c r="R92" s="5" t="s">
        <v>86</v>
      </c>
      <c r="T92" s="390">
        <v>3</v>
      </c>
      <c r="U92" s="5" t="s">
        <v>97</v>
      </c>
      <c r="W92" s="5" t="s">
        <v>2468</v>
      </c>
      <c r="X92" s="5" t="s">
        <v>102</v>
      </c>
      <c r="AA92" s="5" t="s">
        <v>85</v>
      </c>
      <c r="AB92" s="5" t="s">
        <v>2469</v>
      </c>
      <c r="AC92" s="5" t="s">
        <v>2470</v>
      </c>
      <c r="AD92" s="5" t="s">
        <v>86</v>
      </c>
      <c r="AF92" s="5">
        <v>6</v>
      </c>
      <c r="AG92" s="5">
        <v>335</v>
      </c>
      <c r="AH92" s="5" t="s">
        <v>85</v>
      </c>
      <c r="AI92" s="5" t="s">
        <v>2471</v>
      </c>
      <c r="AJ92" s="5">
        <v>6</v>
      </c>
      <c r="AK92" s="5">
        <v>46</v>
      </c>
      <c r="AL92" s="5">
        <v>20</v>
      </c>
      <c r="AM92" s="5">
        <v>26</v>
      </c>
      <c r="AN92" s="5">
        <v>0</v>
      </c>
      <c r="AO92" s="5">
        <v>6</v>
      </c>
      <c r="AP92" s="5">
        <v>0</v>
      </c>
      <c r="AQ92" s="5">
        <v>0</v>
      </c>
      <c r="AT92" s="5">
        <v>0</v>
      </c>
      <c r="AU92" s="5">
        <v>0</v>
      </c>
      <c r="AX92" s="5">
        <v>0</v>
      </c>
      <c r="AY92" s="5" t="s">
        <v>86</v>
      </c>
      <c r="BN92" s="5" t="s">
        <v>86</v>
      </c>
      <c r="CD92" s="5">
        <v>0</v>
      </c>
      <c r="CF92" s="1442" t="str">
        <f>IF([1]!sommaire[[#This Row],[présence des personnes déplacés interne]]="Oui","1","0")</f>
        <v>1</v>
      </c>
      <c r="CG92" s="1442" t="str">
        <f>IF([1]!sommaire[[#This Row],[présence Réfugié hors camp]]="Oui","1","0")</f>
        <v>0</v>
      </c>
      <c r="CH92" s="1442" t="str">
        <f>IF([1]!sommaire[[#This Row],[présence personnes retournées]]="Oui","1","0")</f>
        <v>0</v>
      </c>
      <c r="CI92" s="1442">
        <f>[1]!sommaire[[#This Row],[Flag PDI]]+[1]!sommaire[[#This Row],[Flag REF]]+[1]!sommaire[[#This Row],[Flag RET]]</f>
        <v>1</v>
      </c>
    </row>
    <row r="93" spans="1:87" ht="14.55" customHeight="1" x14ac:dyDescent="0.3">
      <c r="A93" s="390">
        <v>2631741</v>
      </c>
      <c r="B93" s="5" t="s">
        <v>533</v>
      </c>
      <c r="C93" s="1430" t="s">
        <v>3449</v>
      </c>
      <c r="D93" s="1090" t="s">
        <v>534</v>
      </c>
      <c r="E93" s="5" t="s">
        <v>31</v>
      </c>
      <c r="F93" s="5" t="s">
        <v>31</v>
      </c>
      <c r="G93" s="5" t="s">
        <v>549</v>
      </c>
      <c r="H93" s="1090" t="s">
        <v>164</v>
      </c>
      <c r="I93" s="1090" t="str">
        <f>_xlfn.XLOOKUP(sommaire[[#This Row],[Arrondissement_code]],OCHA_GIS!$F:$F,OCHA_GIS!$E:$E,,)</f>
        <v>Blangoua</v>
      </c>
      <c r="J93" s="5" t="s">
        <v>748</v>
      </c>
      <c r="K93" t="s">
        <v>2825</v>
      </c>
      <c r="L93" s="1090" t="s">
        <v>2040</v>
      </c>
      <c r="N93" s="5" t="s">
        <v>3053</v>
      </c>
      <c r="O93" s="5" t="s">
        <v>2467</v>
      </c>
      <c r="P93" s="5" t="s">
        <v>85</v>
      </c>
      <c r="Q93" s="5" t="s">
        <v>86</v>
      </c>
      <c r="R93" s="5" t="s">
        <v>86</v>
      </c>
      <c r="T93" s="390">
        <v>4</v>
      </c>
      <c r="U93" s="5" t="s">
        <v>97</v>
      </c>
      <c r="W93" s="5" t="s">
        <v>2468</v>
      </c>
      <c r="X93" s="5" t="s">
        <v>102</v>
      </c>
      <c r="AA93" s="586" t="s">
        <v>85</v>
      </c>
      <c r="AB93" s="5" t="s">
        <v>2469</v>
      </c>
      <c r="AC93" s="5" t="s">
        <v>2470</v>
      </c>
      <c r="AD93" s="5" t="s">
        <v>86</v>
      </c>
      <c r="AF93" s="5">
        <v>4</v>
      </c>
      <c r="AG93" s="5">
        <v>248</v>
      </c>
      <c r="AH93" s="5" t="s">
        <v>85</v>
      </c>
      <c r="AI93" s="5" t="s">
        <v>2471</v>
      </c>
      <c r="AJ93" s="5">
        <v>4</v>
      </c>
      <c r="AK93" s="5">
        <v>28</v>
      </c>
      <c r="AL93" s="5">
        <v>13</v>
      </c>
      <c r="AM93" s="5">
        <v>15</v>
      </c>
      <c r="AN93" s="5">
        <v>0</v>
      </c>
      <c r="AO93" s="5">
        <v>4</v>
      </c>
      <c r="AP93" s="5">
        <v>0</v>
      </c>
      <c r="AQ93" s="5">
        <v>0</v>
      </c>
      <c r="AT93" s="5">
        <v>0</v>
      </c>
      <c r="AU93" s="5">
        <v>0</v>
      </c>
      <c r="AX93" s="5">
        <v>0</v>
      </c>
      <c r="AY93" s="5" t="s">
        <v>86</v>
      </c>
      <c r="BN93" s="5" t="s">
        <v>86</v>
      </c>
      <c r="CD93" s="5">
        <v>0</v>
      </c>
      <c r="CF93" s="1442" t="str">
        <f>IF([1]!sommaire[[#This Row],[présence des personnes déplacés interne]]="Oui","1","0")</f>
        <v>1</v>
      </c>
      <c r="CG93" s="1442" t="str">
        <f>IF([1]!sommaire[[#This Row],[présence Réfugié hors camp]]="Oui","1","0")</f>
        <v>0</v>
      </c>
      <c r="CH93" s="1442" t="str">
        <f>IF([1]!sommaire[[#This Row],[présence personnes retournées]]="Oui","1","0")</f>
        <v>0</v>
      </c>
      <c r="CI93" s="1442">
        <f>[1]!sommaire[[#This Row],[Flag PDI]]+[1]!sommaire[[#This Row],[Flag REF]]+[1]!sommaire[[#This Row],[Flag RET]]</f>
        <v>1</v>
      </c>
    </row>
    <row r="94" spans="1:87" ht="14.55" customHeight="1" x14ac:dyDescent="0.3">
      <c r="A94" s="390">
        <v>2636394</v>
      </c>
      <c r="B94" s="5" t="s">
        <v>533</v>
      </c>
      <c r="C94" s="1430" t="s">
        <v>3449</v>
      </c>
      <c r="D94" s="1090" t="s">
        <v>534</v>
      </c>
      <c r="E94" s="5" t="s">
        <v>31</v>
      </c>
      <c r="F94" s="5" t="s">
        <v>31</v>
      </c>
      <c r="G94" s="5" t="s">
        <v>549</v>
      </c>
      <c r="H94" s="5" t="s">
        <v>164</v>
      </c>
      <c r="I94" s="5" t="str">
        <f>_xlfn.XLOOKUP(sommaire[[#This Row],[Arrondissement_code]],OCHA_GIS!$F:$F,OCHA_GIS!$E:$E,,)</f>
        <v>Blangoua</v>
      </c>
      <c r="J94" s="5" t="s">
        <v>748</v>
      </c>
      <c r="K94" t="s">
        <v>1968</v>
      </c>
      <c r="L94" s="5" t="s">
        <v>1969</v>
      </c>
      <c r="N94" s="5" t="s">
        <v>3053</v>
      </c>
      <c r="O94" s="5" t="s">
        <v>2467</v>
      </c>
      <c r="P94" s="5" t="s">
        <v>85</v>
      </c>
      <c r="Q94" s="5" t="s">
        <v>86</v>
      </c>
      <c r="R94" s="5" t="s">
        <v>86</v>
      </c>
      <c r="T94" s="390">
        <v>3</v>
      </c>
      <c r="U94" s="5" t="s">
        <v>97</v>
      </c>
      <c r="W94" s="5" t="s">
        <v>2468</v>
      </c>
      <c r="X94" s="5" t="s">
        <v>102</v>
      </c>
      <c r="AA94" s="5" t="s">
        <v>85</v>
      </c>
      <c r="AB94" s="5" t="s">
        <v>2469</v>
      </c>
      <c r="AC94" s="5" t="s">
        <v>2470</v>
      </c>
      <c r="AD94" s="5" t="s">
        <v>86</v>
      </c>
      <c r="AF94" s="5">
        <v>22</v>
      </c>
      <c r="AG94" s="5">
        <v>694</v>
      </c>
      <c r="AH94" s="5" t="s">
        <v>85</v>
      </c>
      <c r="AI94" s="5" t="s">
        <v>2471</v>
      </c>
      <c r="AJ94" s="5">
        <v>22</v>
      </c>
      <c r="AK94" s="5">
        <v>39</v>
      </c>
      <c r="AL94" s="5">
        <v>12</v>
      </c>
      <c r="AM94" s="5">
        <v>27</v>
      </c>
      <c r="AN94" s="5">
        <v>22</v>
      </c>
      <c r="AO94" s="5">
        <v>0</v>
      </c>
      <c r="AP94" s="5">
        <v>0</v>
      </c>
      <c r="AQ94" s="5">
        <v>0</v>
      </c>
      <c r="AT94" s="5">
        <v>0</v>
      </c>
      <c r="AU94" s="5">
        <v>0</v>
      </c>
      <c r="AX94" s="5">
        <v>0</v>
      </c>
      <c r="AY94" s="5" t="s">
        <v>86</v>
      </c>
      <c r="BN94" s="5" t="s">
        <v>86</v>
      </c>
      <c r="CD94" s="5">
        <v>0</v>
      </c>
      <c r="CF94" s="1442" t="str">
        <f>IF([1]!sommaire[[#This Row],[présence des personnes déplacés interne]]="Oui","1","0")</f>
        <v>1</v>
      </c>
      <c r="CG94" s="1442" t="str">
        <f>IF([1]!sommaire[[#This Row],[présence Réfugié hors camp]]="Oui","1","0")</f>
        <v>0</v>
      </c>
      <c r="CH94" s="1442" t="str">
        <f>IF([1]!sommaire[[#This Row],[présence personnes retournées]]="Oui","1","0")</f>
        <v>0</v>
      </c>
      <c r="CI94" s="1442">
        <f>[1]!sommaire[[#This Row],[Flag PDI]]+[1]!sommaire[[#This Row],[Flag REF]]+[1]!sommaire[[#This Row],[Flag RET]]</f>
        <v>1</v>
      </c>
    </row>
    <row r="95" spans="1:87" ht="14.55" customHeight="1" x14ac:dyDescent="0.3">
      <c r="A95" s="390">
        <v>2605362</v>
      </c>
      <c r="B95" s="5" t="s">
        <v>533</v>
      </c>
      <c r="C95" s="1430" t="s">
        <v>3449</v>
      </c>
      <c r="D95" s="1090" t="s">
        <v>534</v>
      </c>
      <c r="E95" s="5" t="s">
        <v>31</v>
      </c>
      <c r="F95" s="5" t="s">
        <v>31</v>
      </c>
      <c r="G95" s="5" t="s">
        <v>549</v>
      </c>
      <c r="H95" s="5" t="s">
        <v>164</v>
      </c>
      <c r="I95" s="5" t="str">
        <f>_xlfn.XLOOKUP(sommaire[[#This Row],[Arrondissement_code]],OCHA_GIS!$F:$F,OCHA_GIS!$E:$E,,)</f>
        <v>Blangoua</v>
      </c>
      <c r="J95" s="5" t="s">
        <v>748</v>
      </c>
      <c r="K95" t="s">
        <v>907</v>
      </c>
      <c r="L95" s="5" t="s">
        <v>908</v>
      </c>
      <c r="N95" s="5" t="s">
        <v>3053</v>
      </c>
      <c r="O95" s="5" t="s">
        <v>2467</v>
      </c>
      <c r="P95" s="5" t="s">
        <v>85</v>
      </c>
      <c r="Q95" s="5" t="s">
        <v>86</v>
      </c>
      <c r="R95" s="5" t="s">
        <v>86</v>
      </c>
      <c r="T95" s="390">
        <v>3</v>
      </c>
      <c r="U95" s="5" t="s">
        <v>97</v>
      </c>
      <c r="W95" s="5" t="s">
        <v>2468</v>
      </c>
      <c r="X95" s="1090" t="s">
        <v>102</v>
      </c>
      <c r="AA95" s="1090" t="s">
        <v>85</v>
      </c>
      <c r="AB95" s="5" t="s">
        <v>2469</v>
      </c>
      <c r="AC95" s="5" t="s">
        <v>2470</v>
      </c>
      <c r="AD95" s="5" t="s">
        <v>86</v>
      </c>
      <c r="AF95" s="5">
        <v>7</v>
      </c>
      <c r="AG95" s="5">
        <v>315</v>
      </c>
      <c r="AH95" s="5" t="s">
        <v>85</v>
      </c>
      <c r="AI95" s="5" t="s">
        <v>2471</v>
      </c>
      <c r="AJ95" s="5">
        <v>7</v>
      </c>
      <c r="AK95" s="5">
        <v>35</v>
      </c>
      <c r="AL95" s="5">
        <v>15</v>
      </c>
      <c r="AM95" s="5">
        <v>20</v>
      </c>
      <c r="AN95" s="5">
        <v>5</v>
      </c>
      <c r="AO95" s="5">
        <v>2</v>
      </c>
      <c r="AP95" s="5">
        <v>0</v>
      </c>
      <c r="AQ95" s="5">
        <v>0</v>
      </c>
      <c r="AT95" s="5">
        <v>0</v>
      </c>
      <c r="AU95" s="5">
        <v>0</v>
      </c>
      <c r="AX95" s="5">
        <v>0</v>
      </c>
      <c r="AY95" s="1090" t="s">
        <v>85</v>
      </c>
      <c r="AZ95" s="5">
        <v>2</v>
      </c>
      <c r="BA95" s="5">
        <v>8</v>
      </c>
      <c r="BB95" s="5">
        <v>2</v>
      </c>
      <c r="BC95" s="5">
        <v>6</v>
      </c>
      <c r="BD95" s="5">
        <v>2</v>
      </c>
      <c r="BE95" s="5">
        <v>0</v>
      </c>
      <c r="BF95" s="5">
        <v>0</v>
      </c>
      <c r="BH95" s="5">
        <v>0</v>
      </c>
      <c r="BI95" s="5">
        <v>0</v>
      </c>
      <c r="BL95" s="5">
        <v>0</v>
      </c>
      <c r="BM95" s="5">
        <v>0</v>
      </c>
      <c r="BN95" s="1090" t="s">
        <v>86</v>
      </c>
      <c r="CD95" s="5">
        <v>0</v>
      </c>
      <c r="CF95" s="1442" t="str">
        <f>IF([1]!sommaire[[#This Row],[présence des personnes déplacés interne]]="Oui","1","0")</f>
        <v>1</v>
      </c>
      <c r="CG95" s="1442" t="str">
        <f>IF([1]!sommaire[[#This Row],[présence Réfugié hors camp]]="Oui","1","0")</f>
        <v>1</v>
      </c>
      <c r="CH95" s="1442" t="str">
        <f>IF([1]!sommaire[[#This Row],[présence personnes retournées]]="Oui","1","0")</f>
        <v>0</v>
      </c>
      <c r="CI95" s="1442">
        <f>[1]!sommaire[[#This Row],[Flag PDI]]+[1]!sommaire[[#This Row],[Flag REF]]+[1]!sommaire[[#This Row],[Flag RET]]</f>
        <v>2</v>
      </c>
    </row>
    <row r="96" spans="1:87" ht="14.55" customHeight="1" x14ac:dyDescent="0.3">
      <c r="A96" s="390">
        <v>2590841</v>
      </c>
      <c r="B96" s="5" t="s">
        <v>533</v>
      </c>
      <c r="C96" s="1430" t="s">
        <v>3449</v>
      </c>
      <c r="D96" s="1090" t="s">
        <v>534</v>
      </c>
      <c r="E96" s="5" t="s">
        <v>31</v>
      </c>
      <c r="F96" s="5" t="s">
        <v>31</v>
      </c>
      <c r="G96" s="5" t="s">
        <v>549</v>
      </c>
      <c r="H96" s="5" t="s">
        <v>164</v>
      </c>
      <c r="I96" s="5" t="str">
        <f>_xlfn.XLOOKUP(sommaire[[#This Row],[Arrondissement_code]],OCHA_GIS!$F:$F,OCHA_GIS!$E:$E,,)</f>
        <v>Blangoua</v>
      </c>
      <c r="J96" s="5" t="s">
        <v>748</v>
      </c>
      <c r="K96" t="s">
        <v>1347</v>
      </c>
      <c r="L96" s="5" t="s">
        <v>1348</v>
      </c>
      <c r="N96" s="5" t="s">
        <v>3053</v>
      </c>
      <c r="O96" s="5" t="s">
        <v>2467</v>
      </c>
      <c r="P96" s="5" t="s">
        <v>85</v>
      </c>
      <c r="Q96" s="5" t="s">
        <v>86</v>
      </c>
      <c r="R96" s="5" t="s">
        <v>86</v>
      </c>
      <c r="T96" s="390">
        <v>3</v>
      </c>
      <c r="U96" s="5" t="s">
        <v>97</v>
      </c>
      <c r="W96" s="5" t="s">
        <v>2468</v>
      </c>
      <c r="X96" s="1090" t="s">
        <v>102</v>
      </c>
      <c r="AA96" s="1090" t="s">
        <v>85</v>
      </c>
      <c r="AB96" s="5" t="s">
        <v>2469</v>
      </c>
      <c r="AC96" s="5" t="s">
        <v>312</v>
      </c>
      <c r="AD96" s="5" t="s">
        <v>85</v>
      </c>
      <c r="AE96" s="5">
        <v>1</v>
      </c>
      <c r="AF96" s="5">
        <v>20</v>
      </c>
      <c r="AG96" s="5">
        <v>1719</v>
      </c>
      <c r="AH96" s="5" t="s">
        <v>85</v>
      </c>
      <c r="AI96" s="5" t="s">
        <v>2471</v>
      </c>
      <c r="AJ96" s="5">
        <v>20</v>
      </c>
      <c r="AK96" s="5">
        <v>35</v>
      </c>
      <c r="AL96" s="5">
        <v>15</v>
      </c>
      <c r="AM96" s="5">
        <v>20</v>
      </c>
      <c r="AN96" s="5">
        <v>5</v>
      </c>
      <c r="AO96" s="5">
        <v>0</v>
      </c>
      <c r="AP96" s="5">
        <v>3</v>
      </c>
      <c r="AQ96" s="5">
        <v>7</v>
      </c>
      <c r="AR96" s="5" t="s">
        <v>2472</v>
      </c>
      <c r="AT96" s="5">
        <v>0</v>
      </c>
      <c r="AU96" s="5">
        <v>5</v>
      </c>
      <c r="AV96" s="5" t="s">
        <v>2490</v>
      </c>
      <c r="AX96" s="5">
        <v>0</v>
      </c>
      <c r="AY96" s="1090" t="s">
        <v>85</v>
      </c>
      <c r="AZ96" s="5">
        <v>10</v>
      </c>
      <c r="BA96" s="5">
        <v>120</v>
      </c>
      <c r="BB96" s="5">
        <v>45</v>
      </c>
      <c r="BC96" s="5">
        <v>75</v>
      </c>
      <c r="BD96" s="5">
        <v>0</v>
      </c>
      <c r="BE96" s="5">
        <v>0</v>
      </c>
      <c r="BF96" s="5">
        <v>8</v>
      </c>
      <c r="BG96" s="5" t="s">
        <v>2472</v>
      </c>
      <c r="BH96" s="5">
        <v>0</v>
      </c>
      <c r="BI96" s="5">
        <v>2</v>
      </c>
      <c r="BJ96" s="5" t="s">
        <v>2490</v>
      </c>
      <c r="BL96" s="5">
        <v>0</v>
      </c>
      <c r="BM96" s="5">
        <v>0</v>
      </c>
      <c r="BN96" s="1090" t="s">
        <v>85</v>
      </c>
      <c r="BO96" s="5">
        <v>35</v>
      </c>
      <c r="BP96" s="5">
        <v>40</v>
      </c>
      <c r="BQ96" s="5">
        <v>15</v>
      </c>
      <c r="BR96" s="5">
        <v>25</v>
      </c>
      <c r="BS96" s="5" t="s">
        <v>2535</v>
      </c>
      <c r="BT96" s="5">
        <v>10</v>
      </c>
      <c r="BU96" s="5">
        <v>18</v>
      </c>
      <c r="BV96" s="5">
        <v>7</v>
      </c>
      <c r="BW96" s="5">
        <v>0</v>
      </c>
      <c r="BX96" s="5">
        <v>0</v>
      </c>
      <c r="BZ96" s="5">
        <v>0</v>
      </c>
      <c r="CA96" s="5">
        <v>0</v>
      </c>
      <c r="CC96" s="5">
        <v>0</v>
      </c>
      <c r="CD96" s="5">
        <v>0</v>
      </c>
      <c r="CF96" s="1442" t="str">
        <f>IF([1]!sommaire[[#This Row],[présence des personnes déplacés interne]]="Oui","1","0")</f>
        <v>1</v>
      </c>
      <c r="CG96" s="1442" t="str">
        <f>IF([1]!sommaire[[#This Row],[présence Réfugié hors camp]]="Oui","1","0")</f>
        <v>1</v>
      </c>
      <c r="CH96" s="1442" t="str">
        <f>IF([1]!sommaire[[#This Row],[présence personnes retournées]]="Oui","1","0")</f>
        <v>1</v>
      </c>
      <c r="CI96" s="1442">
        <f>[1]!sommaire[[#This Row],[Flag PDI]]+[1]!sommaire[[#This Row],[Flag REF]]+[1]!sommaire[[#This Row],[Flag RET]]</f>
        <v>3</v>
      </c>
    </row>
    <row r="97" spans="1:87" ht="14.55" customHeight="1" x14ac:dyDescent="0.3">
      <c r="A97" s="390">
        <v>2615554</v>
      </c>
      <c r="B97" s="5" t="s">
        <v>533</v>
      </c>
      <c r="C97" s="1430" t="s">
        <v>3449</v>
      </c>
      <c r="D97" s="1090" t="s">
        <v>534</v>
      </c>
      <c r="E97" s="5" t="s">
        <v>31</v>
      </c>
      <c r="F97" s="5" t="s">
        <v>31</v>
      </c>
      <c r="G97" s="5" t="s">
        <v>549</v>
      </c>
      <c r="H97" s="5" t="s">
        <v>164</v>
      </c>
      <c r="I97" s="5" t="str">
        <f>_xlfn.XLOOKUP(sommaire[[#This Row],[Arrondissement_code]],OCHA_GIS!$F:$F,OCHA_GIS!$E:$E,,)</f>
        <v>Blangoua</v>
      </c>
      <c r="J97" s="5" t="s">
        <v>748</v>
      </c>
      <c r="K97" t="s">
        <v>806</v>
      </c>
      <c r="L97" s="5" t="s">
        <v>807</v>
      </c>
      <c r="N97" s="5" t="s">
        <v>3053</v>
      </c>
      <c r="O97" s="5" t="s">
        <v>2467</v>
      </c>
      <c r="P97" s="5" t="s">
        <v>85</v>
      </c>
      <c r="Q97" s="5" t="s">
        <v>86</v>
      </c>
      <c r="R97" s="5" t="s">
        <v>86</v>
      </c>
      <c r="T97" s="390">
        <v>3</v>
      </c>
      <c r="U97" s="5" t="s">
        <v>97</v>
      </c>
      <c r="W97" s="5" t="s">
        <v>2468</v>
      </c>
      <c r="X97" s="1090" t="s">
        <v>103</v>
      </c>
      <c r="Y97" s="5" t="s">
        <v>2476</v>
      </c>
      <c r="AA97" s="1090" t="s">
        <v>85</v>
      </c>
      <c r="AB97" s="5" t="s">
        <v>2469</v>
      </c>
      <c r="AC97" s="5" t="s">
        <v>2470</v>
      </c>
      <c r="AD97" s="5" t="s">
        <v>86</v>
      </c>
      <c r="AF97" s="5">
        <v>1</v>
      </c>
      <c r="AG97" s="5">
        <v>394</v>
      </c>
      <c r="AH97" s="5" t="s">
        <v>85</v>
      </c>
      <c r="AI97" s="5" t="s">
        <v>2471</v>
      </c>
      <c r="AJ97" s="5">
        <v>1</v>
      </c>
      <c r="AK97" s="5">
        <v>4</v>
      </c>
      <c r="AL97" s="5">
        <v>2</v>
      </c>
      <c r="AM97" s="5">
        <v>2</v>
      </c>
      <c r="AN97" s="5">
        <v>0</v>
      </c>
      <c r="AO97" s="5">
        <v>0</v>
      </c>
      <c r="AP97" s="5">
        <v>0</v>
      </c>
      <c r="AQ97" s="5">
        <v>0</v>
      </c>
      <c r="AT97" s="5">
        <v>0</v>
      </c>
      <c r="AU97" s="5">
        <v>1</v>
      </c>
      <c r="AV97" s="5" t="s">
        <v>2490</v>
      </c>
      <c r="AX97" s="5">
        <v>0</v>
      </c>
      <c r="AY97" s="1090" t="s">
        <v>86</v>
      </c>
      <c r="BN97" s="1090" t="s">
        <v>86</v>
      </c>
      <c r="CD97" s="5">
        <v>0</v>
      </c>
      <c r="CF97" s="1442" t="str">
        <f>IF([1]!sommaire[[#This Row],[présence des personnes déplacés interne]]="Oui","1","0")</f>
        <v>1</v>
      </c>
      <c r="CG97" s="1442" t="str">
        <f>IF([1]!sommaire[[#This Row],[présence Réfugié hors camp]]="Oui","1","0")</f>
        <v>0</v>
      </c>
      <c r="CH97" s="1442" t="str">
        <f>IF([1]!sommaire[[#This Row],[présence personnes retournées]]="Oui","1","0")</f>
        <v>0</v>
      </c>
      <c r="CI97" s="1442">
        <f>[1]!sommaire[[#This Row],[Flag PDI]]+[1]!sommaire[[#This Row],[Flag REF]]+[1]!sommaire[[#This Row],[Flag RET]]</f>
        <v>1</v>
      </c>
    </row>
    <row r="98" spans="1:87" ht="14.55" customHeight="1" x14ac:dyDescent="0.3">
      <c r="A98" s="390">
        <v>2610161</v>
      </c>
      <c r="B98" s="5" t="s">
        <v>533</v>
      </c>
      <c r="C98" s="1430" t="s">
        <v>3449</v>
      </c>
      <c r="D98" s="1090" t="s">
        <v>534</v>
      </c>
      <c r="E98" s="5" t="s">
        <v>31</v>
      </c>
      <c r="F98" s="5" t="s">
        <v>31</v>
      </c>
      <c r="G98" s="5" t="s">
        <v>549</v>
      </c>
      <c r="H98" s="5" t="s">
        <v>164</v>
      </c>
      <c r="I98" s="5" t="str">
        <f>_xlfn.XLOOKUP(sommaire[[#This Row],[Arrondissement_code]],OCHA_GIS!$F:$F,OCHA_GIS!$E:$E,,)</f>
        <v>Blangoua</v>
      </c>
      <c r="J98" s="5" t="s">
        <v>748</v>
      </c>
      <c r="K98" t="s">
        <v>1881</v>
      </c>
      <c r="L98" s="5" t="s">
        <v>1882</v>
      </c>
      <c r="N98" s="5" t="s">
        <v>3053</v>
      </c>
      <c r="O98" s="5" t="s">
        <v>2467</v>
      </c>
      <c r="P98" s="5" t="s">
        <v>85</v>
      </c>
      <c r="Q98" s="5" t="s">
        <v>86</v>
      </c>
      <c r="R98" s="5" t="s">
        <v>86</v>
      </c>
      <c r="T98" s="390">
        <v>3</v>
      </c>
      <c r="U98" s="5" t="s">
        <v>97</v>
      </c>
      <c r="W98" s="5" t="s">
        <v>2468</v>
      </c>
      <c r="X98" s="5" t="s">
        <v>102</v>
      </c>
      <c r="AA98" s="5" t="s">
        <v>85</v>
      </c>
      <c r="AB98" s="5" t="s">
        <v>2469</v>
      </c>
      <c r="AC98" s="5" t="s">
        <v>2470</v>
      </c>
      <c r="AD98" s="5" t="s">
        <v>86</v>
      </c>
      <c r="AF98" s="5">
        <v>16</v>
      </c>
      <c r="AG98" s="5">
        <v>1965</v>
      </c>
      <c r="AH98" s="5" t="s">
        <v>85</v>
      </c>
      <c r="AI98" s="5" t="s">
        <v>2471</v>
      </c>
      <c r="AJ98" s="5">
        <v>16</v>
      </c>
      <c r="AK98" s="5">
        <v>108</v>
      </c>
      <c r="AL98" s="5">
        <v>45</v>
      </c>
      <c r="AM98" s="5">
        <v>63</v>
      </c>
      <c r="AN98" s="5">
        <v>6</v>
      </c>
      <c r="AO98" s="5">
        <v>10</v>
      </c>
      <c r="AP98" s="5">
        <v>0</v>
      </c>
      <c r="AQ98" s="5">
        <v>0</v>
      </c>
      <c r="AT98" s="5">
        <v>0</v>
      </c>
      <c r="AU98" s="5">
        <v>0</v>
      </c>
      <c r="AX98" s="5">
        <v>0</v>
      </c>
      <c r="AY98" s="5" t="s">
        <v>86</v>
      </c>
      <c r="BN98" s="5" t="s">
        <v>86</v>
      </c>
      <c r="CD98" s="5">
        <v>0</v>
      </c>
      <c r="CF98" s="1442" t="str">
        <f>IF([1]!sommaire[[#This Row],[présence des personnes déplacés interne]]="Oui","1","0")</f>
        <v>1</v>
      </c>
      <c r="CG98" s="1442" t="str">
        <f>IF([1]!sommaire[[#This Row],[présence Réfugié hors camp]]="Oui","1","0")</f>
        <v>0</v>
      </c>
      <c r="CH98" s="1442" t="str">
        <f>IF([1]!sommaire[[#This Row],[présence personnes retournées]]="Oui","1","0")</f>
        <v>0</v>
      </c>
      <c r="CI98" s="1442">
        <f>[1]!sommaire[[#This Row],[Flag PDI]]+[1]!sommaire[[#This Row],[Flag REF]]+[1]!sommaire[[#This Row],[Flag RET]]</f>
        <v>1</v>
      </c>
    </row>
    <row r="99" spans="1:87" ht="14.55" customHeight="1" x14ac:dyDescent="0.3">
      <c r="A99" s="390">
        <v>2646287</v>
      </c>
      <c r="B99" s="5" t="s">
        <v>533</v>
      </c>
      <c r="C99" s="1430" t="s">
        <v>3449</v>
      </c>
      <c r="D99" s="1090" t="s">
        <v>534</v>
      </c>
      <c r="E99" s="5" t="s">
        <v>31</v>
      </c>
      <c r="F99" s="5" t="s">
        <v>31</v>
      </c>
      <c r="G99" s="5" t="s">
        <v>549</v>
      </c>
      <c r="H99" s="5" t="s">
        <v>164</v>
      </c>
      <c r="I99" s="5" t="str">
        <f>_xlfn.XLOOKUP(sommaire[[#This Row],[Arrondissement_code]],OCHA_GIS!$F:$F,OCHA_GIS!$E:$E,,)</f>
        <v>Blangoua</v>
      </c>
      <c r="J99" s="5" t="s">
        <v>748</v>
      </c>
      <c r="K99" t="s">
        <v>1088</v>
      </c>
      <c r="L99" s="5" t="s">
        <v>1089</v>
      </c>
      <c r="N99" s="5" t="s">
        <v>3053</v>
      </c>
      <c r="O99" s="5" t="s">
        <v>2467</v>
      </c>
      <c r="P99" s="5" t="s">
        <v>85</v>
      </c>
      <c r="Q99" s="5" t="s">
        <v>86</v>
      </c>
      <c r="R99" s="5" t="s">
        <v>86</v>
      </c>
      <c r="T99" s="390">
        <v>3</v>
      </c>
      <c r="U99" s="5" t="s">
        <v>97</v>
      </c>
      <c r="W99" s="5" t="s">
        <v>2468</v>
      </c>
      <c r="X99" s="5" t="s">
        <v>102</v>
      </c>
      <c r="AA99" s="5" t="s">
        <v>85</v>
      </c>
      <c r="AB99" s="5" t="s">
        <v>2469</v>
      </c>
      <c r="AC99" s="5" t="s">
        <v>2470</v>
      </c>
      <c r="AD99" s="5" t="s">
        <v>86</v>
      </c>
      <c r="AF99" s="5">
        <v>7</v>
      </c>
      <c r="AG99" s="5">
        <v>2653</v>
      </c>
      <c r="AH99" s="5" t="s">
        <v>85</v>
      </c>
      <c r="AI99" s="5" t="s">
        <v>2471</v>
      </c>
      <c r="AJ99" s="5">
        <v>7</v>
      </c>
      <c r="AK99" s="5">
        <v>48</v>
      </c>
      <c r="AL99" s="5">
        <v>20</v>
      </c>
      <c r="AM99" s="5">
        <v>28</v>
      </c>
      <c r="AN99" s="5">
        <v>5</v>
      </c>
      <c r="AO99" s="5">
        <v>2</v>
      </c>
      <c r="AP99" s="5">
        <v>0</v>
      </c>
      <c r="AQ99" s="5">
        <v>0</v>
      </c>
      <c r="AT99" s="5">
        <v>0</v>
      </c>
      <c r="AU99" s="5">
        <v>0</v>
      </c>
      <c r="AX99" s="5">
        <v>0</v>
      </c>
      <c r="AY99" s="5" t="s">
        <v>85</v>
      </c>
      <c r="AZ99" s="5">
        <v>2</v>
      </c>
      <c r="BA99" s="5">
        <v>8</v>
      </c>
      <c r="BB99" s="5">
        <v>2</v>
      </c>
      <c r="BC99" s="5">
        <v>6</v>
      </c>
      <c r="BD99" s="5">
        <v>2</v>
      </c>
      <c r="BE99" s="5">
        <v>0</v>
      </c>
      <c r="BF99" s="5">
        <v>0</v>
      </c>
      <c r="BH99" s="5">
        <v>0</v>
      </c>
      <c r="BI99" s="5">
        <v>0</v>
      </c>
      <c r="BL99" s="5">
        <v>0</v>
      </c>
      <c r="BM99" s="5">
        <v>0</v>
      </c>
      <c r="BN99" s="5" t="s">
        <v>85</v>
      </c>
      <c r="BO99" s="5">
        <v>2</v>
      </c>
      <c r="BP99" s="5">
        <v>7</v>
      </c>
      <c r="BQ99" s="5">
        <v>2</v>
      </c>
      <c r="BR99" s="5">
        <v>5</v>
      </c>
      <c r="BS99" s="5" t="s">
        <v>2484</v>
      </c>
      <c r="BT99" s="5">
        <v>0</v>
      </c>
      <c r="BU99" s="5">
        <v>0</v>
      </c>
      <c r="BV99" s="5">
        <v>2</v>
      </c>
      <c r="BW99" s="5">
        <v>0</v>
      </c>
      <c r="BX99" s="5">
        <v>0</v>
      </c>
      <c r="BZ99" s="5">
        <v>0</v>
      </c>
      <c r="CA99" s="5">
        <v>0</v>
      </c>
      <c r="CC99" s="5">
        <v>0</v>
      </c>
      <c r="CD99" s="5">
        <v>2</v>
      </c>
      <c r="CF99" s="1442" t="str">
        <f>IF([1]!sommaire[[#This Row],[présence des personnes déplacés interne]]="Oui","1","0")</f>
        <v>1</v>
      </c>
      <c r="CG99" s="1442" t="str">
        <f>IF([1]!sommaire[[#This Row],[présence Réfugié hors camp]]="Oui","1","0")</f>
        <v>1</v>
      </c>
      <c r="CH99" s="1442" t="str">
        <f>IF([1]!sommaire[[#This Row],[présence personnes retournées]]="Oui","1","0")</f>
        <v>1</v>
      </c>
      <c r="CI99" s="1442">
        <f>[1]!sommaire[[#This Row],[Flag PDI]]+[1]!sommaire[[#This Row],[Flag REF]]+[1]!sommaire[[#This Row],[Flag RET]]</f>
        <v>3</v>
      </c>
    </row>
    <row r="100" spans="1:87" ht="14.55" customHeight="1" x14ac:dyDescent="0.3">
      <c r="A100" s="390">
        <v>2616922</v>
      </c>
      <c r="B100" s="5" t="s">
        <v>533</v>
      </c>
      <c r="C100" s="1430" t="s">
        <v>3449</v>
      </c>
      <c r="D100" s="1090" t="s">
        <v>534</v>
      </c>
      <c r="E100" s="5" t="s">
        <v>31</v>
      </c>
      <c r="F100" s="5" t="s">
        <v>31</v>
      </c>
      <c r="G100" s="5" t="s">
        <v>549</v>
      </c>
      <c r="H100" s="5" t="s">
        <v>164</v>
      </c>
      <c r="I100" s="5" t="str">
        <f>_xlfn.XLOOKUP(sommaire[[#This Row],[Arrondissement_code]],OCHA_GIS!$F:$F,OCHA_GIS!$E:$E,,)</f>
        <v>Blangoua</v>
      </c>
      <c r="J100" s="5" t="s">
        <v>748</v>
      </c>
      <c r="K100" t="s">
        <v>1818</v>
      </c>
      <c r="L100" s="5" t="s">
        <v>1819</v>
      </c>
      <c r="N100" s="5" t="s">
        <v>3053</v>
      </c>
      <c r="O100" s="5" t="s">
        <v>2467</v>
      </c>
      <c r="P100" s="5" t="s">
        <v>85</v>
      </c>
      <c r="Q100" s="5" t="s">
        <v>86</v>
      </c>
      <c r="R100" s="5" t="s">
        <v>86</v>
      </c>
      <c r="T100" s="390">
        <v>4</v>
      </c>
      <c r="U100" s="5" t="s">
        <v>97</v>
      </c>
      <c r="W100" s="5" t="s">
        <v>2468</v>
      </c>
      <c r="X100" s="5" t="s">
        <v>102</v>
      </c>
      <c r="AA100" s="5" t="s">
        <v>85</v>
      </c>
      <c r="AB100" s="5" t="s">
        <v>2469</v>
      </c>
      <c r="AC100" s="5" t="s">
        <v>2470</v>
      </c>
      <c r="AD100" s="5" t="s">
        <v>86</v>
      </c>
      <c r="AF100" s="5">
        <v>300</v>
      </c>
      <c r="AG100" s="5">
        <v>15010</v>
      </c>
      <c r="AH100" s="5" t="s">
        <v>85</v>
      </c>
      <c r="AI100" s="5" t="s">
        <v>2471</v>
      </c>
      <c r="AJ100" s="5">
        <v>300</v>
      </c>
      <c r="AK100" s="5">
        <v>1209</v>
      </c>
      <c r="AL100" s="5">
        <v>406</v>
      </c>
      <c r="AM100" s="5">
        <v>803</v>
      </c>
      <c r="AN100" s="5">
        <v>200</v>
      </c>
      <c r="AO100" s="5">
        <v>50</v>
      </c>
      <c r="AP100" s="5">
        <v>20</v>
      </c>
      <c r="AQ100" s="5">
        <v>20</v>
      </c>
      <c r="AR100" s="5" t="s">
        <v>2477</v>
      </c>
      <c r="AT100" s="5">
        <v>0</v>
      </c>
      <c r="AU100" s="5">
        <v>0</v>
      </c>
      <c r="AX100" s="5">
        <v>10</v>
      </c>
      <c r="AY100" s="5" t="s">
        <v>85</v>
      </c>
      <c r="AZ100" s="5">
        <v>61</v>
      </c>
      <c r="BA100" s="5">
        <v>208</v>
      </c>
      <c r="BB100" s="5">
        <v>61</v>
      </c>
      <c r="BC100" s="5">
        <v>147</v>
      </c>
      <c r="BD100" s="5">
        <v>30</v>
      </c>
      <c r="BE100" s="5">
        <v>5</v>
      </c>
      <c r="BF100" s="5">
        <v>21</v>
      </c>
      <c r="BG100" s="5" t="s">
        <v>2477</v>
      </c>
      <c r="BH100" s="5">
        <v>0</v>
      </c>
      <c r="BI100" s="5">
        <v>0</v>
      </c>
      <c r="BL100" s="5">
        <v>5</v>
      </c>
      <c r="BM100" s="5">
        <v>20</v>
      </c>
      <c r="BN100" s="5" t="s">
        <v>85</v>
      </c>
      <c r="BO100" s="5">
        <v>25</v>
      </c>
      <c r="BP100" s="5">
        <v>110</v>
      </c>
      <c r="BQ100" s="5">
        <v>40</v>
      </c>
      <c r="BR100" s="5">
        <v>70</v>
      </c>
      <c r="BS100" s="5" t="s">
        <v>2484</v>
      </c>
      <c r="BT100" s="5">
        <v>15</v>
      </c>
      <c r="BU100" s="5">
        <v>5</v>
      </c>
      <c r="BV100" s="5">
        <v>5</v>
      </c>
      <c r="BW100" s="5">
        <v>0</v>
      </c>
      <c r="BX100" s="5">
        <v>0</v>
      </c>
      <c r="BZ100" s="5">
        <v>0</v>
      </c>
      <c r="CA100" s="5">
        <v>0</v>
      </c>
      <c r="CC100" s="5">
        <v>0</v>
      </c>
      <c r="CD100" s="5">
        <v>2</v>
      </c>
      <c r="CF100" s="1442" t="str">
        <f>IF([1]!sommaire[[#This Row],[présence des personnes déplacés interne]]="Oui","1","0")</f>
        <v>1</v>
      </c>
      <c r="CG100" s="1442" t="str">
        <f>IF([1]!sommaire[[#This Row],[présence Réfugié hors camp]]="Oui","1","0")</f>
        <v>1</v>
      </c>
      <c r="CH100" s="1442" t="str">
        <f>IF([1]!sommaire[[#This Row],[présence personnes retournées]]="Oui","1","0")</f>
        <v>1</v>
      </c>
      <c r="CI100" s="1442">
        <f>[1]!sommaire[[#This Row],[Flag PDI]]+[1]!sommaire[[#This Row],[Flag REF]]+[1]!sommaire[[#This Row],[Flag RET]]</f>
        <v>3</v>
      </c>
    </row>
    <row r="101" spans="1:87" ht="14.55" customHeight="1" x14ac:dyDescent="0.3">
      <c r="A101" s="390">
        <v>2616932</v>
      </c>
      <c r="B101" s="5" t="s">
        <v>533</v>
      </c>
      <c r="C101" s="1430" t="s">
        <v>3449</v>
      </c>
      <c r="D101" s="1090" t="s">
        <v>534</v>
      </c>
      <c r="E101" s="5" t="s">
        <v>31</v>
      </c>
      <c r="F101" s="5" t="s">
        <v>31</v>
      </c>
      <c r="G101" s="5" t="s">
        <v>549</v>
      </c>
      <c r="H101" s="5" t="s">
        <v>164</v>
      </c>
      <c r="I101" s="5" t="str">
        <f>_xlfn.XLOOKUP(sommaire[[#This Row],[Arrondissement_code]],OCHA_GIS!$F:$F,OCHA_GIS!$E:$E,,)</f>
        <v>Blangoua</v>
      </c>
      <c r="J101" s="5" t="s">
        <v>748</v>
      </c>
      <c r="K101" t="s">
        <v>1083</v>
      </c>
      <c r="L101" s="5" t="s">
        <v>1084</v>
      </c>
      <c r="N101" s="5" t="s">
        <v>3053</v>
      </c>
      <c r="O101" s="5" t="s">
        <v>2467</v>
      </c>
      <c r="P101" s="5" t="s">
        <v>85</v>
      </c>
      <c r="Q101" s="5" t="s">
        <v>86</v>
      </c>
      <c r="R101" s="5" t="s">
        <v>86</v>
      </c>
      <c r="T101" s="390">
        <v>5</v>
      </c>
      <c r="U101" s="5" t="s">
        <v>97</v>
      </c>
      <c r="W101" s="5" t="s">
        <v>2468</v>
      </c>
      <c r="X101" s="5" t="s">
        <v>102</v>
      </c>
      <c r="AA101" s="5" t="s">
        <v>85</v>
      </c>
      <c r="AB101" s="5" t="s">
        <v>2469</v>
      </c>
      <c r="AC101" s="5" t="s">
        <v>2470</v>
      </c>
      <c r="AD101" s="5" t="s">
        <v>86</v>
      </c>
      <c r="AF101" s="5">
        <v>18</v>
      </c>
      <c r="AG101" s="5">
        <v>416</v>
      </c>
      <c r="AH101" s="5" t="s">
        <v>85</v>
      </c>
      <c r="AI101" s="5" t="s">
        <v>2471</v>
      </c>
      <c r="AJ101" s="5">
        <v>18</v>
      </c>
      <c r="AK101" s="5">
        <v>126</v>
      </c>
      <c r="AL101" s="5">
        <v>56</v>
      </c>
      <c r="AM101" s="5">
        <v>70</v>
      </c>
      <c r="AN101" s="5">
        <v>0</v>
      </c>
      <c r="AO101" s="5">
        <v>18</v>
      </c>
      <c r="AP101" s="5">
        <v>0</v>
      </c>
      <c r="AQ101" s="5">
        <v>0</v>
      </c>
      <c r="AT101" s="5">
        <v>0</v>
      </c>
      <c r="AU101" s="5">
        <v>0</v>
      </c>
      <c r="AX101" s="5">
        <v>0</v>
      </c>
      <c r="AY101" s="5" t="s">
        <v>86</v>
      </c>
      <c r="BN101" s="5" t="s">
        <v>86</v>
      </c>
      <c r="CD101" s="5">
        <v>0</v>
      </c>
      <c r="CF101" s="1442" t="str">
        <f>IF([1]!sommaire[[#This Row],[présence des personnes déplacés interne]]="Oui","1","0")</f>
        <v>1</v>
      </c>
      <c r="CG101" s="1442" t="str">
        <f>IF([1]!sommaire[[#This Row],[présence Réfugié hors camp]]="Oui","1","0")</f>
        <v>0</v>
      </c>
      <c r="CH101" s="1442" t="str">
        <f>IF([1]!sommaire[[#This Row],[présence personnes retournées]]="Oui","1","0")</f>
        <v>0</v>
      </c>
      <c r="CI101" s="1442">
        <f>[1]!sommaire[[#This Row],[Flag PDI]]+[1]!sommaire[[#This Row],[Flag REF]]+[1]!sommaire[[#This Row],[Flag RET]]</f>
        <v>1</v>
      </c>
    </row>
    <row r="102" spans="1:87" ht="14.55" customHeight="1" x14ac:dyDescent="0.3">
      <c r="A102" s="390">
        <v>2601999</v>
      </c>
      <c r="B102" s="5" t="s">
        <v>533</v>
      </c>
      <c r="C102" s="1430" t="s">
        <v>3449</v>
      </c>
      <c r="D102" s="1090" t="s">
        <v>534</v>
      </c>
      <c r="E102" s="5" t="s">
        <v>31</v>
      </c>
      <c r="F102" s="5" t="s">
        <v>31</v>
      </c>
      <c r="G102" s="5" t="s">
        <v>549</v>
      </c>
      <c r="H102" s="5" t="s">
        <v>164</v>
      </c>
      <c r="I102" s="5" t="str">
        <f>_xlfn.XLOOKUP(sommaire[[#This Row],[Arrondissement_code]],OCHA_GIS!$F:$F,OCHA_GIS!$E:$E,,)</f>
        <v>Blangoua</v>
      </c>
      <c r="J102" s="5" t="s">
        <v>748</v>
      </c>
      <c r="K102" t="s">
        <v>920</v>
      </c>
      <c r="L102" s="5" t="s">
        <v>921</v>
      </c>
      <c r="N102" s="5" t="s">
        <v>3053</v>
      </c>
      <c r="O102" s="5" t="s">
        <v>2467</v>
      </c>
      <c r="P102" s="5" t="s">
        <v>85</v>
      </c>
      <c r="Q102" s="5" t="s">
        <v>86</v>
      </c>
      <c r="R102" s="5" t="s">
        <v>86</v>
      </c>
      <c r="T102" s="390">
        <v>4</v>
      </c>
      <c r="U102" s="5" t="s">
        <v>97</v>
      </c>
      <c r="W102" s="5" t="s">
        <v>2468</v>
      </c>
      <c r="X102" s="5" t="s">
        <v>102</v>
      </c>
      <c r="AA102" s="586" t="s">
        <v>85</v>
      </c>
      <c r="AB102" s="5" t="s">
        <v>2473</v>
      </c>
      <c r="AC102" s="5" t="s">
        <v>2470</v>
      </c>
      <c r="AD102" s="1090" t="s">
        <v>86</v>
      </c>
      <c r="AF102" s="5">
        <v>89</v>
      </c>
      <c r="AG102" s="5">
        <v>287</v>
      </c>
      <c r="AH102" s="5" t="s">
        <v>85</v>
      </c>
      <c r="AI102" s="5" t="s">
        <v>2471</v>
      </c>
      <c r="AJ102" s="5">
        <v>89</v>
      </c>
      <c r="AK102" s="5">
        <v>287</v>
      </c>
      <c r="AL102" s="5">
        <v>109</v>
      </c>
      <c r="AM102" s="5">
        <v>178</v>
      </c>
      <c r="AN102" s="5">
        <v>0</v>
      </c>
      <c r="AO102" s="5">
        <v>0</v>
      </c>
      <c r="AP102" s="5">
        <v>0</v>
      </c>
      <c r="AQ102" s="5">
        <v>0</v>
      </c>
      <c r="AT102" s="5">
        <v>0</v>
      </c>
      <c r="AU102" s="5">
        <v>89</v>
      </c>
      <c r="AV102" s="5" t="s">
        <v>2490</v>
      </c>
      <c r="AX102" s="5">
        <v>0</v>
      </c>
      <c r="AY102" s="5" t="s">
        <v>86</v>
      </c>
      <c r="BN102" s="5" t="s">
        <v>86</v>
      </c>
      <c r="CD102" s="5">
        <v>0</v>
      </c>
      <c r="CF102" s="1442" t="str">
        <f>IF([1]!sommaire[[#This Row],[présence des personnes déplacés interne]]="Oui","1","0")</f>
        <v>1</v>
      </c>
      <c r="CG102" s="1442" t="str">
        <f>IF([1]!sommaire[[#This Row],[présence Réfugié hors camp]]="Oui","1","0")</f>
        <v>0</v>
      </c>
      <c r="CH102" s="1442" t="str">
        <f>IF([1]!sommaire[[#This Row],[présence personnes retournées]]="Oui","1","0")</f>
        <v>0</v>
      </c>
      <c r="CI102" s="1442">
        <f>[1]!sommaire[[#This Row],[Flag PDI]]+[1]!sommaire[[#This Row],[Flag REF]]+[1]!sommaire[[#This Row],[Flag RET]]</f>
        <v>1</v>
      </c>
    </row>
    <row r="103" spans="1:87" ht="14.55" customHeight="1" x14ac:dyDescent="0.3">
      <c r="A103" s="390">
        <v>2587754</v>
      </c>
      <c r="B103" s="5" t="s">
        <v>533</v>
      </c>
      <c r="C103" s="1430" t="s">
        <v>3449</v>
      </c>
      <c r="D103" s="1090" t="s">
        <v>534</v>
      </c>
      <c r="E103" s="5" t="s">
        <v>31</v>
      </c>
      <c r="F103" s="5" t="s">
        <v>31</v>
      </c>
      <c r="G103" s="5" t="s">
        <v>549</v>
      </c>
      <c r="H103" s="5" t="s">
        <v>164</v>
      </c>
      <c r="I103" s="5" t="str">
        <f>_xlfn.XLOOKUP(sommaire[[#This Row],[Arrondissement_code]],OCHA_GIS!$F:$F,OCHA_GIS!$E:$E,,)</f>
        <v>Blangoua</v>
      </c>
      <c r="J103" s="5" t="s">
        <v>748</v>
      </c>
      <c r="K103" t="s">
        <v>808</v>
      </c>
      <c r="L103" s="5" t="s">
        <v>809</v>
      </c>
      <c r="N103" s="5" t="s">
        <v>3053</v>
      </c>
      <c r="O103" s="5" t="s">
        <v>2467</v>
      </c>
      <c r="P103" s="5" t="s">
        <v>85</v>
      </c>
      <c r="Q103" s="5" t="s">
        <v>86</v>
      </c>
      <c r="R103" s="5" t="s">
        <v>86</v>
      </c>
      <c r="T103" s="390">
        <v>3</v>
      </c>
      <c r="U103" s="5" t="s">
        <v>97</v>
      </c>
      <c r="W103" s="5" t="s">
        <v>2468</v>
      </c>
      <c r="X103" s="5" t="s">
        <v>103</v>
      </c>
      <c r="Y103" s="5" t="s">
        <v>2476</v>
      </c>
      <c r="AA103" s="5" t="s">
        <v>85</v>
      </c>
      <c r="AB103" s="5" t="s">
        <v>2469</v>
      </c>
      <c r="AC103" s="5" t="s">
        <v>2470</v>
      </c>
      <c r="AD103" s="1090" t="s">
        <v>86</v>
      </c>
      <c r="AF103" s="5">
        <v>34</v>
      </c>
      <c r="AG103" s="5">
        <v>6664</v>
      </c>
      <c r="AH103" s="5" t="s">
        <v>85</v>
      </c>
      <c r="AI103" s="5" t="s">
        <v>2485</v>
      </c>
      <c r="AJ103" s="5">
        <v>34</v>
      </c>
      <c r="AK103" s="5">
        <v>350</v>
      </c>
      <c r="AL103" s="5">
        <v>150</v>
      </c>
      <c r="AM103" s="5">
        <v>200</v>
      </c>
      <c r="AN103" s="5">
        <v>30</v>
      </c>
      <c r="AO103" s="5">
        <v>4</v>
      </c>
      <c r="AP103" s="5">
        <v>0</v>
      </c>
      <c r="AQ103" s="5">
        <v>0</v>
      </c>
      <c r="AT103" s="5">
        <v>0</v>
      </c>
      <c r="AU103" s="5">
        <v>0</v>
      </c>
      <c r="AX103" s="5">
        <v>0</v>
      </c>
      <c r="AY103" s="5" t="s">
        <v>85</v>
      </c>
      <c r="AZ103" s="5">
        <v>7</v>
      </c>
      <c r="BA103" s="5">
        <v>64</v>
      </c>
      <c r="BB103" s="5">
        <v>30</v>
      </c>
      <c r="BC103" s="5">
        <v>34</v>
      </c>
      <c r="BD103" s="5">
        <v>5</v>
      </c>
      <c r="BE103" s="5">
        <v>0</v>
      </c>
      <c r="BF103" s="5">
        <v>2</v>
      </c>
      <c r="BG103" s="5" t="s">
        <v>2472</v>
      </c>
      <c r="BH103" s="5">
        <v>0</v>
      </c>
      <c r="BI103" s="5">
        <v>0</v>
      </c>
      <c r="BL103" s="5">
        <v>0</v>
      </c>
      <c r="BM103" s="5">
        <v>0</v>
      </c>
      <c r="BN103" s="5" t="s">
        <v>85</v>
      </c>
      <c r="BO103" s="5">
        <v>6</v>
      </c>
      <c r="BP103" s="5">
        <v>46</v>
      </c>
      <c r="BQ103" s="5">
        <v>16</v>
      </c>
      <c r="BR103" s="5">
        <v>30</v>
      </c>
      <c r="BS103" s="5" t="s">
        <v>2479</v>
      </c>
      <c r="BT103" s="5">
        <v>3</v>
      </c>
      <c r="BU103" s="5">
        <v>1</v>
      </c>
      <c r="BV103" s="5">
        <v>1</v>
      </c>
      <c r="BW103" s="5">
        <v>1</v>
      </c>
      <c r="BX103" s="5">
        <v>0</v>
      </c>
      <c r="BZ103" s="5">
        <v>0</v>
      </c>
      <c r="CA103" s="5">
        <v>0</v>
      </c>
      <c r="CC103" s="5">
        <v>0</v>
      </c>
      <c r="CD103" s="5">
        <v>0</v>
      </c>
      <c r="CF103" s="1442" t="str">
        <f>IF([1]!sommaire[[#This Row],[présence des personnes déplacés interne]]="Oui","1","0")</f>
        <v>1</v>
      </c>
      <c r="CG103" s="1442" t="str">
        <f>IF([1]!sommaire[[#This Row],[présence Réfugié hors camp]]="Oui","1","0")</f>
        <v>1</v>
      </c>
      <c r="CH103" s="1442" t="str">
        <f>IF([1]!sommaire[[#This Row],[présence personnes retournées]]="Oui","1","0")</f>
        <v>1</v>
      </c>
      <c r="CI103" s="1442">
        <f>[1]!sommaire[[#This Row],[Flag PDI]]+[1]!sommaire[[#This Row],[Flag REF]]+[1]!sommaire[[#This Row],[Flag RET]]</f>
        <v>3</v>
      </c>
    </row>
    <row r="104" spans="1:87" ht="14.55" customHeight="1" x14ac:dyDescent="0.3">
      <c r="A104" s="390">
        <v>2648392</v>
      </c>
      <c r="B104" s="5" t="s">
        <v>533</v>
      </c>
      <c r="C104" s="1430" t="s">
        <v>3449</v>
      </c>
      <c r="D104" s="1090" t="s">
        <v>534</v>
      </c>
      <c r="E104" s="5" t="s">
        <v>31</v>
      </c>
      <c r="F104" s="5" t="s">
        <v>31</v>
      </c>
      <c r="G104" s="5" t="s">
        <v>549</v>
      </c>
      <c r="H104" s="5" t="s">
        <v>164</v>
      </c>
      <c r="I104" s="5" t="str">
        <f>_xlfn.XLOOKUP(sommaire[[#This Row],[Arrondissement_code]],OCHA_GIS!$F:$F,OCHA_GIS!$E:$E,,)</f>
        <v>Blangoua</v>
      </c>
      <c r="J104" s="5" t="s">
        <v>748</v>
      </c>
      <c r="K104" t="s">
        <v>2480</v>
      </c>
      <c r="L104" s="5" t="s">
        <v>2481</v>
      </c>
      <c r="N104" s="5" t="s">
        <v>3053</v>
      </c>
      <c r="O104" s="5" t="s">
        <v>2467</v>
      </c>
      <c r="P104" s="5" t="s">
        <v>85</v>
      </c>
      <c r="Q104" s="5" t="s">
        <v>86</v>
      </c>
      <c r="R104" s="5" t="s">
        <v>86</v>
      </c>
      <c r="T104" s="390">
        <v>3</v>
      </c>
      <c r="U104" s="5" t="s">
        <v>100</v>
      </c>
      <c r="W104" s="5" t="s">
        <v>2482</v>
      </c>
      <c r="AA104" s="5" t="s">
        <v>86</v>
      </c>
      <c r="AH104" s="1430" t="s">
        <v>86</v>
      </c>
      <c r="AY104" s="1430" t="s">
        <v>86</v>
      </c>
      <c r="BN104" s="1430" t="s">
        <v>86</v>
      </c>
      <c r="CF104" s="1442" t="str">
        <f>IF([1]!sommaire[[#This Row],[présence des personnes déplacés interne]]="Oui","1","0")</f>
        <v>0</v>
      </c>
      <c r="CG104" s="1442" t="str">
        <f>IF([1]!sommaire[[#This Row],[présence Réfugié hors camp]]="Oui","1","0")</f>
        <v>0</v>
      </c>
      <c r="CH104" s="1442" t="str">
        <f>IF([1]!sommaire[[#This Row],[présence personnes retournées]]="Oui","1","0")</f>
        <v>0</v>
      </c>
      <c r="CI104" s="1442">
        <f>[1]!sommaire[[#This Row],[Flag PDI]]+[1]!sommaire[[#This Row],[Flag REF]]+[1]!sommaire[[#This Row],[Flag RET]]</f>
        <v>0</v>
      </c>
    </row>
    <row r="105" spans="1:87" ht="14.55" customHeight="1" x14ac:dyDescent="0.3">
      <c r="A105" s="390">
        <v>2590843</v>
      </c>
      <c r="B105" s="5" t="s">
        <v>533</v>
      </c>
      <c r="C105" s="1430" t="s">
        <v>3449</v>
      </c>
      <c r="D105" s="1090" t="s">
        <v>534</v>
      </c>
      <c r="E105" s="5" t="s">
        <v>31</v>
      </c>
      <c r="F105" s="5" t="s">
        <v>31</v>
      </c>
      <c r="G105" s="5" t="s">
        <v>549</v>
      </c>
      <c r="H105" s="5" t="s">
        <v>164</v>
      </c>
      <c r="I105" s="5" t="str">
        <f>_xlfn.XLOOKUP(sommaire[[#This Row],[Arrondissement_code]],OCHA_GIS!$F:$F,OCHA_GIS!$E:$E,,)</f>
        <v>Blangoua</v>
      </c>
      <c r="J105" s="5" t="s">
        <v>748</v>
      </c>
      <c r="K105" t="s">
        <v>818</v>
      </c>
      <c r="L105" s="5" t="s">
        <v>819</v>
      </c>
      <c r="N105" s="5" t="s">
        <v>3053</v>
      </c>
      <c r="O105" s="5" t="s">
        <v>2467</v>
      </c>
      <c r="P105" s="5" t="s">
        <v>85</v>
      </c>
      <c r="Q105" s="5" t="s">
        <v>86</v>
      </c>
      <c r="R105" s="5" t="s">
        <v>86</v>
      </c>
      <c r="T105" s="390">
        <v>3</v>
      </c>
      <c r="U105" s="5" t="s">
        <v>97</v>
      </c>
      <c r="W105" s="1090" t="s">
        <v>2468</v>
      </c>
      <c r="X105" s="5" t="s">
        <v>102</v>
      </c>
      <c r="AA105" s="5" t="s">
        <v>85</v>
      </c>
      <c r="AB105" s="5" t="s">
        <v>2469</v>
      </c>
      <c r="AC105" s="5" t="s">
        <v>2470</v>
      </c>
      <c r="AD105" s="5" t="s">
        <v>86</v>
      </c>
      <c r="AF105" s="5">
        <v>15</v>
      </c>
      <c r="AG105" s="5">
        <v>1907</v>
      </c>
      <c r="AH105" s="5" t="s">
        <v>85</v>
      </c>
      <c r="AI105" s="5" t="s">
        <v>2485</v>
      </c>
      <c r="AJ105" s="5">
        <v>15</v>
      </c>
      <c r="AK105" s="5">
        <v>120</v>
      </c>
      <c r="AL105" s="5">
        <v>45</v>
      </c>
      <c r="AM105" s="5">
        <v>75</v>
      </c>
      <c r="AN105" s="5">
        <v>0</v>
      </c>
      <c r="AO105" s="5">
        <v>15</v>
      </c>
      <c r="AP105" s="5">
        <v>0</v>
      </c>
      <c r="AQ105" s="5">
        <v>0</v>
      </c>
      <c r="AT105" s="5">
        <v>0</v>
      </c>
      <c r="AU105" s="5">
        <v>0</v>
      </c>
      <c r="AX105" s="5">
        <v>0</v>
      </c>
      <c r="AY105" s="5" t="s">
        <v>86</v>
      </c>
      <c r="BN105" s="5" t="s">
        <v>86</v>
      </c>
      <c r="CD105" s="5">
        <v>0</v>
      </c>
      <c r="CF105" s="1442" t="str">
        <f>IF([1]!sommaire[[#This Row],[présence des personnes déplacés interne]]="Oui","1","0")</f>
        <v>1</v>
      </c>
      <c r="CG105" s="1442" t="str">
        <f>IF([1]!sommaire[[#This Row],[présence Réfugié hors camp]]="Oui","1","0")</f>
        <v>0</v>
      </c>
      <c r="CH105" s="1442" t="str">
        <f>IF([1]!sommaire[[#This Row],[présence personnes retournées]]="Oui","1","0")</f>
        <v>0</v>
      </c>
      <c r="CI105" s="1442">
        <f>[1]!sommaire[[#This Row],[Flag PDI]]+[1]!sommaire[[#This Row],[Flag REF]]+[1]!sommaire[[#This Row],[Flag RET]]</f>
        <v>1</v>
      </c>
    </row>
    <row r="106" spans="1:87" ht="14.55" customHeight="1" x14ac:dyDescent="0.3">
      <c r="A106" s="390">
        <v>2626951</v>
      </c>
      <c r="B106" s="5" t="s">
        <v>533</v>
      </c>
      <c r="C106" s="1430" t="s">
        <v>3449</v>
      </c>
      <c r="D106" s="1090" t="s">
        <v>534</v>
      </c>
      <c r="E106" s="5" t="s">
        <v>31</v>
      </c>
      <c r="F106" s="5" t="s">
        <v>31</v>
      </c>
      <c r="G106" s="5" t="s">
        <v>549</v>
      </c>
      <c r="H106" s="5" t="s">
        <v>164</v>
      </c>
      <c r="I106" s="5" t="str">
        <f>_xlfn.XLOOKUP(sommaire[[#This Row],[Arrondissement_code]],OCHA_GIS!$F:$F,OCHA_GIS!$E:$E,,)</f>
        <v>Blangoua</v>
      </c>
      <c r="J106" s="5" t="s">
        <v>748</v>
      </c>
      <c r="K106" t="s">
        <v>1970</v>
      </c>
      <c r="L106" s="5" t="s">
        <v>1971</v>
      </c>
      <c r="N106" s="5" t="s">
        <v>3053</v>
      </c>
      <c r="O106" s="5" t="s">
        <v>2467</v>
      </c>
      <c r="P106" s="5" t="s">
        <v>85</v>
      </c>
      <c r="Q106" s="5" t="s">
        <v>86</v>
      </c>
      <c r="R106" s="5" t="s">
        <v>86</v>
      </c>
      <c r="T106" s="390">
        <v>5</v>
      </c>
      <c r="U106" s="5" t="s">
        <v>97</v>
      </c>
      <c r="W106" s="5" t="s">
        <v>2468</v>
      </c>
      <c r="X106" s="5" t="s">
        <v>102</v>
      </c>
      <c r="AA106" s="5" t="s">
        <v>85</v>
      </c>
      <c r="AB106" s="5" t="s">
        <v>2469</v>
      </c>
      <c r="AC106" s="5" t="s">
        <v>312</v>
      </c>
      <c r="AD106" s="5" t="s">
        <v>86</v>
      </c>
      <c r="AF106" s="5">
        <v>16</v>
      </c>
      <c r="AG106" s="5">
        <v>464</v>
      </c>
      <c r="AH106" s="5" t="s">
        <v>85</v>
      </c>
      <c r="AI106" s="5" t="s">
        <v>2485</v>
      </c>
      <c r="AJ106" s="5">
        <v>16</v>
      </c>
      <c r="AK106" s="5">
        <v>51</v>
      </c>
      <c r="AL106" s="5">
        <v>18</v>
      </c>
      <c r="AM106" s="5">
        <v>33</v>
      </c>
      <c r="AN106" s="5">
        <v>8</v>
      </c>
      <c r="AO106" s="5">
        <v>0</v>
      </c>
      <c r="AP106" s="5">
        <v>0</v>
      </c>
      <c r="AQ106" s="5">
        <v>5</v>
      </c>
      <c r="AR106" s="5" t="s">
        <v>2477</v>
      </c>
      <c r="AT106" s="5">
        <v>0</v>
      </c>
      <c r="AU106" s="5">
        <v>3</v>
      </c>
      <c r="AV106" s="5" t="s">
        <v>2490</v>
      </c>
      <c r="AX106" s="5">
        <v>0</v>
      </c>
      <c r="AY106" s="5" t="s">
        <v>86</v>
      </c>
      <c r="BN106" s="5" t="s">
        <v>85</v>
      </c>
      <c r="BO106" s="5">
        <v>7</v>
      </c>
      <c r="BP106" s="5">
        <v>27</v>
      </c>
      <c r="BQ106" s="5">
        <v>10</v>
      </c>
      <c r="BR106" s="5">
        <v>17</v>
      </c>
      <c r="BS106" s="5" t="s">
        <v>2492</v>
      </c>
      <c r="BT106" s="5">
        <v>0</v>
      </c>
      <c r="BU106" s="5">
        <v>0</v>
      </c>
      <c r="BV106" s="5">
        <v>3</v>
      </c>
      <c r="BW106" s="5">
        <v>0</v>
      </c>
      <c r="BX106" s="5">
        <v>4</v>
      </c>
      <c r="BY106" s="5" t="s">
        <v>2477</v>
      </c>
      <c r="BZ106" s="5">
        <v>0</v>
      </c>
      <c r="CA106" s="5">
        <v>0</v>
      </c>
      <c r="CC106" s="5">
        <v>0</v>
      </c>
      <c r="CD106" s="5">
        <v>0</v>
      </c>
      <c r="CF106" s="1442" t="str">
        <f>IF([1]!sommaire[[#This Row],[présence des personnes déplacés interne]]="Oui","1","0")</f>
        <v>1</v>
      </c>
      <c r="CG106" s="1442" t="str">
        <f>IF([1]!sommaire[[#This Row],[présence Réfugié hors camp]]="Oui","1","0")</f>
        <v>0</v>
      </c>
      <c r="CH106" s="1442" t="str">
        <f>IF([1]!sommaire[[#This Row],[présence personnes retournées]]="Oui","1","0")</f>
        <v>1</v>
      </c>
      <c r="CI106" s="1442">
        <f>[1]!sommaire[[#This Row],[Flag PDI]]+[1]!sommaire[[#This Row],[Flag REF]]+[1]!sommaire[[#This Row],[Flag RET]]</f>
        <v>2</v>
      </c>
    </row>
    <row r="107" spans="1:87" ht="14.55" customHeight="1" x14ac:dyDescent="0.3">
      <c r="A107" s="390">
        <v>2577858</v>
      </c>
      <c r="B107" s="5" t="s">
        <v>533</v>
      </c>
      <c r="C107" s="1430" t="s">
        <v>3449</v>
      </c>
      <c r="D107" s="1090" t="s">
        <v>534</v>
      </c>
      <c r="E107" s="5" t="s">
        <v>31</v>
      </c>
      <c r="F107" s="5" t="s">
        <v>31</v>
      </c>
      <c r="G107" s="5" t="s">
        <v>549</v>
      </c>
      <c r="H107" s="5" t="s">
        <v>164</v>
      </c>
      <c r="I107" s="5" t="str">
        <f>_xlfn.XLOOKUP(sommaire[[#This Row],[Arrondissement_code]],OCHA_GIS!$F:$F,OCHA_GIS!$E:$E,,)</f>
        <v>Blangoua</v>
      </c>
      <c r="J107" s="5" t="s">
        <v>748</v>
      </c>
      <c r="K107" t="s">
        <v>1786</v>
      </c>
      <c r="L107" s="5" t="s">
        <v>1787</v>
      </c>
      <c r="N107" s="5" t="s">
        <v>3053</v>
      </c>
      <c r="O107" s="5" t="s">
        <v>2467</v>
      </c>
      <c r="P107" s="5" t="s">
        <v>85</v>
      </c>
      <c r="Q107" s="5" t="s">
        <v>86</v>
      </c>
      <c r="R107" s="5" t="s">
        <v>86</v>
      </c>
      <c r="T107" s="390">
        <v>3</v>
      </c>
      <c r="U107" s="5" t="s">
        <v>97</v>
      </c>
      <c r="W107" s="5" t="s">
        <v>2468</v>
      </c>
      <c r="X107" s="5" t="s">
        <v>103</v>
      </c>
      <c r="Y107" s="5" t="s">
        <v>2476</v>
      </c>
      <c r="AA107" s="5" t="s">
        <v>85</v>
      </c>
      <c r="AB107" s="5" t="s">
        <v>2469</v>
      </c>
      <c r="AC107" s="5" t="s">
        <v>2470</v>
      </c>
      <c r="AD107" s="1090" t="s">
        <v>86</v>
      </c>
      <c r="AF107" s="5">
        <v>7</v>
      </c>
      <c r="AG107" s="5">
        <v>459</v>
      </c>
      <c r="AH107" s="5" t="s">
        <v>85</v>
      </c>
      <c r="AI107" s="5" t="s">
        <v>2471</v>
      </c>
      <c r="AJ107" s="5">
        <v>7</v>
      </c>
      <c r="AK107" s="5">
        <v>38</v>
      </c>
      <c r="AL107" s="5">
        <v>18</v>
      </c>
      <c r="AM107" s="5">
        <v>20</v>
      </c>
      <c r="AN107" s="5">
        <v>0</v>
      </c>
      <c r="AO107" s="5">
        <v>7</v>
      </c>
      <c r="AP107" s="5">
        <v>0</v>
      </c>
      <c r="AQ107" s="5">
        <v>0</v>
      </c>
      <c r="AT107" s="5">
        <v>0</v>
      </c>
      <c r="AU107" s="5">
        <v>0</v>
      </c>
      <c r="AX107" s="5">
        <v>0</v>
      </c>
      <c r="AY107" s="5" t="s">
        <v>86</v>
      </c>
      <c r="BN107" s="5" t="s">
        <v>86</v>
      </c>
      <c r="CD107" s="5">
        <v>0</v>
      </c>
      <c r="CF107" s="1442" t="str">
        <f>IF([1]!sommaire[[#This Row],[présence des personnes déplacés interne]]="Oui","1","0")</f>
        <v>1</v>
      </c>
      <c r="CG107" s="1442" t="str">
        <f>IF([1]!sommaire[[#This Row],[présence Réfugié hors camp]]="Oui","1","0")</f>
        <v>0</v>
      </c>
      <c r="CH107" s="1442" t="str">
        <f>IF([1]!sommaire[[#This Row],[présence personnes retournées]]="Oui","1","0")</f>
        <v>0</v>
      </c>
      <c r="CI107" s="1442">
        <f>[1]!sommaire[[#This Row],[Flag PDI]]+[1]!sommaire[[#This Row],[Flag REF]]+[1]!sommaire[[#This Row],[Flag RET]]</f>
        <v>1</v>
      </c>
    </row>
    <row r="108" spans="1:87" ht="14.55" customHeight="1" x14ac:dyDescent="0.3">
      <c r="A108" s="390">
        <v>2634500</v>
      </c>
      <c r="B108" s="5" t="s">
        <v>533</v>
      </c>
      <c r="C108" s="1430" t="s">
        <v>3449</v>
      </c>
      <c r="D108" s="1090" t="s">
        <v>534</v>
      </c>
      <c r="E108" s="5" t="s">
        <v>31</v>
      </c>
      <c r="F108" s="5" t="s">
        <v>31</v>
      </c>
      <c r="G108" s="5" t="s">
        <v>549</v>
      </c>
      <c r="H108" s="5" t="s">
        <v>164</v>
      </c>
      <c r="I108" s="5" t="str">
        <f>_xlfn.XLOOKUP(sommaire[[#This Row],[Arrondissement_code]],OCHA_GIS!$F:$F,OCHA_GIS!$E:$E,,)</f>
        <v>Blangoua</v>
      </c>
      <c r="J108" s="5" t="s">
        <v>748</v>
      </c>
      <c r="K108" t="s">
        <v>1195</v>
      </c>
      <c r="L108" s="5" t="s">
        <v>1196</v>
      </c>
      <c r="N108" s="5" t="s">
        <v>3053</v>
      </c>
      <c r="O108" s="5" t="s">
        <v>2467</v>
      </c>
      <c r="P108" s="5" t="s">
        <v>85</v>
      </c>
      <c r="Q108" s="5" t="s">
        <v>86</v>
      </c>
      <c r="R108" s="5" t="s">
        <v>86</v>
      </c>
      <c r="T108" s="390">
        <v>3</v>
      </c>
      <c r="U108" s="5" t="s">
        <v>97</v>
      </c>
      <c r="W108" s="5" t="s">
        <v>2468</v>
      </c>
      <c r="X108" s="5" t="s">
        <v>102</v>
      </c>
      <c r="AA108" s="5" t="s">
        <v>85</v>
      </c>
      <c r="AB108" s="5" t="s">
        <v>2469</v>
      </c>
      <c r="AC108" s="5" t="s">
        <v>2470</v>
      </c>
      <c r="AD108" s="5" t="s">
        <v>86</v>
      </c>
      <c r="AF108" s="5">
        <v>20</v>
      </c>
      <c r="AG108" s="5">
        <v>615</v>
      </c>
      <c r="AH108" s="5" t="s">
        <v>85</v>
      </c>
      <c r="AI108" s="5" t="s">
        <v>2471</v>
      </c>
      <c r="AJ108" s="5">
        <v>20</v>
      </c>
      <c r="AK108" s="5">
        <v>49</v>
      </c>
      <c r="AL108" s="5">
        <v>15</v>
      </c>
      <c r="AM108" s="5">
        <v>34</v>
      </c>
      <c r="AN108" s="5">
        <v>10</v>
      </c>
      <c r="AO108" s="5">
        <v>10</v>
      </c>
      <c r="AP108" s="5">
        <v>0</v>
      </c>
      <c r="AQ108" s="5">
        <v>0</v>
      </c>
      <c r="AT108" s="5">
        <v>0</v>
      </c>
      <c r="AU108" s="5">
        <v>0</v>
      </c>
      <c r="AX108" s="5">
        <v>0</v>
      </c>
      <c r="AY108" s="5" t="s">
        <v>85</v>
      </c>
      <c r="AZ108" s="5">
        <v>2</v>
      </c>
      <c r="BA108" s="5">
        <v>10</v>
      </c>
      <c r="BB108" s="5">
        <v>2</v>
      </c>
      <c r="BC108" s="5">
        <v>8</v>
      </c>
      <c r="BD108" s="5">
        <v>2</v>
      </c>
      <c r="BE108" s="5">
        <v>0</v>
      </c>
      <c r="BF108" s="5">
        <v>0</v>
      </c>
      <c r="BH108" s="5">
        <v>0</v>
      </c>
      <c r="BI108" s="5">
        <v>0</v>
      </c>
      <c r="BL108" s="5">
        <v>0</v>
      </c>
      <c r="BM108" s="5">
        <v>0</v>
      </c>
      <c r="BN108" s="5" t="s">
        <v>85</v>
      </c>
      <c r="BO108" s="5">
        <v>1</v>
      </c>
      <c r="BP108" s="5">
        <v>9</v>
      </c>
      <c r="BQ108" s="5">
        <v>7</v>
      </c>
      <c r="BR108" s="5">
        <v>2</v>
      </c>
      <c r="BS108" s="5" t="s">
        <v>2484</v>
      </c>
      <c r="BT108" s="5">
        <v>1</v>
      </c>
      <c r="BU108" s="5">
        <v>0</v>
      </c>
      <c r="BV108" s="5">
        <v>0</v>
      </c>
      <c r="BW108" s="5">
        <v>0</v>
      </c>
      <c r="BX108" s="5">
        <v>0</v>
      </c>
      <c r="BZ108" s="5">
        <v>0</v>
      </c>
      <c r="CA108" s="5">
        <v>0</v>
      </c>
      <c r="CC108" s="5">
        <v>0</v>
      </c>
      <c r="CD108" s="5">
        <v>0</v>
      </c>
      <c r="CF108" s="1442" t="str">
        <f>IF([1]!sommaire[[#This Row],[présence des personnes déplacés interne]]="Oui","1","0")</f>
        <v>1</v>
      </c>
      <c r="CG108" s="1442" t="str">
        <f>IF([1]!sommaire[[#This Row],[présence Réfugié hors camp]]="Oui","1","0")</f>
        <v>1</v>
      </c>
      <c r="CH108" s="1442" t="str">
        <f>IF([1]!sommaire[[#This Row],[présence personnes retournées]]="Oui","1","0")</f>
        <v>1</v>
      </c>
      <c r="CI108" s="1442">
        <f>[1]!sommaire[[#This Row],[Flag PDI]]+[1]!sommaire[[#This Row],[Flag REF]]+[1]!sommaire[[#This Row],[Flag RET]]</f>
        <v>3</v>
      </c>
    </row>
    <row r="109" spans="1:87" ht="14.55" customHeight="1" x14ac:dyDescent="0.3">
      <c r="A109" s="390">
        <v>2646288</v>
      </c>
      <c r="B109" s="5" t="s">
        <v>533</v>
      </c>
      <c r="C109" s="1430" t="s">
        <v>3449</v>
      </c>
      <c r="D109" s="1090" t="s">
        <v>534</v>
      </c>
      <c r="E109" s="5" t="s">
        <v>31</v>
      </c>
      <c r="F109" s="5" t="s">
        <v>31</v>
      </c>
      <c r="G109" s="5" t="s">
        <v>549</v>
      </c>
      <c r="H109" s="5" t="s">
        <v>164</v>
      </c>
      <c r="I109" s="5" t="str">
        <f>_xlfn.XLOOKUP(sommaire[[#This Row],[Arrondissement_code]],OCHA_GIS!$F:$F,OCHA_GIS!$E:$E,,)</f>
        <v>Blangoua</v>
      </c>
      <c r="J109" s="5" t="s">
        <v>748</v>
      </c>
      <c r="K109" t="s">
        <v>1889</v>
      </c>
      <c r="L109" s="5" t="s">
        <v>1890</v>
      </c>
      <c r="N109" s="5" t="s">
        <v>3053</v>
      </c>
      <c r="O109" s="5" t="s">
        <v>2467</v>
      </c>
      <c r="P109" s="5" t="s">
        <v>85</v>
      </c>
      <c r="Q109" s="5" t="s">
        <v>86</v>
      </c>
      <c r="R109" s="5" t="s">
        <v>86</v>
      </c>
      <c r="T109" s="390">
        <v>3</v>
      </c>
      <c r="U109" s="5" t="s">
        <v>97</v>
      </c>
      <c r="W109" s="5" t="s">
        <v>2468</v>
      </c>
      <c r="X109" s="5" t="s">
        <v>102</v>
      </c>
      <c r="AA109" s="5" t="s">
        <v>85</v>
      </c>
      <c r="AB109" s="5" t="s">
        <v>2469</v>
      </c>
      <c r="AC109" s="5" t="s">
        <v>2470</v>
      </c>
      <c r="AD109" s="5" t="s">
        <v>86</v>
      </c>
      <c r="AF109" s="5">
        <v>8</v>
      </c>
      <c r="AG109" s="5">
        <v>560</v>
      </c>
      <c r="AH109" s="5" t="s">
        <v>85</v>
      </c>
      <c r="AI109" s="5" t="s">
        <v>2471</v>
      </c>
      <c r="AJ109" s="5">
        <v>8</v>
      </c>
      <c r="AK109" s="5">
        <v>65</v>
      </c>
      <c r="AL109" s="5">
        <v>25</v>
      </c>
      <c r="AM109" s="5">
        <v>40</v>
      </c>
      <c r="AN109" s="5">
        <v>4</v>
      </c>
      <c r="AO109" s="5">
        <v>2</v>
      </c>
      <c r="AP109" s="5">
        <v>0</v>
      </c>
      <c r="AQ109" s="5">
        <v>0</v>
      </c>
      <c r="AT109" s="5">
        <v>0</v>
      </c>
      <c r="AU109" s="5">
        <v>0</v>
      </c>
      <c r="AX109" s="5">
        <v>2</v>
      </c>
      <c r="AY109" s="5" t="s">
        <v>86</v>
      </c>
      <c r="BN109" s="5" t="s">
        <v>86</v>
      </c>
      <c r="CD109" s="5">
        <v>0</v>
      </c>
      <c r="CF109" s="1442" t="str">
        <f>IF([1]!sommaire[[#This Row],[présence des personnes déplacés interne]]="Oui","1","0")</f>
        <v>1</v>
      </c>
      <c r="CG109" s="1442" t="str">
        <f>IF([1]!sommaire[[#This Row],[présence Réfugié hors camp]]="Oui","1","0")</f>
        <v>0</v>
      </c>
      <c r="CH109" s="1442" t="str">
        <f>IF([1]!sommaire[[#This Row],[présence personnes retournées]]="Oui","1","0")</f>
        <v>0</v>
      </c>
      <c r="CI109" s="1442">
        <f>[1]!sommaire[[#This Row],[Flag PDI]]+[1]!sommaire[[#This Row],[Flag REF]]+[1]!sommaire[[#This Row],[Flag RET]]</f>
        <v>1</v>
      </c>
    </row>
    <row r="110" spans="1:87" ht="14.55" customHeight="1" x14ac:dyDescent="0.3">
      <c r="A110" s="390">
        <v>2626950</v>
      </c>
      <c r="B110" s="5" t="s">
        <v>533</v>
      </c>
      <c r="C110" s="1430" t="s">
        <v>3449</v>
      </c>
      <c r="D110" s="5" t="s">
        <v>534</v>
      </c>
      <c r="E110" s="5" t="s">
        <v>31</v>
      </c>
      <c r="F110" s="5" t="s">
        <v>31</v>
      </c>
      <c r="G110" s="5" t="s">
        <v>549</v>
      </c>
      <c r="H110" s="5" t="s">
        <v>164</v>
      </c>
      <c r="I110" s="5" t="str">
        <f>_xlfn.XLOOKUP(sommaire[[#This Row],[Arrondissement_code]],OCHA_GIS!$F:$F,OCHA_GIS!$E:$E,,)</f>
        <v>Blangoua</v>
      </c>
      <c r="J110" s="5" t="s">
        <v>748</v>
      </c>
      <c r="K110" t="s">
        <v>751</v>
      </c>
      <c r="L110" s="5" t="s">
        <v>3244</v>
      </c>
      <c r="N110" s="5" t="s">
        <v>3053</v>
      </c>
      <c r="O110" s="5" t="s">
        <v>2473</v>
      </c>
      <c r="P110" s="5" t="s">
        <v>85</v>
      </c>
      <c r="Q110" s="5" t="s">
        <v>86</v>
      </c>
      <c r="R110" s="5" t="s">
        <v>86</v>
      </c>
      <c r="T110" s="390">
        <v>3</v>
      </c>
      <c r="U110" s="5" t="s">
        <v>97</v>
      </c>
      <c r="W110" s="5" t="s">
        <v>2468</v>
      </c>
      <c r="X110" s="5" t="s">
        <v>102</v>
      </c>
      <c r="AA110" s="5" t="s">
        <v>85</v>
      </c>
      <c r="AB110" s="5" t="s">
        <v>2469</v>
      </c>
      <c r="AC110" s="5" t="s">
        <v>2473</v>
      </c>
      <c r="AF110" s="5">
        <v>123</v>
      </c>
      <c r="AG110" s="5">
        <v>1753</v>
      </c>
      <c r="AH110" s="5" t="s">
        <v>85</v>
      </c>
      <c r="AI110" s="5" t="s">
        <v>2485</v>
      </c>
      <c r="AJ110" s="5">
        <v>123</v>
      </c>
      <c r="AK110" s="5">
        <v>1553</v>
      </c>
      <c r="AL110" s="5">
        <v>541</v>
      </c>
      <c r="AM110" s="5">
        <v>1012</v>
      </c>
      <c r="AN110" s="5">
        <v>109</v>
      </c>
      <c r="AO110" s="5">
        <v>3</v>
      </c>
      <c r="AP110" s="5">
        <v>0</v>
      </c>
      <c r="AQ110" s="5">
        <v>6</v>
      </c>
      <c r="AR110" s="5" t="s">
        <v>2472</v>
      </c>
      <c r="AT110" s="5">
        <v>0</v>
      </c>
      <c r="AU110" s="5">
        <v>5</v>
      </c>
      <c r="AV110" s="5" t="s">
        <v>2474</v>
      </c>
      <c r="AX110" s="5">
        <v>0</v>
      </c>
      <c r="AY110" s="5" t="s">
        <v>86</v>
      </c>
      <c r="BN110" s="5" t="s">
        <v>86</v>
      </c>
      <c r="CD110" s="5">
        <v>0</v>
      </c>
      <c r="CF110" s="1442" t="str">
        <f>IF([1]!sommaire[[#This Row],[présence des personnes déplacés interne]]="Oui","1","0")</f>
        <v>1</v>
      </c>
      <c r="CG110" s="1442" t="str">
        <f>IF([1]!sommaire[[#This Row],[présence Réfugié hors camp]]="Oui","1","0")</f>
        <v>0</v>
      </c>
      <c r="CH110" s="1442" t="str">
        <f>IF([1]!sommaire[[#This Row],[présence personnes retournées]]="Oui","1","0")</f>
        <v>0</v>
      </c>
      <c r="CI110" s="1442">
        <f>[1]!sommaire[[#This Row],[Flag PDI]]+[1]!sommaire[[#This Row],[Flag REF]]+[1]!sommaire[[#This Row],[Flag RET]]</f>
        <v>1</v>
      </c>
    </row>
    <row r="111" spans="1:87" ht="14.55" customHeight="1" x14ac:dyDescent="0.3">
      <c r="A111" s="390">
        <v>2648627</v>
      </c>
      <c r="B111" s="5" t="s">
        <v>533</v>
      </c>
      <c r="C111" s="1430" t="s">
        <v>3449</v>
      </c>
      <c r="D111" s="5" t="s">
        <v>534</v>
      </c>
      <c r="E111" s="5" t="s">
        <v>31</v>
      </c>
      <c r="F111" s="5" t="s">
        <v>31</v>
      </c>
      <c r="G111" s="5" t="s">
        <v>549</v>
      </c>
      <c r="H111" s="5" t="s">
        <v>164</v>
      </c>
      <c r="I111" s="5" t="str">
        <f>_xlfn.XLOOKUP(sommaire[[#This Row],[Arrondissement_code]],OCHA_GIS!$F:$F,OCHA_GIS!$E:$E,,)</f>
        <v>Blangoua</v>
      </c>
      <c r="J111" s="5" t="s">
        <v>748</v>
      </c>
      <c r="K111" t="s">
        <v>2259</v>
      </c>
      <c r="L111" s="5" t="s">
        <v>3260</v>
      </c>
      <c r="N111" s="5" t="s">
        <v>3053</v>
      </c>
      <c r="O111" s="5" t="s">
        <v>2473</v>
      </c>
      <c r="P111" s="5" t="s">
        <v>85</v>
      </c>
      <c r="Q111" s="5" t="s">
        <v>86</v>
      </c>
      <c r="R111" s="5" t="s">
        <v>86</v>
      </c>
      <c r="T111" s="390">
        <v>3</v>
      </c>
      <c r="U111" s="5" t="s">
        <v>97</v>
      </c>
      <c r="W111" s="5" t="s">
        <v>2468</v>
      </c>
      <c r="X111" s="5" t="s">
        <v>102</v>
      </c>
      <c r="AA111" s="5" t="s">
        <v>85</v>
      </c>
      <c r="AB111" s="5" t="s">
        <v>2473</v>
      </c>
      <c r="AC111" s="5" t="s">
        <v>2470</v>
      </c>
      <c r="AG111" s="5">
        <v>182</v>
      </c>
      <c r="AH111" s="5" t="s">
        <v>86</v>
      </c>
      <c r="AY111" s="5" t="s">
        <v>86</v>
      </c>
      <c r="BN111" s="5" t="s">
        <v>85</v>
      </c>
      <c r="BO111" s="5">
        <v>18</v>
      </c>
      <c r="BP111" s="5">
        <v>182</v>
      </c>
      <c r="BQ111" s="5">
        <v>21</v>
      </c>
      <c r="BR111" s="5">
        <v>161</v>
      </c>
      <c r="BS111" s="5" t="s">
        <v>2535</v>
      </c>
      <c r="BT111" s="5">
        <v>0</v>
      </c>
      <c r="BU111" s="5">
        <v>0</v>
      </c>
      <c r="BV111" s="5">
        <v>0</v>
      </c>
      <c r="BW111" s="5">
        <v>0</v>
      </c>
      <c r="BX111" s="5">
        <v>0</v>
      </c>
      <c r="BZ111" s="5">
        <v>0</v>
      </c>
      <c r="CA111" s="5">
        <v>18</v>
      </c>
      <c r="CB111" s="5" t="s">
        <v>2474</v>
      </c>
      <c r="CC111" s="5">
        <v>0</v>
      </c>
      <c r="CD111" s="5">
        <v>2</v>
      </c>
      <c r="CF111" s="1442" t="str">
        <f>IF([1]!sommaire[[#This Row],[présence des personnes déplacés interne]]="Oui","1","0")</f>
        <v>0</v>
      </c>
      <c r="CG111" s="1442" t="str">
        <f>IF([1]!sommaire[[#This Row],[présence Réfugié hors camp]]="Oui","1","0")</f>
        <v>0</v>
      </c>
      <c r="CH111" s="1442" t="str">
        <f>IF([1]!sommaire[[#This Row],[présence personnes retournées]]="Oui","1","0")</f>
        <v>1</v>
      </c>
      <c r="CI111" s="1442">
        <f>[1]!sommaire[[#This Row],[Flag PDI]]+[1]!sommaire[[#This Row],[Flag REF]]+[1]!sommaire[[#This Row],[Flag RET]]</f>
        <v>1</v>
      </c>
    </row>
    <row r="112" spans="1:87" ht="14.55" customHeight="1" x14ac:dyDescent="0.3">
      <c r="A112" s="390">
        <v>2592414</v>
      </c>
      <c r="B112" s="5" t="s">
        <v>533</v>
      </c>
      <c r="C112" s="1430" t="s">
        <v>3449</v>
      </c>
      <c r="D112" s="5" t="s">
        <v>534</v>
      </c>
      <c r="E112" s="5" t="s">
        <v>31</v>
      </c>
      <c r="F112" s="5" t="s">
        <v>31</v>
      </c>
      <c r="G112" s="5" t="s">
        <v>549</v>
      </c>
      <c r="H112" s="5" t="s">
        <v>164</v>
      </c>
      <c r="I112" s="5" t="str">
        <f>_xlfn.XLOOKUP(sommaire[[#This Row],[Arrondissement_code]],OCHA_GIS!$F:$F,OCHA_GIS!$E:$E,,)</f>
        <v>Blangoua</v>
      </c>
      <c r="J112" s="5" t="s">
        <v>748</v>
      </c>
      <c r="K112" t="s">
        <v>794</v>
      </c>
      <c r="L112" s="5" t="s">
        <v>3281</v>
      </c>
      <c r="N112" s="5" t="s">
        <v>3053</v>
      </c>
      <c r="O112" s="5" t="s">
        <v>2473</v>
      </c>
      <c r="P112" s="5" t="s">
        <v>85</v>
      </c>
      <c r="Q112" s="5" t="s">
        <v>86</v>
      </c>
      <c r="R112" s="5" t="s">
        <v>86</v>
      </c>
      <c r="T112" s="390">
        <v>3</v>
      </c>
      <c r="U112" s="5" t="s">
        <v>97</v>
      </c>
      <c r="W112" s="5" t="s">
        <v>2468</v>
      </c>
      <c r="X112" s="5" t="s">
        <v>102</v>
      </c>
      <c r="AA112" s="5" t="s">
        <v>85</v>
      </c>
      <c r="AB112" s="5" t="s">
        <v>2473</v>
      </c>
      <c r="AC112" s="5" t="s">
        <v>2470</v>
      </c>
      <c r="AF112" s="5">
        <v>28</v>
      </c>
      <c r="AG112" s="5">
        <v>220</v>
      </c>
      <c r="AH112" s="5" t="s">
        <v>85</v>
      </c>
      <c r="AI112" s="5" t="s">
        <v>2471</v>
      </c>
      <c r="AJ112" s="5">
        <v>28</v>
      </c>
      <c r="AK112" s="5">
        <v>220</v>
      </c>
      <c r="AL112" s="5">
        <v>100</v>
      </c>
      <c r="AM112" s="5">
        <v>120</v>
      </c>
      <c r="AN112" s="5">
        <v>28</v>
      </c>
      <c r="AO112" s="5">
        <v>0</v>
      </c>
      <c r="AP112" s="5">
        <v>0</v>
      </c>
      <c r="AQ112" s="5">
        <v>0</v>
      </c>
      <c r="AT112" s="5">
        <v>0</v>
      </c>
      <c r="AU112" s="5">
        <v>0</v>
      </c>
      <c r="AX112" s="5">
        <v>0</v>
      </c>
      <c r="AY112" s="5" t="s">
        <v>86</v>
      </c>
      <c r="BN112" s="5" t="s">
        <v>86</v>
      </c>
      <c r="CD112" s="5">
        <v>0</v>
      </c>
      <c r="CF112" s="1442" t="str">
        <f>IF([1]!sommaire[[#This Row],[présence des personnes déplacés interne]]="Oui","1","0")</f>
        <v>1</v>
      </c>
      <c r="CG112" s="1442" t="str">
        <f>IF([1]!sommaire[[#This Row],[présence Réfugié hors camp]]="Oui","1","0")</f>
        <v>0</v>
      </c>
      <c r="CH112" s="1442" t="str">
        <f>IF([1]!sommaire[[#This Row],[présence personnes retournées]]="Oui","1","0")</f>
        <v>0</v>
      </c>
      <c r="CI112" s="1442">
        <f>[1]!sommaire[[#This Row],[Flag PDI]]+[1]!sommaire[[#This Row],[Flag REF]]+[1]!sommaire[[#This Row],[Flag RET]]</f>
        <v>1</v>
      </c>
    </row>
    <row r="113" spans="1:87" ht="14.55" customHeight="1" x14ac:dyDescent="0.3">
      <c r="A113" s="390">
        <v>2610162</v>
      </c>
      <c r="B113" s="5" t="s">
        <v>533</v>
      </c>
      <c r="C113" s="1430" t="s">
        <v>3449</v>
      </c>
      <c r="D113" s="5" t="s">
        <v>534</v>
      </c>
      <c r="E113" s="5" t="s">
        <v>31</v>
      </c>
      <c r="F113" s="5" t="s">
        <v>31</v>
      </c>
      <c r="G113" s="5" t="s">
        <v>549</v>
      </c>
      <c r="H113" s="5" t="s">
        <v>164</v>
      </c>
      <c r="I113" s="5" t="str">
        <f>_xlfn.XLOOKUP(sommaire[[#This Row],[Arrondissement_code]],OCHA_GIS!$F:$F,OCHA_GIS!$E:$E,,)</f>
        <v>Blangoua</v>
      </c>
      <c r="J113" s="5" t="s">
        <v>748</v>
      </c>
      <c r="K113" t="s">
        <v>1085</v>
      </c>
      <c r="L113" s="5" t="s">
        <v>1086</v>
      </c>
      <c r="N113" s="5" t="s">
        <v>3053</v>
      </c>
      <c r="O113" s="5" t="s">
        <v>2467</v>
      </c>
      <c r="P113" s="5" t="s">
        <v>85</v>
      </c>
      <c r="Q113" s="5" t="s">
        <v>86</v>
      </c>
      <c r="R113" s="5" t="s">
        <v>86</v>
      </c>
      <c r="T113" s="390">
        <v>3</v>
      </c>
      <c r="U113" s="5" t="s">
        <v>97</v>
      </c>
      <c r="W113" s="5" t="s">
        <v>2468</v>
      </c>
      <c r="X113" s="5" t="s">
        <v>102</v>
      </c>
      <c r="AA113" s="5" t="s">
        <v>85</v>
      </c>
      <c r="AB113" s="5" t="s">
        <v>2469</v>
      </c>
      <c r="AC113" s="5" t="s">
        <v>2470</v>
      </c>
      <c r="AD113" s="5" t="s">
        <v>86</v>
      </c>
      <c r="AF113" s="5">
        <v>26</v>
      </c>
      <c r="AG113" s="5">
        <v>335</v>
      </c>
      <c r="AH113" s="5" t="s">
        <v>85</v>
      </c>
      <c r="AI113" s="5" t="s">
        <v>2471</v>
      </c>
      <c r="AJ113" s="5">
        <v>26</v>
      </c>
      <c r="AK113" s="5">
        <v>182</v>
      </c>
      <c r="AL113" s="5">
        <v>82</v>
      </c>
      <c r="AM113" s="5">
        <v>100</v>
      </c>
      <c r="AN113" s="5">
        <v>20</v>
      </c>
      <c r="AO113" s="5">
        <v>6</v>
      </c>
      <c r="AP113" s="5">
        <v>0</v>
      </c>
      <c r="AQ113" s="5">
        <v>0</v>
      </c>
      <c r="AT113" s="5">
        <v>0</v>
      </c>
      <c r="AU113" s="5">
        <v>0</v>
      </c>
      <c r="AX113" s="5">
        <v>0</v>
      </c>
      <c r="AY113" s="5" t="s">
        <v>86</v>
      </c>
      <c r="BN113" s="5" t="s">
        <v>86</v>
      </c>
      <c r="CD113" s="5">
        <v>0</v>
      </c>
      <c r="CF113" s="1442" t="str">
        <f>IF([1]!sommaire[[#This Row],[présence des personnes déplacés interne]]="Oui","1","0")</f>
        <v>1</v>
      </c>
      <c r="CG113" s="1442" t="str">
        <f>IF([1]!sommaire[[#This Row],[présence Réfugié hors camp]]="Oui","1","0")</f>
        <v>0</v>
      </c>
      <c r="CH113" s="1442" t="str">
        <f>IF([1]!sommaire[[#This Row],[présence personnes retournées]]="Oui","1","0")</f>
        <v>0</v>
      </c>
      <c r="CI113" s="1442">
        <f>[1]!sommaire[[#This Row],[Flag PDI]]+[1]!sommaire[[#This Row],[Flag REF]]+[1]!sommaire[[#This Row],[Flag RET]]</f>
        <v>1</v>
      </c>
    </row>
    <row r="114" spans="1:87" ht="14.55" customHeight="1" x14ac:dyDescent="0.3">
      <c r="A114" s="390">
        <v>2592515</v>
      </c>
      <c r="B114" s="5" t="s">
        <v>533</v>
      </c>
      <c r="C114" s="1430" t="s">
        <v>3449</v>
      </c>
      <c r="D114" s="5" t="s">
        <v>534</v>
      </c>
      <c r="E114" s="5" t="s">
        <v>31</v>
      </c>
      <c r="F114" s="5" t="s">
        <v>31</v>
      </c>
      <c r="G114" s="5" t="s">
        <v>549</v>
      </c>
      <c r="H114" s="5" t="s">
        <v>164</v>
      </c>
      <c r="I114" s="5" t="str">
        <f>_xlfn.XLOOKUP(sommaire[[#This Row],[Arrondissement_code]],OCHA_GIS!$F:$F,OCHA_GIS!$E:$E,,)</f>
        <v>Blangoua</v>
      </c>
      <c r="J114" s="5" t="s">
        <v>748</v>
      </c>
      <c r="K114" t="s">
        <v>1883</v>
      </c>
      <c r="L114" s="5" t="s">
        <v>1884</v>
      </c>
      <c r="N114" s="5" t="s">
        <v>3053</v>
      </c>
      <c r="O114" s="5" t="s">
        <v>2467</v>
      </c>
      <c r="P114" s="5" t="s">
        <v>85</v>
      </c>
      <c r="Q114" s="5" t="s">
        <v>86</v>
      </c>
      <c r="R114" s="5" t="s">
        <v>86</v>
      </c>
      <c r="T114" s="390">
        <v>3</v>
      </c>
      <c r="U114" s="5" t="s">
        <v>97</v>
      </c>
      <c r="W114" s="5" t="s">
        <v>2468</v>
      </c>
      <c r="X114" s="5" t="s">
        <v>102</v>
      </c>
      <c r="AA114" s="5" t="s">
        <v>85</v>
      </c>
      <c r="AB114" s="5" t="s">
        <v>2469</v>
      </c>
      <c r="AC114" s="5" t="s">
        <v>2470</v>
      </c>
      <c r="AD114" s="5" t="s">
        <v>86</v>
      </c>
      <c r="AF114" s="5">
        <v>25</v>
      </c>
      <c r="AG114" s="5">
        <v>385</v>
      </c>
      <c r="AH114" s="5" t="s">
        <v>85</v>
      </c>
      <c r="AI114" s="5" t="s">
        <v>2471</v>
      </c>
      <c r="AJ114" s="5">
        <v>25</v>
      </c>
      <c r="AK114" s="5">
        <v>117</v>
      </c>
      <c r="AL114" s="5">
        <v>50</v>
      </c>
      <c r="AM114" s="5">
        <v>67</v>
      </c>
      <c r="AN114" s="5">
        <v>15</v>
      </c>
      <c r="AO114" s="5">
        <v>10</v>
      </c>
      <c r="AP114" s="5">
        <v>0</v>
      </c>
      <c r="AQ114" s="5">
        <v>0</v>
      </c>
      <c r="AT114" s="5">
        <v>0</v>
      </c>
      <c r="AU114" s="5">
        <v>0</v>
      </c>
      <c r="AX114" s="5">
        <v>0</v>
      </c>
      <c r="AY114" s="5" t="s">
        <v>86</v>
      </c>
      <c r="BN114" s="5" t="s">
        <v>86</v>
      </c>
      <c r="CD114" s="5">
        <v>0</v>
      </c>
      <c r="CF114" s="1442" t="str">
        <f>IF([1]!sommaire[[#This Row],[présence des personnes déplacés interne]]="Oui","1","0")</f>
        <v>1</v>
      </c>
      <c r="CG114" s="1442" t="str">
        <f>IF([1]!sommaire[[#This Row],[présence Réfugié hors camp]]="Oui","1","0")</f>
        <v>0</v>
      </c>
      <c r="CH114" s="1442" t="str">
        <f>IF([1]!sommaire[[#This Row],[présence personnes retournées]]="Oui","1","0")</f>
        <v>0</v>
      </c>
      <c r="CI114" s="1442">
        <f>[1]!sommaire[[#This Row],[Flag PDI]]+[1]!sommaire[[#This Row],[Flag REF]]+[1]!sommaire[[#This Row],[Flag RET]]</f>
        <v>1</v>
      </c>
    </row>
    <row r="115" spans="1:87" ht="14.55" customHeight="1" x14ac:dyDescent="0.3">
      <c r="A115" s="390">
        <v>2646797</v>
      </c>
      <c r="B115" s="5" t="s">
        <v>533</v>
      </c>
      <c r="C115" s="1430" t="s">
        <v>3449</v>
      </c>
      <c r="D115" s="5" t="s">
        <v>534</v>
      </c>
      <c r="E115" s="5" t="s">
        <v>31</v>
      </c>
      <c r="F115" s="5" t="s">
        <v>31</v>
      </c>
      <c r="G115" s="5" t="s">
        <v>549</v>
      </c>
      <c r="H115" s="5" t="s">
        <v>164</v>
      </c>
      <c r="I115" s="5" t="str">
        <f>_xlfn.XLOOKUP(sommaire[[#This Row],[Arrondissement_code]],OCHA_GIS!$F:$F,OCHA_GIS!$E:$E,,)</f>
        <v>Blangoua</v>
      </c>
      <c r="J115" s="5" t="s">
        <v>748</v>
      </c>
      <c r="K115" t="s">
        <v>1191</v>
      </c>
      <c r="L115" s="5" t="s">
        <v>1192</v>
      </c>
      <c r="N115" s="5" t="s">
        <v>3053</v>
      </c>
      <c r="O115" s="5" t="s">
        <v>2467</v>
      </c>
      <c r="P115" s="5" t="s">
        <v>85</v>
      </c>
      <c r="Q115" s="5" t="s">
        <v>86</v>
      </c>
      <c r="R115" s="5" t="s">
        <v>86</v>
      </c>
      <c r="T115" s="390">
        <v>3</v>
      </c>
      <c r="U115" s="5" t="s">
        <v>97</v>
      </c>
      <c r="W115" s="5" t="s">
        <v>2468</v>
      </c>
      <c r="X115" s="5" t="s">
        <v>102</v>
      </c>
      <c r="AA115" s="5" t="s">
        <v>85</v>
      </c>
      <c r="AB115" s="5" t="s">
        <v>2469</v>
      </c>
      <c r="AC115" s="5" t="s">
        <v>2470</v>
      </c>
      <c r="AD115" s="5" t="s">
        <v>86</v>
      </c>
      <c r="AF115" s="5">
        <v>6</v>
      </c>
      <c r="AG115" s="5">
        <v>444</v>
      </c>
      <c r="AH115" s="5" t="s">
        <v>85</v>
      </c>
      <c r="AI115" s="5" t="s">
        <v>2471</v>
      </c>
      <c r="AJ115" s="5">
        <v>6</v>
      </c>
      <c r="AK115" s="5">
        <v>41</v>
      </c>
      <c r="AL115" s="5">
        <v>18</v>
      </c>
      <c r="AM115" s="5">
        <v>23</v>
      </c>
      <c r="AN115" s="5">
        <v>0</v>
      </c>
      <c r="AO115" s="5">
        <v>6</v>
      </c>
      <c r="AP115" s="5">
        <v>0</v>
      </c>
      <c r="AQ115" s="5">
        <v>0</v>
      </c>
      <c r="AT115" s="5">
        <v>0</v>
      </c>
      <c r="AU115" s="5">
        <v>0</v>
      </c>
      <c r="AX115" s="5">
        <v>0</v>
      </c>
      <c r="AY115" s="5" t="s">
        <v>86</v>
      </c>
      <c r="BN115" s="5" t="s">
        <v>86</v>
      </c>
      <c r="CD115" s="5">
        <v>0</v>
      </c>
      <c r="CF115" s="1442" t="str">
        <f>IF([1]!sommaire[[#This Row],[présence des personnes déplacés interne]]="Oui","1","0")</f>
        <v>1</v>
      </c>
      <c r="CG115" s="1442" t="str">
        <f>IF([1]!sommaire[[#This Row],[présence Réfugié hors camp]]="Oui","1","0")</f>
        <v>0</v>
      </c>
      <c r="CH115" s="1442" t="str">
        <f>IF([1]!sommaire[[#This Row],[présence personnes retournées]]="Oui","1","0")</f>
        <v>0</v>
      </c>
      <c r="CI115" s="1442">
        <f>[1]!sommaire[[#This Row],[Flag PDI]]+[1]!sommaire[[#This Row],[Flag REF]]+[1]!sommaire[[#This Row],[Flag RET]]</f>
        <v>1</v>
      </c>
    </row>
    <row r="116" spans="1:87" ht="14.55" customHeight="1" x14ac:dyDescent="0.3">
      <c r="A116" s="390">
        <v>2636253</v>
      </c>
      <c r="B116" s="5" t="s">
        <v>533</v>
      </c>
      <c r="C116" s="1430" t="s">
        <v>3449</v>
      </c>
      <c r="D116" s="1090" t="s">
        <v>534</v>
      </c>
      <c r="E116" s="5" t="s">
        <v>31</v>
      </c>
      <c r="F116" s="5" t="s">
        <v>31</v>
      </c>
      <c r="G116" s="5" t="s">
        <v>549</v>
      </c>
      <c r="H116" s="5" t="s">
        <v>165</v>
      </c>
      <c r="I116" s="5" t="str">
        <f>_xlfn.XLOOKUP(sommaire[[#This Row],[Arrondissement_code]],OCHA_GIS!$F:$F,OCHA_GIS!$E:$E,,)</f>
        <v>Darak</v>
      </c>
      <c r="J116" s="5" t="s">
        <v>881</v>
      </c>
      <c r="K116" t="s">
        <v>550</v>
      </c>
      <c r="L116" s="5" t="s">
        <v>3128</v>
      </c>
      <c r="M116" s="5" t="s">
        <v>3128</v>
      </c>
      <c r="N116" s="5" t="s">
        <v>3053</v>
      </c>
      <c r="O116" s="5" t="s">
        <v>2467</v>
      </c>
      <c r="P116" s="5" t="s">
        <v>85</v>
      </c>
      <c r="Q116" s="5" t="s">
        <v>86</v>
      </c>
      <c r="R116" s="5" t="s">
        <v>86</v>
      </c>
      <c r="T116" s="390">
        <v>3</v>
      </c>
      <c r="U116" s="5" t="s">
        <v>97</v>
      </c>
      <c r="W116" s="1090" t="s">
        <v>2468</v>
      </c>
      <c r="X116" s="5" t="s">
        <v>102</v>
      </c>
      <c r="AA116" s="5" t="s">
        <v>86</v>
      </c>
      <c r="AG116" s="5">
        <v>300</v>
      </c>
      <c r="AH116" s="1430" t="s">
        <v>86</v>
      </c>
      <c r="AY116" s="1430" t="s">
        <v>86</v>
      </c>
      <c r="BN116" s="1430" t="s">
        <v>86</v>
      </c>
      <c r="CF116" s="1442" t="str">
        <f>IF([1]!sommaire[[#This Row],[présence des personnes déplacés interne]]="Oui","1","0")</f>
        <v>0</v>
      </c>
      <c r="CG116" s="1442" t="str">
        <f>IF([1]!sommaire[[#This Row],[présence Réfugié hors camp]]="Oui","1","0")</f>
        <v>0</v>
      </c>
      <c r="CH116" s="1442" t="str">
        <f>IF([1]!sommaire[[#This Row],[présence personnes retournées]]="Oui","1","0")</f>
        <v>0</v>
      </c>
      <c r="CI116" s="1442">
        <f>[1]!sommaire[[#This Row],[Flag PDI]]+[1]!sommaire[[#This Row],[Flag REF]]+[1]!sommaire[[#This Row],[Flag RET]]</f>
        <v>0</v>
      </c>
    </row>
    <row r="117" spans="1:87" ht="14.55" customHeight="1" x14ac:dyDescent="0.3">
      <c r="A117" s="390">
        <v>2636150</v>
      </c>
      <c r="B117" s="5" t="s">
        <v>533</v>
      </c>
      <c r="C117" s="1430" t="s">
        <v>3449</v>
      </c>
      <c r="D117" s="1090" t="s">
        <v>534</v>
      </c>
      <c r="E117" s="5" t="s">
        <v>31</v>
      </c>
      <c r="F117" s="5" t="s">
        <v>31</v>
      </c>
      <c r="G117" s="5" t="s">
        <v>549</v>
      </c>
      <c r="H117" s="1090" t="s">
        <v>165</v>
      </c>
      <c r="I117" s="1090" t="str">
        <f>_xlfn.XLOOKUP(sommaire[[#This Row],[Arrondissement_code]],OCHA_GIS!$F:$F,OCHA_GIS!$E:$E,,)</f>
        <v>Darak</v>
      </c>
      <c r="J117" s="5" t="s">
        <v>881</v>
      </c>
      <c r="K117" t="s">
        <v>1840</v>
      </c>
      <c r="L117" s="5" t="s">
        <v>1841</v>
      </c>
      <c r="N117" s="5" t="s">
        <v>3053</v>
      </c>
      <c r="O117" s="5" t="s">
        <v>2467</v>
      </c>
      <c r="P117" s="5" t="s">
        <v>85</v>
      </c>
      <c r="Q117" s="5" t="s">
        <v>86</v>
      </c>
      <c r="R117" s="5" t="s">
        <v>86</v>
      </c>
      <c r="T117" s="390">
        <v>3</v>
      </c>
      <c r="U117" s="5" t="s">
        <v>97</v>
      </c>
      <c r="W117" s="5" t="s">
        <v>2468</v>
      </c>
      <c r="X117" s="5" t="s">
        <v>102</v>
      </c>
      <c r="AA117" s="5" t="s">
        <v>86</v>
      </c>
      <c r="AG117" s="5">
        <v>3000</v>
      </c>
      <c r="AH117" s="1430" t="s">
        <v>86</v>
      </c>
      <c r="AY117" s="1430" t="s">
        <v>86</v>
      </c>
      <c r="BN117" s="1430" t="s">
        <v>86</v>
      </c>
      <c r="CF117" s="1442" t="str">
        <f>IF([1]!sommaire[[#This Row],[présence des personnes déplacés interne]]="Oui","1","0")</f>
        <v>0</v>
      </c>
      <c r="CG117" s="1442" t="str">
        <f>IF([1]!sommaire[[#This Row],[présence Réfugié hors camp]]="Oui","1","0")</f>
        <v>0</v>
      </c>
      <c r="CH117" s="1442" t="str">
        <f>IF([1]!sommaire[[#This Row],[présence personnes retournées]]="Oui","1","0")</f>
        <v>0</v>
      </c>
      <c r="CI117" s="1442">
        <f>[1]!sommaire[[#This Row],[Flag PDI]]+[1]!sommaire[[#This Row],[Flag REF]]+[1]!sommaire[[#This Row],[Flag RET]]</f>
        <v>0</v>
      </c>
    </row>
    <row r="118" spans="1:87" ht="14.55" customHeight="1" x14ac:dyDescent="0.3">
      <c r="A118" s="390">
        <v>2661739</v>
      </c>
      <c r="B118" s="5" t="s">
        <v>533</v>
      </c>
      <c r="C118" s="1430" t="s">
        <v>3449</v>
      </c>
      <c r="D118" s="1090" t="s">
        <v>534</v>
      </c>
      <c r="E118" s="5" t="s">
        <v>31</v>
      </c>
      <c r="F118" s="5" t="s">
        <v>31</v>
      </c>
      <c r="G118" s="5" t="s">
        <v>549</v>
      </c>
      <c r="H118" s="5" t="s">
        <v>165</v>
      </c>
      <c r="I118" s="5" t="str">
        <f>_xlfn.XLOOKUP(sommaire[[#This Row],[Arrondissement_code]],OCHA_GIS!$F:$F,OCHA_GIS!$E:$E,,)</f>
        <v>Darak</v>
      </c>
      <c r="J118" s="5" t="s">
        <v>881</v>
      </c>
      <c r="K118" t="s">
        <v>1333</v>
      </c>
      <c r="L118" s="5" t="s">
        <v>2489</v>
      </c>
      <c r="N118" s="5" t="s">
        <v>3052</v>
      </c>
      <c r="O118" s="5" t="s">
        <v>2467</v>
      </c>
      <c r="P118" s="5" t="s">
        <v>85</v>
      </c>
      <c r="Q118" s="5" t="s">
        <v>86</v>
      </c>
      <c r="R118" s="5" t="s">
        <v>86</v>
      </c>
      <c r="T118" s="390">
        <v>3</v>
      </c>
      <c r="U118" s="5" t="s">
        <v>98</v>
      </c>
      <c r="W118" s="5" t="s">
        <v>2482</v>
      </c>
      <c r="AA118" s="5" t="s">
        <v>86</v>
      </c>
      <c r="AH118" s="1430" t="s">
        <v>86</v>
      </c>
      <c r="AY118" s="1430" t="s">
        <v>86</v>
      </c>
      <c r="BN118" s="1430" t="s">
        <v>86</v>
      </c>
      <c r="CF118" s="1442" t="str">
        <f>IF([1]!sommaire[[#This Row],[présence des personnes déplacés interne]]="Oui","1","0")</f>
        <v>0</v>
      </c>
      <c r="CG118" s="1442" t="str">
        <f>IF([1]!sommaire[[#This Row],[présence Réfugié hors camp]]="Oui","1","0")</f>
        <v>0</v>
      </c>
      <c r="CH118" s="1442" t="str">
        <f>IF([1]!sommaire[[#This Row],[présence personnes retournées]]="Oui","1","0")</f>
        <v>0</v>
      </c>
      <c r="CI118" s="1442">
        <f>[1]!sommaire[[#This Row],[Flag PDI]]+[1]!sommaire[[#This Row],[Flag REF]]+[1]!sommaire[[#This Row],[Flag RET]]</f>
        <v>0</v>
      </c>
    </row>
    <row r="119" spans="1:87" ht="14.55" customHeight="1" x14ac:dyDescent="0.3">
      <c r="A119" s="390">
        <v>2636154</v>
      </c>
      <c r="B119" s="5" t="s">
        <v>533</v>
      </c>
      <c r="C119" s="1430" t="s">
        <v>3449</v>
      </c>
      <c r="D119" s="1090" t="s">
        <v>534</v>
      </c>
      <c r="E119" s="5" t="s">
        <v>31</v>
      </c>
      <c r="F119" s="5" t="s">
        <v>31</v>
      </c>
      <c r="G119" s="5" t="s">
        <v>549</v>
      </c>
      <c r="H119" s="5" t="s">
        <v>165</v>
      </c>
      <c r="I119" s="5" t="str">
        <f>_xlfn.XLOOKUP(sommaire[[#This Row],[Arrondissement_code]],OCHA_GIS!$F:$F,OCHA_GIS!$E:$E,,)</f>
        <v>Darak</v>
      </c>
      <c r="J119" s="5" t="s">
        <v>881</v>
      </c>
      <c r="K119" t="s">
        <v>1295</v>
      </c>
      <c r="L119" s="5" t="s">
        <v>1296</v>
      </c>
      <c r="N119" s="5" t="s">
        <v>3053</v>
      </c>
      <c r="O119" s="5" t="s">
        <v>2467</v>
      </c>
      <c r="P119" s="5" t="s">
        <v>85</v>
      </c>
      <c r="Q119" s="5" t="s">
        <v>86</v>
      </c>
      <c r="R119" s="5" t="s">
        <v>86</v>
      </c>
      <c r="T119" s="390">
        <v>3</v>
      </c>
      <c r="U119" s="5" t="s">
        <v>97</v>
      </c>
      <c r="W119" s="5" t="s">
        <v>2482</v>
      </c>
      <c r="AA119" s="5" t="s">
        <v>86</v>
      </c>
      <c r="AH119" s="1430" t="s">
        <v>86</v>
      </c>
      <c r="AY119" s="1430" t="s">
        <v>86</v>
      </c>
      <c r="BN119" s="1430" t="s">
        <v>86</v>
      </c>
      <c r="CF119" s="1442" t="str">
        <f>IF([1]!sommaire[[#This Row],[présence des personnes déplacés interne]]="Oui","1","0")</f>
        <v>0</v>
      </c>
      <c r="CG119" s="1442" t="str">
        <f>IF([1]!sommaire[[#This Row],[présence Réfugié hors camp]]="Oui","1","0")</f>
        <v>0</v>
      </c>
      <c r="CH119" s="1442" t="str">
        <f>IF([1]!sommaire[[#This Row],[présence personnes retournées]]="Oui","1","0")</f>
        <v>0</v>
      </c>
      <c r="CI119" s="1442">
        <f>[1]!sommaire[[#This Row],[Flag PDI]]+[1]!sommaire[[#This Row],[Flag REF]]+[1]!sommaire[[#This Row],[Flag RET]]</f>
        <v>0</v>
      </c>
    </row>
    <row r="120" spans="1:87" ht="14.55" customHeight="1" x14ac:dyDescent="0.3">
      <c r="A120" s="390">
        <v>2636249</v>
      </c>
      <c r="B120" s="5" t="s">
        <v>533</v>
      </c>
      <c r="C120" s="1430" t="s">
        <v>3449</v>
      </c>
      <c r="D120" s="1090" t="s">
        <v>534</v>
      </c>
      <c r="E120" s="5" t="s">
        <v>31</v>
      </c>
      <c r="F120" s="5" t="s">
        <v>31</v>
      </c>
      <c r="G120" s="5" t="s">
        <v>549</v>
      </c>
      <c r="H120" s="5" t="s">
        <v>165</v>
      </c>
      <c r="I120" s="5" t="str">
        <f>_xlfn.XLOOKUP(sommaire[[#This Row],[Arrondissement_code]],OCHA_GIS!$F:$F,OCHA_GIS!$E:$E,,)</f>
        <v>Darak</v>
      </c>
      <c r="J120" s="5" t="s">
        <v>881</v>
      </c>
      <c r="K120" t="s">
        <v>1842</v>
      </c>
      <c r="L120" s="5" t="s">
        <v>1694</v>
      </c>
      <c r="N120" s="5" t="s">
        <v>3053</v>
      </c>
      <c r="O120" s="5" t="s">
        <v>2467</v>
      </c>
      <c r="P120" s="5" t="s">
        <v>85</v>
      </c>
      <c r="Q120" s="5" t="s">
        <v>86</v>
      </c>
      <c r="R120" s="5" t="s">
        <v>86</v>
      </c>
      <c r="T120" s="390">
        <v>3</v>
      </c>
      <c r="U120" s="5" t="s">
        <v>97</v>
      </c>
      <c r="W120" s="5" t="s">
        <v>2468</v>
      </c>
      <c r="X120" s="5" t="s">
        <v>102</v>
      </c>
      <c r="AA120" s="5" t="s">
        <v>86</v>
      </c>
      <c r="AG120" s="5">
        <v>195</v>
      </c>
      <c r="AH120" s="1430" t="s">
        <v>86</v>
      </c>
      <c r="AY120" s="1430" t="s">
        <v>86</v>
      </c>
      <c r="BN120" s="1430" t="s">
        <v>86</v>
      </c>
      <c r="CF120" s="1442" t="str">
        <f>IF([1]!sommaire[[#This Row],[présence des personnes déplacés interne]]="Oui","1","0")</f>
        <v>0</v>
      </c>
      <c r="CG120" s="1442" t="str">
        <f>IF([1]!sommaire[[#This Row],[présence Réfugié hors camp]]="Oui","1","0")</f>
        <v>0</v>
      </c>
      <c r="CH120" s="1442" t="str">
        <f>IF([1]!sommaire[[#This Row],[présence personnes retournées]]="Oui","1","0")</f>
        <v>0</v>
      </c>
      <c r="CI120" s="1442">
        <f>[1]!sommaire[[#This Row],[Flag PDI]]+[1]!sommaire[[#This Row],[Flag REF]]+[1]!sommaire[[#This Row],[Flag RET]]</f>
        <v>0</v>
      </c>
    </row>
    <row r="121" spans="1:87" ht="14.55" customHeight="1" x14ac:dyDescent="0.3">
      <c r="A121" s="390">
        <v>2626179</v>
      </c>
      <c r="B121" s="5" t="s">
        <v>533</v>
      </c>
      <c r="C121" s="1430" t="s">
        <v>3449</v>
      </c>
      <c r="D121" s="1090" t="s">
        <v>534</v>
      </c>
      <c r="E121" s="5" t="s">
        <v>31</v>
      </c>
      <c r="F121" s="5" t="s">
        <v>31</v>
      </c>
      <c r="G121" s="5" t="s">
        <v>549</v>
      </c>
      <c r="H121" s="5" t="s">
        <v>165</v>
      </c>
      <c r="I121" s="5" t="str">
        <f>_xlfn.XLOOKUP(sommaire[[#This Row],[Arrondissement_code]],OCHA_GIS!$F:$F,OCHA_GIS!$E:$E,,)</f>
        <v>Darak</v>
      </c>
      <c r="J121" s="5" t="s">
        <v>881</v>
      </c>
      <c r="K121" t="s">
        <v>2032</v>
      </c>
      <c r="L121" s="5" t="s">
        <v>2033</v>
      </c>
      <c r="N121" s="5" t="s">
        <v>3053</v>
      </c>
      <c r="O121" s="5" t="s">
        <v>2467</v>
      </c>
      <c r="P121" s="5" t="s">
        <v>85</v>
      </c>
      <c r="Q121" s="5" t="s">
        <v>86</v>
      </c>
      <c r="R121" s="5" t="s">
        <v>86</v>
      </c>
      <c r="T121" s="390">
        <v>3</v>
      </c>
      <c r="U121" s="5" t="s">
        <v>97</v>
      </c>
      <c r="W121" s="5" t="s">
        <v>2468</v>
      </c>
      <c r="X121" s="5" t="s">
        <v>103</v>
      </c>
      <c r="Y121" s="5" t="s">
        <v>2476</v>
      </c>
      <c r="AA121" s="5" t="s">
        <v>85</v>
      </c>
      <c r="AB121" s="5" t="s">
        <v>2469</v>
      </c>
      <c r="AC121" s="5" t="s">
        <v>2470</v>
      </c>
      <c r="AD121" s="1090" t="s">
        <v>86</v>
      </c>
      <c r="AF121" s="5">
        <v>80</v>
      </c>
      <c r="AG121" s="5">
        <v>13756</v>
      </c>
      <c r="AH121" s="5" t="s">
        <v>85</v>
      </c>
      <c r="AI121" s="5" t="s">
        <v>2471</v>
      </c>
      <c r="AJ121" s="5">
        <v>80</v>
      </c>
      <c r="AK121" s="5">
        <v>572</v>
      </c>
      <c r="AL121" s="5">
        <v>240</v>
      </c>
      <c r="AM121" s="5">
        <v>332</v>
      </c>
      <c r="AN121" s="5">
        <v>50</v>
      </c>
      <c r="AO121" s="5">
        <v>20</v>
      </c>
      <c r="AP121" s="5">
        <v>10</v>
      </c>
      <c r="AQ121" s="5">
        <v>0</v>
      </c>
      <c r="AT121" s="5">
        <v>0</v>
      </c>
      <c r="AU121" s="5">
        <v>0</v>
      </c>
      <c r="AX121" s="5">
        <v>0</v>
      </c>
      <c r="AY121" s="5" t="s">
        <v>86</v>
      </c>
      <c r="BN121" s="5" t="s">
        <v>86</v>
      </c>
      <c r="CD121" s="5">
        <v>0</v>
      </c>
      <c r="CF121" s="1442" t="str">
        <f>IF([1]!sommaire[[#This Row],[présence des personnes déplacés interne]]="Oui","1","0")</f>
        <v>1</v>
      </c>
      <c r="CG121" s="1442" t="str">
        <f>IF([1]!sommaire[[#This Row],[présence Réfugié hors camp]]="Oui","1","0")</f>
        <v>0</v>
      </c>
      <c r="CH121" s="1442" t="str">
        <f>IF([1]!sommaire[[#This Row],[présence personnes retournées]]="Oui","1","0")</f>
        <v>0</v>
      </c>
      <c r="CI121" s="1442">
        <f>[1]!sommaire[[#This Row],[Flag PDI]]+[1]!sommaire[[#This Row],[Flag REF]]+[1]!sommaire[[#This Row],[Flag RET]]</f>
        <v>1</v>
      </c>
    </row>
    <row r="122" spans="1:87" ht="14.55" customHeight="1" x14ac:dyDescent="0.3">
      <c r="A122" s="390">
        <v>2646350</v>
      </c>
      <c r="B122" s="5" t="s">
        <v>533</v>
      </c>
      <c r="C122" s="1430" t="s">
        <v>3449</v>
      </c>
      <c r="D122" s="1090" t="s">
        <v>534</v>
      </c>
      <c r="E122" s="5" t="s">
        <v>31</v>
      </c>
      <c r="F122" s="5" t="s">
        <v>31</v>
      </c>
      <c r="G122" s="5" t="s">
        <v>549</v>
      </c>
      <c r="H122" s="1144" t="s">
        <v>165</v>
      </c>
      <c r="I122" s="1144" t="str">
        <f>_xlfn.XLOOKUP(sommaire[[#This Row],[Arrondissement_code]],OCHA_GIS!$F:$F,OCHA_GIS!$E:$E,,)</f>
        <v>Darak</v>
      </c>
      <c r="J122" s="5" t="s">
        <v>881</v>
      </c>
      <c r="K122" t="s">
        <v>3201</v>
      </c>
      <c r="L122" s="5" t="s">
        <v>2031</v>
      </c>
      <c r="N122" s="5" t="s">
        <v>3053</v>
      </c>
      <c r="O122" s="5" t="s">
        <v>2467</v>
      </c>
      <c r="P122" s="5" t="s">
        <v>85</v>
      </c>
      <c r="Q122" s="5" t="s">
        <v>86</v>
      </c>
      <c r="R122" s="5" t="s">
        <v>86</v>
      </c>
      <c r="T122" s="1190">
        <v>3</v>
      </c>
      <c r="U122" s="5" t="s">
        <v>97</v>
      </c>
      <c r="W122" s="5" t="s">
        <v>2468</v>
      </c>
      <c r="X122" s="5" t="s">
        <v>102</v>
      </c>
      <c r="AA122" s="5" t="s">
        <v>86</v>
      </c>
      <c r="AG122" s="5">
        <v>107</v>
      </c>
      <c r="AH122" s="1430" t="s">
        <v>86</v>
      </c>
      <c r="AY122" s="1430" t="s">
        <v>86</v>
      </c>
      <c r="BN122" s="1430" t="s">
        <v>86</v>
      </c>
      <c r="CF122" s="1442" t="str">
        <f>IF([1]!sommaire[[#This Row],[présence des personnes déplacés interne]]="Oui","1","0")</f>
        <v>0</v>
      </c>
      <c r="CG122" s="1442" t="str">
        <f>IF([1]!sommaire[[#This Row],[présence Réfugié hors camp]]="Oui","1","0")</f>
        <v>0</v>
      </c>
      <c r="CH122" s="1442" t="str">
        <f>IF([1]!sommaire[[#This Row],[présence personnes retournées]]="Oui","1","0")</f>
        <v>0</v>
      </c>
      <c r="CI122" s="1442">
        <f>[1]!sommaire[[#This Row],[Flag PDI]]+[1]!sommaire[[#This Row],[Flag REF]]+[1]!sommaire[[#This Row],[Flag RET]]</f>
        <v>0</v>
      </c>
    </row>
    <row r="123" spans="1:87" ht="14.55" customHeight="1" x14ac:dyDescent="0.3">
      <c r="A123" s="390">
        <v>2636153</v>
      </c>
      <c r="B123" s="5" t="s">
        <v>533</v>
      </c>
      <c r="C123" s="1430" t="s">
        <v>3449</v>
      </c>
      <c r="D123" s="1090" t="s">
        <v>534</v>
      </c>
      <c r="E123" s="5" t="s">
        <v>31</v>
      </c>
      <c r="F123" s="5" t="s">
        <v>31</v>
      </c>
      <c r="G123" s="5" t="s">
        <v>549</v>
      </c>
      <c r="H123" s="5" t="s">
        <v>165</v>
      </c>
      <c r="I123" s="5" t="str">
        <f>_xlfn.XLOOKUP(sommaire[[#This Row],[Arrondissement_code]],OCHA_GIS!$F:$F,OCHA_GIS!$E:$E,,)</f>
        <v>Darak</v>
      </c>
      <c r="J123" s="5" t="s">
        <v>881</v>
      </c>
      <c r="K123" t="s">
        <v>2030</v>
      </c>
      <c r="L123" s="5" t="s">
        <v>2035</v>
      </c>
      <c r="N123" s="5" t="s">
        <v>3053</v>
      </c>
      <c r="O123" s="5" t="s">
        <v>2467</v>
      </c>
      <c r="P123" s="5" t="s">
        <v>85</v>
      </c>
      <c r="Q123" s="5" t="s">
        <v>86</v>
      </c>
      <c r="R123" s="5" t="s">
        <v>86</v>
      </c>
      <c r="T123" s="390">
        <v>3</v>
      </c>
      <c r="U123" s="5" t="s">
        <v>97</v>
      </c>
      <c r="W123" s="5" t="s">
        <v>2468</v>
      </c>
      <c r="X123" s="1090" t="s">
        <v>102</v>
      </c>
      <c r="AA123" s="5" t="s">
        <v>86</v>
      </c>
      <c r="AG123" s="5">
        <v>872</v>
      </c>
      <c r="AH123" s="1430" t="s">
        <v>86</v>
      </c>
      <c r="AY123" s="1430" t="s">
        <v>86</v>
      </c>
      <c r="BN123" s="1430" t="s">
        <v>86</v>
      </c>
      <c r="CF123" s="1442" t="str">
        <f>IF([1]!sommaire[[#This Row],[présence des personnes déplacés interne]]="Oui","1","0")</f>
        <v>0</v>
      </c>
      <c r="CG123" s="1442" t="str">
        <f>IF([1]!sommaire[[#This Row],[présence Réfugié hors camp]]="Oui","1","0")</f>
        <v>0</v>
      </c>
      <c r="CH123" s="1442" t="str">
        <f>IF([1]!sommaire[[#This Row],[présence personnes retournées]]="Oui","1","0")</f>
        <v>0</v>
      </c>
      <c r="CI123" s="1442">
        <f>[1]!sommaire[[#This Row],[Flag PDI]]+[1]!sommaire[[#This Row],[Flag REF]]+[1]!sommaire[[#This Row],[Flag RET]]</f>
        <v>0</v>
      </c>
    </row>
    <row r="124" spans="1:87" ht="14.55" customHeight="1" x14ac:dyDescent="0.3">
      <c r="A124" s="390">
        <v>2647668</v>
      </c>
      <c r="B124" s="5" t="s">
        <v>533</v>
      </c>
      <c r="C124" s="1430" t="s">
        <v>3449</v>
      </c>
      <c r="D124" s="1090" t="s">
        <v>534</v>
      </c>
      <c r="E124" s="5" t="s">
        <v>31</v>
      </c>
      <c r="F124" s="5" t="s">
        <v>31</v>
      </c>
      <c r="G124" s="5" t="s">
        <v>549</v>
      </c>
      <c r="H124" s="5" t="s">
        <v>165</v>
      </c>
      <c r="I124" s="5" t="str">
        <f>_xlfn.XLOOKUP(sommaire[[#This Row],[Arrondissement_code]],OCHA_GIS!$F:$F,OCHA_GIS!$E:$E,,)</f>
        <v>Darak</v>
      </c>
      <c r="J124" s="5" t="s">
        <v>881</v>
      </c>
      <c r="K124" t="s">
        <v>2024</v>
      </c>
      <c r="L124" s="5" t="s">
        <v>1334</v>
      </c>
      <c r="N124" s="5" t="s">
        <v>3052</v>
      </c>
      <c r="O124" s="5" t="s">
        <v>2467</v>
      </c>
      <c r="P124" s="5" t="s">
        <v>85</v>
      </c>
      <c r="Q124" s="5" t="s">
        <v>86</v>
      </c>
      <c r="R124" s="5" t="s">
        <v>86</v>
      </c>
      <c r="T124" s="390">
        <v>3</v>
      </c>
      <c r="U124" s="5" t="s">
        <v>97</v>
      </c>
      <c r="W124" s="5" t="s">
        <v>2468</v>
      </c>
      <c r="X124" s="5" t="s">
        <v>102</v>
      </c>
      <c r="AA124" s="586" t="s">
        <v>85</v>
      </c>
      <c r="AB124" s="5" t="s">
        <v>2469</v>
      </c>
      <c r="AC124" s="5" t="s">
        <v>2470</v>
      </c>
      <c r="AD124" s="5" t="s">
        <v>86</v>
      </c>
      <c r="AG124" s="5">
        <v>70</v>
      </c>
      <c r="AH124" s="5" t="s">
        <v>86</v>
      </c>
      <c r="AY124" s="5" t="s">
        <v>86</v>
      </c>
      <c r="BN124" s="5" t="s">
        <v>85</v>
      </c>
      <c r="BO124" s="5">
        <v>30</v>
      </c>
      <c r="BP124" s="5">
        <v>70</v>
      </c>
      <c r="BQ124" s="5">
        <v>37</v>
      </c>
      <c r="BR124" s="5">
        <v>33</v>
      </c>
      <c r="BS124" s="5" t="s">
        <v>2484</v>
      </c>
      <c r="BT124" s="5">
        <v>0</v>
      </c>
      <c r="BU124" s="5">
        <v>30</v>
      </c>
      <c r="BV124" s="5">
        <v>0</v>
      </c>
      <c r="BW124" s="5">
        <v>0</v>
      </c>
      <c r="BX124" s="5">
        <v>0</v>
      </c>
      <c r="BZ124" s="5">
        <v>0</v>
      </c>
      <c r="CA124" s="5">
        <v>0</v>
      </c>
      <c r="CC124" s="5">
        <v>0</v>
      </c>
      <c r="CD124" s="5">
        <v>0</v>
      </c>
      <c r="CF124" s="1442" t="str">
        <f>IF([1]!sommaire[[#This Row],[présence des personnes déplacés interne]]="Oui","1","0")</f>
        <v>0</v>
      </c>
      <c r="CG124" s="1442" t="str">
        <f>IF([1]!sommaire[[#This Row],[présence Réfugié hors camp]]="Oui","1","0")</f>
        <v>0</v>
      </c>
      <c r="CH124" s="1442" t="str">
        <f>IF([1]!sommaire[[#This Row],[présence personnes retournées]]="Oui","1","0")</f>
        <v>1</v>
      </c>
      <c r="CI124" s="1442">
        <f>[1]!sommaire[[#This Row],[Flag PDI]]+[1]!sommaire[[#This Row],[Flag REF]]+[1]!sommaire[[#This Row],[Flag RET]]</f>
        <v>1</v>
      </c>
    </row>
    <row r="125" spans="1:87" ht="14.55" customHeight="1" x14ac:dyDescent="0.3">
      <c r="A125" s="390">
        <v>2647677</v>
      </c>
      <c r="B125" s="5" t="s">
        <v>533</v>
      </c>
      <c r="C125" s="1430" t="s">
        <v>3449</v>
      </c>
      <c r="D125" s="1090" t="s">
        <v>534</v>
      </c>
      <c r="E125" s="5" t="s">
        <v>31</v>
      </c>
      <c r="F125" s="5" t="s">
        <v>31</v>
      </c>
      <c r="G125" s="5" t="s">
        <v>549</v>
      </c>
      <c r="H125" s="5" t="s">
        <v>165</v>
      </c>
      <c r="I125" s="5" t="str">
        <f>_xlfn.XLOOKUP(sommaire[[#This Row],[Arrondissement_code]],OCHA_GIS!$F:$F,OCHA_GIS!$E:$E,,)</f>
        <v>Darak</v>
      </c>
      <c r="J125" s="5" t="s">
        <v>881</v>
      </c>
      <c r="K125" t="s">
        <v>2034</v>
      </c>
      <c r="L125" s="5" t="s">
        <v>1188</v>
      </c>
      <c r="N125" s="5" t="s">
        <v>3052</v>
      </c>
      <c r="O125" s="5" t="s">
        <v>2467</v>
      </c>
      <c r="P125" s="5" t="s">
        <v>85</v>
      </c>
      <c r="Q125" s="5" t="s">
        <v>86</v>
      </c>
      <c r="R125" s="5" t="s">
        <v>86</v>
      </c>
      <c r="T125" s="390">
        <v>3</v>
      </c>
      <c r="U125" s="5" t="s">
        <v>98</v>
      </c>
      <c r="W125" s="5" t="s">
        <v>2482</v>
      </c>
      <c r="AA125" s="5" t="s">
        <v>86</v>
      </c>
      <c r="AH125" s="1430" t="s">
        <v>86</v>
      </c>
      <c r="AY125" s="1430" t="s">
        <v>86</v>
      </c>
      <c r="BN125" s="1430" t="s">
        <v>86</v>
      </c>
      <c r="CF125" s="1442" t="str">
        <f>IF([1]!sommaire[[#This Row],[présence des personnes déplacés interne]]="Oui","1","0")</f>
        <v>0</v>
      </c>
      <c r="CG125" s="1442" t="str">
        <f>IF([1]!sommaire[[#This Row],[présence Réfugié hors camp]]="Oui","1","0")</f>
        <v>0</v>
      </c>
      <c r="CH125" s="1442" t="str">
        <f>IF([1]!sommaire[[#This Row],[présence personnes retournées]]="Oui","1","0")</f>
        <v>0</v>
      </c>
      <c r="CI125" s="1442">
        <f>[1]!sommaire[[#This Row],[Flag PDI]]+[1]!sommaire[[#This Row],[Flag REF]]+[1]!sommaire[[#This Row],[Flag RET]]</f>
        <v>0</v>
      </c>
    </row>
    <row r="126" spans="1:87" ht="14.55" customHeight="1" x14ac:dyDescent="0.3">
      <c r="A126" s="390">
        <v>2643878</v>
      </c>
      <c r="B126" s="5" t="s">
        <v>533</v>
      </c>
      <c r="C126" s="1430" t="s">
        <v>3449</v>
      </c>
      <c r="D126" s="1090" t="s">
        <v>534</v>
      </c>
      <c r="E126" s="5" t="s">
        <v>31</v>
      </c>
      <c r="F126" s="5" t="s">
        <v>31</v>
      </c>
      <c r="G126" s="5" t="s">
        <v>549</v>
      </c>
      <c r="H126" s="5" t="s">
        <v>165</v>
      </c>
      <c r="I126" s="5" t="str">
        <f>_xlfn.XLOOKUP(sommaire[[#This Row],[Arrondissement_code]],OCHA_GIS!$F:$F,OCHA_GIS!$E:$E,,)</f>
        <v>Darak</v>
      </c>
      <c r="J126" s="5" t="s">
        <v>881</v>
      </c>
      <c r="K126" t="s">
        <v>2137</v>
      </c>
      <c r="L126" s="5" t="s">
        <v>1843</v>
      </c>
      <c r="N126" s="5" t="s">
        <v>3053</v>
      </c>
      <c r="O126" s="5" t="s">
        <v>2467</v>
      </c>
      <c r="P126" s="5" t="s">
        <v>85</v>
      </c>
      <c r="Q126" s="5" t="s">
        <v>86</v>
      </c>
      <c r="R126" s="5" t="s">
        <v>86</v>
      </c>
      <c r="T126" s="390">
        <v>3</v>
      </c>
      <c r="U126" s="5" t="s">
        <v>97</v>
      </c>
      <c r="W126" s="5" t="s">
        <v>2468</v>
      </c>
      <c r="X126" s="5" t="s">
        <v>102</v>
      </c>
      <c r="AA126" s="5" t="s">
        <v>86</v>
      </c>
      <c r="AG126" s="5">
        <v>276</v>
      </c>
      <c r="AH126" s="1430" t="s">
        <v>86</v>
      </c>
      <c r="AY126" s="1430" t="s">
        <v>86</v>
      </c>
      <c r="BN126" s="1430" t="s">
        <v>86</v>
      </c>
      <c r="CF126" s="1442" t="str">
        <f>IF([1]!sommaire[[#This Row],[présence des personnes déplacés interne]]="Oui","1","0")</f>
        <v>0</v>
      </c>
      <c r="CG126" s="1442" t="str">
        <f>IF([1]!sommaire[[#This Row],[présence Réfugié hors camp]]="Oui","1","0")</f>
        <v>0</v>
      </c>
      <c r="CH126" s="1442" t="str">
        <f>IF([1]!sommaire[[#This Row],[présence personnes retournées]]="Oui","1","0")</f>
        <v>0</v>
      </c>
      <c r="CI126" s="1442">
        <f>[1]!sommaire[[#This Row],[Flag PDI]]+[1]!sommaire[[#This Row],[Flag REF]]+[1]!sommaire[[#This Row],[Flag RET]]</f>
        <v>0</v>
      </c>
    </row>
    <row r="127" spans="1:87" ht="14.55" customHeight="1" x14ac:dyDescent="0.3">
      <c r="A127" s="390">
        <v>2753818</v>
      </c>
      <c r="B127" s="5" t="s">
        <v>533</v>
      </c>
      <c r="C127" s="1430" t="s">
        <v>3449</v>
      </c>
      <c r="D127" s="1090" t="s">
        <v>534</v>
      </c>
      <c r="E127" s="5" t="s">
        <v>31</v>
      </c>
      <c r="F127" s="5" t="s">
        <v>31</v>
      </c>
      <c r="G127" s="5" t="s">
        <v>549</v>
      </c>
      <c r="H127" s="5" t="s">
        <v>165</v>
      </c>
      <c r="I127" s="5" t="str">
        <f>_xlfn.XLOOKUP(sommaire[[#This Row],[Arrondissement_code]],OCHA_GIS!$F:$F,OCHA_GIS!$E:$E,,)</f>
        <v>Darak</v>
      </c>
      <c r="J127" s="5" t="s">
        <v>881</v>
      </c>
      <c r="K127" t="s">
        <v>884</v>
      </c>
      <c r="L127" s="5" t="s">
        <v>2138</v>
      </c>
      <c r="N127" s="5" t="s">
        <v>3053</v>
      </c>
      <c r="O127" s="5" t="s">
        <v>2467</v>
      </c>
      <c r="P127" s="5" t="s">
        <v>86</v>
      </c>
      <c r="Q127" s="5" t="s">
        <v>86</v>
      </c>
      <c r="R127" s="5" t="s">
        <v>85</v>
      </c>
      <c r="U127" s="5" t="s">
        <v>97</v>
      </c>
      <c r="W127" s="5" t="s">
        <v>2468</v>
      </c>
      <c r="X127" s="5" t="s">
        <v>102</v>
      </c>
      <c r="AA127" s="5" t="s">
        <v>85</v>
      </c>
      <c r="AB127" s="5" t="s">
        <v>2469</v>
      </c>
      <c r="AC127" s="5" t="s">
        <v>2470</v>
      </c>
      <c r="AD127" s="5" t="s">
        <v>86</v>
      </c>
      <c r="AF127" s="5">
        <v>16</v>
      </c>
      <c r="AG127" s="5">
        <v>350</v>
      </c>
      <c r="AH127" s="5" t="s">
        <v>85</v>
      </c>
      <c r="AI127" s="5" t="s">
        <v>2471</v>
      </c>
      <c r="AJ127" s="5">
        <v>16</v>
      </c>
      <c r="AK127" s="5">
        <v>92</v>
      </c>
      <c r="AL127" s="5">
        <v>40</v>
      </c>
      <c r="AM127" s="5">
        <v>52</v>
      </c>
      <c r="AN127" s="5">
        <v>0</v>
      </c>
      <c r="AO127" s="5">
        <v>16</v>
      </c>
      <c r="AP127" s="5">
        <v>0</v>
      </c>
      <c r="AQ127" s="5">
        <v>0</v>
      </c>
      <c r="AT127" s="5">
        <v>0</v>
      </c>
      <c r="AU127" s="5">
        <v>0</v>
      </c>
      <c r="AX127" s="5">
        <v>0</v>
      </c>
      <c r="AY127" s="5" t="s">
        <v>85</v>
      </c>
      <c r="AZ127" s="5">
        <v>20</v>
      </c>
      <c r="BA127" s="5">
        <v>90</v>
      </c>
      <c r="BB127" s="5">
        <v>40</v>
      </c>
      <c r="BC127" s="5">
        <v>50</v>
      </c>
      <c r="BD127" s="5">
        <v>20</v>
      </c>
      <c r="BE127" s="5">
        <v>0</v>
      </c>
      <c r="BF127" s="5">
        <v>0</v>
      </c>
      <c r="BH127" s="5">
        <v>0</v>
      </c>
      <c r="BI127" s="5">
        <v>0</v>
      </c>
      <c r="BL127" s="5">
        <v>0</v>
      </c>
      <c r="BM127" s="5">
        <v>0</v>
      </c>
      <c r="BN127" s="5" t="s">
        <v>86</v>
      </c>
      <c r="CD127" s="5">
        <v>0</v>
      </c>
      <c r="CF127" s="1442" t="str">
        <f>IF([1]!sommaire[[#This Row],[présence des personnes déplacés interne]]="Oui","1","0")</f>
        <v>1</v>
      </c>
      <c r="CG127" s="1442" t="str">
        <f>IF([1]!sommaire[[#This Row],[présence Réfugié hors camp]]="Oui","1","0")</f>
        <v>1</v>
      </c>
      <c r="CH127" s="1442" t="str">
        <f>IF([1]!sommaire[[#This Row],[présence personnes retournées]]="Oui","1","0")</f>
        <v>0</v>
      </c>
      <c r="CI127" s="1442">
        <f>[1]!sommaire[[#This Row],[Flag PDI]]+[1]!sommaire[[#This Row],[Flag REF]]+[1]!sommaire[[#This Row],[Flag RET]]</f>
        <v>2</v>
      </c>
    </row>
    <row r="128" spans="1:87" ht="14.55" customHeight="1" x14ac:dyDescent="0.3">
      <c r="A128" s="390">
        <v>2626178</v>
      </c>
      <c r="B128" s="5" t="s">
        <v>533</v>
      </c>
      <c r="C128" s="1430" t="s">
        <v>3449</v>
      </c>
      <c r="D128" s="1090" t="s">
        <v>534</v>
      </c>
      <c r="E128" s="5" t="s">
        <v>31</v>
      </c>
      <c r="F128" s="5" t="s">
        <v>31</v>
      </c>
      <c r="G128" s="5" t="s">
        <v>549</v>
      </c>
      <c r="H128" s="5" t="s">
        <v>165</v>
      </c>
      <c r="I128" s="5" t="str">
        <f>_xlfn.XLOOKUP(sommaire[[#This Row],[Arrondissement_code]],OCHA_GIS!$F:$F,OCHA_GIS!$E:$E,,)</f>
        <v>Darak</v>
      </c>
      <c r="J128" s="5" t="s">
        <v>881</v>
      </c>
      <c r="K128" t="s">
        <v>1850</v>
      </c>
      <c r="L128" s="5" t="s">
        <v>2027</v>
      </c>
      <c r="N128" s="5" t="s">
        <v>3052</v>
      </c>
      <c r="O128" s="5" t="s">
        <v>2467</v>
      </c>
      <c r="P128" s="5" t="s">
        <v>85</v>
      </c>
      <c r="Q128" s="5" t="s">
        <v>86</v>
      </c>
      <c r="R128" s="5" t="s">
        <v>86</v>
      </c>
      <c r="T128" s="390">
        <v>3</v>
      </c>
      <c r="U128" s="5" t="s">
        <v>97</v>
      </c>
      <c r="W128" s="5" t="s">
        <v>2468</v>
      </c>
      <c r="X128" s="1090" t="s">
        <v>102</v>
      </c>
      <c r="AA128" s="1090" t="s">
        <v>85</v>
      </c>
      <c r="AB128" s="5" t="s">
        <v>2469</v>
      </c>
      <c r="AC128" s="5" t="s">
        <v>2470</v>
      </c>
      <c r="AD128" s="5" t="s">
        <v>86</v>
      </c>
      <c r="AF128" s="5">
        <v>70</v>
      </c>
      <c r="AG128" s="5">
        <v>350</v>
      </c>
      <c r="AH128" s="5" t="s">
        <v>85</v>
      </c>
      <c r="AI128" s="5" t="s">
        <v>2471</v>
      </c>
      <c r="AJ128" s="5">
        <v>70</v>
      </c>
      <c r="AK128" s="5">
        <v>350</v>
      </c>
      <c r="AL128" s="5">
        <v>170</v>
      </c>
      <c r="AM128" s="5">
        <v>180</v>
      </c>
      <c r="AN128" s="5">
        <v>40</v>
      </c>
      <c r="AO128" s="5">
        <v>10</v>
      </c>
      <c r="AP128" s="5">
        <v>20</v>
      </c>
      <c r="AQ128" s="5">
        <v>0</v>
      </c>
      <c r="AT128" s="5">
        <v>0</v>
      </c>
      <c r="AU128" s="5">
        <v>0</v>
      </c>
      <c r="AX128" s="5">
        <v>0</v>
      </c>
      <c r="AY128" s="1090" t="s">
        <v>86</v>
      </c>
      <c r="BN128" s="1090" t="s">
        <v>86</v>
      </c>
      <c r="CD128" s="5">
        <v>0</v>
      </c>
      <c r="CF128" s="1442" t="str">
        <f>IF([1]!sommaire[[#This Row],[présence des personnes déplacés interne]]="Oui","1","0")</f>
        <v>1</v>
      </c>
      <c r="CG128" s="1442" t="str">
        <f>IF([1]!sommaire[[#This Row],[présence Réfugié hors camp]]="Oui","1","0")</f>
        <v>0</v>
      </c>
      <c r="CH128" s="1442" t="str">
        <f>IF([1]!sommaire[[#This Row],[présence personnes retournées]]="Oui","1","0")</f>
        <v>0</v>
      </c>
      <c r="CI128" s="1442">
        <f>[1]!sommaire[[#This Row],[Flag PDI]]+[1]!sommaire[[#This Row],[Flag REF]]+[1]!sommaire[[#This Row],[Flag RET]]</f>
        <v>1</v>
      </c>
    </row>
    <row r="129" spans="1:87" ht="14.55" customHeight="1" x14ac:dyDescent="0.3">
      <c r="A129" s="390">
        <v>2626171</v>
      </c>
      <c r="B129" s="5" t="s">
        <v>533</v>
      </c>
      <c r="C129" s="1430" t="s">
        <v>3449</v>
      </c>
      <c r="D129" s="1090" t="s">
        <v>534</v>
      </c>
      <c r="E129" s="5" t="s">
        <v>31</v>
      </c>
      <c r="F129" s="5" t="s">
        <v>31</v>
      </c>
      <c r="G129" s="5" t="s">
        <v>549</v>
      </c>
      <c r="H129" s="5" t="s">
        <v>165</v>
      </c>
      <c r="I129" s="5" t="str">
        <f>_xlfn.XLOOKUP(sommaire[[#This Row],[Arrondissement_code]],OCHA_GIS!$F:$F,OCHA_GIS!$E:$E,,)</f>
        <v>Darak</v>
      </c>
      <c r="J129" s="5" t="s">
        <v>881</v>
      </c>
      <c r="K129" t="s">
        <v>2026</v>
      </c>
      <c r="L129" s="5" t="s">
        <v>1294</v>
      </c>
      <c r="N129" s="5" t="s">
        <v>3052</v>
      </c>
      <c r="O129" s="5" t="s">
        <v>2467</v>
      </c>
      <c r="P129" s="5" t="s">
        <v>85</v>
      </c>
      <c r="Q129" s="5" t="s">
        <v>86</v>
      </c>
      <c r="R129" s="5" t="s">
        <v>86</v>
      </c>
      <c r="T129" s="390">
        <v>3</v>
      </c>
      <c r="U129" s="5" t="s">
        <v>97</v>
      </c>
      <c r="W129" s="5" t="s">
        <v>2468</v>
      </c>
      <c r="X129" s="5" t="s">
        <v>102</v>
      </c>
      <c r="AA129" s="5" t="s">
        <v>85</v>
      </c>
      <c r="AB129" s="5" t="s">
        <v>2469</v>
      </c>
      <c r="AC129" s="5" t="s">
        <v>2473</v>
      </c>
      <c r="AD129" s="5" t="s">
        <v>86</v>
      </c>
      <c r="AF129" s="5">
        <v>743</v>
      </c>
      <c r="AG129" s="5">
        <v>8000</v>
      </c>
      <c r="AH129" s="5" t="s">
        <v>85</v>
      </c>
      <c r="AI129" s="5" t="s">
        <v>2471</v>
      </c>
      <c r="AJ129" s="5">
        <v>743</v>
      </c>
      <c r="AK129" s="5">
        <v>3499</v>
      </c>
      <c r="AL129" s="5">
        <v>1800</v>
      </c>
      <c r="AM129" s="5">
        <v>1699</v>
      </c>
      <c r="AN129" s="5">
        <v>33</v>
      </c>
      <c r="AO129" s="5">
        <v>600</v>
      </c>
      <c r="AP129" s="5">
        <v>110</v>
      </c>
      <c r="AQ129" s="5">
        <v>0</v>
      </c>
      <c r="AT129" s="5">
        <v>0</v>
      </c>
      <c r="AU129" s="5">
        <v>0</v>
      </c>
      <c r="AX129" s="5">
        <v>0</v>
      </c>
      <c r="AY129" s="5" t="s">
        <v>86</v>
      </c>
      <c r="BN129" s="5" t="s">
        <v>86</v>
      </c>
      <c r="CD129" s="5">
        <v>0</v>
      </c>
      <c r="CF129" s="1442" t="str">
        <f>IF([1]!sommaire[[#This Row],[présence des personnes déplacés interne]]="Oui","1","0")</f>
        <v>1</v>
      </c>
      <c r="CG129" s="1442" t="str">
        <f>IF([1]!sommaire[[#This Row],[présence Réfugié hors camp]]="Oui","1","0")</f>
        <v>0</v>
      </c>
      <c r="CH129" s="1442" t="str">
        <f>IF([1]!sommaire[[#This Row],[présence personnes retournées]]="Oui","1","0")</f>
        <v>0</v>
      </c>
      <c r="CI129" s="1442">
        <f>[1]!sommaire[[#This Row],[Flag PDI]]+[1]!sommaire[[#This Row],[Flag REF]]+[1]!sommaire[[#This Row],[Flag RET]]</f>
        <v>1</v>
      </c>
    </row>
    <row r="130" spans="1:87" ht="14.55" customHeight="1" x14ac:dyDescent="0.3">
      <c r="A130" s="390">
        <v>2626175</v>
      </c>
      <c r="B130" s="5" t="s">
        <v>533</v>
      </c>
      <c r="C130" s="1430" t="s">
        <v>3449</v>
      </c>
      <c r="D130" s="1090" t="s">
        <v>534</v>
      </c>
      <c r="E130" s="5" t="s">
        <v>31</v>
      </c>
      <c r="F130" s="5" t="s">
        <v>31</v>
      </c>
      <c r="G130" s="5" t="s">
        <v>549</v>
      </c>
      <c r="H130" s="5" t="s">
        <v>165</v>
      </c>
      <c r="I130" s="5" t="str">
        <f>_xlfn.XLOOKUP(sommaire[[#This Row],[Arrondissement_code]],OCHA_GIS!$F:$F,OCHA_GIS!$E:$E,,)</f>
        <v>Darak</v>
      </c>
      <c r="J130" s="5" t="s">
        <v>881</v>
      </c>
      <c r="K130" t="s">
        <v>1293</v>
      </c>
      <c r="L130" s="5" t="s">
        <v>2029</v>
      </c>
      <c r="N130" s="5" t="s">
        <v>3052</v>
      </c>
      <c r="O130" s="5" t="s">
        <v>2467</v>
      </c>
      <c r="P130" s="5" t="s">
        <v>85</v>
      </c>
      <c r="Q130" s="5" t="s">
        <v>86</v>
      </c>
      <c r="R130" s="5" t="s">
        <v>86</v>
      </c>
      <c r="T130" s="390">
        <v>3</v>
      </c>
      <c r="U130" s="5" t="s">
        <v>97</v>
      </c>
      <c r="W130" s="5" t="s">
        <v>2468</v>
      </c>
      <c r="X130" s="5" t="s">
        <v>102</v>
      </c>
      <c r="AA130" s="1175" t="s">
        <v>85</v>
      </c>
      <c r="AB130" s="5" t="s">
        <v>2469</v>
      </c>
      <c r="AC130" s="5" t="s">
        <v>2473</v>
      </c>
      <c r="AD130" s="5" t="s">
        <v>86</v>
      </c>
      <c r="AG130" s="5">
        <v>70</v>
      </c>
      <c r="AH130" s="5" t="s">
        <v>86</v>
      </c>
      <c r="AY130" s="5" t="s">
        <v>86</v>
      </c>
      <c r="BN130" s="5" t="s">
        <v>85</v>
      </c>
      <c r="BO130" s="5">
        <v>25</v>
      </c>
      <c r="BP130" s="5">
        <v>70</v>
      </c>
      <c r="BQ130" s="5">
        <v>40</v>
      </c>
      <c r="BR130" s="5">
        <v>30</v>
      </c>
      <c r="BS130" s="5" t="s">
        <v>2484</v>
      </c>
      <c r="BT130" s="5">
        <v>0</v>
      </c>
      <c r="BU130" s="5">
        <v>25</v>
      </c>
      <c r="BV130" s="5">
        <v>0</v>
      </c>
      <c r="BW130" s="5">
        <v>0</v>
      </c>
      <c r="BX130" s="5">
        <v>0</v>
      </c>
      <c r="BZ130" s="5">
        <v>0</v>
      </c>
      <c r="CA130" s="5">
        <v>0</v>
      </c>
      <c r="CC130" s="5">
        <v>0</v>
      </c>
      <c r="CD130" s="5">
        <v>0</v>
      </c>
      <c r="CF130" s="1442" t="str">
        <f>IF([1]!sommaire[[#This Row],[présence des personnes déplacés interne]]="Oui","1","0")</f>
        <v>0</v>
      </c>
      <c r="CG130" s="1442" t="str">
        <f>IF([1]!sommaire[[#This Row],[présence Réfugié hors camp]]="Oui","1","0")</f>
        <v>0</v>
      </c>
      <c r="CH130" s="1442" t="str">
        <f>IF([1]!sommaire[[#This Row],[présence personnes retournées]]="Oui","1","0")</f>
        <v>1</v>
      </c>
      <c r="CI130" s="1442">
        <f>[1]!sommaire[[#This Row],[Flag PDI]]+[1]!sommaire[[#This Row],[Flag REF]]+[1]!sommaire[[#This Row],[Flag RET]]</f>
        <v>1</v>
      </c>
    </row>
    <row r="131" spans="1:87" ht="14.55" customHeight="1" x14ac:dyDescent="0.3">
      <c r="A131" s="390">
        <v>2634920</v>
      </c>
      <c r="B131" s="5" t="s">
        <v>533</v>
      </c>
      <c r="C131" s="1430" t="s">
        <v>3449</v>
      </c>
      <c r="D131" s="1090" t="s">
        <v>534</v>
      </c>
      <c r="E131" s="5" t="s">
        <v>31</v>
      </c>
      <c r="F131" s="5" t="s">
        <v>31</v>
      </c>
      <c r="G131" s="5" t="s">
        <v>549</v>
      </c>
      <c r="H131" s="5" t="s">
        <v>165</v>
      </c>
      <c r="I131" s="5" t="str">
        <f>_xlfn.XLOOKUP(sommaire[[#This Row],[Arrondissement_code]],OCHA_GIS!$F:$F,OCHA_GIS!$E:$E,,)</f>
        <v>Darak</v>
      </c>
      <c r="J131" s="5" t="s">
        <v>881</v>
      </c>
      <c r="K131" t="s">
        <v>2488</v>
      </c>
      <c r="L131" s="5" t="s">
        <v>1849</v>
      </c>
      <c r="M131" s="1090"/>
      <c r="N131" s="1090" t="s">
        <v>3053</v>
      </c>
      <c r="O131" s="5" t="s">
        <v>2467</v>
      </c>
      <c r="P131" s="5" t="s">
        <v>85</v>
      </c>
      <c r="Q131" s="5" t="s">
        <v>86</v>
      </c>
      <c r="R131" s="5" t="s">
        <v>86</v>
      </c>
      <c r="T131" s="390">
        <v>3</v>
      </c>
      <c r="U131" s="5" t="s">
        <v>98</v>
      </c>
      <c r="W131" s="5" t="s">
        <v>2482</v>
      </c>
      <c r="AA131" s="5" t="s">
        <v>86</v>
      </c>
      <c r="AH131" s="1430" t="s">
        <v>86</v>
      </c>
      <c r="AY131" s="1430" t="s">
        <v>86</v>
      </c>
      <c r="BN131" s="1430" t="s">
        <v>86</v>
      </c>
      <c r="CF131" s="1442" t="str">
        <f>IF([1]!sommaire[[#This Row],[présence des personnes déplacés interne]]="Oui","1","0")</f>
        <v>0</v>
      </c>
      <c r="CG131" s="1442" t="str">
        <f>IF([1]!sommaire[[#This Row],[présence Réfugié hors camp]]="Oui","1","0")</f>
        <v>0</v>
      </c>
      <c r="CH131" s="1442" t="str">
        <f>IF([1]!sommaire[[#This Row],[présence personnes retournées]]="Oui","1","0")</f>
        <v>0</v>
      </c>
      <c r="CI131" s="1442">
        <f>[1]!sommaire[[#This Row],[Flag PDI]]+[1]!sommaire[[#This Row],[Flag REF]]+[1]!sommaire[[#This Row],[Flag RET]]</f>
        <v>0</v>
      </c>
    </row>
    <row r="132" spans="1:87" ht="14.55" customHeight="1" x14ac:dyDescent="0.3">
      <c r="A132" s="390">
        <v>2636151</v>
      </c>
      <c r="B132" s="5" t="s">
        <v>533</v>
      </c>
      <c r="C132" s="1430" t="s">
        <v>3449</v>
      </c>
      <c r="D132" s="1090" t="s">
        <v>534</v>
      </c>
      <c r="E132" s="5" t="s">
        <v>31</v>
      </c>
      <c r="F132" s="5" t="s">
        <v>31</v>
      </c>
      <c r="G132" s="5" t="s">
        <v>549</v>
      </c>
      <c r="H132" s="5" t="s">
        <v>165</v>
      </c>
      <c r="I132" s="5" t="str">
        <f>_xlfn.XLOOKUP(sommaire[[#This Row],[Arrondissement_code]],OCHA_GIS!$F:$F,OCHA_GIS!$E:$E,,)</f>
        <v>Darak</v>
      </c>
      <c r="J132" s="5" t="s">
        <v>881</v>
      </c>
      <c r="K132" t="s">
        <v>2028</v>
      </c>
      <c r="L132" s="5" t="s">
        <v>1336</v>
      </c>
      <c r="N132" s="5" t="s">
        <v>3053</v>
      </c>
      <c r="O132" s="5" t="s">
        <v>2467</v>
      </c>
      <c r="P132" s="5" t="s">
        <v>85</v>
      </c>
      <c r="Q132" s="5" t="s">
        <v>86</v>
      </c>
      <c r="R132" s="5" t="s">
        <v>86</v>
      </c>
      <c r="T132" s="390">
        <v>3</v>
      </c>
      <c r="U132" s="5" t="s">
        <v>97</v>
      </c>
      <c r="W132" s="5" t="s">
        <v>2468</v>
      </c>
      <c r="X132" s="1090" t="s">
        <v>102</v>
      </c>
      <c r="AA132" s="5" t="s">
        <v>86</v>
      </c>
      <c r="AG132" s="5">
        <v>580</v>
      </c>
      <c r="AH132" s="1430" t="s">
        <v>86</v>
      </c>
      <c r="AY132" s="1430" t="s">
        <v>86</v>
      </c>
      <c r="BN132" s="1430" t="s">
        <v>86</v>
      </c>
      <c r="CF132" s="1442" t="str">
        <f>IF([1]!sommaire[[#This Row],[présence des personnes déplacés interne]]="Oui","1","0")</f>
        <v>0</v>
      </c>
      <c r="CG132" s="1442" t="str">
        <f>IF([1]!sommaire[[#This Row],[présence Réfugié hors camp]]="Oui","1","0")</f>
        <v>0</v>
      </c>
      <c r="CH132" s="1442" t="str">
        <f>IF([1]!sommaire[[#This Row],[présence personnes retournées]]="Oui","1","0")</f>
        <v>0</v>
      </c>
      <c r="CI132" s="1442">
        <f>[1]!sommaire[[#This Row],[Flag PDI]]+[1]!sommaire[[#This Row],[Flag REF]]+[1]!sommaire[[#This Row],[Flag RET]]</f>
        <v>0</v>
      </c>
    </row>
    <row r="133" spans="1:87" ht="14.55" customHeight="1" x14ac:dyDescent="0.3">
      <c r="A133" s="390">
        <v>2636149</v>
      </c>
      <c r="B133" s="5" t="s">
        <v>533</v>
      </c>
      <c r="C133" s="1430" t="s">
        <v>3449</v>
      </c>
      <c r="D133" s="1090" t="s">
        <v>534</v>
      </c>
      <c r="E133" s="5" t="s">
        <v>31</v>
      </c>
      <c r="F133" s="5" t="s">
        <v>31</v>
      </c>
      <c r="G133" s="5" t="s">
        <v>549</v>
      </c>
      <c r="H133" s="5" t="s">
        <v>165</v>
      </c>
      <c r="I133" s="5" t="str">
        <f>_xlfn.XLOOKUP(sommaire[[#This Row],[Arrondissement_code]],OCHA_GIS!$F:$F,OCHA_GIS!$E:$E,,)</f>
        <v>Darak</v>
      </c>
      <c r="J133" s="5" t="s">
        <v>881</v>
      </c>
      <c r="K133" t="s">
        <v>1335</v>
      </c>
      <c r="L133" s="5" t="s">
        <v>1845</v>
      </c>
      <c r="N133" s="5" t="s">
        <v>3053</v>
      </c>
      <c r="O133" s="5" t="s">
        <v>2467</v>
      </c>
      <c r="P133" s="5" t="s">
        <v>85</v>
      </c>
      <c r="Q133" s="5" t="s">
        <v>86</v>
      </c>
      <c r="R133" s="5" t="s">
        <v>86</v>
      </c>
      <c r="T133" s="390">
        <v>4</v>
      </c>
      <c r="U133" s="5" t="s">
        <v>97</v>
      </c>
      <c r="W133" s="5" t="s">
        <v>2468</v>
      </c>
      <c r="X133" s="5" t="s">
        <v>102</v>
      </c>
      <c r="AA133" s="5" t="s">
        <v>86</v>
      </c>
      <c r="AG133" s="5">
        <v>370</v>
      </c>
      <c r="AH133" s="1430" t="s">
        <v>86</v>
      </c>
      <c r="AY133" s="1430" t="s">
        <v>86</v>
      </c>
      <c r="BN133" s="1430" t="s">
        <v>86</v>
      </c>
      <c r="CF133" s="1442" t="str">
        <f>IF([1]!sommaire[[#This Row],[présence des personnes déplacés interne]]="Oui","1","0")</f>
        <v>0</v>
      </c>
      <c r="CG133" s="1442" t="str">
        <f>IF([1]!sommaire[[#This Row],[présence Réfugié hors camp]]="Oui","1","0")</f>
        <v>0</v>
      </c>
      <c r="CH133" s="1442" t="str">
        <f>IF([1]!sommaire[[#This Row],[présence personnes retournées]]="Oui","1","0")</f>
        <v>0</v>
      </c>
      <c r="CI133" s="1442">
        <f>[1]!sommaire[[#This Row],[Flag PDI]]+[1]!sommaire[[#This Row],[Flag REF]]+[1]!sommaire[[#This Row],[Flag RET]]</f>
        <v>0</v>
      </c>
    </row>
    <row r="134" spans="1:87" ht="14.55" customHeight="1" x14ac:dyDescent="0.3">
      <c r="A134" s="390">
        <v>2639604</v>
      </c>
      <c r="B134" s="5" t="s">
        <v>533</v>
      </c>
      <c r="C134" s="1430" t="s">
        <v>3449</v>
      </c>
      <c r="D134" s="1090" t="s">
        <v>534</v>
      </c>
      <c r="E134" s="5" t="s">
        <v>31</v>
      </c>
      <c r="F134" s="5" t="s">
        <v>31</v>
      </c>
      <c r="G134" s="5" t="s">
        <v>549</v>
      </c>
      <c r="H134" s="5" t="s">
        <v>165</v>
      </c>
      <c r="I134" s="5" t="str">
        <f>_xlfn.XLOOKUP(sommaire[[#This Row],[Arrondissement_code]],OCHA_GIS!$F:$F,OCHA_GIS!$E:$E,,)</f>
        <v>Darak</v>
      </c>
      <c r="J134" s="5" t="s">
        <v>881</v>
      </c>
      <c r="K134" t="s">
        <v>1844</v>
      </c>
      <c r="L134" s="5" t="s">
        <v>1692</v>
      </c>
      <c r="N134" s="5" t="s">
        <v>3053</v>
      </c>
      <c r="O134" s="5" t="s">
        <v>2467</v>
      </c>
      <c r="P134" s="5" t="s">
        <v>85</v>
      </c>
      <c r="Q134" s="5" t="s">
        <v>86</v>
      </c>
      <c r="R134" s="5" t="s">
        <v>86</v>
      </c>
      <c r="T134" s="390">
        <v>3</v>
      </c>
      <c r="U134" s="5" t="s">
        <v>97</v>
      </c>
      <c r="W134" s="5" t="s">
        <v>2468</v>
      </c>
      <c r="X134" s="5" t="s">
        <v>102</v>
      </c>
      <c r="AA134" s="5" t="s">
        <v>86</v>
      </c>
      <c r="AG134" s="5">
        <v>1545</v>
      </c>
      <c r="AH134" s="1430" t="s">
        <v>86</v>
      </c>
      <c r="AY134" s="1430" t="s">
        <v>86</v>
      </c>
      <c r="BN134" s="1430" t="s">
        <v>86</v>
      </c>
      <c r="CF134" s="1442" t="str">
        <f>IF([1]!sommaire[[#This Row],[présence des personnes déplacés interne]]="Oui","1","0")</f>
        <v>0</v>
      </c>
      <c r="CG134" s="1442" t="str">
        <f>IF([1]!sommaire[[#This Row],[présence Réfugié hors camp]]="Oui","1","0")</f>
        <v>0</v>
      </c>
      <c r="CH134" s="1442" t="str">
        <f>IF([1]!sommaire[[#This Row],[présence personnes retournées]]="Oui","1","0")</f>
        <v>0</v>
      </c>
      <c r="CI134" s="1442">
        <f>[1]!sommaire[[#This Row],[Flag PDI]]+[1]!sommaire[[#This Row],[Flag REF]]+[1]!sommaire[[#This Row],[Flag RET]]</f>
        <v>0</v>
      </c>
    </row>
    <row r="135" spans="1:87" ht="14.55" customHeight="1" x14ac:dyDescent="0.3">
      <c r="A135" s="390">
        <v>2753798</v>
      </c>
      <c r="B135" s="5" t="s">
        <v>533</v>
      </c>
      <c r="C135" s="1430" t="s">
        <v>3449</v>
      </c>
      <c r="D135" s="1090" t="s">
        <v>534</v>
      </c>
      <c r="E135" s="5" t="s">
        <v>31</v>
      </c>
      <c r="F135" s="5" t="s">
        <v>31</v>
      </c>
      <c r="G135" s="5" t="s">
        <v>549</v>
      </c>
      <c r="H135" s="5" t="s">
        <v>165</v>
      </c>
      <c r="I135" s="5" t="str">
        <f>_xlfn.XLOOKUP(sommaire[[#This Row],[Arrondissement_code]],OCHA_GIS!$F:$F,OCHA_GIS!$E:$E,,)</f>
        <v>Darak</v>
      </c>
      <c r="J135" s="5" t="s">
        <v>881</v>
      </c>
      <c r="K135" t="s">
        <v>1691</v>
      </c>
      <c r="L135" s="5" t="s">
        <v>2136</v>
      </c>
      <c r="N135" s="5" t="s">
        <v>3053</v>
      </c>
      <c r="O135" s="5" t="s">
        <v>2467</v>
      </c>
      <c r="P135" s="5" t="s">
        <v>86</v>
      </c>
      <c r="Q135" s="5" t="s">
        <v>86</v>
      </c>
      <c r="R135" s="5" t="s">
        <v>85</v>
      </c>
      <c r="U135" s="5" t="s">
        <v>97</v>
      </c>
      <c r="W135" s="5" t="s">
        <v>2468</v>
      </c>
      <c r="X135" s="5" t="s">
        <v>102</v>
      </c>
      <c r="AA135" s="5" t="s">
        <v>85</v>
      </c>
      <c r="AB135" s="5" t="s">
        <v>2469</v>
      </c>
      <c r="AC135" s="5" t="s">
        <v>2470</v>
      </c>
      <c r="AD135" s="5" t="s">
        <v>86</v>
      </c>
      <c r="AF135" s="5">
        <v>10</v>
      </c>
      <c r="AG135" s="5">
        <v>500</v>
      </c>
      <c r="AH135" s="5" t="s">
        <v>85</v>
      </c>
      <c r="AI135" s="5" t="s">
        <v>2471</v>
      </c>
      <c r="AJ135" s="5">
        <v>10</v>
      </c>
      <c r="AK135" s="5">
        <v>33</v>
      </c>
      <c r="AL135" s="5">
        <v>15</v>
      </c>
      <c r="AM135" s="5">
        <v>18</v>
      </c>
      <c r="AN135" s="5">
        <v>0</v>
      </c>
      <c r="AO135" s="5">
        <v>10</v>
      </c>
      <c r="AP135" s="5">
        <v>0</v>
      </c>
      <c r="AQ135" s="5">
        <v>0</v>
      </c>
      <c r="AT135" s="5">
        <v>0</v>
      </c>
      <c r="AU135" s="5">
        <v>0</v>
      </c>
      <c r="AX135" s="5">
        <v>0</v>
      </c>
      <c r="AY135" s="5" t="s">
        <v>85</v>
      </c>
      <c r="AZ135" s="5">
        <v>5</v>
      </c>
      <c r="BA135" s="5">
        <v>25</v>
      </c>
      <c r="BB135" s="5">
        <v>10</v>
      </c>
      <c r="BC135" s="5">
        <v>15</v>
      </c>
      <c r="BD135" s="5">
        <v>5</v>
      </c>
      <c r="BE135" s="5">
        <v>0</v>
      </c>
      <c r="BF135" s="5">
        <v>0</v>
      </c>
      <c r="BH135" s="5">
        <v>0</v>
      </c>
      <c r="BI135" s="5">
        <v>0</v>
      </c>
      <c r="BL135" s="5">
        <v>0</v>
      </c>
      <c r="BM135" s="5">
        <v>0</v>
      </c>
      <c r="BN135" s="5" t="s">
        <v>86</v>
      </c>
      <c r="CD135" s="5">
        <v>0</v>
      </c>
      <c r="CF135" s="1442" t="str">
        <f>IF([1]!sommaire[[#This Row],[présence des personnes déplacés interne]]="Oui","1","0")</f>
        <v>1</v>
      </c>
      <c r="CG135" s="1442" t="str">
        <f>IF([1]!sommaire[[#This Row],[présence Réfugié hors camp]]="Oui","1","0")</f>
        <v>1</v>
      </c>
      <c r="CH135" s="1442" t="str">
        <f>IF([1]!sommaire[[#This Row],[présence personnes retournées]]="Oui","1","0")</f>
        <v>0</v>
      </c>
      <c r="CI135" s="1442">
        <f>[1]!sommaire[[#This Row],[Flag PDI]]+[1]!sommaire[[#This Row],[Flag REF]]+[1]!sommaire[[#This Row],[Flag RET]]</f>
        <v>2</v>
      </c>
    </row>
    <row r="136" spans="1:87" ht="14.55" customHeight="1" x14ac:dyDescent="0.3">
      <c r="A136" s="390">
        <v>2626173</v>
      </c>
      <c r="B136" s="5" t="s">
        <v>533</v>
      </c>
      <c r="C136" s="1430" t="s">
        <v>3449</v>
      </c>
      <c r="D136" s="1090" t="s">
        <v>534</v>
      </c>
      <c r="E136" s="5" t="s">
        <v>31</v>
      </c>
      <c r="F136" s="5" t="s">
        <v>31</v>
      </c>
      <c r="G136" s="5" t="s">
        <v>549</v>
      </c>
      <c r="H136" s="5" t="s">
        <v>165</v>
      </c>
      <c r="I136" s="5" t="str">
        <f>_xlfn.XLOOKUP(sommaire[[#This Row],[Arrondissement_code]],OCHA_GIS!$F:$F,OCHA_GIS!$E:$E,,)</f>
        <v>Darak</v>
      </c>
      <c r="J136" s="5" t="s">
        <v>881</v>
      </c>
      <c r="K136" t="s">
        <v>2135</v>
      </c>
      <c r="L136" s="5" t="s">
        <v>997</v>
      </c>
      <c r="N136" s="5" t="s">
        <v>3052</v>
      </c>
      <c r="O136" s="5" t="s">
        <v>2467</v>
      </c>
      <c r="P136" s="5" t="s">
        <v>85</v>
      </c>
      <c r="Q136" s="5" t="s">
        <v>86</v>
      </c>
      <c r="R136" s="5" t="s">
        <v>86</v>
      </c>
      <c r="T136" s="390">
        <v>3</v>
      </c>
      <c r="U136" s="5" t="s">
        <v>97</v>
      </c>
      <c r="W136" s="5" t="s">
        <v>2520</v>
      </c>
      <c r="X136" s="5" t="s">
        <v>102</v>
      </c>
      <c r="AA136" s="5" t="s">
        <v>85</v>
      </c>
      <c r="AB136" s="5" t="s">
        <v>2469</v>
      </c>
      <c r="AC136" s="5" t="s">
        <v>2470</v>
      </c>
      <c r="AD136" s="5" t="s">
        <v>86</v>
      </c>
      <c r="AG136" s="5">
        <v>315</v>
      </c>
      <c r="AH136" s="5" t="s">
        <v>86</v>
      </c>
      <c r="AY136" s="5" t="s">
        <v>86</v>
      </c>
      <c r="BN136" s="5" t="s">
        <v>85</v>
      </c>
      <c r="BO136" s="5">
        <v>50</v>
      </c>
      <c r="BP136" s="5">
        <v>315</v>
      </c>
      <c r="BQ136" s="5">
        <v>150</v>
      </c>
      <c r="BR136" s="5">
        <v>165</v>
      </c>
      <c r="BS136" s="5" t="s">
        <v>2484</v>
      </c>
      <c r="BT136" s="5">
        <v>0</v>
      </c>
      <c r="BU136" s="5">
        <v>50</v>
      </c>
      <c r="BV136" s="5">
        <v>0</v>
      </c>
      <c r="BW136" s="5">
        <v>0</v>
      </c>
      <c r="BX136" s="5">
        <v>0</v>
      </c>
      <c r="BZ136" s="5">
        <v>0</v>
      </c>
      <c r="CA136" s="5">
        <v>0</v>
      </c>
      <c r="CC136" s="5">
        <v>0</v>
      </c>
      <c r="CD136" s="5">
        <v>0</v>
      </c>
      <c r="CF136" s="1442" t="str">
        <f>IF([1]!sommaire[[#This Row],[présence des personnes déplacés interne]]="Oui","1","0")</f>
        <v>0</v>
      </c>
      <c r="CG136" s="1442" t="str">
        <f>IF([1]!sommaire[[#This Row],[présence Réfugié hors camp]]="Oui","1","0")</f>
        <v>0</v>
      </c>
      <c r="CH136" s="1442" t="str">
        <f>IF([1]!sommaire[[#This Row],[présence personnes retournées]]="Oui","1","0")</f>
        <v>1</v>
      </c>
      <c r="CI136" s="1442">
        <f>[1]!sommaire[[#This Row],[Flag PDI]]+[1]!sommaire[[#This Row],[Flag REF]]+[1]!sommaire[[#This Row],[Flag RET]]</f>
        <v>1</v>
      </c>
    </row>
    <row r="137" spans="1:87" ht="14.55" customHeight="1" x14ac:dyDescent="0.3">
      <c r="A137" s="390">
        <v>2776128</v>
      </c>
      <c r="B137" s="5" t="s">
        <v>533</v>
      </c>
      <c r="C137" s="1430" t="s">
        <v>3449</v>
      </c>
      <c r="D137" s="1090" t="s">
        <v>534</v>
      </c>
      <c r="E137" s="5" t="s">
        <v>31</v>
      </c>
      <c r="F137" s="5" t="s">
        <v>31</v>
      </c>
      <c r="G137" s="5" t="s">
        <v>549</v>
      </c>
      <c r="H137" s="5" t="s">
        <v>165</v>
      </c>
      <c r="I137" s="5" t="str">
        <f>_xlfn.XLOOKUP(sommaire[[#This Row],[Arrondissement_code]],OCHA_GIS!$F:$F,OCHA_GIS!$E:$E,,)</f>
        <v>Darak</v>
      </c>
      <c r="J137" s="5" t="s">
        <v>881</v>
      </c>
      <c r="K137" t="s">
        <v>1693</v>
      </c>
      <c r="L137" s="5" t="s">
        <v>2491</v>
      </c>
      <c r="N137" s="5" t="s">
        <v>3053</v>
      </c>
      <c r="O137" s="5" t="s">
        <v>2467</v>
      </c>
      <c r="P137" s="5" t="s">
        <v>86</v>
      </c>
      <c r="Q137" s="5" t="s">
        <v>86</v>
      </c>
      <c r="R137" s="5" t="s">
        <v>85</v>
      </c>
      <c r="U137" s="5" t="s">
        <v>97</v>
      </c>
      <c r="W137" s="5" t="s">
        <v>2468</v>
      </c>
      <c r="X137" s="5" t="s">
        <v>102</v>
      </c>
      <c r="AA137" s="5" t="s">
        <v>85</v>
      </c>
      <c r="AB137" s="5" t="s">
        <v>2469</v>
      </c>
      <c r="AC137" s="5" t="s">
        <v>2470</v>
      </c>
      <c r="AD137" s="5" t="s">
        <v>86</v>
      </c>
      <c r="AF137" s="5">
        <v>7</v>
      </c>
      <c r="AG137" s="5">
        <v>400</v>
      </c>
      <c r="AH137" s="5" t="s">
        <v>85</v>
      </c>
      <c r="AI137" s="5" t="s">
        <v>2471</v>
      </c>
      <c r="AJ137" s="5">
        <v>7</v>
      </c>
      <c r="AK137" s="5">
        <v>40</v>
      </c>
      <c r="AL137" s="5">
        <v>15</v>
      </c>
      <c r="AM137" s="5">
        <v>25</v>
      </c>
      <c r="AN137" s="5">
        <v>0</v>
      </c>
      <c r="AO137" s="5">
        <v>7</v>
      </c>
      <c r="AP137" s="5">
        <v>0</v>
      </c>
      <c r="AQ137" s="5">
        <v>0</v>
      </c>
      <c r="AT137" s="5">
        <v>0</v>
      </c>
      <c r="AU137" s="5">
        <v>0</v>
      </c>
      <c r="AX137" s="5">
        <v>0</v>
      </c>
      <c r="AY137" s="5" t="s">
        <v>86</v>
      </c>
      <c r="BN137" s="5" t="s">
        <v>86</v>
      </c>
      <c r="CD137" s="5">
        <v>0</v>
      </c>
      <c r="CF137" s="1442" t="str">
        <f>IF([1]!sommaire[[#This Row],[présence des personnes déplacés interne]]="Oui","1","0")</f>
        <v>1</v>
      </c>
      <c r="CG137" s="1442" t="str">
        <f>IF([1]!sommaire[[#This Row],[présence Réfugié hors camp]]="Oui","1","0")</f>
        <v>0</v>
      </c>
      <c r="CH137" s="1442" t="str">
        <f>IF([1]!sommaire[[#This Row],[présence personnes retournées]]="Oui","1","0")</f>
        <v>0</v>
      </c>
      <c r="CI137" s="1442">
        <f>[1]!sommaire[[#This Row],[Flag PDI]]+[1]!sommaire[[#This Row],[Flag REF]]+[1]!sommaire[[#This Row],[Flag RET]]</f>
        <v>1</v>
      </c>
    </row>
    <row r="138" spans="1:87" ht="14.55" customHeight="1" x14ac:dyDescent="0.3">
      <c r="A138" s="390">
        <v>2636156</v>
      </c>
      <c r="B138" s="5" t="s">
        <v>533</v>
      </c>
      <c r="C138" s="1430" t="s">
        <v>3449</v>
      </c>
      <c r="D138" s="1090" t="s">
        <v>534</v>
      </c>
      <c r="E138" s="5" t="s">
        <v>31</v>
      </c>
      <c r="F138" s="5" t="s">
        <v>31</v>
      </c>
      <c r="G138" s="5" t="s">
        <v>549</v>
      </c>
      <c r="H138" s="5" t="s">
        <v>165</v>
      </c>
      <c r="I138" s="5" t="str">
        <f>_xlfn.XLOOKUP(sommaire[[#This Row],[Arrondissement_code]],OCHA_GIS!$F:$F,OCHA_GIS!$E:$E,,)</f>
        <v>Darak</v>
      </c>
      <c r="J138" s="5" t="s">
        <v>881</v>
      </c>
      <c r="K138" t="s">
        <v>996</v>
      </c>
      <c r="L138" s="5" t="s">
        <v>883</v>
      </c>
      <c r="N138" s="5" t="s">
        <v>3053</v>
      </c>
      <c r="O138" s="5" t="s">
        <v>2467</v>
      </c>
      <c r="P138" s="5" t="s">
        <v>85</v>
      </c>
      <c r="Q138" s="5" t="s">
        <v>86</v>
      </c>
      <c r="R138" s="5" t="s">
        <v>86</v>
      </c>
      <c r="T138" s="390">
        <v>3</v>
      </c>
      <c r="U138" s="5" t="s">
        <v>97</v>
      </c>
      <c r="W138" s="5" t="s">
        <v>2468</v>
      </c>
      <c r="X138" s="5" t="s">
        <v>102</v>
      </c>
      <c r="AA138" s="5" t="s">
        <v>86</v>
      </c>
      <c r="AG138" s="5">
        <v>295</v>
      </c>
      <c r="AH138" s="1430" t="s">
        <v>86</v>
      </c>
      <c r="AY138" s="1430" t="s">
        <v>86</v>
      </c>
      <c r="BN138" s="1430" t="s">
        <v>86</v>
      </c>
      <c r="CF138" s="1442" t="str">
        <f>IF([1]!sommaire[[#This Row],[présence des personnes déplacés interne]]="Oui","1","0")</f>
        <v>0</v>
      </c>
      <c r="CG138" s="1442" t="str">
        <f>IF([1]!sommaire[[#This Row],[présence Réfugié hors camp]]="Oui","1","0")</f>
        <v>0</v>
      </c>
      <c r="CH138" s="1442" t="str">
        <f>IF([1]!sommaire[[#This Row],[présence personnes retournées]]="Oui","1","0")</f>
        <v>0</v>
      </c>
      <c r="CI138" s="1442">
        <f>[1]!sommaire[[#This Row],[Flag PDI]]+[1]!sommaire[[#This Row],[Flag REF]]+[1]!sommaire[[#This Row],[Flag RET]]</f>
        <v>0</v>
      </c>
    </row>
    <row r="139" spans="1:87" ht="14.55" customHeight="1" x14ac:dyDescent="0.3">
      <c r="A139" s="390">
        <v>2653872</v>
      </c>
      <c r="B139" s="5" t="s">
        <v>533</v>
      </c>
      <c r="C139" s="1430" t="s">
        <v>3449</v>
      </c>
      <c r="D139" s="1090" t="s">
        <v>534</v>
      </c>
      <c r="E139" s="5" t="s">
        <v>31</v>
      </c>
      <c r="F139" s="5" t="s">
        <v>31</v>
      </c>
      <c r="G139" s="5" t="s">
        <v>549</v>
      </c>
      <c r="H139" s="5" t="s">
        <v>165</v>
      </c>
      <c r="I139" s="5" t="str">
        <f>_xlfn.XLOOKUP(sommaire[[#This Row],[Arrondissement_code]],OCHA_GIS!$F:$F,OCHA_GIS!$E:$E,,)</f>
        <v>Darak</v>
      </c>
      <c r="J139" s="5" t="s">
        <v>881</v>
      </c>
      <c r="K139" t="s">
        <v>1848</v>
      </c>
      <c r="L139" s="5" t="s">
        <v>885</v>
      </c>
      <c r="N139" s="5" t="s">
        <v>3053</v>
      </c>
      <c r="O139" s="5" t="s">
        <v>2467</v>
      </c>
      <c r="P139" s="5" t="s">
        <v>85</v>
      </c>
      <c r="Q139" s="5" t="s">
        <v>86</v>
      </c>
      <c r="R139" s="5" t="s">
        <v>86</v>
      </c>
      <c r="T139" s="390">
        <v>3</v>
      </c>
      <c r="U139" s="5" t="s">
        <v>97</v>
      </c>
      <c r="W139" s="5" t="s">
        <v>2468</v>
      </c>
      <c r="X139" s="1090" t="s">
        <v>102</v>
      </c>
      <c r="AA139" s="5" t="s">
        <v>86</v>
      </c>
      <c r="AG139" s="5">
        <v>1273</v>
      </c>
      <c r="AH139" s="1430" t="s">
        <v>86</v>
      </c>
      <c r="AY139" s="1430" t="s">
        <v>86</v>
      </c>
      <c r="BN139" s="1430" t="s">
        <v>86</v>
      </c>
      <c r="CF139" s="1442" t="str">
        <f>IF([1]!sommaire[[#This Row],[présence des personnes déplacés interne]]="Oui","1","0")</f>
        <v>0</v>
      </c>
      <c r="CG139" s="1442" t="str">
        <f>IF([1]!sommaire[[#This Row],[présence Réfugié hors camp]]="Oui","1","0")</f>
        <v>0</v>
      </c>
      <c r="CH139" s="1442" t="str">
        <f>IF([1]!sommaire[[#This Row],[présence personnes retournées]]="Oui","1","0")</f>
        <v>0</v>
      </c>
      <c r="CI139" s="1442">
        <f>[1]!sommaire[[#This Row],[Flag PDI]]+[1]!sommaire[[#This Row],[Flag REF]]+[1]!sommaire[[#This Row],[Flag RET]]</f>
        <v>0</v>
      </c>
    </row>
    <row r="140" spans="1:87" ht="14.55" customHeight="1" x14ac:dyDescent="0.3">
      <c r="A140" s="390">
        <v>2647665</v>
      </c>
      <c r="B140" s="5" t="s">
        <v>533</v>
      </c>
      <c r="C140" s="1430" t="s">
        <v>3449</v>
      </c>
      <c r="D140" s="1090" t="s">
        <v>534</v>
      </c>
      <c r="E140" s="5" t="s">
        <v>31</v>
      </c>
      <c r="F140" s="5" t="s">
        <v>31</v>
      </c>
      <c r="G140" s="5" t="s">
        <v>549</v>
      </c>
      <c r="H140" s="5" t="s">
        <v>165</v>
      </c>
      <c r="I140" s="5" t="str">
        <f>_xlfn.XLOOKUP(sommaire[[#This Row],[Arrondissement_code]],OCHA_GIS!$F:$F,OCHA_GIS!$E:$E,,)</f>
        <v>Darak</v>
      </c>
      <c r="J140" s="5" t="s">
        <v>881</v>
      </c>
      <c r="K140" t="s">
        <v>882</v>
      </c>
      <c r="L140" s="5" t="s">
        <v>1001</v>
      </c>
      <c r="N140" s="5" t="s">
        <v>3052</v>
      </c>
      <c r="O140" s="5" t="s">
        <v>2467</v>
      </c>
      <c r="P140" s="5" t="s">
        <v>85</v>
      </c>
      <c r="Q140" s="5" t="s">
        <v>86</v>
      </c>
      <c r="R140" s="5" t="s">
        <v>86</v>
      </c>
      <c r="T140" s="390">
        <v>3</v>
      </c>
      <c r="U140" s="5" t="s">
        <v>98</v>
      </c>
      <c r="W140" s="5" t="s">
        <v>2482</v>
      </c>
      <c r="AA140" s="5" t="s">
        <v>86</v>
      </c>
      <c r="AH140" s="1430" t="s">
        <v>86</v>
      </c>
      <c r="AY140" s="1430" t="s">
        <v>86</v>
      </c>
      <c r="BN140" s="1430" t="s">
        <v>86</v>
      </c>
      <c r="CF140" s="1442" t="str">
        <f>IF([1]!sommaire[[#This Row],[présence des personnes déplacés interne]]="Oui","1","0")</f>
        <v>0</v>
      </c>
      <c r="CG140" s="1442" t="str">
        <f>IF([1]!sommaire[[#This Row],[présence Réfugié hors camp]]="Oui","1","0")</f>
        <v>0</v>
      </c>
      <c r="CH140" s="1442" t="str">
        <f>IF([1]!sommaire[[#This Row],[présence personnes retournées]]="Oui","1","0")</f>
        <v>0</v>
      </c>
      <c r="CI140" s="1442">
        <f>[1]!sommaire[[#This Row],[Flag PDI]]+[1]!sommaire[[#This Row],[Flag REF]]+[1]!sommaire[[#This Row],[Flag RET]]</f>
        <v>0</v>
      </c>
    </row>
    <row r="141" spans="1:87" ht="14.55" customHeight="1" x14ac:dyDescent="0.3">
      <c r="A141" s="390">
        <v>2634896</v>
      </c>
      <c r="B141" s="5" t="s">
        <v>533</v>
      </c>
      <c r="C141" s="1430" t="s">
        <v>3449</v>
      </c>
      <c r="D141" s="5" t="s">
        <v>534</v>
      </c>
      <c r="E141" s="5" t="s">
        <v>31</v>
      </c>
      <c r="F141" s="5" t="s">
        <v>31</v>
      </c>
      <c r="G141" s="5" t="s">
        <v>549</v>
      </c>
      <c r="H141" s="5" t="s">
        <v>165</v>
      </c>
      <c r="I141" s="5" t="str">
        <f>_xlfn.XLOOKUP(sommaire[[#This Row],[Arrondissement_code]],OCHA_GIS!$F:$F,OCHA_GIS!$E:$E,,)</f>
        <v>Darak</v>
      </c>
      <c r="J141" s="5" t="s">
        <v>881</v>
      </c>
      <c r="K141" t="s">
        <v>1187</v>
      </c>
      <c r="L141" s="5" t="s">
        <v>3259</v>
      </c>
      <c r="N141" s="5" t="s">
        <v>3053</v>
      </c>
      <c r="O141" s="5" t="s">
        <v>2473</v>
      </c>
      <c r="P141" s="5" t="s">
        <v>85</v>
      </c>
      <c r="Q141" s="5" t="s">
        <v>86</v>
      </c>
      <c r="R141" s="5" t="s">
        <v>86</v>
      </c>
      <c r="T141" s="390">
        <v>3</v>
      </c>
      <c r="U141" s="5" t="s">
        <v>97</v>
      </c>
      <c r="W141" s="5" t="s">
        <v>2468</v>
      </c>
      <c r="X141" s="5" t="s">
        <v>103</v>
      </c>
      <c r="Y141" s="5" t="s">
        <v>2511</v>
      </c>
      <c r="AA141" s="5" t="s">
        <v>85</v>
      </c>
      <c r="AB141" s="5" t="s">
        <v>2473</v>
      </c>
      <c r="AC141" s="5" t="s">
        <v>2470</v>
      </c>
      <c r="AF141" s="5">
        <v>150</v>
      </c>
      <c r="AG141" s="5">
        <v>600</v>
      </c>
      <c r="AH141" s="5" t="s">
        <v>85</v>
      </c>
      <c r="AI141" s="5" t="s">
        <v>2471</v>
      </c>
      <c r="AJ141" s="5">
        <v>150</v>
      </c>
      <c r="AK141" s="5">
        <v>600</v>
      </c>
      <c r="AL141" s="5">
        <v>356</v>
      </c>
      <c r="AM141" s="5">
        <v>244</v>
      </c>
      <c r="AN141" s="5">
        <v>150</v>
      </c>
      <c r="AO141" s="5">
        <v>0</v>
      </c>
      <c r="AP141" s="5">
        <v>0</v>
      </c>
      <c r="AQ141" s="5">
        <v>0</v>
      </c>
      <c r="AT141" s="5">
        <v>0</v>
      </c>
      <c r="AU141" s="5">
        <v>0</v>
      </c>
      <c r="AX141" s="5">
        <v>0</v>
      </c>
      <c r="AY141" s="5" t="s">
        <v>86</v>
      </c>
      <c r="BN141" s="5" t="s">
        <v>86</v>
      </c>
      <c r="CD141" s="5">
        <v>0</v>
      </c>
      <c r="CF141" s="1442" t="str">
        <f>IF([1]!sommaire[[#This Row],[présence des personnes déplacés interne]]="Oui","1","0")</f>
        <v>1</v>
      </c>
      <c r="CG141" s="1442" t="str">
        <f>IF([1]!sommaire[[#This Row],[présence Réfugié hors camp]]="Oui","1","0")</f>
        <v>0</v>
      </c>
      <c r="CH141" s="1442" t="str">
        <f>IF([1]!sommaire[[#This Row],[présence personnes retournées]]="Oui","1","0")</f>
        <v>0</v>
      </c>
      <c r="CI141" s="1442">
        <f>[1]!sommaire[[#This Row],[Flag PDI]]+[1]!sommaire[[#This Row],[Flag REF]]+[1]!sommaire[[#This Row],[Flag RET]]</f>
        <v>1</v>
      </c>
    </row>
    <row r="142" spans="1:87" ht="14.55" customHeight="1" x14ac:dyDescent="0.3">
      <c r="A142" s="390">
        <v>2626177</v>
      </c>
      <c r="B142" s="5" t="s">
        <v>533</v>
      </c>
      <c r="C142" s="1430" t="s">
        <v>3449</v>
      </c>
      <c r="D142" s="5" t="s">
        <v>534</v>
      </c>
      <c r="E142" s="5" t="s">
        <v>31</v>
      </c>
      <c r="F142" s="5" t="s">
        <v>31</v>
      </c>
      <c r="G142" s="5" t="s">
        <v>549</v>
      </c>
      <c r="H142" s="5" t="s">
        <v>165</v>
      </c>
      <c r="I142" s="5" t="str">
        <f>_xlfn.XLOOKUP(sommaire[[#This Row],[Arrondissement_code]],OCHA_GIS!$F:$F,OCHA_GIS!$E:$E,,)</f>
        <v>Darak</v>
      </c>
      <c r="J142" s="5" t="s">
        <v>881</v>
      </c>
      <c r="K142" t="s">
        <v>1846</v>
      </c>
      <c r="L142" s="5" t="s">
        <v>3263</v>
      </c>
      <c r="N142" s="5" t="s">
        <v>3052</v>
      </c>
      <c r="O142" s="5" t="s">
        <v>2473</v>
      </c>
      <c r="P142" s="5" t="s">
        <v>85</v>
      </c>
      <c r="Q142" s="5" t="s">
        <v>86</v>
      </c>
      <c r="R142" s="5" t="s">
        <v>86</v>
      </c>
      <c r="T142" s="390">
        <v>3</v>
      </c>
      <c r="U142" s="5" t="s">
        <v>97</v>
      </c>
      <c r="W142" s="5" t="s">
        <v>2468</v>
      </c>
      <c r="X142" s="5" t="s">
        <v>103</v>
      </c>
      <c r="Y142" s="5" t="s">
        <v>2511</v>
      </c>
      <c r="AA142" s="5" t="s">
        <v>85</v>
      </c>
      <c r="AB142" s="5" t="s">
        <v>2469</v>
      </c>
      <c r="AC142" s="5" t="s">
        <v>2470</v>
      </c>
      <c r="AF142" s="5">
        <v>50</v>
      </c>
      <c r="AG142" s="5">
        <v>270</v>
      </c>
      <c r="AH142" s="5" t="s">
        <v>85</v>
      </c>
      <c r="AI142" s="5" t="s">
        <v>2471</v>
      </c>
      <c r="AJ142" s="5">
        <v>50</v>
      </c>
      <c r="AK142" s="5">
        <v>270</v>
      </c>
      <c r="AL142" s="5">
        <v>164</v>
      </c>
      <c r="AM142" s="5">
        <v>106</v>
      </c>
      <c r="AN142" s="5">
        <v>50</v>
      </c>
      <c r="AO142" s="5">
        <v>0</v>
      </c>
      <c r="AP142" s="5">
        <v>0</v>
      </c>
      <c r="AQ142" s="5">
        <v>0</v>
      </c>
      <c r="AT142" s="5">
        <v>0</v>
      </c>
      <c r="AU142" s="5">
        <v>0</v>
      </c>
      <c r="AX142" s="5">
        <v>0</v>
      </c>
      <c r="AY142" s="5" t="s">
        <v>86</v>
      </c>
      <c r="BN142" s="5" t="s">
        <v>86</v>
      </c>
      <c r="CD142" s="5">
        <v>0</v>
      </c>
      <c r="CF142" s="1442" t="str">
        <f>IF([1]!sommaire[[#This Row],[présence des personnes déplacés interne]]="Oui","1","0")</f>
        <v>1</v>
      </c>
      <c r="CG142" s="1442" t="str">
        <f>IF([1]!sommaire[[#This Row],[présence Réfugié hors camp]]="Oui","1","0")</f>
        <v>0</v>
      </c>
      <c r="CH142" s="1442" t="str">
        <f>IF([1]!sommaire[[#This Row],[présence personnes retournées]]="Oui","1","0")</f>
        <v>0</v>
      </c>
      <c r="CI142" s="1442">
        <f>[1]!sommaire[[#This Row],[Flag PDI]]+[1]!sommaire[[#This Row],[Flag REF]]+[1]!sommaire[[#This Row],[Flag RET]]</f>
        <v>1</v>
      </c>
    </row>
    <row r="143" spans="1:87" ht="14.55" customHeight="1" x14ac:dyDescent="0.3">
      <c r="A143" s="390">
        <v>2634897</v>
      </c>
      <c r="B143" s="5" t="s">
        <v>533</v>
      </c>
      <c r="C143" s="1430" t="s">
        <v>3449</v>
      </c>
      <c r="D143" s="5" t="s">
        <v>534</v>
      </c>
      <c r="E143" s="5" t="s">
        <v>31</v>
      </c>
      <c r="F143" s="5" t="s">
        <v>31</v>
      </c>
      <c r="G143" s="5" t="s">
        <v>549</v>
      </c>
      <c r="H143" s="5" t="s">
        <v>165</v>
      </c>
      <c r="I143" s="5" t="str">
        <f>_xlfn.XLOOKUP(sommaire[[#This Row],[Arrondissement_code]],OCHA_GIS!$F:$F,OCHA_GIS!$E:$E,,)</f>
        <v>Darak</v>
      </c>
      <c r="J143" s="5" t="s">
        <v>881</v>
      </c>
      <c r="K143" t="s">
        <v>1000</v>
      </c>
      <c r="L143" s="5" t="s">
        <v>2025</v>
      </c>
      <c r="N143" s="5" t="s">
        <v>3053</v>
      </c>
      <c r="O143" s="5" t="s">
        <v>2467</v>
      </c>
      <c r="P143" s="5" t="s">
        <v>85</v>
      </c>
      <c r="Q143" s="5" t="s">
        <v>86</v>
      </c>
      <c r="R143" s="5" t="s">
        <v>86</v>
      </c>
      <c r="T143" s="390">
        <v>3</v>
      </c>
      <c r="U143" s="5" t="s">
        <v>98</v>
      </c>
      <c r="W143" s="5" t="s">
        <v>2482</v>
      </c>
      <c r="AA143" s="5" t="s">
        <v>86</v>
      </c>
      <c r="AH143" s="1430" t="s">
        <v>86</v>
      </c>
      <c r="AY143" s="1430" t="s">
        <v>86</v>
      </c>
      <c r="BN143" s="1430" t="s">
        <v>86</v>
      </c>
      <c r="CF143" s="1442" t="str">
        <f>IF([1]!sommaire[[#This Row],[présence des personnes déplacés interne]]="Oui","1","0")</f>
        <v>0</v>
      </c>
      <c r="CG143" s="1442" t="str">
        <f>IF([1]!sommaire[[#This Row],[présence Réfugié hors camp]]="Oui","1","0")</f>
        <v>0</v>
      </c>
      <c r="CH143" s="1442" t="str">
        <f>IF([1]!sommaire[[#This Row],[présence personnes retournées]]="Oui","1","0")</f>
        <v>0</v>
      </c>
      <c r="CI143" s="1442">
        <f>[1]!sommaire[[#This Row],[Flag PDI]]+[1]!sommaire[[#This Row],[Flag REF]]+[1]!sommaire[[#This Row],[Flag RET]]</f>
        <v>0</v>
      </c>
    </row>
    <row r="144" spans="1:87" ht="14.55" customHeight="1" x14ac:dyDescent="0.3">
      <c r="A144" s="390">
        <v>2686057</v>
      </c>
      <c r="B144" s="5" t="s">
        <v>533</v>
      </c>
      <c r="C144" s="1430" t="s">
        <v>3449</v>
      </c>
      <c r="D144" s="1090" t="s">
        <v>534</v>
      </c>
      <c r="E144" s="5" t="s">
        <v>31</v>
      </c>
      <c r="F144" s="5" t="s">
        <v>31</v>
      </c>
      <c r="G144" s="5" t="s">
        <v>549</v>
      </c>
      <c r="H144" s="5" t="s">
        <v>166</v>
      </c>
      <c r="I144" s="5" t="str">
        <f>_xlfn.XLOOKUP(sommaire[[#This Row],[Arrondissement_code]],OCHA_GIS!$F:$F,OCHA_GIS!$E:$E,,)</f>
        <v>Fotokol</v>
      </c>
      <c r="J144" s="5" t="s">
        <v>844</v>
      </c>
      <c r="K144" t="s">
        <v>550</v>
      </c>
      <c r="L144" s="5" t="s">
        <v>3146</v>
      </c>
      <c r="M144" s="5" t="s">
        <v>3146</v>
      </c>
      <c r="N144" s="5" t="s">
        <v>3053</v>
      </c>
      <c r="O144" s="5" t="s">
        <v>2467</v>
      </c>
      <c r="P144" s="5" t="s">
        <v>85</v>
      </c>
      <c r="Q144" s="5" t="s">
        <v>86</v>
      </c>
      <c r="R144" s="5" t="s">
        <v>86</v>
      </c>
      <c r="T144" s="390">
        <v>3</v>
      </c>
      <c r="U144" s="5" t="s">
        <v>97</v>
      </c>
      <c r="W144" s="5" t="s">
        <v>2468</v>
      </c>
      <c r="X144" s="5" t="s">
        <v>102</v>
      </c>
      <c r="AA144" s="5" t="s">
        <v>85</v>
      </c>
      <c r="AB144" s="5" t="s">
        <v>2469</v>
      </c>
      <c r="AC144" s="5" t="s">
        <v>2470</v>
      </c>
      <c r="AD144" s="5" t="s">
        <v>86</v>
      </c>
      <c r="AG144" s="5">
        <v>70</v>
      </c>
      <c r="AH144" s="5" t="s">
        <v>86</v>
      </c>
      <c r="AY144" s="5" t="s">
        <v>86</v>
      </c>
      <c r="BN144" s="5" t="s">
        <v>85</v>
      </c>
      <c r="BO144" s="5">
        <v>12</v>
      </c>
      <c r="BP144" s="5">
        <v>67</v>
      </c>
      <c r="BQ144" s="5">
        <v>28</v>
      </c>
      <c r="BR144" s="5">
        <v>39</v>
      </c>
      <c r="BS144" s="5" t="s">
        <v>2492</v>
      </c>
      <c r="BT144" s="5">
        <v>0</v>
      </c>
      <c r="BU144" s="5">
        <v>12</v>
      </c>
      <c r="BV144" s="5">
        <v>0</v>
      </c>
      <c r="BW144" s="5">
        <v>0</v>
      </c>
      <c r="BX144" s="5">
        <v>0</v>
      </c>
      <c r="BZ144" s="5">
        <v>0</v>
      </c>
      <c r="CA144" s="5">
        <v>0</v>
      </c>
      <c r="CC144" s="5">
        <v>0</v>
      </c>
      <c r="CD144" s="5">
        <v>0</v>
      </c>
      <c r="CF144" s="1442" t="str">
        <f>IF([1]!sommaire[[#This Row],[présence des personnes déplacés interne]]="Oui","1","0")</f>
        <v>0</v>
      </c>
      <c r="CG144" s="1442" t="str">
        <f>IF([1]!sommaire[[#This Row],[présence Réfugié hors camp]]="Oui","1","0")</f>
        <v>0</v>
      </c>
      <c r="CH144" s="1442" t="str">
        <f>IF([1]!sommaire[[#This Row],[présence personnes retournées]]="Oui","1","0")</f>
        <v>1</v>
      </c>
      <c r="CI144" s="1442">
        <f>[1]!sommaire[[#This Row],[Flag PDI]]+[1]!sommaire[[#This Row],[Flag REF]]+[1]!sommaire[[#This Row],[Flag RET]]</f>
        <v>1</v>
      </c>
    </row>
    <row r="145" spans="1:87" ht="14.55" customHeight="1" x14ac:dyDescent="0.3">
      <c r="A145" s="390">
        <v>2659164</v>
      </c>
      <c r="B145" s="5" t="s">
        <v>533</v>
      </c>
      <c r="C145" s="1430" t="s">
        <v>3449</v>
      </c>
      <c r="D145" s="1090" t="s">
        <v>534</v>
      </c>
      <c r="E145" s="5" t="s">
        <v>31</v>
      </c>
      <c r="F145" s="5" t="s">
        <v>31</v>
      </c>
      <c r="G145" s="5" t="s">
        <v>549</v>
      </c>
      <c r="H145" s="5" t="s">
        <v>166</v>
      </c>
      <c r="I145" s="5" t="str">
        <f>_xlfn.XLOOKUP(sommaire[[#This Row],[Arrondissement_code]],OCHA_GIS!$F:$F,OCHA_GIS!$E:$E,,)</f>
        <v>Fotokol</v>
      </c>
      <c r="J145" s="5" t="s">
        <v>844</v>
      </c>
      <c r="K145" t="s">
        <v>1224</v>
      </c>
      <c r="L145" s="1090" t="s">
        <v>1225</v>
      </c>
      <c r="N145" s="5" t="s">
        <v>3053</v>
      </c>
      <c r="O145" s="5" t="s">
        <v>2467</v>
      </c>
      <c r="P145" s="5" t="s">
        <v>85</v>
      </c>
      <c r="Q145" s="5" t="s">
        <v>86</v>
      </c>
      <c r="R145" s="5" t="s">
        <v>86</v>
      </c>
      <c r="T145" s="390">
        <v>3</v>
      </c>
      <c r="U145" s="5" t="s">
        <v>97</v>
      </c>
      <c r="W145" s="5" t="s">
        <v>2468</v>
      </c>
      <c r="X145" s="5" t="s">
        <v>102</v>
      </c>
      <c r="AA145" s="5" t="s">
        <v>85</v>
      </c>
      <c r="AB145" s="5" t="s">
        <v>2469</v>
      </c>
      <c r="AC145" s="5" t="s">
        <v>2470</v>
      </c>
      <c r="AD145" s="5" t="s">
        <v>86</v>
      </c>
      <c r="AF145" s="5">
        <v>22</v>
      </c>
      <c r="AG145" s="5">
        <v>1998</v>
      </c>
      <c r="AH145" s="5" t="s">
        <v>85</v>
      </c>
      <c r="AI145" s="5" t="s">
        <v>2471</v>
      </c>
      <c r="AJ145" s="5">
        <v>22</v>
      </c>
      <c r="AK145" s="5">
        <v>158</v>
      </c>
      <c r="AL145" s="5">
        <v>71</v>
      </c>
      <c r="AM145" s="5">
        <v>87</v>
      </c>
      <c r="AN145" s="5">
        <v>0</v>
      </c>
      <c r="AO145" s="5">
        <v>22</v>
      </c>
      <c r="AP145" s="5">
        <v>0</v>
      </c>
      <c r="AQ145" s="5">
        <v>0</v>
      </c>
      <c r="AT145" s="5">
        <v>0</v>
      </c>
      <c r="AU145" s="5">
        <v>0</v>
      </c>
      <c r="AX145" s="5">
        <v>0</v>
      </c>
      <c r="AY145" s="1090" t="s">
        <v>85</v>
      </c>
      <c r="AZ145" s="5">
        <v>24</v>
      </c>
      <c r="BA145" s="5">
        <v>160</v>
      </c>
      <c r="BB145" s="5">
        <v>78</v>
      </c>
      <c r="BC145" s="5">
        <v>82</v>
      </c>
      <c r="BD145" s="5">
        <v>24</v>
      </c>
      <c r="BE145" s="5">
        <v>0</v>
      </c>
      <c r="BF145" s="5">
        <v>0</v>
      </c>
      <c r="BH145" s="5">
        <v>0</v>
      </c>
      <c r="BI145" s="5">
        <v>0</v>
      </c>
      <c r="BL145" s="5">
        <v>0</v>
      </c>
      <c r="BM145" s="5">
        <v>0</v>
      </c>
      <c r="BN145" s="5" t="s">
        <v>85</v>
      </c>
      <c r="BO145" s="5">
        <v>73</v>
      </c>
      <c r="BP145" s="5">
        <v>565</v>
      </c>
      <c r="BQ145" s="5">
        <v>263</v>
      </c>
      <c r="BR145" s="5">
        <v>302</v>
      </c>
      <c r="BS145" s="5" t="s">
        <v>2492</v>
      </c>
      <c r="BT145" s="5">
        <v>0</v>
      </c>
      <c r="BU145" s="5">
        <v>73</v>
      </c>
      <c r="BV145" s="5">
        <v>0</v>
      </c>
      <c r="BW145" s="5">
        <v>0</v>
      </c>
      <c r="BX145" s="5">
        <v>0</v>
      </c>
      <c r="BZ145" s="5">
        <v>0</v>
      </c>
      <c r="CA145" s="5">
        <v>0</v>
      </c>
      <c r="CC145" s="5">
        <v>0</v>
      </c>
      <c r="CD145" s="5">
        <v>0</v>
      </c>
      <c r="CF145" s="1442" t="str">
        <f>IF([1]!sommaire[[#This Row],[présence des personnes déplacés interne]]="Oui","1","0")</f>
        <v>1</v>
      </c>
      <c r="CG145" s="1442" t="str">
        <f>IF([1]!sommaire[[#This Row],[présence Réfugié hors camp]]="Oui","1","0")</f>
        <v>1</v>
      </c>
      <c r="CH145" s="1442" t="str">
        <f>IF([1]!sommaire[[#This Row],[présence personnes retournées]]="Oui","1","0")</f>
        <v>1</v>
      </c>
      <c r="CI145" s="1442">
        <f>[1]!sommaire[[#This Row],[Flag PDI]]+[1]!sommaire[[#This Row],[Flag REF]]+[1]!sommaire[[#This Row],[Flag RET]]</f>
        <v>3</v>
      </c>
    </row>
    <row r="146" spans="1:87" ht="14.55" customHeight="1" x14ac:dyDescent="0.3">
      <c r="A146" s="390">
        <v>2622958</v>
      </c>
      <c r="B146" s="5" t="s">
        <v>533</v>
      </c>
      <c r="C146" s="1430" t="s">
        <v>3449</v>
      </c>
      <c r="D146" s="1090" t="s">
        <v>534</v>
      </c>
      <c r="E146" s="5" t="s">
        <v>31</v>
      </c>
      <c r="F146" s="5" t="s">
        <v>31</v>
      </c>
      <c r="G146" s="5" t="s">
        <v>549</v>
      </c>
      <c r="H146" s="5" t="s">
        <v>166</v>
      </c>
      <c r="I146" s="5" t="str">
        <f>_xlfn.XLOOKUP(sommaire[[#This Row],[Arrondissement_code]],OCHA_GIS!$F:$F,OCHA_GIS!$E:$E,,)</f>
        <v>Fotokol</v>
      </c>
      <c r="J146" s="5" t="s">
        <v>844</v>
      </c>
      <c r="K146" t="s">
        <v>1419</v>
      </c>
      <c r="L146" s="5" t="s">
        <v>2116</v>
      </c>
      <c r="N146" s="5" t="s">
        <v>3053</v>
      </c>
      <c r="O146" s="5" t="s">
        <v>2467</v>
      </c>
      <c r="P146" s="5" t="s">
        <v>85</v>
      </c>
      <c r="Q146" s="5" t="s">
        <v>86</v>
      </c>
      <c r="R146" s="5" t="s">
        <v>86</v>
      </c>
      <c r="T146" s="390">
        <v>3</v>
      </c>
      <c r="U146" s="5" t="s">
        <v>100</v>
      </c>
      <c r="W146" s="5" t="s">
        <v>2482</v>
      </c>
      <c r="AA146" s="5" t="s">
        <v>86</v>
      </c>
      <c r="AH146" s="1430" t="s">
        <v>86</v>
      </c>
      <c r="AY146" s="1430" t="s">
        <v>86</v>
      </c>
      <c r="BN146" s="1430" t="s">
        <v>86</v>
      </c>
      <c r="CF146" s="1442" t="str">
        <f>IF([1]!sommaire[[#This Row],[présence des personnes déplacés interne]]="Oui","1","0")</f>
        <v>0</v>
      </c>
      <c r="CG146" s="1442" t="str">
        <f>IF([1]!sommaire[[#This Row],[présence Réfugié hors camp]]="Oui","1","0")</f>
        <v>0</v>
      </c>
      <c r="CH146" s="1442" t="str">
        <f>IF([1]!sommaire[[#This Row],[présence personnes retournées]]="Oui","1","0")</f>
        <v>0</v>
      </c>
      <c r="CI146" s="1442">
        <f>[1]!sommaire[[#This Row],[Flag PDI]]+[1]!sommaire[[#This Row],[Flag REF]]+[1]!sommaire[[#This Row],[Flag RET]]</f>
        <v>0</v>
      </c>
    </row>
    <row r="147" spans="1:87" ht="14.55" customHeight="1" x14ac:dyDescent="0.3">
      <c r="A147" s="390">
        <v>2631830</v>
      </c>
      <c r="B147" s="5" t="s">
        <v>533</v>
      </c>
      <c r="C147" s="1430" t="s">
        <v>3449</v>
      </c>
      <c r="D147" s="1090" t="s">
        <v>534</v>
      </c>
      <c r="E147" s="5" t="s">
        <v>31</v>
      </c>
      <c r="F147" s="5" t="s">
        <v>31</v>
      </c>
      <c r="G147" s="5" t="s">
        <v>549</v>
      </c>
      <c r="H147" s="5" t="s">
        <v>166</v>
      </c>
      <c r="I147" s="5" t="str">
        <f>_xlfn.XLOOKUP(sommaire[[#This Row],[Arrondissement_code]],OCHA_GIS!$F:$F,OCHA_GIS!$E:$E,,)</f>
        <v>Fotokol</v>
      </c>
      <c r="J147" s="5" t="s">
        <v>844</v>
      </c>
      <c r="K147" t="s">
        <v>2512</v>
      </c>
      <c r="L147" s="5" t="s">
        <v>966</v>
      </c>
      <c r="N147" s="5" t="s">
        <v>3053</v>
      </c>
      <c r="O147" s="5" t="s">
        <v>2467</v>
      </c>
      <c r="P147" s="5" t="s">
        <v>85</v>
      </c>
      <c r="Q147" s="5" t="s">
        <v>86</v>
      </c>
      <c r="R147" s="5" t="s">
        <v>86</v>
      </c>
      <c r="T147" s="390">
        <v>3</v>
      </c>
      <c r="U147" s="5" t="s">
        <v>97</v>
      </c>
      <c r="W147" s="5" t="s">
        <v>2468</v>
      </c>
      <c r="X147" s="5" t="s">
        <v>102</v>
      </c>
      <c r="AA147" s="5" t="s">
        <v>85</v>
      </c>
      <c r="AB147" s="5" t="s">
        <v>2469</v>
      </c>
      <c r="AC147" s="5" t="s">
        <v>2470</v>
      </c>
      <c r="AD147" s="5" t="s">
        <v>86</v>
      </c>
      <c r="AF147" s="5">
        <v>67</v>
      </c>
      <c r="AG147" s="5">
        <v>836</v>
      </c>
      <c r="AH147" s="5" t="s">
        <v>85</v>
      </c>
      <c r="AI147" s="5" t="s">
        <v>2471</v>
      </c>
      <c r="AJ147" s="5">
        <v>67</v>
      </c>
      <c r="AK147" s="5">
        <v>419</v>
      </c>
      <c r="AL147" s="5">
        <v>199</v>
      </c>
      <c r="AM147" s="5">
        <v>220</v>
      </c>
      <c r="AN147" s="5">
        <v>0</v>
      </c>
      <c r="AO147" s="5">
        <v>67</v>
      </c>
      <c r="AP147" s="5">
        <v>0</v>
      </c>
      <c r="AQ147" s="5">
        <v>0</v>
      </c>
      <c r="AT147" s="5">
        <v>0</v>
      </c>
      <c r="AU147" s="5">
        <v>0</v>
      </c>
      <c r="AX147" s="5">
        <v>0</v>
      </c>
      <c r="AY147" s="5" t="s">
        <v>86</v>
      </c>
      <c r="BN147" s="5" t="s">
        <v>86</v>
      </c>
      <c r="CD147" s="5">
        <v>0</v>
      </c>
      <c r="CF147" s="1442" t="str">
        <f>IF([1]!sommaire[[#This Row],[présence des personnes déplacés interne]]="Oui","1","0")</f>
        <v>1</v>
      </c>
      <c r="CG147" s="1442" t="str">
        <f>IF([1]!sommaire[[#This Row],[présence Réfugié hors camp]]="Oui","1","0")</f>
        <v>0</v>
      </c>
      <c r="CH147" s="1442" t="str">
        <f>IF([1]!sommaire[[#This Row],[présence personnes retournées]]="Oui","1","0")</f>
        <v>0</v>
      </c>
      <c r="CI147" s="1442">
        <f>[1]!sommaire[[#This Row],[Flag PDI]]+[1]!sommaire[[#This Row],[Flag REF]]+[1]!sommaire[[#This Row],[Flag RET]]</f>
        <v>1</v>
      </c>
    </row>
    <row r="148" spans="1:87" ht="14.55" customHeight="1" x14ac:dyDescent="0.3">
      <c r="A148" s="390">
        <v>2647725</v>
      </c>
      <c r="B148" s="5" t="s">
        <v>533</v>
      </c>
      <c r="C148" s="1430" t="s">
        <v>3449</v>
      </c>
      <c r="D148" s="1090" t="s">
        <v>534</v>
      </c>
      <c r="E148" s="5" t="s">
        <v>31</v>
      </c>
      <c r="F148" s="5" t="s">
        <v>31</v>
      </c>
      <c r="G148" s="5" t="s">
        <v>549</v>
      </c>
      <c r="H148" s="5" t="s">
        <v>166</v>
      </c>
      <c r="I148" s="5" t="str">
        <f>_xlfn.XLOOKUP(sommaire[[#This Row],[Arrondissement_code]],OCHA_GIS!$F:$F,OCHA_GIS!$E:$E,,)</f>
        <v>Fotokol</v>
      </c>
      <c r="J148" s="5" t="s">
        <v>844</v>
      </c>
      <c r="K148" t="s">
        <v>1139</v>
      </c>
      <c r="L148" s="5" t="s">
        <v>925</v>
      </c>
      <c r="N148" s="5" t="s">
        <v>3052</v>
      </c>
      <c r="O148" s="5" t="s">
        <v>2467</v>
      </c>
      <c r="P148" s="5" t="s">
        <v>85</v>
      </c>
      <c r="Q148" s="5" t="s">
        <v>86</v>
      </c>
      <c r="R148" s="5" t="s">
        <v>86</v>
      </c>
      <c r="T148" s="390">
        <v>3</v>
      </c>
      <c r="U148" s="5" t="s">
        <v>97</v>
      </c>
      <c r="W148" s="5" t="s">
        <v>2468</v>
      </c>
      <c r="X148" s="5" t="s">
        <v>102</v>
      </c>
      <c r="AA148" s="5" t="s">
        <v>85</v>
      </c>
      <c r="AB148" s="5" t="s">
        <v>2469</v>
      </c>
      <c r="AC148" s="5" t="s">
        <v>2470</v>
      </c>
      <c r="AD148" s="5" t="s">
        <v>86</v>
      </c>
      <c r="AF148" s="5">
        <v>38</v>
      </c>
      <c r="AG148" s="5">
        <v>959</v>
      </c>
      <c r="AH148" s="5" t="s">
        <v>85</v>
      </c>
      <c r="AI148" s="5" t="s">
        <v>2471</v>
      </c>
      <c r="AJ148" s="5">
        <v>38</v>
      </c>
      <c r="AK148" s="5">
        <v>124</v>
      </c>
      <c r="AL148" s="5">
        <v>45</v>
      </c>
      <c r="AM148" s="5">
        <v>79</v>
      </c>
      <c r="AN148" s="5">
        <v>0</v>
      </c>
      <c r="AO148" s="5">
        <v>38</v>
      </c>
      <c r="AP148" s="5">
        <v>0</v>
      </c>
      <c r="AQ148" s="5">
        <v>0</v>
      </c>
      <c r="AT148" s="5">
        <v>0</v>
      </c>
      <c r="AU148" s="5">
        <v>0</v>
      </c>
      <c r="AX148" s="5">
        <v>0</v>
      </c>
      <c r="AY148" s="1090" t="s">
        <v>86</v>
      </c>
      <c r="BN148" s="1090" t="s">
        <v>86</v>
      </c>
      <c r="CD148" s="5">
        <v>3</v>
      </c>
      <c r="CF148" s="1442" t="str">
        <f>IF([1]!sommaire[[#This Row],[présence des personnes déplacés interne]]="Oui","1","0")</f>
        <v>1</v>
      </c>
      <c r="CG148" s="1442" t="str">
        <f>IF([1]!sommaire[[#This Row],[présence Réfugié hors camp]]="Oui","1","0")</f>
        <v>0</v>
      </c>
      <c r="CH148" s="1442" t="str">
        <f>IF([1]!sommaire[[#This Row],[présence personnes retournées]]="Oui","1","0")</f>
        <v>0</v>
      </c>
      <c r="CI148" s="1442">
        <f>[1]!sommaire[[#This Row],[Flag PDI]]+[1]!sommaire[[#This Row],[Flag REF]]+[1]!sommaire[[#This Row],[Flag RET]]</f>
        <v>1</v>
      </c>
    </row>
    <row r="149" spans="1:87" ht="14.55" customHeight="1" x14ac:dyDescent="0.3">
      <c r="A149" s="390">
        <v>2631828</v>
      </c>
      <c r="B149" s="5" t="s">
        <v>533</v>
      </c>
      <c r="C149" s="1430" t="s">
        <v>3449</v>
      </c>
      <c r="D149" s="1090" t="s">
        <v>534</v>
      </c>
      <c r="E149" s="5" t="s">
        <v>31</v>
      </c>
      <c r="F149" s="5" t="s">
        <v>31</v>
      </c>
      <c r="G149" s="5" t="s">
        <v>549</v>
      </c>
      <c r="H149" s="1090" t="s">
        <v>166</v>
      </c>
      <c r="I149" s="1090" t="str">
        <f>_xlfn.XLOOKUP(sommaire[[#This Row],[Arrondissement_code]],OCHA_GIS!$F:$F,OCHA_GIS!$E:$E,,)</f>
        <v>Fotokol</v>
      </c>
      <c r="J149" s="5" t="s">
        <v>844</v>
      </c>
      <c r="K149" t="s">
        <v>1118</v>
      </c>
      <c r="L149" s="5" t="s">
        <v>942</v>
      </c>
      <c r="N149" s="5" t="s">
        <v>3053</v>
      </c>
      <c r="O149" s="5" t="s">
        <v>2467</v>
      </c>
      <c r="P149" s="5" t="s">
        <v>85</v>
      </c>
      <c r="Q149" s="5" t="s">
        <v>86</v>
      </c>
      <c r="R149" s="5" t="s">
        <v>86</v>
      </c>
      <c r="T149" s="390">
        <v>3</v>
      </c>
      <c r="U149" s="5" t="s">
        <v>97</v>
      </c>
      <c r="W149" s="5" t="s">
        <v>2468</v>
      </c>
      <c r="X149" s="5" t="s">
        <v>102</v>
      </c>
      <c r="AA149" s="5" t="s">
        <v>85</v>
      </c>
      <c r="AB149" s="5" t="s">
        <v>2469</v>
      </c>
      <c r="AC149" s="5" t="s">
        <v>2470</v>
      </c>
      <c r="AD149" s="5" t="s">
        <v>86</v>
      </c>
      <c r="AF149" s="5">
        <v>1</v>
      </c>
      <c r="AG149" s="5">
        <v>538</v>
      </c>
      <c r="AH149" s="5" t="s">
        <v>85</v>
      </c>
      <c r="AI149" s="5" t="s">
        <v>2471</v>
      </c>
      <c r="AJ149" s="5">
        <v>1</v>
      </c>
      <c r="AK149" s="5">
        <v>8</v>
      </c>
      <c r="AL149" s="5">
        <v>3</v>
      </c>
      <c r="AM149" s="5">
        <v>5</v>
      </c>
      <c r="AN149" s="5">
        <v>0</v>
      </c>
      <c r="AO149" s="5">
        <v>1</v>
      </c>
      <c r="AP149" s="5">
        <v>0</v>
      </c>
      <c r="AQ149" s="5">
        <v>0</v>
      </c>
      <c r="AT149" s="5">
        <v>0</v>
      </c>
      <c r="AU149" s="5">
        <v>0</v>
      </c>
      <c r="AX149" s="5">
        <v>0</v>
      </c>
      <c r="AY149" s="5" t="s">
        <v>85</v>
      </c>
      <c r="AZ149" s="5">
        <v>17</v>
      </c>
      <c r="BA149" s="5">
        <v>93</v>
      </c>
      <c r="BB149" s="5">
        <v>35</v>
      </c>
      <c r="BC149" s="5">
        <v>58</v>
      </c>
      <c r="BD149" s="5">
        <v>17</v>
      </c>
      <c r="BE149" s="5">
        <v>0</v>
      </c>
      <c r="BF149" s="5">
        <v>0</v>
      </c>
      <c r="BH149" s="5">
        <v>0</v>
      </c>
      <c r="BI149" s="5">
        <v>0</v>
      </c>
      <c r="BL149" s="5">
        <v>0</v>
      </c>
      <c r="BM149" s="5">
        <v>0</v>
      </c>
      <c r="BN149" s="5" t="s">
        <v>86</v>
      </c>
      <c r="CD149" s="5">
        <v>0</v>
      </c>
      <c r="CF149" s="1442" t="str">
        <f>IF([1]!sommaire[[#This Row],[présence des personnes déplacés interne]]="Oui","1","0")</f>
        <v>1</v>
      </c>
      <c r="CG149" s="1442" t="str">
        <f>IF([1]!sommaire[[#This Row],[présence Réfugié hors camp]]="Oui","1","0")</f>
        <v>1</v>
      </c>
      <c r="CH149" s="1442" t="str">
        <f>IF([1]!sommaire[[#This Row],[présence personnes retournées]]="Oui","1","0")</f>
        <v>0</v>
      </c>
      <c r="CI149" s="1442">
        <f>[1]!sommaire[[#This Row],[Flag PDI]]+[1]!sommaire[[#This Row],[Flag REF]]+[1]!sommaire[[#This Row],[Flag RET]]</f>
        <v>2</v>
      </c>
    </row>
    <row r="150" spans="1:87" ht="14.55" customHeight="1" x14ac:dyDescent="0.3">
      <c r="A150" s="390">
        <v>2631829</v>
      </c>
      <c r="B150" s="5" t="s">
        <v>533</v>
      </c>
      <c r="C150" s="1430" t="s">
        <v>3449</v>
      </c>
      <c r="D150" s="1090" t="s">
        <v>534</v>
      </c>
      <c r="E150" s="5" t="s">
        <v>31</v>
      </c>
      <c r="F150" s="5" t="s">
        <v>31</v>
      </c>
      <c r="G150" s="5" t="s">
        <v>549</v>
      </c>
      <c r="H150" s="1090" t="s">
        <v>166</v>
      </c>
      <c r="I150" s="1090" t="str">
        <f>_xlfn.XLOOKUP(sommaire[[#This Row],[Arrondissement_code]],OCHA_GIS!$F:$F,OCHA_GIS!$E:$E,,)</f>
        <v>Fotokol</v>
      </c>
      <c r="J150" s="5" t="s">
        <v>844</v>
      </c>
      <c r="K150" t="s">
        <v>2824</v>
      </c>
      <c r="L150" s="5" t="s">
        <v>1014</v>
      </c>
      <c r="N150" s="5" t="s">
        <v>3052</v>
      </c>
      <c r="O150" s="5" t="s">
        <v>2467</v>
      </c>
      <c r="P150" s="5" t="s">
        <v>85</v>
      </c>
      <c r="Q150" s="5" t="s">
        <v>86</v>
      </c>
      <c r="R150" s="5" t="s">
        <v>86</v>
      </c>
      <c r="T150" s="390">
        <v>3</v>
      </c>
      <c r="U150" s="5" t="s">
        <v>97</v>
      </c>
      <c r="W150" s="5" t="s">
        <v>2468</v>
      </c>
      <c r="X150" s="5" t="s">
        <v>102</v>
      </c>
      <c r="AA150" s="5" t="s">
        <v>85</v>
      </c>
      <c r="AB150" s="5" t="s">
        <v>2469</v>
      </c>
      <c r="AC150" s="5" t="s">
        <v>2470</v>
      </c>
      <c r="AD150" s="5" t="s">
        <v>86</v>
      </c>
      <c r="AF150" s="5">
        <v>75</v>
      </c>
      <c r="AG150" s="5">
        <v>1779</v>
      </c>
      <c r="AH150" s="5" t="s">
        <v>85</v>
      </c>
      <c r="AI150" s="5" t="s">
        <v>2471</v>
      </c>
      <c r="AJ150" s="5">
        <v>75</v>
      </c>
      <c r="AK150" s="5">
        <v>428</v>
      </c>
      <c r="AL150" s="5">
        <v>188</v>
      </c>
      <c r="AM150" s="5">
        <v>240</v>
      </c>
      <c r="AN150" s="5">
        <v>0</v>
      </c>
      <c r="AO150" s="5">
        <v>75</v>
      </c>
      <c r="AP150" s="5">
        <v>0</v>
      </c>
      <c r="AQ150" s="5">
        <v>0</v>
      </c>
      <c r="AT150" s="5">
        <v>0</v>
      </c>
      <c r="AU150" s="5">
        <v>0</v>
      </c>
      <c r="AX150" s="5">
        <v>0</v>
      </c>
      <c r="AY150" s="5" t="s">
        <v>86</v>
      </c>
      <c r="BN150" s="5" t="s">
        <v>86</v>
      </c>
      <c r="CD150" s="5">
        <v>0</v>
      </c>
      <c r="CF150" s="1442" t="str">
        <f>IF([1]!sommaire[[#This Row],[présence des personnes déplacés interne]]="Oui","1","0")</f>
        <v>1</v>
      </c>
      <c r="CG150" s="1442" t="str">
        <f>IF([1]!sommaire[[#This Row],[présence Réfugié hors camp]]="Oui","1","0")</f>
        <v>0</v>
      </c>
      <c r="CH150" s="1442" t="str">
        <f>IF([1]!sommaire[[#This Row],[présence personnes retournées]]="Oui","1","0")</f>
        <v>0</v>
      </c>
      <c r="CI150" s="1442">
        <f>[1]!sommaire[[#This Row],[Flag PDI]]+[1]!sommaire[[#This Row],[Flag REF]]+[1]!sommaire[[#This Row],[Flag RET]]</f>
        <v>1</v>
      </c>
    </row>
    <row r="151" spans="1:87" ht="14.55" customHeight="1" x14ac:dyDescent="0.3">
      <c r="A151" s="390">
        <v>2612124</v>
      </c>
      <c r="B151" s="5" t="s">
        <v>533</v>
      </c>
      <c r="C151" s="1430" t="s">
        <v>3449</v>
      </c>
      <c r="D151" s="1090" t="s">
        <v>534</v>
      </c>
      <c r="E151" s="5" t="s">
        <v>31</v>
      </c>
      <c r="F151" s="5" t="s">
        <v>31</v>
      </c>
      <c r="G151" s="5" t="s">
        <v>549</v>
      </c>
      <c r="H151" s="5" t="s">
        <v>166</v>
      </c>
      <c r="I151" s="5" t="str">
        <f>_xlfn.XLOOKUP(sommaire[[#This Row],[Arrondissement_code]],OCHA_GIS!$F:$F,OCHA_GIS!$E:$E,,)</f>
        <v>Fotokol</v>
      </c>
      <c r="J151" s="5" t="s">
        <v>844</v>
      </c>
      <c r="K151" t="s">
        <v>2509</v>
      </c>
      <c r="L151" s="5" t="s">
        <v>846</v>
      </c>
      <c r="N151" s="5" t="s">
        <v>3053</v>
      </c>
      <c r="O151" s="5" t="s">
        <v>2467</v>
      </c>
      <c r="P151" s="5" t="s">
        <v>85</v>
      </c>
      <c r="Q151" s="5" t="s">
        <v>86</v>
      </c>
      <c r="R151" s="5" t="s">
        <v>86</v>
      </c>
      <c r="T151" s="390">
        <v>3</v>
      </c>
      <c r="U151" s="5" t="s">
        <v>97</v>
      </c>
      <c r="W151" s="5" t="s">
        <v>2468</v>
      </c>
      <c r="X151" s="5" t="s">
        <v>102</v>
      </c>
      <c r="AA151" s="5" t="s">
        <v>85</v>
      </c>
      <c r="AB151" s="5" t="s">
        <v>2469</v>
      </c>
      <c r="AC151" s="5" t="s">
        <v>2470</v>
      </c>
      <c r="AD151" s="5" t="s">
        <v>86</v>
      </c>
      <c r="AF151" s="5">
        <v>10</v>
      </c>
      <c r="AG151" s="5">
        <v>878</v>
      </c>
      <c r="AH151" s="5" t="s">
        <v>85</v>
      </c>
      <c r="AI151" s="5" t="s">
        <v>2471</v>
      </c>
      <c r="AJ151" s="5">
        <v>10</v>
      </c>
      <c r="AK151" s="5">
        <v>70</v>
      </c>
      <c r="AL151" s="5">
        <v>30</v>
      </c>
      <c r="AM151" s="5">
        <v>40</v>
      </c>
      <c r="AN151" s="5">
        <v>0</v>
      </c>
      <c r="AO151" s="5">
        <v>10</v>
      </c>
      <c r="AP151" s="5">
        <v>0</v>
      </c>
      <c r="AQ151" s="5">
        <v>0</v>
      </c>
      <c r="AT151" s="5">
        <v>0</v>
      </c>
      <c r="AU151" s="5">
        <v>0</v>
      </c>
      <c r="AX151" s="5">
        <v>0</v>
      </c>
      <c r="AY151" s="5" t="s">
        <v>85</v>
      </c>
      <c r="AZ151" s="5">
        <v>6</v>
      </c>
      <c r="BA151" s="5">
        <v>56</v>
      </c>
      <c r="BB151" s="5">
        <v>25</v>
      </c>
      <c r="BC151" s="5">
        <v>31</v>
      </c>
      <c r="BD151" s="5">
        <v>6</v>
      </c>
      <c r="BE151" s="5">
        <v>0</v>
      </c>
      <c r="BF151" s="5">
        <v>0</v>
      </c>
      <c r="BH151" s="5">
        <v>0</v>
      </c>
      <c r="BI151" s="5">
        <v>0</v>
      </c>
      <c r="BL151" s="5">
        <v>0</v>
      </c>
      <c r="BM151" s="5">
        <v>2</v>
      </c>
      <c r="BN151" s="5" t="s">
        <v>86</v>
      </c>
      <c r="CD151" s="5">
        <v>0</v>
      </c>
      <c r="CF151" s="1442" t="str">
        <f>IF([1]!sommaire[[#This Row],[présence des personnes déplacés interne]]="Oui","1","0")</f>
        <v>1</v>
      </c>
      <c r="CG151" s="1442" t="str">
        <f>IF([1]!sommaire[[#This Row],[présence Réfugié hors camp]]="Oui","1","0")</f>
        <v>1</v>
      </c>
      <c r="CH151" s="1442" t="str">
        <f>IF([1]!sommaire[[#This Row],[présence personnes retournées]]="Oui","1","0")</f>
        <v>0</v>
      </c>
      <c r="CI151" s="1442">
        <f>[1]!sommaire[[#This Row],[Flag PDI]]+[1]!sommaire[[#This Row],[Flag REF]]+[1]!sommaire[[#This Row],[Flag RET]]</f>
        <v>2</v>
      </c>
    </row>
    <row r="152" spans="1:87" ht="14.55" customHeight="1" x14ac:dyDescent="0.3">
      <c r="A152" s="390">
        <v>2663930</v>
      </c>
      <c r="B152" s="5" t="s">
        <v>533</v>
      </c>
      <c r="C152" s="1430" t="s">
        <v>3449</v>
      </c>
      <c r="D152" s="1090" t="s">
        <v>534</v>
      </c>
      <c r="E152" s="5" t="s">
        <v>31</v>
      </c>
      <c r="F152" s="5" t="s">
        <v>31</v>
      </c>
      <c r="G152" s="5" t="s">
        <v>549</v>
      </c>
      <c r="H152" s="5" t="s">
        <v>166</v>
      </c>
      <c r="I152" s="5" t="str">
        <f>_xlfn.XLOOKUP(sommaire[[#This Row],[Arrondissement_code]],OCHA_GIS!$F:$F,OCHA_GIS!$E:$E,,)</f>
        <v>Fotokol</v>
      </c>
      <c r="J152" s="5" t="s">
        <v>844</v>
      </c>
      <c r="K152" t="s">
        <v>2839</v>
      </c>
      <c r="L152" s="5" t="s">
        <v>2494</v>
      </c>
      <c r="N152" s="5" t="s">
        <v>3053</v>
      </c>
      <c r="O152" s="5" t="s">
        <v>2467</v>
      </c>
      <c r="P152" s="5" t="s">
        <v>85</v>
      </c>
      <c r="Q152" s="5" t="s">
        <v>86</v>
      </c>
      <c r="R152" s="5" t="s">
        <v>86</v>
      </c>
      <c r="T152" s="390">
        <v>3</v>
      </c>
      <c r="U152" s="5" t="s">
        <v>100</v>
      </c>
      <c r="W152" s="5" t="s">
        <v>2482</v>
      </c>
      <c r="AA152" s="5" t="s">
        <v>86</v>
      </c>
      <c r="AH152" s="1430" t="s">
        <v>86</v>
      </c>
      <c r="AY152" s="1430" t="s">
        <v>86</v>
      </c>
      <c r="BN152" s="1430" t="s">
        <v>86</v>
      </c>
      <c r="CF152" s="1442" t="str">
        <f>IF([1]!sommaire[[#This Row],[présence des personnes déplacés interne]]="Oui","1","0")</f>
        <v>0</v>
      </c>
      <c r="CG152" s="1442" t="str">
        <f>IF([1]!sommaire[[#This Row],[présence Réfugié hors camp]]="Oui","1","0")</f>
        <v>0</v>
      </c>
      <c r="CH152" s="1442" t="str">
        <f>IF([1]!sommaire[[#This Row],[présence personnes retournées]]="Oui","1","0")</f>
        <v>0</v>
      </c>
      <c r="CI152" s="1442">
        <f>[1]!sommaire[[#This Row],[Flag PDI]]+[1]!sommaire[[#This Row],[Flag REF]]+[1]!sommaire[[#This Row],[Flag RET]]</f>
        <v>0</v>
      </c>
    </row>
    <row r="153" spans="1:87" ht="14.55" customHeight="1" x14ac:dyDescent="0.3">
      <c r="A153" s="390">
        <v>2659070</v>
      </c>
      <c r="B153" s="5" t="s">
        <v>533</v>
      </c>
      <c r="C153" s="1430" t="s">
        <v>3449</v>
      </c>
      <c r="D153" s="1090" t="s">
        <v>534</v>
      </c>
      <c r="E153" s="5" t="s">
        <v>31</v>
      </c>
      <c r="F153" s="5" t="s">
        <v>31</v>
      </c>
      <c r="G153" s="5" t="s">
        <v>549</v>
      </c>
      <c r="H153" s="5" t="s">
        <v>166</v>
      </c>
      <c r="I153" s="5" t="str">
        <f>_xlfn.XLOOKUP(sommaire[[#This Row],[Arrondissement_code]],OCHA_GIS!$F:$F,OCHA_GIS!$E:$E,,)</f>
        <v>Fotokol</v>
      </c>
      <c r="J153" s="5" t="s">
        <v>844</v>
      </c>
      <c r="K153" t="s">
        <v>2507</v>
      </c>
      <c r="L153" s="5" t="s">
        <v>2515</v>
      </c>
      <c r="N153" s="5" t="s">
        <v>3053</v>
      </c>
      <c r="O153" s="5" t="s">
        <v>2467</v>
      </c>
      <c r="P153" s="5" t="s">
        <v>85</v>
      </c>
      <c r="Q153" s="5" t="s">
        <v>86</v>
      </c>
      <c r="R153" s="5" t="s">
        <v>86</v>
      </c>
      <c r="T153" s="390">
        <v>3</v>
      </c>
      <c r="U153" s="5" t="s">
        <v>98</v>
      </c>
      <c r="W153" s="5" t="s">
        <v>2482</v>
      </c>
      <c r="AA153" s="5" t="s">
        <v>86</v>
      </c>
      <c r="AH153" s="1430" t="s">
        <v>86</v>
      </c>
      <c r="AY153" s="1430" t="s">
        <v>86</v>
      </c>
      <c r="BN153" s="1430" t="s">
        <v>86</v>
      </c>
      <c r="CF153" s="1442" t="str">
        <f>IF([1]!sommaire[[#This Row],[présence des personnes déplacés interne]]="Oui","1","0")</f>
        <v>0</v>
      </c>
      <c r="CG153" s="1442" t="str">
        <f>IF([1]!sommaire[[#This Row],[présence Réfugié hors camp]]="Oui","1","0")</f>
        <v>0</v>
      </c>
      <c r="CH153" s="1442" t="str">
        <f>IF([1]!sommaire[[#This Row],[présence personnes retournées]]="Oui","1","0")</f>
        <v>0</v>
      </c>
      <c r="CI153" s="1442">
        <f>[1]!sommaire[[#This Row],[Flag PDI]]+[1]!sommaire[[#This Row],[Flag REF]]+[1]!sommaire[[#This Row],[Flag RET]]</f>
        <v>0</v>
      </c>
    </row>
    <row r="154" spans="1:87" ht="14.55" customHeight="1" x14ac:dyDescent="0.3">
      <c r="A154" s="390">
        <v>2631832</v>
      </c>
      <c r="B154" s="5" t="s">
        <v>533</v>
      </c>
      <c r="C154" s="1430" t="s">
        <v>3449</v>
      </c>
      <c r="D154" s="1090" t="s">
        <v>534</v>
      </c>
      <c r="E154" s="5" t="s">
        <v>31</v>
      </c>
      <c r="F154" s="5" t="s">
        <v>31</v>
      </c>
      <c r="G154" s="5" t="s">
        <v>549</v>
      </c>
      <c r="H154" s="5" t="s">
        <v>166</v>
      </c>
      <c r="I154" s="5" t="str">
        <f>_xlfn.XLOOKUP(sommaire[[#This Row],[Arrondissement_code]],OCHA_GIS!$F:$F,OCHA_GIS!$E:$E,,)</f>
        <v>Fotokol</v>
      </c>
      <c r="J154" s="5" t="s">
        <v>844</v>
      </c>
      <c r="K154" t="s">
        <v>1013</v>
      </c>
      <c r="L154" s="5" t="s">
        <v>2496</v>
      </c>
      <c r="N154" s="5" t="s">
        <v>3053</v>
      </c>
      <c r="O154" s="5" t="s">
        <v>2467</v>
      </c>
      <c r="P154" s="5" t="s">
        <v>85</v>
      </c>
      <c r="Q154" s="5" t="s">
        <v>86</v>
      </c>
      <c r="R154" s="5" t="s">
        <v>86</v>
      </c>
      <c r="T154" s="390">
        <v>3</v>
      </c>
      <c r="U154" s="5" t="s">
        <v>98</v>
      </c>
      <c r="W154" s="5" t="s">
        <v>2482</v>
      </c>
      <c r="AA154" s="5" t="s">
        <v>86</v>
      </c>
      <c r="AH154" s="1430" t="s">
        <v>86</v>
      </c>
      <c r="AY154" s="1430" t="s">
        <v>86</v>
      </c>
      <c r="BN154" s="1430" t="s">
        <v>86</v>
      </c>
      <c r="CF154" s="1442" t="str">
        <f>IF([1]!sommaire[[#This Row],[présence des personnes déplacés interne]]="Oui","1","0")</f>
        <v>0</v>
      </c>
      <c r="CG154" s="1442" t="str">
        <f>IF([1]!sommaire[[#This Row],[présence Réfugié hors camp]]="Oui","1","0")</f>
        <v>0</v>
      </c>
      <c r="CH154" s="1442" t="str">
        <f>IF([1]!sommaire[[#This Row],[présence personnes retournées]]="Oui","1","0")</f>
        <v>0</v>
      </c>
      <c r="CI154" s="1442">
        <f>[1]!sommaire[[#This Row],[Flag PDI]]+[1]!sommaire[[#This Row],[Flag REF]]+[1]!sommaire[[#This Row],[Flag RET]]</f>
        <v>0</v>
      </c>
    </row>
    <row r="155" spans="1:87" ht="14.55" customHeight="1" x14ac:dyDescent="0.3">
      <c r="A155" s="390">
        <v>2645298</v>
      </c>
      <c r="B155" s="5" t="s">
        <v>533</v>
      </c>
      <c r="C155" s="1430" t="s">
        <v>3449</v>
      </c>
      <c r="D155" s="1090" t="s">
        <v>534</v>
      </c>
      <c r="E155" s="5" t="s">
        <v>31</v>
      </c>
      <c r="F155" s="5" t="s">
        <v>31</v>
      </c>
      <c r="G155" s="5" t="s">
        <v>549</v>
      </c>
      <c r="H155" s="5" t="s">
        <v>166</v>
      </c>
      <c r="I155" s="5" t="str">
        <f>_xlfn.XLOOKUP(sommaire[[#This Row],[Arrondissement_code]],OCHA_GIS!$F:$F,OCHA_GIS!$E:$E,,)</f>
        <v>Fotokol</v>
      </c>
      <c r="J155" s="5" t="s">
        <v>844</v>
      </c>
      <c r="K155" t="s">
        <v>2865</v>
      </c>
      <c r="L155" s="5" t="s">
        <v>2498</v>
      </c>
      <c r="N155" s="5" t="s">
        <v>3053</v>
      </c>
      <c r="O155" s="5" t="s">
        <v>2467</v>
      </c>
      <c r="P155" s="5" t="s">
        <v>86</v>
      </c>
      <c r="Q155" s="5" t="s">
        <v>86</v>
      </c>
      <c r="R155" s="5" t="s">
        <v>85</v>
      </c>
      <c r="U155" s="5" t="s">
        <v>98</v>
      </c>
      <c r="W155" s="5" t="s">
        <v>2482</v>
      </c>
      <c r="AA155" s="5" t="s">
        <v>86</v>
      </c>
      <c r="AH155" s="1430" t="s">
        <v>86</v>
      </c>
      <c r="AY155" s="1430" t="s">
        <v>86</v>
      </c>
      <c r="BN155" s="1430" t="s">
        <v>86</v>
      </c>
      <c r="CF155" s="1442" t="str">
        <f>IF([1]!sommaire[[#This Row],[présence des personnes déplacés interne]]="Oui","1","0")</f>
        <v>0</v>
      </c>
      <c r="CG155" s="1442" t="str">
        <f>IF([1]!sommaire[[#This Row],[présence Réfugié hors camp]]="Oui","1","0")</f>
        <v>0</v>
      </c>
      <c r="CH155" s="1442" t="str">
        <f>IF([1]!sommaire[[#This Row],[présence personnes retournées]]="Oui","1","0")</f>
        <v>0</v>
      </c>
      <c r="CI155" s="1442">
        <f>[1]!sommaire[[#This Row],[Flag PDI]]+[1]!sommaire[[#This Row],[Flag REF]]+[1]!sommaire[[#This Row],[Flag RET]]</f>
        <v>0</v>
      </c>
    </row>
    <row r="156" spans="1:87" ht="14.55" customHeight="1" x14ac:dyDescent="0.3">
      <c r="A156" s="390">
        <v>2672369</v>
      </c>
      <c r="B156" s="5" t="s">
        <v>533</v>
      </c>
      <c r="C156" s="1430" t="s">
        <v>3449</v>
      </c>
      <c r="D156" s="1090" t="s">
        <v>534</v>
      </c>
      <c r="E156" s="5" t="s">
        <v>31</v>
      </c>
      <c r="F156" s="5" t="s">
        <v>31</v>
      </c>
      <c r="G156" s="5" t="s">
        <v>549</v>
      </c>
      <c r="H156" s="5" t="s">
        <v>166</v>
      </c>
      <c r="I156" s="5" t="str">
        <f>_xlfn.XLOOKUP(sommaire[[#This Row],[Arrondissement_code]],OCHA_GIS!$F:$F,OCHA_GIS!$E:$E,,)</f>
        <v>Fotokol</v>
      </c>
      <c r="J156" s="5" t="s">
        <v>844</v>
      </c>
      <c r="K156" t="s">
        <v>2493</v>
      </c>
      <c r="L156" s="5" t="s">
        <v>1559</v>
      </c>
      <c r="N156" s="5" t="s">
        <v>3052</v>
      </c>
      <c r="O156" s="5" t="s">
        <v>2467</v>
      </c>
      <c r="P156" s="5" t="s">
        <v>85</v>
      </c>
      <c r="Q156" s="5" t="s">
        <v>86</v>
      </c>
      <c r="R156" s="5" t="s">
        <v>86</v>
      </c>
      <c r="T156" s="390">
        <v>3</v>
      </c>
      <c r="U156" s="5" t="s">
        <v>97</v>
      </c>
      <c r="W156" s="5" t="s">
        <v>2468</v>
      </c>
      <c r="X156" s="5" t="s">
        <v>102</v>
      </c>
      <c r="AA156" s="586" t="s">
        <v>85</v>
      </c>
      <c r="AB156" s="5" t="s">
        <v>2469</v>
      </c>
      <c r="AC156" s="5" t="s">
        <v>2473</v>
      </c>
      <c r="AD156" s="5" t="s">
        <v>85</v>
      </c>
      <c r="AE156" s="5">
        <v>2</v>
      </c>
      <c r="AF156" s="5">
        <v>2394</v>
      </c>
      <c r="AG156" s="5">
        <v>35632</v>
      </c>
      <c r="AH156" s="5" t="s">
        <v>85</v>
      </c>
      <c r="AI156" s="5" t="s">
        <v>2471</v>
      </c>
      <c r="AJ156" s="5">
        <v>2394</v>
      </c>
      <c r="AK156" s="5">
        <v>12380</v>
      </c>
      <c r="AL156" s="5">
        <v>5981</v>
      </c>
      <c r="AM156" s="5">
        <v>6399</v>
      </c>
      <c r="AN156" s="5">
        <v>0</v>
      </c>
      <c r="AO156" s="5">
        <v>2189</v>
      </c>
      <c r="AP156" s="5">
        <v>0</v>
      </c>
      <c r="AQ156" s="5">
        <v>0</v>
      </c>
      <c r="AT156" s="5">
        <v>0</v>
      </c>
      <c r="AU156" s="5">
        <v>205</v>
      </c>
      <c r="AV156" s="5" t="s">
        <v>2478</v>
      </c>
      <c r="AX156" s="5">
        <v>0</v>
      </c>
      <c r="AY156" s="5" t="s">
        <v>85</v>
      </c>
      <c r="AZ156" s="5">
        <v>680</v>
      </c>
      <c r="BA156" s="5">
        <v>3808</v>
      </c>
      <c r="BB156" s="5">
        <v>1830</v>
      </c>
      <c r="BC156" s="5">
        <v>1978</v>
      </c>
      <c r="BD156" s="5">
        <v>680</v>
      </c>
      <c r="BE156" s="5">
        <v>0</v>
      </c>
      <c r="BF156" s="5">
        <v>0</v>
      </c>
      <c r="BH156" s="5">
        <v>0</v>
      </c>
      <c r="BI156" s="5">
        <v>0</v>
      </c>
      <c r="BL156" s="5">
        <v>0</v>
      </c>
      <c r="BM156" s="5">
        <v>320</v>
      </c>
      <c r="BN156" s="5" t="s">
        <v>85</v>
      </c>
      <c r="BO156" s="5">
        <v>1386</v>
      </c>
      <c r="BP156" s="5">
        <v>10504</v>
      </c>
      <c r="BQ156" s="5">
        <v>5000</v>
      </c>
      <c r="BR156" s="5">
        <v>5504</v>
      </c>
      <c r="BS156" s="5" t="s">
        <v>2535</v>
      </c>
      <c r="BT156" s="5">
        <v>0</v>
      </c>
      <c r="BU156" s="5">
        <v>1386</v>
      </c>
      <c r="BV156" s="5">
        <v>0</v>
      </c>
      <c r="BW156" s="5">
        <v>0</v>
      </c>
      <c r="BX156" s="5">
        <v>0</v>
      </c>
      <c r="BZ156" s="5">
        <v>0</v>
      </c>
      <c r="CA156" s="5">
        <v>0</v>
      </c>
      <c r="CC156" s="5">
        <v>0</v>
      </c>
      <c r="CD156" s="5">
        <v>0</v>
      </c>
      <c r="CF156" s="1442" t="str">
        <f>IF([1]!sommaire[[#This Row],[présence des personnes déplacés interne]]="Oui","1","0")</f>
        <v>1</v>
      </c>
      <c r="CG156" s="1442" t="str">
        <f>IF([1]!sommaire[[#This Row],[présence Réfugié hors camp]]="Oui","1","0")</f>
        <v>1</v>
      </c>
      <c r="CH156" s="1442" t="str">
        <f>IF([1]!sommaire[[#This Row],[présence personnes retournées]]="Oui","1","0")</f>
        <v>1</v>
      </c>
      <c r="CI156" s="1442">
        <f>[1]!sommaire[[#This Row],[Flag PDI]]+[1]!sommaire[[#This Row],[Flag REF]]+[1]!sommaire[[#This Row],[Flag RET]]</f>
        <v>3</v>
      </c>
    </row>
    <row r="157" spans="1:87" ht="14.55" customHeight="1" x14ac:dyDescent="0.3">
      <c r="A157" s="390">
        <v>2647594</v>
      </c>
      <c r="B157" s="5" t="s">
        <v>533</v>
      </c>
      <c r="C157" s="1430" t="s">
        <v>3449</v>
      </c>
      <c r="D157" s="1090" t="s">
        <v>534</v>
      </c>
      <c r="E157" s="5" t="s">
        <v>31</v>
      </c>
      <c r="F157" s="5" t="s">
        <v>31</v>
      </c>
      <c r="G157" s="5" t="s">
        <v>549</v>
      </c>
      <c r="H157" s="5" t="s">
        <v>166</v>
      </c>
      <c r="I157" s="5" t="str">
        <f>_xlfn.XLOOKUP(sommaire[[#This Row],[Arrondissement_code]],OCHA_GIS!$F:$F,OCHA_GIS!$E:$E,,)</f>
        <v>Fotokol</v>
      </c>
      <c r="J157" s="5" t="s">
        <v>844</v>
      </c>
      <c r="K157" t="s">
        <v>965</v>
      </c>
      <c r="L157" s="5" t="s">
        <v>1701</v>
      </c>
      <c r="N157" s="5" t="s">
        <v>3053</v>
      </c>
      <c r="O157" s="5" t="s">
        <v>2467</v>
      </c>
      <c r="P157" s="5" t="s">
        <v>85</v>
      </c>
      <c r="Q157" s="5" t="s">
        <v>86</v>
      </c>
      <c r="R157" s="5" t="s">
        <v>86</v>
      </c>
      <c r="T157" s="390">
        <v>3</v>
      </c>
      <c r="U157" s="5" t="s">
        <v>97</v>
      </c>
      <c r="W157" s="5" t="s">
        <v>2468</v>
      </c>
      <c r="X157" s="5" t="s">
        <v>102</v>
      </c>
      <c r="AA157" s="5" t="s">
        <v>85</v>
      </c>
      <c r="AB157" s="5" t="s">
        <v>2469</v>
      </c>
      <c r="AC157" s="5" t="s">
        <v>2470</v>
      </c>
      <c r="AD157" s="5" t="s">
        <v>86</v>
      </c>
      <c r="AF157" s="5">
        <v>115</v>
      </c>
      <c r="AG157" s="5">
        <v>545</v>
      </c>
      <c r="AH157" s="5" t="s">
        <v>85</v>
      </c>
      <c r="AI157" s="5" t="s">
        <v>2471</v>
      </c>
      <c r="AJ157" s="5">
        <v>115</v>
      </c>
      <c r="AK157" s="5">
        <v>545</v>
      </c>
      <c r="AL157" s="5">
        <v>155</v>
      </c>
      <c r="AM157" s="5">
        <v>390</v>
      </c>
      <c r="AN157" s="5">
        <v>0</v>
      </c>
      <c r="AO157" s="5">
        <v>115</v>
      </c>
      <c r="AP157" s="5">
        <v>0</v>
      </c>
      <c r="AQ157" s="5">
        <v>0</v>
      </c>
      <c r="AT157" s="5">
        <v>0</v>
      </c>
      <c r="AU157" s="5">
        <v>0</v>
      </c>
      <c r="AX157" s="5">
        <v>0</v>
      </c>
      <c r="AY157" s="5" t="s">
        <v>86</v>
      </c>
      <c r="BN157" s="5" t="s">
        <v>86</v>
      </c>
      <c r="CD157" s="5">
        <v>0</v>
      </c>
      <c r="CF157" s="1442" t="str">
        <f>IF([1]!sommaire[[#This Row],[présence des personnes déplacés interne]]="Oui","1","0")</f>
        <v>1</v>
      </c>
      <c r="CG157" s="1442" t="str">
        <f>IF([1]!sommaire[[#This Row],[présence Réfugié hors camp]]="Oui","1","0")</f>
        <v>0</v>
      </c>
      <c r="CH157" s="1442" t="str">
        <f>IF([1]!sommaire[[#This Row],[présence personnes retournées]]="Oui","1","0")</f>
        <v>0</v>
      </c>
      <c r="CI157" s="1442">
        <f>[1]!sommaire[[#This Row],[Flag PDI]]+[1]!sommaire[[#This Row],[Flag REF]]+[1]!sommaire[[#This Row],[Flag RET]]</f>
        <v>1</v>
      </c>
    </row>
    <row r="158" spans="1:87" ht="14.55" customHeight="1" x14ac:dyDescent="0.3">
      <c r="A158" s="390">
        <v>2630611</v>
      </c>
      <c r="B158" s="5" t="s">
        <v>533</v>
      </c>
      <c r="C158" s="1430" t="s">
        <v>3449</v>
      </c>
      <c r="D158" s="1090" t="s">
        <v>534</v>
      </c>
      <c r="E158" s="5" t="s">
        <v>31</v>
      </c>
      <c r="F158" s="5" t="s">
        <v>31</v>
      </c>
      <c r="G158" s="5" t="s">
        <v>549</v>
      </c>
      <c r="H158" s="5" t="s">
        <v>166</v>
      </c>
      <c r="I158" s="5" t="str">
        <f>_xlfn.XLOOKUP(sommaire[[#This Row],[Arrondissement_code]],OCHA_GIS!$F:$F,OCHA_GIS!$E:$E,,)</f>
        <v>Fotokol</v>
      </c>
      <c r="J158" s="5" t="s">
        <v>844</v>
      </c>
      <c r="K158" t="s">
        <v>2878</v>
      </c>
      <c r="L158" s="5" t="s">
        <v>1140</v>
      </c>
      <c r="N158" s="5" t="s">
        <v>3053</v>
      </c>
      <c r="O158" s="5" t="s">
        <v>2467</v>
      </c>
      <c r="P158" s="5" t="s">
        <v>85</v>
      </c>
      <c r="Q158" s="5" t="s">
        <v>86</v>
      </c>
      <c r="R158" s="5" t="s">
        <v>86</v>
      </c>
      <c r="T158" s="390">
        <v>3</v>
      </c>
      <c r="U158" s="5" t="s">
        <v>97</v>
      </c>
      <c r="W158" s="5" t="s">
        <v>2468</v>
      </c>
      <c r="X158" s="5" t="s">
        <v>102</v>
      </c>
      <c r="AA158" s="5" t="s">
        <v>85</v>
      </c>
      <c r="AB158" s="5" t="s">
        <v>2469</v>
      </c>
      <c r="AC158" s="5" t="s">
        <v>2470</v>
      </c>
      <c r="AD158" s="5" t="s">
        <v>86</v>
      </c>
      <c r="AF158" s="5">
        <v>10</v>
      </c>
      <c r="AG158" s="5">
        <v>562</v>
      </c>
      <c r="AH158" s="5" t="s">
        <v>85</v>
      </c>
      <c r="AI158" s="5" t="s">
        <v>2471</v>
      </c>
      <c r="AJ158" s="5">
        <v>10</v>
      </c>
      <c r="AK158" s="5">
        <v>99</v>
      </c>
      <c r="AL158" s="5">
        <v>44</v>
      </c>
      <c r="AM158" s="5">
        <v>55</v>
      </c>
      <c r="AN158" s="5">
        <v>0</v>
      </c>
      <c r="AO158" s="5">
        <v>10</v>
      </c>
      <c r="AP158" s="5">
        <v>0</v>
      </c>
      <c r="AQ158" s="5">
        <v>0</v>
      </c>
      <c r="AT158" s="5">
        <v>0</v>
      </c>
      <c r="AU158" s="5">
        <v>0</v>
      </c>
      <c r="AX158" s="5">
        <v>0</v>
      </c>
      <c r="AY158" s="5" t="s">
        <v>86</v>
      </c>
      <c r="BN158" s="5" t="s">
        <v>86</v>
      </c>
      <c r="CD158" s="5">
        <v>0</v>
      </c>
      <c r="CF158" s="1442" t="str">
        <f>IF([1]!sommaire[[#This Row],[présence des personnes déplacés interne]]="Oui","1","0")</f>
        <v>1</v>
      </c>
      <c r="CG158" s="1442" t="str">
        <f>IF([1]!sommaire[[#This Row],[présence Réfugié hors camp]]="Oui","1","0")</f>
        <v>0</v>
      </c>
      <c r="CH158" s="1442" t="str">
        <f>IF([1]!sommaire[[#This Row],[présence personnes retournées]]="Oui","1","0")</f>
        <v>0</v>
      </c>
      <c r="CI158" s="1442">
        <f>[1]!sommaire[[#This Row],[Flag PDI]]+[1]!sommaire[[#This Row],[Flag REF]]+[1]!sommaire[[#This Row],[Flag RET]]</f>
        <v>1</v>
      </c>
    </row>
    <row r="159" spans="1:87" ht="14.55" customHeight="1" x14ac:dyDescent="0.3">
      <c r="A159" s="390">
        <v>2634148</v>
      </c>
      <c r="B159" s="5" t="s">
        <v>533</v>
      </c>
      <c r="C159" s="1430" t="s">
        <v>3449</v>
      </c>
      <c r="D159" s="1090" t="s">
        <v>534</v>
      </c>
      <c r="E159" s="5" t="s">
        <v>31</v>
      </c>
      <c r="F159" s="5" t="s">
        <v>31</v>
      </c>
      <c r="G159" s="5" t="s">
        <v>549</v>
      </c>
      <c r="H159" s="5" t="s">
        <v>166</v>
      </c>
      <c r="I159" s="5" t="str">
        <f>_xlfn.XLOOKUP(sommaire[[#This Row],[Arrondissement_code]],OCHA_GIS!$F:$F,OCHA_GIS!$E:$E,,)</f>
        <v>Fotokol</v>
      </c>
      <c r="J159" s="5" t="s">
        <v>844</v>
      </c>
      <c r="K159" t="s">
        <v>2879</v>
      </c>
      <c r="L159" s="5" t="s">
        <v>1420</v>
      </c>
      <c r="N159" s="5" t="s">
        <v>3053</v>
      </c>
      <c r="O159" s="5" t="s">
        <v>2467</v>
      </c>
      <c r="P159" s="5" t="s">
        <v>85</v>
      </c>
      <c r="Q159" s="5" t="s">
        <v>86</v>
      </c>
      <c r="R159" s="5" t="s">
        <v>86</v>
      </c>
      <c r="T159" s="390">
        <v>3</v>
      </c>
      <c r="U159" s="5" t="s">
        <v>97</v>
      </c>
      <c r="W159" s="5" t="s">
        <v>2468</v>
      </c>
      <c r="X159" s="5" t="s">
        <v>102</v>
      </c>
      <c r="AA159" s="5" t="s">
        <v>85</v>
      </c>
      <c r="AB159" s="5" t="s">
        <v>2469</v>
      </c>
      <c r="AC159" s="5" t="s">
        <v>2470</v>
      </c>
      <c r="AD159" s="5" t="s">
        <v>86</v>
      </c>
      <c r="AF159" s="5">
        <v>15</v>
      </c>
      <c r="AG159" s="5">
        <v>2514</v>
      </c>
      <c r="AH159" s="5" t="s">
        <v>85</v>
      </c>
      <c r="AI159" s="5" t="s">
        <v>2471</v>
      </c>
      <c r="AJ159" s="5">
        <v>15</v>
      </c>
      <c r="AK159" s="5">
        <v>42</v>
      </c>
      <c r="AL159" s="5">
        <v>19</v>
      </c>
      <c r="AM159" s="5">
        <v>23</v>
      </c>
      <c r="AN159" s="5">
        <v>0</v>
      </c>
      <c r="AO159" s="5">
        <v>15</v>
      </c>
      <c r="AP159" s="5">
        <v>0</v>
      </c>
      <c r="AQ159" s="5">
        <v>0</v>
      </c>
      <c r="AT159" s="5">
        <v>0</v>
      </c>
      <c r="AU159" s="5">
        <v>0</v>
      </c>
      <c r="AX159" s="5">
        <v>0</v>
      </c>
      <c r="AY159" s="5" t="s">
        <v>85</v>
      </c>
      <c r="AZ159" s="5">
        <v>53</v>
      </c>
      <c r="BA159" s="5">
        <v>268</v>
      </c>
      <c r="BB159" s="5">
        <v>114</v>
      </c>
      <c r="BC159" s="5">
        <v>154</v>
      </c>
      <c r="BD159" s="5">
        <v>53</v>
      </c>
      <c r="BE159" s="5">
        <v>0</v>
      </c>
      <c r="BF159" s="5">
        <v>0</v>
      </c>
      <c r="BH159" s="5">
        <v>0</v>
      </c>
      <c r="BI159" s="5">
        <v>0</v>
      </c>
      <c r="BL159" s="5">
        <v>0</v>
      </c>
      <c r="BM159" s="5">
        <v>9</v>
      </c>
      <c r="BN159" s="5" t="s">
        <v>86</v>
      </c>
      <c r="CD159" s="5">
        <v>0</v>
      </c>
      <c r="CF159" s="1442" t="str">
        <f>IF([1]!sommaire[[#This Row],[présence des personnes déplacés interne]]="Oui","1","0")</f>
        <v>1</v>
      </c>
      <c r="CG159" s="1442" t="str">
        <f>IF([1]!sommaire[[#This Row],[présence Réfugié hors camp]]="Oui","1","0")</f>
        <v>1</v>
      </c>
      <c r="CH159" s="1442" t="str">
        <f>IF([1]!sommaire[[#This Row],[présence personnes retournées]]="Oui","1","0")</f>
        <v>0</v>
      </c>
      <c r="CI159" s="1442">
        <f>[1]!sommaire[[#This Row],[Flag PDI]]+[1]!sommaire[[#This Row],[Flag REF]]+[1]!sommaire[[#This Row],[Flag RET]]</f>
        <v>2</v>
      </c>
    </row>
    <row r="160" spans="1:87" ht="14.55" customHeight="1" x14ac:dyDescent="0.3">
      <c r="A160" s="390">
        <v>2647726</v>
      </c>
      <c r="B160" s="5" t="s">
        <v>533</v>
      </c>
      <c r="C160" s="1430" t="s">
        <v>3449</v>
      </c>
      <c r="D160" s="1090" t="s">
        <v>534</v>
      </c>
      <c r="E160" s="5" t="s">
        <v>31</v>
      </c>
      <c r="F160" s="5" t="s">
        <v>31</v>
      </c>
      <c r="G160" s="5" t="s">
        <v>549</v>
      </c>
      <c r="H160" s="5" t="s">
        <v>166</v>
      </c>
      <c r="I160" s="5" t="str">
        <f>_xlfn.XLOOKUP(sommaire[[#This Row],[Arrondissement_code]],OCHA_GIS!$F:$F,OCHA_GIS!$E:$E,,)</f>
        <v>Fotokol</v>
      </c>
      <c r="J160" s="5" t="s">
        <v>844</v>
      </c>
      <c r="K160" t="s">
        <v>1256</v>
      </c>
      <c r="L160" s="5" t="s">
        <v>1197</v>
      </c>
      <c r="N160" s="5" t="s">
        <v>3052</v>
      </c>
      <c r="O160" s="5" t="s">
        <v>2467</v>
      </c>
      <c r="P160" s="5" t="s">
        <v>85</v>
      </c>
      <c r="Q160" s="5" t="s">
        <v>86</v>
      </c>
      <c r="R160" s="5" t="s">
        <v>86</v>
      </c>
      <c r="T160" s="390">
        <v>3</v>
      </c>
      <c r="U160" s="5" t="s">
        <v>97</v>
      </c>
      <c r="W160" s="5" t="s">
        <v>2468</v>
      </c>
      <c r="X160" s="5" t="s">
        <v>102</v>
      </c>
      <c r="AA160" s="1175" t="s">
        <v>85</v>
      </c>
      <c r="AB160" s="5" t="s">
        <v>2469</v>
      </c>
      <c r="AC160" s="5" t="s">
        <v>2470</v>
      </c>
      <c r="AD160" s="5" t="s">
        <v>86</v>
      </c>
      <c r="AF160" s="5">
        <v>38</v>
      </c>
      <c r="AG160" s="5">
        <v>959</v>
      </c>
      <c r="AH160" s="5" t="s">
        <v>85</v>
      </c>
      <c r="AI160" s="5" t="s">
        <v>2471</v>
      </c>
      <c r="AJ160" s="5">
        <v>38</v>
      </c>
      <c r="AK160" s="5">
        <v>124</v>
      </c>
      <c r="AL160" s="5">
        <v>50</v>
      </c>
      <c r="AM160" s="5">
        <v>74</v>
      </c>
      <c r="AN160" s="5">
        <v>0</v>
      </c>
      <c r="AO160" s="5">
        <v>38</v>
      </c>
      <c r="AP160" s="5">
        <v>0</v>
      </c>
      <c r="AQ160" s="5">
        <v>0</v>
      </c>
      <c r="AT160" s="5">
        <v>0</v>
      </c>
      <c r="AU160" s="5">
        <v>0</v>
      </c>
      <c r="AX160" s="5">
        <v>0</v>
      </c>
      <c r="AY160" s="5" t="s">
        <v>85</v>
      </c>
      <c r="AZ160" s="5">
        <v>12</v>
      </c>
      <c r="BA160" s="5">
        <v>90</v>
      </c>
      <c r="BB160" s="5">
        <v>39</v>
      </c>
      <c r="BC160" s="5">
        <v>51</v>
      </c>
      <c r="BD160" s="5">
        <v>12</v>
      </c>
      <c r="BE160" s="5">
        <v>0</v>
      </c>
      <c r="BF160" s="5">
        <v>0</v>
      </c>
      <c r="BH160" s="5">
        <v>0</v>
      </c>
      <c r="BI160" s="5">
        <v>0</v>
      </c>
      <c r="BL160" s="5">
        <v>0</v>
      </c>
      <c r="BM160" s="5">
        <v>6</v>
      </c>
      <c r="BN160" s="5" t="s">
        <v>86</v>
      </c>
      <c r="CD160" s="5">
        <v>5</v>
      </c>
      <c r="CF160" s="1442" t="str">
        <f>IF([1]!sommaire[[#This Row],[présence des personnes déplacés interne]]="Oui","1","0")</f>
        <v>1</v>
      </c>
      <c r="CG160" s="1442" t="str">
        <f>IF([1]!sommaire[[#This Row],[présence Réfugié hors camp]]="Oui","1","0")</f>
        <v>1</v>
      </c>
      <c r="CH160" s="1442" t="str">
        <f>IF([1]!sommaire[[#This Row],[présence personnes retournées]]="Oui","1","0")</f>
        <v>0</v>
      </c>
      <c r="CI160" s="1442">
        <f>[1]!sommaire[[#This Row],[Flag PDI]]+[1]!sommaire[[#This Row],[Flag REF]]+[1]!sommaire[[#This Row],[Flag RET]]</f>
        <v>2</v>
      </c>
    </row>
    <row r="161" spans="1:87" ht="14.55" customHeight="1" x14ac:dyDescent="0.3">
      <c r="A161" s="390">
        <v>2650445</v>
      </c>
      <c r="B161" s="5" t="s">
        <v>533</v>
      </c>
      <c r="C161" s="1430" t="s">
        <v>3449</v>
      </c>
      <c r="D161" s="5" t="s">
        <v>534</v>
      </c>
      <c r="E161" s="5" t="s">
        <v>31</v>
      </c>
      <c r="F161" s="5" t="s">
        <v>31</v>
      </c>
      <c r="G161" s="5" t="s">
        <v>549</v>
      </c>
      <c r="H161" s="5" t="s">
        <v>166</v>
      </c>
      <c r="I161" s="5" t="str">
        <f>_xlfn.XLOOKUP(sommaire[[#This Row],[Arrondissement_code]],OCHA_GIS!$F:$F,OCHA_GIS!$E:$E,,)</f>
        <v>Fotokol</v>
      </c>
      <c r="J161" s="5" t="s">
        <v>844</v>
      </c>
      <c r="K161" t="s">
        <v>2518</v>
      </c>
      <c r="L161" s="5" t="s">
        <v>1301</v>
      </c>
      <c r="N161" s="5" t="s">
        <v>3053</v>
      </c>
      <c r="O161" s="5" t="s">
        <v>2467</v>
      </c>
      <c r="P161" s="5" t="s">
        <v>85</v>
      </c>
      <c r="Q161" s="5" t="s">
        <v>86</v>
      </c>
      <c r="R161" s="5" t="s">
        <v>85</v>
      </c>
      <c r="T161" s="390">
        <v>5</v>
      </c>
      <c r="U161" s="5" t="s">
        <v>97</v>
      </c>
      <c r="W161" s="5" t="s">
        <v>2468</v>
      </c>
      <c r="X161" s="1090" t="s">
        <v>102</v>
      </c>
      <c r="AA161" s="1090" t="s">
        <v>85</v>
      </c>
      <c r="AB161" s="5" t="s">
        <v>2469</v>
      </c>
      <c r="AC161" s="5" t="s">
        <v>2470</v>
      </c>
      <c r="AD161" s="5" t="s">
        <v>86</v>
      </c>
      <c r="AF161" s="5">
        <v>35</v>
      </c>
      <c r="AG161" s="5">
        <v>1246</v>
      </c>
      <c r="AH161" s="5" t="s">
        <v>85</v>
      </c>
      <c r="AI161" s="5" t="s">
        <v>2471</v>
      </c>
      <c r="AJ161" s="5">
        <v>35</v>
      </c>
      <c r="AK161" s="5">
        <v>251</v>
      </c>
      <c r="AL161" s="5">
        <v>78</v>
      </c>
      <c r="AM161" s="5">
        <v>173</v>
      </c>
      <c r="AN161" s="5">
        <v>10</v>
      </c>
      <c r="AO161" s="5">
        <v>25</v>
      </c>
      <c r="AP161" s="5">
        <v>0</v>
      </c>
      <c r="AQ161" s="5">
        <v>0</v>
      </c>
      <c r="AT161" s="5">
        <v>0</v>
      </c>
      <c r="AU161" s="5">
        <v>0</v>
      </c>
      <c r="AX161" s="5">
        <v>0</v>
      </c>
      <c r="AY161" s="1090" t="s">
        <v>86</v>
      </c>
      <c r="BN161" s="1090" t="s">
        <v>86</v>
      </c>
      <c r="CD161" s="5">
        <v>0</v>
      </c>
      <c r="CF161" s="1442" t="str">
        <f>IF([1]!sommaire[[#This Row],[présence des personnes déplacés interne]]="Oui","1","0")</f>
        <v>1</v>
      </c>
      <c r="CG161" s="1442" t="str">
        <f>IF([1]!sommaire[[#This Row],[présence Réfugié hors camp]]="Oui","1","0")</f>
        <v>0</v>
      </c>
      <c r="CH161" s="1442" t="str">
        <f>IF([1]!sommaire[[#This Row],[présence personnes retournées]]="Oui","1","0")</f>
        <v>0</v>
      </c>
      <c r="CI161" s="1442">
        <f>[1]!sommaire[[#This Row],[Flag PDI]]+[1]!sommaire[[#This Row],[Flag REF]]+[1]!sommaire[[#This Row],[Flag RET]]</f>
        <v>1</v>
      </c>
    </row>
    <row r="162" spans="1:87" ht="14.55" customHeight="1" x14ac:dyDescent="0.3">
      <c r="A162" s="390">
        <v>2631831</v>
      </c>
      <c r="B162" s="5" t="s">
        <v>533</v>
      </c>
      <c r="C162" s="1430" t="s">
        <v>3449</v>
      </c>
      <c r="D162" s="1090" t="s">
        <v>534</v>
      </c>
      <c r="E162" s="5" t="s">
        <v>31</v>
      </c>
      <c r="F162" s="5" t="s">
        <v>31</v>
      </c>
      <c r="G162" s="5" t="s">
        <v>549</v>
      </c>
      <c r="H162" s="5" t="s">
        <v>166</v>
      </c>
      <c r="I162" s="5" t="str">
        <f>_xlfn.XLOOKUP(sommaire[[#This Row],[Arrondissement_code]],OCHA_GIS!$F:$F,OCHA_GIS!$E:$E,,)</f>
        <v>Fotokol</v>
      </c>
      <c r="J162" s="5" t="s">
        <v>844</v>
      </c>
      <c r="K162" t="s">
        <v>2495</v>
      </c>
      <c r="L162" s="5" t="s">
        <v>2171</v>
      </c>
      <c r="N162" s="5" t="s">
        <v>3053</v>
      </c>
      <c r="O162" s="5" t="s">
        <v>2467</v>
      </c>
      <c r="P162" s="5" t="s">
        <v>85</v>
      </c>
      <c r="Q162" s="5" t="s">
        <v>86</v>
      </c>
      <c r="R162" s="5" t="s">
        <v>86</v>
      </c>
      <c r="T162" s="390">
        <v>3</v>
      </c>
      <c r="U162" s="5" t="s">
        <v>97</v>
      </c>
      <c r="W162" s="5" t="s">
        <v>2468</v>
      </c>
      <c r="X162" s="1090" t="s">
        <v>102</v>
      </c>
      <c r="AA162" s="1090" t="s">
        <v>85</v>
      </c>
      <c r="AB162" s="5" t="s">
        <v>2469</v>
      </c>
      <c r="AC162" s="5" t="s">
        <v>2470</v>
      </c>
      <c r="AD162" s="1090" t="s">
        <v>86</v>
      </c>
      <c r="AF162" s="5">
        <v>10</v>
      </c>
      <c r="AG162" s="5">
        <v>408</v>
      </c>
      <c r="AH162" s="5" t="s">
        <v>85</v>
      </c>
      <c r="AI162" s="5" t="s">
        <v>2471</v>
      </c>
      <c r="AJ162" s="5">
        <v>10</v>
      </c>
      <c r="AK162" s="5">
        <v>59</v>
      </c>
      <c r="AL162" s="5">
        <v>25</v>
      </c>
      <c r="AM162" s="5">
        <v>34</v>
      </c>
      <c r="AN162" s="5">
        <v>0</v>
      </c>
      <c r="AO162" s="5">
        <v>10</v>
      </c>
      <c r="AP162" s="5">
        <v>0</v>
      </c>
      <c r="AQ162" s="5">
        <v>0</v>
      </c>
      <c r="AT162" s="5">
        <v>0</v>
      </c>
      <c r="AU162" s="5">
        <v>0</v>
      </c>
      <c r="AX162" s="5">
        <v>0</v>
      </c>
      <c r="AY162" s="1090" t="s">
        <v>85</v>
      </c>
      <c r="AZ162" s="5">
        <v>2</v>
      </c>
      <c r="BA162" s="5">
        <v>18</v>
      </c>
      <c r="BB162" s="5">
        <v>5</v>
      </c>
      <c r="BC162" s="5">
        <v>13</v>
      </c>
      <c r="BD162" s="5">
        <v>2</v>
      </c>
      <c r="BE162" s="5">
        <v>0</v>
      </c>
      <c r="BF162" s="5">
        <v>0</v>
      </c>
      <c r="BH162" s="5">
        <v>0</v>
      </c>
      <c r="BI162" s="5">
        <v>0</v>
      </c>
      <c r="BL162" s="5">
        <v>0</v>
      </c>
      <c r="BM162" s="5">
        <v>0</v>
      </c>
      <c r="BN162" s="1090" t="s">
        <v>86</v>
      </c>
      <c r="CD162" s="5">
        <v>0</v>
      </c>
      <c r="CF162" s="1442" t="str">
        <f>IF([1]!sommaire[[#This Row],[présence des personnes déplacés interne]]="Oui","1","0")</f>
        <v>1</v>
      </c>
      <c r="CG162" s="1442" t="str">
        <f>IF([1]!sommaire[[#This Row],[présence Réfugié hors camp]]="Oui","1","0")</f>
        <v>1</v>
      </c>
      <c r="CH162" s="1442" t="str">
        <f>IF([1]!sommaire[[#This Row],[présence personnes retournées]]="Oui","1","0")</f>
        <v>0</v>
      </c>
      <c r="CI162" s="1442">
        <f>[1]!sommaire[[#This Row],[Flag PDI]]+[1]!sommaire[[#This Row],[Flag REF]]+[1]!sommaire[[#This Row],[Flag RET]]</f>
        <v>2</v>
      </c>
    </row>
    <row r="163" spans="1:87" ht="14.55" customHeight="1" x14ac:dyDescent="0.3">
      <c r="A163" s="390">
        <v>2663975</v>
      </c>
      <c r="B163" s="5" t="s">
        <v>533</v>
      </c>
      <c r="C163" s="1430" t="s">
        <v>3449</v>
      </c>
      <c r="D163" s="1090" t="s">
        <v>534</v>
      </c>
      <c r="E163" s="5" t="s">
        <v>31</v>
      </c>
      <c r="F163" s="5" t="s">
        <v>31</v>
      </c>
      <c r="G163" s="5" t="s">
        <v>549</v>
      </c>
      <c r="H163" s="5" t="s">
        <v>166</v>
      </c>
      <c r="I163" s="5" t="str">
        <f>_xlfn.XLOOKUP(sommaire[[#This Row],[Arrondissement_code]],OCHA_GIS!$F:$F,OCHA_GIS!$E:$E,,)</f>
        <v>Fotokol</v>
      </c>
      <c r="J163" s="5" t="s">
        <v>844</v>
      </c>
      <c r="K163" t="s">
        <v>2497</v>
      </c>
      <c r="L163" s="5" t="s">
        <v>2500</v>
      </c>
      <c r="N163" s="5" t="s">
        <v>3053</v>
      </c>
      <c r="O163" s="5" t="s">
        <v>2467</v>
      </c>
      <c r="P163" s="5" t="s">
        <v>85</v>
      </c>
      <c r="Q163" s="5" t="s">
        <v>86</v>
      </c>
      <c r="R163" s="5" t="s">
        <v>86</v>
      </c>
      <c r="T163" s="390">
        <v>3</v>
      </c>
      <c r="U163" s="5" t="s">
        <v>97</v>
      </c>
      <c r="W163" s="5" t="s">
        <v>2482</v>
      </c>
      <c r="AA163" s="5" t="s">
        <v>86</v>
      </c>
      <c r="AH163" s="1430" t="s">
        <v>86</v>
      </c>
      <c r="AY163" s="1430" t="s">
        <v>86</v>
      </c>
      <c r="BN163" s="1430" t="s">
        <v>86</v>
      </c>
      <c r="CF163" s="1442" t="str">
        <f>IF([1]!sommaire[[#This Row],[présence des personnes déplacés interne]]="Oui","1","0")</f>
        <v>0</v>
      </c>
      <c r="CG163" s="1442" t="str">
        <f>IF([1]!sommaire[[#This Row],[présence Réfugié hors camp]]="Oui","1","0")</f>
        <v>0</v>
      </c>
      <c r="CH163" s="1442" t="str">
        <f>IF([1]!sommaire[[#This Row],[présence personnes retournées]]="Oui","1","0")</f>
        <v>0</v>
      </c>
      <c r="CI163" s="1442">
        <f>[1]!sommaire[[#This Row],[Flag PDI]]+[1]!sommaire[[#This Row],[Flag REF]]+[1]!sommaire[[#This Row],[Flag RET]]</f>
        <v>0</v>
      </c>
    </row>
    <row r="164" spans="1:87" ht="14.55" customHeight="1" x14ac:dyDescent="0.3">
      <c r="A164" s="390">
        <v>2645450</v>
      </c>
      <c r="B164" s="5" t="s">
        <v>533</v>
      </c>
      <c r="C164" s="1430" t="s">
        <v>3449</v>
      </c>
      <c r="D164" s="1090" t="s">
        <v>534</v>
      </c>
      <c r="E164" s="5" t="s">
        <v>31</v>
      </c>
      <c r="F164" s="5" t="s">
        <v>31</v>
      </c>
      <c r="G164" s="5" t="s">
        <v>549</v>
      </c>
      <c r="H164" s="5" t="s">
        <v>166</v>
      </c>
      <c r="I164" s="5" t="str">
        <f>_xlfn.XLOOKUP(sommaire[[#This Row],[Arrondissement_code]],OCHA_GIS!$F:$F,OCHA_GIS!$E:$E,,)</f>
        <v>Fotokol</v>
      </c>
      <c r="J164" s="5" t="s">
        <v>844</v>
      </c>
      <c r="K164" t="s">
        <v>1558</v>
      </c>
      <c r="L164" s="5" t="s">
        <v>2502</v>
      </c>
      <c r="N164" s="5" t="s">
        <v>3053</v>
      </c>
      <c r="O164" s="5" t="s">
        <v>2467</v>
      </c>
      <c r="P164" s="5" t="s">
        <v>86</v>
      </c>
      <c r="Q164" s="5" t="s">
        <v>86</v>
      </c>
      <c r="R164" s="5" t="s">
        <v>85</v>
      </c>
      <c r="U164" s="5" t="s">
        <v>98</v>
      </c>
      <c r="W164" s="5" t="s">
        <v>2482</v>
      </c>
      <c r="AA164" s="5" t="s">
        <v>86</v>
      </c>
      <c r="AH164" s="1430" t="s">
        <v>86</v>
      </c>
      <c r="AY164" s="1430" t="s">
        <v>86</v>
      </c>
      <c r="BN164" s="1430" t="s">
        <v>86</v>
      </c>
      <c r="CF164" s="1442" t="str">
        <f>IF([1]!sommaire[[#This Row],[présence des personnes déplacés interne]]="Oui","1","0")</f>
        <v>0</v>
      </c>
      <c r="CG164" s="1442" t="str">
        <f>IF([1]!sommaire[[#This Row],[présence Réfugié hors camp]]="Oui","1","0")</f>
        <v>0</v>
      </c>
      <c r="CH164" s="1442" t="str">
        <f>IF([1]!sommaire[[#This Row],[présence personnes retournées]]="Oui","1","0")</f>
        <v>0</v>
      </c>
      <c r="CI164" s="1442">
        <f>[1]!sommaire[[#This Row],[Flag PDI]]+[1]!sommaire[[#This Row],[Flag REF]]+[1]!sommaire[[#This Row],[Flag RET]]</f>
        <v>0</v>
      </c>
    </row>
    <row r="165" spans="1:87" ht="14.55" customHeight="1" x14ac:dyDescent="0.3">
      <c r="A165" s="390">
        <v>2645461</v>
      </c>
      <c r="B165" s="5" t="s">
        <v>533</v>
      </c>
      <c r="C165" s="1430" t="s">
        <v>3449</v>
      </c>
      <c r="D165" s="1090" t="s">
        <v>534</v>
      </c>
      <c r="E165" s="5" t="s">
        <v>31</v>
      </c>
      <c r="F165" s="5" t="s">
        <v>31</v>
      </c>
      <c r="G165" s="5" t="s">
        <v>549</v>
      </c>
      <c r="H165" s="5" t="s">
        <v>166</v>
      </c>
      <c r="I165" s="5" t="str">
        <f>_xlfn.XLOOKUP(sommaire[[#This Row],[Arrondissement_code]],OCHA_GIS!$F:$F,OCHA_GIS!$E:$E,,)</f>
        <v>Fotokol</v>
      </c>
      <c r="J165" s="5" t="s">
        <v>844</v>
      </c>
      <c r="K165" t="s">
        <v>2170</v>
      </c>
      <c r="L165" s="5" t="s">
        <v>2504</v>
      </c>
      <c r="N165" s="5" t="s">
        <v>3053</v>
      </c>
      <c r="O165" s="5" t="s">
        <v>2467</v>
      </c>
      <c r="P165" s="5" t="s">
        <v>86</v>
      </c>
      <c r="Q165" s="5" t="s">
        <v>86</v>
      </c>
      <c r="R165" s="5" t="s">
        <v>85</v>
      </c>
      <c r="U165" s="5" t="s">
        <v>98</v>
      </c>
      <c r="W165" s="5" t="s">
        <v>2482</v>
      </c>
      <c r="AA165" s="5" t="s">
        <v>86</v>
      </c>
      <c r="AH165" s="1430" t="s">
        <v>86</v>
      </c>
      <c r="AY165" s="1430" t="s">
        <v>86</v>
      </c>
      <c r="BN165" s="1430" t="s">
        <v>86</v>
      </c>
      <c r="CF165" s="1442" t="str">
        <f>IF([1]!sommaire[[#This Row],[présence des personnes déplacés interne]]="Oui","1","0")</f>
        <v>0</v>
      </c>
      <c r="CG165" s="1442" t="str">
        <f>IF([1]!sommaire[[#This Row],[présence Réfugié hors camp]]="Oui","1","0")</f>
        <v>0</v>
      </c>
      <c r="CH165" s="1442" t="str">
        <f>IF([1]!sommaire[[#This Row],[présence personnes retournées]]="Oui","1","0")</f>
        <v>0</v>
      </c>
      <c r="CI165" s="1442">
        <f>[1]!sommaire[[#This Row],[Flag PDI]]+[1]!sommaire[[#This Row],[Flag REF]]+[1]!sommaire[[#This Row],[Flag RET]]</f>
        <v>0</v>
      </c>
    </row>
    <row r="166" spans="1:87" ht="14.55" customHeight="1" x14ac:dyDescent="0.3">
      <c r="A166" s="390">
        <v>2647570</v>
      </c>
      <c r="B166" s="5" t="s">
        <v>533</v>
      </c>
      <c r="C166" s="1430" t="s">
        <v>3449</v>
      </c>
      <c r="D166" s="1090" t="s">
        <v>534</v>
      </c>
      <c r="E166" s="5" t="s">
        <v>31</v>
      </c>
      <c r="F166" s="5" t="s">
        <v>31</v>
      </c>
      <c r="G166" s="5" t="s">
        <v>549</v>
      </c>
      <c r="H166" s="5" t="s">
        <v>166</v>
      </c>
      <c r="I166" s="5" t="str">
        <f>_xlfn.XLOOKUP(sommaire[[#This Row],[Arrondissement_code]],OCHA_GIS!$F:$F,OCHA_GIS!$E:$E,,)</f>
        <v>Fotokol</v>
      </c>
      <c r="J166" s="5" t="s">
        <v>844</v>
      </c>
      <c r="K166" t="s">
        <v>2926</v>
      </c>
      <c r="L166" s="5" t="s">
        <v>663</v>
      </c>
      <c r="N166" s="5" t="s">
        <v>3053</v>
      </c>
      <c r="O166" s="5" t="s">
        <v>2467</v>
      </c>
      <c r="P166" s="5" t="s">
        <v>85</v>
      </c>
      <c r="Q166" s="5" t="s">
        <v>86</v>
      </c>
      <c r="R166" s="5" t="s">
        <v>86</v>
      </c>
      <c r="T166" s="390">
        <v>5</v>
      </c>
      <c r="U166" s="5" t="s">
        <v>97</v>
      </c>
      <c r="W166" s="5" t="s">
        <v>2468</v>
      </c>
      <c r="X166" s="5" t="s">
        <v>102</v>
      </c>
      <c r="AA166" s="5" t="s">
        <v>85</v>
      </c>
      <c r="AB166" s="5" t="s">
        <v>2469</v>
      </c>
      <c r="AC166" s="5" t="s">
        <v>2470</v>
      </c>
      <c r="AD166" s="5" t="s">
        <v>86</v>
      </c>
      <c r="AF166" s="5">
        <v>42</v>
      </c>
      <c r="AG166" s="5">
        <v>587</v>
      </c>
      <c r="AH166" s="5" t="s">
        <v>85</v>
      </c>
      <c r="AI166" s="5" t="s">
        <v>2471</v>
      </c>
      <c r="AJ166" s="5">
        <v>42</v>
      </c>
      <c r="AK166" s="5">
        <v>255</v>
      </c>
      <c r="AL166" s="5">
        <v>150</v>
      </c>
      <c r="AM166" s="5">
        <v>105</v>
      </c>
      <c r="AN166" s="5">
        <v>10</v>
      </c>
      <c r="AO166" s="5">
        <v>32</v>
      </c>
      <c r="AP166" s="5">
        <v>0</v>
      </c>
      <c r="AQ166" s="5">
        <v>0</v>
      </c>
      <c r="AT166" s="5">
        <v>0</v>
      </c>
      <c r="AU166" s="5">
        <v>0</v>
      </c>
      <c r="AX166" s="5">
        <v>0</v>
      </c>
      <c r="AY166" s="5" t="s">
        <v>86</v>
      </c>
      <c r="BN166" s="5" t="s">
        <v>86</v>
      </c>
      <c r="CD166" s="5">
        <v>0</v>
      </c>
      <c r="CF166" s="1442" t="str">
        <f>IF([1]!sommaire[[#This Row],[présence des personnes déplacés interne]]="Oui","1","0")</f>
        <v>1</v>
      </c>
      <c r="CG166" s="1442" t="str">
        <f>IF([1]!sommaire[[#This Row],[présence Réfugié hors camp]]="Oui","1","0")</f>
        <v>0</v>
      </c>
      <c r="CH166" s="1442" t="str">
        <f>IF([1]!sommaire[[#This Row],[présence personnes retournées]]="Oui","1","0")</f>
        <v>0</v>
      </c>
      <c r="CI166" s="1442">
        <f>[1]!sommaire[[#This Row],[Flag PDI]]+[1]!sommaire[[#This Row],[Flag REF]]+[1]!sommaire[[#This Row],[Flag RET]]</f>
        <v>1</v>
      </c>
    </row>
    <row r="167" spans="1:87" ht="14.55" customHeight="1" x14ac:dyDescent="0.3">
      <c r="A167" s="390">
        <v>2639601</v>
      </c>
      <c r="B167" s="5" t="s">
        <v>533</v>
      </c>
      <c r="C167" s="1430" t="s">
        <v>3449</v>
      </c>
      <c r="D167" s="5" t="s">
        <v>534</v>
      </c>
      <c r="E167" s="5" t="s">
        <v>31</v>
      </c>
      <c r="F167" s="5" t="s">
        <v>31</v>
      </c>
      <c r="G167" s="5" t="s">
        <v>549</v>
      </c>
      <c r="H167" s="5" t="s">
        <v>166</v>
      </c>
      <c r="I167" s="5" t="str">
        <f>_xlfn.XLOOKUP(sommaire[[#This Row],[Arrondissement_code]],OCHA_GIS!$F:$F,OCHA_GIS!$E:$E,,)</f>
        <v>Fotokol</v>
      </c>
      <c r="J167" s="5" t="s">
        <v>844</v>
      </c>
      <c r="K167" t="s">
        <v>969</v>
      </c>
      <c r="L167" s="5" t="s">
        <v>954</v>
      </c>
      <c r="N167" s="5" t="s">
        <v>3053</v>
      </c>
      <c r="O167" s="5" t="s">
        <v>2467</v>
      </c>
      <c r="P167" s="5" t="s">
        <v>86</v>
      </c>
      <c r="Q167" s="5" t="s">
        <v>85</v>
      </c>
      <c r="R167" s="5" t="s">
        <v>86</v>
      </c>
      <c r="S167" s="390">
        <v>6</v>
      </c>
      <c r="U167" s="5" t="s">
        <v>97</v>
      </c>
      <c r="W167" s="5" t="s">
        <v>2468</v>
      </c>
      <c r="X167" s="5" t="s">
        <v>102</v>
      </c>
      <c r="AA167" s="5" t="s">
        <v>85</v>
      </c>
      <c r="AB167" s="5" t="s">
        <v>2469</v>
      </c>
      <c r="AC167" s="5" t="s">
        <v>2470</v>
      </c>
      <c r="AD167" s="5" t="s">
        <v>86</v>
      </c>
      <c r="AF167" s="5">
        <v>39</v>
      </c>
      <c r="AG167" s="5">
        <v>730</v>
      </c>
      <c r="AH167" s="5" t="s">
        <v>85</v>
      </c>
      <c r="AI167" s="5" t="s">
        <v>2471</v>
      </c>
      <c r="AJ167" s="5">
        <v>39</v>
      </c>
      <c r="AK167" s="5">
        <v>321</v>
      </c>
      <c r="AL167" s="5">
        <v>208</v>
      </c>
      <c r="AM167" s="5">
        <v>113</v>
      </c>
      <c r="AN167" s="5">
        <v>0</v>
      </c>
      <c r="AO167" s="5">
        <v>39</v>
      </c>
      <c r="AP167" s="5">
        <v>0</v>
      </c>
      <c r="AQ167" s="5">
        <v>0</v>
      </c>
      <c r="AT167" s="5">
        <v>0</v>
      </c>
      <c r="AU167" s="5">
        <v>0</v>
      </c>
      <c r="AX167" s="5">
        <v>0</v>
      </c>
      <c r="AY167" s="5" t="s">
        <v>86</v>
      </c>
      <c r="BN167" s="5" t="s">
        <v>86</v>
      </c>
      <c r="CD167" s="5">
        <v>0</v>
      </c>
      <c r="CF167" s="1442" t="str">
        <f>IF([1]!sommaire[[#This Row],[présence des personnes déplacés interne]]="Oui","1","0")</f>
        <v>1</v>
      </c>
      <c r="CG167" s="1442" t="str">
        <f>IF([1]!sommaire[[#This Row],[présence Réfugié hors camp]]="Oui","1","0")</f>
        <v>0</v>
      </c>
      <c r="CH167" s="1442" t="str">
        <f>IF([1]!sommaire[[#This Row],[présence personnes retournées]]="Oui","1","0")</f>
        <v>0</v>
      </c>
      <c r="CI167" s="1442">
        <f>[1]!sommaire[[#This Row],[Flag PDI]]+[1]!sommaire[[#This Row],[Flag REF]]+[1]!sommaire[[#This Row],[Flag RET]]</f>
        <v>1</v>
      </c>
    </row>
    <row r="168" spans="1:87" ht="14.55" customHeight="1" x14ac:dyDescent="0.3">
      <c r="A168" s="390">
        <v>2647646</v>
      </c>
      <c r="B168" s="5" t="s">
        <v>533</v>
      </c>
      <c r="C168" s="1430" t="s">
        <v>3449</v>
      </c>
      <c r="D168" s="1090" t="s">
        <v>534</v>
      </c>
      <c r="E168" s="5" t="s">
        <v>31</v>
      </c>
      <c r="F168" s="5" t="s">
        <v>31</v>
      </c>
      <c r="G168" s="5" t="s">
        <v>549</v>
      </c>
      <c r="H168" s="5" t="s">
        <v>166</v>
      </c>
      <c r="I168" s="5" t="str">
        <f>_xlfn.XLOOKUP(sommaire[[#This Row],[Arrondissement_code]],OCHA_GIS!$F:$F,OCHA_GIS!$E:$E,,)</f>
        <v>Fotokol</v>
      </c>
      <c r="J168" s="5" t="s">
        <v>844</v>
      </c>
      <c r="K168" t="s">
        <v>845</v>
      </c>
      <c r="L168" s="5" t="s">
        <v>1588</v>
      </c>
      <c r="N168" s="5" t="s">
        <v>3053</v>
      </c>
      <c r="O168" s="5" t="s">
        <v>2467</v>
      </c>
      <c r="P168" s="5" t="s">
        <v>86</v>
      </c>
      <c r="Q168" s="5" t="s">
        <v>85</v>
      </c>
      <c r="R168" s="5" t="s">
        <v>85</v>
      </c>
      <c r="S168" s="390">
        <v>7</v>
      </c>
      <c r="U168" s="5" t="s">
        <v>97</v>
      </c>
      <c r="W168" s="5" t="s">
        <v>2468</v>
      </c>
      <c r="X168" s="5" t="s">
        <v>103</v>
      </c>
      <c r="Y168" s="5" t="s">
        <v>274</v>
      </c>
      <c r="AA168" s="586" t="s">
        <v>85</v>
      </c>
      <c r="AB168" s="5" t="s">
        <v>2469</v>
      </c>
      <c r="AC168" s="5" t="s">
        <v>2470</v>
      </c>
      <c r="AD168" s="5" t="s">
        <v>86</v>
      </c>
      <c r="AF168" s="5">
        <v>18</v>
      </c>
      <c r="AG168" s="5">
        <v>736</v>
      </c>
      <c r="AH168" s="5" t="s">
        <v>85</v>
      </c>
      <c r="AI168" s="5" t="s">
        <v>2471</v>
      </c>
      <c r="AJ168" s="5">
        <v>18</v>
      </c>
      <c r="AK168" s="5">
        <v>150</v>
      </c>
      <c r="AL168" s="5">
        <v>54</v>
      </c>
      <c r="AM168" s="5">
        <v>96</v>
      </c>
      <c r="AN168" s="5">
        <v>8</v>
      </c>
      <c r="AO168" s="5">
        <v>10</v>
      </c>
      <c r="AP168" s="5">
        <v>0</v>
      </c>
      <c r="AQ168" s="5">
        <v>0</v>
      </c>
      <c r="AT168" s="5">
        <v>0</v>
      </c>
      <c r="AU168" s="5">
        <v>0</v>
      </c>
      <c r="AX168" s="5">
        <v>0</v>
      </c>
      <c r="AY168" s="5" t="s">
        <v>86</v>
      </c>
      <c r="BN168" s="5" t="s">
        <v>86</v>
      </c>
      <c r="CD168" s="5">
        <v>0</v>
      </c>
      <c r="CF168" s="1442" t="str">
        <f>IF([1]!sommaire[[#This Row],[présence des personnes déplacés interne]]="Oui","1","0")</f>
        <v>1</v>
      </c>
      <c r="CG168" s="1442" t="str">
        <f>IF([1]!sommaire[[#This Row],[présence Réfugié hors camp]]="Oui","1","0")</f>
        <v>0</v>
      </c>
      <c r="CH168" s="1442" t="str">
        <f>IF([1]!sommaire[[#This Row],[présence personnes retournées]]="Oui","1","0")</f>
        <v>0</v>
      </c>
      <c r="CI168" s="1442">
        <f>[1]!sommaire[[#This Row],[Flag PDI]]+[1]!sommaire[[#This Row],[Flag REF]]+[1]!sommaire[[#This Row],[Flag RET]]</f>
        <v>1</v>
      </c>
    </row>
    <row r="169" spans="1:87" ht="14.55" customHeight="1" x14ac:dyDescent="0.3">
      <c r="A169" s="390">
        <v>2691182</v>
      </c>
      <c r="B169" s="5" t="s">
        <v>533</v>
      </c>
      <c r="C169" s="1430" t="s">
        <v>3449</v>
      </c>
      <c r="D169" s="1090" t="s">
        <v>534</v>
      </c>
      <c r="E169" s="5" t="s">
        <v>31</v>
      </c>
      <c r="F169" s="5" t="s">
        <v>31</v>
      </c>
      <c r="G169" s="5" t="s">
        <v>549</v>
      </c>
      <c r="H169" s="5" t="s">
        <v>166</v>
      </c>
      <c r="I169" s="5" t="str">
        <f>_xlfn.XLOOKUP(sommaire[[#This Row],[Arrondissement_code]],OCHA_GIS!$F:$F,OCHA_GIS!$E:$E,,)</f>
        <v>Fotokol</v>
      </c>
      <c r="J169" s="5" t="s">
        <v>844</v>
      </c>
      <c r="K169" t="s">
        <v>2499</v>
      </c>
      <c r="L169" s="5" t="s">
        <v>2506</v>
      </c>
      <c r="N169" s="5" t="s">
        <v>3053</v>
      </c>
      <c r="O169" s="5" t="s">
        <v>2467</v>
      </c>
      <c r="P169" s="5" t="s">
        <v>86</v>
      </c>
      <c r="Q169" s="5" t="s">
        <v>86</v>
      </c>
      <c r="R169" s="5" t="s">
        <v>85</v>
      </c>
      <c r="U169" s="5" t="s">
        <v>97</v>
      </c>
      <c r="W169" s="5" t="s">
        <v>2482</v>
      </c>
      <c r="AA169" s="5" t="s">
        <v>86</v>
      </c>
      <c r="AH169" s="1430" t="s">
        <v>86</v>
      </c>
      <c r="AY169" s="1430" t="s">
        <v>86</v>
      </c>
      <c r="BN169" s="1430" t="s">
        <v>86</v>
      </c>
      <c r="CF169" s="1442" t="str">
        <f>IF([1]!sommaire[[#This Row],[présence des personnes déplacés interne]]="Oui","1","0")</f>
        <v>0</v>
      </c>
      <c r="CG169" s="1442" t="str">
        <f>IF([1]!sommaire[[#This Row],[présence Réfugié hors camp]]="Oui","1","0")</f>
        <v>0</v>
      </c>
      <c r="CH169" s="1442" t="str">
        <f>IF([1]!sommaire[[#This Row],[présence personnes retournées]]="Oui","1","0")</f>
        <v>0</v>
      </c>
      <c r="CI169" s="1442">
        <f>[1]!sommaire[[#This Row],[Flag PDI]]+[1]!sommaire[[#This Row],[Flag REF]]+[1]!sommaire[[#This Row],[Flag RET]]</f>
        <v>0</v>
      </c>
    </row>
    <row r="170" spans="1:87" ht="14.55" customHeight="1" x14ac:dyDescent="0.3">
      <c r="A170" s="390">
        <v>2622892</v>
      </c>
      <c r="B170" s="5" t="s">
        <v>533</v>
      </c>
      <c r="C170" s="1430" t="s">
        <v>3449</v>
      </c>
      <c r="D170" s="1090" t="s">
        <v>534</v>
      </c>
      <c r="E170" s="5" t="s">
        <v>31</v>
      </c>
      <c r="F170" s="5" t="s">
        <v>31</v>
      </c>
      <c r="G170" s="5" t="s">
        <v>549</v>
      </c>
      <c r="H170" s="5" t="s">
        <v>166</v>
      </c>
      <c r="I170" s="5" t="str">
        <f>_xlfn.XLOOKUP(sommaire[[#This Row],[Arrondissement_code]],OCHA_GIS!$F:$F,OCHA_GIS!$E:$E,,)</f>
        <v>Fotokol</v>
      </c>
      <c r="J170" s="5" t="s">
        <v>844</v>
      </c>
      <c r="K170" t="s">
        <v>2935</v>
      </c>
      <c r="L170" s="5" t="s">
        <v>1517</v>
      </c>
      <c r="N170" s="5" t="s">
        <v>3053</v>
      </c>
      <c r="O170" s="5" t="s">
        <v>2467</v>
      </c>
      <c r="P170" s="5" t="s">
        <v>85</v>
      </c>
      <c r="Q170" s="5" t="s">
        <v>86</v>
      </c>
      <c r="R170" s="5" t="s">
        <v>86</v>
      </c>
      <c r="T170" s="390">
        <v>3</v>
      </c>
      <c r="U170" s="5" t="s">
        <v>97</v>
      </c>
      <c r="W170" s="5" t="s">
        <v>2468</v>
      </c>
      <c r="X170" s="5" t="s">
        <v>102</v>
      </c>
      <c r="AA170" s="5" t="s">
        <v>85</v>
      </c>
      <c r="AB170" s="5" t="s">
        <v>2469</v>
      </c>
      <c r="AC170" s="5" t="s">
        <v>2470</v>
      </c>
      <c r="AD170" s="5" t="s">
        <v>86</v>
      </c>
      <c r="AF170" s="5">
        <v>13</v>
      </c>
      <c r="AG170" s="5">
        <v>1208</v>
      </c>
      <c r="AH170" s="5" t="s">
        <v>85</v>
      </c>
      <c r="AI170" s="5" t="s">
        <v>2471</v>
      </c>
      <c r="AJ170" s="5">
        <v>13</v>
      </c>
      <c r="AK170" s="5">
        <v>112</v>
      </c>
      <c r="AL170" s="5">
        <v>44</v>
      </c>
      <c r="AM170" s="5">
        <v>68</v>
      </c>
      <c r="AN170" s="5">
        <v>0</v>
      </c>
      <c r="AO170" s="5">
        <v>13</v>
      </c>
      <c r="AP170" s="5">
        <v>0</v>
      </c>
      <c r="AQ170" s="5">
        <v>0</v>
      </c>
      <c r="AT170" s="5">
        <v>0</v>
      </c>
      <c r="AU170" s="5">
        <v>0</v>
      </c>
      <c r="AX170" s="5">
        <v>0</v>
      </c>
      <c r="AY170" s="5" t="s">
        <v>86</v>
      </c>
      <c r="BN170" s="5" t="s">
        <v>86</v>
      </c>
      <c r="CD170" s="5">
        <v>0</v>
      </c>
      <c r="CF170" s="1442" t="str">
        <f>IF([1]!sommaire[[#This Row],[présence des personnes déplacés interne]]="Oui","1","0")</f>
        <v>1</v>
      </c>
      <c r="CG170" s="1442" t="str">
        <f>IF([1]!sommaire[[#This Row],[présence Réfugié hors camp]]="Oui","1","0")</f>
        <v>0</v>
      </c>
      <c r="CH170" s="1442" t="str">
        <f>IF([1]!sommaire[[#This Row],[présence personnes retournées]]="Oui","1","0")</f>
        <v>0</v>
      </c>
      <c r="CI170" s="1442">
        <f>[1]!sommaire[[#This Row],[Flag PDI]]+[1]!sommaire[[#This Row],[Flag REF]]+[1]!sommaire[[#This Row],[Flag RET]]</f>
        <v>1</v>
      </c>
    </row>
    <row r="171" spans="1:87" ht="14.55" customHeight="1" x14ac:dyDescent="0.3">
      <c r="A171" s="390">
        <v>2658142</v>
      </c>
      <c r="B171" s="5" t="s">
        <v>533</v>
      </c>
      <c r="C171" s="1430" t="s">
        <v>3449</v>
      </c>
      <c r="D171" s="1090" t="s">
        <v>534</v>
      </c>
      <c r="E171" s="5" t="s">
        <v>31</v>
      </c>
      <c r="F171" s="5" t="s">
        <v>31</v>
      </c>
      <c r="G171" s="5" t="s">
        <v>549</v>
      </c>
      <c r="H171" s="5" t="s">
        <v>166</v>
      </c>
      <c r="I171" s="5" t="str">
        <f>_xlfn.XLOOKUP(sommaire[[#This Row],[Arrondissement_code]],OCHA_GIS!$F:$F,OCHA_GIS!$E:$E,,)</f>
        <v>Fotokol</v>
      </c>
      <c r="J171" s="5" t="s">
        <v>844</v>
      </c>
      <c r="K171" t="s">
        <v>2937</v>
      </c>
      <c r="L171" s="5" t="s">
        <v>2517</v>
      </c>
      <c r="N171" s="5" t="s">
        <v>3052</v>
      </c>
      <c r="O171" s="5" t="s">
        <v>2467</v>
      </c>
      <c r="P171" s="5" t="s">
        <v>85</v>
      </c>
      <c r="Q171" s="5" t="s">
        <v>86</v>
      </c>
      <c r="R171" s="5" t="s">
        <v>86</v>
      </c>
      <c r="T171" s="390">
        <v>3</v>
      </c>
      <c r="U171" s="5" t="s">
        <v>97</v>
      </c>
      <c r="W171" s="5" t="s">
        <v>2482</v>
      </c>
      <c r="AA171" s="5" t="s">
        <v>86</v>
      </c>
      <c r="AH171" s="1430" t="s">
        <v>86</v>
      </c>
      <c r="AY171" s="1430" t="s">
        <v>86</v>
      </c>
      <c r="BN171" s="1430" t="s">
        <v>86</v>
      </c>
      <c r="CF171" s="1442" t="str">
        <f>IF([1]!sommaire[[#This Row],[présence des personnes déplacés interne]]="Oui","1","0")</f>
        <v>0</v>
      </c>
      <c r="CG171" s="1442" t="str">
        <f>IF([1]!sommaire[[#This Row],[présence Réfugié hors camp]]="Oui","1","0")</f>
        <v>0</v>
      </c>
      <c r="CH171" s="1442" t="str">
        <f>IF([1]!sommaire[[#This Row],[présence personnes retournées]]="Oui","1","0")</f>
        <v>0</v>
      </c>
      <c r="CI171" s="1442">
        <f>[1]!sommaire[[#This Row],[Flag PDI]]+[1]!sommaire[[#This Row],[Flag REF]]+[1]!sommaire[[#This Row],[Flag RET]]</f>
        <v>0</v>
      </c>
    </row>
    <row r="172" spans="1:87" ht="14.55" customHeight="1" x14ac:dyDescent="0.3">
      <c r="A172" s="390">
        <v>2650171</v>
      </c>
      <c r="B172" s="5" t="s">
        <v>533</v>
      </c>
      <c r="C172" s="1430" t="s">
        <v>3449</v>
      </c>
      <c r="D172" s="1090" t="s">
        <v>534</v>
      </c>
      <c r="E172" s="5" t="s">
        <v>31</v>
      </c>
      <c r="F172" s="5" t="s">
        <v>31</v>
      </c>
      <c r="G172" s="5" t="s">
        <v>549</v>
      </c>
      <c r="H172" s="5" t="s">
        <v>166</v>
      </c>
      <c r="I172" s="5" t="str">
        <f>_xlfn.XLOOKUP(sommaire[[#This Row],[Arrondissement_code]],OCHA_GIS!$F:$F,OCHA_GIS!$E:$E,,)</f>
        <v>Fotokol</v>
      </c>
      <c r="J172" s="5" t="s">
        <v>844</v>
      </c>
      <c r="K172" t="s">
        <v>2501</v>
      </c>
      <c r="L172" s="5" t="s">
        <v>2508</v>
      </c>
      <c r="M172" s="1090"/>
      <c r="N172" s="1090" t="s">
        <v>3052</v>
      </c>
      <c r="O172" s="5" t="s">
        <v>2467</v>
      </c>
      <c r="P172" s="5" t="s">
        <v>86</v>
      </c>
      <c r="Q172" s="5" t="s">
        <v>86</v>
      </c>
      <c r="R172" s="5" t="s">
        <v>85</v>
      </c>
      <c r="U172" s="5" t="s">
        <v>97</v>
      </c>
      <c r="W172" s="5" t="s">
        <v>2468</v>
      </c>
      <c r="X172" s="5" t="s">
        <v>102</v>
      </c>
      <c r="AA172" s="5" t="s">
        <v>85</v>
      </c>
      <c r="AB172" s="5" t="s">
        <v>2469</v>
      </c>
      <c r="AC172" s="5" t="s">
        <v>2470</v>
      </c>
      <c r="AD172" s="1090" t="s">
        <v>86</v>
      </c>
      <c r="AF172" s="5">
        <v>29</v>
      </c>
      <c r="AG172" s="5">
        <v>570</v>
      </c>
      <c r="AH172" s="5" t="s">
        <v>85</v>
      </c>
      <c r="AI172" s="5" t="s">
        <v>2471</v>
      </c>
      <c r="AJ172" s="5">
        <v>29</v>
      </c>
      <c r="AK172" s="5">
        <v>159</v>
      </c>
      <c r="AL172" s="5">
        <v>77</v>
      </c>
      <c r="AM172" s="5">
        <v>82</v>
      </c>
      <c r="AN172" s="5">
        <v>0</v>
      </c>
      <c r="AO172" s="5">
        <v>29</v>
      </c>
      <c r="AP172" s="5">
        <v>0</v>
      </c>
      <c r="AQ172" s="5">
        <v>0</v>
      </c>
      <c r="AT172" s="5">
        <v>0</v>
      </c>
      <c r="AU172" s="5">
        <v>0</v>
      </c>
      <c r="AX172" s="5">
        <v>0</v>
      </c>
      <c r="AY172" s="5" t="s">
        <v>86</v>
      </c>
      <c r="BN172" s="5" t="s">
        <v>86</v>
      </c>
      <c r="CD172" s="5">
        <v>0</v>
      </c>
      <c r="CF172" s="1442" t="str">
        <f>IF([1]!sommaire[[#This Row],[présence des personnes déplacés interne]]="Oui","1","0")</f>
        <v>1</v>
      </c>
      <c r="CG172" s="1442" t="str">
        <f>IF([1]!sommaire[[#This Row],[présence Réfugié hors camp]]="Oui","1","0")</f>
        <v>0</v>
      </c>
      <c r="CH172" s="1442" t="str">
        <f>IF([1]!sommaire[[#This Row],[présence personnes retournées]]="Oui","1","0")</f>
        <v>0</v>
      </c>
      <c r="CI172" s="1442">
        <f>[1]!sommaire[[#This Row],[Flag PDI]]+[1]!sommaire[[#This Row],[Flag REF]]+[1]!sommaire[[#This Row],[Flag RET]]</f>
        <v>1</v>
      </c>
    </row>
    <row r="173" spans="1:87" ht="14.55" customHeight="1" x14ac:dyDescent="0.3">
      <c r="A173" s="390">
        <v>2658144</v>
      </c>
      <c r="B173" s="5" t="s">
        <v>533</v>
      </c>
      <c r="C173" s="1430" t="s">
        <v>3449</v>
      </c>
      <c r="D173" s="1090" t="s">
        <v>534</v>
      </c>
      <c r="E173" s="5" t="s">
        <v>31</v>
      </c>
      <c r="F173" s="5" t="s">
        <v>31</v>
      </c>
      <c r="G173" s="5" t="s">
        <v>549</v>
      </c>
      <c r="H173" s="5" t="s">
        <v>166</v>
      </c>
      <c r="I173" s="5" t="str">
        <f>_xlfn.XLOOKUP(sommaire[[#This Row],[Arrondissement_code]],OCHA_GIS!$F:$F,OCHA_GIS!$E:$E,,)</f>
        <v>Fotokol</v>
      </c>
      <c r="J173" s="5" t="s">
        <v>844</v>
      </c>
      <c r="K173" t="s">
        <v>2953</v>
      </c>
      <c r="L173" s="5" t="s">
        <v>2519</v>
      </c>
      <c r="N173" s="5" t="s">
        <v>3052</v>
      </c>
      <c r="O173" s="5" t="s">
        <v>2467</v>
      </c>
      <c r="P173" s="5" t="s">
        <v>85</v>
      </c>
      <c r="Q173" s="5" t="s">
        <v>86</v>
      </c>
      <c r="R173" s="5" t="s">
        <v>86</v>
      </c>
      <c r="T173" s="390">
        <v>3</v>
      </c>
      <c r="U173" s="5" t="s">
        <v>100</v>
      </c>
      <c r="W173" s="5" t="s">
        <v>2482</v>
      </c>
      <c r="AA173" s="5" t="s">
        <v>86</v>
      </c>
      <c r="AH173" s="1430" t="s">
        <v>86</v>
      </c>
      <c r="AY173" s="1430" t="s">
        <v>86</v>
      </c>
      <c r="BN173" s="1430" t="s">
        <v>86</v>
      </c>
      <c r="CF173" s="1442" t="str">
        <f>IF([1]!sommaire[[#This Row],[présence des personnes déplacés interne]]="Oui","1","0")</f>
        <v>0</v>
      </c>
      <c r="CG173" s="1442" t="str">
        <f>IF([1]!sommaire[[#This Row],[présence Réfugié hors camp]]="Oui","1","0")</f>
        <v>0</v>
      </c>
      <c r="CH173" s="1442" t="str">
        <f>IF([1]!sommaire[[#This Row],[présence personnes retournées]]="Oui","1","0")</f>
        <v>0</v>
      </c>
      <c r="CI173" s="1442">
        <f>[1]!sommaire[[#This Row],[Flag PDI]]+[1]!sommaire[[#This Row],[Flag REF]]+[1]!sommaire[[#This Row],[Flag RET]]</f>
        <v>0</v>
      </c>
    </row>
    <row r="174" spans="1:87" ht="14.55" customHeight="1" x14ac:dyDescent="0.3">
      <c r="A174" s="390">
        <v>2647727</v>
      </c>
      <c r="B174" s="5" t="s">
        <v>533</v>
      </c>
      <c r="C174" s="1430" t="s">
        <v>3449</v>
      </c>
      <c r="D174" s="1090" t="s">
        <v>534</v>
      </c>
      <c r="E174" s="5" t="s">
        <v>31</v>
      </c>
      <c r="F174" s="5" t="s">
        <v>31</v>
      </c>
      <c r="G174" s="5" t="s">
        <v>549</v>
      </c>
      <c r="H174" s="5" t="s">
        <v>166</v>
      </c>
      <c r="I174" s="5" t="str">
        <f>_xlfn.XLOOKUP(sommaire[[#This Row],[Arrondissement_code]],OCHA_GIS!$F:$F,OCHA_GIS!$E:$E,,)</f>
        <v>Fotokol</v>
      </c>
      <c r="J174" s="5" t="s">
        <v>844</v>
      </c>
      <c r="K174" t="s">
        <v>2960</v>
      </c>
      <c r="L174" s="5" t="s">
        <v>2523</v>
      </c>
      <c r="N174" s="5" t="s">
        <v>3053</v>
      </c>
      <c r="O174" s="5" t="s">
        <v>2467</v>
      </c>
      <c r="P174" s="5" t="s">
        <v>85</v>
      </c>
      <c r="Q174" s="5" t="s">
        <v>86</v>
      </c>
      <c r="R174" s="5" t="s">
        <v>86</v>
      </c>
      <c r="T174" s="390">
        <v>3</v>
      </c>
      <c r="U174" s="5" t="s">
        <v>100</v>
      </c>
      <c r="W174" s="5" t="s">
        <v>2482</v>
      </c>
      <c r="AA174" s="5" t="s">
        <v>86</v>
      </c>
      <c r="AH174" s="1430" t="s">
        <v>86</v>
      </c>
      <c r="AY174" s="1430" t="s">
        <v>86</v>
      </c>
      <c r="BN174" s="1430" t="s">
        <v>86</v>
      </c>
      <c r="CF174" s="1442" t="str">
        <f>IF([1]!sommaire[[#This Row],[présence des personnes déplacés interne]]="Oui","1","0")</f>
        <v>0</v>
      </c>
      <c r="CG174" s="1442" t="str">
        <f>IF([1]!sommaire[[#This Row],[présence Réfugié hors camp]]="Oui","1","0")</f>
        <v>0</v>
      </c>
      <c r="CH174" s="1442" t="str">
        <f>IF([1]!sommaire[[#This Row],[présence personnes retournées]]="Oui","1","0")</f>
        <v>0</v>
      </c>
      <c r="CI174" s="1442">
        <f>[1]!sommaire[[#This Row],[Flag PDI]]+[1]!sommaire[[#This Row],[Flag REF]]+[1]!sommaire[[#This Row],[Flag RET]]</f>
        <v>0</v>
      </c>
    </row>
    <row r="175" spans="1:87" ht="14.55" customHeight="1" x14ac:dyDescent="0.3">
      <c r="A175" s="390">
        <v>2661985</v>
      </c>
      <c r="B175" s="5" t="s">
        <v>533</v>
      </c>
      <c r="C175" s="1430" t="s">
        <v>3449</v>
      </c>
      <c r="D175" s="1090" t="s">
        <v>534</v>
      </c>
      <c r="E175" s="5" t="s">
        <v>31</v>
      </c>
      <c r="F175" s="5" t="s">
        <v>31</v>
      </c>
      <c r="G175" s="5" t="s">
        <v>549</v>
      </c>
      <c r="H175" s="5" t="s">
        <v>166</v>
      </c>
      <c r="I175" s="5" t="str">
        <f>_xlfn.XLOOKUP(sommaire[[#This Row],[Arrondissement_code]],OCHA_GIS!$F:$F,OCHA_GIS!$E:$E,,)</f>
        <v>Fotokol</v>
      </c>
      <c r="J175" s="5" t="s">
        <v>844</v>
      </c>
      <c r="K175" t="s">
        <v>2979</v>
      </c>
      <c r="L175" s="5" t="s">
        <v>1179</v>
      </c>
      <c r="N175" s="5" t="s">
        <v>3052</v>
      </c>
      <c r="O175" s="5" t="s">
        <v>2467</v>
      </c>
      <c r="P175" s="5" t="s">
        <v>85</v>
      </c>
      <c r="Q175" s="5" t="s">
        <v>86</v>
      </c>
      <c r="R175" s="5" t="s">
        <v>86</v>
      </c>
      <c r="T175" s="390">
        <v>3</v>
      </c>
      <c r="U175" s="5" t="s">
        <v>97</v>
      </c>
      <c r="W175" s="5" t="s">
        <v>2468</v>
      </c>
      <c r="X175" s="5" t="s">
        <v>103</v>
      </c>
      <c r="Y175" s="5" t="s">
        <v>274</v>
      </c>
      <c r="AA175" s="586" t="s">
        <v>85</v>
      </c>
      <c r="AB175" s="5" t="s">
        <v>2469</v>
      </c>
      <c r="AC175" s="5" t="s">
        <v>2470</v>
      </c>
      <c r="AD175" s="5" t="s">
        <v>86</v>
      </c>
      <c r="AF175" s="5">
        <v>7</v>
      </c>
      <c r="AG175" s="5">
        <v>1062</v>
      </c>
      <c r="AH175" s="5" t="s">
        <v>85</v>
      </c>
      <c r="AI175" s="5" t="s">
        <v>2471</v>
      </c>
      <c r="AJ175" s="5">
        <v>7</v>
      </c>
      <c r="AK175" s="5">
        <v>50</v>
      </c>
      <c r="AL175" s="5">
        <v>20</v>
      </c>
      <c r="AM175" s="5">
        <v>30</v>
      </c>
      <c r="AN175" s="5">
        <v>0</v>
      </c>
      <c r="AO175" s="5">
        <v>7</v>
      </c>
      <c r="AP175" s="5">
        <v>0</v>
      </c>
      <c r="AQ175" s="5">
        <v>0</v>
      </c>
      <c r="AT175" s="5">
        <v>0</v>
      </c>
      <c r="AU175" s="5">
        <v>0</v>
      </c>
      <c r="AX175" s="5">
        <v>0</v>
      </c>
      <c r="AY175" s="5" t="s">
        <v>86</v>
      </c>
      <c r="BN175" s="5" t="s">
        <v>86</v>
      </c>
      <c r="CD175" s="5">
        <v>0</v>
      </c>
      <c r="CF175" s="1442" t="str">
        <f>IF([1]!sommaire[[#This Row],[présence des personnes déplacés interne]]="Oui","1","0")</f>
        <v>1</v>
      </c>
      <c r="CG175" s="1442" t="str">
        <f>IF([1]!sommaire[[#This Row],[présence Réfugié hors camp]]="Oui","1","0")</f>
        <v>0</v>
      </c>
      <c r="CH175" s="1442" t="str">
        <f>IF([1]!sommaire[[#This Row],[présence personnes retournées]]="Oui","1","0")</f>
        <v>0</v>
      </c>
      <c r="CI175" s="1442">
        <f>[1]!sommaire[[#This Row],[Flag PDI]]+[1]!sommaire[[#This Row],[Flag REF]]+[1]!sommaire[[#This Row],[Flag RET]]</f>
        <v>1</v>
      </c>
    </row>
    <row r="176" spans="1:87" ht="14.55" customHeight="1" x14ac:dyDescent="0.3">
      <c r="A176" s="390">
        <v>2661983</v>
      </c>
      <c r="B176" s="5" t="s">
        <v>533</v>
      </c>
      <c r="C176" s="1430" t="s">
        <v>3449</v>
      </c>
      <c r="D176" s="1090" t="s">
        <v>534</v>
      </c>
      <c r="E176" s="5" t="s">
        <v>31</v>
      </c>
      <c r="F176" s="5" t="s">
        <v>31</v>
      </c>
      <c r="G176" s="5" t="s">
        <v>549</v>
      </c>
      <c r="H176" s="5" t="s">
        <v>166</v>
      </c>
      <c r="I176" s="5" t="str">
        <f>_xlfn.XLOOKUP(sommaire[[#This Row],[Arrondissement_code]],OCHA_GIS!$F:$F,OCHA_GIS!$E:$E,,)</f>
        <v>Fotokol</v>
      </c>
      <c r="J176" s="5" t="s">
        <v>844</v>
      </c>
      <c r="K176" t="s">
        <v>2984</v>
      </c>
      <c r="L176" s="5" t="s">
        <v>2125</v>
      </c>
      <c r="N176" s="5" t="s">
        <v>3052</v>
      </c>
      <c r="O176" s="5" t="s">
        <v>2467</v>
      </c>
      <c r="P176" s="5" t="s">
        <v>85</v>
      </c>
      <c r="Q176" s="5" t="s">
        <v>86</v>
      </c>
      <c r="R176" s="5" t="s">
        <v>86</v>
      </c>
      <c r="T176" s="390">
        <v>3</v>
      </c>
      <c r="U176" s="5" t="s">
        <v>97</v>
      </c>
      <c r="W176" s="5" t="s">
        <v>2468</v>
      </c>
      <c r="X176" s="5" t="s">
        <v>102</v>
      </c>
      <c r="AA176" s="5" t="s">
        <v>85</v>
      </c>
      <c r="AB176" s="5" t="s">
        <v>2469</v>
      </c>
      <c r="AC176" s="5" t="s">
        <v>2470</v>
      </c>
      <c r="AD176" s="5" t="s">
        <v>86</v>
      </c>
      <c r="AF176" s="5">
        <v>150</v>
      </c>
      <c r="AG176" s="5">
        <v>3030</v>
      </c>
      <c r="AH176" s="5" t="s">
        <v>85</v>
      </c>
      <c r="AI176" s="5" t="s">
        <v>2471</v>
      </c>
      <c r="AJ176" s="5">
        <v>150</v>
      </c>
      <c r="AK176" s="5">
        <v>450</v>
      </c>
      <c r="AL176" s="5">
        <v>215</v>
      </c>
      <c r="AM176" s="5">
        <v>235</v>
      </c>
      <c r="AN176" s="5">
        <v>0</v>
      </c>
      <c r="AO176" s="5">
        <v>150</v>
      </c>
      <c r="AP176" s="5">
        <v>0</v>
      </c>
      <c r="AQ176" s="5">
        <v>0</v>
      </c>
      <c r="AT176" s="5">
        <v>0</v>
      </c>
      <c r="AU176" s="5">
        <v>0</v>
      </c>
      <c r="AX176" s="5">
        <v>0</v>
      </c>
      <c r="AY176" s="5" t="s">
        <v>86</v>
      </c>
      <c r="BN176" s="5" t="s">
        <v>86</v>
      </c>
      <c r="CD176" s="5">
        <v>0</v>
      </c>
      <c r="CF176" s="1442" t="str">
        <f>IF([1]!sommaire[[#This Row],[présence des personnes déplacés interne]]="Oui","1","0")</f>
        <v>1</v>
      </c>
      <c r="CG176" s="1442" t="str">
        <f>IF([1]!sommaire[[#This Row],[présence Réfugié hors camp]]="Oui","1","0")</f>
        <v>0</v>
      </c>
      <c r="CH176" s="1442" t="str">
        <f>IF([1]!sommaire[[#This Row],[présence personnes retournées]]="Oui","1","0")</f>
        <v>0</v>
      </c>
      <c r="CI176" s="1442">
        <f>[1]!sommaire[[#This Row],[Flag PDI]]+[1]!sommaire[[#This Row],[Flag REF]]+[1]!sommaire[[#This Row],[Flag RET]]</f>
        <v>1</v>
      </c>
    </row>
    <row r="177" spans="1:87" ht="14.55" customHeight="1" x14ac:dyDescent="0.3">
      <c r="A177" s="390">
        <v>2661986</v>
      </c>
      <c r="B177" s="5" t="s">
        <v>533</v>
      </c>
      <c r="C177" s="1430" t="s">
        <v>3449</v>
      </c>
      <c r="D177" s="1090" t="s">
        <v>534</v>
      </c>
      <c r="E177" s="5" t="s">
        <v>31</v>
      </c>
      <c r="F177" s="5" t="s">
        <v>31</v>
      </c>
      <c r="G177" s="5" t="s">
        <v>549</v>
      </c>
      <c r="H177" s="5" t="s">
        <v>166</v>
      </c>
      <c r="I177" s="5" t="str">
        <f>_xlfn.XLOOKUP(sommaire[[#This Row],[Arrondissement_code]],OCHA_GIS!$F:$F,OCHA_GIS!$E:$E,,)</f>
        <v>Fotokol</v>
      </c>
      <c r="J177" s="5" t="s">
        <v>844</v>
      </c>
      <c r="K177" t="s">
        <v>2172</v>
      </c>
      <c r="L177" s="5" t="s">
        <v>971</v>
      </c>
      <c r="N177" s="5" t="s">
        <v>3052</v>
      </c>
      <c r="O177" s="5" t="s">
        <v>2467</v>
      </c>
      <c r="P177" s="5" t="s">
        <v>85</v>
      </c>
      <c r="Q177" s="5" t="s">
        <v>86</v>
      </c>
      <c r="R177" s="5" t="s">
        <v>86</v>
      </c>
      <c r="T177" s="390">
        <v>3</v>
      </c>
      <c r="U177" s="5" t="s">
        <v>97</v>
      </c>
      <c r="W177" s="5" t="s">
        <v>2468</v>
      </c>
      <c r="X177" s="5" t="s">
        <v>102</v>
      </c>
      <c r="AA177" s="586" t="s">
        <v>85</v>
      </c>
      <c r="AB177" s="5" t="s">
        <v>2469</v>
      </c>
      <c r="AC177" s="5" t="s">
        <v>2470</v>
      </c>
      <c r="AD177" s="5" t="s">
        <v>86</v>
      </c>
      <c r="AF177" s="5">
        <v>40</v>
      </c>
      <c r="AG177" s="5">
        <v>235</v>
      </c>
      <c r="AH177" s="5" t="s">
        <v>85</v>
      </c>
      <c r="AI177" s="5" t="s">
        <v>2471</v>
      </c>
      <c r="AJ177" s="5">
        <v>40</v>
      </c>
      <c r="AK177" s="5">
        <v>85</v>
      </c>
      <c r="AL177" s="5">
        <v>35</v>
      </c>
      <c r="AM177" s="5">
        <v>50</v>
      </c>
      <c r="AN177" s="5">
        <v>0</v>
      </c>
      <c r="AO177" s="5">
        <v>40</v>
      </c>
      <c r="AP177" s="5">
        <v>0</v>
      </c>
      <c r="AQ177" s="5">
        <v>0</v>
      </c>
      <c r="AT177" s="5">
        <v>0</v>
      </c>
      <c r="AU177" s="5">
        <v>0</v>
      </c>
      <c r="AX177" s="5">
        <v>0</v>
      </c>
      <c r="AY177" s="5" t="s">
        <v>86</v>
      </c>
      <c r="BN177" s="5" t="s">
        <v>86</v>
      </c>
      <c r="CD177" s="5">
        <v>2</v>
      </c>
      <c r="CF177" s="1442" t="str">
        <f>IF([1]!sommaire[[#This Row],[présence des personnes déplacés interne]]="Oui","1","0")</f>
        <v>1</v>
      </c>
      <c r="CG177" s="1442" t="str">
        <f>IF([1]!sommaire[[#This Row],[présence Réfugié hors camp]]="Oui","1","0")</f>
        <v>0</v>
      </c>
      <c r="CH177" s="1442" t="str">
        <f>IF([1]!sommaire[[#This Row],[présence personnes retournées]]="Oui","1","0")</f>
        <v>0</v>
      </c>
      <c r="CI177" s="1442">
        <f>[1]!sommaire[[#This Row],[Flag PDI]]+[1]!sommaire[[#This Row],[Flag REF]]+[1]!sommaire[[#This Row],[Flag RET]]</f>
        <v>1</v>
      </c>
    </row>
    <row r="178" spans="1:87" ht="14.55" customHeight="1" x14ac:dyDescent="0.3">
      <c r="A178" s="390">
        <v>2674846</v>
      </c>
      <c r="B178" s="5" t="s">
        <v>533</v>
      </c>
      <c r="C178" s="1430" t="s">
        <v>3449</v>
      </c>
      <c r="D178" s="1090" t="s">
        <v>534</v>
      </c>
      <c r="E178" s="5" t="s">
        <v>31</v>
      </c>
      <c r="F178" s="5" t="s">
        <v>31</v>
      </c>
      <c r="G178" s="5" t="s">
        <v>549</v>
      </c>
      <c r="H178" s="5" t="s">
        <v>166</v>
      </c>
      <c r="I178" s="5" t="str">
        <f>_xlfn.XLOOKUP(sommaire[[#This Row],[Arrondissement_code]],OCHA_GIS!$F:$F,OCHA_GIS!$E:$E,,)</f>
        <v>Fotokol</v>
      </c>
      <c r="J178" s="5" t="s">
        <v>844</v>
      </c>
      <c r="K178" t="s">
        <v>2503</v>
      </c>
      <c r="L178" s="5" t="s">
        <v>1549</v>
      </c>
      <c r="N178" s="5" t="s">
        <v>3053</v>
      </c>
      <c r="O178" s="5" t="s">
        <v>2467</v>
      </c>
      <c r="P178" s="5" t="s">
        <v>85</v>
      </c>
      <c r="Q178" s="5" t="s">
        <v>86</v>
      </c>
      <c r="R178" s="5" t="s">
        <v>86</v>
      </c>
      <c r="T178" s="390">
        <v>3</v>
      </c>
      <c r="U178" s="5" t="s">
        <v>97</v>
      </c>
      <c r="W178" s="5" t="s">
        <v>2468</v>
      </c>
      <c r="X178" s="5" t="s">
        <v>102</v>
      </c>
      <c r="AA178" s="5" t="s">
        <v>85</v>
      </c>
      <c r="AB178" s="5" t="s">
        <v>2469</v>
      </c>
      <c r="AC178" s="5" t="s">
        <v>2470</v>
      </c>
      <c r="AD178" s="5" t="s">
        <v>86</v>
      </c>
      <c r="AF178" s="5">
        <v>8</v>
      </c>
      <c r="AG178" s="5">
        <v>3887</v>
      </c>
      <c r="AH178" s="5" t="s">
        <v>85</v>
      </c>
      <c r="AI178" s="5" t="s">
        <v>2471</v>
      </c>
      <c r="AJ178" s="5">
        <v>8</v>
      </c>
      <c r="AK178" s="5">
        <v>37</v>
      </c>
      <c r="AL178" s="5">
        <v>17</v>
      </c>
      <c r="AM178" s="5">
        <v>20</v>
      </c>
      <c r="AN178" s="5">
        <v>0</v>
      </c>
      <c r="AO178" s="5">
        <v>8</v>
      </c>
      <c r="AP178" s="5">
        <v>0</v>
      </c>
      <c r="AQ178" s="5">
        <v>0</v>
      </c>
      <c r="AT178" s="5">
        <v>0</v>
      </c>
      <c r="AU178" s="5">
        <v>0</v>
      </c>
      <c r="AX178" s="5">
        <v>0</v>
      </c>
      <c r="AY178" s="5" t="s">
        <v>85</v>
      </c>
      <c r="AZ178" s="5">
        <v>66</v>
      </c>
      <c r="BA178" s="5">
        <v>318</v>
      </c>
      <c r="BB178" s="5">
        <v>150</v>
      </c>
      <c r="BC178" s="5">
        <v>168</v>
      </c>
      <c r="BD178" s="5">
        <v>0</v>
      </c>
      <c r="BE178" s="5">
        <v>66</v>
      </c>
      <c r="BF178" s="5">
        <v>0</v>
      </c>
      <c r="BH178" s="5">
        <v>0</v>
      </c>
      <c r="BI178" s="5">
        <v>0</v>
      </c>
      <c r="BL178" s="5">
        <v>0</v>
      </c>
      <c r="BM178" s="5">
        <v>15</v>
      </c>
      <c r="BN178" s="5" t="s">
        <v>85</v>
      </c>
      <c r="BO178" s="5">
        <v>197</v>
      </c>
      <c r="BP178" s="5">
        <v>1427</v>
      </c>
      <c r="BQ178" s="5">
        <v>698</v>
      </c>
      <c r="BR178" s="5">
        <v>729</v>
      </c>
      <c r="BS178" s="5" t="s">
        <v>2535</v>
      </c>
      <c r="BT178" s="5">
        <v>0</v>
      </c>
      <c r="BU178" s="5">
        <v>197</v>
      </c>
      <c r="BV178" s="5">
        <v>0</v>
      </c>
      <c r="BW178" s="5">
        <v>0</v>
      </c>
      <c r="BX178" s="5">
        <v>0</v>
      </c>
      <c r="BZ178" s="5">
        <v>0</v>
      </c>
      <c r="CA178" s="5">
        <v>0</v>
      </c>
      <c r="CC178" s="5">
        <v>0</v>
      </c>
      <c r="CD178" s="5">
        <v>0</v>
      </c>
      <c r="CF178" s="1442" t="str">
        <f>IF([1]!sommaire[[#This Row],[présence des personnes déplacés interne]]="Oui","1","0")</f>
        <v>1</v>
      </c>
      <c r="CG178" s="1442" t="str">
        <f>IF([1]!sommaire[[#This Row],[présence Réfugié hors camp]]="Oui","1","0")</f>
        <v>1</v>
      </c>
      <c r="CH178" s="1442" t="str">
        <f>IF([1]!sommaire[[#This Row],[présence personnes retournées]]="Oui","1","0")</f>
        <v>1</v>
      </c>
      <c r="CI178" s="1442">
        <f>[1]!sommaire[[#This Row],[Flag PDI]]+[1]!sommaire[[#This Row],[Flag REF]]+[1]!sommaire[[#This Row],[Flag RET]]</f>
        <v>3</v>
      </c>
    </row>
    <row r="179" spans="1:87" ht="14.55" customHeight="1" x14ac:dyDescent="0.3">
      <c r="A179" s="390">
        <v>2661987</v>
      </c>
      <c r="B179" s="5" t="s">
        <v>533</v>
      </c>
      <c r="C179" s="1430" t="s">
        <v>3449</v>
      </c>
      <c r="D179" s="5" t="s">
        <v>534</v>
      </c>
      <c r="E179" s="5" t="s">
        <v>31</v>
      </c>
      <c r="F179" s="5" t="s">
        <v>31</v>
      </c>
      <c r="G179" s="5" t="s">
        <v>549</v>
      </c>
      <c r="H179" s="5" t="s">
        <v>166</v>
      </c>
      <c r="I179" s="5" t="str">
        <f>_xlfn.XLOOKUP(sommaire[[#This Row],[Arrondissement_code]],OCHA_GIS!$F:$F,OCHA_GIS!$E:$E,,)</f>
        <v>Fotokol</v>
      </c>
      <c r="J179" s="5" t="s">
        <v>844</v>
      </c>
      <c r="K179" t="s">
        <v>2514</v>
      </c>
      <c r="L179" s="5" t="s">
        <v>3257</v>
      </c>
      <c r="N179" s="5" t="s">
        <v>3052</v>
      </c>
      <c r="O179" s="5" t="s">
        <v>2473</v>
      </c>
      <c r="P179" s="5" t="s">
        <v>85</v>
      </c>
      <c r="Q179" s="5" t="s">
        <v>86</v>
      </c>
      <c r="R179" s="5" t="s">
        <v>86</v>
      </c>
      <c r="T179" s="390">
        <v>3</v>
      </c>
      <c r="U179" s="5" t="s">
        <v>97</v>
      </c>
      <c r="W179" s="5" t="s">
        <v>2468</v>
      </c>
      <c r="X179" s="5" t="s">
        <v>102</v>
      </c>
      <c r="AA179" s="5" t="s">
        <v>85</v>
      </c>
      <c r="AB179" s="5" t="s">
        <v>2469</v>
      </c>
      <c r="AC179" s="5" t="s">
        <v>2470</v>
      </c>
      <c r="AF179" s="5">
        <v>51</v>
      </c>
      <c r="AG179" s="5">
        <v>3980</v>
      </c>
      <c r="AH179" s="5" t="s">
        <v>85</v>
      </c>
      <c r="AI179" s="5" t="s">
        <v>2471</v>
      </c>
      <c r="AJ179" s="5">
        <v>51</v>
      </c>
      <c r="AK179" s="5">
        <v>233</v>
      </c>
      <c r="AL179" s="5">
        <v>105</v>
      </c>
      <c r="AM179" s="5">
        <v>128</v>
      </c>
      <c r="AN179" s="5">
        <v>0</v>
      </c>
      <c r="AO179" s="5">
        <v>51</v>
      </c>
      <c r="AP179" s="5">
        <v>0</v>
      </c>
      <c r="AQ179" s="5">
        <v>0</v>
      </c>
      <c r="AT179" s="5">
        <v>0</v>
      </c>
      <c r="AU179" s="5">
        <v>0</v>
      </c>
      <c r="AX179" s="5">
        <v>0</v>
      </c>
      <c r="AY179" s="5" t="s">
        <v>86</v>
      </c>
      <c r="BN179" s="5" t="s">
        <v>86</v>
      </c>
      <c r="CD179" s="5">
        <v>3</v>
      </c>
      <c r="CF179" s="1442" t="str">
        <f>IF([1]!sommaire[[#This Row],[présence des personnes déplacés interne]]="Oui","1","0")</f>
        <v>1</v>
      </c>
      <c r="CG179" s="1442" t="str">
        <f>IF([1]!sommaire[[#This Row],[présence Réfugié hors camp]]="Oui","1","0")</f>
        <v>0</v>
      </c>
      <c r="CH179" s="1442" t="str">
        <f>IF([1]!sommaire[[#This Row],[présence personnes retournées]]="Oui","1","0")</f>
        <v>0</v>
      </c>
      <c r="CI179" s="1442">
        <f>[1]!sommaire[[#This Row],[Flag PDI]]+[1]!sommaire[[#This Row],[Flag REF]]+[1]!sommaire[[#This Row],[Flag RET]]</f>
        <v>1</v>
      </c>
    </row>
    <row r="180" spans="1:87" ht="14.55" customHeight="1" x14ac:dyDescent="0.3">
      <c r="A180" s="390">
        <v>2612127</v>
      </c>
      <c r="B180" s="5" t="s">
        <v>533</v>
      </c>
      <c r="C180" s="1430" t="s">
        <v>3449</v>
      </c>
      <c r="D180" s="5" t="s">
        <v>534</v>
      </c>
      <c r="E180" s="5" t="s">
        <v>31</v>
      </c>
      <c r="F180" s="5" t="s">
        <v>31</v>
      </c>
      <c r="G180" s="5" t="s">
        <v>549</v>
      </c>
      <c r="H180" s="5" t="s">
        <v>166</v>
      </c>
      <c r="I180" s="5" t="str">
        <f>_xlfn.XLOOKUP(sommaire[[#This Row],[Arrondissement_code]],OCHA_GIS!$F:$F,OCHA_GIS!$E:$E,,)</f>
        <v>Fotokol</v>
      </c>
      <c r="J180" s="5" t="s">
        <v>844</v>
      </c>
      <c r="K180" t="s">
        <v>1548</v>
      </c>
      <c r="L180" s="5" t="s">
        <v>3308</v>
      </c>
      <c r="N180" s="5" t="s">
        <v>3053</v>
      </c>
      <c r="O180" s="5" t="s">
        <v>2473</v>
      </c>
      <c r="P180" s="5" t="s">
        <v>85</v>
      </c>
      <c r="Q180" s="5" t="s">
        <v>86</v>
      </c>
      <c r="R180" s="5" t="s">
        <v>86</v>
      </c>
      <c r="T180" s="390">
        <v>5</v>
      </c>
      <c r="U180" s="5" t="s">
        <v>97</v>
      </c>
      <c r="W180" s="5" t="s">
        <v>2468</v>
      </c>
      <c r="X180" s="5" t="s">
        <v>102</v>
      </c>
      <c r="AA180" s="5" t="s">
        <v>85</v>
      </c>
      <c r="AB180" s="5" t="s">
        <v>2473</v>
      </c>
      <c r="AC180" s="5" t="s">
        <v>2470</v>
      </c>
      <c r="AF180" s="5">
        <v>16</v>
      </c>
      <c r="AG180" s="5">
        <v>971</v>
      </c>
      <c r="AH180" s="5" t="s">
        <v>85</v>
      </c>
      <c r="AI180" s="5" t="s">
        <v>2471</v>
      </c>
      <c r="AJ180" s="5">
        <v>16</v>
      </c>
      <c r="AK180" s="5">
        <v>102</v>
      </c>
      <c r="AL180" s="5">
        <v>42</v>
      </c>
      <c r="AM180" s="5">
        <v>60</v>
      </c>
      <c r="AN180" s="5">
        <v>0</v>
      </c>
      <c r="AO180" s="5">
        <v>0</v>
      </c>
      <c r="AP180" s="5">
        <v>0</v>
      </c>
      <c r="AQ180" s="5">
        <v>0</v>
      </c>
      <c r="AT180" s="5">
        <v>0</v>
      </c>
      <c r="AU180" s="5">
        <v>16</v>
      </c>
      <c r="AV180" s="5" t="s">
        <v>2490</v>
      </c>
      <c r="AX180" s="5">
        <v>0</v>
      </c>
      <c r="AY180" s="5" t="s">
        <v>85</v>
      </c>
      <c r="AZ180" s="5">
        <v>24</v>
      </c>
      <c r="BA180" s="5">
        <v>140</v>
      </c>
      <c r="BB180" s="5">
        <v>45</v>
      </c>
      <c r="BC180" s="5">
        <v>95</v>
      </c>
      <c r="BD180" s="5">
        <v>0</v>
      </c>
      <c r="BE180" s="5">
        <v>0</v>
      </c>
      <c r="BF180" s="5">
        <v>0</v>
      </c>
      <c r="BH180" s="5">
        <v>0</v>
      </c>
      <c r="BI180" s="5">
        <v>24</v>
      </c>
      <c r="BJ180" s="5" t="s">
        <v>2490</v>
      </c>
      <c r="BL180" s="5">
        <v>0</v>
      </c>
      <c r="BM180" s="5">
        <v>11</v>
      </c>
      <c r="BN180" s="5" t="s">
        <v>86</v>
      </c>
      <c r="CD180" s="5">
        <v>0</v>
      </c>
      <c r="CF180" s="1442" t="str">
        <f>IF([1]!sommaire[[#This Row],[présence des personnes déplacés interne]]="Oui","1","0")</f>
        <v>1</v>
      </c>
      <c r="CG180" s="1442" t="str">
        <f>IF([1]!sommaire[[#This Row],[présence Réfugié hors camp]]="Oui","1","0")</f>
        <v>1</v>
      </c>
      <c r="CH180" s="1442" t="str">
        <f>IF([1]!sommaire[[#This Row],[présence personnes retournées]]="Oui","1","0")</f>
        <v>0</v>
      </c>
      <c r="CI180" s="1442">
        <f>[1]!sommaire[[#This Row],[Flag PDI]]+[1]!sommaire[[#This Row],[Flag REF]]+[1]!sommaire[[#This Row],[Flag RET]]</f>
        <v>2</v>
      </c>
    </row>
    <row r="181" spans="1:87" ht="14.55" customHeight="1" x14ac:dyDescent="0.3">
      <c r="A181" s="390">
        <v>2645057</v>
      </c>
      <c r="B181" s="5" t="s">
        <v>533</v>
      </c>
      <c r="C181" s="1430" t="s">
        <v>3449</v>
      </c>
      <c r="D181" s="5" t="s">
        <v>534</v>
      </c>
      <c r="E181" s="5" t="s">
        <v>31</v>
      </c>
      <c r="F181" s="5" t="s">
        <v>31</v>
      </c>
      <c r="G181" s="5" t="s">
        <v>549</v>
      </c>
      <c r="H181" s="5" t="s">
        <v>166</v>
      </c>
      <c r="I181" s="5" t="str">
        <f>_xlfn.XLOOKUP(sommaire[[#This Row],[Arrondissement_code]],OCHA_GIS!$F:$F,OCHA_GIS!$E:$E,,)</f>
        <v>Fotokol</v>
      </c>
      <c r="J181" s="5" t="s">
        <v>844</v>
      </c>
      <c r="K181" t="s">
        <v>3011</v>
      </c>
      <c r="L181" s="5" t="s">
        <v>2510</v>
      </c>
      <c r="N181" s="5" t="s">
        <v>3053</v>
      </c>
      <c r="O181" s="5" t="s">
        <v>2467</v>
      </c>
      <c r="P181" s="5" t="s">
        <v>85</v>
      </c>
      <c r="Q181" s="5" t="s">
        <v>86</v>
      </c>
      <c r="R181" s="5" t="s">
        <v>86</v>
      </c>
      <c r="T181" s="390">
        <v>3</v>
      </c>
      <c r="U181" s="5" t="s">
        <v>100</v>
      </c>
      <c r="W181" s="5" t="s">
        <v>2482</v>
      </c>
      <c r="AA181" s="5" t="s">
        <v>86</v>
      </c>
      <c r="AH181" s="1430" t="s">
        <v>86</v>
      </c>
      <c r="AY181" s="1430" t="s">
        <v>86</v>
      </c>
      <c r="BN181" s="1430" t="s">
        <v>86</v>
      </c>
      <c r="CF181" s="1442" t="str">
        <f>IF([1]!sommaire[[#This Row],[présence des personnes déplacés interne]]="Oui","1","0")</f>
        <v>0</v>
      </c>
      <c r="CG181" s="1442" t="str">
        <f>IF([1]!sommaire[[#This Row],[présence Réfugié hors camp]]="Oui","1","0")</f>
        <v>0</v>
      </c>
      <c r="CH181" s="1442" t="str">
        <f>IF([1]!sommaire[[#This Row],[présence personnes retournées]]="Oui","1","0")</f>
        <v>0</v>
      </c>
      <c r="CI181" s="1442">
        <f>[1]!sommaire[[#This Row],[Flag PDI]]+[1]!sommaire[[#This Row],[Flag REF]]+[1]!sommaire[[#This Row],[Flag RET]]</f>
        <v>0</v>
      </c>
    </row>
    <row r="182" spans="1:87" ht="14.55" customHeight="1" x14ac:dyDescent="0.3">
      <c r="A182" s="390">
        <v>2663844</v>
      </c>
      <c r="B182" s="5" t="s">
        <v>533</v>
      </c>
      <c r="C182" s="1430" t="s">
        <v>3449</v>
      </c>
      <c r="D182" s="5" t="s">
        <v>534</v>
      </c>
      <c r="E182" s="5" t="s">
        <v>31</v>
      </c>
      <c r="F182" s="5" t="s">
        <v>31</v>
      </c>
      <c r="G182" s="5" t="s">
        <v>549</v>
      </c>
      <c r="H182" s="5" t="s">
        <v>166</v>
      </c>
      <c r="I182" s="5" t="str">
        <f>_xlfn.XLOOKUP(sommaire[[#This Row],[Arrondissement_code]],OCHA_GIS!$F:$F,OCHA_GIS!$E:$E,,)</f>
        <v>Fotokol</v>
      </c>
      <c r="J182" s="5" t="s">
        <v>844</v>
      </c>
      <c r="K182" t="s">
        <v>3022</v>
      </c>
      <c r="L182" s="5" t="s">
        <v>2522</v>
      </c>
      <c r="N182" s="5" t="s">
        <v>3053</v>
      </c>
      <c r="O182" s="5" t="s">
        <v>2467</v>
      </c>
      <c r="P182" s="5" t="s">
        <v>85</v>
      </c>
      <c r="Q182" s="5" t="s">
        <v>86</v>
      </c>
      <c r="R182" s="5" t="s">
        <v>86</v>
      </c>
      <c r="T182" s="390">
        <v>3</v>
      </c>
      <c r="U182" s="5" t="s">
        <v>97</v>
      </c>
      <c r="W182" s="5" t="s">
        <v>2482</v>
      </c>
      <c r="AA182" s="5" t="s">
        <v>86</v>
      </c>
      <c r="AH182" s="1430" t="s">
        <v>86</v>
      </c>
      <c r="AY182" s="1430" t="s">
        <v>86</v>
      </c>
      <c r="BN182" s="1430" t="s">
        <v>86</v>
      </c>
      <c r="CF182" s="1442" t="str">
        <f>IF([1]!sommaire[[#This Row],[présence des personnes déplacés interne]]="Oui","1","0")</f>
        <v>0</v>
      </c>
      <c r="CG182" s="1442" t="str">
        <f>IF([1]!sommaire[[#This Row],[présence Réfugié hors camp]]="Oui","1","0")</f>
        <v>0</v>
      </c>
      <c r="CH182" s="1442" t="str">
        <f>IF([1]!sommaire[[#This Row],[présence personnes retournées]]="Oui","1","0")</f>
        <v>0</v>
      </c>
      <c r="CI182" s="1442">
        <f>[1]!sommaire[[#This Row],[Flag PDI]]+[1]!sommaire[[#This Row],[Flag REF]]+[1]!sommaire[[#This Row],[Flag RET]]</f>
        <v>0</v>
      </c>
    </row>
    <row r="183" spans="1:87" ht="14.55" customHeight="1" x14ac:dyDescent="0.3">
      <c r="A183" s="390">
        <v>2645054</v>
      </c>
      <c r="B183" s="5" t="s">
        <v>533</v>
      </c>
      <c r="C183" s="1430" t="s">
        <v>3449</v>
      </c>
      <c r="D183" s="5" t="s">
        <v>534</v>
      </c>
      <c r="E183" s="5" t="s">
        <v>31</v>
      </c>
      <c r="F183" s="5" t="s">
        <v>31</v>
      </c>
      <c r="G183" s="5" t="s">
        <v>549</v>
      </c>
      <c r="H183" s="5" t="s">
        <v>166</v>
      </c>
      <c r="I183" s="5" t="str">
        <f>_xlfn.XLOOKUP(sommaire[[#This Row],[Arrondissement_code]],OCHA_GIS!$F:$F,OCHA_GIS!$E:$E,,)</f>
        <v>Fotokol</v>
      </c>
      <c r="J183" s="5" t="s">
        <v>844</v>
      </c>
      <c r="K183" t="s">
        <v>2516</v>
      </c>
      <c r="L183" s="5" t="s">
        <v>1119</v>
      </c>
      <c r="N183" s="5" t="s">
        <v>3053</v>
      </c>
      <c r="O183" s="5" t="s">
        <v>2467</v>
      </c>
      <c r="P183" s="5" t="s">
        <v>85</v>
      </c>
      <c r="Q183" s="5" t="s">
        <v>86</v>
      </c>
      <c r="R183" s="5" t="s">
        <v>86</v>
      </c>
      <c r="T183" s="390">
        <v>3</v>
      </c>
      <c r="U183" s="5" t="s">
        <v>97</v>
      </c>
      <c r="W183" s="5" t="s">
        <v>2468</v>
      </c>
      <c r="X183" s="5" t="s">
        <v>102</v>
      </c>
      <c r="AA183" s="5" t="s">
        <v>85</v>
      </c>
      <c r="AB183" s="5" t="s">
        <v>2469</v>
      </c>
      <c r="AC183" s="5" t="s">
        <v>2470</v>
      </c>
      <c r="AD183" s="5" t="s">
        <v>86</v>
      </c>
      <c r="AF183" s="5">
        <v>7</v>
      </c>
      <c r="AG183" s="5">
        <v>574</v>
      </c>
      <c r="AH183" s="5" t="s">
        <v>85</v>
      </c>
      <c r="AI183" s="5" t="s">
        <v>2471</v>
      </c>
      <c r="AJ183" s="5">
        <v>7</v>
      </c>
      <c r="AK183" s="5">
        <v>55</v>
      </c>
      <c r="AL183" s="5">
        <v>22</v>
      </c>
      <c r="AM183" s="5">
        <v>33</v>
      </c>
      <c r="AN183" s="5">
        <v>0</v>
      </c>
      <c r="AO183" s="5">
        <v>7</v>
      </c>
      <c r="AP183" s="5">
        <v>0</v>
      </c>
      <c r="AQ183" s="5">
        <v>0</v>
      </c>
      <c r="AT183" s="5">
        <v>0</v>
      </c>
      <c r="AU183" s="5">
        <v>0</v>
      </c>
      <c r="AX183" s="5">
        <v>0</v>
      </c>
      <c r="AY183" s="5" t="s">
        <v>85</v>
      </c>
      <c r="AZ183" s="5">
        <v>15</v>
      </c>
      <c r="BA183" s="5">
        <v>108</v>
      </c>
      <c r="BB183" s="5">
        <v>45</v>
      </c>
      <c r="BC183" s="5">
        <v>63</v>
      </c>
      <c r="BD183" s="5">
        <v>15</v>
      </c>
      <c r="BE183" s="5">
        <v>0</v>
      </c>
      <c r="BF183" s="5">
        <v>0</v>
      </c>
      <c r="BH183" s="5">
        <v>0</v>
      </c>
      <c r="BI183" s="5">
        <v>0</v>
      </c>
      <c r="BL183" s="5">
        <v>0</v>
      </c>
      <c r="BM183" s="5">
        <v>0</v>
      </c>
      <c r="BN183" s="5" t="s">
        <v>86</v>
      </c>
      <c r="CD183" s="5">
        <v>0</v>
      </c>
      <c r="CF183" s="1442" t="str">
        <f>IF([1]!sommaire[[#This Row],[présence des personnes déplacés interne]]="Oui","1","0")</f>
        <v>1</v>
      </c>
      <c r="CG183" s="1442" t="str">
        <f>IF([1]!sommaire[[#This Row],[présence Réfugié hors camp]]="Oui","1","0")</f>
        <v>1</v>
      </c>
      <c r="CH183" s="1442" t="str">
        <f>IF([1]!sommaire[[#This Row],[présence personnes retournées]]="Oui","1","0")</f>
        <v>0</v>
      </c>
      <c r="CI183" s="1442">
        <f>[1]!sommaire[[#This Row],[Flag PDI]]+[1]!sommaire[[#This Row],[Flag REF]]+[1]!sommaire[[#This Row],[Flag RET]]</f>
        <v>2</v>
      </c>
    </row>
    <row r="184" spans="1:87" ht="14.55" customHeight="1" x14ac:dyDescent="0.3">
      <c r="A184" s="390">
        <v>2658143</v>
      </c>
      <c r="B184" s="5" t="s">
        <v>533</v>
      </c>
      <c r="C184" s="1430" t="s">
        <v>3449</v>
      </c>
      <c r="D184" s="5" t="s">
        <v>534</v>
      </c>
      <c r="E184" s="5" t="s">
        <v>31</v>
      </c>
      <c r="F184" s="5" t="s">
        <v>31</v>
      </c>
      <c r="G184" s="5" t="s">
        <v>549</v>
      </c>
      <c r="H184" s="5" t="s">
        <v>166</v>
      </c>
      <c r="I184" s="5" t="str">
        <f>_xlfn.XLOOKUP(sommaire[[#This Row],[Arrondissement_code]],OCHA_GIS!$F:$F,OCHA_GIS!$E:$E,,)</f>
        <v>Fotokol</v>
      </c>
      <c r="J184" s="5" t="s">
        <v>844</v>
      </c>
      <c r="K184" t="s">
        <v>2505</v>
      </c>
      <c r="L184" s="5" t="s">
        <v>2513</v>
      </c>
      <c r="N184" s="5" t="s">
        <v>3052</v>
      </c>
      <c r="O184" s="5" t="s">
        <v>2467</v>
      </c>
      <c r="P184" s="5" t="s">
        <v>85</v>
      </c>
      <c r="Q184" s="5" t="s">
        <v>86</v>
      </c>
      <c r="R184" s="5" t="s">
        <v>86</v>
      </c>
      <c r="T184" s="390">
        <v>3</v>
      </c>
      <c r="U184" s="5" t="s">
        <v>100</v>
      </c>
      <c r="W184" s="5" t="s">
        <v>2482</v>
      </c>
      <c r="AA184" s="5" t="s">
        <v>86</v>
      </c>
      <c r="AH184" s="1430" t="s">
        <v>86</v>
      </c>
      <c r="AY184" s="1430" t="s">
        <v>86</v>
      </c>
      <c r="BN184" s="1430" t="s">
        <v>86</v>
      </c>
      <c r="CF184" s="1442" t="str">
        <f>IF([1]!sommaire[[#This Row],[présence des personnes déplacés interne]]="Oui","1","0")</f>
        <v>0</v>
      </c>
      <c r="CG184" s="1442" t="str">
        <f>IF([1]!sommaire[[#This Row],[présence Réfugié hors camp]]="Oui","1","0")</f>
        <v>0</v>
      </c>
      <c r="CH184" s="1442" t="str">
        <f>IF([1]!sommaire[[#This Row],[présence personnes retournées]]="Oui","1","0")</f>
        <v>0</v>
      </c>
      <c r="CI184" s="1442">
        <f>[1]!sommaire[[#This Row],[Flag PDI]]+[1]!sommaire[[#This Row],[Flag REF]]+[1]!sommaire[[#This Row],[Flag RET]]</f>
        <v>0</v>
      </c>
    </row>
    <row r="185" spans="1:87" ht="14.55" customHeight="1" x14ac:dyDescent="0.3">
      <c r="A185" s="390">
        <v>2657064</v>
      </c>
      <c r="B185" s="5" t="s">
        <v>533</v>
      </c>
      <c r="C185" s="1430" t="s">
        <v>3449</v>
      </c>
      <c r="D185" s="1090" t="s">
        <v>534</v>
      </c>
      <c r="E185" s="5" t="s">
        <v>31</v>
      </c>
      <c r="F185" s="5" t="s">
        <v>31</v>
      </c>
      <c r="G185" s="5" t="s">
        <v>549</v>
      </c>
      <c r="H185" s="5" t="s">
        <v>167</v>
      </c>
      <c r="I185" s="5" t="str">
        <f>_xlfn.XLOOKUP(sommaire[[#This Row],[Arrondissement_code]],OCHA_GIS!$F:$F,OCHA_GIS!$E:$E,,)</f>
        <v>Goulfey</v>
      </c>
      <c r="J185" s="5" t="s">
        <v>1113</v>
      </c>
      <c r="K185" t="s">
        <v>550</v>
      </c>
      <c r="L185" s="5" t="s">
        <v>3131</v>
      </c>
      <c r="M185" s="5" t="s">
        <v>3131</v>
      </c>
      <c r="N185" s="5" t="s">
        <v>3052</v>
      </c>
      <c r="O185" s="5" t="s">
        <v>2467</v>
      </c>
      <c r="P185" s="5" t="s">
        <v>85</v>
      </c>
      <c r="Q185" s="5" t="s">
        <v>86</v>
      </c>
      <c r="R185" s="5" t="s">
        <v>86</v>
      </c>
      <c r="T185" s="390">
        <v>4</v>
      </c>
      <c r="U185" s="5" t="s">
        <v>97</v>
      </c>
      <c r="W185" s="5" t="s">
        <v>2468</v>
      </c>
      <c r="X185" s="5" t="s">
        <v>103</v>
      </c>
      <c r="Y185" s="5" t="s">
        <v>2476</v>
      </c>
      <c r="AA185" s="5" t="s">
        <v>86</v>
      </c>
      <c r="AG185" s="5">
        <v>375</v>
      </c>
      <c r="AH185" s="1430" t="s">
        <v>86</v>
      </c>
      <c r="AY185" s="1430" t="s">
        <v>86</v>
      </c>
      <c r="BN185" s="1430" t="s">
        <v>86</v>
      </c>
      <c r="CF185" s="1442" t="str">
        <f>IF([1]!sommaire[[#This Row],[présence des personnes déplacés interne]]="Oui","1","0")</f>
        <v>0</v>
      </c>
      <c r="CG185" s="1442" t="str">
        <f>IF([1]!sommaire[[#This Row],[présence Réfugié hors camp]]="Oui","1","0")</f>
        <v>0</v>
      </c>
      <c r="CH185" s="1442" t="str">
        <f>IF([1]!sommaire[[#This Row],[présence personnes retournées]]="Oui","1","0")</f>
        <v>0</v>
      </c>
      <c r="CI185" s="1442">
        <f>[1]!sommaire[[#This Row],[Flag PDI]]+[1]!sommaire[[#This Row],[Flag REF]]+[1]!sommaire[[#This Row],[Flag RET]]</f>
        <v>0</v>
      </c>
    </row>
    <row r="186" spans="1:87" ht="14.55" customHeight="1" x14ac:dyDescent="0.3">
      <c r="A186" s="390">
        <v>2657066</v>
      </c>
      <c r="B186" s="5" t="s">
        <v>533</v>
      </c>
      <c r="C186" s="1430" t="s">
        <v>3449</v>
      </c>
      <c r="D186" s="1090" t="s">
        <v>534</v>
      </c>
      <c r="E186" s="5" t="s">
        <v>31</v>
      </c>
      <c r="F186" s="5" t="s">
        <v>31</v>
      </c>
      <c r="G186" s="5" t="s">
        <v>549</v>
      </c>
      <c r="H186" s="5" t="s">
        <v>167</v>
      </c>
      <c r="I186" s="5" t="str">
        <f>_xlfn.XLOOKUP(sommaire[[#This Row],[Arrondissement_code]],OCHA_GIS!$F:$F,OCHA_GIS!$E:$E,,)</f>
        <v>Goulfey</v>
      </c>
      <c r="J186" s="5" t="s">
        <v>1113</v>
      </c>
      <c r="K186" t="s">
        <v>550</v>
      </c>
      <c r="L186" s="5" t="s">
        <v>3132</v>
      </c>
      <c r="M186" s="5" t="s">
        <v>3132</v>
      </c>
      <c r="N186" s="5" t="s">
        <v>3053</v>
      </c>
      <c r="O186" s="5" t="s">
        <v>2467</v>
      </c>
      <c r="P186" s="5" t="s">
        <v>86</v>
      </c>
      <c r="Q186" s="5" t="s">
        <v>86</v>
      </c>
      <c r="R186" s="5" t="s">
        <v>85</v>
      </c>
      <c r="U186" s="5" t="s">
        <v>97</v>
      </c>
      <c r="W186" s="5" t="s">
        <v>2482</v>
      </c>
      <c r="AA186" s="5" t="s">
        <v>86</v>
      </c>
      <c r="AH186" s="1430" t="s">
        <v>86</v>
      </c>
      <c r="AY186" s="1430" t="s">
        <v>86</v>
      </c>
      <c r="BN186" s="1430" t="s">
        <v>86</v>
      </c>
      <c r="CF186" s="1442" t="str">
        <f>IF([1]!sommaire[[#This Row],[présence des personnes déplacés interne]]="Oui","1","0")</f>
        <v>0</v>
      </c>
      <c r="CG186" s="1442" t="str">
        <f>IF([1]!sommaire[[#This Row],[présence Réfugié hors camp]]="Oui","1","0")</f>
        <v>0</v>
      </c>
      <c r="CH186" s="1442" t="str">
        <f>IF([1]!sommaire[[#This Row],[présence personnes retournées]]="Oui","1","0")</f>
        <v>0</v>
      </c>
      <c r="CI186" s="1442">
        <f>[1]!sommaire[[#This Row],[Flag PDI]]+[1]!sommaire[[#This Row],[Flag REF]]+[1]!sommaire[[#This Row],[Flag RET]]</f>
        <v>0</v>
      </c>
    </row>
    <row r="187" spans="1:87" ht="14.55" customHeight="1" x14ac:dyDescent="0.3">
      <c r="A187" s="390">
        <v>2586820</v>
      </c>
      <c r="B187" s="5" t="s">
        <v>533</v>
      </c>
      <c r="C187" s="1430" t="s">
        <v>3449</v>
      </c>
      <c r="D187" s="1090" t="s">
        <v>534</v>
      </c>
      <c r="E187" s="5" t="s">
        <v>31</v>
      </c>
      <c r="F187" s="5" t="s">
        <v>31</v>
      </c>
      <c r="G187" s="5" t="s">
        <v>549</v>
      </c>
      <c r="H187" s="5" t="s">
        <v>167</v>
      </c>
      <c r="I187" s="5" t="str">
        <f>_xlfn.XLOOKUP(sommaire[[#This Row],[Arrondissement_code]],OCHA_GIS!$F:$F,OCHA_GIS!$E:$E,,)</f>
        <v>Goulfey</v>
      </c>
      <c r="J187" s="5" t="s">
        <v>1113</v>
      </c>
      <c r="K187" t="s">
        <v>550</v>
      </c>
      <c r="L187" s="5" t="s">
        <v>3165</v>
      </c>
      <c r="M187" s="5" t="s">
        <v>3165</v>
      </c>
      <c r="N187" s="5" t="s">
        <v>3053</v>
      </c>
      <c r="O187" s="5" t="s">
        <v>2473</v>
      </c>
      <c r="P187" s="5" t="s">
        <v>85</v>
      </c>
      <c r="Q187" s="5" t="s">
        <v>86</v>
      </c>
      <c r="R187" s="5" t="s">
        <v>86</v>
      </c>
      <c r="T187" s="390">
        <v>3</v>
      </c>
      <c r="U187" s="5" t="s">
        <v>97</v>
      </c>
      <c r="W187" s="5" t="s">
        <v>2468</v>
      </c>
      <c r="X187" s="5" t="s">
        <v>102</v>
      </c>
      <c r="AA187" s="5" t="s">
        <v>85</v>
      </c>
      <c r="AB187" s="5" t="s">
        <v>2473</v>
      </c>
      <c r="AC187" s="5" t="s">
        <v>2576</v>
      </c>
      <c r="AF187" s="5">
        <v>12</v>
      </c>
      <c r="AG187" s="5">
        <v>122</v>
      </c>
      <c r="AH187" s="5" t="s">
        <v>85</v>
      </c>
      <c r="AI187" s="5" t="s">
        <v>2471</v>
      </c>
      <c r="AJ187" s="5">
        <v>12</v>
      </c>
      <c r="AK187" s="5">
        <v>122</v>
      </c>
      <c r="AL187" s="5">
        <v>62</v>
      </c>
      <c r="AM187" s="5">
        <v>60</v>
      </c>
      <c r="AN187" s="5">
        <v>0</v>
      </c>
      <c r="AO187" s="5">
        <v>0</v>
      </c>
      <c r="AP187" s="5">
        <v>0</v>
      </c>
      <c r="AQ187" s="5">
        <v>0</v>
      </c>
      <c r="AT187" s="5">
        <v>0</v>
      </c>
      <c r="AU187" s="5">
        <v>12</v>
      </c>
      <c r="AV187" s="5" t="s">
        <v>2490</v>
      </c>
      <c r="AX187" s="5">
        <v>0</v>
      </c>
      <c r="AY187" s="5" t="s">
        <v>86</v>
      </c>
      <c r="BN187" s="5" t="s">
        <v>86</v>
      </c>
      <c r="CD187" s="5">
        <v>0</v>
      </c>
      <c r="CF187" s="1442" t="str">
        <f>IF([1]!sommaire[[#This Row],[présence des personnes déplacés interne]]="Oui","1","0")</f>
        <v>1</v>
      </c>
      <c r="CG187" s="1442" t="str">
        <f>IF([1]!sommaire[[#This Row],[présence Réfugié hors camp]]="Oui","1","0")</f>
        <v>0</v>
      </c>
      <c r="CH187" s="1442" t="str">
        <f>IF([1]!sommaire[[#This Row],[présence personnes retournées]]="Oui","1","0")</f>
        <v>0</v>
      </c>
      <c r="CI187" s="1442">
        <f>[1]!sommaire[[#This Row],[Flag PDI]]+[1]!sommaire[[#This Row],[Flag REF]]+[1]!sommaire[[#This Row],[Flag RET]]</f>
        <v>1</v>
      </c>
    </row>
    <row r="188" spans="1:87" ht="14.55" customHeight="1" x14ac:dyDescent="0.3">
      <c r="A188" s="390">
        <v>2598096</v>
      </c>
      <c r="B188" s="5" t="s">
        <v>533</v>
      </c>
      <c r="C188" s="1430" t="s">
        <v>3449</v>
      </c>
      <c r="D188" s="1090" t="s">
        <v>534</v>
      </c>
      <c r="E188" s="5" t="s">
        <v>31</v>
      </c>
      <c r="F188" s="5" t="s">
        <v>31</v>
      </c>
      <c r="G188" s="5" t="s">
        <v>549</v>
      </c>
      <c r="H188" s="5" t="s">
        <v>167</v>
      </c>
      <c r="I188" s="5" t="str">
        <f>_xlfn.XLOOKUP(sommaire[[#This Row],[Arrondissement_code]],OCHA_GIS!$F:$F,OCHA_GIS!$E:$E,,)</f>
        <v>Goulfey</v>
      </c>
      <c r="J188" s="5" t="s">
        <v>1113</v>
      </c>
      <c r="K188" t="s">
        <v>550</v>
      </c>
      <c r="L188" s="5" t="s">
        <v>3167</v>
      </c>
      <c r="M188" s="5" t="s">
        <v>3167</v>
      </c>
      <c r="N188" s="5" t="s">
        <v>3053</v>
      </c>
      <c r="O188" s="5" t="s">
        <v>2473</v>
      </c>
      <c r="P188" s="5" t="s">
        <v>86</v>
      </c>
      <c r="Q188" s="5" t="s">
        <v>85</v>
      </c>
      <c r="R188" s="5" t="s">
        <v>86</v>
      </c>
      <c r="S188" s="390">
        <v>6</v>
      </c>
      <c r="U188" s="5" t="s">
        <v>97</v>
      </c>
      <c r="W188" s="5" t="s">
        <v>2468</v>
      </c>
      <c r="X188" s="5" t="s">
        <v>101</v>
      </c>
      <c r="Y188" s="5" t="s">
        <v>2476</v>
      </c>
      <c r="AA188" s="5" t="s">
        <v>85</v>
      </c>
      <c r="AB188" s="5" t="s">
        <v>2473</v>
      </c>
      <c r="AC188" s="5" t="s">
        <v>2470</v>
      </c>
      <c r="AF188" s="5">
        <v>15</v>
      </c>
      <c r="AG188" s="5">
        <v>172</v>
      </c>
      <c r="AH188" s="5" t="s">
        <v>85</v>
      </c>
      <c r="AI188" s="5" t="s">
        <v>2471</v>
      </c>
      <c r="AJ188" s="5">
        <v>15</v>
      </c>
      <c r="AK188" s="5">
        <v>172</v>
      </c>
      <c r="AL188" s="5">
        <v>75</v>
      </c>
      <c r="AM188" s="5">
        <v>97</v>
      </c>
      <c r="AN188" s="5">
        <v>0</v>
      </c>
      <c r="AO188" s="5">
        <v>0</v>
      </c>
      <c r="AP188" s="5">
        <v>0</v>
      </c>
      <c r="AQ188" s="5">
        <v>0</v>
      </c>
      <c r="AT188" s="5">
        <v>0</v>
      </c>
      <c r="AU188" s="5">
        <v>15</v>
      </c>
      <c r="AV188" s="5" t="s">
        <v>3168</v>
      </c>
      <c r="AX188" s="5">
        <v>0</v>
      </c>
      <c r="AY188" s="5" t="s">
        <v>86</v>
      </c>
      <c r="BN188" s="5" t="s">
        <v>86</v>
      </c>
      <c r="CD188" s="5">
        <v>0</v>
      </c>
      <c r="CF188" s="1442" t="str">
        <f>IF([1]!sommaire[[#This Row],[présence des personnes déplacés interne]]="Oui","1","0")</f>
        <v>1</v>
      </c>
      <c r="CG188" s="1442" t="str">
        <f>IF([1]!sommaire[[#This Row],[présence Réfugié hors camp]]="Oui","1","0")</f>
        <v>0</v>
      </c>
      <c r="CH188" s="1442" t="str">
        <f>IF([1]!sommaire[[#This Row],[présence personnes retournées]]="Oui","1","0")</f>
        <v>0</v>
      </c>
      <c r="CI188" s="1442">
        <f>[1]!sommaire[[#This Row],[Flag PDI]]+[1]!sommaire[[#This Row],[Flag REF]]+[1]!sommaire[[#This Row],[Flag RET]]</f>
        <v>1</v>
      </c>
    </row>
    <row r="189" spans="1:87" ht="14.55" customHeight="1" x14ac:dyDescent="0.3">
      <c r="A189" s="390">
        <v>2584781</v>
      </c>
      <c r="B189" s="5" t="s">
        <v>533</v>
      </c>
      <c r="C189" s="1430" t="s">
        <v>3449</v>
      </c>
      <c r="D189" s="1090" t="s">
        <v>534</v>
      </c>
      <c r="E189" s="5" t="s">
        <v>31</v>
      </c>
      <c r="F189" s="5" t="s">
        <v>31</v>
      </c>
      <c r="G189" s="5" t="s">
        <v>549</v>
      </c>
      <c r="H189" s="5" t="s">
        <v>167</v>
      </c>
      <c r="I189" s="5" t="str">
        <f>_xlfn.XLOOKUP(sommaire[[#This Row],[Arrondissement_code]],OCHA_GIS!$F:$F,OCHA_GIS!$E:$E,,)</f>
        <v>Goulfey</v>
      </c>
      <c r="J189" s="5" t="s">
        <v>1113</v>
      </c>
      <c r="K189" t="s">
        <v>550</v>
      </c>
      <c r="L189" s="5" t="s">
        <v>3188</v>
      </c>
      <c r="M189" s="5" t="s">
        <v>3188</v>
      </c>
      <c r="N189" s="5" t="s">
        <v>3053</v>
      </c>
      <c r="O189" s="5" t="s">
        <v>2473</v>
      </c>
      <c r="P189" s="5" t="s">
        <v>86</v>
      </c>
      <c r="Q189" s="5" t="s">
        <v>85</v>
      </c>
      <c r="R189" s="5" t="s">
        <v>86</v>
      </c>
      <c r="S189" s="390">
        <v>6</v>
      </c>
      <c r="U189" s="5" t="s">
        <v>97</v>
      </c>
      <c r="W189" s="5" t="s">
        <v>2468</v>
      </c>
      <c r="X189" s="5" t="s">
        <v>102</v>
      </c>
      <c r="AA189" s="5" t="s">
        <v>85</v>
      </c>
      <c r="AB189" s="5" t="s">
        <v>2473</v>
      </c>
      <c r="AC189" s="5" t="s">
        <v>2470</v>
      </c>
      <c r="AF189" s="5">
        <v>50</v>
      </c>
      <c r="AG189" s="5">
        <v>350</v>
      </c>
      <c r="AH189" s="5" t="s">
        <v>85</v>
      </c>
      <c r="AI189" s="5" t="s">
        <v>2471</v>
      </c>
      <c r="AJ189" s="5">
        <v>50</v>
      </c>
      <c r="AK189" s="5">
        <v>350</v>
      </c>
      <c r="AL189" s="5">
        <v>140</v>
      </c>
      <c r="AM189" s="5">
        <v>210</v>
      </c>
      <c r="AN189" s="5">
        <v>0</v>
      </c>
      <c r="AO189" s="5">
        <v>0</v>
      </c>
      <c r="AP189" s="5">
        <v>0</v>
      </c>
      <c r="AQ189" s="5">
        <v>0</v>
      </c>
      <c r="AT189" s="5">
        <v>0</v>
      </c>
      <c r="AU189" s="5">
        <v>50</v>
      </c>
      <c r="AV189" s="5" t="s">
        <v>2490</v>
      </c>
      <c r="AX189" s="5">
        <v>0</v>
      </c>
      <c r="AY189" s="5" t="s">
        <v>86</v>
      </c>
      <c r="BN189" s="5" t="s">
        <v>86</v>
      </c>
      <c r="CD189" s="5">
        <v>0</v>
      </c>
      <c r="CF189" s="1442" t="str">
        <f>IF([1]!sommaire[[#This Row],[présence des personnes déplacés interne]]="Oui","1","0")</f>
        <v>1</v>
      </c>
      <c r="CG189" s="1442" t="str">
        <f>IF([1]!sommaire[[#This Row],[présence Réfugié hors camp]]="Oui","1","0")</f>
        <v>0</v>
      </c>
      <c r="CH189" s="1442" t="str">
        <f>IF([1]!sommaire[[#This Row],[présence personnes retournées]]="Oui","1","0")</f>
        <v>0</v>
      </c>
      <c r="CI189" s="1442">
        <f>[1]!sommaire[[#This Row],[Flag PDI]]+[1]!sommaire[[#This Row],[Flag REF]]+[1]!sommaire[[#This Row],[Flag RET]]</f>
        <v>1</v>
      </c>
    </row>
    <row r="190" spans="1:87" ht="14.55" customHeight="1" x14ac:dyDescent="0.3">
      <c r="A190" s="390">
        <v>2779314</v>
      </c>
      <c r="B190" s="5" t="s">
        <v>533</v>
      </c>
      <c r="C190" s="1430" t="s">
        <v>3449</v>
      </c>
      <c r="D190" s="1090" t="s">
        <v>534</v>
      </c>
      <c r="E190" s="5" t="s">
        <v>31</v>
      </c>
      <c r="F190" s="5" t="s">
        <v>31</v>
      </c>
      <c r="G190" s="5" t="s">
        <v>549</v>
      </c>
      <c r="H190" s="5" t="s">
        <v>167</v>
      </c>
      <c r="I190" s="5" t="str">
        <f>_xlfn.XLOOKUP(sommaire[[#This Row],[Arrondissement_code]],OCHA_GIS!$F:$F,OCHA_GIS!$E:$E,,)</f>
        <v>Goulfey</v>
      </c>
      <c r="J190" s="5" t="s">
        <v>1113</v>
      </c>
      <c r="K190" t="s">
        <v>2325</v>
      </c>
      <c r="L190" s="5" t="s">
        <v>2246</v>
      </c>
      <c r="N190" s="5" t="s">
        <v>3053</v>
      </c>
      <c r="O190" s="5" t="s">
        <v>2467</v>
      </c>
      <c r="P190" s="5" t="s">
        <v>85</v>
      </c>
      <c r="Q190" s="5" t="s">
        <v>86</v>
      </c>
      <c r="R190" s="5" t="s">
        <v>86</v>
      </c>
      <c r="T190" s="390">
        <v>3</v>
      </c>
      <c r="U190" s="5" t="s">
        <v>97</v>
      </c>
      <c r="W190" s="5" t="s">
        <v>2468</v>
      </c>
      <c r="X190" s="5" t="s">
        <v>102</v>
      </c>
      <c r="AA190" s="5" t="s">
        <v>85</v>
      </c>
      <c r="AB190" s="5" t="s">
        <v>2469</v>
      </c>
      <c r="AC190" s="5" t="s">
        <v>2470</v>
      </c>
      <c r="AD190" s="5" t="s">
        <v>86</v>
      </c>
      <c r="AG190" s="5">
        <v>251</v>
      </c>
      <c r="AH190" s="5" t="s">
        <v>86</v>
      </c>
      <c r="AY190" s="5" t="s">
        <v>86</v>
      </c>
      <c r="BN190" s="5" t="s">
        <v>85</v>
      </c>
      <c r="BO190" s="5">
        <v>30</v>
      </c>
      <c r="BP190" s="5">
        <v>251</v>
      </c>
      <c r="BQ190" s="5">
        <v>111</v>
      </c>
      <c r="BR190" s="5">
        <v>140</v>
      </c>
      <c r="BS190" s="5" t="s">
        <v>2484</v>
      </c>
      <c r="BT190" s="5">
        <v>12</v>
      </c>
      <c r="BU190" s="5">
        <v>6</v>
      </c>
      <c r="BV190" s="5">
        <v>0</v>
      </c>
      <c r="BW190" s="5">
        <v>0</v>
      </c>
      <c r="BX190" s="5">
        <v>0</v>
      </c>
      <c r="BZ190" s="5">
        <v>0</v>
      </c>
      <c r="CA190" s="5">
        <v>12</v>
      </c>
      <c r="CB190" s="5" t="s">
        <v>2478</v>
      </c>
      <c r="CC190" s="5">
        <v>0</v>
      </c>
      <c r="CD190" s="5">
        <v>0</v>
      </c>
      <c r="CF190" s="1442" t="str">
        <f>IF([1]!sommaire[[#This Row],[présence des personnes déplacés interne]]="Oui","1","0")</f>
        <v>0</v>
      </c>
      <c r="CG190" s="1442" t="str">
        <f>IF([1]!sommaire[[#This Row],[présence Réfugié hors camp]]="Oui","1","0")</f>
        <v>0</v>
      </c>
      <c r="CH190" s="1442" t="str">
        <f>IF([1]!sommaire[[#This Row],[présence personnes retournées]]="Oui","1","0")</f>
        <v>1</v>
      </c>
      <c r="CI190" s="1442">
        <f>[1]!sommaire[[#This Row],[Flag PDI]]+[1]!sommaire[[#This Row],[Flag REF]]+[1]!sommaire[[#This Row],[Flag RET]]</f>
        <v>1</v>
      </c>
    </row>
    <row r="191" spans="1:87" ht="14.55" customHeight="1" x14ac:dyDescent="0.3">
      <c r="A191" s="390">
        <v>2673892</v>
      </c>
      <c r="B191" s="5" t="s">
        <v>533</v>
      </c>
      <c r="C191" s="1430" t="s">
        <v>3449</v>
      </c>
      <c r="D191" s="1090" t="s">
        <v>534</v>
      </c>
      <c r="E191" s="5" t="s">
        <v>31</v>
      </c>
      <c r="F191" s="5" t="s">
        <v>31</v>
      </c>
      <c r="G191" s="5" t="s">
        <v>549</v>
      </c>
      <c r="H191" s="5" t="s">
        <v>167</v>
      </c>
      <c r="I191" s="5" t="str">
        <f>_xlfn.XLOOKUP(sommaire[[#This Row],[Arrondissement_code]],OCHA_GIS!$F:$F,OCHA_GIS!$E:$E,,)</f>
        <v>Goulfey</v>
      </c>
      <c r="J191" s="5" t="s">
        <v>1113</v>
      </c>
      <c r="K191" t="s">
        <v>2532</v>
      </c>
      <c r="L191" s="5" t="s">
        <v>2084</v>
      </c>
      <c r="N191" s="5" t="s">
        <v>3053</v>
      </c>
      <c r="O191" s="5" t="s">
        <v>2467</v>
      </c>
      <c r="P191" s="5" t="s">
        <v>85</v>
      </c>
      <c r="Q191" s="5" t="s">
        <v>86</v>
      </c>
      <c r="R191" s="5" t="s">
        <v>86</v>
      </c>
      <c r="T191" s="390">
        <v>3</v>
      </c>
      <c r="U191" s="5" t="s">
        <v>97</v>
      </c>
      <c r="W191" s="5" t="s">
        <v>2468</v>
      </c>
      <c r="X191" s="5" t="s">
        <v>102</v>
      </c>
      <c r="AA191" s="5" t="s">
        <v>85</v>
      </c>
      <c r="AB191" s="5" t="s">
        <v>2469</v>
      </c>
      <c r="AC191" s="5" t="s">
        <v>2470</v>
      </c>
      <c r="AD191" s="5" t="s">
        <v>86</v>
      </c>
      <c r="AF191" s="5">
        <v>70</v>
      </c>
      <c r="AG191" s="5">
        <v>431</v>
      </c>
      <c r="AH191" s="5" t="s">
        <v>85</v>
      </c>
      <c r="AI191" s="5" t="s">
        <v>2471</v>
      </c>
      <c r="AJ191" s="5">
        <v>70</v>
      </c>
      <c r="AK191" s="5">
        <v>70</v>
      </c>
      <c r="AL191" s="5">
        <v>30</v>
      </c>
      <c r="AM191" s="5">
        <v>40</v>
      </c>
      <c r="AN191" s="5">
        <v>0</v>
      </c>
      <c r="AO191" s="5">
        <v>70</v>
      </c>
      <c r="AP191" s="5">
        <v>0</v>
      </c>
      <c r="AQ191" s="5">
        <v>0</v>
      </c>
      <c r="AT191" s="5">
        <v>0</v>
      </c>
      <c r="AU191" s="5">
        <v>0</v>
      </c>
      <c r="AX191" s="5">
        <v>0</v>
      </c>
      <c r="AY191" s="5" t="s">
        <v>86</v>
      </c>
      <c r="BN191" s="5" t="s">
        <v>86</v>
      </c>
      <c r="CD191" s="5">
        <v>0</v>
      </c>
      <c r="CF191" s="1442" t="str">
        <f>IF([1]!sommaire[[#This Row],[présence des personnes déplacés interne]]="Oui","1","0")</f>
        <v>1</v>
      </c>
      <c r="CG191" s="1442" t="str">
        <f>IF([1]!sommaire[[#This Row],[présence Réfugié hors camp]]="Oui","1","0")</f>
        <v>0</v>
      </c>
      <c r="CH191" s="1442" t="str">
        <f>IF([1]!sommaire[[#This Row],[présence personnes retournées]]="Oui","1","0")</f>
        <v>0</v>
      </c>
      <c r="CI191" s="1442">
        <f>[1]!sommaire[[#This Row],[Flag PDI]]+[1]!sommaire[[#This Row],[Flag REF]]+[1]!sommaire[[#This Row],[Flag RET]]</f>
        <v>1</v>
      </c>
    </row>
    <row r="192" spans="1:87" ht="14.55" customHeight="1" x14ac:dyDescent="0.3">
      <c r="A192" s="390">
        <v>2662514</v>
      </c>
      <c r="B192" s="5" t="s">
        <v>533</v>
      </c>
      <c r="C192" s="1430" t="s">
        <v>3449</v>
      </c>
      <c r="D192" s="1090" t="s">
        <v>534</v>
      </c>
      <c r="E192" s="5" t="s">
        <v>31</v>
      </c>
      <c r="F192" s="5" t="s">
        <v>31</v>
      </c>
      <c r="G192" s="5" t="s">
        <v>549</v>
      </c>
      <c r="H192" s="5" t="s">
        <v>167</v>
      </c>
      <c r="I192" s="5" t="str">
        <f>_xlfn.XLOOKUP(sommaire[[#This Row],[Arrondissement_code]],OCHA_GIS!$F:$F,OCHA_GIS!$E:$E,,)</f>
        <v>Goulfey</v>
      </c>
      <c r="J192" s="5" t="s">
        <v>1113</v>
      </c>
      <c r="K192" t="s">
        <v>2085</v>
      </c>
      <c r="L192" s="5" t="s">
        <v>1949</v>
      </c>
      <c r="N192" s="5" t="s">
        <v>3053</v>
      </c>
      <c r="O192" s="5" t="s">
        <v>2467</v>
      </c>
      <c r="P192" s="5" t="s">
        <v>85</v>
      </c>
      <c r="Q192" s="5" t="s">
        <v>86</v>
      </c>
      <c r="R192" s="5" t="s">
        <v>86</v>
      </c>
      <c r="T192" s="390">
        <v>4</v>
      </c>
      <c r="U192" s="5" t="s">
        <v>97</v>
      </c>
      <c r="W192" s="5" t="s">
        <v>2468</v>
      </c>
      <c r="X192" s="5" t="s">
        <v>102</v>
      </c>
      <c r="AA192" s="5" t="s">
        <v>85</v>
      </c>
      <c r="AB192" s="5" t="s">
        <v>2469</v>
      </c>
      <c r="AC192" s="5" t="s">
        <v>2470</v>
      </c>
      <c r="AD192" s="5" t="s">
        <v>86</v>
      </c>
      <c r="AF192" s="5">
        <v>10</v>
      </c>
      <c r="AG192" s="5">
        <v>4020</v>
      </c>
      <c r="AH192" s="5" t="s">
        <v>85</v>
      </c>
      <c r="AI192" s="5" t="s">
        <v>2471</v>
      </c>
      <c r="AJ192" s="5">
        <v>10</v>
      </c>
      <c r="AK192" s="5">
        <v>30</v>
      </c>
      <c r="AL192" s="5">
        <v>8</v>
      </c>
      <c r="AM192" s="5">
        <v>22</v>
      </c>
      <c r="AN192" s="5">
        <v>0</v>
      </c>
      <c r="AO192" s="5">
        <v>10</v>
      </c>
      <c r="AP192" s="5">
        <v>0</v>
      </c>
      <c r="AQ192" s="5">
        <v>0</v>
      </c>
      <c r="AT192" s="5">
        <v>0</v>
      </c>
      <c r="AU192" s="5">
        <v>0</v>
      </c>
      <c r="AX192" s="5">
        <v>0</v>
      </c>
      <c r="AY192" s="5" t="s">
        <v>85</v>
      </c>
      <c r="AZ192" s="5">
        <v>15</v>
      </c>
      <c r="BA192" s="5">
        <v>60</v>
      </c>
      <c r="BB192" s="5">
        <v>15</v>
      </c>
      <c r="BC192" s="5">
        <v>45</v>
      </c>
      <c r="BD192" s="5">
        <v>10</v>
      </c>
      <c r="BE192" s="5">
        <v>0</v>
      </c>
      <c r="BF192" s="5">
        <v>5</v>
      </c>
      <c r="BG192" s="5" t="s">
        <v>2477</v>
      </c>
      <c r="BH192" s="5">
        <v>0</v>
      </c>
      <c r="BI192" s="5">
        <v>0</v>
      </c>
      <c r="BL192" s="5">
        <v>0</v>
      </c>
      <c r="BM192" s="5">
        <v>0</v>
      </c>
      <c r="BN192" s="5" t="s">
        <v>86</v>
      </c>
      <c r="CD192" s="5">
        <v>0</v>
      </c>
      <c r="CF192" s="1442" t="str">
        <f>IF([1]!sommaire[[#This Row],[présence des personnes déplacés interne]]="Oui","1","0")</f>
        <v>1</v>
      </c>
      <c r="CG192" s="1442" t="str">
        <f>IF([1]!sommaire[[#This Row],[présence Réfugié hors camp]]="Oui","1","0")</f>
        <v>1</v>
      </c>
      <c r="CH192" s="1442" t="str">
        <f>IF([1]!sommaire[[#This Row],[présence personnes retournées]]="Oui","1","0")</f>
        <v>0</v>
      </c>
      <c r="CI192" s="1442">
        <f>[1]!sommaire[[#This Row],[Flag PDI]]+[1]!sommaire[[#This Row],[Flag REF]]+[1]!sommaire[[#This Row],[Flag RET]]</f>
        <v>2</v>
      </c>
    </row>
    <row r="193" spans="1:87" ht="14.55" customHeight="1" x14ac:dyDescent="0.3">
      <c r="A193" s="390">
        <v>2628115</v>
      </c>
      <c r="B193" s="5" t="s">
        <v>533</v>
      </c>
      <c r="C193" s="1430" t="s">
        <v>3449</v>
      </c>
      <c r="D193" s="1090" t="s">
        <v>534</v>
      </c>
      <c r="E193" s="5" t="s">
        <v>31</v>
      </c>
      <c r="F193" s="5" t="s">
        <v>31</v>
      </c>
      <c r="G193" s="5" t="s">
        <v>549</v>
      </c>
      <c r="H193" s="5" t="s">
        <v>167</v>
      </c>
      <c r="I193" s="5" t="str">
        <f>_xlfn.XLOOKUP(sommaire[[#This Row],[Arrondissement_code]],OCHA_GIS!$F:$F,OCHA_GIS!$E:$E,,)</f>
        <v>Goulfey</v>
      </c>
      <c r="J193" s="5" t="s">
        <v>1113</v>
      </c>
      <c r="K193" t="s">
        <v>2052</v>
      </c>
      <c r="L193" s="5" t="s">
        <v>2053</v>
      </c>
      <c r="N193" s="5" t="s">
        <v>3053</v>
      </c>
      <c r="O193" s="5" t="s">
        <v>2467</v>
      </c>
      <c r="P193" s="5" t="s">
        <v>85</v>
      </c>
      <c r="Q193" s="5" t="s">
        <v>86</v>
      </c>
      <c r="R193" s="5" t="s">
        <v>86</v>
      </c>
      <c r="T193" s="390">
        <v>3</v>
      </c>
      <c r="U193" s="5" t="s">
        <v>97</v>
      </c>
      <c r="W193" s="5" t="s">
        <v>2468</v>
      </c>
      <c r="X193" s="5" t="s">
        <v>102</v>
      </c>
      <c r="AA193" s="5" t="s">
        <v>85</v>
      </c>
      <c r="AB193" s="5" t="s">
        <v>2469</v>
      </c>
      <c r="AC193" s="5" t="s">
        <v>2470</v>
      </c>
      <c r="AD193" s="5" t="s">
        <v>86</v>
      </c>
      <c r="AF193" s="5">
        <v>50</v>
      </c>
      <c r="AG193" s="5">
        <v>3002</v>
      </c>
      <c r="AH193" s="5" t="s">
        <v>85</v>
      </c>
      <c r="AI193" s="5" t="s">
        <v>2471</v>
      </c>
      <c r="AJ193" s="5">
        <v>50</v>
      </c>
      <c r="AK193" s="5">
        <v>50</v>
      </c>
      <c r="AL193" s="5">
        <v>20</v>
      </c>
      <c r="AM193" s="5">
        <v>30</v>
      </c>
      <c r="AN193" s="5">
        <v>0</v>
      </c>
      <c r="AO193" s="5">
        <v>50</v>
      </c>
      <c r="AP193" s="5">
        <v>0</v>
      </c>
      <c r="AQ193" s="5">
        <v>0</v>
      </c>
      <c r="AT193" s="5">
        <v>0</v>
      </c>
      <c r="AU193" s="5">
        <v>0</v>
      </c>
      <c r="AX193" s="5">
        <v>0</v>
      </c>
      <c r="AY193" s="5" t="s">
        <v>86</v>
      </c>
      <c r="BN193" s="5" t="s">
        <v>86</v>
      </c>
      <c r="CD193" s="5">
        <v>0</v>
      </c>
      <c r="CF193" s="1442" t="str">
        <f>IF([1]!sommaire[[#This Row],[présence des personnes déplacés interne]]="Oui","1","0")</f>
        <v>1</v>
      </c>
      <c r="CG193" s="1442" t="str">
        <f>IF([1]!sommaire[[#This Row],[présence Réfugié hors camp]]="Oui","1","0")</f>
        <v>0</v>
      </c>
      <c r="CH193" s="1442" t="str">
        <f>IF([1]!sommaire[[#This Row],[présence personnes retournées]]="Oui","1","0")</f>
        <v>0</v>
      </c>
      <c r="CI193" s="1442">
        <f>[1]!sommaire[[#This Row],[Flag PDI]]+[1]!sommaire[[#This Row],[Flag REF]]+[1]!sommaire[[#This Row],[Flag RET]]</f>
        <v>1</v>
      </c>
    </row>
    <row r="194" spans="1:87" ht="14.55" customHeight="1" x14ac:dyDescent="0.3">
      <c r="A194" s="390">
        <v>2662507</v>
      </c>
      <c r="B194" s="5" t="s">
        <v>533</v>
      </c>
      <c r="C194" s="1430" t="s">
        <v>3449</v>
      </c>
      <c r="D194" s="1090" t="s">
        <v>534</v>
      </c>
      <c r="E194" s="5" t="s">
        <v>31</v>
      </c>
      <c r="F194" s="5" t="s">
        <v>31</v>
      </c>
      <c r="G194" s="5" t="s">
        <v>549</v>
      </c>
      <c r="H194" s="5" t="s">
        <v>167</v>
      </c>
      <c r="I194" s="5" t="str">
        <f>_xlfn.XLOOKUP(sommaire[[#This Row],[Arrondissement_code]],OCHA_GIS!$F:$F,OCHA_GIS!$E:$E,,)</f>
        <v>Goulfey</v>
      </c>
      <c r="J194" s="5" t="s">
        <v>1113</v>
      </c>
      <c r="K194" t="s">
        <v>1910</v>
      </c>
      <c r="L194" s="5" t="s">
        <v>2048</v>
      </c>
      <c r="N194" s="5" t="s">
        <v>3053</v>
      </c>
      <c r="O194" s="5" t="s">
        <v>2467</v>
      </c>
      <c r="P194" s="5" t="s">
        <v>85</v>
      </c>
      <c r="Q194" s="5" t="s">
        <v>86</v>
      </c>
      <c r="R194" s="5" t="s">
        <v>86</v>
      </c>
      <c r="T194" s="390">
        <v>5</v>
      </c>
      <c r="U194" s="5" t="s">
        <v>97</v>
      </c>
      <c r="W194" s="5" t="s">
        <v>2468</v>
      </c>
      <c r="X194" s="5" t="s">
        <v>102</v>
      </c>
      <c r="AA194" s="5" t="s">
        <v>85</v>
      </c>
      <c r="AB194" s="5" t="s">
        <v>2469</v>
      </c>
      <c r="AC194" s="5" t="s">
        <v>2470</v>
      </c>
      <c r="AD194" s="5" t="s">
        <v>86</v>
      </c>
      <c r="AF194" s="5">
        <v>11</v>
      </c>
      <c r="AG194" s="5">
        <v>1350</v>
      </c>
      <c r="AH194" s="5" t="s">
        <v>85</v>
      </c>
      <c r="AI194" s="5" t="s">
        <v>2471</v>
      </c>
      <c r="AJ194" s="5">
        <v>11</v>
      </c>
      <c r="AK194" s="5">
        <v>50</v>
      </c>
      <c r="AL194" s="5">
        <v>15</v>
      </c>
      <c r="AM194" s="5">
        <v>35</v>
      </c>
      <c r="AN194" s="5">
        <v>0</v>
      </c>
      <c r="AO194" s="5">
        <v>8</v>
      </c>
      <c r="AP194" s="5">
        <v>0</v>
      </c>
      <c r="AQ194" s="5">
        <v>3</v>
      </c>
      <c r="AR194" s="5" t="s">
        <v>2477</v>
      </c>
      <c r="AT194" s="5">
        <v>0</v>
      </c>
      <c r="AU194" s="5">
        <v>0</v>
      </c>
      <c r="AX194" s="5">
        <v>0</v>
      </c>
      <c r="AY194" s="5" t="s">
        <v>85</v>
      </c>
      <c r="AZ194" s="5">
        <v>9</v>
      </c>
      <c r="BA194" s="5">
        <v>40</v>
      </c>
      <c r="BB194" s="5">
        <v>16</v>
      </c>
      <c r="BC194" s="5">
        <v>24</v>
      </c>
      <c r="BD194" s="5">
        <v>7</v>
      </c>
      <c r="BE194" s="5">
        <v>0</v>
      </c>
      <c r="BF194" s="5">
        <v>2</v>
      </c>
      <c r="BG194" s="5" t="s">
        <v>2477</v>
      </c>
      <c r="BH194" s="5">
        <v>0</v>
      </c>
      <c r="BI194" s="5">
        <v>0</v>
      </c>
      <c r="BL194" s="5">
        <v>0</v>
      </c>
      <c r="BM194" s="5">
        <v>0</v>
      </c>
      <c r="BN194" s="5" t="s">
        <v>86</v>
      </c>
      <c r="CD194" s="5">
        <v>0</v>
      </c>
      <c r="CF194" s="1442" t="str">
        <f>IF([1]!sommaire[[#This Row],[présence des personnes déplacés interne]]="Oui","1","0")</f>
        <v>1</v>
      </c>
      <c r="CG194" s="1442" t="str">
        <f>IF([1]!sommaire[[#This Row],[présence Réfugié hors camp]]="Oui","1","0")</f>
        <v>1</v>
      </c>
      <c r="CH194" s="1442" t="str">
        <f>IF([1]!sommaire[[#This Row],[présence personnes retournées]]="Oui","1","0")</f>
        <v>0</v>
      </c>
      <c r="CI194" s="1442">
        <f>[1]!sommaire[[#This Row],[Flag PDI]]+[1]!sommaire[[#This Row],[Flag REF]]+[1]!sommaire[[#This Row],[Flag RET]]</f>
        <v>2</v>
      </c>
    </row>
    <row r="195" spans="1:87" ht="14.55" customHeight="1" x14ac:dyDescent="0.3">
      <c r="A195" s="390">
        <v>2631453</v>
      </c>
      <c r="B195" s="5" t="s">
        <v>533</v>
      </c>
      <c r="C195" s="1430" t="s">
        <v>3449</v>
      </c>
      <c r="D195" s="1090" t="s">
        <v>534</v>
      </c>
      <c r="E195" s="5" t="s">
        <v>31</v>
      </c>
      <c r="F195" s="5" t="s">
        <v>31</v>
      </c>
      <c r="G195" s="5" t="s">
        <v>549</v>
      </c>
      <c r="H195" s="5" t="s">
        <v>167</v>
      </c>
      <c r="I195" s="5" t="str">
        <f>_xlfn.XLOOKUP(sommaire[[#This Row],[Arrondissement_code]],OCHA_GIS!$F:$F,OCHA_GIS!$E:$E,,)</f>
        <v>Goulfey</v>
      </c>
      <c r="J195" s="5" t="s">
        <v>1113</v>
      </c>
      <c r="K195" t="s">
        <v>2185</v>
      </c>
      <c r="L195" s="5" t="s">
        <v>2056</v>
      </c>
      <c r="N195" s="5" t="s">
        <v>3053</v>
      </c>
      <c r="O195" s="5" t="s">
        <v>2467</v>
      </c>
      <c r="P195" s="5" t="s">
        <v>85</v>
      </c>
      <c r="Q195" s="5" t="s">
        <v>86</v>
      </c>
      <c r="R195" s="5" t="s">
        <v>85</v>
      </c>
      <c r="T195" s="390">
        <v>3</v>
      </c>
      <c r="U195" s="5" t="s">
        <v>97</v>
      </c>
      <c r="W195" s="5" t="s">
        <v>2468</v>
      </c>
      <c r="X195" s="5" t="s">
        <v>103</v>
      </c>
      <c r="Y195" s="5" t="s">
        <v>2476</v>
      </c>
      <c r="AA195" s="5" t="s">
        <v>86</v>
      </c>
      <c r="AH195" s="1430" t="s">
        <v>86</v>
      </c>
      <c r="AY195" s="1430" t="s">
        <v>86</v>
      </c>
      <c r="BN195" s="1430" t="s">
        <v>86</v>
      </c>
      <c r="CF195" s="1442" t="str">
        <f>IF([1]!sommaire[[#This Row],[présence des personnes déplacés interne]]="Oui","1","0")</f>
        <v>0</v>
      </c>
      <c r="CG195" s="1442" t="str">
        <f>IF([1]!sommaire[[#This Row],[présence Réfugié hors camp]]="Oui","1","0")</f>
        <v>0</v>
      </c>
      <c r="CH195" s="1442" t="str">
        <f>IF([1]!sommaire[[#This Row],[présence personnes retournées]]="Oui","1","0")</f>
        <v>0</v>
      </c>
      <c r="CI195" s="1442">
        <f>[1]!sommaire[[#This Row],[Flag PDI]]+[1]!sommaire[[#This Row],[Flag REF]]+[1]!sommaire[[#This Row],[Flag RET]]</f>
        <v>0</v>
      </c>
    </row>
    <row r="196" spans="1:87" ht="14.55" customHeight="1" x14ac:dyDescent="0.3">
      <c r="A196" s="390">
        <v>2631454</v>
      </c>
      <c r="B196" s="5" t="s">
        <v>533</v>
      </c>
      <c r="C196" s="1430" t="s">
        <v>3449</v>
      </c>
      <c r="D196" s="1090" t="s">
        <v>534</v>
      </c>
      <c r="E196" s="5" t="s">
        <v>31</v>
      </c>
      <c r="F196" s="5" t="s">
        <v>31</v>
      </c>
      <c r="G196" s="5" t="s">
        <v>549</v>
      </c>
      <c r="H196" s="5" t="s">
        <v>167</v>
      </c>
      <c r="I196" s="5" t="str">
        <f>_xlfn.XLOOKUP(sommaire[[#This Row],[Arrondissement_code]],OCHA_GIS!$F:$F,OCHA_GIS!$E:$E,,)</f>
        <v>Goulfey</v>
      </c>
      <c r="J196" s="5" t="s">
        <v>1113</v>
      </c>
      <c r="K196" t="s">
        <v>2899</v>
      </c>
      <c r="L196" s="5" t="s">
        <v>1935</v>
      </c>
      <c r="N196" s="5" t="s">
        <v>3053</v>
      </c>
      <c r="O196" s="5" t="s">
        <v>2467</v>
      </c>
      <c r="P196" s="5" t="s">
        <v>85</v>
      </c>
      <c r="Q196" s="5" t="s">
        <v>86</v>
      </c>
      <c r="R196" s="5" t="s">
        <v>85</v>
      </c>
      <c r="T196" s="390">
        <v>3</v>
      </c>
      <c r="U196" s="5" t="s">
        <v>97</v>
      </c>
      <c r="W196" s="5" t="s">
        <v>2468</v>
      </c>
      <c r="X196" s="5" t="s">
        <v>103</v>
      </c>
      <c r="Y196" s="5" t="s">
        <v>2476</v>
      </c>
      <c r="AA196" s="5" t="s">
        <v>86</v>
      </c>
      <c r="AH196" s="1430" t="s">
        <v>86</v>
      </c>
      <c r="AY196" s="1430" t="s">
        <v>86</v>
      </c>
      <c r="BN196" s="1430" t="s">
        <v>86</v>
      </c>
      <c r="CF196" s="1442" t="str">
        <f>IF([1]!sommaire[[#This Row],[présence des personnes déplacés interne]]="Oui","1","0")</f>
        <v>0</v>
      </c>
      <c r="CG196" s="1442" t="str">
        <f>IF([1]!sommaire[[#This Row],[présence Réfugié hors camp]]="Oui","1","0")</f>
        <v>0</v>
      </c>
      <c r="CH196" s="1442" t="str">
        <f>IF([1]!sommaire[[#This Row],[présence personnes retournées]]="Oui","1","0")</f>
        <v>0</v>
      </c>
      <c r="CI196" s="1442">
        <f>[1]!sommaire[[#This Row],[Flag PDI]]+[1]!sommaire[[#This Row],[Flag REF]]+[1]!sommaire[[#This Row],[Flag RET]]</f>
        <v>0</v>
      </c>
    </row>
    <row r="197" spans="1:87" ht="14.55" customHeight="1" x14ac:dyDescent="0.3">
      <c r="A197" s="390">
        <v>2631455</v>
      </c>
      <c r="B197" s="5" t="s">
        <v>533</v>
      </c>
      <c r="C197" s="1430" t="s">
        <v>3449</v>
      </c>
      <c r="D197" s="1090" t="s">
        <v>534</v>
      </c>
      <c r="E197" s="5" t="s">
        <v>31</v>
      </c>
      <c r="F197" s="5" t="s">
        <v>31</v>
      </c>
      <c r="G197" s="5" t="s">
        <v>549</v>
      </c>
      <c r="H197" s="5" t="s">
        <v>167</v>
      </c>
      <c r="I197" s="5" t="str">
        <f>_xlfn.XLOOKUP(sommaire[[#This Row],[Arrondissement_code]],OCHA_GIS!$F:$F,OCHA_GIS!$E:$E,,)</f>
        <v>Goulfey</v>
      </c>
      <c r="J197" s="5" t="s">
        <v>1113</v>
      </c>
      <c r="K197" t="s">
        <v>2804</v>
      </c>
      <c r="L197" s="5" t="s">
        <v>1936</v>
      </c>
      <c r="N197" s="5" t="s">
        <v>3053</v>
      </c>
      <c r="O197" s="5" t="s">
        <v>2467</v>
      </c>
      <c r="P197" s="5" t="s">
        <v>85</v>
      </c>
      <c r="Q197" s="5" t="s">
        <v>86</v>
      </c>
      <c r="R197" s="5" t="s">
        <v>85</v>
      </c>
      <c r="T197" s="390">
        <v>3</v>
      </c>
      <c r="U197" s="5" t="s">
        <v>97</v>
      </c>
      <c r="W197" s="5" t="s">
        <v>2468</v>
      </c>
      <c r="X197" s="5" t="s">
        <v>103</v>
      </c>
      <c r="Y197" s="5" t="s">
        <v>2476</v>
      </c>
      <c r="AA197" s="5" t="s">
        <v>86</v>
      </c>
      <c r="AH197" s="1430" t="s">
        <v>86</v>
      </c>
      <c r="AY197" s="1430" t="s">
        <v>86</v>
      </c>
      <c r="BN197" s="1430" t="s">
        <v>86</v>
      </c>
      <c r="CF197" s="1442" t="str">
        <f>IF([1]!sommaire[[#This Row],[présence des personnes déplacés interne]]="Oui","1","0")</f>
        <v>0</v>
      </c>
      <c r="CG197" s="1442" t="str">
        <f>IF([1]!sommaire[[#This Row],[présence Réfugié hors camp]]="Oui","1","0")</f>
        <v>0</v>
      </c>
      <c r="CH197" s="1442" t="str">
        <f>IF([1]!sommaire[[#This Row],[présence personnes retournées]]="Oui","1","0")</f>
        <v>0</v>
      </c>
      <c r="CI197" s="1442">
        <f>[1]!sommaire[[#This Row],[Flag PDI]]+[1]!sommaire[[#This Row],[Flag REF]]+[1]!sommaire[[#This Row],[Flag RET]]</f>
        <v>0</v>
      </c>
    </row>
    <row r="198" spans="1:87" ht="14.55" customHeight="1" x14ac:dyDescent="0.3">
      <c r="A198" s="390">
        <v>2631456</v>
      </c>
      <c r="B198" s="5" t="s">
        <v>533</v>
      </c>
      <c r="C198" s="1430" t="s">
        <v>3449</v>
      </c>
      <c r="D198" s="1090" t="s">
        <v>534</v>
      </c>
      <c r="E198" s="5" t="s">
        <v>31</v>
      </c>
      <c r="F198" s="5" t="s">
        <v>31</v>
      </c>
      <c r="G198" s="5" t="s">
        <v>549</v>
      </c>
      <c r="H198" s="5" t="s">
        <v>167</v>
      </c>
      <c r="I198" s="5" t="str">
        <f>_xlfn.XLOOKUP(sommaire[[#This Row],[Arrondissement_code]],OCHA_GIS!$F:$F,OCHA_GIS!$E:$E,,)</f>
        <v>Goulfey</v>
      </c>
      <c r="J198" s="5" t="s">
        <v>1113</v>
      </c>
      <c r="K198" t="s">
        <v>2805</v>
      </c>
      <c r="L198" s="5" t="s">
        <v>2057</v>
      </c>
      <c r="N198" s="5" t="s">
        <v>3053</v>
      </c>
      <c r="O198" s="5" t="s">
        <v>2467</v>
      </c>
      <c r="P198" s="5" t="s">
        <v>85</v>
      </c>
      <c r="Q198" s="5" t="s">
        <v>86</v>
      </c>
      <c r="R198" s="5" t="s">
        <v>85</v>
      </c>
      <c r="T198" s="390">
        <v>3</v>
      </c>
      <c r="U198" s="5" t="s">
        <v>97</v>
      </c>
      <c r="W198" s="5" t="s">
        <v>2468</v>
      </c>
      <c r="X198" s="5" t="s">
        <v>103</v>
      </c>
      <c r="Y198" s="5" t="s">
        <v>2476</v>
      </c>
      <c r="AA198" s="5" t="s">
        <v>85</v>
      </c>
      <c r="AB198" s="5" t="s">
        <v>2469</v>
      </c>
      <c r="AC198" s="5" t="s">
        <v>2470</v>
      </c>
      <c r="AD198" s="5" t="s">
        <v>86</v>
      </c>
      <c r="AG198" s="5">
        <v>201</v>
      </c>
      <c r="AH198" s="5" t="s">
        <v>86</v>
      </c>
      <c r="AY198" s="5" t="s">
        <v>85</v>
      </c>
      <c r="AZ198" s="5">
        <v>1</v>
      </c>
      <c r="BA198" s="5">
        <v>2</v>
      </c>
      <c r="BB198" s="5">
        <v>1</v>
      </c>
      <c r="BC198" s="5">
        <v>1</v>
      </c>
      <c r="BD198" s="5">
        <v>1</v>
      </c>
      <c r="BE198" s="5">
        <v>0</v>
      </c>
      <c r="BF198" s="5">
        <v>0</v>
      </c>
      <c r="BH198" s="5">
        <v>0</v>
      </c>
      <c r="BI198" s="5">
        <v>0</v>
      </c>
      <c r="BL198" s="5">
        <v>0</v>
      </c>
      <c r="BM198" s="5">
        <v>1</v>
      </c>
      <c r="BN198" s="5" t="s">
        <v>86</v>
      </c>
      <c r="CD198" s="5">
        <v>1</v>
      </c>
      <c r="CF198" s="1442" t="str">
        <f>IF([1]!sommaire[[#This Row],[présence des personnes déplacés interne]]="Oui","1","0")</f>
        <v>0</v>
      </c>
      <c r="CG198" s="1442" t="str">
        <f>IF([1]!sommaire[[#This Row],[présence Réfugié hors camp]]="Oui","1","0")</f>
        <v>1</v>
      </c>
      <c r="CH198" s="1442" t="str">
        <f>IF([1]!sommaire[[#This Row],[présence personnes retournées]]="Oui","1","0")</f>
        <v>0</v>
      </c>
      <c r="CI198" s="1442">
        <f>[1]!sommaire[[#This Row],[Flag PDI]]+[1]!sommaire[[#This Row],[Flag REF]]+[1]!sommaire[[#This Row],[Flag RET]]</f>
        <v>1</v>
      </c>
    </row>
    <row r="199" spans="1:87" ht="14.55" customHeight="1" x14ac:dyDescent="0.3">
      <c r="A199" s="390">
        <v>2631460</v>
      </c>
      <c r="B199" s="5" t="s">
        <v>533</v>
      </c>
      <c r="C199" s="1430" t="s">
        <v>3449</v>
      </c>
      <c r="D199" s="1090" t="s">
        <v>534</v>
      </c>
      <c r="E199" s="5" t="s">
        <v>31</v>
      </c>
      <c r="F199" s="5" t="s">
        <v>31</v>
      </c>
      <c r="G199" s="5" t="s">
        <v>549</v>
      </c>
      <c r="H199" s="5" t="s">
        <v>167</v>
      </c>
      <c r="I199" s="5" t="str">
        <f>_xlfn.XLOOKUP(sommaire[[#This Row],[Arrondissement_code]],OCHA_GIS!$F:$F,OCHA_GIS!$E:$E,,)</f>
        <v>Goulfey</v>
      </c>
      <c r="J199" s="5" t="s">
        <v>1113</v>
      </c>
      <c r="K199" t="s">
        <v>2806</v>
      </c>
      <c r="L199" s="5" t="s">
        <v>1874</v>
      </c>
      <c r="N199" s="5" t="s">
        <v>3053</v>
      </c>
      <c r="O199" s="5" t="s">
        <v>2467</v>
      </c>
      <c r="P199" s="5" t="s">
        <v>85</v>
      </c>
      <c r="Q199" s="5" t="s">
        <v>86</v>
      </c>
      <c r="R199" s="5" t="s">
        <v>85</v>
      </c>
      <c r="T199" s="390">
        <v>3</v>
      </c>
      <c r="U199" s="5" t="s">
        <v>97</v>
      </c>
      <c r="W199" s="5" t="s">
        <v>2468</v>
      </c>
      <c r="X199" s="5" t="s">
        <v>103</v>
      </c>
      <c r="Y199" s="5" t="s">
        <v>2476</v>
      </c>
      <c r="AA199" s="5" t="s">
        <v>86</v>
      </c>
      <c r="AH199" s="1430" t="s">
        <v>86</v>
      </c>
      <c r="AY199" s="1430" t="s">
        <v>86</v>
      </c>
      <c r="BN199" s="1430" t="s">
        <v>86</v>
      </c>
      <c r="CF199" s="1442" t="str">
        <f>IF([1]!sommaire[[#This Row],[présence des personnes déplacés interne]]="Oui","1","0")</f>
        <v>0</v>
      </c>
      <c r="CG199" s="1442" t="str">
        <f>IF([1]!sommaire[[#This Row],[présence Réfugié hors camp]]="Oui","1","0")</f>
        <v>0</v>
      </c>
      <c r="CH199" s="1442" t="str">
        <f>IF([1]!sommaire[[#This Row],[présence personnes retournées]]="Oui","1","0")</f>
        <v>0</v>
      </c>
      <c r="CI199" s="1442">
        <f>[1]!sommaire[[#This Row],[Flag PDI]]+[1]!sommaire[[#This Row],[Flag REF]]+[1]!sommaire[[#This Row],[Flag RET]]</f>
        <v>0</v>
      </c>
    </row>
    <row r="200" spans="1:87" ht="14.55" customHeight="1" x14ac:dyDescent="0.3">
      <c r="A200" s="390">
        <v>2657067</v>
      </c>
      <c r="B200" s="5" t="s">
        <v>533</v>
      </c>
      <c r="C200" s="1430" t="s">
        <v>3449</v>
      </c>
      <c r="D200" s="1090" t="s">
        <v>534</v>
      </c>
      <c r="E200" s="5" t="s">
        <v>31</v>
      </c>
      <c r="F200" s="5" t="s">
        <v>31</v>
      </c>
      <c r="G200" s="5" t="s">
        <v>549</v>
      </c>
      <c r="H200" s="5" t="s">
        <v>167</v>
      </c>
      <c r="I200" s="5" t="str">
        <f>_xlfn.XLOOKUP(sommaire[[#This Row],[Arrondissement_code]],OCHA_GIS!$F:$F,OCHA_GIS!$E:$E,,)</f>
        <v>Goulfey</v>
      </c>
      <c r="J200" s="5" t="s">
        <v>1113</v>
      </c>
      <c r="K200" t="s">
        <v>2121</v>
      </c>
      <c r="L200" s="5" t="s">
        <v>910</v>
      </c>
      <c r="N200" s="5" t="s">
        <v>3053</v>
      </c>
      <c r="O200" s="5" t="s">
        <v>2467</v>
      </c>
      <c r="P200" s="5" t="s">
        <v>85</v>
      </c>
      <c r="Q200" s="5" t="s">
        <v>85</v>
      </c>
      <c r="R200" s="5" t="s">
        <v>86</v>
      </c>
      <c r="S200" s="390">
        <v>9</v>
      </c>
      <c r="T200" s="390">
        <v>3</v>
      </c>
      <c r="U200" s="5" t="s">
        <v>97</v>
      </c>
      <c r="W200" s="5" t="s">
        <v>2468</v>
      </c>
      <c r="X200" s="5" t="s">
        <v>102</v>
      </c>
      <c r="AA200" s="5" t="s">
        <v>85</v>
      </c>
      <c r="AB200" s="5" t="s">
        <v>2469</v>
      </c>
      <c r="AC200" s="5" t="s">
        <v>2470</v>
      </c>
      <c r="AD200" s="5" t="s">
        <v>86</v>
      </c>
      <c r="AF200" s="5">
        <v>52</v>
      </c>
      <c r="AG200" s="5">
        <v>1250</v>
      </c>
      <c r="AH200" s="5" t="s">
        <v>85</v>
      </c>
      <c r="AI200" s="5" t="s">
        <v>2471</v>
      </c>
      <c r="AJ200" s="5">
        <v>52</v>
      </c>
      <c r="AK200" s="5">
        <v>300</v>
      </c>
      <c r="AL200" s="5">
        <v>136</v>
      </c>
      <c r="AM200" s="5">
        <v>164</v>
      </c>
      <c r="AN200" s="5">
        <v>0</v>
      </c>
      <c r="AO200" s="5">
        <v>52</v>
      </c>
      <c r="AP200" s="5">
        <v>0</v>
      </c>
      <c r="AQ200" s="5">
        <v>0</v>
      </c>
      <c r="AT200" s="5">
        <v>0</v>
      </c>
      <c r="AU200" s="5">
        <v>0</v>
      </c>
      <c r="AX200" s="5">
        <v>0</v>
      </c>
      <c r="AY200" s="5" t="s">
        <v>86</v>
      </c>
      <c r="BN200" s="5" t="s">
        <v>85</v>
      </c>
      <c r="BO200" s="5">
        <v>20</v>
      </c>
      <c r="BP200" s="5">
        <v>128</v>
      </c>
      <c r="BQ200" s="5">
        <v>72</v>
      </c>
      <c r="BR200" s="5">
        <v>56</v>
      </c>
      <c r="BS200" s="5" t="s">
        <v>2492</v>
      </c>
      <c r="BT200" s="5">
        <v>0</v>
      </c>
      <c r="BU200" s="5">
        <v>0</v>
      </c>
      <c r="BV200" s="5">
        <v>20</v>
      </c>
      <c r="BW200" s="5">
        <v>0</v>
      </c>
      <c r="BX200" s="5">
        <v>0</v>
      </c>
      <c r="BZ200" s="5">
        <v>0</v>
      </c>
      <c r="CA200" s="5">
        <v>0</v>
      </c>
      <c r="CC200" s="5">
        <v>0</v>
      </c>
      <c r="CD200" s="5">
        <v>0</v>
      </c>
      <c r="CF200" s="1442" t="str">
        <f>IF([1]!sommaire[[#This Row],[présence des personnes déplacés interne]]="Oui","1","0")</f>
        <v>1</v>
      </c>
      <c r="CG200" s="1442" t="str">
        <f>IF([1]!sommaire[[#This Row],[présence Réfugié hors camp]]="Oui","1","0")</f>
        <v>0</v>
      </c>
      <c r="CH200" s="1442" t="str">
        <f>IF([1]!sommaire[[#This Row],[présence personnes retournées]]="Oui","1","0")</f>
        <v>1</v>
      </c>
      <c r="CI200" s="1442">
        <f>[1]!sommaire[[#This Row],[Flag PDI]]+[1]!sommaire[[#This Row],[Flag REF]]+[1]!sommaire[[#This Row],[Flag RET]]</f>
        <v>2</v>
      </c>
    </row>
    <row r="201" spans="1:87" ht="14.55" customHeight="1" x14ac:dyDescent="0.3">
      <c r="A201" s="390">
        <v>2662492</v>
      </c>
      <c r="B201" s="5" t="s">
        <v>533</v>
      </c>
      <c r="C201" s="1430" t="s">
        <v>3449</v>
      </c>
      <c r="D201" s="1090" t="s">
        <v>534</v>
      </c>
      <c r="E201" s="5" t="s">
        <v>31</v>
      </c>
      <c r="F201" s="5" t="s">
        <v>31</v>
      </c>
      <c r="G201" s="5" t="s">
        <v>549</v>
      </c>
      <c r="H201" s="5" t="s">
        <v>167</v>
      </c>
      <c r="I201" s="5" t="str">
        <f>_xlfn.XLOOKUP(sommaire[[#This Row],[Arrondissement_code]],OCHA_GIS!$F:$F,OCHA_GIS!$E:$E,,)</f>
        <v>Goulfey</v>
      </c>
      <c r="J201" s="5" t="s">
        <v>1113</v>
      </c>
      <c r="K201" t="s">
        <v>2970</v>
      </c>
      <c r="L201" s="5" t="s">
        <v>2058</v>
      </c>
      <c r="N201" s="5" t="s">
        <v>3053</v>
      </c>
      <c r="O201" s="5" t="s">
        <v>2467</v>
      </c>
      <c r="P201" s="5" t="s">
        <v>85</v>
      </c>
      <c r="Q201" s="5" t="s">
        <v>86</v>
      </c>
      <c r="R201" s="5" t="s">
        <v>86</v>
      </c>
      <c r="T201" s="390">
        <v>4</v>
      </c>
      <c r="U201" s="5" t="s">
        <v>97</v>
      </c>
      <c r="W201" s="5" t="s">
        <v>2468</v>
      </c>
      <c r="X201" s="5" t="s">
        <v>102</v>
      </c>
      <c r="AA201" s="586" t="s">
        <v>85</v>
      </c>
      <c r="AB201" s="5" t="s">
        <v>2469</v>
      </c>
      <c r="AC201" s="5" t="s">
        <v>2470</v>
      </c>
      <c r="AD201" s="5" t="s">
        <v>86</v>
      </c>
      <c r="AF201" s="5">
        <v>1</v>
      </c>
      <c r="AG201" s="5">
        <v>130</v>
      </c>
      <c r="AH201" s="5" t="s">
        <v>85</v>
      </c>
      <c r="AI201" s="5" t="s">
        <v>2471</v>
      </c>
      <c r="AJ201" s="5">
        <v>1</v>
      </c>
      <c r="AK201" s="5">
        <v>2</v>
      </c>
      <c r="AL201" s="5">
        <v>1</v>
      </c>
      <c r="AM201" s="5">
        <v>1</v>
      </c>
      <c r="AN201" s="5">
        <v>0</v>
      </c>
      <c r="AO201" s="5">
        <v>1</v>
      </c>
      <c r="AP201" s="5">
        <v>0</v>
      </c>
      <c r="AQ201" s="5">
        <v>0</v>
      </c>
      <c r="AT201" s="5">
        <v>0</v>
      </c>
      <c r="AU201" s="5">
        <v>0</v>
      </c>
      <c r="AX201" s="5">
        <v>0</v>
      </c>
      <c r="AY201" s="5" t="s">
        <v>86</v>
      </c>
      <c r="BN201" s="5" t="s">
        <v>86</v>
      </c>
      <c r="CD201" s="5">
        <v>0</v>
      </c>
      <c r="CF201" s="1442" t="str">
        <f>IF([1]!sommaire[[#This Row],[présence des personnes déplacés interne]]="Oui","1","0")</f>
        <v>1</v>
      </c>
      <c r="CG201" s="1442" t="str">
        <f>IF([1]!sommaire[[#This Row],[présence Réfugié hors camp]]="Oui","1","0")</f>
        <v>0</v>
      </c>
      <c r="CH201" s="1442" t="str">
        <f>IF([1]!sommaire[[#This Row],[présence personnes retournées]]="Oui","1","0")</f>
        <v>0</v>
      </c>
      <c r="CI201" s="1442">
        <f>[1]!sommaire[[#This Row],[Flag PDI]]+[1]!sommaire[[#This Row],[Flag REF]]+[1]!sommaire[[#This Row],[Flag RET]]</f>
        <v>1</v>
      </c>
    </row>
    <row r="202" spans="1:87" ht="14.55" customHeight="1" x14ac:dyDescent="0.3">
      <c r="A202" s="390">
        <v>2628119</v>
      </c>
      <c r="B202" s="5" t="s">
        <v>533</v>
      </c>
      <c r="C202" s="1430" t="s">
        <v>3449</v>
      </c>
      <c r="D202" s="1090" t="s">
        <v>534</v>
      </c>
      <c r="E202" s="5" t="s">
        <v>31</v>
      </c>
      <c r="F202" s="5" t="s">
        <v>31</v>
      </c>
      <c r="G202" s="5" t="s">
        <v>549</v>
      </c>
      <c r="H202" s="1144" t="s">
        <v>167</v>
      </c>
      <c r="I202" s="1144" t="str">
        <f>_xlfn.XLOOKUP(sommaire[[#This Row],[Arrondissement_code]],OCHA_GIS!$F:$F,OCHA_GIS!$E:$E,,)</f>
        <v>Goulfey</v>
      </c>
      <c r="J202" s="5" t="s">
        <v>1113</v>
      </c>
      <c r="K202" t="s">
        <v>2279</v>
      </c>
      <c r="L202" s="5" t="s">
        <v>2186</v>
      </c>
      <c r="N202" s="5" t="s">
        <v>3053</v>
      </c>
      <c r="O202" s="5" t="s">
        <v>2467</v>
      </c>
      <c r="P202" s="5" t="s">
        <v>85</v>
      </c>
      <c r="Q202" s="5" t="s">
        <v>86</v>
      </c>
      <c r="R202" s="5" t="s">
        <v>86</v>
      </c>
      <c r="T202" s="390">
        <v>3</v>
      </c>
      <c r="U202" s="5" t="s">
        <v>97</v>
      </c>
      <c r="W202" s="5" t="s">
        <v>2468</v>
      </c>
      <c r="X202" s="5" t="s">
        <v>102</v>
      </c>
      <c r="AA202" s="5" t="s">
        <v>85</v>
      </c>
      <c r="AB202" s="5" t="s">
        <v>2469</v>
      </c>
      <c r="AC202" s="5" t="s">
        <v>2470</v>
      </c>
      <c r="AD202" s="5" t="s">
        <v>86</v>
      </c>
      <c r="AF202" s="5">
        <v>10</v>
      </c>
      <c r="AG202" s="5">
        <v>1002</v>
      </c>
      <c r="AH202" s="5" t="s">
        <v>85</v>
      </c>
      <c r="AI202" s="5" t="s">
        <v>2471</v>
      </c>
      <c r="AJ202" s="5">
        <v>10</v>
      </c>
      <c r="AK202" s="5">
        <v>10</v>
      </c>
      <c r="AL202" s="5">
        <v>4</v>
      </c>
      <c r="AM202" s="5">
        <v>6</v>
      </c>
      <c r="AN202" s="5">
        <v>10</v>
      </c>
      <c r="AO202" s="5">
        <v>0</v>
      </c>
      <c r="AP202" s="5">
        <v>0</v>
      </c>
      <c r="AQ202" s="5">
        <v>0</v>
      </c>
      <c r="AT202" s="5">
        <v>0</v>
      </c>
      <c r="AU202" s="5">
        <v>0</v>
      </c>
      <c r="AX202" s="5">
        <v>0</v>
      </c>
      <c r="AY202" s="5" t="s">
        <v>86</v>
      </c>
      <c r="BN202" s="5" t="s">
        <v>86</v>
      </c>
      <c r="CD202" s="5">
        <v>0</v>
      </c>
      <c r="CF202" s="1442" t="str">
        <f>IF([1]!sommaire[[#This Row],[présence des personnes déplacés interne]]="Oui","1","0")</f>
        <v>1</v>
      </c>
      <c r="CG202" s="1442" t="str">
        <f>IF([1]!sommaire[[#This Row],[présence Réfugié hors camp]]="Oui","1","0")</f>
        <v>0</v>
      </c>
      <c r="CH202" s="1442" t="str">
        <f>IF([1]!sommaire[[#This Row],[présence personnes retournées]]="Oui","1","0")</f>
        <v>0</v>
      </c>
      <c r="CI202" s="1442">
        <f>[1]!sommaire[[#This Row],[Flag PDI]]+[1]!sommaire[[#This Row],[Flag REF]]+[1]!sommaire[[#This Row],[Flag RET]]</f>
        <v>1</v>
      </c>
    </row>
    <row r="203" spans="1:87" ht="14.55" customHeight="1" x14ac:dyDescent="0.3">
      <c r="A203" s="390">
        <v>2597410</v>
      </c>
      <c r="B203" s="5" t="s">
        <v>533</v>
      </c>
      <c r="C203" s="1430" t="s">
        <v>3449</v>
      </c>
      <c r="D203" s="1090" t="s">
        <v>534</v>
      </c>
      <c r="E203" s="5" t="s">
        <v>31</v>
      </c>
      <c r="F203" s="5" t="s">
        <v>31</v>
      </c>
      <c r="G203" s="5" t="s">
        <v>549</v>
      </c>
      <c r="H203" s="5" t="s">
        <v>167</v>
      </c>
      <c r="I203" s="5" t="str">
        <f>_xlfn.XLOOKUP(sommaire[[#This Row],[Arrondissement_code]],OCHA_GIS!$F:$F,OCHA_GIS!$E:$E,,)</f>
        <v>Goulfey</v>
      </c>
      <c r="J203" s="5" t="s">
        <v>1113</v>
      </c>
      <c r="K203" t="s">
        <v>2145</v>
      </c>
      <c r="L203" s="5" t="s">
        <v>2116</v>
      </c>
      <c r="N203" s="5" t="s">
        <v>3053</v>
      </c>
      <c r="O203" s="5" t="s">
        <v>2467</v>
      </c>
      <c r="P203" s="5" t="s">
        <v>85</v>
      </c>
      <c r="Q203" s="5" t="s">
        <v>86</v>
      </c>
      <c r="R203" s="5" t="s">
        <v>86</v>
      </c>
      <c r="T203" s="390">
        <v>3</v>
      </c>
      <c r="U203" s="5" t="s">
        <v>97</v>
      </c>
      <c r="W203" s="5" t="s">
        <v>2468</v>
      </c>
      <c r="X203" s="5" t="s">
        <v>102</v>
      </c>
      <c r="AA203" s="5" t="s">
        <v>85</v>
      </c>
      <c r="AB203" s="5" t="s">
        <v>2469</v>
      </c>
      <c r="AC203" s="5" t="s">
        <v>2470</v>
      </c>
      <c r="AD203" s="5" t="s">
        <v>86</v>
      </c>
      <c r="AF203" s="5">
        <v>7</v>
      </c>
      <c r="AG203" s="5">
        <v>602</v>
      </c>
      <c r="AH203" s="5" t="s">
        <v>85</v>
      </c>
      <c r="AI203" s="5" t="s">
        <v>2471</v>
      </c>
      <c r="AJ203" s="5">
        <v>7</v>
      </c>
      <c r="AK203" s="5">
        <v>29</v>
      </c>
      <c r="AL203" s="5">
        <v>12</v>
      </c>
      <c r="AM203" s="5">
        <v>17</v>
      </c>
      <c r="AN203" s="5">
        <v>2</v>
      </c>
      <c r="AO203" s="5">
        <v>0</v>
      </c>
      <c r="AP203" s="5">
        <v>5</v>
      </c>
      <c r="AQ203" s="5">
        <v>0</v>
      </c>
      <c r="AT203" s="5">
        <v>0</v>
      </c>
      <c r="AU203" s="5">
        <v>0</v>
      </c>
      <c r="AX203" s="5">
        <v>0</v>
      </c>
      <c r="AY203" s="5" t="s">
        <v>86</v>
      </c>
      <c r="BN203" s="5" t="s">
        <v>86</v>
      </c>
      <c r="CD203" s="5">
        <v>0</v>
      </c>
      <c r="CF203" s="1442" t="str">
        <f>IF([1]!sommaire[[#This Row],[présence des personnes déplacés interne]]="Oui","1","0")</f>
        <v>1</v>
      </c>
      <c r="CG203" s="1442" t="str">
        <f>IF([1]!sommaire[[#This Row],[présence Réfugié hors camp]]="Oui","1","0")</f>
        <v>0</v>
      </c>
      <c r="CH203" s="1442" t="str">
        <f>IF([1]!sommaire[[#This Row],[présence personnes retournées]]="Oui","1","0")</f>
        <v>0</v>
      </c>
      <c r="CI203" s="1442">
        <f>[1]!sommaire[[#This Row],[Flag PDI]]+[1]!sommaire[[#This Row],[Flag REF]]+[1]!sommaire[[#This Row],[Flag RET]]</f>
        <v>1</v>
      </c>
    </row>
    <row r="204" spans="1:87" ht="14.55" customHeight="1" x14ac:dyDescent="0.3">
      <c r="A204" s="390">
        <v>2662518</v>
      </c>
      <c r="B204" s="5" t="s">
        <v>533</v>
      </c>
      <c r="C204" s="1430" t="s">
        <v>3449</v>
      </c>
      <c r="D204" s="1090" t="s">
        <v>534</v>
      </c>
      <c r="E204" s="5" t="s">
        <v>31</v>
      </c>
      <c r="F204" s="5" t="s">
        <v>31</v>
      </c>
      <c r="G204" s="5" t="s">
        <v>549</v>
      </c>
      <c r="H204" s="5" t="s">
        <v>167</v>
      </c>
      <c r="I204" s="5" t="str">
        <f>_xlfn.XLOOKUP(sommaire[[#This Row],[Arrondissement_code]],OCHA_GIS!$F:$F,OCHA_GIS!$E:$E,,)</f>
        <v>Goulfey</v>
      </c>
      <c r="J204" s="5" t="s">
        <v>1113</v>
      </c>
      <c r="K204" t="s">
        <v>2079</v>
      </c>
      <c r="L204" s="5" t="s">
        <v>2086</v>
      </c>
      <c r="N204" s="5" t="s">
        <v>3053</v>
      </c>
      <c r="O204" s="5" t="s">
        <v>2467</v>
      </c>
      <c r="P204" s="5" t="s">
        <v>85</v>
      </c>
      <c r="Q204" s="5" t="s">
        <v>86</v>
      </c>
      <c r="R204" s="5" t="s">
        <v>86</v>
      </c>
      <c r="T204" s="390">
        <v>5</v>
      </c>
      <c r="U204" s="5" t="s">
        <v>97</v>
      </c>
      <c r="W204" s="5" t="s">
        <v>2468</v>
      </c>
      <c r="X204" s="5" t="s">
        <v>102</v>
      </c>
      <c r="AA204" s="5" t="s">
        <v>85</v>
      </c>
      <c r="AB204" s="5" t="s">
        <v>2469</v>
      </c>
      <c r="AC204" s="5" t="s">
        <v>2470</v>
      </c>
      <c r="AD204" s="5" t="s">
        <v>86</v>
      </c>
      <c r="AF204" s="5">
        <v>18</v>
      </c>
      <c r="AG204" s="5">
        <v>650</v>
      </c>
      <c r="AH204" s="5" t="s">
        <v>85</v>
      </c>
      <c r="AI204" s="5" t="s">
        <v>2471</v>
      </c>
      <c r="AJ204" s="5">
        <v>18</v>
      </c>
      <c r="AK204" s="5">
        <v>50</v>
      </c>
      <c r="AL204" s="5">
        <v>20</v>
      </c>
      <c r="AM204" s="5">
        <v>30</v>
      </c>
      <c r="AN204" s="5">
        <v>2</v>
      </c>
      <c r="AO204" s="5">
        <v>10</v>
      </c>
      <c r="AP204" s="5">
        <v>0</v>
      </c>
      <c r="AQ204" s="5">
        <v>6</v>
      </c>
      <c r="AR204" s="5" t="s">
        <v>2477</v>
      </c>
      <c r="AT204" s="5">
        <v>0</v>
      </c>
      <c r="AU204" s="5">
        <v>0</v>
      </c>
      <c r="AX204" s="5">
        <v>0</v>
      </c>
      <c r="AY204" s="5" t="s">
        <v>86</v>
      </c>
      <c r="BN204" s="5" t="s">
        <v>86</v>
      </c>
      <c r="CD204" s="5">
        <v>0</v>
      </c>
      <c r="CF204" s="1442" t="str">
        <f>IF([1]!sommaire[[#This Row],[présence des personnes déplacés interne]]="Oui","1","0")</f>
        <v>1</v>
      </c>
      <c r="CG204" s="1442" t="str">
        <f>IF([1]!sommaire[[#This Row],[présence Réfugié hors camp]]="Oui","1","0")</f>
        <v>0</v>
      </c>
      <c r="CH204" s="1442" t="str">
        <f>IF([1]!sommaire[[#This Row],[présence personnes retournées]]="Oui","1","0")</f>
        <v>0</v>
      </c>
      <c r="CI204" s="1442">
        <f>[1]!sommaire[[#This Row],[Flag PDI]]+[1]!sommaire[[#This Row],[Flag REF]]+[1]!sommaire[[#This Row],[Flag RET]]</f>
        <v>1</v>
      </c>
    </row>
    <row r="205" spans="1:87" ht="14.55" customHeight="1" x14ac:dyDescent="0.3">
      <c r="A205" s="390">
        <v>2647887</v>
      </c>
      <c r="B205" s="5" t="s">
        <v>533</v>
      </c>
      <c r="C205" s="1430" t="s">
        <v>3449</v>
      </c>
      <c r="D205" s="1090" t="s">
        <v>534</v>
      </c>
      <c r="E205" s="5" t="s">
        <v>31</v>
      </c>
      <c r="F205" s="5" t="s">
        <v>31</v>
      </c>
      <c r="G205" s="5" t="s">
        <v>549</v>
      </c>
      <c r="H205" s="5" t="s">
        <v>167</v>
      </c>
      <c r="I205" s="5" t="str">
        <f>_xlfn.XLOOKUP(sommaire[[#This Row],[Arrondissement_code]],OCHA_GIS!$F:$F,OCHA_GIS!$E:$E,,)</f>
        <v>Goulfey</v>
      </c>
      <c r="J205" s="5" t="s">
        <v>1113</v>
      </c>
      <c r="K205" t="s">
        <v>1989</v>
      </c>
      <c r="L205" s="5" t="s">
        <v>1990</v>
      </c>
      <c r="N205" s="5" t="s">
        <v>3053</v>
      </c>
      <c r="O205" s="5" t="s">
        <v>2467</v>
      </c>
      <c r="P205" s="5" t="s">
        <v>85</v>
      </c>
      <c r="Q205" s="5" t="s">
        <v>86</v>
      </c>
      <c r="R205" s="5" t="s">
        <v>86</v>
      </c>
      <c r="T205" s="390">
        <v>4</v>
      </c>
      <c r="U205" s="5" t="s">
        <v>97</v>
      </c>
      <c r="W205" s="5" t="s">
        <v>2468</v>
      </c>
      <c r="X205" s="5" t="s">
        <v>102</v>
      </c>
      <c r="AA205" s="5" t="s">
        <v>86</v>
      </c>
      <c r="AG205" s="5">
        <v>2000</v>
      </c>
      <c r="AH205" s="1430" t="s">
        <v>86</v>
      </c>
      <c r="AY205" s="1430" t="s">
        <v>86</v>
      </c>
      <c r="BN205" s="1430" t="s">
        <v>86</v>
      </c>
      <c r="CF205" s="1442" t="str">
        <f>IF([1]!sommaire[[#This Row],[présence des personnes déplacés interne]]="Oui","1","0")</f>
        <v>0</v>
      </c>
      <c r="CG205" s="1442" t="str">
        <f>IF([1]!sommaire[[#This Row],[présence Réfugié hors camp]]="Oui","1","0")</f>
        <v>0</v>
      </c>
      <c r="CH205" s="1442" t="str">
        <f>IF([1]!sommaire[[#This Row],[présence personnes retournées]]="Oui","1","0")</f>
        <v>0</v>
      </c>
      <c r="CI205" s="1442">
        <f>[1]!sommaire[[#This Row],[Flag PDI]]+[1]!sommaire[[#This Row],[Flag REF]]+[1]!sommaire[[#This Row],[Flag RET]]</f>
        <v>0</v>
      </c>
    </row>
    <row r="206" spans="1:87" ht="14.55" customHeight="1" x14ac:dyDescent="0.3">
      <c r="A206" s="390">
        <v>2657069</v>
      </c>
      <c r="B206" s="5" t="s">
        <v>533</v>
      </c>
      <c r="C206" s="1430" t="s">
        <v>3449</v>
      </c>
      <c r="D206" s="1090" t="s">
        <v>534</v>
      </c>
      <c r="E206" s="5" t="s">
        <v>31</v>
      </c>
      <c r="F206" s="5" t="s">
        <v>31</v>
      </c>
      <c r="G206" s="5" t="s">
        <v>549</v>
      </c>
      <c r="H206" s="5" t="s">
        <v>167</v>
      </c>
      <c r="I206" s="5" t="str">
        <f>_xlfn.XLOOKUP(sommaire[[#This Row],[Arrondissement_code]],OCHA_GIS!$F:$F,OCHA_GIS!$E:$E,,)</f>
        <v>Goulfey</v>
      </c>
      <c r="J206" s="5" t="s">
        <v>1113</v>
      </c>
      <c r="K206" t="s">
        <v>3093</v>
      </c>
      <c r="L206" s="5" t="s">
        <v>2378</v>
      </c>
      <c r="N206" s="5" t="s">
        <v>3053</v>
      </c>
      <c r="O206" s="5" t="s">
        <v>2467</v>
      </c>
      <c r="P206" s="5" t="s">
        <v>85</v>
      </c>
      <c r="Q206" s="5" t="s">
        <v>86</v>
      </c>
      <c r="R206" s="5" t="s">
        <v>86</v>
      </c>
      <c r="T206" s="1190">
        <v>4</v>
      </c>
      <c r="U206" s="5" t="s">
        <v>97</v>
      </c>
      <c r="W206" s="5" t="s">
        <v>2468</v>
      </c>
      <c r="X206" s="5" t="s">
        <v>102</v>
      </c>
      <c r="AA206" s="5" t="s">
        <v>86</v>
      </c>
      <c r="AH206" s="1430" t="s">
        <v>86</v>
      </c>
      <c r="AY206" s="1430" t="s">
        <v>86</v>
      </c>
      <c r="BN206" s="1430" t="s">
        <v>86</v>
      </c>
      <c r="CF206" s="1442" t="str">
        <f>IF([1]!sommaire[[#This Row],[présence des personnes déplacés interne]]="Oui","1","0")</f>
        <v>0</v>
      </c>
      <c r="CG206" s="1442" t="str">
        <f>IF([1]!sommaire[[#This Row],[présence Réfugié hors camp]]="Oui","1","0")</f>
        <v>0</v>
      </c>
      <c r="CH206" s="1442" t="str">
        <f>IF([1]!sommaire[[#This Row],[présence personnes retournées]]="Oui","1","0")</f>
        <v>0</v>
      </c>
      <c r="CI206" s="1442">
        <f>[1]!sommaire[[#This Row],[Flag PDI]]+[1]!sommaire[[#This Row],[Flag REF]]+[1]!sommaire[[#This Row],[Flag RET]]</f>
        <v>0</v>
      </c>
    </row>
    <row r="207" spans="1:87" ht="14.55" customHeight="1" x14ac:dyDescent="0.3">
      <c r="A207" s="390">
        <v>2657068</v>
      </c>
      <c r="B207" s="5" t="s">
        <v>533</v>
      </c>
      <c r="C207" s="1430" t="s">
        <v>3449</v>
      </c>
      <c r="D207" s="1090" t="s">
        <v>534</v>
      </c>
      <c r="E207" s="5" t="s">
        <v>31</v>
      </c>
      <c r="F207" s="5" t="s">
        <v>31</v>
      </c>
      <c r="G207" s="5" t="s">
        <v>549</v>
      </c>
      <c r="H207" s="5" t="s">
        <v>167</v>
      </c>
      <c r="I207" s="5" t="str">
        <f>_xlfn.XLOOKUP(sommaire[[#This Row],[Arrondissement_code]],OCHA_GIS!$F:$F,OCHA_GIS!$E:$E,,)</f>
        <v>Goulfey</v>
      </c>
      <c r="J207" s="5" t="s">
        <v>1113</v>
      </c>
      <c r="K207" t="s">
        <v>1946</v>
      </c>
      <c r="L207" s="5" t="s">
        <v>1090</v>
      </c>
      <c r="N207" s="5" t="s">
        <v>3053</v>
      </c>
      <c r="O207" s="5" t="s">
        <v>2467</v>
      </c>
      <c r="P207" s="5" t="s">
        <v>85</v>
      </c>
      <c r="Q207" s="5" t="s">
        <v>85</v>
      </c>
      <c r="R207" s="5" t="s">
        <v>86</v>
      </c>
      <c r="S207" s="390">
        <v>8</v>
      </c>
      <c r="T207" s="390">
        <v>4</v>
      </c>
      <c r="U207" s="5" t="s">
        <v>97</v>
      </c>
      <c r="W207" s="5" t="s">
        <v>2468</v>
      </c>
      <c r="X207" s="5" t="s">
        <v>102</v>
      </c>
      <c r="AA207" s="5" t="s">
        <v>85</v>
      </c>
      <c r="AB207" s="5" t="s">
        <v>2469</v>
      </c>
      <c r="AC207" s="5" t="s">
        <v>2470</v>
      </c>
      <c r="AD207" s="5" t="s">
        <v>86</v>
      </c>
      <c r="AF207" s="5">
        <v>67</v>
      </c>
      <c r="AG207" s="5">
        <v>1335</v>
      </c>
      <c r="AH207" s="5" t="s">
        <v>85</v>
      </c>
      <c r="AI207" s="5" t="s">
        <v>2471</v>
      </c>
      <c r="AJ207" s="5">
        <v>67</v>
      </c>
      <c r="AK207" s="5">
        <v>232</v>
      </c>
      <c r="AL207" s="5">
        <v>110</v>
      </c>
      <c r="AM207" s="5">
        <v>122</v>
      </c>
      <c r="AN207" s="5">
        <v>67</v>
      </c>
      <c r="AO207" s="5">
        <v>0</v>
      </c>
      <c r="AP207" s="5">
        <v>0</v>
      </c>
      <c r="AQ207" s="5">
        <v>0</v>
      </c>
      <c r="AT207" s="5">
        <v>0</v>
      </c>
      <c r="AU207" s="5">
        <v>0</v>
      </c>
      <c r="AX207" s="5">
        <v>0</v>
      </c>
      <c r="AY207" s="5" t="s">
        <v>86</v>
      </c>
      <c r="BN207" s="5" t="s">
        <v>85</v>
      </c>
      <c r="BO207" s="5">
        <v>56</v>
      </c>
      <c r="BP207" s="5">
        <v>204</v>
      </c>
      <c r="BQ207" s="5">
        <v>97</v>
      </c>
      <c r="BR207" s="5">
        <v>107</v>
      </c>
      <c r="BS207" s="5" t="s">
        <v>2479</v>
      </c>
      <c r="BT207" s="5">
        <v>0</v>
      </c>
      <c r="BU207" s="5">
        <v>0</v>
      </c>
      <c r="BV207" s="5">
        <v>56</v>
      </c>
      <c r="BW207" s="5">
        <v>0</v>
      </c>
      <c r="BX207" s="5">
        <v>0</v>
      </c>
      <c r="BZ207" s="5">
        <v>0</v>
      </c>
      <c r="CA207" s="5">
        <v>0</v>
      </c>
      <c r="CC207" s="5">
        <v>0</v>
      </c>
      <c r="CD207" s="5">
        <v>0</v>
      </c>
      <c r="CF207" s="1442" t="str">
        <f>IF([1]!sommaire[[#This Row],[présence des personnes déplacés interne]]="Oui","1","0")</f>
        <v>1</v>
      </c>
      <c r="CG207" s="1442" t="str">
        <f>IF([1]!sommaire[[#This Row],[présence Réfugié hors camp]]="Oui","1","0")</f>
        <v>0</v>
      </c>
      <c r="CH207" s="1442" t="str">
        <f>IF([1]!sommaire[[#This Row],[présence personnes retournées]]="Oui","1","0")</f>
        <v>1</v>
      </c>
      <c r="CI207" s="1442">
        <f>[1]!sommaire[[#This Row],[Flag PDI]]+[1]!sommaire[[#This Row],[Flag REF]]+[1]!sommaire[[#This Row],[Flag RET]]</f>
        <v>2</v>
      </c>
    </row>
    <row r="208" spans="1:87" ht="14.55" customHeight="1" x14ac:dyDescent="0.3">
      <c r="A208" s="390">
        <v>2662511</v>
      </c>
      <c r="B208" s="5" t="s">
        <v>533</v>
      </c>
      <c r="C208" s="1430" t="s">
        <v>3449</v>
      </c>
      <c r="D208" s="1090" t="s">
        <v>534</v>
      </c>
      <c r="E208" s="5" t="s">
        <v>31</v>
      </c>
      <c r="F208" s="5" t="s">
        <v>31</v>
      </c>
      <c r="G208" s="5" t="s">
        <v>549</v>
      </c>
      <c r="H208" s="5" t="s">
        <v>167</v>
      </c>
      <c r="I208" s="5" t="str">
        <f>_xlfn.XLOOKUP(sommaire[[#This Row],[Arrondissement_code]],OCHA_GIS!$F:$F,OCHA_GIS!$E:$E,,)</f>
        <v>Goulfey</v>
      </c>
      <c r="J208" s="5" t="s">
        <v>1113</v>
      </c>
      <c r="K208" t="s">
        <v>1901</v>
      </c>
      <c r="L208" s="5" t="s">
        <v>2082</v>
      </c>
      <c r="N208" s="5" t="s">
        <v>3053</v>
      </c>
      <c r="O208" s="5" t="s">
        <v>2467</v>
      </c>
      <c r="P208" s="5" t="s">
        <v>85</v>
      </c>
      <c r="Q208" s="5" t="s">
        <v>86</v>
      </c>
      <c r="R208" s="5" t="s">
        <v>86</v>
      </c>
      <c r="T208" s="390">
        <v>4</v>
      </c>
      <c r="U208" s="5" t="s">
        <v>97</v>
      </c>
      <c r="W208" s="5" t="s">
        <v>2468</v>
      </c>
      <c r="X208" s="5" t="s">
        <v>102</v>
      </c>
      <c r="AA208" s="5" t="s">
        <v>86</v>
      </c>
      <c r="AH208" s="1430" t="s">
        <v>86</v>
      </c>
      <c r="AY208" s="1430" t="s">
        <v>86</v>
      </c>
      <c r="BN208" s="1430" t="s">
        <v>86</v>
      </c>
      <c r="CF208" s="1442" t="str">
        <f>IF([1]!sommaire[[#This Row],[présence des personnes déplacés interne]]="Oui","1","0")</f>
        <v>0</v>
      </c>
      <c r="CG208" s="1442" t="str">
        <f>IF([1]!sommaire[[#This Row],[présence Réfugié hors camp]]="Oui","1","0")</f>
        <v>0</v>
      </c>
      <c r="CH208" s="1442" t="str">
        <f>IF([1]!sommaire[[#This Row],[présence personnes retournées]]="Oui","1","0")</f>
        <v>0</v>
      </c>
      <c r="CI208" s="1442">
        <f>[1]!sommaire[[#This Row],[Flag PDI]]+[1]!sommaire[[#This Row],[Flag REF]]+[1]!sommaire[[#This Row],[Flag RET]]</f>
        <v>0</v>
      </c>
    </row>
    <row r="209" spans="1:87" ht="14.55" customHeight="1" x14ac:dyDescent="0.3">
      <c r="A209" s="390">
        <v>2584780</v>
      </c>
      <c r="B209" s="5" t="s">
        <v>533</v>
      </c>
      <c r="C209" s="1430" t="s">
        <v>3449</v>
      </c>
      <c r="D209" s="5" t="s">
        <v>534</v>
      </c>
      <c r="E209" s="5" t="s">
        <v>31</v>
      </c>
      <c r="F209" s="5" t="s">
        <v>31</v>
      </c>
      <c r="G209" s="5" t="s">
        <v>549</v>
      </c>
      <c r="H209" s="5" t="s">
        <v>167</v>
      </c>
      <c r="I209" s="5" t="str">
        <f>_xlfn.XLOOKUP(sommaire[[#This Row],[Arrondissement_code]],OCHA_GIS!$F:$F,OCHA_GIS!$E:$E,,)</f>
        <v>Goulfey</v>
      </c>
      <c r="J209" s="5" t="s">
        <v>1113</v>
      </c>
      <c r="K209" t="s">
        <v>1778</v>
      </c>
      <c r="L209" s="5" t="s">
        <v>1779</v>
      </c>
      <c r="N209" s="5" t="s">
        <v>3052</v>
      </c>
      <c r="O209" s="5" t="s">
        <v>2467</v>
      </c>
      <c r="P209" s="5" t="s">
        <v>85</v>
      </c>
      <c r="Q209" s="5" t="s">
        <v>86</v>
      </c>
      <c r="R209" s="5" t="s">
        <v>86</v>
      </c>
      <c r="T209" s="390">
        <v>3</v>
      </c>
      <c r="U209" s="5" t="s">
        <v>97</v>
      </c>
      <c r="W209" s="5" t="s">
        <v>2468</v>
      </c>
      <c r="X209" s="5" t="s">
        <v>102</v>
      </c>
      <c r="AA209" s="5" t="s">
        <v>85</v>
      </c>
      <c r="AB209" s="5" t="s">
        <v>2469</v>
      </c>
      <c r="AC209" s="5" t="s">
        <v>2470</v>
      </c>
      <c r="AD209" s="5" t="s">
        <v>86</v>
      </c>
      <c r="AF209" s="5">
        <v>61</v>
      </c>
      <c r="AG209" s="5">
        <v>12669</v>
      </c>
      <c r="AH209" s="5" t="s">
        <v>85</v>
      </c>
      <c r="AI209" s="5" t="s">
        <v>2471</v>
      </c>
      <c r="AJ209" s="5">
        <v>61</v>
      </c>
      <c r="AK209" s="5">
        <v>369</v>
      </c>
      <c r="AL209" s="5">
        <v>190</v>
      </c>
      <c r="AM209" s="5">
        <v>179</v>
      </c>
      <c r="AN209" s="5">
        <v>6</v>
      </c>
      <c r="AO209" s="5">
        <v>50</v>
      </c>
      <c r="AP209" s="5">
        <v>0</v>
      </c>
      <c r="AQ209" s="5">
        <v>5</v>
      </c>
      <c r="AR209" s="5" t="s">
        <v>2472</v>
      </c>
      <c r="AT209" s="5">
        <v>0</v>
      </c>
      <c r="AU209" s="5">
        <v>0</v>
      </c>
      <c r="AX209" s="5">
        <v>0</v>
      </c>
      <c r="AY209" s="5" t="s">
        <v>86</v>
      </c>
      <c r="BN209" s="5" t="s">
        <v>86</v>
      </c>
      <c r="CD209" s="5">
        <v>0</v>
      </c>
      <c r="CF209" s="1442" t="str">
        <f>IF([1]!sommaire[[#This Row],[présence des personnes déplacés interne]]="Oui","1","0")</f>
        <v>1</v>
      </c>
      <c r="CG209" s="1442" t="str">
        <f>IF([1]!sommaire[[#This Row],[présence Réfugié hors camp]]="Oui","1","0")</f>
        <v>0</v>
      </c>
      <c r="CH209" s="1442" t="str">
        <f>IF([1]!sommaire[[#This Row],[présence personnes retournées]]="Oui","1","0")</f>
        <v>0</v>
      </c>
      <c r="CI209" s="1442">
        <f>[1]!sommaire[[#This Row],[Flag PDI]]+[1]!sommaire[[#This Row],[Flag REF]]+[1]!sommaire[[#This Row],[Flag RET]]</f>
        <v>1</v>
      </c>
    </row>
    <row r="210" spans="1:87" ht="14.55" customHeight="1" x14ac:dyDescent="0.3">
      <c r="A210" s="390">
        <v>2636810</v>
      </c>
      <c r="B210" s="5" t="s">
        <v>533</v>
      </c>
      <c r="C210" s="1430" t="s">
        <v>3449</v>
      </c>
      <c r="D210" s="1090" t="s">
        <v>534</v>
      </c>
      <c r="E210" s="5" t="s">
        <v>31</v>
      </c>
      <c r="F210" s="5" t="s">
        <v>31</v>
      </c>
      <c r="G210" s="5" t="s">
        <v>549</v>
      </c>
      <c r="H210" s="5" t="s">
        <v>167</v>
      </c>
      <c r="I210" s="5" t="str">
        <f>_xlfn.XLOOKUP(sommaire[[#This Row],[Arrondissement_code]],OCHA_GIS!$F:$F,OCHA_GIS!$E:$E,,)</f>
        <v>Goulfey</v>
      </c>
      <c r="J210" s="5" t="s">
        <v>1113</v>
      </c>
      <c r="K210" t="s">
        <v>2073</v>
      </c>
      <c r="L210" s="5" t="s">
        <v>2074</v>
      </c>
      <c r="N210" s="5" t="s">
        <v>3053</v>
      </c>
      <c r="O210" s="5" t="s">
        <v>2467</v>
      </c>
      <c r="P210" s="5" t="s">
        <v>85</v>
      </c>
      <c r="Q210" s="5" t="s">
        <v>86</v>
      </c>
      <c r="R210" s="5" t="s">
        <v>86</v>
      </c>
      <c r="T210" s="390">
        <v>3</v>
      </c>
      <c r="U210" s="5" t="s">
        <v>97</v>
      </c>
      <c r="W210" s="5" t="s">
        <v>2468</v>
      </c>
      <c r="X210" s="5" t="s">
        <v>102</v>
      </c>
      <c r="AA210" s="5" t="s">
        <v>85</v>
      </c>
      <c r="AB210" s="5" t="s">
        <v>2469</v>
      </c>
      <c r="AC210" s="5" t="s">
        <v>2470</v>
      </c>
      <c r="AD210" s="5" t="s">
        <v>86</v>
      </c>
      <c r="AF210" s="5">
        <v>68</v>
      </c>
      <c r="AG210" s="5">
        <v>1502</v>
      </c>
      <c r="AH210" s="5" t="s">
        <v>85</v>
      </c>
      <c r="AI210" s="5" t="s">
        <v>2471</v>
      </c>
      <c r="AJ210" s="5">
        <v>68</v>
      </c>
      <c r="AK210" s="5">
        <v>270</v>
      </c>
      <c r="AL210" s="5">
        <v>70</v>
      </c>
      <c r="AM210" s="5">
        <v>200</v>
      </c>
      <c r="AN210" s="5">
        <v>0</v>
      </c>
      <c r="AO210" s="5">
        <v>68</v>
      </c>
      <c r="AP210" s="5">
        <v>0</v>
      </c>
      <c r="AQ210" s="5">
        <v>0</v>
      </c>
      <c r="AT210" s="5">
        <v>0</v>
      </c>
      <c r="AU210" s="5">
        <v>0</v>
      </c>
      <c r="AX210" s="5">
        <v>0</v>
      </c>
      <c r="AY210" s="5" t="s">
        <v>86</v>
      </c>
      <c r="BN210" s="5" t="s">
        <v>86</v>
      </c>
      <c r="CD210" s="5">
        <v>0</v>
      </c>
      <c r="CF210" s="1442" t="str">
        <f>IF([1]!sommaire[[#This Row],[présence des personnes déplacés interne]]="Oui","1","0")</f>
        <v>1</v>
      </c>
      <c r="CG210" s="1442" t="str">
        <f>IF([1]!sommaire[[#This Row],[présence Réfugié hors camp]]="Oui","1","0")</f>
        <v>0</v>
      </c>
      <c r="CH210" s="1442" t="str">
        <f>IF([1]!sommaire[[#This Row],[présence personnes retournées]]="Oui","1","0")</f>
        <v>0</v>
      </c>
      <c r="CI210" s="1442">
        <f>[1]!sommaire[[#This Row],[Flag PDI]]+[1]!sommaire[[#This Row],[Flag REF]]+[1]!sommaire[[#This Row],[Flag RET]]</f>
        <v>1</v>
      </c>
    </row>
    <row r="211" spans="1:87" ht="14.55" customHeight="1" x14ac:dyDescent="0.3">
      <c r="A211" s="390">
        <v>2653315</v>
      </c>
      <c r="B211" s="5" t="s">
        <v>533</v>
      </c>
      <c r="C211" s="1430" t="s">
        <v>3449</v>
      </c>
      <c r="D211" s="1090" t="s">
        <v>534</v>
      </c>
      <c r="E211" s="5" t="s">
        <v>31</v>
      </c>
      <c r="F211" s="5" t="s">
        <v>31</v>
      </c>
      <c r="G211" s="5" t="s">
        <v>549</v>
      </c>
      <c r="H211" s="5" t="s">
        <v>167</v>
      </c>
      <c r="I211" s="5" t="str">
        <f>_xlfn.XLOOKUP(sommaire[[#This Row],[Arrondissement_code]],OCHA_GIS!$F:$F,OCHA_GIS!$E:$E,,)</f>
        <v>Goulfey</v>
      </c>
      <c r="J211" s="5" t="s">
        <v>1113</v>
      </c>
      <c r="K211" t="s">
        <v>1900</v>
      </c>
      <c r="L211" s="5" t="s">
        <v>2080</v>
      </c>
      <c r="N211" s="5" t="s">
        <v>3053</v>
      </c>
      <c r="O211" s="5" t="s">
        <v>2467</v>
      </c>
      <c r="P211" s="5" t="s">
        <v>85</v>
      </c>
      <c r="Q211" s="5" t="s">
        <v>86</v>
      </c>
      <c r="R211" s="5" t="s">
        <v>86</v>
      </c>
      <c r="T211" s="390">
        <v>3</v>
      </c>
      <c r="U211" s="5" t="s">
        <v>97</v>
      </c>
      <c r="W211" s="5" t="s">
        <v>2468</v>
      </c>
      <c r="X211" s="5" t="s">
        <v>102</v>
      </c>
      <c r="AA211" s="5" t="s">
        <v>85</v>
      </c>
      <c r="AB211" s="5" t="s">
        <v>2469</v>
      </c>
      <c r="AC211" s="5" t="s">
        <v>2470</v>
      </c>
      <c r="AD211" s="5" t="s">
        <v>86</v>
      </c>
      <c r="AF211" s="5">
        <v>3</v>
      </c>
      <c r="AG211" s="5">
        <v>1000</v>
      </c>
      <c r="AH211" s="5" t="s">
        <v>85</v>
      </c>
      <c r="AI211" s="5" t="s">
        <v>2471</v>
      </c>
      <c r="AJ211" s="5">
        <v>3</v>
      </c>
      <c r="AK211" s="5">
        <v>12</v>
      </c>
      <c r="AL211" s="5">
        <v>4</v>
      </c>
      <c r="AM211" s="5">
        <v>8</v>
      </c>
      <c r="AN211" s="5">
        <v>0</v>
      </c>
      <c r="AO211" s="5">
        <v>3</v>
      </c>
      <c r="AP211" s="5">
        <v>0</v>
      </c>
      <c r="AQ211" s="5">
        <v>0</v>
      </c>
      <c r="AT211" s="5">
        <v>0</v>
      </c>
      <c r="AU211" s="5">
        <v>0</v>
      </c>
      <c r="AX211" s="5">
        <v>0</v>
      </c>
      <c r="AY211" s="5" t="s">
        <v>86</v>
      </c>
      <c r="BN211" s="5" t="s">
        <v>86</v>
      </c>
      <c r="CD211" s="5">
        <v>0</v>
      </c>
      <c r="CF211" s="1442" t="str">
        <f>IF([1]!sommaire[[#This Row],[présence des personnes déplacés interne]]="Oui","1","0")</f>
        <v>1</v>
      </c>
      <c r="CG211" s="1442" t="str">
        <f>IF([1]!sommaire[[#This Row],[présence Réfugié hors camp]]="Oui","1","0")</f>
        <v>0</v>
      </c>
      <c r="CH211" s="1442" t="str">
        <f>IF([1]!sommaire[[#This Row],[présence personnes retournées]]="Oui","1","0")</f>
        <v>0</v>
      </c>
      <c r="CI211" s="1442">
        <f>[1]!sommaire[[#This Row],[Flag PDI]]+[1]!sommaire[[#This Row],[Flag REF]]+[1]!sommaire[[#This Row],[Flag RET]]</f>
        <v>1</v>
      </c>
    </row>
    <row r="212" spans="1:87" ht="14.55" customHeight="1" x14ac:dyDescent="0.3">
      <c r="A212" s="390">
        <v>2628117</v>
      </c>
      <c r="B212" s="5" t="s">
        <v>533</v>
      </c>
      <c r="C212" s="1430" t="s">
        <v>3449</v>
      </c>
      <c r="D212" s="1090" t="s">
        <v>534</v>
      </c>
      <c r="E212" s="5" t="s">
        <v>31</v>
      </c>
      <c r="F212" s="5" t="s">
        <v>31</v>
      </c>
      <c r="G212" s="5" t="s">
        <v>549</v>
      </c>
      <c r="H212" s="5" t="s">
        <v>167</v>
      </c>
      <c r="I212" s="5" t="str">
        <f>_xlfn.XLOOKUP(sommaire[[#This Row],[Arrondissement_code]],OCHA_GIS!$F:$F,OCHA_GIS!$E:$E,,)</f>
        <v>Goulfey</v>
      </c>
      <c r="J212" s="5" t="s">
        <v>1113</v>
      </c>
      <c r="K212" t="s">
        <v>2043</v>
      </c>
      <c r="L212" s="5" t="s">
        <v>1790</v>
      </c>
      <c r="N212" s="5" t="s">
        <v>3053</v>
      </c>
      <c r="O212" s="5" t="s">
        <v>2467</v>
      </c>
      <c r="P212" s="5" t="s">
        <v>85</v>
      </c>
      <c r="Q212" s="5" t="s">
        <v>86</v>
      </c>
      <c r="R212" s="5" t="s">
        <v>86</v>
      </c>
      <c r="T212" s="390">
        <v>3</v>
      </c>
      <c r="U212" s="5" t="s">
        <v>97</v>
      </c>
      <c r="W212" s="5" t="s">
        <v>2468</v>
      </c>
      <c r="X212" s="1090" t="s">
        <v>102</v>
      </c>
      <c r="AA212" s="1090" t="s">
        <v>85</v>
      </c>
      <c r="AB212" s="5" t="s">
        <v>2469</v>
      </c>
      <c r="AC212" s="5" t="s">
        <v>2470</v>
      </c>
      <c r="AD212" s="5" t="s">
        <v>86</v>
      </c>
      <c r="AF212" s="5">
        <v>55</v>
      </c>
      <c r="AG212" s="5">
        <v>903</v>
      </c>
      <c r="AH212" s="5" t="s">
        <v>85</v>
      </c>
      <c r="AI212" s="5" t="s">
        <v>2471</v>
      </c>
      <c r="AJ212" s="5">
        <v>55</v>
      </c>
      <c r="AK212" s="5">
        <v>55</v>
      </c>
      <c r="AL212" s="5">
        <v>20</v>
      </c>
      <c r="AM212" s="5">
        <v>35</v>
      </c>
      <c r="AN212" s="5">
        <v>55</v>
      </c>
      <c r="AO212" s="5">
        <v>0</v>
      </c>
      <c r="AP212" s="5">
        <v>0</v>
      </c>
      <c r="AQ212" s="5">
        <v>0</v>
      </c>
      <c r="AT212" s="5">
        <v>0</v>
      </c>
      <c r="AU212" s="5">
        <v>0</v>
      </c>
      <c r="AX212" s="5">
        <v>0</v>
      </c>
      <c r="AY212" s="1090" t="s">
        <v>86</v>
      </c>
      <c r="BN212" s="1090" t="s">
        <v>86</v>
      </c>
      <c r="CD212" s="5">
        <v>0</v>
      </c>
      <c r="CF212" s="1442" t="str">
        <f>IF([1]!sommaire[[#This Row],[présence des personnes déplacés interne]]="Oui","1","0")</f>
        <v>1</v>
      </c>
      <c r="CG212" s="1442" t="str">
        <f>IF([1]!sommaire[[#This Row],[présence Réfugié hors camp]]="Oui","1","0")</f>
        <v>0</v>
      </c>
      <c r="CH212" s="1442" t="str">
        <f>IF([1]!sommaire[[#This Row],[présence personnes retournées]]="Oui","1","0")</f>
        <v>0</v>
      </c>
      <c r="CI212" s="1442">
        <f>[1]!sommaire[[#This Row],[Flag PDI]]+[1]!sommaire[[#This Row],[Flag REF]]+[1]!sommaire[[#This Row],[Flag RET]]</f>
        <v>1</v>
      </c>
    </row>
    <row r="213" spans="1:87" ht="14.55" customHeight="1" x14ac:dyDescent="0.3">
      <c r="A213" s="390">
        <v>2631457</v>
      </c>
      <c r="B213" s="5" t="s">
        <v>533</v>
      </c>
      <c r="C213" s="1430" t="s">
        <v>3449</v>
      </c>
      <c r="D213" s="1090" t="s">
        <v>534</v>
      </c>
      <c r="E213" s="5" t="s">
        <v>31</v>
      </c>
      <c r="F213" s="5" t="s">
        <v>31</v>
      </c>
      <c r="G213" s="5" t="s">
        <v>549</v>
      </c>
      <c r="H213" s="5" t="s">
        <v>167</v>
      </c>
      <c r="I213" s="5" t="str">
        <f>_xlfn.XLOOKUP(sommaire[[#This Row],[Arrondissement_code]],OCHA_GIS!$F:$F,OCHA_GIS!$E:$E,,)</f>
        <v>Goulfey</v>
      </c>
      <c r="J213" s="5" t="s">
        <v>1113</v>
      </c>
      <c r="K213" t="s">
        <v>2297</v>
      </c>
      <c r="L213" s="5" t="s">
        <v>2127</v>
      </c>
      <c r="N213" s="5" t="s">
        <v>3053</v>
      </c>
      <c r="O213" s="5" t="s">
        <v>2467</v>
      </c>
      <c r="P213" s="5" t="s">
        <v>85</v>
      </c>
      <c r="Q213" s="5" t="s">
        <v>86</v>
      </c>
      <c r="R213" s="5" t="s">
        <v>85</v>
      </c>
      <c r="T213" s="390">
        <v>3</v>
      </c>
      <c r="U213" s="5" t="s">
        <v>97</v>
      </c>
      <c r="W213" s="5" t="s">
        <v>2468</v>
      </c>
      <c r="X213" s="5" t="s">
        <v>103</v>
      </c>
      <c r="Y213" s="5" t="s">
        <v>2476</v>
      </c>
      <c r="AA213" s="5" t="s">
        <v>85</v>
      </c>
      <c r="AB213" s="5" t="s">
        <v>2469</v>
      </c>
      <c r="AC213" s="5" t="s">
        <v>2470</v>
      </c>
      <c r="AD213" s="5" t="s">
        <v>86</v>
      </c>
      <c r="AF213" s="5">
        <v>10</v>
      </c>
      <c r="AG213" s="5">
        <v>380</v>
      </c>
      <c r="AH213" s="5" t="s">
        <v>85</v>
      </c>
      <c r="AI213" s="5" t="s">
        <v>2471</v>
      </c>
      <c r="AJ213" s="5">
        <v>10</v>
      </c>
      <c r="AK213" s="5">
        <v>40</v>
      </c>
      <c r="AL213" s="5">
        <v>15</v>
      </c>
      <c r="AM213" s="5">
        <v>25</v>
      </c>
      <c r="AN213" s="5">
        <v>10</v>
      </c>
      <c r="AO213" s="5">
        <v>0</v>
      </c>
      <c r="AP213" s="5">
        <v>0</v>
      </c>
      <c r="AQ213" s="5">
        <v>0</v>
      </c>
      <c r="AT213" s="5">
        <v>0</v>
      </c>
      <c r="AU213" s="5">
        <v>0</v>
      </c>
      <c r="AX213" s="5">
        <v>0</v>
      </c>
      <c r="AY213" s="5" t="s">
        <v>86</v>
      </c>
      <c r="BN213" s="5" t="s">
        <v>85</v>
      </c>
      <c r="BO213" s="5">
        <v>15</v>
      </c>
      <c r="BP213" s="5">
        <v>70</v>
      </c>
      <c r="BQ213" s="5">
        <v>30</v>
      </c>
      <c r="BR213" s="5">
        <v>40</v>
      </c>
      <c r="BS213" s="5" t="s">
        <v>2535</v>
      </c>
      <c r="BT213" s="5">
        <v>15</v>
      </c>
      <c r="BU213" s="5">
        <v>0</v>
      </c>
      <c r="BV213" s="5">
        <v>0</v>
      </c>
      <c r="BW213" s="5">
        <v>0</v>
      </c>
      <c r="BX213" s="5">
        <v>0</v>
      </c>
      <c r="BZ213" s="5">
        <v>0</v>
      </c>
      <c r="CA213" s="5">
        <v>0</v>
      </c>
      <c r="CC213" s="5">
        <v>0</v>
      </c>
      <c r="CD213" s="5">
        <v>0</v>
      </c>
      <c r="CF213" s="1442" t="str">
        <f>IF([1]!sommaire[[#This Row],[présence des personnes déplacés interne]]="Oui","1","0")</f>
        <v>1</v>
      </c>
      <c r="CG213" s="1442" t="str">
        <f>IF([1]!sommaire[[#This Row],[présence Réfugié hors camp]]="Oui","1","0")</f>
        <v>0</v>
      </c>
      <c r="CH213" s="1442" t="str">
        <f>IF([1]!sommaire[[#This Row],[présence personnes retournées]]="Oui","1","0")</f>
        <v>1</v>
      </c>
      <c r="CI213" s="1442">
        <f>[1]!sommaire[[#This Row],[Flag PDI]]+[1]!sommaire[[#This Row],[Flag REF]]+[1]!sommaire[[#This Row],[Flag RET]]</f>
        <v>2</v>
      </c>
    </row>
    <row r="214" spans="1:87" ht="14.55" customHeight="1" x14ac:dyDescent="0.3">
      <c r="A214" s="390">
        <v>2662488</v>
      </c>
      <c r="B214" s="5" t="s">
        <v>533</v>
      </c>
      <c r="C214" s="1430" t="s">
        <v>3449</v>
      </c>
      <c r="D214" s="1090" t="s">
        <v>534</v>
      </c>
      <c r="E214" s="5" t="s">
        <v>31</v>
      </c>
      <c r="F214" s="5" t="s">
        <v>31</v>
      </c>
      <c r="G214" s="5" t="s">
        <v>549</v>
      </c>
      <c r="H214" s="1144" t="s">
        <v>167</v>
      </c>
      <c r="I214" s="1144" t="str">
        <f>_xlfn.XLOOKUP(sommaire[[#This Row],[Arrondissement_code]],OCHA_GIS!$F:$F,OCHA_GIS!$E:$E,,)</f>
        <v>Goulfey</v>
      </c>
      <c r="J214" s="5" t="s">
        <v>1113</v>
      </c>
      <c r="K214" t="s">
        <v>2901</v>
      </c>
      <c r="L214" s="5" t="s">
        <v>2046</v>
      </c>
      <c r="N214" s="5" t="s">
        <v>3053</v>
      </c>
      <c r="O214" s="5" t="s">
        <v>2467</v>
      </c>
      <c r="P214" s="5" t="s">
        <v>85</v>
      </c>
      <c r="Q214" s="5" t="s">
        <v>86</v>
      </c>
      <c r="R214" s="5" t="s">
        <v>86</v>
      </c>
      <c r="T214" s="390">
        <v>4</v>
      </c>
      <c r="U214" s="5" t="s">
        <v>97</v>
      </c>
      <c r="W214" s="5" t="s">
        <v>2468</v>
      </c>
      <c r="X214" s="5" t="s">
        <v>102</v>
      </c>
      <c r="AA214" s="5" t="s">
        <v>86</v>
      </c>
      <c r="AH214" s="1430" t="s">
        <v>86</v>
      </c>
      <c r="AY214" s="1430" t="s">
        <v>86</v>
      </c>
      <c r="BN214" s="1430" t="s">
        <v>86</v>
      </c>
      <c r="CF214" s="1442" t="str">
        <f>IF([1]!sommaire[[#This Row],[présence des personnes déplacés interne]]="Oui","1","0")</f>
        <v>0</v>
      </c>
      <c r="CG214" s="1442" t="str">
        <f>IF([1]!sommaire[[#This Row],[présence Réfugié hors camp]]="Oui","1","0")</f>
        <v>0</v>
      </c>
      <c r="CH214" s="1442" t="str">
        <f>IF([1]!sommaire[[#This Row],[présence personnes retournées]]="Oui","1","0")</f>
        <v>0</v>
      </c>
      <c r="CI214" s="1442">
        <f>[1]!sommaire[[#This Row],[Flag PDI]]+[1]!sommaire[[#This Row],[Flag REF]]+[1]!sommaire[[#This Row],[Flag RET]]</f>
        <v>0</v>
      </c>
    </row>
    <row r="215" spans="1:87" ht="14.55" customHeight="1" x14ac:dyDescent="0.3">
      <c r="A215" s="390">
        <v>2798151</v>
      </c>
      <c r="B215" s="5" t="s">
        <v>533</v>
      </c>
      <c r="C215" s="1430" t="s">
        <v>3449</v>
      </c>
      <c r="D215" s="1090" t="s">
        <v>534</v>
      </c>
      <c r="E215" s="5" t="s">
        <v>31</v>
      </c>
      <c r="F215" s="5" t="s">
        <v>31</v>
      </c>
      <c r="G215" s="5" t="s">
        <v>549</v>
      </c>
      <c r="H215" s="5" t="s">
        <v>167</v>
      </c>
      <c r="I215" s="5" t="str">
        <f>_xlfn.XLOOKUP(sommaire[[#This Row],[Arrondissement_code]],OCHA_GIS!$F:$F,OCHA_GIS!$E:$E,,)</f>
        <v>Goulfey</v>
      </c>
      <c r="J215" s="5" t="s">
        <v>1113</v>
      </c>
      <c r="K215" t="s">
        <v>2811</v>
      </c>
      <c r="L215" s="5" t="s">
        <v>2795</v>
      </c>
      <c r="N215" s="5" t="s">
        <v>3053</v>
      </c>
      <c r="O215" s="5" t="s">
        <v>2467</v>
      </c>
      <c r="P215" s="5" t="s">
        <v>85</v>
      </c>
      <c r="Q215" s="5" t="s">
        <v>86</v>
      </c>
      <c r="R215" s="5" t="s">
        <v>86</v>
      </c>
      <c r="T215" s="390">
        <v>3</v>
      </c>
      <c r="U215" s="5" t="s">
        <v>97</v>
      </c>
      <c r="W215" s="5" t="s">
        <v>2482</v>
      </c>
      <c r="AA215" s="5" t="s">
        <v>86</v>
      </c>
      <c r="AH215" s="1430" t="s">
        <v>86</v>
      </c>
      <c r="AY215" s="1430" t="s">
        <v>86</v>
      </c>
      <c r="BN215" s="1430" t="s">
        <v>86</v>
      </c>
      <c r="CF215" s="1442" t="str">
        <f>IF([1]!sommaire[[#This Row],[présence des personnes déplacés interne]]="Oui","1","0")</f>
        <v>0</v>
      </c>
      <c r="CG215" s="1442" t="str">
        <f>IF([1]!sommaire[[#This Row],[présence Réfugié hors camp]]="Oui","1","0")</f>
        <v>0</v>
      </c>
      <c r="CH215" s="1442" t="str">
        <f>IF([1]!sommaire[[#This Row],[présence personnes retournées]]="Oui","1","0")</f>
        <v>0</v>
      </c>
      <c r="CI215" s="1442">
        <f>[1]!sommaire[[#This Row],[Flag PDI]]+[1]!sommaire[[#This Row],[Flag REF]]+[1]!sommaire[[#This Row],[Flag RET]]</f>
        <v>0</v>
      </c>
    </row>
    <row r="216" spans="1:87" ht="14.55" customHeight="1" x14ac:dyDescent="0.3">
      <c r="A216" s="390">
        <v>2668994</v>
      </c>
      <c r="B216" s="5" t="s">
        <v>533</v>
      </c>
      <c r="C216" s="1430" t="s">
        <v>3449</v>
      </c>
      <c r="D216" s="1090" t="s">
        <v>534</v>
      </c>
      <c r="E216" s="5" t="s">
        <v>31</v>
      </c>
      <c r="F216" s="5" t="s">
        <v>31</v>
      </c>
      <c r="G216" s="5" t="s">
        <v>549</v>
      </c>
      <c r="H216" s="5" t="s">
        <v>167</v>
      </c>
      <c r="I216" s="5" t="str">
        <f>_xlfn.XLOOKUP(sommaire[[#This Row],[Arrondissement_code]],OCHA_GIS!$F:$F,OCHA_GIS!$E:$E,,)</f>
        <v>Goulfey</v>
      </c>
      <c r="J216" s="5" t="s">
        <v>1113</v>
      </c>
      <c r="K216" t="s">
        <v>2083</v>
      </c>
      <c r="L216" s="5" t="s">
        <v>1469</v>
      </c>
      <c r="N216" s="5" t="s">
        <v>3053</v>
      </c>
      <c r="O216" s="5" t="s">
        <v>2467</v>
      </c>
      <c r="P216" s="5" t="s">
        <v>85</v>
      </c>
      <c r="Q216" s="5" t="s">
        <v>86</v>
      </c>
      <c r="R216" s="5" t="s">
        <v>86</v>
      </c>
      <c r="T216" s="390">
        <v>3</v>
      </c>
      <c r="U216" s="5" t="s">
        <v>97</v>
      </c>
      <c r="W216" s="5" t="s">
        <v>2468</v>
      </c>
      <c r="X216" s="5" t="s">
        <v>102</v>
      </c>
      <c r="AA216" s="5" t="s">
        <v>85</v>
      </c>
      <c r="AB216" s="5" t="s">
        <v>2469</v>
      </c>
      <c r="AC216" s="5" t="s">
        <v>2470</v>
      </c>
      <c r="AD216" s="5" t="s">
        <v>86</v>
      </c>
      <c r="AF216" s="5">
        <v>4</v>
      </c>
      <c r="AG216" s="5">
        <v>488</v>
      </c>
      <c r="AH216" s="1090" t="s">
        <v>85</v>
      </c>
      <c r="AI216" s="1090" t="s">
        <v>2471</v>
      </c>
      <c r="AJ216" s="5">
        <v>4</v>
      </c>
      <c r="AK216" s="5">
        <v>29</v>
      </c>
      <c r="AL216" s="5">
        <v>12</v>
      </c>
      <c r="AM216" s="5">
        <v>17</v>
      </c>
      <c r="AN216" s="5">
        <v>1</v>
      </c>
      <c r="AO216" s="5">
        <v>3</v>
      </c>
      <c r="AP216" s="5">
        <v>0</v>
      </c>
      <c r="AQ216" s="5">
        <v>0</v>
      </c>
      <c r="AT216" s="5">
        <v>0</v>
      </c>
      <c r="AU216" s="5">
        <v>0</v>
      </c>
      <c r="AX216" s="5">
        <v>0</v>
      </c>
      <c r="AY216" s="5" t="s">
        <v>86</v>
      </c>
      <c r="BN216" s="5" t="s">
        <v>86</v>
      </c>
      <c r="CD216" s="5">
        <v>0</v>
      </c>
      <c r="CF216" s="1442" t="str">
        <f>IF([1]!sommaire[[#This Row],[présence des personnes déplacés interne]]="Oui","1","0")</f>
        <v>1</v>
      </c>
      <c r="CG216" s="1442" t="str">
        <f>IF([1]!sommaire[[#This Row],[présence Réfugié hors camp]]="Oui","1","0")</f>
        <v>0</v>
      </c>
      <c r="CH216" s="1442" t="str">
        <f>IF([1]!sommaire[[#This Row],[présence personnes retournées]]="Oui","1","0")</f>
        <v>0</v>
      </c>
      <c r="CI216" s="1442">
        <f>[1]!sommaire[[#This Row],[Flag PDI]]+[1]!sommaire[[#This Row],[Flag REF]]+[1]!sommaire[[#This Row],[Flag RET]]</f>
        <v>1</v>
      </c>
    </row>
    <row r="217" spans="1:87" ht="14.55" customHeight="1" x14ac:dyDescent="0.3">
      <c r="A217" s="390">
        <v>2668975</v>
      </c>
      <c r="B217" s="5" t="s">
        <v>533</v>
      </c>
      <c r="C217" s="1430" t="s">
        <v>3449</v>
      </c>
      <c r="D217" s="1090" t="s">
        <v>534</v>
      </c>
      <c r="E217" s="5" t="s">
        <v>31</v>
      </c>
      <c r="F217" s="5" t="s">
        <v>31</v>
      </c>
      <c r="G217" s="5" t="s">
        <v>549</v>
      </c>
      <c r="H217" s="5" t="s">
        <v>167</v>
      </c>
      <c r="I217" s="5" t="str">
        <f>_xlfn.XLOOKUP(sommaire[[#This Row],[Arrondissement_code]],OCHA_GIS!$F:$F,OCHA_GIS!$E:$E,,)</f>
        <v>Goulfey</v>
      </c>
      <c r="J217" s="5" t="s">
        <v>1113</v>
      </c>
      <c r="K217" t="s">
        <v>1944</v>
      </c>
      <c r="L217" s="5" t="s">
        <v>663</v>
      </c>
      <c r="N217" s="5" t="s">
        <v>3053</v>
      </c>
      <c r="O217" s="5" t="s">
        <v>2467</v>
      </c>
      <c r="P217" s="5" t="s">
        <v>85</v>
      </c>
      <c r="Q217" s="5" t="s">
        <v>86</v>
      </c>
      <c r="R217" s="5" t="s">
        <v>85</v>
      </c>
      <c r="T217" s="390">
        <v>3</v>
      </c>
      <c r="U217" s="5" t="s">
        <v>97</v>
      </c>
      <c r="W217" s="5" t="s">
        <v>2468</v>
      </c>
      <c r="X217" s="5" t="s">
        <v>103</v>
      </c>
      <c r="Y217" s="5" t="s">
        <v>2476</v>
      </c>
      <c r="AA217" s="5" t="s">
        <v>85</v>
      </c>
      <c r="AB217" s="5" t="s">
        <v>2469</v>
      </c>
      <c r="AC217" s="5" t="s">
        <v>2470</v>
      </c>
      <c r="AD217" s="5" t="s">
        <v>86</v>
      </c>
      <c r="AF217" s="5">
        <v>3</v>
      </c>
      <c r="AG217" s="5">
        <v>550</v>
      </c>
      <c r="AH217" s="5" t="s">
        <v>85</v>
      </c>
      <c r="AI217" s="5" t="s">
        <v>2471</v>
      </c>
      <c r="AJ217" s="5">
        <v>3</v>
      </c>
      <c r="AK217" s="5">
        <v>19</v>
      </c>
      <c r="AL217" s="5">
        <v>8</v>
      </c>
      <c r="AM217" s="5">
        <v>11</v>
      </c>
      <c r="AN217" s="5">
        <v>1</v>
      </c>
      <c r="AO217" s="5">
        <v>2</v>
      </c>
      <c r="AP217" s="5">
        <v>0</v>
      </c>
      <c r="AQ217" s="5">
        <v>0</v>
      </c>
      <c r="AT217" s="5">
        <v>0</v>
      </c>
      <c r="AU217" s="5">
        <v>0</v>
      </c>
      <c r="AX217" s="5">
        <v>0</v>
      </c>
      <c r="AY217" s="5" t="s">
        <v>86</v>
      </c>
      <c r="BN217" s="5" t="s">
        <v>86</v>
      </c>
      <c r="CD217" s="5">
        <v>10</v>
      </c>
      <c r="CF217" s="1442" t="str">
        <f>IF([1]!sommaire[[#This Row],[présence des personnes déplacés interne]]="Oui","1","0")</f>
        <v>1</v>
      </c>
      <c r="CG217" s="1442" t="str">
        <f>IF([1]!sommaire[[#This Row],[présence Réfugié hors camp]]="Oui","1","0")</f>
        <v>0</v>
      </c>
      <c r="CH217" s="1442" t="str">
        <f>IF([1]!sommaire[[#This Row],[présence personnes retournées]]="Oui","1","0")</f>
        <v>0</v>
      </c>
      <c r="CI217" s="1442">
        <f>[1]!sommaire[[#This Row],[Flag PDI]]+[1]!sommaire[[#This Row],[Flag REF]]+[1]!sommaire[[#This Row],[Flag RET]]</f>
        <v>1</v>
      </c>
    </row>
    <row r="218" spans="1:87" ht="14.55" customHeight="1" x14ac:dyDescent="0.3">
      <c r="A218" s="390">
        <v>2647889</v>
      </c>
      <c r="B218" s="5" t="s">
        <v>533</v>
      </c>
      <c r="C218" s="1430" t="s">
        <v>3449</v>
      </c>
      <c r="D218" s="1090" t="s">
        <v>534</v>
      </c>
      <c r="E218" s="5" t="s">
        <v>31</v>
      </c>
      <c r="F218" s="5" t="s">
        <v>31</v>
      </c>
      <c r="G218" s="5" t="s">
        <v>549</v>
      </c>
      <c r="H218" s="5" t="s">
        <v>167</v>
      </c>
      <c r="I218" s="5" t="str">
        <f>_xlfn.XLOOKUP(sommaire[[#This Row],[Arrondissement_code]],OCHA_GIS!$F:$F,OCHA_GIS!$E:$E,,)</f>
        <v>Goulfey</v>
      </c>
      <c r="J218" s="5" t="s">
        <v>1113</v>
      </c>
      <c r="K218" t="s">
        <v>2045</v>
      </c>
      <c r="L218" s="5" t="s">
        <v>2060</v>
      </c>
      <c r="N218" s="5" t="s">
        <v>3053</v>
      </c>
      <c r="O218" s="5" t="s">
        <v>2467</v>
      </c>
      <c r="P218" s="5" t="s">
        <v>85</v>
      </c>
      <c r="Q218" s="5" t="s">
        <v>85</v>
      </c>
      <c r="R218" s="5" t="s">
        <v>86</v>
      </c>
      <c r="S218" s="390">
        <v>12</v>
      </c>
      <c r="T218" s="390">
        <v>3</v>
      </c>
      <c r="U218" s="5" t="s">
        <v>97</v>
      </c>
      <c r="W218" s="5" t="s">
        <v>2468</v>
      </c>
      <c r="X218" s="5" t="s">
        <v>103</v>
      </c>
      <c r="Y218" s="5" t="s">
        <v>2476</v>
      </c>
      <c r="AA218" s="5" t="s">
        <v>85</v>
      </c>
      <c r="AB218" s="5" t="s">
        <v>2469</v>
      </c>
      <c r="AC218" s="5" t="s">
        <v>2470</v>
      </c>
      <c r="AD218" s="5" t="s">
        <v>86</v>
      </c>
      <c r="AF218" s="5">
        <v>20</v>
      </c>
      <c r="AG218" s="5">
        <v>850</v>
      </c>
      <c r="AH218" s="5" t="s">
        <v>85</v>
      </c>
      <c r="AI218" s="5" t="s">
        <v>2471</v>
      </c>
      <c r="AJ218" s="5">
        <v>20</v>
      </c>
      <c r="AK218" s="5">
        <v>119</v>
      </c>
      <c r="AL218" s="5">
        <v>50</v>
      </c>
      <c r="AM218" s="5">
        <v>69</v>
      </c>
      <c r="AN218" s="5">
        <v>0</v>
      </c>
      <c r="AO218" s="5">
        <v>20</v>
      </c>
      <c r="AP218" s="5">
        <v>0</v>
      </c>
      <c r="AQ218" s="5">
        <v>0</v>
      </c>
      <c r="AT218" s="5">
        <v>0</v>
      </c>
      <c r="AU218" s="5">
        <v>0</v>
      </c>
      <c r="AX218" s="5">
        <v>0</v>
      </c>
      <c r="AY218" s="5" t="s">
        <v>86</v>
      </c>
      <c r="BN218" s="5" t="s">
        <v>86</v>
      </c>
      <c r="CD218" s="5">
        <v>62</v>
      </c>
      <c r="CF218" s="1442" t="str">
        <f>IF([1]!sommaire[[#This Row],[présence des personnes déplacés interne]]="Oui","1","0")</f>
        <v>1</v>
      </c>
      <c r="CG218" s="1442" t="str">
        <f>IF([1]!sommaire[[#This Row],[présence Réfugié hors camp]]="Oui","1","0")</f>
        <v>0</v>
      </c>
      <c r="CH218" s="1442" t="str">
        <f>IF([1]!sommaire[[#This Row],[présence personnes retournées]]="Oui","1","0")</f>
        <v>0</v>
      </c>
      <c r="CI218" s="1442">
        <f>[1]!sommaire[[#This Row],[Flag PDI]]+[1]!sommaire[[#This Row],[Flag REF]]+[1]!sommaire[[#This Row],[Flag RET]]</f>
        <v>1</v>
      </c>
    </row>
    <row r="219" spans="1:87" ht="14.55" customHeight="1" x14ac:dyDescent="0.3">
      <c r="A219" s="390">
        <v>2628116</v>
      </c>
      <c r="B219" s="5" t="s">
        <v>533</v>
      </c>
      <c r="C219" s="1430" t="s">
        <v>3449</v>
      </c>
      <c r="D219" s="1090" t="s">
        <v>534</v>
      </c>
      <c r="E219" s="5" t="s">
        <v>31</v>
      </c>
      <c r="F219" s="5" t="s">
        <v>31</v>
      </c>
      <c r="G219" s="5" t="s">
        <v>549</v>
      </c>
      <c r="H219" s="5" t="s">
        <v>167</v>
      </c>
      <c r="I219" s="5" t="str">
        <f>_xlfn.XLOOKUP(sommaire[[#This Row],[Arrondissement_code]],OCHA_GIS!$F:$F,OCHA_GIS!$E:$E,,)</f>
        <v>Goulfey</v>
      </c>
      <c r="J219" s="5" t="s">
        <v>1113</v>
      </c>
      <c r="K219" t="s">
        <v>2059</v>
      </c>
      <c r="L219" s="5" t="s">
        <v>2076</v>
      </c>
      <c r="N219" s="5" t="s">
        <v>3053</v>
      </c>
      <c r="O219" s="5" t="s">
        <v>2467</v>
      </c>
      <c r="P219" s="5" t="s">
        <v>85</v>
      </c>
      <c r="Q219" s="5" t="s">
        <v>86</v>
      </c>
      <c r="R219" s="5" t="s">
        <v>86</v>
      </c>
      <c r="T219" s="390">
        <v>3</v>
      </c>
      <c r="U219" s="5" t="s">
        <v>97</v>
      </c>
      <c r="W219" s="5" t="s">
        <v>2468</v>
      </c>
      <c r="X219" s="5" t="s">
        <v>102</v>
      </c>
      <c r="AA219" s="586" t="s">
        <v>85</v>
      </c>
      <c r="AB219" s="5" t="s">
        <v>2469</v>
      </c>
      <c r="AC219" s="5" t="s">
        <v>2470</v>
      </c>
      <c r="AD219" s="5" t="s">
        <v>86</v>
      </c>
      <c r="AF219" s="5">
        <v>60</v>
      </c>
      <c r="AG219" s="5">
        <v>1110</v>
      </c>
      <c r="AH219" s="5" t="s">
        <v>85</v>
      </c>
      <c r="AI219" s="5" t="s">
        <v>2485</v>
      </c>
      <c r="AJ219" s="5">
        <v>60</v>
      </c>
      <c r="AK219" s="5">
        <v>60</v>
      </c>
      <c r="AL219" s="5">
        <v>25</v>
      </c>
      <c r="AM219" s="5">
        <v>35</v>
      </c>
      <c r="AN219" s="5">
        <v>30</v>
      </c>
      <c r="AO219" s="5">
        <v>30</v>
      </c>
      <c r="AP219" s="5">
        <v>0</v>
      </c>
      <c r="AQ219" s="5">
        <v>0</v>
      </c>
      <c r="AT219" s="5">
        <v>0</v>
      </c>
      <c r="AU219" s="5">
        <v>0</v>
      </c>
      <c r="AX219" s="5">
        <v>0</v>
      </c>
      <c r="AY219" s="5" t="s">
        <v>86</v>
      </c>
      <c r="BN219" s="5" t="s">
        <v>86</v>
      </c>
      <c r="CD219" s="5">
        <v>0</v>
      </c>
      <c r="CF219" s="1442" t="str">
        <f>IF([1]!sommaire[[#This Row],[présence des personnes déplacés interne]]="Oui","1","0")</f>
        <v>1</v>
      </c>
      <c r="CG219" s="1442" t="str">
        <f>IF([1]!sommaire[[#This Row],[présence Réfugié hors camp]]="Oui","1","0")</f>
        <v>0</v>
      </c>
      <c r="CH219" s="1442" t="str">
        <f>IF([1]!sommaire[[#This Row],[présence personnes retournées]]="Oui","1","0")</f>
        <v>0</v>
      </c>
      <c r="CI219" s="1442">
        <f>[1]!sommaire[[#This Row],[Flag PDI]]+[1]!sommaire[[#This Row],[Flag REF]]+[1]!sommaire[[#This Row],[Flag RET]]</f>
        <v>1</v>
      </c>
    </row>
    <row r="220" spans="1:87" ht="14.55" customHeight="1" x14ac:dyDescent="0.3">
      <c r="A220" s="390">
        <v>2673893</v>
      </c>
      <c r="B220" s="5" t="s">
        <v>533</v>
      </c>
      <c r="C220" s="1430" t="s">
        <v>3449</v>
      </c>
      <c r="D220" s="5" t="s">
        <v>534</v>
      </c>
      <c r="E220" s="5" t="s">
        <v>31</v>
      </c>
      <c r="F220" s="5" t="s">
        <v>31</v>
      </c>
      <c r="G220" s="5" t="s">
        <v>549</v>
      </c>
      <c r="H220" s="5" t="s">
        <v>167</v>
      </c>
      <c r="I220" s="5" t="str">
        <f>_xlfn.XLOOKUP(sommaire[[#This Row],[Arrondissement_code]],OCHA_GIS!$F:$F,OCHA_GIS!$E:$E,,)</f>
        <v>Goulfey</v>
      </c>
      <c r="J220" s="5" t="s">
        <v>1113</v>
      </c>
      <c r="K220" t="s">
        <v>2936</v>
      </c>
      <c r="L220" s="5" t="s">
        <v>1951</v>
      </c>
      <c r="N220" s="5" t="s">
        <v>3053</v>
      </c>
      <c r="O220" s="5" t="s">
        <v>2467</v>
      </c>
      <c r="P220" s="5" t="s">
        <v>85</v>
      </c>
      <c r="Q220" s="5" t="s">
        <v>86</v>
      </c>
      <c r="R220" s="5" t="s">
        <v>86</v>
      </c>
      <c r="T220" s="390">
        <v>3</v>
      </c>
      <c r="U220" s="5" t="s">
        <v>97</v>
      </c>
      <c r="W220" s="5" t="s">
        <v>2468</v>
      </c>
      <c r="X220" s="5" t="s">
        <v>102</v>
      </c>
      <c r="AA220" s="5" t="s">
        <v>85</v>
      </c>
      <c r="AB220" s="5" t="s">
        <v>2469</v>
      </c>
      <c r="AC220" s="5" t="s">
        <v>2470</v>
      </c>
      <c r="AD220" s="5" t="s">
        <v>86</v>
      </c>
      <c r="AF220" s="5">
        <v>30</v>
      </c>
      <c r="AG220" s="5">
        <v>1088</v>
      </c>
      <c r="AH220" s="5" t="s">
        <v>85</v>
      </c>
      <c r="AI220" s="5" t="s">
        <v>2471</v>
      </c>
      <c r="AJ220" s="5">
        <v>30</v>
      </c>
      <c r="AK220" s="5">
        <v>30</v>
      </c>
      <c r="AL220" s="5">
        <v>12</v>
      </c>
      <c r="AM220" s="5">
        <v>18</v>
      </c>
      <c r="AN220" s="5">
        <v>0</v>
      </c>
      <c r="AO220" s="5">
        <v>30</v>
      </c>
      <c r="AP220" s="5">
        <v>0</v>
      </c>
      <c r="AQ220" s="5">
        <v>0</v>
      </c>
      <c r="AT220" s="5">
        <v>0</v>
      </c>
      <c r="AU220" s="5">
        <v>0</v>
      </c>
      <c r="AX220" s="5">
        <v>0</v>
      </c>
      <c r="AY220" s="5" t="s">
        <v>86</v>
      </c>
      <c r="BN220" s="5" t="s">
        <v>86</v>
      </c>
      <c r="CD220" s="5">
        <v>0</v>
      </c>
      <c r="CF220" s="1442" t="str">
        <f>IF([1]!sommaire[[#This Row],[présence des personnes déplacés interne]]="Oui","1","0")</f>
        <v>1</v>
      </c>
      <c r="CG220" s="1442" t="str">
        <f>IF([1]!sommaire[[#This Row],[présence Réfugié hors camp]]="Oui","1","0")</f>
        <v>0</v>
      </c>
      <c r="CH220" s="1442" t="str">
        <f>IF([1]!sommaire[[#This Row],[présence personnes retournées]]="Oui","1","0")</f>
        <v>0</v>
      </c>
      <c r="CI220" s="1442">
        <f>[1]!sommaire[[#This Row],[Flag PDI]]+[1]!sommaire[[#This Row],[Flag REF]]+[1]!sommaire[[#This Row],[Flag RET]]</f>
        <v>1</v>
      </c>
    </row>
    <row r="221" spans="1:87" ht="14.55" customHeight="1" x14ac:dyDescent="0.3">
      <c r="A221" s="390">
        <v>2647896</v>
      </c>
      <c r="B221" s="5" t="s">
        <v>533</v>
      </c>
      <c r="C221" s="1430" t="s">
        <v>3449</v>
      </c>
      <c r="D221" s="1090" t="s">
        <v>534</v>
      </c>
      <c r="E221" s="5" t="s">
        <v>31</v>
      </c>
      <c r="F221" s="5" t="s">
        <v>31</v>
      </c>
      <c r="G221" s="5" t="s">
        <v>549</v>
      </c>
      <c r="H221" s="5" t="s">
        <v>167</v>
      </c>
      <c r="I221" s="5" t="str">
        <f>_xlfn.XLOOKUP(sommaire[[#This Row],[Arrondissement_code]],OCHA_GIS!$F:$F,OCHA_GIS!$E:$E,,)</f>
        <v>Goulfey</v>
      </c>
      <c r="J221" s="5" t="s">
        <v>1113</v>
      </c>
      <c r="K221" t="s">
        <v>2075</v>
      </c>
      <c r="L221" s="5" t="s">
        <v>2120</v>
      </c>
      <c r="N221" s="5" t="s">
        <v>3053</v>
      </c>
      <c r="O221" s="5" t="s">
        <v>2467</v>
      </c>
      <c r="P221" s="5" t="s">
        <v>85</v>
      </c>
      <c r="Q221" s="5" t="s">
        <v>86</v>
      </c>
      <c r="R221" s="5" t="s">
        <v>86</v>
      </c>
      <c r="T221" s="390">
        <v>5</v>
      </c>
      <c r="U221" s="5" t="s">
        <v>97</v>
      </c>
      <c r="W221" s="5" t="s">
        <v>2468</v>
      </c>
      <c r="X221" s="5" t="s">
        <v>102</v>
      </c>
      <c r="AA221" s="5" t="s">
        <v>85</v>
      </c>
      <c r="AB221" s="5" t="s">
        <v>2469</v>
      </c>
      <c r="AC221" s="5" t="s">
        <v>2470</v>
      </c>
      <c r="AD221" s="1090" t="s">
        <v>86</v>
      </c>
      <c r="AF221" s="5">
        <v>2</v>
      </c>
      <c r="AG221" s="5">
        <v>245</v>
      </c>
      <c r="AH221" s="5" t="s">
        <v>85</v>
      </c>
      <c r="AI221" s="5" t="s">
        <v>2471</v>
      </c>
      <c r="AJ221" s="5">
        <v>2</v>
      </c>
      <c r="AK221" s="5">
        <v>4</v>
      </c>
      <c r="AL221" s="5">
        <v>4</v>
      </c>
      <c r="AM221" s="5">
        <v>0</v>
      </c>
      <c r="AN221" s="5">
        <v>0</v>
      </c>
      <c r="AO221" s="5">
        <v>2</v>
      </c>
      <c r="AP221" s="5">
        <v>0</v>
      </c>
      <c r="AQ221" s="5">
        <v>0</v>
      </c>
      <c r="AT221" s="5">
        <v>0</v>
      </c>
      <c r="AU221" s="5">
        <v>0</v>
      </c>
      <c r="AX221" s="5">
        <v>0</v>
      </c>
      <c r="AY221" s="5" t="s">
        <v>86</v>
      </c>
      <c r="BN221" s="5" t="s">
        <v>86</v>
      </c>
      <c r="CD221" s="5">
        <v>0</v>
      </c>
      <c r="CF221" s="1442" t="str">
        <f>IF([1]!sommaire[[#This Row],[présence des personnes déplacés interne]]="Oui","1","0")</f>
        <v>1</v>
      </c>
      <c r="CG221" s="1442" t="str">
        <f>IF([1]!sommaire[[#This Row],[présence Réfugié hors camp]]="Oui","1","0")</f>
        <v>0</v>
      </c>
      <c r="CH221" s="1442" t="str">
        <f>IF([1]!sommaire[[#This Row],[présence personnes retournées]]="Oui","1","0")</f>
        <v>0</v>
      </c>
      <c r="CI221" s="1442">
        <f>[1]!sommaire[[#This Row],[Flag PDI]]+[1]!sommaire[[#This Row],[Flag REF]]+[1]!sommaire[[#This Row],[Flag RET]]</f>
        <v>1</v>
      </c>
    </row>
    <row r="222" spans="1:87" ht="14.55" customHeight="1" x14ac:dyDescent="0.3">
      <c r="A222" s="390">
        <v>2727720</v>
      </c>
      <c r="B222" s="5" t="s">
        <v>533</v>
      </c>
      <c r="C222" s="1430" t="s">
        <v>3449</v>
      </c>
      <c r="D222" s="1090" t="s">
        <v>534</v>
      </c>
      <c r="E222" s="5" t="s">
        <v>31</v>
      </c>
      <c r="F222" s="5" t="s">
        <v>31</v>
      </c>
      <c r="G222" s="5" t="s">
        <v>549</v>
      </c>
      <c r="H222" s="5" t="s">
        <v>167</v>
      </c>
      <c r="I222" s="5" t="str">
        <f>_xlfn.XLOOKUP(sommaire[[#This Row],[Arrondissement_code]],OCHA_GIS!$F:$F,OCHA_GIS!$E:$E,,)</f>
        <v>Goulfey</v>
      </c>
      <c r="J222" s="5" t="s">
        <v>1113</v>
      </c>
      <c r="K222" t="s">
        <v>2119</v>
      </c>
      <c r="L222" s="5" t="s">
        <v>1871</v>
      </c>
      <c r="N222" s="5" t="s">
        <v>3053</v>
      </c>
      <c r="O222" s="5" t="s">
        <v>2467</v>
      </c>
      <c r="P222" s="5" t="s">
        <v>85</v>
      </c>
      <c r="Q222" s="5" t="s">
        <v>86</v>
      </c>
      <c r="R222" s="5" t="s">
        <v>86</v>
      </c>
      <c r="T222" s="390">
        <v>3</v>
      </c>
      <c r="U222" s="5" t="s">
        <v>97</v>
      </c>
      <c r="W222" s="5" t="s">
        <v>2468</v>
      </c>
      <c r="X222" s="5" t="s">
        <v>102</v>
      </c>
      <c r="AA222" s="5" t="s">
        <v>85</v>
      </c>
      <c r="AB222" s="5" t="s">
        <v>2469</v>
      </c>
      <c r="AC222" s="5" t="s">
        <v>2470</v>
      </c>
      <c r="AD222" s="5" t="s">
        <v>86</v>
      </c>
      <c r="AF222" s="5">
        <v>12</v>
      </c>
      <c r="AG222" s="5">
        <v>1492</v>
      </c>
      <c r="AH222" s="5" t="s">
        <v>85</v>
      </c>
      <c r="AI222" s="5" t="s">
        <v>2471</v>
      </c>
      <c r="AJ222" s="5">
        <v>12</v>
      </c>
      <c r="AK222" s="5">
        <v>72</v>
      </c>
      <c r="AL222" s="5">
        <v>31</v>
      </c>
      <c r="AM222" s="5">
        <v>41</v>
      </c>
      <c r="AN222" s="5">
        <v>0</v>
      </c>
      <c r="AO222" s="5">
        <v>12</v>
      </c>
      <c r="AP222" s="5">
        <v>0</v>
      </c>
      <c r="AQ222" s="5">
        <v>0</v>
      </c>
      <c r="AT222" s="5">
        <v>0</v>
      </c>
      <c r="AU222" s="5">
        <v>0</v>
      </c>
      <c r="AX222" s="5">
        <v>0</v>
      </c>
      <c r="AY222" s="5" t="s">
        <v>86</v>
      </c>
      <c r="BN222" s="5" t="s">
        <v>86</v>
      </c>
      <c r="CD222" s="5">
        <v>0</v>
      </c>
      <c r="CF222" s="1442" t="str">
        <f>IF([1]!sommaire[[#This Row],[présence des personnes déplacés interne]]="Oui","1","0")</f>
        <v>1</v>
      </c>
      <c r="CG222" s="1442" t="str">
        <f>IF([1]!sommaire[[#This Row],[présence Réfugié hors camp]]="Oui","1","0")</f>
        <v>0</v>
      </c>
      <c r="CH222" s="1442" t="str">
        <f>IF([1]!sommaire[[#This Row],[présence personnes retournées]]="Oui","1","0")</f>
        <v>0</v>
      </c>
      <c r="CI222" s="1442">
        <f>[1]!sommaire[[#This Row],[Flag PDI]]+[1]!sommaire[[#This Row],[Flag REF]]+[1]!sommaire[[#This Row],[Flag RET]]</f>
        <v>1</v>
      </c>
    </row>
    <row r="223" spans="1:87" ht="14.55" customHeight="1" x14ac:dyDescent="0.3">
      <c r="A223" s="390">
        <v>2727721</v>
      </c>
      <c r="B223" s="5" t="s">
        <v>533</v>
      </c>
      <c r="C223" s="1430" t="s">
        <v>3449</v>
      </c>
      <c r="D223" s="1090" t="s">
        <v>534</v>
      </c>
      <c r="E223" s="5" t="s">
        <v>31</v>
      </c>
      <c r="F223" s="5" t="s">
        <v>31</v>
      </c>
      <c r="G223" s="5" t="s">
        <v>549</v>
      </c>
      <c r="H223" s="5" t="s">
        <v>167</v>
      </c>
      <c r="I223" s="5" t="str">
        <f>_xlfn.XLOOKUP(sommaire[[#This Row],[Arrondissement_code]],OCHA_GIS!$F:$F,OCHA_GIS!$E:$E,,)</f>
        <v>Goulfey</v>
      </c>
      <c r="J223" s="5" t="s">
        <v>1113</v>
      </c>
      <c r="K223" t="s">
        <v>1870</v>
      </c>
      <c r="L223" s="5" t="s">
        <v>1826</v>
      </c>
      <c r="N223" s="5" t="s">
        <v>3053</v>
      </c>
      <c r="O223" s="5" t="s">
        <v>2467</v>
      </c>
      <c r="P223" s="5" t="s">
        <v>85</v>
      </c>
      <c r="Q223" s="5" t="s">
        <v>86</v>
      </c>
      <c r="R223" s="5" t="s">
        <v>86</v>
      </c>
      <c r="T223" s="390">
        <v>3</v>
      </c>
      <c r="U223" s="5" t="s">
        <v>97</v>
      </c>
      <c r="W223" s="5" t="s">
        <v>2468</v>
      </c>
      <c r="X223" s="5" t="s">
        <v>102</v>
      </c>
      <c r="AA223" s="5" t="s">
        <v>85</v>
      </c>
      <c r="AB223" s="5" t="s">
        <v>2469</v>
      </c>
      <c r="AC223" s="5" t="s">
        <v>2470</v>
      </c>
      <c r="AD223" s="5" t="s">
        <v>86</v>
      </c>
      <c r="AF223" s="5">
        <v>12</v>
      </c>
      <c r="AG223" s="5">
        <v>1625</v>
      </c>
      <c r="AH223" s="5" t="s">
        <v>85</v>
      </c>
      <c r="AI223" s="5" t="s">
        <v>2471</v>
      </c>
      <c r="AJ223" s="5">
        <v>12</v>
      </c>
      <c r="AK223" s="5">
        <v>81</v>
      </c>
      <c r="AL223" s="5">
        <v>31</v>
      </c>
      <c r="AM223" s="5">
        <v>50</v>
      </c>
      <c r="AN223" s="5">
        <v>0</v>
      </c>
      <c r="AO223" s="5">
        <v>12</v>
      </c>
      <c r="AP223" s="5">
        <v>0</v>
      </c>
      <c r="AQ223" s="5">
        <v>0</v>
      </c>
      <c r="AT223" s="5">
        <v>0</v>
      </c>
      <c r="AU223" s="5">
        <v>0</v>
      </c>
      <c r="AX223" s="5">
        <v>0</v>
      </c>
      <c r="AY223" s="5" t="s">
        <v>86</v>
      </c>
      <c r="BN223" s="5" t="s">
        <v>86</v>
      </c>
      <c r="CD223" s="5">
        <v>0</v>
      </c>
      <c r="CF223" s="1442" t="str">
        <f>IF([1]!sommaire[[#This Row],[présence des personnes déplacés interne]]="Oui","1","0")</f>
        <v>1</v>
      </c>
      <c r="CG223" s="1442" t="str">
        <f>IF([1]!sommaire[[#This Row],[présence Réfugié hors camp]]="Oui","1","0")</f>
        <v>0</v>
      </c>
      <c r="CH223" s="1442" t="str">
        <f>IF([1]!sommaire[[#This Row],[présence personnes retournées]]="Oui","1","0")</f>
        <v>0</v>
      </c>
      <c r="CI223" s="1442">
        <f>[1]!sommaire[[#This Row],[Flag PDI]]+[1]!sommaire[[#This Row],[Flag REF]]+[1]!sommaire[[#This Row],[Flag RET]]</f>
        <v>1</v>
      </c>
    </row>
    <row r="224" spans="1:87" ht="14.55" customHeight="1" x14ac:dyDescent="0.3">
      <c r="A224" s="390">
        <v>2659461</v>
      </c>
      <c r="B224" s="5" t="s">
        <v>533</v>
      </c>
      <c r="C224" s="1430" t="s">
        <v>3449</v>
      </c>
      <c r="D224" s="1090" t="s">
        <v>534</v>
      </c>
      <c r="E224" s="5" t="s">
        <v>31</v>
      </c>
      <c r="F224" s="5" t="s">
        <v>31</v>
      </c>
      <c r="G224" s="5" t="s">
        <v>549</v>
      </c>
      <c r="H224" s="5" t="s">
        <v>167</v>
      </c>
      <c r="I224" s="5" t="str">
        <f>_xlfn.XLOOKUP(sommaire[[#This Row],[Arrondissement_code]],OCHA_GIS!$F:$F,OCHA_GIS!$E:$E,,)</f>
        <v>Goulfey</v>
      </c>
      <c r="J224" s="5" t="s">
        <v>1113</v>
      </c>
      <c r="K224" t="s">
        <v>2940</v>
      </c>
      <c r="L224" s="5" t="s">
        <v>1888</v>
      </c>
      <c r="N224" s="5" t="s">
        <v>3053</v>
      </c>
      <c r="O224" s="5" t="s">
        <v>2467</v>
      </c>
      <c r="P224" s="5" t="s">
        <v>85</v>
      </c>
      <c r="Q224" s="5" t="s">
        <v>86</v>
      </c>
      <c r="R224" s="5" t="s">
        <v>86</v>
      </c>
      <c r="T224" s="390">
        <v>3</v>
      </c>
      <c r="U224" s="5" t="s">
        <v>97</v>
      </c>
      <c r="W224" s="5" t="s">
        <v>2468</v>
      </c>
      <c r="X224" s="5" t="s">
        <v>102</v>
      </c>
      <c r="AA224" s="586" t="s">
        <v>85</v>
      </c>
      <c r="AB224" s="5" t="s">
        <v>2469</v>
      </c>
      <c r="AC224" s="5" t="s">
        <v>2470</v>
      </c>
      <c r="AD224" s="5" t="s">
        <v>86</v>
      </c>
      <c r="AF224" s="5">
        <v>3</v>
      </c>
      <c r="AG224" s="5">
        <v>470</v>
      </c>
      <c r="AH224" s="5" t="s">
        <v>85</v>
      </c>
      <c r="AI224" s="5" t="s">
        <v>2471</v>
      </c>
      <c r="AJ224" s="5">
        <v>3</v>
      </c>
      <c r="AK224" s="5">
        <v>15</v>
      </c>
      <c r="AL224" s="5">
        <v>7</v>
      </c>
      <c r="AM224" s="5">
        <v>8</v>
      </c>
      <c r="AN224" s="5">
        <v>0</v>
      </c>
      <c r="AO224" s="5">
        <v>3</v>
      </c>
      <c r="AP224" s="5">
        <v>0</v>
      </c>
      <c r="AQ224" s="5">
        <v>0</v>
      </c>
      <c r="AT224" s="5">
        <v>0</v>
      </c>
      <c r="AU224" s="5">
        <v>0</v>
      </c>
      <c r="AX224" s="5">
        <v>0</v>
      </c>
      <c r="AY224" s="5" t="s">
        <v>86</v>
      </c>
      <c r="BN224" s="5" t="s">
        <v>86</v>
      </c>
      <c r="CD224" s="5">
        <v>0</v>
      </c>
      <c r="CF224" s="1442" t="str">
        <f>IF([1]!sommaire[[#This Row],[présence des personnes déplacés interne]]="Oui","1","0")</f>
        <v>1</v>
      </c>
      <c r="CG224" s="1442" t="str">
        <f>IF([1]!sommaire[[#This Row],[présence Réfugié hors camp]]="Oui","1","0")</f>
        <v>0</v>
      </c>
      <c r="CH224" s="1442" t="str">
        <f>IF([1]!sommaire[[#This Row],[présence personnes retournées]]="Oui","1","0")</f>
        <v>0</v>
      </c>
      <c r="CI224" s="1442">
        <f>[1]!sommaire[[#This Row],[Flag PDI]]+[1]!sommaire[[#This Row],[Flag REF]]+[1]!sommaire[[#This Row],[Flag RET]]</f>
        <v>1</v>
      </c>
    </row>
    <row r="225" spans="1:87" ht="14.55" customHeight="1" x14ac:dyDescent="0.3">
      <c r="A225" s="390">
        <v>2628120</v>
      </c>
      <c r="B225" s="5" t="s">
        <v>533</v>
      </c>
      <c r="C225" s="1430" t="s">
        <v>3449</v>
      </c>
      <c r="D225" s="1090" t="s">
        <v>534</v>
      </c>
      <c r="E225" s="5" t="s">
        <v>31</v>
      </c>
      <c r="F225" s="5" t="s">
        <v>31</v>
      </c>
      <c r="G225" s="5" t="s">
        <v>549</v>
      </c>
      <c r="H225" s="5" t="s">
        <v>167</v>
      </c>
      <c r="I225" s="5" t="str">
        <f>_xlfn.XLOOKUP(sommaire[[#This Row],[Arrondissement_code]],OCHA_GIS!$F:$F,OCHA_GIS!$E:$E,,)</f>
        <v>Goulfey</v>
      </c>
      <c r="J225" s="5" t="s">
        <v>1113</v>
      </c>
      <c r="K225" t="s">
        <v>1825</v>
      </c>
      <c r="L225" s="5" t="s">
        <v>1930</v>
      </c>
      <c r="N225" s="5" t="s">
        <v>3053</v>
      </c>
      <c r="O225" s="5" t="s">
        <v>2467</v>
      </c>
      <c r="P225" s="5" t="s">
        <v>85</v>
      </c>
      <c r="Q225" s="5" t="s">
        <v>86</v>
      </c>
      <c r="R225" s="5" t="s">
        <v>86</v>
      </c>
      <c r="T225" s="390">
        <v>3</v>
      </c>
      <c r="U225" s="5" t="s">
        <v>97</v>
      </c>
      <c r="W225" s="5" t="s">
        <v>2468</v>
      </c>
      <c r="X225" s="5" t="s">
        <v>102</v>
      </c>
      <c r="AA225" s="5" t="s">
        <v>85</v>
      </c>
      <c r="AB225" s="5" t="s">
        <v>2469</v>
      </c>
      <c r="AC225" s="5" t="s">
        <v>2470</v>
      </c>
      <c r="AD225" s="5" t="s">
        <v>86</v>
      </c>
      <c r="AF225" s="5">
        <v>30</v>
      </c>
      <c r="AG225" s="5">
        <v>900</v>
      </c>
      <c r="AH225" s="5" t="s">
        <v>85</v>
      </c>
      <c r="AI225" s="5" t="s">
        <v>2471</v>
      </c>
      <c r="AJ225" s="5">
        <v>30</v>
      </c>
      <c r="AK225" s="5">
        <v>30</v>
      </c>
      <c r="AL225" s="5">
        <v>12</v>
      </c>
      <c r="AM225" s="5">
        <v>18</v>
      </c>
      <c r="AN225" s="5">
        <v>30</v>
      </c>
      <c r="AO225" s="5">
        <v>0</v>
      </c>
      <c r="AP225" s="5">
        <v>0</v>
      </c>
      <c r="AQ225" s="5">
        <v>0</v>
      </c>
      <c r="AT225" s="5">
        <v>0</v>
      </c>
      <c r="AU225" s="5">
        <v>0</v>
      </c>
      <c r="AX225" s="5">
        <v>0</v>
      </c>
      <c r="AY225" s="5" t="s">
        <v>86</v>
      </c>
      <c r="BN225" s="5" t="s">
        <v>86</v>
      </c>
      <c r="CD225" s="5">
        <v>0</v>
      </c>
      <c r="CF225" s="1442" t="str">
        <f>IF([1]!sommaire[[#This Row],[présence des personnes déplacés interne]]="Oui","1","0")</f>
        <v>1</v>
      </c>
      <c r="CG225" s="1442" t="str">
        <f>IF([1]!sommaire[[#This Row],[présence Réfugié hors camp]]="Oui","1","0")</f>
        <v>0</v>
      </c>
      <c r="CH225" s="1442" t="str">
        <f>IF([1]!sommaire[[#This Row],[présence personnes retournées]]="Oui","1","0")</f>
        <v>0</v>
      </c>
      <c r="CI225" s="1442">
        <f>[1]!sommaire[[#This Row],[Flag PDI]]+[1]!sommaire[[#This Row],[Flag REF]]+[1]!sommaire[[#This Row],[Flag RET]]</f>
        <v>1</v>
      </c>
    </row>
    <row r="226" spans="1:87" ht="14.55" customHeight="1" x14ac:dyDescent="0.3">
      <c r="A226" s="390">
        <v>2636809</v>
      </c>
      <c r="B226" s="5" t="s">
        <v>533</v>
      </c>
      <c r="C226" s="1430" t="s">
        <v>3449</v>
      </c>
      <c r="D226" s="1090" t="s">
        <v>534</v>
      </c>
      <c r="E226" s="5" t="s">
        <v>31</v>
      </c>
      <c r="F226" s="5" t="s">
        <v>31</v>
      </c>
      <c r="G226" s="5" t="s">
        <v>549</v>
      </c>
      <c r="H226" s="5" t="s">
        <v>167</v>
      </c>
      <c r="I226" s="5" t="str">
        <f>_xlfn.XLOOKUP(sommaire[[#This Row],[Arrondissement_code]],OCHA_GIS!$F:$F,OCHA_GIS!$E:$E,,)</f>
        <v>Goulfey</v>
      </c>
      <c r="J226" s="5" t="s">
        <v>1113</v>
      </c>
      <c r="K226" t="s">
        <v>1114</v>
      </c>
      <c r="L226" s="5" t="s">
        <v>2051</v>
      </c>
      <c r="N226" s="5" t="s">
        <v>3053</v>
      </c>
      <c r="O226" s="5" t="s">
        <v>2467</v>
      </c>
      <c r="P226" s="5" t="s">
        <v>85</v>
      </c>
      <c r="Q226" s="5" t="s">
        <v>86</v>
      </c>
      <c r="R226" s="5" t="s">
        <v>86</v>
      </c>
      <c r="T226" s="390">
        <v>3</v>
      </c>
      <c r="U226" s="5" t="s">
        <v>97</v>
      </c>
      <c r="W226" s="5" t="s">
        <v>2468</v>
      </c>
      <c r="X226" s="5" t="s">
        <v>102</v>
      </c>
      <c r="AA226" s="5" t="s">
        <v>85</v>
      </c>
      <c r="AB226" s="5" t="s">
        <v>2469</v>
      </c>
      <c r="AC226" s="5" t="s">
        <v>2470</v>
      </c>
      <c r="AD226" s="5" t="s">
        <v>86</v>
      </c>
      <c r="AF226" s="5">
        <v>70</v>
      </c>
      <c r="AG226" s="5">
        <v>400</v>
      </c>
      <c r="AH226" s="5" t="s">
        <v>85</v>
      </c>
      <c r="AI226" s="5" t="s">
        <v>2471</v>
      </c>
      <c r="AJ226" s="5">
        <v>70</v>
      </c>
      <c r="AK226" s="5">
        <v>70</v>
      </c>
      <c r="AL226" s="5">
        <v>30</v>
      </c>
      <c r="AM226" s="5">
        <v>40</v>
      </c>
      <c r="AN226" s="5">
        <v>70</v>
      </c>
      <c r="AO226" s="5">
        <v>0</v>
      </c>
      <c r="AP226" s="5">
        <v>0</v>
      </c>
      <c r="AQ226" s="5">
        <v>0</v>
      </c>
      <c r="AT226" s="5">
        <v>0</v>
      </c>
      <c r="AU226" s="5">
        <v>0</v>
      </c>
      <c r="AX226" s="5">
        <v>0</v>
      </c>
      <c r="AY226" s="5" t="s">
        <v>86</v>
      </c>
      <c r="BN226" s="5" t="s">
        <v>86</v>
      </c>
      <c r="CD226" s="5">
        <v>0</v>
      </c>
      <c r="CF226" s="1442" t="str">
        <f>IF([1]!sommaire[[#This Row],[présence des personnes déplacés interne]]="Oui","1","0")</f>
        <v>1</v>
      </c>
      <c r="CG226" s="1442" t="str">
        <f>IF([1]!sommaire[[#This Row],[présence Réfugié hors camp]]="Oui","1","0")</f>
        <v>0</v>
      </c>
      <c r="CH226" s="1442" t="str">
        <f>IF([1]!sommaire[[#This Row],[présence personnes retournées]]="Oui","1","0")</f>
        <v>0</v>
      </c>
      <c r="CI226" s="1442">
        <f>[1]!sommaire[[#This Row],[Flag PDI]]+[1]!sommaire[[#This Row],[Flag REF]]+[1]!sommaire[[#This Row],[Flag RET]]</f>
        <v>1</v>
      </c>
    </row>
    <row r="227" spans="1:87" ht="14.55" customHeight="1" x14ac:dyDescent="0.3">
      <c r="A227" s="390">
        <v>2668977</v>
      </c>
      <c r="B227" s="5" t="s">
        <v>533</v>
      </c>
      <c r="C227" s="1430" t="s">
        <v>3449</v>
      </c>
      <c r="D227" s="1090" t="s">
        <v>534</v>
      </c>
      <c r="E227" s="5" t="s">
        <v>31</v>
      </c>
      <c r="F227" s="5" t="s">
        <v>31</v>
      </c>
      <c r="G227" s="5" t="s">
        <v>549</v>
      </c>
      <c r="H227" s="5" t="s">
        <v>167</v>
      </c>
      <c r="I227" s="5" t="str">
        <f>_xlfn.XLOOKUP(sommaire[[#This Row],[Arrondissement_code]],OCHA_GIS!$F:$F,OCHA_GIS!$E:$E,,)</f>
        <v>Goulfey</v>
      </c>
      <c r="J227" s="5" t="s">
        <v>1113</v>
      </c>
      <c r="K227" t="s">
        <v>2958</v>
      </c>
      <c r="L227" s="5" t="s">
        <v>1945</v>
      </c>
      <c r="N227" s="5" t="s">
        <v>3053</v>
      </c>
      <c r="O227" s="5" t="s">
        <v>2467</v>
      </c>
      <c r="P227" s="5" t="s">
        <v>85</v>
      </c>
      <c r="Q227" s="5" t="s">
        <v>86</v>
      </c>
      <c r="R227" s="5" t="s">
        <v>85</v>
      </c>
      <c r="T227" s="390">
        <v>3</v>
      </c>
      <c r="U227" s="5" t="s">
        <v>97</v>
      </c>
      <c r="W227" s="5" t="s">
        <v>2468</v>
      </c>
      <c r="X227" s="5" t="s">
        <v>103</v>
      </c>
      <c r="Y227" s="5" t="s">
        <v>2476</v>
      </c>
      <c r="AA227" s="5" t="s">
        <v>85</v>
      </c>
      <c r="AB227" s="5" t="s">
        <v>2469</v>
      </c>
      <c r="AC227" s="5" t="s">
        <v>2470</v>
      </c>
      <c r="AD227" s="5" t="s">
        <v>86</v>
      </c>
      <c r="AG227" s="5">
        <v>170</v>
      </c>
      <c r="AH227" s="5" t="s">
        <v>86</v>
      </c>
      <c r="AY227" s="5" t="s">
        <v>85</v>
      </c>
      <c r="AZ227" s="5">
        <v>4</v>
      </c>
      <c r="BA227" s="5">
        <v>23</v>
      </c>
      <c r="BB227" s="5">
        <v>8</v>
      </c>
      <c r="BC227" s="5">
        <v>15</v>
      </c>
      <c r="BD227" s="5">
        <v>4</v>
      </c>
      <c r="BE227" s="5">
        <v>0</v>
      </c>
      <c r="BF227" s="5">
        <v>0</v>
      </c>
      <c r="BH227" s="5">
        <v>0</v>
      </c>
      <c r="BI227" s="5">
        <v>0</v>
      </c>
      <c r="BL227" s="5">
        <v>0</v>
      </c>
      <c r="BM227" s="5">
        <v>4</v>
      </c>
      <c r="BN227" s="5" t="s">
        <v>86</v>
      </c>
      <c r="CD227" s="5">
        <v>5</v>
      </c>
      <c r="CF227" s="1442" t="str">
        <f>IF([1]!sommaire[[#This Row],[présence des personnes déplacés interne]]="Oui","1","0")</f>
        <v>0</v>
      </c>
      <c r="CG227" s="1442" t="str">
        <f>IF([1]!sommaire[[#This Row],[présence Réfugié hors camp]]="Oui","1","0")</f>
        <v>1</v>
      </c>
      <c r="CH227" s="1442" t="str">
        <f>IF([1]!sommaire[[#This Row],[présence personnes retournées]]="Oui","1","0")</f>
        <v>0</v>
      </c>
      <c r="CI227" s="1442">
        <f>[1]!sommaire[[#This Row],[Flag PDI]]+[1]!sommaire[[#This Row],[Flag REF]]+[1]!sommaire[[#This Row],[Flag RET]]</f>
        <v>1</v>
      </c>
    </row>
    <row r="228" spans="1:87" ht="14.55" customHeight="1" x14ac:dyDescent="0.3">
      <c r="A228" s="390">
        <v>2668974</v>
      </c>
      <c r="B228" s="5" t="s">
        <v>533</v>
      </c>
      <c r="C228" s="1430" t="s">
        <v>3449</v>
      </c>
      <c r="D228" s="1090" t="s">
        <v>534</v>
      </c>
      <c r="E228" s="5" t="s">
        <v>31</v>
      </c>
      <c r="F228" s="5" t="s">
        <v>31</v>
      </c>
      <c r="G228" s="5" t="s">
        <v>549</v>
      </c>
      <c r="H228" s="5" t="s">
        <v>167</v>
      </c>
      <c r="I228" s="5" t="str">
        <f>_xlfn.XLOOKUP(sommaire[[#This Row],[Arrondissement_code]],OCHA_GIS!$F:$F,OCHA_GIS!$E:$E,,)</f>
        <v>Goulfey</v>
      </c>
      <c r="J228" s="5" t="s">
        <v>1113</v>
      </c>
      <c r="K228" t="s">
        <v>1929</v>
      </c>
      <c r="L228" s="5" t="s">
        <v>2529</v>
      </c>
      <c r="N228" s="5" t="s">
        <v>3053</v>
      </c>
      <c r="O228" s="5" t="s">
        <v>2467</v>
      </c>
      <c r="P228" s="5" t="s">
        <v>85</v>
      </c>
      <c r="Q228" s="5" t="s">
        <v>86</v>
      </c>
      <c r="R228" s="5" t="s">
        <v>85</v>
      </c>
      <c r="T228" s="390">
        <v>3</v>
      </c>
      <c r="U228" s="5" t="s">
        <v>97</v>
      </c>
      <c r="W228" s="5" t="s">
        <v>2468</v>
      </c>
      <c r="X228" s="5" t="s">
        <v>102</v>
      </c>
      <c r="AA228" s="5" t="s">
        <v>85</v>
      </c>
      <c r="AB228" s="5" t="s">
        <v>2469</v>
      </c>
      <c r="AC228" s="5" t="s">
        <v>2470</v>
      </c>
      <c r="AD228" s="5" t="s">
        <v>86</v>
      </c>
      <c r="AF228" s="5">
        <v>6</v>
      </c>
      <c r="AG228" s="5">
        <v>400</v>
      </c>
      <c r="AH228" s="5" t="s">
        <v>85</v>
      </c>
      <c r="AI228" s="5" t="s">
        <v>2485</v>
      </c>
      <c r="AJ228" s="5">
        <v>6</v>
      </c>
      <c r="AK228" s="5">
        <v>30</v>
      </c>
      <c r="AL228" s="5">
        <v>10</v>
      </c>
      <c r="AM228" s="5">
        <v>20</v>
      </c>
      <c r="AN228" s="5">
        <v>6</v>
      </c>
      <c r="AO228" s="5">
        <v>0</v>
      </c>
      <c r="AP228" s="5">
        <v>0</v>
      </c>
      <c r="AQ228" s="5">
        <v>0</v>
      </c>
      <c r="AT228" s="5">
        <v>0</v>
      </c>
      <c r="AU228" s="5">
        <v>0</v>
      </c>
      <c r="AX228" s="5">
        <v>0</v>
      </c>
      <c r="AY228" s="5" t="s">
        <v>85</v>
      </c>
      <c r="AZ228" s="5">
        <v>1</v>
      </c>
      <c r="BA228" s="5">
        <v>4</v>
      </c>
      <c r="BB228" s="5">
        <v>3</v>
      </c>
      <c r="BC228" s="5">
        <v>1</v>
      </c>
      <c r="BD228" s="5">
        <v>1</v>
      </c>
      <c r="BE228" s="5">
        <v>0</v>
      </c>
      <c r="BF228" s="5">
        <v>0</v>
      </c>
      <c r="BH228" s="5">
        <v>0</v>
      </c>
      <c r="BI228" s="5">
        <v>0</v>
      </c>
      <c r="BL228" s="5">
        <v>0</v>
      </c>
      <c r="BM228" s="5">
        <v>0</v>
      </c>
      <c r="BN228" s="5" t="s">
        <v>86</v>
      </c>
      <c r="CD228" s="5">
        <v>1</v>
      </c>
      <c r="CF228" s="1442" t="str">
        <f>IF([1]!sommaire[[#This Row],[présence des personnes déplacés interne]]="Oui","1","0")</f>
        <v>1</v>
      </c>
      <c r="CG228" s="1442" t="str">
        <f>IF([1]!sommaire[[#This Row],[présence Réfugié hors camp]]="Oui","1","0")</f>
        <v>1</v>
      </c>
      <c r="CH228" s="1442" t="str">
        <f>IF([1]!sommaire[[#This Row],[présence personnes retournées]]="Oui","1","0")</f>
        <v>0</v>
      </c>
      <c r="CI228" s="1442">
        <f>[1]!sommaire[[#This Row],[Flag PDI]]+[1]!sommaire[[#This Row],[Flag REF]]+[1]!sommaire[[#This Row],[Flag RET]]</f>
        <v>2</v>
      </c>
    </row>
    <row r="229" spans="1:87" ht="14.55" customHeight="1" x14ac:dyDescent="0.3">
      <c r="A229" s="390">
        <v>2662505</v>
      </c>
      <c r="B229" s="5" t="s">
        <v>533</v>
      </c>
      <c r="C229" s="1430" t="s">
        <v>3449</v>
      </c>
      <c r="D229" s="1090" t="s">
        <v>534</v>
      </c>
      <c r="E229" s="5" t="s">
        <v>31</v>
      </c>
      <c r="F229" s="5" t="s">
        <v>31</v>
      </c>
      <c r="G229" s="5" t="s">
        <v>549</v>
      </c>
      <c r="H229" s="5" t="s">
        <v>167</v>
      </c>
      <c r="I229" s="5" t="str">
        <f>_xlfn.XLOOKUP(sommaire[[#This Row],[Arrondissement_code]],OCHA_GIS!$F:$F,OCHA_GIS!$E:$E,,)</f>
        <v>Goulfey</v>
      </c>
      <c r="J229" s="5" t="s">
        <v>1113</v>
      </c>
      <c r="K229" t="s">
        <v>2528</v>
      </c>
      <c r="L229" s="5" t="s">
        <v>2062</v>
      </c>
      <c r="N229" s="5" t="s">
        <v>3053</v>
      </c>
      <c r="O229" s="5" t="s">
        <v>2467</v>
      </c>
      <c r="P229" s="5" t="s">
        <v>85</v>
      </c>
      <c r="Q229" s="5" t="s">
        <v>86</v>
      </c>
      <c r="R229" s="5" t="s">
        <v>86</v>
      </c>
      <c r="T229" s="390">
        <v>5</v>
      </c>
      <c r="U229" s="5" t="s">
        <v>97</v>
      </c>
      <c r="W229" s="5" t="s">
        <v>2468</v>
      </c>
      <c r="X229" s="5" t="s">
        <v>102</v>
      </c>
      <c r="AA229" s="5" t="s">
        <v>85</v>
      </c>
      <c r="AB229" s="5" t="s">
        <v>2469</v>
      </c>
      <c r="AC229" s="5" t="s">
        <v>2470</v>
      </c>
      <c r="AD229" s="5" t="s">
        <v>86</v>
      </c>
      <c r="AF229" s="5">
        <v>16</v>
      </c>
      <c r="AG229" s="5">
        <v>2000</v>
      </c>
      <c r="AH229" s="5" t="s">
        <v>85</v>
      </c>
      <c r="AI229" s="5" t="s">
        <v>2471</v>
      </c>
      <c r="AJ229" s="5">
        <v>16</v>
      </c>
      <c r="AK229" s="5">
        <v>106</v>
      </c>
      <c r="AL229" s="5">
        <v>38</v>
      </c>
      <c r="AM229" s="5">
        <v>68</v>
      </c>
      <c r="AN229" s="5">
        <v>1</v>
      </c>
      <c r="AO229" s="5">
        <v>15</v>
      </c>
      <c r="AP229" s="5">
        <v>0</v>
      </c>
      <c r="AQ229" s="5">
        <v>0</v>
      </c>
      <c r="AT229" s="5">
        <v>0</v>
      </c>
      <c r="AU229" s="5">
        <v>0</v>
      </c>
      <c r="AX229" s="5">
        <v>0</v>
      </c>
      <c r="AY229" s="5" t="s">
        <v>86</v>
      </c>
      <c r="BN229" s="5" t="s">
        <v>86</v>
      </c>
      <c r="CD229" s="5">
        <v>0</v>
      </c>
      <c r="CF229" s="1442" t="str">
        <f>IF([1]!sommaire[[#This Row],[présence des personnes déplacés interne]]="Oui","1","0")</f>
        <v>1</v>
      </c>
      <c r="CG229" s="1442" t="str">
        <f>IF([1]!sommaire[[#This Row],[présence Réfugié hors camp]]="Oui","1","0")</f>
        <v>0</v>
      </c>
      <c r="CH229" s="1442" t="str">
        <f>IF([1]!sommaire[[#This Row],[présence personnes retournées]]="Oui","1","0")</f>
        <v>0</v>
      </c>
      <c r="CI229" s="1442">
        <f>[1]!sommaire[[#This Row],[Flag PDI]]+[1]!sommaire[[#This Row],[Flag REF]]+[1]!sommaire[[#This Row],[Flag RET]]</f>
        <v>1</v>
      </c>
    </row>
    <row r="230" spans="1:87" ht="14.55" customHeight="1" x14ac:dyDescent="0.3">
      <c r="A230" s="390">
        <v>2586804</v>
      </c>
      <c r="B230" s="5" t="s">
        <v>533</v>
      </c>
      <c r="C230" s="1430" t="s">
        <v>3449</v>
      </c>
      <c r="D230" s="1090" t="s">
        <v>534</v>
      </c>
      <c r="E230" s="5" t="s">
        <v>31</v>
      </c>
      <c r="F230" s="5" t="s">
        <v>31</v>
      </c>
      <c r="G230" s="5" t="s">
        <v>549</v>
      </c>
      <c r="H230" s="5" t="s">
        <v>167</v>
      </c>
      <c r="I230" s="5" t="str">
        <f>_xlfn.XLOOKUP(sommaire[[#This Row],[Arrondissement_code]],OCHA_GIS!$F:$F,OCHA_GIS!$E:$E,,)</f>
        <v>Goulfey</v>
      </c>
      <c r="J230" s="5" t="s">
        <v>1113</v>
      </c>
      <c r="K230" t="s">
        <v>2061</v>
      </c>
      <c r="L230" s="5" t="s">
        <v>1873</v>
      </c>
      <c r="N230" s="5" t="s">
        <v>3053</v>
      </c>
      <c r="O230" s="5" t="s">
        <v>2467</v>
      </c>
      <c r="P230" s="5" t="s">
        <v>85</v>
      </c>
      <c r="Q230" s="5" t="s">
        <v>86</v>
      </c>
      <c r="R230" s="5" t="s">
        <v>86</v>
      </c>
      <c r="T230" s="390">
        <v>3</v>
      </c>
      <c r="U230" s="5" t="s">
        <v>97</v>
      </c>
      <c r="W230" s="5" t="s">
        <v>2468</v>
      </c>
      <c r="X230" s="5" t="s">
        <v>102</v>
      </c>
      <c r="AA230" s="5" t="s">
        <v>85</v>
      </c>
      <c r="AB230" s="5" t="s">
        <v>2469</v>
      </c>
      <c r="AC230" s="5" t="s">
        <v>2470</v>
      </c>
      <c r="AD230" s="5" t="s">
        <v>86</v>
      </c>
      <c r="AF230" s="5">
        <v>21</v>
      </c>
      <c r="AG230" s="5">
        <v>1500</v>
      </c>
      <c r="AH230" s="5" t="s">
        <v>85</v>
      </c>
      <c r="AI230" s="5" t="s">
        <v>2471</v>
      </c>
      <c r="AJ230" s="5">
        <v>21</v>
      </c>
      <c r="AK230" s="5">
        <v>112</v>
      </c>
      <c r="AL230" s="5">
        <v>52</v>
      </c>
      <c r="AM230" s="5">
        <v>60</v>
      </c>
      <c r="AN230" s="5">
        <v>3</v>
      </c>
      <c r="AO230" s="5">
        <v>18</v>
      </c>
      <c r="AP230" s="5">
        <v>0</v>
      </c>
      <c r="AQ230" s="5">
        <v>0</v>
      </c>
      <c r="AT230" s="5">
        <v>0</v>
      </c>
      <c r="AU230" s="5">
        <v>0</v>
      </c>
      <c r="AX230" s="5">
        <v>0</v>
      </c>
      <c r="AY230" s="5" t="s">
        <v>86</v>
      </c>
      <c r="BN230" s="5" t="s">
        <v>86</v>
      </c>
      <c r="CD230" s="5">
        <v>0</v>
      </c>
      <c r="CF230" s="1442" t="str">
        <f>IF([1]!sommaire[[#This Row],[présence des personnes déplacés interne]]="Oui","1","0")</f>
        <v>1</v>
      </c>
      <c r="CG230" s="1442" t="str">
        <f>IF([1]!sommaire[[#This Row],[présence Réfugié hors camp]]="Oui","1","0")</f>
        <v>0</v>
      </c>
      <c r="CH230" s="1442" t="str">
        <f>IF([1]!sommaire[[#This Row],[présence personnes retournées]]="Oui","1","0")</f>
        <v>0</v>
      </c>
      <c r="CI230" s="1442">
        <f>[1]!sommaire[[#This Row],[Flag PDI]]+[1]!sommaire[[#This Row],[Flag REF]]+[1]!sommaire[[#This Row],[Flag RET]]</f>
        <v>1</v>
      </c>
    </row>
    <row r="231" spans="1:87" ht="14.55" customHeight="1" x14ac:dyDescent="0.3">
      <c r="A231" s="390">
        <v>2647891</v>
      </c>
      <c r="B231" s="5" t="s">
        <v>533</v>
      </c>
      <c r="C231" s="1430" t="s">
        <v>3449</v>
      </c>
      <c r="D231" s="1090" t="s">
        <v>534</v>
      </c>
      <c r="E231" s="5" t="s">
        <v>31</v>
      </c>
      <c r="F231" s="5" t="s">
        <v>31</v>
      </c>
      <c r="G231" s="5" t="s">
        <v>549</v>
      </c>
      <c r="H231" s="5" t="s">
        <v>167</v>
      </c>
      <c r="I231" s="5" t="str">
        <f>_xlfn.XLOOKUP(sommaire[[#This Row],[Arrondissement_code]],OCHA_GIS!$F:$F,OCHA_GIS!$E:$E,,)</f>
        <v>Goulfey</v>
      </c>
      <c r="J231" s="5" t="s">
        <v>1113</v>
      </c>
      <c r="K231" t="s">
        <v>1872</v>
      </c>
      <c r="L231" s="5" t="s">
        <v>2050</v>
      </c>
      <c r="N231" s="5" t="s">
        <v>3053</v>
      </c>
      <c r="O231" s="5" t="s">
        <v>2467</v>
      </c>
      <c r="P231" s="5" t="s">
        <v>85</v>
      </c>
      <c r="Q231" s="5" t="s">
        <v>85</v>
      </c>
      <c r="R231" s="5" t="s">
        <v>86</v>
      </c>
      <c r="S231" s="390">
        <v>8</v>
      </c>
      <c r="T231" s="390">
        <v>3</v>
      </c>
      <c r="U231" s="5" t="s">
        <v>97</v>
      </c>
      <c r="W231" s="5" t="s">
        <v>2468</v>
      </c>
      <c r="X231" s="5" t="s">
        <v>102</v>
      </c>
      <c r="AA231" s="5" t="s">
        <v>86</v>
      </c>
      <c r="AG231" s="5">
        <v>4000</v>
      </c>
      <c r="AH231" s="1430" t="s">
        <v>86</v>
      </c>
      <c r="AY231" s="1430" t="s">
        <v>86</v>
      </c>
      <c r="BN231" s="1430" t="s">
        <v>86</v>
      </c>
      <c r="CF231" s="1442" t="str">
        <f>IF([1]!sommaire[[#This Row],[présence des personnes déplacés interne]]="Oui","1","0")</f>
        <v>0</v>
      </c>
      <c r="CG231" s="1442" t="str">
        <f>IF([1]!sommaire[[#This Row],[présence Réfugié hors camp]]="Oui","1","0")</f>
        <v>0</v>
      </c>
      <c r="CH231" s="1442" t="str">
        <f>IF([1]!sommaire[[#This Row],[présence personnes retournées]]="Oui","1","0")</f>
        <v>0</v>
      </c>
      <c r="CI231" s="1442">
        <f>[1]!sommaire[[#This Row],[Flag PDI]]+[1]!sommaire[[#This Row],[Flag REF]]+[1]!sommaire[[#This Row],[Flag RET]]</f>
        <v>0</v>
      </c>
    </row>
    <row r="232" spans="1:87" ht="14.55" customHeight="1" x14ac:dyDescent="0.3">
      <c r="A232" s="390">
        <v>2822584</v>
      </c>
      <c r="B232" s="5" t="s">
        <v>533</v>
      </c>
      <c r="C232" s="1430" t="s">
        <v>3449</v>
      </c>
      <c r="D232" s="1090" t="s">
        <v>534</v>
      </c>
      <c r="E232" s="5" t="s">
        <v>31</v>
      </c>
      <c r="F232" s="5" t="s">
        <v>31</v>
      </c>
      <c r="G232" s="5" t="s">
        <v>549</v>
      </c>
      <c r="H232" s="5" t="s">
        <v>167</v>
      </c>
      <c r="I232" s="5" t="str">
        <f>_xlfn.XLOOKUP(sommaire[[#This Row],[Arrondissement_code]],OCHA_GIS!$F:$F,OCHA_GIS!$E:$E,,)</f>
        <v>Goulfey</v>
      </c>
      <c r="J232" s="5" t="s">
        <v>1113</v>
      </c>
      <c r="K232" t="s">
        <v>2807</v>
      </c>
      <c r="L232" s="5" t="s">
        <v>1973</v>
      </c>
      <c r="N232" s="5" t="s">
        <v>3053</v>
      </c>
      <c r="O232" s="5" t="s">
        <v>2467</v>
      </c>
      <c r="P232" s="5" t="s">
        <v>85</v>
      </c>
      <c r="Q232" s="5" t="s">
        <v>86</v>
      </c>
      <c r="R232" s="5" t="s">
        <v>86</v>
      </c>
      <c r="T232" s="390">
        <v>3</v>
      </c>
      <c r="U232" s="5" t="s">
        <v>97</v>
      </c>
      <c r="W232" s="5" t="s">
        <v>2468</v>
      </c>
      <c r="X232" s="5" t="s">
        <v>102</v>
      </c>
      <c r="AA232" s="5" t="s">
        <v>86</v>
      </c>
      <c r="AH232" s="1430" t="s">
        <v>86</v>
      </c>
      <c r="AY232" s="1430" t="s">
        <v>86</v>
      </c>
      <c r="BN232" s="1430" t="s">
        <v>86</v>
      </c>
      <c r="CF232" s="1442" t="str">
        <f>IF([1]!sommaire[[#This Row],[présence des personnes déplacés interne]]="Oui","1","0")</f>
        <v>0</v>
      </c>
      <c r="CG232" s="1442" t="str">
        <f>IF([1]!sommaire[[#This Row],[présence Réfugié hors camp]]="Oui","1","0")</f>
        <v>0</v>
      </c>
      <c r="CH232" s="1442" t="str">
        <f>IF([1]!sommaire[[#This Row],[présence personnes retournées]]="Oui","1","0")</f>
        <v>0</v>
      </c>
      <c r="CI232" s="1442">
        <f>[1]!sommaire[[#This Row],[Flag PDI]]+[1]!sommaire[[#This Row],[Flag REF]]+[1]!sommaire[[#This Row],[Flag RET]]</f>
        <v>0</v>
      </c>
    </row>
    <row r="233" spans="1:87" ht="14.55" customHeight="1" x14ac:dyDescent="0.3">
      <c r="A233" s="390">
        <v>2653313</v>
      </c>
      <c r="B233" s="5" t="s">
        <v>533</v>
      </c>
      <c r="C233" s="1430" t="s">
        <v>3449</v>
      </c>
      <c r="D233" s="1090" t="s">
        <v>534</v>
      </c>
      <c r="E233" s="5" t="s">
        <v>31</v>
      </c>
      <c r="F233" s="5" t="s">
        <v>31</v>
      </c>
      <c r="G233" s="5" t="s">
        <v>549</v>
      </c>
      <c r="H233" s="5" t="s">
        <v>167</v>
      </c>
      <c r="I233" s="5" t="str">
        <f>_xlfn.XLOOKUP(sommaire[[#This Row],[Arrondissement_code]],OCHA_GIS!$F:$F,OCHA_GIS!$E:$E,,)</f>
        <v>Goulfey</v>
      </c>
      <c r="J233" s="5" t="s">
        <v>1113</v>
      </c>
      <c r="K233" t="s">
        <v>1991</v>
      </c>
      <c r="L233" s="5" t="s">
        <v>2280</v>
      </c>
      <c r="N233" s="5" t="s">
        <v>3053</v>
      </c>
      <c r="O233" s="5" t="s">
        <v>2467</v>
      </c>
      <c r="P233" s="5" t="s">
        <v>85</v>
      </c>
      <c r="Q233" s="5" t="s">
        <v>86</v>
      </c>
      <c r="R233" s="5" t="s">
        <v>86</v>
      </c>
      <c r="T233" s="390">
        <v>3</v>
      </c>
      <c r="U233" s="5" t="s">
        <v>97</v>
      </c>
      <c r="W233" s="5" t="s">
        <v>2468</v>
      </c>
      <c r="X233" s="5" t="s">
        <v>102</v>
      </c>
      <c r="AA233" s="5" t="s">
        <v>85</v>
      </c>
      <c r="AB233" s="5" t="s">
        <v>2469</v>
      </c>
      <c r="AC233" s="5" t="s">
        <v>2470</v>
      </c>
      <c r="AD233" s="5" t="s">
        <v>86</v>
      </c>
      <c r="AF233" s="5">
        <v>8</v>
      </c>
      <c r="AG233" s="5">
        <v>853</v>
      </c>
      <c r="AH233" s="5" t="s">
        <v>85</v>
      </c>
      <c r="AI233" s="5" t="s">
        <v>2471</v>
      </c>
      <c r="AJ233" s="5">
        <v>8</v>
      </c>
      <c r="AK233" s="5">
        <v>16</v>
      </c>
      <c r="AL233" s="5">
        <v>6</v>
      </c>
      <c r="AM233" s="5">
        <v>10</v>
      </c>
      <c r="AN233" s="5">
        <v>0</v>
      </c>
      <c r="AO233" s="5">
        <v>8</v>
      </c>
      <c r="AP233" s="5">
        <v>0</v>
      </c>
      <c r="AQ233" s="5">
        <v>0</v>
      </c>
      <c r="AT233" s="5">
        <v>0</v>
      </c>
      <c r="AU233" s="5">
        <v>0</v>
      </c>
      <c r="AX233" s="5">
        <v>0</v>
      </c>
      <c r="AY233" s="5" t="s">
        <v>86</v>
      </c>
      <c r="BN233" s="5" t="s">
        <v>86</v>
      </c>
      <c r="CD233" s="5">
        <v>0</v>
      </c>
      <c r="CF233" s="1442" t="str">
        <f>IF([1]!sommaire[[#This Row],[présence des personnes déplacés interne]]="Oui","1","0")</f>
        <v>1</v>
      </c>
      <c r="CG233" s="1442" t="str">
        <f>IF([1]!sommaire[[#This Row],[présence Réfugié hors camp]]="Oui","1","0")</f>
        <v>0</v>
      </c>
      <c r="CH233" s="1442" t="str">
        <f>IF([1]!sommaire[[#This Row],[présence personnes retournées]]="Oui","1","0")</f>
        <v>0</v>
      </c>
      <c r="CI233" s="1442">
        <f>[1]!sommaire[[#This Row],[Flag PDI]]+[1]!sommaire[[#This Row],[Flag REF]]+[1]!sommaire[[#This Row],[Flag RET]]</f>
        <v>1</v>
      </c>
    </row>
    <row r="234" spans="1:87" ht="14.55" customHeight="1" x14ac:dyDescent="0.3">
      <c r="A234" s="390">
        <v>2662516</v>
      </c>
      <c r="B234" s="5" t="s">
        <v>533</v>
      </c>
      <c r="C234" s="1430" t="s">
        <v>3449</v>
      </c>
      <c r="D234" s="1090" t="s">
        <v>534</v>
      </c>
      <c r="E234" s="5" t="s">
        <v>31</v>
      </c>
      <c r="F234" s="5" t="s">
        <v>31</v>
      </c>
      <c r="G234" s="5" t="s">
        <v>549</v>
      </c>
      <c r="H234" s="5" t="s">
        <v>167</v>
      </c>
      <c r="I234" s="5" t="str">
        <f>_xlfn.XLOOKUP(sommaire[[#This Row],[Arrondissement_code]],OCHA_GIS!$F:$F,OCHA_GIS!$E:$E,,)</f>
        <v>Goulfey</v>
      </c>
      <c r="J234" s="5" t="s">
        <v>1113</v>
      </c>
      <c r="K234" t="s">
        <v>2081</v>
      </c>
      <c r="L234" s="5" t="s">
        <v>1992</v>
      </c>
      <c r="N234" s="5" t="s">
        <v>3053</v>
      </c>
      <c r="O234" s="5" t="s">
        <v>2467</v>
      </c>
      <c r="P234" s="5" t="s">
        <v>85</v>
      </c>
      <c r="Q234" s="5" t="s">
        <v>86</v>
      </c>
      <c r="R234" s="5" t="s">
        <v>86</v>
      </c>
      <c r="T234" s="390">
        <v>4</v>
      </c>
      <c r="U234" s="5" t="s">
        <v>97</v>
      </c>
      <c r="W234" s="5" t="s">
        <v>2468</v>
      </c>
      <c r="X234" s="5" t="s">
        <v>102</v>
      </c>
      <c r="AA234" s="5" t="s">
        <v>85</v>
      </c>
      <c r="AB234" s="5" t="s">
        <v>2469</v>
      </c>
      <c r="AC234" s="5" t="s">
        <v>2470</v>
      </c>
      <c r="AD234" s="1090" t="s">
        <v>86</v>
      </c>
      <c r="AF234" s="5">
        <v>22</v>
      </c>
      <c r="AG234" s="5">
        <v>2560</v>
      </c>
      <c r="AH234" s="5" t="s">
        <v>85</v>
      </c>
      <c r="AI234" s="5" t="s">
        <v>2471</v>
      </c>
      <c r="AJ234" s="5">
        <v>22</v>
      </c>
      <c r="AK234" s="5">
        <v>185</v>
      </c>
      <c r="AL234" s="5">
        <v>75</v>
      </c>
      <c r="AM234" s="5">
        <v>110</v>
      </c>
      <c r="AN234" s="5">
        <v>7</v>
      </c>
      <c r="AO234" s="5">
        <v>15</v>
      </c>
      <c r="AP234" s="5">
        <v>0</v>
      </c>
      <c r="AQ234" s="5">
        <v>0</v>
      </c>
      <c r="AT234" s="5">
        <v>0</v>
      </c>
      <c r="AU234" s="5">
        <v>0</v>
      </c>
      <c r="AX234" s="5">
        <v>0</v>
      </c>
      <c r="AY234" s="5" t="s">
        <v>86</v>
      </c>
      <c r="BN234" s="5" t="s">
        <v>86</v>
      </c>
      <c r="CD234" s="5">
        <v>2</v>
      </c>
      <c r="CF234" s="1442" t="str">
        <f>IF([1]!sommaire[[#This Row],[présence des personnes déplacés interne]]="Oui","1","0")</f>
        <v>1</v>
      </c>
      <c r="CG234" s="1442" t="str">
        <f>IF([1]!sommaire[[#This Row],[présence Réfugié hors camp]]="Oui","1","0")</f>
        <v>0</v>
      </c>
      <c r="CH234" s="1442" t="str">
        <f>IF([1]!sommaire[[#This Row],[présence personnes retournées]]="Oui","1","0")</f>
        <v>0</v>
      </c>
      <c r="CI234" s="1442">
        <f>[1]!sommaire[[#This Row],[Flag PDI]]+[1]!sommaire[[#This Row],[Flag REF]]+[1]!sommaire[[#This Row],[Flag RET]]</f>
        <v>1</v>
      </c>
    </row>
    <row r="235" spans="1:87" ht="14.55" customHeight="1" x14ac:dyDescent="0.3">
      <c r="A235" s="390">
        <v>2653314</v>
      </c>
      <c r="B235" s="5" t="s">
        <v>533</v>
      </c>
      <c r="C235" s="1430" t="s">
        <v>3449</v>
      </c>
      <c r="D235" s="1090" t="s">
        <v>534</v>
      </c>
      <c r="E235" s="5" t="s">
        <v>31</v>
      </c>
      <c r="F235" s="5" t="s">
        <v>31</v>
      </c>
      <c r="G235" s="5" t="s">
        <v>549</v>
      </c>
      <c r="H235" s="5" t="s">
        <v>167</v>
      </c>
      <c r="I235" s="5" t="str">
        <f>_xlfn.XLOOKUP(sommaire[[#This Row],[Arrondissement_code]],OCHA_GIS!$F:$F,OCHA_GIS!$E:$E,,)</f>
        <v>Goulfey</v>
      </c>
      <c r="J235" s="5" t="s">
        <v>1113</v>
      </c>
      <c r="K235" t="s">
        <v>2047</v>
      </c>
      <c r="L235" s="5" t="s">
        <v>1947</v>
      </c>
      <c r="N235" s="5" t="s">
        <v>3053</v>
      </c>
      <c r="O235" s="5" t="s">
        <v>2467</v>
      </c>
      <c r="P235" s="5" t="s">
        <v>85</v>
      </c>
      <c r="Q235" s="5" t="s">
        <v>86</v>
      </c>
      <c r="R235" s="5" t="s">
        <v>86</v>
      </c>
      <c r="T235" s="390">
        <v>3</v>
      </c>
      <c r="U235" s="5" t="s">
        <v>97</v>
      </c>
      <c r="W235" s="5" t="s">
        <v>2468</v>
      </c>
      <c r="X235" s="5" t="s">
        <v>102</v>
      </c>
      <c r="AA235" s="5" t="s">
        <v>85</v>
      </c>
      <c r="AB235" s="5" t="s">
        <v>2469</v>
      </c>
      <c r="AC235" s="5" t="s">
        <v>2470</v>
      </c>
      <c r="AD235" s="5" t="s">
        <v>86</v>
      </c>
      <c r="AF235" s="5">
        <v>20</v>
      </c>
      <c r="AG235" s="5">
        <v>1000</v>
      </c>
      <c r="AH235" s="5" t="s">
        <v>85</v>
      </c>
      <c r="AI235" s="5" t="s">
        <v>2471</v>
      </c>
      <c r="AJ235" s="5">
        <v>20</v>
      </c>
      <c r="AK235" s="5">
        <v>49</v>
      </c>
      <c r="AL235" s="5">
        <v>19</v>
      </c>
      <c r="AM235" s="5">
        <v>30</v>
      </c>
      <c r="AN235" s="5">
        <v>0</v>
      </c>
      <c r="AO235" s="5">
        <v>20</v>
      </c>
      <c r="AP235" s="5">
        <v>0</v>
      </c>
      <c r="AQ235" s="5">
        <v>0</v>
      </c>
      <c r="AT235" s="5">
        <v>0</v>
      </c>
      <c r="AU235" s="5">
        <v>0</v>
      </c>
      <c r="AX235" s="5">
        <v>0</v>
      </c>
      <c r="AY235" s="5" t="s">
        <v>86</v>
      </c>
      <c r="BN235" s="5" t="s">
        <v>86</v>
      </c>
      <c r="CD235" s="5">
        <v>0</v>
      </c>
      <c r="CF235" s="1442" t="str">
        <f>IF([1]!sommaire[[#This Row],[présence des personnes déplacés interne]]="Oui","1","0")</f>
        <v>1</v>
      </c>
      <c r="CG235" s="1442" t="str">
        <f>IF([1]!sommaire[[#This Row],[présence Réfugié hors camp]]="Oui","1","0")</f>
        <v>0</v>
      </c>
      <c r="CH235" s="1442" t="str">
        <f>IF([1]!sommaire[[#This Row],[présence personnes retournées]]="Oui","1","0")</f>
        <v>0</v>
      </c>
      <c r="CI235" s="1442">
        <f>[1]!sommaire[[#This Row],[Flag PDI]]+[1]!sommaire[[#This Row],[Flag REF]]+[1]!sommaire[[#This Row],[Flag RET]]</f>
        <v>1</v>
      </c>
    </row>
    <row r="236" spans="1:87" ht="14.55" customHeight="1" x14ac:dyDescent="0.3">
      <c r="A236" s="390">
        <v>2662500</v>
      </c>
      <c r="B236" s="5" t="s">
        <v>533</v>
      </c>
      <c r="C236" s="1430" t="s">
        <v>3449</v>
      </c>
      <c r="D236" s="1090" t="s">
        <v>534</v>
      </c>
      <c r="E236" s="5" t="s">
        <v>31</v>
      </c>
      <c r="F236" s="5" t="s">
        <v>31</v>
      </c>
      <c r="G236" s="5" t="s">
        <v>549</v>
      </c>
      <c r="H236" s="5" t="s">
        <v>167</v>
      </c>
      <c r="I236" s="5" t="str">
        <f>_xlfn.XLOOKUP(sommaire[[#This Row],[Arrondissement_code]],OCHA_GIS!$F:$F,OCHA_GIS!$E:$E,,)</f>
        <v>Goulfey</v>
      </c>
      <c r="J236" s="5" t="s">
        <v>1113</v>
      </c>
      <c r="K236" t="s">
        <v>1887</v>
      </c>
      <c r="L236" s="5" t="s">
        <v>2326</v>
      </c>
      <c r="N236" s="5" t="s">
        <v>3053</v>
      </c>
      <c r="O236" s="5" t="s">
        <v>2467</v>
      </c>
      <c r="P236" s="5" t="s">
        <v>85</v>
      </c>
      <c r="Q236" s="5" t="s">
        <v>86</v>
      </c>
      <c r="R236" s="5" t="s">
        <v>86</v>
      </c>
      <c r="T236" s="390">
        <v>5</v>
      </c>
      <c r="U236" s="5" t="s">
        <v>97</v>
      </c>
      <c r="W236" s="5" t="s">
        <v>2468</v>
      </c>
      <c r="X236" s="5" t="s">
        <v>102</v>
      </c>
      <c r="AA236" s="5" t="s">
        <v>85</v>
      </c>
      <c r="AB236" s="5" t="s">
        <v>2469</v>
      </c>
      <c r="AC236" s="5" t="s">
        <v>2470</v>
      </c>
      <c r="AD236" s="5" t="s">
        <v>86</v>
      </c>
      <c r="AF236" s="5">
        <v>15</v>
      </c>
      <c r="AG236" s="5">
        <v>430</v>
      </c>
      <c r="AH236" s="5" t="s">
        <v>85</v>
      </c>
      <c r="AI236" s="5" t="s">
        <v>2471</v>
      </c>
      <c r="AJ236" s="5">
        <v>15</v>
      </c>
      <c r="AK236" s="5">
        <v>60</v>
      </c>
      <c r="AL236" s="5">
        <v>25</v>
      </c>
      <c r="AM236" s="5">
        <v>35</v>
      </c>
      <c r="AN236" s="5">
        <v>0</v>
      </c>
      <c r="AO236" s="5">
        <v>15</v>
      </c>
      <c r="AP236" s="5">
        <v>0</v>
      </c>
      <c r="AQ236" s="5">
        <v>0</v>
      </c>
      <c r="AT236" s="5">
        <v>0</v>
      </c>
      <c r="AU236" s="5">
        <v>0</v>
      </c>
      <c r="AX236" s="5">
        <v>0</v>
      </c>
      <c r="AY236" s="5" t="s">
        <v>86</v>
      </c>
      <c r="BN236" s="5" t="s">
        <v>86</v>
      </c>
      <c r="CD236" s="5">
        <v>2</v>
      </c>
      <c r="CF236" s="1442" t="str">
        <f>IF([1]!sommaire[[#This Row],[présence des personnes déplacés interne]]="Oui","1","0")</f>
        <v>1</v>
      </c>
      <c r="CG236" s="1442" t="str">
        <f>IF([1]!sommaire[[#This Row],[présence Réfugié hors camp]]="Oui","1","0")</f>
        <v>0</v>
      </c>
      <c r="CH236" s="1442" t="str">
        <f>IF([1]!sommaire[[#This Row],[présence personnes retournées]]="Oui","1","0")</f>
        <v>0</v>
      </c>
      <c r="CI236" s="1442">
        <f>[1]!sommaire[[#This Row],[Flag PDI]]+[1]!sommaire[[#This Row],[Flag REF]]+[1]!sommaire[[#This Row],[Flag RET]]</f>
        <v>1</v>
      </c>
    </row>
    <row r="237" spans="1:87" ht="14.55" customHeight="1" x14ac:dyDescent="0.3">
      <c r="A237" s="390">
        <v>2647894</v>
      </c>
      <c r="B237" s="5" t="s">
        <v>533</v>
      </c>
      <c r="C237" s="1430" t="s">
        <v>3449</v>
      </c>
      <c r="D237" s="1090" t="s">
        <v>534</v>
      </c>
      <c r="E237" s="5" t="s">
        <v>31</v>
      </c>
      <c r="F237" s="5" t="s">
        <v>31</v>
      </c>
      <c r="G237" s="5" t="s">
        <v>549</v>
      </c>
      <c r="H237" s="5" t="s">
        <v>167</v>
      </c>
      <c r="I237" s="5" t="str">
        <f>_xlfn.XLOOKUP(sommaire[[#This Row],[Arrondissement_code]],OCHA_GIS!$F:$F,OCHA_GIS!$E:$E,,)</f>
        <v>Goulfey</v>
      </c>
      <c r="J237" s="5" t="s">
        <v>1113</v>
      </c>
      <c r="K237" t="s">
        <v>2049</v>
      </c>
      <c r="L237" s="5" t="s">
        <v>1934</v>
      </c>
      <c r="N237" s="5" t="s">
        <v>3053</v>
      </c>
      <c r="O237" s="5" t="s">
        <v>2467</v>
      </c>
      <c r="P237" s="5" t="s">
        <v>85</v>
      </c>
      <c r="Q237" s="5" t="s">
        <v>86</v>
      </c>
      <c r="R237" s="5" t="s">
        <v>86</v>
      </c>
      <c r="T237" s="390">
        <v>3</v>
      </c>
      <c r="U237" s="5" t="s">
        <v>97</v>
      </c>
      <c r="W237" s="5" t="s">
        <v>2468</v>
      </c>
      <c r="X237" s="5" t="s">
        <v>102</v>
      </c>
      <c r="AA237" s="5" t="s">
        <v>85</v>
      </c>
      <c r="AB237" s="5" t="s">
        <v>2469</v>
      </c>
      <c r="AC237" s="5" t="s">
        <v>2473</v>
      </c>
      <c r="AD237" s="5" t="s">
        <v>85</v>
      </c>
      <c r="AE237" s="5">
        <v>1</v>
      </c>
      <c r="AF237" s="5">
        <v>60</v>
      </c>
      <c r="AG237" s="5">
        <v>5000</v>
      </c>
      <c r="AH237" s="5" t="s">
        <v>85</v>
      </c>
      <c r="AI237" s="5" t="s">
        <v>2471</v>
      </c>
      <c r="AJ237" s="5">
        <v>60</v>
      </c>
      <c r="AK237" s="5">
        <v>750</v>
      </c>
      <c r="AL237" s="5">
        <v>300</v>
      </c>
      <c r="AM237" s="5">
        <v>450</v>
      </c>
      <c r="AN237" s="5">
        <v>0</v>
      </c>
      <c r="AO237" s="5">
        <v>60</v>
      </c>
      <c r="AP237" s="5">
        <v>0</v>
      </c>
      <c r="AQ237" s="5">
        <v>0</v>
      </c>
      <c r="AT237" s="5">
        <v>0</v>
      </c>
      <c r="AU237" s="5">
        <v>0</v>
      </c>
      <c r="AX237" s="5">
        <v>0</v>
      </c>
      <c r="AY237" s="5" t="s">
        <v>86</v>
      </c>
      <c r="BN237" s="5" t="s">
        <v>86</v>
      </c>
      <c r="CD237" s="5">
        <v>0</v>
      </c>
      <c r="CF237" s="1442" t="str">
        <f>IF([1]!sommaire[[#This Row],[présence des personnes déplacés interne]]="Oui","1","0")</f>
        <v>1</v>
      </c>
      <c r="CG237" s="1442" t="str">
        <f>IF([1]!sommaire[[#This Row],[présence Réfugié hors camp]]="Oui","1","0")</f>
        <v>0</v>
      </c>
      <c r="CH237" s="1442" t="str">
        <f>IF([1]!sommaire[[#This Row],[présence personnes retournées]]="Oui","1","0")</f>
        <v>0</v>
      </c>
      <c r="CI237" s="1442">
        <f>[1]!sommaire[[#This Row],[Flag PDI]]+[1]!sommaire[[#This Row],[Flag REF]]+[1]!sommaire[[#This Row],[Flag RET]]</f>
        <v>1</v>
      </c>
    </row>
    <row r="238" spans="1:87" ht="14.55" customHeight="1" x14ac:dyDescent="0.3">
      <c r="A238" s="390">
        <v>2586803</v>
      </c>
      <c r="B238" s="5" t="s">
        <v>533</v>
      </c>
      <c r="C238" s="1430" t="s">
        <v>3449</v>
      </c>
      <c r="D238" s="1090" t="s">
        <v>534</v>
      </c>
      <c r="E238" s="5" t="s">
        <v>31</v>
      </c>
      <c r="F238" s="5" t="s">
        <v>31</v>
      </c>
      <c r="G238" s="5" t="s">
        <v>549</v>
      </c>
      <c r="H238" s="5" t="s">
        <v>167</v>
      </c>
      <c r="I238" s="5" t="str">
        <f>_xlfn.XLOOKUP(sommaire[[#This Row],[Arrondissement_code]],OCHA_GIS!$F:$F,OCHA_GIS!$E:$E,,)</f>
        <v>Goulfey</v>
      </c>
      <c r="J238" s="5" t="s">
        <v>1113</v>
      </c>
      <c r="K238" t="s">
        <v>1933</v>
      </c>
      <c r="L238" s="5" t="s">
        <v>1834</v>
      </c>
      <c r="N238" s="5" t="s">
        <v>3053</v>
      </c>
      <c r="O238" s="5" t="s">
        <v>2467</v>
      </c>
      <c r="P238" s="5" t="s">
        <v>85</v>
      </c>
      <c r="Q238" s="5" t="s">
        <v>86</v>
      </c>
      <c r="R238" s="5" t="s">
        <v>86</v>
      </c>
      <c r="T238" s="390">
        <v>3</v>
      </c>
      <c r="U238" s="5" t="s">
        <v>97</v>
      </c>
      <c r="W238" s="5" t="s">
        <v>2468</v>
      </c>
      <c r="X238" s="5" t="s">
        <v>102</v>
      </c>
      <c r="AA238" s="5" t="s">
        <v>85</v>
      </c>
      <c r="AB238" s="5" t="s">
        <v>2469</v>
      </c>
      <c r="AC238" s="5" t="s">
        <v>2470</v>
      </c>
      <c r="AD238" s="5" t="s">
        <v>86</v>
      </c>
      <c r="AF238" s="5">
        <v>2</v>
      </c>
      <c r="AG238" s="5">
        <v>362</v>
      </c>
      <c r="AH238" s="5" t="s">
        <v>85</v>
      </c>
      <c r="AI238" s="5" t="s">
        <v>2471</v>
      </c>
      <c r="AJ238" s="5">
        <v>2</v>
      </c>
      <c r="AK238" s="5">
        <v>17</v>
      </c>
      <c r="AL238" s="5">
        <v>8</v>
      </c>
      <c r="AM238" s="5">
        <v>9</v>
      </c>
      <c r="AN238" s="5">
        <v>0</v>
      </c>
      <c r="AO238" s="5">
        <v>2</v>
      </c>
      <c r="AP238" s="5">
        <v>0</v>
      </c>
      <c r="AQ238" s="5">
        <v>0</v>
      </c>
      <c r="AT238" s="5">
        <v>0</v>
      </c>
      <c r="AU238" s="5">
        <v>0</v>
      </c>
      <c r="AX238" s="5">
        <v>0</v>
      </c>
      <c r="AY238" s="5" t="s">
        <v>86</v>
      </c>
      <c r="BN238" s="5" t="s">
        <v>86</v>
      </c>
      <c r="CD238" s="5">
        <v>0</v>
      </c>
      <c r="CF238" s="1442" t="str">
        <f>IF([1]!sommaire[[#This Row],[présence des personnes déplacés interne]]="Oui","1","0")</f>
        <v>1</v>
      </c>
      <c r="CG238" s="1442" t="str">
        <f>IF([1]!sommaire[[#This Row],[présence Réfugié hors camp]]="Oui","1","0")</f>
        <v>0</v>
      </c>
      <c r="CH238" s="1442" t="str">
        <f>IF([1]!sommaire[[#This Row],[présence personnes retournées]]="Oui","1","0")</f>
        <v>0</v>
      </c>
      <c r="CI238" s="1442">
        <f>[1]!sommaire[[#This Row],[Flag PDI]]+[1]!sommaire[[#This Row],[Flag REF]]+[1]!sommaire[[#This Row],[Flag RET]]</f>
        <v>1</v>
      </c>
    </row>
    <row r="239" spans="1:87" ht="14.55" customHeight="1" x14ac:dyDescent="0.3">
      <c r="A239" s="390">
        <v>2668973</v>
      </c>
      <c r="B239" s="5" t="s">
        <v>533</v>
      </c>
      <c r="C239" s="1430" t="s">
        <v>3449</v>
      </c>
      <c r="D239" s="1090" t="s">
        <v>534</v>
      </c>
      <c r="E239" s="5" t="s">
        <v>31</v>
      </c>
      <c r="F239" s="5" t="s">
        <v>31</v>
      </c>
      <c r="G239" s="5" t="s">
        <v>549</v>
      </c>
      <c r="H239" s="5" t="s">
        <v>167</v>
      </c>
      <c r="I239" s="5" t="str">
        <f>_xlfn.XLOOKUP(sommaire[[#This Row],[Arrondissement_code]],OCHA_GIS!$F:$F,OCHA_GIS!$E:$E,,)</f>
        <v>Goulfey</v>
      </c>
      <c r="J239" s="5" t="s">
        <v>1113</v>
      </c>
      <c r="K239" t="s">
        <v>1833</v>
      </c>
      <c r="L239" s="5" t="s">
        <v>1938</v>
      </c>
      <c r="N239" s="5" t="s">
        <v>3053</v>
      </c>
      <c r="O239" s="5" t="s">
        <v>2467</v>
      </c>
      <c r="P239" s="5" t="s">
        <v>85</v>
      </c>
      <c r="Q239" s="5" t="s">
        <v>86</v>
      </c>
      <c r="R239" s="5" t="s">
        <v>85</v>
      </c>
      <c r="T239" s="390">
        <v>3</v>
      </c>
      <c r="U239" s="5" t="s">
        <v>97</v>
      </c>
      <c r="W239" s="5" t="s">
        <v>2468</v>
      </c>
      <c r="X239" s="5" t="s">
        <v>103</v>
      </c>
      <c r="Y239" s="5" t="s">
        <v>2476</v>
      </c>
      <c r="AA239" s="5" t="s">
        <v>85</v>
      </c>
      <c r="AB239" s="5" t="s">
        <v>2469</v>
      </c>
      <c r="AC239" s="5" t="s">
        <v>2470</v>
      </c>
      <c r="AD239" s="5" t="s">
        <v>86</v>
      </c>
      <c r="AF239" s="5">
        <v>38</v>
      </c>
      <c r="AG239" s="5">
        <v>2000</v>
      </c>
      <c r="AH239" s="5" t="s">
        <v>85</v>
      </c>
      <c r="AI239" s="5" t="s">
        <v>2471</v>
      </c>
      <c r="AJ239" s="5">
        <v>38</v>
      </c>
      <c r="AK239" s="5">
        <v>238</v>
      </c>
      <c r="AL239" s="5">
        <v>89</v>
      </c>
      <c r="AM239" s="5">
        <v>149</v>
      </c>
      <c r="AN239" s="5">
        <v>28</v>
      </c>
      <c r="AO239" s="5">
        <v>10</v>
      </c>
      <c r="AP239" s="5">
        <v>0</v>
      </c>
      <c r="AQ239" s="5">
        <v>0</v>
      </c>
      <c r="AT239" s="5">
        <v>0</v>
      </c>
      <c r="AU239" s="5">
        <v>0</v>
      </c>
      <c r="AX239" s="5">
        <v>0</v>
      </c>
      <c r="AY239" s="5" t="s">
        <v>86</v>
      </c>
      <c r="BN239" s="5" t="s">
        <v>85</v>
      </c>
      <c r="BO239" s="5">
        <v>5</v>
      </c>
      <c r="BP239" s="5">
        <v>17</v>
      </c>
      <c r="BQ239" s="5">
        <v>7</v>
      </c>
      <c r="BR239" s="5">
        <v>10</v>
      </c>
      <c r="BS239" s="5" t="s">
        <v>2535</v>
      </c>
      <c r="BT239" s="5">
        <v>5</v>
      </c>
      <c r="BU239" s="5">
        <v>0</v>
      </c>
      <c r="BV239" s="5">
        <v>0</v>
      </c>
      <c r="BW239" s="5">
        <v>0</v>
      </c>
      <c r="BX239" s="5">
        <v>0</v>
      </c>
      <c r="BZ239" s="5">
        <v>0</v>
      </c>
      <c r="CA239" s="5">
        <v>0</v>
      </c>
      <c r="CC239" s="5">
        <v>0</v>
      </c>
      <c r="CD239" s="5">
        <v>0</v>
      </c>
      <c r="CF239" s="1442" t="str">
        <f>IF([1]!sommaire[[#This Row],[présence des personnes déplacés interne]]="Oui","1","0")</f>
        <v>1</v>
      </c>
      <c r="CG239" s="1442" t="str">
        <f>IF([1]!sommaire[[#This Row],[présence Réfugié hors camp]]="Oui","1","0")</f>
        <v>0</v>
      </c>
      <c r="CH239" s="1442" t="str">
        <f>IF([1]!sommaire[[#This Row],[présence personnes retournées]]="Oui","1","0")</f>
        <v>1</v>
      </c>
      <c r="CI239" s="1442">
        <f>[1]!sommaire[[#This Row],[Flag PDI]]+[1]!sommaire[[#This Row],[Flag REF]]+[1]!sommaire[[#This Row],[Flag RET]]</f>
        <v>2</v>
      </c>
    </row>
    <row r="240" spans="1:87" ht="14.55" customHeight="1" x14ac:dyDescent="0.3">
      <c r="A240" s="390">
        <v>2647884</v>
      </c>
      <c r="B240" s="5" t="s">
        <v>533</v>
      </c>
      <c r="C240" s="1430" t="s">
        <v>3449</v>
      </c>
      <c r="D240" s="5" t="s">
        <v>534</v>
      </c>
      <c r="E240" s="5" t="s">
        <v>31</v>
      </c>
      <c r="F240" s="5" t="s">
        <v>31</v>
      </c>
      <c r="G240" s="5" t="s">
        <v>549</v>
      </c>
      <c r="H240" s="5" t="s">
        <v>167</v>
      </c>
      <c r="I240" s="5" t="str">
        <f>_xlfn.XLOOKUP(sommaire[[#This Row],[Arrondissement_code]],OCHA_GIS!$F:$F,OCHA_GIS!$E:$E,,)</f>
        <v>Goulfey</v>
      </c>
      <c r="J240" s="5" t="s">
        <v>1113</v>
      </c>
      <c r="K240" t="s">
        <v>2077</v>
      </c>
      <c r="L240" s="5" t="s">
        <v>3252</v>
      </c>
      <c r="N240" s="5" t="s">
        <v>3053</v>
      </c>
      <c r="O240" s="5" t="s">
        <v>2473</v>
      </c>
      <c r="P240" s="5" t="s">
        <v>85</v>
      </c>
      <c r="Q240" s="5" t="s">
        <v>86</v>
      </c>
      <c r="R240" s="5" t="s">
        <v>86</v>
      </c>
      <c r="T240" s="390">
        <v>3</v>
      </c>
      <c r="U240" s="5" t="s">
        <v>97</v>
      </c>
      <c r="W240" s="5" t="s">
        <v>2468</v>
      </c>
      <c r="X240" s="5" t="s">
        <v>103</v>
      </c>
      <c r="Y240" s="5" t="s">
        <v>2476</v>
      </c>
      <c r="AA240" s="5" t="s">
        <v>86</v>
      </c>
      <c r="AG240" s="5">
        <v>700</v>
      </c>
      <c r="AH240" s="1430" t="s">
        <v>86</v>
      </c>
      <c r="AY240" s="1430" t="s">
        <v>86</v>
      </c>
      <c r="BN240" s="1430" t="s">
        <v>86</v>
      </c>
      <c r="CF240" s="1442" t="str">
        <f>IF([1]!sommaire[[#This Row],[présence des personnes déplacés interne]]="Oui","1","0")</f>
        <v>0</v>
      </c>
      <c r="CG240" s="1442" t="str">
        <f>IF([1]!sommaire[[#This Row],[présence Réfugié hors camp]]="Oui","1","0")</f>
        <v>0</v>
      </c>
      <c r="CH240" s="1442" t="str">
        <f>IF([1]!sommaire[[#This Row],[présence personnes retournées]]="Oui","1","0")</f>
        <v>0</v>
      </c>
      <c r="CI240" s="1442">
        <f>[1]!sommaire[[#This Row],[Flag PDI]]+[1]!sommaire[[#This Row],[Flag REF]]+[1]!sommaire[[#This Row],[Flag RET]]</f>
        <v>0</v>
      </c>
    </row>
    <row r="241" spans="1:87" ht="14.55" customHeight="1" x14ac:dyDescent="0.3">
      <c r="A241" s="390">
        <v>2636811</v>
      </c>
      <c r="B241" s="5" t="s">
        <v>533</v>
      </c>
      <c r="C241" s="1430" t="s">
        <v>3449</v>
      </c>
      <c r="D241" s="5" t="s">
        <v>534</v>
      </c>
      <c r="E241" s="5" t="s">
        <v>31</v>
      </c>
      <c r="F241" s="5" t="s">
        <v>31</v>
      </c>
      <c r="G241" s="5" t="s">
        <v>549</v>
      </c>
      <c r="H241" s="5" t="s">
        <v>167</v>
      </c>
      <c r="I241" s="5" t="str">
        <f>_xlfn.XLOOKUP(sommaire[[#This Row],[Arrondissement_code]],OCHA_GIS!$F:$F,OCHA_GIS!$E:$E,,)</f>
        <v>Goulfey</v>
      </c>
      <c r="J241" s="5" t="s">
        <v>1113</v>
      </c>
      <c r="K241" t="s">
        <v>2245</v>
      </c>
      <c r="L241" s="5" t="s">
        <v>2044</v>
      </c>
      <c r="N241" s="5" t="s">
        <v>3053</v>
      </c>
      <c r="O241" s="5" t="s">
        <v>2467</v>
      </c>
      <c r="P241" s="5" t="s">
        <v>85</v>
      </c>
      <c r="Q241" s="5" t="s">
        <v>86</v>
      </c>
      <c r="R241" s="5" t="s">
        <v>86</v>
      </c>
      <c r="T241" s="1190">
        <v>3</v>
      </c>
      <c r="U241" s="5" t="s">
        <v>97</v>
      </c>
      <c r="W241" s="5" t="s">
        <v>2468</v>
      </c>
      <c r="X241" s="5" t="s">
        <v>102</v>
      </c>
      <c r="AA241" s="5" t="s">
        <v>85</v>
      </c>
      <c r="AB241" s="5" t="s">
        <v>2469</v>
      </c>
      <c r="AC241" s="5" t="s">
        <v>2470</v>
      </c>
      <c r="AD241" s="5" t="s">
        <v>86</v>
      </c>
      <c r="AF241" s="5">
        <v>1</v>
      </c>
      <c r="AG241" s="5">
        <v>2500</v>
      </c>
      <c r="AH241" s="5" t="s">
        <v>85</v>
      </c>
      <c r="AI241" s="5" t="s">
        <v>2471</v>
      </c>
      <c r="AJ241" s="5">
        <v>1</v>
      </c>
      <c r="AK241" s="5">
        <v>3</v>
      </c>
      <c r="AL241" s="5">
        <v>1</v>
      </c>
      <c r="AM241" s="5">
        <v>2</v>
      </c>
      <c r="AN241" s="5">
        <v>0</v>
      </c>
      <c r="AO241" s="5">
        <v>1</v>
      </c>
      <c r="AP241" s="5">
        <v>0</v>
      </c>
      <c r="AQ241" s="5">
        <v>0</v>
      </c>
      <c r="AT241" s="5">
        <v>0</v>
      </c>
      <c r="AU241" s="5">
        <v>0</v>
      </c>
      <c r="AX241" s="5">
        <v>0</v>
      </c>
      <c r="AY241" s="5" t="s">
        <v>86</v>
      </c>
      <c r="BN241" s="5" t="s">
        <v>86</v>
      </c>
      <c r="CD241" s="5">
        <v>0</v>
      </c>
      <c r="CF241" s="1442" t="str">
        <f>IF([1]!sommaire[[#This Row],[présence des personnes déplacés interne]]="Oui","1","0")</f>
        <v>1</v>
      </c>
      <c r="CG241" s="1442" t="str">
        <f>IF([1]!sommaire[[#This Row],[présence Réfugié hors camp]]="Oui","1","0")</f>
        <v>0</v>
      </c>
      <c r="CH241" s="1442" t="str">
        <f>IF([1]!sommaire[[#This Row],[présence personnes retournées]]="Oui","1","0")</f>
        <v>0</v>
      </c>
      <c r="CI241" s="1442">
        <f>[1]!sommaire[[#This Row],[Flag PDI]]+[1]!sommaire[[#This Row],[Flag REF]]+[1]!sommaire[[#This Row],[Flag RET]]</f>
        <v>1</v>
      </c>
    </row>
    <row r="242" spans="1:87" ht="14.55" customHeight="1" x14ac:dyDescent="0.3">
      <c r="A242" s="390">
        <v>2662748</v>
      </c>
      <c r="B242" s="5" t="s">
        <v>533</v>
      </c>
      <c r="C242" s="1430" t="s">
        <v>3449</v>
      </c>
      <c r="D242" s="5" t="s">
        <v>534</v>
      </c>
      <c r="E242" s="5" t="s">
        <v>31</v>
      </c>
      <c r="F242" s="5" t="s">
        <v>31</v>
      </c>
      <c r="G242" s="5" t="s">
        <v>549</v>
      </c>
      <c r="H242" s="5" t="s">
        <v>167</v>
      </c>
      <c r="I242" s="5" t="str">
        <f>_xlfn.XLOOKUP(sommaire[[#This Row],[Arrondissement_code]],OCHA_GIS!$F:$F,OCHA_GIS!$E:$E,,)</f>
        <v>Goulfey</v>
      </c>
      <c r="J242" s="5" t="s">
        <v>1113</v>
      </c>
      <c r="K242" t="s">
        <v>1948</v>
      </c>
      <c r="L242" s="5" t="s">
        <v>1115</v>
      </c>
      <c r="N242" s="5" t="s">
        <v>3053</v>
      </c>
      <c r="O242" s="5" t="s">
        <v>2467</v>
      </c>
      <c r="P242" s="5" t="s">
        <v>86</v>
      </c>
      <c r="Q242" s="5" t="s">
        <v>86</v>
      </c>
      <c r="R242" s="5" t="s">
        <v>85</v>
      </c>
      <c r="T242" s="1190"/>
      <c r="U242" s="5" t="s">
        <v>97</v>
      </c>
      <c r="W242" s="5" t="s">
        <v>2482</v>
      </c>
      <c r="AA242" s="5" t="s">
        <v>86</v>
      </c>
      <c r="AH242" s="1430" t="s">
        <v>86</v>
      </c>
      <c r="AY242" s="1430" t="s">
        <v>86</v>
      </c>
      <c r="BN242" s="1430" t="s">
        <v>86</v>
      </c>
      <c r="CF242" s="1442" t="str">
        <f>IF([1]!sommaire[[#This Row],[présence des personnes déplacés interne]]="Oui","1","0")</f>
        <v>0</v>
      </c>
      <c r="CG242" s="1442" t="str">
        <f>IF([1]!sommaire[[#This Row],[présence Réfugié hors camp]]="Oui","1","0")</f>
        <v>0</v>
      </c>
      <c r="CH242" s="1442" t="str">
        <f>IF([1]!sommaire[[#This Row],[présence personnes retournées]]="Oui","1","0")</f>
        <v>0</v>
      </c>
      <c r="CI242" s="1442">
        <f>[1]!sommaire[[#This Row],[Flag PDI]]+[1]!sommaire[[#This Row],[Flag REF]]+[1]!sommaire[[#This Row],[Flag RET]]</f>
        <v>0</v>
      </c>
    </row>
    <row r="243" spans="1:87" ht="14.55" customHeight="1" x14ac:dyDescent="0.3">
      <c r="A243" s="390">
        <v>2628118</v>
      </c>
      <c r="B243" s="5" t="s">
        <v>533</v>
      </c>
      <c r="C243" s="1430" t="s">
        <v>3449</v>
      </c>
      <c r="D243" s="5" t="s">
        <v>534</v>
      </c>
      <c r="E243" s="5" t="s">
        <v>31</v>
      </c>
      <c r="F243" s="5" t="s">
        <v>31</v>
      </c>
      <c r="G243" s="5" t="s">
        <v>549</v>
      </c>
      <c r="H243" s="5" t="s">
        <v>167</v>
      </c>
      <c r="I243" s="5" t="str">
        <f>_xlfn.XLOOKUP(sommaire[[#This Row],[Arrondissement_code]],OCHA_GIS!$F:$F,OCHA_GIS!$E:$E,,)</f>
        <v>Goulfey</v>
      </c>
      <c r="J243" s="5" t="s">
        <v>1113</v>
      </c>
      <c r="K243" t="s">
        <v>1937</v>
      </c>
      <c r="L243" s="5" t="s">
        <v>2531</v>
      </c>
      <c r="N243" s="5" t="s">
        <v>3053</v>
      </c>
      <c r="O243" s="5" t="s">
        <v>2467</v>
      </c>
      <c r="P243" s="5" t="s">
        <v>85</v>
      </c>
      <c r="Q243" s="5" t="s">
        <v>86</v>
      </c>
      <c r="R243" s="5" t="s">
        <v>86</v>
      </c>
      <c r="T243" s="390">
        <v>3</v>
      </c>
      <c r="U243" s="5" t="s">
        <v>97</v>
      </c>
      <c r="W243" s="5" t="s">
        <v>2468</v>
      </c>
      <c r="X243" s="5" t="s">
        <v>102</v>
      </c>
      <c r="AA243" s="5" t="s">
        <v>85</v>
      </c>
      <c r="AB243" s="5" t="s">
        <v>2469</v>
      </c>
      <c r="AC243" s="5" t="s">
        <v>2470</v>
      </c>
      <c r="AD243" s="5" t="s">
        <v>86</v>
      </c>
      <c r="AF243" s="5">
        <v>40</v>
      </c>
      <c r="AG243" s="5">
        <v>300</v>
      </c>
      <c r="AH243" s="5" t="s">
        <v>85</v>
      </c>
      <c r="AI243" s="5" t="s">
        <v>2471</v>
      </c>
      <c r="AJ243" s="5">
        <v>40</v>
      </c>
      <c r="AK243" s="5">
        <v>40</v>
      </c>
      <c r="AL243" s="5">
        <v>15</v>
      </c>
      <c r="AM243" s="5">
        <v>25</v>
      </c>
      <c r="AN243" s="5">
        <v>40</v>
      </c>
      <c r="AO243" s="5">
        <v>0</v>
      </c>
      <c r="AP243" s="5">
        <v>0</v>
      </c>
      <c r="AQ243" s="5">
        <v>0</v>
      </c>
      <c r="AT243" s="5">
        <v>0</v>
      </c>
      <c r="AU243" s="5">
        <v>0</v>
      </c>
      <c r="AX243" s="5">
        <v>0</v>
      </c>
      <c r="AY243" s="5" t="s">
        <v>86</v>
      </c>
      <c r="BN243" s="5" t="s">
        <v>86</v>
      </c>
      <c r="CD243" s="5">
        <v>0</v>
      </c>
      <c r="CF243" s="1442" t="str">
        <f>IF([1]!sommaire[[#This Row],[présence des personnes déplacés interne]]="Oui","1","0")</f>
        <v>1</v>
      </c>
      <c r="CG243" s="1442" t="str">
        <f>IF([1]!sommaire[[#This Row],[présence Réfugié hors camp]]="Oui","1","0")</f>
        <v>0</v>
      </c>
      <c r="CH243" s="1442" t="str">
        <f>IF([1]!sommaire[[#This Row],[présence personnes retournées]]="Oui","1","0")</f>
        <v>0</v>
      </c>
      <c r="CI243" s="1442">
        <f>[1]!sommaire[[#This Row],[Flag PDI]]+[1]!sommaire[[#This Row],[Flag REF]]+[1]!sommaire[[#This Row],[Flag RET]]</f>
        <v>1</v>
      </c>
    </row>
    <row r="244" spans="1:87" ht="14.55" customHeight="1" x14ac:dyDescent="0.3">
      <c r="A244" s="390">
        <v>2631458</v>
      </c>
      <c r="B244" s="5" t="s">
        <v>533</v>
      </c>
      <c r="C244" s="1430" t="s">
        <v>3449</v>
      </c>
      <c r="D244" s="5" t="s">
        <v>534</v>
      </c>
      <c r="E244" s="5" t="s">
        <v>31</v>
      </c>
      <c r="F244" s="5" t="s">
        <v>31</v>
      </c>
      <c r="G244" s="5" t="s">
        <v>549</v>
      </c>
      <c r="H244" s="5" t="s">
        <v>167</v>
      </c>
      <c r="I244" s="5" t="str">
        <f>_xlfn.XLOOKUP(sommaire[[#This Row],[Arrondissement_code]],OCHA_GIS!$F:$F,OCHA_GIS!$E:$E,,)</f>
        <v>Goulfey</v>
      </c>
      <c r="J244" s="5" t="s">
        <v>1113</v>
      </c>
      <c r="K244" t="s">
        <v>2534</v>
      </c>
      <c r="L244" s="5" t="s">
        <v>1902</v>
      </c>
      <c r="N244" s="5" t="s">
        <v>3053</v>
      </c>
      <c r="O244" s="5" t="s">
        <v>2467</v>
      </c>
      <c r="P244" s="5" t="s">
        <v>85</v>
      </c>
      <c r="Q244" s="5" t="s">
        <v>86</v>
      </c>
      <c r="R244" s="5" t="s">
        <v>85</v>
      </c>
      <c r="T244" s="390">
        <v>3</v>
      </c>
      <c r="U244" s="5" t="s">
        <v>97</v>
      </c>
      <c r="W244" s="5" t="s">
        <v>2468</v>
      </c>
      <c r="X244" s="5" t="s">
        <v>103</v>
      </c>
      <c r="Y244" s="5" t="s">
        <v>2476</v>
      </c>
      <c r="AA244" s="5" t="s">
        <v>85</v>
      </c>
      <c r="AB244" s="5" t="s">
        <v>2469</v>
      </c>
      <c r="AC244" s="5" t="s">
        <v>2470</v>
      </c>
      <c r="AD244" s="5" t="s">
        <v>86</v>
      </c>
      <c r="AG244" s="5">
        <v>500</v>
      </c>
      <c r="AH244" s="5" t="s">
        <v>86</v>
      </c>
      <c r="AY244" s="5" t="s">
        <v>85</v>
      </c>
      <c r="AZ244" s="5">
        <v>5</v>
      </c>
      <c r="BA244" s="5">
        <v>15</v>
      </c>
      <c r="BB244" s="5">
        <v>7</v>
      </c>
      <c r="BC244" s="5">
        <v>8</v>
      </c>
      <c r="BD244" s="5">
        <v>5</v>
      </c>
      <c r="BE244" s="5">
        <v>0</v>
      </c>
      <c r="BF244" s="5">
        <v>0</v>
      </c>
      <c r="BH244" s="5">
        <v>0</v>
      </c>
      <c r="BI244" s="5">
        <v>0</v>
      </c>
      <c r="BL244" s="5">
        <v>0</v>
      </c>
      <c r="BM244" s="5">
        <v>0</v>
      </c>
      <c r="BN244" s="5" t="s">
        <v>86</v>
      </c>
      <c r="CD244" s="5">
        <v>2</v>
      </c>
      <c r="CF244" s="1442" t="str">
        <f>IF([1]!sommaire[[#This Row],[présence des personnes déplacés interne]]="Oui","1","0")</f>
        <v>0</v>
      </c>
      <c r="CG244" s="1442" t="str">
        <f>IF([1]!sommaire[[#This Row],[présence Réfugié hors camp]]="Oui","1","0")</f>
        <v>1</v>
      </c>
      <c r="CH244" s="1442" t="str">
        <f>IF([1]!sommaire[[#This Row],[présence personnes retournées]]="Oui","1","0")</f>
        <v>0</v>
      </c>
      <c r="CI244" s="1442">
        <f>[1]!sommaire[[#This Row],[Flag PDI]]+[1]!sommaire[[#This Row],[Flag REF]]+[1]!sommaire[[#This Row],[Flag RET]]</f>
        <v>1</v>
      </c>
    </row>
    <row r="245" spans="1:87" ht="14.55" customHeight="1" x14ac:dyDescent="0.3">
      <c r="A245" s="390">
        <v>2662496</v>
      </c>
      <c r="B245" s="5" t="s">
        <v>533</v>
      </c>
      <c r="C245" s="1430" t="s">
        <v>3449</v>
      </c>
      <c r="D245" s="5" t="s">
        <v>534</v>
      </c>
      <c r="E245" s="5" t="s">
        <v>31</v>
      </c>
      <c r="F245" s="5" t="s">
        <v>31</v>
      </c>
      <c r="G245" s="5" t="s">
        <v>549</v>
      </c>
      <c r="H245" s="5" t="s">
        <v>167</v>
      </c>
      <c r="I245" s="5" t="str">
        <f>_xlfn.XLOOKUP(sommaire[[#This Row],[Arrondissement_code]],OCHA_GIS!$F:$F,OCHA_GIS!$E:$E,,)</f>
        <v>Goulfey</v>
      </c>
      <c r="J245" s="5" t="s">
        <v>1113</v>
      </c>
      <c r="K245" t="s">
        <v>1950</v>
      </c>
      <c r="L245" s="5" t="s">
        <v>1911</v>
      </c>
      <c r="N245" s="5" t="s">
        <v>3053</v>
      </c>
      <c r="O245" s="5" t="s">
        <v>2467</v>
      </c>
      <c r="P245" s="5" t="s">
        <v>85</v>
      </c>
      <c r="Q245" s="5" t="s">
        <v>86</v>
      </c>
      <c r="R245" s="5" t="s">
        <v>86</v>
      </c>
      <c r="T245" s="390">
        <v>4</v>
      </c>
      <c r="U245" s="5" t="s">
        <v>97</v>
      </c>
      <c r="W245" s="5" t="s">
        <v>2468</v>
      </c>
      <c r="X245" s="5" t="s">
        <v>102</v>
      </c>
      <c r="AA245" s="5" t="s">
        <v>85</v>
      </c>
      <c r="AB245" s="5" t="s">
        <v>2469</v>
      </c>
      <c r="AC245" s="5" t="s">
        <v>2470</v>
      </c>
      <c r="AD245" s="5" t="s">
        <v>86</v>
      </c>
      <c r="AF245" s="5">
        <v>10</v>
      </c>
      <c r="AG245" s="5">
        <v>600</v>
      </c>
      <c r="AH245" s="5" t="s">
        <v>85</v>
      </c>
      <c r="AI245" s="5" t="s">
        <v>2471</v>
      </c>
      <c r="AJ245" s="5">
        <v>10</v>
      </c>
      <c r="AK245" s="5">
        <v>50</v>
      </c>
      <c r="AL245" s="5">
        <v>15</v>
      </c>
      <c r="AM245" s="5">
        <v>35</v>
      </c>
      <c r="AN245" s="5">
        <v>0</v>
      </c>
      <c r="AO245" s="5">
        <v>5</v>
      </c>
      <c r="AP245" s="5">
        <v>0</v>
      </c>
      <c r="AQ245" s="5">
        <v>5</v>
      </c>
      <c r="AR245" s="5" t="s">
        <v>2477</v>
      </c>
      <c r="AT245" s="5">
        <v>0</v>
      </c>
      <c r="AU245" s="5">
        <v>0</v>
      </c>
      <c r="AX245" s="5">
        <v>0</v>
      </c>
      <c r="AY245" s="5" t="s">
        <v>86</v>
      </c>
      <c r="BN245" s="5" t="s">
        <v>86</v>
      </c>
      <c r="CD245" s="5">
        <v>0</v>
      </c>
      <c r="CF245" s="1442" t="str">
        <f>IF([1]!sommaire[[#This Row],[présence des personnes déplacés interne]]="Oui","1","0")</f>
        <v>1</v>
      </c>
      <c r="CG245" s="1442" t="str">
        <f>IF([1]!sommaire[[#This Row],[présence Réfugié hors camp]]="Oui","1","0")</f>
        <v>0</v>
      </c>
      <c r="CH245" s="1442" t="str">
        <f>IF([1]!sommaire[[#This Row],[présence personnes retournées]]="Oui","1","0")</f>
        <v>0</v>
      </c>
      <c r="CI245" s="1442">
        <f>[1]!sommaire[[#This Row],[Flag PDI]]+[1]!sommaire[[#This Row],[Flag REF]]+[1]!sommaire[[#This Row],[Flag RET]]</f>
        <v>1</v>
      </c>
    </row>
    <row r="246" spans="1:87" ht="14.55" customHeight="1" x14ac:dyDescent="0.3">
      <c r="A246" s="390">
        <v>2722399</v>
      </c>
      <c r="B246" s="5" t="s">
        <v>533</v>
      </c>
      <c r="C246" s="1430" t="s">
        <v>3449</v>
      </c>
      <c r="D246" s="5" t="s">
        <v>534</v>
      </c>
      <c r="E246" s="5" t="s">
        <v>31</v>
      </c>
      <c r="F246" s="5" t="s">
        <v>31</v>
      </c>
      <c r="G246" s="5" t="s">
        <v>549</v>
      </c>
      <c r="H246" s="5" t="s">
        <v>167</v>
      </c>
      <c r="I246" s="5" t="str">
        <f>_xlfn.XLOOKUP(sommaire[[#This Row],[Arrondissement_code]],OCHA_GIS!$F:$F,OCHA_GIS!$E:$E,,)</f>
        <v>Goulfey</v>
      </c>
      <c r="J246" s="5" t="s">
        <v>1113</v>
      </c>
      <c r="K246" t="s">
        <v>2530</v>
      </c>
      <c r="L246" s="5" t="s">
        <v>2533</v>
      </c>
      <c r="N246" s="5" t="s">
        <v>3053</v>
      </c>
      <c r="O246" s="5" t="s">
        <v>2467</v>
      </c>
      <c r="P246" s="5" t="s">
        <v>85</v>
      </c>
      <c r="Q246" s="5" t="s">
        <v>86</v>
      </c>
      <c r="R246" s="5" t="s">
        <v>86</v>
      </c>
      <c r="T246" s="390">
        <v>3</v>
      </c>
      <c r="U246" s="5" t="s">
        <v>97</v>
      </c>
      <c r="W246" s="5" t="s">
        <v>2468</v>
      </c>
      <c r="X246" s="5" t="s">
        <v>102</v>
      </c>
      <c r="AA246" s="5" t="s">
        <v>86</v>
      </c>
      <c r="AH246" s="1430" t="s">
        <v>86</v>
      </c>
      <c r="AY246" s="1430" t="s">
        <v>86</v>
      </c>
      <c r="BN246" s="1430" t="s">
        <v>86</v>
      </c>
      <c r="CF246" s="1442" t="str">
        <f>IF([1]!sommaire[[#This Row],[présence des personnes déplacés interne]]="Oui","1","0")</f>
        <v>0</v>
      </c>
      <c r="CG246" s="1442" t="str">
        <f>IF([1]!sommaire[[#This Row],[présence Réfugié hors camp]]="Oui","1","0")</f>
        <v>0</v>
      </c>
      <c r="CH246" s="1442" t="str">
        <f>IF([1]!sommaire[[#This Row],[présence personnes retournées]]="Oui","1","0")</f>
        <v>0</v>
      </c>
      <c r="CI246" s="1442">
        <f>[1]!sommaire[[#This Row],[Flag PDI]]+[1]!sommaire[[#This Row],[Flag REF]]+[1]!sommaire[[#This Row],[Flag RET]]</f>
        <v>0</v>
      </c>
    </row>
    <row r="247" spans="1:87" ht="14.55" customHeight="1" x14ac:dyDescent="0.3">
      <c r="A247" s="390">
        <v>2798155</v>
      </c>
      <c r="B247" s="5" t="s">
        <v>533</v>
      </c>
      <c r="C247" s="1430" t="s">
        <v>3449</v>
      </c>
      <c r="D247" s="5" t="s">
        <v>534</v>
      </c>
      <c r="E247" s="5" t="s">
        <v>31</v>
      </c>
      <c r="F247" s="5" t="s">
        <v>31</v>
      </c>
      <c r="G247" s="5" t="s">
        <v>549</v>
      </c>
      <c r="H247" s="5" t="s">
        <v>167</v>
      </c>
      <c r="I247" s="5" t="str">
        <f>_xlfn.XLOOKUP(sommaire[[#This Row],[Arrondissement_code]],OCHA_GIS!$F:$F,OCHA_GIS!$E:$E,,)</f>
        <v>Goulfey</v>
      </c>
      <c r="J247" s="5" t="s">
        <v>1113</v>
      </c>
      <c r="K247" t="s">
        <v>1943</v>
      </c>
      <c r="L247" s="5" t="s">
        <v>2298</v>
      </c>
      <c r="N247" s="5" t="s">
        <v>3053</v>
      </c>
      <c r="O247" s="5" t="s">
        <v>2467</v>
      </c>
      <c r="P247" s="5" t="s">
        <v>86</v>
      </c>
      <c r="Q247" s="5" t="s">
        <v>86</v>
      </c>
      <c r="R247" s="5" t="s">
        <v>85</v>
      </c>
      <c r="U247" s="5" t="s">
        <v>97</v>
      </c>
      <c r="W247" s="5" t="s">
        <v>2482</v>
      </c>
      <c r="AA247" s="5" t="s">
        <v>86</v>
      </c>
      <c r="AH247" s="1430" t="s">
        <v>86</v>
      </c>
      <c r="AY247" s="1430" t="s">
        <v>86</v>
      </c>
      <c r="BN247" s="1430" t="s">
        <v>86</v>
      </c>
      <c r="CF247" s="1442" t="str">
        <f>IF([1]!sommaire[[#This Row],[présence des personnes déplacés interne]]="Oui","1","0")</f>
        <v>0</v>
      </c>
      <c r="CG247" s="1442" t="str">
        <f>IF([1]!sommaire[[#This Row],[présence Réfugié hors camp]]="Oui","1","0")</f>
        <v>0</v>
      </c>
      <c r="CH247" s="1442" t="str">
        <f>IF([1]!sommaire[[#This Row],[présence personnes retournées]]="Oui","1","0")</f>
        <v>0</v>
      </c>
      <c r="CI247" s="1442">
        <f>[1]!sommaire[[#This Row],[Flag PDI]]+[1]!sommaire[[#This Row],[Flag REF]]+[1]!sommaire[[#This Row],[Flag RET]]</f>
        <v>0</v>
      </c>
    </row>
    <row r="248" spans="1:87" ht="14.55" customHeight="1" x14ac:dyDescent="0.3">
      <c r="A248" s="390">
        <v>2659458</v>
      </c>
      <c r="B248" s="5" t="s">
        <v>533</v>
      </c>
      <c r="C248" s="1430" t="s">
        <v>3449</v>
      </c>
      <c r="D248" s="5" t="s">
        <v>534</v>
      </c>
      <c r="E248" s="5" t="s">
        <v>31</v>
      </c>
      <c r="F248" s="5" t="s">
        <v>31</v>
      </c>
      <c r="G248" s="5" t="s">
        <v>549</v>
      </c>
      <c r="H248" s="5" t="s">
        <v>167</v>
      </c>
      <c r="I248" s="5" t="str">
        <f>_xlfn.XLOOKUP(sommaire[[#This Row],[Arrondissement_code]],OCHA_GIS!$F:$F,OCHA_GIS!$E:$E,,)</f>
        <v>Goulfey</v>
      </c>
      <c r="J248" s="5" t="s">
        <v>1113</v>
      </c>
      <c r="K248" t="s">
        <v>1903</v>
      </c>
      <c r="L248" s="5" t="s">
        <v>1904</v>
      </c>
      <c r="N248" s="5" t="s">
        <v>3053</v>
      </c>
      <c r="O248" s="5" t="s">
        <v>2467</v>
      </c>
      <c r="P248" s="5" t="s">
        <v>85</v>
      </c>
      <c r="Q248" s="5" t="s">
        <v>86</v>
      </c>
      <c r="R248" s="5" t="s">
        <v>86</v>
      </c>
      <c r="T248" s="390">
        <v>3</v>
      </c>
      <c r="U248" s="5" t="s">
        <v>97</v>
      </c>
      <c r="W248" s="5" t="s">
        <v>2468</v>
      </c>
      <c r="X248" s="5" t="s">
        <v>102</v>
      </c>
      <c r="AA248" s="5" t="s">
        <v>85</v>
      </c>
      <c r="AB248" s="5" t="s">
        <v>2469</v>
      </c>
      <c r="AC248" s="5" t="s">
        <v>2470</v>
      </c>
      <c r="AD248" s="5" t="s">
        <v>86</v>
      </c>
      <c r="AF248" s="5">
        <v>5</v>
      </c>
      <c r="AG248" s="5">
        <v>410</v>
      </c>
      <c r="AH248" s="5" t="s">
        <v>85</v>
      </c>
      <c r="AI248" s="5" t="s">
        <v>2471</v>
      </c>
      <c r="AJ248" s="5">
        <v>5</v>
      </c>
      <c r="AK248" s="5">
        <v>35</v>
      </c>
      <c r="AL248" s="5">
        <v>15</v>
      </c>
      <c r="AM248" s="5">
        <v>20</v>
      </c>
      <c r="AN248" s="5">
        <v>0</v>
      </c>
      <c r="AO248" s="5">
        <v>5</v>
      </c>
      <c r="AP248" s="5">
        <v>0</v>
      </c>
      <c r="AQ248" s="5">
        <v>0</v>
      </c>
      <c r="AT248" s="5">
        <v>0</v>
      </c>
      <c r="AU248" s="5">
        <v>0</v>
      </c>
      <c r="AX248" s="5">
        <v>0</v>
      </c>
      <c r="AY248" s="5" t="s">
        <v>86</v>
      </c>
      <c r="BN248" s="5" t="s">
        <v>86</v>
      </c>
      <c r="CD248" s="5">
        <v>0</v>
      </c>
      <c r="CF248" s="1442" t="str">
        <f>IF([1]!sommaire[[#This Row],[présence des personnes déplacés interne]]="Oui","1","0")</f>
        <v>1</v>
      </c>
      <c r="CG248" s="1442" t="str">
        <f>IF([1]!sommaire[[#This Row],[présence Réfugié hors camp]]="Oui","1","0")</f>
        <v>0</v>
      </c>
      <c r="CH248" s="1442" t="str">
        <f>IF([1]!sommaire[[#This Row],[présence personnes retournées]]="Oui","1","0")</f>
        <v>0</v>
      </c>
      <c r="CI248" s="1442">
        <f>[1]!sommaire[[#This Row],[Flag PDI]]+[1]!sommaire[[#This Row],[Flag REF]]+[1]!sommaire[[#This Row],[Flag RET]]</f>
        <v>1</v>
      </c>
    </row>
    <row r="249" spans="1:87" ht="14.55" customHeight="1" x14ac:dyDescent="0.3">
      <c r="A249" s="390">
        <v>2603579</v>
      </c>
      <c r="B249" s="5" t="s">
        <v>533</v>
      </c>
      <c r="C249" s="1430" t="s">
        <v>3449</v>
      </c>
      <c r="D249" s="1090" t="s">
        <v>534</v>
      </c>
      <c r="E249" s="5" t="s">
        <v>31</v>
      </c>
      <c r="F249" s="5" t="s">
        <v>31</v>
      </c>
      <c r="G249" s="5" t="s">
        <v>549</v>
      </c>
      <c r="H249" s="5" t="s">
        <v>2797</v>
      </c>
      <c r="I249" s="5" t="str">
        <f>_xlfn.XLOOKUP(sommaire[[#This Row],[Arrondissement_code]],OCHA_GIS!$F:$F,OCHA_GIS!$E:$E,,)</f>
        <v>Hilé - Alifa</v>
      </c>
      <c r="J249" s="5" t="s">
        <v>767</v>
      </c>
      <c r="K249" t="s">
        <v>550</v>
      </c>
      <c r="L249" s="5" t="s">
        <v>3166</v>
      </c>
      <c r="M249" s="5" t="s">
        <v>3166</v>
      </c>
      <c r="N249" s="5" t="s">
        <v>3053</v>
      </c>
      <c r="O249" s="5" t="s">
        <v>2473</v>
      </c>
      <c r="P249" s="5" t="s">
        <v>85</v>
      </c>
      <c r="Q249" s="5" t="s">
        <v>86</v>
      </c>
      <c r="R249" s="5" t="s">
        <v>86</v>
      </c>
      <c r="T249" s="390">
        <v>3</v>
      </c>
      <c r="U249" s="5" t="s">
        <v>97</v>
      </c>
      <c r="W249" s="5" t="s">
        <v>2468</v>
      </c>
      <c r="X249" s="5" t="s">
        <v>102</v>
      </c>
      <c r="AA249" s="5" t="s">
        <v>85</v>
      </c>
      <c r="AB249" s="5" t="s">
        <v>2473</v>
      </c>
      <c r="AC249" s="5" t="s">
        <v>2521</v>
      </c>
      <c r="AF249" s="5">
        <v>350</v>
      </c>
      <c r="AG249" s="5">
        <v>2450</v>
      </c>
      <c r="AH249" s="5" t="s">
        <v>85</v>
      </c>
      <c r="AI249" s="5" t="s">
        <v>2471</v>
      </c>
      <c r="AJ249" s="5">
        <v>350</v>
      </c>
      <c r="AK249" s="5">
        <v>2450</v>
      </c>
      <c r="AL249" s="5">
        <v>1000</v>
      </c>
      <c r="AM249" s="5">
        <v>1450</v>
      </c>
      <c r="AN249" s="5">
        <v>0</v>
      </c>
      <c r="AO249" s="5">
        <v>10</v>
      </c>
      <c r="AP249" s="5">
        <v>0</v>
      </c>
      <c r="AQ249" s="5">
        <v>0</v>
      </c>
      <c r="AT249" s="5">
        <v>50</v>
      </c>
      <c r="AU249" s="5">
        <v>290</v>
      </c>
      <c r="AV249" s="5" t="s">
        <v>2490</v>
      </c>
      <c r="AX249" s="5">
        <v>0</v>
      </c>
      <c r="AY249" s="5" t="s">
        <v>86</v>
      </c>
      <c r="BN249" s="5" t="s">
        <v>86</v>
      </c>
      <c r="CD249" s="5">
        <v>0</v>
      </c>
      <c r="CF249" s="1442" t="str">
        <f>IF([1]!sommaire[[#This Row],[présence des personnes déplacés interne]]="Oui","1","0")</f>
        <v>1</v>
      </c>
      <c r="CG249" s="1442" t="str">
        <f>IF([1]!sommaire[[#This Row],[présence Réfugié hors camp]]="Oui","1","0")</f>
        <v>0</v>
      </c>
      <c r="CH249" s="1442" t="str">
        <f>IF([1]!sommaire[[#This Row],[présence personnes retournées]]="Oui","1","0")</f>
        <v>0</v>
      </c>
      <c r="CI249" s="1442">
        <f>[1]!sommaire[[#This Row],[Flag PDI]]+[1]!sommaire[[#This Row],[Flag REF]]+[1]!sommaire[[#This Row],[Flag RET]]</f>
        <v>1</v>
      </c>
    </row>
    <row r="250" spans="1:87" ht="14.55" customHeight="1" x14ac:dyDescent="0.3">
      <c r="A250" s="390">
        <v>2627845</v>
      </c>
      <c r="B250" s="5" t="s">
        <v>533</v>
      </c>
      <c r="C250" s="1430" t="s">
        <v>3449</v>
      </c>
      <c r="D250" s="1090" t="s">
        <v>534</v>
      </c>
      <c r="E250" s="5" t="s">
        <v>31</v>
      </c>
      <c r="F250" s="5" t="s">
        <v>31</v>
      </c>
      <c r="G250" s="5" t="s">
        <v>549</v>
      </c>
      <c r="H250" s="5" t="s">
        <v>2797</v>
      </c>
      <c r="I250" s="5" t="str">
        <f>_xlfn.XLOOKUP(sommaire[[#This Row],[Arrondissement_code]],OCHA_GIS!$F:$F,OCHA_GIS!$E:$E,,)</f>
        <v>Hilé - Alifa</v>
      </c>
      <c r="J250" s="5" t="s">
        <v>767</v>
      </c>
      <c r="K250" t="s">
        <v>550</v>
      </c>
      <c r="L250" s="5" t="s">
        <v>3169</v>
      </c>
      <c r="M250" s="5" t="s">
        <v>3169</v>
      </c>
      <c r="N250" s="5" t="s">
        <v>3053</v>
      </c>
      <c r="O250" s="5" t="s">
        <v>2473</v>
      </c>
      <c r="P250" s="5" t="s">
        <v>85</v>
      </c>
      <c r="Q250" s="5" t="s">
        <v>86</v>
      </c>
      <c r="R250" s="5" t="s">
        <v>86</v>
      </c>
      <c r="T250" s="390">
        <v>3</v>
      </c>
      <c r="U250" s="5" t="s">
        <v>97</v>
      </c>
      <c r="W250" s="5" t="s">
        <v>2468</v>
      </c>
      <c r="X250" s="5" t="s">
        <v>102</v>
      </c>
      <c r="AA250" s="5" t="s">
        <v>85</v>
      </c>
      <c r="AB250" s="5" t="s">
        <v>2473</v>
      </c>
      <c r="AC250" s="5" t="s">
        <v>2470</v>
      </c>
      <c r="AD250" s="1090"/>
      <c r="AF250" s="5">
        <v>100</v>
      </c>
      <c r="AG250" s="5">
        <v>700</v>
      </c>
      <c r="AH250" s="5" t="s">
        <v>85</v>
      </c>
      <c r="AI250" s="5" t="s">
        <v>2471</v>
      </c>
      <c r="AJ250" s="5">
        <v>100</v>
      </c>
      <c r="AK250" s="5">
        <v>700</v>
      </c>
      <c r="AL250" s="5">
        <v>380</v>
      </c>
      <c r="AM250" s="5">
        <v>320</v>
      </c>
      <c r="AN250" s="5">
        <v>0</v>
      </c>
      <c r="AO250" s="5">
        <v>33</v>
      </c>
      <c r="AP250" s="5">
        <v>0</v>
      </c>
      <c r="AQ250" s="5">
        <v>0</v>
      </c>
      <c r="AT250" s="5">
        <v>0</v>
      </c>
      <c r="AU250" s="5">
        <v>67</v>
      </c>
      <c r="AV250" s="5" t="s">
        <v>2475</v>
      </c>
      <c r="AX250" s="5">
        <v>0</v>
      </c>
      <c r="AY250" s="5" t="s">
        <v>86</v>
      </c>
      <c r="BN250" s="5" t="s">
        <v>86</v>
      </c>
      <c r="CD250" s="5">
        <v>0</v>
      </c>
      <c r="CF250" s="1442" t="str">
        <f>IF([1]!sommaire[[#This Row],[présence des personnes déplacés interne]]="Oui","1","0")</f>
        <v>1</v>
      </c>
      <c r="CG250" s="1442" t="str">
        <f>IF([1]!sommaire[[#This Row],[présence Réfugié hors camp]]="Oui","1","0")</f>
        <v>0</v>
      </c>
      <c r="CH250" s="1442" t="str">
        <f>IF([1]!sommaire[[#This Row],[présence personnes retournées]]="Oui","1","0")</f>
        <v>0</v>
      </c>
      <c r="CI250" s="1442">
        <f>[1]!sommaire[[#This Row],[Flag PDI]]+[1]!sommaire[[#This Row],[Flag REF]]+[1]!sommaire[[#This Row],[Flag RET]]</f>
        <v>1</v>
      </c>
    </row>
    <row r="251" spans="1:87" ht="14.55" customHeight="1" x14ac:dyDescent="0.3">
      <c r="A251" s="390">
        <v>2598243</v>
      </c>
      <c r="B251" s="5" t="s">
        <v>533</v>
      </c>
      <c r="C251" s="1430" t="s">
        <v>3449</v>
      </c>
      <c r="D251" s="1090" t="s">
        <v>534</v>
      </c>
      <c r="E251" s="5" t="s">
        <v>31</v>
      </c>
      <c r="F251" s="5" t="s">
        <v>31</v>
      </c>
      <c r="G251" s="5" t="s">
        <v>549</v>
      </c>
      <c r="H251" s="5" t="s">
        <v>2797</v>
      </c>
      <c r="I251" s="5" t="str">
        <f>_xlfn.XLOOKUP(sommaire[[#This Row],[Arrondissement_code]],OCHA_GIS!$F:$F,OCHA_GIS!$E:$E,,)</f>
        <v>Hilé - Alifa</v>
      </c>
      <c r="J251" s="5" t="s">
        <v>767</v>
      </c>
      <c r="K251" t="s">
        <v>550</v>
      </c>
      <c r="L251" s="5" t="s">
        <v>3176</v>
      </c>
      <c r="M251" s="5" t="s">
        <v>3176</v>
      </c>
      <c r="N251" s="5" t="s">
        <v>3053</v>
      </c>
      <c r="O251" s="5" t="s">
        <v>2473</v>
      </c>
      <c r="P251" s="5" t="s">
        <v>85</v>
      </c>
      <c r="Q251" s="5" t="s">
        <v>86</v>
      </c>
      <c r="R251" s="5" t="s">
        <v>85</v>
      </c>
      <c r="T251" s="390">
        <v>3</v>
      </c>
      <c r="U251" s="5" t="s">
        <v>97</v>
      </c>
      <c r="W251" s="5" t="s">
        <v>2468</v>
      </c>
      <c r="X251" s="5" t="s">
        <v>102</v>
      </c>
      <c r="AA251" s="586" t="s">
        <v>85</v>
      </c>
      <c r="AB251" s="5" t="s">
        <v>2473</v>
      </c>
      <c r="AC251" s="5" t="s">
        <v>2470</v>
      </c>
      <c r="AF251" s="5">
        <v>146</v>
      </c>
      <c r="AG251" s="5">
        <v>1100</v>
      </c>
      <c r="AH251" s="5" t="s">
        <v>85</v>
      </c>
      <c r="AI251" s="5" t="s">
        <v>2471</v>
      </c>
      <c r="AJ251" s="5">
        <v>146</v>
      </c>
      <c r="AK251" s="5">
        <v>1100</v>
      </c>
      <c r="AL251" s="5">
        <v>509</v>
      </c>
      <c r="AM251" s="5">
        <v>591</v>
      </c>
      <c r="AN251" s="5">
        <v>0</v>
      </c>
      <c r="AO251" s="5">
        <v>0</v>
      </c>
      <c r="AP251" s="5">
        <v>0</v>
      </c>
      <c r="AQ251" s="5">
        <v>0</v>
      </c>
      <c r="AT251" s="5">
        <v>0</v>
      </c>
      <c r="AU251" s="5">
        <v>146</v>
      </c>
      <c r="AV251" s="5" t="s">
        <v>2490</v>
      </c>
      <c r="AX251" s="5">
        <v>0</v>
      </c>
      <c r="AY251" s="5" t="s">
        <v>86</v>
      </c>
      <c r="BN251" s="5" t="s">
        <v>86</v>
      </c>
      <c r="CD251" s="5">
        <v>0</v>
      </c>
      <c r="CF251" s="1442" t="str">
        <f>IF([1]!sommaire[[#This Row],[présence des personnes déplacés interne]]="Oui","1","0")</f>
        <v>1</v>
      </c>
      <c r="CG251" s="1442" t="str">
        <f>IF([1]!sommaire[[#This Row],[présence Réfugié hors camp]]="Oui","1","0")</f>
        <v>0</v>
      </c>
      <c r="CH251" s="1442" t="str">
        <f>IF([1]!sommaire[[#This Row],[présence personnes retournées]]="Oui","1","0")</f>
        <v>0</v>
      </c>
      <c r="CI251" s="1442">
        <f>[1]!sommaire[[#This Row],[Flag PDI]]+[1]!sommaire[[#This Row],[Flag REF]]+[1]!sommaire[[#This Row],[Flag RET]]</f>
        <v>1</v>
      </c>
    </row>
    <row r="252" spans="1:87" ht="14.55" customHeight="1" x14ac:dyDescent="0.3">
      <c r="A252" s="390">
        <v>2586696</v>
      </c>
      <c r="B252" s="5" t="s">
        <v>533</v>
      </c>
      <c r="C252" s="1430" t="s">
        <v>3449</v>
      </c>
      <c r="D252" s="1090" t="s">
        <v>534</v>
      </c>
      <c r="E252" s="5" t="s">
        <v>31</v>
      </c>
      <c r="F252" s="5" t="s">
        <v>31</v>
      </c>
      <c r="G252" s="5" t="s">
        <v>549</v>
      </c>
      <c r="H252" s="5" t="s">
        <v>2797</v>
      </c>
      <c r="I252" s="5" t="str">
        <f>_xlfn.XLOOKUP(sommaire[[#This Row],[Arrondissement_code]],OCHA_GIS!$F:$F,OCHA_GIS!$E:$E,,)</f>
        <v>Hilé - Alifa</v>
      </c>
      <c r="J252" s="5" t="s">
        <v>767</v>
      </c>
      <c r="K252" t="s">
        <v>550</v>
      </c>
      <c r="L252" s="5" t="s">
        <v>3183</v>
      </c>
      <c r="M252" s="5" t="s">
        <v>3183</v>
      </c>
      <c r="N252" s="5" t="s">
        <v>3053</v>
      </c>
      <c r="O252" s="5" t="s">
        <v>2473</v>
      </c>
      <c r="P252" s="5" t="s">
        <v>85</v>
      </c>
      <c r="Q252" s="5" t="s">
        <v>86</v>
      </c>
      <c r="R252" s="5" t="s">
        <v>86</v>
      </c>
      <c r="T252" s="390">
        <v>3</v>
      </c>
      <c r="U252" s="5" t="s">
        <v>97</v>
      </c>
      <c r="W252" s="5" t="s">
        <v>2468</v>
      </c>
      <c r="X252" s="5" t="s">
        <v>102</v>
      </c>
      <c r="AA252" s="5" t="s">
        <v>85</v>
      </c>
      <c r="AB252" s="5" t="s">
        <v>2473</v>
      </c>
      <c r="AC252" s="5" t="s">
        <v>2470</v>
      </c>
      <c r="AD252" s="1090"/>
      <c r="AF252" s="5">
        <v>400</v>
      </c>
      <c r="AG252" s="5">
        <v>2800</v>
      </c>
      <c r="AH252" s="5" t="s">
        <v>85</v>
      </c>
      <c r="AI252" s="5" t="s">
        <v>2471</v>
      </c>
      <c r="AJ252" s="5">
        <v>400</v>
      </c>
      <c r="AK252" s="5">
        <v>2800</v>
      </c>
      <c r="AL252" s="5">
        <v>1350</v>
      </c>
      <c r="AM252" s="5">
        <v>1450</v>
      </c>
      <c r="AN252" s="5">
        <v>0</v>
      </c>
      <c r="AO252" s="5">
        <v>0</v>
      </c>
      <c r="AP252" s="5">
        <v>0</v>
      </c>
      <c r="AQ252" s="5">
        <v>0</v>
      </c>
      <c r="AT252" s="5">
        <v>0</v>
      </c>
      <c r="AU252" s="5">
        <v>400</v>
      </c>
      <c r="AV252" s="5" t="s">
        <v>2475</v>
      </c>
      <c r="AX252" s="5">
        <v>0</v>
      </c>
      <c r="AY252" s="5" t="s">
        <v>86</v>
      </c>
      <c r="BN252" s="5" t="s">
        <v>86</v>
      </c>
      <c r="CD252" s="5">
        <v>0</v>
      </c>
      <c r="CF252" s="1442" t="str">
        <f>IF([1]!sommaire[[#This Row],[présence des personnes déplacés interne]]="Oui","1","0")</f>
        <v>1</v>
      </c>
      <c r="CG252" s="1442" t="str">
        <f>IF([1]!sommaire[[#This Row],[présence Réfugié hors camp]]="Oui","1","0")</f>
        <v>0</v>
      </c>
      <c r="CH252" s="1442" t="str">
        <f>IF([1]!sommaire[[#This Row],[présence personnes retournées]]="Oui","1","0")</f>
        <v>0</v>
      </c>
      <c r="CI252" s="1442">
        <f>[1]!sommaire[[#This Row],[Flag PDI]]+[1]!sommaire[[#This Row],[Flag REF]]+[1]!sommaire[[#This Row],[Flag RET]]</f>
        <v>1</v>
      </c>
    </row>
    <row r="253" spans="1:87" ht="14.55" customHeight="1" x14ac:dyDescent="0.3">
      <c r="A253" s="390">
        <v>2666649</v>
      </c>
      <c r="B253" s="5" t="s">
        <v>533</v>
      </c>
      <c r="C253" s="1430" t="s">
        <v>3449</v>
      </c>
      <c r="D253" s="1090" t="s">
        <v>534</v>
      </c>
      <c r="E253" s="5" t="s">
        <v>31</v>
      </c>
      <c r="F253" s="5" t="s">
        <v>31</v>
      </c>
      <c r="G253" s="5" t="s">
        <v>549</v>
      </c>
      <c r="H253" s="5" t="s">
        <v>2797</v>
      </c>
      <c r="I253" s="5" t="str">
        <f>_xlfn.XLOOKUP(sommaire[[#This Row],[Arrondissement_code]],OCHA_GIS!$F:$F,OCHA_GIS!$E:$E,,)</f>
        <v>Hilé - Alifa</v>
      </c>
      <c r="J253" s="5" t="s">
        <v>767</v>
      </c>
      <c r="K253" t="s">
        <v>550</v>
      </c>
      <c r="L253" s="5" t="s">
        <v>3186</v>
      </c>
      <c r="M253" s="5" t="s">
        <v>3186</v>
      </c>
      <c r="N253" s="5" t="s">
        <v>3053</v>
      </c>
      <c r="O253" s="5" t="s">
        <v>2473</v>
      </c>
      <c r="P253" s="5" t="s">
        <v>85</v>
      </c>
      <c r="Q253" s="5" t="s">
        <v>86</v>
      </c>
      <c r="R253" s="5" t="s">
        <v>86</v>
      </c>
      <c r="T253" s="390">
        <v>3</v>
      </c>
      <c r="U253" s="5" t="s">
        <v>97</v>
      </c>
      <c r="W253" s="5" t="s">
        <v>2468</v>
      </c>
      <c r="X253" s="5" t="s">
        <v>102</v>
      </c>
      <c r="AA253" s="5" t="s">
        <v>85</v>
      </c>
      <c r="AB253" s="5" t="s">
        <v>2473</v>
      </c>
      <c r="AC253" s="5" t="s">
        <v>2469</v>
      </c>
      <c r="AF253" s="5">
        <v>94</v>
      </c>
      <c r="AG253" s="5">
        <v>658</v>
      </c>
      <c r="AH253" s="5" t="s">
        <v>85</v>
      </c>
      <c r="AI253" s="5" t="s">
        <v>2471</v>
      </c>
      <c r="AJ253" s="5">
        <v>94</v>
      </c>
      <c r="AK253" s="5">
        <v>658</v>
      </c>
      <c r="AL253" s="5">
        <v>250</v>
      </c>
      <c r="AM253" s="5">
        <v>408</v>
      </c>
      <c r="AN253" s="5">
        <v>0</v>
      </c>
      <c r="AO253" s="5">
        <v>0</v>
      </c>
      <c r="AP253" s="5">
        <v>0</v>
      </c>
      <c r="AQ253" s="5">
        <v>0</v>
      </c>
      <c r="AT253" s="5">
        <v>0</v>
      </c>
      <c r="AU253" s="5">
        <v>94</v>
      </c>
      <c r="AV253" s="5" t="s">
        <v>2490</v>
      </c>
      <c r="AX253" s="5">
        <v>0</v>
      </c>
      <c r="AY253" s="5" t="s">
        <v>86</v>
      </c>
      <c r="BN253" s="5" t="s">
        <v>86</v>
      </c>
      <c r="CD253" s="5">
        <v>0</v>
      </c>
      <c r="CF253" s="1442" t="str">
        <f>IF([1]!sommaire[[#This Row],[présence des personnes déplacés interne]]="Oui","1","0")</f>
        <v>1</v>
      </c>
      <c r="CG253" s="1442" t="str">
        <f>IF([1]!sommaire[[#This Row],[présence Réfugié hors camp]]="Oui","1","0")</f>
        <v>0</v>
      </c>
      <c r="CH253" s="1442" t="str">
        <f>IF([1]!sommaire[[#This Row],[présence personnes retournées]]="Oui","1","0")</f>
        <v>0</v>
      </c>
      <c r="CI253" s="1442">
        <f>[1]!sommaire[[#This Row],[Flag PDI]]+[1]!sommaire[[#This Row],[Flag REF]]+[1]!sommaire[[#This Row],[Flag RET]]</f>
        <v>1</v>
      </c>
    </row>
    <row r="254" spans="1:87" ht="14.55" customHeight="1" x14ac:dyDescent="0.3">
      <c r="A254" s="390">
        <v>2615009</v>
      </c>
      <c r="B254" s="5" t="s">
        <v>533</v>
      </c>
      <c r="C254" s="1430" t="s">
        <v>3449</v>
      </c>
      <c r="D254" s="1090" t="s">
        <v>534</v>
      </c>
      <c r="E254" s="5" t="s">
        <v>31</v>
      </c>
      <c r="F254" s="5" t="s">
        <v>31</v>
      </c>
      <c r="G254" s="5" t="s">
        <v>549</v>
      </c>
      <c r="H254" s="5" t="s">
        <v>2797</v>
      </c>
      <c r="I254" s="5" t="str">
        <f>_xlfn.XLOOKUP(sommaire[[#This Row],[Arrondissement_code]],OCHA_GIS!$F:$F,OCHA_GIS!$E:$E,,)</f>
        <v>Hilé - Alifa</v>
      </c>
      <c r="J254" s="5" t="s">
        <v>767</v>
      </c>
      <c r="K254" t="s">
        <v>1699</v>
      </c>
      <c r="L254" s="5" t="s">
        <v>1700</v>
      </c>
      <c r="N254" s="5" t="s">
        <v>3053</v>
      </c>
      <c r="O254" s="5" t="s">
        <v>2467</v>
      </c>
      <c r="P254" s="5" t="s">
        <v>85</v>
      </c>
      <c r="Q254" s="5" t="s">
        <v>86</v>
      </c>
      <c r="R254" s="5" t="s">
        <v>86</v>
      </c>
      <c r="T254" s="390">
        <v>3</v>
      </c>
      <c r="U254" s="5" t="s">
        <v>97</v>
      </c>
      <c r="W254" s="5" t="s">
        <v>2468</v>
      </c>
      <c r="X254" s="5" t="s">
        <v>102</v>
      </c>
      <c r="AA254" s="5" t="s">
        <v>85</v>
      </c>
      <c r="AB254" s="5" t="s">
        <v>2469</v>
      </c>
      <c r="AC254" s="5" t="s">
        <v>2470</v>
      </c>
      <c r="AD254" s="5" t="s">
        <v>86</v>
      </c>
      <c r="AF254" s="5">
        <v>140</v>
      </c>
      <c r="AG254" s="5">
        <v>3074</v>
      </c>
      <c r="AH254" s="5" t="s">
        <v>85</v>
      </c>
      <c r="AI254" s="5" t="s">
        <v>2471</v>
      </c>
      <c r="AJ254" s="5">
        <v>140</v>
      </c>
      <c r="AK254" s="5">
        <v>1054</v>
      </c>
      <c r="AL254" s="5">
        <v>500</v>
      </c>
      <c r="AM254" s="5">
        <v>554</v>
      </c>
      <c r="AN254" s="5">
        <v>35</v>
      </c>
      <c r="AO254" s="5">
        <v>74</v>
      </c>
      <c r="AP254" s="5">
        <v>0</v>
      </c>
      <c r="AQ254" s="5">
        <v>0</v>
      </c>
      <c r="AT254" s="5">
        <v>0</v>
      </c>
      <c r="AU254" s="5">
        <v>31</v>
      </c>
      <c r="AV254" s="5" t="s">
        <v>2475</v>
      </c>
      <c r="AX254" s="5">
        <v>0</v>
      </c>
      <c r="AY254" s="5" t="s">
        <v>86</v>
      </c>
      <c r="BN254" s="5" t="s">
        <v>86</v>
      </c>
      <c r="CD254" s="5">
        <v>0</v>
      </c>
      <c r="CF254" s="1442" t="str">
        <f>IF([1]!sommaire[[#This Row],[présence des personnes déplacés interne]]="Oui","1","0")</f>
        <v>1</v>
      </c>
      <c r="CG254" s="1442" t="str">
        <f>IF([1]!sommaire[[#This Row],[présence Réfugié hors camp]]="Oui","1","0")</f>
        <v>0</v>
      </c>
      <c r="CH254" s="1442" t="str">
        <f>IF([1]!sommaire[[#This Row],[présence personnes retournées]]="Oui","1","0")</f>
        <v>0</v>
      </c>
      <c r="CI254" s="1442">
        <f>[1]!sommaire[[#This Row],[Flag PDI]]+[1]!sommaire[[#This Row],[Flag REF]]+[1]!sommaire[[#This Row],[Flag RET]]</f>
        <v>1</v>
      </c>
    </row>
    <row r="255" spans="1:87" ht="14.55" customHeight="1" x14ac:dyDescent="0.3">
      <c r="A255" s="390">
        <v>2575166</v>
      </c>
      <c r="B255" s="5" t="s">
        <v>533</v>
      </c>
      <c r="C255" s="1430" t="s">
        <v>3449</v>
      </c>
      <c r="D255" s="1090" t="s">
        <v>534</v>
      </c>
      <c r="E255" s="5" t="s">
        <v>31</v>
      </c>
      <c r="F255" s="5" t="s">
        <v>31</v>
      </c>
      <c r="G255" s="5" t="s">
        <v>549</v>
      </c>
      <c r="H255" s="5" t="s">
        <v>2797</v>
      </c>
      <c r="I255" s="5" t="str">
        <f>_xlfn.XLOOKUP(sommaire[[#This Row],[Arrondissement_code]],OCHA_GIS!$F:$F,OCHA_GIS!$E:$E,,)</f>
        <v>Hilé - Alifa</v>
      </c>
      <c r="J255" s="5" t="s">
        <v>767</v>
      </c>
      <c r="K255" t="s">
        <v>768</v>
      </c>
      <c r="L255" s="5" t="s">
        <v>769</v>
      </c>
      <c r="N255" s="5" t="s">
        <v>3052</v>
      </c>
      <c r="O255" s="5" t="s">
        <v>2467</v>
      </c>
      <c r="P255" s="5" t="s">
        <v>85</v>
      </c>
      <c r="Q255" s="5" t="s">
        <v>86</v>
      </c>
      <c r="R255" s="5" t="s">
        <v>86</v>
      </c>
      <c r="T255" s="390">
        <v>3</v>
      </c>
      <c r="U255" s="5" t="s">
        <v>97</v>
      </c>
      <c r="W255" s="5" t="s">
        <v>2468</v>
      </c>
      <c r="X255" s="5" t="s">
        <v>102</v>
      </c>
      <c r="AA255" s="5" t="s">
        <v>85</v>
      </c>
      <c r="AB255" s="5" t="s">
        <v>2469</v>
      </c>
      <c r="AC255" s="5" t="s">
        <v>2470</v>
      </c>
      <c r="AD255" s="5" t="s">
        <v>86</v>
      </c>
      <c r="AF255" s="5">
        <v>55</v>
      </c>
      <c r="AG255" s="5">
        <v>2082</v>
      </c>
      <c r="AH255" s="5" t="s">
        <v>85</v>
      </c>
      <c r="AI255" s="5" t="s">
        <v>2471</v>
      </c>
      <c r="AJ255" s="5">
        <v>55</v>
      </c>
      <c r="AK255" s="5">
        <v>383</v>
      </c>
      <c r="AL255" s="5">
        <v>198</v>
      </c>
      <c r="AM255" s="5">
        <v>185</v>
      </c>
      <c r="AN255" s="5">
        <v>0</v>
      </c>
      <c r="AO255" s="5">
        <v>40</v>
      </c>
      <c r="AP255" s="5">
        <v>0</v>
      </c>
      <c r="AQ255" s="5">
        <v>0</v>
      </c>
      <c r="AT255" s="5">
        <v>0</v>
      </c>
      <c r="AU255" s="5">
        <v>15</v>
      </c>
      <c r="AV255" s="5" t="s">
        <v>2475</v>
      </c>
      <c r="AX255" s="5">
        <v>0</v>
      </c>
      <c r="AY255" s="5" t="s">
        <v>86</v>
      </c>
      <c r="BN255" s="5" t="s">
        <v>86</v>
      </c>
      <c r="CD255" s="5">
        <v>0</v>
      </c>
      <c r="CF255" s="1442" t="str">
        <f>IF([1]!sommaire[[#This Row],[présence des personnes déplacés interne]]="Oui","1","0")</f>
        <v>1</v>
      </c>
      <c r="CG255" s="1442" t="str">
        <f>IF([1]!sommaire[[#This Row],[présence Réfugié hors camp]]="Oui","1","0")</f>
        <v>0</v>
      </c>
      <c r="CH255" s="1442" t="str">
        <f>IF([1]!sommaire[[#This Row],[présence personnes retournées]]="Oui","1","0")</f>
        <v>0</v>
      </c>
      <c r="CI255" s="1442">
        <f>[1]!sommaire[[#This Row],[Flag PDI]]+[1]!sommaire[[#This Row],[Flag REF]]+[1]!sommaire[[#This Row],[Flag RET]]</f>
        <v>1</v>
      </c>
    </row>
    <row r="256" spans="1:87" ht="14.55" customHeight="1" x14ac:dyDescent="0.3">
      <c r="A256" s="390">
        <v>2625264</v>
      </c>
      <c r="B256" s="5" t="s">
        <v>533</v>
      </c>
      <c r="C256" s="1430" t="s">
        <v>3449</v>
      </c>
      <c r="D256" s="1090" t="s">
        <v>534</v>
      </c>
      <c r="E256" s="5" t="s">
        <v>31</v>
      </c>
      <c r="F256" s="5" t="s">
        <v>31</v>
      </c>
      <c r="G256" s="5" t="s">
        <v>549</v>
      </c>
      <c r="H256" s="5" t="s">
        <v>2797</v>
      </c>
      <c r="I256" s="5" t="str">
        <f>_xlfn.XLOOKUP(sommaire[[#This Row],[Arrondissement_code]],OCHA_GIS!$F:$F,OCHA_GIS!$E:$E,,)</f>
        <v>Hilé - Alifa</v>
      </c>
      <c r="J256" s="5" t="s">
        <v>767</v>
      </c>
      <c r="K256" t="s">
        <v>770</v>
      </c>
      <c r="L256" s="5" t="s">
        <v>771</v>
      </c>
      <c r="N256" s="5" t="s">
        <v>3053</v>
      </c>
      <c r="O256" s="5" t="s">
        <v>2467</v>
      </c>
      <c r="P256" s="5" t="s">
        <v>85</v>
      </c>
      <c r="Q256" s="5" t="s">
        <v>86</v>
      </c>
      <c r="R256" s="5" t="s">
        <v>86</v>
      </c>
      <c r="T256" s="390">
        <v>3</v>
      </c>
      <c r="U256" s="5" t="s">
        <v>97</v>
      </c>
      <c r="W256" s="5" t="s">
        <v>2468</v>
      </c>
      <c r="X256" s="5" t="s">
        <v>102</v>
      </c>
      <c r="AA256" s="5" t="s">
        <v>85</v>
      </c>
      <c r="AB256" s="5" t="s">
        <v>2469</v>
      </c>
      <c r="AC256" s="5" t="s">
        <v>2470</v>
      </c>
      <c r="AD256" s="5" t="s">
        <v>86</v>
      </c>
      <c r="AF256" s="5">
        <v>31</v>
      </c>
      <c r="AG256" s="5">
        <v>605</v>
      </c>
      <c r="AH256" s="5" t="s">
        <v>85</v>
      </c>
      <c r="AI256" s="5" t="s">
        <v>2471</v>
      </c>
      <c r="AJ256" s="5">
        <v>31</v>
      </c>
      <c r="AK256" s="5">
        <v>259</v>
      </c>
      <c r="AL256" s="5">
        <v>124</v>
      </c>
      <c r="AM256" s="5">
        <v>135</v>
      </c>
      <c r="AN256" s="5">
        <v>0</v>
      </c>
      <c r="AO256" s="5">
        <v>21</v>
      </c>
      <c r="AP256" s="5">
        <v>0</v>
      </c>
      <c r="AQ256" s="5">
        <v>0</v>
      </c>
      <c r="AT256" s="5">
        <v>0</v>
      </c>
      <c r="AU256" s="5">
        <v>10</v>
      </c>
      <c r="AV256" s="5" t="s">
        <v>2490</v>
      </c>
      <c r="AX256" s="5">
        <v>0</v>
      </c>
      <c r="AY256" s="5" t="s">
        <v>86</v>
      </c>
      <c r="BN256" s="5" t="s">
        <v>86</v>
      </c>
      <c r="CD256" s="5">
        <v>0</v>
      </c>
      <c r="CF256" s="1442" t="str">
        <f>IF([1]!sommaire[[#This Row],[présence des personnes déplacés interne]]="Oui","1","0")</f>
        <v>1</v>
      </c>
      <c r="CG256" s="1442" t="str">
        <f>IF([1]!sommaire[[#This Row],[présence Réfugié hors camp]]="Oui","1","0")</f>
        <v>0</v>
      </c>
      <c r="CH256" s="1442" t="str">
        <f>IF([1]!sommaire[[#This Row],[présence personnes retournées]]="Oui","1","0")</f>
        <v>0</v>
      </c>
      <c r="CI256" s="1442">
        <f>[1]!sommaire[[#This Row],[Flag PDI]]+[1]!sommaire[[#This Row],[Flag REF]]+[1]!sommaire[[#This Row],[Flag RET]]</f>
        <v>1</v>
      </c>
    </row>
    <row r="257" spans="1:87" ht="14.55" customHeight="1" x14ac:dyDescent="0.3">
      <c r="A257" s="390">
        <v>2645885</v>
      </c>
      <c r="B257" s="5" t="s">
        <v>533</v>
      </c>
      <c r="C257" s="1430" t="s">
        <v>3449</v>
      </c>
      <c r="D257" s="1090" t="s">
        <v>534</v>
      </c>
      <c r="E257" s="5" t="s">
        <v>31</v>
      </c>
      <c r="F257" s="5" t="s">
        <v>31</v>
      </c>
      <c r="G257" s="5" t="s">
        <v>549</v>
      </c>
      <c r="H257" s="5" t="s">
        <v>2797</v>
      </c>
      <c r="I257" s="5" t="str">
        <f>_xlfn.XLOOKUP(sommaire[[#This Row],[Arrondissement_code]],OCHA_GIS!$F:$F,OCHA_GIS!$E:$E,,)</f>
        <v>Hilé - Alifa</v>
      </c>
      <c r="J257" s="5" t="s">
        <v>767</v>
      </c>
      <c r="K257" t="s">
        <v>1198</v>
      </c>
      <c r="L257" s="5" t="s">
        <v>1199</v>
      </c>
      <c r="N257" s="5" t="s">
        <v>3053</v>
      </c>
      <c r="O257" s="5" t="s">
        <v>2467</v>
      </c>
      <c r="P257" s="5" t="s">
        <v>85</v>
      </c>
      <c r="Q257" s="5" t="s">
        <v>86</v>
      </c>
      <c r="R257" s="5" t="s">
        <v>86</v>
      </c>
      <c r="T257" s="390">
        <v>3</v>
      </c>
      <c r="U257" s="5" t="s">
        <v>97</v>
      </c>
      <c r="W257" s="5" t="s">
        <v>2468</v>
      </c>
      <c r="X257" s="5" t="s">
        <v>102</v>
      </c>
      <c r="AA257" s="5" t="s">
        <v>85</v>
      </c>
      <c r="AB257" s="5" t="s">
        <v>2469</v>
      </c>
      <c r="AC257" s="5" t="s">
        <v>2470</v>
      </c>
      <c r="AD257" s="5" t="s">
        <v>86</v>
      </c>
      <c r="AF257" s="5">
        <v>57</v>
      </c>
      <c r="AG257" s="5">
        <v>1632</v>
      </c>
      <c r="AH257" s="5" t="s">
        <v>85</v>
      </c>
      <c r="AI257" s="5" t="s">
        <v>2471</v>
      </c>
      <c r="AJ257" s="5">
        <v>57</v>
      </c>
      <c r="AK257" s="5">
        <v>420</v>
      </c>
      <c r="AL257" s="5">
        <v>215</v>
      </c>
      <c r="AM257" s="5">
        <v>205</v>
      </c>
      <c r="AN257" s="5">
        <v>0</v>
      </c>
      <c r="AO257" s="5">
        <v>57</v>
      </c>
      <c r="AP257" s="5">
        <v>0</v>
      </c>
      <c r="AQ257" s="5">
        <v>0</v>
      </c>
      <c r="AT257" s="5">
        <v>0</v>
      </c>
      <c r="AU257" s="5">
        <v>0</v>
      </c>
      <c r="AX257" s="5">
        <v>0</v>
      </c>
      <c r="AY257" s="5" t="s">
        <v>85</v>
      </c>
      <c r="AZ257" s="5">
        <v>65</v>
      </c>
      <c r="BA257" s="5">
        <v>544</v>
      </c>
      <c r="BB257" s="5">
        <v>264</v>
      </c>
      <c r="BC257" s="5">
        <v>280</v>
      </c>
      <c r="BD257" s="5">
        <v>65</v>
      </c>
      <c r="BE257" s="5">
        <v>0</v>
      </c>
      <c r="BF257" s="5">
        <v>0</v>
      </c>
      <c r="BH257" s="5">
        <v>0</v>
      </c>
      <c r="BI257" s="5">
        <v>0</v>
      </c>
      <c r="BL257" s="5">
        <v>0</v>
      </c>
      <c r="BM257" s="5">
        <v>0</v>
      </c>
      <c r="BN257" s="5" t="s">
        <v>85</v>
      </c>
      <c r="BO257" s="5">
        <v>60</v>
      </c>
      <c r="BP257" s="5">
        <v>449</v>
      </c>
      <c r="BQ257" s="5">
        <v>210</v>
      </c>
      <c r="BR257" s="5">
        <v>239</v>
      </c>
      <c r="BS257" s="5" t="s">
        <v>2535</v>
      </c>
      <c r="BT257" s="5">
        <v>11</v>
      </c>
      <c r="BU257" s="5">
        <v>31</v>
      </c>
      <c r="BV257" s="5">
        <v>18</v>
      </c>
      <c r="BW257" s="5">
        <v>0</v>
      </c>
      <c r="BX257" s="5">
        <v>0</v>
      </c>
      <c r="BZ257" s="5">
        <v>0</v>
      </c>
      <c r="CA257" s="5">
        <v>0</v>
      </c>
      <c r="CC257" s="5">
        <v>0</v>
      </c>
      <c r="CD257" s="5">
        <v>0</v>
      </c>
      <c r="CF257" s="1442" t="str">
        <f>IF([1]!sommaire[[#This Row],[présence des personnes déplacés interne]]="Oui","1","0")</f>
        <v>1</v>
      </c>
      <c r="CG257" s="1442" t="str">
        <f>IF([1]!sommaire[[#This Row],[présence Réfugié hors camp]]="Oui","1","0")</f>
        <v>1</v>
      </c>
      <c r="CH257" s="1442" t="str">
        <f>IF([1]!sommaire[[#This Row],[présence personnes retournées]]="Oui","1","0")</f>
        <v>1</v>
      </c>
      <c r="CI257" s="1442">
        <f>[1]!sommaire[[#This Row],[Flag PDI]]+[1]!sommaire[[#This Row],[Flag REF]]+[1]!sommaire[[#This Row],[Flag RET]]</f>
        <v>3</v>
      </c>
    </row>
    <row r="258" spans="1:87" ht="14.55" customHeight="1" x14ac:dyDescent="0.3">
      <c r="A258" s="390">
        <v>2639472</v>
      </c>
      <c r="B258" s="5" t="s">
        <v>533</v>
      </c>
      <c r="C258" s="1430" t="s">
        <v>3449</v>
      </c>
      <c r="D258" s="1090" t="s">
        <v>534</v>
      </c>
      <c r="E258" s="5" t="s">
        <v>31</v>
      </c>
      <c r="F258" s="5" t="s">
        <v>31</v>
      </c>
      <c r="G258" s="5" t="s">
        <v>549</v>
      </c>
      <c r="H258" s="5" t="s">
        <v>2797</v>
      </c>
      <c r="I258" s="5" t="str">
        <f>_xlfn.XLOOKUP(sommaire[[#This Row],[Arrondissement_code]],OCHA_GIS!$F:$F,OCHA_GIS!$E:$E,,)</f>
        <v>Hilé - Alifa</v>
      </c>
      <c r="J258" s="5" t="s">
        <v>767</v>
      </c>
      <c r="K258" t="s">
        <v>2536</v>
      </c>
      <c r="L258" s="5" t="s">
        <v>2537</v>
      </c>
      <c r="N258" s="5" t="s">
        <v>3053</v>
      </c>
      <c r="O258" s="5" t="s">
        <v>2467</v>
      </c>
      <c r="P258" s="5" t="s">
        <v>86</v>
      </c>
      <c r="Q258" s="5" t="s">
        <v>86</v>
      </c>
      <c r="R258" s="5" t="s">
        <v>85</v>
      </c>
      <c r="T258" s="1190"/>
      <c r="U258" s="5" t="s">
        <v>98</v>
      </c>
      <c r="W258" s="5" t="s">
        <v>2482</v>
      </c>
      <c r="AA258" s="5" t="s">
        <v>86</v>
      </c>
      <c r="AH258" s="1430" t="s">
        <v>86</v>
      </c>
      <c r="AY258" s="1430" t="s">
        <v>86</v>
      </c>
      <c r="BN258" s="1430" t="s">
        <v>86</v>
      </c>
      <c r="CF258" s="1442" t="str">
        <f>IF([1]!sommaire[[#This Row],[présence des personnes déplacés interne]]="Oui","1","0")</f>
        <v>0</v>
      </c>
      <c r="CG258" s="1442" t="str">
        <f>IF([1]!sommaire[[#This Row],[présence Réfugié hors camp]]="Oui","1","0")</f>
        <v>0</v>
      </c>
      <c r="CH258" s="1442" t="str">
        <f>IF([1]!sommaire[[#This Row],[présence personnes retournées]]="Oui","1","0")</f>
        <v>0</v>
      </c>
      <c r="CI258" s="1442">
        <f>[1]!sommaire[[#This Row],[Flag PDI]]+[1]!sommaire[[#This Row],[Flag REF]]+[1]!sommaire[[#This Row],[Flag RET]]</f>
        <v>0</v>
      </c>
    </row>
    <row r="259" spans="1:87" ht="14.55" customHeight="1" x14ac:dyDescent="0.3">
      <c r="A259" s="390">
        <v>2668649</v>
      </c>
      <c r="B259" s="5" t="s">
        <v>533</v>
      </c>
      <c r="C259" s="1430" t="s">
        <v>3449</v>
      </c>
      <c r="D259" s="1090" t="s">
        <v>534</v>
      </c>
      <c r="E259" s="5" t="s">
        <v>31</v>
      </c>
      <c r="F259" s="5" t="s">
        <v>31</v>
      </c>
      <c r="G259" s="5" t="s">
        <v>549</v>
      </c>
      <c r="H259" s="5" t="s">
        <v>2797</v>
      </c>
      <c r="I259" s="5" t="str">
        <f>_xlfn.XLOOKUP(sommaire[[#This Row],[Arrondissement_code]],OCHA_GIS!$F:$F,OCHA_GIS!$E:$E,,)</f>
        <v>Hilé - Alifa</v>
      </c>
      <c r="J259" s="5" t="s">
        <v>767</v>
      </c>
      <c r="K259" t="s">
        <v>1527</v>
      </c>
      <c r="L259" s="5" t="s">
        <v>1424</v>
      </c>
      <c r="N259" s="5" t="s">
        <v>3053</v>
      </c>
      <c r="O259" s="5" t="s">
        <v>2467</v>
      </c>
      <c r="P259" s="5" t="s">
        <v>85</v>
      </c>
      <c r="Q259" s="5" t="s">
        <v>86</v>
      </c>
      <c r="R259" s="5" t="s">
        <v>86</v>
      </c>
      <c r="T259" s="390">
        <v>3</v>
      </c>
      <c r="U259" s="5" t="s">
        <v>97</v>
      </c>
      <c r="W259" s="5" t="s">
        <v>2468</v>
      </c>
      <c r="X259" s="5" t="s">
        <v>102</v>
      </c>
      <c r="AA259" s="5" t="s">
        <v>85</v>
      </c>
      <c r="AB259" s="5" t="s">
        <v>2469</v>
      </c>
      <c r="AC259" s="5" t="s">
        <v>2473</v>
      </c>
      <c r="AD259" s="5" t="s">
        <v>86</v>
      </c>
      <c r="AF259" s="5">
        <v>90</v>
      </c>
      <c r="AG259" s="5">
        <v>2420</v>
      </c>
      <c r="AH259" s="5" t="s">
        <v>85</v>
      </c>
      <c r="AI259" s="5" t="s">
        <v>2471</v>
      </c>
      <c r="AJ259" s="5">
        <v>90</v>
      </c>
      <c r="AK259" s="5">
        <v>558</v>
      </c>
      <c r="AL259" s="5">
        <v>275</v>
      </c>
      <c r="AM259" s="5">
        <v>283</v>
      </c>
      <c r="AN259" s="5">
        <v>0</v>
      </c>
      <c r="AO259" s="5">
        <v>30</v>
      </c>
      <c r="AP259" s="5">
        <v>0</v>
      </c>
      <c r="AQ259" s="5">
        <v>0</v>
      </c>
      <c r="AT259" s="5">
        <v>0</v>
      </c>
      <c r="AU259" s="5">
        <v>60</v>
      </c>
      <c r="AV259" s="5" t="s">
        <v>2490</v>
      </c>
      <c r="AX259" s="5">
        <v>0</v>
      </c>
      <c r="AY259" s="5" t="s">
        <v>85</v>
      </c>
      <c r="AZ259" s="5">
        <v>5</v>
      </c>
      <c r="BA259" s="5">
        <v>18</v>
      </c>
      <c r="BB259" s="5">
        <v>8</v>
      </c>
      <c r="BC259" s="5">
        <v>10</v>
      </c>
      <c r="BD259" s="5">
        <v>5</v>
      </c>
      <c r="BE259" s="5">
        <v>0</v>
      </c>
      <c r="BF259" s="5">
        <v>0</v>
      </c>
      <c r="BH259" s="5">
        <v>0</v>
      </c>
      <c r="BI259" s="5">
        <v>0</v>
      </c>
      <c r="BL259" s="5">
        <v>0</v>
      </c>
      <c r="BM259" s="5">
        <v>0</v>
      </c>
      <c r="BN259" s="5" t="s">
        <v>86</v>
      </c>
      <c r="CD259" s="5">
        <v>0</v>
      </c>
      <c r="CF259" s="1442" t="str">
        <f>IF([1]!sommaire[[#This Row],[présence des personnes déplacés interne]]="Oui","1","0")</f>
        <v>1</v>
      </c>
      <c r="CG259" s="1442" t="str">
        <f>IF([1]!sommaire[[#This Row],[présence Réfugié hors camp]]="Oui","1","0")</f>
        <v>1</v>
      </c>
      <c r="CH259" s="1442" t="str">
        <f>IF([1]!sommaire[[#This Row],[présence personnes retournées]]="Oui","1","0")</f>
        <v>0</v>
      </c>
      <c r="CI259" s="1442">
        <f>[1]!sommaire[[#This Row],[Flag PDI]]+[1]!sommaire[[#This Row],[Flag REF]]+[1]!sommaire[[#This Row],[Flag RET]]</f>
        <v>2</v>
      </c>
    </row>
    <row r="260" spans="1:87" ht="14.55" customHeight="1" x14ac:dyDescent="0.3">
      <c r="A260" s="390">
        <v>2657906</v>
      </c>
      <c r="B260" s="5" t="s">
        <v>533</v>
      </c>
      <c r="C260" s="1430" t="s">
        <v>3449</v>
      </c>
      <c r="D260" s="1090" t="s">
        <v>534</v>
      </c>
      <c r="E260" s="5" t="s">
        <v>31</v>
      </c>
      <c r="F260" s="5" t="s">
        <v>31</v>
      </c>
      <c r="G260" s="5" t="s">
        <v>549</v>
      </c>
      <c r="H260" s="5" t="s">
        <v>2797</v>
      </c>
      <c r="I260" s="5" t="str">
        <f>_xlfn.XLOOKUP(sommaire[[#This Row],[Arrondissement_code]],OCHA_GIS!$F:$F,OCHA_GIS!$E:$E,,)</f>
        <v>Hilé - Alifa</v>
      </c>
      <c r="J260" s="5" t="s">
        <v>767</v>
      </c>
      <c r="K260" t="s">
        <v>1484</v>
      </c>
      <c r="L260" s="5" t="s">
        <v>785</v>
      </c>
      <c r="N260" s="5" t="s">
        <v>3053</v>
      </c>
      <c r="O260" s="5" t="s">
        <v>2467</v>
      </c>
      <c r="P260" s="5" t="s">
        <v>85</v>
      </c>
      <c r="Q260" s="5" t="s">
        <v>86</v>
      </c>
      <c r="R260" s="5" t="s">
        <v>86</v>
      </c>
      <c r="T260" s="390">
        <v>3</v>
      </c>
      <c r="U260" s="5" t="s">
        <v>97</v>
      </c>
      <c r="W260" s="5" t="s">
        <v>2468</v>
      </c>
      <c r="X260" s="5" t="s">
        <v>102</v>
      </c>
      <c r="AA260" s="586" t="s">
        <v>85</v>
      </c>
      <c r="AB260" s="5" t="s">
        <v>2469</v>
      </c>
      <c r="AC260" s="5" t="s">
        <v>2470</v>
      </c>
      <c r="AD260" s="5" t="s">
        <v>86</v>
      </c>
      <c r="AF260" s="5">
        <v>31</v>
      </c>
      <c r="AG260" s="5">
        <v>1870</v>
      </c>
      <c r="AH260" s="5" t="s">
        <v>85</v>
      </c>
      <c r="AI260" s="5" t="s">
        <v>2471</v>
      </c>
      <c r="AJ260" s="5">
        <v>31</v>
      </c>
      <c r="AK260" s="5">
        <v>234</v>
      </c>
      <c r="AL260" s="5">
        <v>108</v>
      </c>
      <c r="AM260" s="5">
        <v>126</v>
      </c>
      <c r="AN260" s="5">
        <v>0</v>
      </c>
      <c r="AO260" s="5">
        <v>31</v>
      </c>
      <c r="AP260" s="5">
        <v>0</v>
      </c>
      <c r="AQ260" s="5">
        <v>0</v>
      </c>
      <c r="AT260" s="5">
        <v>0</v>
      </c>
      <c r="AU260" s="5">
        <v>0</v>
      </c>
      <c r="AX260" s="5">
        <v>0</v>
      </c>
      <c r="AY260" s="5" t="s">
        <v>85</v>
      </c>
      <c r="AZ260" s="5">
        <v>3</v>
      </c>
      <c r="BA260" s="5">
        <v>11</v>
      </c>
      <c r="BB260" s="5">
        <v>3</v>
      </c>
      <c r="BC260" s="5">
        <v>8</v>
      </c>
      <c r="BD260" s="5">
        <v>3</v>
      </c>
      <c r="BE260" s="5">
        <v>0</v>
      </c>
      <c r="BF260" s="5">
        <v>0</v>
      </c>
      <c r="BH260" s="5">
        <v>0</v>
      </c>
      <c r="BI260" s="5">
        <v>0</v>
      </c>
      <c r="BL260" s="5">
        <v>0</v>
      </c>
      <c r="BM260" s="5">
        <v>0</v>
      </c>
      <c r="BN260" s="5" t="s">
        <v>86</v>
      </c>
      <c r="CD260" s="5">
        <v>0</v>
      </c>
      <c r="CF260" s="1442" t="str">
        <f>IF([1]!sommaire[[#This Row],[présence des personnes déplacés interne]]="Oui","1","0")</f>
        <v>1</v>
      </c>
      <c r="CG260" s="1442" t="str">
        <f>IF([1]!sommaire[[#This Row],[présence Réfugié hors camp]]="Oui","1","0")</f>
        <v>1</v>
      </c>
      <c r="CH260" s="1442" t="str">
        <f>IF([1]!sommaire[[#This Row],[présence personnes retournées]]="Oui","1","0")</f>
        <v>0</v>
      </c>
      <c r="CI260" s="1442">
        <f>[1]!sommaire[[#This Row],[Flag PDI]]+[1]!sommaire[[#This Row],[Flag REF]]+[1]!sommaire[[#This Row],[Flag RET]]</f>
        <v>2</v>
      </c>
    </row>
    <row r="261" spans="1:87" ht="14.55" customHeight="1" x14ac:dyDescent="0.3">
      <c r="A261" s="390">
        <v>2632518</v>
      </c>
      <c r="B261" s="5" t="s">
        <v>533</v>
      </c>
      <c r="C261" s="1430" t="s">
        <v>3449</v>
      </c>
      <c r="D261" s="1090" t="s">
        <v>534</v>
      </c>
      <c r="E261" s="5" t="s">
        <v>31</v>
      </c>
      <c r="F261" s="5" t="s">
        <v>31</v>
      </c>
      <c r="G261" s="5" t="s">
        <v>549</v>
      </c>
      <c r="H261" s="5" t="s">
        <v>2797</v>
      </c>
      <c r="I261" s="5" t="str">
        <f>_xlfn.XLOOKUP(sommaire[[#This Row],[Arrondissement_code]],OCHA_GIS!$F:$F,OCHA_GIS!$E:$E,,)</f>
        <v>Hilé - Alifa</v>
      </c>
      <c r="J261" s="5" t="s">
        <v>767</v>
      </c>
      <c r="K261" t="s">
        <v>2540</v>
      </c>
      <c r="L261" s="5" t="s">
        <v>787</v>
      </c>
      <c r="N261" s="5" t="s">
        <v>3053</v>
      </c>
      <c r="O261" s="5" t="s">
        <v>2467</v>
      </c>
      <c r="P261" s="5" t="s">
        <v>85</v>
      </c>
      <c r="Q261" s="5" t="s">
        <v>86</v>
      </c>
      <c r="R261" s="5" t="s">
        <v>86</v>
      </c>
      <c r="T261" s="390">
        <v>3</v>
      </c>
      <c r="U261" s="5" t="s">
        <v>97</v>
      </c>
      <c r="W261" s="5" t="s">
        <v>2468</v>
      </c>
      <c r="X261" s="5" t="s">
        <v>102</v>
      </c>
      <c r="AA261" s="5" t="s">
        <v>85</v>
      </c>
      <c r="AB261" s="5" t="s">
        <v>2469</v>
      </c>
      <c r="AC261" s="5" t="s">
        <v>2470</v>
      </c>
      <c r="AD261" s="5" t="s">
        <v>86</v>
      </c>
      <c r="AF261" s="5">
        <v>29</v>
      </c>
      <c r="AG261" s="5">
        <v>1030</v>
      </c>
      <c r="AH261" s="5" t="s">
        <v>85</v>
      </c>
      <c r="AI261" s="5" t="s">
        <v>2471</v>
      </c>
      <c r="AJ261" s="5">
        <v>29</v>
      </c>
      <c r="AK261" s="5">
        <v>194</v>
      </c>
      <c r="AL261" s="5">
        <v>84</v>
      </c>
      <c r="AM261" s="5">
        <v>110</v>
      </c>
      <c r="AN261" s="5">
        <v>0</v>
      </c>
      <c r="AO261" s="5">
        <v>29</v>
      </c>
      <c r="AP261" s="5">
        <v>0</v>
      </c>
      <c r="AQ261" s="5">
        <v>0</v>
      </c>
      <c r="AT261" s="5">
        <v>0</v>
      </c>
      <c r="AU261" s="5">
        <v>0</v>
      </c>
      <c r="AX261" s="5">
        <v>0</v>
      </c>
      <c r="AY261" s="5" t="s">
        <v>85</v>
      </c>
      <c r="AZ261" s="5">
        <v>7</v>
      </c>
      <c r="BA261" s="5">
        <v>49</v>
      </c>
      <c r="BB261" s="5">
        <v>20</v>
      </c>
      <c r="BC261" s="5">
        <v>29</v>
      </c>
      <c r="BD261" s="5">
        <v>7</v>
      </c>
      <c r="BE261" s="5">
        <v>0</v>
      </c>
      <c r="BF261" s="5">
        <v>0</v>
      </c>
      <c r="BH261" s="5">
        <v>0</v>
      </c>
      <c r="BI261" s="5">
        <v>0</v>
      </c>
      <c r="BL261" s="5">
        <v>0</v>
      </c>
      <c r="BM261" s="5">
        <v>0</v>
      </c>
      <c r="BN261" s="5" t="s">
        <v>86</v>
      </c>
      <c r="CD261" s="5">
        <v>0</v>
      </c>
      <c r="CF261" s="1442" t="str">
        <f>IF([1]!sommaire[[#This Row],[présence des personnes déplacés interne]]="Oui","1","0")</f>
        <v>1</v>
      </c>
      <c r="CG261" s="1442" t="str">
        <f>IF([1]!sommaire[[#This Row],[présence Réfugié hors camp]]="Oui","1","0")</f>
        <v>1</v>
      </c>
      <c r="CH261" s="1442" t="str">
        <f>IF([1]!sommaire[[#This Row],[présence personnes retournées]]="Oui","1","0")</f>
        <v>0</v>
      </c>
      <c r="CI261" s="1442">
        <f>[1]!sommaire[[#This Row],[Flag PDI]]+[1]!sommaire[[#This Row],[Flag REF]]+[1]!sommaire[[#This Row],[Flag RET]]</f>
        <v>2</v>
      </c>
    </row>
    <row r="262" spans="1:87" ht="14.55" customHeight="1" x14ac:dyDescent="0.3">
      <c r="A262" s="390">
        <v>2632170</v>
      </c>
      <c r="B262" s="5" t="s">
        <v>533</v>
      </c>
      <c r="C262" s="1430" t="s">
        <v>3449</v>
      </c>
      <c r="D262" s="1090" t="s">
        <v>534</v>
      </c>
      <c r="E262" s="5" t="s">
        <v>31</v>
      </c>
      <c r="F262" s="5" t="s">
        <v>31</v>
      </c>
      <c r="G262" s="5" t="s">
        <v>549</v>
      </c>
      <c r="H262" s="5" t="s">
        <v>2797</v>
      </c>
      <c r="I262" s="5" t="str">
        <f>_xlfn.XLOOKUP(sommaire[[#This Row],[Arrondissement_code]],OCHA_GIS!$F:$F,OCHA_GIS!$E:$E,,)</f>
        <v>Hilé - Alifa</v>
      </c>
      <c r="J262" s="5" t="s">
        <v>767</v>
      </c>
      <c r="K262" t="s">
        <v>1231</v>
      </c>
      <c r="L262" s="5" t="s">
        <v>788</v>
      </c>
      <c r="N262" s="5" t="s">
        <v>3053</v>
      </c>
      <c r="O262" s="5" t="s">
        <v>2467</v>
      </c>
      <c r="P262" s="5" t="s">
        <v>85</v>
      </c>
      <c r="Q262" s="5" t="s">
        <v>86</v>
      </c>
      <c r="R262" s="5" t="s">
        <v>86</v>
      </c>
      <c r="T262" s="390">
        <v>3</v>
      </c>
      <c r="U262" s="5" t="s">
        <v>97</v>
      </c>
      <c r="W262" s="5" t="s">
        <v>2468</v>
      </c>
      <c r="X262" s="1090" t="s">
        <v>102</v>
      </c>
      <c r="AA262" s="1090" t="s">
        <v>85</v>
      </c>
      <c r="AB262" s="5" t="s">
        <v>2469</v>
      </c>
      <c r="AC262" s="5" t="s">
        <v>2470</v>
      </c>
      <c r="AD262" s="5" t="s">
        <v>86</v>
      </c>
      <c r="AF262" s="5">
        <v>11</v>
      </c>
      <c r="AG262" s="5">
        <v>2042</v>
      </c>
      <c r="AH262" s="5" t="s">
        <v>85</v>
      </c>
      <c r="AI262" s="5" t="s">
        <v>2471</v>
      </c>
      <c r="AJ262" s="5">
        <v>11</v>
      </c>
      <c r="AK262" s="5">
        <v>77</v>
      </c>
      <c r="AL262" s="5">
        <v>40</v>
      </c>
      <c r="AM262" s="5">
        <v>37</v>
      </c>
      <c r="AN262" s="5">
        <v>0</v>
      </c>
      <c r="AO262" s="5">
        <v>11</v>
      </c>
      <c r="AP262" s="5">
        <v>0</v>
      </c>
      <c r="AQ262" s="5">
        <v>0</v>
      </c>
      <c r="AT262" s="5">
        <v>0</v>
      </c>
      <c r="AU262" s="5">
        <v>0</v>
      </c>
      <c r="AX262" s="5">
        <v>0</v>
      </c>
      <c r="AY262" s="1090" t="s">
        <v>85</v>
      </c>
      <c r="AZ262" s="5">
        <v>4</v>
      </c>
      <c r="BA262" s="5">
        <v>40</v>
      </c>
      <c r="BB262" s="5">
        <v>20</v>
      </c>
      <c r="BC262" s="5">
        <v>20</v>
      </c>
      <c r="BD262" s="5">
        <v>4</v>
      </c>
      <c r="BE262" s="5">
        <v>0</v>
      </c>
      <c r="BF262" s="5">
        <v>0</v>
      </c>
      <c r="BH262" s="5">
        <v>0</v>
      </c>
      <c r="BI262" s="5">
        <v>0</v>
      </c>
      <c r="BL262" s="5">
        <v>0</v>
      </c>
      <c r="BM262" s="5">
        <v>0</v>
      </c>
      <c r="BN262" s="1090" t="s">
        <v>86</v>
      </c>
      <c r="CD262" s="5">
        <v>0</v>
      </c>
      <c r="CF262" s="1442" t="str">
        <f>IF([1]!sommaire[[#This Row],[présence des personnes déplacés interne]]="Oui","1","0")</f>
        <v>1</v>
      </c>
      <c r="CG262" s="1442" t="str">
        <f>IF([1]!sommaire[[#This Row],[présence Réfugié hors camp]]="Oui","1","0")</f>
        <v>1</v>
      </c>
      <c r="CH262" s="1442" t="str">
        <f>IF([1]!sommaire[[#This Row],[présence personnes retournées]]="Oui","1","0")</f>
        <v>0</v>
      </c>
      <c r="CI262" s="1442">
        <f>[1]!sommaire[[#This Row],[Flag PDI]]+[1]!sommaire[[#This Row],[Flag REF]]+[1]!sommaire[[#This Row],[Flag RET]]</f>
        <v>2</v>
      </c>
    </row>
    <row r="263" spans="1:87" ht="14.55" customHeight="1" x14ac:dyDescent="0.3">
      <c r="A263" s="390">
        <v>2639473</v>
      </c>
      <c r="B263" s="5" t="s">
        <v>533</v>
      </c>
      <c r="C263" s="1430" t="s">
        <v>3449</v>
      </c>
      <c r="D263" s="1090" t="s">
        <v>534</v>
      </c>
      <c r="E263" s="5" t="s">
        <v>31</v>
      </c>
      <c r="F263" s="5" t="s">
        <v>31</v>
      </c>
      <c r="G263" s="5" t="s">
        <v>549</v>
      </c>
      <c r="H263" s="5" t="s">
        <v>2797</v>
      </c>
      <c r="I263" s="5" t="str">
        <f>_xlfn.XLOOKUP(sommaire[[#This Row],[Arrondissement_code]],OCHA_GIS!$F:$F,OCHA_GIS!$E:$E,,)</f>
        <v>Hilé - Alifa</v>
      </c>
      <c r="J263" s="5" t="s">
        <v>767</v>
      </c>
      <c r="K263" t="s">
        <v>1200</v>
      </c>
      <c r="L263" s="5" t="s">
        <v>2214</v>
      </c>
      <c r="N263" s="5" t="s">
        <v>3053</v>
      </c>
      <c r="O263" s="5" t="s">
        <v>2467</v>
      </c>
      <c r="P263" s="5" t="s">
        <v>85</v>
      </c>
      <c r="Q263" s="5" t="s">
        <v>86</v>
      </c>
      <c r="R263" s="5" t="s">
        <v>86</v>
      </c>
      <c r="T263" s="390">
        <v>3</v>
      </c>
      <c r="U263" s="5" t="s">
        <v>97</v>
      </c>
      <c r="W263" s="5" t="s">
        <v>2468</v>
      </c>
      <c r="X263" s="1090" t="s">
        <v>102</v>
      </c>
      <c r="AA263" s="1090" t="s">
        <v>85</v>
      </c>
      <c r="AB263" s="5" t="s">
        <v>2469</v>
      </c>
      <c r="AC263" s="5" t="s">
        <v>2473</v>
      </c>
      <c r="AD263" s="5" t="s">
        <v>86</v>
      </c>
      <c r="AF263" s="5">
        <v>51</v>
      </c>
      <c r="AG263" s="5">
        <v>458</v>
      </c>
      <c r="AH263" s="5" t="s">
        <v>85</v>
      </c>
      <c r="AI263" s="5" t="s">
        <v>2471</v>
      </c>
      <c r="AJ263" s="5">
        <v>51</v>
      </c>
      <c r="AK263" s="5">
        <v>308</v>
      </c>
      <c r="AL263" s="5">
        <v>150</v>
      </c>
      <c r="AM263" s="5">
        <v>158</v>
      </c>
      <c r="AN263" s="5">
        <v>0</v>
      </c>
      <c r="AO263" s="5">
        <v>1</v>
      </c>
      <c r="AP263" s="5">
        <v>0</v>
      </c>
      <c r="AQ263" s="5">
        <v>0</v>
      </c>
      <c r="AT263" s="5">
        <v>0</v>
      </c>
      <c r="AU263" s="5">
        <v>50</v>
      </c>
      <c r="AV263" s="5" t="s">
        <v>2490</v>
      </c>
      <c r="AX263" s="5">
        <v>0</v>
      </c>
      <c r="AY263" s="1090" t="s">
        <v>85</v>
      </c>
      <c r="AZ263" s="5">
        <v>7</v>
      </c>
      <c r="BA263" s="5">
        <v>41</v>
      </c>
      <c r="BB263" s="5">
        <v>20</v>
      </c>
      <c r="BC263" s="5">
        <v>21</v>
      </c>
      <c r="BD263" s="5">
        <v>7</v>
      </c>
      <c r="BE263" s="5">
        <v>0</v>
      </c>
      <c r="BF263" s="5">
        <v>0</v>
      </c>
      <c r="BH263" s="5">
        <v>0</v>
      </c>
      <c r="BI263" s="5">
        <v>0</v>
      </c>
      <c r="BL263" s="5">
        <v>0</v>
      </c>
      <c r="BM263" s="5">
        <v>0</v>
      </c>
      <c r="BN263" s="1090" t="s">
        <v>86</v>
      </c>
      <c r="CD263" s="5">
        <v>0</v>
      </c>
      <c r="CF263" s="1442" t="str">
        <f>IF([1]!sommaire[[#This Row],[présence des personnes déplacés interne]]="Oui","1","0")</f>
        <v>1</v>
      </c>
      <c r="CG263" s="1442" t="str">
        <f>IF([1]!sommaire[[#This Row],[présence Réfugié hors camp]]="Oui","1","0")</f>
        <v>1</v>
      </c>
      <c r="CH263" s="1442" t="str">
        <f>IF([1]!sommaire[[#This Row],[présence personnes retournées]]="Oui","1","0")</f>
        <v>0</v>
      </c>
      <c r="CI263" s="1442">
        <f>[1]!sommaire[[#This Row],[Flag PDI]]+[1]!sommaire[[#This Row],[Flag REF]]+[1]!sommaire[[#This Row],[Flag RET]]</f>
        <v>2</v>
      </c>
    </row>
    <row r="264" spans="1:87" ht="14.55" customHeight="1" x14ac:dyDescent="0.3">
      <c r="A264" s="390">
        <v>2632171</v>
      </c>
      <c r="B264" s="5" t="s">
        <v>533</v>
      </c>
      <c r="C264" s="1430" t="s">
        <v>3449</v>
      </c>
      <c r="D264" s="1090" t="s">
        <v>534</v>
      </c>
      <c r="E264" s="5" t="s">
        <v>31</v>
      </c>
      <c r="F264" s="5" t="s">
        <v>31</v>
      </c>
      <c r="G264" s="5" t="s">
        <v>549</v>
      </c>
      <c r="H264" s="5" t="s">
        <v>2797</v>
      </c>
      <c r="I264" s="5" t="str">
        <f>_xlfn.XLOOKUP(sommaire[[#This Row],[Arrondissement_code]],OCHA_GIS!$F:$F,OCHA_GIS!$E:$E,,)</f>
        <v>Hilé - Alifa</v>
      </c>
      <c r="J264" s="5" t="s">
        <v>767</v>
      </c>
      <c r="K264" t="s">
        <v>1227</v>
      </c>
      <c r="L264" s="5" t="s">
        <v>789</v>
      </c>
      <c r="N264" s="5" t="s">
        <v>3053</v>
      </c>
      <c r="O264" s="5" t="s">
        <v>2467</v>
      </c>
      <c r="P264" s="5" t="s">
        <v>85</v>
      </c>
      <c r="Q264" s="5" t="s">
        <v>86</v>
      </c>
      <c r="R264" s="5" t="s">
        <v>86</v>
      </c>
      <c r="T264" s="390">
        <v>3</v>
      </c>
      <c r="U264" s="5" t="s">
        <v>97</v>
      </c>
      <c r="W264" s="5" t="s">
        <v>2468</v>
      </c>
      <c r="X264" s="5" t="s">
        <v>102</v>
      </c>
      <c r="AA264" s="5" t="s">
        <v>85</v>
      </c>
      <c r="AB264" s="5" t="s">
        <v>2469</v>
      </c>
      <c r="AC264" s="5" t="s">
        <v>2470</v>
      </c>
      <c r="AD264" s="5" t="s">
        <v>86</v>
      </c>
      <c r="AF264" s="5">
        <v>42</v>
      </c>
      <c r="AG264" s="5">
        <v>1231</v>
      </c>
      <c r="AH264" s="5" t="s">
        <v>85</v>
      </c>
      <c r="AI264" s="5" t="s">
        <v>2471</v>
      </c>
      <c r="AJ264" s="5">
        <v>42</v>
      </c>
      <c r="AK264" s="5">
        <v>272</v>
      </c>
      <c r="AL264" s="5">
        <v>134</v>
      </c>
      <c r="AM264" s="5">
        <v>138</v>
      </c>
      <c r="AN264" s="5">
        <v>0</v>
      </c>
      <c r="AO264" s="5">
        <v>42</v>
      </c>
      <c r="AP264" s="5">
        <v>0</v>
      </c>
      <c r="AQ264" s="5">
        <v>0</v>
      </c>
      <c r="AT264" s="5">
        <v>0</v>
      </c>
      <c r="AU264" s="5">
        <v>0</v>
      </c>
      <c r="AX264" s="5">
        <v>0</v>
      </c>
      <c r="AY264" s="5" t="s">
        <v>85</v>
      </c>
      <c r="AZ264" s="5">
        <v>4</v>
      </c>
      <c r="BA264" s="5">
        <v>31</v>
      </c>
      <c r="BB264" s="5">
        <v>16</v>
      </c>
      <c r="BC264" s="5">
        <v>15</v>
      </c>
      <c r="BD264" s="5">
        <v>4</v>
      </c>
      <c r="BE264" s="5">
        <v>0</v>
      </c>
      <c r="BF264" s="5">
        <v>0</v>
      </c>
      <c r="BH264" s="5">
        <v>0</v>
      </c>
      <c r="BI264" s="5">
        <v>0</v>
      </c>
      <c r="BL264" s="5">
        <v>0</v>
      </c>
      <c r="BM264" s="5">
        <v>0</v>
      </c>
      <c r="BN264" s="5" t="s">
        <v>86</v>
      </c>
      <c r="CD264" s="5">
        <v>0</v>
      </c>
      <c r="CF264" s="1442" t="str">
        <f>IF([1]!sommaire[[#This Row],[présence des personnes déplacés interne]]="Oui","1","0")</f>
        <v>1</v>
      </c>
      <c r="CG264" s="1442" t="str">
        <f>IF([1]!sommaire[[#This Row],[présence Réfugié hors camp]]="Oui","1","0")</f>
        <v>1</v>
      </c>
      <c r="CH264" s="1442" t="str">
        <f>IF([1]!sommaire[[#This Row],[présence personnes retournées]]="Oui","1","0")</f>
        <v>0</v>
      </c>
      <c r="CI264" s="1442">
        <f>[1]!sommaire[[#This Row],[Flag PDI]]+[1]!sommaire[[#This Row],[Flag REF]]+[1]!sommaire[[#This Row],[Flag RET]]</f>
        <v>2</v>
      </c>
    </row>
    <row r="265" spans="1:87" ht="14.55" customHeight="1" x14ac:dyDescent="0.3">
      <c r="A265" s="390">
        <v>2657907</v>
      </c>
      <c r="B265" s="5" t="s">
        <v>533</v>
      </c>
      <c r="C265" s="1430" t="s">
        <v>3449</v>
      </c>
      <c r="D265" s="1090" t="s">
        <v>534</v>
      </c>
      <c r="E265" s="5" t="s">
        <v>31</v>
      </c>
      <c r="F265" s="5" t="s">
        <v>31</v>
      </c>
      <c r="G265" s="5" t="s">
        <v>549</v>
      </c>
      <c r="H265" s="5" t="s">
        <v>2797</v>
      </c>
      <c r="I265" s="5" t="str">
        <f>_xlfn.XLOOKUP(sommaire[[#This Row],[Arrondissement_code]],OCHA_GIS!$F:$F,OCHA_GIS!$E:$E,,)</f>
        <v>Hilé - Alifa</v>
      </c>
      <c r="J265" s="5" t="s">
        <v>767</v>
      </c>
      <c r="K265" t="s">
        <v>2880</v>
      </c>
      <c r="L265" s="5" t="s">
        <v>1449</v>
      </c>
      <c r="N265" s="5" t="s">
        <v>3053</v>
      </c>
      <c r="O265" s="5" t="s">
        <v>2467</v>
      </c>
      <c r="P265" s="5" t="s">
        <v>85</v>
      </c>
      <c r="Q265" s="5" t="s">
        <v>86</v>
      </c>
      <c r="R265" s="5" t="s">
        <v>86</v>
      </c>
      <c r="T265" s="390">
        <v>3</v>
      </c>
      <c r="U265" s="5" t="s">
        <v>98</v>
      </c>
      <c r="W265" s="5" t="s">
        <v>2468</v>
      </c>
      <c r="X265" s="5" t="s">
        <v>102</v>
      </c>
      <c r="AA265" s="5" t="s">
        <v>85</v>
      </c>
      <c r="AB265" s="5" t="s">
        <v>2469</v>
      </c>
      <c r="AC265" s="5" t="s">
        <v>2470</v>
      </c>
      <c r="AD265" s="5" t="s">
        <v>86</v>
      </c>
      <c r="AF265" s="5">
        <v>21</v>
      </c>
      <c r="AG265" s="5">
        <v>2207</v>
      </c>
      <c r="AH265" s="5" t="s">
        <v>85</v>
      </c>
      <c r="AI265" s="5" t="s">
        <v>2471</v>
      </c>
      <c r="AJ265" s="5">
        <v>21</v>
      </c>
      <c r="AK265" s="5">
        <v>157</v>
      </c>
      <c r="AL265" s="5">
        <v>75</v>
      </c>
      <c r="AM265" s="5">
        <v>82</v>
      </c>
      <c r="AN265" s="5">
        <v>0</v>
      </c>
      <c r="AO265" s="5">
        <v>21</v>
      </c>
      <c r="AP265" s="5">
        <v>0</v>
      </c>
      <c r="AQ265" s="5">
        <v>0</v>
      </c>
      <c r="AT265" s="5">
        <v>0</v>
      </c>
      <c r="AU265" s="5">
        <v>0</v>
      </c>
      <c r="AX265" s="5">
        <v>0</v>
      </c>
      <c r="AY265" s="5" t="s">
        <v>85</v>
      </c>
      <c r="AZ265" s="5">
        <v>41</v>
      </c>
      <c r="BA265" s="5">
        <v>342</v>
      </c>
      <c r="BB265" s="5">
        <v>159</v>
      </c>
      <c r="BC265" s="5">
        <v>183</v>
      </c>
      <c r="BD265" s="5">
        <v>41</v>
      </c>
      <c r="BE265" s="5">
        <v>0</v>
      </c>
      <c r="BF265" s="5">
        <v>0</v>
      </c>
      <c r="BH265" s="5">
        <v>0</v>
      </c>
      <c r="BI265" s="5">
        <v>0</v>
      </c>
      <c r="BL265" s="5">
        <v>0</v>
      </c>
      <c r="BM265" s="5">
        <v>0</v>
      </c>
      <c r="BN265" s="5" t="s">
        <v>85</v>
      </c>
      <c r="BO265" s="5">
        <v>144</v>
      </c>
      <c r="BP265" s="5">
        <v>1159</v>
      </c>
      <c r="BQ265" s="5">
        <v>479</v>
      </c>
      <c r="BR265" s="5">
        <v>680</v>
      </c>
      <c r="BS265" s="5" t="s">
        <v>2535</v>
      </c>
      <c r="BT265" s="5">
        <v>0</v>
      </c>
      <c r="BU265" s="5">
        <v>133</v>
      </c>
      <c r="BV265" s="5">
        <v>11</v>
      </c>
      <c r="BW265" s="5">
        <v>0</v>
      </c>
      <c r="BX265" s="5">
        <v>0</v>
      </c>
      <c r="BZ265" s="5">
        <v>0</v>
      </c>
      <c r="CA265" s="5">
        <v>0</v>
      </c>
      <c r="CC265" s="5">
        <v>0</v>
      </c>
      <c r="CD265" s="5">
        <v>0</v>
      </c>
      <c r="CF265" s="1442" t="str">
        <f>IF([1]!sommaire[[#This Row],[présence des personnes déplacés interne]]="Oui","1","0")</f>
        <v>1</v>
      </c>
      <c r="CG265" s="1442" t="str">
        <f>IF([1]!sommaire[[#This Row],[présence Réfugié hors camp]]="Oui","1","0")</f>
        <v>1</v>
      </c>
      <c r="CH265" s="1442" t="str">
        <f>IF([1]!sommaire[[#This Row],[présence personnes retournées]]="Oui","1","0")</f>
        <v>1</v>
      </c>
      <c r="CI265" s="1442">
        <f>[1]!sommaire[[#This Row],[Flag PDI]]+[1]!sommaire[[#This Row],[Flag REF]]+[1]!sommaire[[#This Row],[Flag RET]]</f>
        <v>3</v>
      </c>
    </row>
    <row r="266" spans="1:87" ht="14.55" customHeight="1" x14ac:dyDescent="0.3">
      <c r="A266" s="390">
        <v>2603578</v>
      </c>
      <c r="B266" s="5" t="s">
        <v>533</v>
      </c>
      <c r="C266" s="1430" t="s">
        <v>3449</v>
      </c>
      <c r="D266" s="1090" t="s">
        <v>534</v>
      </c>
      <c r="E266" s="5" t="s">
        <v>31</v>
      </c>
      <c r="F266" s="5" t="s">
        <v>31</v>
      </c>
      <c r="G266" s="5" t="s">
        <v>549</v>
      </c>
      <c r="H266" s="5" t="s">
        <v>2797</v>
      </c>
      <c r="I266" s="5" t="str">
        <f>_xlfn.XLOOKUP(sommaire[[#This Row],[Arrondissement_code]],OCHA_GIS!$F:$F,OCHA_GIS!$E:$E,,)</f>
        <v>Hilé - Alifa</v>
      </c>
      <c r="J266" s="5" t="s">
        <v>767</v>
      </c>
      <c r="K266" t="s">
        <v>1448</v>
      </c>
      <c r="L266" s="5" t="s">
        <v>783</v>
      </c>
      <c r="N266" s="5" t="s">
        <v>3052</v>
      </c>
      <c r="O266" s="5" t="s">
        <v>2467</v>
      </c>
      <c r="P266" s="5" t="s">
        <v>85</v>
      </c>
      <c r="Q266" s="5" t="s">
        <v>86</v>
      </c>
      <c r="R266" s="5" t="s">
        <v>86</v>
      </c>
      <c r="T266" s="390">
        <v>3</v>
      </c>
      <c r="U266" s="5" t="s">
        <v>97</v>
      </c>
      <c r="V266" s="1090"/>
      <c r="W266" s="5" t="s">
        <v>2468</v>
      </c>
      <c r="X266" s="1090" t="s">
        <v>102</v>
      </c>
      <c r="AA266" s="1090" t="s">
        <v>85</v>
      </c>
      <c r="AB266" s="5" t="s">
        <v>2469</v>
      </c>
      <c r="AC266" s="5" t="s">
        <v>2473</v>
      </c>
      <c r="AD266" s="5" t="s">
        <v>86</v>
      </c>
      <c r="AF266" s="5">
        <v>448</v>
      </c>
      <c r="AG266" s="5">
        <v>6269</v>
      </c>
      <c r="AH266" s="5" t="s">
        <v>85</v>
      </c>
      <c r="AI266" s="5" t="s">
        <v>2471</v>
      </c>
      <c r="AJ266" s="5">
        <v>448</v>
      </c>
      <c r="AK266" s="5">
        <v>3304</v>
      </c>
      <c r="AL266" s="5">
        <v>1578</v>
      </c>
      <c r="AM266" s="5">
        <v>1726</v>
      </c>
      <c r="AN266" s="5">
        <v>0</v>
      </c>
      <c r="AO266" s="5">
        <v>350</v>
      </c>
      <c r="AP266" s="5">
        <v>0</v>
      </c>
      <c r="AQ266" s="5">
        <v>0</v>
      </c>
      <c r="AT266" s="5">
        <v>0</v>
      </c>
      <c r="AU266" s="5">
        <v>98</v>
      </c>
      <c r="AV266" s="5" t="s">
        <v>2475</v>
      </c>
      <c r="AX266" s="5">
        <v>0</v>
      </c>
      <c r="AY266" s="1090" t="s">
        <v>86</v>
      </c>
      <c r="BN266" s="1090" t="s">
        <v>86</v>
      </c>
      <c r="CD266" s="5">
        <v>0</v>
      </c>
      <c r="CF266" s="1442" t="str">
        <f>IF([1]!sommaire[[#This Row],[présence des personnes déplacés interne]]="Oui","1","0")</f>
        <v>1</v>
      </c>
      <c r="CG266" s="1442" t="str">
        <f>IF([1]!sommaire[[#This Row],[présence Réfugié hors camp]]="Oui","1","0")</f>
        <v>0</v>
      </c>
      <c r="CH266" s="1442" t="str">
        <f>IF([1]!sommaire[[#This Row],[présence personnes retournées]]="Oui","1","0")</f>
        <v>0</v>
      </c>
      <c r="CI266" s="1442">
        <f>[1]!sommaire[[#This Row],[Flag PDI]]+[1]!sommaire[[#This Row],[Flag REF]]+[1]!sommaire[[#This Row],[Flag RET]]</f>
        <v>1</v>
      </c>
    </row>
    <row r="267" spans="1:87" ht="14.55" customHeight="1" x14ac:dyDescent="0.3">
      <c r="A267" s="390">
        <v>2598053</v>
      </c>
      <c r="B267" s="5" t="s">
        <v>533</v>
      </c>
      <c r="C267" s="1430" t="s">
        <v>3449</v>
      </c>
      <c r="D267" s="1090" t="s">
        <v>534</v>
      </c>
      <c r="E267" s="5" t="s">
        <v>31</v>
      </c>
      <c r="F267" s="5" t="s">
        <v>31</v>
      </c>
      <c r="G267" s="5" t="s">
        <v>549</v>
      </c>
      <c r="H267" s="5" t="s">
        <v>2797</v>
      </c>
      <c r="I267" s="5" t="str">
        <f>_xlfn.XLOOKUP(sommaire[[#This Row],[Arrondissement_code]],OCHA_GIS!$F:$F,OCHA_GIS!$E:$E,,)</f>
        <v>Hilé - Alifa</v>
      </c>
      <c r="J267" s="5" t="s">
        <v>767</v>
      </c>
      <c r="K267" t="s">
        <v>2896</v>
      </c>
      <c r="L267" s="5" t="s">
        <v>1230</v>
      </c>
      <c r="N267" s="5" t="s">
        <v>3052</v>
      </c>
      <c r="O267" s="5" t="s">
        <v>2467</v>
      </c>
      <c r="P267" s="5" t="s">
        <v>85</v>
      </c>
      <c r="Q267" s="5" t="s">
        <v>86</v>
      </c>
      <c r="R267" s="5" t="s">
        <v>86</v>
      </c>
      <c r="T267" s="390">
        <v>3</v>
      </c>
      <c r="U267" s="5" t="s">
        <v>97</v>
      </c>
      <c r="W267" s="5" t="s">
        <v>2468</v>
      </c>
      <c r="X267" s="1090" t="s">
        <v>102</v>
      </c>
      <c r="AA267" s="1090" t="s">
        <v>85</v>
      </c>
      <c r="AB267" s="5" t="s">
        <v>2469</v>
      </c>
      <c r="AC267" s="5" t="s">
        <v>2470</v>
      </c>
      <c r="AD267" s="5" t="s">
        <v>86</v>
      </c>
      <c r="AF267" s="5">
        <v>823</v>
      </c>
      <c r="AG267" s="5">
        <v>7343</v>
      </c>
      <c r="AH267" s="5" t="s">
        <v>85</v>
      </c>
      <c r="AI267" s="5" t="s">
        <v>2471</v>
      </c>
      <c r="AJ267" s="5">
        <v>823</v>
      </c>
      <c r="AK267" s="5">
        <v>5044</v>
      </c>
      <c r="AL267" s="5">
        <v>2504</v>
      </c>
      <c r="AM267" s="5">
        <v>2540</v>
      </c>
      <c r="AN267" s="5">
        <v>33</v>
      </c>
      <c r="AO267" s="5">
        <v>390</v>
      </c>
      <c r="AP267" s="5">
        <v>0</v>
      </c>
      <c r="AQ267" s="5">
        <v>0</v>
      </c>
      <c r="AT267" s="5">
        <v>0</v>
      </c>
      <c r="AU267" s="5">
        <v>400</v>
      </c>
      <c r="AV267" s="5" t="s">
        <v>2490</v>
      </c>
      <c r="AX267" s="5">
        <v>0</v>
      </c>
      <c r="AY267" s="1090" t="s">
        <v>85</v>
      </c>
      <c r="AZ267" s="5">
        <v>15</v>
      </c>
      <c r="BA267" s="5">
        <v>100</v>
      </c>
      <c r="BB267" s="5">
        <v>45</v>
      </c>
      <c r="BC267" s="5">
        <v>55</v>
      </c>
      <c r="BD267" s="5">
        <v>10</v>
      </c>
      <c r="BE267" s="5">
        <v>0</v>
      </c>
      <c r="BF267" s="5">
        <v>0</v>
      </c>
      <c r="BH267" s="5">
        <v>0</v>
      </c>
      <c r="BI267" s="5">
        <v>5</v>
      </c>
      <c r="BJ267" s="5" t="s">
        <v>2475</v>
      </c>
      <c r="BL267" s="5">
        <v>0</v>
      </c>
      <c r="BM267" s="5">
        <v>0</v>
      </c>
      <c r="BN267" s="1090" t="s">
        <v>86</v>
      </c>
      <c r="CD267" s="5">
        <v>0</v>
      </c>
      <c r="CF267" s="1442" t="str">
        <f>IF([1]!sommaire[[#This Row],[présence des personnes déplacés interne]]="Oui","1","0")</f>
        <v>1</v>
      </c>
      <c r="CG267" s="1442" t="str">
        <f>IF([1]!sommaire[[#This Row],[présence Réfugié hors camp]]="Oui","1","0")</f>
        <v>1</v>
      </c>
      <c r="CH267" s="1442" t="str">
        <f>IF([1]!sommaire[[#This Row],[présence personnes retournées]]="Oui","1","0")</f>
        <v>0</v>
      </c>
      <c r="CI267" s="1442">
        <f>[1]!sommaire[[#This Row],[Flag PDI]]+[1]!sommaire[[#This Row],[Flag REF]]+[1]!sommaire[[#This Row],[Flag RET]]</f>
        <v>2</v>
      </c>
    </row>
    <row r="268" spans="1:87" ht="14.55" customHeight="1" x14ac:dyDescent="0.3">
      <c r="A268" s="390">
        <v>2615010</v>
      </c>
      <c r="B268" s="5" t="s">
        <v>533</v>
      </c>
      <c r="C268" s="1430" t="s">
        <v>3449</v>
      </c>
      <c r="D268" s="1090" t="s">
        <v>534</v>
      </c>
      <c r="E268" s="5" t="s">
        <v>31</v>
      </c>
      <c r="F268" s="5" t="s">
        <v>31</v>
      </c>
      <c r="G268" s="5" t="s">
        <v>549</v>
      </c>
      <c r="H268" s="5" t="s">
        <v>2797</v>
      </c>
      <c r="I268" s="5" t="str">
        <f>_xlfn.XLOOKUP(sommaire[[#This Row],[Arrondissement_code]],OCHA_GIS!$F:$F,OCHA_GIS!$E:$E,,)</f>
        <v>Hilé - Alifa</v>
      </c>
      <c r="J268" s="5" t="s">
        <v>767</v>
      </c>
      <c r="K268" t="s">
        <v>2900</v>
      </c>
      <c r="L268" s="5" t="s">
        <v>2541</v>
      </c>
      <c r="N268" s="5" t="s">
        <v>3053</v>
      </c>
      <c r="O268" s="5" t="s">
        <v>2467</v>
      </c>
      <c r="P268" s="5" t="s">
        <v>85</v>
      </c>
      <c r="Q268" s="5" t="s">
        <v>86</v>
      </c>
      <c r="R268" s="5" t="s">
        <v>85</v>
      </c>
      <c r="T268" s="390">
        <v>3</v>
      </c>
      <c r="U268" s="5" t="s">
        <v>98</v>
      </c>
      <c r="W268" s="5" t="s">
        <v>2482</v>
      </c>
      <c r="AA268" s="5" t="s">
        <v>86</v>
      </c>
      <c r="AH268" s="1430" t="s">
        <v>86</v>
      </c>
      <c r="AY268" s="1430" t="s">
        <v>86</v>
      </c>
      <c r="BN268" s="1430" t="s">
        <v>86</v>
      </c>
      <c r="CF268" s="1442" t="str">
        <f>IF([1]!sommaire[[#This Row],[présence des personnes déplacés interne]]="Oui","1","0")</f>
        <v>0</v>
      </c>
      <c r="CG268" s="1442" t="str">
        <f>IF([1]!sommaire[[#This Row],[présence Réfugié hors camp]]="Oui","1","0")</f>
        <v>0</v>
      </c>
      <c r="CH268" s="1442" t="str">
        <f>IF([1]!sommaire[[#This Row],[présence personnes retournées]]="Oui","1","0")</f>
        <v>0</v>
      </c>
      <c r="CI268" s="1442">
        <f>[1]!sommaire[[#This Row],[Flag PDI]]+[1]!sommaire[[#This Row],[Flag REF]]+[1]!sommaire[[#This Row],[Flag RET]]</f>
        <v>0</v>
      </c>
    </row>
    <row r="269" spans="1:87" ht="14.55" customHeight="1" x14ac:dyDescent="0.3">
      <c r="A269" s="390">
        <v>2646283</v>
      </c>
      <c r="B269" s="5" t="s">
        <v>533</v>
      </c>
      <c r="C269" s="1430" t="s">
        <v>3449</v>
      </c>
      <c r="D269" s="1090" t="s">
        <v>534</v>
      </c>
      <c r="E269" s="5" t="s">
        <v>31</v>
      </c>
      <c r="F269" s="5" t="s">
        <v>31</v>
      </c>
      <c r="G269" s="5" t="s">
        <v>549</v>
      </c>
      <c r="H269" s="5" t="s">
        <v>2797</v>
      </c>
      <c r="I269" s="5" t="str">
        <f>_xlfn.XLOOKUP(sommaire[[#This Row],[Arrondissement_code]],OCHA_GIS!$F:$F,OCHA_GIS!$E:$E,,)</f>
        <v>Hilé - Alifa</v>
      </c>
      <c r="J269" s="5" t="s">
        <v>767</v>
      </c>
      <c r="K269" t="s">
        <v>782</v>
      </c>
      <c r="L269" s="5" t="s">
        <v>2539</v>
      </c>
      <c r="N269" s="5" t="s">
        <v>3053</v>
      </c>
      <c r="O269" s="5" t="s">
        <v>2467</v>
      </c>
      <c r="P269" s="5" t="s">
        <v>85</v>
      </c>
      <c r="Q269" s="5" t="s">
        <v>86</v>
      </c>
      <c r="R269" s="5" t="s">
        <v>85</v>
      </c>
      <c r="T269" s="390">
        <v>3</v>
      </c>
      <c r="U269" s="5" t="s">
        <v>98</v>
      </c>
      <c r="W269" s="5" t="s">
        <v>2482</v>
      </c>
      <c r="AA269" s="5" t="s">
        <v>86</v>
      </c>
      <c r="AH269" s="1430" t="s">
        <v>86</v>
      </c>
      <c r="AY269" s="1430" t="s">
        <v>86</v>
      </c>
      <c r="BN269" s="1430" t="s">
        <v>86</v>
      </c>
      <c r="CF269" s="1442" t="str">
        <f>IF([1]!sommaire[[#This Row],[présence des personnes déplacés interne]]="Oui","1","0")</f>
        <v>0</v>
      </c>
      <c r="CG269" s="1442" t="str">
        <f>IF([1]!sommaire[[#This Row],[présence Réfugié hors camp]]="Oui","1","0")</f>
        <v>0</v>
      </c>
      <c r="CH269" s="1442" t="str">
        <f>IF([1]!sommaire[[#This Row],[présence personnes retournées]]="Oui","1","0")</f>
        <v>0</v>
      </c>
      <c r="CI269" s="1442">
        <f>[1]!sommaire[[#This Row],[Flag PDI]]+[1]!sommaire[[#This Row],[Flag REF]]+[1]!sommaire[[#This Row],[Flag RET]]</f>
        <v>0</v>
      </c>
    </row>
    <row r="270" spans="1:87" ht="14.55" customHeight="1" x14ac:dyDescent="0.3">
      <c r="A270" s="390">
        <v>2627943</v>
      </c>
      <c r="B270" s="5" t="s">
        <v>533</v>
      </c>
      <c r="C270" s="1430" t="s">
        <v>3449</v>
      </c>
      <c r="D270" s="1090" t="s">
        <v>534</v>
      </c>
      <c r="E270" s="5" t="s">
        <v>31</v>
      </c>
      <c r="F270" s="5" t="s">
        <v>31</v>
      </c>
      <c r="G270" s="5" t="s">
        <v>549</v>
      </c>
      <c r="H270" s="5" t="s">
        <v>2797</v>
      </c>
      <c r="I270" s="5" t="str">
        <f>_xlfn.XLOOKUP(sommaire[[#This Row],[Arrondissement_code]],OCHA_GIS!$F:$F,OCHA_GIS!$E:$E,,)</f>
        <v>Hilé - Alifa</v>
      </c>
      <c r="J270" s="5" t="s">
        <v>767</v>
      </c>
      <c r="K270" t="s">
        <v>1087</v>
      </c>
      <c r="L270" s="5" t="s">
        <v>663</v>
      </c>
      <c r="N270" s="5" t="s">
        <v>3053</v>
      </c>
      <c r="O270" s="5" t="s">
        <v>2467</v>
      </c>
      <c r="P270" s="5" t="s">
        <v>85</v>
      </c>
      <c r="Q270" s="5" t="s">
        <v>86</v>
      </c>
      <c r="R270" s="5" t="s">
        <v>86</v>
      </c>
      <c r="T270" s="390">
        <v>3</v>
      </c>
      <c r="U270" s="5" t="s">
        <v>97</v>
      </c>
      <c r="W270" s="5" t="s">
        <v>2468</v>
      </c>
      <c r="X270" s="5" t="s">
        <v>102</v>
      </c>
      <c r="AA270" s="5" t="s">
        <v>85</v>
      </c>
      <c r="AB270" s="5" t="s">
        <v>2469</v>
      </c>
      <c r="AC270" s="5" t="s">
        <v>2473</v>
      </c>
      <c r="AD270" s="5" t="s">
        <v>86</v>
      </c>
      <c r="AF270" s="5">
        <v>129</v>
      </c>
      <c r="AG270" s="5">
        <v>1055</v>
      </c>
      <c r="AH270" s="5" t="s">
        <v>85</v>
      </c>
      <c r="AI270" s="5" t="s">
        <v>2471</v>
      </c>
      <c r="AJ270" s="5">
        <v>129</v>
      </c>
      <c r="AK270" s="5">
        <v>900</v>
      </c>
      <c r="AL270" s="5">
        <v>493</v>
      </c>
      <c r="AM270" s="5">
        <v>407</v>
      </c>
      <c r="AN270" s="5">
        <v>9</v>
      </c>
      <c r="AO270" s="5">
        <v>20</v>
      </c>
      <c r="AP270" s="5">
        <v>0</v>
      </c>
      <c r="AQ270" s="5">
        <v>0</v>
      </c>
      <c r="AT270" s="5">
        <v>0</v>
      </c>
      <c r="AU270" s="5">
        <v>100</v>
      </c>
      <c r="AV270" s="5" t="s">
        <v>2490</v>
      </c>
      <c r="AX270" s="5">
        <v>0</v>
      </c>
      <c r="AY270" s="5" t="s">
        <v>86</v>
      </c>
      <c r="BN270" s="5" t="s">
        <v>86</v>
      </c>
      <c r="CD270" s="5">
        <v>0</v>
      </c>
      <c r="CF270" s="1442" t="str">
        <f>IF([1]!sommaire[[#This Row],[présence des personnes déplacés interne]]="Oui","1","0")</f>
        <v>1</v>
      </c>
      <c r="CG270" s="1442" t="str">
        <f>IF([1]!sommaire[[#This Row],[présence Réfugié hors camp]]="Oui","1","0")</f>
        <v>0</v>
      </c>
      <c r="CH270" s="1442" t="str">
        <f>IF([1]!sommaire[[#This Row],[présence personnes retournées]]="Oui","1","0")</f>
        <v>0</v>
      </c>
      <c r="CI270" s="1442">
        <f>[1]!sommaire[[#This Row],[Flag PDI]]+[1]!sommaire[[#This Row],[Flag REF]]+[1]!sommaire[[#This Row],[Flag RET]]</f>
        <v>1</v>
      </c>
    </row>
    <row r="271" spans="1:87" ht="14.55" customHeight="1" x14ac:dyDescent="0.3">
      <c r="A271" s="390">
        <v>2627846</v>
      </c>
      <c r="B271" s="5" t="s">
        <v>533</v>
      </c>
      <c r="C271" s="1430" t="s">
        <v>3449</v>
      </c>
      <c r="D271" s="1090" t="s">
        <v>534</v>
      </c>
      <c r="E271" s="5" t="s">
        <v>31</v>
      </c>
      <c r="F271" s="5" t="s">
        <v>31</v>
      </c>
      <c r="G271" s="5" t="s">
        <v>549</v>
      </c>
      <c r="H271" s="5" t="s">
        <v>2797</v>
      </c>
      <c r="I271" s="5" t="str">
        <f>_xlfn.XLOOKUP(sommaire[[#This Row],[Arrondissement_code]],OCHA_GIS!$F:$F,OCHA_GIS!$E:$E,,)</f>
        <v>Hilé - Alifa</v>
      </c>
      <c r="J271" s="5" t="s">
        <v>767</v>
      </c>
      <c r="K271" t="s">
        <v>2929</v>
      </c>
      <c r="L271" s="5" t="s">
        <v>1201</v>
      </c>
      <c r="N271" s="5" t="s">
        <v>3053</v>
      </c>
      <c r="O271" s="5" t="s">
        <v>2467</v>
      </c>
      <c r="P271" s="5" t="s">
        <v>85</v>
      </c>
      <c r="Q271" s="5" t="s">
        <v>86</v>
      </c>
      <c r="R271" s="5" t="s">
        <v>86</v>
      </c>
      <c r="T271" s="390">
        <v>3</v>
      </c>
      <c r="U271" s="5" t="s">
        <v>97</v>
      </c>
      <c r="W271" s="5" t="s">
        <v>2468</v>
      </c>
      <c r="X271" s="5" t="s">
        <v>102</v>
      </c>
      <c r="AA271" s="5" t="s">
        <v>85</v>
      </c>
      <c r="AB271" s="5" t="s">
        <v>2469</v>
      </c>
      <c r="AC271" s="5" t="s">
        <v>2470</v>
      </c>
      <c r="AD271" s="5" t="s">
        <v>86</v>
      </c>
      <c r="AF271" s="5">
        <v>80</v>
      </c>
      <c r="AG271" s="5">
        <v>2376</v>
      </c>
      <c r="AH271" s="5" t="s">
        <v>85</v>
      </c>
      <c r="AI271" s="5" t="s">
        <v>2471</v>
      </c>
      <c r="AJ271" s="5">
        <v>80</v>
      </c>
      <c r="AK271" s="5">
        <v>534</v>
      </c>
      <c r="AL271" s="5">
        <v>281</v>
      </c>
      <c r="AM271" s="5">
        <v>253</v>
      </c>
      <c r="AN271" s="5">
        <v>0</v>
      </c>
      <c r="AO271" s="5">
        <v>19</v>
      </c>
      <c r="AP271" s="5">
        <v>0</v>
      </c>
      <c r="AQ271" s="5">
        <v>0</v>
      </c>
      <c r="AT271" s="5">
        <v>0</v>
      </c>
      <c r="AU271" s="5">
        <v>61</v>
      </c>
      <c r="AV271" s="5" t="s">
        <v>2490</v>
      </c>
      <c r="AX271" s="5">
        <v>0</v>
      </c>
      <c r="AY271" s="5" t="s">
        <v>85</v>
      </c>
      <c r="AZ271" s="5">
        <v>4</v>
      </c>
      <c r="BA271" s="5">
        <v>40</v>
      </c>
      <c r="BB271" s="5">
        <v>20</v>
      </c>
      <c r="BC271" s="5">
        <v>20</v>
      </c>
      <c r="BD271" s="5">
        <v>4</v>
      </c>
      <c r="BE271" s="5">
        <v>0</v>
      </c>
      <c r="BF271" s="5">
        <v>0</v>
      </c>
      <c r="BH271" s="5">
        <v>0</v>
      </c>
      <c r="BI271" s="5">
        <v>0</v>
      </c>
      <c r="BL271" s="5">
        <v>0</v>
      </c>
      <c r="BM271" s="5">
        <v>0</v>
      </c>
      <c r="BN271" s="5" t="s">
        <v>86</v>
      </c>
      <c r="CD271" s="5">
        <v>0</v>
      </c>
      <c r="CF271" s="1442" t="str">
        <f>IF([1]!sommaire[[#This Row],[présence des personnes déplacés interne]]="Oui","1","0")</f>
        <v>1</v>
      </c>
      <c r="CG271" s="1442" t="str">
        <f>IF([1]!sommaire[[#This Row],[présence Réfugié hors camp]]="Oui","1","0")</f>
        <v>1</v>
      </c>
      <c r="CH271" s="1442" t="str">
        <f>IF([1]!sommaire[[#This Row],[présence personnes retournées]]="Oui","1","0")</f>
        <v>0</v>
      </c>
      <c r="CI271" s="1442">
        <f>[1]!sommaire[[#This Row],[Flag PDI]]+[1]!sommaire[[#This Row],[Flag REF]]+[1]!sommaire[[#This Row],[Flag RET]]</f>
        <v>2</v>
      </c>
    </row>
    <row r="272" spans="1:87" ht="14.55" customHeight="1" x14ac:dyDescent="0.3">
      <c r="A272" s="390">
        <v>2639471</v>
      </c>
      <c r="B272" s="5" t="s">
        <v>533</v>
      </c>
      <c r="C272" s="1430" t="s">
        <v>3449</v>
      </c>
      <c r="D272" s="1090" t="s">
        <v>534</v>
      </c>
      <c r="E272" s="5" t="s">
        <v>31</v>
      </c>
      <c r="F272" s="5" t="s">
        <v>31</v>
      </c>
      <c r="G272" s="5" t="s">
        <v>549</v>
      </c>
      <c r="H272" s="5" t="s">
        <v>2797</v>
      </c>
      <c r="I272" s="5" t="str">
        <f>_xlfn.XLOOKUP(sommaire[[#This Row],[Arrondissement_code]],OCHA_GIS!$F:$F,OCHA_GIS!$E:$E,,)</f>
        <v>Hilé - Alifa</v>
      </c>
      <c r="J272" s="5" t="s">
        <v>767</v>
      </c>
      <c r="K272" t="s">
        <v>1423</v>
      </c>
      <c r="L272" s="5" t="s">
        <v>1232</v>
      </c>
      <c r="N272" s="5" t="s">
        <v>3053</v>
      </c>
      <c r="O272" s="5" t="s">
        <v>2467</v>
      </c>
      <c r="P272" s="5" t="s">
        <v>85</v>
      </c>
      <c r="Q272" s="5" t="s">
        <v>86</v>
      </c>
      <c r="R272" s="5" t="s">
        <v>86</v>
      </c>
      <c r="T272" s="390">
        <v>3</v>
      </c>
      <c r="U272" s="5" t="s">
        <v>97</v>
      </c>
      <c r="W272" s="5" t="s">
        <v>2468</v>
      </c>
      <c r="X272" s="5" t="s">
        <v>102</v>
      </c>
      <c r="AA272" s="5" t="s">
        <v>85</v>
      </c>
      <c r="AB272" s="5" t="s">
        <v>2469</v>
      </c>
      <c r="AC272" s="5" t="s">
        <v>2473</v>
      </c>
      <c r="AD272" s="5" t="s">
        <v>86</v>
      </c>
      <c r="AF272" s="5">
        <v>29</v>
      </c>
      <c r="AG272" s="5">
        <v>300</v>
      </c>
      <c r="AH272" s="5" t="s">
        <v>85</v>
      </c>
      <c r="AI272" s="5" t="s">
        <v>2471</v>
      </c>
      <c r="AJ272" s="5">
        <v>29</v>
      </c>
      <c r="AK272" s="5">
        <v>211</v>
      </c>
      <c r="AL272" s="5">
        <v>100</v>
      </c>
      <c r="AM272" s="5">
        <v>111</v>
      </c>
      <c r="AN272" s="5">
        <v>0</v>
      </c>
      <c r="AO272" s="5">
        <v>29</v>
      </c>
      <c r="AP272" s="5">
        <v>0</v>
      </c>
      <c r="AQ272" s="5">
        <v>0</v>
      </c>
      <c r="AT272" s="5">
        <v>0</v>
      </c>
      <c r="AU272" s="5">
        <v>0</v>
      </c>
      <c r="AX272" s="5">
        <v>0</v>
      </c>
      <c r="AY272" s="5" t="s">
        <v>86</v>
      </c>
      <c r="BN272" s="5" t="s">
        <v>86</v>
      </c>
      <c r="CD272" s="5">
        <v>0</v>
      </c>
      <c r="CF272" s="1442" t="str">
        <f>IF([1]!sommaire[[#This Row],[présence des personnes déplacés interne]]="Oui","1","0")</f>
        <v>1</v>
      </c>
      <c r="CG272" s="1442" t="str">
        <f>IF([1]!sommaire[[#This Row],[présence Réfugié hors camp]]="Oui","1","0")</f>
        <v>0</v>
      </c>
      <c r="CH272" s="1442" t="str">
        <f>IF([1]!sommaire[[#This Row],[présence personnes retournées]]="Oui","1","0")</f>
        <v>0</v>
      </c>
      <c r="CI272" s="1442">
        <f>[1]!sommaire[[#This Row],[Flag PDI]]+[1]!sommaire[[#This Row],[Flag REF]]+[1]!sommaire[[#This Row],[Flag RET]]</f>
        <v>1</v>
      </c>
    </row>
    <row r="273" spans="1:87" ht="14.55" customHeight="1" x14ac:dyDescent="0.3">
      <c r="A273" s="390">
        <v>2666650</v>
      </c>
      <c r="B273" s="5" t="s">
        <v>533</v>
      </c>
      <c r="C273" s="1430" t="s">
        <v>3449</v>
      </c>
      <c r="D273" s="1090" t="s">
        <v>534</v>
      </c>
      <c r="E273" s="5" t="s">
        <v>31</v>
      </c>
      <c r="F273" s="5" t="s">
        <v>31</v>
      </c>
      <c r="G273" s="5" t="s">
        <v>549</v>
      </c>
      <c r="H273" s="5" t="s">
        <v>2797</v>
      </c>
      <c r="I273" s="5" t="str">
        <f>_xlfn.XLOOKUP(sommaire[[#This Row],[Arrondissement_code]],OCHA_GIS!$F:$F,OCHA_GIS!$E:$E,,)</f>
        <v>Hilé - Alifa</v>
      </c>
      <c r="J273" s="5" t="s">
        <v>767</v>
      </c>
      <c r="K273" t="s">
        <v>784</v>
      </c>
      <c r="L273" s="5" t="s">
        <v>1228</v>
      </c>
      <c r="N273" s="5" t="s">
        <v>3053</v>
      </c>
      <c r="O273" s="5" t="s">
        <v>2467</v>
      </c>
      <c r="P273" s="5" t="s">
        <v>85</v>
      </c>
      <c r="Q273" s="5" t="s">
        <v>86</v>
      </c>
      <c r="R273" s="5" t="s">
        <v>86</v>
      </c>
      <c r="T273" s="390">
        <v>3</v>
      </c>
      <c r="U273" s="5" t="s">
        <v>97</v>
      </c>
      <c r="W273" s="5" t="s">
        <v>2468</v>
      </c>
      <c r="X273" s="5" t="s">
        <v>102</v>
      </c>
      <c r="AA273" s="5" t="s">
        <v>85</v>
      </c>
      <c r="AB273" s="5" t="s">
        <v>2469</v>
      </c>
      <c r="AC273" s="5" t="s">
        <v>2473</v>
      </c>
      <c r="AD273" s="5" t="s">
        <v>86</v>
      </c>
      <c r="AF273" s="5">
        <v>51</v>
      </c>
      <c r="AG273" s="5">
        <v>587</v>
      </c>
      <c r="AH273" s="5" t="s">
        <v>85</v>
      </c>
      <c r="AI273" s="5" t="s">
        <v>2471</v>
      </c>
      <c r="AJ273" s="5">
        <v>51</v>
      </c>
      <c r="AK273" s="5">
        <v>330</v>
      </c>
      <c r="AL273" s="5">
        <v>150</v>
      </c>
      <c r="AM273" s="5">
        <v>180</v>
      </c>
      <c r="AN273" s="5">
        <v>0</v>
      </c>
      <c r="AO273" s="5">
        <v>30</v>
      </c>
      <c r="AP273" s="5">
        <v>0</v>
      </c>
      <c r="AQ273" s="5">
        <v>0</v>
      </c>
      <c r="AT273" s="5">
        <v>0</v>
      </c>
      <c r="AU273" s="5">
        <v>21</v>
      </c>
      <c r="AV273" s="5" t="s">
        <v>2490</v>
      </c>
      <c r="AX273" s="5">
        <v>0</v>
      </c>
      <c r="AY273" s="5" t="s">
        <v>86</v>
      </c>
      <c r="BN273" s="5" t="s">
        <v>86</v>
      </c>
      <c r="CD273" s="5">
        <v>0</v>
      </c>
      <c r="CF273" s="1442" t="str">
        <f>IF([1]!sommaire[[#This Row],[présence des personnes déplacés interne]]="Oui","1","0")</f>
        <v>1</v>
      </c>
      <c r="CG273" s="1442" t="str">
        <f>IF([1]!sommaire[[#This Row],[présence Réfugié hors camp]]="Oui","1","0")</f>
        <v>0</v>
      </c>
      <c r="CH273" s="1442" t="str">
        <f>IF([1]!sommaire[[#This Row],[présence personnes retournées]]="Oui","1","0")</f>
        <v>0</v>
      </c>
      <c r="CI273" s="1442">
        <f>[1]!sommaire[[#This Row],[Flag PDI]]+[1]!sommaire[[#This Row],[Flag REF]]+[1]!sommaire[[#This Row],[Flag RET]]</f>
        <v>1</v>
      </c>
    </row>
    <row r="274" spans="1:87" ht="14.55" customHeight="1" x14ac:dyDescent="0.3">
      <c r="A274" s="390">
        <v>2666651</v>
      </c>
      <c r="B274" s="5" t="s">
        <v>533</v>
      </c>
      <c r="C274" s="1430" t="s">
        <v>3449</v>
      </c>
      <c r="D274" s="1090" t="s">
        <v>534</v>
      </c>
      <c r="E274" s="5" t="s">
        <v>31</v>
      </c>
      <c r="F274" s="5" t="s">
        <v>31</v>
      </c>
      <c r="G274" s="5" t="s">
        <v>549</v>
      </c>
      <c r="H274" s="5" t="s">
        <v>2797</v>
      </c>
      <c r="I274" s="5" t="str">
        <f>_xlfn.XLOOKUP(sommaire[[#This Row],[Arrondissement_code]],OCHA_GIS!$F:$F,OCHA_GIS!$E:$E,,)</f>
        <v>Hilé - Alifa</v>
      </c>
      <c r="J274" s="5" t="s">
        <v>767</v>
      </c>
      <c r="K274" t="s">
        <v>928</v>
      </c>
      <c r="L274" s="5" t="s">
        <v>1863</v>
      </c>
      <c r="N274" s="5" t="s">
        <v>3053</v>
      </c>
      <c r="O274" s="5" t="s">
        <v>2467</v>
      </c>
      <c r="P274" s="5" t="s">
        <v>85</v>
      </c>
      <c r="Q274" s="5" t="s">
        <v>86</v>
      </c>
      <c r="R274" s="5" t="s">
        <v>86</v>
      </c>
      <c r="T274" s="390">
        <v>3</v>
      </c>
      <c r="U274" s="5" t="s">
        <v>97</v>
      </c>
      <c r="W274" s="5" t="s">
        <v>2468</v>
      </c>
      <c r="X274" s="5" t="s">
        <v>102</v>
      </c>
      <c r="AA274" s="586" t="s">
        <v>85</v>
      </c>
      <c r="AB274" s="5" t="s">
        <v>2469</v>
      </c>
      <c r="AC274" s="5" t="s">
        <v>2473</v>
      </c>
      <c r="AD274" s="5" t="s">
        <v>86</v>
      </c>
      <c r="AF274" s="5">
        <v>70</v>
      </c>
      <c r="AG274" s="5">
        <v>2700</v>
      </c>
      <c r="AH274" s="5" t="s">
        <v>85</v>
      </c>
      <c r="AI274" s="5" t="s">
        <v>2471</v>
      </c>
      <c r="AJ274" s="5">
        <v>70</v>
      </c>
      <c r="AK274" s="5">
        <v>489</v>
      </c>
      <c r="AL274" s="5">
        <v>244</v>
      </c>
      <c r="AM274" s="5">
        <v>245</v>
      </c>
      <c r="AN274" s="5">
        <v>0</v>
      </c>
      <c r="AO274" s="5">
        <v>5</v>
      </c>
      <c r="AP274" s="5">
        <v>0</v>
      </c>
      <c r="AQ274" s="5">
        <v>0</v>
      </c>
      <c r="AT274" s="5">
        <v>0</v>
      </c>
      <c r="AU274" s="5">
        <v>65</v>
      </c>
      <c r="AV274" s="5" t="s">
        <v>2490</v>
      </c>
      <c r="AX274" s="5">
        <v>0</v>
      </c>
      <c r="AY274" s="5" t="s">
        <v>86</v>
      </c>
      <c r="BN274" s="5" t="s">
        <v>86</v>
      </c>
      <c r="CD274" s="5">
        <v>0</v>
      </c>
      <c r="CF274" s="1442" t="str">
        <f>IF([1]!sommaire[[#This Row],[présence des personnes déplacés interne]]="Oui","1","0")</f>
        <v>1</v>
      </c>
      <c r="CG274" s="1442" t="str">
        <f>IF([1]!sommaire[[#This Row],[présence Réfugié hors camp]]="Oui","1","0")</f>
        <v>0</v>
      </c>
      <c r="CH274" s="1442" t="str">
        <f>IF([1]!sommaire[[#This Row],[présence personnes retournées]]="Oui","1","0")</f>
        <v>0</v>
      </c>
      <c r="CI274" s="1442">
        <f>[1]!sommaire[[#This Row],[Flag PDI]]+[1]!sommaire[[#This Row],[Flag REF]]+[1]!sommaire[[#This Row],[Flag RET]]</f>
        <v>1</v>
      </c>
    </row>
    <row r="275" spans="1:87" ht="14.55" customHeight="1" x14ac:dyDescent="0.3">
      <c r="A275" s="390">
        <v>2625267</v>
      </c>
      <c r="B275" s="5" t="s">
        <v>533</v>
      </c>
      <c r="C275" s="1430" t="s">
        <v>3449</v>
      </c>
      <c r="D275" s="5" t="s">
        <v>534</v>
      </c>
      <c r="E275" s="5" t="s">
        <v>31</v>
      </c>
      <c r="F275" s="5" t="s">
        <v>31</v>
      </c>
      <c r="G275" s="5" t="s">
        <v>549</v>
      </c>
      <c r="H275" s="5" t="s">
        <v>2797</v>
      </c>
      <c r="I275" s="5" t="str">
        <f>_xlfn.XLOOKUP(sommaire[[#This Row],[Arrondissement_code]],OCHA_GIS!$F:$F,OCHA_GIS!$E:$E,,)</f>
        <v>Hilé - Alifa</v>
      </c>
      <c r="J275" s="5" t="s">
        <v>767</v>
      </c>
      <c r="K275" t="s">
        <v>1229</v>
      </c>
      <c r="L275" s="5" t="s">
        <v>1528</v>
      </c>
      <c r="N275" s="5" t="s">
        <v>3052</v>
      </c>
      <c r="O275" s="5" t="s">
        <v>2467</v>
      </c>
      <c r="P275" s="5" t="s">
        <v>85</v>
      </c>
      <c r="Q275" s="5" t="s">
        <v>86</v>
      </c>
      <c r="R275" s="5" t="s">
        <v>85</v>
      </c>
      <c r="T275" s="390">
        <v>3</v>
      </c>
      <c r="U275" s="5" t="s">
        <v>98</v>
      </c>
      <c r="W275" s="5" t="s">
        <v>2482</v>
      </c>
      <c r="AA275" s="5" t="s">
        <v>86</v>
      </c>
      <c r="AH275" s="1430" t="s">
        <v>86</v>
      </c>
      <c r="AY275" s="1430" t="s">
        <v>86</v>
      </c>
      <c r="BN275" s="1430" t="s">
        <v>86</v>
      </c>
      <c r="CF275" s="1442" t="str">
        <f>IF([1]!sommaire[[#This Row],[présence des personnes déplacés interne]]="Oui","1","0")</f>
        <v>0</v>
      </c>
      <c r="CG275" s="1442" t="str">
        <f>IF([1]!sommaire[[#This Row],[présence Réfugié hors camp]]="Oui","1","0")</f>
        <v>0</v>
      </c>
      <c r="CH275" s="1442" t="str">
        <f>IF([1]!sommaire[[#This Row],[présence personnes retournées]]="Oui","1","0")</f>
        <v>0</v>
      </c>
      <c r="CI275" s="1442">
        <f>[1]!sommaire[[#This Row],[Flag PDI]]+[1]!sommaire[[#This Row],[Flag REF]]+[1]!sommaire[[#This Row],[Flag RET]]</f>
        <v>0</v>
      </c>
    </row>
    <row r="276" spans="1:87" ht="14.55" customHeight="1" x14ac:dyDescent="0.3">
      <c r="A276" s="390">
        <v>2666652</v>
      </c>
      <c r="B276" s="5" t="s">
        <v>533</v>
      </c>
      <c r="C276" s="1430" t="s">
        <v>3449</v>
      </c>
      <c r="D276" s="5" t="s">
        <v>534</v>
      </c>
      <c r="E276" s="5" t="s">
        <v>31</v>
      </c>
      <c r="F276" s="5" t="s">
        <v>31</v>
      </c>
      <c r="G276" s="5" t="s">
        <v>549</v>
      </c>
      <c r="H276" s="5" t="s">
        <v>2797</v>
      </c>
      <c r="I276" s="5" t="str">
        <f>_xlfn.XLOOKUP(sommaire[[#This Row],[Arrondissement_code]],OCHA_GIS!$F:$F,OCHA_GIS!$E:$E,,)</f>
        <v>Hilé - Alifa</v>
      </c>
      <c r="J276" s="5" t="s">
        <v>767</v>
      </c>
      <c r="K276" t="s">
        <v>2538</v>
      </c>
      <c r="L276" s="5" t="s">
        <v>1485</v>
      </c>
      <c r="N276" s="5" t="s">
        <v>3053</v>
      </c>
      <c r="O276" s="5" t="s">
        <v>2467</v>
      </c>
      <c r="P276" s="5" t="s">
        <v>86</v>
      </c>
      <c r="Q276" s="5" t="s">
        <v>86</v>
      </c>
      <c r="R276" s="5" t="s">
        <v>85</v>
      </c>
      <c r="U276" s="5" t="s">
        <v>99</v>
      </c>
      <c r="V276" s="5" t="s">
        <v>122</v>
      </c>
      <c r="W276" s="5" t="s">
        <v>2468</v>
      </c>
      <c r="X276" s="5" t="s">
        <v>102</v>
      </c>
      <c r="AA276" s="5" t="s">
        <v>85</v>
      </c>
      <c r="AB276" s="5" t="s">
        <v>2469</v>
      </c>
      <c r="AC276" s="5" t="s">
        <v>2470</v>
      </c>
      <c r="AD276" s="5" t="s">
        <v>86</v>
      </c>
      <c r="AF276" s="5">
        <v>34</v>
      </c>
      <c r="AG276" s="5">
        <v>1344</v>
      </c>
      <c r="AH276" s="5" t="s">
        <v>85</v>
      </c>
      <c r="AI276" s="5" t="s">
        <v>2485</v>
      </c>
      <c r="AJ276" s="5">
        <v>34</v>
      </c>
      <c r="AK276" s="5">
        <v>295</v>
      </c>
      <c r="AL276" s="5">
        <v>95</v>
      </c>
      <c r="AM276" s="5">
        <v>200</v>
      </c>
      <c r="AN276" s="5">
        <v>0</v>
      </c>
      <c r="AO276" s="5">
        <v>34</v>
      </c>
      <c r="AP276" s="5">
        <v>0</v>
      </c>
      <c r="AQ276" s="5">
        <v>0</v>
      </c>
      <c r="AT276" s="5">
        <v>0</v>
      </c>
      <c r="AU276" s="5">
        <v>0</v>
      </c>
      <c r="AX276" s="5">
        <v>0</v>
      </c>
      <c r="AY276" s="5" t="s">
        <v>86</v>
      </c>
      <c r="BN276" s="5" t="s">
        <v>85</v>
      </c>
      <c r="BO276" s="5">
        <v>90</v>
      </c>
      <c r="BP276" s="5">
        <v>472</v>
      </c>
      <c r="BQ276" s="5">
        <v>280</v>
      </c>
      <c r="BR276" s="5">
        <v>192</v>
      </c>
      <c r="BS276" s="5" t="s">
        <v>2535</v>
      </c>
      <c r="BT276" s="5">
        <v>0</v>
      </c>
      <c r="BU276" s="5">
        <v>90</v>
      </c>
      <c r="BV276" s="5">
        <v>0</v>
      </c>
      <c r="BW276" s="5">
        <v>0</v>
      </c>
      <c r="BX276" s="5">
        <v>0</v>
      </c>
      <c r="BZ276" s="5">
        <v>0</v>
      </c>
      <c r="CA276" s="5">
        <v>0</v>
      </c>
      <c r="CC276" s="5">
        <v>0</v>
      </c>
      <c r="CD276" s="5">
        <v>0</v>
      </c>
      <c r="CF276" s="1442" t="str">
        <f>IF([1]!sommaire[[#This Row],[présence des personnes déplacés interne]]="Oui","1","0")</f>
        <v>1</v>
      </c>
      <c r="CG276" s="1442" t="str">
        <f>IF([1]!sommaire[[#This Row],[présence Réfugié hors camp]]="Oui","1","0")</f>
        <v>0</v>
      </c>
      <c r="CH276" s="1442" t="str">
        <f>IF([1]!sommaire[[#This Row],[présence personnes retournées]]="Oui","1","0")</f>
        <v>1</v>
      </c>
      <c r="CI276" s="1442">
        <f>[1]!sommaire[[#This Row],[Flag PDI]]+[1]!sommaire[[#This Row],[Flag REF]]+[1]!sommaire[[#This Row],[Flag RET]]</f>
        <v>2</v>
      </c>
    </row>
    <row r="277" spans="1:87" ht="14.55" customHeight="1" x14ac:dyDescent="0.3">
      <c r="A277" s="390">
        <v>2668650</v>
      </c>
      <c r="B277" s="5" t="s">
        <v>533</v>
      </c>
      <c r="C277" s="1430" t="s">
        <v>3449</v>
      </c>
      <c r="D277" s="5" t="s">
        <v>534</v>
      </c>
      <c r="E277" s="5" t="s">
        <v>31</v>
      </c>
      <c r="F277" s="5" t="s">
        <v>31</v>
      </c>
      <c r="G277" s="5" t="s">
        <v>549</v>
      </c>
      <c r="H277" s="5" t="s">
        <v>2797</v>
      </c>
      <c r="I277" s="5" t="str">
        <f>_xlfn.XLOOKUP(sommaire[[#This Row],[Arrondissement_code]],OCHA_GIS!$F:$F,OCHA_GIS!$E:$E,,)</f>
        <v>Hilé - Alifa</v>
      </c>
      <c r="J277" s="5" t="s">
        <v>767</v>
      </c>
      <c r="K277" t="s">
        <v>786</v>
      </c>
      <c r="L277" s="5" t="s">
        <v>929</v>
      </c>
      <c r="N277" s="5" t="s">
        <v>3053</v>
      </c>
      <c r="O277" s="5" t="s">
        <v>2467</v>
      </c>
      <c r="P277" s="5" t="s">
        <v>85</v>
      </c>
      <c r="Q277" s="5" t="s">
        <v>86</v>
      </c>
      <c r="R277" s="5" t="s">
        <v>86</v>
      </c>
      <c r="T277" s="390">
        <v>3</v>
      </c>
      <c r="U277" s="5" t="s">
        <v>97</v>
      </c>
      <c r="W277" s="5" t="s">
        <v>2468</v>
      </c>
      <c r="X277" s="5" t="s">
        <v>102</v>
      </c>
      <c r="AA277" s="5" t="s">
        <v>85</v>
      </c>
      <c r="AB277" s="5" t="s">
        <v>2469</v>
      </c>
      <c r="AC277" s="5" t="s">
        <v>2473</v>
      </c>
      <c r="AD277" s="5" t="s">
        <v>86</v>
      </c>
      <c r="AF277" s="5">
        <v>87</v>
      </c>
      <c r="AG277" s="5">
        <v>3420</v>
      </c>
      <c r="AH277" s="5" t="s">
        <v>85</v>
      </c>
      <c r="AI277" s="5" t="s">
        <v>2471</v>
      </c>
      <c r="AJ277" s="5">
        <v>87</v>
      </c>
      <c r="AK277" s="5">
        <v>528</v>
      </c>
      <c r="AL277" s="5">
        <v>245</v>
      </c>
      <c r="AM277" s="5">
        <v>283</v>
      </c>
      <c r="AN277" s="5">
        <v>0</v>
      </c>
      <c r="AO277" s="5">
        <v>17</v>
      </c>
      <c r="AP277" s="5">
        <v>0</v>
      </c>
      <c r="AQ277" s="5">
        <v>0</v>
      </c>
      <c r="AT277" s="5">
        <v>0</v>
      </c>
      <c r="AU277" s="5">
        <v>70</v>
      </c>
      <c r="AV277" s="5" t="s">
        <v>2490</v>
      </c>
      <c r="AX277" s="5">
        <v>0</v>
      </c>
      <c r="AY277" s="5" t="s">
        <v>85</v>
      </c>
      <c r="AZ277" s="5">
        <v>5</v>
      </c>
      <c r="BA277" s="5">
        <v>20</v>
      </c>
      <c r="BB277" s="5">
        <v>10</v>
      </c>
      <c r="BC277" s="5">
        <v>10</v>
      </c>
      <c r="BD277" s="5">
        <v>5</v>
      </c>
      <c r="BE277" s="5">
        <v>0</v>
      </c>
      <c r="BF277" s="5">
        <v>0</v>
      </c>
      <c r="BH277" s="5">
        <v>0</v>
      </c>
      <c r="BI277" s="5">
        <v>0</v>
      </c>
      <c r="BL277" s="5">
        <v>0</v>
      </c>
      <c r="BM277" s="5">
        <v>0</v>
      </c>
      <c r="BN277" s="5" t="s">
        <v>86</v>
      </c>
      <c r="CD277" s="5">
        <v>0</v>
      </c>
      <c r="CF277" s="1442" t="str">
        <f>IF([1]!sommaire[[#This Row],[présence des personnes déplacés interne]]="Oui","1","0")</f>
        <v>1</v>
      </c>
      <c r="CG277" s="1442" t="str">
        <f>IF([1]!sommaire[[#This Row],[présence Réfugié hors camp]]="Oui","1","0")</f>
        <v>1</v>
      </c>
      <c r="CH277" s="1442" t="str">
        <f>IF([1]!sommaire[[#This Row],[présence personnes retournées]]="Oui","1","0")</f>
        <v>0</v>
      </c>
      <c r="CI277" s="1442">
        <f>[1]!sommaire[[#This Row],[Flag PDI]]+[1]!sommaire[[#This Row],[Flag REF]]+[1]!sommaire[[#This Row],[Flag RET]]</f>
        <v>2</v>
      </c>
    </row>
    <row r="278" spans="1:87" ht="14.55" customHeight="1" x14ac:dyDescent="0.3">
      <c r="A278" s="390">
        <v>2722415</v>
      </c>
      <c r="B278" s="5" t="s">
        <v>533</v>
      </c>
      <c r="C278" s="1430" t="s">
        <v>3449</v>
      </c>
      <c r="D278" s="1090" t="s">
        <v>534</v>
      </c>
      <c r="E278" s="5" t="s">
        <v>31</v>
      </c>
      <c r="F278" s="5" t="s">
        <v>31</v>
      </c>
      <c r="G278" s="5" t="s">
        <v>549</v>
      </c>
      <c r="H278" s="5" t="s">
        <v>170</v>
      </c>
      <c r="I278" s="5" t="str">
        <f>_xlfn.XLOOKUP(sommaire[[#This Row],[Arrondissement_code]],OCHA_GIS!$F:$F,OCHA_GIS!$E:$E,,)</f>
        <v>Kousséri</v>
      </c>
      <c r="J278" s="5" t="s">
        <v>866</v>
      </c>
      <c r="K278" t="s">
        <v>550</v>
      </c>
      <c r="L278" s="5" t="s">
        <v>3164</v>
      </c>
      <c r="M278" s="5" t="s">
        <v>3164</v>
      </c>
      <c r="N278" s="5" t="s">
        <v>3052</v>
      </c>
      <c r="O278" s="5" t="s">
        <v>2467</v>
      </c>
      <c r="P278" s="5" t="s">
        <v>85</v>
      </c>
      <c r="Q278" s="5" t="s">
        <v>86</v>
      </c>
      <c r="R278" s="5" t="s">
        <v>85</v>
      </c>
      <c r="T278" s="390">
        <v>3</v>
      </c>
      <c r="U278" s="5" t="s">
        <v>97</v>
      </c>
      <c r="W278" s="5" t="s">
        <v>2468</v>
      </c>
      <c r="X278" s="5" t="s">
        <v>103</v>
      </c>
      <c r="Y278" s="5" t="s">
        <v>2476</v>
      </c>
      <c r="AA278" s="5" t="s">
        <v>85</v>
      </c>
      <c r="AB278" s="5" t="s">
        <v>2469</v>
      </c>
      <c r="AC278" s="5" t="s">
        <v>2473</v>
      </c>
      <c r="AD278" s="5" t="s">
        <v>86</v>
      </c>
      <c r="AF278" s="5">
        <v>277</v>
      </c>
      <c r="AG278" s="5">
        <v>5986</v>
      </c>
      <c r="AH278" s="5" t="s">
        <v>85</v>
      </c>
      <c r="AI278" s="5" t="s">
        <v>2471</v>
      </c>
      <c r="AJ278" s="5">
        <v>277</v>
      </c>
      <c r="AK278" s="5">
        <v>3500</v>
      </c>
      <c r="AL278" s="5">
        <v>1000</v>
      </c>
      <c r="AM278" s="5">
        <v>2500</v>
      </c>
      <c r="AN278" s="5">
        <v>0</v>
      </c>
      <c r="AO278" s="5">
        <v>77</v>
      </c>
      <c r="AP278" s="5">
        <v>0</v>
      </c>
      <c r="AQ278" s="5">
        <v>200</v>
      </c>
      <c r="AR278" s="5" t="s">
        <v>2477</v>
      </c>
      <c r="AT278" s="5">
        <v>0</v>
      </c>
      <c r="AU278" s="5">
        <v>0</v>
      </c>
      <c r="AX278" s="5">
        <v>0</v>
      </c>
      <c r="AY278" s="5" t="s">
        <v>86</v>
      </c>
      <c r="BN278" s="5" t="s">
        <v>86</v>
      </c>
      <c r="CD278" s="5">
        <v>0</v>
      </c>
      <c r="CF278" s="1442" t="str">
        <f>IF([1]!sommaire[[#This Row],[présence des personnes déplacés interne]]="Oui","1","0")</f>
        <v>1</v>
      </c>
      <c r="CG278" s="1442" t="str">
        <f>IF([1]!sommaire[[#This Row],[présence Réfugié hors camp]]="Oui","1","0")</f>
        <v>0</v>
      </c>
      <c r="CH278" s="1442" t="str">
        <f>IF([1]!sommaire[[#This Row],[présence personnes retournées]]="Oui","1","0")</f>
        <v>0</v>
      </c>
      <c r="CI278" s="1442">
        <f>[1]!sommaire[[#This Row],[Flag PDI]]+[1]!sommaire[[#This Row],[Flag REF]]+[1]!sommaire[[#This Row],[Flag RET]]</f>
        <v>1</v>
      </c>
    </row>
    <row r="279" spans="1:87" ht="14.55" customHeight="1" x14ac:dyDescent="0.3">
      <c r="A279" s="390">
        <v>2627401</v>
      </c>
      <c r="B279" s="5" t="s">
        <v>533</v>
      </c>
      <c r="C279" s="1430" t="s">
        <v>3449</v>
      </c>
      <c r="D279" s="1090" t="s">
        <v>534</v>
      </c>
      <c r="E279" s="5" t="s">
        <v>31</v>
      </c>
      <c r="F279" s="5" t="s">
        <v>31</v>
      </c>
      <c r="G279" s="5" t="s">
        <v>549</v>
      </c>
      <c r="H279" s="5" t="s">
        <v>170</v>
      </c>
      <c r="I279" s="5" t="str">
        <f>_xlfn.XLOOKUP(sommaire[[#This Row],[Arrondissement_code]],OCHA_GIS!$F:$F,OCHA_GIS!$E:$E,,)</f>
        <v>Kousséri</v>
      </c>
      <c r="J279" s="5" t="s">
        <v>866</v>
      </c>
      <c r="K279" t="s">
        <v>550</v>
      </c>
      <c r="L279" s="5" t="s">
        <v>3177</v>
      </c>
      <c r="M279" s="5" t="s">
        <v>3177</v>
      </c>
      <c r="N279" s="5" t="s">
        <v>3053</v>
      </c>
      <c r="O279" s="5" t="s">
        <v>2473</v>
      </c>
      <c r="P279" s="5" t="s">
        <v>85</v>
      </c>
      <c r="Q279" s="5" t="s">
        <v>86</v>
      </c>
      <c r="R279" s="5" t="s">
        <v>86</v>
      </c>
      <c r="T279" s="390">
        <v>3</v>
      </c>
      <c r="U279" s="5" t="s">
        <v>97</v>
      </c>
      <c r="W279" s="5" t="s">
        <v>2468</v>
      </c>
      <c r="X279" s="5" t="s">
        <v>102</v>
      </c>
      <c r="AA279" s="5" t="s">
        <v>85</v>
      </c>
      <c r="AB279" s="5" t="s">
        <v>2473</v>
      </c>
      <c r="AC279" s="5" t="s">
        <v>2469</v>
      </c>
      <c r="AF279" s="5">
        <v>100</v>
      </c>
      <c r="AG279" s="5">
        <v>1350</v>
      </c>
      <c r="AH279" s="5" t="s">
        <v>85</v>
      </c>
      <c r="AI279" s="5" t="s">
        <v>2471</v>
      </c>
      <c r="AJ279" s="5">
        <v>100</v>
      </c>
      <c r="AK279" s="5">
        <v>1150</v>
      </c>
      <c r="AL279" s="5">
        <v>150</v>
      </c>
      <c r="AM279" s="5">
        <v>1000</v>
      </c>
      <c r="AN279" s="5">
        <v>0</v>
      </c>
      <c r="AO279" s="5">
        <v>0</v>
      </c>
      <c r="AP279" s="5">
        <v>0</v>
      </c>
      <c r="AQ279" s="5">
        <v>0</v>
      </c>
      <c r="AT279" s="5">
        <v>0</v>
      </c>
      <c r="AU279" s="5">
        <v>100</v>
      </c>
      <c r="AV279" s="5" t="s">
        <v>2474</v>
      </c>
      <c r="AX279" s="5">
        <v>0</v>
      </c>
      <c r="AY279" s="5" t="s">
        <v>85</v>
      </c>
      <c r="AZ279" s="5">
        <v>21</v>
      </c>
      <c r="BA279" s="5">
        <v>200</v>
      </c>
      <c r="BB279" s="5">
        <v>70</v>
      </c>
      <c r="BC279" s="5">
        <v>130</v>
      </c>
      <c r="BD279" s="5">
        <v>0</v>
      </c>
      <c r="BE279" s="5">
        <v>0</v>
      </c>
      <c r="BF279" s="5">
        <v>0</v>
      </c>
      <c r="BH279" s="5">
        <v>0</v>
      </c>
      <c r="BI279" s="5">
        <v>21</v>
      </c>
      <c r="BJ279" s="5" t="s">
        <v>2474</v>
      </c>
      <c r="BL279" s="5">
        <v>0</v>
      </c>
      <c r="BM279" s="5">
        <v>21</v>
      </c>
      <c r="BN279" s="5" t="s">
        <v>86</v>
      </c>
      <c r="CD279" s="5">
        <v>0</v>
      </c>
      <c r="CF279" s="1442" t="str">
        <f>IF([1]!sommaire[[#This Row],[présence des personnes déplacés interne]]="Oui","1","0")</f>
        <v>1</v>
      </c>
      <c r="CG279" s="1442" t="str">
        <f>IF([1]!sommaire[[#This Row],[présence Réfugié hors camp]]="Oui","1","0")</f>
        <v>1</v>
      </c>
      <c r="CH279" s="1442" t="str">
        <f>IF([1]!sommaire[[#This Row],[présence personnes retournées]]="Oui","1","0")</f>
        <v>0</v>
      </c>
      <c r="CI279" s="1442">
        <f>[1]!sommaire[[#This Row],[Flag PDI]]+[1]!sommaire[[#This Row],[Flag REF]]+[1]!sommaire[[#This Row],[Flag RET]]</f>
        <v>2</v>
      </c>
    </row>
    <row r="280" spans="1:87" ht="14.55" customHeight="1" x14ac:dyDescent="0.3">
      <c r="A280" s="390">
        <v>2619962</v>
      </c>
      <c r="B280" s="5" t="s">
        <v>533</v>
      </c>
      <c r="C280" s="1430" t="s">
        <v>3449</v>
      </c>
      <c r="D280" s="1090" t="s">
        <v>534</v>
      </c>
      <c r="E280" s="5" t="s">
        <v>31</v>
      </c>
      <c r="F280" s="5" t="s">
        <v>31</v>
      </c>
      <c r="G280" s="5" t="s">
        <v>549</v>
      </c>
      <c r="H280" s="5" t="s">
        <v>170</v>
      </c>
      <c r="I280" s="5" t="str">
        <f>_xlfn.XLOOKUP(sommaire[[#This Row],[Arrondissement_code]],OCHA_GIS!$F:$F,OCHA_GIS!$E:$E,,)</f>
        <v>Kousséri</v>
      </c>
      <c r="J280" s="5" t="s">
        <v>866</v>
      </c>
      <c r="K280" t="s">
        <v>550</v>
      </c>
      <c r="L280" s="5" t="s">
        <v>3178</v>
      </c>
      <c r="M280" s="5" t="s">
        <v>3178</v>
      </c>
      <c r="N280" s="5" t="s">
        <v>3053</v>
      </c>
      <c r="O280" s="5" t="s">
        <v>2473</v>
      </c>
      <c r="P280" s="5" t="s">
        <v>85</v>
      </c>
      <c r="Q280" s="5" t="s">
        <v>86</v>
      </c>
      <c r="R280" s="5" t="s">
        <v>86</v>
      </c>
      <c r="T280" s="390">
        <v>3</v>
      </c>
      <c r="U280" s="5" t="s">
        <v>97</v>
      </c>
      <c r="W280" s="5" t="s">
        <v>2468</v>
      </c>
      <c r="X280" s="5" t="s">
        <v>102</v>
      </c>
      <c r="AA280" s="586" t="s">
        <v>85</v>
      </c>
      <c r="AB280" s="5" t="s">
        <v>2473</v>
      </c>
      <c r="AC280" s="5" t="s">
        <v>2469</v>
      </c>
      <c r="AG280" s="5">
        <v>5</v>
      </c>
      <c r="AH280" s="5" t="s">
        <v>86</v>
      </c>
      <c r="AY280" s="5" t="s">
        <v>85</v>
      </c>
      <c r="AZ280" s="5">
        <v>2</v>
      </c>
      <c r="BA280" s="5">
        <v>5</v>
      </c>
      <c r="BB280" s="5">
        <v>1</v>
      </c>
      <c r="BC280" s="5">
        <v>4</v>
      </c>
      <c r="BD280" s="5">
        <v>0</v>
      </c>
      <c r="BE280" s="5">
        <v>0</v>
      </c>
      <c r="BF280" s="5">
        <v>0</v>
      </c>
      <c r="BH280" s="5">
        <v>0</v>
      </c>
      <c r="BI280" s="5">
        <v>2</v>
      </c>
      <c r="BJ280" s="5" t="s">
        <v>2475</v>
      </c>
      <c r="BL280" s="5">
        <v>0</v>
      </c>
      <c r="BM280" s="5">
        <v>2</v>
      </c>
      <c r="BN280" s="5" t="s">
        <v>86</v>
      </c>
      <c r="CD280" s="5">
        <v>0</v>
      </c>
      <c r="CF280" s="1442" t="str">
        <f>IF([1]!sommaire[[#This Row],[présence des personnes déplacés interne]]="Oui","1","0")</f>
        <v>0</v>
      </c>
      <c r="CG280" s="1442" t="str">
        <f>IF([1]!sommaire[[#This Row],[présence Réfugié hors camp]]="Oui","1","0")</f>
        <v>1</v>
      </c>
      <c r="CH280" s="1442" t="str">
        <f>IF([1]!sommaire[[#This Row],[présence personnes retournées]]="Oui","1","0")</f>
        <v>0</v>
      </c>
      <c r="CI280" s="1442">
        <f>[1]!sommaire[[#This Row],[Flag PDI]]+[1]!sommaire[[#This Row],[Flag REF]]+[1]!sommaire[[#This Row],[Flag RET]]</f>
        <v>1</v>
      </c>
    </row>
    <row r="281" spans="1:87" ht="14.55" customHeight="1" x14ac:dyDescent="0.3">
      <c r="A281" s="390">
        <v>2623457</v>
      </c>
      <c r="B281" s="5" t="s">
        <v>533</v>
      </c>
      <c r="C281" s="1430" t="s">
        <v>3449</v>
      </c>
      <c r="D281" s="1090" t="s">
        <v>534</v>
      </c>
      <c r="E281" s="5" t="s">
        <v>31</v>
      </c>
      <c r="F281" s="5" t="s">
        <v>31</v>
      </c>
      <c r="G281" s="5" t="s">
        <v>549</v>
      </c>
      <c r="H281" s="5" t="s">
        <v>170</v>
      </c>
      <c r="I281" s="5" t="str">
        <f>_xlfn.XLOOKUP(sommaire[[#This Row],[Arrondissement_code]],OCHA_GIS!$F:$F,OCHA_GIS!$E:$E,,)</f>
        <v>Kousséri</v>
      </c>
      <c r="J281" s="5" t="s">
        <v>866</v>
      </c>
      <c r="K281" t="s">
        <v>550</v>
      </c>
      <c r="L281" s="5" t="s">
        <v>3180</v>
      </c>
      <c r="M281" s="5" t="s">
        <v>3180</v>
      </c>
      <c r="N281" s="5" t="s">
        <v>3052</v>
      </c>
      <c r="O281" s="5" t="s">
        <v>2473</v>
      </c>
      <c r="P281" s="5" t="s">
        <v>85</v>
      </c>
      <c r="Q281" s="5" t="s">
        <v>86</v>
      </c>
      <c r="R281" s="5" t="s">
        <v>85</v>
      </c>
      <c r="T281" s="390">
        <v>3</v>
      </c>
      <c r="U281" s="5" t="s">
        <v>97</v>
      </c>
      <c r="W281" s="5" t="s">
        <v>2468</v>
      </c>
      <c r="X281" s="5" t="s">
        <v>103</v>
      </c>
      <c r="Y281" s="5" t="s">
        <v>2476</v>
      </c>
      <c r="AA281" s="5" t="s">
        <v>85</v>
      </c>
      <c r="AB281" s="5" t="s">
        <v>2473</v>
      </c>
      <c r="AC281" s="5" t="s">
        <v>2469</v>
      </c>
      <c r="AF281" s="5">
        <v>300</v>
      </c>
      <c r="AG281" s="5">
        <v>15000</v>
      </c>
      <c r="AH281" s="5" t="s">
        <v>85</v>
      </c>
      <c r="AI281" s="5" t="s">
        <v>2486</v>
      </c>
      <c r="AJ281" s="5">
        <v>300</v>
      </c>
      <c r="AK281" s="5">
        <v>577</v>
      </c>
      <c r="AL281" s="5">
        <v>277</v>
      </c>
      <c r="AM281" s="5">
        <v>300</v>
      </c>
      <c r="AN281" s="5">
        <v>0</v>
      </c>
      <c r="AO281" s="5">
        <v>200</v>
      </c>
      <c r="AP281" s="5">
        <v>0</v>
      </c>
      <c r="AQ281" s="5">
        <v>100</v>
      </c>
      <c r="AR281" s="5" t="s">
        <v>2477</v>
      </c>
      <c r="AT281" s="5">
        <v>0</v>
      </c>
      <c r="AU281" s="5">
        <v>0</v>
      </c>
      <c r="AX281" s="5">
        <v>0</v>
      </c>
      <c r="AY281" s="5" t="s">
        <v>86</v>
      </c>
      <c r="BN281" s="5" t="s">
        <v>86</v>
      </c>
      <c r="CD281" s="5">
        <v>0</v>
      </c>
      <c r="CF281" s="1442" t="str">
        <f>IF([1]!sommaire[[#This Row],[présence des personnes déplacés interne]]="Oui","1","0")</f>
        <v>1</v>
      </c>
      <c r="CG281" s="1442" t="str">
        <f>IF([1]!sommaire[[#This Row],[présence Réfugié hors camp]]="Oui","1","0")</f>
        <v>0</v>
      </c>
      <c r="CH281" s="1442" t="str">
        <f>IF([1]!sommaire[[#This Row],[présence personnes retournées]]="Oui","1","0")</f>
        <v>0</v>
      </c>
      <c r="CI281" s="1442">
        <f>[1]!sommaire[[#This Row],[Flag PDI]]+[1]!sommaire[[#This Row],[Flag REF]]+[1]!sommaire[[#This Row],[Flag RET]]</f>
        <v>1</v>
      </c>
    </row>
    <row r="282" spans="1:87" ht="14.55" customHeight="1" x14ac:dyDescent="0.3">
      <c r="A282" s="390">
        <v>2626880</v>
      </c>
      <c r="B282" s="5" t="s">
        <v>533</v>
      </c>
      <c r="C282" s="1430" t="s">
        <v>3449</v>
      </c>
      <c r="D282" s="1090" t="s">
        <v>534</v>
      </c>
      <c r="E282" s="5" t="s">
        <v>31</v>
      </c>
      <c r="F282" s="5" t="s">
        <v>31</v>
      </c>
      <c r="G282" s="5" t="s">
        <v>549</v>
      </c>
      <c r="H282" s="5" t="s">
        <v>170</v>
      </c>
      <c r="I282" s="5" t="str">
        <f>_xlfn.XLOOKUP(sommaire[[#This Row],[Arrondissement_code]],OCHA_GIS!$F:$F,OCHA_GIS!$E:$E,,)</f>
        <v>Kousséri</v>
      </c>
      <c r="J282" s="5" t="s">
        <v>866</v>
      </c>
      <c r="K282" t="s">
        <v>1501</v>
      </c>
      <c r="L282" s="5" t="s">
        <v>1861</v>
      </c>
      <c r="N282" s="5" t="s">
        <v>3053</v>
      </c>
      <c r="O282" s="5" t="s">
        <v>2467</v>
      </c>
      <c r="P282" s="5" t="s">
        <v>85</v>
      </c>
      <c r="Q282" s="5" t="s">
        <v>86</v>
      </c>
      <c r="R282" s="5" t="s">
        <v>86</v>
      </c>
      <c r="T282" s="390">
        <v>3</v>
      </c>
      <c r="U282" s="5" t="s">
        <v>97</v>
      </c>
      <c r="W282" s="5" t="s">
        <v>2468</v>
      </c>
      <c r="X282" s="5" t="s">
        <v>103</v>
      </c>
      <c r="Y282" s="5" t="s">
        <v>2476</v>
      </c>
      <c r="AA282" s="5" t="s">
        <v>85</v>
      </c>
      <c r="AB282" s="5" t="s">
        <v>2469</v>
      </c>
      <c r="AC282" s="5" t="s">
        <v>2470</v>
      </c>
      <c r="AD282" s="5" t="s">
        <v>86</v>
      </c>
      <c r="AF282" s="5">
        <v>77</v>
      </c>
      <c r="AG282" s="5">
        <v>1028</v>
      </c>
      <c r="AH282" s="5" t="s">
        <v>85</v>
      </c>
      <c r="AI282" s="5" t="s">
        <v>2485</v>
      </c>
      <c r="AJ282" s="5">
        <v>77</v>
      </c>
      <c r="AK282" s="5">
        <v>280</v>
      </c>
      <c r="AL282" s="5">
        <v>110</v>
      </c>
      <c r="AM282" s="5">
        <v>170</v>
      </c>
      <c r="AN282" s="5">
        <v>0</v>
      </c>
      <c r="AO282" s="5">
        <v>77</v>
      </c>
      <c r="AP282" s="5">
        <v>0</v>
      </c>
      <c r="AQ282" s="5">
        <v>0</v>
      </c>
      <c r="AT282" s="5">
        <v>0</v>
      </c>
      <c r="AU282" s="5">
        <v>0</v>
      </c>
      <c r="AX282" s="5">
        <v>0</v>
      </c>
      <c r="AY282" s="5" t="s">
        <v>86</v>
      </c>
      <c r="BN282" s="5" t="s">
        <v>86</v>
      </c>
      <c r="CD282" s="5">
        <v>0</v>
      </c>
      <c r="CF282" s="1442" t="str">
        <f>IF([1]!sommaire[[#This Row],[présence des personnes déplacés interne]]="Oui","1","0")</f>
        <v>1</v>
      </c>
      <c r="CG282" s="1442" t="str">
        <f>IF([1]!sommaire[[#This Row],[présence Réfugié hors camp]]="Oui","1","0")</f>
        <v>0</v>
      </c>
      <c r="CH282" s="1442" t="str">
        <f>IF([1]!sommaire[[#This Row],[présence personnes retournées]]="Oui","1","0")</f>
        <v>0</v>
      </c>
      <c r="CI282" s="1442">
        <f>[1]!sommaire[[#This Row],[Flag PDI]]+[1]!sommaire[[#This Row],[Flag REF]]+[1]!sommaire[[#This Row],[Flag RET]]</f>
        <v>1</v>
      </c>
    </row>
    <row r="283" spans="1:87" ht="14.55" customHeight="1" x14ac:dyDescent="0.3">
      <c r="A283" s="390">
        <v>2630742</v>
      </c>
      <c r="B283" s="5" t="s">
        <v>533</v>
      </c>
      <c r="C283" s="1430" t="s">
        <v>3449</v>
      </c>
      <c r="D283" s="1090" t="s">
        <v>534</v>
      </c>
      <c r="E283" s="5" t="s">
        <v>31</v>
      </c>
      <c r="F283" s="5" t="s">
        <v>31</v>
      </c>
      <c r="G283" s="5" t="s">
        <v>549</v>
      </c>
      <c r="H283" s="5" t="s">
        <v>170</v>
      </c>
      <c r="I283" s="5" t="str">
        <f>_xlfn.XLOOKUP(sommaire[[#This Row],[Arrondissement_code]],OCHA_GIS!$F:$F,OCHA_GIS!$E:$E,,)</f>
        <v>Kousséri</v>
      </c>
      <c r="J283" s="5" t="s">
        <v>866</v>
      </c>
      <c r="K283" t="s">
        <v>1858</v>
      </c>
      <c r="L283" s="5" t="s">
        <v>1859</v>
      </c>
      <c r="N283" s="5" t="s">
        <v>3052</v>
      </c>
      <c r="O283" s="5" t="s">
        <v>2467</v>
      </c>
      <c r="P283" s="5" t="s">
        <v>85</v>
      </c>
      <c r="Q283" s="5" t="s">
        <v>86</v>
      </c>
      <c r="R283" s="5" t="s">
        <v>86</v>
      </c>
      <c r="T283" s="390">
        <v>3</v>
      </c>
      <c r="U283" s="5" t="s">
        <v>97</v>
      </c>
      <c r="W283" s="5" t="s">
        <v>2468</v>
      </c>
      <c r="X283" s="5" t="s">
        <v>102</v>
      </c>
      <c r="AA283" s="5" t="s">
        <v>85</v>
      </c>
      <c r="AB283" s="5" t="s">
        <v>2469</v>
      </c>
      <c r="AC283" s="5" t="s">
        <v>312</v>
      </c>
      <c r="AD283" s="5" t="s">
        <v>86</v>
      </c>
      <c r="AF283" s="5">
        <v>52</v>
      </c>
      <c r="AG283" s="5">
        <v>5070</v>
      </c>
      <c r="AH283" s="5" t="s">
        <v>85</v>
      </c>
      <c r="AI283" s="5" t="s">
        <v>2485</v>
      </c>
      <c r="AJ283" s="5">
        <v>52</v>
      </c>
      <c r="AK283" s="5">
        <v>272</v>
      </c>
      <c r="AL283" s="5">
        <v>80</v>
      </c>
      <c r="AM283" s="5">
        <v>192</v>
      </c>
      <c r="AN283" s="5">
        <v>0</v>
      </c>
      <c r="AO283" s="5">
        <v>6</v>
      </c>
      <c r="AP283" s="5">
        <v>0</v>
      </c>
      <c r="AQ283" s="5">
        <v>46</v>
      </c>
      <c r="AR283" s="5" t="s">
        <v>2472</v>
      </c>
      <c r="AT283" s="5">
        <v>0</v>
      </c>
      <c r="AU283" s="5">
        <v>0</v>
      </c>
      <c r="AX283" s="5">
        <v>0</v>
      </c>
      <c r="AY283" s="5" t="s">
        <v>86</v>
      </c>
      <c r="BN283" s="5" t="s">
        <v>86</v>
      </c>
      <c r="CD283" s="5">
        <v>0</v>
      </c>
      <c r="CF283" s="1442" t="str">
        <f>IF([1]!sommaire[[#This Row],[présence des personnes déplacés interne]]="Oui","1","0")</f>
        <v>1</v>
      </c>
      <c r="CG283" s="1442" t="str">
        <f>IF([1]!sommaire[[#This Row],[présence Réfugié hors camp]]="Oui","1","0")</f>
        <v>0</v>
      </c>
      <c r="CH283" s="1442" t="str">
        <f>IF([1]!sommaire[[#This Row],[présence personnes retournées]]="Oui","1","0")</f>
        <v>0</v>
      </c>
      <c r="CI283" s="1442">
        <f>[1]!sommaire[[#This Row],[Flag PDI]]+[1]!sommaire[[#This Row],[Flag REF]]+[1]!sommaire[[#This Row],[Flag RET]]</f>
        <v>1</v>
      </c>
    </row>
    <row r="284" spans="1:87" ht="14.55" customHeight="1" x14ac:dyDescent="0.3">
      <c r="A284" s="390">
        <v>2647614</v>
      </c>
      <c r="B284" s="5" t="s">
        <v>533</v>
      </c>
      <c r="C284" s="1430" t="s">
        <v>3449</v>
      </c>
      <c r="D284" s="1090" t="s">
        <v>534</v>
      </c>
      <c r="E284" s="5" t="s">
        <v>31</v>
      </c>
      <c r="F284" s="5" t="s">
        <v>31</v>
      </c>
      <c r="G284" s="5" t="s">
        <v>549</v>
      </c>
      <c r="H284" s="5" t="s">
        <v>170</v>
      </c>
      <c r="I284" s="5" t="str">
        <f>_xlfn.XLOOKUP(sommaire[[#This Row],[Arrondissement_code]],OCHA_GIS!$F:$F,OCHA_GIS!$E:$E,,)</f>
        <v>Kousséri</v>
      </c>
      <c r="J284" s="5" t="s">
        <v>866</v>
      </c>
      <c r="K284" t="s">
        <v>1704</v>
      </c>
      <c r="L284" s="5" t="s">
        <v>1705</v>
      </c>
      <c r="N284" s="5" t="s">
        <v>3052</v>
      </c>
      <c r="O284" s="5" t="s">
        <v>2467</v>
      </c>
      <c r="P284" s="5" t="s">
        <v>85</v>
      </c>
      <c r="Q284" s="5" t="s">
        <v>86</v>
      </c>
      <c r="R284" s="5" t="s">
        <v>85</v>
      </c>
      <c r="T284" s="390">
        <v>3</v>
      </c>
      <c r="U284" s="5" t="s">
        <v>97</v>
      </c>
      <c r="W284" s="5" t="s">
        <v>2468</v>
      </c>
      <c r="X284" s="5" t="s">
        <v>103</v>
      </c>
      <c r="Y284" s="5" t="s">
        <v>2476</v>
      </c>
      <c r="AA284" s="5" t="s">
        <v>85</v>
      </c>
      <c r="AB284" s="5" t="s">
        <v>2469</v>
      </c>
      <c r="AC284" s="5" t="s">
        <v>2470</v>
      </c>
      <c r="AD284" s="5" t="s">
        <v>86</v>
      </c>
      <c r="AF284" s="5">
        <v>683</v>
      </c>
      <c r="AG284" s="5">
        <v>7826</v>
      </c>
      <c r="AH284" s="5" t="s">
        <v>85</v>
      </c>
      <c r="AI284" s="5" t="s">
        <v>2471</v>
      </c>
      <c r="AJ284" s="5">
        <v>683</v>
      </c>
      <c r="AK284" s="5">
        <v>2420</v>
      </c>
      <c r="AL284" s="5">
        <v>1020</v>
      </c>
      <c r="AM284" s="5">
        <v>1400</v>
      </c>
      <c r="AN284" s="5">
        <v>5</v>
      </c>
      <c r="AO284" s="5">
        <v>50</v>
      </c>
      <c r="AP284" s="5">
        <v>0</v>
      </c>
      <c r="AQ284" s="5">
        <v>620</v>
      </c>
      <c r="AR284" s="5" t="s">
        <v>2477</v>
      </c>
      <c r="AT284" s="5">
        <v>0</v>
      </c>
      <c r="AU284" s="5">
        <v>8</v>
      </c>
      <c r="AV284" s="5" t="s">
        <v>2478</v>
      </c>
      <c r="AX284" s="5">
        <v>0</v>
      </c>
      <c r="AY284" s="5" t="s">
        <v>86</v>
      </c>
      <c r="BN284" s="5" t="s">
        <v>86</v>
      </c>
      <c r="CD284" s="5">
        <v>0</v>
      </c>
      <c r="CF284" s="1442" t="str">
        <f>IF([1]!sommaire[[#This Row],[présence des personnes déplacés interne]]="Oui","1","0")</f>
        <v>1</v>
      </c>
      <c r="CG284" s="1442" t="str">
        <f>IF([1]!sommaire[[#This Row],[présence Réfugié hors camp]]="Oui","1","0")</f>
        <v>0</v>
      </c>
      <c r="CH284" s="1442" t="str">
        <f>IF([1]!sommaire[[#This Row],[présence personnes retournées]]="Oui","1","0")</f>
        <v>0</v>
      </c>
      <c r="CI284" s="1442">
        <f>[1]!sommaire[[#This Row],[Flag PDI]]+[1]!sommaire[[#This Row],[Flag REF]]+[1]!sommaire[[#This Row],[Flag RET]]</f>
        <v>1</v>
      </c>
    </row>
    <row r="285" spans="1:87" ht="14.55" customHeight="1" x14ac:dyDescent="0.3">
      <c r="A285" s="390">
        <v>2679824</v>
      </c>
      <c r="B285" s="5" t="s">
        <v>533</v>
      </c>
      <c r="C285" s="1430" t="s">
        <v>3449</v>
      </c>
      <c r="D285" s="1090" t="s">
        <v>534</v>
      </c>
      <c r="E285" s="5" t="s">
        <v>31</v>
      </c>
      <c r="F285" s="5" t="s">
        <v>31</v>
      </c>
      <c r="G285" s="5" t="s">
        <v>549</v>
      </c>
      <c r="H285" s="5" t="s">
        <v>170</v>
      </c>
      <c r="I285" s="5" t="str">
        <f>_xlfn.XLOOKUP(sommaire[[#This Row],[Arrondissement_code]],OCHA_GIS!$F:$F,OCHA_GIS!$E:$E,,)</f>
        <v>Kousséri</v>
      </c>
      <c r="J285" s="5" t="s">
        <v>866</v>
      </c>
      <c r="K285" t="s">
        <v>1109</v>
      </c>
      <c r="L285" s="1090" t="s">
        <v>1117</v>
      </c>
      <c r="N285" s="5" t="s">
        <v>3053</v>
      </c>
      <c r="O285" s="5" t="s">
        <v>2467</v>
      </c>
      <c r="P285" s="5" t="s">
        <v>85</v>
      </c>
      <c r="Q285" s="5" t="s">
        <v>86</v>
      </c>
      <c r="R285" s="5" t="s">
        <v>86</v>
      </c>
      <c r="T285" s="390">
        <v>3</v>
      </c>
      <c r="U285" s="5" t="s">
        <v>97</v>
      </c>
      <c r="W285" s="5" t="s">
        <v>2468</v>
      </c>
      <c r="X285" s="5" t="s">
        <v>102</v>
      </c>
      <c r="AA285" s="5" t="s">
        <v>85</v>
      </c>
      <c r="AB285" s="5" t="s">
        <v>2469</v>
      </c>
      <c r="AC285" s="5" t="s">
        <v>312</v>
      </c>
      <c r="AD285" s="5" t="s">
        <v>86</v>
      </c>
      <c r="AF285" s="5">
        <v>5</v>
      </c>
      <c r="AG285" s="5">
        <v>1500</v>
      </c>
      <c r="AH285" s="1090" t="s">
        <v>85</v>
      </c>
      <c r="AI285" s="1090" t="s">
        <v>2471</v>
      </c>
      <c r="AJ285" s="5">
        <v>5</v>
      </c>
      <c r="AK285" s="5">
        <v>20</v>
      </c>
      <c r="AL285" s="5">
        <v>5</v>
      </c>
      <c r="AM285" s="5">
        <v>15</v>
      </c>
      <c r="AN285" s="5">
        <v>1</v>
      </c>
      <c r="AO285" s="5">
        <v>1</v>
      </c>
      <c r="AP285" s="5">
        <v>0</v>
      </c>
      <c r="AQ285" s="5">
        <v>3</v>
      </c>
      <c r="AR285" s="5" t="s">
        <v>2477</v>
      </c>
      <c r="AT285" s="5">
        <v>0</v>
      </c>
      <c r="AU285" s="5">
        <v>0</v>
      </c>
      <c r="AX285" s="5">
        <v>0</v>
      </c>
      <c r="AY285" s="5" t="s">
        <v>85</v>
      </c>
      <c r="AZ285" s="5">
        <v>1</v>
      </c>
      <c r="BA285" s="5">
        <v>3</v>
      </c>
      <c r="BB285" s="5">
        <v>1</v>
      </c>
      <c r="BC285" s="5">
        <v>2</v>
      </c>
      <c r="BD285" s="5">
        <v>0</v>
      </c>
      <c r="BE285" s="5">
        <v>0</v>
      </c>
      <c r="BF285" s="5">
        <v>1</v>
      </c>
      <c r="BG285" s="5" t="s">
        <v>2477</v>
      </c>
      <c r="BH285" s="5">
        <v>0</v>
      </c>
      <c r="BI285" s="5">
        <v>0</v>
      </c>
      <c r="BL285" s="5">
        <v>0</v>
      </c>
      <c r="BM285" s="5">
        <v>0</v>
      </c>
      <c r="BN285" s="5" t="s">
        <v>86</v>
      </c>
      <c r="CD285" s="5">
        <v>0</v>
      </c>
      <c r="CF285" s="1442" t="str">
        <f>IF([1]!sommaire[[#This Row],[présence des personnes déplacés interne]]="Oui","1","0")</f>
        <v>1</v>
      </c>
      <c r="CG285" s="1442" t="str">
        <f>IF([1]!sommaire[[#This Row],[présence Réfugié hors camp]]="Oui","1","0")</f>
        <v>1</v>
      </c>
      <c r="CH285" s="1442" t="str">
        <f>IF([1]!sommaire[[#This Row],[présence personnes retournées]]="Oui","1","0")</f>
        <v>0</v>
      </c>
      <c r="CI285" s="1442">
        <f>[1]!sommaire[[#This Row],[Flag PDI]]+[1]!sommaire[[#This Row],[Flag REF]]+[1]!sommaire[[#This Row],[Flag RET]]</f>
        <v>2</v>
      </c>
    </row>
    <row r="286" spans="1:87" ht="14.55" customHeight="1" x14ac:dyDescent="0.3">
      <c r="A286" s="390">
        <v>2710006</v>
      </c>
      <c r="B286" s="5" t="s">
        <v>533</v>
      </c>
      <c r="C286" s="1430" t="s">
        <v>3449</v>
      </c>
      <c r="D286" s="1090" t="s">
        <v>534</v>
      </c>
      <c r="E286" s="5" t="s">
        <v>31</v>
      </c>
      <c r="F286" s="5" t="s">
        <v>31</v>
      </c>
      <c r="G286" s="5" t="s">
        <v>549</v>
      </c>
      <c r="H286" s="5" t="s">
        <v>170</v>
      </c>
      <c r="I286" s="5" t="str">
        <f>_xlfn.XLOOKUP(sommaire[[#This Row],[Arrondissement_code]],OCHA_GIS!$F:$F,OCHA_GIS!$E:$E,,)</f>
        <v>Kousséri</v>
      </c>
      <c r="J286" s="5" t="s">
        <v>866</v>
      </c>
      <c r="K286" t="s">
        <v>1367</v>
      </c>
      <c r="L286" s="5" t="s">
        <v>1368</v>
      </c>
      <c r="N286" s="5" t="s">
        <v>3053</v>
      </c>
      <c r="O286" s="5" t="s">
        <v>2467</v>
      </c>
      <c r="P286" s="5" t="s">
        <v>85</v>
      </c>
      <c r="Q286" s="5" t="s">
        <v>86</v>
      </c>
      <c r="R286" s="5" t="s">
        <v>86</v>
      </c>
      <c r="T286" s="390">
        <v>3</v>
      </c>
      <c r="U286" s="5" t="s">
        <v>97</v>
      </c>
      <c r="W286" s="5" t="s">
        <v>2468</v>
      </c>
      <c r="X286" s="5" t="s">
        <v>102</v>
      </c>
      <c r="AA286" s="5" t="s">
        <v>85</v>
      </c>
      <c r="AB286" s="5" t="s">
        <v>2469</v>
      </c>
      <c r="AC286" s="5" t="s">
        <v>312</v>
      </c>
      <c r="AD286" s="5" t="s">
        <v>86</v>
      </c>
      <c r="AG286" s="5">
        <v>2800</v>
      </c>
      <c r="AH286" s="5" t="s">
        <v>86</v>
      </c>
      <c r="AY286" s="5" t="s">
        <v>85</v>
      </c>
      <c r="AZ286" s="5">
        <v>2</v>
      </c>
      <c r="BA286" s="5">
        <v>10</v>
      </c>
      <c r="BB286" s="5">
        <v>2</v>
      </c>
      <c r="BC286" s="5">
        <v>8</v>
      </c>
      <c r="BD286" s="5">
        <v>1</v>
      </c>
      <c r="BE286" s="5">
        <v>0</v>
      </c>
      <c r="BF286" s="5">
        <v>1</v>
      </c>
      <c r="BG286" s="5" t="s">
        <v>383</v>
      </c>
      <c r="BH286" s="5">
        <v>0</v>
      </c>
      <c r="BI286" s="5">
        <v>0</v>
      </c>
      <c r="BL286" s="5">
        <v>0</v>
      </c>
      <c r="BM286" s="5">
        <v>2</v>
      </c>
      <c r="BN286" s="5" t="s">
        <v>85</v>
      </c>
      <c r="BO286" s="5">
        <v>3</v>
      </c>
      <c r="BP286" s="5">
        <v>15</v>
      </c>
      <c r="BQ286" s="5">
        <v>3</v>
      </c>
      <c r="BR286" s="5">
        <v>12</v>
      </c>
      <c r="BS286" s="5" t="s">
        <v>2492</v>
      </c>
      <c r="BT286" s="5">
        <v>0</v>
      </c>
      <c r="BU286" s="5">
        <v>3</v>
      </c>
      <c r="BV286" s="5">
        <v>0</v>
      </c>
      <c r="BW286" s="5">
        <v>0</v>
      </c>
      <c r="BX286" s="5">
        <v>0</v>
      </c>
      <c r="BZ286" s="5">
        <v>0</v>
      </c>
      <c r="CA286" s="5">
        <v>0</v>
      </c>
      <c r="CC286" s="5">
        <v>0</v>
      </c>
      <c r="CD286" s="5">
        <v>0</v>
      </c>
      <c r="CF286" s="1442" t="str">
        <f>IF([1]!sommaire[[#This Row],[présence des personnes déplacés interne]]="Oui","1","0")</f>
        <v>0</v>
      </c>
      <c r="CG286" s="1442" t="str">
        <f>IF([1]!sommaire[[#This Row],[présence Réfugié hors camp]]="Oui","1","0")</f>
        <v>1</v>
      </c>
      <c r="CH286" s="1442" t="str">
        <f>IF([1]!sommaire[[#This Row],[présence personnes retournées]]="Oui","1","0")</f>
        <v>1</v>
      </c>
      <c r="CI286" s="1442">
        <f>[1]!sommaire[[#This Row],[Flag PDI]]+[1]!sommaire[[#This Row],[Flag REF]]+[1]!sommaire[[#This Row],[Flag RET]]</f>
        <v>2</v>
      </c>
    </row>
    <row r="287" spans="1:87" ht="14.55" customHeight="1" x14ac:dyDescent="0.3">
      <c r="A287" s="390">
        <v>2797716</v>
      </c>
      <c r="B287" s="5" t="s">
        <v>533</v>
      </c>
      <c r="C287" s="1430" t="s">
        <v>3449</v>
      </c>
      <c r="D287" s="1090" t="s">
        <v>534</v>
      </c>
      <c r="E287" s="5" t="s">
        <v>31</v>
      </c>
      <c r="F287" s="5" t="s">
        <v>31</v>
      </c>
      <c r="G287" s="5" t="s">
        <v>549</v>
      </c>
      <c r="H287" s="5" t="s">
        <v>170</v>
      </c>
      <c r="I287" s="5" t="str">
        <f>_xlfn.XLOOKUP(sommaire[[#This Row],[Arrondissement_code]],OCHA_GIS!$F:$F,OCHA_GIS!$E:$E,,)</f>
        <v>Kousséri</v>
      </c>
      <c r="J287" s="5" t="s">
        <v>866</v>
      </c>
      <c r="K287" t="s">
        <v>955</v>
      </c>
      <c r="L287" s="5" t="s">
        <v>956</v>
      </c>
      <c r="N287" s="5" t="s">
        <v>3053</v>
      </c>
      <c r="O287" s="5" t="s">
        <v>2467</v>
      </c>
      <c r="P287" s="5" t="s">
        <v>85</v>
      </c>
      <c r="Q287" s="5" t="s">
        <v>86</v>
      </c>
      <c r="R287" s="5" t="s">
        <v>86</v>
      </c>
      <c r="T287" s="390">
        <v>3</v>
      </c>
      <c r="U287" s="5" t="s">
        <v>97</v>
      </c>
      <c r="W287" s="5" t="s">
        <v>2468</v>
      </c>
      <c r="X287" s="5" t="s">
        <v>103</v>
      </c>
      <c r="Y287" s="5" t="s">
        <v>274</v>
      </c>
      <c r="AA287" s="5" t="s">
        <v>85</v>
      </c>
      <c r="AB287" s="5" t="s">
        <v>2469</v>
      </c>
      <c r="AC287" s="5" t="s">
        <v>2470</v>
      </c>
      <c r="AD287" s="5" t="s">
        <v>86</v>
      </c>
      <c r="AF287" s="5">
        <v>11</v>
      </c>
      <c r="AG287" s="5">
        <v>1057</v>
      </c>
      <c r="AH287" s="5" t="s">
        <v>85</v>
      </c>
      <c r="AI287" s="5" t="s">
        <v>2485</v>
      </c>
      <c r="AJ287" s="5">
        <v>11</v>
      </c>
      <c r="AK287" s="5">
        <v>35</v>
      </c>
      <c r="AL287" s="5">
        <v>14</v>
      </c>
      <c r="AM287" s="5">
        <v>21</v>
      </c>
      <c r="AN287" s="5">
        <v>3</v>
      </c>
      <c r="AO287" s="5">
        <v>8</v>
      </c>
      <c r="AP287" s="5">
        <v>0</v>
      </c>
      <c r="AQ287" s="5">
        <v>0</v>
      </c>
      <c r="AT287" s="5">
        <v>0</v>
      </c>
      <c r="AU287" s="5">
        <v>0</v>
      </c>
      <c r="AX287" s="5">
        <v>0</v>
      </c>
      <c r="AY287" s="5" t="s">
        <v>86</v>
      </c>
      <c r="BN287" s="5" t="s">
        <v>85</v>
      </c>
      <c r="BO287" s="5">
        <v>107</v>
      </c>
      <c r="BP287" s="5">
        <v>1022</v>
      </c>
      <c r="BQ287" s="5">
        <v>422</v>
      </c>
      <c r="BR287" s="5">
        <v>600</v>
      </c>
      <c r="BS287" s="5" t="s">
        <v>2492</v>
      </c>
      <c r="BT287" s="5">
        <v>0</v>
      </c>
      <c r="BU287" s="5">
        <v>97</v>
      </c>
      <c r="BV287" s="5">
        <v>10</v>
      </c>
      <c r="BW287" s="5">
        <v>0</v>
      </c>
      <c r="BX287" s="5">
        <v>0</v>
      </c>
      <c r="BZ287" s="5">
        <v>0</v>
      </c>
      <c r="CA287" s="5">
        <v>0</v>
      </c>
      <c r="CC287" s="5">
        <v>0</v>
      </c>
      <c r="CD287" s="5">
        <v>0</v>
      </c>
      <c r="CF287" s="1442" t="str">
        <f>IF([1]!sommaire[[#This Row],[présence des personnes déplacés interne]]="Oui","1","0")</f>
        <v>1</v>
      </c>
      <c r="CG287" s="1442" t="str">
        <f>IF([1]!sommaire[[#This Row],[présence Réfugié hors camp]]="Oui","1","0")</f>
        <v>0</v>
      </c>
      <c r="CH287" s="1442" t="str">
        <f>IF([1]!sommaire[[#This Row],[présence personnes retournées]]="Oui","1","0")</f>
        <v>1</v>
      </c>
      <c r="CI287" s="1442">
        <f>[1]!sommaire[[#This Row],[Flag PDI]]+[1]!sommaire[[#This Row],[Flag REF]]+[1]!sommaire[[#This Row],[Flag RET]]</f>
        <v>2</v>
      </c>
    </row>
    <row r="288" spans="1:87" ht="14.55" customHeight="1" x14ac:dyDescent="0.3">
      <c r="A288" s="390">
        <v>2623320</v>
      </c>
      <c r="B288" s="5" t="s">
        <v>533</v>
      </c>
      <c r="C288" s="1430" t="s">
        <v>3449</v>
      </c>
      <c r="D288" s="1090" t="s">
        <v>534</v>
      </c>
      <c r="E288" s="5" t="s">
        <v>31</v>
      </c>
      <c r="F288" s="5" t="s">
        <v>31</v>
      </c>
      <c r="G288" s="5" t="s">
        <v>549</v>
      </c>
      <c r="H288" s="5" t="s">
        <v>170</v>
      </c>
      <c r="I288" s="5" t="str">
        <f>_xlfn.XLOOKUP(sommaire[[#This Row],[Arrondissement_code]],OCHA_GIS!$F:$F,OCHA_GIS!$E:$E,,)</f>
        <v>Kousséri</v>
      </c>
      <c r="J288" s="5" t="s">
        <v>866</v>
      </c>
      <c r="K288" t="s">
        <v>1369</v>
      </c>
      <c r="L288" s="5" t="s">
        <v>1370</v>
      </c>
      <c r="N288" s="5" t="s">
        <v>3052</v>
      </c>
      <c r="O288" s="5" t="s">
        <v>2467</v>
      </c>
      <c r="P288" s="5" t="s">
        <v>85</v>
      </c>
      <c r="Q288" s="5" t="s">
        <v>86</v>
      </c>
      <c r="R288" s="5" t="s">
        <v>86</v>
      </c>
      <c r="T288" s="390">
        <v>3</v>
      </c>
      <c r="U288" s="5" t="s">
        <v>97</v>
      </c>
      <c r="W288" s="5" t="s">
        <v>2468</v>
      </c>
      <c r="X288" s="5" t="s">
        <v>103</v>
      </c>
      <c r="Y288" s="5" t="s">
        <v>2476</v>
      </c>
      <c r="AA288" s="586" t="s">
        <v>85</v>
      </c>
      <c r="AB288" s="5" t="s">
        <v>2469</v>
      </c>
      <c r="AC288" s="5" t="s">
        <v>2473</v>
      </c>
      <c r="AD288" s="5" t="s">
        <v>86</v>
      </c>
      <c r="AF288" s="5">
        <v>100</v>
      </c>
      <c r="AG288" s="5">
        <v>7000</v>
      </c>
      <c r="AH288" s="5" t="s">
        <v>85</v>
      </c>
      <c r="AI288" s="5" t="s">
        <v>2471</v>
      </c>
      <c r="AJ288" s="5">
        <v>100</v>
      </c>
      <c r="AK288" s="5">
        <v>355</v>
      </c>
      <c r="AL288" s="5">
        <v>155</v>
      </c>
      <c r="AM288" s="5">
        <v>200</v>
      </c>
      <c r="AN288" s="5">
        <v>0</v>
      </c>
      <c r="AO288" s="5">
        <v>30</v>
      </c>
      <c r="AP288" s="5">
        <v>0</v>
      </c>
      <c r="AQ288" s="5">
        <v>60</v>
      </c>
      <c r="AR288" s="5" t="s">
        <v>2477</v>
      </c>
      <c r="AT288" s="5">
        <v>0</v>
      </c>
      <c r="AU288" s="5">
        <v>10</v>
      </c>
      <c r="AV288" s="5" t="s">
        <v>2478</v>
      </c>
      <c r="AX288" s="5">
        <v>0</v>
      </c>
      <c r="AY288" s="5" t="s">
        <v>86</v>
      </c>
      <c r="BN288" s="5" t="s">
        <v>86</v>
      </c>
      <c r="CD288" s="5">
        <v>0</v>
      </c>
      <c r="CF288" s="1442" t="str">
        <f>IF([1]!sommaire[[#This Row],[présence des personnes déplacés interne]]="Oui","1","0")</f>
        <v>1</v>
      </c>
      <c r="CG288" s="1442" t="str">
        <f>IF([1]!sommaire[[#This Row],[présence Réfugié hors camp]]="Oui","1","0")</f>
        <v>0</v>
      </c>
      <c r="CH288" s="1442" t="str">
        <f>IF([1]!sommaire[[#This Row],[présence personnes retournées]]="Oui","1","0")</f>
        <v>0</v>
      </c>
      <c r="CI288" s="1442">
        <f>[1]!sommaire[[#This Row],[Flag PDI]]+[1]!sommaire[[#This Row],[Flag REF]]+[1]!sommaire[[#This Row],[Flag RET]]</f>
        <v>1</v>
      </c>
    </row>
    <row r="289" spans="1:87" ht="14.55" customHeight="1" x14ac:dyDescent="0.3">
      <c r="A289" s="390">
        <v>2666745</v>
      </c>
      <c r="B289" s="5" t="s">
        <v>533</v>
      </c>
      <c r="C289" s="1430" t="s">
        <v>3449</v>
      </c>
      <c r="D289" s="1090" t="s">
        <v>534</v>
      </c>
      <c r="E289" s="5" t="s">
        <v>31</v>
      </c>
      <c r="F289" s="5" t="s">
        <v>31</v>
      </c>
      <c r="G289" s="5" t="s">
        <v>549</v>
      </c>
      <c r="H289" s="5" t="s">
        <v>170</v>
      </c>
      <c r="I289" s="5" t="str">
        <f>_xlfn.XLOOKUP(sommaire[[#This Row],[Arrondissement_code]],OCHA_GIS!$F:$F,OCHA_GIS!$E:$E,,)</f>
        <v>Kousséri</v>
      </c>
      <c r="J289" s="5" t="s">
        <v>866</v>
      </c>
      <c r="K289" t="s">
        <v>2850</v>
      </c>
      <c r="L289" s="5" t="s">
        <v>1636</v>
      </c>
      <c r="N289" s="5" t="s">
        <v>3052</v>
      </c>
      <c r="O289" s="5" t="s">
        <v>2467</v>
      </c>
      <c r="P289" s="5" t="s">
        <v>85</v>
      </c>
      <c r="Q289" s="5" t="s">
        <v>86</v>
      </c>
      <c r="R289" s="5" t="s">
        <v>86</v>
      </c>
      <c r="T289" s="390">
        <v>3</v>
      </c>
      <c r="U289" s="5" t="s">
        <v>97</v>
      </c>
      <c r="W289" s="5" t="s">
        <v>2468</v>
      </c>
      <c r="X289" s="5" t="s">
        <v>103</v>
      </c>
      <c r="Y289" s="5" t="s">
        <v>2476</v>
      </c>
      <c r="AA289" s="5" t="s">
        <v>85</v>
      </c>
      <c r="AB289" s="5" t="s">
        <v>2469</v>
      </c>
      <c r="AC289" s="5" t="s">
        <v>312</v>
      </c>
      <c r="AD289" s="5" t="s">
        <v>86</v>
      </c>
      <c r="AF289" s="5">
        <v>100</v>
      </c>
      <c r="AG289" s="5">
        <v>4000</v>
      </c>
      <c r="AH289" s="5" t="s">
        <v>85</v>
      </c>
      <c r="AI289" s="5" t="s">
        <v>2485</v>
      </c>
      <c r="AJ289" s="5">
        <v>100</v>
      </c>
      <c r="AK289" s="5">
        <v>900</v>
      </c>
      <c r="AL289" s="5">
        <v>100</v>
      </c>
      <c r="AM289" s="5">
        <v>800</v>
      </c>
      <c r="AN289" s="5">
        <v>0</v>
      </c>
      <c r="AO289" s="5">
        <v>20</v>
      </c>
      <c r="AP289" s="5">
        <v>0</v>
      </c>
      <c r="AQ289" s="5">
        <v>20</v>
      </c>
      <c r="AR289" s="5" t="s">
        <v>2477</v>
      </c>
      <c r="AT289" s="5">
        <v>0</v>
      </c>
      <c r="AU289" s="5">
        <v>60</v>
      </c>
      <c r="AV289" s="5" t="s">
        <v>2475</v>
      </c>
      <c r="AX289" s="5">
        <v>0</v>
      </c>
      <c r="AY289" s="5" t="s">
        <v>86</v>
      </c>
      <c r="BN289" s="5" t="s">
        <v>86</v>
      </c>
      <c r="CD289" s="5">
        <v>0</v>
      </c>
      <c r="CF289" s="1442" t="str">
        <f>IF([1]!sommaire[[#This Row],[présence des personnes déplacés interne]]="Oui","1","0")</f>
        <v>1</v>
      </c>
      <c r="CG289" s="1442" t="str">
        <f>IF([1]!sommaire[[#This Row],[présence Réfugié hors camp]]="Oui","1","0")</f>
        <v>0</v>
      </c>
      <c r="CH289" s="1442" t="str">
        <f>IF([1]!sommaire[[#This Row],[présence personnes retournées]]="Oui","1","0")</f>
        <v>0</v>
      </c>
      <c r="CI289" s="1442">
        <f>[1]!sommaire[[#This Row],[Flag PDI]]+[1]!sommaire[[#This Row],[Flag REF]]+[1]!sommaire[[#This Row],[Flag RET]]</f>
        <v>1</v>
      </c>
    </row>
    <row r="290" spans="1:87" ht="14.55" customHeight="1" x14ac:dyDescent="0.3">
      <c r="A290" s="390">
        <v>2725196</v>
      </c>
      <c r="B290" s="5" t="s">
        <v>533</v>
      </c>
      <c r="C290" s="1430" t="s">
        <v>3449</v>
      </c>
      <c r="D290" s="1090" t="s">
        <v>534</v>
      </c>
      <c r="E290" s="5" t="s">
        <v>31</v>
      </c>
      <c r="F290" s="5" t="s">
        <v>31</v>
      </c>
      <c r="G290" s="5" t="s">
        <v>549</v>
      </c>
      <c r="H290" s="5" t="s">
        <v>170</v>
      </c>
      <c r="I290" s="5" t="str">
        <f>_xlfn.XLOOKUP(sommaire[[#This Row],[Arrondissement_code]],OCHA_GIS!$F:$F,OCHA_GIS!$E:$E,,)</f>
        <v>Kousséri</v>
      </c>
      <c r="J290" s="5" t="s">
        <v>866</v>
      </c>
      <c r="K290" t="s">
        <v>1635</v>
      </c>
      <c r="L290" s="5" t="s">
        <v>1579</v>
      </c>
      <c r="N290" s="5" t="s">
        <v>3052</v>
      </c>
      <c r="O290" s="5" t="s">
        <v>2467</v>
      </c>
      <c r="P290" s="5" t="s">
        <v>85</v>
      </c>
      <c r="Q290" s="5" t="s">
        <v>86</v>
      </c>
      <c r="R290" s="5" t="s">
        <v>86</v>
      </c>
      <c r="T290" s="390">
        <v>3</v>
      </c>
      <c r="U290" s="5" t="s">
        <v>97</v>
      </c>
      <c r="W290" s="5" t="s">
        <v>2468</v>
      </c>
      <c r="X290" s="1090" t="s">
        <v>102</v>
      </c>
      <c r="AA290" s="1090" t="s">
        <v>85</v>
      </c>
      <c r="AB290" s="5" t="s">
        <v>2469</v>
      </c>
      <c r="AC290" s="5" t="s">
        <v>312</v>
      </c>
      <c r="AD290" s="5" t="s">
        <v>86</v>
      </c>
      <c r="AF290" s="5">
        <v>4</v>
      </c>
      <c r="AG290" s="5">
        <v>6780</v>
      </c>
      <c r="AH290" s="5" t="s">
        <v>85</v>
      </c>
      <c r="AI290" s="5" t="s">
        <v>2471</v>
      </c>
      <c r="AJ290" s="5">
        <v>4</v>
      </c>
      <c r="AK290" s="5">
        <v>25</v>
      </c>
      <c r="AL290" s="5">
        <v>5</v>
      </c>
      <c r="AM290" s="5">
        <v>20</v>
      </c>
      <c r="AN290" s="5">
        <v>0</v>
      </c>
      <c r="AO290" s="5">
        <v>1</v>
      </c>
      <c r="AP290" s="5">
        <v>0</v>
      </c>
      <c r="AQ290" s="5">
        <v>3</v>
      </c>
      <c r="AR290" s="5" t="s">
        <v>2477</v>
      </c>
      <c r="AT290" s="5">
        <v>0</v>
      </c>
      <c r="AU290" s="5">
        <v>0</v>
      </c>
      <c r="AX290" s="5">
        <v>0</v>
      </c>
      <c r="AY290" s="1090" t="s">
        <v>86</v>
      </c>
      <c r="BN290" s="1090" t="s">
        <v>86</v>
      </c>
      <c r="CD290" s="5">
        <v>0</v>
      </c>
      <c r="CF290" s="1442" t="str">
        <f>IF([1]!sommaire[[#This Row],[présence des personnes déplacés interne]]="Oui","1","0")</f>
        <v>1</v>
      </c>
      <c r="CG290" s="1442" t="str">
        <f>IF([1]!sommaire[[#This Row],[présence Réfugié hors camp]]="Oui","1","0")</f>
        <v>0</v>
      </c>
      <c r="CH290" s="1442" t="str">
        <f>IF([1]!sommaire[[#This Row],[présence personnes retournées]]="Oui","1","0")</f>
        <v>0</v>
      </c>
      <c r="CI290" s="1442">
        <f>[1]!sommaire[[#This Row],[Flag PDI]]+[1]!sommaire[[#This Row],[Flag REF]]+[1]!sommaire[[#This Row],[Flag RET]]</f>
        <v>1</v>
      </c>
    </row>
    <row r="291" spans="1:87" ht="14.55" customHeight="1" x14ac:dyDescent="0.3">
      <c r="A291" s="390">
        <v>2647610</v>
      </c>
      <c r="B291" s="5" t="s">
        <v>533</v>
      </c>
      <c r="C291" s="1430" t="s">
        <v>3449</v>
      </c>
      <c r="D291" s="1090" t="s">
        <v>534</v>
      </c>
      <c r="E291" s="5" t="s">
        <v>31</v>
      </c>
      <c r="F291" s="5" t="s">
        <v>31</v>
      </c>
      <c r="G291" s="5" t="s">
        <v>549</v>
      </c>
      <c r="H291" s="5" t="s">
        <v>170</v>
      </c>
      <c r="I291" s="5" t="str">
        <f>_xlfn.XLOOKUP(sommaire[[#This Row],[Arrondissement_code]],OCHA_GIS!$F:$F,OCHA_GIS!$E:$E,,)</f>
        <v>Kousséri</v>
      </c>
      <c r="J291" s="5" t="s">
        <v>866</v>
      </c>
      <c r="K291" t="s">
        <v>2891</v>
      </c>
      <c r="L291" s="5" t="s">
        <v>2017</v>
      </c>
      <c r="N291" s="5" t="s">
        <v>3052</v>
      </c>
      <c r="O291" s="5" t="s">
        <v>2467</v>
      </c>
      <c r="P291" s="5" t="s">
        <v>85</v>
      </c>
      <c r="Q291" s="5" t="s">
        <v>86</v>
      </c>
      <c r="R291" s="5" t="s">
        <v>85</v>
      </c>
      <c r="T291" s="390">
        <v>3</v>
      </c>
      <c r="U291" s="5" t="s">
        <v>97</v>
      </c>
      <c r="W291" s="5" t="s">
        <v>2468</v>
      </c>
      <c r="X291" s="1090" t="s">
        <v>103</v>
      </c>
      <c r="Y291" s="5" t="s">
        <v>2476</v>
      </c>
      <c r="AA291" s="5" t="s">
        <v>86</v>
      </c>
      <c r="AH291" s="1430" t="s">
        <v>86</v>
      </c>
      <c r="AY291" s="1430" t="s">
        <v>86</v>
      </c>
      <c r="BN291" s="1430" t="s">
        <v>86</v>
      </c>
      <c r="CF291" s="1442" t="str">
        <f>IF([1]!sommaire[[#This Row],[présence des personnes déplacés interne]]="Oui","1","0")</f>
        <v>0</v>
      </c>
      <c r="CG291" s="1442" t="str">
        <f>IF([1]!sommaire[[#This Row],[présence Réfugié hors camp]]="Oui","1","0")</f>
        <v>0</v>
      </c>
      <c r="CH291" s="1442" t="str">
        <f>IF([1]!sommaire[[#This Row],[présence personnes retournées]]="Oui","1","0")</f>
        <v>0</v>
      </c>
      <c r="CI291" s="1442">
        <f>[1]!sommaire[[#This Row],[Flag PDI]]+[1]!sommaire[[#This Row],[Flag REF]]+[1]!sommaire[[#This Row],[Flag RET]]</f>
        <v>0</v>
      </c>
    </row>
    <row r="292" spans="1:87" ht="14.55" customHeight="1" x14ac:dyDescent="0.3">
      <c r="A292" s="390">
        <v>2631787</v>
      </c>
      <c r="B292" s="5" t="s">
        <v>533</v>
      </c>
      <c r="C292" s="1430" t="s">
        <v>3449</v>
      </c>
      <c r="D292" s="1090" t="s">
        <v>534</v>
      </c>
      <c r="E292" s="5" t="s">
        <v>31</v>
      </c>
      <c r="F292" s="5" t="s">
        <v>31</v>
      </c>
      <c r="G292" s="5" t="s">
        <v>549</v>
      </c>
      <c r="H292" s="5" t="s">
        <v>170</v>
      </c>
      <c r="I292" s="5" t="str">
        <f>_xlfn.XLOOKUP(sommaire[[#This Row],[Arrondissement_code]],OCHA_GIS!$F:$F,OCHA_GIS!$E:$E,,)</f>
        <v>Kousséri</v>
      </c>
      <c r="J292" s="5" t="s">
        <v>866</v>
      </c>
      <c r="K292" t="s">
        <v>1578</v>
      </c>
      <c r="L292" s="5" t="s">
        <v>1020</v>
      </c>
      <c r="N292" s="5" t="s">
        <v>3052</v>
      </c>
      <c r="O292" s="5" t="s">
        <v>2467</v>
      </c>
      <c r="P292" s="5" t="s">
        <v>85</v>
      </c>
      <c r="Q292" s="5" t="s">
        <v>86</v>
      </c>
      <c r="R292" s="5" t="s">
        <v>86</v>
      </c>
      <c r="T292" s="390">
        <v>3</v>
      </c>
      <c r="U292" s="5" t="s">
        <v>97</v>
      </c>
      <c r="W292" s="5" t="s">
        <v>2468</v>
      </c>
      <c r="X292" s="5" t="s">
        <v>102</v>
      </c>
      <c r="AA292" s="1175" t="s">
        <v>85</v>
      </c>
      <c r="AB292" s="5" t="s">
        <v>2469</v>
      </c>
      <c r="AC292" s="5" t="s">
        <v>312</v>
      </c>
      <c r="AD292" s="5" t="s">
        <v>86</v>
      </c>
      <c r="AF292" s="5">
        <v>122</v>
      </c>
      <c r="AG292" s="5">
        <v>3080</v>
      </c>
      <c r="AH292" s="5" t="s">
        <v>85</v>
      </c>
      <c r="AI292" s="5" t="s">
        <v>2471</v>
      </c>
      <c r="AJ292" s="5">
        <v>122</v>
      </c>
      <c r="AK292" s="5">
        <v>638</v>
      </c>
      <c r="AL292" s="5">
        <v>220</v>
      </c>
      <c r="AM292" s="5">
        <v>418</v>
      </c>
      <c r="AN292" s="5">
        <v>0</v>
      </c>
      <c r="AO292" s="5">
        <v>22</v>
      </c>
      <c r="AP292" s="5">
        <v>0</v>
      </c>
      <c r="AQ292" s="5">
        <v>100</v>
      </c>
      <c r="AR292" s="5" t="s">
        <v>2472</v>
      </c>
      <c r="AT292" s="5">
        <v>0</v>
      </c>
      <c r="AU292" s="5">
        <v>0</v>
      </c>
      <c r="AX292" s="5">
        <v>0</v>
      </c>
      <c r="AY292" s="5" t="s">
        <v>86</v>
      </c>
      <c r="BN292" s="5" t="s">
        <v>86</v>
      </c>
      <c r="CD292" s="5">
        <v>0</v>
      </c>
      <c r="CF292" s="1442" t="str">
        <f>IF([1]!sommaire[[#This Row],[présence des personnes déplacés interne]]="Oui","1","0")</f>
        <v>1</v>
      </c>
      <c r="CG292" s="1442" t="str">
        <f>IF([1]!sommaire[[#This Row],[présence Réfugié hors camp]]="Oui","1","0")</f>
        <v>0</v>
      </c>
      <c r="CH292" s="1442" t="str">
        <f>IF([1]!sommaire[[#This Row],[présence personnes retournées]]="Oui","1","0")</f>
        <v>0</v>
      </c>
      <c r="CI292" s="1442">
        <f>[1]!sommaire[[#This Row],[Flag PDI]]+[1]!sommaire[[#This Row],[Flag REF]]+[1]!sommaire[[#This Row],[Flag RET]]</f>
        <v>1</v>
      </c>
    </row>
    <row r="293" spans="1:87" ht="14.55" customHeight="1" x14ac:dyDescent="0.3">
      <c r="A293" s="390">
        <v>2655582</v>
      </c>
      <c r="B293" s="5" t="s">
        <v>533</v>
      </c>
      <c r="C293" s="1430" t="s">
        <v>3449</v>
      </c>
      <c r="D293" s="1090" t="s">
        <v>534</v>
      </c>
      <c r="E293" s="5" t="s">
        <v>31</v>
      </c>
      <c r="F293" s="5" t="s">
        <v>31</v>
      </c>
      <c r="G293" s="5" t="s">
        <v>549</v>
      </c>
      <c r="H293" s="5" t="s">
        <v>170</v>
      </c>
      <c r="I293" s="5" t="str">
        <f>_xlfn.XLOOKUP(sommaire[[#This Row],[Arrondissement_code]],OCHA_GIS!$F:$F,OCHA_GIS!$E:$E,,)</f>
        <v>Kousséri</v>
      </c>
      <c r="J293" s="5" t="s">
        <v>866</v>
      </c>
      <c r="K293" t="s">
        <v>2016</v>
      </c>
      <c r="L293" s="5" t="s">
        <v>2015</v>
      </c>
      <c r="N293" s="5" t="s">
        <v>3052</v>
      </c>
      <c r="O293" s="5" t="s">
        <v>2467</v>
      </c>
      <c r="P293" s="5" t="s">
        <v>85</v>
      </c>
      <c r="Q293" s="5" t="s">
        <v>86</v>
      </c>
      <c r="R293" s="5" t="s">
        <v>86</v>
      </c>
      <c r="T293" s="390">
        <v>3</v>
      </c>
      <c r="U293" s="5" t="s">
        <v>97</v>
      </c>
      <c r="W293" s="5" t="s">
        <v>2468</v>
      </c>
      <c r="X293" s="5" t="s">
        <v>102</v>
      </c>
      <c r="AA293" s="586" t="s">
        <v>85</v>
      </c>
      <c r="AB293" s="5" t="s">
        <v>2469</v>
      </c>
      <c r="AC293" s="5" t="s">
        <v>312</v>
      </c>
      <c r="AD293" s="5" t="s">
        <v>86</v>
      </c>
      <c r="AF293" s="5">
        <v>68</v>
      </c>
      <c r="AG293" s="5">
        <v>5085</v>
      </c>
      <c r="AH293" s="5" t="s">
        <v>85</v>
      </c>
      <c r="AI293" s="5" t="s">
        <v>2471</v>
      </c>
      <c r="AJ293" s="5">
        <v>68</v>
      </c>
      <c r="AK293" s="5">
        <v>359</v>
      </c>
      <c r="AL293" s="5">
        <v>131</v>
      </c>
      <c r="AM293" s="5">
        <v>228</v>
      </c>
      <c r="AN293" s="5">
        <v>0</v>
      </c>
      <c r="AO293" s="5">
        <v>8</v>
      </c>
      <c r="AP293" s="5">
        <v>0</v>
      </c>
      <c r="AQ293" s="5">
        <v>60</v>
      </c>
      <c r="AR293" s="5" t="s">
        <v>2472</v>
      </c>
      <c r="AT293" s="5">
        <v>0</v>
      </c>
      <c r="AU293" s="5">
        <v>0</v>
      </c>
      <c r="AX293" s="5">
        <v>0</v>
      </c>
      <c r="AY293" s="5" t="s">
        <v>86</v>
      </c>
      <c r="BN293" s="5" t="s">
        <v>86</v>
      </c>
      <c r="CD293" s="5">
        <v>0</v>
      </c>
      <c r="CF293" s="1442" t="str">
        <f>IF([1]!sommaire[[#This Row],[présence des personnes déplacés interne]]="Oui","1","0")</f>
        <v>1</v>
      </c>
      <c r="CG293" s="1442" t="str">
        <f>IF([1]!sommaire[[#This Row],[présence Réfugié hors camp]]="Oui","1","0")</f>
        <v>0</v>
      </c>
      <c r="CH293" s="1442" t="str">
        <f>IF([1]!sommaire[[#This Row],[présence personnes retournées]]="Oui","1","0")</f>
        <v>0</v>
      </c>
      <c r="CI293" s="1442">
        <f>[1]!sommaire[[#This Row],[Flag PDI]]+[1]!sommaire[[#This Row],[Flag REF]]+[1]!sommaire[[#This Row],[Flag RET]]</f>
        <v>1</v>
      </c>
    </row>
    <row r="294" spans="1:87" ht="14.55" customHeight="1" x14ac:dyDescent="0.3">
      <c r="A294" s="390">
        <v>2666747</v>
      </c>
      <c r="B294" s="5" t="s">
        <v>533</v>
      </c>
      <c r="C294" s="1430" t="s">
        <v>3449</v>
      </c>
      <c r="D294" s="1090" t="s">
        <v>534</v>
      </c>
      <c r="E294" s="5" t="s">
        <v>31</v>
      </c>
      <c r="F294" s="5" t="s">
        <v>31</v>
      </c>
      <c r="G294" s="5" t="s">
        <v>549</v>
      </c>
      <c r="H294" s="5" t="s">
        <v>170</v>
      </c>
      <c r="I294" s="5" t="str">
        <f>_xlfn.XLOOKUP(sommaire[[#This Row],[Arrondissement_code]],OCHA_GIS!$F:$F,OCHA_GIS!$E:$E,,)</f>
        <v>Kousséri</v>
      </c>
      <c r="J294" s="5" t="s">
        <v>866</v>
      </c>
      <c r="K294" t="s">
        <v>1019</v>
      </c>
      <c r="L294" s="5" t="s">
        <v>1855</v>
      </c>
      <c r="N294" s="5" t="s">
        <v>3052</v>
      </c>
      <c r="O294" s="5" t="s">
        <v>2467</v>
      </c>
      <c r="P294" s="5" t="s">
        <v>85</v>
      </c>
      <c r="Q294" s="5" t="s">
        <v>86</v>
      </c>
      <c r="R294" s="5" t="s">
        <v>86</v>
      </c>
      <c r="T294" s="390">
        <v>3</v>
      </c>
      <c r="U294" s="5" t="s">
        <v>97</v>
      </c>
      <c r="W294" s="5" t="s">
        <v>2468</v>
      </c>
      <c r="X294" s="5" t="s">
        <v>103</v>
      </c>
      <c r="Y294" s="5" t="s">
        <v>2476</v>
      </c>
      <c r="AA294" s="5" t="s">
        <v>85</v>
      </c>
      <c r="AB294" s="5" t="s">
        <v>2469</v>
      </c>
      <c r="AC294" s="5" t="s">
        <v>2470</v>
      </c>
      <c r="AD294" s="5" t="s">
        <v>86</v>
      </c>
      <c r="AF294" s="5">
        <v>10</v>
      </c>
      <c r="AG294" s="5">
        <v>7000</v>
      </c>
      <c r="AH294" s="5" t="s">
        <v>85</v>
      </c>
      <c r="AI294" s="5" t="s">
        <v>2471</v>
      </c>
      <c r="AJ294" s="5">
        <v>10</v>
      </c>
      <c r="AK294" s="5">
        <v>30</v>
      </c>
      <c r="AL294" s="5">
        <v>5</v>
      </c>
      <c r="AM294" s="5">
        <v>25</v>
      </c>
      <c r="AN294" s="5">
        <v>0</v>
      </c>
      <c r="AO294" s="5">
        <v>3</v>
      </c>
      <c r="AP294" s="5">
        <v>0</v>
      </c>
      <c r="AQ294" s="5">
        <v>7</v>
      </c>
      <c r="AR294" s="5" t="s">
        <v>2477</v>
      </c>
      <c r="AT294" s="5">
        <v>0</v>
      </c>
      <c r="AU294" s="5">
        <v>0</v>
      </c>
      <c r="AX294" s="5">
        <v>0</v>
      </c>
      <c r="AY294" s="5" t="s">
        <v>86</v>
      </c>
      <c r="BN294" s="5" t="s">
        <v>85</v>
      </c>
      <c r="BO294" s="5">
        <v>30</v>
      </c>
      <c r="BP294" s="5">
        <v>150</v>
      </c>
      <c r="BQ294" s="5">
        <v>30</v>
      </c>
      <c r="BR294" s="5">
        <v>120</v>
      </c>
      <c r="BS294" s="5" t="s">
        <v>2484</v>
      </c>
      <c r="BT294" s="5">
        <v>23</v>
      </c>
      <c r="BU294" s="5">
        <v>0</v>
      </c>
      <c r="BV294" s="5">
        <v>0</v>
      </c>
      <c r="BW294" s="5">
        <v>0</v>
      </c>
      <c r="BX294" s="5">
        <v>7</v>
      </c>
      <c r="BY294" s="5" t="s">
        <v>2472</v>
      </c>
      <c r="BZ294" s="5">
        <v>0</v>
      </c>
      <c r="CA294" s="5">
        <v>0</v>
      </c>
      <c r="CC294" s="5">
        <v>0</v>
      </c>
      <c r="CD294" s="5">
        <v>0</v>
      </c>
      <c r="CF294" s="1442" t="str">
        <f>IF([1]!sommaire[[#This Row],[présence des personnes déplacés interne]]="Oui","1","0")</f>
        <v>1</v>
      </c>
      <c r="CG294" s="1442" t="str">
        <f>IF([1]!sommaire[[#This Row],[présence Réfugié hors camp]]="Oui","1","0")</f>
        <v>0</v>
      </c>
      <c r="CH294" s="1442" t="str">
        <f>IF([1]!sommaire[[#This Row],[présence personnes retournées]]="Oui","1","0")</f>
        <v>1</v>
      </c>
      <c r="CI294" s="1442">
        <f>[1]!sommaire[[#This Row],[Flag PDI]]+[1]!sommaire[[#This Row],[Flag REF]]+[1]!sommaire[[#This Row],[Flag RET]]</f>
        <v>2</v>
      </c>
    </row>
    <row r="295" spans="1:87" ht="14.55" customHeight="1" x14ac:dyDescent="0.3">
      <c r="A295" s="390">
        <v>2656652</v>
      </c>
      <c r="B295" s="5" t="s">
        <v>533</v>
      </c>
      <c r="C295" s="1430" t="s">
        <v>3449</v>
      </c>
      <c r="D295" s="1090" t="s">
        <v>534</v>
      </c>
      <c r="E295" s="5" t="s">
        <v>31</v>
      </c>
      <c r="F295" s="5" t="s">
        <v>31</v>
      </c>
      <c r="G295" s="5" t="s">
        <v>549</v>
      </c>
      <c r="H295" s="5" t="s">
        <v>170</v>
      </c>
      <c r="I295" s="5" t="str">
        <f>_xlfn.XLOOKUP(sommaire[[#This Row],[Arrondissement_code]],OCHA_GIS!$F:$F,OCHA_GIS!$E:$E,,)</f>
        <v>Kousséri</v>
      </c>
      <c r="J295" s="5" t="s">
        <v>866</v>
      </c>
      <c r="K295" t="s">
        <v>2097</v>
      </c>
      <c r="L295" s="5" t="s">
        <v>1557</v>
      </c>
      <c r="N295" s="5" t="s">
        <v>3053</v>
      </c>
      <c r="O295" s="5" t="s">
        <v>2467</v>
      </c>
      <c r="P295" s="5" t="s">
        <v>85</v>
      </c>
      <c r="Q295" s="5" t="s">
        <v>86</v>
      </c>
      <c r="R295" s="5" t="s">
        <v>86</v>
      </c>
      <c r="T295" s="390">
        <v>3</v>
      </c>
      <c r="U295" s="5" t="s">
        <v>97</v>
      </c>
      <c r="W295" s="5" t="s">
        <v>2468</v>
      </c>
      <c r="X295" s="5" t="s">
        <v>103</v>
      </c>
      <c r="Y295" s="5" t="s">
        <v>2476</v>
      </c>
      <c r="AA295" s="586" t="s">
        <v>85</v>
      </c>
      <c r="AB295" s="5" t="s">
        <v>2469</v>
      </c>
      <c r="AC295" s="5" t="s">
        <v>312</v>
      </c>
      <c r="AD295" s="5" t="s">
        <v>85</v>
      </c>
      <c r="AE295" s="5">
        <v>1</v>
      </c>
      <c r="AF295" s="5">
        <v>4</v>
      </c>
      <c r="AG295" s="5">
        <v>1000</v>
      </c>
      <c r="AH295" s="5" t="s">
        <v>85</v>
      </c>
      <c r="AI295" s="5" t="s">
        <v>2471</v>
      </c>
      <c r="AJ295" s="5">
        <v>4</v>
      </c>
      <c r="AK295" s="5">
        <v>25</v>
      </c>
      <c r="AL295" s="5">
        <v>3</v>
      </c>
      <c r="AM295" s="5">
        <v>22</v>
      </c>
      <c r="AN295" s="5">
        <v>0</v>
      </c>
      <c r="AO295" s="5">
        <v>4</v>
      </c>
      <c r="AP295" s="5">
        <v>0</v>
      </c>
      <c r="AQ295" s="5">
        <v>0</v>
      </c>
      <c r="AT295" s="5">
        <v>0</v>
      </c>
      <c r="AU295" s="5">
        <v>0</v>
      </c>
      <c r="AX295" s="5">
        <v>0</v>
      </c>
      <c r="AY295" s="5" t="s">
        <v>85</v>
      </c>
      <c r="AZ295" s="5">
        <v>87</v>
      </c>
      <c r="BA295" s="5">
        <v>420</v>
      </c>
      <c r="BB295" s="5">
        <v>100</v>
      </c>
      <c r="BC295" s="5">
        <v>320</v>
      </c>
      <c r="BD295" s="5">
        <v>7</v>
      </c>
      <c r="BE295" s="5">
        <v>0</v>
      </c>
      <c r="BF295" s="5">
        <v>80</v>
      </c>
      <c r="BG295" s="5" t="s">
        <v>2477</v>
      </c>
      <c r="BH295" s="5">
        <v>0</v>
      </c>
      <c r="BI295" s="5">
        <v>0</v>
      </c>
      <c r="BL295" s="5">
        <v>0</v>
      </c>
      <c r="BM295" s="5">
        <v>87</v>
      </c>
      <c r="BN295" s="5" t="s">
        <v>85</v>
      </c>
      <c r="BO295" s="5">
        <v>60</v>
      </c>
      <c r="BP295" s="5">
        <v>400</v>
      </c>
      <c r="BQ295" s="5">
        <v>150</v>
      </c>
      <c r="BR295" s="5">
        <v>250</v>
      </c>
      <c r="BS295" s="5" t="s">
        <v>2492</v>
      </c>
      <c r="BT295" s="5">
        <v>40</v>
      </c>
      <c r="BU295" s="5">
        <v>0</v>
      </c>
      <c r="BV295" s="5">
        <v>10</v>
      </c>
      <c r="BW295" s="5">
        <v>0</v>
      </c>
      <c r="BX295" s="5">
        <v>10</v>
      </c>
      <c r="BY295" s="5" t="s">
        <v>2472</v>
      </c>
      <c r="BZ295" s="5">
        <v>0</v>
      </c>
      <c r="CA295" s="5">
        <v>0</v>
      </c>
      <c r="CC295" s="5">
        <v>0</v>
      </c>
      <c r="CD295" s="5">
        <v>0</v>
      </c>
      <c r="CF295" s="1442" t="str">
        <f>IF([1]!sommaire[[#This Row],[présence des personnes déplacés interne]]="Oui","1","0")</f>
        <v>1</v>
      </c>
      <c r="CG295" s="1442" t="str">
        <f>IF([1]!sommaire[[#This Row],[présence Réfugié hors camp]]="Oui","1","0")</f>
        <v>1</v>
      </c>
      <c r="CH295" s="1442" t="str">
        <f>IF([1]!sommaire[[#This Row],[présence personnes retournées]]="Oui","1","0")</f>
        <v>1</v>
      </c>
      <c r="CI295" s="1442">
        <f>[1]!sommaire[[#This Row],[Flag PDI]]+[1]!sommaire[[#This Row],[Flag REF]]+[1]!sommaire[[#This Row],[Flag RET]]</f>
        <v>3</v>
      </c>
    </row>
    <row r="296" spans="1:87" ht="14.55" customHeight="1" x14ac:dyDescent="0.3">
      <c r="A296" s="390">
        <v>2627402</v>
      </c>
      <c r="B296" s="5" t="s">
        <v>533</v>
      </c>
      <c r="C296" s="1430" t="s">
        <v>3449</v>
      </c>
      <c r="D296" s="1090" t="s">
        <v>534</v>
      </c>
      <c r="E296" s="5" t="s">
        <v>31</v>
      </c>
      <c r="F296" s="5" t="s">
        <v>31</v>
      </c>
      <c r="G296" s="5" t="s">
        <v>549</v>
      </c>
      <c r="H296" s="5" t="s">
        <v>170</v>
      </c>
      <c r="I296" s="5" t="str">
        <f>_xlfn.XLOOKUP(sommaire[[#This Row],[Arrondissement_code]],OCHA_GIS!$F:$F,OCHA_GIS!$E:$E,,)</f>
        <v>Kousséri</v>
      </c>
      <c r="J296" s="5" t="s">
        <v>866</v>
      </c>
      <c r="K296" t="s">
        <v>1955</v>
      </c>
      <c r="L296" s="5" t="s">
        <v>1577</v>
      </c>
      <c r="N296" s="5" t="s">
        <v>3053</v>
      </c>
      <c r="O296" s="5" t="s">
        <v>2467</v>
      </c>
      <c r="P296" s="5" t="s">
        <v>85</v>
      </c>
      <c r="Q296" s="5" t="s">
        <v>86</v>
      </c>
      <c r="R296" s="5" t="s">
        <v>86</v>
      </c>
      <c r="T296" s="390">
        <v>3</v>
      </c>
      <c r="U296" s="5" t="s">
        <v>97</v>
      </c>
      <c r="W296" s="5" t="s">
        <v>2468</v>
      </c>
      <c r="X296" s="5" t="s">
        <v>102</v>
      </c>
      <c r="AA296" s="5" t="s">
        <v>85</v>
      </c>
      <c r="AB296" s="5" t="s">
        <v>2473</v>
      </c>
      <c r="AC296" s="5" t="s">
        <v>2469</v>
      </c>
      <c r="AD296" s="5" t="s">
        <v>85</v>
      </c>
      <c r="AE296" s="5">
        <v>2</v>
      </c>
      <c r="AF296" s="5">
        <v>11</v>
      </c>
      <c r="AG296" s="5">
        <v>1050</v>
      </c>
      <c r="AH296" s="5" t="s">
        <v>85</v>
      </c>
      <c r="AI296" s="5" t="s">
        <v>2471</v>
      </c>
      <c r="AJ296" s="5">
        <v>11</v>
      </c>
      <c r="AK296" s="5">
        <v>80</v>
      </c>
      <c r="AL296" s="5">
        <v>20</v>
      </c>
      <c r="AM296" s="5">
        <v>60</v>
      </c>
      <c r="AN296" s="5">
        <v>0</v>
      </c>
      <c r="AO296" s="5">
        <v>3</v>
      </c>
      <c r="AP296" s="5">
        <v>5</v>
      </c>
      <c r="AQ296" s="5">
        <v>3</v>
      </c>
      <c r="AR296" s="5" t="s">
        <v>2477</v>
      </c>
      <c r="AT296" s="5">
        <v>0</v>
      </c>
      <c r="AU296" s="5">
        <v>0</v>
      </c>
      <c r="AX296" s="5">
        <v>0</v>
      </c>
      <c r="AY296" s="5" t="s">
        <v>85</v>
      </c>
      <c r="AZ296" s="5">
        <v>23</v>
      </c>
      <c r="BA296" s="5">
        <v>200</v>
      </c>
      <c r="BB296" s="5">
        <v>40</v>
      </c>
      <c r="BC296" s="5">
        <v>160</v>
      </c>
      <c r="BD296" s="5">
        <v>5</v>
      </c>
      <c r="BE296" s="5">
        <v>5</v>
      </c>
      <c r="BF296" s="5">
        <v>13</v>
      </c>
      <c r="BG296" s="5" t="s">
        <v>2472</v>
      </c>
      <c r="BH296" s="5">
        <v>0</v>
      </c>
      <c r="BI296" s="5">
        <v>0</v>
      </c>
      <c r="BL296" s="5">
        <v>0</v>
      </c>
      <c r="BM296" s="5">
        <v>23</v>
      </c>
      <c r="BN296" s="5" t="s">
        <v>85</v>
      </c>
      <c r="BO296" s="5">
        <v>60</v>
      </c>
      <c r="BP296" s="5">
        <v>500</v>
      </c>
      <c r="BQ296" s="5">
        <v>150</v>
      </c>
      <c r="BR296" s="5">
        <v>350</v>
      </c>
      <c r="BS296" s="5" t="s">
        <v>2492</v>
      </c>
      <c r="BT296" s="5">
        <v>45</v>
      </c>
      <c r="BU296" s="5">
        <v>5</v>
      </c>
      <c r="BV296" s="5">
        <v>0</v>
      </c>
      <c r="BW296" s="5">
        <v>0</v>
      </c>
      <c r="BX296" s="5">
        <v>10</v>
      </c>
      <c r="BY296" s="5" t="s">
        <v>2472</v>
      </c>
      <c r="BZ296" s="5">
        <v>0</v>
      </c>
      <c r="CA296" s="5">
        <v>0</v>
      </c>
      <c r="CC296" s="5">
        <v>0</v>
      </c>
      <c r="CD296" s="5">
        <v>0</v>
      </c>
      <c r="CF296" s="1442" t="str">
        <f>IF([1]!sommaire[[#This Row],[présence des personnes déplacés interne]]="Oui","1","0")</f>
        <v>1</v>
      </c>
      <c r="CG296" s="1442" t="str">
        <f>IF([1]!sommaire[[#This Row],[présence Réfugié hors camp]]="Oui","1","0")</f>
        <v>1</v>
      </c>
      <c r="CH296" s="1442" t="str">
        <f>IF([1]!sommaire[[#This Row],[présence personnes retournées]]="Oui","1","0")</f>
        <v>1</v>
      </c>
      <c r="CI296" s="1442">
        <f>[1]!sommaire[[#This Row],[Flag PDI]]+[1]!sommaire[[#This Row],[Flag REF]]+[1]!sommaire[[#This Row],[Flag RET]]</f>
        <v>3</v>
      </c>
    </row>
    <row r="297" spans="1:87" ht="14.55" customHeight="1" x14ac:dyDescent="0.3">
      <c r="A297" s="390">
        <v>2679826</v>
      </c>
      <c r="B297" s="5" t="s">
        <v>533</v>
      </c>
      <c r="C297" s="1430" t="s">
        <v>3449</v>
      </c>
      <c r="D297" s="1090" t="s">
        <v>534</v>
      </c>
      <c r="E297" s="5" t="s">
        <v>31</v>
      </c>
      <c r="F297" s="5" t="s">
        <v>31</v>
      </c>
      <c r="G297" s="5" t="s">
        <v>549</v>
      </c>
      <c r="H297" s="5" t="s">
        <v>170</v>
      </c>
      <c r="I297" s="5" t="str">
        <f>_xlfn.XLOOKUP(sommaire[[#This Row],[Arrondissement_code]],OCHA_GIS!$F:$F,OCHA_GIS!$E:$E,,)</f>
        <v>Kousséri</v>
      </c>
      <c r="J297" s="5" t="s">
        <v>866</v>
      </c>
      <c r="K297" t="s">
        <v>2014</v>
      </c>
      <c r="L297" s="5" t="s">
        <v>1707</v>
      </c>
      <c r="N297" s="5" t="s">
        <v>3053</v>
      </c>
      <c r="O297" s="5" t="s">
        <v>2467</v>
      </c>
      <c r="P297" s="5" t="s">
        <v>85</v>
      </c>
      <c r="Q297" s="5" t="s">
        <v>86</v>
      </c>
      <c r="R297" s="5" t="s">
        <v>86</v>
      </c>
      <c r="T297" s="390">
        <v>3</v>
      </c>
      <c r="U297" s="5" t="s">
        <v>97</v>
      </c>
      <c r="W297" s="5" t="s">
        <v>2468</v>
      </c>
      <c r="X297" s="5" t="s">
        <v>102</v>
      </c>
      <c r="AA297" s="5" t="s">
        <v>85</v>
      </c>
      <c r="AB297" s="5" t="s">
        <v>2469</v>
      </c>
      <c r="AC297" s="5" t="s">
        <v>312</v>
      </c>
      <c r="AD297" s="5" t="s">
        <v>86</v>
      </c>
      <c r="AF297" s="5">
        <v>2</v>
      </c>
      <c r="AG297" s="5">
        <v>2020</v>
      </c>
      <c r="AH297" s="5" t="s">
        <v>85</v>
      </c>
      <c r="AI297" s="5" t="s">
        <v>2471</v>
      </c>
      <c r="AJ297" s="5">
        <v>2</v>
      </c>
      <c r="AK297" s="5">
        <v>15</v>
      </c>
      <c r="AL297" s="5">
        <v>5</v>
      </c>
      <c r="AM297" s="5">
        <v>10</v>
      </c>
      <c r="AN297" s="5">
        <v>0</v>
      </c>
      <c r="AO297" s="5">
        <v>0</v>
      </c>
      <c r="AP297" s="5">
        <v>0</v>
      </c>
      <c r="AQ297" s="5">
        <v>2</v>
      </c>
      <c r="AR297" s="5" t="s">
        <v>2477</v>
      </c>
      <c r="AT297" s="5">
        <v>0</v>
      </c>
      <c r="AU297" s="5">
        <v>0</v>
      </c>
      <c r="AX297" s="5">
        <v>0</v>
      </c>
      <c r="AY297" s="5" t="s">
        <v>86</v>
      </c>
      <c r="BN297" s="5" t="s">
        <v>86</v>
      </c>
      <c r="CD297" s="5">
        <v>0</v>
      </c>
      <c r="CF297" s="1442" t="str">
        <f>IF([1]!sommaire[[#This Row],[présence des personnes déplacés interne]]="Oui","1","0")</f>
        <v>1</v>
      </c>
      <c r="CG297" s="1442" t="str">
        <f>IF([1]!sommaire[[#This Row],[présence Réfugié hors camp]]="Oui","1","0")</f>
        <v>0</v>
      </c>
      <c r="CH297" s="1442" t="str">
        <f>IF([1]!sommaire[[#This Row],[présence personnes retournées]]="Oui","1","0")</f>
        <v>0</v>
      </c>
      <c r="CI297" s="1442">
        <f>[1]!sommaire[[#This Row],[Flag PDI]]+[1]!sommaire[[#This Row],[Flag REF]]+[1]!sommaire[[#This Row],[Flag RET]]</f>
        <v>1</v>
      </c>
    </row>
    <row r="298" spans="1:87" ht="14.55" customHeight="1" x14ac:dyDescent="0.3">
      <c r="A298" s="390">
        <v>2671463</v>
      </c>
      <c r="B298" s="5" t="s">
        <v>533</v>
      </c>
      <c r="C298" s="1430" t="s">
        <v>3449</v>
      </c>
      <c r="D298" s="1090" t="s">
        <v>534</v>
      </c>
      <c r="E298" s="5" t="s">
        <v>31</v>
      </c>
      <c r="F298" s="5" t="s">
        <v>31</v>
      </c>
      <c r="G298" s="5" t="s">
        <v>549</v>
      </c>
      <c r="H298" s="5" t="s">
        <v>170</v>
      </c>
      <c r="I298" s="5" t="str">
        <f>_xlfn.XLOOKUP(sommaire[[#This Row],[Arrondissement_code]],OCHA_GIS!$F:$F,OCHA_GIS!$E:$E,,)</f>
        <v>Kousséri</v>
      </c>
      <c r="J298" s="5" t="s">
        <v>866</v>
      </c>
      <c r="K298" t="s">
        <v>1854</v>
      </c>
      <c r="L298" s="5" t="s">
        <v>1108</v>
      </c>
      <c r="N298" s="5" t="s">
        <v>3052</v>
      </c>
      <c r="O298" s="5" t="s">
        <v>2467</v>
      </c>
      <c r="P298" s="5" t="s">
        <v>85</v>
      </c>
      <c r="Q298" s="5" t="s">
        <v>86</v>
      </c>
      <c r="R298" s="5" t="s">
        <v>85</v>
      </c>
      <c r="T298" s="390">
        <v>3</v>
      </c>
      <c r="U298" s="5" t="s">
        <v>97</v>
      </c>
      <c r="W298" s="5" t="s">
        <v>2468</v>
      </c>
      <c r="X298" s="5" t="s">
        <v>102</v>
      </c>
      <c r="AA298" s="5" t="s">
        <v>85</v>
      </c>
      <c r="AB298" s="5" t="s">
        <v>2469</v>
      </c>
      <c r="AC298" s="5" t="s">
        <v>2470</v>
      </c>
      <c r="AD298" s="1090" t="s">
        <v>86</v>
      </c>
      <c r="AF298" s="5">
        <v>60</v>
      </c>
      <c r="AG298" s="5">
        <v>8077</v>
      </c>
      <c r="AH298" s="5" t="s">
        <v>85</v>
      </c>
      <c r="AI298" s="5" t="s">
        <v>2471</v>
      </c>
      <c r="AJ298" s="5">
        <v>60</v>
      </c>
      <c r="AK298" s="5">
        <v>255</v>
      </c>
      <c r="AL298" s="5">
        <v>100</v>
      </c>
      <c r="AM298" s="5">
        <v>155</v>
      </c>
      <c r="AN298" s="5">
        <v>0</v>
      </c>
      <c r="AO298" s="5">
        <v>10</v>
      </c>
      <c r="AP298" s="5">
        <v>0</v>
      </c>
      <c r="AQ298" s="5">
        <v>50</v>
      </c>
      <c r="AR298" s="5" t="s">
        <v>2477</v>
      </c>
      <c r="AT298" s="5">
        <v>0</v>
      </c>
      <c r="AU298" s="5">
        <v>0</v>
      </c>
      <c r="AX298" s="5">
        <v>0</v>
      </c>
      <c r="AY298" s="5" t="s">
        <v>86</v>
      </c>
      <c r="BN298" s="5" t="s">
        <v>86</v>
      </c>
      <c r="CD298" s="5">
        <v>0</v>
      </c>
      <c r="CF298" s="1442" t="str">
        <f>IF([1]!sommaire[[#This Row],[présence des personnes déplacés interne]]="Oui","1","0")</f>
        <v>1</v>
      </c>
      <c r="CG298" s="1442" t="str">
        <f>IF([1]!sommaire[[#This Row],[présence Réfugié hors camp]]="Oui","1","0")</f>
        <v>0</v>
      </c>
      <c r="CH298" s="1442" t="str">
        <f>IF([1]!sommaire[[#This Row],[présence personnes retournées]]="Oui","1","0")</f>
        <v>0</v>
      </c>
      <c r="CI298" s="1442">
        <f>[1]!sommaire[[#This Row],[Flag PDI]]+[1]!sommaire[[#This Row],[Flag REF]]+[1]!sommaire[[#This Row],[Flag RET]]</f>
        <v>1</v>
      </c>
    </row>
    <row r="299" spans="1:87" ht="14.55" customHeight="1" x14ac:dyDescent="0.3">
      <c r="A299" s="390">
        <v>2639072</v>
      </c>
      <c r="B299" s="5" t="s">
        <v>533</v>
      </c>
      <c r="C299" s="1430" t="s">
        <v>3449</v>
      </c>
      <c r="D299" s="1090" t="s">
        <v>534</v>
      </c>
      <c r="E299" s="5" t="s">
        <v>31</v>
      </c>
      <c r="F299" s="5" t="s">
        <v>31</v>
      </c>
      <c r="G299" s="5" t="s">
        <v>549</v>
      </c>
      <c r="H299" s="5" t="s">
        <v>170</v>
      </c>
      <c r="I299" s="5" t="str">
        <f>_xlfn.XLOOKUP(sommaire[[#This Row],[Arrondissement_code]],OCHA_GIS!$F:$F,OCHA_GIS!$E:$E,,)</f>
        <v>Kousséri</v>
      </c>
      <c r="J299" s="5" t="s">
        <v>866</v>
      </c>
      <c r="K299" t="s">
        <v>1706</v>
      </c>
      <c r="L299" s="5" t="s">
        <v>2100</v>
      </c>
      <c r="N299" s="5" t="s">
        <v>3053</v>
      </c>
      <c r="O299" s="5" t="s">
        <v>2467</v>
      </c>
      <c r="P299" s="5" t="s">
        <v>85</v>
      </c>
      <c r="Q299" s="5" t="s">
        <v>86</v>
      </c>
      <c r="R299" s="5" t="s">
        <v>86</v>
      </c>
      <c r="T299" s="390">
        <v>3</v>
      </c>
      <c r="U299" s="5" t="s">
        <v>97</v>
      </c>
      <c r="W299" s="5" t="s">
        <v>2468</v>
      </c>
      <c r="X299" s="5" t="s">
        <v>102</v>
      </c>
      <c r="AA299" s="5" t="s">
        <v>85</v>
      </c>
      <c r="AB299" s="5" t="s">
        <v>2469</v>
      </c>
      <c r="AC299" s="5" t="s">
        <v>312</v>
      </c>
      <c r="AD299" s="5" t="s">
        <v>86</v>
      </c>
      <c r="AG299" s="5">
        <v>800</v>
      </c>
      <c r="AH299" s="5" t="s">
        <v>86</v>
      </c>
      <c r="AY299" s="5" t="s">
        <v>85</v>
      </c>
      <c r="AZ299" s="5">
        <v>7</v>
      </c>
      <c r="BA299" s="5">
        <v>30</v>
      </c>
      <c r="BB299" s="5">
        <v>10</v>
      </c>
      <c r="BC299" s="5">
        <v>20</v>
      </c>
      <c r="BD299" s="5">
        <v>7</v>
      </c>
      <c r="BE299" s="5">
        <v>0</v>
      </c>
      <c r="BF299" s="5">
        <v>0</v>
      </c>
      <c r="BH299" s="5">
        <v>0</v>
      </c>
      <c r="BI299" s="5">
        <v>0</v>
      </c>
      <c r="BL299" s="5">
        <v>0</v>
      </c>
      <c r="BM299" s="5">
        <v>7</v>
      </c>
      <c r="BN299" s="5" t="s">
        <v>86</v>
      </c>
      <c r="CD299" s="5">
        <v>0</v>
      </c>
      <c r="CF299" s="1442" t="str">
        <f>IF([1]!sommaire[[#This Row],[présence des personnes déplacés interne]]="Oui","1","0")</f>
        <v>0</v>
      </c>
      <c r="CG299" s="1442" t="str">
        <f>IF([1]!sommaire[[#This Row],[présence Réfugié hors camp]]="Oui","1","0")</f>
        <v>1</v>
      </c>
      <c r="CH299" s="1442" t="str">
        <f>IF([1]!sommaire[[#This Row],[présence personnes retournées]]="Oui","1","0")</f>
        <v>0</v>
      </c>
      <c r="CI299" s="1442">
        <f>[1]!sommaire[[#This Row],[Flag PDI]]+[1]!sommaire[[#This Row],[Flag REF]]+[1]!sommaire[[#This Row],[Flag RET]]</f>
        <v>1</v>
      </c>
    </row>
    <row r="300" spans="1:87" ht="14.55" customHeight="1" x14ac:dyDescent="0.3">
      <c r="A300" s="390">
        <v>2671462</v>
      </c>
      <c r="B300" s="5" t="s">
        <v>533</v>
      </c>
      <c r="C300" s="1430" t="s">
        <v>3449</v>
      </c>
      <c r="D300" s="1090" t="s">
        <v>534</v>
      </c>
      <c r="E300" s="5" t="s">
        <v>31</v>
      </c>
      <c r="F300" s="5" t="s">
        <v>31</v>
      </c>
      <c r="G300" s="5" t="s">
        <v>549</v>
      </c>
      <c r="H300" s="5" t="s">
        <v>170</v>
      </c>
      <c r="I300" s="5" t="str">
        <f>_xlfn.XLOOKUP(sommaire[[#This Row],[Arrondissement_code]],OCHA_GIS!$F:$F,OCHA_GIS!$E:$E,,)</f>
        <v>Kousséri</v>
      </c>
      <c r="J300" s="5" t="s">
        <v>866</v>
      </c>
      <c r="K300" t="s">
        <v>1107</v>
      </c>
      <c r="L300" s="5" t="s">
        <v>2113</v>
      </c>
      <c r="N300" s="5" t="s">
        <v>3052</v>
      </c>
      <c r="O300" s="5" t="s">
        <v>2467</v>
      </c>
      <c r="P300" s="5" t="s">
        <v>85</v>
      </c>
      <c r="Q300" s="5" t="s">
        <v>86</v>
      </c>
      <c r="R300" s="5" t="s">
        <v>85</v>
      </c>
      <c r="T300" s="390">
        <v>3</v>
      </c>
      <c r="U300" s="5" t="s">
        <v>97</v>
      </c>
      <c r="W300" s="5" t="s">
        <v>2468</v>
      </c>
      <c r="X300" s="5" t="s">
        <v>101</v>
      </c>
      <c r="Y300" s="5" t="s">
        <v>2476</v>
      </c>
      <c r="AA300" s="5" t="s">
        <v>86</v>
      </c>
      <c r="AH300" s="1430" t="s">
        <v>86</v>
      </c>
      <c r="AY300" s="1430" t="s">
        <v>86</v>
      </c>
      <c r="BN300" s="1430" t="s">
        <v>86</v>
      </c>
      <c r="CF300" s="1442" t="str">
        <f>IF([1]!sommaire[[#This Row],[présence des personnes déplacés interne]]="Oui","1","0")</f>
        <v>0</v>
      </c>
      <c r="CG300" s="1442" t="str">
        <f>IF([1]!sommaire[[#This Row],[présence Réfugié hors camp]]="Oui","1","0")</f>
        <v>0</v>
      </c>
      <c r="CH300" s="1442" t="str">
        <f>IF([1]!sommaire[[#This Row],[présence personnes retournées]]="Oui","1","0")</f>
        <v>0</v>
      </c>
      <c r="CI300" s="1442">
        <f>[1]!sommaire[[#This Row],[Flag PDI]]+[1]!sommaire[[#This Row],[Flag REF]]+[1]!sommaire[[#This Row],[Flag RET]]</f>
        <v>0</v>
      </c>
    </row>
    <row r="301" spans="1:87" ht="14.55" customHeight="1" x14ac:dyDescent="0.3">
      <c r="A301" s="390">
        <v>2656572</v>
      </c>
      <c r="B301" s="5" t="s">
        <v>533</v>
      </c>
      <c r="C301" s="1430" t="s">
        <v>3449</v>
      </c>
      <c r="D301" s="1090" t="s">
        <v>534</v>
      </c>
      <c r="E301" s="5" t="s">
        <v>31</v>
      </c>
      <c r="F301" s="5" t="s">
        <v>31</v>
      </c>
      <c r="G301" s="5" t="s">
        <v>549</v>
      </c>
      <c r="H301" s="5" t="s">
        <v>170</v>
      </c>
      <c r="I301" s="5" t="str">
        <f>_xlfn.XLOOKUP(sommaire[[#This Row],[Arrondissement_code]],OCHA_GIS!$F:$F,OCHA_GIS!$E:$E,,)</f>
        <v>Kousséri</v>
      </c>
      <c r="J301" s="5" t="s">
        <v>866</v>
      </c>
      <c r="K301" t="s">
        <v>2099</v>
      </c>
      <c r="L301" s="5" t="s">
        <v>2090</v>
      </c>
      <c r="N301" s="5" t="s">
        <v>3052</v>
      </c>
      <c r="O301" s="5" t="s">
        <v>2467</v>
      </c>
      <c r="P301" s="5" t="s">
        <v>85</v>
      </c>
      <c r="Q301" s="5" t="s">
        <v>86</v>
      </c>
      <c r="R301" s="5" t="s">
        <v>86</v>
      </c>
      <c r="T301" s="390">
        <v>3</v>
      </c>
      <c r="U301" s="5" t="s">
        <v>97</v>
      </c>
      <c r="W301" s="1090" t="s">
        <v>2468</v>
      </c>
      <c r="X301" s="5" t="s">
        <v>103</v>
      </c>
      <c r="Y301" s="5" t="s">
        <v>2476</v>
      </c>
      <c r="AA301" s="5" t="s">
        <v>85</v>
      </c>
      <c r="AB301" s="5" t="s">
        <v>2469</v>
      </c>
      <c r="AC301" s="5" t="s">
        <v>2470</v>
      </c>
      <c r="AD301" s="5" t="s">
        <v>86</v>
      </c>
      <c r="AG301" s="5">
        <v>7888</v>
      </c>
      <c r="AH301" s="5" t="s">
        <v>86</v>
      </c>
      <c r="AY301" s="5" t="s">
        <v>86</v>
      </c>
      <c r="BN301" s="5" t="s">
        <v>85</v>
      </c>
      <c r="BO301" s="5">
        <v>10</v>
      </c>
      <c r="BP301" s="5">
        <v>56</v>
      </c>
      <c r="BQ301" s="5">
        <v>16</v>
      </c>
      <c r="BR301" s="5">
        <v>40</v>
      </c>
      <c r="BS301" s="5" t="s">
        <v>2492</v>
      </c>
      <c r="BT301" s="5">
        <v>0</v>
      </c>
      <c r="BU301" s="5">
        <v>0</v>
      </c>
      <c r="BV301" s="5">
        <v>2</v>
      </c>
      <c r="BW301" s="5">
        <v>0</v>
      </c>
      <c r="BX301" s="5">
        <v>8</v>
      </c>
      <c r="BY301" s="5" t="s">
        <v>2472</v>
      </c>
      <c r="BZ301" s="5">
        <v>0</v>
      </c>
      <c r="CA301" s="5">
        <v>0</v>
      </c>
      <c r="CC301" s="5">
        <v>0</v>
      </c>
      <c r="CD301" s="5">
        <v>0</v>
      </c>
      <c r="CF301" s="1442" t="str">
        <f>IF([1]!sommaire[[#This Row],[présence des personnes déplacés interne]]="Oui","1","0")</f>
        <v>0</v>
      </c>
      <c r="CG301" s="1442" t="str">
        <f>IF([1]!sommaire[[#This Row],[présence Réfugié hors camp]]="Oui","1","0")</f>
        <v>0</v>
      </c>
      <c r="CH301" s="1442" t="str">
        <f>IF([1]!sommaire[[#This Row],[présence personnes retournées]]="Oui","1","0")</f>
        <v>1</v>
      </c>
      <c r="CI301" s="1442">
        <f>[1]!sommaire[[#This Row],[Flag PDI]]+[1]!sommaire[[#This Row],[Flag REF]]+[1]!sommaire[[#This Row],[Flag RET]]</f>
        <v>1</v>
      </c>
    </row>
    <row r="302" spans="1:87" ht="14.55" customHeight="1" x14ac:dyDescent="0.3">
      <c r="A302" s="390">
        <v>2725195</v>
      </c>
      <c r="B302" s="5" t="s">
        <v>533</v>
      </c>
      <c r="C302" s="1430" t="s">
        <v>3449</v>
      </c>
      <c r="D302" s="1090" t="s">
        <v>534</v>
      </c>
      <c r="E302" s="5" t="s">
        <v>31</v>
      </c>
      <c r="F302" s="5" t="s">
        <v>31</v>
      </c>
      <c r="G302" s="5" t="s">
        <v>549</v>
      </c>
      <c r="H302" s="5" t="s">
        <v>170</v>
      </c>
      <c r="I302" s="5" t="str">
        <f>_xlfn.XLOOKUP(sommaire[[#This Row],[Arrondissement_code]],OCHA_GIS!$F:$F,OCHA_GIS!$E:$E,,)</f>
        <v>Kousséri</v>
      </c>
      <c r="J302" s="5" t="s">
        <v>866</v>
      </c>
      <c r="K302" t="s">
        <v>2112</v>
      </c>
      <c r="L302" s="5" t="s">
        <v>868</v>
      </c>
      <c r="N302" s="5" t="s">
        <v>3052</v>
      </c>
      <c r="O302" s="5" t="s">
        <v>2467</v>
      </c>
      <c r="P302" s="5" t="s">
        <v>85</v>
      </c>
      <c r="Q302" s="5" t="s">
        <v>86</v>
      </c>
      <c r="R302" s="5" t="s">
        <v>86</v>
      </c>
      <c r="T302" s="390">
        <v>3</v>
      </c>
      <c r="U302" s="5" t="s">
        <v>97</v>
      </c>
      <c r="W302" s="5" t="s">
        <v>2468</v>
      </c>
      <c r="X302" s="5" t="s">
        <v>102</v>
      </c>
      <c r="AA302" s="5" t="s">
        <v>85</v>
      </c>
      <c r="AB302" s="5" t="s">
        <v>2469</v>
      </c>
      <c r="AC302" s="5" t="s">
        <v>312</v>
      </c>
      <c r="AD302" s="5" t="s">
        <v>86</v>
      </c>
      <c r="AG302" s="5">
        <v>5050</v>
      </c>
      <c r="AH302" s="5" t="s">
        <v>86</v>
      </c>
      <c r="AY302" s="5" t="s">
        <v>85</v>
      </c>
      <c r="AZ302" s="5">
        <v>6</v>
      </c>
      <c r="BA302" s="5">
        <v>50</v>
      </c>
      <c r="BB302" s="5">
        <v>10</v>
      </c>
      <c r="BC302" s="5">
        <v>40</v>
      </c>
      <c r="BD302" s="5">
        <v>3</v>
      </c>
      <c r="BE302" s="5">
        <v>1</v>
      </c>
      <c r="BF302" s="5">
        <v>2</v>
      </c>
      <c r="BG302" s="5" t="s">
        <v>2477</v>
      </c>
      <c r="BH302" s="5">
        <v>0</v>
      </c>
      <c r="BI302" s="5">
        <v>0</v>
      </c>
      <c r="BL302" s="5">
        <v>0</v>
      </c>
      <c r="BM302" s="5">
        <v>6</v>
      </c>
      <c r="BN302" s="5" t="s">
        <v>86</v>
      </c>
      <c r="CD302" s="5">
        <v>0</v>
      </c>
      <c r="CF302" s="1442" t="str">
        <f>IF([1]!sommaire[[#This Row],[présence des personnes déplacés interne]]="Oui","1","0")</f>
        <v>0</v>
      </c>
      <c r="CG302" s="1442" t="str">
        <f>IF([1]!sommaire[[#This Row],[présence Réfugié hors camp]]="Oui","1","0")</f>
        <v>1</v>
      </c>
      <c r="CH302" s="1442" t="str">
        <f>IF([1]!sommaire[[#This Row],[présence personnes retournées]]="Oui","1","0")</f>
        <v>0</v>
      </c>
      <c r="CI302" s="1442">
        <f>[1]!sommaire[[#This Row],[Flag PDI]]+[1]!sommaire[[#This Row],[Flag REF]]+[1]!sommaire[[#This Row],[Flag RET]]</f>
        <v>1</v>
      </c>
    </row>
    <row r="303" spans="1:87" ht="14.55" customHeight="1" x14ac:dyDescent="0.3">
      <c r="A303" s="390">
        <v>2617954</v>
      </c>
      <c r="B303" s="5" t="s">
        <v>533</v>
      </c>
      <c r="C303" s="1430" t="s">
        <v>3449</v>
      </c>
      <c r="D303" s="1090" t="s">
        <v>534</v>
      </c>
      <c r="E303" s="5" t="s">
        <v>31</v>
      </c>
      <c r="F303" s="5" t="s">
        <v>31</v>
      </c>
      <c r="G303" s="5" t="s">
        <v>549</v>
      </c>
      <c r="H303" s="5" t="s">
        <v>170</v>
      </c>
      <c r="I303" s="5" t="str">
        <f>_xlfn.XLOOKUP(sommaire[[#This Row],[Arrondissement_code]],OCHA_GIS!$F:$F,OCHA_GIS!$E:$E,,)</f>
        <v>Kousséri</v>
      </c>
      <c r="J303" s="5" t="s">
        <v>866</v>
      </c>
      <c r="K303" t="s">
        <v>1116</v>
      </c>
      <c r="L303" s="5" t="s">
        <v>2123</v>
      </c>
      <c r="N303" s="5" t="s">
        <v>3053</v>
      </c>
      <c r="O303" s="5" t="s">
        <v>2467</v>
      </c>
      <c r="P303" s="5" t="s">
        <v>85</v>
      </c>
      <c r="Q303" s="5" t="s">
        <v>86</v>
      </c>
      <c r="R303" s="5" t="s">
        <v>86</v>
      </c>
      <c r="T303" s="390">
        <v>3</v>
      </c>
      <c r="U303" s="5" t="s">
        <v>97</v>
      </c>
      <c r="W303" s="5" t="s">
        <v>2468</v>
      </c>
      <c r="X303" s="5" t="s">
        <v>102</v>
      </c>
      <c r="AA303" s="5" t="s">
        <v>85</v>
      </c>
      <c r="AB303" s="5" t="s">
        <v>2469</v>
      </c>
      <c r="AC303" s="5" t="s">
        <v>2470</v>
      </c>
      <c r="AD303" s="5" t="s">
        <v>86</v>
      </c>
      <c r="AF303" s="5">
        <v>32</v>
      </c>
      <c r="AG303" s="5">
        <v>484</v>
      </c>
      <c r="AH303" s="5" t="s">
        <v>85</v>
      </c>
      <c r="AI303" s="5" t="s">
        <v>2471</v>
      </c>
      <c r="AJ303" s="5">
        <v>32</v>
      </c>
      <c r="AK303" s="5">
        <v>167</v>
      </c>
      <c r="AL303" s="5">
        <v>62</v>
      </c>
      <c r="AM303" s="5">
        <v>105</v>
      </c>
      <c r="AN303" s="5">
        <v>0</v>
      </c>
      <c r="AO303" s="5">
        <v>32</v>
      </c>
      <c r="AP303" s="5">
        <v>0</v>
      </c>
      <c r="AQ303" s="5">
        <v>0</v>
      </c>
      <c r="AT303" s="5">
        <v>0</v>
      </c>
      <c r="AU303" s="5">
        <v>0</v>
      </c>
      <c r="AX303" s="5">
        <v>0</v>
      </c>
      <c r="AY303" s="5" t="s">
        <v>86</v>
      </c>
      <c r="BN303" s="5" t="s">
        <v>86</v>
      </c>
      <c r="CD303" s="5">
        <v>0</v>
      </c>
      <c r="CF303" s="1442" t="str">
        <f>IF([1]!sommaire[[#This Row],[présence des personnes déplacés interne]]="Oui","1","0")</f>
        <v>1</v>
      </c>
      <c r="CG303" s="1442" t="str">
        <f>IF([1]!sommaire[[#This Row],[présence Réfugié hors camp]]="Oui","1","0")</f>
        <v>0</v>
      </c>
      <c r="CH303" s="1442" t="str">
        <f>IF([1]!sommaire[[#This Row],[présence personnes retournées]]="Oui","1","0")</f>
        <v>0</v>
      </c>
      <c r="CI303" s="1442">
        <f>[1]!sommaire[[#This Row],[Flag PDI]]+[1]!sommaire[[#This Row],[Flag REF]]+[1]!sommaire[[#This Row],[Flag RET]]</f>
        <v>1</v>
      </c>
    </row>
    <row r="304" spans="1:87" ht="14.55" customHeight="1" x14ac:dyDescent="0.3">
      <c r="A304" s="390">
        <v>2617995</v>
      </c>
      <c r="B304" s="5" t="s">
        <v>533</v>
      </c>
      <c r="C304" s="1430" t="s">
        <v>3449</v>
      </c>
      <c r="D304" s="1090" t="s">
        <v>534</v>
      </c>
      <c r="E304" s="5" t="s">
        <v>31</v>
      </c>
      <c r="F304" s="5" t="s">
        <v>31</v>
      </c>
      <c r="G304" s="5" t="s">
        <v>549</v>
      </c>
      <c r="H304" s="5" t="s">
        <v>170</v>
      </c>
      <c r="I304" s="5" t="str">
        <f>_xlfn.XLOOKUP(sommaire[[#This Row],[Arrondissement_code]],OCHA_GIS!$F:$F,OCHA_GIS!$E:$E,,)</f>
        <v>Kousséri</v>
      </c>
      <c r="J304" s="5" t="s">
        <v>866</v>
      </c>
      <c r="K304" t="s">
        <v>1954</v>
      </c>
      <c r="L304" s="5" t="s">
        <v>2122</v>
      </c>
      <c r="N304" s="5" t="s">
        <v>3053</v>
      </c>
      <c r="O304" s="5" t="s">
        <v>2467</v>
      </c>
      <c r="P304" s="5" t="s">
        <v>85</v>
      </c>
      <c r="Q304" s="5" t="s">
        <v>86</v>
      </c>
      <c r="R304" s="5" t="s">
        <v>86</v>
      </c>
      <c r="T304" s="390">
        <v>3</v>
      </c>
      <c r="U304" s="5" t="s">
        <v>97</v>
      </c>
      <c r="W304" s="5" t="s">
        <v>2468</v>
      </c>
      <c r="X304" s="5" t="s">
        <v>102</v>
      </c>
      <c r="AA304" s="586" t="s">
        <v>85</v>
      </c>
      <c r="AB304" s="5" t="s">
        <v>2469</v>
      </c>
      <c r="AC304" s="5" t="s">
        <v>2470</v>
      </c>
      <c r="AD304" s="5" t="s">
        <v>86</v>
      </c>
      <c r="AF304" s="5">
        <v>5</v>
      </c>
      <c r="AG304" s="5">
        <v>200</v>
      </c>
      <c r="AH304" s="5" t="s">
        <v>85</v>
      </c>
      <c r="AI304" s="5" t="s">
        <v>2471</v>
      </c>
      <c r="AJ304" s="5">
        <v>5</v>
      </c>
      <c r="AK304" s="5">
        <v>32</v>
      </c>
      <c r="AL304" s="5">
        <v>13</v>
      </c>
      <c r="AM304" s="5">
        <v>19</v>
      </c>
      <c r="AN304" s="5">
        <v>0</v>
      </c>
      <c r="AO304" s="5">
        <v>5</v>
      </c>
      <c r="AP304" s="5">
        <v>0</v>
      </c>
      <c r="AQ304" s="5">
        <v>0</v>
      </c>
      <c r="AT304" s="5">
        <v>0</v>
      </c>
      <c r="AU304" s="5">
        <v>0</v>
      </c>
      <c r="AX304" s="5">
        <v>0</v>
      </c>
      <c r="AY304" s="5" t="s">
        <v>86</v>
      </c>
      <c r="BN304" s="5" t="s">
        <v>86</v>
      </c>
      <c r="CD304" s="5">
        <v>0</v>
      </c>
      <c r="CF304" s="1442" t="str">
        <f>IF([1]!sommaire[[#This Row],[présence des personnes déplacés interne]]="Oui","1","0")</f>
        <v>1</v>
      </c>
      <c r="CG304" s="1442" t="str">
        <f>IF([1]!sommaire[[#This Row],[présence Réfugié hors camp]]="Oui","1","0")</f>
        <v>0</v>
      </c>
      <c r="CH304" s="1442" t="str">
        <f>IF([1]!sommaire[[#This Row],[présence personnes retournées]]="Oui","1","0")</f>
        <v>0</v>
      </c>
      <c r="CI304" s="1442">
        <f>[1]!sommaire[[#This Row],[Flag PDI]]+[1]!sommaire[[#This Row],[Flag REF]]+[1]!sommaire[[#This Row],[Flag RET]]</f>
        <v>1</v>
      </c>
    </row>
    <row r="305" spans="1:87" ht="14.55" customHeight="1" x14ac:dyDescent="0.3">
      <c r="A305" s="390">
        <v>2656648</v>
      </c>
      <c r="B305" s="5" t="s">
        <v>533</v>
      </c>
      <c r="C305" s="1430" t="s">
        <v>3449</v>
      </c>
      <c r="D305" s="1090" t="s">
        <v>534</v>
      </c>
      <c r="E305" s="5" t="s">
        <v>31</v>
      </c>
      <c r="F305" s="5" t="s">
        <v>31</v>
      </c>
      <c r="G305" s="5" t="s">
        <v>549</v>
      </c>
      <c r="H305" s="5" t="s">
        <v>170</v>
      </c>
      <c r="I305" s="5" t="str">
        <f>_xlfn.XLOOKUP(sommaire[[#This Row],[Arrondissement_code]],OCHA_GIS!$F:$F,OCHA_GIS!$E:$E,,)</f>
        <v>Kousséri</v>
      </c>
      <c r="J305" s="5" t="s">
        <v>866</v>
      </c>
      <c r="K305" t="s">
        <v>1349</v>
      </c>
      <c r="L305" s="5" t="s">
        <v>2124</v>
      </c>
      <c r="N305" s="5" t="s">
        <v>3053</v>
      </c>
      <c r="O305" s="5" t="s">
        <v>2467</v>
      </c>
      <c r="P305" s="5" t="s">
        <v>86</v>
      </c>
      <c r="Q305" s="5" t="s">
        <v>85</v>
      </c>
      <c r="R305" s="5" t="s">
        <v>86</v>
      </c>
      <c r="S305" s="390">
        <v>8</v>
      </c>
      <c r="U305" s="5" t="s">
        <v>97</v>
      </c>
      <c r="W305" s="5" t="s">
        <v>2468</v>
      </c>
      <c r="X305" s="5" t="s">
        <v>102</v>
      </c>
      <c r="AA305" s="5" t="s">
        <v>85</v>
      </c>
      <c r="AB305" s="5" t="s">
        <v>2469</v>
      </c>
      <c r="AC305" s="5" t="s">
        <v>2470</v>
      </c>
      <c r="AD305" s="5" t="s">
        <v>86</v>
      </c>
      <c r="AF305" s="5">
        <v>7</v>
      </c>
      <c r="AG305" s="5">
        <v>288</v>
      </c>
      <c r="AH305" s="5" t="s">
        <v>85</v>
      </c>
      <c r="AI305" s="5" t="s">
        <v>2471</v>
      </c>
      <c r="AJ305" s="5">
        <v>7</v>
      </c>
      <c r="AK305" s="5">
        <v>48</v>
      </c>
      <c r="AL305" s="5">
        <v>15</v>
      </c>
      <c r="AM305" s="5">
        <v>33</v>
      </c>
      <c r="AN305" s="5">
        <v>0</v>
      </c>
      <c r="AO305" s="5">
        <v>7</v>
      </c>
      <c r="AP305" s="5">
        <v>0</v>
      </c>
      <c r="AQ305" s="5">
        <v>0</v>
      </c>
      <c r="AT305" s="5">
        <v>0</v>
      </c>
      <c r="AU305" s="5">
        <v>0</v>
      </c>
      <c r="AX305" s="5">
        <v>0</v>
      </c>
      <c r="AY305" s="5" t="s">
        <v>86</v>
      </c>
      <c r="BN305" s="5" t="s">
        <v>86</v>
      </c>
      <c r="CD305" s="5">
        <v>0</v>
      </c>
      <c r="CF305" s="1442" t="str">
        <f>IF([1]!sommaire[[#This Row],[présence des personnes déplacés interne]]="Oui","1","0")</f>
        <v>1</v>
      </c>
      <c r="CG305" s="1442" t="str">
        <f>IF([1]!sommaire[[#This Row],[présence Réfugié hors camp]]="Oui","1","0")</f>
        <v>0</v>
      </c>
      <c r="CH305" s="1442" t="str">
        <f>IF([1]!sommaire[[#This Row],[présence personnes retournées]]="Oui","1","0")</f>
        <v>0</v>
      </c>
      <c r="CI305" s="1442">
        <f>[1]!sommaire[[#This Row],[Flag PDI]]+[1]!sommaire[[#This Row],[Flag REF]]+[1]!sommaire[[#This Row],[Flag RET]]</f>
        <v>1</v>
      </c>
    </row>
    <row r="306" spans="1:87" ht="14.55" customHeight="1" x14ac:dyDescent="0.3">
      <c r="A306" s="390">
        <v>2623047</v>
      </c>
      <c r="B306" s="5" t="s">
        <v>533</v>
      </c>
      <c r="C306" s="1430" t="s">
        <v>3449</v>
      </c>
      <c r="D306" s="1090" t="s">
        <v>534</v>
      </c>
      <c r="E306" s="5" t="s">
        <v>31</v>
      </c>
      <c r="F306" s="5" t="s">
        <v>31</v>
      </c>
      <c r="G306" s="5" t="s">
        <v>549</v>
      </c>
      <c r="H306" s="5" t="s">
        <v>170</v>
      </c>
      <c r="I306" s="5" t="str">
        <f>_xlfn.XLOOKUP(sommaire[[#This Row],[Arrondissement_code]],OCHA_GIS!$F:$F,OCHA_GIS!$E:$E,,)</f>
        <v>Kousséri</v>
      </c>
      <c r="J306" s="5" t="s">
        <v>866</v>
      </c>
      <c r="K306" t="s">
        <v>2089</v>
      </c>
      <c r="L306" s="5" t="s">
        <v>1703</v>
      </c>
      <c r="N306" s="5" t="s">
        <v>3052</v>
      </c>
      <c r="O306" s="5" t="s">
        <v>2467</v>
      </c>
      <c r="P306" s="5" t="s">
        <v>85</v>
      </c>
      <c r="Q306" s="5" t="s">
        <v>86</v>
      </c>
      <c r="R306" s="5" t="s">
        <v>86</v>
      </c>
      <c r="T306" s="390">
        <v>3</v>
      </c>
      <c r="U306" s="5" t="s">
        <v>97</v>
      </c>
      <c r="W306" s="5" t="s">
        <v>2468</v>
      </c>
      <c r="X306" s="5" t="s">
        <v>103</v>
      </c>
      <c r="Y306" s="5" t="s">
        <v>2476</v>
      </c>
      <c r="AA306" s="5" t="s">
        <v>85</v>
      </c>
      <c r="AB306" s="5" t="s">
        <v>2473</v>
      </c>
      <c r="AC306" s="5" t="s">
        <v>312</v>
      </c>
      <c r="AD306" s="5" t="s">
        <v>85</v>
      </c>
      <c r="AE306" s="5">
        <v>1</v>
      </c>
      <c r="AF306" s="5">
        <v>105</v>
      </c>
      <c r="AG306" s="5">
        <v>3500</v>
      </c>
      <c r="AH306" s="5" t="s">
        <v>85</v>
      </c>
      <c r="AI306" s="5" t="s">
        <v>2471</v>
      </c>
      <c r="AJ306" s="5">
        <v>105</v>
      </c>
      <c r="AK306" s="5">
        <v>301</v>
      </c>
      <c r="AL306" s="5">
        <v>100</v>
      </c>
      <c r="AM306" s="5">
        <v>201</v>
      </c>
      <c r="AN306" s="5">
        <v>0</v>
      </c>
      <c r="AO306" s="5">
        <v>0</v>
      </c>
      <c r="AP306" s="5">
        <v>0</v>
      </c>
      <c r="AQ306" s="5">
        <v>30</v>
      </c>
      <c r="AR306" s="5" t="s">
        <v>2477</v>
      </c>
      <c r="AT306" s="5">
        <v>0</v>
      </c>
      <c r="AU306" s="5">
        <v>75</v>
      </c>
      <c r="AV306" s="5" t="s">
        <v>2474</v>
      </c>
      <c r="AX306" s="5">
        <v>0</v>
      </c>
      <c r="AY306" s="5" t="s">
        <v>86</v>
      </c>
      <c r="BN306" s="5" t="s">
        <v>86</v>
      </c>
      <c r="CD306" s="5">
        <v>0</v>
      </c>
      <c r="CF306" s="1442" t="str">
        <f>IF([1]!sommaire[[#This Row],[présence des personnes déplacés interne]]="Oui","1","0")</f>
        <v>1</v>
      </c>
      <c r="CG306" s="1442" t="str">
        <f>IF([1]!sommaire[[#This Row],[présence Réfugié hors camp]]="Oui","1","0")</f>
        <v>0</v>
      </c>
      <c r="CH306" s="1442" t="str">
        <f>IF([1]!sommaire[[#This Row],[présence personnes retournées]]="Oui","1","0")</f>
        <v>0</v>
      </c>
      <c r="CI306" s="1442">
        <f>[1]!sommaire[[#This Row],[Flag PDI]]+[1]!sommaire[[#This Row],[Flag REF]]+[1]!sommaire[[#This Row],[Flag RET]]</f>
        <v>1</v>
      </c>
    </row>
    <row r="307" spans="1:87" ht="14.55" customHeight="1" x14ac:dyDescent="0.3">
      <c r="A307" s="390">
        <v>2647611</v>
      </c>
      <c r="B307" s="5" t="s">
        <v>533</v>
      </c>
      <c r="C307" s="1430" t="s">
        <v>3449</v>
      </c>
      <c r="D307" s="1090" t="s">
        <v>534</v>
      </c>
      <c r="E307" s="5" t="s">
        <v>31</v>
      </c>
      <c r="F307" s="5" t="s">
        <v>31</v>
      </c>
      <c r="G307" s="5" t="s">
        <v>549</v>
      </c>
      <c r="H307" s="5" t="s">
        <v>170</v>
      </c>
      <c r="I307" s="5" t="str">
        <f>_xlfn.XLOOKUP(sommaire[[#This Row],[Arrondissement_code]],OCHA_GIS!$F:$F,OCHA_GIS!$E:$E,,)</f>
        <v>Kousséri</v>
      </c>
      <c r="J307" s="5" t="s">
        <v>866</v>
      </c>
      <c r="K307" t="s">
        <v>867</v>
      </c>
      <c r="L307" s="5" t="s">
        <v>2008</v>
      </c>
      <c r="N307" s="5" t="s">
        <v>3052</v>
      </c>
      <c r="O307" s="5" t="s">
        <v>2467</v>
      </c>
      <c r="P307" s="5" t="s">
        <v>86</v>
      </c>
      <c r="Q307" s="5" t="s">
        <v>86</v>
      </c>
      <c r="R307" s="5" t="s">
        <v>85</v>
      </c>
      <c r="U307" s="5" t="s">
        <v>97</v>
      </c>
      <c r="W307" s="5" t="s">
        <v>2468</v>
      </c>
      <c r="X307" s="5" t="s">
        <v>103</v>
      </c>
      <c r="Y307" s="5" t="s">
        <v>2476</v>
      </c>
      <c r="AA307" s="5" t="s">
        <v>86</v>
      </c>
      <c r="AH307" s="1430" t="s">
        <v>86</v>
      </c>
      <c r="AY307" s="1430" t="s">
        <v>86</v>
      </c>
      <c r="BN307" s="1430" t="s">
        <v>86</v>
      </c>
      <c r="CF307" s="1442" t="str">
        <f>IF([1]!sommaire[[#This Row],[présence des personnes déplacés interne]]="Oui","1","0")</f>
        <v>0</v>
      </c>
      <c r="CG307" s="1442" t="str">
        <f>IF([1]!sommaire[[#This Row],[présence Réfugié hors camp]]="Oui","1","0")</f>
        <v>0</v>
      </c>
      <c r="CH307" s="1442" t="str">
        <f>IF([1]!sommaire[[#This Row],[présence personnes retournées]]="Oui","1","0")</f>
        <v>0</v>
      </c>
      <c r="CI307" s="1442">
        <f>[1]!sommaire[[#This Row],[Flag PDI]]+[1]!sommaire[[#This Row],[Flag REF]]+[1]!sommaire[[#This Row],[Flag RET]]</f>
        <v>0</v>
      </c>
    </row>
    <row r="308" spans="1:87" ht="14.55" customHeight="1" x14ac:dyDescent="0.3">
      <c r="A308" s="390">
        <v>2639073</v>
      </c>
      <c r="B308" s="5" t="s">
        <v>533</v>
      </c>
      <c r="C308" s="1430" t="s">
        <v>3449</v>
      </c>
      <c r="D308" s="1090" t="s">
        <v>534</v>
      </c>
      <c r="E308" s="5" t="s">
        <v>31</v>
      </c>
      <c r="F308" s="5" t="s">
        <v>31</v>
      </c>
      <c r="G308" s="5" t="s">
        <v>549</v>
      </c>
      <c r="H308" s="5" t="s">
        <v>170</v>
      </c>
      <c r="I308" s="5" t="str">
        <f>_xlfn.XLOOKUP(sommaire[[#This Row],[Arrondissement_code]],OCHA_GIS!$F:$F,OCHA_GIS!$E:$E,,)</f>
        <v>Kousséri</v>
      </c>
      <c r="J308" s="5" t="s">
        <v>866</v>
      </c>
      <c r="K308" t="s">
        <v>1702</v>
      </c>
      <c r="L308" s="5" t="s">
        <v>874</v>
      </c>
      <c r="N308" s="5" t="s">
        <v>3053</v>
      </c>
      <c r="O308" s="5" t="s">
        <v>2467</v>
      </c>
      <c r="P308" s="5" t="s">
        <v>85</v>
      </c>
      <c r="Q308" s="5" t="s">
        <v>86</v>
      </c>
      <c r="R308" s="5" t="s">
        <v>86</v>
      </c>
      <c r="T308" s="390">
        <v>3</v>
      </c>
      <c r="U308" s="5" t="s">
        <v>97</v>
      </c>
      <c r="W308" s="5" t="s">
        <v>2468</v>
      </c>
      <c r="X308" s="5" t="s">
        <v>102</v>
      </c>
      <c r="AA308" s="5" t="s">
        <v>85</v>
      </c>
      <c r="AB308" s="5" t="s">
        <v>2469</v>
      </c>
      <c r="AC308" s="5" t="s">
        <v>312</v>
      </c>
      <c r="AD308" s="5" t="s">
        <v>86</v>
      </c>
      <c r="AG308" s="5">
        <v>600</v>
      </c>
      <c r="AH308" s="5" t="s">
        <v>86</v>
      </c>
      <c r="AY308" s="5" t="s">
        <v>85</v>
      </c>
      <c r="AZ308" s="5">
        <v>45</v>
      </c>
      <c r="BA308" s="5">
        <v>150</v>
      </c>
      <c r="BB308" s="5">
        <v>30</v>
      </c>
      <c r="BC308" s="5">
        <v>120</v>
      </c>
      <c r="BD308" s="5">
        <v>30</v>
      </c>
      <c r="BE308" s="5">
        <v>0</v>
      </c>
      <c r="BF308" s="5">
        <v>15</v>
      </c>
      <c r="BG308" s="5" t="s">
        <v>2472</v>
      </c>
      <c r="BH308" s="5">
        <v>0</v>
      </c>
      <c r="BI308" s="5">
        <v>0</v>
      </c>
      <c r="BL308" s="5">
        <v>0</v>
      </c>
      <c r="BM308" s="5">
        <v>45</v>
      </c>
      <c r="BN308" s="5" t="s">
        <v>85</v>
      </c>
      <c r="BO308" s="5">
        <v>15</v>
      </c>
      <c r="BP308" s="5">
        <v>34</v>
      </c>
      <c r="BQ308" s="5">
        <v>15</v>
      </c>
      <c r="BR308" s="5">
        <v>19</v>
      </c>
      <c r="BS308" s="5" t="s">
        <v>2492</v>
      </c>
      <c r="BT308" s="5">
        <v>5</v>
      </c>
      <c r="BU308" s="5">
        <v>5</v>
      </c>
      <c r="BV308" s="5">
        <v>0</v>
      </c>
      <c r="BW308" s="5">
        <v>0</v>
      </c>
      <c r="BX308" s="5">
        <v>5</v>
      </c>
      <c r="BY308" s="5" t="s">
        <v>2477</v>
      </c>
      <c r="BZ308" s="5">
        <v>0</v>
      </c>
      <c r="CA308" s="5">
        <v>0</v>
      </c>
      <c r="CC308" s="5">
        <v>0</v>
      </c>
      <c r="CD308" s="5">
        <v>0</v>
      </c>
      <c r="CF308" s="1442" t="str">
        <f>IF([1]!sommaire[[#This Row],[présence des personnes déplacés interne]]="Oui","1","0")</f>
        <v>0</v>
      </c>
      <c r="CG308" s="1442" t="str">
        <f>IF([1]!sommaire[[#This Row],[présence Réfugié hors camp]]="Oui","1","0")</f>
        <v>1</v>
      </c>
      <c r="CH308" s="1442" t="str">
        <f>IF([1]!sommaire[[#This Row],[présence personnes retournées]]="Oui","1","0")</f>
        <v>1</v>
      </c>
      <c r="CI308" s="1442">
        <f>[1]!sommaire[[#This Row],[Flag PDI]]+[1]!sommaire[[#This Row],[Flag REF]]+[1]!sommaire[[#This Row],[Flag RET]]</f>
        <v>2</v>
      </c>
    </row>
    <row r="309" spans="1:87" ht="14.55" customHeight="1" x14ac:dyDescent="0.3">
      <c r="A309" s="390">
        <v>2656654</v>
      </c>
      <c r="B309" s="5" t="s">
        <v>533</v>
      </c>
      <c r="C309" s="1430" t="s">
        <v>3449</v>
      </c>
      <c r="D309" s="1090" t="s">
        <v>534</v>
      </c>
      <c r="E309" s="5" t="s">
        <v>31</v>
      </c>
      <c r="F309" s="5" t="s">
        <v>31</v>
      </c>
      <c r="G309" s="5" t="s">
        <v>549</v>
      </c>
      <c r="H309" s="5" t="s">
        <v>170</v>
      </c>
      <c r="I309" s="5" t="str">
        <f>_xlfn.XLOOKUP(sommaire[[#This Row],[Arrondissement_code]],OCHA_GIS!$F:$F,OCHA_GIS!$E:$E,,)</f>
        <v>Kousséri</v>
      </c>
      <c r="J309" s="5" t="s">
        <v>866</v>
      </c>
      <c r="K309" t="s">
        <v>2007</v>
      </c>
      <c r="L309" s="5" t="s">
        <v>880</v>
      </c>
      <c r="N309" s="5" t="s">
        <v>3052</v>
      </c>
      <c r="O309" s="5" t="s">
        <v>2467</v>
      </c>
      <c r="P309" s="5" t="s">
        <v>85</v>
      </c>
      <c r="Q309" s="5" t="s">
        <v>86</v>
      </c>
      <c r="R309" s="5" t="s">
        <v>86</v>
      </c>
      <c r="T309" s="390">
        <v>3</v>
      </c>
      <c r="U309" s="5" t="s">
        <v>97</v>
      </c>
      <c r="W309" s="5" t="s">
        <v>2468</v>
      </c>
      <c r="X309" s="5" t="s">
        <v>103</v>
      </c>
      <c r="Y309" s="5" t="s">
        <v>2476</v>
      </c>
      <c r="AA309" s="5" t="s">
        <v>85</v>
      </c>
      <c r="AB309" s="5" t="s">
        <v>2469</v>
      </c>
      <c r="AC309" s="5" t="s">
        <v>312</v>
      </c>
      <c r="AD309" s="5" t="s">
        <v>86</v>
      </c>
      <c r="AG309" s="5">
        <v>5000</v>
      </c>
      <c r="AH309" s="1090" t="s">
        <v>86</v>
      </c>
      <c r="AY309" s="5" t="s">
        <v>85</v>
      </c>
      <c r="AZ309" s="5">
        <v>44</v>
      </c>
      <c r="BA309" s="5">
        <v>150</v>
      </c>
      <c r="BB309" s="5">
        <v>25</v>
      </c>
      <c r="BC309" s="5">
        <v>125</v>
      </c>
      <c r="BD309" s="5">
        <v>11</v>
      </c>
      <c r="BE309" s="5">
        <v>0</v>
      </c>
      <c r="BF309" s="5">
        <v>33</v>
      </c>
      <c r="BG309" s="5" t="s">
        <v>2477</v>
      </c>
      <c r="BH309" s="5">
        <v>0</v>
      </c>
      <c r="BI309" s="5">
        <v>0</v>
      </c>
      <c r="BL309" s="5">
        <v>0</v>
      </c>
      <c r="BM309" s="5">
        <v>44</v>
      </c>
      <c r="BN309" s="1090" t="s">
        <v>85</v>
      </c>
      <c r="BO309" s="5">
        <v>60</v>
      </c>
      <c r="BP309" s="5">
        <v>300</v>
      </c>
      <c r="BQ309" s="5">
        <v>30</v>
      </c>
      <c r="BR309" s="5">
        <v>270</v>
      </c>
      <c r="BS309" s="5" t="s">
        <v>2492</v>
      </c>
      <c r="BT309" s="5">
        <v>20</v>
      </c>
      <c r="BU309" s="5">
        <v>5</v>
      </c>
      <c r="BV309" s="5">
        <v>0</v>
      </c>
      <c r="BW309" s="5">
        <v>0</v>
      </c>
      <c r="BX309" s="5">
        <v>35</v>
      </c>
      <c r="BY309" s="5" t="s">
        <v>2472</v>
      </c>
      <c r="BZ309" s="5">
        <v>0</v>
      </c>
      <c r="CA309" s="5">
        <v>0</v>
      </c>
      <c r="CC309" s="5">
        <v>0</v>
      </c>
      <c r="CD309" s="5">
        <v>0</v>
      </c>
      <c r="CF309" s="1442" t="str">
        <f>IF([1]!sommaire[[#This Row],[présence des personnes déplacés interne]]="Oui","1","0")</f>
        <v>0</v>
      </c>
      <c r="CG309" s="1442" t="str">
        <f>IF([1]!sommaire[[#This Row],[présence Réfugié hors camp]]="Oui","1","0")</f>
        <v>1</v>
      </c>
      <c r="CH309" s="1442" t="str">
        <f>IF([1]!sommaire[[#This Row],[présence personnes retournées]]="Oui","1","0")</f>
        <v>1</v>
      </c>
      <c r="CI309" s="1442">
        <f>[1]!sommaire[[#This Row],[Flag PDI]]+[1]!sommaire[[#This Row],[Flag REF]]+[1]!sommaire[[#This Row],[Flag RET]]</f>
        <v>2</v>
      </c>
    </row>
    <row r="310" spans="1:87" ht="14.55" customHeight="1" x14ac:dyDescent="0.3">
      <c r="A310" s="390">
        <v>2722414</v>
      </c>
      <c r="B310" s="5" t="s">
        <v>533</v>
      </c>
      <c r="C310" s="1430" t="s">
        <v>3449</v>
      </c>
      <c r="D310" s="1090" t="s">
        <v>534</v>
      </c>
      <c r="E310" s="5" t="s">
        <v>31</v>
      </c>
      <c r="F310" s="5" t="s">
        <v>31</v>
      </c>
      <c r="G310" s="5" t="s">
        <v>549</v>
      </c>
      <c r="H310" s="5" t="s">
        <v>170</v>
      </c>
      <c r="I310" s="5" t="str">
        <f>_xlfn.XLOOKUP(sommaire[[#This Row],[Arrondissement_code]],OCHA_GIS!$F:$F,OCHA_GIS!$E:$E,,)</f>
        <v>Kousséri</v>
      </c>
      <c r="J310" s="5" t="s">
        <v>866</v>
      </c>
      <c r="K310" t="s">
        <v>873</v>
      </c>
      <c r="L310" s="5" t="s">
        <v>1502</v>
      </c>
      <c r="N310" s="5" t="s">
        <v>3052</v>
      </c>
      <c r="O310" s="5" t="s">
        <v>2467</v>
      </c>
      <c r="P310" s="5" t="s">
        <v>85</v>
      </c>
      <c r="Q310" s="5" t="s">
        <v>86</v>
      </c>
      <c r="R310" s="5" t="s">
        <v>85</v>
      </c>
      <c r="T310" s="390">
        <v>3</v>
      </c>
      <c r="U310" s="5" t="s">
        <v>97</v>
      </c>
      <c r="W310" s="5" t="s">
        <v>2468</v>
      </c>
      <c r="X310" s="5" t="s">
        <v>101</v>
      </c>
      <c r="Y310" s="5" t="s">
        <v>2476</v>
      </c>
      <c r="AA310" s="5" t="s">
        <v>85</v>
      </c>
      <c r="AB310" s="5" t="s">
        <v>2469</v>
      </c>
      <c r="AC310" s="5" t="s">
        <v>2473</v>
      </c>
      <c r="AD310" s="5" t="s">
        <v>86</v>
      </c>
      <c r="AF310" s="5">
        <v>50</v>
      </c>
      <c r="AG310" s="5">
        <v>5067</v>
      </c>
      <c r="AH310" s="5" t="s">
        <v>85</v>
      </c>
      <c r="AI310" s="5" t="s">
        <v>2471</v>
      </c>
      <c r="AJ310" s="5">
        <v>50</v>
      </c>
      <c r="AK310" s="5">
        <v>205</v>
      </c>
      <c r="AL310" s="5">
        <v>100</v>
      </c>
      <c r="AM310" s="5">
        <v>105</v>
      </c>
      <c r="AN310" s="5">
        <v>0</v>
      </c>
      <c r="AO310" s="5">
        <v>10</v>
      </c>
      <c r="AP310" s="5">
        <v>0</v>
      </c>
      <c r="AQ310" s="5">
        <v>40</v>
      </c>
      <c r="AR310" s="5" t="s">
        <v>2472</v>
      </c>
      <c r="AT310" s="5">
        <v>0</v>
      </c>
      <c r="AU310" s="5">
        <v>0</v>
      </c>
      <c r="AX310" s="5">
        <v>0</v>
      </c>
      <c r="AY310" s="5" t="s">
        <v>86</v>
      </c>
      <c r="BN310" s="5" t="s">
        <v>85</v>
      </c>
      <c r="BO310" s="5">
        <v>100</v>
      </c>
      <c r="BP310" s="5">
        <v>445</v>
      </c>
      <c r="BQ310" s="5">
        <v>200</v>
      </c>
      <c r="BR310" s="5">
        <v>245</v>
      </c>
      <c r="BS310" s="5" t="s">
        <v>2484</v>
      </c>
      <c r="BT310" s="5">
        <v>0</v>
      </c>
      <c r="BU310" s="5">
        <v>80</v>
      </c>
      <c r="BV310" s="5">
        <v>0</v>
      </c>
      <c r="BW310" s="5">
        <v>0</v>
      </c>
      <c r="BX310" s="5">
        <v>10</v>
      </c>
      <c r="BY310" s="5" t="s">
        <v>2472</v>
      </c>
      <c r="BZ310" s="5">
        <v>0</v>
      </c>
      <c r="CA310" s="5">
        <v>10</v>
      </c>
      <c r="CB310" s="5" t="s">
        <v>2474</v>
      </c>
      <c r="CC310" s="5">
        <v>0</v>
      </c>
      <c r="CD310" s="5">
        <v>0</v>
      </c>
      <c r="CF310" s="1442" t="str">
        <f>IF([1]!sommaire[[#This Row],[présence des personnes déplacés interne]]="Oui","1","0")</f>
        <v>1</v>
      </c>
      <c r="CG310" s="1442" t="str">
        <f>IF([1]!sommaire[[#This Row],[présence Réfugié hors camp]]="Oui","1","0")</f>
        <v>0</v>
      </c>
      <c r="CH310" s="1442" t="str">
        <f>IF([1]!sommaire[[#This Row],[présence personnes retournées]]="Oui","1","0")</f>
        <v>1</v>
      </c>
      <c r="CI310" s="1442">
        <f>[1]!sommaire[[#This Row],[Flag PDI]]+[1]!sommaire[[#This Row],[Flag REF]]+[1]!sommaire[[#This Row],[Flag RET]]</f>
        <v>2</v>
      </c>
    </row>
    <row r="311" spans="1:87" ht="14.55" customHeight="1" x14ac:dyDescent="0.3">
      <c r="A311" s="390">
        <v>2678350</v>
      </c>
      <c r="B311" s="5" t="s">
        <v>533</v>
      </c>
      <c r="C311" s="1430" t="s">
        <v>3449</v>
      </c>
      <c r="D311" s="1090" t="s">
        <v>534</v>
      </c>
      <c r="E311" s="5" t="s">
        <v>31</v>
      </c>
      <c r="F311" s="5" t="s">
        <v>31</v>
      </c>
      <c r="G311" s="5" t="s">
        <v>549</v>
      </c>
      <c r="H311" s="5" t="s">
        <v>170</v>
      </c>
      <c r="I311" s="5" t="str">
        <f>_xlfn.XLOOKUP(sommaire[[#This Row],[Arrondissement_code]],OCHA_GIS!$F:$F,OCHA_GIS!$E:$E,,)</f>
        <v>Kousséri</v>
      </c>
      <c r="J311" s="5" t="s">
        <v>866</v>
      </c>
      <c r="K311" t="s">
        <v>879</v>
      </c>
      <c r="L311" s="5" t="s">
        <v>958</v>
      </c>
      <c r="N311" s="5" t="s">
        <v>3053</v>
      </c>
      <c r="O311" s="5" t="s">
        <v>2467</v>
      </c>
      <c r="P311" s="5" t="s">
        <v>85</v>
      </c>
      <c r="Q311" s="5" t="s">
        <v>86</v>
      </c>
      <c r="R311" s="5" t="s">
        <v>86</v>
      </c>
      <c r="T311" s="390">
        <v>3</v>
      </c>
      <c r="U311" s="5" t="s">
        <v>97</v>
      </c>
      <c r="W311" s="5" t="s">
        <v>2468</v>
      </c>
      <c r="X311" s="5" t="s">
        <v>102</v>
      </c>
      <c r="AA311" s="5" t="s">
        <v>85</v>
      </c>
      <c r="AB311" s="5" t="s">
        <v>2469</v>
      </c>
      <c r="AC311" s="5" t="s">
        <v>312</v>
      </c>
      <c r="AD311" s="5" t="s">
        <v>86</v>
      </c>
      <c r="AF311" s="5">
        <v>4</v>
      </c>
      <c r="AG311" s="5">
        <v>690</v>
      </c>
      <c r="AH311" s="5" t="s">
        <v>85</v>
      </c>
      <c r="AI311" s="5" t="s">
        <v>2471</v>
      </c>
      <c r="AJ311" s="5">
        <v>4</v>
      </c>
      <c r="AK311" s="5">
        <v>15</v>
      </c>
      <c r="AL311" s="5">
        <v>12</v>
      </c>
      <c r="AM311" s="5">
        <v>3</v>
      </c>
      <c r="AN311" s="5">
        <v>0</v>
      </c>
      <c r="AO311" s="5">
        <v>2</v>
      </c>
      <c r="AP311" s="5">
        <v>0</v>
      </c>
      <c r="AQ311" s="5">
        <v>2</v>
      </c>
      <c r="AR311" s="5" t="s">
        <v>2477</v>
      </c>
      <c r="AT311" s="5">
        <v>0</v>
      </c>
      <c r="AU311" s="5">
        <v>0</v>
      </c>
      <c r="AX311" s="5">
        <v>0</v>
      </c>
      <c r="AY311" s="5" t="s">
        <v>86</v>
      </c>
      <c r="BN311" s="5" t="s">
        <v>85</v>
      </c>
      <c r="BO311" s="5">
        <v>2</v>
      </c>
      <c r="BP311" s="5">
        <v>15</v>
      </c>
      <c r="BQ311" s="5">
        <v>5</v>
      </c>
      <c r="BR311" s="5">
        <v>10</v>
      </c>
      <c r="BS311" s="5" t="s">
        <v>2492</v>
      </c>
      <c r="BT311" s="5">
        <v>2</v>
      </c>
      <c r="BU311" s="5">
        <v>0</v>
      </c>
      <c r="BV311" s="5">
        <v>0</v>
      </c>
      <c r="BW311" s="5">
        <v>0</v>
      </c>
      <c r="BX311" s="5">
        <v>0</v>
      </c>
      <c r="BZ311" s="5">
        <v>0</v>
      </c>
      <c r="CA311" s="5">
        <v>0</v>
      </c>
      <c r="CC311" s="5">
        <v>0</v>
      </c>
      <c r="CD311" s="5">
        <v>0</v>
      </c>
      <c r="CF311" s="1442" t="str">
        <f>IF([1]!sommaire[[#This Row],[présence des personnes déplacés interne]]="Oui","1","0")</f>
        <v>1</v>
      </c>
      <c r="CG311" s="1442" t="str">
        <f>IF([1]!sommaire[[#This Row],[présence Réfugié hors camp]]="Oui","1","0")</f>
        <v>0</v>
      </c>
      <c r="CH311" s="1442" t="str">
        <f>IF([1]!sommaire[[#This Row],[présence personnes retournées]]="Oui","1","0")</f>
        <v>1</v>
      </c>
      <c r="CI311" s="1442">
        <f>[1]!sommaire[[#This Row],[Flag PDI]]+[1]!sommaire[[#This Row],[Flag REF]]+[1]!sommaire[[#This Row],[Flag RET]]</f>
        <v>2</v>
      </c>
    </row>
    <row r="312" spans="1:87" ht="14.55" customHeight="1" x14ac:dyDescent="0.3">
      <c r="A312" s="390">
        <v>2655581</v>
      </c>
      <c r="B312" s="5" t="s">
        <v>533</v>
      </c>
      <c r="C312" s="1430" t="s">
        <v>3449</v>
      </c>
      <c r="D312" s="1090" t="s">
        <v>534</v>
      </c>
      <c r="E312" s="5" t="s">
        <v>31</v>
      </c>
      <c r="F312" s="5" t="s">
        <v>31</v>
      </c>
      <c r="G312" s="5" t="s">
        <v>549</v>
      </c>
      <c r="H312" s="5" t="s">
        <v>170</v>
      </c>
      <c r="I312" s="5" t="str">
        <f>_xlfn.XLOOKUP(sommaire[[#This Row],[Arrondissement_code]],OCHA_GIS!$F:$F,OCHA_GIS!$E:$E,,)</f>
        <v>Kousséri</v>
      </c>
      <c r="J312" s="5" t="s">
        <v>866</v>
      </c>
      <c r="K312" t="s">
        <v>940</v>
      </c>
      <c r="L312" s="5" t="s">
        <v>795</v>
      </c>
      <c r="N312" s="5" t="s">
        <v>3053</v>
      </c>
      <c r="O312" s="5" t="s">
        <v>2467</v>
      </c>
      <c r="P312" s="5" t="s">
        <v>85</v>
      </c>
      <c r="Q312" s="5" t="s">
        <v>86</v>
      </c>
      <c r="R312" s="5" t="s">
        <v>86</v>
      </c>
      <c r="T312" s="390">
        <v>3</v>
      </c>
      <c r="U312" s="5" t="s">
        <v>97</v>
      </c>
      <c r="W312" s="5" t="s">
        <v>2468</v>
      </c>
      <c r="X312" s="5" t="s">
        <v>102</v>
      </c>
      <c r="AA312" s="5" t="s">
        <v>85</v>
      </c>
      <c r="AB312" s="5" t="s">
        <v>2469</v>
      </c>
      <c r="AC312" s="5" t="s">
        <v>2470</v>
      </c>
      <c r="AD312" s="1090" t="s">
        <v>86</v>
      </c>
      <c r="AF312" s="5">
        <v>32</v>
      </c>
      <c r="AG312" s="5">
        <v>1386</v>
      </c>
      <c r="AH312" s="5" t="s">
        <v>85</v>
      </c>
      <c r="AI312" s="5" t="s">
        <v>2471</v>
      </c>
      <c r="AJ312" s="5">
        <v>32</v>
      </c>
      <c r="AK312" s="5">
        <v>290</v>
      </c>
      <c r="AL312" s="5">
        <v>110</v>
      </c>
      <c r="AM312" s="5">
        <v>180</v>
      </c>
      <c r="AN312" s="5">
        <v>0</v>
      </c>
      <c r="AO312" s="5">
        <v>32</v>
      </c>
      <c r="AP312" s="5">
        <v>0</v>
      </c>
      <c r="AQ312" s="5">
        <v>0</v>
      </c>
      <c r="AT312" s="5">
        <v>0</v>
      </c>
      <c r="AU312" s="5">
        <v>0</v>
      </c>
      <c r="AX312" s="5">
        <v>0</v>
      </c>
      <c r="AY312" s="5" t="s">
        <v>86</v>
      </c>
      <c r="BN312" s="5" t="s">
        <v>86</v>
      </c>
      <c r="CD312" s="5">
        <v>0</v>
      </c>
      <c r="CF312" s="1442" t="str">
        <f>IF([1]!sommaire[[#This Row],[présence des personnes déplacés interne]]="Oui","1","0")</f>
        <v>1</v>
      </c>
      <c r="CG312" s="1442" t="str">
        <f>IF([1]!sommaire[[#This Row],[présence Réfugié hors camp]]="Oui","1","0")</f>
        <v>0</v>
      </c>
      <c r="CH312" s="1442" t="str">
        <f>IF([1]!sommaire[[#This Row],[présence personnes retournées]]="Oui","1","0")</f>
        <v>0</v>
      </c>
      <c r="CI312" s="1442">
        <f>[1]!sommaire[[#This Row],[Flag PDI]]+[1]!sommaire[[#This Row],[Flag REF]]+[1]!sommaire[[#This Row],[Flag RET]]</f>
        <v>1</v>
      </c>
    </row>
    <row r="313" spans="1:87" ht="14.55" customHeight="1" x14ac:dyDescent="0.3">
      <c r="A313" s="390">
        <v>2666746</v>
      </c>
      <c r="B313" s="5" t="s">
        <v>533</v>
      </c>
      <c r="C313" s="1430" t="s">
        <v>3449</v>
      </c>
      <c r="D313" s="5" t="s">
        <v>534</v>
      </c>
      <c r="E313" s="5" t="s">
        <v>31</v>
      </c>
      <c r="F313" s="5" t="s">
        <v>31</v>
      </c>
      <c r="G313" s="5" t="s">
        <v>549</v>
      </c>
      <c r="H313" s="5" t="s">
        <v>170</v>
      </c>
      <c r="I313" s="5" t="str">
        <f>_xlfn.XLOOKUP(sommaire[[#This Row],[Arrondissement_code]],OCHA_GIS!$F:$F,OCHA_GIS!$E:$E,,)</f>
        <v>Kousséri</v>
      </c>
      <c r="J313" s="5" t="s">
        <v>866</v>
      </c>
      <c r="K313" t="s">
        <v>957</v>
      </c>
      <c r="L313" s="5" t="s">
        <v>2006</v>
      </c>
      <c r="N313" s="5" t="s">
        <v>3053</v>
      </c>
      <c r="O313" s="5" t="s">
        <v>2467</v>
      </c>
      <c r="P313" s="5" t="s">
        <v>85</v>
      </c>
      <c r="Q313" s="5" t="s">
        <v>86</v>
      </c>
      <c r="R313" s="5" t="s">
        <v>86</v>
      </c>
      <c r="T313" s="390">
        <v>3</v>
      </c>
      <c r="U313" s="5" t="s">
        <v>97</v>
      </c>
      <c r="W313" s="5" t="s">
        <v>2468</v>
      </c>
      <c r="X313" s="5" t="s">
        <v>102</v>
      </c>
      <c r="AA313" s="5" t="s">
        <v>85</v>
      </c>
      <c r="AB313" s="5" t="s">
        <v>2469</v>
      </c>
      <c r="AC313" s="5" t="s">
        <v>312</v>
      </c>
      <c r="AD313" s="5" t="s">
        <v>86</v>
      </c>
      <c r="AF313" s="5">
        <v>10</v>
      </c>
      <c r="AG313" s="5">
        <v>1000</v>
      </c>
      <c r="AH313" s="5" t="s">
        <v>85</v>
      </c>
      <c r="AI313" s="5" t="s">
        <v>2471</v>
      </c>
      <c r="AJ313" s="5">
        <v>10</v>
      </c>
      <c r="AK313" s="5">
        <v>100</v>
      </c>
      <c r="AL313" s="5">
        <v>10</v>
      </c>
      <c r="AM313" s="5">
        <v>90</v>
      </c>
      <c r="AN313" s="5">
        <v>0</v>
      </c>
      <c r="AO313" s="5">
        <v>0</v>
      </c>
      <c r="AP313" s="5">
        <v>0</v>
      </c>
      <c r="AQ313" s="5">
        <v>0</v>
      </c>
      <c r="AT313" s="5">
        <v>0</v>
      </c>
      <c r="AU313" s="5">
        <v>10</v>
      </c>
      <c r="AV313" s="5" t="s">
        <v>2475</v>
      </c>
      <c r="AX313" s="5">
        <v>0</v>
      </c>
      <c r="AY313" s="5" t="s">
        <v>86</v>
      </c>
      <c r="BN313" s="5" t="s">
        <v>85</v>
      </c>
      <c r="BO313" s="5">
        <v>4</v>
      </c>
      <c r="BP313" s="5">
        <v>30</v>
      </c>
      <c r="BQ313" s="5">
        <v>5</v>
      </c>
      <c r="BR313" s="5">
        <v>25</v>
      </c>
      <c r="BS313" s="5" t="s">
        <v>2492</v>
      </c>
      <c r="BT313" s="5">
        <v>4</v>
      </c>
      <c r="BU313" s="5">
        <v>0</v>
      </c>
      <c r="BV313" s="5">
        <v>0</v>
      </c>
      <c r="BW313" s="5">
        <v>0</v>
      </c>
      <c r="BX313" s="5">
        <v>0</v>
      </c>
      <c r="BZ313" s="5">
        <v>0</v>
      </c>
      <c r="CA313" s="5">
        <v>0</v>
      </c>
      <c r="CC313" s="5">
        <v>0</v>
      </c>
      <c r="CD313" s="5">
        <v>0</v>
      </c>
      <c r="CF313" s="1442" t="str">
        <f>IF([1]!sommaire[[#This Row],[présence des personnes déplacés interne]]="Oui","1","0")</f>
        <v>1</v>
      </c>
      <c r="CG313" s="1442" t="str">
        <f>IF([1]!sommaire[[#This Row],[présence Réfugié hors camp]]="Oui","1","0")</f>
        <v>0</v>
      </c>
      <c r="CH313" s="1442" t="str">
        <f>IF([1]!sommaire[[#This Row],[présence personnes retournées]]="Oui","1","0")</f>
        <v>1</v>
      </c>
      <c r="CI313" s="1442">
        <f>[1]!sommaire[[#This Row],[Flag PDI]]+[1]!sommaire[[#This Row],[Flag REF]]+[1]!sommaire[[#This Row],[Flag RET]]</f>
        <v>2</v>
      </c>
    </row>
    <row r="314" spans="1:87" ht="14.55" customHeight="1" x14ac:dyDescent="0.3">
      <c r="A314" s="390">
        <v>2627394</v>
      </c>
      <c r="B314" s="5" t="s">
        <v>533</v>
      </c>
      <c r="C314" s="1430" t="s">
        <v>3449</v>
      </c>
      <c r="D314" s="1090" t="s">
        <v>534</v>
      </c>
      <c r="E314" s="5" t="s">
        <v>31</v>
      </c>
      <c r="F314" s="5" t="s">
        <v>31</v>
      </c>
      <c r="G314" s="5" t="s">
        <v>549</v>
      </c>
      <c r="H314" s="5" t="s">
        <v>170</v>
      </c>
      <c r="I314" s="5" t="str">
        <f>_xlfn.XLOOKUP(sommaire[[#This Row],[Arrondissement_code]],OCHA_GIS!$F:$F,OCHA_GIS!$E:$E,,)</f>
        <v>Kousséri</v>
      </c>
      <c r="J314" s="5" t="s">
        <v>866</v>
      </c>
      <c r="K314" t="s">
        <v>1860</v>
      </c>
      <c r="L314" s="5" t="s">
        <v>1857</v>
      </c>
      <c r="N314" s="5" t="s">
        <v>3052</v>
      </c>
      <c r="O314" s="5" t="s">
        <v>2467</v>
      </c>
      <c r="P314" s="5" t="s">
        <v>85</v>
      </c>
      <c r="Q314" s="5" t="s">
        <v>86</v>
      </c>
      <c r="R314" s="5" t="s">
        <v>86</v>
      </c>
      <c r="T314" s="390">
        <v>3</v>
      </c>
      <c r="U314" s="5" t="s">
        <v>97</v>
      </c>
      <c r="W314" s="5" t="s">
        <v>2468</v>
      </c>
      <c r="X314" s="5" t="s">
        <v>102</v>
      </c>
      <c r="AA314" s="5" t="s">
        <v>85</v>
      </c>
      <c r="AB314" s="5" t="s">
        <v>2469</v>
      </c>
      <c r="AC314" s="5" t="s">
        <v>312</v>
      </c>
      <c r="AD314" s="5" t="s">
        <v>86</v>
      </c>
      <c r="AF314" s="5">
        <v>67</v>
      </c>
      <c r="AG314" s="5">
        <v>7600</v>
      </c>
      <c r="AH314" s="5" t="s">
        <v>85</v>
      </c>
      <c r="AI314" s="5" t="s">
        <v>2471</v>
      </c>
      <c r="AJ314" s="5">
        <v>67</v>
      </c>
      <c r="AK314" s="5">
        <v>422</v>
      </c>
      <c r="AL314" s="5">
        <v>200</v>
      </c>
      <c r="AM314" s="5">
        <v>222</v>
      </c>
      <c r="AN314" s="5">
        <v>0</v>
      </c>
      <c r="AO314" s="5">
        <v>6</v>
      </c>
      <c r="AP314" s="5">
        <v>0</v>
      </c>
      <c r="AQ314" s="5">
        <v>61</v>
      </c>
      <c r="AR314" s="5" t="s">
        <v>2472</v>
      </c>
      <c r="AT314" s="5">
        <v>0</v>
      </c>
      <c r="AU314" s="5">
        <v>0</v>
      </c>
      <c r="AX314" s="5">
        <v>0</v>
      </c>
      <c r="AY314" s="5" t="s">
        <v>86</v>
      </c>
      <c r="BN314" s="5" t="s">
        <v>86</v>
      </c>
      <c r="CD314" s="5">
        <v>0</v>
      </c>
      <c r="CF314" s="1442" t="str">
        <f>IF([1]!sommaire[[#This Row],[présence des personnes déplacés interne]]="Oui","1","0")</f>
        <v>1</v>
      </c>
      <c r="CG314" s="1442" t="str">
        <f>IF([1]!sommaire[[#This Row],[présence Réfugié hors camp]]="Oui","1","0")</f>
        <v>0</v>
      </c>
      <c r="CH314" s="1442" t="str">
        <f>IF([1]!sommaire[[#This Row],[présence personnes retournées]]="Oui","1","0")</f>
        <v>0</v>
      </c>
      <c r="CI314" s="1442">
        <f>[1]!sommaire[[#This Row],[Flag PDI]]+[1]!sommaire[[#This Row],[Flag REF]]+[1]!sommaire[[#This Row],[Flag RET]]</f>
        <v>1</v>
      </c>
    </row>
    <row r="315" spans="1:87" ht="14.55" customHeight="1" x14ac:dyDescent="0.3">
      <c r="A315" s="390">
        <v>2626696</v>
      </c>
      <c r="B315" s="5" t="s">
        <v>533</v>
      </c>
      <c r="C315" s="1430" t="s">
        <v>3449</v>
      </c>
      <c r="D315" s="5" t="s">
        <v>534</v>
      </c>
      <c r="E315" s="5" t="s">
        <v>31</v>
      </c>
      <c r="F315" s="5" t="s">
        <v>31</v>
      </c>
      <c r="G315" s="5" t="s">
        <v>549</v>
      </c>
      <c r="H315" s="5" t="s">
        <v>170</v>
      </c>
      <c r="I315" s="5" t="str">
        <f>_xlfn.XLOOKUP(sommaire[[#This Row],[Arrondissement_code]],OCHA_GIS!$F:$F,OCHA_GIS!$E:$E,,)</f>
        <v>Kousséri</v>
      </c>
      <c r="J315" s="5" t="s">
        <v>866</v>
      </c>
      <c r="K315" t="s">
        <v>2972</v>
      </c>
      <c r="L315" s="5" t="s">
        <v>2174</v>
      </c>
      <c r="N315" s="5" t="s">
        <v>3053</v>
      </c>
      <c r="O315" s="5" t="s">
        <v>2467</v>
      </c>
      <c r="P315" s="5" t="s">
        <v>85</v>
      </c>
      <c r="Q315" s="5" t="s">
        <v>86</v>
      </c>
      <c r="R315" s="5" t="s">
        <v>86</v>
      </c>
      <c r="T315" s="390">
        <v>3</v>
      </c>
      <c r="U315" s="5" t="s">
        <v>97</v>
      </c>
      <c r="W315" s="5" t="s">
        <v>2468</v>
      </c>
      <c r="X315" s="1090" t="s">
        <v>102</v>
      </c>
      <c r="AA315" s="1090" t="s">
        <v>85</v>
      </c>
      <c r="AB315" s="5" t="s">
        <v>2469</v>
      </c>
      <c r="AC315" s="5" t="s">
        <v>2470</v>
      </c>
      <c r="AD315" s="5" t="s">
        <v>86</v>
      </c>
      <c r="AF315" s="5">
        <v>8</v>
      </c>
      <c r="AG315" s="5">
        <v>210</v>
      </c>
      <c r="AH315" s="5" t="s">
        <v>85</v>
      </c>
      <c r="AI315" s="5" t="s">
        <v>2471</v>
      </c>
      <c r="AJ315" s="5">
        <v>8</v>
      </c>
      <c r="AK315" s="5">
        <v>45</v>
      </c>
      <c r="AL315" s="5">
        <v>17</v>
      </c>
      <c r="AM315" s="5">
        <v>28</v>
      </c>
      <c r="AN315" s="5">
        <v>0</v>
      </c>
      <c r="AO315" s="5">
        <v>8</v>
      </c>
      <c r="AP315" s="5">
        <v>0</v>
      </c>
      <c r="AQ315" s="5">
        <v>0</v>
      </c>
      <c r="AT315" s="5">
        <v>0</v>
      </c>
      <c r="AU315" s="5">
        <v>0</v>
      </c>
      <c r="AX315" s="5">
        <v>0</v>
      </c>
      <c r="AY315" s="1090" t="s">
        <v>86</v>
      </c>
      <c r="BN315" s="1090" t="s">
        <v>86</v>
      </c>
      <c r="CD315" s="5">
        <v>0</v>
      </c>
      <c r="CF315" s="1442" t="str">
        <f>IF([1]!sommaire[[#This Row],[présence des personnes déplacés interne]]="Oui","1","0")</f>
        <v>1</v>
      </c>
      <c r="CG315" s="1442" t="str">
        <f>IF([1]!sommaire[[#This Row],[présence Réfugié hors camp]]="Oui","1","0")</f>
        <v>0</v>
      </c>
      <c r="CH315" s="1442" t="str">
        <f>IF([1]!sommaire[[#This Row],[présence personnes retournées]]="Oui","1","0")</f>
        <v>0</v>
      </c>
      <c r="CI315" s="1442">
        <f>[1]!sommaire[[#This Row],[Flag PDI]]+[1]!sommaire[[#This Row],[Flag REF]]+[1]!sommaire[[#This Row],[Flag RET]]</f>
        <v>1</v>
      </c>
    </row>
    <row r="316" spans="1:87" ht="14.55" customHeight="1" x14ac:dyDescent="0.3">
      <c r="A316" s="390">
        <v>2617953</v>
      </c>
      <c r="B316" s="5" t="s">
        <v>533</v>
      </c>
      <c r="C316" s="1430" t="s">
        <v>3449</v>
      </c>
      <c r="D316" s="1090" t="s">
        <v>534</v>
      </c>
      <c r="E316" s="5" t="s">
        <v>31</v>
      </c>
      <c r="F316" s="5" t="s">
        <v>31</v>
      </c>
      <c r="G316" s="5" t="s">
        <v>549</v>
      </c>
      <c r="H316" s="5" t="s">
        <v>170</v>
      </c>
      <c r="I316" s="5" t="str">
        <f>_xlfn.XLOOKUP(sommaire[[#This Row],[Arrondissement_code]],OCHA_GIS!$F:$F,OCHA_GIS!$E:$E,,)</f>
        <v>Kousséri</v>
      </c>
      <c r="J316" s="5" t="s">
        <v>866</v>
      </c>
      <c r="K316" t="s">
        <v>1556</v>
      </c>
      <c r="L316" s="5" t="s">
        <v>613</v>
      </c>
      <c r="N316" s="5" t="s">
        <v>3052</v>
      </c>
      <c r="O316" s="5" t="s">
        <v>2467</v>
      </c>
      <c r="P316" s="5" t="s">
        <v>85</v>
      </c>
      <c r="Q316" s="5" t="s">
        <v>86</v>
      </c>
      <c r="R316" s="5" t="s">
        <v>86</v>
      </c>
      <c r="T316" s="390">
        <v>4</v>
      </c>
      <c r="U316" s="5" t="s">
        <v>97</v>
      </c>
      <c r="W316" s="5" t="s">
        <v>2468</v>
      </c>
      <c r="X316" s="5" t="s">
        <v>102</v>
      </c>
      <c r="AA316" s="5" t="s">
        <v>85</v>
      </c>
      <c r="AB316" s="5" t="s">
        <v>2469</v>
      </c>
      <c r="AC316" s="5" t="s">
        <v>312</v>
      </c>
      <c r="AD316" s="5" t="s">
        <v>86</v>
      </c>
      <c r="AF316" s="5">
        <v>23</v>
      </c>
      <c r="AG316" s="5">
        <v>7888</v>
      </c>
      <c r="AH316" s="5" t="s">
        <v>85</v>
      </c>
      <c r="AI316" s="5" t="s">
        <v>2485</v>
      </c>
      <c r="AJ316" s="5">
        <v>23</v>
      </c>
      <c r="AK316" s="5">
        <v>204</v>
      </c>
      <c r="AL316" s="5">
        <v>98</v>
      </c>
      <c r="AM316" s="5">
        <v>106</v>
      </c>
      <c r="AN316" s="5">
        <v>0</v>
      </c>
      <c r="AO316" s="5">
        <v>5</v>
      </c>
      <c r="AP316" s="5">
        <v>0</v>
      </c>
      <c r="AQ316" s="5">
        <v>18</v>
      </c>
      <c r="AR316" s="5" t="s">
        <v>2472</v>
      </c>
      <c r="AT316" s="5">
        <v>0</v>
      </c>
      <c r="AU316" s="5">
        <v>0</v>
      </c>
      <c r="AX316" s="5">
        <v>0</v>
      </c>
      <c r="AY316" s="5" t="s">
        <v>86</v>
      </c>
      <c r="BN316" s="5" t="s">
        <v>86</v>
      </c>
      <c r="CD316" s="5">
        <v>0</v>
      </c>
      <c r="CF316" s="1442" t="str">
        <f>IF([1]!sommaire[[#This Row],[présence des personnes déplacés interne]]="Oui","1","0")</f>
        <v>1</v>
      </c>
      <c r="CG316" s="1442" t="str">
        <f>IF([1]!sommaire[[#This Row],[présence Réfugié hors camp]]="Oui","1","0")</f>
        <v>0</v>
      </c>
      <c r="CH316" s="1442" t="str">
        <f>IF([1]!sommaire[[#This Row],[présence personnes retournées]]="Oui","1","0")</f>
        <v>0</v>
      </c>
      <c r="CI316" s="1442">
        <f>[1]!sommaire[[#This Row],[Flag PDI]]+[1]!sommaire[[#This Row],[Flag REF]]+[1]!sommaire[[#This Row],[Flag RET]]</f>
        <v>1</v>
      </c>
    </row>
    <row r="317" spans="1:87" ht="14.55" customHeight="1" x14ac:dyDescent="0.3">
      <c r="A317" s="390">
        <v>2620186</v>
      </c>
      <c r="B317" s="5" t="s">
        <v>533</v>
      </c>
      <c r="C317" s="1430" t="s">
        <v>3449</v>
      </c>
      <c r="D317" s="1090" t="s">
        <v>534</v>
      </c>
      <c r="E317" s="5" t="s">
        <v>31</v>
      </c>
      <c r="F317" s="5" t="s">
        <v>31</v>
      </c>
      <c r="G317" s="5" t="s">
        <v>549</v>
      </c>
      <c r="H317" s="5" t="s">
        <v>170</v>
      </c>
      <c r="I317" s="5" t="str">
        <f>_xlfn.XLOOKUP(sommaire[[#This Row],[Arrondissement_code]],OCHA_GIS!$F:$F,OCHA_GIS!$E:$E,,)</f>
        <v>Kousséri</v>
      </c>
      <c r="J317" s="5" t="s">
        <v>866</v>
      </c>
      <c r="K317" t="s">
        <v>2005</v>
      </c>
      <c r="L317" s="5" t="s">
        <v>1913</v>
      </c>
      <c r="N317" s="5" t="s">
        <v>3053</v>
      </c>
      <c r="O317" s="5" t="s">
        <v>2467</v>
      </c>
      <c r="P317" s="5" t="s">
        <v>85</v>
      </c>
      <c r="Q317" s="5" t="s">
        <v>86</v>
      </c>
      <c r="R317" s="5" t="s">
        <v>86</v>
      </c>
      <c r="T317" s="390">
        <v>3</v>
      </c>
      <c r="U317" s="5" t="s">
        <v>97</v>
      </c>
      <c r="W317" s="5" t="s">
        <v>2468</v>
      </c>
      <c r="X317" s="5" t="s">
        <v>102</v>
      </c>
      <c r="AA317" s="5" t="s">
        <v>85</v>
      </c>
      <c r="AB317" s="5" t="s">
        <v>2469</v>
      </c>
      <c r="AC317" s="5" t="s">
        <v>312</v>
      </c>
      <c r="AD317" s="1090" t="s">
        <v>86</v>
      </c>
      <c r="AF317" s="5">
        <v>10</v>
      </c>
      <c r="AG317" s="5">
        <v>3000</v>
      </c>
      <c r="AH317" s="5" t="s">
        <v>85</v>
      </c>
      <c r="AI317" s="5" t="s">
        <v>2471</v>
      </c>
      <c r="AJ317" s="5">
        <v>10</v>
      </c>
      <c r="AK317" s="5">
        <v>120</v>
      </c>
      <c r="AL317" s="5">
        <v>20</v>
      </c>
      <c r="AM317" s="5">
        <v>100</v>
      </c>
      <c r="AN317" s="5">
        <v>0</v>
      </c>
      <c r="AO317" s="5">
        <v>3</v>
      </c>
      <c r="AP317" s="5">
        <v>0</v>
      </c>
      <c r="AQ317" s="5">
        <v>7</v>
      </c>
      <c r="AR317" s="5" t="s">
        <v>2472</v>
      </c>
      <c r="AT317" s="5">
        <v>0</v>
      </c>
      <c r="AU317" s="5">
        <v>0</v>
      </c>
      <c r="AX317" s="5">
        <v>0</v>
      </c>
      <c r="AY317" s="5" t="s">
        <v>85</v>
      </c>
      <c r="AZ317" s="5">
        <v>7</v>
      </c>
      <c r="BA317" s="5">
        <v>80</v>
      </c>
      <c r="BB317" s="5">
        <v>20</v>
      </c>
      <c r="BC317" s="5">
        <v>60</v>
      </c>
      <c r="BD317" s="5">
        <v>2</v>
      </c>
      <c r="BE317" s="5">
        <v>0</v>
      </c>
      <c r="BF317" s="5">
        <v>5</v>
      </c>
      <c r="BG317" s="5" t="s">
        <v>2472</v>
      </c>
      <c r="BH317" s="5">
        <v>0</v>
      </c>
      <c r="BI317" s="5">
        <v>0</v>
      </c>
      <c r="BL317" s="5">
        <v>0</v>
      </c>
      <c r="BM317" s="5">
        <v>7</v>
      </c>
      <c r="BN317" s="5" t="s">
        <v>86</v>
      </c>
      <c r="CD317" s="5">
        <v>0</v>
      </c>
      <c r="CF317" s="1442" t="str">
        <f>IF([1]!sommaire[[#This Row],[présence des personnes déplacés interne]]="Oui","1","0")</f>
        <v>1</v>
      </c>
      <c r="CG317" s="1442" t="str">
        <f>IF([1]!sommaire[[#This Row],[présence Réfugié hors camp]]="Oui","1","0")</f>
        <v>1</v>
      </c>
      <c r="CH317" s="1442" t="str">
        <f>IF([1]!sommaire[[#This Row],[présence personnes retournées]]="Oui","1","0")</f>
        <v>0</v>
      </c>
      <c r="CI317" s="1442">
        <f>[1]!sommaire[[#This Row],[Flag PDI]]+[1]!sommaire[[#This Row],[Flag REF]]+[1]!sommaire[[#This Row],[Flag RET]]</f>
        <v>2</v>
      </c>
    </row>
    <row r="318" spans="1:87" ht="14.55" customHeight="1" x14ac:dyDescent="0.3">
      <c r="A318" s="390">
        <v>2656573</v>
      </c>
      <c r="B318" s="5" t="s">
        <v>533</v>
      </c>
      <c r="C318" s="1430" t="s">
        <v>3449</v>
      </c>
      <c r="D318" s="1090" t="s">
        <v>534</v>
      </c>
      <c r="E318" s="5" t="s">
        <v>31</v>
      </c>
      <c r="F318" s="5" t="s">
        <v>31</v>
      </c>
      <c r="G318" s="5" t="s">
        <v>549</v>
      </c>
      <c r="H318" s="5" t="s">
        <v>170</v>
      </c>
      <c r="I318" s="5" t="str">
        <f>_xlfn.XLOOKUP(sommaire[[#This Row],[Arrondissement_code]],OCHA_GIS!$F:$F,OCHA_GIS!$E:$E,,)</f>
        <v>Kousséri</v>
      </c>
      <c r="J318" s="5" t="s">
        <v>866</v>
      </c>
      <c r="K318" t="s">
        <v>1856</v>
      </c>
      <c r="L318" s="5" t="s">
        <v>2042</v>
      </c>
      <c r="N318" s="5" t="s">
        <v>3052</v>
      </c>
      <c r="O318" s="5" t="s">
        <v>2467</v>
      </c>
      <c r="P318" s="5" t="s">
        <v>85</v>
      </c>
      <c r="Q318" s="5" t="s">
        <v>86</v>
      </c>
      <c r="R318" s="5" t="s">
        <v>86</v>
      </c>
      <c r="T318" s="390">
        <v>4</v>
      </c>
      <c r="U318" s="5" t="s">
        <v>97</v>
      </c>
      <c r="W318" s="5" t="s">
        <v>2468</v>
      </c>
      <c r="X318" s="5" t="s">
        <v>103</v>
      </c>
      <c r="Y318" s="5" t="s">
        <v>2476</v>
      </c>
      <c r="AA318" s="5" t="s">
        <v>86</v>
      </c>
      <c r="AH318" s="1430" t="s">
        <v>86</v>
      </c>
      <c r="AY318" s="1430" t="s">
        <v>86</v>
      </c>
      <c r="BN318" s="1430" t="s">
        <v>86</v>
      </c>
      <c r="CF318" s="1442" t="str">
        <f>IF([1]!sommaire[[#This Row],[présence des personnes déplacés interne]]="Oui","1","0")</f>
        <v>0</v>
      </c>
      <c r="CG318" s="1442" t="str">
        <f>IF([1]!sommaire[[#This Row],[présence Réfugié hors camp]]="Oui","1","0")</f>
        <v>0</v>
      </c>
      <c r="CH318" s="1442" t="str">
        <f>IF([1]!sommaire[[#This Row],[présence personnes retournées]]="Oui","1","0")</f>
        <v>0</v>
      </c>
      <c r="CI318" s="1442">
        <f>[1]!sommaire[[#This Row],[Flag PDI]]+[1]!sommaire[[#This Row],[Flag REF]]+[1]!sommaire[[#This Row],[Flag RET]]</f>
        <v>0</v>
      </c>
    </row>
    <row r="319" spans="1:87" ht="14.55" customHeight="1" x14ac:dyDescent="0.3">
      <c r="A319" s="390">
        <v>2617955</v>
      </c>
      <c r="B319" s="5" t="s">
        <v>533</v>
      </c>
      <c r="C319" s="1430" t="s">
        <v>3449</v>
      </c>
      <c r="D319" s="1090" t="s">
        <v>534</v>
      </c>
      <c r="E319" s="5" t="s">
        <v>31</v>
      </c>
      <c r="F319" s="5" t="s">
        <v>31</v>
      </c>
      <c r="G319" s="5" t="s">
        <v>549</v>
      </c>
      <c r="H319" s="5" t="s">
        <v>170</v>
      </c>
      <c r="I319" s="5" t="str">
        <f>_xlfn.XLOOKUP(sommaire[[#This Row],[Arrondissement_code]],OCHA_GIS!$F:$F,OCHA_GIS!$E:$E,,)</f>
        <v>Kousséri</v>
      </c>
      <c r="J319" s="5" t="s">
        <v>866</v>
      </c>
      <c r="K319" t="s">
        <v>2985</v>
      </c>
      <c r="L319" s="5" t="s">
        <v>2125</v>
      </c>
      <c r="N319" s="5" t="s">
        <v>3053</v>
      </c>
      <c r="O319" s="5" t="s">
        <v>2467</v>
      </c>
      <c r="P319" s="5" t="s">
        <v>85</v>
      </c>
      <c r="Q319" s="5" t="s">
        <v>86</v>
      </c>
      <c r="R319" s="5" t="s">
        <v>86</v>
      </c>
      <c r="T319" s="390">
        <v>4</v>
      </c>
      <c r="U319" s="5" t="s">
        <v>97</v>
      </c>
      <c r="W319" s="5" t="s">
        <v>2468</v>
      </c>
      <c r="X319" s="5" t="s">
        <v>102</v>
      </c>
      <c r="AA319" s="5" t="s">
        <v>85</v>
      </c>
      <c r="AB319" s="5" t="s">
        <v>2469</v>
      </c>
      <c r="AC319" s="5" t="s">
        <v>2470</v>
      </c>
      <c r="AD319" s="5" t="s">
        <v>86</v>
      </c>
      <c r="AF319" s="5">
        <v>4</v>
      </c>
      <c r="AG319" s="5">
        <v>180</v>
      </c>
      <c r="AH319" s="5" t="s">
        <v>85</v>
      </c>
      <c r="AI319" s="5" t="s">
        <v>2485</v>
      </c>
      <c r="AJ319" s="5">
        <v>4</v>
      </c>
      <c r="AK319" s="5">
        <v>20</v>
      </c>
      <c r="AL319" s="5">
        <v>7</v>
      </c>
      <c r="AM319" s="5">
        <v>13</v>
      </c>
      <c r="AN319" s="5">
        <v>0</v>
      </c>
      <c r="AO319" s="5">
        <v>4</v>
      </c>
      <c r="AP319" s="5">
        <v>0</v>
      </c>
      <c r="AQ319" s="5">
        <v>0</v>
      </c>
      <c r="AT319" s="5">
        <v>0</v>
      </c>
      <c r="AU319" s="5">
        <v>0</v>
      </c>
      <c r="AX319" s="5">
        <v>0</v>
      </c>
      <c r="AY319" s="5" t="s">
        <v>86</v>
      </c>
      <c r="BN319" s="5" t="s">
        <v>86</v>
      </c>
      <c r="CD319" s="5">
        <v>0</v>
      </c>
      <c r="CF319" s="1442" t="str">
        <f>IF([1]!sommaire[[#This Row],[présence des personnes déplacés interne]]="Oui","1","0")</f>
        <v>1</v>
      </c>
      <c r="CG319" s="1442" t="str">
        <f>IF([1]!sommaire[[#This Row],[présence Réfugié hors camp]]="Oui","1","0")</f>
        <v>0</v>
      </c>
      <c r="CH319" s="1442" t="str">
        <f>IF([1]!sommaire[[#This Row],[présence personnes retournées]]="Oui","1","0")</f>
        <v>0</v>
      </c>
      <c r="CI319" s="1442">
        <f>[1]!sommaire[[#This Row],[Flag PDI]]+[1]!sommaire[[#This Row],[Flag REF]]+[1]!sommaire[[#This Row],[Flag RET]]</f>
        <v>1</v>
      </c>
    </row>
    <row r="320" spans="1:87" ht="14.55" customHeight="1" x14ac:dyDescent="0.3">
      <c r="A320" s="390">
        <v>2722416</v>
      </c>
      <c r="B320" s="5" t="s">
        <v>533</v>
      </c>
      <c r="C320" s="1430" t="s">
        <v>3449</v>
      </c>
      <c r="D320" s="1090" t="s">
        <v>534</v>
      </c>
      <c r="E320" s="5" t="s">
        <v>31</v>
      </c>
      <c r="F320" s="5" t="s">
        <v>31</v>
      </c>
      <c r="G320" s="5" t="s">
        <v>549</v>
      </c>
      <c r="H320" s="5" t="s">
        <v>170</v>
      </c>
      <c r="I320" s="5" t="str">
        <f>_xlfn.XLOOKUP(sommaire[[#This Row],[Arrondissement_code]],OCHA_GIS!$F:$F,OCHA_GIS!$E:$E,,)</f>
        <v>Kousséri</v>
      </c>
      <c r="J320" s="5" t="s">
        <v>866</v>
      </c>
      <c r="K320" t="s">
        <v>2173</v>
      </c>
      <c r="L320" s="5" t="s">
        <v>939</v>
      </c>
      <c r="N320" s="5" t="s">
        <v>3052</v>
      </c>
      <c r="O320" s="5" t="s">
        <v>2467</v>
      </c>
      <c r="P320" s="5" t="s">
        <v>85</v>
      </c>
      <c r="Q320" s="5" t="s">
        <v>86</v>
      </c>
      <c r="R320" s="5" t="s">
        <v>85</v>
      </c>
      <c r="T320" s="390">
        <v>3</v>
      </c>
      <c r="U320" s="5" t="s">
        <v>97</v>
      </c>
      <c r="W320" s="5" t="s">
        <v>2468</v>
      </c>
      <c r="X320" s="5" t="s">
        <v>102</v>
      </c>
      <c r="AA320" s="5" t="s">
        <v>85</v>
      </c>
      <c r="AB320" s="5" t="s">
        <v>2469</v>
      </c>
      <c r="AC320" s="5" t="s">
        <v>2470</v>
      </c>
      <c r="AD320" s="5" t="s">
        <v>86</v>
      </c>
      <c r="AF320" s="5">
        <v>35</v>
      </c>
      <c r="AG320" s="5">
        <v>6777</v>
      </c>
      <c r="AH320" s="5" t="s">
        <v>85</v>
      </c>
      <c r="AI320" s="5" t="s">
        <v>2471</v>
      </c>
      <c r="AJ320" s="5">
        <v>35</v>
      </c>
      <c r="AK320" s="5">
        <v>105</v>
      </c>
      <c r="AL320" s="5">
        <v>40</v>
      </c>
      <c r="AM320" s="5">
        <v>65</v>
      </c>
      <c r="AN320" s="5">
        <v>0</v>
      </c>
      <c r="AO320" s="5">
        <v>5</v>
      </c>
      <c r="AP320" s="5">
        <v>0</v>
      </c>
      <c r="AQ320" s="5">
        <v>30</v>
      </c>
      <c r="AR320" s="5" t="s">
        <v>2477</v>
      </c>
      <c r="AT320" s="5">
        <v>0</v>
      </c>
      <c r="AU320" s="5">
        <v>0</v>
      </c>
      <c r="AX320" s="5">
        <v>0</v>
      </c>
      <c r="AY320" s="5" t="s">
        <v>86</v>
      </c>
      <c r="BN320" s="5" t="s">
        <v>86</v>
      </c>
      <c r="CD320" s="5">
        <v>0</v>
      </c>
      <c r="CF320" s="1442" t="str">
        <f>IF([1]!sommaire[[#This Row],[présence des personnes déplacés interne]]="Oui","1","0")</f>
        <v>1</v>
      </c>
      <c r="CG320" s="1442" t="str">
        <f>IF([1]!sommaire[[#This Row],[présence Réfugié hors camp]]="Oui","1","0")</f>
        <v>0</v>
      </c>
      <c r="CH320" s="1442" t="str">
        <f>IF([1]!sommaire[[#This Row],[présence personnes retournées]]="Oui","1","0")</f>
        <v>0</v>
      </c>
      <c r="CI320" s="1442">
        <f>[1]!sommaire[[#This Row],[Flag PDI]]+[1]!sommaire[[#This Row],[Flag REF]]+[1]!sommaire[[#This Row],[Flag RET]]</f>
        <v>1</v>
      </c>
    </row>
    <row r="321" spans="1:87" ht="14.55" customHeight="1" x14ac:dyDescent="0.3">
      <c r="A321" s="390">
        <v>2656653</v>
      </c>
      <c r="B321" s="5" t="s">
        <v>533</v>
      </c>
      <c r="C321" s="1430" t="s">
        <v>3449</v>
      </c>
      <c r="D321" s="1090" t="s">
        <v>534</v>
      </c>
      <c r="E321" s="5" t="s">
        <v>31</v>
      </c>
      <c r="F321" s="5" t="s">
        <v>31</v>
      </c>
      <c r="G321" s="5" t="s">
        <v>549</v>
      </c>
      <c r="H321" s="5" t="s">
        <v>170</v>
      </c>
      <c r="I321" s="5" t="str">
        <f>_xlfn.XLOOKUP(sommaire[[#This Row],[Arrondissement_code]],OCHA_GIS!$F:$F,OCHA_GIS!$E:$E,,)</f>
        <v>Kousséri</v>
      </c>
      <c r="J321" s="5" t="s">
        <v>866</v>
      </c>
      <c r="K321" t="s">
        <v>2997</v>
      </c>
      <c r="L321" s="5" t="s">
        <v>1238</v>
      </c>
      <c r="N321" s="5" t="s">
        <v>3053</v>
      </c>
      <c r="O321" s="5" t="s">
        <v>2467</v>
      </c>
      <c r="P321" s="5" t="s">
        <v>85</v>
      </c>
      <c r="Q321" s="5" t="s">
        <v>86</v>
      </c>
      <c r="R321" s="5" t="s">
        <v>86</v>
      </c>
      <c r="T321" s="390">
        <v>3</v>
      </c>
      <c r="U321" s="5" t="s">
        <v>97</v>
      </c>
      <c r="W321" s="5" t="s">
        <v>2468</v>
      </c>
      <c r="X321" s="5" t="s">
        <v>102</v>
      </c>
      <c r="AA321" s="5" t="s">
        <v>85</v>
      </c>
      <c r="AB321" s="5" t="s">
        <v>2469</v>
      </c>
      <c r="AC321" s="5" t="s">
        <v>312</v>
      </c>
      <c r="AD321" s="5" t="s">
        <v>86</v>
      </c>
      <c r="AF321" s="5">
        <v>3</v>
      </c>
      <c r="AG321" s="5">
        <v>6000</v>
      </c>
      <c r="AH321" s="5" t="s">
        <v>85</v>
      </c>
      <c r="AI321" s="5" t="s">
        <v>2471</v>
      </c>
      <c r="AJ321" s="5">
        <v>3</v>
      </c>
      <c r="AK321" s="5">
        <v>15</v>
      </c>
      <c r="AL321" s="5">
        <v>5</v>
      </c>
      <c r="AM321" s="5">
        <v>10</v>
      </c>
      <c r="AN321" s="5">
        <v>0</v>
      </c>
      <c r="AO321" s="5">
        <v>1</v>
      </c>
      <c r="AP321" s="5">
        <v>0</v>
      </c>
      <c r="AQ321" s="5">
        <v>2</v>
      </c>
      <c r="AR321" s="5" t="s">
        <v>2477</v>
      </c>
      <c r="AT321" s="5">
        <v>0</v>
      </c>
      <c r="AU321" s="5">
        <v>0</v>
      </c>
      <c r="AX321" s="5">
        <v>0</v>
      </c>
      <c r="AY321" s="5" t="s">
        <v>86</v>
      </c>
      <c r="BN321" s="5" t="s">
        <v>86</v>
      </c>
      <c r="CD321" s="5">
        <v>0</v>
      </c>
      <c r="CF321" s="1442" t="str">
        <f>IF([1]!sommaire[[#This Row],[présence des personnes déplacés interne]]="Oui","1","0")</f>
        <v>1</v>
      </c>
      <c r="CG321" s="1442" t="str">
        <f>IF([1]!sommaire[[#This Row],[présence Réfugié hors camp]]="Oui","1","0")</f>
        <v>0</v>
      </c>
      <c r="CH321" s="1442" t="str">
        <f>IF([1]!sommaire[[#This Row],[présence personnes retournées]]="Oui","1","0")</f>
        <v>0</v>
      </c>
      <c r="CI321" s="1442">
        <f>[1]!sommaire[[#This Row],[Flag PDI]]+[1]!sommaire[[#This Row],[Flag REF]]+[1]!sommaire[[#This Row],[Flag RET]]</f>
        <v>1</v>
      </c>
    </row>
    <row r="322" spans="1:87" ht="14.55" customHeight="1" x14ac:dyDescent="0.3">
      <c r="A322" s="1091">
        <v>2620246</v>
      </c>
      <c r="B322" s="5" t="s">
        <v>533</v>
      </c>
      <c r="C322" s="1430" t="s">
        <v>3449</v>
      </c>
      <c r="D322" s="1090" t="s">
        <v>534</v>
      </c>
      <c r="E322" s="5" t="s">
        <v>31</v>
      </c>
      <c r="F322" s="5" t="s">
        <v>31</v>
      </c>
      <c r="G322" s="5" t="s">
        <v>549</v>
      </c>
      <c r="H322" s="5" t="s">
        <v>170</v>
      </c>
      <c r="I322" s="5" t="str">
        <f>_xlfn.XLOOKUP(sommaire[[#This Row],[Arrondissement_code]],OCHA_GIS!$F:$F,OCHA_GIS!$E:$E,,)</f>
        <v>Kousséri</v>
      </c>
      <c r="J322" s="5" t="s">
        <v>866</v>
      </c>
      <c r="K322" t="s">
        <v>1912</v>
      </c>
      <c r="L322" s="5" t="s">
        <v>2098</v>
      </c>
      <c r="N322" s="5" t="s">
        <v>3053</v>
      </c>
      <c r="O322" s="5" t="s">
        <v>2467</v>
      </c>
      <c r="P322" s="5" t="s">
        <v>85</v>
      </c>
      <c r="Q322" s="5" t="s">
        <v>86</v>
      </c>
      <c r="R322" s="5" t="s">
        <v>86</v>
      </c>
      <c r="T322" s="390">
        <v>4</v>
      </c>
      <c r="U322" s="5" t="s">
        <v>97</v>
      </c>
      <c r="W322" s="5" t="s">
        <v>2468</v>
      </c>
      <c r="X322" s="1090" t="s">
        <v>102</v>
      </c>
      <c r="AA322" s="1090" t="s">
        <v>85</v>
      </c>
      <c r="AB322" s="5" t="s">
        <v>2469</v>
      </c>
      <c r="AC322" s="5" t="s">
        <v>312</v>
      </c>
      <c r="AD322" s="5" t="s">
        <v>86</v>
      </c>
      <c r="AF322" s="5">
        <v>21</v>
      </c>
      <c r="AG322" s="5">
        <v>1000</v>
      </c>
      <c r="AH322" s="5" t="s">
        <v>85</v>
      </c>
      <c r="AI322" s="5" t="s">
        <v>2471</v>
      </c>
      <c r="AJ322" s="5">
        <v>21</v>
      </c>
      <c r="AK322" s="5">
        <v>78</v>
      </c>
      <c r="AL322" s="5">
        <v>25</v>
      </c>
      <c r="AM322" s="5">
        <v>53</v>
      </c>
      <c r="AN322" s="5">
        <v>0</v>
      </c>
      <c r="AO322" s="5">
        <v>21</v>
      </c>
      <c r="AP322" s="5">
        <v>0</v>
      </c>
      <c r="AQ322" s="5">
        <v>0</v>
      </c>
      <c r="AT322" s="5">
        <v>0</v>
      </c>
      <c r="AU322" s="5">
        <v>0</v>
      </c>
      <c r="AX322" s="5">
        <v>0</v>
      </c>
      <c r="AY322" s="1090" t="s">
        <v>86</v>
      </c>
      <c r="BN322" s="1090" t="s">
        <v>86</v>
      </c>
      <c r="CD322" s="5">
        <v>0</v>
      </c>
      <c r="CE322" s="1090"/>
      <c r="CF322" s="1442" t="str">
        <f>IF([1]!sommaire[[#This Row],[présence des personnes déplacés interne]]="Oui","1","0")</f>
        <v>1</v>
      </c>
      <c r="CG322" s="1442" t="str">
        <f>IF([1]!sommaire[[#This Row],[présence Réfugié hors camp]]="Oui","1","0")</f>
        <v>0</v>
      </c>
      <c r="CH322" s="1442" t="str">
        <f>IF([1]!sommaire[[#This Row],[présence personnes retournées]]="Oui","1","0")</f>
        <v>0</v>
      </c>
      <c r="CI322" s="1442">
        <f>[1]!sommaire[[#This Row],[Flag PDI]]+[1]!sommaire[[#This Row],[Flag REF]]+[1]!sommaire[[#This Row],[Flag RET]]</f>
        <v>1</v>
      </c>
    </row>
    <row r="323" spans="1:87" ht="14.55" customHeight="1" x14ac:dyDescent="0.3">
      <c r="A323" s="390">
        <v>2619938</v>
      </c>
      <c r="B323" s="5" t="s">
        <v>533</v>
      </c>
      <c r="C323" s="1430" t="s">
        <v>3449</v>
      </c>
      <c r="D323" s="1090" t="s">
        <v>534</v>
      </c>
      <c r="E323" s="5" t="s">
        <v>31</v>
      </c>
      <c r="F323" s="5" t="s">
        <v>31</v>
      </c>
      <c r="G323" s="5" t="s">
        <v>549</v>
      </c>
      <c r="H323" s="5" t="s">
        <v>170</v>
      </c>
      <c r="I323" s="5" t="str">
        <f>_xlfn.XLOOKUP(sommaire[[#This Row],[Arrondissement_code]],OCHA_GIS!$F:$F,OCHA_GIS!$E:$E,,)</f>
        <v>Kousséri</v>
      </c>
      <c r="J323" s="5" t="s">
        <v>866</v>
      </c>
      <c r="K323" t="s">
        <v>2041</v>
      </c>
      <c r="L323" s="5" t="s">
        <v>1956</v>
      </c>
      <c r="N323" s="5" t="s">
        <v>3053</v>
      </c>
      <c r="O323" s="5" t="s">
        <v>2467</v>
      </c>
      <c r="P323" s="5" t="s">
        <v>85</v>
      </c>
      <c r="Q323" s="5" t="s">
        <v>86</v>
      </c>
      <c r="R323" s="5" t="s">
        <v>86</v>
      </c>
      <c r="T323" s="390">
        <v>4</v>
      </c>
      <c r="U323" s="5" t="s">
        <v>97</v>
      </c>
      <c r="W323" s="5" t="s">
        <v>2468</v>
      </c>
      <c r="X323" s="5" t="s">
        <v>103</v>
      </c>
      <c r="Y323" s="5" t="s">
        <v>383</v>
      </c>
      <c r="Z323" s="5" t="s">
        <v>3232</v>
      </c>
      <c r="AA323" s="586" t="s">
        <v>85</v>
      </c>
      <c r="AB323" s="5" t="s">
        <v>2469</v>
      </c>
      <c r="AC323" s="5" t="s">
        <v>2470</v>
      </c>
      <c r="AD323" s="5" t="s">
        <v>86</v>
      </c>
      <c r="AF323" s="5">
        <v>6</v>
      </c>
      <c r="AG323" s="5">
        <v>1250</v>
      </c>
      <c r="AH323" s="5" t="s">
        <v>85</v>
      </c>
      <c r="AI323" s="5" t="s">
        <v>2471</v>
      </c>
      <c r="AJ323" s="5">
        <v>6</v>
      </c>
      <c r="AK323" s="5">
        <v>50</v>
      </c>
      <c r="AL323" s="5">
        <v>20</v>
      </c>
      <c r="AM323" s="5">
        <v>30</v>
      </c>
      <c r="AN323" s="5">
        <v>0</v>
      </c>
      <c r="AO323" s="5">
        <v>6</v>
      </c>
      <c r="AP323" s="5">
        <v>0</v>
      </c>
      <c r="AQ323" s="5">
        <v>0</v>
      </c>
      <c r="AT323" s="5">
        <v>0</v>
      </c>
      <c r="AU323" s="5">
        <v>0</v>
      </c>
      <c r="AX323" s="5">
        <v>0</v>
      </c>
      <c r="AY323" s="5" t="s">
        <v>86</v>
      </c>
      <c r="BN323" s="5" t="s">
        <v>85</v>
      </c>
      <c r="BO323" s="5">
        <v>6</v>
      </c>
      <c r="BP323" s="5">
        <v>54</v>
      </c>
      <c r="BQ323" s="5">
        <v>20</v>
      </c>
      <c r="BR323" s="5">
        <v>34</v>
      </c>
      <c r="BS323" s="5" t="s">
        <v>2492</v>
      </c>
      <c r="BT323" s="5">
        <v>0</v>
      </c>
      <c r="BU323" s="5">
        <v>6</v>
      </c>
      <c r="BV323" s="5">
        <v>0</v>
      </c>
      <c r="BW323" s="5">
        <v>0</v>
      </c>
      <c r="BX323" s="5">
        <v>0</v>
      </c>
      <c r="BZ323" s="5">
        <v>0</v>
      </c>
      <c r="CA323" s="5">
        <v>0</v>
      </c>
      <c r="CC323" s="5">
        <v>0</v>
      </c>
      <c r="CD323" s="5">
        <v>0</v>
      </c>
      <c r="CF323" s="1442" t="str">
        <f>IF([1]!sommaire[[#This Row],[présence des personnes déplacés interne]]="Oui","1","0")</f>
        <v>1</v>
      </c>
      <c r="CG323" s="1442" t="str">
        <f>IF([1]!sommaire[[#This Row],[présence Réfugié hors camp]]="Oui","1","0")</f>
        <v>0</v>
      </c>
      <c r="CH323" s="1442" t="str">
        <f>IF([1]!sommaire[[#This Row],[présence personnes retournées]]="Oui","1","0")</f>
        <v>1</v>
      </c>
      <c r="CI323" s="1442">
        <f>[1]!sommaire[[#This Row],[Flag PDI]]+[1]!sommaire[[#This Row],[Flag REF]]+[1]!sommaire[[#This Row],[Flag RET]]</f>
        <v>2</v>
      </c>
    </row>
    <row r="324" spans="1:87" ht="14.55" customHeight="1" x14ac:dyDescent="0.3">
      <c r="A324" s="390">
        <v>2678351</v>
      </c>
      <c r="B324" s="5" t="s">
        <v>533</v>
      </c>
      <c r="C324" s="1430" t="s">
        <v>3449</v>
      </c>
      <c r="D324" s="5" t="s">
        <v>534</v>
      </c>
      <c r="E324" s="5" t="s">
        <v>31</v>
      </c>
      <c r="F324" s="5" t="s">
        <v>31</v>
      </c>
      <c r="G324" s="5" t="s">
        <v>549</v>
      </c>
      <c r="H324" s="5" t="s">
        <v>170</v>
      </c>
      <c r="I324" s="5" t="str">
        <f>_xlfn.XLOOKUP(sommaire[[#This Row],[Arrondissement_code]],OCHA_GIS!$F:$F,OCHA_GIS!$E:$E,,)</f>
        <v>Kousséri</v>
      </c>
      <c r="J324" s="5" t="s">
        <v>866</v>
      </c>
      <c r="K324" t="s">
        <v>938</v>
      </c>
      <c r="L324" s="5" t="s">
        <v>1110</v>
      </c>
      <c r="N324" s="5" t="s">
        <v>3053</v>
      </c>
      <c r="O324" s="5" t="s">
        <v>2467</v>
      </c>
      <c r="P324" s="5" t="s">
        <v>85</v>
      </c>
      <c r="Q324" s="5" t="s">
        <v>86</v>
      </c>
      <c r="R324" s="5" t="s">
        <v>86</v>
      </c>
      <c r="T324" s="1190">
        <v>3</v>
      </c>
      <c r="U324" s="5" t="s">
        <v>97</v>
      </c>
      <c r="W324" s="5" t="s">
        <v>2468</v>
      </c>
      <c r="X324" s="5" t="s">
        <v>102</v>
      </c>
      <c r="AA324" s="5" t="s">
        <v>85</v>
      </c>
      <c r="AB324" s="5" t="s">
        <v>2469</v>
      </c>
      <c r="AC324" s="5" t="s">
        <v>312</v>
      </c>
      <c r="AD324" s="5" t="s">
        <v>86</v>
      </c>
      <c r="AF324" s="5">
        <v>5</v>
      </c>
      <c r="AG324" s="5">
        <v>2050</v>
      </c>
      <c r="AH324" s="5" t="s">
        <v>85</v>
      </c>
      <c r="AI324" s="5" t="s">
        <v>2471</v>
      </c>
      <c r="AJ324" s="5">
        <v>5</v>
      </c>
      <c r="AK324" s="5">
        <v>20</v>
      </c>
      <c r="AL324" s="5">
        <v>5</v>
      </c>
      <c r="AM324" s="5">
        <v>15</v>
      </c>
      <c r="AN324" s="5">
        <v>0</v>
      </c>
      <c r="AO324" s="5">
        <v>1</v>
      </c>
      <c r="AP324" s="5">
        <v>0</v>
      </c>
      <c r="AQ324" s="5">
        <v>4</v>
      </c>
      <c r="AR324" s="5" t="s">
        <v>2477</v>
      </c>
      <c r="AT324" s="5">
        <v>0</v>
      </c>
      <c r="AU324" s="5">
        <v>0</v>
      </c>
      <c r="AX324" s="5">
        <v>0</v>
      </c>
      <c r="AY324" s="5" t="s">
        <v>85</v>
      </c>
      <c r="AZ324" s="5">
        <v>3</v>
      </c>
      <c r="BA324" s="5">
        <v>20</v>
      </c>
      <c r="BB324" s="5">
        <v>5</v>
      </c>
      <c r="BC324" s="5">
        <v>15</v>
      </c>
      <c r="BD324" s="5">
        <v>2</v>
      </c>
      <c r="BE324" s="5">
        <v>0</v>
      </c>
      <c r="BF324" s="5">
        <v>1</v>
      </c>
      <c r="BG324" s="5" t="s">
        <v>2477</v>
      </c>
      <c r="BH324" s="5">
        <v>0</v>
      </c>
      <c r="BI324" s="5">
        <v>0</v>
      </c>
      <c r="BL324" s="5">
        <v>0</v>
      </c>
      <c r="BM324" s="5">
        <v>3</v>
      </c>
      <c r="BN324" s="5" t="s">
        <v>86</v>
      </c>
      <c r="CD324" s="5">
        <v>0</v>
      </c>
      <c r="CF324" s="1442" t="str">
        <f>IF([1]!sommaire[[#This Row],[présence des personnes déplacés interne]]="Oui","1","0")</f>
        <v>1</v>
      </c>
      <c r="CG324" s="1442" t="str">
        <f>IF([1]!sommaire[[#This Row],[présence Réfugié hors camp]]="Oui","1","0")</f>
        <v>1</v>
      </c>
      <c r="CH324" s="1442" t="str">
        <f>IF([1]!sommaire[[#This Row],[présence personnes retournées]]="Oui","1","0")</f>
        <v>0</v>
      </c>
      <c r="CI324" s="1442">
        <f>[1]!sommaire[[#This Row],[Flag PDI]]+[1]!sommaire[[#This Row],[Flag REF]]+[1]!sommaire[[#This Row],[Flag RET]]</f>
        <v>2</v>
      </c>
    </row>
    <row r="325" spans="1:87" ht="14.55" customHeight="1" x14ac:dyDescent="0.3">
      <c r="A325" s="390">
        <v>2617956</v>
      </c>
      <c r="B325" s="5" t="s">
        <v>533</v>
      </c>
      <c r="C325" s="1430" t="s">
        <v>3449</v>
      </c>
      <c r="D325" s="5" t="s">
        <v>534</v>
      </c>
      <c r="E325" s="5" t="s">
        <v>31</v>
      </c>
      <c r="F325" s="5" t="s">
        <v>31</v>
      </c>
      <c r="G325" s="5" t="s">
        <v>549</v>
      </c>
      <c r="H325" s="5" t="s">
        <v>170</v>
      </c>
      <c r="I325" s="5" t="str">
        <f>_xlfn.XLOOKUP(sommaire[[#This Row],[Arrondissement_code]],OCHA_GIS!$F:$F,OCHA_GIS!$E:$E,,)</f>
        <v>Kousséri</v>
      </c>
      <c r="J325" s="5" t="s">
        <v>866</v>
      </c>
      <c r="K325" t="s">
        <v>1576</v>
      </c>
      <c r="L325" s="5" t="s">
        <v>2126</v>
      </c>
      <c r="N325" s="5" t="s">
        <v>3053</v>
      </c>
      <c r="O325" s="5" t="s">
        <v>2467</v>
      </c>
      <c r="P325" s="5" t="s">
        <v>85</v>
      </c>
      <c r="Q325" s="5" t="s">
        <v>86</v>
      </c>
      <c r="R325" s="5" t="s">
        <v>86</v>
      </c>
      <c r="T325" s="390">
        <v>3</v>
      </c>
      <c r="U325" s="5" t="s">
        <v>97</v>
      </c>
      <c r="W325" s="5" t="s">
        <v>2468</v>
      </c>
      <c r="X325" s="5" t="s">
        <v>102</v>
      </c>
      <c r="AA325" s="5" t="s">
        <v>85</v>
      </c>
      <c r="AB325" s="5" t="s">
        <v>2469</v>
      </c>
      <c r="AC325" s="5" t="s">
        <v>2470</v>
      </c>
      <c r="AD325" s="5" t="s">
        <v>86</v>
      </c>
      <c r="AF325" s="5">
        <v>16</v>
      </c>
      <c r="AG325" s="5">
        <v>300</v>
      </c>
      <c r="AH325" s="5" t="s">
        <v>85</v>
      </c>
      <c r="AI325" s="5" t="s">
        <v>2471</v>
      </c>
      <c r="AJ325" s="5">
        <v>16</v>
      </c>
      <c r="AK325" s="5">
        <v>100</v>
      </c>
      <c r="AL325" s="5">
        <v>40</v>
      </c>
      <c r="AM325" s="5">
        <v>60</v>
      </c>
      <c r="AN325" s="5">
        <v>0</v>
      </c>
      <c r="AO325" s="5">
        <v>16</v>
      </c>
      <c r="AP325" s="5">
        <v>0</v>
      </c>
      <c r="AQ325" s="5">
        <v>0</v>
      </c>
      <c r="AT325" s="5">
        <v>0</v>
      </c>
      <c r="AU325" s="5">
        <v>0</v>
      </c>
      <c r="AX325" s="5">
        <v>0</v>
      </c>
      <c r="AY325" s="5" t="s">
        <v>86</v>
      </c>
      <c r="BN325" s="5" t="s">
        <v>86</v>
      </c>
      <c r="CD325" s="5">
        <v>0</v>
      </c>
      <c r="CF325" s="1442" t="str">
        <f>IF([1]!sommaire[[#This Row],[présence des personnes déplacés interne]]="Oui","1","0")</f>
        <v>1</v>
      </c>
      <c r="CG325" s="1442" t="str">
        <f>IF([1]!sommaire[[#This Row],[présence Réfugié hors camp]]="Oui","1","0")</f>
        <v>0</v>
      </c>
      <c r="CH325" s="1442" t="str">
        <f>IF([1]!sommaire[[#This Row],[présence personnes retournées]]="Oui","1","0")</f>
        <v>0</v>
      </c>
      <c r="CI325" s="1442">
        <f>[1]!sommaire[[#This Row],[Flag PDI]]+[1]!sommaire[[#This Row],[Flag REF]]+[1]!sommaire[[#This Row],[Flag RET]]</f>
        <v>1</v>
      </c>
    </row>
    <row r="326" spans="1:87" ht="14.55" customHeight="1" x14ac:dyDescent="0.3">
      <c r="A326" s="390">
        <v>2797717</v>
      </c>
      <c r="B326" s="5" t="s">
        <v>533</v>
      </c>
      <c r="C326" s="1430" t="s">
        <v>3449</v>
      </c>
      <c r="D326" s="5" t="s">
        <v>534</v>
      </c>
      <c r="E326" s="5" t="s">
        <v>31</v>
      </c>
      <c r="F326" s="5" t="s">
        <v>31</v>
      </c>
      <c r="G326" s="5" t="s">
        <v>549</v>
      </c>
      <c r="H326" s="5" t="s">
        <v>170</v>
      </c>
      <c r="I326" s="5" t="str">
        <f>_xlfn.XLOOKUP(sommaire[[#This Row],[Arrondissement_code]],OCHA_GIS!$F:$F,OCHA_GIS!$E:$E,,)</f>
        <v>Kousséri</v>
      </c>
      <c r="J326" s="5" t="s">
        <v>866</v>
      </c>
      <c r="K326" t="s">
        <v>1237</v>
      </c>
      <c r="L326" s="5" t="s">
        <v>941</v>
      </c>
      <c r="N326" s="5" t="s">
        <v>3053</v>
      </c>
      <c r="O326" s="5" t="s">
        <v>2467</v>
      </c>
      <c r="P326" s="5" t="s">
        <v>85</v>
      </c>
      <c r="Q326" s="5" t="s">
        <v>86</v>
      </c>
      <c r="R326" s="5" t="s">
        <v>86</v>
      </c>
      <c r="T326" s="390">
        <v>3</v>
      </c>
      <c r="U326" s="5" t="s">
        <v>97</v>
      </c>
      <c r="W326" s="5" t="s">
        <v>2468</v>
      </c>
      <c r="X326" s="5" t="s">
        <v>102</v>
      </c>
      <c r="AA326" s="5" t="s">
        <v>86</v>
      </c>
      <c r="AH326" s="1430" t="s">
        <v>86</v>
      </c>
      <c r="AY326" s="1430" t="s">
        <v>86</v>
      </c>
      <c r="BN326" s="1430" t="s">
        <v>86</v>
      </c>
      <c r="CF326" s="1442" t="str">
        <f>IF([1]!sommaire[[#This Row],[présence des personnes déplacés interne]]="Oui","1","0")</f>
        <v>0</v>
      </c>
      <c r="CG326" s="1442" t="str">
        <f>IF([1]!sommaire[[#This Row],[présence Réfugié hors camp]]="Oui","1","0")</f>
        <v>0</v>
      </c>
      <c r="CH326" s="1442" t="str">
        <f>IF([1]!sommaire[[#This Row],[présence personnes retournées]]="Oui","1","0")</f>
        <v>0</v>
      </c>
      <c r="CI326" s="1442">
        <f>[1]!sommaire[[#This Row],[Flag PDI]]+[1]!sommaire[[#This Row],[Flag REF]]+[1]!sommaire[[#This Row],[Flag RET]]</f>
        <v>0</v>
      </c>
    </row>
    <row r="327" spans="1:87" ht="14.55" customHeight="1" x14ac:dyDescent="0.3">
      <c r="A327" s="390">
        <v>2619957</v>
      </c>
      <c r="B327" s="5" t="s">
        <v>533</v>
      </c>
      <c r="C327" s="1430" t="s">
        <v>3449</v>
      </c>
      <c r="D327" s="1090" t="s">
        <v>534</v>
      </c>
      <c r="E327" s="5" t="s">
        <v>31</v>
      </c>
      <c r="F327" s="5" t="s">
        <v>31</v>
      </c>
      <c r="G327" s="5" t="s">
        <v>549</v>
      </c>
      <c r="H327" s="5" t="s">
        <v>169</v>
      </c>
      <c r="I327" s="5" t="str">
        <f>_xlfn.XLOOKUP(sommaire[[#This Row],[Arrondissement_code]],OCHA_GIS!$F:$F,OCHA_GIS!$E:$E,,)</f>
        <v>Logone-Birni</v>
      </c>
      <c r="J327" s="5" t="s">
        <v>673</v>
      </c>
      <c r="K327" t="s">
        <v>550</v>
      </c>
      <c r="L327" s="5" t="s">
        <v>3122</v>
      </c>
      <c r="M327" s="5" t="s">
        <v>3122</v>
      </c>
      <c r="N327" s="5" t="s">
        <v>3053</v>
      </c>
      <c r="O327" s="5" t="s">
        <v>2467</v>
      </c>
      <c r="P327" s="5" t="s">
        <v>86</v>
      </c>
      <c r="Q327" s="5" t="s">
        <v>85</v>
      </c>
      <c r="R327" s="5" t="s">
        <v>85</v>
      </c>
      <c r="S327" s="390">
        <v>11</v>
      </c>
      <c r="U327" s="5" t="s">
        <v>97</v>
      </c>
      <c r="W327" s="5" t="s">
        <v>2468</v>
      </c>
      <c r="X327" s="5" t="s">
        <v>102</v>
      </c>
      <c r="AA327" s="5" t="s">
        <v>85</v>
      </c>
      <c r="AB327" s="5" t="s">
        <v>2473</v>
      </c>
      <c r="AC327" s="5" t="s">
        <v>2470</v>
      </c>
      <c r="AD327" s="1090" t="s">
        <v>86</v>
      </c>
      <c r="AG327" s="5">
        <v>350</v>
      </c>
      <c r="AH327" s="5" t="s">
        <v>86</v>
      </c>
      <c r="AY327" s="5" t="s">
        <v>85</v>
      </c>
      <c r="AZ327" s="5">
        <v>50</v>
      </c>
      <c r="BA327" s="5">
        <v>350</v>
      </c>
      <c r="BB327" s="5">
        <v>150</v>
      </c>
      <c r="BC327" s="5">
        <v>200</v>
      </c>
      <c r="BD327" s="5">
        <v>0</v>
      </c>
      <c r="BE327" s="5">
        <v>0</v>
      </c>
      <c r="BF327" s="5">
        <v>0</v>
      </c>
      <c r="BH327" s="5">
        <v>0</v>
      </c>
      <c r="BI327" s="5">
        <v>50</v>
      </c>
      <c r="BJ327" s="5" t="s">
        <v>2475</v>
      </c>
      <c r="BL327" s="5">
        <v>0</v>
      </c>
      <c r="BM327" s="5">
        <v>0</v>
      </c>
      <c r="BN327" s="5" t="s">
        <v>86</v>
      </c>
      <c r="CD327" s="5">
        <v>0</v>
      </c>
      <c r="CF327" s="1442" t="str">
        <f>IF([1]!sommaire[[#This Row],[présence des personnes déplacés interne]]="Oui","1","0")</f>
        <v>0</v>
      </c>
      <c r="CG327" s="1442" t="str">
        <f>IF([1]!sommaire[[#This Row],[présence Réfugié hors camp]]="Oui","1","0")</f>
        <v>1</v>
      </c>
      <c r="CH327" s="1442" t="str">
        <f>IF([1]!sommaire[[#This Row],[présence personnes retournées]]="Oui","1","0")</f>
        <v>0</v>
      </c>
      <c r="CI327" s="1442">
        <f>[1]!sommaire[[#This Row],[Flag PDI]]+[1]!sommaire[[#This Row],[Flag REF]]+[1]!sommaire[[#This Row],[Flag RET]]</f>
        <v>1</v>
      </c>
    </row>
    <row r="328" spans="1:87" ht="14.55" customHeight="1" x14ac:dyDescent="0.3">
      <c r="A328" s="390">
        <v>2621518</v>
      </c>
      <c r="B328" s="5" t="s">
        <v>533</v>
      </c>
      <c r="C328" s="1430" t="s">
        <v>3449</v>
      </c>
      <c r="D328" s="1090" t="s">
        <v>534</v>
      </c>
      <c r="E328" s="5" t="s">
        <v>31</v>
      </c>
      <c r="F328" s="5" t="s">
        <v>31</v>
      </c>
      <c r="G328" s="5" t="s">
        <v>549</v>
      </c>
      <c r="H328" s="5" t="s">
        <v>169</v>
      </c>
      <c r="I328" s="5" t="str">
        <f>_xlfn.XLOOKUP(sommaire[[#This Row],[Arrondissement_code]],OCHA_GIS!$F:$F,OCHA_GIS!$E:$E,,)</f>
        <v>Logone-Birni</v>
      </c>
      <c r="J328" s="5" t="s">
        <v>673</v>
      </c>
      <c r="K328" t="s">
        <v>550</v>
      </c>
      <c r="L328" s="5" t="s">
        <v>3123</v>
      </c>
      <c r="M328" s="5" t="s">
        <v>3123</v>
      </c>
      <c r="N328" s="5" t="s">
        <v>3053</v>
      </c>
      <c r="O328" s="5" t="s">
        <v>2467</v>
      </c>
      <c r="P328" s="5" t="s">
        <v>85</v>
      </c>
      <c r="Q328" s="5" t="s">
        <v>86</v>
      </c>
      <c r="R328" s="5" t="s">
        <v>85</v>
      </c>
      <c r="T328" s="390">
        <v>3</v>
      </c>
      <c r="U328" s="5" t="s">
        <v>97</v>
      </c>
      <c r="W328" s="5" t="s">
        <v>2468</v>
      </c>
      <c r="X328" s="5" t="s">
        <v>103</v>
      </c>
      <c r="Y328" s="5" t="s">
        <v>2476</v>
      </c>
      <c r="AA328" s="5" t="s">
        <v>85</v>
      </c>
      <c r="AB328" s="5" t="s">
        <v>2469</v>
      </c>
      <c r="AC328" s="5" t="s">
        <v>2470</v>
      </c>
      <c r="AD328" s="5" t="s">
        <v>86</v>
      </c>
      <c r="AG328" s="5">
        <v>200</v>
      </c>
      <c r="AH328" s="5" t="s">
        <v>86</v>
      </c>
      <c r="AY328" s="5" t="s">
        <v>86</v>
      </c>
      <c r="BN328" s="5" t="s">
        <v>85</v>
      </c>
      <c r="BO328" s="5">
        <v>5</v>
      </c>
      <c r="BP328" s="5">
        <v>30</v>
      </c>
      <c r="BQ328" s="5">
        <v>10</v>
      </c>
      <c r="BR328" s="5">
        <v>20</v>
      </c>
      <c r="BS328" s="5" t="s">
        <v>2535</v>
      </c>
      <c r="BT328" s="5">
        <v>0</v>
      </c>
      <c r="BU328" s="5">
        <v>0</v>
      </c>
      <c r="BV328" s="5">
        <v>5</v>
      </c>
      <c r="BW328" s="5">
        <v>0</v>
      </c>
      <c r="BX328" s="5">
        <v>0</v>
      </c>
      <c r="BZ328" s="5">
        <v>0</v>
      </c>
      <c r="CA328" s="5">
        <v>0</v>
      </c>
      <c r="CC328" s="5">
        <v>0</v>
      </c>
      <c r="CD328" s="5">
        <v>6</v>
      </c>
      <c r="CF328" s="1442" t="str">
        <f>IF([1]!sommaire[[#This Row],[présence des personnes déplacés interne]]="Oui","1","0")</f>
        <v>0</v>
      </c>
      <c r="CG328" s="1442" t="str">
        <f>IF([1]!sommaire[[#This Row],[présence Réfugié hors camp]]="Oui","1","0")</f>
        <v>0</v>
      </c>
      <c r="CH328" s="1442" t="str">
        <f>IF([1]!sommaire[[#This Row],[présence personnes retournées]]="Oui","1","0")</f>
        <v>1</v>
      </c>
      <c r="CI328" s="1442">
        <f>[1]!sommaire[[#This Row],[Flag PDI]]+[1]!sommaire[[#This Row],[Flag REF]]+[1]!sommaire[[#This Row],[Flag RET]]</f>
        <v>1</v>
      </c>
    </row>
    <row r="329" spans="1:87" ht="14.55" customHeight="1" x14ac:dyDescent="0.3">
      <c r="A329" s="390">
        <v>2621521</v>
      </c>
      <c r="B329" s="5" t="s">
        <v>533</v>
      </c>
      <c r="C329" s="1430" t="s">
        <v>3449</v>
      </c>
      <c r="D329" s="1090" t="s">
        <v>534</v>
      </c>
      <c r="E329" s="5" t="s">
        <v>31</v>
      </c>
      <c r="F329" s="5" t="s">
        <v>31</v>
      </c>
      <c r="G329" s="5" t="s">
        <v>549</v>
      </c>
      <c r="H329" s="5" t="s">
        <v>169</v>
      </c>
      <c r="I329" s="5" t="str">
        <f>_xlfn.XLOOKUP(sommaire[[#This Row],[Arrondissement_code]],OCHA_GIS!$F:$F,OCHA_GIS!$E:$E,,)</f>
        <v>Logone-Birni</v>
      </c>
      <c r="J329" s="5" t="s">
        <v>673</v>
      </c>
      <c r="K329" t="s">
        <v>550</v>
      </c>
      <c r="L329" s="5" t="s">
        <v>3124</v>
      </c>
      <c r="M329" s="5" t="s">
        <v>3124</v>
      </c>
      <c r="N329" s="5" t="s">
        <v>3053</v>
      </c>
      <c r="O329" s="5" t="s">
        <v>2467</v>
      </c>
      <c r="P329" s="5" t="s">
        <v>85</v>
      </c>
      <c r="Q329" s="5" t="s">
        <v>86</v>
      </c>
      <c r="R329" s="5" t="s">
        <v>85</v>
      </c>
      <c r="T329" s="390">
        <v>3</v>
      </c>
      <c r="U329" s="5" t="s">
        <v>97</v>
      </c>
      <c r="W329" s="5" t="s">
        <v>2468</v>
      </c>
      <c r="X329" s="5" t="s">
        <v>103</v>
      </c>
      <c r="Y329" s="5" t="s">
        <v>274</v>
      </c>
      <c r="AA329" s="5" t="s">
        <v>85</v>
      </c>
      <c r="AB329" s="5" t="s">
        <v>2469</v>
      </c>
      <c r="AC329" s="5" t="s">
        <v>2470</v>
      </c>
      <c r="AD329" s="5" t="s">
        <v>86</v>
      </c>
      <c r="AF329" s="5">
        <v>15</v>
      </c>
      <c r="AG329" s="5">
        <v>510</v>
      </c>
      <c r="AH329" s="5" t="s">
        <v>85</v>
      </c>
      <c r="AI329" s="5" t="s">
        <v>2471</v>
      </c>
      <c r="AJ329" s="5">
        <v>15</v>
      </c>
      <c r="AK329" s="5">
        <v>50</v>
      </c>
      <c r="AL329" s="5">
        <v>15</v>
      </c>
      <c r="AM329" s="5">
        <v>35</v>
      </c>
      <c r="AN329" s="5">
        <v>0</v>
      </c>
      <c r="AO329" s="5">
        <v>15</v>
      </c>
      <c r="AP329" s="5">
        <v>0</v>
      </c>
      <c r="AQ329" s="5">
        <v>0</v>
      </c>
      <c r="AT329" s="5">
        <v>0</v>
      </c>
      <c r="AU329" s="5">
        <v>0</v>
      </c>
      <c r="AX329" s="5">
        <v>0</v>
      </c>
      <c r="AY329" s="5" t="s">
        <v>86</v>
      </c>
      <c r="BN329" s="5" t="s">
        <v>85</v>
      </c>
      <c r="BO329" s="5">
        <v>6</v>
      </c>
      <c r="BP329" s="5">
        <v>20</v>
      </c>
      <c r="BQ329" s="5">
        <v>13</v>
      </c>
      <c r="BR329" s="5">
        <v>7</v>
      </c>
      <c r="BS329" s="5" t="s">
        <v>2535</v>
      </c>
      <c r="BT329" s="5">
        <v>0</v>
      </c>
      <c r="BU329" s="5">
        <v>0</v>
      </c>
      <c r="BV329" s="5">
        <v>6</v>
      </c>
      <c r="BW329" s="5">
        <v>0</v>
      </c>
      <c r="BX329" s="5">
        <v>0</v>
      </c>
      <c r="BZ329" s="5">
        <v>0</v>
      </c>
      <c r="CA329" s="5">
        <v>0</v>
      </c>
      <c r="CC329" s="5">
        <v>0</v>
      </c>
      <c r="CD329" s="5">
        <v>5</v>
      </c>
      <c r="CF329" s="1442" t="str">
        <f>IF([1]!sommaire[[#This Row],[présence des personnes déplacés interne]]="Oui","1","0")</f>
        <v>1</v>
      </c>
      <c r="CG329" s="1442" t="str">
        <f>IF([1]!sommaire[[#This Row],[présence Réfugié hors camp]]="Oui","1","0")</f>
        <v>0</v>
      </c>
      <c r="CH329" s="1442" t="str">
        <f>IF([1]!sommaire[[#This Row],[présence personnes retournées]]="Oui","1","0")</f>
        <v>1</v>
      </c>
      <c r="CI329" s="1442">
        <f>[1]!sommaire[[#This Row],[Flag PDI]]+[1]!sommaire[[#This Row],[Flag REF]]+[1]!sommaire[[#This Row],[Flag RET]]</f>
        <v>2</v>
      </c>
    </row>
    <row r="330" spans="1:87" ht="14.55" customHeight="1" x14ac:dyDescent="0.3">
      <c r="A330" s="390">
        <v>2659544</v>
      </c>
      <c r="B330" s="5" t="s">
        <v>533</v>
      </c>
      <c r="C330" s="1430" t="s">
        <v>3449</v>
      </c>
      <c r="D330" s="1090" t="s">
        <v>534</v>
      </c>
      <c r="E330" s="5" t="s">
        <v>31</v>
      </c>
      <c r="F330" s="5" t="s">
        <v>31</v>
      </c>
      <c r="G330" s="5" t="s">
        <v>549</v>
      </c>
      <c r="H330" s="5" t="s">
        <v>169</v>
      </c>
      <c r="I330" s="5" t="str">
        <f>_xlfn.XLOOKUP(sommaire[[#This Row],[Arrondissement_code]],OCHA_GIS!$F:$F,OCHA_GIS!$E:$E,,)</f>
        <v>Logone-Birni</v>
      </c>
      <c r="J330" s="5" t="s">
        <v>673</v>
      </c>
      <c r="K330" t="s">
        <v>550</v>
      </c>
      <c r="L330" s="5" t="s">
        <v>3134</v>
      </c>
      <c r="M330" s="5" t="s">
        <v>3134</v>
      </c>
      <c r="N330" s="5" t="s">
        <v>3053</v>
      </c>
      <c r="O330" s="5" t="s">
        <v>2467</v>
      </c>
      <c r="P330" s="5" t="s">
        <v>85</v>
      </c>
      <c r="Q330" s="5" t="s">
        <v>86</v>
      </c>
      <c r="R330" s="5" t="s">
        <v>85</v>
      </c>
      <c r="T330" s="390">
        <v>4</v>
      </c>
      <c r="U330" s="5" t="s">
        <v>97</v>
      </c>
      <c r="W330" s="5" t="s">
        <v>2468</v>
      </c>
      <c r="X330" s="5" t="s">
        <v>101</v>
      </c>
      <c r="Y330" s="5" t="s">
        <v>274</v>
      </c>
      <c r="AA330" s="5" t="s">
        <v>85</v>
      </c>
      <c r="AB330" s="5" t="s">
        <v>2469</v>
      </c>
      <c r="AC330" s="5" t="s">
        <v>2470</v>
      </c>
      <c r="AD330" s="5" t="s">
        <v>86</v>
      </c>
      <c r="AG330" s="5">
        <v>217</v>
      </c>
      <c r="AH330" s="5" t="s">
        <v>86</v>
      </c>
      <c r="AY330" s="5" t="s">
        <v>86</v>
      </c>
      <c r="BN330" s="5" t="s">
        <v>85</v>
      </c>
      <c r="BO330" s="5">
        <v>24</v>
      </c>
      <c r="BP330" s="5">
        <v>168</v>
      </c>
      <c r="BQ330" s="5">
        <v>80</v>
      </c>
      <c r="BR330" s="5">
        <v>88</v>
      </c>
      <c r="BS330" s="5" t="s">
        <v>2492</v>
      </c>
      <c r="BT330" s="5">
        <v>0</v>
      </c>
      <c r="BU330" s="5">
        <v>24</v>
      </c>
      <c r="BV330" s="5">
        <v>0</v>
      </c>
      <c r="BW330" s="5">
        <v>0</v>
      </c>
      <c r="BX330" s="5">
        <v>0</v>
      </c>
      <c r="BZ330" s="5">
        <v>0</v>
      </c>
      <c r="CA330" s="5">
        <v>0</v>
      </c>
      <c r="CC330" s="5">
        <v>0</v>
      </c>
      <c r="CD330" s="5">
        <v>0</v>
      </c>
      <c r="CF330" s="1442" t="str">
        <f>IF([1]!sommaire[[#This Row],[présence des personnes déplacés interne]]="Oui","1","0")</f>
        <v>0</v>
      </c>
      <c r="CG330" s="1442" t="str">
        <f>IF([1]!sommaire[[#This Row],[présence Réfugié hors camp]]="Oui","1","0")</f>
        <v>0</v>
      </c>
      <c r="CH330" s="1442" t="str">
        <f>IF([1]!sommaire[[#This Row],[présence personnes retournées]]="Oui","1","0")</f>
        <v>1</v>
      </c>
      <c r="CI330" s="1442">
        <f>[1]!sommaire[[#This Row],[Flag PDI]]+[1]!sommaire[[#This Row],[Flag REF]]+[1]!sommaire[[#This Row],[Flag RET]]</f>
        <v>1</v>
      </c>
    </row>
    <row r="331" spans="1:87" ht="14.55" customHeight="1" x14ac:dyDescent="0.3">
      <c r="A331" s="390">
        <v>2659545</v>
      </c>
      <c r="B331" s="5" t="s">
        <v>533</v>
      </c>
      <c r="C331" s="1430" t="s">
        <v>3449</v>
      </c>
      <c r="D331" s="1090" t="s">
        <v>534</v>
      </c>
      <c r="E331" s="5" t="s">
        <v>31</v>
      </c>
      <c r="F331" s="5" t="s">
        <v>31</v>
      </c>
      <c r="G331" s="5" t="s">
        <v>549</v>
      </c>
      <c r="H331" s="5" t="s">
        <v>169</v>
      </c>
      <c r="I331" s="5" t="str">
        <f>_xlfn.XLOOKUP(sommaire[[#This Row],[Arrondissement_code]],OCHA_GIS!$F:$F,OCHA_GIS!$E:$E,,)</f>
        <v>Logone-Birni</v>
      </c>
      <c r="J331" s="5" t="s">
        <v>673</v>
      </c>
      <c r="K331" t="s">
        <v>550</v>
      </c>
      <c r="L331" s="5" t="s">
        <v>3135</v>
      </c>
      <c r="M331" s="5" t="s">
        <v>3135</v>
      </c>
      <c r="N331" s="5" t="s">
        <v>3053</v>
      </c>
      <c r="O331" s="5" t="s">
        <v>2467</v>
      </c>
      <c r="P331" s="5" t="s">
        <v>85</v>
      </c>
      <c r="Q331" s="5" t="s">
        <v>86</v>
      </c>
      <c r="R331" s="5" t="s">
        <v>85</v>
      </c>
      <c r="T331" s="390">
        <v>4</v>
      </c>
      <c r="U331" s="5" t="s">
        <v>97</v>
      </c>
      <c r="W331" s="5" t="s">
        <v>2468</v>
      </c>
      <c r="X331" s="5" t="s">
        <v>101</v>
      </c>
      <c r="Y331" s="5" t="s">
        <v>274</v>
      </c>
      <c r="AA331" s="5" t="s">
        <v>85</v>
      </c>
      <c r="AB331" s="5" t="s">
        <v>2469</v>
      </c>
      <c r="AC331" s="5" t="s">
        <v>2470</v>
      </c>
      <c r="AD331" s="5" t="s">
        <v>86</v>
      </c>
      <c r="AG331" s="5">
        <v>343</v>
      </c>
      <c r="AH331" s="5" t="s">
        <v>86</v>
      </c>
      <c r="AY331" s="5" t="s">
        <v>86</v>
      </c>
      <c r="BN331" s="5" t="s">
        <v>85</v>
      </c>
      <c r="BO331" s="5">
        <v>46</v>
      </c>
      <c r="BP331" s="5">
        <v>322</v>
      </c>
      <c r="BQ331" s="5">
        <v>159</v>
      </c>
      <c r="BR331" s="5">
        <v>163</v>
      </c>
      <c r="BS331" s="5" t="s">
        <v>2492</v>
      </c>
      <c r="BT331" s="5">
        <v>0</v>
      </c>
      <c r="BU331" s="5">
        <v>30</v>
      </c>
      <c r="BV331" s="5">
        <v>0</v>
      </c>
      <c r="BW331" s="5">
        <v>0</v>
      </c>
      <c r="BX331" s="5">
        <v>0</v>
      </c>
      <c r="BZ331" s="5">
        <v>0</v>
      </c>
      <c r="CA331" s="5">
        <v>16</v>
      </c>
      <c r="CB331" s="5" t="s">
        <v>2490</v>
      </c>
      <c r="CC331" s="5">
        <v>0</v>
      </c>
      <c r="CD331" s="5">
        <v>0</v>
      </c>
      <c r="CF331" s="1442" t="str">
        <f>IF([1]!sommaire[[#This Row],[présence des personnes déplacés interne]]="Oui","1","0")</f>
        <v>0</v>
      </c>
      <c r="CG331" s="1442" t="str">
        <f>IF([1]!sommaire[[#This Row],[présence Réfugié hors camp]]="Oui","1","0")</f>
        <v>0</v>
      </c>
      <c r="CH331" s="1442" t="str">
        <f>IF([1]!sommaire[[#This Row],[présence personnes retournées]]="Oui","1","0")</f>
        <v>1</v>
      </c>
      <c r="CI331" s="1442">
        <f>[1]!sommaire[[#This Row],[Flag PDI]]+[1]!sommaire[[#This Row],[Flag REF]]+[1]!sommaire[[#This Row],[Flag RET]]</f>
        <v>1</v>
      </c>
    </row>
    <row r="332" spans="1:87" ht="14.55" customHeight="1" x14ac:dyDescent="0.3">
      <c r="A332" s="390">
        <v>2659576</v>
      </c>
      <c r="B332" s="5" t="s">
        <v>533</v>
      </c>
      <c r="C332" s="1430" t="s">
        <v>3449</v>
      </c>
      <c r="D332" s="1090" t="s">
        <v>534</v>
      </c>
      <c r="E332" s="5" t="s">
        <v>31</v>
      </c>
      <c r="F332" s="5" t="s">
        <v>31</v>
      </c>
      <c r="G332" s="5" t="s">
        <v>549</v>
      </c>
      <c r="H332" s="5" t="s">
        <v>169</v>
      </c>
      <c r="I332" s="5" t="str">
        <f>_xlfn.XLOOKUP(sommaire[[#This Row],[Arrondissement_code]],OCHA_GIS!$F:$F,OCHA_GIS!$E:$E,,)</f>
        <v>Logone-Birni</v>
      </c>
      <c r="J332" s="5" t="s">
        <v>673</v>
      </c>
      <c r="K332" t="s">
        <v>550</v>
      </c>
      <c r="L332" s="5" t="s">
        <v>3136</v>
      </c>
      <c r="M332" s="5" t="s">
        <v>3136</v>
      </c>
      <c r="N332" s="5" t="s">
        <v>3053</v>
      </c>
      <c r="O332" s="5" t="s">
        <v>2467</v>
      </c>
      <c r="P332" s="5" t="s">
        <v>85</v>
      </c>
      <c r="Q332" s="5" t="s">
        <v>86</v>
      </c>
      <c r="R332" s="5" t="s">
        <v>85</v>
      </c>
      <c r="T332" s="390">
        <v>4</v>
      </c>
      <c r="U332" s="5" t="s">
        <v>97</v>
      </c>
      <c r="W332" s="5" t="s">
        <v>2468</v>
      </c>
      <c r="X332" s="5" t="s">
        <v>101</v>
      </c>
      <c r="Y332" s="5" t="s">
        <v>274</v>
      </c>
      <c r="AA332" s="5" t="s">
        <v>85</v>
      </c>
      <c r="AB332" s="5" t="s">
        <v>2469</v>
      </c>
      <c r="AC332" s="5" t="s">
        <v>2470</v>
      </c>
      <c r="AD332" s="5" t="s">
        <v>86</v>
      </c>
      <c r="AG332" s="5">
        <v>260</v>
      </c>
      <c r="AH332" s="5" t="s">
        <v>86</v>
      </c>
      <c r="AY332" s="5" t="s">
        <v>86</v>
      </c>
      <c r="BN332" s="5" t="s">
        <v>85</v>
      </c>
      <c r="BO332" s="5">
        <v>28</v>
      </c>
      <c r="BP332" s="5">
        <v>160</v>
      </c>
      <c r="BQ332" s="5">
        <v>71</v>
      </c>
      <c r="BR332" s="5">
        <v>89</v>
      </c>
      <c r="BS332" s="5" t="s">
        <v>2492</v>
      </c>
      <c r="BT332" s="5">
        <v>0</v>
      </c>
      <c r="BU332" s="5">
        <v>28</v>
      </c>
      <c r="BV332" s="5">
        <v>0</v>
      </c>
      <c r="BW332" s="5">
        <v>0</v>
      </c>
      <c r="BX332" s="5">
        <v>0</v>
      </c>
      <c r="BZ332" s="5">
        <v>0</v>
      </c>
      <c r="CA332" s="5">
        <v>0</v>
      </c>
      <c r="CC332" s="5">
        <v>0</v>
      </c>
      <c r="CD332" s="5">
        <v>0</v>
      </c>
      <c r="CF332" s="1442" t="str">
        <f>IF([1]!sommaire[[#This Row],[présence des personnes déplacés interne]]="Oui","1","0")</f>
        <v>0</v>
      </c>
      <c r="CG332" s="1442" t="str">
        <f>IF([1]!sommaire[[#This Row],[présence Réfugié hors camp]]="Oui","1","0")</f>
        <v>0</v>
      </c>
      <c r="CH332" s="1442" t="str">
        <f>IF([1]!sommaire[[#This Row],[présence personnes retournées]]="Oui","1","0")</f>
        <v>1</v>
      </c>
      <c r="CI332" s="1442">
        <f>[1]!sommaire[[#This Row],[Flag PDI]]+[1]!sommaire[[#This Row],[Flag REF]]+[1]!sommaire[[#This Row],[Flag RET]]</f>
        <v>1</v>
      </c>
    </row>
    <row r="333" spans="1:87" ht="14.55" customHeight="1" x14ac:dyDescent="0.3">
      <c r="A333" s="390">
        <v>2659577</v>
      </c>
      <c r="B333" s="5" t="s">
        <v>533</v>
      </c>
      <c r="C333" s="1430" t="s">
        <v>3449</v>
      </c>
      <c r="D333" s="1090" t="s">
        <v>534</v>
      </c>
      <c r="E333" s="5" t="s">
        <v>31</v>
      </c>
      <c r="F333" s="5" t="s">
        <v>31</v>
      </c>
      <c r="G333" s="5" t="s">
        <v>549</v>
      </c>
      <c r="H333" s="5" t="s">
        <v>169</v>
      </c>
      <c r="I333" s="5" t="str">
        <f>_xlfn.XLOOKUP(sommaire[[#This Row],[Arrondissement_code]],OCHA_GIS!$F:$F,OCHA_GIS!$E:$E,,)</f>
        <v>Logone-Birni</v>
      </c>
      <c r="J333" s="5" t="s">
        <v>673</v>
      </c>
      <c r="K333" t="s">
        <v>550</v>
      </c>
      <c r="L333" s="5" t="s">
        <v>3137</v>
      </c>
      <c r="M333" s="5" t="s">
        <v>3137</v>
      </c>
      <c r="N333" s="5" t="s">
        <v>3053</v>
      </c>
      <c r="O333" s="5" t="s">
        <v>2467</v>
      </c>
      <c r="P333" s="5" t="s">
        <v>85</v>
      </c>
      <c r="Q333" s="5" t="s">
        <v>86</v>
      </c>
      <c r="R333" s="5" t="s">
        <v>85</v>
      </c>
      <c r="T333" s="390">
        <v>4</v>
      </c>
      <c r="U333" s="5" t="s">
        <v>97</v>
      </c>
      <c r="W333" s="5" t="s">
        <v>2468</v>
      </c>
      <c r="X333" s="5" t="s">
        <v>101</v>
      </c>
      <c r="Y333" s="5" t="s">
        <v>274</v>
      </c>
      <c r="AA333" s="5" t="s">
        <v>85</v>
      </c>
      <c r="AB333" s="5" t="s">
        <v>2469</v>
      </c>
      <c r="AC333" s="5" t="s">
        <v>2470</v>
      </c>
      <c r="AD333" s="1090" t="s">
        <v>86</v>
      </c>
      <c r="AG333" s="5">
        <v>350</v>
      </c>
      <c r="AH333" s="5" t="s">
        <v>86</v>
      </c>
      <c r="AY333" s="5" t="s">
        <v>86</v>
      </c>
      <c r="BN333" s="5" t="s">
        <v>85</v>
      </c>
      <c r="BO333" s="5">
        <v>30</v>
      </c>
      <c r="BP333" s="5">
        <v>200</v>
      </c>
      <c r="BQ333" s="5">
        <v>80</v>
      </c>
      <c r="BR333" s="5">
        <v>120</v>
      </c>
      <c r="BS333" s="5" t="s">
        <v>2492</v>
      </c>
      <c r="BT333" s="5">
        <v>0</v>
      </c>
      <c r="BU333" s="5">
        <v>22</v>
      </c>
      <c r="BV333" s="5">
        <v>0</v>
      </c>
      <c r="BW333" s="5">
        <v>0</v>
      </c>
      <c r="BX333" s="5">
        <v>0</v>
      </c>
      <c r="BZ333" s="5">
        <v>0</v>
      </c>
      <c r="CA333" s="5">
        <v>8</v>
      </c>
      <c r="CB333" s="5" t="s">
        <v>2490</v>
      </c>
      <c r="CC333" s="5">
        <v>0</v>
      </c>
      <c r="CD333" s="5">
        <v>0</v>
      </c>
      <c r="CF333" s="1442" t="str">
        <f>IF([1]!sommaire[[#This Row],[présence des personnes déplacés interne]]="Oui","1","0")</f>
        <v>0</v>
      </c>
      <c r="CG333" s="1442" t="str">
        <f>IF([1]!sommaire[[#This Row],[présence Réfugié hors camp]]="Oui","1","0")</f>
        <v>0</v>
      </c>
      <c r="CH333" s="1442" t="str">
        <f>IF([1]!sommaire[[#This Row],[présence personnes retournées]]="Oui","1","0")</f>
        <v>1</v>
      </c>
      <c r="CI333" s="1442">
        <f>[1]!sommaire[[#This Row],[Flag PDI]]+[1]!sommaire[[#This Row],[Flag REF]]+[1]!sommaire[[#This Row],[Flag RET]]</f>
        <v>1</v>
      </c>
    </row>
    <row r="334" spans="1:87" ht="14.55" customHeight="1" x14ac:dyDescent="0.3">
      <c r="A334" s="390">
        <v>2659578</v>
      </c>
      <c r="B334" s="5" t="s">
        <v>533</v>
      </c>
      <c r="C334" s="1430" t="s">
        <v>3449</v>
      </c>
      <c r="D334" s="1090" t="s">
        <v>534</v>
      </c>
      <c r="E334" s="5" t="s">
        <v>31</v>
      </c>
      <c r="F334" s="5" t="s">
        <v>31</v>
      </c>
      <c r="G334" s="5" t="s">
        <v>549</v>
      </c>
      <c r="H334" s="1186" t="s">
        <v>169</v>
      </c>
      <c r="I334" s="1186" t="str">
        <f>_xlfn.XLOOKUP(sommaire[[#This Row],[Arrondissement_code]],OCHA_GIS!$F:$F,OCHA_GIS!$E:$E,,)</f>
        <v>Logone-Birni</v>
      </c>
      <c r="J334" s="5" t="s">
        <v>673</v>
      </c>
      <c r="K334" t="s">
        <v>550</v>
      </c>
      <c r="L334" s="1186" t="s">
        <v>3138</v>
      </c>
      <c r="M334" s="5" t="s">
        <v>3138</v>
      </c>
      <c r="N334" s="5" t="s">
        <v>3053</v>
      </c>
      <c r="O334" s="5" t="s">
        <v>2467</v>
      </c>
      <c r="P334" s="5" t="s">
        <v>85</v>
      </c>
      <c r="Q334" s="5" t="s">
        <v>86</v>
      </c>
      <c r="R334" s="5" t="s">
        <v>85</v>
      </c>
      <c r="T334" s="390">
        <v>4</v>
      </c>
      <c r="U334" s="5" t="s">
        <v>97</v>
      </c>
      <c r="W334" s="5" t="s">
        <v>2468</v>
      </c>
      <c r="X334" s="5" t="s">
        <v>101</v>
      </c>
      <c r="Y334" s="5" t="s">
        <v>274</v>
      </c>
      <c r="AA334" s="5" t="s">
        <v>85</v>
      </c>
      <c r="AB334" s="5" t="s">
        <v>2469</v>
      </c>
      <c r="AC334" s="5" t="s">
        <v>2470</v>
      </c>
      <c r="AD334" s="5" t="s">
        <v>86</v>
      </c>
      <c r="AG334" s="5">
        <v>47</v>
      </c>
      <c r="AH334" s="5" t="s">
        <v>86</v>
      </c>
      <c r="AY334" s="5" t="s">
        <v>86</v>
      </c>
      <c r="BN334" s="5" t="s">
        <v>85</v>
      </c>
      <c r="BO334" s="5">
        <v>18</v>
      </c>
      <c r="BP334" s="5">
        <v>36</v>
      </c>
      <c r="BQ334" s="5">
        <v>16</v>
      </c>
      <c r="BR334" s="5">
        <v>20</v>
      </c>
      <c r="BS334" s="5" t="s">
        <v>2492</v>
      </c>
      <c r="BT334" s="5">
        <v>0</v>
      </c>
      <c r="BU334" s="5">
        <v>18</v>
      </c>
      <c r="BV334" s="5">
        <v>0</v>
      </c>
      <c r="BW334" s="5">
        <v>0</v>
      </c>
      <c r="BX334" s="5">
        <v>0</v>
      </c>
      <c r="BZ334" s="5">
        <v>0</v>
      </c>
      <c r="CA334" s="5">
        <v>0</v>
      </c>
      <c r="CC334" s="5">
        <v>0</v>
      </c>
      <c r="CD334" s="5">
        <v>0</v>
      </c>
      <c r="CF334" s="1442" t="str">
        <f>IF([1]!sommaire[[#This Row],[présence des personnes déplacés interne]]="Oui","1","0")</f>
        <v>0</v>
      </c>
      <c r="CG334" s="1442" t="str">
        <f>IF([1]!sommaire[[#This Row],[présence Réfugié hors camp]]="Oui","1","0")</f>
        <v>0</v>
      </c>
      <c r="CH334" s="1442" t="str">
        <f>IF([1]!sommaire[[#This Row],[présence personnes retournées]]="Oui","1","0")</f>
        <v>1</v>
      </c>
      <c r="CI334" s="1442">
        <f>[1]!sommaire[[#This Row],[Flag PDI]]+[1]!sommaire[[#This Row],[Flag REF]]+[1]!sommaire[[#This Row],[Flag RET]]</f>
        <v>1</v>
      </c>
    </row>
    <row r="335" spans="1:87" ht="14.55" customHeight="1" x14ac:dyDescent="0.3">
      <c r="A335" s="390">
        <v>2659579</v>
      </c>
      <c r="B335" s="5" t="s">
        <v>533</v>
      </c>
      <c r="C335" s="1430" t="s">
        <v>3449</v>
      </c>
      <c r="D335" s="1090" t="s">
        <v>534</v>
      </c>
      <c r="E335" s="5" t="s">
        <v>31</v>
      </c>
      <c r="F335" s="5" t="s">
        <v>31</v>
      </c>
      <c r="G335" s="5" t="s">
        <v>549</v>
      </c>
      <c r="H335" s="5" t="s">
        <v>169</v>
      </c>
      <c r="I335" s="5" t="str">
        <f>_xlfn.XLOOKUP(sommaire[[#This Row],[Arrondissement_code]],OCHA_GIS!$F:$F,OCHA_GIS!$E:$E,,)</f>
        <v>Logone-Birni</v>
      </c>
      <c r="J335" s="5" t="s">
        <v>673</v>
      </c>
      <c r="K335" t="s">
        <v>550</v>
      </c>
      <c r="L335" s="5" t="s">
        <v>3139</v>
      </c>
      <c r="M335" s="5" t="s">
        <v>3139</v>
      </c>
      <c r="N335" s="5" t="s">
        <v>3053</v>
      </c>
      <c r="O335" s="5" t="s">
        <v>2467</v>
      </c>
      <c r="P335" s="5" t="s">
        <v>85</v>
      </c>
      <c r="Q335" s="5" t="s">
        <v>86</v>
      </c>
      <c r="R335" s="5" t="s">
        <v>85</v>
      </c>
      <c r="T335" s="390">
        <v>4</v>
      </c>
      <c r="U335" s="5" t="s">
        <v>97</v>
      </c>
      <c r="W335" s="5" t="s">
        <v>2468</v>
      </c>
      <c r="X335" s="5" t="s">
        <v>101</v>
      </c>
      <c r="Y335" s="5" t="s">
        <v>274</v>
      </c>
      <c r="AA335" s="5" t="s">
        <v>85</v>
      </c>
      <c r="AB335" s="5" t="s">
        <v>2469</v>
      </c>
      <c r="AC335" s="5" t="s">
        <v>2470</v>
      </c>
      <c r="AD335" s="5" t="s">
        <v>86</v>
      </c>
      <c r="AG335" s="5">
        <v>210</v>
      </c>
      <c r="AH335" s="5" t="s">
        <v>86</v>
      </c>
      <c r="AY335" s="5" t="s">
        <v>86</v>
      </c>
      <c r="BN335" s="5" t="s">
        <v>85</v>
      </c>
      <c r="BO335" s="5">
        <v>19</v>
      </c>
      <c r="BP335" s="5">
        <v>150</v>
      </c>
      <c r="BQ335" s="5">
        <v>71</v>
      </c>
      <c r="BR335" s="5">
        <v>79</v>
      </c>
      <c r="BS335" s="5" t="s">
        <v>2492</v>
      </c>
      <c r="BT335" s="5">
        <v>0</v>
      </c>
      <c r="BU335" s="5">
        <v>12</v>
      </c>
      <c r="BV335" s="5">
        <v>0</v>
      </c>
      <c r="BW335" s="5">
        <v>0</v>
      </c>
      <c r="BX335" s="5">
        <v>0</v>
      </c>
      <c r="BZ335" s="5">
        <v>0</v>
      </c>
      <c r="CA335" s="5">
        <v>7</v>
      </c>
      <c r="CB335" s="5" t="s">
        <v>2490</v>
      </c>
      <c r="CC335" s="5">
        <v>0</v>
      </c>
      <c r="CD335" s="5">
        <v>0</v>
      </c>
      <c r="CF335" s="1442" t="str">
        <f>IF([1]!sommaire[[#This Row],[présence des personnes déplacés interne]]="Oui","1","0")</f>
        <v>0</v>
      </c>
      <c r="CG335" s="1442" t="str">
        <f>IF([1]!sommaire[[#This Row],[présence Réfugié hors camp]]="Oui","1","0")</f>
        <v>0</v>
      </c>
      <c r="CH335" s="1442" t="str">
        <f>IF([1]!sommaire[[#This Row],[présence personnes retournées]]="Oui","1","0")</f>
        <v>1</v>
      </c>
      <c r="CI335" s="1442">
        <f>[1]!sommaire[[#This Row],[Flag PDI]]+[1]!sommaire[[#This Row],[Flag REF]]+[1]!sommaire[[#This Row],[Flag RET]]</f>
        <v>1</v>
      </c>
    </row>
    <row r="336" spans="1:87" ht="14.55" customHeight="1" x14ac:dyDescent="0.3">
      <c r="A336" s="390">
        <v>2659580</v>
      </c>
      <c r="B336" s="5" t="s">
        <v>533</v>
      </c>
      <c r="C336" s="1430" t="s">
        <v>3449</v>
      </c>
      <c r="D336" s="1090" t="s">
        <v>534</v>
      </c>
      <c r="E336" s="5" t="s">
        <v>31</v>
      </c>
      <c r="F336" s="5" t="s">
        <v>31</v>
      </c>
      <c r="G336" s="5" t="s">
        <v>549</v>
      </c>
      <c r="H336" s="5" t="s">
        <v>169</v>
      </c>
      <c r="I336" s="5" t="str">
        <f>_xlfn.XLOOKUP(sommaire[[#This Row],[Arrondissement_code]],OCHA_GIS!$F:$F,OCHA_GIS!$E:$E,,)</f>
        <v>Logone-Birni</v>
      </c>
      <c r="J336" s="5" t="s">
        <v>673</v>
      </c>
      <c r="K336" t="s">
        <v>550</v>
      </c>
      <c r="L336" s="5" t="s">
        <v>3140</v>
      </c>
      <c r="M336" s="5" t="s">
        <v>3140</v>
      </c>
      <c r="N336" s="5" t="s">
        <v>3053</v>
      </c>
      <c r="O336" s="5" t="s">
        <v>2467</v>
      </c>
      <c r="P336" s="5" t="s">
        <v>85</v>
      </c>
      <c r="Q336" s="5" t="s">
        <v>86</v>
      </c>
      <c r="R336" s="5" t="s">
        <v>85</v>
      </c>
      <c r="T336" s="390">
        <v>4</v>
      </c>
      <c r="U336" s="5" t="s">
        <v>97</v>
      </c>
      <c r="W336" s="5" t="s">
        <v>2468</v>
      </c>
      <c r="X336" s="5" t="s">
        <v>101</v>
      </c>
      <c r="Y336" s="5" t="s">
        <v>274</v>
      </c>
      <c r="AA336" s="5" t="s">
        <v>85</v>
      </c>
      <c r="AB336" s="5" t="s">
        <v>2469</v>
      </c>
      <c r="AC336" s="5" t="s">
        <v>2470</v>
      </c>
      <c r="AD336" s="5" t="s">
        <v>86</v>
      </c>
      <c r="AG336" s="5">
        <v>350</v>
      </c>
      <c r="AH336" s="5" t="s">
        <v>86</v>
      </c>
      <c r="AY336" s="5" t="s">
        <v>86</v>
      </c>
      <c r="BN336" s="5" t="s">
        <v>85</v>
      </c>
      <c r="BO336" s="5">
        <v>11</v>
      </c>
      <c r="BP336" s="5">
        <v>77</v>
      </c>
      <c r="BQ336" s="5">
        <v>40</v>
      </c>
      <c r="BR336" s="5">
        <v>37</v>
      </c>
      <c r="BS336" s="5" t="s">
        <v>2492</v>
      </c>
      <c r="BT336" s="5">
        <v>0</v>
      </c>
      <c r="BU336" s="5">
        <v>7</v>
      </c>
      <c r="BV336" s="5">
        <v>0</v>
      </c>
      <c r="BW336" s="5">
        <v>0</v>
      </c>
      <c r="BX336" s="5">
        <v>0</v>
      </c>
      <c r="BZ336" s="5">
        <v>0</v>
      </c>
      <c r="CA336" s="5">
        <v>4</v>
      </c>
      <c r="CB336" s="5" t="s">
        <v>2490</v>
      </c>
      <c r="CC336" s="5">
        <v>0</v>
      </c>
      <c r="CD336" s="5">
        <v>0</v>
      </c>
      <c r="CF336" s="1442" t="str">
        <f>IF([1]!sommaire[[#This Row],[présence des personnes déplacés interne]]="Oui","1","0")</f>
        <v>0</v>
      </c>
      <c r="CG336" s="1442" t="str">
        <f>IF([1]!sommaire[[#This Row],[présence Réfugié hors camp]]="Oui","1","0")</f>
        <v>0</v>
      </c>
      <c r="CH336" s="1442" t="str">
        <f>IF([1]!sommaire[[#This Row],[présence personnes retournées]]="Oui","1","0")</f>
        <v>1</v>
      </c>
      <c r="CI336" s="1442">
        <f>[1]!sommaire[[#This Row],[Flag PDI]]+[1]!sommaire[[#This Row],[Flag REF]]+[1]!sommaire[[#This Row],[Flag RET]]</f>
        <v>1</v>
      </c>
    </row>
    <row r="337" spans="1:87" ht="14.55" customHeight="1" x14ac:dyDescent="0.3">
      <c r="A337" s="390">
        <v>2680255</v>
      </c>
      <c r="B337" s="5" t="s">
        <v>533</v>
      </c>
      <c r="C337" s="1430" t="s">
        <v>3449</v>
      </c>
      <c r="D337" s="1090" t="s">
        <v>534</v>
      </c>
      <c r="E337" s="5" t="s">
        <v>31</v>
      </c>
      <c r="F337" s="5" t="s">
        <v>31</v>
      </c>
      <c r="G337" s="5" t="s">
        <v>549</v>
      </c>
      <c r="H337" s="5" t="s">
        <v>169</v>
      </c>
      <c r="I337" s="5" t="str">
        <f>_xlfn.XLOOKUP(sommaire[[#This Row],[Arrondissement_code]],OCHA_GIS!$F:$F,OCHA_GIS!$E:$E,,)</f>
        <v>Logone-Birni</v>
      </c>
      <c r="J337" s="5" t="s">
        <v>673</v>
      </c>
      <c r="K337" t="s">
        <v>550</v>
      </c>
      <c r="L337" s="5" t="s">
        <v>3142</v>
      </c>
      <c r="M337" s="5" t="s">
        <v>3142</v>
      </c>
      <c r="N337" s="5" t="s">
        <v>3053</v>
      </c>
      <c r="O337" s="5" t="s">
        <v>2467</v>
      </c>
      <c r="P337" s="5" t="s">
        <v>85</v>
      </c>
      <c r="Q337" s="5" t="s">
        <v>86</v>
      </c>
      <c r="R337" s="5" t="s">
        <v>86</v>
      </c>
      <c r="T337" s="390">
        <v>4</v>
      </c>
      <c r="U337" s="5" t="s">
        <v>97</v>
      </c>
      <c r="W337" s="5" t="s">
        <v>2468</v>
      </c>
      <c r="X337" s="5" t="s">
        <v>102</v>
      </c>
      <c r="AA337" s="5" t="s">
        <v>85</v>
      </c>
      <c r="AB337" s="5" t="s">
        <v>2469</v>
      </c>
      <c r="AC337" s="5" t="s">
        <v>2470</v>
      </c>
      <c r="AD337" s="5" t="s">
        <v>86</v>
      </c>
      <c r="AF337" s="5">
        <v>40</v>
      </c>
      <c r="AG337" s="5">
        <v>540</v>
      </c>
      <c r="AH337" s="5" t="s">
        <v>85</v>
      </c>
      <c r="AI337" s="5" t="s">
        <v>2485</v>
      </c>
      <c r="AJ337" s="5">
        <v>40</v>
      </c>
      <c r="AK337" s="5">
        <v>250</v>
      </c>
      <c r="AL337" s="5">
        <v>105</v>
      </c>
      <c r="AM337" s="5">
        <v>145</v>
      </c>
      <c r="AN337" s="5">
        <v>0</v>
      </c>
      <c r="AO337" s="5">
        <v>40</v>
      </c>
      <c r="AP337" s="5">
        <v>0</v>
      </c>
      <c r="AQ337" s="5">
        <v>0</v>
      </c>
      <c r="AT337" s="5">
        <v>0</v>
      </c>
      <c r="AU337" s="5">
        <v>0</v>
      </c>
      <c r="AX337" s="5">
        <v>0</v>
      </c>
      <c r="AY337" s="5" t="s">
        <v>85</v>
      </c>
      <c r="AZ337" s="5">
        <v>7</v>
      </c>
      <c r="BA337" s="5">
        <v>60</v>
      </c>
      <c r="BB337" s="5">
        <v>24</v>
      </c>
      <c r="BC337" s="5">
        <v>36</v>
      </c>
      <c r="BD337" s="5">
        <v>7</v>
      </c>
      <c r="BE337" s="5">
        <v>0</v>
      </c>
      <c r="BF337" s="5">
        <v>0</v>
      </c>
      <c r="BH337" s="5">
        <v>0</v>
      </c>
      <c r="BI337" s="5">
        <v>0</v>
      </c>
      <c r="BL337" s="5">
        <v>0</v>
      </c>
      <c r="BM337" s="5">
        <v>0</v>
      </c>
      <c r="BN337" s="5" t="s">
        <v>86</v>
      </c>
      <c r="CD337" s="5">
        <v>0</v>
      </c>
      <c r="CF337" s="1442" t="str">
        <f>IF([1]!sommaire[[#This Row],[présence des personnes déplacés interne]]="Oui","1","0")</f>
        <v>1</v>
      </c>
      <c r="CG337" s="1442" t="str">
        <f>IF([1]!sommaire[[#This Row],[présence Réfugié hors camp]]="Oui","1","0")</f>
        <v>1</v>
      </c>
      <c r="CH337" s="1442" t="str">
        <f>IF([1]!sommaire[[#This Row],[présence personnes retournées]]="Oui","1","0")</f>
        <v>0</v>
      </c>
      <c r="CI337" s="1442">
        <f>[1]!sommaire[[#This Row],[Flag PDI]]+[1]!sommaire[[#This Row],[Flag REF]]+[1]!sommaire[[#This Row],[Flag RET]]</f>
        <v>2</v>
      </c>
    </row>
    <row r="338" spans="1:87" ht="14.55" customHeight="1" x14ac:dyDescent="0.3">
      <c r="A338" s="390">
        <v>2692389</v>
      </c>
      <c r="B338" s="5" t="s">
        <v>533</v>
      </c>
      <c r="C338" s="1430" t="s">
        <v>3449</v>
      </c>
      <c r="D338" s="1090" t="s">
        <v>534</v>
      </c>
      <c r="E338" s="5" t="s">
        <v>31</v>
      </c>
      <c r="F338" s="5" t="s">
        <v>31</v>
      </c>
      <c r="G338" s="5" t="s">
        <v>549</v>
      </c>
      <c r="H338" s="5" t="s">
        <v>169</v>
      </c>
      <c r="I338" s="5" t="str">
        <f>_xlfn.XLOOKUP(sommaire[[#This Row],[Arrondissement_code]],OCHA_GIS!$F:$F,OCHA_GIS!$E:$E,,)</f>
        <v>Logone-Birni</v>
      </c>
      <c r="J338" s="5" t="s">
        <v>673</v>
      </c>
      <c r="K338" t="s">
        <v>550</v>
      </c>
      <c r="L338" s="5" t="s">
        <v>3148</v>
      </c>
      <c r="M338" s="5" t="s">
        <v>3148</v>
      </c>
      <c r="N338" s="5" t="s">
        <v>3053</v>
      </c>
      <c r="O338" s="5" t="s">
        <v>2467</v>
      </c>
      <c r="P338" s="5" t="s">
        <v>85</v>
      </c>
      <c r="Q338" s="5" t="s">
        <v>86</v>
      </c>
      <c r="R338" s="5" t="s">
        <v>86</v>
      </c>
      <c r="T338" s="390">
        <v>3</v>
      </c>
      <c r="U338" s="5" t="s">
        <v>97</v>
      </c>
      <c r="W338" s="5" t="s">
        <v>2468</v>
      </c>
      <c r="X338" s="5" t="s">
        <v>103</v>
      </c>
      <c r="Y338" s="5" t="s">
        <v>274</v>
      </c>
      <c r="AA338" s="5" t="s">
        <v>86</v>
      </c>
      <c r="AG338" s="5">
        <v>103</v>
      </c>
      <c r="AH338" s="1430" t="s">
        <v>86</v>
      </c>
      <c r="AY338" s="1430" t="s">
        <v>86</v>
      </c>
      <c r="BN338" s="1430" t="s">
        <v>86</v>
      </c>
      <c r="CF338" s="1442" t="str">
        <f>IF([1]!sommaire[[#This Row],[présence des personnes déplacés interne]]="Oui","1","0")</f>
        <v>0</v>
      </c>
      <c r="CG338" s="1442" t="str">
        <f>IF([1]!sommaire[[#This Row],[présence Réfugié hors camp]]="Oui","1","0")</f>
        <v>0</v>
      </c>
      <c r="CH338" s="1442" t="str">
        <f>IF([1]!sommaire[[#This Row],[présence personnes retournées]]="Oui","1","0")</f>
        <v>0</v>
      </c>
      <c r="CI338" s="1442">
        <f>[1]!sommaire[[#This Row],[Flag PDI]]+[1]!sommaire[[#This Row],[Flag REF]]+[1]!sommaire[[#This Row],[Flag RET]]</f>
        <v>0</v>
      </c>
    </row>
    <row r="339" spans="1:87" ht="14.55" customHeight="1" x14ac:dyDescent="0.3">
      <c r="A339" s="390">
        <v>2680257</v>
      </c>
      <c r="B339" s="5" t="s">
        <v>533</v>
      </c>
      <c r="C339" s="1430" t="s">
        <v>3449</v>
      </c>
      <c r="D339" s="1090" t="s">
        <v>534</v>
      </c>
      <c r="E339" s="5" t="s">
        <v>31</v>
      </c>
      <c r="F339" s="5" t="s">
        <v>31</v>
      </c>
      <c r="G339" s="5" t="s">
        <v>549</v>
      </c>
      <c r="H339" s="5" t="s">
        <v>169</v>
      </c>
      <c r="I339" s="5" t="str">
        <f>_xlfn.XLOOKUP(sommaire[[#This Row],[Arrondissement_code]],OCHA_GIS!$F:$F,OCHA_GIS!$E:$E,,)</f>
        <v>Logone-Birni</v>
      </c>
      <c r="J339" s="5" t="s">
        <v>673</v>
      </c>
      <c r="K339" t="s">
        <v>550</v>
      </c>
      <c r="L339" s="5" t="s">
        <v>3171</v>
      </c>
      <c r="M339" s="5" t="s">
        <v>3171</v>
      </c>
      <c r="N339" s="5" t="s">
        <v>3053</v>
      </c>
      <c r="O339" s="5" t="s">
        <v>2473</v>
      </c>
      <c r="P339" s="5" t="s">
        <v>85</v>
      </c>
      <c r="Q339" s="5" t="s">
        <v>86</v>
      </c>
      <c r="R339" s="5" t="s">
        <v>86</v>
      </c>
      <c r="T339" s="390">
        <v>4</v>
      </c>
      <c r="U339" s="5" t="s">
        <v>97</v>
      </c>
      <c r="W339" s="5" t="s">
        <v>2468</v>
      </c>
      <c r="X339" s="5" t="s">
        <v>102</v>
      </c>
      <c r="AA339" s="5" t="s">
        <v>85</v>
      </c>
      <c r="AB339" s="5" t="s">
        <v>2473</v>
      </c>
      <c r="AC339" s="5" t="s">
        <v>2470</v>
      </c>
      <c r="AF339" s="5">
        <v>131</v>
      </c>
      <c r="AG339" s="5">
        <v>1265</v>
      </c>
      <c r="AH339" s="5" t="s">
        <v>85</v>
      </c>
      <c r="AI339" s="5" t="s">
        <v>2471</v>
      </c>
      <c r="AJ339" s="5">
        <v>131</v>
      </c>
      <c r="AK339" s="5">
        <v>1186</v>
      </c>
      <c r="AL339" s="5">
        <v>507</v>
      </c>
      <c r="AM339" s="5">
        <v>679</v>
      </c>
      <c r="AN339" s="5">
        <v>131</v>
      </c>
      <c r="AO339" s="5">
        <v>0</v>
      </c>
      <c r="AP339" s="5">
        <v>0</v>
      </c>
      <c r="AQ339" s="5">
        <v>0</v>
      </c>
      <c r="AT339" s="5">
        <v>0</v>
      </c>
      <c r="AU339" s="5">
        <v>0</v>
      </c>
      <c r="AX339" s="5">
        <v>0</v>
      </c>
      <c r="AY339" s="5" t="s">
        <v>85</v>
      </c>
      <c r="AZ339" s="5">
        <v>15</v>
      </c>
      <c r="BA339" s="5">
        <v>79</v>
      </c>
      <c r="BB339" s="5">
        <v>35</v>
      </c>
      <c r="BC339" s="5">
        <v>44</v>
      </c>
      <c r="BD339" s="5">
        <v>0</v>
      </c>
      <c r="BE339" s="5">
        <v>0</v>
      </c>
      <c r="BF339" s="5">
        <v>0</v>
      </c>
      <c r="BH339" s="5">
        <v>0</v>
      </c>
      <c r="BI339" s="5">
        <v>15</v>
      </c>
      <c r="BJ339" s="5" t="s">
        <v>2490</v>
      </c>
      <c r="BL339" s="5">
        <v>0</v>
      </c>
      <c r="BM339" s="5">
        <v>0</v>
      </c>
      <c r="BN339" s="5" t="s">
        <v>86</v>
      </c>
      <c r="CD339" s="5">
        <v>0</v>
      </c>
      <c r="CF339" s="1442" t="str">
        <f>IF([1]!sommaire[[#This Row],[présence des personnes déplacés interne]]="Oui","1","0")</f>
        <v>1</v>
      </c>
      <c r="CG339" s="1442" t="str">
        <f>IF([1]!sommaire[[#This Row],[présence Réfugié hors camp]]="Oui","1","0")</f>
        <v>1</v>
      </c>
      <c r="CH339" s="1442" t="str">
        <f>IF([1]!sommaire[[#This Row],[présence personnes retournées]]="Oui","1","0")</f>
        <v>0</v>
      </c>
      <c r="CI339" s="1442">
        <f>[1]!sommaire[[#This Row],[Flag PDI]]+[1]!sommaire[[#This Row],[Flag REF]]+[1]!sommaire[[#This Row],[Flag RET]]</f>
        <v>2</v>
      </c>
    </row>
    <row r="340" spans="1:87" ht="14.55" customHeight="1" x14ac:dyDescent="0.3">
      <c r="A340" s="390">
        <v>2667495</v>
      </c>
      <c r="B340" s="5" t="s">
        <v>533</v>
      </c>
      <c r="C340" s="1430" t="s">
        <v>3449</v>
      </c>
      <c r="D340" s="1090" t="s">
        <v>534</v>
      </c>
      <c r="E340" s="5" t="s">
        <v>31</v>
      </c>
      <c r="F340" s="5" t="s">
        <v>31</v>
      </c>
      <c r="G340" s="5" t="s">
        <v>549</v>
      </c>
      <c r="H340" s="5" t="s">
        <v>169</v>
      </c>
      <c r="I340" s="5" t="str">
        <f>_xlfn.XLOOKUP(sommaire[[#This Row],[Arrondissement_code]],OCHA_GIS!$F:$F,OCHA_GIS!$E:$E,,)</f>
        <v>Logone-Birni</v>
      </c>
      <c r="J340" s="5" t="s">
        <v>673</v>
      </c>
      <c r="K340" t="s">
        <v>550</v>
      </c>
      <c r="L340" s="5" t="s">
        <v>3173</v>
      </c>
      <c r="M340" s="5" t="s">
        <v>3173</v>
      </c>
      <c r="N340" s="5" t="s">
        <v>3053</v>
      </c>
      <c r="O340" s="5" t="s">
        <v>2473</v>
      </c>
      <c r="P340" s="5" t="s">
        <v>85</v>
      </c>
      <c r="Q340" s="5" t="s">
        <v>86</v>
      </c>
      <c r="R340" s="5" t="s">
        <v>85</v>
      </c>
      <c r="T340" s="390">
        <v>3</v>
      </c>
      <c r="U340" s="5" t="s">
        <v>97</v>
      </c>
      <c r="W340" s="5" t="s">
        <v>2468</v>
      </c>
      <c r="X340" s="5" t="s">
        <v>102</v>
      </c>
      <c r="AA340" s="5" t="s">
        <v>85</v>
      </c>
      <c r="AB340" s="5" t="s">
        <v>2473</v>
      </c>
      <c r="AC340" s="5" t="s">
        <v>2470</v>
      </c>
      <c r="AG340" s="5">
        <v>238</v>
      </c>
      <c r="AH340" s="5" t="s">
        <v>86</v>
      </c>
      <c r="AY340" s="5" t="s">
        <v>85</v>
      </c>
      <c r="AZ340" s="5">
        <v>34</v>
      </c>
      <c r="BA340" s="5">
        <v>238</v>
      </c>
      <c r="BB340" s="5">
        <v>108</v>
      </c>
      <c r="BC340" s="5">
        <v>130</v>
      </c>
      <c r="BD340" s="5">
        <v>0</v>
      </c>
      <c r="BE340" s="5">
        <v>0</v>
      </c>
      <c r="BF340" s="5">
        <v>0</v>
      </c>
      <c r="BH340" s="5">
        <v>0</v>
      </c>
      <c r="BI340" s="5">
        <v>34</v>
      </c>
      <c r="BJ340" s="5" t="s">
        <v>2490</v>
      </c>
      <c r="BL340" s="5">
        <v>0</v>
      </c>
      <c r="BM340" s="5">
        <v>0</v>
      </c>
      <c r="BN340" s="5" t="s">
        <v>86</v>
      </c>
      <c r="CD340" s="5">
        <v>0</v>
      </c>
      <c r="CF340" s="1442" t="str">
        <f>IF([1]!sommaire[[#This Row],[présence des personnes déplacés interne]]="Oui","1","0")</f>
        <v>0</v>
      </c>
      <c r="CG340" s="1442" t="str">
        <f>IF([1]!sommaire[[#This Row],[présence Réfugié hors camp]]="Oui","1","0")</f>
        <v>1</v>
      </c>
      <c r="CH340" s="1442" t="str">
        <f>IF([1]!sommaire[[#This Row],[présence personnes retournées]]="Oui","1","0")</f>
        <v>0</v>
      </c>
      <c r="CI340" s="1442">
        <f>[1]!sommaire[[#This Row],[Flag PDI]]+[1]!sommaire[[#This Row],[Flag REF]]+[1]!sommaire[[#This Row],[Flag RET]]</f>
        <v>1</v>
      </c>
    </row>
    <row r="341" spans="1:87" ht="14.55" customHeight="1" x14ac:dyDescent="0.3">
      <c r="A341" s="390">
        <v>2614400</v>
      </c>
      <c r="B341" s="5" t="s">
        <v>533</v>
      </c>
      <c r="C341" s="1430" t="s">
        <v>3449</v>
      </c>
      <c r="D341" s="1090" t="s">
        <v>534</v>
      </c>
      <c r="E341" s="5" t="s">
        <v>31</v>
      </c>
      <c r="F341" s="5" t="s">
        <v>31</v>
      </c>
      <c r="G341" s="5" t="s">
        <v>549</v>
      </c>
      <c r="H341" s="5" t="s">
        <v>169</v>
      </c>
      <c r="I341" s="5" t="str">
        <f>_xlfn.XLOOKUP(sommaire[[#This Row],[Arrondissement_code]],OCHA_GIS!$F:$F,OCHA_GIS!$E:$E,,)</f>
        <v>Logone-Birni</v>
      </c>
      <c r="J341" s="5" t="s">
        <v>673</v>
      </c>
      <c r="K341" t="s">
        <v>550</v>
      </c>
      <c r="L341" s="5" t="s">
        <v>3187</v>
      </c>
      <c r="M341" s="5" t="s">
        <v>3187</v>
      </c>
      <c r="N341" s="5" t="s">
        <v>3053</v>
      </c>
      <c r="O341" s="5" t="s">
        <v>2473</v>
      </c>
      <c r="P341" s="5" t="s">
        <v>85</v>
      </c>
      <c r="Q341" s="5" t="s">
        <v>86</v>
      </c>
      <c r="R341" s="5" t="s">
        <v>86</v>
      </c>
      <c r="T341" s="390">
        <v>3</v>
      </c>
      <c r="U341" s="5" t="s">
        <v>97</v>
      </c>
      <c r="W341" s="5" t="s">
        <v>2468</v>
      </c>
      <c r="X341" s="5" t="s">
        <v>102</v>
      </c>
      <c r="AA341" s="5" t="s">
        <v>85</v>
      </c>
      <c r="AB341" s="5" t="s">
        <v>2473</v>
      </c>
      <c r="AC341" s="5" t="s">
        <v>2470</v>
      </c>
      <c r="AF341" s="5">
        <v>82</v>
      </c>
      <c r="AG341" s="5">
        <v>6050</v>
      </c>
      <c r="AH341" s="5" t="s">
        <v>85</v>
      </c>
      <c r="AI341" s="5" t="s">
        <v>2471</v>
      </c>
      <c r="AJ341" s="5">
        <v>82</v>
      </c>
      <c r="AK341" s="5">
        <v>567</v>
      </c>
      <c r="AL341" s="5">
        <v>250</v>
      </c>
      <c r="AM341" s="5">
        <v>317</v>
      </c>
      <c r="AN341" s="5">
        <v>0</v>
      </c>
      <c r="AO341" s="5">
        <v>0</v>
      </c>
      <c r="AP341" s="5">
        <v>0</v>
      </c>
      <c r="AQ341" s="5">
        <v>0</v>
      </c>
      <c r="AT341" s="5">
        <v>0</v>
      </c>
      <c r="AU341" s="5">
        <v>82</v>
      </c>
      <c r="AV341" s="5" t="s">
        <v>2490</v>
      </c>
      <c r="AX341" s="5">
        <v>0</v>
      </c>
      <c r="AY341" s="5" t="s">
        <v>86</v>
      </c>
      <c r="BN341" s="5" t="s">
        <v>86</v>
      </c>
      <c r="CD341" s="5">
        <v>0</v>
      </c>
      <c r="CF341" s="1442" t="str">
        <f>IF([1]!sommaire[[#This Row],[présence des personnes déplacés interne]]="Oui","1","0")</f>
        <v>1</v>
      </c>
      <c r="CG341" s="1442" t="str">
        <f>IF([1]!sommaire[[#This Row],[présence Réfugié hors camp]]="Oui","1","0")</f>
        <v>0</v>
      </c>
      <c r="CH341" s="1442" t="str">
        <f>IF([1]!sommaire[[#This Row],[présence personnes retournées]]="Oui","1","0")</f>
        <v>0</v>
      </c>
      <c r="CI341" s="1442">
        <f>[1]!sommaire[[#This Row],[Flag PDI]]+[1]!sommaire[[#This Row],[Flag REF]]+[1]!sommaire[[#This Row],[Flag RET]]</f>
        <v>1</v>
      </c>
    </row>
    <row r="342" spans="1:87" ht="14.55" customHeight="1" x14ac:dyDescent="0.3">
      <c r="A342" s="390">
        <v>2614606</v>
      </c>
      <c r="B342" s="5" t="s">
        <v>533</v>
      </c>
      <c r="C342" s="1430" t="s">
        <v>3449</v>
      </c>
      <c r="D342" s="1090" t="s">
        <v>534</v>
      </c>
      <c r="E342" s="5" t="s">
        <v>31</v>
      </c>
      <c r="F342" s="5" t="s">
        <v>31</v>
      </c>
      <c r="G342" s="5" t="s">
        <v>549</v>
      </c>
      <c r="H342" s="5" t="s">
        <v>169</v>
      </c>
      <c r="I342" s="5" t="str">
        <f>_xlfn.XLOOKUP(sommaire[[#This Row],[Arrondissement_code]],OCHA_GIS!$F:$F,OCHA_GIS!$E:$E,,)</f>
        <v>Logone-Birni</v>
      </c>
      <c r="J342" s="5" t="s">
        <v>673</v>
      </c>
      <c r="K342" t="s">
        <v>550</v>
      </c>
      <c r="L342" s="5" t="s">
        <v>3189</v>
      </c>
      <c r="M342" s="5" t="s">
        <v>3189</v>
      </c>
      <c r="N342" s="5" t="s">
        <v>3053</v>
      </c>
      <c r="O342" s="5" t="s">
        <v>2473</v>
      </c>
      <c r="P342" s="5" t="s">
        <v>85</v>
      </c>
      <c r="Q342" s="5" t="s">
        <v>86</v>
      </c>
      <c r="R342" s="5" t="s">
        <v>86</v>
      </c>
      <c r="T342" s="390">
        <v>3</v>
      </c>
      <c r="U342" s="5" t="s">
        <v>97</v>
      </c>
      <c r="W342" s="5" t="s">
        <v>2468</v>
      </c>
      <c r="X342" s="5" t="s">
        <v>102</v>
      </c>
      <c r="AA342" s="5" t="s">
        <v>85</v>
      </c>
      <c r="AB342" s="5" t="s">
        <v>2469</v>
      </c>
      <c r="AC342" s="5" t="s">
        <v>2470</v>
      </c>
      <c r="AF342" s="5">
        <v>74</v>
      </c>
      <c r="AG342" s="5">
        <v>1794</v>
      </c>
      <c r="AH342" s="5" t="s">
        <v>85</v>
      </c>
      <c r="AI342" s="5" t="s">
        <v>2471</v>
      </c>
      <c r="AJ342" s="5">
        <v>74</v>
      </c>
      <c r="AK342" s="5">
        <v>622</v>
      </c>
      <c r="AL342" s="5">
        <v>308</v>
      </c>
      <c r="AM342" s="5">
        <v>314</v>
      </c>
      <c r="AN342" s="5">
        <v>0</v>
      </c>
      <c r="AO342" s="5">
        <v>0</v>
      </c>
      <c r="AP342" s="5">
        <v>0</v>
      </c>
      <c r="AQ342" s="5">
        <v>0</v>
      </c>
      <c r="AT342" s="5">
        <v>0</v>
      </c>
      <c r="AU342" s="5">
        <v>74</v>
      </c>
      <c r="AV342" s="5" t="s">
        <v>2490</v>
      </c>
      <c r="AX342" s="5">
        <v>0</v>
      </c>
      <c r="AY342" s="5" t="s">
        <v>85</v>
      </c>
      <c r="AZ342" s="5">
        <v>44</v>
      </c>
      <c r="BA342" s="5">
        <v>254</v>
      </c>
      <c r="BB342" s="5">
        <v>124</v>
      </c>
      <c r="BC342" s="5">
        <v>130</v>
      </c>
      <c r="BD342" s="5">
        <v>0</v>
      </c>
      <c r="BE342" s="5">
        <v>0</v>
      </c>
      <c r="BF342" s="5">
        <v>0</v>
      </c>
      <c r="BH342" s="5">
        <v>0</v>
      </c>
      <c r="BI342" s="5">
        <v>44</v>
      </c>
      <c r="BJ342" s="5" t="s">
        <v>2490</v>
      </c>
      <c r="BL342" s="5">
        <v>0</v>
      </c>
      <c r="BM342" s="5">
        <v>44</v>
      </c>
      <c r="BN342" s="5" t="s">
        <v>86</v>
      </c>
      <c r="CD342" s="5">
        <v>0</v>
      </c>
      <c r="CF342" s="1442" t="str">
        <f>IF([1]!sommaire[[#This Row],[présence des personnes déplacés interne]]="Oui","1","0")</f>
        <v>1</v>
      </c>
      <c r="CG342" s="1442" t="str">
        <f>IF([1]!sommaire[[#This Row],[présence Réfugié hors camp]]="Oui","1","0")</f>
        <v>1</v>
      </c>
      <c r="CH342" s="1442" t="str">
        <f>IF([1]!sommaire[[#This Row],[présence personnes retournées]]="Oui","1","0")</f>
        <v>0</v>
      </c>
      <c r="CI342" s="1442">
        <f>[1]!sommaire[[#This Row],[Flag PDI]]+[1]!sommaire[[#This Row],[Flag REF]]+[1]!sommaire[[#This Row],[Flag RET]]</f>
        <v>2</v>
      </c>
    </row>
    <row r="343" spans="1:87" ht="14.55" customHeight="1" x14ac:dyDescent="0.3">
      <c r="A343" s="390">
        <v>2621519</v>
      </c>
      <c r="B343" s="5" t="s">
        <v>533</v>
      </c>
      <c r="C343" s="1430" t="s">
        <v>3449</v>
      </c>
      <c r="D343" s="1090" t="s">
        <v>534</v>
      </c>
      <c r="E343" s="5" t="s">
        <v>31</v>
      </c>
      <c r="F343" s="5" t="s">
        <v>31</v>
      </c>
      <c r="G343" s="5" t="s">
        <v>549</v>
      </c>
      <c r="H343" s="5" t="s">
        <v>169</v>
      </c>
      <c r="I343" s="5" t="str">
        <f>_xlfn.XLOOKUP(sommaire[[#This Row],[Arrondissement_code]],OCHA_GIS!$F:$F,OCHA_GIS!$E:$E,,)</f>
        <v>Logone-Birni</v>
      </c>
      <c r="J343" s="5" t="s">
        <v>673</v>
      </c>
      <c r="K343" t="s">
        <v>550</v>
      </c>
      <c r="L343" s="5" t="s">
        <v>3190</v>
      </c>
      <c r="M343" s="5" t="s">
        <v>3190</v>
      </c>
      <c r="N343" s="5" t="s">
        <v>3053</v>
      </c>
      <c r="O343" s="5" t="s">
        <v>2473</v>
      </c>
      <c r="P343" s="5" t="s">
        <v>85</v>
      </c>
      <c r="Q343" s="5" t="s">
        <v>86</v>
      </c>
      <c r="R343" s="5" t="s">
        <v>85</v>
      </c>
      <c r="T343" s="390">
        <v>3</v>
      </c>
      <c r="U343" s="5" t="s">
        <v>97</v>
      </c>
      <c r="W343" s="5" t="s">
        <v>2468</v>
      </c>
      <c r="X343" s="5" t="s">
        <v>102</v>
      </c>
      <c r="AA343" s="586" t="s">
        <v>85</v>
      </c>
      <c r="AB343" s="5" t="s">
        <v>2473</v>
      </c>
      <c r="AC343" s="5" t="s">
        <v>2470</v>
      </c>
      <c r="AG343" s="5">
        <v>1050</v>
      </c>
      <c r="AH343" s="5" t="s">
        <v>86</v>
      </c>
      <c r="AY343" s="5" t="s">
        <v>85</v>
      </c>
      <c r="AZ343" s="5">
        <v>200</v>
      </c>
      <c r="BA343" s="5">
        <v>1050</v>
      </c>
      <c r="BB343" s="5">
        <v>700</v>
      </c>
      <c r="BC343" s="5">
        <v>350</v>
      </c>
      <c r="BD343" s="5">
        <v>0</v>
      </c>
      <c r="BE343" s="5">
        <v>0</v>
      </c>
      <c r="BF343" s="5">
        <v>0</v>
      </c>
      <c r="BH343" s="5">
        <v>0</v>
      </c>
      <c r="BI343" s="5">
        <v>200</v>
      </c>
      <c r="BJ343" s="5" t="s">
        <v>2490</v>
      </c>
      <c r="BL343" s="5">
        <v>0</v>
      </c>
      <c r="BM343" s="5">
        <v>150</v>
      </c>
      <c r="BN343" s="5" t="s">
        <v>86</v>
      </c>
      <c r="CD343" s="5">
        <v>50</v>
      </c>
      <c r="CF343" s="1442" t="str">
        <f>IF([1]!sommaire[[#This Row],[présence des personnes déplacés interne]]="Oui","1","0")</f>
        <v>0</v>
      </c>
      <c r="CG343" s="1442" t="str">
        <f>IF([1]!sommaire[[#This Row],[présence Réfugié hors camp]]="Oui","1","0")</f>
        <v>1</v>
      </c>
      <c r="CH343" s="1442" t="str">
        <f>IF([1]!sommaire[[#This Row],[présence personnes retournées]]="Oui","1","0")</f>
        <v>0</v>
      </c>
      <c r="CI343" s="1442">
        <f>[1]!sommaire[[#This Row],[Flag PDI]]+[1]!sommaire[[#This Row],[Flag REF]]+[1]!sommaire[[#This Row],[Flag RET]]</f>
        <v>1</v>
      </c>
    </row>
    <row r="344" spans="1:87" ht="14.55" customHeight="1" x14ac:dyDescent="0.3">
      <c r="A344" s="390">
        <v>2663638</v>
      </c>
      <c r="B344" s="5" t="s">
        <v>533</v>
      </c>
      <c r="C344" s="1430" t="s">
        <v>3449</v>
      </c>
      <c r="D344" s="1090" t="s">
        <v>534</v>
      </c>
      <c r="E344" s="5" t="s">
        <v>31</v>
      </c>
      <c r="F344" s="5" t="s">
        <v>31</v>
      </c>
      <c r="G344" s="5" t="s">
        <v>549</v>
      </c>
      <c r="H344" s="5" t="s">
        <v>169</v>
      </c>
      <c r="I344" s="5" t="str">
        <f>_xlfn.XLOOKUP(sommaire[[#This Row],[Arrondissement_code]],OCHA_GIS!$F:$F,OCHA_GIS!$E:$E,,)</f>
        <v>Logone-Birni</v>
      </c>
      <c r="J344" s="5" t="s">
        <v>673</v>
      </c>
      <c r="K344" t="s">
        <v>2859</v>
      </c>
      <c r="L344" s="5" t="s">
        <v>3082</v>
      </c>
      <c r="N344" s="5" t="s">
        <v>3053</v>
      </c>
      <c r="O344" s="5" t="s">
        <v>2467</v>
      </c>
      <c r="P344" s="5" t="s">
        <v>85</v>
      </c>
      <c r="Q344" s="5" t="s">
        <v>86</v>
      </c>
      <c r="R344" s="5" t="s">
        <v>85</v>
      </c>
      <c r="T344" s="390">
        <v>4</v>
      </c>
      <c r="U344" s="5" t="s">
        <v>97</v>
      </c>
      <c r="W344" s="5" t="s">
        <v>2468</v>
      </c>
      <c r="X344" s="5" t="s">
        <v>101</v>
      </c>
      <c r="Y344" s="5" t="s">
        <v>274</v>
      </c>
      <c r="AA344" s="5" t="s">
        <v>85</v>
      </c>
      <c r="AB344" s="5" t="s">
        <v>2469</v>
      </c>
      <c r="AC344" s="5" t="s">
        <v>2470</v>
      </c>
      <c r="AD344" s="5" t="s">
        <v>86</v>
      </c>
      <c r="AG344" s="5">
        <v>120</v>
      </c>
      <c r="AH344" s="5" t="s">
        <v>86</v>
      </c>
      <c r="AY344" s="5" t="s">
        <v>86</v>
      </c>
      <c r="BN344" s="5" t="s">
        <v>85</v>
      </c>
      <c r="BO344" s="5">
        <v>23</v>
      </c>
      <c r="BP344" s="5">
        <v>100</v>
      </c>
      <c r="BQ344" s="5">
        <v>45</v>
      </c>
      <c r="BR344" s="5">
        <v>55</v>
      </c>
      <c r="BS344" s="5" t="s">
        <v>2492</v>
      </c>
      <c r="BT344" s="5">
        <v>0</v>
      </c>
      <c r="BU344" s="5">
        <v>12</v>
      </c>
      <c r="BV344" s="5">
        <v>0</v>
      </c>
      <c r="BW344" s="5">
        <v>0</v>
      </c>
      <c r="BX344" s="5">
        <v>0</v>
      </c>
      <c r="BZ344" s="5">
        <v>0</v>
      </c>
      <c r="CA344" s="5">
        <v>11</v>
      </c>
      <c r="CB344" s="5" t="s">
        <v>2490</v>
      </c>
      <c r="CC344" s="5">
        <v>0</v>
      </c>
      <c r="CD344" s="5">
        <v>0</v>
      </c>
      <c r="CF344" s="1442" t="str">
        <f>IF([1]!sommaire[[#This Row],[présence des personnes déplacés interne]]="Oui","1","0")</f>
        <v>0</v>
      </c>
      <c r="CG344" s="1442" t="str">
        <f>IF([1]!sommaire[[#This Row],[présence Réfugié hors camp]]="Oui","1","0")</f>
        <v>0</v>
      </c>
      <c r="CH344" s="1442" t="str">
        <f>IF([1]!sommaire[[#This Row],[présence personnes retournées]]="Oui","1","0")</f>
        <v>1</v>
      </c>
      <c r="CI344" s="1442">
        <f>[1]!sommaire[[#This Row],[Flag PDI]]+[1]!sommaire[[#This Row],[Flag REF]]+[1]!sommaire[[#This Row],[Flag RET]]</f>
        <v>1</v>
      </c>
    </row>
    <row r="345" spans="1:87" ht="14.55" customHeight="1" x14ac:dyDescent="0.3">
      <c r="A345" s="390">
        <v>2691070</v>
      </c>
      <c r="B345" s="5" t="s">
        <v>533</v>
      </c>
      <c r="C345" s="1430" t="s">
        <v>3449</v>
      </c>
      <c r="D345" s="1090" t="s">
        <v>534</v>
      </c>
      <c r="E345" s="5" t="s">
        <v>31</v>
      </c>
      <c r="F345" s="5" t="s">
        <v>31</v>
      </c>
      <c r="G345" s="5" t="s">
        <v>549</v>
      </c>
      <c r="H345" s="5" t="s">
        <v>169</v>
      </c>
      <c r="I345" s="5" t="str">
        <f>_xlfn.XLOOKUP(sommaire[[#This Row],[Arrondissement_code]],OCHA_GIS!$F:$F,OCHA_GIS!$E:$E,,)</f>
        <v>Logone-Birni</v>
      </c>
      <c r="J345" s="5" t="s">
        <v>673</v>
      </c>
      <c r="K345" t="s">
        <v>1474</v>
      </c>
      <c r="L345" s="5" t="s">
        <v>2569</v>
      </c>
      <c r="N345" s="5" t="s">
        <v>3053</v>
      </c>
      <c r="O345" s="5" t="s">
        <v>2467</v>
      </c>
      <c r="P345" s="5" t="s">
        <v>85</v>
      </c>
      <c r="Q345" s="5" t="s">
        <v>86</v>
      </c>
      <c r="R345" s="5" t="s">
        <v>86</v>
      </c>
      <c r="T345" s="390">
        <v>4</v>
      </c>
      <c r="U345" s="5" t="s">
        <v>97</v>
      </c>
      <c r="W345" s="5" t="s">
        <v>2468</v>
      </c>
      <c r="X345" s="5" t="s">
        <v>102</v>
      </c>
      <c r="AA345" s="5" t="s">
        <v>85</v>
      </c>
      <c r="AB345" s="5" t="s">
        <v>2469</v>
      </c>
      <c r="AC345" s="5" t="s">
        <v>2470</v>
      </c>
      <c r="AD345" s="5" t="s">
        <v>86</v>
      </c>
      <c r="AG345" s="5">
        <v>500</v>
      </c>
      <c r="AH345" s="5" t="s">
        <v>86</v>
      </c>
      <c r="AY345" s="5" t="s">
        <v>85</v>
      </c>
      <c r="AZ345" s="5">
        <v>2</v>
      </c>
      <c r="BA345" s="5">
        <v>9</v>
      </c>
      <c r="BB345" s="5">
        <v>4</v>
      </c>
      <c r="BC345" s="5">
        <v>5</v>
      </c>
      <c r="BD345" s="5">
        <v>2</v>
      </c>
      <c r="BE345" s="5">
        <v>0</v>
      </c>
      <c r="BF345" s="5">
        <v>0</v>
      </c>
      <c r="BH345" s="5">
        <v>0</v>
      </c>
      <c r="BI345" s="5">
        <v>0</v>
      </c>
      <c r="BL345" s="5">
        <v>0</v>
      </c>
      <c r="BM345" s="5">
        <v>0</v>
      </c>
      <c r="BN345" s="5" t="s">
        <v>85</v>
      </c>
      <c r="BO345" s="5">
        <v>100</v>
      </c>
      <c r="BP345" s="5">
        <v>491</v>
      </c>
      <c r="BQ345" s="5">
        <v>202</v>
      </c>
      <c r="BR345" s="5">
        <v>289</v>
      </c>
      <c r="BS345" s="5" t="s">
        <v>2492</v>
      </c>
      <c r="BT345" s="5">
        <v>3</v>
      </c>
      <c r="BU345" s="5">
        <v>95</v>
      </c>
      <c r="BV345" s="5">
        <v>2</v>
      </c>
      <c r="BW345" s="5">
        <v>0</v>
      </c>
      <c r="BX345" s="5">
        <v>0</v>
      </c>
      <c r="BZ345" s="5">
        <v>0</v>
      </c>
      <c r="CA345" s="5">
        <v>0</v>
      </c>
      <c r="CC345" s="5">
        <v>0</v>
      </c>
      <c r="CD345" s="5">
        <v>0</v>
      </c>
      <c r="CF345" s="1442" t="str">
        <f>IF([1]!sommaire[[#This Row],[présence des personnes déplacés interne]]="Oui","1","0")</f>
        <v>0</v>
      </c>
      <c r="CG345" s="1442" t="str">
        <f>IF([1]!sommaire[[#This Row],[présence Réfugié hors camp]]="Oui","1","0")</f>
        <v>1</v>
      </c>
      <c r="CH345" s="1442" t="str">
        <f>IF([1]!sommaire[[#This Row],[présence personnes retournées]]="Oui","1","0")</f>
        <v>1</v>
      </c>
      <c r="CI345" s="1442">
        <f>[1]!sommaire[[#This Row],[Flag PDI]]+[1]!sommaire[[#This Row],[Flag REF]]+[1]!sommaire[[#This Row],[Flag RET]]</f>
        <v>2</v>
      </c>
    </row>
    <row r="346" spans="1:87" ht="14.55" customHeight="1" x14ac:dyDescent="0.3">
      <c r="A346" s="390">
        <v>2659679</v>
      </c>
      <c r="B346" s="5" t="s">
        <v>533</v>
      </c>
      <c r="C346" s="1430" t="s">
        <v>3449</v>
      </c>
      <c r="D346" s="1090" t="s">
        <v>534</v>
      </c>
      <c r="E346" s="5" t="s">
        <v>31</v>
      </c>
      <c r="F346" s="5" t="s">
        <v>31</v>
      </c>
      <c r="G346" s="5" t="s">
        <v>549</v>
      </c>
      <c r="H346" s="5" t="s">
        <v>169</v>
      </c>
      <c r="I346" s="5" t="str">
        <f>_xlfn.XLOOKUP(sommaire[[#This Row],[Arrondissement_code]],OCHA_GIS!$F:$F,OCHA_GIS!$E:$E,,)</f>
        <v>Logone-Birni</v>
      </c>
      <c r="J346" s="5" t="s">
        <v>673</v>
      </c>
      <c r="K346" t="s">
        <v>2860</v>
      </c>
      <c r="L346" s="5" t="s">
        <v>2358</v>
      </c>
      <c r="N346" s="5" t="s">
        <v>3053</v>
      </c>
      <c r="O346" s="5" t="s">
        <v>2467</v>
      </c>
      <c r="P346" s="5" t="s">
        <v>85</v>
      </c>
      <c r="Q346" s="5" t="s">
        <v>86</v>
      </c>
      <c r="R346" s="5" t="s">
        <v>86</v>
      </c>
      <c r="T346" s="390">
        <v>3</v>
      </c>
      <c r="U346" s="5" t="s">
        <v>97</v>
      </c>
      <c r="W346" s="5" t="s">
        <v>2468</v>
      </c>
      <c r="X346" s="5" t="s">
        <v>102</v>
      </c>
      <c r="AA346" s="586" t="s">
        <v>85</v>
      </c>
      <c r="AB346" s="5" t="s">
        <v>2469</v>
      </c>
      <c r="AC346" s="5" t="s">
        <v>2470</v>
      </c>
      <c r="AD346" s="5" t="s">
        <v>86</v>
      </c>
      <c r="AG346" s="5">
        <v>295</v>
      </c>
      <c r="AH346" s="5" t="s">
        <v>86</v>
      </c>
      <c r="AY346" s="5" t="s">
        <v>86</v>
      </c>
      <c r="BN346" s="5" t="s">
        <v>85</v>
      </c>
      <c r="BO346" s="5">
        <v>68</v>
      </c>
      <c r="BP346" s="5">
        <v>291</v>
      </c>
      <c r="BQ346" s="5">
        <v>116</v>
      </c>
      <c r="BR346" s="5">
        <v>175</v>
      </c>
      <c r="BS346" s="5" t="s">
        <v>2492</v>
      </c>
      <c r="BT346" s="5">
        <v>0</v>
      </c>
      <c r="BU346" s="5">
        <v>0</v>
      </c>
      <c r="BV346" s="5">
        <v>0</v>
      </c>
      <c r="BW346" s="5">
        <v>0</v>
      </c>
      <c r="BX346" s="5">
        <v>0</v>
      </c>
      <c r="BZ346" s="5">
        <v>0</v>
      </c>
      <c r="CA346" s="5">
        <v>68</v>
      </c>
      <c r="CB346" s="5" t="s">
        <v>2490</v>
      </c>
      <c r="CC346" s="5">
        <v>0</v>
      </c>
      <c r="CD346" s="5">
        <v>0</v>
      </c>
      <c r="CF346" s="1442" t="str">
        <f>IF([1]!sommaire[[#This Row],[présence des personnes déplacés interne]]="Oui","1","0")</f>
        <v>0</v>
      </c>
      <c r="CG346" s="1442" t="str">
        <f>IF([1]!sommaire[[#This Row],[présence Réfugié hors camp]]="Oui","1","0")</f>
        <v>0</v>
      </c>
      <c r="CH346" s="1442" t="str">
        <f>IF([1]!sommaire[[#This Row],[présence personnes retournées]]="Oui","1","0")</f>
        <v>1</v>
      </c>
      <c r="CI346" s="1442">
        <f>[1]!sommaire[[#This Row],[Flag PDI]]+[1]!sommaire[[#This Row],[Flag REF]]+[1]!sommaire[[#This Row],[Flag RET]]</f>
        <v>1</v>
      </c>
    </row>
    <row r="347" spans="1:87" ht="14.55" customHeight="1" x14ac:dyDescent="0.3">
      <c r="A347" s="390">
        <v>2634713</v>
      </c>
      <c r="B347" s="5" t="s">
        <v>533</v>
      </c>
      <c r="C347" s="1430" t="s">
        <v>3449</v>
      </c>
      <c r="D347" s="1090" t="s">
        <v>534</v>
      </c>
      <c r="E347" s="5" t="s">
        <v>31</v>
      </c>
      <c r="F347" s="5" t="s">
        <v>31</v>
      </c>
      <c r="G347" s="5" t="s">
        <v>549</v>
      </c>
      <c r="H347" s="5" t="s">
        <v>169</v>
      </c>
      <c r="I347" s="5" t="str">
        <f>_xlfn.XLOOKUP(sommaire[[#This Row],[Arrondissement_code]],OCHA_GIS!$F:$F,OCHA_GIS!$E:$E,,)</f>
        <v>Logone-Birni</v>
      </c>
      <c r="J347" s="5" t="s">
        <v>673</v>
      </c>
      <c r="K347" t="s">
        <v>2833</v>
      </c>
      <c r="L347" s="5" t="s">
        <v>2353</v>
      </c>
      <c r="N347" s="5" t="s">
        <v>3053</v>
      </c>
      <c r="O347" s="5" t="s">
        <v>2467</v>
      </c>
      <c r="P347" s="5" t="s">
        <v>85</v>
      </c>
      <c r="Q347" s="5" t="s">
        <v>86</v>
      </c>
      <c r="R347" s="5" t="s">
        <v>86</v>
      </c>
      <c r="T347" s="390">
        <v>3</v>
      </c>
      <c r="U347" s="5" t="s">
        <v>97</v>
      </c>
      <c r="W347" s="5" t="s">
        <v>2468</v>
      </c>
      <c r="X347" s="5" t="s">
        <v>103</v>
      </c>
      <c r="Y347" s="5" t="s">
        <v>274</v>
      </c>
      <c r="AA347" s="5" t="s">
        <v>85</v>
      </c>
      <c r="AB347" s="5" t="s">
        <v>2469</v>
      </c>
      <c r="AC347" s="5" t="s">
        <v>2470</v>
      </c>
      <c r="AD347" s="5" t="s">
        <v>86</v>
      </c>
      <c r="AG347" s="5">
        <v>143</v>
      </c>
      <c r="AH347" s="5" t="s">
        <v>86</v>
      </c>
      <c r="AY347" s="5" t="s">
        <v>86</v>
      </c>
      <c r="BN347" s="5" t="s">
        <v>85</v>
      </c>
      <c r="BO347" s="5">
        <v>13</v>
      </c>
      <c r="BP347" s="5">
        <v>72</v>
      </c>
      <c r="BQ347" s="5">
        <v>35</v>
      </c>
      <c r="BR347" s="5">
        <v>37</v>
      </c>
      <c r="BS347" s="5" t="s">
        <v>2492</v>
      </c>
      <c r="BT347" s="5">
        <v>0</v>
      </c>
      <c r="BU347" s="5">
        <v>13</v>
      </c>
      <c r="BV347" s="5">
        <v>0</v>
      </c>
      <c r="BW347" s="5">
        <v>0</v>
      </c>
      <c r="BX347" s="5">
        <v>0</v>
      </c>
      <c r="BZ347" s="5">
        <v>0</v>
      </c>
      <c r="CA347" s="5">
        <v>0</v>
      </c>
      <c r="CC347" s="5">
        <v>0</v>
      </c>
      <c r="CD347" s="5">
        <v>0</v>
      </c>
      <c r="CF347" s="1442" t="str">
        <f>IF([1]!sommaire[[#This Row],[présence des personnes déplacés interne]]="Oui","1","0")</f>
        <v>0</v>
      </c>
      <c r="CG347" s="1442" t="str">
        <f>IF([1]!sommaire[[#This Row],[présence Réfugié hors camp]]="Oui","1","0")</f>
        <v>0</v>
      </c>
      <c r="CH347" s="1442" t="str">
        <f>IF([1]!sommaire[[#This Row],[présence personnes retournées]]="Oui","1","0")</f>
        <v>1</v>
      </c>
      <c r="CI347" s="1442">
        <f>[1]!sommaire[[#This Row],[Flag PDI]]+[1]!sommaire[[#This Row],[Flag REF]]+[1]!sommaire[[#This Row],[Flag RET]]</f>
        <v>1</v>
      </c>
    </row>
    <row r="348" spans="1:87" ht="14.55" customHeight="1" x14ac:dyDescent="0.3">
      <c r="A348" s="390">
        <v>2706284</v>
      </c>
      <c r="B348" s="5" t="s">
        <v>533</v>
      </c>
      <c r="C348" s="1430" t="s">
        <v>3449</v>
      </c>
      <c r="D348" s="1090" t="s">
        <v>534</v>
      </c>
      <c r="E348" s="5" t="s">
        <v>31</v>
      </c>
      <c r="F348" s="5" t="s">
        <v>31</v>
      </c>
      <c r="G348" s="5" t="s">
        <v>549</v>
      </c>
      <c r="H348" s="5" t="s">
        <v>169</v>
      </c>
      <c r="I348" s="5" t="str">
        <f>_xlfn.XLOOKUP(sommaire[[#This Row],[Arrondissement_code]],OCHA_GIS!$F:$F,OCHA_GIS!$E:$E,,)</f>
        <v>Logone-Birni</v>
      </c>
      <c r="J348" s="5" t="s">
        <v>673</v>
      </c>
      <c r="K348" t="s">
        <v>814</v>
      </c>
      <c r="L348" s="5" t="s">
        <v>1553</v>
      </c>
      <c r="N348" s="5" t="s">
        <v>3053</v>
      </c>
      <c r="O348" s="5" t="s">
        <v>2467</v>
      </c>
      <c r="P348" s="5" t="s">
        <v>85</v>
      </c>
      <c r="Q348" s="5" t="s">
        <v>86</v>
      </c>
      <c r="R348" s="5" t="s">
        <v>86</v>
      </c>
      <c r="T348" s="390">
        <v>3</v>
      </c>
      <c r="U348" s="5" t="s">
        <v>97</v>
      </c>
      <c r="W348" s="5" t="s">
        <v>2468</v>
      </c>
      <c r="X348" s="5" t="s">
        <v>102</v>
      </c>
      <c r="AA348" s="5" t="s">
        <v>85</v>
      </c>
      <c r="AB348" s="5" t="s">
        <v>2469</v>
      </c>
      <c r="AC348" s="5" t="s">
        <v>2470</v>
      </c>
      <c r="AD348" s="5" t="s">
        <v>86</v>
      </c>
      <c r="AF348" s="5">
        <v>85</v>
      </c>
      <c r="AG348" s="5">
        <v>449</v>
      </c>
      <c r="AH348" s="5" t="s">
        <v>85</v>
      </c>
      <c r="AI348" s="5" t="s">
        <v>2471</v>
      </c>
      <c r="AJ348" s="5">
        <v>85</v>
      </c>
      <c r="AK348" s="5">
        <v>242</v>
      </c>
      <c r="AL348" s="5">
        <v>102</v>
      </c>
      <c r="AM348" s="5">
        <v>140</v>
      </c>
      <c r="AN348" s="5">
        <v>0</v>
      </c>
      <c r="AO348" s="5">
        <v>85</v>
      </c>
      <c r="AP348" s="5">
        <v>0</v>
      </c>
      <c r="AQ348" s="5">
        <v>0</v>
      </c>
      <c r="AT348" s="5">
        <v>0</v>
      </c>
      <c r="AU348" s="5">
        <v>0</v>
      </c>
      <c r="AX348" s="5">
        <v>0</v>
      </c>
      <c r="AY348" s="5" t="s">
        <v>86</v>
      </c>
      <c r="BN348" s="5" t="s">
        <v>85</v>
      </c>
      <c r="BO348" s="5">
        <v>45</v>
      </c>
      <c r="BP348" s="5">
        <v>150</v>
      </c>
      <c r="BQ348" s="5">
        <v>60</v>
      </c>
      <c r="BR348" s="5">
        <v>90</v>
      </c>
      <c r="BS348" s="5" t="s">
        <v>2484</v>
      </c>
      <c r="BT348" s="5">
        <v>0</v>
      </c>
      <c r="BU348" s="5">
        <v>45</v>
      </c>
      <c r="BV348" s="5">
        <v>0</v>
      </c>
      <c r="BW348" s="5">
        <v>0</v>
      </c>
      <c r="BX348" s="5">
        <v>0</v>
      </c>
      <c r="BZ348" s="5">
        <v>0</v>
      </c>
      <c r="CA348" s="5">
        <v>0</v>
      </c>
      <c r="CC348" s="5">
        <v>0</v>
      </c>
      <c r="CD348" s="5">
        <v>0</v>
      </c>
      <c r="CF348" s="1442" t="str">
        <f>IF([1]!sommaire[[#This Row],[présence des personnes déplacés interne]]="Oui","1","0")</f>
        <v>1</v>
      </c>
      <c r="CG348" s="1442" t="str">
        <f>IF([1]!sommaire[[#This Row],[présence Réfugié hors camp]]="Oui","1","0")</f>
        <v>0</v>
      </c>
      <c r="CH348" s="1442" t="str">
        <f>IF([1]!sommaire[[#This Row],[présence personnes retournées]]="Oui","1","0")</f>
        <v>1</v>
      </c>
      <c r="CI348" s="1442">
        <f>[1]!sommaire[[#This Row],[Flag PDI]]+[1]!sommaire[[#This Row],[Flag REF]]+[1]!sommaire[[#This Row],[Flag RET]]</f>
        <v>2</v>
      </c>
    </row>
    <row r="349" spans="1:87" ht="14.55" customHeight="1" x14ac:dyDescent="0.3">
      <c r="A349" s="390">
        <v>2706283</v>
      </c>
      <c r="B349" s="5" t="s">
        <v>533</v>
      </c>
      <c r="C349" s="1430" t="s">
        <v>3449</v>
      </c>
      <c r="D349" s="1090" t="s">
        <v>534</v>
      </c>
      <c r="E349" s="5" t="s">
        <v>31</v>
      </c>
      <c r="F349" s="5" t="s">
        <v>31</v>
      </c>
      <c r="G349" s="5" t="s">
        <v>549</v>
      </c>
      <c r="H349" s="5" t="s">
        <v>169</v>
      </c>
      <c r="I349" s="5" t="str">
        <f>_xlfn.XLOOKUP(sommaire[[#This Row],[Arrondissement_code]],OCHA_GIS!$F:$F,OCHA_GIS!$E:$E,,)</f>
        <v>Logone-Birni</v>
      </c>
      <c r="J349" s="5" t="s">
        <v>673</v>
      </c>
      <c r="K349" t="s">
        <v>1093</v>
      </c>
      <c r="L349" s="5" t="s">
        <v>1504</v>
      </c>
      <c r="N349" s="5" t="s">
        <v>3053</v>
      </c>
      <c r="O349" s="5" t="s">
        <v>2467</v>
      </c>
      <c r="P349" s="5" t="s">
        <v>85</v>
      </c>
      <c r="Q349" s="5" t="s">
        <v>86</v>
      </c>
      <c r="R349" s="5" t="s">
        <v>86</v>
      </c>
      <c r="T349" s="390">
        <v>3</v>
      </c>
      <c r="U349" s="5" t="s">
        <v>97</v>
      </c>
      <c r="W349" s="5" t="s">
        <v>2468</v>
      </c>
      <c r="X349" s="5" t="s">
        <v>103</v>
      </c>
      <c r="Y349" s="5" t="s">
        <v>274</v>
      </c>
      <c r="AA349" s="5" t="s">
        <v>85</v>
      </c>
      <c r="AB349" s="5" t="s">
        <v>2469</v>
      </c>
      <c r="AC349" s="5" t="s">
        <v>2470</v>
      </c>
      <c r="AD349" s="5" t="s">
        <v>86</v>
      </c>
      <c r="AG349" s="5">
        <v>321</v>
      </c>
      <c r="AH349" s="5" t="s">
        <v>86</v>
      </c>
      <c r="AY349" s="5" t="s">
        <v>86</v>
      </c>
      <c r="BN349" s="5" t="s">
        <v>85</v>
      </c>
      <c r="BO349" s="5">
        <v>44</v>
      </c>
      <c r="BP349" s="5">
        <v>321</v>
      </c>
      <c r="BQ349" s="5">
        <v>121</v>
      </c>
      <c r="BR349" s="5">
        <v>200</v>
      </c>
      <c r="BS349" s="5" t="s">
        <v>2484</v>
      </c>
      <c r="BT349" s="5">
        <v>40</v>
      </c>
      <c r="BU349" s="5">
        <v>4</v>
      </c>
      <c r="BV349" s="5">
        <v>0</v>
      </c>
      <c r="BW349" s="5">
        <v>0</v>
      </c>
      <c r="BX349" s="5">
        <v>0</v>
      </c>
      <c r="BZ349" s="5">
        <v>0</v>
      </c>
      <c r="CA349" s="5">
        <v>0</v>
      </c>
      <c r="CC349" s="5">
        <v>0</v>
      </c>
      <c r="CD349" s="5">
        <v>0</v>
      </c>
      <c r="CF349" s="1442" t="str">
        <f>IF([1]!sommaire[[#This Row],[présence des personnes déplacés interne]]="Oui","1","0")</f>
        <v>0</v>
      </c>
      <c r="CG349" s="1442" t="str">
        <f>IF([1]!sommaire[[#This Row],[présence Réfugié hors camp]]="Oui","1","0")</f>
        <v>0</v>
      </c>
      <c r="CH349" s="1442" t="str">
        <f>IF([1]!sommaire[[#This Row],[présence personnes retournées]]="Oui","1","0")</f>
        <v>1</v>
      </c>
      <c r="CI349" s="1442">
        <f>[1]!sommaire[[#This Row],[Flag PDI]]+[1]!sommaire[[#This Row],[Flag REF]]+[1]!sommaire[[#This Row],[Flag RET]]</f>
        <v>1</v>
      </c>
    </row>
    <row r="350" spans="1:87" ht="14.55" customHeight="1" x14ac:dyDescent="0.3">
      <c r="A350" s="390">
        <v>2617521</v>
      </c>
      <c r="B350" s="5" t="s">
        <v>533</v>
      </c>
      <c r="C350" s="1430" t="s">
        <v>3449</v>
      </c>
      <c r="D350" s="1090" t="s">
        <v>534</v>
      </c>
      <c r="E350" s="5" t="s">
        <v>31</v>
      </c>
      <c r="F350" s="5" t="s">
        <v>31</v>
      </c>
      <c r="G350" s="5" t="s">
        <v>549</v>
      </c>
      <c r="H350" s="5" t="s">
        <v>169</v>
      </c>
      <c r="I350" s="5" t="str">
        <f>_xlfn.XLOOKUP(sommaire[[#This Row],[Arrondissement_code]],OCHA_GIS!$F:$F,OCHA_GIS!$E:$E,,)</f>
        <v>Logone-Birni</v>
      </c>
      <c r="J350" s="5" t="s">
        <v>673</v>
      </c>
      <c r="K350" t="s">
        <v>2815</v>
      </c>
      <c r="L350" s="5" t="s">
        <v>2347</v>
      </c>
      <c r="N350" s="5" t="s">
        <v>3053</v>
      </c>
      <c r="O350" s="5" t="s">
        <v>2467</v>
      </c>
      <c r="P350" s="5" t="s">
        <v>85</v>
      </c>
      <c r="Q350" s="5" t="s">
        <v>86</v>
      </c>
      <c r="R350" s="5" t="s">
        <v>86</v>
      </c>
      <c r="T350" s="390">
        <v>3</v>
      </c>
      <c r="U350" s="5" t="s">
        <v>97</v>
      </c>
      <c r="W350" s="5" t="s">
        <v>2468</v>
      </c>
      <c r="X350" s="5" t="s">
        <v>102</v>
      </c>
      <c r="AA350" s="5" t="s">
        <v>85</v>
      </c>
      <c r="AB350" s="5" t="s">
        <v>2469</v>
      </c>
      <c r="AC350" s="5" t="s">
        <v>2470</v>
      </c>
      <c r="AD350" s="5" t="s">
        <v>86</v>
      </c>
      <c r="AG350" s="5">
        <v>239</v>
      </c>
      <c r="AH350" s="5" t="s">
        <v>86</v>
      </c>
      <c r="AY350" s="5" t="s">
        <v>86</v>
      </c>
      <c r="BN350" s="5" t="s">
        <v>85</v>
      </c>
      <c r="BO350" s="5">
        <v>24</v>
      </c>
      <c r="BP350" s="5">
        <v>104</v>
      </c>
      <c r="BQ350" s="5">
        <v>59</v>
      </c>
      <c r="BR350" s="5">
        <v>45</v>
      </c>
      <c r="BS350" s="5" t="s">
        <v>2492</v>
      </c>
      <c r="BT350" s="5">
        <v>0</v>
      </c>
      <c r="BU350" s="5">
        <v>24</v>
      </c>
      <c r="BV350" s="5">
        <v>0</v>
      </c>
      <c r="BW350" s="5">
        <v>0</v>
      </c>
      <c r="BX350" s="5">
        <v>0</v>
      </c>
      <c r="BZ350" s="5">
        <v>0</v>
      </c>
      <c r="CA350" s="5">
        <v>0</v>
      </c>
      <c r="CC350" s="5">
        <v>0</v>
      </c>
      <c r="CD350" s="5">
        <v>0</v>
      </c>
      <c r="CF350" s="1442" t="str">
        <f>IF([1]!sommaire[[#This Row],[présence des personnes déplacés interne]]="Oui","1","0")</f>
        <v>0</v>
      </c>
      <c r="CG350" s="1442" t="str">
        <f>IF([1]!sommaire[[#This Row],[présence Réfugié hors camp]]="Oui","1","0")</f>
        <v>0</v>
      </c>
      <c r="CH350" s="1442" t="str">
        <f>IF([1]!sommaire[[#This Row],[présence personnes retournées]]="Oui","1","0")</f>
        <v>1</v>
      </c>
      <c r="CI350" s="1442">
        <f>[1]!sommaire[[#This Row],[Flag PDI]]+[1]!sommaire[[#This Row],[Flag REF]]+[1]!sommaire[[#This Row],[Flag RET]]</f>
        <v>1</v>
      </c>
    </row>
    <row r="351" spans="1:87" ht="14.55" customHeight="1" x14ac:dyDescent="0.3">
      <c r="A351" s="390">
        <v>2617522</v>
      </c>
      <c r="B351" s="5" t="s">
        <v>533</v>
      </c>
      <c r="C351" s="1430" t="s">
        <v>3449</v>
      </c>
      <c r="D351" s="1090" t="s">
        <v>534</v>
      </c>
      <c r="E351" s="5" t="s">
        <v>31</v>
      </c>
      <c r="F351" s="5" t="s">
        <v>31</v>
      </c>
      <c r="G351" s="5" t="s">
        <v>549</v>
      </c>
      <c r="H351" s="5" t="s">
        <v>169</v>
      </c>
      <c r="I351" s="5" t="str">
        <f>_xlfn.XLOOKUP(sommaire[[#This Row],[Arrondissement_code]],OCHA_GIS!$F:$F,OCHA_GIS!$E:$E,,)</f>
        <v>Logone-Birni</v>
      </c>
      <c r="J351" s="5" t="s">
        <v>673</v>
      </c>
      <c r="K351" t="s">
        <v>2870</v>
      </c>
      <c r="L351" s="5" t="s">
        <v>2346</v>
      </c>
      <c r="N351" s="5" t="s">
        <v>3053</v>
      </c>
      <c r="O351" s="5" t="s">
        <v>2467</v>
      </c>
      <c r="P351" s="5" t="s">
        <v>85</v>
      </c>
      <c r="Q351" s="5" t="s">
        <v>86</v>
      </c>
      <c r="R351" s="5" t="s">
        <v>86</v>
      </c>
      <c r="T351" s="390">
        <v>3</v>
      </c>
      <c r="U351" s="5" t="s">
        <v>97</v>
      </c>
      <c r="W351" s="5" t="s">
        <v>2468</v>
      </c>
      <c r="X351" s="5" t="s">
        <v>102</v>
      </c>
      <c r="AA351" s="5" t="s">
        <v>85</v>
      </c>
      <c r="AB351" s="5" t="s">
        <v>2469</v>
      </c>
      <c r="AC351" s="5" t="s">
        <v>2470</v>
      </c>
      <c r="AD351" s="1090" t="s">
        <v>86</v>
      </c>
      <c r="AG351" s="5">
        <v>174</v>
      </c>
      <c r="AH351" s="5" t="s">
        <v>86</v>
      </c>
      <c r="AY351" s="5" t="s">
        <v>86</v>
      </c>
      <c r="BN351" s="5" t="s">
        <v>85</v>
      </c>
      <c r="BO351" s="5">
        <v>20</v>
      </c>
      <c r="BP351" s="5">
        <v>65</v>
      </c>
      <c r="BQ351" s="5">
        <v>34</v>
      </c>
      <c r="BR351" s="5">
        <v>31</v>
      </c>
      <c r="BS351" s="5" t="s">
        <v>2492</v>
      </c>
      <c r="BT351" s="5">
        <v>4</v>
      </c>
      <c r="BU351" s="5">
        <v>16</v>
      </c>
      <c r="BV351" s="5">
        <v>0</v>
      </c>
      <c r="BW351" s="5">
        <v>0</v>
      </c>
      <c r="BX351" s="5">
        <v>0</v>
      </c>
      <c r="BZ351" s="5">
        <v>0</v>
      </c>
      <c r="CA351" s="5">
        <v>0</v>
      </c>
      <c r="CC351" s="5">
        <v>0</v>
      </c>
      <c r="CD351" s="5">
        <v>0</v>
      </c>
      <c r="CF351" s="1442" t="str">
        <f>IF([1]!sommaire[[#This Row],[présence des personnes déplacés interne]]="Oui","1","0")</f>
        <v>0</v>
      </c>
      <c r="CG351" s="1442" t="str">
        <f>IF([1]!sommaire[[#This Row],[présence Réfugié hors camp]]="Oui","1","0")</f>
        <v>0</v>
      </c>
      <c r="CH351" s="1442" t="str">
        <f>IF([1]!sommaire[[#This Row],[présence personnes retournées]]="Oui","1","0")</f>
        <v>1</v>
      </c>
      <c r="CI351" s="1442">
        <f>[1]!sommaire[[#This Row],[Flag PDI]]+[1]!sommaire[[#This Row],[Flag REF]]+[1]!sommaire[[#This Row],[Flag RET]]</f>
        <v>1</v>
      </c>
    </row>
    <row r="352" spans="1:87" ht="14.55" customHeight="1" x14ac:dyDescent="0.3">
      <c r="A352" s="390">
        <v>2621525</v>
      </c>
      <c r="B352" s="5" t="s">
        <v>533</v>
      </c>
      <c r="C352" s="1430" t="s">
        <v>3449</v>
      </c>
      <c r="D352" s="1090" t="s">
        <v>534</v>
      </c>
      <c r="E352" s="5" t="s">
        <v>31</v>
      </c>
      <c r="F352" s="5" t="s">
        <v>31</v>
      </c>
      <c r="G352" s="5" t="s">
        <v>549</v>
      </c>
      <c r="H352" s="5" t="s">
        <v>169</v>
      </c>
      <c r="I352" s="5" t="str">
        <f>_xlfn.XLOOKUP(sommaire[[#This Row],[Arrondissement_code]],OCHA_GIS!$F:$F,OCHA_GIS!$E:$E,,)</f>
        <v>Logone-Birni</v>
      </c>
      <c r="J352" s="5" t="s">
        <v>673</v>
      </c>
      <c r="K352" t="s">
        <v>2840</v>
      </c>
      <c r="L352" s="5" t="s">
        <v>2386</v>
      </c>
      <c r="N352" s="5" t="s">
        <v>3053</v>
      </c>
      <c r="O352" s="5" t="s">
        <v>2467</v>
      </c>
      <c r="P352" s="5" t="s">
        <v>85</v>
      </c>
      <c r="Q352" s="5" t="s">
        <v>86</v>
      </c>
      <c r="R352" s="5" t="s">
        <v>85</v>
      </c>
      <c r="T352" s="390">
        <v>3</v>
      </c>
      <c r="U352" s="5" t="s">
        <v>97</v>
      </c>
      <c r="W352" s="5" t="s">
        <v>2468</v>
      </c>
      <c r="X352" s="5" t="s">
        <v>102</v>
      </c>
      <c r="AA352" s="5" t="s">
        <v>85</v>
      </c>
      <c r="AB352" s="5" t="s">
        <v>2469</v>
      </c>
      <c r="AC352" s="5" t="s">
        <v>2470</v>
      </c>
      <c r="AD352" s="5" t="s">
        <v>86</v>
      </c>
      <c r="AG352" s="5">
        <v>200</v>
      </c>
      <c r="AH352" s="5" t="s">
        <v>86</v>
      </c>
      <c r="AY352" s="1090" t="s">
        <v>85</v>
      </c>
      <c r="AZ352" s="5">
        <v>5</v>
      </c>
      <c r="BA352" s="5">
        <v>10</v>
      </c>
      <c r="BB352" s="5">
        <v>5</v>
      </c>
      <c r="BC352" s="5">
        <v>5</v>
      </c>
      <c r="BD352" s="5">
        <v>5</v>
      </c>
      <c r="BE352" s="5">
        <v>0</v>
      </c>
      <c r="BF352" s="5">
        <v>0</v>
      </c>
      <c r="BH352" s="5">
        <v>0</v>
      </c>
      <c r="BI352" s="5">
        <v>0</v>
      </c>
      <c r="BL352" s="5">
        <v>0</v>
      </c>
      <c r="BM352" s="5">
        <v>0</v>
      </c>
      <c r="BN352" s="1090" t="s">
        <v>86</v>
      </c>
      <c r="CD352" s="5">
        <v>2</v>
      </c>
      <c r="CF352" s="1442" t="str">
        <f>IF([1]!sommaire[[#This Row],[présence des personnes déplacés interne]]="Oui","1","0")</f>
        <v>0</v>
      </c>
      <c r="CG352" s="1442" t="str">
        <f>IF([1]!sommaire[[#This Row],[présence Réfugié hors camp]]="Oui","1","0")</f>
        <v>1</v>
      </c>
      <c r="CH352" s="1442" t="str">
        <f>IF([1]!sommaire[[#This Row],[présence personnes retournées]]="Oui","1","0")</f>
        <v>0</v>
      </c>
      <c r="CI352" s="1442">
        <f>[1]!sommaire[[#This Row],[Flag PDI]]+[1]!sommaire[[#This Row],[Flag REF]]+[1]!sommaire[[#This Row],[Flag RET]]</f>
        <v>1</v>
      </c>
    </row>
    <row r="353" spans="1:87" ht="14.55" customHeight="1" x14ac:dyDescent="0.3">
      <c r="A353" s="390">
        <v>2621526</v>
      </c>
      <c r="B353" s="5" t="s">
        <v>533</v>
      </c>
      <c r="C353" s="1430" t="s">
        <v>3449</v>
      </c>
      <c r="D353" s="1090" t="s">
        <v>534</v>
      </c>
      <c r="E353" s="5" t="s">
        <v>31</v>
      </c>
      <c r="F353" s="5" t="s">
        <v>31</v>
      </c>
      <c r="G353" s="5" t="s">
        <v>549</v>
      </c>
      <c r="H353" s="5" t="s">
        <v>169</v>
      </c>
      <c r="I353" s="5" t="str">
        <f>_xlfn.XLOOKUP(sommaire[[#This Row],[Arrondissement_code]],OCHA_GIS!$F:$F,OCHA_GIS!$E:$E,,)</f>
        <v>Logone-Birni</v>
      </c>
      <c r="J353" s="5" t="s">
        <v>673</v>
      </c>
      <c r="K353" t="s">
        <v>2816</v>
      </c>
      <c r="L353" s="5" t="s">
        <v>2350</v>
      </c>
      <c r="N353" s="5" t="s">
        <v>3053</v>
      </c>
      <c r="O353" s="5" t="s">
        <v>2467</v>
      </c>
      <c r="P353" s="5" t="s">
        <v>85</v>
      </c>
      <c r="Q353" s="5" t="s">
        <v>86</v>
      </c>
      <c r="R353" s="5" t="s">
        <v>85</v>
      </c>
      <c r="T353" s="390">
        <v>3</v>
      </c>
      <c r="U353" s="5" t="s">
        <v>97</v>
      </c>
      <c r="W353" s="5" t="s">
        <v>2468</v>
      </c>
      <c r="X353" s="5" t="s">
        <v>103</v>
      </c>
      <c r="Y353" s="5" t="s">
        <v>274</v>
      </c>
      <c r="AA353" s="5" t="s">
        <v>85</v>
      </c>
      <c r="AB353" s="5" t="s">
        <v>2469</v>
      </c>
      <c r="AC353" s="5" t="s">
        <v>2470</v>
      </c>
      <c r="AD353" s="5" t="s">
        <v>86</v>
      </c>
      <c r="AG353" s="5">
        <v>120</v>
      </c>
      <c r="AH353" s="5" t="s">
        <v>86</v>
      </c>
      <c r="AY353" s="5" t="s">
        <v>85</v>
      </c>
      <c r="AZ353" s="5">
        <v>4</v>
      </c>
      <c r="BA353" s="5">
        <v>9</v>
      </c>
      <c r="BB353" s="5">
        <v>5</v>
      </c>
      <c r="BC353" s="5">
        <v>4</v>
      </c>
      <c r="BD353" s="5">
        <v>4</v>
      </c>
      <c r="BE353" s="5">
        <v>0</v>
      </c>
      <c r="BF353" s="5">
        <v>0</v>
      </c>
      <c r="BH353" s="5">
        <v>0</v>
      </c>
      <c r="BI353" s="5">
        <v>0</v>
      </c>
      <c r="BL353" s="5">
        <v>0</v>
      </c>
      <c r="BM353" s="5">
        <v>0</v>
      </c>
      <c r="BN353" s="5" t="s">
        <v>86</v>
      </c>
      <c r="CD353" s="5">
        <v>2</v>
      </c>
      <c r="CF353" s="1442" t="str">
        <f>IF([1]!sommaire[[#This Row],[présence des personnes déplacés interne]]="Oui","1","0")</f>
        <v>0</v>
      </c>
      <c r="CG353" s="1442" t="str">
        <f>IF([1]!sommaire[[#This Row],[présence Réfugié hors camp]]="Oui","1","0")</f>
        <v>1</v>
      </c>
      <c r="CH353" s="1442" t="str">
        <f>IF([1]!sommaire[[#This Row],[présence personnes retournées]]="Oui","1","0")</f>
        <v>0</v>
      </c>
      <c r="CI353" s="1442">
        <f>[1]!sommaire[[#This Row],[Flag PDI]]+[1]!sommaire[[#This Row],[Flag REF]]+[1]!sommaire[[#This Row],[Flag RET]]</f>
        <v>1</v>
      </c>
    </row>
    <row r="354" spans="1:87" ht="14.55" customHeight="1" x14ac:dyDescent="0.3">
      <c r="A354" s="390">
        <v>2659628</v>
      </c>
      <c r="B354" s="5" t="s">
        <v>533</v>
      </c>
      <c r="C354" s="1430" t="s">
        <v>3449</v>
      </c>
      <c r="D354" s="1090" t="s">
        <v>534</v>
      </c>
      <c r="E354" s="5" t="s">
        <v>31</v>
      </c>
      <c r="F354" s="5" t="s">
        <v>31</v>
      </c>
      <c r="G354" s="5" t="s">
        <v>549</v>
      </c>
      <c r="H354" s="1090" t="s">
        <v>169</v>
      </c>
      <c r="I354" s="1090" t="str">
        <f>_xlfn.XLOOKUP(sommaire[[#This Row],[Arrondissement_code]],OCHA_GIS!$F:$F,OCHA_GIS!$E:$E,,)</f>
        <v>Logone-Birni</v>
      </c>
      <c r="J354" s="5" t="s">
        <v>673</v>
      </c>
      <c r="K354" t="s">
        <v>3024</v>
      </c>
      <c r="L354" s="5" t="s">
        <v>2327</v>
      </c>
      <c r="N354" s="5" t="s">
        <v>3053</v>
      </c>
      <c r="O354" s="5" t="s">
        <v>2467</v>
      </c>
      <c r="P354" s="5" t="s">
        <v>85</v>
      </c>
      <c r="Q354" s="5" t="s">
        <v>86</v>
      </c>
      <c r="R354" s="5" t="s">
        <v>86</v>
      </c>
      <c r="T354" s="390">
        <v>3</v>
      </c>
      <c r="U354" s="5" t="s">
        <v>97</v>
      </c>
      <c r="W354" s="5" t="s">
        <v>2468</v>
      </c>
      <c r="X354" s="5" t="s">
        <v>102</v>
      </c>
      <c r="AA354" s="5" t="s">
        <v>85</v>
      </c>
      <c r="AB354" s="5" t="s">
        <v>2469</v>
      </c>
      <c r="AC354" s="5" t="s">
        <v>2470</v>
      </c>
      <c r="AD354" s="5" t="s">
        <v>86</v>
      </c>
      <c r="AG354" s="5">
        <v>1230</v>
      </c>
      <c r="AH354" s="5" t="s">
        <v>86</v>
      </c>
      <c r="AY354" s="5" t="s">
        <v>86</v>
      </c>
      <c r="BN354" s="5" t="s">
        <v>85</v>
      </c>
      <c r="BO354" s="5">
        <v>179</v>
      </c>
      <c r="BP354" s="5">
        <v>1130</v>
      </c>
      <c r="BQ354" s="5">
        <v>484</v>
      </c>
      <c r="BR354" s="5">
        <v>646</v>
      </c>
      <c r="BS354" s="5" t="s">
        <v>2492</v>
      </c>
      <c r="BT354" s="5">
        <v>19</v>
      </c>
      <c r="BU354" s="5">
        <v>160</v>
      </c>
      <c r="BV354" s="5">
        <v>0</v>
      </c>
      <c r="BW354" s="5">
        <v>0</v>
      </c>
      <c r="BX354" s="5">
        <v>0</v>
      </c>
      <c r="BZ354" s="5">
        <v>0</v>
      </c>
      <c r="CA354" s="5">
        <v>0</v>
      </c>
      <c r="CC354" s="5">
        <v>0</v>
      </c>
      <c r="CD354" s="5">
        <v>0</v>
      </c>
      <c r="CF354" s="1442" t="str">
        <f>IF([1]!sommaire[[#This Row],[présence des personnes déplacés interne]]="Oui","1","0")</f>
        <v>0</v>
      </c>
      <c r="CG354" s="1442" t="str">
        <f>IF([1]!sommaire[[#This Row],[présence Réfugié hors camp]]="Oui","1","0")</f>
        <v>0</v>
      </c>
      <c r="CH354" s="1442" t="str">
        <f>IF([1]!sommaire[[#This Row],[présence personnes retournées]]="Oui","1","0")</f>
        <v>1</v>
      </c>
      <c r="CI354" s="1442">
        <f>[1]!sommaire[[#This Row],[Flag PDI]]+[1]!sommaire[[#This Row],[Flag REF]]+[1]!sommaire[[#This Row],[Flag RET]]</f>
        <v>1</v>
      </c>
    </row>
    <row r="355" spans="1:87" ht="14.55" customHeight="1" x14ac:dyDescent="0.3">
      <c r="A355" s="390">
        <v>2621522</v>
      </c>
      <c r="B355" s="5" t="s">
        <v>533</v>
      </c>
      <c r="C355" s="1430" t="s">
        <v>3449</v>
      </c>
      <c r="D355" s="1090" t="s">
        <v>534</v>
      </c>
      <c r="E355" s="5" t="s">
        <v>31</v>
      </c>
      <c r="F355" s="5" t="s">
        <v>31</v>
      </c>
      <c r="G355" s="5" t="s">
        <v>549</v>
      </c>
      <c r="H355" s="5" t="s">
        <v>169</v>
      </c>
      <c r="I355" s="5" t="str">
        <f>_xlfn.XLOOKUP(sommaire[[#This Row],[Arrondissement_code]],OCHA_GIS!$F:$F,OCHA_GIS!$E:$E,,)</f>
        <v>Logone-Birni</v>
      </c>
      <c r="J355" s="5" t="s">
        <v>673</v>
      </c>
      <c r="K355" t="s">
        <v>3195</v>
      </c>
      <c r="L355" s="5" t="s">
        <v>3077</v>
      </c>
      <c r="N355" s="5" t="s">
        <v>3053</v>
      </c>
      <c r="O355" s="5" t="s">
        <v>2467</v>
      </c>
      <c r="P355" s="5" t="s">
        <v>86</v>
      </c>
      <c r="Q355" s="5" t="s">
        <v>85</v>
      </c>
      <c r="R355" s="5" t="s">
        <v>85</v>
      </c>
      <c r="S355" s="390">
        <v>6</v>
      </c>
      <c r="U355" s="5" t="s">
        <v>97</v>
      </c>
      <c r="W355" s="5" t="s">
        <v>2468</v>
      </c>
      <c r="X355" s="5" t="s">
        <v>103</v>
      </c>
      <c r="Y355" s="5" t="s">
        <v>2476</v>
      </c>
      <c r="AA355" s="586" t="s">
        <v>85</v>
      </c>
      <c r="AB355" s="5" t="s">
        <v>2469</v>
      </c>
      <c r="AC355" s="5" t="s">
        <v>2470</v>
      </c>
      <c r="AD355" s="1090" t="s">
        <v>86</v>
      </c>
      <c r="AG355" s="5">
        <v>2000</v>
      </c>
      <c r="AH355" s="5" t="s">
        <v>86</v>
      </c>
      <c r="AY355" s="5" t="s">
        <v>86</v>
      </c>
      <c r="BN355" s="5" t="s">
        <v>85</v>
      </c>
      <c r="BO355" s="5">
        <v>100</v>
      </c>
      <c r="BP355" s="5">
        <v>1500</v>
      </c>
      <c r="BQ355" s="5">
        <v>700</v>
      </c>
      <c r="BR355" s="5">
        <v>800</v>
      </c>
      <c r="BS355" s="5" t="s">
        <v>2492</v>
      </c>
      <c r="BT355" s="5">
        <v>100</v>
      </c>
      <c r="BU355" s="5">
        <v>0</v>
      </c>
      <c r="BV355" s="5">
        <v>0</v>
      </c>
      <c r="BW355" s="5">
        <v>0</v>
      </c>
      <c r="BX355" s="5">
        <v>0</v>
      </c>
      <c r="BZ355" s="5">
        <v>0</v>
      </c>
      <c r="CA355" s="5">
        <v>0</v>
      </c>
      <c r="CC355" s="5">
        <v>0</v>
      </c>
      <c r="CD355" s="5">
        <v>15</v>
      </c>
      <c r="CF355" s="1442" t="str">
        <f>IF([1]!sommaire[[#This Row],[présence des personnes déplacés interne]]="Oui","1","0")</f>
        <v>0</v>
      </c>
      <c r="CG355" s="1442" t="str">
        <f>IF([1]!sommaire[[#This Row],[présence Réfugié hors camp]]="Oui","1","0")</f>
        <v>0</v>
      </c>
      <c r="CH355" s="1442" t="str">
        <f>IF([1]!sommaire[[#This Row],[présence personnes retournées]]="Oui","1","0")</f>
        <v>1</v>
      </c>
      <c r="CI355" s="1442">
        <f>[1]!sommaire[[#This Row],[Flag PDI]]+[1]!sommaire[[#This Row],[Flag REF]]+[1]!sommaire[[#This Row],[Flag RET]]</f>
        <v>1</v>
      </c>
    </row>
    <row r="356" spans="1:87" ht="14.55" customHeight="1" x14ac:dyDescent="0.3">
      <c r="A356" s="390">
        <v>2691075</v>
      </c>
      <c r="B356" s="5" t="s">
        <v>533</v>
      </c>
      <c r="C356" s="1430" t="s">
        <v>3449</v>
      </c>
      <c r="D356" s="1090" t="s">
        <v>534</v>
      </c>
      <c r="E356" s="5" t="s">
        <v>31</v>
      </c>
      <c r="F356" s="5" t="s">
        <v>31</v>
      </c>
      <c r="G356" s="5" t="s">
        <v>549</v>
      </c>
      <c r="H356" s="5" t="s">
        <v>169</v>
      </c>
      <c r="I356" s="5" t="str">
        <f>_xlfn.XLOOKUP(sommaire[[#This Row],[Arrondissement_code]],OCHA_GIS!$F:$F,OCHA_GIS!$E:$E,,)</f>
        <v>Logone-Birni</v>
      </c>
      <c r="J356" s="5" t="s">
        <v>673</v>
      </c>
      <c r="K356" t="s">
        <v>1472</v>
      </c>
      <c r="L356" s="5" t="s">
        <v>2376</v>
      </c>
      <c r="N356" s="5" t="s">
        <v>3053</v>
      </c>
      <c r="O356" s="5" t="s">
        <v>2467</v>
      </c>
      <c r="P356" s="5" t="s">
        <v>85</v>
      </c>
      <c r="Q356" s="5" t="s">
        <v>86</v>
      </c>
      <c r="R356" s="5" t="s">
        <v>86</v>
      </c>
      <c r="T356" s="390">
        <v>4</v>
      </c>
      <c r="U356" s="5" t="s">
        <v>97</v>
      </c>
      <c r="W356" s="5" t="s">
        <v>2468</v>
      </c>
      <c r="X356" s="5" t="s">
        <v>103</v>
      </c>
      <c r="Y356" s="5" t="s">
        <v>274</v>
      </c>
      <c r="AA356" s="5" t="s">
        <v>85</v>
      </c>
      <c r="AB356" s="5" t="s">
        <v>2469</v>
      </c>
      <c r="AC356" s="5" t="s">
        <v>2470</v>
      </c>
      <c r="AD356" s="5" t="s">
        <v>86</v>
      </c>
      <c r="AG356" s="5">
        <v>1550</v>
      </c>
      <c r="AH356" s="5" t="s">
        <v>86</v>
      </c>
      <c r="AY356" s="5" t="s">
        <v>86</v>
      </c>
      <c r="BN356" s="5" t="s">
        <v>85</v>
      </c>
      <c r="BO356" s="5">
        <v>204</v>
      </c>
      <c r="BP356" s="5">
        <v>1510</v>
      </c>
      <c r="BQ356" s="5">
        <v>700</v>
      </c>
      <c r="BR356" s="5">
        <v>810</v>
      </c>
      <c r="BS356" s="5" t="s">
        <v>2492</v>
      </c>
      <c r="BT356" s="5">
        <v>180</v>
      </c>
      <c r="BU356" s="5">
        <v>20</v>
      </c>
      <c r="BV356" s="5">
        <v>4</v>
      </c>
      <c r="BW356" s="5">
        <v>0</v>
      </c>
      <c r="BX356" s="5">
        <v>0</v>
      </c>
      <c r="BZ356" s="5">
        <v>0</v>
      </c>
      <c r="CA356" s="5">
        <v>0</v>
      </c>
      <c r="CC356" s="5">
        <v>0</v>
      </c>
      <c r="CD356" s="5">
        <v>0</v>
      </c>
      <c r="CF356" s="1442" t="str">
        <f>IF([1]!sommaire[[#This Row],[présence des personnes déplacés interne]]="Oui","1","0")</f>
        <v>0</v>
      </c>
      <c r="CG356" s="1442" t="str">
        <f>IF([1]!sommaire[[#This Row],[présence Réfugié hors camp]]="Oui","1","0")</f>
        <v>0</v>
      </c>
      <c r="CH356" s="1442" t="str">
        <f>IF([1]!sommaire[[#This Row],[présence personnes retournées]]="Oui","1","0")</f>
        <v>1</v>
      </c>
      <c r="CI356" s="1442">
        <f>[1]!sommaire[[#This Row],[Flag PDI]]+[1]!sommaire[[#This Row],[Flag REF]]+[1]!sommaire[[#This Row],[Flag RET]]</f>
        <v>1</v>
      </c>
    </row>
    <row r="357" spans="1:87" ht="14.55" customHeight="1" x14ac:dyDescent="0.3">
      <c r="A357" s="390">
        <v>2634712</v>
      </c>
      <c r="B357" s="5" t="s">
        <v>533</v>
      </c>
      <c r="C357" s="1430" t="s">
        <v>3449</v>
      </c>
      <c r="D357" s="1090" t="s">
        <v>534</v>
      </c>
      <c r="E357" s="5" t="s">
        <v>31</v>
      </c>
      <c r="F357" s="5" t="s">
        <v>31</v>
      </c>
      <c r="G357" s="5" t="s">
        <v>549</v>
      </c>
      <c r="H357" s="5" t="s">
        <v>169</v>
      </c>
      <c r="I357" s="5" t="str">
        <f>_xlfn.XLOOKUP(sommaire[[#This Row],[Arrondissement_code]],OCHA_GIS!$F:$F,OCHA_GIS!$E:$E,,)</f>
        <v>Logone-Birni</v>
      </c>
      <c r="J357" s="5" t="s">
        <v>673</v>
      </c>
      <c r="K357" t="s">
        <v>2847</v>
      </c>
      <c r="L357" s="5" t="s">
        <v>2352</v>
      </c>
      <c r="N357" s="5" t="s">
        <v>3053</v>
      </c>
      <c r="O357" s="5" t="s">
        <v>2467</v>
      </c>
      <c r="P357" s="5" t="s">
        <v>85</v>
      </c>
      <c r="Q357" s="5" t="s">
        <v>86</v>
      </c>
      <c r="R357" s="5" t="s">
        <v>86</v>
      </c>
      <c r="T357" s="390">
        <v>3</v>
      </c>
      <c r="U357" s="5" t="s">
        <v>97</v>
      </c>
      <c r="W357" s="5" t="s">
        <v>2468</v>
      </c>
      <c r="X357" s="5" t="s">
        <v>103</v>
      </c>
      <c r="Y357" s="5" t="s">
        <v>274</v>
      </c>
      <c r="AA357" s="5" t="s">
        <v>85</v>
      </c>
      <c r="AB357" s="5" t="s">
        <v>2469</v>
      </c>
      <c r="AC357" s="5" t="s">
        <v>2470</v>
      </c>
      <c r="AD357" s="5" t="s">
        <v>86</v>
      </c>
      <c r="AG357" s="5">
        <v>613</v>
      </c>
      <c r="AH357" s="5" t="s">
        <v>86</v>
      </c>
      <c r="AY357" s="5" t="s">
        <v>86</v>
      </c>
      <c r="BN357" s="5" t="s">
        <v>85</v>
      </c>
      <c r="BO357" s="5">
        <v>84</v>
      </c>
      <c r="BP357" s="5">
        <v>613</v>
      </c>
      <c r="BQ357" s="5">
        <v>245</v>
      </c>
      <c r="BR357" s="5">
        <v>368</v>
      </c>
      <c r="BS357" s="5" t="s">
        <v>2535</v>
      </c>
      <c r="BT357" s="5">
        <v>0</v>
      </c>
      <c r="BU357" s="5">
        <v>13</v>
      </c>
      <c r="BV357" s="5">
        <v>71</v>
      </c>
      <c r="BW357" s="5">
        <v>0</v>
      </c>
      <c r="BX357" s="5">
        <v>0</v>
      </c>
      <c r="BZ357" s="5">
        <v>0</v>
      </c>
      <c r="CA357" s="5">
        <v>0</v>
      </c>
      <c r="CC357" s="5">
        <v>0</v>
      </c>
      <c r="CD357" s="5">
        <v>0</v>
      </c>
      <c r="CF357" s="1442" t="str">
        <f>IF([1]!sommaire[[#This Row],[présence des personnes déplacés interne]]="Oui","1","0")</f>
        <v>0</v>
      </c>
      <c r="CG357" s="1442" t="str">
        <f>IF([1]!sommaire[[#This Row],[présence Réfugié hors camp]]="Oui","1","0")</f>
        <v>0</v>
      </c>
      <c r="CH357" s="1442" t="str">
        <f>IF([1]!sommaire[[#This Row],[présence personnes retournées]]="Oui","1","0")</f>
        <v>1</v>
      </c>
      <c r="CI357" s="1442">
        <f>[1]!sommaire[[#This Row],[Flag PDI]]+[1]!sommaire[[#This Row],[Flag REF]]+[1]!sommaire[[#This Row],[Flag RET]]</f>
        <v>1</v>
      </c>
    </row>
    <row r="358" spans="1:87" ht="14.55" customHeight="1" x14ac:dyDescent="0.3">
      <c r="A358" s="390">
        <v>2600746</v>
      </c>
      <c r="B358" s="5" t="s">
        <v>533</v>
      </c>
      <c r="C358" s="1430" t="s">
        <v>3449</v>
      </c>
      <c r="D358" s="1090" t="s">
        <v>534</v>
      </c>
      <c r="E358" s="5" t="s">
        <v>31</v>
      </c>
      <c r="F358" s="5" t="s">
        <v>31</v>
      </c>
      <c r="G358" s="5" t="s">
        <v>549</v>
      </c>
      <c r="H358" s="5" t="s">
        <v>169</v>
      </c>
      <c r="I358" s="5" t="str">
        <f>_xlfn.XLOOKUP(sommaire[[#This Row],[Arrondissement_code]],OCHA_GIS!$F:$F,OCHA_GIS!$E:$E,,)</f>
        <v>Logone-Birni</v>
      </c>
      <c r="J358" s="5" t="s">
        <v>673</v>
      </c>
      <c r="K358" t="s">
        <v>1129</v>
      </c>
      <c r="L358" s="5" t="s">
        <v>1561</v>
      </c>
      <c r="N358" s="5" t="s">
        <v>3053</v>
      </c>
      <c r="O358" s="5" t="s">
        <v>2467</v>
      </c>
      <c r="P358" s="5" t="s">
        <v>85</v>
      </c>
      <c r="Q358" s="5" t="s">
        <v>86</v>
      </c>
      <c r="R358" s="5" t="s">
        <v>86</v>
      </c>
      <c r="T358" s="390">
        <v>3</v>
      </c>
      <c r="U358" s="5" t="s">
        <v>97</v>
      </c>
      <c r="W358" s="5" t="s">
        <v>2468</v>
      </c>
      <c r="X358" s="5" t="s">
        <v>102</v>
      </c>
      <c r="AA358" s="5" t="s">
        <v>85</v>
      </c>
      <c r="AB358" s="5" t="s">
        <v>2469</v>
      </c>
      <c r="AC358" s="5" t="s">
        <v>2470</v>
      </c>
      <c r="AD358" s="5" t="s">
        <v>86</v>
      </c>
      <c r="AF358" s="5">
        <v>81</v>
      </c>
      <c r="AG358" s="5">
        <v>967</v>
      </c>
      <c r="AH358" s="5" t="s">
        <v>85</v>
      </c>
      <c r="AI358" s="5" t="s">
        <v>2471</v>
      </c>
      <c r="AJ358" s="5">
        <v>81</v>
      </c>
      <c r="AK358" s="5">
        <v>635</v>
      </c>
      <c r="AL358" s="5">
        <v>310</v>
      </c>
      <c r="AM358" s="5">
        <v>325</v>
      </c>
      <c r="AN358" s="5">
        <v>0</v>
      </c>
      <c r="AO358" s="5">
        <v>81</v>
      </c>
      <c r="AP358" s="5">
        <v>0</v>
      </c>
      <c r="AQ358" s="5">
        <v>0</v>
      </c>
      <c r="AT358" s="5">
        <v>0</v>
      </c>
      <c r="AU358" s="5">
        <v>0</v>
      </c>
      <c r="AX358" s="5">
        <v>0</v>
      </c>
      <c r="AY358" s="5" t="s">
        <v>86</v>
      </c>
      <c r="BN358" s="5" t="s">
        <v>86</v>
      </c>
      <c r="CD358" s="5">
        <v>0</v>
      </c>
      <c r="CF358" s="1442" t="str">
        <f>IF([1]!sommaire[[#This Row],[présence des personnes déplacés interne]]="Oui","1","0")</f>
        <v>1</v>
      </c>
      <c r="CG358" s="1442" t="str">
        <f>IF([1]!sommaire[[#This Row],[présence Réfugié hors camp]]="Oui","1","0")</f>
        <v>0</v>
      </c>
      <c r="CH358" s="1442" t="str">
        <f>IF([1]!sommaire[[#This Row],[présence personnes retournées]]="Oui","1","0")</f>
        <v>0</v>
      </c>
      <c r="CI358" s="1442">
        <f>[1]!sommaire[[#This Row],[Flag PDI]]+[1]!sommaire[[#This Row],[Flag REF]]+[1]!sommaire[[#This Row],[Flag RET]]</f>
        <v>1</v>
      </c>
    </row>
    <row r="359" spans="1:87" ht="14.55" customHeight="1" x14ac:dyDescent="0.3">
      <c r="A359" s="390">
        <v>2614368</v>
      </c>
      <c r="B359" s="5" t="s">
        <v>533</v>
      </c>
      <c r="C359" s="1430" t="s">
        <v>3449</v>
      </c>
      <c r="D359" s="1090" t="s">
        <v>534</v>
      </c>
      <c r="E359" s="5" t="s">
        <v>31</v>
      </c>
      <c r="F359" s="5" t="s">
        <v>31</v>
      </c>
      <c r="G359" s="5" t="s">
        <v>549</v>
      </c>
      <c r="H359" s="5" t="s">
        <v>169</v>
      </c>
      <c r="I359" s="5" t="str">
        <f>_xlfn.XLOOKUP(sommaire[[#This Row],[Arrondissement_code]],OCHA_GIS!$F:$F,OCHA_GIS!$E:$E,,)</f>
        <v>Logone-Birni</v>
      </c>
      <c r="J359" s="5" t="s">
        <v>673</v>
      </c>
      <c r="K359" t="s">
        <v>2577</v>
      </c>
      <c r="L359" s="5" t="s">
        <v>1560</v>
      </c>
      <c r="N359" s="5" t="s">
        <v>3053</v>
      </c>
      <c r="O359" s="5" t="s">
        <v>2467</v>
      </c>
      <c r="P359" s="5" t="s">
        <v>85</v>
      </c>
      <c r="Q359" s="5" t="s">
        <v>86</v>
      </c>
      <c r="R359" s="5" t="s">
        <v>86</v>
      </c>
      <c r="T359" s="390">
        <v>3</v>
      </c>
      <c r="U359" s="5" t="s">
        <v>97</v>
      </c>
      <c r="W359" s="5" t="s">
        <v>2468</v>
      </c>
      <c r="X359" s="5" t="s">
        <v>102</v>
      </c>
      <c r="AA359" s="5" t="s">
        <v>85</v>
      </c>
      <c r="AB359" s="5" t="s">
        <v>2469</v>
      </c>
      <c r="AC359" s="5" t="s">
        <v>2470</v>
      </c>
      <c r="AD359" s="5" t="s">
        <v>86</v>
      </c>
      <c r="AF359" s="5">
        <v>25</v>
      </c>
      <c r="AG359" s="5">
        <v>900</v>
      </c>
      <c r="AH359" s="5" t="s">
        <v>85</v>
      </c>
      <c r="AI359" s="5" t="s">
        <v>2471</v>
      </c>
      <c r="AJ359" s="5">
        <v>25</v>
      </c>
      <c r="AK359" s="5">
        <v>215</v>
      </c>
      <c r="AL359" s="5">
        <v>100</v>
      </c>
      <c r="AM359" s="5">
        <v>115</v>
      </c>
      <c r="AN359" s="5">
        <v>0</v>
      </c>
      <c r="AO359" s="5">
        <v>25</v>
      </c>
      <c r="AP359" s="5">
        <v>0</v>
      </c>
      <c r="AQ359" s="5">
        <v>0</v>
      </c>
      <c r="AT359" s="5">
        <v>0</v>
      </c>
      <c r="AU359" s="5">
        <v>0</v>
      </c>
      <c r="AX359" s="5">
        <v>0</v>
      </c>
      <c r="AY359" s="5" t="s">
        <v>86</v>
      </c>
      <c r="BN359" s="5" t="s">
        <v>86</v>
      </c>
      <c r="CD359" s="5">
        <v>0</v>
      </c>
      <c r="CF359" s="1442" t="str">
        <f>IF([1]!sommaire[[#This Row],[présence des personnes déplacés interne]]="Oui","1","0")</f>
        <v>1</v>
      </c>
      <c r="CG359" s="1442" t="str">
        <f>IF([1]!sommaire[[#This Row],[présence Réfugié hors camp]]="Oui","1","0")</f>
        <v>0</v>
      </c>
      <c r="CH359" s="1442" t="str">
        <f>IF([1]!sommaire[[#This Row],[présence personnes retournées]]="Oui","1","0")</f>
        <v>0</v>
      </c>
      <c r="CI359" s="1442">
        <f>[1]!sommaire[[#This Row],[Flag PDI]]+[1]!sommaire[[#This Row],[Flag REF]]+[1]!sommaire[[#This Row],[Flag RET]]</f>
        <v>1</v>
      </c>
    </row>
    <row r="360" spans="1:87" ht="14.55" customHeight="1" x14ac:dyDescent="0.3">
      <c r="A360" s="390">
        <v>2647033</v>
      </c>
      <c r="B360" s="5" t="s">
        <v>533</v>
      </c>
      <c r="C360" s="1430" t="s">
        <v>3449</v>
      </c>
      <c r="D360" s="1090" t="s">
        <v>534</v>
      </c>
      <c r="E360" s="5" t="s">
        <v>31</v>
      </c>
      <c r="F360" s="5" t="s">
        <v>31</v>
      </c>
      <c r="G360" s="5" t="s">
        <v>549</v>
      </c>
      <c r="H360" s="5" t="s">
        <v>169</v>
      </c>
      <c r="I360" s="5" t="str">
        <f>_xlfn.XLOOKUP(sommaire[[#This Row],[Arrondissement_code]],OCHA_GIS!$F:$F,OCHA_GIS!$E:$E,,)</f>
        <v>Logone-Birni</v>
      </c>
      <c r="J360" s="5" t="s">
        <v>673</v>
      </c>
      <c r="K360" t="s">
        <v>1646</v>
      </c>
      <c r="L360" s="5" t="s">
        <v>2377</v>
      </c>
      <c r="N360" s="5" t="s">
        <v>3053</v>
      </c>
      <c r="O360" s="5" t="s">
        <v>2467</v>
      </c>
      <c r="P360" s="5" t="s">
        <v>85</v>
      </c>
      <c r="Q360" s="5" t="s">
        <v>86</v>
      </c>
      <c r="R360" s="5" t="s">
        <v>86</v>
      </c>
      <c r="T360" s="390">
        <v>3</v>
      </c>
      <c r="U360" s="5" t="s">
        <v>97</v>
      </c>
      <c r="W360" s="5" t="s">
        <v>2468</v>
      </c>
      <c r="X360" s="5" t="s">
        <v>102</v>
      </c>
      <c r="AA360" s="586" t="s">
        <v>85</v>
      </c>
      <c r="AB360" s="5" t="s">
        <v>2469</v>
      </c>
      <c r="AC360" s="5" t="s">
        <v>2470</v>
      </c>
      <c r="AD360" s="5" t="s">
        <v>86</v>
      </c>
      <c r="AG360" s="5">
        <v>370</v>
      </c>
      <c r="AH360" s="5" t="s">
        <v>86</v>
      </c>
      <c r="AY360" s="5" t="s">
        <v>86</v>
      </c>
      <c r="BN360" s="5" t="s">
        <v>85</v>
      </c>
      <c r="BO360" s="5">
        <v>56</v>
      </c>
      <c r="BP360" s="5">
        <v>370</v>
      </c>
      <c r="BQ360" s="5">
        <v>180</v>
      </c>
      <c r="BR360" s="5">
        <v>190</v>
      </c>
      <c r="BS360" s="5" t="s">
        <v>2484</v>
      </c>
      <c r="BT360" s="5">
        <v>0</v>
      </c>
      <c r="BU360" s="5">
        <v>0</v>
      </c>
      <c r="BV360" s="5">
        <v>0</v>
      </c>
      <c r="BW360" s="5">
        <v>0</v>
      </c>
      <c r="BX360" s="5">
        <v>0</v>
      </c>
      <c r="BZ360" s="5">
        <v>0</v>
      </c>
      <c r="CA360" s="5">
        <v>56</v>
      </c>
      <c r="CB360" s="5" t="s">
        <v>2490</v>
      </c>
      <c r="CC360" s="5">
        <v>0</v>
      </c>
      <c r="CD360" s="5">
        <v>1</v>
      </c>
      <c r="CF360" s="1442" t="str">
        <f>IF([1]!sommaire[[#This Row],[présence des personnes déplacés interne]]="Oui","1","0")</f>
        <v>0</v>
      </c>
      <c r="CG360" s="1442" t="str">
        <f>IF([1]!sommaire[[#This Row],[présence Réfugié hors camp]]="Oui","1","0")</f>
        <v>0</v>
      </c>
      <c r="CH360" s="1442" t="str">
        <f>IF([1]!sommaire[[#This Row],[présence personnes retournées]]="Oui","1","0")</f>
        <v>1</v>
      </c>
      <c r="CI360" s="1442">
        <f>[1]!sommaire[[#This Row],[Flag PDI]]+[1]!sommaire[[#This Row],[Flag REF]]+[1]!sommaire[[#This Row],[Flag RET]]</f>
        <v>1</v>
      </c>
    </row>
    <row r="361" spans="1:87" ht="14.55" customHeight="1" x14ac:dyDescent="0.3">
      <c r="A361" s="390">
        <v>2613509</v>
      </c>
      <c r="B361" s="5" t="s">
        <v>533</v>
      </c>
      <c r="C361" s="1430" t="s">
        <v>3449</v>
      </c>
      <c r="D361" s="1090" t="s">
        <v>534</v>
      </c>
      <c r="E361" s="5" t="s">
        <v>31</v>
      </c>
      <c r="F361" s="5" t="s">
        <v>31</v>
      </c>
      <c r="G361" s="5" t="s">
        <v>549</v>
      </c>
      <c r="H361" s="5" t="s">
        <v>169</v>
      </c>
      <c r="I361" s="5" t="str">
        <f>_xlfn.XLOOKUP(sommaire[[#This Row],[Arrondissement_code]],OCHA_GIS!$F:$F,OCHA_GIS!$E:$E,,)</f>
        <v>Logone-Birni</v>
      </c>
      <c r="J361" s="5" t="s">
        <v>673</v>
      </c>
      <c r="K361" t="s">
        <v>1468</v>
      </c>
      <c r="L361" s="5" t="s">
        <v>1470</v>
      </c>
      <c r="N361" s="5" t="s">
        <v>3053</v>
      </c>
      <c r="O361" s="5" t="s">
        <v>2467</v>
      </c>
      <c r="P361" s="5" t="s">
        <v>85</v>
      </c>
      <c r="Q361" s="5" t="s">
        <v>86</v>
      </c>
      <c r="R361" s="5" t="s">
        <v>86</v>
      </c>
      <c r="T361" s="390">
        <v>3</v>
      </c>
      <c r="U361" s="5" t="s">
        <v>97</v>
      </c>
      <c r="W361" s="5" t="s">
        <v>2468</v>
      </c>
      <c r="X361" s="5" t="s">
        <v>102</v>
      </c>
      <c r="AA361" s="5" t="s">
        <v>85</v>
      </c>
      <c r="AB361" s="5" t="s">
        <v>2469</v>
      </c>
      <c r="AC361" s="5" t="s">
        <v>2470</v>
      </c>
      <c r="AD361" s="5" t="s">
        <v>86</v>
      </c>
      <c r="AF361" s="5">
        <v>3</v>
      </c>
      <c r="AG361" s="5">
        <v>150</v>
      </c>
      <c r="AH361" s="5" t="s">
        <v>85</v>
      </c>
      <c r="AI361" s="5" t="s">
        <v>2471</v>
      </c>
      <c r="AJ361" s="5">
        <v>3</v>
      </c>
      <c r="AK361" s="5">
        <v>18</v>
      </c>
      <c r="AL361" s="5">
        <v>8</v>
      </c>
      <c r="AM361" s="5">
        <v>10</v>
      </c>
      <c r="AN361" s="5">
        <v>0</v>
      </c>
      <c r="AO361" s="5">
        <v>3</v>
      </c>
      <c r="AP361" s="5">
        <v>0</v>
      </c>
      <c r="AQ361" s="5">
        <v>0</v>
      </c>
      <c r="AT361" s="5">
        <v>0</v>
      </c>
      <c r="AU361" s="5">
        <v>0</v>
      </c>
      <c r="AX361" s="5">
        <v>0</v>
      </c>
      <c r="AY361" s="5" t="s">
        <v>86</v>
      </c>
      <c r="BN361" s="5" t="s">
        <v>86</v>
      </c>
      <c r="CD361" s="5">
        <v>0</v>
      </c>
      <c r="CF361" s="1442" t="str">
        <f>IF([1]!sommaire[[#This Row],[présence des personnes déplacés interne]]="Oui","1","0")</f>
        <v>1</v>
      </c>
      <c r="CG361" s="1442" t="str">
        <f>IF([1]!sommaire[[#This Row],[présence Réfugié hors camp]]="Oui","1","0")</f>
        <v>0</v>
      </c>
      <c r="CH361" s="1442" t="str">
        <f>IF([1]!sommaire[[#This Row],[présence personnes retournées]]="Oui","1","0")</f>
        <v>0</v>
      </c>
      <c r="CI361" s="1442">
        <f>[1]!sommaire[[#This Row],[Flag PDI]]+[1]!sommaire[[#This Row],[Flag REF]]+[1]!sommaire[[#This Row],[Flag RET]]</f>
        <v>1</v>
      </c>
    </row>
    <row r="362" spans="1:87" ht="14.55" customHeight="1" x14ac:dyDescent="0.3">
      <c r="A362" s="390">
        <v>2613510</v>
      </c>
      <c r="B362" s="5" t="s">
        <v>533</v>
      </c>
      <c r="C362" s="1430" t="s">
        <v>3449</v>
      </c>
      <c r="D362" s="1090" t="s">
        <v>534</v>
      </c>
      <c r="E362" s="5" t="s">
        <v>31</v>
      </c>
      <c r="F362" s="5" t="s">
        <v>31</v>
      </c>
      <c r="G362" s="5" t="s">
        <v>549</v>
      </c>
      <c r="H362" s="5" t="s">
        <v>169</v>
      </c>
      <c r="I362" s="5" t="str">
        <f>_xlfn.XLOOKUP(sommaire[[#This Row],[Arrondissement_code]],OCHA_GIS!$F:$F,OCHA_GIS!$E:$E,,)</f>
        <v>Logone-Birni</v>
      </c>
      <c r="J362" s="5" t="s">
        <v>673</v>
      </c>
      <c r="K362" t="s">
        <v>1135</v>
      </c>
      <c r="L362" s="5" t="s">
        <v>1471</v>
      </c>
      <c r="N362" s="5" t="s">
        <v>3053</v>
      </c>
      <c r="O362" s="5" t="s">
        <v>2467</v>
      </c>
      <c r="P362" s="5" t="s">
        <v>85</v>
      </c>
      <c r="Q362" s="5" t="s">
        <v>86</v>
      </c>
      <c r="R362" s="5" t="s">
        <v>86</v>
      </c>
      <c r="T362" s="390">
        <v>3</v>
      </c>
      <c r="U362" s="5" t="s">
        <v>97</v>
      </c>
      <c r="W362" s="5" t="s">
        <v>2468</v>
      </c>
      <c r="X362" s="5" t="s">
        <v>102</v>
      </c>
      <c r="AA362" s="5" t="s">
        <v>85</v>
      </c>
      <c r="AB362" s="5" t="s">
        <v>2469</v>
      </c>
      <c r="AC362" s="5" t="s">
        <v>2470</v>
      </c>
      <c r="AD362" s="5" t="s">
        <v>86</v>
      </c>
      <c r="AF362" s="5">
        <v>30</v>
      </c>
      <c r="AG362" s="5">
        <v>780</v>
      </c>
      <c r="AH362" s="5" t="s">
        <v>85</v>
      </c>
      <c r="AI362" s="5" t="s">
        <v>2485</v>
      </c>
      <c r="AJ362" s="5">
        <v>30</v>
      </c>
      <c r="AK362" s="5">
        <v>183</v>
      </c>
      <c r="AL362" s="5">
        <v>85</v>
      </c>
      <c r="AM362" s="5">
        <v>98</v>
      </c>
      <c r="AN362" s="5">
        <v>0</v>
      </c>
      <c r="AO362" s="5">
        <v>30</v>
      </c>
      <c r="AP362" s="5">
        <v>0</v>
      </c>
      <c r="AQ362" s="5">
        <v>0</v>
      </c>
      <c r="AT362" s="5">
        <v>0</v>
      </c>
      <c r="AU362" s="5">
        <v>0</v>
      </c>
      <c r="AX362" s="5">
        <v>0</v>
      </c>
      <c r="AY362" s="5" t="s">
        <v>86</v>
      </c>
      <c r="BN362" s="5" t="s">
        <v>86</v>
      </c>
      <c r="CD362" s="5">
        <v>0</v>
      </c>
      <c r="CF362" s="1442" t="str">
        <f>IF([1]!sommaire[[#This Row],[présence des personnes déplacés interne]]="Oui","1","0")</f>
        <v>1</v>
      </c>
      <c r="CG362" s="1442" t="str">
        <f>IF([1]!sommaire[[#This Row],[présence Réfugié hors camp]]="Oui","1","0")</f>
        <v>0</v>
      </c>
      <c r="CH362" s="1442" t="str">
        <f>IF([1]!sommaire[[#This Row],[présence personnes retournées]]="Oui","1","0")</f>
        <v>0</v>
      </c>
      <c r="CI362" s="1442">
        <f>[1]!sommaire[[#This Row],[Flag PDI]]+[1]!sommaire[[#This Row],[Flag REF]]+[1]!sommaire[[#This Row],[Flag RET]]</f>
        <v>1</v>
      </c>
    </row>
    <row r="363" spans="1:87" ht="14.55" customHeight="1" x14ac:dyDescent="0.3">
      <c r="A363" s="390">
        <v>2680251</v>
      </c>
      <c r="B363" s="5" t="s">
        <v>533</v>
      </c>
      <c r="C363" s="1430" t="s">
        <v>3449</v>
      </c>
      <c r="D363" s="1090" t="s">
        <v>534</v>
      </c>
      <c r="E363" s="5" t="s">
        <v>31</v>
      </c>
      <c r="F363" s="5" t="s">
        <v>31</v>
      </c>
      <c r="G363" s="5" t="s">
        <v>549</v>
      </c>
      <c r="H363" s="5" t="s">
        <v>169</v>
      </c>
      <c r="I363" s="5" t="str">
        <f>_xlfn.XLOOKUP(sommaire[[#This Row],[Arrondissement_code]],OCHA_GIS!$F:$F,OCHA_GIS!$E:$E,,)</f>
        <v>Logone-Birni</v>
      </c>
      <c r="J363" s="5" t="s">
        <v>673</v>
      </c>
      <c r="K363" t="s">
        <v>2836</v>
      </c>
      <c r="L363" s="5" t="s">
        <v>2315</v>
      </c>
      <c r="N363" s="5" t="s">
        <v>3053</v>
      </c>
      <c r="O363" s="5" t="s">
        <v>2467</v>
      </c>
      <c r="P363" s="5" t="s">
        <v>85</v>
      </c>
      <c r="Q363" s="5" t="s">
        <v>86</v>
      </c>
      <c r="R363" s="5" t="s">
        <v>86</v>
      </c>
      <c r="T363" s="390">
        <v>4</v>
      </c>
      <c r="U363" s="5" t="s">
        <v>99</v>
      </c>
      <c r="V363" s="5" t="s">
        <v>122</v>
      </c>
      <c r="W363" s="5" t="s">
        <v>2468</v>
      </c>
      <c r="X363" s="5" t="s">
        <v>103</v>
      </c>
      <c r="Y363" s="5" t="s">
        <v>2476</v>
      </c>
      <c r="AA363" s="5" t="s">
        <v>86</v>
      </c>
      <c r="AH363" s="1430" t="s">
        <v>86</v>
      </c>
      <c r="AY363" s="1430" t="s">
        <v>86</v>
      </c>
      <c r="BN363" s="1430" t="s">
        <v>86</v>
      </c>
      <c r="CF363" s="1442" t="str">
        <f>IF([1]!sommaire[[#This Row],[présence des personnes déplacés interne]]="Oui","1","0")</f>
        <v>0</v>
      </c>
      <c r="CG363" s="1442" t="str">
        <f>IF([1]!sommaire[[#This Row],[présence Réfugié hors camp]]="Oui","1","0")</f>
        <v>0</v>
      </c>
      <c r="CH363" s="1442" t="str">
        <f>IF([1]!sommaire[[#This Row],[présence personnes retournées]]="Oui","1","0")</f>
        <v>0</v>
      </c>
      <c r="CI363" s="1442">
        <f>[1]!sommaire[[#This Row],[Flag PDI]]+[1]!sommaire[[#This Row],[Flag REF]]+[1]!sommaire[[#This Row],[Flag RET]]</f>
        <v>0</v>
      </c>
    </row>
    <row r="364" spans="1:87" ht="14.55" customHeight="1" x14ac:dyDescent="0.3">
      <c r="A364" s="390">
        <v>2690383</v>
      </c>
      <c r="B364" s="5" t="s">
        <v>533</v>
      </c>
      <c r="C364" s="1430" t="s">
        <v>3449</v>
      </c>
      <c r="D364" s="1090" t="s">
        <v>534</v>
      </c>
      <c r="E364" s="5" t="s">
        <v>31</v>
      </c>
      <c r="F364" s="5" t="s">
        <v>31</v>
      </c>
      <c r="G364" s="5" t="s">
        <v>549</v>
      </c>
      <c r="H364" s="5" t="s">
        <v>169</v>
      </c>
      <c r="I364" s="5" t="str">
        <f>_xlfn.XLOOKUP(sommaire[[#This Row],[Arrondissement_code]],OCHA_GIS!$F:$F,OCHA_GIS!$E:$E,,)</f>
        <v>Logone-Birni</v>
      </c>
      <c r="J364" s="5" t="s">
        <v>673</v>
      </c>
      <c r="K364" t="s">
        <v>2838</v>
      </c>
      <c r="L364" s="5" t="s">
        <v>1124</v>
      </c>
      <c r="N364" s="5" t="s">
        <v>3053</v>
      </c>
      <c r="O364" s="5" t="s">
        <v>2467</v>
      </c>
      <c r="P364" s="5" t="s">
        <v>85</v>
      </c>
      <c r="Q364" s="5" t="s">
        <v>86</v>
      </c>
      <c r="R364" s="5" t="s">
        <v>86</v>
      </c>
      <c r="T364" s="390">
        <v>3</v>
      </c>
      <c r="U364" s="5" t="s">
        <v>97</v>
      </c>
      <c r="W364" s="5" t="s">
        <v>2468</v>
      </c>
      <c r="X364" s="5" t="s">
        <v>102</v>
      </c>
      <c r="AA364" s="5" t="s">
        <v>85</v>
      </c>
      <c r="AB364" s="5" t="s">
        <v>2469</v>
      </c>
      <c r="AC364" s="5" t="s">
        <v>2470</v>
      </c>
      <c r="AD364" s="5" t="s">
        <v>86</v>
      </c>
      <c r="AF364" s="5">
        <v>6</v>
      </c>
      <c r="AG364" s="5">
        <v>205</v>
      </c>
      <c r="AH364" s="5" t="s">
        <v>85</v>
      </c>
      <c r="AI364" s="5" t="s">
        <v>2471</v>
      </c>
      <c r="AJ364" s="5">
        <v>6</v>
      </c>
      <c r="AK364" s="5">
        <v>40</v>
      </c>
      <c r="AL364" s="5">
        <v>23</v>
      </c>
      <c r="AM364" s="5">
        <v>17</v>
      </c>
      <c r="AN364" s="5">
        <v>0</v>
      </c>
      <c r="AO364" s="5">
        <v>0</v>
      </c>
      <c r="AP364" s="5">
        <v>0</v>
      </c>
      <c r="AQ364" s="5">
        <v>0</v>
      </c>
      <c r="AT364" s="5">
        <v>0</v>
      </c>
      <c r="AU364" s="5">
        <v>6</v>
      </c>
      <c r="AV364" s="5" t="s">
        <v>2478</v>
      </c>
      <c r="AX364" s="5">
        <v>0</v>
      </c>
      <c r="AY364" s="5" t="s">
        <v>86</v>
      </c>
      <c r="BN364" s="5" t="s">
        <v>86</v>
      </c>
      <c r="CD364" s="5">
        <v>0</v>
      </c>
      <c r="CF364" s="1442" t="str">
        <f>IF([1]!sommaire[[#This Row],[présence des personnes déplacés interne]]="Oui","1","0")</f>
        <v>1</v>
      </c>
      <c r="CG364" s="1442" t="str">
        <f>IF([1]!sommaire[[#This Row],[présence Réfugié hors camp]]="Oui","1","0")</f>
        <v>0</v>
      </c>
      <c r="CH364" s="1442" t="str">
        <f>IF([1]!sommaire[[#This Row],[présence personnes retournées]]="Oui","1","0")</f>
        <v>0</v>
      </c>
      <c r="CI364" s="1442">
        <f>[1]!sommaire[[#This Row],[Flag PDI]]+[1]!sommaire[[#This Row],[Flag REF]]+[1]!sommaire[[#This Row],[Flag RET]]</f>
        <v>1</v>
      </c>
    </row>
    <row r="365" spans="1:87" ht="14.55" customHeight="1" x14ac:dyDescent="0.3">
      <c r="A365" s="390">
        <v>2715701</v>
      </c>
      <c r="B365" s="5" t="s">
        <v>533</v>
      </c>
      <c r="C365" s="1430" t="s">
        <v>3449</v>
      </c>
      <c r="D365" s="1090" t="s">
        <v>534</v>
      </c>
      <c r="E365" s="5" t="s">
        <v>31</v>
      </c>
      <c r="F365" s="5" t="s">
        <v>31</v>
      </c>
      <c r="G365" s="5" t="s">
        <v>549</v>
      </c>
      <c r="H365" s="5" t="s">
        <v>169</v>
      </c>
      <c r="I365" s="5" t="str">
        <f>_xlfn.XLOOKUP(sommaire[[#This Row],[Arrondissement_code]],OCHA_GIS!$F:$F,OCHA_GIS!$E:$E,,)</f>
        <v>Logone-Birni</v>
      </c>
      <c r="J365" s="5" t="s">
        <v>673</v>
      </c>
      <c r="K365" t="s">
        <v>2841</v>
      </c>
      <c r="L365" s="5" t="s">
        <v>2349</v>
      </c>
      <c r="N365" s="5" t="s">
        <v>3053</v>
      </c>
      <c r="O365" s="5" t="s">
        <v>2467</v>
      </c>
      <c r="P365" s="5" t="s">
        <v>85</v>
      </c>
      <c r="Q365" s="5" t="s">
        <v>86</v>
      </c>
      <c r="R365" s="5" t="s">
        <v>86</v>
      </c>
      <c r="T365" s="390">
        <v>3</v>
      </c>
      <c r="U365" s="5" t="s">
        <v>97</v>
      </c>
      <c r="W365" s="5" t="s">
        <v>2468</v>
      </c>
      <c r="X365" s="5" t="s">
        <v>102</v>
      </c>
      <c r="AA365" s="5" t="s">
        <v>85</v>
      </c>
      <c r="AB365" s="5" t="s">
        <v>2469</v>
      </c>
      <c r="AC365" s="5" t="s">
        <v>2470</v>
      </c>
      <c r="AD365" s="5" t="s">
        <v>86</v>
      </c>
      <c r="AG365" s="5">
        <v>210</v>
      </c>
      <c r="AH365" s="5" t="s">
        <v>86</v>
      </c>
      <c r="AY365" s="5" t="s">
        <v>86</v>
      </c>
      <c r="BN365" s="5" t="s">
        <v>85</v>
      </c>
      <c r="BO365" s="5">
        <v>27</v>
      </c>
      <c r="BP365" s="5">
        <v>210</v>
      </c>
      <c r="BQ365" s="5">
        <v>80</v>
      </c>
      <c r="BR365" s="5">
        <v>130</v>
      </c>
      <c r="BS365" s="5" t="s">
        <v>2492</v>
      </c>
      <c r="BT365" s="5">
        <v>0</v>
      </c>
      <c r="BU365" s="5">
        <v>27</v>
      </c>
      <c r="BV365" s="5">
        <v>0</v>
      </c>
      <c r="BW365" s="5">
        <v>0</v>
      </c>
      <c r="BX365" s="5">
        <v>0</v>
      </c>
      <c r="BZ365" s="5">
        <v>0</v>
      </c>
      <c r="CA365" s="5">
        <v>0</v>
      </c>
      <c r="CC365" s="5">
        <v>0</v>
      </c>
      <c r="CD365" s="5">
        <v>0</v>
      </c>
      <c r="CF365" s="1442" t="str">
        <f>IF([1]!sommaire[[#This Row],[présence des personnes déplacés interne]]="Oui","1","0")</f>
        <v>0</v>
      </c>
      <c r="CG365" s="1442" t="str">
        <f>IF([1]!sommaire[[#This Row],[présence Réfugié hors camp]]="Oui","1","0")</f>
        <v>0</v>
      </c>
      <c r="CH365" s="1442" t="str">
        <f>IF([1]!sommaire[[#This Row],[présence personnes retournées]]="Oui","1","0")</f>
        <v>1</v>
      </c>
      <c r="CI365" s="1442">
        <f>[1]!sommaire[[#This Row],[Flag PDI]]+[1]!sommaire[[#This Row],[Flag REF]]+[1]!sommaire[[#This Row],[Flag RET]]</f>
        <v>1</v>
      </c>
    </row>
    <row r="366" spans="1:87" ht="14.55" customHeight="1" x14ac:dyDescent="0.3">
      <c r="A366" s="390">
        <v>2715698</v>
      </c>
      <c r="B366" s="5" t="s">
        <v>533</v>
      </c>
      <c r="C366" s="1430" t="s">
        <v>3449</v>
      </c>
      <c r="D366" s="1090" t="s">
        <v>534</v>
      </c>
      <c r="E366" s="5" t="s">
        <v>31</v>
      </c>
      <c r="F366" s="5" t="s">
        <v>31</v>
      </c>
      <c r="G366" s="5" t="s">
        <v>549</v>
      </c>
      <c r="H366" s="5" t="s">
        <v>169</v>
      </c>
      <c r="I366" s="5" t="str">
        <f>_xlfn.XLOOKUP(sommaire[[#This Row],[Arrondissement_code]],OCHA_GIS!$F:$F,OCHA_GIS!$E:$E,,)</f>
        <v>Logone-Birni</v>
      </c>
      <c r="J366" s="5" t="s">
        <v>673</v>
      </c>
      <c r="K366" t="s">
        <v>2814</v>
      </c>
      <c r="L366" s="5" t="s">
        <v>2348</v>
      </c>
      <c r="N366" s="5" t="s">
        <v>3053</v>
      </c>
      <c r="O366" s="5" t="s">
        <v>2467</v>
      </c>
      <c r="P366" s="5" t="s">
        <v>85</v>
      </c>
      <c r="Q366" s="5" t="s">
        <v>86</v>
      </c>
      <c r="R366" s="5" t="s">
        <v>86</v>
      </c>
      <c r="T366" s="390">
        <v>3</v>
      </c>
      <c r="U366" s="5" t="s">
        <v>97</v>
      </c>
      <c r="W366" s="5" t="s">
        <v>2468</v>
      </c>
      <c r="X366" s="5" t="s">
        <v>102</v>
      </c>
      <c r="AA366" s="5" t="s">
        <v>85</v>
      </c>
      <c r="AB366" s="5" t="s">
        <v>2469</v>
      </c>
      <c r="AC366" s="5" t="s">
        <v>2470</v>
      </c>
      <c r="AD366" s="5" t="s">
        <v>86</v>
      </c>
      <c r="AG366" s="5">
        <v>391</v>
      </c>
      <c r="AH366" s="5" t="s">
        <v>86</v>
      </c>
      <c r="AY366" s="5" t="s">
        <v>86</v>
      </c>
      <c r="BN366" s="5" t="s">
        <v>85</v>
      </c>
      <c r="BO366" s="5">
        <v>33</v>
      </c>
      <c r="BP366" s="5">
        <v>391</v>
      </c>
      <c r="BQ366" s="5">
        <v>151</v>
      </c>
      <c r="BR366" s="5">
        <v>240</v>
      </c>
      <c r="BS366" s="5" t="s">
        <v>2492</v>
      </c>
      <c r="BT366" s="5">
        <v>8</v>
      </c>
      <c r="BU366" s="5">
        <v>25</v>
      </c>
      <c r="BV366" s="5">
        <v>0</v>
      </c>
      <c r="BW366" s="5">
        <v>0</v>
      </c>
      <c r="BX366" s="5">
        <v>0</v>
      </c>
      <c r="BZ366" s="5">
        <v>0</v>
      </c>
      <c r="CA366" s="5">
        <v>0</v>
      </c>
      <c r="CC366" s="5">
        <v>0</v>
      </c>
      <c r="CD366" s="5">
        <v>0</v>
      </c>
      <c r="CF366" s="1442" t="str">
        <f>IF([1]!sommaire[[#This Row],[présence des personnes déplacés interne]]="Oui","1","0")</f>
        <v>0</v>
      </c>
      <c r="CG366" s="1442" t="str">
        <f>IF([1]!sommaire[[#This Row],[présence Réfugié hors camp]]="Oui","1","0")</f>
        <v>0</v>
      </c>
      <c r="CH366" s="1442" t="str">
        <f>IF([1]!sommaire[[#This Row],[présence personnes retournées]]="Oui","1","0")</f>
        <v>1</v>
      </c>
      <c r="CI366" s="1442">
        <f>[1]!sommaire[[#This Row],[Flag PDI]]+[1]!sommaire[[#This Row],[Flag REF]]+[1]!sommaire[[#This Row],[Flag RET]]</f>
        <v>1</v>
      </c>
    </row>
    <row r="367" spans="1:87" ht="14.55" customHeight="1" x14ac:dyDescent="0.3">
      <c r="A367" s="390">
        <v>2621725</v>
      </c>
      <c r="B367" s="5" t="s">
        <v>533</v>
      </c>
      <c r="C367" s="1430" t="s">
        <v>3449</v>
      </c>
      <c r="D367" s="1090" t="s">
        <v>534</v>
      </c>
      <c r="E367" s="5" t="s">
        <v>31</v>
      </c>
      <c r="F367" s="5" t="s">
        <v>31</v>
      </c>
      <c r="G367" s="5" t="s">
        <v>549</v>
      </c>
      <c r="H367" s="5" t="s">
        <v>169</v>
      </c>
      <c r="I367" s="5" t="str">
        <f>_xlfn.XLOOKUP(sommaire[[#This Row],[Arrondissement_code]],OCHA_GIS!$F:$F,OCHA_GIS!$E:$E,,)</f>
        <v>Logone-Birni</v>
      </c>
      <c r="J367" s="5" t="s">
        <v>673</v>
      </c>
      <c r="K367" t="s">
        <v>2976</v>
      </c>
      <c r="L367" s="5" t="s">
        <v>2335</v>
      </c>
      <c r="N367" s="5" t="s">
        <v>3053</v>
      </c>
      <c r="O367" s="5" t="s">
        <v>2467</v>
      </c>
      <c r="P367" s="5" t="s">
        <v>85</v>
      </c>
      <c r="Q367" s="5" t="s">
        <v>86</v>
      </c>
      <c r="R367" s="5" t="s">
        <v>86</v>
      </c>
      <c r="T367" s="390">
        <v>3</v>
      </c>
      <c r="U367" s="5" t="s">
        <v>97</v>
      </c>
      <c r="W367" s="5" t="s">
        <v>2468</v>
      </c>
      <c r="X367" s="5" t="s">
        <v>103</v>
      </c>
      <c r="Y367" s="5" t="s">
        <v>274</v>
      </c>
      <c r="AA367" s="5" t="s">
        <v>85</v>
      </c>
      <c r="AB367" s="5" t="s">
        <v>2469</v>
      </c>
      <c r="AC367" s="5" t="s">
        <v>2470</v>
      </c>
      <c r="AD367" s="5" t="s">
        <v>86</v>
      </c>
      <c r="AG367" s="5">
        <v>266</v>
      </c>
      <c r="AH367" s="5" t="s">
        <v>86</v>
      </c>
      <c r="AY367" s="5" t="s">
        <v>86</v>
      </c>
      <c r="BN367" s="5" t="s">
        <v>85</v>
      </c>
      <c r="BO367" s="5">
        <v>52</v>
      </c>
      <c r="BP367" s="5">
        <v>264</v>
      </c>
      <c r="BQ367" s="5">
        <v>107</v>
      </c>
      <c r="BR367" s="5">
        <v>157</v>
      </c>
      <c r="BS367" s="5" t="s">
        <v>2492</v>
      </c>
      <c r="BT367" s="5">
        <v>0</v>
      </c>
      <c r="BU367" s="5">
        <v>52</v>
      </c>
      <c r="BV367" s="5">
        <v>0</v>
      </c>
      <c r="BW367" s="5">
        <v>0</v>
      </c>
      <c r="BX367" s="5">
        <v>0</v>
      </c>
      <c r="BZ367" s="5">
        <v>0</v>
      </c>
      <c r="CA367" s="5">
        <v>0</v>
      </c>
      <c r="CC367" s="5">
        <v>0</v>
      </c>
      <c r="CD367" s="5">
        <v>0</v>
      </c>
      <c r="CF367" s="1442" t="str">
        <f>IF([1]!sommaire[[#This Row],[présence des personnes déplacés interne]]="Oui","1","0")</f>
        <v>0</v>
      </c>
      <c r="CG367" s="1442" t="str">
        <f>IF([1]!sommaire[[#This Row],[présence Réfugié hors camp]]="Oui","1","0")</f>
        <v>0</v>
      </c>
      <c r="CH367" s="1442" t="str">
        <f>IF([1]!sommaire[[#This Row],[présence personnes retournées]]="Oui","1","0")</f>
        <v>1</v>
      </c>
      <c r="CI367" s="1442">
        <f>[1]!sommaire[[#This Row],[Flag PDI]]+[1]!sommaire[[#This Row],[Flag REF]]+[1]!sommaire[[#This Row],[Flag RET]]</f>
        <v>1</v>
      </c>
    </row>
    <row r="368" spans="1:87" ht="14.55" customHeight="1" x14ac:dyDescent="0.3">
      <c r="A368" s="390">
        <v>2680250</v>
      </c>
      <c r="B368" s="5" t="s">
        <v>533</v>
      </c>
      <c r="C368" s="1430" t="s">
        <v>3449</v>
      </c>
      <c r="D368" s="1090" t="s">
        <v>534</v>
      </c>
      <c r="E368" s="5" t="s">
        <v>31</v>
      </c>
      <c r="F368" s="5" t="s">
        <v>31</v>
      </c>
      <c r="G368" s="5" t="s">
        <v>549</v>
      </c>
      <c r="H368" s="5" t="s">
        <v>169</v>
      </c>
      <c r="I368" s="5" t="str">
        <f>_xlfn.XLOOKUP(sommaire[[#This Row],[Arrondissement_code]],OCHA_GIS!$F:$F,OCHA_GIS!$E:$E,,)</f>
        <v>Logone-Birni</v>
      </c>
      <c r="J368" s="5" t="s">
        <v>673</v>
      </c>
      <c r="K368" t="s">
        <v>2844</v>
      </c>
      <c r="L368" s="5" t="s">
        <v>2055</v>
      </c>
      <c r="N368" s="5" t="s">
        <v>3053</v>
      </c>
      <c r="O368" s="5" t="s">
        <v>2467</v>
      </c>
      <c r="P368" s="5" t="s">
        <v>85</v>
      </c>
      <c r="Q368" s="5" t="s">
        <v>86</v>
      </c>
      <c r="R368" s="5" t="s">
        <v>86</v>
      </c>
      <c r="T368" s="390">
        <v>3</v>
      </c>
      <c r="U368" s="5" t="s">
        <v>97</v>
      </c>
      <c r="W368" s="5" t="s">
        <v>2468</v>
      </c>
      <c r="X368" s="5" t="s">
        <v>103</v>
      </c>
      <c r="Y368" s="5" t="s">
        <v>274</v>
      </c>
      <c r="AA368" s="5" t="s">
        <v>85</v>
      </c>
      <c r="AB368" s="5" t="s">
        <v>2469</v>
      </c>
      <c r="AC368" s="5" t="s">
        <v>2470</v>
      </c>
      <c r="AD368" s="5" t="s">
        <v>86</v>
      </c>
      <c r="AG368" s="5">
        <v>2000</v>
      </c>
      <c r="AH368" s="5" t="s">
        <v>86</v>
      </c>
      <c r="AY368" s="5" t="s">
        <v>86</v>
      </c>
      <c r="BN368" s="5" t="s">
        <v>85</v>
      </c>
      <c r="BO368" s="5">
        <v>250</v>
      </c>
      <c r="BP368" s="5">
        <v>2000</v>
      </c>
      <c r="BQ368" s="5">
        <v>840</v>
      </c>
      <c r="BR368" s="5">
        <v>1160</v>
      </c>
      <c r="BS368" s="5" t="s">
        <v>2484</v>
      </c>
      <c r="BT368" s="5">
        <v>0</v>
      </c>
      <c r="BU368" s="5">
        <v>250</v>
      </c>
      <c r="BV368" s="5">
        <v>0</v>
      </c>
      <c r="BW368" s="5">
        <v>0</v>
      </c>
      <c r="BX368" s="5">
        <v>0</v>
      </c>
      <c r="BZ368" s="5">
        <v>0</v>
      </c>
      <c r="CA368" s="5">
        <v>0</v>
      </c>
      <c r="CC368" s="5">
        <v>0</v>
      </c>
      <c r="CD368" s="5">
        <v>0</v>
      </c>
      <c r="CF368" s="1442" t="str">
        <f>IF([1]!sommaire[[#This Row],[présence des personnes déplacés interne]]="Oui","1","0")</f>
        <v>0</v>
      </c>
      <c r="CG368" s="1442" t="str">
        <f>IF([1]!sommaire[[#This Row],[présence Réfugié hors camp]]="Oui","1","0")</f>
        <v>0</v>
      </c>
      <c r="CH368" s="1442" t="str">
        <f>IF([1]!sommaire[[#This Row],[présence personnes retournées]]="Oui","1","0")</f>
        <v>1</v>
      </c>
      <c r="CI368" s="1442">
        <f>[1]!sommaire[[#This Row],[Flag PDI]]+[1]!sommaire[[#This Row],[Flag REF]]+[1]!sommaire[[#This Row],[Flag RET]]</f>
        <v>1</v>
      </c>
    </row>
    <row r="369" spans="1:87" ht="14.55" customHeight="1" x14ac:dyDescent="0.3">
      <c r="A369" s="390">
        <v>2680246</v>
      </c>
      <c r="B369" s="5" t="s">
        <v>533</v>
      </c>
      <c r="C369" s="1430" t="s">
        <v>3449</v>
      </c>
      <c r="D369" s="1090" t="s">
        <v>534</v>
      </c>
      <c r="E369" s="5" t="s">
        <v>31</v>
      </c>
      <c r="F369" s="5" t="s">
        <v>31</v>
      </c>
      <c r="G369" s="5" t="s">
        <v>549</v>
      </c>
      <c r="H369" s="5" t="s">
        <v>169</v>
      </c>
      <c r="I369" s="5" t="str">
        <f>_xlfn.XLOOKUP(sommaire[[#This Row],[Arrondissement_code]],OCHA_GIS!$F:$F,OCHA_GIS!$E:$E,,)</f>
        <v>Logone-Birni</v>
      </c>
      <c r="J369" s="5" t="s">
        <v>673</v>
      </c>
      <c r="K369" t="s">
        <v>816</v>
      </c>
      <c r="L369" s="5" t="s">
        <v>1645</v>
      </c>
      <c r="N369" s="5" t="s">
        <v>3053</v>
      </c>
      <c r="O369" s="5" t="s">
        <v>2467</v>
      </c>
      <c r="P369" s="5" t="s">
        <v>86</v>
      </c>
      <c r="Q369" s="5" t="s">
        <v>86</v>
      </c>
      <c r="R369" s="5" t="s">
        <v>85</v>
      </c>
      <c r="U369" s="5" t="s">
        <v>97</v>
      </c>
      <c r="W369" s="5" t="s">
        <v>2482</v>
      </c>
      <c r="AA369" s="5" t="s">
        <v>86</v>
      </c>
      <c r="AH369" s="1430" t="s">
        <v>86</v>
      </c>
      <c r="AY369" s="1430" t="s">
        <v>86</v>
      </c>
      <c r="BN369" s="1430" t="s">
        <v>86</v>
      </c>
      <c r="CF369" s="1442" t="str">
        <f>IF([1]!sommaire[[#This Row],[présence des personnes déplacés interne]]="Oui","1","0")</f>
        <v>0</v>
      </c>
      <c r="CG369" s="1442" t="str">
        <f>IF([1]!sommaire[[#This Row],[présence Réfugié hors camp]]="Oui","1","0")</f>
        <v>0</v>
      </c>
      <c r="CH369" s="1442" t="str">
        <f>IF([1]!sommaire[[#This Row],[présence personnes retournées]]="Oui","1","0")</f>
        <v>0</v>
      </c>
      <c r="CI369" s="1442">
        <f>[1]!sommaire[[#This Row],[Flag PDI]]+[1]!sommaire[[#This Row],[Flag REF]]+[1]!sommaire[[#This Row],[Flag RET]]</f>
        <v>0</v>
      </c>
    </row>
    <row r="370" spans="1:87" ht="14.55" customHeight="1" x14ac:dyDescent="0.3">
      <c r="A370" s="390">
        <v>2721265</v>
      </c>
      <c r="B370" s="5" t="s">
        <v>533</v>
      </c>
      <c r="C370" s="1430" t="s">
        <v>3449</v>
      </c>
      <c r="D370" s="1090" t="s">
        <v>534</v>
      </c>
      <c r="E370" s="5" t="s">
        <v>31</v>
      </c>
      <c r="F370" s="5" t="s">
        <v>31</v>
      </c>
      <c r="G370" s="5" t="s">
        <v>549</v>
      </c>
      <c r="H370" s="5" t="s">
        <v>169</v>
      </c>
      <c r="I370" s="5" t="str">
        <f>_xlfn.XLOOKUP(sommaire[[#This Row],[Arrondissement_code]],OCHA_GIS!$F:$F,OCHA_GIS!$E:$E,,)</f>
        <v>Logone-Birni</v>
      </c>
      <c r="J370" s="5" t="s">
        <v>673</v>
      </c>
      <c r="K370" t="s">
        <v>2846</v>
      </c>
      <c r="L370" s="5" t="s">
        <v>2262</v>
      </c>
      <c r="N370" s="5" t="s">
        <v>3053</v>
      </c>
      <c r="O370" s="5" t="s">
        <v>2467</v>
      </c>
      <c r="P370" s="5" t="s">
        <v>85</v>
      </c>
      <c r="Q370" s="5" t="s">
        <v>85</v>
      </c>
      <c r="R370" s="5" t="s">
        <v>85</v>
      </c>
      <c r="S370" s="390">
        <v>7</v>
      </c>
      <c r="T370" s="390">
        <v>3</v>
      </c>
      <c r="U370" s="5" t="s">
        <v>97</v>
      </c>
      <c r="W370" s="5" t="s">
        <v>2468</v>
      </c>
      <c r="X370" s="5" t="s">
        <v>103</v>
      </c>
      <c r="Y370" s="5" t="s">
        <v>274</v>
      </c>
      <c r="AA370" s="5" t="s">
        <v>85</v>
      </c>
      <c r="AB370" s="5" t="s">
        <v>2469</v>
      </c>
      <c r="AC370" s="5" t="s">
        <v>2470</v>
      </c>
      <c r="AD370" s="5" t="s">
        <v>86</v>
      </c>
      <c r="AG370" s="5">
        <v>154</v>
      </c>
      <c r="AH370" s="5" t="s">
        <v>86</v>
      </c>
      <c r="AY370" s="5" t="s">
        <v>86</v>
      </c>
      <c r="BN370" s="5" t="s">
        <v>85</v>
      </c>
      <c r="BO370" s="5">
        <v>66</v>
      </c>
      <c r="BP370" s="5">
        <v>154</v>
      </c>
      <c r="BQ370" s="5">
        <v>61</v>
      </c>
      <c r="BR370" s="5">
        <v>93</v>
      </c>
      <c r="BS370" s="5" t="s">
        <v>2492</v>
      </c>
      <c r="BT370" s="5">
        <v>16</v>
      </c>
      <c r="BU370" s="5">
        <v>50</v>
      </c>
      <c r="BV370" s="5">
        <v>0</v>
      </c>
      <c r="BW370" s="5">
        <v>0</v>
      </c>
      <c r="BX370" s="5">
        <v>0</v>
      </c>
      <c r="BZ370" s="5">
        <v>0</v>
      </c>
      <c r="CA370" s="5">
        <v>0</v>
      </c>
      <c r="CC370" s="5">
        <v>0</v>
      </c>
      <c r="CD370" s="5">
        <v>0</v>
      </c>
      <c r="CF370" s="1442" t="str">
        <f>IF([1]!sommaire[[#This Row],[présence des personnes déplacés interne]]="Oui","1","0")</f>
        <v>0</v>
      </c>
      <c r="CG370" s="1442" t="str">
        <f>IF([1]!sommaire[[#This Row],[présence Réfugié hors camp]]="Oui","1","0")</f>
        <v>0</v>
      </c>
      <c r="CH370" s="1442" t="str">
        <f>IF([1]!sommaire[[#This Row],[présence personnes retournées]]="Oui","1","0")</f>
        <v>1</v>
      </c>
      <c r="CI370" s="1442">
        <f>[1]!sommaire[[#This Row],[Flag PDI]]+[1]!sommaire[[#This Row],[Flag REF]]+[1]!sommaire[[#This Row],[Flag RET]]</f>
        <v>1</v>
      </c>
    </row>
    <row r="371" spans="1:87" ht="14.55" customHeight="1" x14ac:dyDescent="0.3">
      <c r="A371" s="390">
        <v>2721263</v>
      </c>
      <c r="B371" s="5" t="s">
        <v>533</v>
      </c>
      <c r="C371" s="1430" t="s">
        <v>3449</v>
      </c>
      <c r="D371" s="1090" t="s">
        <v>534</v>
      </c>
      <c r="E371" s="5" t="s">
        <v>31</v>
      </c>
      <c r="F371" s="5" t="s">
        <v>31</v>
      </c>
      <c r="G371" s="5" t="s">
        <v>549</v>
      </c>
      <c r="H371" s="5" t="s">
        <v>169</v>
      </c>
      <c r="I371" s="5" t="str">
        <f>_xlfn.XLOOKUP(sommaire[[#This Row],[Arrondissement_code]],OCHA_GIS!$F:$F,OCHA_GIS!$E:$E,,)</f>
        <v>Logone-Birni</v>
      </c>
      <c r="J371" s="5" t="s">
        <v>673</v>
      </c>
      <c r="K371" t="s">
        <v>3198</v>
      </c>
      <c r="L371" s="5" t="s">
        <v>3075</v>
      </c>
      <c r="N371" s="5" t="s">
        <v>3053</v>
      </c>
      <c r="O371" s="5" t="s">
        <v>2467</v>
      </c>
      <c r="P371" s="5" t="s">
        <v>85</v>
      </c>
      <c r="Q371" s="5" t="s">
        <v>86</v>
      </c>
      <c r="R371" s="5" t="s">
        <v>85</v>
      </c>
      <c r="T371" s="390">
        <v>3</v>
      </c>
      <c r="U371" s="5" t="s">
        <v>97</v>
      </c>
      <c r="W371" s="5" t="s">
        <v>2468</v>
      </c>
      <c r="X371" s="5" t="s">
        <v>103</v>
      </c>
      <c r="Y371" s="5" t="s">
        <v>274</v>
      </c>
      <c r="AA371" s="5" t="s">
        <v>85</v>
      </c>
      <c r="AB371" s="5" t="s">
        <v>2469</v>
      </c>
      <c r="AC371" s="5" t="s">
        <v>2470</v>
      </c>
      <c r="AD371" s="5" t="s">
        <v>86</v>
      </c>
      <c r="AG371" s="5">
        <v>66</v>
      </c>
      <c r="AH371" s="5" t="s">
        <v>86</v>
      </c>
      <c r="AY371" s="5" t="s">
        <v>86</v>
      </c>
      <c r="BN371" s="5" t="s">
        <v>85</v>
      </c>
      <c r="BO371" s="5">
        <v>21</v>
      </c>
      <c r="BP371" s="5">
        <v>66</v>
      </c>
      <c r="BQ371" s="5">
        <v>28</v>
      </c>
      <c r="BR371" s="5">
        <v>38</v>
      </c>
      <c r="BS371" s="5" t="s">
        <v>2492</v>
      </c>
      <c r="BT371" s="5">
        <v>3</v>
      </c>
      <c r="BU371" s="5">
        <v>18</v>
      </c>
      <c r="BV371" s="5">
        <v>0</v>
      </c>
      <c r="BW371" s="5">
        <v>0</v>
      </c>
      <c r="BX371" s="5">
        <v>0</v>
      </c>
      <c r="BZ371" s="5">
        <v>0</v>
      </c>
      <c r="CA371" s="5">
        <v>0</v>
      </c>
      <c r="CC371" s="5">
        <v>0</v>
      </c>
      <c r="CD371" s="5">
        <v>0</v>
      </c>
      <c r="CF371" s="1442" t="str">
        <f>IF([1]!sommaire[[#This Row],[présence des personnes déplacés interne]]="Oui","1","0")</f>
        <v>0</v>
      </c>
      <c r="CG371" s="1442" t="str">
        <f>IF([1]!sommaire[[#This Row],[présence Réfugié hors camp]]="Oui","1","0")</f>
        <v>0</v>
      </c>
      <c r="CH371" s="1442" t="str">
        <f>IF([1]!sommaire[[#This Row],[présence personnes retournées]]="Oui","1","0")</f>
        <v>1</v>
      </c>
      <c r="CI371" s="1442">
        <f>[1]!sommaire[[#This Row],[Flag PDI]]+[1]!sommaire[[#This Row],[Flag REF]]+[1]!sommaire[[#This Row],[Flag RET]]</f>
        <v>1</v>
      </c>
    </row>
    <row r="372" spans="1:87" ht="14.55" customHeight="1" x14ac:dyDescent="0.3">
      <c r="A372" s="390">
        <v>2721264</v>
      </c>
      <c r="B372" s="5" t="s">
        <v>533</v>
      </c>
      <c r="C372" s="1430" t="s">
        <v>3449</v>
      </c>
      <c r="D372" s="1090" t="s">
        <v>534</v>
      </c>
      <c r="E372" s="5" t="s">
        <v>31</v>
      </c>
      <c r="F372" s="5" t="s">
        <v>31</v>
      </c>
      <c r="G372" s="5" t="s">
        <v>549</v>
      </c>
      <c r="H372" s="5" t="s">
        <v>169</v>
      </c>
      <c r="I372" s="5" t="str">
        <f>_xlfn.XLOOKUP(sommaire[[#This Row],[Arrondissement_code]],OCHA_GIS!$F:$F,OCHA_GIS!$E:$E,,)</f>
        <v>Logone-Birni</v>
      </c>
      <c r="J372" s="5" t="s">
        <v>673</v>
      </c>
      <c r="K372" t="s">
        <v>3199</v>
      </c>
      <c r="L372" s="5" t="s">
        <v>3074</v>
      </c>
      <c r="N372" s="5" t="s">
        <v>3053</v>
      </c>
      <c r="O372" s="5" t="s">
        <v>2467</v>
      </c>
      <c r="P372" s="5" t="s">
        <v>85</v>
      </c>
      <c r="Q372" s="5" t="s">
        <v>86</v>
      </c>
      <c r="R372" s="5" t="s">
        <v>86</v>
      </c>
      <c r="T372" s="390">
        <v>4</v>
      </c>
      <c r="U372" s="5" t="s">
        <v>97</v>
      </c>
      <c r="W372" s="5" t="s">
        <v>2468</v>
      </c>
      <c r="X372" s="5" t="s">
        <v>102</v>
      </c>
      <c r="AA372" s="5" t="s">
        <v>86</v>
      </c>
      <c r="AH372" s="1430" t="s">
        <v>86</v>
      </c>
      <c r="AY372" s="1430" t="s">
        <v>86</v>
      </c>
      <c r="BN372" s="1430" t="s">
        <v>86</v>
      </c>
      <c r="CF372" s="1442" t="str">
        <f>IF([1]!sommaire[[#This Row],[présence des personnes déplacés interne]]="Oui","1","0")</f>
        <v>0</v>
      </c>
      <c r="CG372" s="1442" t="str">
        <f>IF([1]!sommaire[[#This Row],[présence Réfugié hors camp]]="Oui","1","0")</f>
        <v>0</v>
      </c>
      <c r="CH372" s="1442" t="str">
        <f>IF([1]!sommaire[[#This Row],[présence personnes retournées]]="Oui","1","0")</f>
        <v>0</v>
      </c>
      <c r="CI372" s="1442">
        <f>[1]!sommaire[[#This Row],[Flag PDI]]+[1]!sommaire[[#This Row],[Flag REF]]+[1]!sommaire[[#This Row],[Flag RET]]</f>
        <v>0</v>
      </c>
    </row>
    <row r="373" spans="1:87" ht="14.55" customHeight="1" x14ac:dyDescent="0.3">
      <c r="A373" s="390">
        <v>2621523</v>
      </c>
      <c r="B373" s="5" t="s">
        <v>533</v>
      </c>
      <c r="C373" s="1430" t="s">
        <v>3449</v>
      </c>
      <c r="D373" s="1090" t="s">
        <v>534</v>
      </c>
      <c r="E373" s="5" t="s">
        <v>31</v>
      </c>
      <c r="F373" s="5" t="s">
        <v>31</v>
      </c>
      <c r="G373" s="5" t="s">
        <v>549</v>
      </c>
      <c r="H373" s="5" t="s">
        <v>169</v>
      </c>
      <c r="I373" s="5" t="str">
        <f>_xlfn.XLOOKUP(sommaire[[#This Row],[Arrondissement_code]],OCHA_GIS!$F:$F,OCHA_GIS!$E:$E,,)</f>
        <v>Logone-Birni</v>
      </c>
      <c r="J373" s="5" t="s">
        <v>673</v>
      </c>
      <c r="K373" t="s">
        <v>2817</v>
      </c>
      <c r="L373" s="5" t="s">
        <v>2351</v>
      </c>
      <c r="N373" s="5" t="s">
        <v>3053</v>
      </c>
      <c r="O373" s="5" t="s">
        <v>2467</v>
      </c>
      <c r="P373" s="5" t="s">
        <v>85</v>
      </c>
      <c r="Q373" s="5" t="s">
        <v>86</v>
      </c>
      <c r="R373" s="5" t="s">
        <v>85</v>
      </c>
      <c r="T373" s="390">
        <v>3</v>
      </c>
      <c r="U373" s="5" t="s">
        <v>97</v>
      </c>
      <c r="W373" s="5" t="s">
        <v>2468</v>
      </c>
      <c r="X373" s="5" t="s">
        <v>103</v>
      </c>
      <c r="Y373" s="5" t="s">
        <v>274</v>
      </c>
      <c r="AA373" s="5" t="s">
        <v>85</v>
      </c>
      <c r="AB373" s="5" t="s">
        <v>2469</v>
      </c>
      <c r="AC373" s="5" t="s">
        <v>2470</v>
      </c>
      <c r="AD373" s="1090" t="s">
        <v>86</v>
      </c>
      <c r="AG373" s="5">
        <v>200</v>
      </c>
      <c r="AH373" s="5" t="s">
        <v>86</v>
      </c>
      <c r="AY373" s="5" t="s">
        <v>86</v>
      </c>
      <c r="BN373" s="5" t="s">
        <v>85</v>
      </c>
      <c r="BO373" s="5">
        <v>16</v>
      </c>
      <c r="BP373" s="5">
        <v>200</v>
      </c>
      <c r="BQ373" s="5">
        <v>80</v>
      </c>
      <c r="BR373" s="5">
        <v>120</v>
      </c>
      <c r="BS373" s="5" t="s">
        <v>2484</v>
      </c>
      <c r="BT373" s="5">
        <v>0</v>
      </c>
      <c r="BU373" s="5">
        <v>16</v>
      </c>
      <c r="BV373" s="5">
        <v>0</v>
      </c>
      <c r="BW373" s="5">
        <v>0</v>
      </c>
      <c r="BX373" s="5">
        <v>0</v>
      </c>
      <c r="BZ373" s="5">
        <v>0</v>
      </c>
      <c r="CA373" s="5">
        <v>0</v>
      </c>
      <c r="CC373" s="5">
        <v>0</v>
      </c>
      <c r="CD373" s="5">
        <v>1</v>
      </c>
      <c r="CF373" s="1442" t="str">
        <f>IF([1]!sommaire[[#This Row],[présence des personnes déplacés interne]]="Oui","1","0")</f>
        <v>0</v>
      </c>
      <c r="CG373" s="1442" t="str">
        <f>IF([1]!sommaire[[#This Row],[présence Réfugié hors camp]]="Oui","1","0")</f>
        <v>0</v>
      </c>
      <c r="CH373" s="1442" t="str">
        <f>IF([1]!sommaire[[#This Row],[présence personnes retournées]]="Oui","1","0")</f>
        <v>1</v>
      </c>
      <c r="CI373" s="1442">
        <f>[1]!sommaire[[#This Row],[Flag PDI]]+[1]!sommaire[[#This Row],[Flag REF]]+[1]!sommaire[[#This Row],[Flag RET]]</f>
        <v>1</v>
      </c>
    </row>
    <row r="374" spans="1:87" ht="14.55" customHeight="1" x14ac:dyDescent="0.3">
      <c r="A374" s="390">
        <v>2621520</v>
      </c>
      <c r="B374" s="5" t="s">
        <v>533</v>
      </c>
      <c r="C374" s="1430" t="s">
        <v>3449</v>
      </c>
      <c r="D374" s="1090" t="s">
        <v>534</v>
      </c>
      <c r="E374" s="5" t="s">
        <v>31</v>
      </c>
      <c r="F374" s="5" t="s">
        <v>31</v>
      </c>
      <c r="G374" s="5" t="s">
        <v>549</v>
      </c>
      <c r="H374" s="5" t="s">
        <v>169</v>
      </c>
      <c r="I374" s="5" t="str">
        <f>_xlfn.XLOOKUP(sommaire[[#This Row],[Arrondissement_code]],OCHA_GIS!$F:$F,OCHA_GIS!$E:$E,,)</f>
        <v>Logone-Birni</v>
      </c>
      <c r="J374" s="5" t="s">
        <v>673</v>
      </c>
      <c r="K374" t="s">
        <v>2941</v>
      </c>
      <c r="L374" s="5" t="s">
        <v>2344</v>
      </c>
      <c r="N374" s="5" t="s">
        <v>3053</v>
      </c>
      <c r="O374" s="5" t="s">
        <v>2467</v>
      </c>
      <c r="P374" s="5" t="s">
        <v>85</v>
      </c>
      <c r="Q374" s="5" t="s">
        <v>86</v>
      </c>
      <c r="R374" s="5" t="s">
        <v>85</v>
      </c>
      <c r="T374" s="390">
        <v>3</v>
      </c>
      <c r="U374" s="5" t="s">
        <v>97</v>
      </c>
      <c r="W374" s="5" t="s">
        <v>2468</v>
      </c>
      <c r="X374" s="5" t="s">
        <v>102</v>
      </c>
      <c r="AA374" s="5" t="s">
        <v>85</v>
      </c>
      <c r="AB374" s="5" t="s">
        <v>2469</v>
      </c>
      <c r="AC374" s="5" t="s">
        <v>2470</v>
      </c>
      <c r="AD374" s="5" t="s">
        <v>86</v>
      </c>
      <c r="AF374" s="5">
        <v>3</v>
      </c>
      <c r="AG374" s="5">
        <v>210</v>
      </c>
      <c r="AH374" s="5" t="s">
        <v>85</v>
      </c>
      <c r="AI374" s="5" t="s">
        <v>2485</v>
      </c>
      <c r="AJ374" s="5">
        <v>3</v>
      </c>
      <c r="AK374" s="5">
        <v>9</v>
      </c>
      <c r="AL374" s="5">
        <v>5</v>
      </c>
      <c r="AM374" s="5">
        <v>4</v>
      </c>
      <c r="AN374" s="5">
        <v>0</v>
      </c>
      <c r="AO374" s="5">
        <v>3</v>
      </c>
      <c r="AP374" s="5">
        <v>0</v>
      </c>
      <c r="AQ374" s="5">
        <v>0</v>
      </c>
      <c r="AT374" s="5">
        <v>0</v>
      </c>
      <c r="AU374" s="5">
        <v>0</v>
      </c>
      <c r="AX374" s="5">
        <v>0</v>
      </c>
      <c r="AY374" s="5" t="s">
        <v>86</v>
      </c>
      <c r="BN374" s="5" t="s">
        <v>86</v>
      </c>
      <c r="CD374" s="5">
        <v>1</v>
      </c>
      <c r="CF374" s="1442" t="str">
        <f>IF([1]!sommaire[[#This Row],[présence des personnes déplacés interne]]="Oui","1","0")</f>
        <v>1</v>
      </c>
      <c r="CG374" s="1442" t="str">
        <f>IF([1]!sommaire[[#This Row],[présence Réfugié hors camp]]="Oui","1","0")</f>
        <v>0</v>
      </c>
      <c r="CH374" s="1442" t="str">
        <f>IF([1]!sommaire[[#This Row],[présence personnes retournées]]="Oui","1","0")</f>
        <v>0</v>
      </c>
      <c r="CI374" s="1442">
        <f>[1]!sommaire[[#This Row],[Flag PDI]]+[1]!sommaire[[#This Row],[Flag REF]]+[1]!sommaire[[#This Row],[Flag RET]]</f>
        <v>1</v>
      </c>
    </row>
    <row r="375" spans="1:87" ht="14.55" customHeight="1" x14ac:dyDescent="0.3">
      <c r="A375" s="390">
        <v>2721487</v>
      </c>
      <c r="B375" s="5" t="s">
        <v>533</v>
      </c>
      <c r="C375" s="1430" t="s">
        <v>3449</v>
      </c>
      <c r="D375" s="1090" t="s">
        <v>534</v>
      </c>
      <c r="E375" s="5" t="s">
        <v>31</v>
      </c>
      <c r="F375" s="5" t="s">
        <v>31</v>
      </c>
      <c r="G375" s="5" t="s">
        <v>549</v>
      </c>
      <c r="H375" s="5" t="s">
        <v>169</v>
      </c>
      <c r="I375" s="5" t="str">
        <f>_xlfn.XLOOKUP(sommaire[[#This Row],[Arrondissement_code]],OCHA_GIS!$F:$F,OCHA_GIS!$E:$E,,)</f>
        <v>Logone-Birni</v>
      </c>
      <c r="J375" s="5" t="s">
        <v>673</v>
      </c>
      <c r="K375" t="s">
        <v>3200</v>
      </c>
      <c r="L375" s="5" t="s">
        <v>3088</v>
      </c>
      <c r="N375" s="5" t="s">
        <v>3053</v>
      </c>
      <c r="O375" s="5" t="s">
        <v>2467</v>
      </c>
      <c r="P375" s="5" t="s">
        <v>85</v>
      </c>
      <c r="Q375" s="5" t="s">
        <v>86</v>
      </c>
      <c r="R375" s="5" t="s">
        <v>86</v>
      </c>
      <c r="T375" s="1190">
        <v>3</v>
      </c>
      <c r="U375" s="5" t="s">
        <v>99</v>
      </c>
      <c r="V375" s="5" t="s">
        <v>122</v>
      </c>
      <c r="W375" s="5" t="s">
        <v>2468</v>
      </c>
      <c r="X375" s="5" t="s">
        <v>103</v>
      </c>
      <c r="Y375" s="5" t="s">
        <v>274</v>
      </c>
      <c r="AA375" s="586" t="s">
        <v>85</v>
      </c>
      <c r="AB375" s="5" t="s">
        <v>2469</v>
      </c>
      <c r="AC375" s="5" t="s">
        <v>2470</v>
      </c>
      <c r="AD375" s="5" t="s">
        <v>86</v>
      </c>
      <c r="AG375" s="5">
        <v>40</v>
      </c>
      <c r="AH375" s="5" t="s">
        <v>86</v>
      </c>
      <c r="AY375" s="5" t="s">
        <v>86</v>
      </c>
      <c r="BN375" s="5" t="s">
        <v>85</v>
      </c>
      <c r="BO375" s="5">
        <v>18</v>
      </c>
      <c r="BP375" s="5">
        <v>40</v>
      </c>
      <c r="BQ375" s="5">
        <v>26</v>
      </c>
      <c r="BR375" s="5">
        <v>14</v>
      </c>
      <c r="BS375" s="5" t="s">
        <v>2492</v>
      </c>
      <c r="BT375" s="5">
        <v>8</v>
      </c>
      <c r="BU375" s="5">
        <v>10</v>
      </c>
      <c r="BV375" s="5">
        <v>0</v>
      </c>
      <c r="BW375" s="5">
        <v>0</v>
      </c>
      <c r="BX375" s="5">
        <v>0</v>
      </c>
      <c r="BZ375" s="5">
        <v>0</v>
      </c>
      <c r="CA375" s="5">
        <v>0</v>
      </c>
      <c r="CC375" s="5">
        <v>0</v>
      </c>
      <c r="CD375" s="5">
        <v>0</v>
      </c>
      <c r="CF375" s="1442" t="str">
        <f>IF([1]!sommaire[[#This Row],[présence des personnes déplacés interne]]="Oui","1","0")</f>
        <v>0</v>
      </c>
      <c r="CG375" s="1442" t="str">
        <f>IF([1]!sommaire[[#This Row],[présence Réfugié hors camp]]="Oui","1","0")</f>
        <v>0</v>
      </c>
      <c r="CH375" s="1442" t="str">
        <f>IF([1]!sommaire[[#This Row],[présence personnes retournées]]="Oui","1","0")</f>
        <v>1</v>
      </c>
      <c r="CI375" s="1442">
        <f>[1]!sommaire[[#This Row],[Flag PDI]]+[1]!sommaire[[#This Row],[Flag REF]]+[1]!sommaire[[#This Row],[Flag RET]]</f>
        <v>1</v>
      </c>
    </row>
    <row r="376" spans="1:87" ht="14.55" customHeight="1" x14ac:dyDescent="0.3">
      <c r="A376" s="390">
        <v>2715700</v>
      </c>
      <c r="B376" s="5" t="s">
        <v>533</v>
      </c>
      <c r="C376" s="1430" t="s">
        <v>3449</v>
      </c>
      <c r="D376" s="1090" t="s">
        <v>534</v>
      </c>
      <c r="E376" s="5" t="s">
        <v>31</v>
      </c>
      <c r="F376" s="5" t="s">
        <v>31</v>
      </c>
      <c r="G376" s="5" t="s">
        <v>549</v>
      </c>
      <c r="H376" s="5" t="s">
        <v>169</v>
      </c>
      <c r="I376" s="5" t="str">
        <f>_xlfn.XLOOKUP(sommaire[[#This Row],[Arrondissement_code]],OCHA_GIS!$F:$F,OCHA_GIS!$E:$E,,)</f>
        <v>Logone-Birni</v>
      </c>
      <c r="J376" s="5" t="s">
        <v>673</v>
      </c>
      <c r="K376" t="s">
        <v>2858</v>
      </c>
      <c r="L376" s="5" t="s">
        <v>2276</v>
      </c>
      <c r="N376" s="5" t="s">
        <v>3053</v>
      </c>
      <c r="O376" s="5" t="s">
        <v>2467</v>
      </c>
      <c r="P376" s="5" t="s">
        <v>85</v>
      </c>
      <c r="Q376" s="5" t="s">
        <v>86</v>
      </c>
      <c r="R376" s="5" t="s">
        <v>86</v>
      </c>
      <c r="T376" s="390">
        <v>3</v>
      </c>
      <c r="U376" s="5" t="s">
        <v>97</v>
      </c>
      <c r="W376" s="5" t="s">
        <v>2468</v>
      </c>
      <c r="X376" s="5" t="s">
        <v>102</v>
      </c>
      <c r="AA376" s="5" t="s">
        <v>85</v>
      </c>
      <c r="AB376" s="5" t="s">
        <v>2469</v>
      </c>
      <c r="AC376" s="5" t="s">
        <v>2470</v>
      </c>
      <c r="AD376" s="5" t="s">
        <v>86</v>
      </c>
      <c r="AG376" s="5">
        <v>800</v>
      </c>
      <c r="AH376" s="5" t="s">
        <v>86</v>
      </c>
      <c r="AY376" s="5" t="s">
        <v>86</v>
      </c>
      <c r="BN376" s="5" t="s">
        <v>85</v>
      </c>
      <c r="BO376" s="5">
        <v>146</v>
      </c>
      <c r="BP376" s="5">
        <v>800</v>
      </c>
      <c r="BQ376" s="5">
        <v>384</v>
      </c>
      <c r="BR376" s="5">
        <v>416</v>
      </c>
      <c r="BS376" s="5" t="s">
        <v>2492</v>
      </c>
      <c r="BT376" s="5">
        <v>0</v>
      </c>
      <c r="BU376" s="5">
        <v>146</v>
      </c>
      <c r="BV376" s="5">
        <v>0</v>
      </c>
      <c r="BW376" s="5">
        <v>0</v>
      </c>
      <c r="BX376" s="5">
        <v>0</v>
      </c>
      <c r="BZ376" s="5">
        <v>0</v>
      </c>
      <c r="CA376" s="5">
        <v>0</v>
      </c>
      <c r="CC376" s="5">
        <v>0</v>
      </c>
      <c r="CD376" s="5">
        <v>0</v>
      </c>
      <c r="CF376" s="1442" t="str">
        <f>IF([1]!sommaire[[#This Row],[présence des personnes déplacés interne]]="Oui","1","0")</f>
        <v>0</v>
      </c>
      <c r="CG376" s="1442" t="str">
        <f>IF([1]!sommaire[[#This Row],[présence Réfugié hors camp]]="Oui","1","0")</f>
        <v>0</v>
      </c>
      <c r="CH376" s="1442" t="str">
        <f>IF([1]!sommaire[[#This Row],[présence personnes retournées]]="Oui","1","0")</f>
        <v>1</v>
      </c>
      <c r="CI376" s="1442">
        <f>[1]!sommaire[[#This Row],[Flag PDI]]+[1]!sommaire[[#This Row],[Flag REF]]+[1]!sommaire[[#This Row],[Flag RET]]</f>
        <v>1</v>
      </c>
    </row>
    <row r="377" spans="1:87" ht="14.55" customHeight="1" x14ac:dyDescent="0.3">
      <c r="A377" s="390">
        <v>2715699</v>
      </c>
      <c r="B377" s="5" t="s">
        <v>533</v>
      </c>
      <c r="C377" s="1430" t="s">
        <v>3449</v>
      </c>
      <c r="D377" s="1090" t="s">
        <v>534</v>
      </c>
      <c r="E377" s="5" t="s">
        <v>31</v>
      </c>
      <c r="F377" s="5" t="s">
        <v>31</v>
      </c>
      <c r="G377" s="5" t="s">
        <v>549</v>
      </c>
      <c r="H377" s="5" t="s">
        <v>169</v>
      </c>
      <c r="I377" s="5" t="str">
        <f>_xlfn.XLOOKUP(sommaire[[#This Row],[Arrondissement_code]],OCHA_GIS!$F:$F,OCHA_GIS!$E:$E,,)</f>
        <v>Logone-Birni</v>
      </c>
      <c r="J377" s="5" t="s">
        <v>673</v>
      </c>
      <c r="K377" t="s">
        <v>2971</v>
      </c>
      <c r="L377" s="5" t="s">
        <v>2359</v>
      </c>
      <c r="N377" s="5" t="s">
        <v>3053</v>
      </c>
      <c r="O377" s="5" t="s">
        <v>2467</v>
      </c>
      <c r="P377" s="5" t="s">
        <v>85</v>
      </c>
      <c r="Q377" s="5" t="s">
        <v>86</v>
      </c>
      <c r="R377" s="5" t="s">
        <v>86</v>
      </c>
      <c r="T377" s="390">
        <v>3</v>
      </c>
      <c r="U377" s="5" t="s">
        <v>97</v>
      </c>
      <c r="W377" s="5" t="s">
        <v>2520</v>
      </c>
      <c r="X377" s="5" t="s">
        <v>102</v>
      </c>
      <c r="AA377" s="5" t="s">
        <v>85</v>
      </c>
      <c r="AB377" s="5" t="s">
        <v>2469</v>
      </c>
      <c r="AC377" s="5" t="s">
        <v>2470</v>
      </c>
      <c r="AD377" s="5" t="s">
        <v>86</v>
      </c>
      <c r="AG377" s="5">
        <v>127</v>
      </c>
      <c r="AH377" s="5" t="s">
        <v>86</v>
      </c>
      <c r="AY377" s="5" t="s">
        <v>86</v>
      </c>
      <c r="BN377" s="5" t="s">
        <v>85</v>
      </c>
      <c r="BO377" s="5">
        <v>66</v>
      </c>
      <c r="BP377" s="5">
        <v>127</v>
      </c>
      <c r="BQ377" s="5">
        <v>63</v>
      </c>
      <c r="BR377" s="5">
        <v>64</v>
      </c>
      <c r="BS377" s="5" t="s">
        <v>2492</v>
      </c>
      <c r="BT377" s="5">
        <v>6</v>
      </c>
      <c r="BU377" s="5">
        <v>60</v>
      </c>
      <c r="BV377" s="5">
        <v>0</v>
      </c>
      <c r="BW377" s="5">
        <v>0</v>
      </c>
      <c r="BX377" s="5">
        <v>0</v>
      </c>
      <c r="BZ377" s="5">
        <v>0</v>
      </c>
      <c r="CA377" s="5">
        <v>0</v>
      </c>
      <c r="CC377" s="5">
        <v>0</v>
      </c>
      <c r="CD377" s="5">
        <v>0</v>
      </c>
      <c r="CF377" s="1442" t="str">
        <f>IF([1]!sommaire[[#This Row],[présence des personnes déplacés interne]]="Oui","1","0")</f>
        <v>0</v>
      </c>
      <c r="CG377" s="1442" t="str">
        <f>IF([1]!sommaire[[#This Row],[présence Réfugié hors camp]]="Oui","1","0")</f>
        <v>0</v>
      </c>
      <c r="CH377" s="1442" t="str">
        <f>IF([1]!sommaire[[#This Row],[présence personnes retournées]]="Oui","1","0")</f>
        <v>1</v>
      </c>
      <c r="CI377" s="1442">
        <f>[1]!sommaire[[#This Row],[Flag PDI]]+[1]!sommaire[[#This Row],[Flag REF]]+[1]!sommaire[[#This Row],[Flag RET]]</f>
        <v>1</v>
      </c>
    </row>
    <row r="378" spans="1:87" ht="14.55" customHeight="1" x14ac:dyDescent="0.3">
      <c r="A378" s="390">
        <v>2613508</v>
      </c>
      <c r="B378" s="5" t="s">
        <v>533</v>
      </c>
      <c r="C378" s="1430" t="s">
        <v>3449</v>
      </c>
      <c r="D378" s="1090" t="s">
        <v>534</v>
      </c>
      <c r="E378" s="5" t="s">
        <v>31</v>
      </c>
      <c r="F378" s="5" t="s">
        <v>31</v>
      </c>
      <c r="G378" s="5" t="s">
        <v>549</v>
      </c>
      <c r="H378" s="5" t="s">
        <v>169</v>
      </c>
      <c r="I378" s="5" t="str">
        <f>_xlfn.XLOOKUP(sommaire[[#This Row],[Arrondissement_code]],OCHA_GIS!$F:$F,OCHA_GIS!$E:$E,,)</f>
        <v>Logone-Birni</v>
      </c>
      <c r="J378" s="5" t="s">
        <v>673</v>
      </c>
      <c r="K378" t="s">
        <v>1641</v>
      </c>
      <c r="L378" s="5" t="s">
        <v>1130</v>
      </c>
      <c r="N378" s="5" t="s">
        <v>3053</v>
      </c>
      <c r="O378" s="5" t="s">
        <v>2467</v>
      </c>
      <c r="P378" s="5" t="s">
        <v>85</v>
      </c>
      <c r="Q378" s="5" t="s">
        <v>86</v>
      </c>
      <c r="R378" s="5" t="s">
        <v>86</v>
      </c>
      <c r="T378" s="390">
        <v>3</v>
      </c>
      <c r="U378" s="5" t="s">
        <v>97</v>
      </c>
      <c r="W378" s="5" t="s">
        <v>2468</v>
      </c>
      <c r="X378" s="1090" t="s">
        <v>102</v>
      </c>
      <c r="AA378" s="1090" t="s">
        <v>85</v>
      </c>
      <c r="AB378" s="5" t="s">
        <v>2469</v>
      </c>
      <c r="AC378" s="5" t="s">
        <v>2470</v>
      </c>
      <c r="AD378" s="5" t="s">
        <v>86</v>
      </c>
      <c r="AF378" s="5">
        <v>8</v>
      </c>
      <c r="AG378" s="5">
        <v>150</v>
      </c>
      <c r="AH378" s="5" t="s">
        <v>85</v>
      </c>
      <c r="AI378" s="5" t="s">
        <v>2471</v>
      </c>
      <c r="AJ378" s="5">
        <v>8</v>
      </c>
      <c r="AK378" s="5">
        <v>53</v>
      </c>
      <c r="AL378" s="5">
        <v>31</v>
      </c>
      <c r="AM378" s="5">
        <v>22</v>
      </c>
      <c r="AN378" s="5">
        <v>0</v>
      </c>
      <c r="AO378" s="5">
        <v>8</v>
      </c>
      <c r="AP378" s="5">
        <v>0</v>
      </c>
      <c r="AQ378" s="5">
        <v>0</v>
      </c>
      <c r="AT378" s="5">
        <v>0</v>
      </c>
      <c r="AU378" s="5">
        <v>0</v>
      </c>
      <c r="AX378" s="5">
        <v>0</v>
      </c>
      <c r="AY378" s="1090" t="s">
        <v>85</v>
      </c>
      <c r="AZ378" s="5">
        <v>6</v>
      </c>
      <c r="BA378" s="5">
        <v>29</v>
      </c>
      <c r="BB378" s="5">
        <v>14</v>
      </c>
      <c r="BC378" s="5">
        <v>15</v>
      </c>
      <c r="BD378" s="5">
        <v>6</v>
      </c>
      <c r="BE378" s="5">
        <v>0</v>
      </c>
      <c r="BF378" s="5">
        <v>0</v>
      </c>
      <c r="BH378" s="5">
        <v>0</v>
      </c>
      <c r="BI378" s="5">
        <v>0</v>
      </c>
      <c r="BL378" s="5">
        <v>0</v>
      </c>
      <c r="BM378" s="5">
        <v>0</v>
      </c>
      <c r="BN378" s="1090" t="s">
        <v>86</v>
      </c>
      <c r="CD378" s="5">
        <v>0</v>
      </c>
      <c r="CF378" s="1442" t="str">
        <f>IF([1]!sommaire[[#This Row],[présence des personnes déplacés interne]]="Oui","1","0")</f>
        <v>1</v>
      </c>
      <c r="CG378" s="1442" t="str">
        <f>IF([1]!sommaire[[#This Row],[présence Réfugié hors camp]]="Oui","1","0")</f>
        <v>1</v>
      </c>
      <c r="CH378" s="1442" t="str">
        <f>IF([1]!sommaire[[#This Row],[présence personnes retournées]]="Oui","1","0")</f>
        <v>0</v>
      </c>
      <c r="CI378" s="1442">
        <f>[1]!sommaire[[#This Row],[Flag PDI]]+[1]!sommaire[[#This Row],[Flag REF]]+[1]!sommaire[[#This Row],[Flag RET]]</f>
        <v>2</v>
      </c>
    </row>
    <row r="379" spans="1:87" ht="14.55" customHeight="1" x14ac:dyDescent="0.3">
      <c r="A379" s="390">
        <v>2655284</v>
      </c>
      <c r="B379" s="5" t="s">
        <v>533</v>
      </c>
      <c r="C379" s="1430" t="s">
        <v>3449</v>
      </c>
      <c r="D379" s="5" t="s">
        <v>534</v>
      </c>
      <c r="E379" s="5" t="s">
        <v>31</v>
      </c>
      <c r="F379" s="5" t="s">
        <v>31</v>
      </c>
      <c r="G379" s="5" t="s">
        <v>549</v>
      </c>
      <c r="H379" s="5" t="s">
        <v>169</v>
      </c>
      <c r="I379" s="5" t="str">
        <f>_xlfn.XLOOKUP(sommaire[[#This Row],[Arrondissement_code]],OCHA_GIS!$F:$F,OCHA_GIS!$E:$E,,)</f>
        <v>Logone-Birni</v>
      </c>
      <c r="J379" s="5" t="s">
        <v>673</v>
      </c>
      <c r="K379" t="s">
        <v>3202</v>
      </c>
      <c r="L379" s="5" t="s">
        <v>3065</v>
      </c>
      <c r="N379" s="5" t="s">
        <v>3053</v>
      </c>
      <c r="O379" s="5" t="s">
        <v>2467</v>
      </c>
      <c r="P379" s="5" t="s">
        <v>86</v>
      </c>
      <c r="Q379" s="5" t="s">
        <v>85</v>
      </c>
      <c r="R379" s="5" t="s">
        <v>85</v>
      </c>
      <c r="S379" s="390">
        <v>7</v>
      </c>
      <c r="U379" s="5" t="s">
        <v>97</v>
      </c>
      <c r="W379" s="5" t="s">
        <v>2468</v>
      </c>
      <c r="X379" s="5" t="s">
        <v>103</v>
      </c>
      <c r="Y379" s="5" t="s">
        <v>274</v>
      </c>
      <c r="AA379" s="5" t="s">
        <v>85</v>
      </c>
      <c r="AB379" s="5" t="s">
        <v>2469</v>
      </c>
      <c r="AC379" s="5" t="s">
        <v>2470</v>
      </c>
      <c r="AD379" s="5" t="s">
        <v>86</v>
      </c>
      <c r="AG379" s="5">
        <v>500</v>
      </c>
      <c r="AH379" s="5" t="s">
        <v>86</v>
      </c>
      <c r="AY379" s="5" t="s">
        <v>86</v>
      </c>
      <c r="BN379" s="5" t="s">
        <v>85</v>
      </c>
      <c r="BO379" s="5">
        <v>64</v>
      </c>
      <c r="BP379" s="5">
        <v>500</v>
      </c>
      <c r="BQ379" s="5">
        <v>220</v>
      </c>
      <c r="BR379" s="5">
        <v>280</v>
      </c>
      <c r="BS379" s="5" t="s">
        <v>2492</v>
      </c>
      <c r="BT379" s="5">
        <v>0</v>
      </c>
      <c r="BU379" s="5">
        <v>64</v>
      </c>
      <c r="BV379" s="5">
        <v>0</v>
      </c>
      <c r="BW379" s="5">
        <v>0</v>
      </c>
      <c r="BX379" s="5">
        <v>0</v>
      </c>
      <c r="BZ379" s="5">
        <v>0</v>
      </c>
      <c r="CA379" s="5">
        <v>0</v>
      </c>
      <c r="CC379" s="5">
        <v>0</v>
      </c>
      <c r="CD379" s="5">
        <v>0</v>
      </c>
      <c r="CF379" s="1442" t="str">
        <f>IF([1]!sommaire[[#This Row],[présence des personnes déplacés interne]]="Oui","1","0")</f>
        <v>0</v>
      </c>
      <c r="CG379" s="1442" t="str">
        <f>IF([1]!sommaire[[#This Row],[présence Réfugié hors camp]]="Oui","1","0")</f>
        <v>0</v>
      </c>
      <c r="CH379" s="1442" t="str">
        <f>IF([1]!sommaire[[#This Row],[présence personnes retournées]]="Oui","1","0")</f>
        <v>1</v>
      </c>
      <c r="CI379" s="1442">
        <f>[1]!sommaire[[#This Row],[Flag PDI]]+[1]!sommaire[[#This Row],[Flag REF]]+[1]!sommaire[[#This Row],[Flag RET]]</f>
        <v>1</v>
      </c>
    </row>
    <row r="380" spans="1:87" ht="14.55" customHeight="1" x14ac:dyDescent="0.3">
      <c r="A380" s="390">
        <v>2621527</v>
      </c>
      <c r="B380" s="5" t="s">
        <v>533</v>
      </c>
      <c r="C380" s="1430" t="s">
        <v>3449</v>
      </c>
      <c r="D380" s="1090" t="s">
        <v>534</v>
      </c>
      <c r="E380" s="5" t="s">
        <v>31</v>
      </c>
      <c r="F380" s="5" t="s">
        <v>31</v>
      </c>
      <c r="G380" s="5" t="s">
        <v>549</v>
      </c>
      <c r="H380" s="5" t="s">
        <v>169</v>
      </c>
      <c r="I380" s="5" t="str">
        <f>_xlfn.XLOOKUP(sommaire[[#This Row],[Arrondissement_code]],OCHA_GIS!$F:$F,OCHA_GIS!$E:$E,,)</f>
        <v>Logone-Birni</v>
      </c>
      <c r="J380" s="5" t="s">
        <v>673</v>
      </c>
      <c r="K380" t="s">
        <v>2991</v>
      </c>
      <c r="L380" s="5" t="s">
        <v>2357</v>
      </c>
      <c r="N380" s="5" t="s">
        <v>3053</v>
      </c>
      <c r="O380" s="5" t="s">
        <v>2467</v>
      </c>
      <c r="P380" s="5" t="s">
        <v>85</v>
      </c>
      <c r="Q380" s="5" t="s">
        <v>86</v>
      </c>
      <c r="R380" s="5" t="s">
        <v>85</v>
      </c>
      <c r="T380" s="390">
        <v>3</v>
      </c>
      <c r="U380" s="5" t="s">
        <v>97</v>
      </c>
      <c r="W380" s="5" t="s">
        <v>2468</v>
      </c>
      <c r="X380" s="5" t="s">
        <v>102</v>
      </c>
      <c r="AA380" s="5" t="s">
        <v>86</v>
      </c>
      <c r="AH380" s="1430" t="s">
        <v>86</v>
      </c>
      <c r="AY380" s="1430" t="s">
        <v>86</v>
      </c>
      <c r="BN380" s="1430" t="s">
        <v>86</v>
      </c>
      <c r="CF380" s="1442" t="str">
        <f>IF([1]!sommaire[[#This Row],[présence des personnes déplacés interne]]="Oui","1","0")</f>
        <v>0</v>
      </c>
      <c r="CG380" s="1442" t="str">
        <f>IF([1]!sommaire[[#This Row],[présence Réfugié hors camp]]="Oui","1","0")</f>
        <v>0</v>
      </c>
      <c r="CH380" s="1442" t="str">
        <f>IF([1]!sommaire[[#This Row],[présence personnes retournées]]="Oui","1","0")</f>
        <v>0</v>
      </c>
      <c r="CI380" s="1442">
        <f>[1]!sommaire[[#This Row],[Flag PDI]]+[1]!sommaire[[#This Row],[Flag REF]]+[1]!sommaire[[#This Row],[Flag RET]]</f>
        <v>0</v>
      </c>
    </row>
    <row r="381" spans="1:87" ht="14.55" customHeight="1" x14ac:dyDescent="0.3">
      <c r="A381" s="390">
        <v>2659516</v>
      </c>
      <c r="B381" s="5" t="s">
        <v>533</v>
      </c>
      <c r="C381" s="1430" t="s">
        <v>3449</v>
      </c>
      <c r="D381" s="1090" t="s">
        <v>534</v>
      </c>
      <c r="E381" s="5" t="s">
        <v>31</v>
      </c>
      <c r="F381" s="5" t="s">
        <v>31</v>
      </c>
      <c r="G381" s="5" t="s">
        <v>549</v>
      </c>
      <c r="H381" s="5" t="s">
        <v>169</v>
      </c>
      <c r="I381" s="5" t="str">
        <f>_xlfn.XLOOKUP(sommaire[[#This Row],[Arrondissement_code]],OCHA_GIS!$F:$F,OCHA_GIS!$E:$E,,)</f>
        <v>Logone-Birni</v>
      </c>
      <c r="J381" s="5" t="s">
        <v>673</v>
      </c>
      <c r="K381" t="s">
        <v>1562</v>
      </c>
      <c r="L381" s="5" t="s">
        <v>2571</v>
      </c>
      <c r="N381" s="5" t="s">
        <v>3053</v>
      </c>
      <c r="O381" s="5" t="s">
        <v>2467</v>
      </c>
      <c r="P381" s="5" t="s">
        <v>85</v>
      </c>
      <c r="Q381" s="5" t="s">
        <v>86</v>
      </c>
      <c r="R381" s="5" t="s">
        <v>85</v>
      </c>
      <c r="T381" s="390">
        <v>4</v>
      </c>
      <c r="U381" s="5" t="s">
        <v>97</v>
      </c>
      <c r="W381" s="5" t="s">
        <v>2468</v>
      </c>
      <c r="X381" s="5" t="s">
        <v>101</v>
      </c>
      <c r="Y381" s="5" t="s">
        <v>274</v>
      </c>
      <c r="AA381" s="5" t="s">
        <v>85</v>
      </c>
      <c r="AB381" s="5" t="s">
        <v>2469</v>
      </c>
      <c r="AC381" s="5" t="s">
        <v>2470</v>
      </c>
      <c r="AD381" s="5" t="s">
        <v>86</v>
      </c>
      <c r="AF381" s="5">
        <v>29</v>
      </c>
      <c r="AG381" s="5">
        <v>452</v>
      </c>
      <c r="AH381" s="5" t="s">
        <v>85</v>
      </c>
      <c r="AI381" s="5" t="s">
        <v>2471</v>
      </c>
      <c r="AJ381" s="5">
        <v>29</v>
      </c>
      <c r="AK381" s="5">
        <v>137</v>
      </c>
      <c r="AL381" s="5">
        <v>68</v>
      </c>
      <c r="AM381" s="5">
        <v>69</v>
      </c>
      <c r="AN381" s="5">
        <v>0</v>
      </c>
      <c r="AO381" s="5">
        <v>22</v>
      </c>
      <c r="AP381" s="5">
        <v>0</v>
      </c>
      <c r="AQ381" s="5">
        <v>0</v>
      </c>
      <c r="AT381" s="5">
        <v>0</v>
      </c>
      <c r="AU381" s="5">
        <v>7</v>
      </c>
      <c r="AV381" s="5" t="s">
        <v>2490</v>
      </c>
      <c r="AX381" s="5">
        <v>0</v>
      </c>
      <c r="AY381" s="5" t="s">
        <v>86</v>
      </c>
      <c r="BN381" s="5" t="s">
        <v>85</v>
      </c>
      <c r="BO381" s="5">
        <v>32</v>
      </c>
      <c r="BP381" s="5">
        <v>315</v>
      </c>
      <c r="BQ381" s="5">
        <v>155</v>
      </c>
      <c r="BR381" s="5">
        <v>160</v>
      </c>
      <c r="BS381" s="5" t="s">
        <v>2492</v>
      </c>
      <c r="BT381" s="5">
        <v>0</v>
      </c>
      <c r="BU381" s="5">
        <v>32</v>
      </c>
      <c r="BV381" s="5">
        <v>0</v>
      </c>
      <c r="BW381" s="5">
        <v>0</v>
      </c>
      <c r="BX381" s="5">
        <v>0</v>
      </c>
      <c r="BZ381" s="5">
        <v>0</v>
      </c>
      <c r="CA381" s="5">
        <v>0</v>
      </c>
      <c r="CC381" s="5">
        <v>0</v>
      </c>
      <c r="CD381" s="5">
        <v>0</v>
      </c>
      <c r="CF381" s="1442" t="str">
        <f>IF([1]!sommaire[[#This Row],[présence des personnes déplacés interne]]="Oui","1","0")</f>
        <v>1</v>
      </c>
      <c r="CG381" s="1442" t="str">
        <f>IF([1]!sommaire[[#This Row],[présence Réfugié hors camp]]="Oui","1","0")</f>
        <v>0</v>
      </c>
      <c r="CH381" s="1442" t="str">
        <f>IF([1]!sommaire[[#This Row],[présence personnes retournées]]="Oui","1","0")</f>
        <v>1</v>
      </c>
      <c r="CI381" s="1442">
        <f>[1]!sommaire[[#This Row],[Flag PDI]]+[1]!sommaire[[#This Row],[Flag REF]]+[1]!sommaire[[#This Row],[Flag RET]]</f>
        <v>2</v>
      </c>
    </row>
    <row r="382" spans="1:87" ht="14.55" customHeight="1" x14ac:dyDescent="0.3">
      <c r="A382" s="390">
        <v>2691073</v>
      </c>
      <c r="B382" s="5" t="s">
        <v>533</v>
      </c>
      <c r="C382" s="1430" t="s">
        <v>3449</v>
      </c>
      <c r="D382" s="1090" t="s">
        <v>534</v>
      </c>
      <c r="E382" s="5" t="s">
        <v>31</v>
      </c>
      <c r="F382" s="5" t="s">
        <v>31</v>
      </c>
      <c r="G382" s="5" t="s">
        <v>549</v>
      </c>
      <c r="H382" s="5" t="s">
        <v>169</v>
      </c>
      <c r="I382" s="5" t="str">
        <f>_xlfn.XLOOKUP(sommaire[[#This Row],[Arrondissement_code]],OCHA_GIS!$F:$F,OCHA_GIS!$E:$E,,)</f>
        <v>Logone-Birni</v>
      </c>
      <c r="J382" s="5" t="s">
        <v>673</v>
      </c>
      <c r="K382" t="s">
        <v>3203</v>
      </c>
      <c r="L382" s="5" t="s">
        <v>3072</v>
      </c>
      <c r="N382" s="5" t="s">
        <v>3053</v>
      </c>
      <c r="O382" s="5" t="s">
        <v>2467</v>
      </c>
      <c r="P382" s="5" t="s">
        <v>85</v>
      </c>
      <c r="Q382" s="5" t="s">
        <v>86</v>
      </c>
      <c r="R382" s="5" t="s">
        <v>86</v>
      </c>
      <c r="T382" s="390">
        <v>4</v>
      </c>
      <c r="U382" s="5" t="s">
        <v>97</v>
      </c>
      <c r="W382" s="5" t="s">
        <v>2468</v>
      </c>
      <c r="X382" s="5" t="s">
        <v>103</v>
      </c>
      <c r="Y382" s="5" t="s">
        <v>274</v>
      </c>
      <c r="AA382" s="586" t="s">
        <v>85</v>
      </c>
      <c r="AB382" s="5" t="s">
        <v>2469</v>
      </c>
      <c r="AC382" s="5" t="s">
        <v>2470</v>
      </c>
      <c r="AD382" s="5" t="s">
        <v>86</v>
      </c>
      <c r="AG382" s="5">
        <v>300</v>
      </c>
      <c r="AH382" s="5" t="s">
        <v>86</v>
      </c>
      <c r="AY382" s="5" t="s">
        <v>86</v>
      </c>
      <c r="BN382" s="5" t="s">
        <v>85</v>
      </c>
      <c r="BO382" s="5">
        <v>46</v>
      </c>
      <c r="BP382" s="5">
        <v>300</v>
      </c>
      <c r="BQ382" s="5">
        <v>140</v>
      </c>
      <c r="BR382" s="5">
        <v>160</v>
      </c>
      <c r="BS382" s="5" t="s">
        <v>2492</v>
      </c>
      <c r="BT382" s="5">
        <v>40</v>
      </c>
      <c r="BU382" s="5">
        <v>6</v>
      </c>
      <c r="BV382" s="5">
        <v>0</v>
      </c>
      <c r="BW382" s="5">
        <v>0</v>
      </c>
      <c r="BX382" s="5">
        <v>0</v>
      </c>
      <c r="BZ382" s="5">
        <v>0</v>
      </c>
      <c r="CA382" s="5">
        <v>0</v>
      </c>
      <c r="CC382" s="5">
        <v>0</v>
      </c>
      <c r="CD382" s="5">
        <v>0</v>
      </c>
      <c r="CF382" s="1442" t="str">
        <f>IF([1]!sommaire[[#This Row],[présence des personnes déplacés interne]]="Oui","1","0")</f>
        <v>0</v>
      </c>
      <c r="CG382" s="1442" t="str">
        <f>IF([1]!sommaire[[#This Row],[présence Réfugié hors camp]]="Oui","1","0")</f>
        <v>0</v>
      </c>
      <c r="CH382" s="1442" t="str">
        <f>IF([1]!sommaire[[#This Row],[présence personnes retournées]]="Oui","1","0")</f>
        <v>1</v>
      </c>
      <c r="CI382" s="1442">
        <f>[1]!sommaire[[#This Row],[Flag PDI]]+[1]!sommaire[[#This Row],[Flag REF]]+[1]!sommaire[[#This Row],[Flag RET]]</f>
        <v>1</v>
      </c>
    </row>
    <row r="383" spans="1:87" ht="14.55" customHeight="1" x14ac:dyDescent="0.3">
      <c r="A383" s="390">
        <v>2659664</v>
      </c>
      <c r="B383" s="5" t="s">
        <v>533</v>
      </c>
      <c r="C383" s="1430" t="s">
        <v>3449</v>
      </c>
      <c r="D383" s="1090" t="s">
        <v>534</v>
      </c>
      <c r="E383" s="5" t="s">
        <v>31</v>
      </c>
      <c r="F383" s="5" t="s">
        <v>31</v>
      </c>
      <c r="G383" s="5" t="s">
        <v>549</v>
      </c>
      <c r="H383" s="5" t="s">
        <v>169</v>
      </c>
      <c r="I383" s="5" t="str">
        <f>_xlfn.XLOOKUP(sommaire[[#This Row],[Arrondissement_code]],OCHA_GIS!$F:$F,OCHA_GIS!$E:$E,,)</f>
        <v>Logone-Birni</v>
      </c>
      <c r="J383" s="5" t="s">
        <v>673</v>
      </c>
      <c r="K383" t="s">
        <v>3029</v>
      </c>
      <c r="L383" s="5" t="s">
        <v>2341</v>
      </c>
      <c r="N383" s="5" t="s">
        <v>3053</v>
      </c>
      <c r="O383" s="5" t="s">
        <v>2467</v>
      </c>
      <c r="P383" s="5" t="s">
        <v>85</v>
      </c>
      <c r="Q383" s="5" t="s">
        <v>86</v>
      </c>
      <c r="R383" s="5" t="s">
        <v>86</v>
      </c>
      <c r="T383" s="390">
        <v>3</v>
      </c>
      <c r="U383" s="5" t="s">
        <v>97</v>
      </c>
      <c r="W383" s="5" t="s">
        <v>2468</v>
      </c>
      <c r="X383" s="5" t="s">
        <v>102</v>
      </c>
      <c r="AA383" s="5" t="s">
        <v>85</v>
      </c>
      <c r="AB383" s="5" t="s">
        <v>2469</v>
      </c>
      <c r="AC383" s="5" t="s">
        <v>2470</v>
      </c>
      <c r="AD383" s="5" t="s">
        <v>86</v>
      </c>
      <c r="AG383" s="5">
        <v>1813</v>
      </c>
      <c r="AH383" s="5" t="s">
        <v>86</v>
      </c>
      <c r="AY383" s="5" t="s">
        <v>86</v>
      </c>
      <c r="BN383" s="5" t="s">
        <v>85</v>
      </c>
      <c r="BO383" s="5">
        <v>5</v>
      </c>
      <c r="BP383" s="5">
        <v>20</v>
      </c>
      <c r="BQ383" s="5">
        <v>8</v>
      </c>
      <c r="BR383" s="5">
        <v>12</v>
      </c>
      <c r="BS383" s="5" t="s">
        <v>2535</v>
      </c>
      <c r="BT383" s="5">
        <v>0</v>
      </c>
      <c r="BU383" s="5">
        <v>5</v>
      </c>
      <c r="BV383" s="5">
        <v>0</v>
      </c>
      <c r="BW383" s="5">
        <v>0</v>
      </c>
      <c r="BX383" s="5">
        <v>0</v>
      </c>
      <c r="BZ383" s="5">
        <v>0</v>
      </c>
      <c r="CA383" s="5">
        <v>0</v>
      </c>
      <c r="CC383" s="5">
        <v>0</v>
      </c>
      <c r="CD383" s="5">
        <v>0</v>
      </c>
      <c r="CF383" s="1442" t="str">
        <f>IF([1]!sommaire[[#This Row],[présence des personnes déplacés interne]]="Oui","1","0")</f>
        <v>0</v>
      </c>
      <c r="CG383" s="1442" t="str">
        <f>IF([1]!sommaire[[#This Row],[présence Réfugié hors camp]]="Oui","1","0")</f>
        <v>0</v>
      </c>
      <c r="CH383" s="1442" t="str">
        <f>IF([1]!sommaire[[#This Row],[présence personnes retournées]]="Oui","1","0")</f>
        <v>1</v>
      </c>
      <c r="CI383" s="1442">
        <f>[1]!sommaire[[#This Row],[Flag PDI]]+[1]!sommaire[[#This Row],[Flag REF]]+[1]!sommaire[[#This Row],[Flag RET]]</f>
        <v>1</v>
      </c>
    </row>
    <row r="384" spans="1:87" ht="14.55" customHeight="1" x14ac:dyDescent="0.3">
      <c r="A384" s="390">
        <v>2600739</v>
      </c>
      <c r="B384" s="5" t="s">
        <v>533</v>
      </c>
      <c r="C384" s="1430" t="s">
        <v>3449</v>
      </c>
      <c r="D384" s="5" t="s">
        <v>534</v>
      </c>
      <c r="E384" s="5" t="s">
        <v>31</v>
      </c>
      <c r="F384" s="5" t="s">
        <v>31</v>
      </c>
      <c r="G384" s="5" t="s">
        <v>549</v>
      </c>
      <c r="H384" s="5" t="s">
        <v>169</v>
      </c>
      <c r="I384" s="5" t="str">
        <f>_xlfn.XLOOKUP(sommaire[[#This Row],[Arrondissement_code]],OCHA_GIS!$F:$F,OCHA_GIS!$E:$E,,)</f>
        <v>Logone-Birni</v>
      </c>
      <c r="J384" s="5" t="s">
        <v>673</v>
      </c>
      <c r="K384" t="s">
        <v>2868</v>
      </c>
      <c r="L384" s="5" t="s">
        <v>1132</v>
      </c>
      <c r="N384" s="5" t="s">
        <v>3053</v>
      </c>
      <c r="O384" s="5" t="s">
        <v>2467</v>
      </c>
      <c r="P384" s="5" t="s">
        <v>85</v>
      </c>
      <c r="Q384" s="5" t="s">
        <v>86</v>
      </c>
      <c r="R384" s="5" t="s">
        <v>86</v>
      </c>
      <c r="T384" s="390">
        <v>3</v>
      </c>
      <c r="U384" s="5" t="s">
        <v>97</v>
      </c>
      <c r="W384" s="1090" t="s">
        <v>2468</v>
      </c>
      <c r="X384" s="1090" t="s">
        <v>102</v>
      </c>
      <c r="AA384" s="1090" t="s">
        <v>85</v>
      </c>
      <c r="AB384" s="5" t="s">
        <v>2473</v>
      </c>
      <c r="AC384" s="5" t="s">
        <v>2470</v>
      </c>
      <c r="AD384" s="5" t="s">
        <v>86</v>
      </c>
      <c r="AF384" s="5">
        <v>65</v>
      </c>
      <c r="AG384" s="5">
        <v>276</v>
      </c>
      <c r="AH384" s="5" t="s">
        <v>85</v>
      </c>
      <c r="AI384" s="5" t="s">
        <v>2471</v>
      </c>
      <c r="AJ384" s="5">
        <v>65</v>
      </c>
      <c r="AK384" s="5">
        <v>276</v>
      </c>
      <c r="AL384" s="5">
        <v>150</v>
      </c>
      <c r="AM384" s="5">
        <v>126</v>
      </c>
      <c r="AN384" s="5">
        <v>0</v>
      </c>
      <c r="AO384" s="5">
        <v>0</v>
      </c>
      <c r="AP384" s="5">
        <v>0</v>
      </c>
      <c r="AQ384" s="5">
        <v>0</v>
      </c>
      <c r="AT384" s="5">
        <v>0</v>
      </c>
      <c r="AU384" s="5">
        <v>65</v>
      </c>
      <c r="AV384" s="5" t="s">
        <v>2478</v>
      </c>
      <c r="AX384" s="5">
        <v>0</v>
      </c>
      <c r="AY384" s="1090" t="s">
        <v>86</v>
      </c>
      <c r="BN384" s="1090" t="s">
        <v>86</v>
      </c>
      <c r="CD384" s="5">
        <v>0</v>
      </c>
      <c r="CF384" s="1442" t="str">
        <f>IF([1]!sommaire[[#This Row],[présence des personnes déplacés interne]]="Oui","1","0")</f>
        <v>1</v>
      </c>
      <c r="CG384" s="1442" t="str">
        <f>IF([1]!sommaire[[#This Row],[présence Réfugié hors camp]]="Oui","1","0")</f>
        <v>0</v>
      </c>
      <c r="CH384" s="1442" t="str">
        <f>IF([1]!sommaire[[#This Row],[présence personnes retournées]]="Oui","1","0")</f>
        <v>0</v>
      </c>
      <c r="CI384" s="1442">
        <f>[1]!sommaire[[#This Row],[Flag PDI]]+[1]!sommaire[[#This Row],[Flag REF]]+[1]!sommaire[[#This Row],[Flag RET]]</f>
        <v>1</v>
      </c>
    </row>
    <row r="385" spans="1:87" ht="14.55" customHeight="1" x14ac:dyDescent="0.3">
      <c r="A385" s="390">
        <v>2617952</v>
      </c>
      <c r="B385" s="5" t="s">
        <v>533</v>
      </c>
      <c r="C385" s="1430" t="s">
        <v>3449</v>
      </c>
      <c r="D385" s="1090" t="s">
        <v>534</v>
      </c>
      <c r="E385" s="5" t="s">
        <v>31</v>
      </c>
      <c r="F385" s="5" t="s">
        <v>31</v>
      </c>
      <c r="G385" s="5" t="s">
        <v>549</v>
      </c>
      <c r="H385" s="5" t="s">
        <v>169</v>
      </c>
      <c r="I385" s="5" t="str">
        <f>_xlfn.XLOOKUP(sommaire[[#This Row],[Arrondissement_code]],OCHA_GIS!$F:$F,OCHA_GIS!$E:$E,,)</f>
        <v>Logone-Birni</v>
      </c>
      <c r="J385" s="5" t="s">
        <v>673</v>
      </c>
      <c r="K385" t="s">
        <v>2848</v>
      </c>
      <c r="L385" s="5" t="s">
        <v>2345</v>
      </c>
      <c r="N385" s="5" t="s">
        <v>3053</v>
      </c>
      <c r="O385" s="5" t="s">
        <v>2467</v>
      </c>
      <c r="P385" s="5" t="s">
        <v>85</v>
      </c>
      <c r="Q385" s="5" t="s">
        <v>86</v>
      </c>
      <c r="R385" s="5" t="s">
        <v>86</v>
      </c>
      <c r="T385" s="390">
        <v>3</v>
      </c>
      <c r="U385" s="5" t="s">
        <v>97</v>
      </c>
      <c r="W385" s="5" t="s">
        <v>2468</v>
      </c>
      <c r="X385" s="5" t="s">
        <v>102</v>
      </c>
      <c r="AA385" s="5" t="s">
        <v>85</v>
      </c>
      <c r="AB385" s="5" t="s">
        <v>2469</v>
      </c>
      <c r="AC385" s="5" t="s">
        <v>2470</v>
      </c>
      <c r="AD385" s="5" t="s">
        <v>86</v>
      </c>
      <c r="AG385" s="5">
        <v>211</v>
      </c>
      <c r="AH385" s="5" t="s">
        <v>86</v>
      </c>
      <c r="AY385" s="5" t="s">
        <v>86</v>
      </c>
      <c r="BN385" s="5" t="s">
        <v>85</v>
      </c>
      <c r="BO385" s="5">
        <v>28</v>
      </c>
      <c r="BP385" s="5">
        <v>107</v>
      </c>
      <c r="BQ385" s="5">
        <v>55</v>
      </c>
      <c r="BR385" s="5">
        <v>52</v>
      </c>
      <c r="BS385" s="5" t="s">
        <v>2492</v>
      </c>
      <c r="BT385" s="5">
        <v>0</v>
      </c>
      <c r="BU385" s="5">
        <v>28</v>
      </c>
      <c r="BV385" s="5">
        <v>0</v>
      </c>
      <c r="BW385" s="5">
        <v>0</v>
      </c>
      <c r="BX385" s="5">
        <v>0</v>
      </c>
      <c r="BZ385" s="5">
        <v>0</v>
      </c>
      <c r="CA385" s="5">
        <v>0</v>
      </c>
      <c r="CC385" s="5">
        <v>0</v>
      </c>
      <c r="CD385" s="5">
        <v>0</v>
      </c>
      <c r="CF385" s="1442" t="str">
        <f>IF([1]!sommaire[[#This Row],[présence des personnes déplacés interne]]="Oui","1","0")</f>
        <v>0</v>
      </c>
      <c r="CG385" s="1442" t="str">
        <f>IF([1]!sommaire[[#This Row],[présence Réfugié hors camp]]="Oui","1","0")</f>
        <v>0</v>
      </c>
      <c r="CH385" s="1442" t="str">
        <f>IF([1]!sommaire[[#This Row],[présence personnes retournées]]="Oui","1","0")</f>
        <v>1</v>
      </c>
      <c r="CI385" s="1442">
        <f>[1]!sommaire[[#This Row],[Flag PDI]]+[1]!sommaire[[#This Row],[Flag REF]]+[1]!sommaire[[#This Row],[Flag RET]]</f>
        <v>1</v>
      </c>
    </row>
    <row r="386" spans="1:87" ht="14.55" customHeight="1" x14ac:dyDescent="0.3">
      <c r="A386" s="390">
        <v>2680244</v>
      </c>
      <c r="B386" s="5" t="s">
        <v>533</v>
      </c>
      <c r="C386" s="1430" t="s">
        <v>3449</v>
      </c>
      <c r="D386" s="1090" t="s">
        <v>534</v>
      </c>
      <c r="E386" s="5" t="s">
        <v>31</v>
      </c>
      <c r="F386" s="5" t="s">
        <v>31</v>
      </c>
      <c r="G386" s="5" t="s">
        <v>549</v>
      </c>
      <c r="H386" s="5" t="s">
        <v>169</v>
      </c>
      <c r="I386" s="5" t="str">
        <f>_xlfn.XLOOKUP(sommaire[[#This Row],[Arrondissement_code]],OCHA_GIS!$F:$F,OCHA_GIS!$E:$E,,)</f>
        <v>Logone-Birni</v>
      </c>
      <c r="J386" s="5" t="s">
        <v>673</v>
      </c>
      <c r="K386" t="s">
        <v>1081</v>
      </c>
      <c r="L386" s="5" t="s">
        <v>1551</v>
      </c>
      <c r="N386" s="5" t="s">
        <v>3053</v>
      </c>
      <c r="O386" s="5" t="s">
        <v>2467</v>
      </c>
      <c r="P386" s="5" t="s">
        <v>85</v>
      </c>
      <c r="Q386" s="5" t="s">
        <v>86</v>
      </c>
      <c r="R386" s="5" t="s">
        <v>86</v>
      </c>
      <c r="T386" s="390">
        <v>4</v>
      </c>
      <c r="U386" s="5" t="s">
        <v>97</v>
      </c>
      <c r="W386" s="5" t="s">
        <v>2468</v>
      </c>
      <c r="X386" s="5" t="s">
        <v>102</v>
      </c>
      <c r="AA386" s="5" t="s">
        <v>85</v>
      </c>
      <c r="AB386" s="5" t="s">
        <v>2469</v>
      </c>
      <c r="AC386" s="5" t="s">
        <v>2470</v>
      </c>
      <c r="AD386" s="5" t="s">
        <v>86</v>
      </c>
      <c r="AF386" s="5">
        <v>87</v>
      </c>
      <c r="AG386" s="5">
        <v>744</v>
      </c>
      <c r="AH386" s="5" t="s">
        <v>85</v>
      </c>
      <c r="AI386" s="5" t="s">
        <v>2471</v>
      </c>
      <c r="AJ386" s="5">
        <v>87</v>
      </c>
      <c r="AK386" s="5">
        <v>429</v>
      </c>
      <c r="AL386" s="5">
        <v>190</v>
      </c>
      <c r="AM386" s="5">
        <v>239</v>
      </c>
      <c r="AN386" s="5">
        <v>0</v>
      </c>
      <c r="AO386" s="5">
        <v>67</v>
      </c>
      <c r="AP386" s="5">
        <v>0</v>
      </c>
      <c r="AQ386" s="5">
        <v>0</v>
      </c>
      <c r="AT386" s="5">
        <v>0</v>
      </c>
      <c r="AU386" s="5">
        <v>20</v>
      </c>
      <c r="AV386" s="5" t="s">
        <v>2490</v>
      </c>
      <c r="AX386" s="5">
        <v>0</v>
      </c>
      <c r="AY386" s="5" t="s">
        <v>85</v>
      </c>
      <c r="AZ386" s="5">
        <v>2</v>
      </c>
      <c r="BA386" s="5">
        <v>12</v>
      </c>
      <c r="BB386" s="5">
        <v>4</v>
      </c>
      <c r="BC386" s="5">
        <v>8</v>
      </c>
      <c r="BD386" s="5">
        <v>2</v>
      </c>
      <c r="BE386" s="5">
        <v>0</v>
      </c>
      <c r="BF386" s="5">
        <v>0</v>
      </c>
      <c r="BH386" s="5">
        <v>0</v>
      </c>
      <c r="BI386" s="5">
        <v>0</v>
      </c>
      <c r="BL386" s="5">
        <v>0</v>
      </c>
      <c r="BM386" s="5">
        <v>0</v>
      </c>
      <c r="BN386" s="5" t="s">
        <v>86</v>
      </c>
      <c r="CD386" s="5">
        <v>0</v>
      </c>
      <c r="CF386" s="1442" t="str">
        <f>IF([1]!sommaire[[#This Row],[présence des personnes déplacés interne]]="Oui","1","0")</f>
        <v>1</v>
      </c>
      <c r="CG386" s="1442" t="str">
        <f>IF([1]!sommaire[[#This Row],[présence Réfugié hors camp]]="Oui","1","0")</f>
        <v>1</v>
      </c>
      <c r="CH386" s="1442" t="str">
        <f>IF([1]!sommaire[[#This Row],[présence personnes retournées]]="Oui","1","0")</f>
        <v>0</v>
      </c>
      <c r="CI386" s="1442">
        <f>[1]!sommaire[[#This Row],[Flag PDI]]+[1]!sommaire[[#This Row],[Flag REF]]+[1]!sommaire[[#This Row],[Flag RET]]</f>
        <v>2</v>
      </c>
    </row>
    <row r="387" spans="1:87" ht="14.55" customHeight="1" x14ac:dyDescent="0.3">
      <c r="A387" s="390">
        <v>2691072</v>
      </c>
      <c r="B387" s="5" t="s">
        <v>533</v>
      </c>
      <c r="C387" s="1430" t="s">
        <v>3449</v>
      </c>
      <c r="D387" s="1090" t="s">
        <v>534</v>
      </c>
      <c r="E387" s="5" t="s">
        <v>31</v>
      </c>
      <c r="F387" s="5" t="s">
        <v>31</v>
      </c>
      <c r="G387" s="5" t="s">
        <v>549</v>
      </c>
      <c r="H387" s="5" t="s">
        <v>169</v>
      </c>
      <c r="I387" s="5" t="str">
        <f>_xlfn.XLOOKUP(sommaire[[#This Row],[Arrondissement_code]],OCHA_GIS!$F:$F,OCHA_GIS!$E:$E,,)</f>
        <v>Logone-Birni</v>
      </c>
      <c r="J387" s="5" t="s">
        <v>673</v>
      </c>
      <c r="K387" t="s">
        <v>2872</v>
      </c>
      <c r="L387" s="5" t="s">
        <v>2261</v>
      </c>
      <c r="N387" s="5" t="s">
        <v>3053</v>
      </c>
      <c r="O387" s="5" t="s">
        <v>2467</v>
      </c>
      <c r="P387" s="5" t="s">
        <v>85</v>
      </c>
      <c r="Q387" s="5" t="s">
        <v>86</v>
      </c>
      <c r="R387" s="5" t="s">
        <v>86</v>
      </c>
      <c r="T387" s="390">
        <v>4</v>
      </c>
      <c r="U387" s="5" t="s">
        <v>97</v>
      </c>
      <c r="W387" s="5" t="s">
        <v>2468</v>
      </c>
      <c r="X387" s="5" t="s">
        <v>102</v>
      </c>
      <c r="AA387" s="5" t="s">
        <v>85</v>
      </c>
      <c r="AB387" s="5" t="s">
        <v>2469</v>
      </c>
      <c r="AC387" s="5" t="s">
        <v>2470</v>
      </c>
      <c r="AD387" s="5" t="s">
        <v>86</v>
      </c>
      <c r="AG387" s="5">
        <v>500</v>
      </c>
      <c r="AH387" s="5" t="s">
        <v>86</v>
      </c>
      <c r="AY387" s="5" t="s">
        <v>86</v>
      </c>
      <c r="BN387" s="5" t="s">
        <v>85</v>
      </c>
      <c r="BO387" s="5">
        <v>64</v>
      </c>
      <c r="BP387" s="5">
        <v>500</v>
      </c>
      <c r="BQ387" s="5">
        <v>200</v>
      </c>
      <c r="BR387" s="5">
        <v>300</v>
      </c>
      <c r="BS387" s="5" t="s">
        <v>2492</v>
      </c>
      <c r="BT387" s="5">
        <v>60</v>
      </c>
      <c r="BU387" s="5">
        <v>4</v>
      </c>
      <c r="BV387" s="5">
        <v>0</v>
      </c>
      <c r="BW387" s="5">
        <v>0</v>
      </c>
      <c r="BX387" s="5">
        <v>0</v>
      </c>
      <c r="BZ387" s="5">
        <v>0</v>
      </c>
      <c r="CA387" s="5">
        <v>0</v>
      </c>
      <c r="CC387" s="5">
        <v>0</v>
      </c>
      <c r="CD387" s="5">
        <v>0</v>
      </c>
      <c r="CF387" s="1442" t="str">
        <f>IF([1]!sommaire[[#This Row],[présence des personnes déplacés interne]]="Oui","1","0")</f>
        <v>0</v>
      </c>
      <c r="CG387" s="1442" t="str">
        <f>IF([1]!sommaire[[#This Row],[présence Réfugié hors camp]]="Oui","1","0")</f>
        <v>0</v>
      </c>
      <c r="CH387" s="1442" t="str">
        <f>IF([1]!sommaire[[#This Row],[présence personnes retournées]]="Oui","1","0")</f>
        <v>1</v>
      </c>
      <c r="CI387" s="1442">
        <f>[1]!sommaire[[#This Row],[Flag PDI]]+[1]!sommaire[[#This Row],[Flag REF]]+[1]!sommaire[[#This Row],[Flag RET]]</f>
        <v>1</v>
      </c>
    </row>
    <row r="388" spans="1:87" ht="14.55" customHeight="1" x14ac:dyDescent="0.3">
      <c r="A388" s="390">
        <v>2713441</v>
      </c>
      <c r="B388" s="5" t="s">
        <v>533</v>
      </c>
      <c r="C388" s="1430" t="s">
        <v>3449</v>
      </c>
      <c r="D388" s="1090" t="s">
        <v>534</v>
      </c>
      <c r="E388" s="5" t="s">
        <v>31</v>
      </c>
      <c r="F388" s="5" t="s">
        <v>31</v>
      </c>
      <c r="G388" s="5" t="s">
        <v>549</v>
      </c>
      <c r="H388" s="1144" t="s">
        <v>169</v>
      </c>
      <c r="I388" s="1144" t="str">
        <f>_xlfn.XLOOKUP(sommaire[[#This Row],[Arrondissement_code]],OCHA_GIS!$F:$F,OCHA_GIS!$E:$E,,)</f>
        <v>Logone-Birni</v>
      </c>
      <c r="J388" s="5" t="s">
        <v>673</v>
      </c>
      <c r="K388" t="s">
        <v>3204</v>
      </c>
      <c r="L388" s="5" t="s">
        <v>3076</v>
      </c>
      <c r="N388" s="5" t="s">
        <v>3053</v>
      </c>
      <c r="O388" s="5" t="s">
        <v>2467</v>
      </c>
      <c r="P388" s="5" t="s">
        <v>86</v>
      </c>
      <c r="Q388" s="5" t="s">
        <v>85</v>
      </c>
      <c r="R388" s="5" t="s">
        <v>85</v>
      </c>
      <c r="S388" s="390">
        <v>6</v>
      </c>
      <c r="U388" s="5" t="s">
        <v>97</v>
      </c>
      <c r="W388" s="5" t="s">
        <v>2468</v>
      </c>
      <c r="X388" s="5" t="s">
        <v>102</v>
      </c>
      <c r="AA388" s="586" t="s">
        <v>85</v>
      </c>
      <c r="AB388" s="5" t="s">
        <v>2469</v>
      </c>
      <c r="AC388" s="5" t="s">
        <v>2470</v>
      </c>
      <c r="AD388" s="1090" t="s">
        <v>86</v>
      </c>
      <c r="AG388" s="5">
        <v>406</v>
      </c>
      <c r="AH388" s="5" t="s">
        <v>86</v>
      </c>
      <c r="AY388" s="5" t="s">
        <v>86</v>
      </c>
      <c r="BN388" s="5" t="s">
        <v>85</v>
      </c>
      <c r="BO388" s="5">
        <v>71</v>
      </c>
      <c r="BP388" s="5">
        <v>406</v>
      </c>
      <c r="BQ388" s="5">
        <v>206</v>
      </c>
      <c r="BR388" s="5">
        <v>200</v>
      </c>
      <c r="BS388" s="5" t="s">
        <v>2492</v>
      </c>
      <c r="BT388" s="5">
        <v>0</v>
      </c>
      <c r="BU388" s="5">
        <v>71</v>
      </c>
      <c r="BV388" s="5">
        <v>0</v>
      </c>
      <c r="BW388" s="5">
        <v>0</v>
      </c>
      <c r="BX388" s="5">
        <v>0</v>
      </c>
      <c r="BZ388" s="5">
        <v>0</v>
      </c>
      <c r="CA388" s="5">
        <v>0</v>
      </c>
      <c r="CC388" s="5">
        <v>0</v>
      </c>
      <c r="CD388" s="5">
        <v>0</v>
      </c>
      <c r="CF388" s="1442" t="str">
        <f>IF([1]!sommaire[[#This Row],[présence des personnes déplacés interne]]="Oui","1","0")</f>
        <v>0</v>
      </c>
      <c r="CG388" s="1442" t="str">
        <f>IF([1]!sommaire[[#This Row],[présence Réfugié hors camp]]="Oui","1","0")</f>
        <v>0</v>
      </c>
      <c r="CH388" s="1442" t="str">
        <f>IF([1]!sommaire[[#This Row],[présence personnes retournées]]="Oui","1","0")</f>
        <v>1</v>
      </c>
      <c r="CI388" s="1442">
        <f>[1]!sommaire[[#This Row],[Flag PDI]]+[1]!sommaire[[#This Row],[Flag REF]]+[1]!sommaire[[#This Row],[Flag RET]]</f>
        <v>1</v>
      </c>
    </row>
    <row r="389" spans="1:87" ht="14.55" customHeight="1" x14ac:dyDescent="0.3">
      <c r="A389" s="390">
        <v>2593182</v>
      </c>
      <c r="B389" s="5" t="s">
        <v>533</v>
      </c>
      <c r="C389" s="1430" t="s">
        <v>3449</v>
      </c>
      <c r="D389" s="1090" t="s">
        <v>534</v>
      </c>
      <c r="E389" s="5" t="s">
        <v>31</v>
      </c>
      <c r="F389" s="5" t="s">
        <v>31</v>
      </c>
      <c r="G389" s="5" t="s">
        <v>549</v>
      </c>
      <c r="H389" s="5" t="s">
        <v>169</v>
      </c>
      <c r="I389" s="5" t="str">
        <f>_xlfn.XLOOKUP(sommaire[[#This Row],[Arrondissement_code]],OCHA_GIS!$F:$F,OCHA_GIS!$E:$E,,)</f>
        <v>Logone-Birni</v>
      </c>
      <c r="J389" s="5" t="s">
        <v>673</v>
      </c>
      <c r="K389" t="s">
        <v>2875</v>
      </c>
      <c r="L389" s="5" t="s">
        <v>888</v>
      </c>
      <c r="N389" s="5" t="s">
        <v>3053</v>
      </c>
      <c r="O389" s="5" t="s">
        <v>2467</v>
      </c>
      <c r="P389" s="5" t="s">
        <v>85</v>
      </c>
      <c r="Q389" s="5" t="s">
        <v>86</v>
      </c>
      <c r="R389" s="5" t="s">
        <v>85</v>
      </c>
      <c r="T389" s="390">
        <v>4</v>
      </c>
      <c r="U389" s="5" t="s">
        <v>97</v>
      </c>
      <c r="W389" s="5" t="s">
        <v>2468</v>
      </c>
      <c r="X389" s="5" t="s">
        <v>102</v>
      </c>
      <c r="AA389" s="5" t="s">
        <v>85</v>
      </c>
      <c r="AB389" s="5" t="s">
        <v>2469</v>
      </c>
      <c r="AC389" s="5" t="s">
        <v>2470</v>
      </c>
      <c r="AD389" s="5" t="s">
        <v>86</v>
      </c>
      <c r="AF389" s="5">
        <v>5</v>
      </c>
      <c r="AG389" s="5">
        <v>365</v>
      </c>
      <c r="AH389" s="5" t="s">
        <v>85</v>
      </c>
      <c r="AI389" s="5" t="s">
        <v>2471</v>
      </c>
      <c r="AJ389" s="5">
        <v>5</v>
      </c>
      <c r="AK389" s="5">
        <v>21</v>
      </c>
      <c r="AL389" s="5">
        <v>6</v>
      </c>
      <c r="AM389" s="5">
        <v>15</v>
      </c>
      <c r="AN389" s="5">
        <v>0</v>
      </c>
      <c r="AO389" s="5">
        <v>5</v>
      </c>
      <c r="AP389" s="5">
        <v>0</v>
      </c>
      <c r="AQ389" s="5">
        <v>0</v>
      </c>
      <c r="AT389" s="5">
        <v>0</v>
      </c>
      <c r="AU389" s="5">
        <v>0</v>
      </c>
      <c r="AX389" s="5">
        <v>0</v>
      </c>
      <c r="AY389" s="5" t="s">
        <v>86</v>
      </c>
      <c r="BN389" s="5" t="s">
        <v>85</v>
      </c>
      <c r="BO389" s="5">
        <v>15</v>
      </c>
      <c r="BP389" s="5">
        <v>65</v>
      </c>
      <c r="BQ389" s="5">
        <v>37</v>
      </c>
      <c r="BR389" s="5">
        <v>28</v>
      </c>
      <c r="BS389" s="5" t="s">
        <v>2492</v>
      </c>
      <c r="BT389" s="5">
        <v>0</v>
      </c>
      <c r="BU389" s="5">
        <v>15</v>
      </c>
      <c r="BV389" s="5">
        <v>0</v>
      </c>
      <c r="BW389" s="5">
        <v>0</v>
      </c>
      <c r="BX389" s="5">
        <v>0</v>
      </c>
      <c r="BZ389" s="5">
        <v>0</v>
      </c>
      <c r="CA389" s="5">
        <v>0</v>
      </c>
      <c r="CC389" s="5">
        <v>0</v>
      </c>
      <c r="CD389" s="5">
        <v>0</v>
      </c>
      <c r="CF389" s="1442" t="str">
        <f>IF([1]!sommaire[[#This Row],[présence des personnes déplacés interne]]="Oui","1","0")</f>
        <v>1</v>
      </c>
      <c r="CG389" s="1442" t="str">
        <f>IF([1]!sommaire[[#This Row],[présence Réfugié hors camp]]="Oui","1","0")</f>
        <v>0</v>
      </c>
      <c r="CH389" s="1442" t="str">
        <f>IF([1]!sommaire[[#This Row],[présence personnes retournées]]="Oui","1","0")</f>
        <v>1</v>
      </c>
      <c r="CI389" s="1442">
        <f>[1]!sommaire[[#This Row],[Flag PDI]]+[1]!sommaire[[#This Row],[Flag REF]]+[1]!sommaire[[#This Row],[Flag RET]]</f>
        <v>2</v>
      </c>
    </row>
    <row r="390" spans="1:87" ht="14.55" customHeight="1" x14ac:dyDescent="0.3">
      <c r="A390" s="390">
        <v>2659539</v>
      </c>
      <c r="B390" s="5" t="s">
        <v>533</v>
      </c>
      <c r="C390" s="1430" t="s">
        <v>3449</v>
      </c>
      <c r="D390" s="1090" t="s">
        <v>534</v>
      </c>
      <c r="E390" s="5" t="s">
        <v>31</v>
      </c>
      <c r="F390" s="5" t="s">
        <v>31</v>
      </c>
      <c r="G390" s="5" t="s">
        <v>549</v>
      </c>
      <c r="H390" s="5" t="s">
        <v>169</v>
      </c>
      <c r="I390" s="5" t="str">
        <f>_xlfn.XLOOKUP(sommaire[[#This Row],[Arrondissement_code]],OCHA_GIS!$F:$F,OCHA_GIS!$E:$E,,)</f>
        <v>Logone-Birni</v>
      </c>
      <c r="J390" s="5" t="s">
        <v>673</v>
      </c>
      <c r="K390" t="s">
        <v>3205</v>
      </c>
      <c r="L390" s="5" t="s">
        <v>3087</v>
      </c>
      <c r="N390" s="5" t="s">
        <v>3053</v>
      </c>
      <c r="O390" s="5" t="s">
        <v>2467</v>
      </c>
      <c r="P390" s="5" t="s">
        <v>85</v>
      </c>
      <c r="Q390" s="5" t="s">
        <v>86</v>
      </c>
      <c r="R390" s="5" t="s">
        <v>85</v>
      </c>
      <c r="T390" s="390">
        <v>4</v>
      </c>
      <c r="U390" s="5" t="s">
        <v>97</v>
      </c>
      <c r="W390" s="5" t="s">
        <v>2468</v>
      </c>
      <c r="X390" s="5" t="s">
        <v>101</v>
      </c>
      <c r="Y390" s="5" t="s">
        <v>274</v>
      </c>
      <c r="AA390" s="5" t="s">
        <v>85</v>
      </c>
      <c r="AB390" s="5" t="s">
        <v>2469</v>
      </c>
      <c r="AC390" s="5" t="s">
        <v>2470</v>
      </c>
      <c r="AD390" s="5" t="s">
        <v>86</v>
      </c>
      <c r="AG390" s="5">
        <v>216</v>
      </c>
      <c r="AH390" s="5" t="s">
        <v>86</v>
      </c>
      <c r="AY390" s="5" t="s">
        <v>86</v>
      </c>
      <c r="BN390" s="5" t="s">
        <v>85</v>
      </c>
      <c r="BO390" s="5">
        <v>28</v>
      </c>
      <c r="BP390" s="5">
        <v>208</v>
      </c>
      <c r="BQ390" s="5">
        <v>101</v>
      </c>
      <c r="BR390" s="5">
        <v>107</v>
      </c>
      <c r="BS390" s="5" t="s">
        <v>2492</v>
      </c>
      <c r="BT390" s="5">
        <v>0</v>
      </c>
      <c r="BU390" s="5">
        <v>28</v>
      </c>
      <c r="BV390" s="5">
        <v>0</v>
      </c>
      <c r="BW390" s="5">
        <v>0</v>
      </c>
      <c r="BX390" s="5">
        <v>0</v>
      </c>
      <c r="BZ390" s="5">
        <v>0</v>
      </c>
      <c r="CA390" s="5">
        <v>0</v>
      </c>
      <c r="CC390" s="5">
        <v>0</v>
      </c>
      <c r="CD390" s="5">
        <v>0</v>
      </c>
      <c r="CF390" s="1442" t="str">
        <f>IF([1]!sommaire[[#This Row],[présence des personnes déplacés interne]]="Oui","1","0")</f>
        <v>0</v>
      </c>
      <c r="CG390" s="1442" t="str">
        <f>IF([1]!sommaire[[#This Row],[présence Réfugié hors camp]]="Oui","1","0")</f>
        <v>0</v>
      </c>
      <c r="CH390" s="1442" t="str">
        <f>IF([1]!sommaire[[#This Row],[présence personnes retournées]]="Oui","1","0")</f>
        <v>1</v>
      </c>
      <c r="CI390" s="1442">
        <f>[1]!sommaire[[#This Row],[Flag PDI]]+[1]!sommaire[[#This Row],[Flag REF]]+[1]!sommaire[[#This Row],[Flag RET]]</f>
        <v>1</v>
      </c>
    </row>
    <row r="391" spans="1:87" ht="14.55" customHeight="1" x14ac:dyDescent="0.3">
      <c r="A391" s="390">
        <v>2692390</v>
      </c>
      <c r="B391" s="5" t="s">
        <v>533</v>
      </c>
      <c r="C391" s="1430" t="s">
        <v>3449</v>
      </c>
      <c r="D391" s="1090" t="s">
        <v>534</v>
      </c>
      <c r="E391" s="5" t="s">
        <v>31</v>
      </c>
      <c r="F391" s="5" t="s">
        <v>31</v>
      </c>
      <c r="G391" s="5" t="s">
        <v>549</v>
      </c>
      <c r="H391" s="5" t="s">
        <v>169</v>
      </c>
      <c r="I391" s="5" t="str">
        <f>_xlfn.XLOOKUP(sommaire[[#This Row],[Arrondissement_code]],OCHA_GIS!$F:$F,OCHA_GIS!$E:$E,,)</f>
        <v>Logone-Birni</v>
      </c>
      <c r="J391" s="5" t="s">
        <v>673</v>
      </c>
      <c r="K391" t="s">
        <v>2881</v>
      </c>
      <c r="L391" s="5" t="s">
        <v>2314</v>
      </c>
      <c r="N391" s="5" t="s">
        <v>3053</v>
      </c>
      <c r="O391" s="5" t="s">
        <v>2467</v>
      </c>
      <c r="P391" s="5" t="s">
        <v>85</v>
      </c>
      <c r="Q391" s="5" t="s">
        <v>86</v>
      </c>
      <c r="R391" s="5" t="s">
        <v>86</v>
      </c>
      <c r="T391" s="390">
        <v>3</v>
      </c>
      <c r="U391" s="5" t="s">
        <v>97</v>
      </c>
      <c r="W391" s="5" t="s">
        <v>2468</v>
      </c>
      <c r="X391" s="5" t="s">
        <v>103</v>
      </c>
      <c r="Y391" s="5" t="s">
        <v>274</v>
      </c>
      <c r="AA391" s="5" t="s">
        <v>85</v>
      </c>
      <c r="AB391" s="5" t="s">
        <v>2469</v>
      </c>
      <c r="AC391" s="5" t="s">
        <v>2470</v>
      </c>
      <c r="AD391" s="5" t="s">
        <v>86</v>
      </c>
      <c r="AG391" s="5">
        <v>189</v>
      </c>
      <c r="AH391" s="5" t="s">
        <v>86</v>
      </c>
      <c r="AY391" s="5" t="s">
        <v>86</v>
      </c>
      <c r="BN391" s="5" t="s">
        <v>85</v>
      </c>
      <c r="BO391" s="5">
        <v>37</v>
      </c>
      <c r="BP391" s="5">
        <v>189</v>
      </c>
      <c r="BQ391" s="5">
        <v>88</v>
      </c>
      <c r="BR391" s="5">
        <v>101</v>
      </c>
      <c r="BS391" s="5" t="s">
        <v>2492</v>
      </c>
      <c r="BT391" s="5">
        <v>0</v>
      </c>
      <c r="BU391" s="5">
        <v>37</v>
      </c>
      <c r="BV391" s="5">
        <v>0</v>
      </c>
      <c r="BW391" s="5">
        <v>0</v>
      </c>
      <c r="BX391" s="5">
        <v>0</v>
      </c>
      <c r="BZ391" s="5">
        <v>0</v>
      </c>
      <c r="CA391" s="5">
        <v>0</v>
      </c>
      <c r="CC391" s="5">
        <v>0</v>
      </c>
      <c r="CD391" s="5">
        <v>0</v>
      </c>
      <c r="CF391" s="1442" t="str">
        <f>IF([1]!sommaire[[#This Row],[présence des personnes déplacés interne]]="Oui","1","0")</f>
        <v>0</v>
      </c>
      <c r="CG391" s="1442" t="str">
        <f>IF([1]!sommaire[[#This Row],[présence Réfugié hors camp]]="Oui","1","0")</f>
        <v>0</v>
      </c>
      <c r="CH391" s="1442" t="str">
        <f>IF([1]!sommaire[[#This Row],[présence personnes retournées]]="Oui","1","0")</f>
        <v>1</v>
      </c>
      <c r="CI391" s="1442">
        <f>[1]!sommaire[[#This Row],[Flag PDI]]+[1]!sommaire[[#This Row],[Flag REF]]+[1]!sommaire[[#This Row],[Flag RET]]</f>
        <v>1</v>
      </c>
    </row>
    <row r="392" spans="1:87" ht="14.55" customHeight="1" x14ac:dyDescent="0.3">
      <c r="A392" s="390">
        <v>2680245</v>
      </c>
      <c r="B392" s="5" t="s">
        <v>533</v>
      </c>
      <c r="C392" s="1430" t="s">
        <v>3449</v>
      </c>
      <c r="D392" s="1090" t="s">
        <v>534</v>
      </c>
      <c r="E392" s="5" t="s">
        <v>31</v>
      </c>
      <c r="F392" s="5" t="s">
        <v>31</v>
      </c>
      <c r="G392" s="5" t="s">
        <v>549</v>
      </c>
      <c r="H392" s="1144" t="s">
        <v>169</v>
      </c>
      <c r="I392" s="1144" t="str">
        <f>_xlfn.XLOOKUP(sommaire[[#This Row],[Arrondissement_code]],OCHA_GIS!$F:$F,OCHA_GIS!$E:$E,,)</f>
        <v>Logone-Birni</v>
      </c>
      <c r="J392" s="5" t="s">
        <v>673</v>
      </c>
      <c r="K392" t="s">
        <v>2885</v>
      </c>
      <c r="L392" s="5" t="s">
        <v>1565</v>
      </c>
      <c r="N392" s="5" t="s">
        <v>3053</v>
      </c>
      <c r="O392" s="5" t="s">
        <v>2467</v>
      </c>
      <c r="P392" s="5" t="s">
        <v>85</v>
      </c>
      <c r="Q392" s="5" t="s">
        <v>86</v>
      </c>
      <c r="R392" s="5" t="s">
        <v>86</v>
      </c>
      <c r="T392" s="390">
        <v>3</v>
      </c>
      <c r="U392" s="5" t="s">
        <v>99</v>
      </c>
      <c r="V392" s="5" t="s">
        <v>122</v>
      </c>
      <c r="W392" s="5" t="s">
        <v>2482</v>
      </c>
      <c r="X392" s="1090"/>
      <c r="AA392" s="5" t="s">
        <v>86</v>
      </c>
      <c r="AH392" s="1430" t="s">
        <v>86</v>
      </c>
      <c r="AY392" s="1430" t="s">
        <v>86</v>
      </c>
      <c r="BN392" s="1430" t="s">
        <v>86</v>
      </c>
      <c r="CF392" s="1442" t="str">
        <f>IF([1]!sommaire[[#This Row],[présence des personnes déplacés interne]]="Oui","1","0")</f>
        <v>0</v>
      </c>
      <c r="CG392" s="1442" t="str">
        <f>IF([1]!sommaire[[#This Row],[présence Réfugié hors camp]]="Oui","1","0")</f>
        <v>0</v>
      </c>
      <c r="CH392" s="1442" t="str">
        <f>IF([1]!sommaire[[#This Row],[présence personnes retournées]]="Oui","1","0")</f>
        <v>0</v>
      </c>
      <c r="CI392" s="1442">
        <f>[1]!sommaire[[#This Row],[Flag PDI]]+[1]!sommaire[[#This Row],[Flag REF]]+[1]!sommaire[[#This Row],[Flag RET]]</f>
        <v>0</v>
      </c>
    </row>
    <row r="393" spans="1:87" ht="14.55" customHeight="1" x14ac:dyDescent="0.3">
      <c r="A393" s="390">
        <v>2659518</v>
      </c>
      <c r="B393" s="5" t="s">
        <v>533</v>
      </c>
      <c r="C393" s="1430" t="s">
        <v>3449</v>
      </c>
      <c r="D393" s="1090" t="s">
        <v>534</v>
      </c>
      <c r="E393" s="5" t="s">
        <v>31</v>
      </c>
      <c r="F393" s="5" t="s">
        <v>31</v>
      </c>
      <c r="G393" s="5" t="s">
        <v>549</v>
      </c>
      <c r="H393" s="5" t="s">
        <v>169</v>
      </c>
      <c r="I393" s="5" t="str">
        <f>_xlfn.XLOOKUP(sommaire[[#This Row],[Arrondissement_code]],OCHA_GIS!$F:$F,OCHA_GIS!$E:$E,,)</f>
        <v>Logone-Birni</v>
      </c>
      <c r="J393" s="5" t="s">
        <v>673</v>
      </c>
      <c r="K393" t="s">
        <v>1095</v>
      </c>
      <c r="L393" s="5" t="s">
        <v>2573</v>
      </c>
      <c r="N393" s="5" t="s">
        <v>3053</v>
      </c>
      <c r="O393" s="5" t="s">
        <v>2467</v>
      </c>
      <c r="P393" s="5" t="s">
        <v>85</v>
      </c>
      <c r="Q393" s="5" t="s">
        <v>86</v>
      </c>
      <c r="R393" s="5" t="s">
        <v>85</v>
      </c>
      <c r="T393" s="390">
        <v>4</v>
      </c>
      <c r="U393" s="5" t="s">
        <v>97</v>
      </c>
      <c r="W393" s="5" t="s">
        <v>2468</v>
      </c>
      <c r="X393" s="5" t="s">
        <v>101</v>
      </c>
      <c r="Y393" s="5" t="s">
        <v>274</v>
      </c>
      <c r="AA393" s="5" t="s">
        <v>85</v>
      </c>
      <c r="AB393" s="5" t="s">
        <v>2469</v>
      </c>
      <c r="AC393" s="5" t="s">
        <v>2470</v>
      </c>
      <c r="AD393" s="5" t="s">
        <v>86</v>
      </c>
      <c r="AF393" s="5">
        <v>17</v>
      </c>
      <c r="AG393" s="5">
        <v>620</v>
      </c>
      <c r="AH393" s="5" t="s">
        <v>85</v>
      </c>
      <c r="AI393" s="5" t="s">
        <v>2471</v>
      </c>
      <c r="AJ393" s="5">
        <v>17</v>
      </c>
      <c r="AK393" s="5">
        <v>107</v>
      </c>
      <c r="AL393" s="5">
        <v>55</v>
      </c>
      <c r="AM393" s="5">
        <v>52</v>
      </c>
      <c r="AN393" s="5">
        <v>0</v>
      </c>
      <c r="AO393" s="5">
        <v>17</v>
      </c>
      <c r="AP393" s="5">
        <v>0</v>
      </c>
      <c r="AQ393" s="5">
        <v>0</v>
      </c>
      <c r="AT393" s="5">
        <v>0</v>
      </c>
      <c r="AU393" s="5">
        <v>0</v>
      </c>
      <c r="AX393" s="5">
        <v>0</v>
      </c>
      <c r="AY393" s="5" t="s">
        <v>86</v>
      </c>
      <c r="BN393" s="5" t="s">
        <v>85</v>
      </c>
      <c r="BO393" s="5">
        <v>11</v>
      </c>
      <c r="BP393" s="5">
        <v>88</v>
      </c>
      <c r="BQ393" s="5">
        <v>42</v>
      </c>
      <c r="BR393" s="5">
        <v>46</v>
      </c>
      <c r="BS393" s="5" t="s">
        <v>2492</v>
      </c>
      <c r="BT393" s="5">
        <v>0</v>
      </c>
      <c r="BU393" s="5">
        <v>11</v>
      </c>
      <c r="BV393" s="5">
        <v>0</v>
      </c>
      <c r="BW393" s="5">
        <v>0</v>
      </c>
      <c r="BX393" s="5">
        <v>0</v>
      </c>
      <c r="BZ393" s="5">
        <v>0</v>
      </c>
      <c r="CA393" s="5">
        <v>0</v>
      </c>
      <c r="CC393" s="5">
        <v>0</v>
      </c>
      <c r="CD393" s="5">
        <v>0</v>
      </c>
      <c r="CF393" s="1442" t="str">
        <f>IF([1]!sommaire[[#This Row],[présence des personnes déplacés interne]]="Oui","1","0")</f>
        <v>1</v>
      </c>
      <c r="CG393" s="1442" t="str">
        <f>IF([1]!sommaire[[#This Row],[présence Réfugié hors camp]]="Oui","1","0")</f>
        <v>0</v>
      </c>
      <c r="CH393" s="1442" t="str">
        <f>IF([1]!sommaire[[#This Row],[présence personnes retournées]]="Oui","1","0")</f>
        <v>1</v>
      </c>
      <c r="CI393" s="1442">
        <f>[1]!sommaire[[#This Row],[Flag PDI]]+[1]!sommaire[[#This Row],[Flag REF]]+[1]!sommaire[[#This Row],[Flag RET]]</f>
        <v>2</v>
      </c>
    </row>
    <row r="394" spans="1:87" ht="14.55" customHeight="1" x14ac:dyDescent="0.3">
      <c r="A394" s="390">
        <v>2621517</v>
      </c>
      <c r="B394" s="5" t="s">
        <v>533</v>
      </c>
      <c r="C394" s="1430" t="s">
        <v>3449</v>
      </c>
      <c r="D394" s="5" t="s">
        <v>534</v>
      </c>
      <c r="E394" s="5" t="s">
        <v>31</v>
      </c>
      <c r="F394" s="5" t="s">
        <v>31</v>
      </c>
      <c r="G394" s="5" t="s">
        <v>549</v>
      </c>
      <c r="H394" s="5" t="s">
        <v>169</v>
      </c>
      <c r="I394" s="5" t="str">
        <f>_xlfn.XLOOKUP(sommaire[[#This Row],[Arrondissement_code]],OCHA_GIS!$F:$F,OCHA_GIS!$E:$E,,)</f>
        <v>Logone-Birni</v>
      </c>
      <c r="J394" s="5" t="s">
        <v>673</v>
      </c>
      <c r="K394" t="s">
        <v>2866</v>
      </c>
      <c r="L394" s="5" t="s">
        <v>2342</v>
      </c>
      <c r="N394" s="5" t="s">
        <v>3053</v>
      </c>
      <c r="O394" s="5" t="s">
        <v>2467</v>
      </c>
      <c r="P394" s="5" t="s">
        <v>85</v>
      </c>
      <c r="Q394" s="5" t="s">
        <v>86</v>
      </c>
      <c r="R394" s="5" t="s">
        <v>85</v>
      </c>
      <c r="T394" s="390">
        <v>3</v>
      </c>
      <c r="U394" s="5" t="s">
        <v>97</v>
      </c>
      <c r="W394" s="5" t="s">
        <v>2468</v>
      </c>
      <c r="X394" s="5" t="s">
        <v>103</v>
      </c>
      <c r="Y394" s="5" t="s">
        <v>2476</v>
      </c>
      <c r="AA394" s="1175" t="s">
        <v>85</v>
      </c>
      <c r="AB394" s="5" t="s">
        <v>2469</v>
      </c>
      <c r="AC394" s="5" t="s">
        <v>2470</v>
      </c>
      <c r="AD394" s="5" t="s">
        <v>86</v>
      </c>
      <c r="AF394" s="5">
        <v>25</v>
      </c>
      <c r="AG394" s="5">
        <v>800</v>
      </c>
      <c r="AH394" s="5" t="s">
        <v>85</v>
      </c>
      <c r="AI394" s="5" t="s">
        <v>2471</v>
      </c>
      <c r="AJ394" s="5">
        <v>25</v>
      </c>
      <c r="AK394" s="5">
        <v>250</v>
      </c>
      <c r="AL394" s="5">
        <v>150</v>
      </c>
      <c r="AM394" s="5">
        <v>100</v>
      </c>
      <c r="AN394" s="5">
        <v>0</v>
      </c>
      <c r="AO394" s="5">
        <v>25</v>
      </c>
      <c r="AP394" s="5">
        <v>0</v>
      </c>
      <c r="AQ394" s="5">
        <v>0</v>
      </c>
      <c r="AT394" s="5">
        <v>0</v>
      </c>
      <c r="AU394" s="5">
        <v>0</v>
      </c>
      <c r="AX394" s="5">
        <v>0</v>
      </c>
      <c r="AY394" s="5" t="s">
        <v>86</v>
      </c>
      <c r="BN394" s="5" t="s">
        <v>85</v>
      </c>
      <c r="BO394" s="5">
        <v>5</v>
      </c>
      <c r="BP394" s="5">
        <v>30</v>
      </c>
      <c r="BQ394" s="5">
        <v>15</v>
      </c>
      <c r="BR394" s="5">
        <v>15</v>
      </c>
      <c r="BS394" s="5" t="s">
        <v>2484</v>
      </c>
      <c r="BT394" s="5">
        <v>0</v>
      </c>
      <c r="BU394" s="5">
        <v>0</v>
      </c>
      <c r="BV394" s="5">
        <v>0</v>
      </c>
      <c r="BW394" s="5">
        <v>0</v>
      </c>
      <c r="BX394" s="5">
        <v>0</v>
      </c>
      <c r="BZ394" s="5">
        <v>0</v>
      </c>
      <c r="CA394" s="5">
        <v>0</v>
      </c>
      <c r="CC394" s="5">
        <v>5</v>
      </c>
      <c r="CD394" s="5">
        <v>0</v>
      </c>
      <c r="CF394" s="1442" t="str">
        <f>IF([1]!sommaire[[#This Row],[présence des personnes déplacés interne]]="Oui","1","0")</f>
        <v>1</v>
      </c>
      <c r="CG394" s="1442" t="str">
        <f>IF([1]!sommaire[[#This Row],[présence Réfugié hors camp]]="Oui","1","0")</f>
        <v>0</v>
      </c>
      <c r="CH394" s="1442" t="str">
        <f>IF([1]!sommaire[[#This Row],[présence personnes retournées]]="Oui","1","0")</f>
        <v>1</v>
      </c>
      <c r="CI394" s="1442">
        <f>[1]!sommaire[[#This Row],[Flag PDI]]+[1]!sommaire[[#This Row],[Flag REF]]+[1]!sommaire[[#This Row],[Flag RET]]</f>
        <v>2</v>
      </c>
    </row>
    <row r="395" spans="1:87" ht="14.55" customHeight="1" x14ac:dyDescent="0.3">
      <c r="A395" s="390">
        <v>2690384</v>
      </c>
      <c r="B395" s="5" t="s">
        <v>533</v>
      </c>
      <c r="C395" s="1430" t="s">
        <v>3449</v>
      </c>
      <c r="D395" s="1090" t="s">
        <v>534</v>
      </c>
      <c r="E395" s="5" t="s">
        <v>31</v>
      </c>
      <c r="F395" s="5" t="s">
        <v>31</v>
      </c>
      <c r="G395" s="5" t="s">
        <v>549</v>
      </c>
      <c r="H395" s="5" t="s">
        <v>169</v>
      </c>
      <c r="I395" s="5" t="str">
        <f>_xlfn.XLOOKUP(sommaire[[#This Row],[Arrondissement_code]],OCHA_GIS!$F:$F,OCHA_GIS!$E:$E,,)</f>
        <v>Logone-Birni</v>
      </c>
      <c r="J395" s="5" t="s">
        <v>673</v>
      </c>
      <c r="K395" t="s">
        <v>2897</v>
      </c>
      <c r="L395" s="5" t="s">
        <v>1280</v>
      </c>
      <c r="N395" s="5" t="s">
        <v>3053</v>
      </c>
      <c r="O395" s="5" t="s">
        <v>2467</v>
      </c>
      <c r="P395" s="5" t="s">
        <v>85</v>
      </c>
      <c r="Q395" s="5" t="s">
        <v>86</v>
      </c>
      <c r="R395" s="5" t="s">
        <v>86</v>
      </c>
      <c r="T395" s="390">
        <v>3</v>
      </c>
      <c r="U395" s="5" t="s">
        <v>97</v>
      </c>
      <c r="W395" s="5" t="s">
        <v>2468</v>
      </c>
      <c r="X395" s="5" t="s">
        <v>102</v>
      </c>
      <c r="AA395" s="586" t="s">
        <v>85</v>
      </c>
      <c r="AB395" s="5" t="s">
        <v>2469</v>
      </c>
      <c r="AC395" s="5" t="s">
        <v>2470</v>
      </c>
      <c r="AD395" s="5" t="s">
        <v>86</v>
      </c>
      <c r="AF395" s="5">
        <v>10</v>
      </c>
      <c r="AG395" s="5">
        <v>1010</v>
      </c>
      <c r="AH395" s="5" t="s">
        <v>85</v>
      </c>
      <c r="AI395" s="5" t="s">
        <v>2471</v>
      </c>
      <c r="AJ395" s="5">
        <v>10</v>
      </c>
      <c r="AK395" s="5">
        <v>50</v>
      </c>
      <c r="AL395" s="5">
        <v>32</v>
      </c>
      <c r="AM395" s="5">
        <v>18</v>
      </c>
      <c r="AN395" s="5">
        <v>0</v>
      </c>
      <c r="AO395" s="5">
        <v>0</v>
      </c>
      <c r="AP395" s="5">
        <v>0</v>
      </c>
      <c r="AQ395" s="5">
        <v>0</v>
      </c>
      <c r="AT395" s="5">
        <v>0</v>
      </c>
      <c r="AU395" s="5">
        <v>10</v>
      </c>
      <c r="AV395" s="5" t="s">
        <v>2478</v>
      </c>
      <c r="AX395" s="5">
        <v>0</v>
      </c>
      <c r="AY395" s="5" t="s">
        <v>86</v>
      </c>
      <c r="BN395" s="5" t="s">
        <v>86</v>
      </c>
      <c r="CD395" s="5">
        <v>0</v>
      </c>
      <c r="CF395" s="1442" t="str">
        <f>IF([1]!sommaire[[#This Row],[présence des personnes déplacés interne]]="Oui","1","0")</f>
        <v>1</v>
      </c>
      <c r="CG395" s="1442" t="str">
        <f>IF([1]!sommaire[[#This Row],[présence Réfugié hors camp]]="Oui","1","0")</f>
        <v>0</v>
      </c>
      <c r="CH395" s="1442" t="str">
        <f>IF([1]!sommaire[[#This Row],[présence personnes retournées]]="Oui","1","0")</f>
        <v>0</v>
      </c>
      <c r="CI395" s="1442">
        <f>[1]!sommaire[[#This Row],[Flag PDI]]+[1]!sommaire[[#This Row],[Flag REF]]+[1]!sommaire[[#This Row],[Flag RET]]</f>
        <v>1</v>
      </c>
    </row>
    <row r="396" spans="1:87" ht="14.55" customHeight="1" x14ac:dyDescent="0.3">
      <c r="A396" s="390">
        <v>2690385</v>
      </c>
      <c r="B396" s="5" t="s">
        <v>533</v>
      </c>
      <c r="C396" s="1430" t="s">
        <v>3449</v>
      </c>
      <c r="D396" s="1090" t="s">
        <v>534</v>
      </c>
      <c r="E396" s="5" t="s">
        <v>31</v>
      </c>
      <c r="F396" s="5" t="s">
        <v>31</v>
      </c>
      <c r="G396" s="5" t="s">
        <v>549</v>
      </c>
      <c r="H396" s="5" t="s">
        <v>169</v>
      </c>
      <c r="I396" s="5" t="str">
        <f>_xlfn.XLOOKUP(sommaire[[#This Row],[Arrondissement_code]],OCHA_GIS!$F:$F,OCHA_GIS!$E:$E,,)</f>
        <v>Logone-Birni</v>
      </c>
      <c r="J396" s="5" t="s">
        <v>673</v>
      </c>
      <c r="K396" t="s">
        <v>2898</v>
      </c>
      <c r="L396" s="5" t="s">
        <v>2380</v>
      </c>
      <c r="N396" s="5" t="s">
        <v>3053</v>
      </c>
      <c r="O396" s="5" t="s">
        <v>2467</v>
      </c>
      <c r="P396" s="5" t="s">
        <v>85</v>
      </c>
      <c r="Q396" s="5" t="s">
        <v>86</v>
      </c>
      <c r="R396" s="5" t="s">
        <v>86</v>
      </c>
      <c r="T396" s="390">
        <v>3</v>
      </c>
      <c r="U396" s="5" t="s">
        <v>97</v>
      </c>
      <c r="W396" s="5" t="s">
        <v>2468</v>
      </c>
      <c r="X396" s="5" t="s">
        <v>102</v>
      </c>
      <c r="AA396" s="5" t="s">
        <v>86</v>
      </c>
      <c r="AH396" s="1430" t="s">
        <v>86</v>
      </c>
      <c r="AY396" s="1430" t="s">
        <v>86</v>
      </c>
      <c r="BN396" s="1430" t="s">
        <v>86</v>
      </c>
      <c r="CF396" s="1442" t="str">
        <f>IF([1]!sommaire[[#This Row],[présence des personnes déplacés interne]]="Oui","1","0")</f>
        <v>0</v>
      </c>
      <c r="CG396" s="1442" t="str">
        <f>IF([1]!sommaire[[#This Row],[présence Réfugié hors camp]]="Oui","1","0")</f>
        <v>0</v>
      </c>
      <c r="CH396" s="1442" t="str">
        <f>IF([1]!sommaire[[#This Row],[présence personnes retournées]]="Oui","1","0")</f>
        <v>0</v>
      </c>
      <c r="CI396" s="1442">
        <f>[1]!sommaire[[#This Row],[Flag PDI]]+[1]!sommaire[[#This Row],[Flag REF]]+[1]!sommaire[[#This Row],[Flag RET]]</f>
        <v>0</v>
      </c>
    </row>
    <row r="397" spans="1:87" ht="14.55" customHeight="1" x14ac:dyDescent="0.3">
      <c r="A397" s="390">
        <v>2659521</v>
      </c>
      <c r="B397" s="5" t="s">
        <v>533</v>
      </c>
      <c r="C397" s="1430" t="s">
        <v>3449</v>
      </c>
      <c r="D397" s="1090" t="s">
        <v>534</v>
      </c>
      <c r="E397" s="5" t="s">
        <v>31</v>
      </c>
      <c r="F397" s="5" t="s">
        <v>31</v>
      </c>
      <c r="G397" s="5" t="s">
        <v>549</v>
      </c>
      <c r="H397" s="5" t="s">
        <v>169</v>
      </c>
      <c r="I397" s="5" t="str">
        <f>_xlfn.XLOOKUP(sommaire[[#This Row],[Arrondissement_code]],OCHA_GIS!$F:$F,OCHA_GIS!$E:$E,,)</f>
        <v>Logone-Birni</v>
      </c>
      <c r="J397" s="5" t="s">
        <v>673</v>
      </c>
      <c r="K397" t="s">
        <v>1079</v>
      </c>
      <c r="L397" s="5" t="s">
        <v>1521</v>
      </c>
      <c r="N397" s="5" t="s">
        <v>3053</v>
      </c>
      <c r="O397" s="5" t="s">
        <v>2467</v>
      </c>
      <c r="P397" s="5" t="s">
        <v>85</v>
      </c>
      <c r="Q397" s="5" t="s">
        <v>86</v>
      </c>
      <c r="R397" s="5" t="s">
        <v>85</v>
      </c>
      <c r="T397" s="390">
        <v>4</v>
      </c>
      <c r="U397" s="5" t="s">
        <v>97</v>
      </c>
      <c r="W397" s="5" t="s">
        <v>2468</v>
      </c>
      <c r="X397" s="5" t="s">
        <v>102</v>
      </c>
      <c r="AA397" s="5" t="s">
        <v>85</v>
      </c>
      <c r="AB397" s="5" t="s">
        <v>2469</v>
      </c>
      <c r="AC397" s="5" t="s">
        <v>2470</v>
      </c>
      <c r="AD397" s="5" t="s">
        <v>86</v>
      </c>
      <c r="AF397" s="5">
        <v>33</v>
      </c>
      <c r="AG397" s="5">
        <v>892</v>
      </c>
      <c r="AH397" s="5" t="s">
        <v>85</v>
      </c>
      <c r="AI397" s="5" t="s">
        <v>2471</v>
      </c>
      <c r="AJ397" s="5">
        <v>33</v>
      </c>
      <c r="AK397" s="5">
        <v>209</v>
      </c>
      <c r="AL397" s="5">
        <v>113</v>
      </c>
      <c r="AM397" s="5">
        <v>96</v>
      </c>
      <c r="AN397" s="5">
        <v>0</v>
      </c>
      <c r="AO397" s="5">
        <v>33</v>
      </c>
      <c r="AP397" s="5">
        <v>0</v>
      </c>
      <c r="AQ397" s="5">
        <v>0</v>
      </c>
      <c r="AT397" s="5">
        <v>0</v>
      </c>
      <c r="AU397" s="5">
        <v>0</v>
      </c>
      <c r="AX397" s="5">
        <v>0</v>
      </c>
      <c r="AY397" s="5" t="s">
        <v>86</v>
      </c>
      <c r="BN397" s="5" t="s">
        <v>86</v>
      </c>
      <c r="CD397" s="5">
        <v>0</v>
      </c>
      <c r="CF397" s="1442" t="str">
        <f>IF([1]!sommaire[[#This Row],[présence des personnes déplacés interne]]="Oui","1","0")</f>
        <v>1</v>
      </c>
      <c r="CG397" s="1442" t="str">
        <f>IF([1]!sommaire[[#This Row],[présence Réfugié hors camp]]="Oui","1","0")</f>
        <v>0</v>
      </c>
      <c r="CH397" s="1442" t="str">
        <f>IF([1]!sommaire[[#This Row],[présence personnes retournées]]="Oui","1","0")</f>
        <v>0</v>
      </c>
      <c r="CI397" s="1442">
        <f>[1]!sommaire[[#This Row],[Flag PDI]]+[1]!sommaire[[#This Row],[Flag REF]]+[1]!sommaire[[#This Row],[Flag RET]]</f>
        <v>1</v>
      </c>
    </row>
    <row r="398" spans="1:87" ht="14.55" customHeight="1" x14ac:dyDescent="0.3">
      <c r="A398" s="390">
        <v>2680249</v>
      </c>
      <c r="B398" s="5" t="s">
        <v>533</v>
      </c>
      <c r="C398" s="1430" t="s">
        <v>3449</v>
      </c>
      <c r="D398" s="1090" t="s">
        <v>534</v>
      </c>
      <c r="E398" s="5" t="s">
        <v>31</v>
      </c>
      <c r="F398" s="5" t="s">
        <v>31</v>
      </c>
      <c r="G398" s="5" t="s">
        <v>549</v>
      </c>
      <c r="H398" s="5" t="s">
        <v>169</v>
      </c>
      <c r="I398" s="5" t="str">
        <f>_xlfn.XLOOKUP(sommaire[[#This Row],[Arrondissement_code]],OCHA_GIS!$F:$F,OCHA_GIS!$E:$E,,)</f>
        <v>Logone-Birni</v>
      </c>
      <c r="J398" s="5" t="s">
        <v>673</v>
      </c>
      <c r="K398" t="s">
        <v>2903</v>
      </c>
      <c r="L398" s="5" t="s">
        <v>1465</v>
      </c>
      <c r="N398" s="5" t="s">
        <v>3053</v>
      </c>
      <c r="O398" s="5" t="s">
        <v>2467</v>
      </c>
      <c r="P398" s="5" t="s">
        <v>85</v>
      </c>
      <c r="Q398" s="5" t="s">
        <v>86</v>
      </c>
      <c r="R398" s="5" t="s">
        <v>86</v>
      </c>
      <c r="T398" s="390">
        <v>3</v>
      </c>
      <c r="U398" s="5" t="s">
        <v>97</v>
      </c>
      <c r="W398" s="5" t="s">
        <v>2468</v>
      </c>
      <c r="X398" s="5" t="s">
        <v>102</v>
      </c>
      <c r="AA398" s="5" t="s">
        <v>85</v>
      </c>
      <c r="AB398" s="5" t="s">
        <v>2469</v>
      </c>
      <c r="AC398" s="5" t="s">
        <v>2470</v>
      </c>
      <c r="AD398" s="5" t="s">
        <v>86</v>
      </c>
      <c r="AF398" s="5">
        <v>30</v>
      </c>
      <c r="AG398" s="5">
        <v>3010</v>
      </c>
      <c r="AH398" s="5" t="s">
        <v>85</v>
      </c>
      <c r="AI398" s="5" t="s">
        <v>2471</v>
      </c>
      <c r="AJ398" s="5">
        <v>30</v>
      </c>
      <c r="AK398" s="5">
        <v>150</v>
      </c>
      <c r="AL398" s="5">
        <v>80</v>
      </c>
      <c r="AM398" s="5">
        <v>70</v>
      </c>
      <c r="AN398" s="5">
        <v>0</v>
      </c>
      <c r="AO398" s="5">
        <v>30</v>
      </c>
      <c r="AP398" s="5">
        <v>0</v>
      </c>
      <c r="AQ398" s="5">
        <v>0</v>
      </c>
      <c r="AT398" s="5">
        <v>0</v>
      </c>
      <c r="AU398" s="5">
        <v>0</v>
      </c>
      <c r="AX398" s="5">
        <v>0</v>
      </c>
      <c r="AY398" s="5" t="s">
        <v>86</v>
      </c>
      <c r="BN398" s="5" t="s">
        <v>86</v>
      </c>
      <c r="CD398" s="5">
        <v>0</v>
      </c>
      <c r="CF398" s="1442" t="str">
        <f>IF([1]!sommaire[[#This Row],[présence des personnes déplacés interne]]="Oui","1","0")</f>
        <v>1</v>
      </c>
      <c r="CG398" s="1442" t="str">
        <f>IF([1]!sommaire[[#This Row],[présence Réfugié hors camp]]="Oui","1","0")</f>
        <v>0</v>
      </c>
      <c r="CH398" s="1442" t="str">
        <f>IF([1]!sommaire[[#This Row],[présence personnes retournées]]="Oui","1","0")</f>
        <v>0</v>
      </c>
      <c r="CI398" s="1442">
        <f>[1]!sommaire[[#This Row],[Flag PDI]]+[1]!sommaire[[#This Row],[Flag REF]]+[1]!sommaire[[#This Row],[Flag RET]]</f>
        <v>1</v>
      </c>
    </row>
    <row r="399" spans="1:87" ht="14.55" customHeight="1" x14ac:dyDescent="0.3">
      <c r="A399" s="390">
        <v>2659524</v>
      </c>
      <c r="B399" s="5" t="s">
        <v>533</v>
      </c>
      <c r="C399" s="1430" t="s">
        <v>3449</v>
      </c>
      <c r="D399" s="1090" t="s">
        <v>534</v>
      </c>
      <c r="E399" s="5" t="s">
        <v>31</v>
      </c>
      <c r="F399" s="5" t="s">
        <v>31</v>
      </c>
      <c r="G399" s="5" t="s">
        <v>549</v>
      </c>
      <c r="H399" s="5" t="s">
        <v>169</v>
      </c>
      <c r="I399" s="5" t="str">
        <f>_xlfn.XLOOKUP(sommaire[[#This Row],[Arrondissement_code]],OCHA_GIS!$F:$F,OCHA_GIS!$E:$E,,)</f>
        <v>Logone-Birni</v>
      </c>
      <c r="J399" s="5" t="s">
        <v>673</v>
      </c>
      <c r="K399" t="s">
        <v>2568</v>
      </c>
      <c r="L399" s="5" t="s">
        <v>1523</v>
      </c>
      <c r="N399" s="5" t="s">
        <v>3053</v>
      </c>
      <c r="O399" s="5" t="s">
        <v>2467</v>
      </c>
      <c r="P399" s="5" t="s">
        <v>85</v>
      </c>
      <c r="Q399" s="5" t="s">
        <v>86</v>
      </c>
      <c r="R399" s="5" t="s">
        <v>86</v>
      </c>
      <c r="T399" s="390">
        <v>4</v>
      </c>
      <c r="U399" s="5" t="s">
        <v>97</v>
      </c>
      <c r="W399" s="5" t="s">
        <v>2468</v>
      </c>
      <c r="X399" s="5" t="s">
        <v>102</v>
      </c>
      <c r="AA399" s="5" t="s">
        <v>85</v>
      </c>
      <c r="AB399" s="5" t="s">
        <v>2469</v>
      </c>
      <c r="AC399" s="5" t="s">
        <v>2470</v>
      </c>
      <c r="AD399" s="5" t="s">
        <v>86</v>
      </c>
      <c r="AF399" s="5">
        <v>34</v>
      </c>
      <c r="AG399" s="5">
        <v>853</v>
      </c>
      <c r="AH399" s="5" t="s">
        <v>85</v>
      </c>
      <c r="AI399" s="5" t="s">
        <v>2471</v>
      </c>
      <c r="AJ399" s="5">
        <v>34</v>
      </c>
      <c r="AK399" s="5">
        <v>139</v>
      </c>
      <c r="AL399" s="5">
        <v>74</v>
      </c>
      <c r="AM399" s="5">
        <v>65</v>
      </c>
      <c r="AN399" s="5">
        <v>0</v>
      </c>
      <c r="AO399" s="5">
        <v>34</v>
      </c>
      <c r="AP399" s="5">
        <v>0</v>
      </c>
      <c r="AQ399" s="5">
        <v>0</v>
      </c>
      <c r="AT399" s="5">
        <v>0</v>
      </c>
      <c r="AU399" s="5">
        <v>0</v>
      </c>
      <c r="AX399" s="5">
        <v>0</v>
      </c>
      <c r="AY399" s="5" t="s">
        <v>86</v>
      </c>
      <c r="BN399" s="5" t="s">
        <v>86</v>
      </c>
      <c r="CD399" s="5">
        <v>0</v>
      </c>
      <c r="CF399" s="1442" t="str">
        <f>IF([1]!sommaire[[#This Row],[présence des personnes déplacés interne]]="Oui","1","0")</f>
        <v>1</v>
      </c>
      <c r="CG399" s="1442" t="str">
        <f>IF([1]!sommaire[[#This Row],[présence Réfugié hors camp]]="Oui","1","0")</f>
        <v>0</v>
      </c>
      <c r="CH399" s="1442" t="str">
        <f>IF([1]!sommaire[[#This Row],[présence personnes retournées]]="Oui","1","0")</f>
        <v>0</v>
      </c>
      <c r="CI399" s="1442">
        <f>[1]!sommaire[[#This Row],[Flag PDI]]+[1]!sommaire[[#This Row],[Flag REF]]+[1]!sommaire[[#This Row],[Flag RET]]</f>
        <v>1</v>
      </c>
    </row>
    <row r="400" spans="1:87" ht="14.55" customHeight="1" x14ac:dyDescent="0.3">
      <c r="A400" s="390">
        <v>2706285</v>
      </c>
      <c r="B400" s="5" t="s">
        <v>533</v>
      </c>
      <c r="C400" s="1430" t="s">
        <v>3449</v>
      </c>
      <c r="D400" s="1090" t="s">
        <v>534</v>
      </c>
      <c r="E400" s="5" t="s">
        <v>31</v>
      </c>
      <c r="F400" s="5" t="s">
        <v>31</v>
      </c>
      <c r="G400" s="5" t="s">
        <v>549</v>
      </c>
      <c r="H400" s="5" t="s">
        <v>169</v>
      </c>
      <c r="I400" s="5" t="str">
        <f>_xlfn.XLOOKUP(sommaire[[#This Row],[Arrondissement_code]],OCHA_GIS!$F:$F,OCHA_GIS!$E:$E,,)</f>
        <v>Logone-Birni</v>
      </c>
      <c r="J400" s="5" t="s">
        <v>673</v>
      </c>
      <c r="K400" t="s">
        <v>1552</v>
      </c>
      <c r="L400" s="5" t="s">
        <v>1642</v>
      </c>
      <c r="N400" s="5" t="s">
        <v>3053</v>
      </c>
      <c r="O400" s="5" t="s">
        <v>2467</v>
      </c>
      <c r="P400" s="5" t="s">
        <v>85</v>
      </c>
      <c r="Q400" s="5" t="s">
        <v>86</v>
      </c>
      <c r="R400" s="5" t="s">
        <v>86</v>
      </c>
      <c r="T400" s="390">
        <v>3</v>
      </c>
      <c r="U400" s="5" t="s">
        <v>97</v>
      </c>
      <c r="W400" s="5" t="s">
        <v>2468</v>
      </c>
      <c r="X400" s="1090" t="s">
        <v>102</v>
      </c>
      <c r="AA400" s="1090" t="s">
        <v>85</v>
      </c>
      <c r="AB400" s="5" t="s">
        <v>2469</v>
      </c>
      <c r="AC400" s="5" t="s">
        <v>2470</v>
      </c>
      <c r="AD400" s="1090" t="s">
        <v>86</v>
      </c>
      <c r="AF400" s="5">
        <v>85</v>
      </c>
      <c r="AG400" s="5">
        <v>1060</v>
      </c>
      <c r="AH400" s="5" t="s">
        <v>85</v>
      </c>
      <c r="AI400" s="5" t="s">
        <v>2471</v>
      </c>
      <c r="AJ400" s="5">
        <v>85</v>
      </c>
      <c r="AK400" s="5">
        <v>354</v>
      </c>
      <c r="AL400" s="5">
        <v>150</v>
      </c>
      <c r="AM400" s="5">
        <v>204</v>
      </c>
      <c r="AN400" s="5">
        <v>0</v>
      </c>
      <c r="AO400" s="5">
        <v>85</v>
      </c>
      <c r="AP400" s="5">
        <v>0</v>
      </c>
      <c r="AQ400" s="5">
        <v>0</v>
      </c>
      <c r="AT400" s="5">
        <v>0</v>
      </c>
      <c r="AU400" s="5">
        <v>0</v>
      </c>
      <c r="AX400" s="5">
        <v>0</v>
      </c>
      <c r="AY400" s="1090" t="s">
        <v>86</v>
      </c>
      <c r="BN400" s="1090" t="s">
        <v>85</v>
      </c>
      <c r="BO400" s="5">
        <v>75</v>
      </c>
      <c r="BP400" s="5">
        <v>395</v>
      </c>
      <c r="BQ400" s="5">
        <v>170</v>
      </c>
      <c r="BR400" s="5">
        <v>225</v>
      </c>
      <c r="BS400" s="5" t="s">
        <v>2484</v>
      </c>
      <c r="BT400" s="5">
        <v>3</v>
      </c>
      <c r="BU400" s="5">
        <v>72</v>
      </c>
      <c r="BV400" s="5">
        <v>0</v>
      </c>
      <c r="BW400" s="5">
        <v>0</v>
      </c>
      <c r="BX400" s="5">
        <v>0</v>
      </c>
      <c r="BZ400" s="5">
        <v>0</v>
      </c>
      <c r="CA400" s="5">
        <v>0</v>
      </c>
      <c r="CC400" s="5">
        <v>0</v>
      </c>
      <c r="CD400" s="5">
        <v>0</v>
      </c>
      <c r="CF400" s="1442" t="str">
        <f>IF([1]!sommaire[[#This Row],[présence des personnes déplacés interne]]="Oui","1","0")</f>
        <v>1</v>
      </c>
      <c r="CG400" s="1442" t="str">
        <f>IF([1]!sommaire[[#This Row],[présence Réfugié hors camp]]="Oui","1","0")</f>
        <v>0</v>
      </c>
      <c r="CH400" s="1442" t="str">
        <f>IF([1]!sommaire[[#This Row],[présence personnes retournées]]="Oui","1","0")</f>
        <v>1</v>
      </c>
      <c r="CI400" s="1442">
        <f>[1]!sommaire[[#This Row],[Flag PDI]]+[1]!sommaire[[#This Row],[Flag REF]]+[1]!sommaire[[#This Row],[Flag RET]]</f>
        <v>2</v>
      </c>
    </row>
    <row r="401" spans="1:87" ht="14.55" customHeight="1" x14ac:dyDescent="0.3">
      <c r="A401" s="390">
        <v>2621516</v>
      </c>
      <c r="B401" s="5" t="s">
        <v>533</v>
      </c>
      <c r="C401" s="1430" t="s">
        <v>3449</v>
      </c>
      <c r="D401" s="5" t="s">
        <v>534</v>
      </c>
      <c r="E401" s="5" t="s">
        <v>31</v>
      </c>
      <c r="F401" s="5" t="s">
        <v>31</v>
      </c>
      <c r="G401" s="5" t="s">
        <v>549</v>
      </c>
      <c r="H401" s="5" t="s">
        <v>169</v>
      </c>
      <c r="I401" s="5" t="str">
        <f>_xlfn.XLOOKUP(sommaire[[#This Row],[Arrondissement_code]],OCHA_GIS!$F:$F,OCHA_GIS!$E:$E,,)</f>
        <v>Logone-Birni</v>
      </c>
      <c r="J401" s="5" t="s">
        <v>673</v>
      </c>
      <c r="K401" t="s">
        <v>2977</v>
      </c>
      <c r="L401" s="5" t="s">
        <v>2332</v>
      </c>
      <c r="N401" s="5" t="s">
        <v>3053</v>
      </c>
      <c r="O401" s="5" t="s">
        <v>2467</v>
      </c>
      <c r="P401" s="5" t="s">
        <v>85</v>
      </c>
      <c r="Q401" s="5" t="s">
        <v>86</v>
      </c>
      <c r="R401" s="5" t="s">
        <v>85</v>
      </c>
      <c r="T401" s="390">
        <v>3</v>
      </c>
      <c r="U401" s="5" t="s">
        <v>97</v>
      </c>
      <c r="W401" s="5" t="s">
        <v>2468</v>
      </c>
      <c r="X401" s="5" t="s">
        <v>103</v>
      </c>
      <c r="Y401" s="5" t="s">
        <v>2476</v>
      </c>
      <c r="AA401" s="5" t="s">
        <v>85</v>
      </c>
      <c r="AB401" s="5" t="s">
        <v>2473</v>
      </c>
      <c r="AC401" s="5" t="s">
        <v>2470</v>
      </c>
      <c r="AD401" s="5" t="s">
        <v>85</v>
      </c>
      <c r="AE401" s="5">
        <v>1</v>
      </c>
      <c r="AG401" s="5">
        <v>1300</v>
      </c>
      <c r="AH401" s="5" t="s">
        <v>86</v>
      </c>
      <c r="AY401" s="5" t="s">
        <v>85</v>
      </c>
      <c r="AZ401" s="5">
        <v>200</v>
      </c>
      <c r="BA401" s="5">
        <v>1050</v>
      </c>
      <c r="BB401" s="5">
        <v>700</v>
      </c>
      <c r="BC401" s="5">
        <v>350</v>
      </c>
      <c r="BD401" s="5">
        <v>0</v>
      </c>
      <c r="BE401" s="5">
        <v>0</v>
      </c>
      <c r="BF401" s="5">
        <v>0</v>
      </c>
      <c r="BH401" s="5">
        <v>0</v>
      </c>
      <c r="BI401" s="5">
        <v>200</v>
      </c>
      <c r="BJ401" s="5" t="s">
        <v>2490</v>
      </c>
      <c r="BL401" s="5">
        <v>0</v>
      </c>
      <c r="BM401" s="5">
        <v>150</v>
      </c>
      <c r="BN401" s="5" t="s">
        <v>86</v>
      </c>
      <c r="CD401" s="5">
        <v>0</v>
      </c>
      <c r="CF401" s="1442" t="str">
        <f>IF([1]!sommaire[[#This Row],[présence des personnes déplacés interne]]="Oui","1","0")</f>
        <v>0</v>
      </c>
      <c r="CG401" s="1442" t="str">
        <f>IF([1]!sommaire[[#This Row],[présence Réfugié hors camp]]="Oui","1","0")</f>
        <v>1</v>
      </c>
      <c r="CH401" s="1442" t="str">
        <f>IF([1]!sommaire[[#This Row],[présence personnes retournées]]="Oui","1","0")</f>
        <v>0</v>
      </c>
      <c r="CI401" s="1442">
        <f>[1]!sommaire[[#This Row],[Flag PDI]]+[1]!sommaire[[#This Row],[Flag REF]]+[1]!sommaire[[#This Row],[Flag RET]]</f>
        <v>1</v>
      </c>
    </row>
    <row r="402" spans="1:87" ht="14.55" customHeight="1" x14ac:dyDescent="0.3">
      <c r="A402" s="390">
        <v>2613511</v>
      </c>
      <c r="B402" s="5" t="s">
        <v>533</v>
      </c>
      <c r="C402" s="1430" t="s">
        <v>3449</v>
      </c>
      <c r="D402" s="1090" t="s">
        <v>534</v>
      </c>
      <c r="E402" s="5" t="s">
        <v>31</v>
      </c>
      <c r="F402" s="5" t="s">
        <v>31</v>
      </c>
      <c r="G402" s="5" t="s">
        <v>549</v>
      </c>
      <c r="H402" s="5" t="s">
        <v>169</v>
      </c>
      <c r="I402" s="5" t="str">
        <f>_xlfn.XLOOKUP(sommaire[[#This Row],[Arrondissement_code]],OCHA_GIS!$F:$F,OCHA_GIS!$E:$E,,)</f>
        <v>Logone-Birni</v>
      </c>
      <c r="J402" s="5" t="s">
        <v>673</v>
      </c>
      <c r="K402" t="s">
        <v>2905</v>
      </c>
      <c r="L402" s="5" t="s">
        <v>1134</v>
      </c>
      <c r="N402" s="5" t="s">
        <v>3053</v>
      </c>
      <c r="O402" s="5" t="s">
        <v>2467</v>
      </c>
      <c r="P402" s="5" t="s">
        <v>85</v>
      </c>
      <c r="Q402" s="5" t="s">
        <v>86</v>
      </c>
      <c r="R402" s="5" t="s">
        <v>86</v>
      </c>
      <c r="T402" s="390">
        <v>3</v>
      </c>
      <c r="U402" s="5" t="s">
        <v>97</v>
      </c>
      <c r="W402" s="5" t="s">
        <v>2468</v>
      </c>
      <c r="X402" s="5" t="s">
        <v>102</v>
      </c>
      <c r="AA402" s="5" t="s">
        <v>85</v>
      </c>
      <c r="AB402" s="5" t="s">
        <v>2469</v>
      </c>
      <c r="AC402" s="5" t="s">
        <v>2470</v>
      </c>
      <c r="AD402" s="5" t="s">
        <v>86</v>
      </c>
      <c r="AF402" s="5">
        <v>116</v>
      </c>
      <c r="AG402" s="5">
        <v>3442</v>
      </c>
      <c r="AH402" s="5" t="s">
        <v>85</v>
      </c>
      <c r="AI402" s="5" t="s">
        <v>2471</v>
      </c>
      <c r="AJ402" s="5">
        <v>116</v>
      </c>
      <c r="AK402" s="5">
        <v>778</v>
      </c>
      <c r="AL402" s="5">
        <v>387</v>
      </c>
      <c r="AM402" s="5">
        <v>391</v>
      </c>
      <c r="AN402" s="5">
        <v>0</v>
      </c>
      <c r="AO402" s="5">
        <v>116</v>
      </c>
      <c r="AP402" s="5">
        <v>0</v>
      </c>
      <c r="AQ402" s="5">
        <v>0</v>
      </c>
      <c r="AT402" s="5">
        <v>0</v>
      </c>
      <c r="AU402" s="5">
        <v>0</v>
      </c>
      <c r="AX402" s="5">
        <v>0</v>
      </c>
      <c r="AY402" s="5" t="s">
        <v>85</v>
      </c>
      <c r="AZ402" s="5">
        <v>57</v>
      </c>
      <c r="BA402" s="5">
        <v>349</v>
      </c>
      <c r="BB402" s="5">
        <v>172</v>
      </c>
      <c r="BC402" s="5">
        <v>177</v>
      </c>
      <c r="BD402" s="5">
        <v>57</v>
      </c>
      <c r="BE402" s="5">
        <v>0</v>
      </c>
      <c r="BF402" s="5">
        <v>0</v>
      </c>
      <c r="BH402" s="5">
        <v>0</v>
      </c>
      <c r="BI402" s="5">
        <v>0</v>
      </c>
      <c r="BL402" s="5">
        <v>0</v>
      </c>
      <c r="BM402" s="5">
        <v>0</v>
      </c>
      <c r="BN402" s="5" t="s">
        <v>86</v>
      </c>
      <c r="CD402" s="5">
        <v>0</v>
      </c>
      <c r="CF402" s="1442" t="str">
        <f>IF([1]!sommaire[[#This Row],[présence des personnes déplacés interne]]="Oui","1","0")</f>
        <v>1</v>
      </c>
      <c r="CG402" s="1442" t="str">
        <f>IF([1]!sommaire[[#This Row],[présence Réfugié hors camp]]="Oui","1","0")</f>
        <v>1</v>
      </c>
      <c r="CH402" s="1442" t="str">
        <f>IF([1]!sommaire[[#This Row],[présence personnes retournées]]="Oui","1","0")</f>
        <v>0</v>
      </c>
      <c r="CI402" s="1442">
        <f>[1]!sommaire[[#This Row],[Flag PDI]]+[1]!sommaire[[#This Row],[Flag REF]]+[1]!sommaire[[#This Row],[Flag RET]]</f>
        <v>2</v>
      </c>
    </row>
    <row r="403" spans="1:87" ht="14.55" customHeight="1" x14ac:dyDescent="0.3">
      <c r="A403" s="390">
        <v>2690388</v>
      </c>
      <c r="B403" s="5" t="s">
        <v>533</v>
      </c>
      <c r="C403" s="1430" t="s">
        <v>3449</v>
      </c>
      <c r="D403" s="1090" t="s">
        <v>534</v>
      </c>
      <c r="E403" s="5" t="s">
        <v>31</v>
      </c>
      <c r="F403" s="5" t="s">
        <v>31</v>
      </c>
      <c r="G403" s="5" t="s">
        <v>549</v>
      </c>
      <c r="H403" s="5" t="s">
        <v>169</v>
      </c>
      <c r="I403" s="5" t="str">
        <f>_xlfn.XLOOKUP(sommaire[[#This Row],[Arrondissement_code]],OCHA_GIS!$F:$F,OCHA_GIS!$E:$E,,)</f>
        <v>Logone-Birni</v>
      </c>
      <c r="J403" s="5" t="s">
        <v>673</v>
      </c>
      <c r="K403" t="s">
        <v>1450</v>
      </c>
      <c r="L403" s="5" t="s">
        <v>1648</v>
      </c>
      <c r="N403" s="5" t="s">
        <v>3053</v>
      </c>
      <c r="O403" s="5" t="s">
        <v>2467</v>
      </c>
      <c r="P403" s="5" t="s">
        <v>85</v>
      </c>
      <c r="Q403" s="5" t="s">
        <v>86</v>
      </c>
      <c r="R403" s="5" t="s">
        <v>86</v>
      </c>
      <c r="T403" s="390">
        <v>3</v>
      </c>
      <c r="U403" s="5" t="s">
        <v>97</v>
      </c>
      <c r="W403" s="5" t="s">
        <v>2468</v>
      </c>
      <c r="X403" s="5" t="s">
        <v>102</v>
      </c>
      <c r="AA403" s="5" t="s">
        <v>85</v>
      </c>
      <c r="AB403" s="5" t="s">
        <v>2469</v>
      </c>
      <c r="AC403" s="5" t="s">
        <v>2470</v>
      </c>
      <c r="AD403" s="5" t="s">
        <v>86</v>
      </c>
      <c r="AF403" s="5">
        <v>210</v>
      </c>
      <c r="AG403" s="5">
        <v>2505</v>
      </c>
      <c r="AH403" s="5" t="s">
        <v>85</v>
      </c>
      <c r="AI403" s="5" t="s">
        <v>2471</v>
      </c>
      <c r="AJ403" s="5">
        <v>210</v>
      </c>
      <c r="AK403" s="5">
        <v>1087</v>
      </c>
      <c r="AL403" s="5">
        <v>509</v>
      </c>
      <c r="AM403" s="5">
        <v>578</v>
      </c>
      <c r="AN403" s="5">
        <v>0</v>
      </c>
      <c r="AO403" s="5">
        <v>0</v>
      </c>
      <c r="AP403" s="5">
        <v>0</v>
      </c>
      <c r="AQ403" s="5">
        <v>0</v>
      </c>
      <c r="AT403" s="5">
        <v>0</v>
      </c>
      <c r="AU403" s="5">
        <v>210</v>
      </c>
      <c r="AV403" s="5" t="s">
        <v>2478</v>
      </c>
      <c r="AX403" s="5">
        <v>0</v>
      </c>
      <c r="AY403" s="5" t="s">
        <v>86</v>
      </c>
      <c r="BN403" s="5" t="s">
        <v>86</v>
      </c>
      <c r="CD403" s="5">
        <v>0</v>
      </c>
      <c r="CF403" s="1442" t="str">
        <f>IF([1]!sommaire[[#This Row],[présence des personnes déplacés interne]]="Oui","1","0")</f>
        <v>1</v>
      </c>
      <c r="CG403" s="1442" t="str">
        <f>IF([1]!sommaire[[#This Row],[présence Réfugié hors camp]]="Oui","1","0")</f>
        <v>0</v>
      </c>
      <c r="CH403" s="1442" t="str">
        <f>IF([1]!sommaire[[#This Row],[présence personnes retournées]]="Oui","1","0")</f>
        <v>0</v>
      </c>
      <c r="CI403" s="1442">
        <f>[1]!sommaire[[#This Row],[Flag PDI]]+[1]!sommaire[[#This Row],[Flag REF]]+[1]!sommaire[[#This Row],[Flag RET]]</f>
        <v>1</v>
      </c>
    </row>
    <row r="404" spans="1:87" ht="14.55" customHeight="1" x14ac:dyDescent="0.3">
      <c r="A404" s="390">
        <v>2663641</v>
      </c>
      <c r="B404" s="5" t="s">
        <v>533</v>
      </c>
      <c r="C404" s="1430" t="s">
        <v>3449</v>
      </c>
      <c r="D404" s="1090" t="s">
        <v>534</v>
      </c>
      <c r="E404" s="5" t="s">
        <v>31</v>
      </c>
      <c r="F404" s="5" t="s">
        <v>31</v>
      </c>
      <c r="G404" s="5" t="s">
        <v>549</v>
      </c>
      <c r="H404" s="5" t="s">
        <v>169</v>
      </c>
      <c r="I404" s="5" t="str">
        <f>_xlfn.XLOOKUP(sommaire[[#This Row],[Arrondissement_code]],OCHA_GIS!$F:$F,OCHA_GIS!$E:$E,,)</f>
        <v>Logone-Birni</v>
      </c>
      <c r="J404" s="5" t="s">
        <v>673</v>
      </c>
      <c r="K404" t="s">
        <v>3209</v>
      </c>
      <c r="L404" s="5" t="s">
        <v>3085</v>
      </c>
      <c r="N404" s="5" t="s">
        <v>3053</v>
      </c>
      <c r="O404" s="5" t="s">
        <v>2467</v>
      </c>
      <c r="P404" s="5" t="s">
        <v>85</v>
      </c>
      <c r="Q404" s="5" t="s">
        <v>86</v>
      </c>
      <c r="R404" s="5" t="s">
        <v>85</v>
      </c>
      <c r="T404" s="390">
        <v>4</v>
      </c>
      <c r="U404" s="5" t="s">
        <v>97</v>
      </c>
      <c r="W404" s="5" t="s">
        <v>2468</v>
      </c>
      <c r="X404" s="1090" t="s">
        <v>101</v>
      </c>
      <c r="Y404" s="5" t="s">
        <v>274</v>
      </c>
      <c r="AA404" s="1090" t="s">
        <v>85</v>
      </c>
      <c r="AB404" s="5" t="s">
        <v>2469</v>
      </c>
      <c r="AC404" s="5" t="s">
        <v>2470</v>
      </c>
      <c r="AD404" s="5" t="s">
        <v>86</v>
      </c>
      <c r="AG404" s="5">
        <v>251</v>
      </c>
      <c r="AH404" s="5" t="s">
        <v>86</v>
      </c>
      <c r="AY404" s="1090" t="s">
        <v>86</v>
      </c>
      <c r="BN404" s="1090" t="s">
        <v>85</v>
      </c>
      <c r="BO404" s="5">
        <v>47</v>
      </c>
      <c r="BP404" s="5">
        <v>211</v>
      </c>
      <c r="BQ404" s="5">
        <v>103</v>
      </c>
      <c r="BR404" s="5">
        <v>108</v>
      </c>
      <c r="BS404" s="5" t="s">
        <v>2492</v>
      </c>
      <c r="BT404" s="5">
        <v>0</v>
      </c>
      <c r="BU404" s="5">
        <v>47</v>
      </c>
      <c r="BV404" s="5">
        <v>0</v>
      </c>
      <c r="BW404" s="5">
        <v>0</v>
      </c>
      <c r="BX404" s="5">
        <v>0</v>
      </c>
      <c r="BZ404" s="5">
        <v>0</v>
      </c>
      <c r="CA404" s="5">
        <v>0</v>
      </c>
      <c r="CC404" s="5">
        <v>0</v>
      </c>
      <c r="CD404" s="5">
        <v>0</v>
      </c>
      <c r="CF404" s="1442" t="str">
        <f>IF([1]!sommaire[[#This Row],[présence des personnes déplacés interne]]="Oui","1","0")</f>
        <v>0</v>
      </c>
      <c r="CG404" s="1442" t="str">
        <f>IF([1]!sommaire[[#This Row],[présence Réfugié hors camp]]="Oui","1","0")</f>
        <v>0</v>
      </c>
      <c r="CH404" s="1442" t="str">
        <f>IF([1]!sommaire[[#This Row],[présence personnes retournées]]="Oui","1","0")</f>
        <v>1</v>
      </c>
      <c r="CI404" s="1442">
        <f>[1]!sommaire[[#This Row],[Flag PDI]]+[1]!sommaire[[#This Row],[Flag REF]]+[1]!sommaire[[#This Row],[Flag RET]]</f>
        <v>1</v>
      </c>
    </row>
    <row r="405" spans="1:87" ht="14.55" customHeight="1" x14ac:dyDescent="0.3">
      <c r="A405" s="390">
        <v>2663642</v>
      </c>
      <c r="B405" s="5" t="s">
        <v>533</v>
      </c>
      <c r="C405" s="1430" t="s">
        <v>3449</v>
      </c>
      <c r="D405" s="1090" t="s">
        <v>534</v>
      </c>
      <c r="E405" s="5" t="s">
        <v>31</v>
      </c>
      <c r="F405" s="5" t="s">
        <v>31</v>
      </c>
      <c r="G405" s="5" t="s">
        <v>549</v>
      </c>
      <c r="H405" s="5" t="s">
        <v>169</v>
      </c>
      <c r="I405" s="5" t="str">
        <f>_xlfn.XLOOKUP(sommaire[[#This Row],[Arrondissement_code]],OCHA_GIS!$F:$F,OCHA_GIS!$E:$E,,)</f>
        <v>Logone-Birni</v>
      </c>
      <c r="J405" s="5" t="s">
        <v>673</v>
      </c>
      <c r="K405" t="s">
        <v>3210</v>
      </c>
      <c r="L405" s="5" t="s">
        <v>3086</v>
      </c>
      <c r="N405" s="5" t="s">
        <v>3053</v>
      </c>
      <c r="O405" s="5" t="s">
        <v>2467</v>
      </c>
      <c r="P405" s="5" t="s">
        <v>85</v>
      </c>
      <c r="Q405" s="5" t="s">
        <v>86</v>
      </c>
      <c r="R405" s="5" t="s">
        <v>85</v>
      </c>
      <c r="T405" s="390">
        <v>3</v>
      </c>
      <c r="U405" s="5" t="s">
        <v>97</v>
      </c>
      <c r="W405" s="5" t="s">
        <v>2468</v>
      </c>
      <c r="X405" s="5" t="s">
        <v>101</v>
      </c>
      <c r="Y405" s="5" t="s">
        <v>274</v>
      </c>
      <c r="AA405" s="5" t="s">
        <v>85</v>
      </c>
      <c r="AB405" s="5" t="s">
        <v>2469</v>
      </c>
      <c r="AC405" s="5" t="s">
        <v>2470</v>
      </c>
      <c r="AD405" s="5" t="s">
        <v>86</v>
      </c>
      <c r="AG405" s="5">
        <v>206</v>
      </c>
      <c r="AH405" s="5" t="s">
        <v>86</v>
      </c>
      <c r="AY405" s="5" t="s">
        <v>86</v>
      </c>
      <c r="BN405" s="5" t="s">
        <v>85</v>
      </c>
      <c r="BO405" s="5">
        <v>46</v>
      </c>
      <c r="BP405" s="5">
        <v>206</v>
      </c>
      <c r="BQ405" s="5">
        <v>100</v>
      </c>
      <c r="BR405" s="5">
        <v>106</v>
      </c>
      <c r="BS405" s="5" t="s">
        <v>2492</v>
      </c>
      <c r="BT405" s="5">
        <v>0</v>
      </c>
      <c r="BU405" s="5">
        <v>46</v>
      </c>
      <c r="BV405" s="5">
        <v>0</v>
      </c>
      <c r="BW405" s="5">
        <v>0</v>
      </c>
      <c r="BX405" s="5">
        <v>0</v>
      </c>
      <c r="BZ405" s="5">
        <v>0</v>
      </c>
      <c r="CA405" s="5">
        <v>0</v>
      </c>
      <c r="CC405" s="5">
        <v>0</v>
      </c>
      <c r="CD405" s="5">
        <v>0</v>
      </c>
      <c r="CF405" s="1442" t="str">
        <f>IF([1]!sommaire[[#This Row],[présence des personnes déplacés interne]]="Oui","1","0")</f>
        <v>0</v>
      </c>
      <c r="CG405" s="1442" t="str">
        <f>IF([1]!sommaire[[#This Row],[présence Réfugié hors camp]]="Oui","1","0")</f>
        <v>0</v>
      </c>
      <c r="CH405" s="1442" t="str">
        <f>IF([1]!sommaire[[#This Row],[présence personnes retournées]]="Oui","1","0")</f>
        <v>1</v>
      </c>
      <c r="CI405" s="1442">
        <f>[1]!sommaire[[#This Row],[Flag PDI]]+[1]!sommaire[[#This Row],[Flag REF]]+[1]!sommaire[[#This Row],[Flag RET]]</f>
        <v>1</v>
      </c>
    </row>
    <row r="406" spans="1:87" ht="14.55" customHeight="1" x14ac:dyDescent="0.3">
      <c r="A406" s="390">
        <v>2680242</v>
      </c>
      <c r="B406" s="5" t="s">
        <v>533</v>
      </c>
      <c r="C406" s="1430" t="s">
        <v>3449</v>
      </c>
      <c r="D406" s="1090" t="s">
        <v>534</v>
      </c>
      <c r="E406" s="5" t="s">
        <v>31</v>
      </c>
      <c r="F406" s="5" t="s">
        <v>31</v>
      </c>
      <c r="G406" s="5" t="s">
        <v>549</v>
      </c>
      <c r="H406" s="5" t="s">
        <v>169</v>
      </c>
      <c r="I406" s="5" t="str">
        <f>_xlfn.XLOOKUP(sommaire[[#This Row],[Arrondissement_code]],OCHA_GIS!$F:$F,OCHA_GIS!$E:$E,,)</f>
        <v>Logone-Birni</v>
      </c>
      <c r="J406" s="5" t="s">
        <v>673</v>
      </c>
      <c r="K406" t="s">
        <v>1133</v>
      </c>
      <c r="L406" s="5" t="s">
        <v>1451</v>
      </c>
      <c r="N406" s="5" t="s">
        <v>3053</v>
      </c>
      <c r="O406" s="5" t="s">
        <v>2467</v>
      </c>
      <c r="P406" s="5" t="s">
        <v>85</v>
      </c>
      <c r="Q406" s="5" t="s">
        <v>86</v>
      </c>
      <c r="R406" s="5" t="s">
        <v>86</v>
      </c>
      <c r="T406" s="390">
        <v>3</v>
      </c>
      <c r="U406" s="5" t="s">
        <v>97</v>
      </c>
      <c r="W406" s="5" t="s">
        <v>2468</v>
      </c>
      <c r="X406" s="5" t="s">
        <v>102</v>
      </c>
      <c r="AA406" s="5" t="s">
        <v>85</v>
      </c>
      <c r="AB406" s="5" t="s">
        <v>2469</v>
      </c>
      <c r="AC406" s="5" t="s">
        <v>2470</v>
      </c>
      <c r="AD406" s="5" t="s">
        <v>86</v>
      </c>
      <c r="AF406" s="5">
        <v>18</v>
      </c>
      <c r="AG406" s="5">
        <v>950</v>
      </c>
      <c r="AH406" s="5" t="s">
        <v>85</v>
      </c>
      <c r="AI406" s="5" t="s">
        <v>2471</v>
      </c>
      <c r="AJ406" s="5">
        <v>18</v>
      </c>
      <c r="AK406" s="5">
        <v>100</v>
      </c>
      <c r="AL406" s="5">
        <v>58</v>
      </c>
      <c r="AM406" s="5">
        <v>42</v>
      </c>
      <c r="AN406" s="5">
        <v>0</v>
      </c>
      <c r="AO406" s="5">
        <v>18</v>
      </c>
      <c r="AP406" s="5">
        <v>0</v>
      </c>
      <c r="AQ406" s="5">
        <v>0</v>
      </c>
      <c r="AT406" s="5">
        <v>0</v>
      </c>
      <c r="AU406" s="5">
        <v>0</v>
      </c>
      <c r="AX406" s="5">
        <v>0</v>
      </c>
      <c r="AY406" s="5" t="s">
        <v>86</v>
      </c>
      <c r="BN406" s="5" t="s">
        <v>86</v>
      </c>
      <c r="CD406" s="5">
        <v>0</v>
      </c>
      <c r="CF406" s="1442" t="str">
        <f>IF([1]!sommaire[[#This Row],[présence des personnes déplacés interne]]="Oui","1","0")</f>
        <v>1</v>
      </c>
      <c r="CG406" s="1442" t="str">
        <f>IF([1]!sommaire[[#This Row],[présence Réfugié hors camp]]="Oui","1","0")</f>
        <v>0</v>
      </c>
      <c r="CH406" s="1442" t="str">
        <f>IF([1]!sommaire[[#This Row],[présence personnes retournées]]="Oui","1","0")</f>
        <v>0</v>
      </c>
      <c r="CI406" s="1442">
        <f>[1]!sommaire[[#This Row],[Flag PDI]]+[1]!sommaire[[#This Row],[Flag REF]]+[1]!sommaire[[#This Row],[Flag RET]]</f>
        <v>1</v>
      </c>
    </row>
    <row r="407" spans="1:87" ht="14.55" customHeight="1" x14ac:dyDescent="0.3">
      <c r="A407" s="390">
        <v>2680248</v>
      </c>
      <c r="B407" s="5" t="s">
        <v>533</v>
      </c>
      <c r="C407" s="1430" t="s">
        <v>3449</v>
      </c>
      <c r="D407" s="1090" t="s">
        <v>534</v>
      </c>
      <c r="E407" s="5" t="s">
        <v>31</v>
      </c>
      <c r="F407" s="5" t="s">
        <v>31</v>
      </c>
      <c r="G407" s="5" t="s">
        <v>549</v>
      </c>
      <c r="H407" s="5" t="s">
        <v>169</v>
      </c>
      <c r="I407" s="5" t="str">
        <f>_xlfn.XLOOKUP(sommaire[[#This Row],[Arrondissement_code]],OCHA_GIS!$F:$F,OCHA_GIS!$E:$E,,)</f>
        <v>Logone-Birni</v>
      </c>
      <c r="J407" s="5" t="s">
        <v>673</v>
      </c>
      <c r="K407" t="s">
        <v>2908</v>
      </c>
      <c r="L407" s="5" t="s">
        <v>1180</v>
      </c>
      <c r="N407" s="5" t="s">
        <v>3053</v>
      </c>
      <c r="O407" s="5" t="s">
        <v>2467</v>
      </c>
      <c r="P407" s="5" t="s">
        <v>85</v>
      </c>
      <c r="Q407" s="5" t="s">
        <v>86</v>
      </c>
      <c r="R407" s="5" t="s">
        <v>86</v>
      </c>
      <c r="T407" s="390">
        <v>3</v>
      </c>
      <c r="U407" s="5" t="s">
        <v>97</v>
      </c>
      <c r="W407" s="5" t="s">
        <v>2468</v>
      </c>
      <c r="X407" s="5" t="s">
        <v>102</v>
      </c>
      <c r="AA407" s="5" t="s">
        <v>85</v>
      </c>
      <c r="AB407" s="5" t="s">
        <v>2469</v>
      </c>
      <c r="AC407" s="5" t="s">
        <v>2470</v>
      </c>
      <c r="AD407" s="5" t="s">
        <v>86</v>
      </c>
      <c r="AF407" s="5">
        <v>10</v>
      </c>
      <c r="AG407" s="5">
        <v>498</v>
      </c>
      <c r="AH407" s="5" t="s">
        <v>85</v>
      </c>
      <c r="AI407" s="5" t="s">
        <v>2471</v>
      </c>
      <c r="AJ407" s="5">
        <v>10</v>
      </c>
      <c r="AK407" s="5">
        <v>73</v>
      </c>
      <c r="AL407" s="5">
        <v>32</v>
      </c>
      <c r="AM407" s="5">
        <v>41</v>
      </c>
      <c r="AN407" s="5">
        <v>10</v>
      </c>
      <c r="AO407" s="5">
        <v>0</v>
      </c>
      <c r="AP407" s="5">
        <v>0</v>
      </c>
      <c r="AQ407" s="5">
        <v>0</v>
      </c>
      <c r="AT407" s="5">
        <v>0</v>
      </c>
      <c r="AU407" s="5">
        <v>0</v>
      </c>
      <c r="AX407" s="5">
        <v>0</v>
      </c>
      <c r="AY407" s="5" t="s">
        <v>86</v>
      </c>
      <c r="BN407" s="5" t="s">
        <v>86</v>
      </c>
      <c r="CD407" s="5">
        <v>0</v>
      </c>
      <c r="CF407" s="1442" t="str">
        <f>IF([1]!sommaire[[#This Row],[présence des personnes déplacés interne]]="Oui","1","0")</f>
        <v>1</v>
      </c>
      <c r="CG407" s="1442" t="str">
        <f>IF([1]!sommaire[[#This Row],[présence Réfugié hors camp]]="Oui","1","0")</f>
        <v>0</v>
      </c>
      <c r="CH407" s="1442" t="str">
        <f>IF([1]!sommaire[[#This Row],[présence personnes retournées]]="Oui","1","0")</f>
        <v>0</v>
      </c>
      <c r="CI407" s="1442">
        <f>[1]!sommaire[[#This Row],[Flag PDI]]+[1]!sommaire[[#This Row],[Flag REF]]+[1]!sommaire[[#This Row],[Flag RET]]</f>
        <v>1</v>
      </c>
    </row>
    <row r="408" spans="1:87" ht="14.55" customHeight="1" x14ac:dyDescent="0.3">
      <c r="A408" s="390">
        <v>2680256</v>
      </c>
      <c r="B408" s="5" t="s">
        <v>533</v>
      </c>
      <c r="C408" s="1430" t="s">
        <v>3449</v>
      </c>
      <c r="D408" s="1090" t="s">
        <v>534</v>
      </c>
      <c r="E408" s="5" t="s">
        <v>31</v>
      </c>
      <c r="F408" s="5" t="s">
        <v>31</v>
      </c>
      <c r="G408" s="5" t="s">
        <v>549</v>
      </c>
      <c r="H408" s="5" t="s">
        <v>169</v>
      </c>
      <c r="I408" s="5" t="str">
        <f>_xlfn.XLOOKUP(sommaire[[#This Row],[Arrondissement_code]],OCHA_GIS!$F:$F,OCHA_GIS!$E:$E,,)</f>
        <v>Logone-Birni</v>
      </c>
      <c r="J408" s="5" t="s">
        <v>673</v>
      </c>
      <c r="K408" t="s">
        <v>2909</v>
      </c>
      <c r="L408" s="5" t="s">
        <v>826</v>
      </c>
      <c r="N408" s="5" t="s">
        <v>3053</v>
      </c>
      <c r="O408" s="5" t="s">
        <v>2467</v>
      </c>
      <c r="P408" s="5" t="s">
        <v>85</v>
      </c>
      <c r="Q408" s="5" t="s">
        <v>86</v>
      </c>
      <c r="R408" s="5" t="s">
        <v>86</v>
      </c>
      <c r="T408" s="390">
        <v>3</v>
      </c>
      <c r="U408" s="5" t="s">
        <v>97</v>
      </c>
      <c r="W408" s="5" t="s">
        <v>2468</v>
      </c>
      <c r="X408" s="5" t="s">
        <v>102</v>
      </c>
      <c r="AA408" s="5" t="s">
        <v>85</v>
      </c>
      <c r="AB408" s="5" t="s">
        <v>2469</v>
      </c>
      <c r="AC408" s="5" t="s">
        <v>2470</v>
      </c>
      <c r="AD408" s="5" t="s">
        <v>86</v>
      </c>
      <c r="AF408" s="5">
        <v>25</v>
      </c>
      <c r="AG408" s="5">
        <v>190</v>
      </c>
      <c r="AH408" s="5" t="s">
        <v>85</v>
      </c>
      <c r="AI408" s="5" t="s">
        <v>2485</v>
      </c>
      <c r="AJ408" s="5">
        <v>25</v>
      </c>
      <c r="AK408" s="5">
        <v>135</v>
      </c>
      <c r="AL408" s="5">
        <v>65</v>
      </c>
      <c r="AM408" s="5">
        <v>70</v>
      </c>
      <c r="AN408" s="5">
        <v>0</v>
      </c>
      <c r="AO408" s="5">
        <v>9</v>
      </c>
      <c r="AP408" s="5">
        <v>0</v>
      </c>
      <c r="AQ408" s="5">
        <v>0</v>
      </c>
      <c r="AT408" s="5">
        <v>0</v>
      </c>
      <c r="AU408" s="5">
        <v>16</v>
      </c>
      <c r="AV408" s="5" t="s">
        <v>2478</v>
      </c>
      <c r="AX408" s="5">
        <v>0</v>
      </c>
      <c r="AY408" s="5" t="s">
        <v>86</v>
      </c>
      <c r="BN408" s="5" t="s">
        <v>86</v>
      </c>
      <c r="CD408" s="5">
        <v>0</v>
      </c>
      <c r="CF408" s="1442" t="str">
        <f>IF([1]!sommaire[[#This Row],[présence des personnes déplacés interne]]="Oui","1","0")</f>
        <v>1</v>
      </c>
      <c r="CG408" s="1442" t="str">
        <f>IF([1]!sommaire[[#This Row],[présence Réfugié hors camp]]="Oui","1","0")</f>
        <v>0</v>
      </c>
      <c r="CH408" s="1442" t="str">
        <f>IF([1]!sommaire[[#This Row],[présence personnes retournées]]="Oui","1","0")</f>
        <v>0</v>
      </c>
      <c r="CI408" s="1442">
        <f>[1]!sommaire[[#This Row],[Flag PDI]]+[1]!sommaire[[#This Row],[Flag REF]]+[1]!sommaire[[#This Row],[Flag RET]]</f>
        <v>1</v>
      </c>
    </row>
    <row r="409" spans="1:87" ht="14.55" customHeight="1" x14ac:dyDescent="0.3">
      <c r="A409" s="390">
        <v>2691071</v>
      </c>
      <c r="B409" s="5" t="s">
        <v>533</v>
      </c>
      <c r="C409" s="1430" t="s">
        <v>3449</v>
      </c>
      <c r="D409" s="1090" t="s">
        <v>534</v>
      </c>
      <c r="E409" s="5" t="s">
        <v>31</v>
      </c>
      <c r="F409" s="5" t="s">
        <v>31</v>
      </c>
      <c r="G409" s="5" t="s">
        <v>549</v>
      </c>
      <c r="H409" s="5" t="s">
        <v>169</v>
      </c>
      <c r="I409" s="5" t="str">
        <f>_xlfn.XLOOKUP(sommaire[[#This Row],[Arrondissement_code]],OCHA_GIS!$F:$F,OCHA_GIS!$E:$E,,)</f>
        <v>Logone-Birni</v>
      </c>
      <c r="J409" s="5" t="s">
        <v>673</v>
      </c>
      <c r="K409" t="s">
        <v>2912</v>
      </c>
      <c r="L409" s="5" t="s">
        <v>2277</v>
      </c>
      <c r="N409" s="5" t="s">
        <v>3053</v>
      </c>
      <c r="O409" s="5" t="s">
        <v>2467</v>
      </c>
      <c r="P409" s="5" t="s">
        <v>85</v>
      </c>
      <c r="Q409" s="5" t="s">
        <v>86</v>
      </c>
      <c r="R409" s="5" t="s">
        <v>86</v>
      </c>
      <c r="T409" s="390">
        <v>4</v>
      </c>
      <c r="U409" s="5" t="s">
        <v>97</v>
      </c>
      <c r="W409" s="5" t="s">
        <v>2468</v>
      </c>
      <c r="X409" s="1090" t="s">
        <v>102</v>
      </c>
      <c r="AA409" s="1090" t="s">
        <v>85</v>
      </c>
      <c r="AB409" s="5" t="s">
        <v>2469</v>
      </c>
      <c r="AC409" s="5" t="s">
        <v>2470</v>
      </c>
      <c r="AD409" s="1090" t="s">
        <v>86</v>
      </c>
      <c r="AG409" s="5">
        <v>3500</v>
      </c>
      <c r="AH409" s="5" t="s">
        <v>86</v>
      </c>
      <c r="AY409" s="1090" t="s">
        <v>86</v>
      </c>
      <c r="BN409" s="1090" t="s">
        <v>85</v>
      </c>
      <c r="BO409" s="5">
        <v>500</v>
      </c>
      <c r="BP409" s="5">
        <v>3500</v>
      </c>
      <c r="BQ409" s="5">
        <v>1500</v>
      </c>
      <c r="BR409" s="5">
        <v>2000</v>
      </c>
      <c r="BS409" s="5" t="s">
        <v>2492</v>
      </c>
      <c r="BT409" s="5">
        <v>430</v>
      </c>
      <c r="BU409" s="5">
        <v>70</v>
      </c>
      <c r="BV409" s="5">
        <v>0</v>
      </c>
      <c r="BW409" s="5">
        <v>0</v>
      </c>
      <c r="BX409" s="5">
        <v>0</v>
      </c>
      <c r="BZ409" s="5">
        <v>0</v>
      </c>
      <c r="CA409" s="5">
        <v>0</v>
      </c>
      <c r="CC409" s="5">
        <v>0</v>
      </c>
      <c r="CD409" s="5">
        <v>0</v>
      </c>
      <c r="CF409" s="1442" t="str">
        <f>IF([1]!sommaire[[#This Row],[présence des personnes déplacés interne]]="Oui","1","0")</f>
        <v>0</v>
      </c>
      <c r="CG409" s="1442" t="str">
        <f>IF([1]!sommaire[[#This Row],[présence Réfugié hors camp]]="Oui","1","0")</f>
        <v>0</v>
      </c>
      <c r="CH409" s="1442" t="str">
        <f>IF([1]!sommaire[[#This Row],[présence personnes retournées]]="Oui","1","0")</f>
        <v>1</v>
      </c>
      <c r="CI409" s="1442">
        <f>[1]!sommaire[[#This Row],[Flag PDI]]+[1]!sommaire[[#This Row],[Flag REF]]+[1]!sommaire[[#This Row],[Flag RET]]</f>
        <v>1</v>
      </c>
    </row>
    <row r="410" spans="1:87" ht="14.55" customHeight="1" x14ac:dyDescent="0.3">
      <c r="A410" s="390">
        <v>2626751</v>
      </c>
      <c r="B410" s="5" t="s">
        <v>533</v>
      </c>
      <c r="C410" s="1430" t="s">
        <v>3449</v>
      </c>
      <c r="D410" s="1090" t="s">
        <v>534</v>
      </c>
      <c r="E410" s="5" t="s">
        <v>31</v>
      </c>
      <c r="F410" s="5" t="s">
        <v>31</v>
      </c>
      <c r="G410" s="5" t="s">
        <v>549</v>
      </c>
      <c r="H410" s="5" t="s">
        <v>169</v>
      </c>
      <c r="I410" s="5" t="str">
        <f>_xlfn.XLOOKUP(sommaire[[#This Row],[Arrondissement_code]],OCHA_GIS!$F:$F,OCHA_GIS!$E:$E,,)</f>
        <v>Logone-Birni</v>
      </c>
      <c r="J410" s="5" t="s">
        <v>673</v>
      </c>
      <c r="K410" t="s">
        <v>1639</v>
      </c>
      <c r="L410" s="5" t="s">
        <v>841</v>
      </c>
      <c r="N410" s="5" t="s">
        <v>3053</v>
      </c>
      <c r="O410" s="5" t="s">
        <v>2467</v>
      </c>
      <c r="P410" s="5" t="s">
        <v>85</v>
      </c>
      <c r="Q410" s="5" t="s">
        <v>86</v>
      </c>
      <c r="R410" s="5" t="s">
        <v>86</v>
      </c>
      <c r="T410" s="390">
        <v>3</v>
      </c>
      <c r="U410" s="5" t="s">
        <v>97</v>
      </c>
      <c r="W410" s="5" t="s">
        <v>2468</v>
      </c>
      <c r="X410" s="5" t="s">
        <v>102</v>
      </c>
      <c r="AA410" s="5" t="s">
        <v>85</v>
      </c>
      <c r="AB410" s="5" t="s">
        <v>2469</v>
      </c>
      <c r="AC410" s="5" t="s">
        <v>2470</v>
      </c>
      <c r="AD410" s="5" t="s">
        <v>86</v>
      </c>
      <c r="AF410" s="5">
        <v>22</v>
      </c>
      <c r="AG410" s="5">
        <v>480</v>
      </c>
      <c r="AH410" s="5" t="s">
        <v>85</v>
      </c>
      <c r="AI410" s="5" t="s">
        <v>2471</v>
      </c>
      <c r="AJ410" s="5">
        <v>22</v>
      </c>
      <c r="AK410" s="5">
        <v>90</v>
      </c>
      <c r="AL410" s="5">
        <v>39</v>
      </c>
      <c r="AM410" s="5">
        <v>51</v>
      </c>
      <c r="AN410" s="5">
        <v>0</v>
      </c>
      <c r="AO410" s="5">
        <v>22</v>
      </c>
      <c r="AP410" s="5">
        <v>0</v>
      </c>
      <c r="AQ410" s="5">
        <v>0</v>
      </c>
      <c r="AT410" s="5">
        <v>0</v>
      </c>
      <c r="AU410" s="5">
        <v>0</v>
      </c>
      <c r="AX410" s="5">
        <v>0</v>
      </c>
      <c r="AY410" s="5" t="s">
        <v>85</v>
      </c>
      <c r="AZ410" s="5">
        <v>30</v>
      </c>
      <c r="BA410" s="5">
        <v>100</v>
      </c>
      <c r="BB410" s="5">
        <v>45</v>
      </c>
      <c r="BC410" s="5">
        <v>55</v>
      </c>
      <c r="BD410" s="5">
        <v>30</v>
      </c>
      <c r="BE410" s="5">
        <v>0</v>
      </c>
      <c r="BF410" s="5">
        <v>0</v>
      </c>
      <c r="BH410" s="5">
        <v>0</v>
      </c>
      <c r="BI410" s="5">
        <v>0</v>
      </c>
      <c r="BL410" s="5">
        <v>0</v>
      </c>
      <c r="BM410" s="5">
        <v>0</v>
      </c>
      <c r="BN410" s="5" t="s">
        <v>86</v>
      </c>
      <c r="CD410" s="5">
        <v>0</v>
      </c>
      <c r="CF410" s="1442" t="str">
        <f>IF([1]!sommaire[[#This Row],[présence des personnes déplacés interne]]="Oui","1","0")</f>
        <v>1</v>
      </c>
      <c r="CG410" s="1442" t="str">
        <f>IF([1]!sommaire[[#This Row],[présence Réfugié hors camp]]="Oui","1","0")</f>
        <v>1</v>
      </c>
      <c r="CH410" s="1442" t="str">
        <f>IF([1]!sommaire[[#This Row],[présence personnes retournées]]="Oui","1","0")</f>
        <v>0</v>
      </c>
      <c r="CI410" s="1442">
        <f>[1]!sommaire[[#This Row],[Flag PDI]]+[1]!sommaire[[#This Row],[Flag REF]]+[1]!sommaire[[#This Row],[Flag RET]]</f>
        <v>2</v>
      </c>
    </row>
    <row r="411" spans="1:87" ht="14.55" customHeight="1" x14ac:dyDescent="0.3">
      <c r="A411" s="390">
        <v>2600744</v>
      </c>
      <c r="B411" s="5" t="s">
        <v>533</v>
      </c>
      <c r="C411" s="1430" t="s">
        <v>3449</v>
      </c>
      <c r="D411" s="1090" t="s">
        <v>534</v>
      </c>
      <c r="E411" s="5" t="s">
        <v>31</v>
      </c>
      <c r="F411" s="5" t="s">
        <v>31</v>
      </c>
      <c r="G411" s="5" t="s">
        <v>549</v>
      </c>
      <c r="H411" s="5" t="s">
        <v>169</v>
      </c>
      <c r="I411" s="5" t="str">
        <f>_xlfn.XLOOKUP(sommaire[[#This Row],[Arrondissement_code]],OCHA_GIS!$F:$F,OCHA_GIS!$E:$E,,)</f>
        <v>Logone-Birni</v>
      </c>
      <c r="J411" s="5" t="s">
        <v>673</v>
      </c>
      <c r="K411" t="s">
        <v>1446</v>
      </c>
      <c r="L411" s="5" t="s">
        <v>1469</v>
      </c>
      <c r="N411" s="5" t="s">
        <v>3053</v>
      </c>
      <c r="O411" s="5" t="s">
        <v>2467</v>
      </c>
      <c r="P411" s="5" t="s">
        <v>85</v>
      </c>
      <c r="Q411" s="5" t="s">
        <v>86</v>
      </c>
      <c r="R411" s="5" t="s">
        <v>86</v>
      </c>
      <c r="T411" s="390">
        <v>3</v>
      </c>
      <c r="U411" s="5" t="s">
        <v>97</v>
      </c>
      <c r="W411" s="5" t="s">
        <v>2468</v>
      </c>
      <c r="X411" s="5" t="s">
        <v>102</v>
      </c>
      <c r="AA411" s="5" t="s">
        <v>85</v>
      </c>
      <c r="AB411" s="5" t="s">
        <v>2469</v>
      </c>
      <c r="AC411" s="5" t="s">
        <v>2470</v>
      </c>
      <c r="AD411" s="5" t="s">
        <v>86</v>
      </c>
      <c r="AF411" s="5">
        <v>35</v>
      </c>
      <c r="AG411" s="5">
        <v>1000</v>
      </c>
      <c r="AH411" s="5" t="s">
        <v>85</v>
      </c>
      <c r="AI411" s="5" t="s">
        <v>2471</v>
      </c>
      <c r="AJ411" s="5">
        <v>35</v>
      </c>
      <c r="AK411" s="5">
        <v>370</v>
      </c>
      <c r="AL411" s="5">
        <v>198</v>
      </c>
      <c r="AM411" s="5">
        <v>172</v>
      </c>
      <c r="AN411" s="5">
        <v>0</v>
      </c>
      <c r="AO411" s="5">
        <v>35</v>
      </c>
      <c r="AP411" s="5">
        <v>0</v>
      </c>
      <c r="AQ411" s="5">
        <v>0</v>
      </c>
      <c r="AT411" s="5">
        <v>0</v>
      </c>
      <c r="AU411" s="5">
        <v>0</v>
      </c>
      <c r="AX411" s="5">
        <v>0</v>
      </c>
      <c r="AY411" s="5" t="s">
        <v>86</v>
      </c>
      <c r="BN411" s="5" t="s">
        <v>85</v>
      </c>
      <c r="BO411" s="5">
        <v>5</v>
      </c>
      <c r="BP411" s="5">
        <v>20</v>
      </c>
      <c r="BQ411" s="5">
        <v>7</v>
      </c>
      <c r="BR411" s="5">
        <v>13</v>
      </c>
      <c r="BS411" s="5" t="s">
        <v>2483</v>
      </c>
      <c r="BT411" s="5">
        <v>0</v>
      </c>
      <c r="BU411" s="5">
        <v>0</v>
      </c>
      <c r="BV411" s="5">
        <v>0</v>
      </c>
      <c r="BW411" s="5">
        <v>0</v>
      </c>
      <c r="BX411" s="5">
        <v>0</v>
      </c>
      <c r="BZ411" s="5">
        <v>0</v>
      </c>
      <c r="CA411" s="5">
        <v>5</v>
      </c>
      <c r="CB411" s="5" t="s">
        <v>2490</v>
      </c>
      <c r="CC411" s="5">
        <v>0</v>
      </c>
      <c r="CD411" s="5">
        <v>0</v>
      </c>
      <c r="CF411" s="1442" t="str">
        <f>IF([1]!sommaire[[#This Row],[présence des personnes déplacés interne]]="Oui","1","0")</f>
        <v>1</v>
      </c>
      <c r="CG411" s="1442" t="str">
        <f>IF([1]!sommaire[[#This Row],[présence Réfugié hors camp]]="Oui","1","0")</f>
        <v>0</v>
      </c>
      <c r="CH411" s="1442" t="str">
        <f>IF([1]!sommaire[[#This Row],[présence personnes retournées]]="Oui","1","0")</f>
        <v>1</v>
      </c>
      <c r="CI411" s="1442">
        <f>[1]!sommaire[[#This Row],[Flag PDI]]+[1]!sommaire[[#This Row],[Flag REF]]+[1]!sommaire[[#This Row],[Flag RET]]</f>
        <v>2</v>
      </c>
    </row>
    <row r="412" spans="1:87" ht="14.55" customHeight="1" x14ac:dyDescent="0.3">
      <c r="A412" s="390">
        <v>2680258</v>
      </c>
      <c r="B412" s="5" t="s">
        <v>533</v>
      </c>
      <c r="C412" s="1430" t="s">
        <v>3449</v>
      </c>
      <c r="D412" s="1090" t="s">
        <v>534</v>
      </c>
      <c r="E412" s="5" t="s">
        <v>31</v>
      </c>
      <c r="F412" s="5" t="s">
        <v>31</v>
      </c>
      <c r="G412" s="5" t="s">
        <v>549</v>
      </c>
      <c r="H412" s="5" t="s">
        <v>169</v>
      </c>
      <c r="I412" s="5" t="str">
        <f>_xlfn.XLOOKUP(sommaire[[#This Row],[Arrondissement_code]],OCHA_GIS!$F:$F,OCHA_GIS!$E:$E,,)</f>
        <v>Logone-Birni</v>
      </c>
      <c r="J412" s="5" t="s">
        <v>673</v>
      </c>
      <c r="K412" t="s">
        <v>3212</v>
      </c>
      <c r="L412" s="5" t="s">
        <v>3079</v>
      </c>
      <c r="N412" s="5" t="s">
        <v>3053</v>
      </c>
      <c r="O412" s="5" t="s">
        <v>2467</v>
      </c>
      <c r="P412" s="5" t="s">
        <v>85</v>
      </c>
      <c r="Q412" s="5" t="s">
        <v>86</v>
      </c>
      <c r="R412" s="5" t="s">
        <v>86</v>
      </c>
      <c r="T412" s="390">
        <v>3</v>
      </c>
      <c r="U412" s="5" t="s">
        <v>97</v>
      </c>
      <c r="W412" s="5" t="s">
        <v>2468</v>
      </c>
      <c r="X412" s="5" t="s">
        <v>103</v>
      </c>
      <c r="Y412" s="5" t="s">
        <v>274</v>
      </c>
      <c r="AA412" s="5" t="s">
        <v>86</v>
      </c>
      <c r="AH412" s="1430" t="s">
        <v>86</v>
      </c>
      <c r="AY412" s="1430" t="s">
        <v>86</v>
      </c>
      <c r="BN412" s="1430" t="s">
        <v>86</v>
      </c>
      <c r="CF412" s="1442" t="str">
        <f>IF([1]!sommaire[[#This Row],[présence des personnes déplacés interne]]="Oui","1","0")</f>
        <v>0</v>
      </c>
      <c r="CG412" s="1442" t="str">
        <f>IF([1]!sommaire[[#This Row],[présence Réfugié hors camp]]="Oui","1","0")</f>
        <v>0</v>
      </c>
      <c r="CH412" s="1442" t="str">
        <f>IF([1]!sommaire[[#This Row],[présence personnes retournées]]="Oui","1","0")</f>
        <v>0</v>
      </c>
      <c r="CI412" s="1442">
        <f>[1]!sommaire[[#This Row],[Flag PDI]]+[1]!sommaire[[#This Row],[Flag REF]]+[1]!sommaire[[#This Row],[Flag RET]]</f>
        <v>0</v>
      </c>
    </row>
    <row r="413" spans="1:87" ht="14.55" customHeight="1" x14ac:dyDescent="0.3">
      <c r="A413" s="390">
        <v>2619968</v>
      </c>
      <c r="B413" s="5" t="s">
        <v>533</v>
      </c>
      <c r="C413" s="1430" t="s">
        <v>3449</v>
      </c>
      <c r="D413" s="1090" t="s">
        <v>534</v>
      </c>
      <c r="E413" s="5" t="s">
        <v>31</v>
      </c>
      <c r="F413" s="5" t="s">
        <v>31</v>
      </c>
      <c r="G413" s="5" t="s">
        <v>549</v>
      </c>
      <c r="H413" s="5" t="s">
        <v>169</v>
      </c>
      <c r="I413" s="5" t="str">
        <f>_xlfn.XLOOKUP(sommaire[[#This Row],[Arrondissement_code]],OCHA_GIS!$F:$F,OCHA_GIS!$E:$E,,)</f>
        <v>Logone-Birni</v>
      </c>
      <c r="J413" s="5" t="s">
        <v>673</v>
      </c>
      <c r="K413" t="s">
        <v>2923</v>
      </c>
      <c r="L413" s="5" t="s">
        <v>1008</v>
      </c>
      <c r="N413" s="5" t="s">
        <v>3053</v>
      </c>
      <c r="O413" s="5" t="s">
        <v>2467</v>
      </c>
      <c r="P413" s="5" t="s">
        <v>85</v>
      </c>
      <c r="Q413" s="5" t="s">
        <v>86</v>
      </c>
      <c r="R413" s="5" t="s">
        <v>85</v>
      </c>
      <c r="T413" s="390">
        <v>4</v>
      </c>
      <c r="U413" s="5" t="s">
        <v>97</v>
      </c>
      <c r="W413" s="5" t="s">
        <v>2468</v>
      </c>
      <c r="X413" s="5" t="s">
        <v>102</v>
      </c>
      <c r="AA413" s="5" t="s">
        <v>85</v>
      </c>
      <c r="AB413" s="5" t="s">
        <v>2469</v>
      </c>
      <c r="AC413" s="5" t="s">
        <v>2470</v>
      </c>
      <c r="AD413" s="5" t="s">
        <v>86</v>
      </c>
      <c r="AF413" s="5">
        <v>35</v>
      </c>
      <c r="AG413" s="5">
        <v>452</v>
      </c>
      <c r="AH413" s="5" t="s">
        <v>85</v>
      </c>
      <c r="AI413" s="5" t="s">
        <v>2471</v>
      </c>
      <c r="AJ413" s="5">
        <v>35</v>
      </c>
      <c r="AK413" s="5">
        <v>100</v>
      </c>
      <c r="AL413" s="5">
        <v>27</v>
      </c>
      <c r="AM413" s="5">
        <v>73</v>
      </c>
      <c r="AN413" s="5">
        <v>0</v>
      </c>
      <c r="AO413" s="5">
        <v>35</v>
      </c>
      <c r="AP413" s="5">
        <v>0</v>
      </c>
      <c r="AQ413" s="5">
        <v>0</v>
      </c>
      <c r="AT413" s="5">
        <v>0</v>
      </c>
      <c r="AU413" s="5">
        <v>0</v>
      </c>
      <c r="AX413" s="5">
        <v>0</v>
      </c>
      <c r="AY413" s="5" t="s">
        <v>85</v>
      </c>
      <c r="AZ413" s="5">
        <v>10</v>
      </c>
      <c r="BA413" s="5">
        <v>80</v>
      </c>
      <c r="BB413" s="5">
        <v>30</v>
      </c>
      <c r="BC413" s="5">
        <v>50</v>
      </c>
      <c r="BD413" s="5">
        <v>10</v>
      </c>
      <c r="BE413" s="5">
        <v>0</v>
      </c>
      <c r="BF413" s="5">
        <v>0</v>
      </c>
      <c r="BH413" s="5">
        <v>0</v>
      </c>
      <c r="BI413" s="5">
        <v>0</v>
      </c>
      <c r="BL413" s="5">
        <v>0</v>
      </c>
      <c r="BM413" s="5">
        <v>0</v>
      </c>
      <c r="BN413" s="5" t="s">
        <v>85</v>
      </c>
      <c r="BO413" s="5">
        <v>35</v>
      </c>
      <c r="BP413" s="5">
        <v>170</v>
      </c>
      <c r="BQ413" s="5">
        <v>70</v>
      </c>
      <c r="BR413" s="5">
        <v>100</v>
      </c>
      <c r="BS413" s="5" t="s">
        <v>2492</v>
      </c>
      <c r="BT413" s="5">
        <v>0</v>
      </c>
      <c r="BU413" s="5">
        <v>35</v>
      </c>
      <c r="BV413" s="5">
        <v>0</v>
      </c>
      <c r="BW413" s="5">
        <v>0</v>
      </c>
      <c r="BX413" s="5">
        <v>0</v>
      </c>
      <c r="BZ413" s="5">
        <v>0</v>
      </c>
      <c r="CA413" s="5">
        <v>0</v>
      </c>
      <c r="CC413" s="5">
        <v>0</v>
      </c>
      <c r="CD413" s="5">
        <v>0</v>
      </c>
      <c r="CF413" s="1442" t="str">
        <f>IF([1]!sommaire[[#This Row],[présence des personnes déplacés interne]]="Oui","1","0")</f>
        <v>1</v>
      </c>
      <c r="CG413" s="1442" t="str">
        <f>IF([1]!sommaire[[#This Row],[présence Réfugié hors camp]]="Oui","1","0")</f>
        <v>1</v>
      </c>
      <c r="CH413" s="1442" t="str">
        <f>IF([1]!sommaire[[#This Row],[présence personnes retournées]]="Oui","1","0")</f>
        <v>1</v>
      </c>
      <c r="CI413" s="1442">
        <f>[1]!sommaire[[#This Row],[Flag PDI]]+[1]!sommaire[[#This Row],[Flag REF]]+[1]!sommaire[[#This Row],[Flag RET]]</f>
        <v>3</v>
      </c>
    </row>
    <row r="414" spans="1:87" ht="14.55" customHeight="1" x14ac:dyDescent="0.3">
      <c r="A414" s="390">
        <v>2706286</v>
      </c>
      <c r="B414" s="5" t="s">
        <v>533</v>
      </c>
      <c r="C414" s="1430" t="s">
        <v>3449</v>
      </c>
      <c r="D414" s="1090" t="s">
        <v>534</v>
      </c>
      <c r="E414" s="5" t="s">
        <v>31</v>
      </c>
      <c r="F414" s="5" t="s">
        <v>31</v>
      </c>
      <c r="G414" s="5" t="s">
        <v>549</v>
      </c>
      <c r="H414" s="5" t="s">
        <v>169</v>
      </c>
      <c r="I414" s="5" t="str">
        <f>_xlfn.XLOOKUP(sommaire[[#This Row],[Arrondissement_code]],OCHA_GIS!$F:$F,OCHA_GIS!$E:$E,,)</f>
        <v>Logone-Birni</v>
      </c>
      <c r="J414" s="5" t="s">
        <v>673</v>
      </c>
      <c r="K414" t="s">
        <v>1644</v>
      </c>
      <c r="L414" s="5" t="s">
        <v>1640</v>
      </c>
      <c r="N414" s="5" t="s">
        <v>3053</v>
      </c>
      <c r="O414" s="5" t="s">
        <v>2467</v>
      </c>
      <c r="P414" s="5" t="s">
        <v>85</v>
      </c>
      <c r="Q414" s="5" t="s">
        <v>86</v>
      </c>
      <c r="R414" s="5" t="s">
        <v>86</v>
      </c>
      <c r="T414" s="390">
        <v>3</v>
      </c>
      <c r="U414" s="5" t="s">
        <v>97</v>
      </c>
      <c r="W414" s="5" t="s">
        <v>2468</v>
      </c>
      <c r="X414" s="5" t="s">
        <v>102</v>
      </c>
      <c r="AA414" s="5" t="s">
        <v>85</v>
      </c>
      <c r="AB414" s="5" t="s">
        <v>2469</v>
      </c>
      <c r="AC414" s="5" t="s">
        <v>2470</v>
      </c>
      <c r="AD414" s="5" t="s">
        <v>86</v>
      </c>
      <c r="AF414" s="5">
        <v>9</v>
      </c>
      <c r="AG414" s="5">
        <v>1021</v>
      </c>
      <c r="AH414" s="5" t="s">
        <v>85</v>
      </c>
      <c r="AI414" s="5" t="s">
        <v>2471</v>
      </c>
      <c r="AJ414" s="5">
        <v>9</v>
      </c>
      <c r="AK414" s="5">
        <v>61</v>
      </c>
      <c r="AL414" s="5">
        <v>25</v>
      </c>
      <c r="AM414" s="5">
        <v>36</v>
      </c>
      <c r="AN414" s="5">
        <v>0</v>
      </c>
      <c r="AO414" s="5">
        <v>9</v>
      </c>
      <c r="AP414" s="5">
        <v>0</v>
      </c>
      <c r="AQ414" s="5">
        <v>0</v>
      </c>
      <c r="AT414" s="5">
        <v>0</v>
      </c>
      <c r="AU414" s="5">
        <v>0</v>
      </c>
      <c r="AX414" s="5">
        <v>0</v>
      </c>
      <c r="AY414" s="5" t="s">
        <v>86</v>
      </c>
      <c r="BN414" s="5" t="s">
        <v>85</v>
      </c>
      <c r="BO414" s="5">
        <v>60</v>
      </c>
      <c r="BP414" s="5">
        <v>352</v>
      </c>
      <c r="BQ414" s="5">
        <v>150</v>
      </c>
      <c r="BR414" s="5">
        <v>202</v>
      </c>
      <c r="BS414" s="5" t="s">
        <v>2484</v>
      </c>
      <c r="BT414" s="5">
        <v>3</v>
      </c>
      <c r="BU414" s="5">
        <v>57</v>
      </c>
      <c r="BV414" s="5">
        <v>0</v>
      </c>
      <c r="BW414" s="5">
        <v>0</v>
      </c>
      <c r="BX414" s="5">
        <v>0</v>
      </c>
      <c r="BZ414" s="5">
        <v>0</v>
      </c>
      <c r="CA414" s="5">
        <v>0</v>
      </c>
      <c r="CC414" s="5">
        <v>0</v>
      </c>
      <c r="CD414" s="5">
        <v>0</v>
      </c>
      <c r="CF414" s="1442" t="str">
        <f>IF([1]!sommaire[[#This Row],[présence des personnes déplacés interne]]="Oui","1","0")</f>
        <v>1</v>
      </c>
      <c r="CG414" s="1442" t="str">
        <f>IF([1]!sommaire[[#This Row],[présence Réfugié hors camp]]="Oui","1","0")</f>
        <v>0</v>
      </c>
      <c r="CH414" s="1442" t="str">
        <f>IF([1]!sommaire[[#This Row],[présence personnes retournées]]="Oui","1","0")</f>
        <v>1</v>
      </c>
      <c r="CI414" s="1442">
        <f>[1]!sommaire[[#This Row],[Flag PDI]]+[1]!sommaire[[#This Row],[Flag REF]]+[1]!sommaire[[#This Row],[Flag RET]]</f>
        <v>2</v>
      </c>
    </row>
    <row r="415" spans="1:87" ht="14.55" customHeight="1" x14ac:dyDescent="0.3">
      <c r="A415" s="390">
        <v>2680243</v>
      </c>
      <c r="B415" s="5" t="s">
        <v>533</v>
      </c>
      <c r="C415" s="1430" t="s">
        <v>3449</v>
      </c>
      <c r="D415" s="1090" t="s">
        <v>534</v>
      </c>
      <c r="E415" s="5" t="s">
        <v>31</v>
      </c>
      <c r="F415" s="5" t="s">
        <v>31</v>
      </c>
      <c r="G415" s="5" t="s">
        <v>549</v>
      </c>
      <c r="H415" s="5" t="s">
        <v>169</v>
      </c>
      <c r="I415" s="5" t="str">
        <f>_xlfn.XLOOKUP(sommaire[[#This Row],[Arrondissement_code]],OCHA_GIS!$F:$F,OCHA_GIS!$E:$E,,)</f>
        <v>Logone-Birni</v>
      </c>
      <c r="J415" s="5" t="s">
        <v>673</v>
      </c>
      <c r="K415" t="s">
        <v>2570</v>
      </c>
      <c r="L415" s="5" t="s">
        <v>1447</v>
      </c>
      <c r="N415" s="5" t="s">
        <v>3053</v>
      </c>
      <c r="O415" s="5" t="s">
        <v>2467</v>
      </c>
      <c r="P415" s="5" t="s">
        <v>85</v>
      </c>
      <c r="Q415" s="5" t="s">
        <v>86</v>
      </c>
      <c r="R415" s="5" t="s">
        <v>86</v>
      </c>
      <c r="T415" s="390">
        <v>3</v>
      </c>
      <c r="U415" s="5" t="s">
        <v>97</v>
      </c>
      <c r="W415" s="5" t="s">
        <v>2468</v>
      </c>
      <c r="X415" s="5" t="s">
        <v>102</v>
      </c>
      <c r="AA415" s="5" t="s">
        <v>85</v>
      </c>
      <c r="AB415" s="5" t="s">
        <v>2469</v>
      </c>
      <c r="AC415" s="5" t="s">
        <v>2470</v>
      </c>
      <c r="AD415" s="5" t="s">
        <v>86</v>
      </c>
      <c r="AF415" s="5">
        <v>35</v>
      </c>
      <c r="AG415" s="5">
        <v>400</v>
      </c>
      <c r="AH415" s="5" t="s">
        <v>85</v>
      </c>
      <c r="AI415" s="5" t="s">
        <v>2471</v>
      </c>
      <c r="AJ415" s="5">
        <v>35</v>
      </c>
      <c r="AK415" s="5">
        <v>114</v>
      </c>
      <c r="AL415" s="5">
        <v>48</v>
      </c>
      <c r="AM415" s="5">
        <v>66</v>
      </c>
      <c r="AN415" s="5">
        <v>0</v>
      </c>
      <c r="AO415" s="5">
        <v>35</v>
      </c>
      <c r="AP415" s="5">
        <v>0</v>
      </c>
      <c r="AQ415" s="5">
        <v>0</v>
      </c>
      <c r="AT415" s="5">
        <v>0</v>
      </c>
      <c r="AU415" s="5">
        <v>0</v>
      </c>
      <c r="AX415" s="5">
        <v>0</v>
      </c>
      <c r="AY415" s="5" t="s">
        <v>86</v>
      </c>
      <c r="BN415" s="5" t="s">
        <v>86</v>
      </c>
      <c r="CD415" s="5">
        <v>0</v>
      </c>
      <c r="CF415" s="1442" t="str">
        <f>IF([1]!sommaire[[#This Row],[présence des personnes déplacés interne]]="Oui","1","0")</f>
        <v>1</v>
      </c>
      <c r="CG415" s="1442" t="str">
        <f>IF([1]!sommaire[[#This Row],[présence Réfugié hors camp]]="Oui","1","0")</f>
        <v>0</v>
      </c>
      <c r="CH415" s="1442" t="str">
        <f>IF([1]!sommaire[[#This Row],[présence personnes retournées]]="Oui","1","0")</f>
        <v>0</v>
      </c>
      <c r="CI415" s="1442">
        <f>[1]!sommaire[[#This Row],[Flag PDI]]+[1]!sommaire[[#This Row],[Flag REF]]+[1]!sommaire[[#This Row],[Flag RET]]</f>
        <v>1</v>
      </c>
    </row>
    <row r="416" spans="1:87" ht="14.55" customHeight="1" x14ac:dyDescent="0.3">
      <c r="A416" s="390">
        <v>2655283</v>
      </c>
      <c r="B416" s="5" t="s">
        <v>533</v>
      </c>
      <c r="C416" s="1430" t="s">
        <v>3449</v>
      </c>
      <c r="D416" s="1090" t="s">
        <v>534</v>
      </c>
      <c r="E416" s="5" t="s">
        <v>31</v>
      </c>
      <c r="F416" s="5" t="s">
        <v>31</v>
      </c>
      <c r="G416" s="5" t="s">
        <v>549</v>
      </c>
      <c r="H416" s="5" t="s">
        <v>169</v>
      </c>
      <c r="I416" s="5" t="str">
        <f>_xlfn.XLOOKUP(sommaire[[#This Row],[Arrondissement_code]],OCHA_GIS!$F:$F,OCHA_GIS!$E:$E,,)</f>
        <v>Logone-Birni</v>
      </c>
      <c r="J416" s="5" t="s">
        <v>673</v>
      </c>
      <c r="K416" t="s">
        <v>3094</v>
      </c>
      <c r="L416" s="5" t="s">
        <v>1009</v>
      </c>
      <c r="N416" s="5" t="s">
        <v>3053</v>
      </c>
      <c r="O416" s="5" t="s">
        <v>2467</v>
      </c>
      <c r="P416" s="5" t="s">
        <v>85</v>
      </c>
      <c r="Q416" s="5" t="s">
        <v>86</v>
      </c>
      <c r="R416" s="5" t="s">
        <v>85</v>
      </c>
      <c r="T416" s="390">
        <v>3</v>
      </c>
      <c r="U416" s="5" t="s">
        <v>97</v>
      </c>
      <c r="W416" s="5" t="s">
        <v>2468</v>
      </c>
      <c r="X416" s="1090" t="s">
        <v>102</v>
      </c>
      <c r="AA416" s="1090" t="s">
        <v>85</v>
      </c>
      <c r="AB416" s="5" t="s">
        <v>2469</v>
      </c>
      <c r="AC416" s="5" t="s">
        <v>2470</v>
      </c>
      <c r="AD416" s="5" t="s">
        <v>86</v>
      </c>
      <c r="AF416" s="5">
        <v>25</v>
      </c>
      <c r="AG416" s="5">
        <v>1060</v>
      </c>
      <c r="AH416" s="5" t="s">
        <v>85</v>
      </c>
      <c r="AI416" s="5" t="s">
        <v>2471</v>
      </c>
      <c r="AJ416" s="5">
        <v>25</v>
      </c>
      <c r="AK416" s="5">
        <v>53</v>
      </c>
      <c r="AL416" s="5">
        <v>21</v>
      </c>
      <c r="AM416" s="5">
        <v>32</v>
      </c>
      <c r="AN416" s="5">
        <v>0</v>
      </c>
      <c r="AO416" s="5">
        <v>25</v>
      </c>
      <c r="AP416" s="5">
        <v>0</v>
      </c>
      <c r="AQ416" s="5">
        <v>0</v>
      </c>
      <c r="AT416" s="5">
        <v>0</v>
      </c>
      <c r="AU416" s="5">
        <v>0</v>
      </c>
      <c r="AX416" s="5">
        <v>0</v>
      </c>
      <c r="AY416" s="1090" t="s">
        <v>85</v>
      </c>
      <c r="AZ416" s="5">
        <v>1</v>
      </c>
      <c r="BA416" s="5">
        <v>7</v>
      </c>
      <c r="BB416" s="5">
        <v>3</v>
      </c>
      <c r="BC416" s="5">
        <v>4</v>
      </c>
      <c r="BD416" s="5">
        <v>1</v>
      </c>
      <c r="BE416" s="5">
        <v>0</v>
      </c>
      <c r="BF416" s="5">
        <v>0</v>
      </c>
      <c r="BH416" s="5">
        <v>0</v>
      </c>
      <c r="BI416" s="5">
        <v>0</v>
      </c>
      <c r="BL416" s="5">
        <v>0</v>
      </c>
      <c r="BM416" s="5">
        <v>0</v>
      </c>
      <c r="BN416" s="1090" t="s">
        <v>86</v>
      </c>
      <c r="CD416" s="5">
        <v>0</v>
      </c>
      <c r="CF416" s="1442" t="str">
        <f>IF([1]!sommaire[[#This Row],[présence des personnes déplacés interne]]="Oui","1","0")</f>
        <v>1</v>
      </c>
      <c r="CG416" s="1442" t="str">
        <f>IF([1]!sommaire[[#This Row],[présence Réfugié hors camp]]="Oui","1","0")</f>
        <v>1</v>
      </c>
      <c r="CH416" s="1442" t="str">
        <f>IF([1]!sommaire[[#This Row],[présence personnes retournées]]="Oui","1","0")</f>
        <v>0</v>
      </c>
      <c r="CI416" s="1442">
        <f>[1]!sommaire[[#This Row],[Flag PDI]]+[1]!sommaire[[#This Row],[Flag REF]]+[1]!sommaire[[#This Row],[Flag RET]]</f>
        <v>2</v>
      </c>
    </row>
    <row r="417" spans="1:87" ht="14.55" customHeight="1" x14ac:dyDescent="0.3">
      <c r="A417" s="390">
        <v>2606858</v>
      </c>
      <c r="B417" s="5" t="s">
        <v>533</v>
      </c>
      <c r="C417" s="1430" t="s">
        <v>3449</v>
      </c>
      <c r="D417" s="1090" t="s">
        <v>534</v>
      </c>
      <c r="E417" s="5" t="s">
        <v>31</v>
      </c>
      <c r="F417" s="5" t="s">
        <v>31</v>
      </c>
      <c r="G417" s="5" t="s">
        <v>549</v>
      </c>
      <c r="H417" s="5" t="s">
        <v>169</v>
      </c>
      <c r="I417" s="5" t="str">
        <f>_xlfn.XLOOKUP(sommaire[[#This Row],[Arrondissement_code]],OCHA_GIS!$F:$F,OCHA_GIS!$E:$E,,)</f>
        <v>Logone-Birni</v>
      </c>
      <c r="J417" s="5" t="s">
        <v>673</v>
      </c>
      <c r="K417" t="s">
        <v>2931</v>
      </c>
      <c r="L417" s="5" t="s">
        <v>2223</v>
      </c>
      <c r="N417" s="5" t="s">
        <v>3053</v>
      </c>
      <c r="O417" s="5" t="s">
        <v>2467</v>
      </c>
      <c r="P417" s="5" t="s">
        <v>85</v>
      </c>
      <c r="Q417" s="5" t="s">
        <v>86</v>
      </c>
      <c r="R417" s="5" t="s">
        <v>85</v>
      </c>
      <c r="T417" s="390">
        <v>3</v>
      </c>
      <c r="U417" s="5" t="s">
        <v>97</v>
      </c>
      <c r="W417" s="5" t="s">
        <v>2468</v>
      </c>
      <c r="X417" s="5" t="s">
        <v>103</v>
      </c>
      <c r="Y417" s="5" t="s">
        <v>274</v>
      </c>
      <c r="AA417" s="5" t="s">
        <v>85</v>
      </c>
      <c r="AB417" s="5" t="s">
        <v>2469</v>
      </c>
      <c r="AC417" s="5" t="s">
        <v>2470</v>
      </c>
      <c r="AD417" s="5" t="s">
        <v>86</v>
      </c>
      <c r="AG417" s="5">
        <v>2763</v>
      </c>
      <c r="AH417" s="5" t="s">
        <v>86</v>
      </c>
      <c r="AY417" s="5" t="s">
        <v>85</v>
      </c>
      <c r="AZ417" s="5">
        <v>2</v>
      </c>
      <c r="BA417" s="5">
        <v>2</v>
      </c>
      <c r="BB417" s="5">
        <v>0</v>
      </c>
      <c r="BC417" s="5">
        <v>2</v>
      </c>
      <c r="BD417" s="5">
        <v>2</v>
      </c>
      <c r="BE417" s="5">
        <v>0</v>
      </c>
      <c r="BF417" s="5">
        <v>0</v>
      </c>
      <c r="BH417" s="5">
        <v>0</v>
      </c>
      <c r="BI417" s="5">
        <v>0</v>
      </c>
      <c r="BL417" s="5">
        <v>0</v>
      </c>
      <c r="BM417" s="5">
        <v>0</v>
      </c>
      <c r="BN417" s="5" t="s">
        <v>85</v>
      </c>
      <c r="BO417" s="5">
        <v>100</v>
      </c>
      <c r="BP417" s="5">
        <v>877</v>
      </c>
      <c r="BQ417" s="5">
        <v>342</v>
      </c>
      <c r="BR417" s="5">
        <v>535</v>
      </c>
      <c r="BS417" s="5" t="s">
        <v>2492</v>
      </c>
      <c r="BT417" s="5">
        <v>0</v>
      </c>
      <c r="BU417" s="5">
        <v>100</v>
      </c>
      <c r="BV417" s="5">
        <v>0</v>
      </c>
      <c r="BW417" s="5">
        <v>0</v>
      </c>
      <c r="BX417" s="5">
        <v>0</v>
      </c>
      <c r="BZ417" s="5">
        <v>0</v>
      </c>
      <c r="CA417" s="5">
        <v>0</v>
      </c>
      <c r="CC417" s="5">
        <v>0</v>
      </c>
      <c r="CD417" s="5">
        <v>0</v>
      </c>
      <c r="CF417" s="1442" t="str">
        <f>IF([1]!sommaire[[#This Row],[présence des personnes déplacés interne]]="Oui","1","0")</f>
        <v>0</v>
      </c>
      <c r="CG417" s="1442" t="str">
        <f>IF([1]!sommaire[[#This Row],[présence Réfugié hors camp]]="Oui","1","0")</f>
        <v>1</v>
      </c>
      <c r="CH417" s="1442" t="str">
        <f>IF([1]!sommaire[[#This Row],[présence personnes retournées]]="Oui","1","0")</f>
        <v>1</v>
      </c>
      <c r="CI417" s="1442">
        <f>[1]!sommaire[[#This Row],[Flag PDI]]+[1]!sommaire[[#This Row],[Flag REF]]+[1]!sommaire[[#This Row],[Flag RET]]</f>
        <v>2</v>
      </c>
    </row>
    <row r="418" spans="1:87" ht="14.55" customHeight="1" x14ac:dyDescent="0.3">
      <c r="A418" s="390">
        <v>2659538</v>
      </c>
      <c r="B418" s="5" t="s">
        <v>533</v>
      </c>
      <c r="C418" s="1430" t="s">
        <v>3449</v>
      </c>
      <c r="D418" s="1090" t="s">
        <v>534</v>
      </c>
      <c r="E418" s="5" t="s">
        <v>31</v>
      </c>
      <c r="F418" s="5" t="s">
        <v>31</v>
      </c>
      <c r="G418" s="5" t="s">
        <v>549</v>
      </c>
      <c r="H418" s="5" t="s">
        <v>169</v>
      </c>
      <c r="I418" s="5" t="str">
        <f>_xlfn.XLOOKUP(sommaire[[#This Row],[Arrondissement_code]],OCHA_GIS!$F:$F,OCHA_GIS!$E:$E,,)</f>
        <v>Logone-Birni</v>
      </c>
      <c r="J418" s="5" t="s">
        <v>673</v>
      </c>
      <c r="K418" t="s">
        <v>1550</v>
      </c>
      <c r="L418" s="5" t="s">
        <v>828</v>
      </c>
      <c r="N418" s="5" t="s">
        <v>3053</v>
      </c>
      <c r="O418" s="5" t="s">
        <v>2467</v>
      </c>
      <c r="P418" s="5" t="s">
        <v>85</v>
      </c>
      <c r="Q418" s="5" t="s">
        <v>86</v>
      </c>
      <c r="R418" s="5" t="s">
        <v>85</v>
      </c>
      <c r="T418" s="390">
        <v>4</v>
      </c>
      <c r="U418" s="5" t="s">
        <v>97</v>
      </c>
      <c r="W418" s="5" t="s">
        <v>2468</v>
      </c>
      <c r="X418" s="5" t="s">
        <v>101</v>
      </c>
      <c r="Y418" s="5" t="s">
        <v>274</v>
      </c>
      <c r="AA418" s="5" t="s">
        <v>85</v>
      </c>
      <c r="AB418" s="5" t="s">
        <v>2469</v>
      </c>
      <c r="AC418" s="5" t="s">
        <v>2470</v>
      </c>
      <c r="AD418" s="5" t="s">
        <v>86</v>
      </c>
      <c r="AF418" s="5">
        <v>22</v>
      </c>
      <c r="AG418" s="5">
        <v>548</v>
      </c>
      <c r="AH418" s="5" t="s">
        <v>85</v>
      </c>
      <c r="AI418" s="5" t="s">
        <v>2471</v>
      </c>
      <c r="AJ418" s="5">
        <v>22</v>
      </c>
      <c r="AK418" s="5">
        <v>148</v>
      </c>
      <c r="AL418" s="5">
        <v>72</v>
      </c>
      <c r="AM418" s="5">
        <v>76</v>
      </c>
      <c r="AN418" s="5">
        <v>0</v>
      </c>
      <c r="AO418" s="5">
        <v>22</v>
      </c>
      <c r="AP418" s="5">
        <v>0</v>
      </c>
      <c r="AQ418" s="5">
        <v>0</v>
      </c>
      <c r="AT418" s="5">
        <v>0</v>
      </c>
      <c r="AU418" s="5">
        <v>0</v>
      </c>
      <c r="AX418" s="5">
        <v>0</v>
      </c>
      <c r="AY418" s="5" t="s">
        <v>86</v>
      </c>
      <c r="BN418" s="5" t="s">
        <v>85</v>
      </c>
      <c r="BO418" s="5">
        <v>65</v>
      </c>
      <c r="BP418" s="5">
        <v>400</v>
      </c>
      <c r="BQ418" s="5">
        <v>192</v>
      </c>
      <c r="BR418" s="5">
        <v>208</v>
      </c>
      <c r="BS418" s="5" t="s">
        <v>2492</v>
      </c>
      <c r="BT418" s="5">
        <v>0</v>
      </c>
      <c r="BU418" s="5">
        <v>30</v>
      </c>
      <c r="BV418" s="5">
        <v>0</v>
      </c>
      <c r="BW418" s="5">
        <v>0</v>
      </c>
      <c r="BX418" s="5">
        <v>0</v>
      </c>
      <c r="BZ418" s="5">
        <v>0</v>
      </c>
      <c r="CA418" s="5">
        <v>35</v>
      </c>
      <c r="CB418" s="5" t="s">
        <v>2490</v>
      </c>
      <c r="CC418" s="5">
        <v>0</v>
      </c>
      <c r="CD418" s="5">
        <v>0</v>
      </c>
      <c r="CF418" s="1442" t="str">
        <f>IF([1]!sommaire[[#This Row],[présence des personnes déplacés interne]]="Oui","1","0")</f>
        <v>1</v>
      </c>
      <c r="CG418" s="1442" t="str">
        <f>IF([1]!sommaire[[#This Row],[présence Réfugié hors camp]]="Oui","1","0")</f>
        <v>0</v>
      </c>
      <c r="CH418" s="1442" t="str">
        <f>IF([1]!sommaire[[#This Row],[présence personnes retournées]]="Oui","1","0")</f>
        <v>1</v>
      </c>
      <c r="CI418" s="1442">
        <f>[1]!sommaire[[#This Row],[Flag PDI]]+[1]!sommaire[[#This Row],[Flag REF]]+[1]!sommaire[[#This Row],[Flag RET]]</f>
        <v>2</v>
      </c>
    </row>
    <row r="419" spans="1:87" ht="14.55" customHeight="1" x14ac:dyDescent="0.3">
      <c r="A419" s="390">
        <v>2621524</v>
      </c>
      <c r="B419" s="5" t="s">
        <v>533</v>
      </c>
      <c r="C419" s="1430" t="s">
        <v>3449</v>
      </c>
      <c r="D419" s="1090" t="s">
        <v>534</v>
      </c>
      <c r="E419" s="5" t="s">
        <v>31</v>
      </c>
      <c r="F419" s="5" t="s">
        <v>31</v>
      </c>
      <c r="G419" s="5" t="s">
        <v>549</v>
      </c>
      <c r="H419" s="5" t="s">
        <v>169</v>
      </c>
      <c r="I419" s="5" t="str">
        <f>_xlfn.XLOOKUP(sommaire[[#This Row],[Arrondissement_code]],OCHA_GIS!$F:$F,OCHA_GIS!$E:$E,,)</f>
        <v>Logone-Birni</v>
      </c>
      <c r="J419" s="5" t="s">
        <v>673</v>
      </c>
      <c r="K419" t="s">
        <v>2933</v>
      </c>
      <c r="L419" s="5" t="s">
        <v>2305</v>
      </c>
      <c r="N419" s="5" t="s">
        <v>3053</v>
      </c>
      <c r="O419" s="5" t="s">
        <v>2467</v>
      </c>
      <c r="P419" s="5" t="s">
        <v>86</v>
      </c>
      <c r="Q419" s="5" t="s">
        <v>85</v>
      </c>
      <c r="R419" s="5" t="s">
        <v>85</v>
      </c>
      <c r="S419" s="390">
        <v>7</v>
      </c>
      <c r="U419" s="5" t="s">
        <v>97</v>
      </c>
      <c r="W419" s="5" t="s">
        <v>2468</v>
      </c>
      <c r="X419" s="5" t="s">
        <v>103</v>
      </c>
      <c r="Y419" s="5" t="s">
        <v>2476</v>
      </c>
      <c r="AA419" s="5" t="s">
        <v>86</v>
      </c>
      <c r="AH419" s="1430" t="s">
        <v>86</v>
      </c>
      <c r="AY419" s="1430" t="s">
        <v>86</v>
      </c>
      <c r="BN419" s="1430" t="s">
        <v>86</v>
      </c>
      <c r="CF419" s="1442" t="str">
        <f>IF([1]!sommaire[[#This Row],[présence des personnes déplacés interne]]="Oui","1","0")</f>
        <v>0</v>
      </c>
      <c r="CG419" s="1442" t="str">
        <f>IF([1]!sommaire[[#This Row],[présence Réfugié hors camp]]="Oui","1","0")</f>
        <v>0</v>
      </c>
      <c r="CH419" s="1442" t="str">
        <f>IF([1]!sommaire[[#This Row],[présence personnes retournées]]="Oui","1","0")</f>
        <v>0</v>
      </c>
      <c r="CI419" s="1442">
        <f>[1]!sommaire[[#This Row],[Flag PDI]]+[1]!sommaire[[#This Row],[Flag REF]]+[1]!sommaire[[#This Row],[Flag RET]]</f>
        <v>0</v>
      </c>
    </row>
    <row r="420" spans="1:87" ht="14.55" customHeight="1" x14ac:dyDescent="0.3">
      <c r="A420" s="390">
        <v>2680241</v>
      </c>
      <c r="B420" s="5" t="s">
        <v>533</v>
      </c>
      <c r="C420" s="1430" t="s">
        <v>3449</v>
      </c>
      <c r="D420" s="1090" t="s">
        <v>534</v>
      </c>
      <c r="E420" s="5" t="s">
        <v>31</v>
      </c>
      <c r="F420" s="5" t="s">
        <v>31</v>
      </c>
      <c r="G420" s="5" t="s">
        <v>549</v>
      </c>
      <c r="H420" s="5" t="s">
        <v>169</v>
      </c>
      <c r="I420" s="5" t="str">
        <f>_xlfn.XLOOKUP(sommaire[[#This Row],[Arrondissement_code]],OCHA_GIS!$F:$F,OCHA_GIS!$E:$E,,)</f>
        <v>Logone-Birni</v>
      </c>
      <c r="J420" s="5" t="s">
        <v>673</v>
      </c>
      <c r="K420" t="s">
        <v>675</v>
      </c>
      <c r="L420" s="5" t="s">
        <v>1269</v>
      </c>
      <c r="N420" s="5" t="s">
        <v>3053</v>
      </c>
      <c r="O420" s="5" t="s">
        <v>2467</v>
      </c>
      <c r="P420" s="5" t="s">
        <v>85</v>
      </c>
      <c r="Q420" s="5" t="s">
        <v>86</v>
      </c>
      <c r="R420" s="5" t="s">
        <v>86</v>
      </c>
      <c r="T420" s="390">
        <v>3</v>
      </c>
      <c r="U420" s="5" t="s">
        <v>97</v>
      </c>
      <c r="W420" s="5" t="s">
        <v>2468</v>
      </c>
      <c r="X420" s="5" t="s">
        <v>102</v>
      </c>
      <c r="AA420" s="5" t="s">
        <v>85</v>
      </c>
      <c r="AB420" s="5" t="s">
        <v>2469</v>
      </c>
      <c r="AC420" s="5" t="s">
        <v>2470</v>
      </c>
      <c r="AD420" s="1090" t="s">
        <v>86</v>
      </c>
      <c r="AF420" s="5">
        <v>39</v>
      </c>
      <c r="AG420" s="5">
        <v>603</v>
      </c>
      <c r="AH420" s="5" t="s">
        <v>85</v>
      </c>
      <c r="AI420" s="5" t="s">
        <v>2471</v>
      </c>
      <c r="AJ420" s="5">
        <v>39</v>
      </c>
      <c r="AK420" s="5">
        <v>307</v>
      </c>
      <c r="AL420" s="5">
        <v>122</v>
      </c>
      <c r="AM420" s="5">
        <v>185</v>
      </c>
      <c r="AN420" s="5">
        <v>0</v>
      </c>
      <c r="AO420" s="5">
        <v>39</v>
      </c>
      <c r="AP420" s="5">
        <v>0</v>
      </c>
      <c r="AQ420" s="5">
        <v>0</v>
      </c>
      <c r="AT420" s="5">
        <v>0</v>
      </c>
      <c r="AU420" s="5">
        <v>0</v>
      </c>
      <c r="AX420" s="5">
        <v>0</v>
      </c>
      <c r="AY420" s="5" t="s">
        <v>86</v>
      </c>
      <c r="BN420" s="5" t="s">
        <v>86</v>
      </c>
      <c r="CD420" s="5">
        <v>0</v>
      </c>
      <c r="CF420" s="1442" t="str">
        <f>IF([1]!sommaire[[#This Row],[présence des personnes déplacés interne]]="Oui","1","0")</f>
        <v>1</v>
      </c>
      <c r="CG420" s="1442" t="str">
        <f>IF([1]!sommaire[[#This Row],[présence Réfugié hors camp]]="Oui","1","0")</f>
        <v>0</v>
      </c>
      <c r="CH420" s="1442" t="str">
        <f>IF([1]!sommaire[[#This Row],[présence personnes retournées]]="Oui","1","0")</f>
        <v>0</v>
      </c>
      <c r="CI420" s="1442">
        <f>[1]!sommaire[[#This Row],[Flag PDI]]+[1]!sommaire[[#This Row],[Flag REF]]+[1]!sommaire[[#This Row],[Flag RET]]</f>
        <v>1</v>
      </c>
    </row>
    <row r="421" spans="1:87" ht="14.55" customHeight="1" x14ac:dyDescent="0.3">
      <c r="A421" s="390">
        <v>2619966</v>
      </c>
      <c r="B421" s="5" t="s">
        <v>533</v>
      </c>
      <c r="C421" s="1430" t="s">
        <v>3449</v>
      </c>
      <c r="D421" s="1090" t="s">
        <v>534</v>
      </c>
      <c r="E421" s="5" t="s">
        <v>31</v>
      </c>
      <c r="F421" s="5" t="s">
        <v>31</v>
      </c>
      <c r="G421" s="5" t="s">
        <v>549</v>
      </c>
      <c r="H421" s="5" t="s">
        <v>169</v>
      </c>
      <c r="I421" s="5" t="str">
        <f>_xlfn.XLOOKUP(sommaire[[#This Row],[Arrondissement_code]],OCHA_GIS!$F:$F,OCHA_GIS!$E:$E,,)</f>
        <v>Logone-Birni</v>
      </c>
      <c r="J421" s="5" t="s">
        <v>673</v>
      </c>
      <c r="K421" t="s">
        <v>2894</v>
      </c>
      <c r="L421" s="5" t="s">
        <v>2343</v>
      </c>
      <c r="N421" s="5" t="s">
        <v>3053</v>
      </c>
      <c r="O421" s="5" t="s">
        <v>2467</v>
      </c>
      <c r="P421" s="5" t="s">
        <v>85</v>
      </c>
      <c r="Q421" s="5" t="s">
        <v>86</v>
      </c>
      <c r="R421" s="5" t="s">
        <v>85</v>
      </c>
      <c r="T421" s="390">
        <v>4</v>
      </c>
      <c r="U421" s="5" t="s">
        <v>97</v>
      </c>
      <c r="W421" s="5" t="s">
        <v>2468</v>
      </c>
      <c r="X421" s="5" t="s">
        <v>102</v>
      </c>
      <c r="AA421" s="5" t="s">
        <v>85</v>
      </c>
      <c r="AB421" s="5" t="s">
        <v>2469</v>
      </c>
      <c r="AC421" s="5" t="s">
        <v>2470</v>
      </c>
      <c r="AD421" s="5" t="s">
        <v>86</v>
      </c>
      <c r="AG421" s="5">
        <v>890</v>
      </c>
      <c r="AH421" s="5" t="s">
        <v>86</v>
      </c>
      <c r="AY421" s="5" t="s">
        <v>85</v>
      </c>
      <c r="AZ421" s="5">
        <v>17</v>
      </c>
      <c r="BA421" s="5">
        <v>72</v>
      </c>
      <c r="BB421" s="5">
        <v>30</v>
      </c>
      <c r="BC421" s="5">
        <v>42</v>
      </c>
      <c r="BD421" s="5">
        <v>17</v>
      </c>
      <c r="BE421" s="5">
        <v>0</v>
      </c>
      <c r="BF421" s="5">
        <v>0</v>
      </c>
      <c r="BH421" s="5">
        <v>0</v>
      </c>
      <c r="BI421" s="5">
        <v>0</v>
      </c>
      <c r="BL421" s="5">
        <v>0</v>
      </c>
      <c r="BM421" s="5">
        <v>0</v>
      </c>
      <c r="BN421" s="5" t="s">
        <v>85</v>
      </c>
      <c r="BO421" s="5">
        <v>89</v>
      </c>
      <c r="BP421" s="5">
        <v>567</v>
      </c>
      <c r="BQ421" s="5">
        <v>291</v>
      </c>
      <c r="BR421" s="5">
        <v>276</v>
      </c>
      <c r="BS421" s="5" t="s">
        <v>2492</v>
      </c>
      <c r="BT421" s="5">
        <v>0</v>
      </c>
      <c r="BU421" s="5">
        <v>89</v>
      </c>
      <c r="BV421" s="5">
        <v>0</v>
      </c>
      <c r="BW421" s="5">
        <v>0</v>
      </c>
      <c r="BX421" s="5">
        <v>0</v>
      </c>
      <c r="BZ421" s="5">
        <v>0</v>
      </c>
      <c r="CA421" s="5">
        <v>0</v>
      </c>
      <c r="CC421" s="5">
        <v>0</v>
      </c>
      <c r="CD421" s="5">
        <v>0</v>
      </c>
      <c r="CF421" s="1442" t="str">
        <f>IF([1]!sommaire[[#This Row],[présence des personnes déplacés interne]]="Oui","1","0")</f>
        <v>0</v>
      </c>
      <c r="CG421" s="1442" t="str">
        <f>IF([1]!sommaire[[#This Row],[présence Réfugié hors camp]]="Oui","1","0")</f>
        <v>1</v>
      </c>
      <c r="CH421" s="1442" t="str">
        <f>IF([1]!sommaire[[#This Row],[présence personnes retournées]]="Oui","1","0")</f>
        <v>1</v>
      </c>
      <c r="CI421" s="1442">
        <f>[1]!sommaire[[#This Row],[Flag PDI]]+[1]!sommaire[[#This Row],[Flag REF]]+[1]!sommaire[[#This Row],[Flag RET]]</f>
        <v>2</v>
      </c>
    </row>
    <row r="422" spans="1:87" ht="14.55" customHeight="1" x14ac:dyDescent="0.3">
      <c r="A422" s="390">
        <v>2647034</v>
      </c>
      <c r="B422" s="5" t="s">
        <v>533</v>
      </c>
      <c r="C422" s="1430" t="s">
        <v>3449</v>
      </c>
      <c r="D422" s="1090" t="s">
        <v>534</v>
      </c>
      <c r="E422" s="5" t="s">
        <v>31</v>
      </c>
      <c r="F422" s="5" t="s">
        <v>31</v>
      </c>
      <c r="G422" s="5" t="s">
        <v>549</v>
      </c>
      <c r="H422" s="5" t="s">
        <v>169</v>
      </c>
      <c r="I422" s="5" t="str">
        <f>_xlfn.XLOOKUP(sommaire[[#This Row],[Arrondissement_code]],OCHA_GIS!$F:$F,OCHA_GIS!$E:$E,,)</f>
        <v>Logone-Birni</v>
      </c>
      <c r="J422" s="5" t="s">
        <v>673</v>
      </c>
      <c r="K422" t="s">
        <v>3217</v>
      </c>
      <c r="L422" s="5" t="s">
        <v>3073</v>
      </c>
      <c r="N422" s="5" t="s">
        <v>3053</v>
      </c>
      <c r="O422" s="5" t="s">
        <v>2467</v>
      </c>
      <c r="P422" s="5" t="s">
        <v>85</v>
      </c>
      <c r="Q422" s="5" t="s">
        <v>86</v>
      </c>
      <c r="R422" s="5" t="s">
        <v>86</v>
      </c>
      <c r="T422" s="390">
        <v>3</v>
      </c>
      <c r="U422" s="5" t="s">
        <v>97</v>
      </c>
      <c r="W422" s="5" t="s">
        <v>2468</v>
      </c>
      <c r="X422" s="5" t="s">
        <v>102</v>
      </c>
      <c r="AA422" s="5" t="s">
        <v>85</v>
      </c>
      <c r="AB422" s="5" t="s">
        <v>2473</v>
      </c>
      <c r="AC422" s="5" t="s">
        <v>2470</v>
      </c>
      <c r="AD422" s="5" t="s">
        <v>86</v>
      </c>
      <c r="AG422" s="5">
        <v>100</v>
      </c>
      <c r="AH422" s="5" t="s">
        <v>86</v>
      </c>
      <c r="AY422" s="5" t="s">
        <v>86</v>
      </c>
      <c r="BN422" s="5" t="s">
        <v>85</v>
      </c>
      <c r="BO422" s="5">
        <v>19</v>
      </c>
      <c r="BP422" s="5">
        <v>100</v>
      </c>
      <c r="BQ422" s="5">
        <v>40</v>
      </c>
      <c r="BR422" s="5">
        <v>60</v>
      </c>
      <c r="BS422" s="5" t="s">
        <v>2484</v>
      </c>
      <c r="BT422" s="5">
        <v>0</v>
      </c>
      <c r="BU422" s="5">
        <v>0</v>
      </c>
      <c r="BV422" s="5">
        <v>2</v>
      </c>
      <c r="BW422" s="5">
        <v>0</v>
      </c>
      <c r="BX422" s="5">
        <v>0</v>
      </c>
      <c r="BZ422" s="5">
        <v>0</v>
      </c>
      <c r="CA422" s="5">
        <v>17</v>
      </c>
      <c r="CB422" s="5" t="s">
        <v>2490</v>
      </c>
      <c r="CC422" s="5">
        <v>0</v>
      </c>
      <c r="CD422" s="5">
        <v>0</v>
      </c>
      <c r="CF422" s="1442" t="str">
        <f>IF([1]!sommaire[[#This Row],[présence des personnes déplacés interne]]="Oui","1","0")</f>
        <v>0</v>
      </c>
      <c r="CG422" s="1442" t="str">
        <f>IF([1]!sommaire[[#This Row],[présence Réfugié hors camp]]="Oui","1","0")</f>
        <v>0</v>
      </c>
      <c r="CH422" s="1442" t="str">
        <f>IF([1]!sommaire[[#This Row],[présence personnes retournées]]="Oui","1","0")</f>
        <v>1</v>
      </c>
      <c r="CI422" s="1442">
        <f>[1]!sommaire[[#This Row],[Flag PDI]]+[1]!sommaire[[#This Row],[Flag REF]]+[1]!sommaire[[#This Row],[Flag RET]]</f>
        <v>1</v>
      </c>
    </row>
    <row r="423" spans="1:87" ht="14.55" customHeight="1" x14ac:dyDescent="0.3">
      <c r="A423" s="390">
        <v>2692388</v>
      </c>
      <c r="B423" s="5" t="s">
        <v>533</v>
      </c>
      <c r="C423" s="1430" t="s">
        <v>3449</v>
      </c>
      <c r="D423" s="1090" t="s">
        <v>534</v>
      </c>
      <c r="E423" s="5" t="s">
        <v>31</v>
      </c>
      <c r="F423" s="5" t="s">
        <v>31</v>
      </c>
      <c r="G423" s="5" t="s">
        <v>549</v>
      </c>
      <c r="H423" s="5" t="s">
        <v>169</v>
      </c>
      <c r="I423" s="5" t="str">
        <f>_xlfn.XLOOKUP(sommaire[[#This Row],[Arrondissement_code]],OCHA_GIS!$F:$F,OCHA_GIS!$E:$E,,)</f>
        <v>Logone-Birni</v>
      </c>
      <c r="J423" s="5" t="s">
        <v>673</v>
      </c>
      <c r="K423" t="s">
        <v>2939</v>
      </c>
      <c r="L423" s="5" t="s">
        <v>2296</v>
      </c>
      <c r="N423" s="5" t="s">
        <v>3053</v>
      </c>
      <c r="O423" s="5" t="s">
        <v>2467</v>
      </c>
      <c r="P423" s="5" t="s">
        <v>85</v>
      </c>
      <c r="Q423" s="5" t="s">
        <v>86</v>
      </c>
      <c r="R423" s="5" t="s">
        <v>86</v>
      </c>
      <c r="T423" s="390">
        <v>3</v>
      </c>
      <c r="U423" s="5" t="s">
        <v>97</v>
      </c>
      <c r="W423" s="5" t="s">
        <v>2468</v>
      </c>
      <c r="X423" s="5" t="s">
        <v>103</v>
      </c>
      <c r="Y423" s="5" t="s">
        <v>274</v>
      </c>
      <c r="AA423" s="5" t="s">
        <v>85</v>
      </c>
      <c r="AB423" s="5" t="s">
        <v>2469</v>
      </c>
      <c r="AC423" s="5" t="s">
        <v>2470</v>
      </c>
      <c r="AD423" s="1090" t="s">
        <v>86</v>
      </c>
      <c r="AG423" s="5">
        <v>247</v>
      </c>
      <c r="AH423" s="5" t="s">
        <v>86</v>
      </c>
      <c r="AY423" s="5" t="s">
        <v>86</v>
      </c>
      <c r="BN423" s="5" t="s">
        <v>85</v>
      </c>
      <c r="BO423" s="5">
        <v>56</v>
      </c>
      <c r="BP423" s="5">
        <v>247</v>
      </c>
      <c r="BQ423" s="5">
        <v>101</v>
      </c>
      <c r="BR423" s="5">
        <v>146</v>
      </c>
      <c r="BS423" s="5" t="s">
        <v>2492</v>
      </c>
      <c r="BT423" s="5">
        <v>0</v>
      </c>
      <c r="BU423" s="5">
        <v>0</v>
      </c>
      <c r="BV423" s="5">
        <v>0</v>
      </c>
      <c r="BW423" s="5">
        <v>0</v>
      </c>
      <c r="BX423" s="5">
        <v>0</v>
      </c>
      <c r="BZ423" s="5">
        <v>0</v>
      </c>
      <c r="CA423" s="5">
        <v>56</v>
      </c>
      <c r="CB423" s="5" t="s">
        <v>2478</v>
      </c>
      <c r="CC423" s="5">
        <v>0</v>
      </c>
      <c r="CD423" s="5">
        <v>0</v>
      </c>
      <c r="CF423" s="1442" t="str">
        <f>IF([1]!sommaire[[#This Row],[présence des personnes déplacés interne]]="Oui","1","0")</f>
        <v>0</v>
      </c>
      <c r="CG423" s="1442" t="str">
        <f>IF([1]!sommaire[[#This Row],[présence Réfugié hors camp]]="Oui","1","0")</f>
        <v>0</v>
      </c>
      <c r="CH423" s="1442" t="str">
        <f>IF([1]!sommaire[[#This Row],[présence personnes retournées]]="Oui","1","0")</f>
        <v>1</v>
      </c>
      <c r="CI423" s="1442">
        <f>[1]!sommaire[[#This Row],[Flag PDI]]+[1]!sommaire[[#This Row],[Flag REF]]+[1]!sommaire[[#This Row],[Flag RET]]</f>
        <v>1</v>
      </c>
    </row>
    <row r="424" spans="1:87" ht="14.55" customHeight="1" x14ac:dyDescent="0.3">
      <c r="A424" s="390">
        <v>2667497</v>
      </c>
      <c r="B424" s="5" t="s">
        <v>533</v>
      </c>
      <c r="C424" s="1430" t="s">
        <v>3449</v>
      </c>
      <c r="D424" s="1090" t="s">
        <v>534</v>
      </c>
      <c r="E424" s="5" t="s">
        <v>31</v>
      </c>
      <c r="F424" s="5" t="s">
        <v>31</v>
      </c>
      <c r="G424" s="5" t="s">
        <v>549</v>
      </c>
      <c r="H424" s="5" t="s">
        <v>169</v>
      </c>
      <c r="I424" s="5" t="str">
        <f>_xlfn.XLOOKUP(sommaire[[#This Row],[Arrondissement_code]],OCHA_GIS!$F:$F,OCHA_GIS!$E:$E,,)</f>
        <v>Logone-Birni</v>
      </c>
      <c r="J424" s="5" t="s">
        <v>673</v>
      </c>
      <c r="K424" t="s">
        <v>2942</v>
      </c>
      <c r="L424" s="5" t="s">
        <v>830</v>
      </c>
      <c r="N424" s="5" t="s">
        <v>3053</v>
      </c>
      <c r="O424" s="5" t="s">
        <v>2467</v>
      </c>
      <c r="P424" s="5" t="s">
        <v>85</v>
      </c>
      <c r="Q424" s="5" t="s">
        <v>86</v>
      </c>
      <c r="R424" s="5" t="s">
        <v>85</v>
      </c>
      <c r="T424" s="390">
        <v>3</v>
      </c>
      <c r="U424" s="5" t="s">
        <v>97</v>
      </c>
      <c r="W424" s="5" t="s">
        <v>2468</v>
      </c>
      <c r="X424" s="5" t="s">
        <v>102</v>
      </c>
      <c r="AA424" s="5" t="s">
        <v>85</v>
      </c>
      <c r="AB424" s="5" t="s">
        <v>2469</v>
      </c>
      <c r="AC424" s="5" t="s">
        <v>2470</v>
      </c>
      <c r="AD424" s="5" t="s">
        <v>86</v>
      </c>
      <c r="AF424" s="5">
        <v>35</v>
      </c>
      <c r="AG424" s="5">
        <v>350</v>
      </c>
      <c r="AH424" s="5" t="s">
        <v>85</v>
      </c>
      <c r="AI424" s="5" t="s">
        <v>2471</v>
      </c>
      <c r="AJ424" s="5">
        <v>35</v>
      </c>
      <c r="AK424" s="5">
        <v>80</v>
      </c>
      <c r="AL424" s="5">
        <v>32</v>
      </c>
      <c r="AM424" s="5">
        <v>48</v>
      </c>
      <c r="AN424" s="5">
        <v>0</v>
      </c>
      <c r="AO424" s="5">
        <v>35</v>
      </c>
      <c r="AP424" s="5">
        <v>0</v>
      </c>
      <c r="AQ424" s="5">
        <v>0</v>
      </c>
      <c r="AT424" s="5">
        <v>0</v>
      </c>
      <c r="AU424" s="5">
        <v>0</v>
      </c>
      <c r="AX424" s="5">
        <v>0</v>
      </c>
      <c r="AY424" s="5" t="s">
        <v>85</v>
      </c>
      <c r="AZ424" s="5">
        <v>5</v>
      </c>
      <c r="BA424" s="5">
        <v>35</v>
      </c>
      <c r="BB424" s="5">
        <v>15</v>
      </c>
      <c r="BC424" s="5">
        <v>20</v>
      </c>
      <c r="BD424" s="5">
        <v>5</v>
      </c>
      <c r="BE424" s="5">
        <v>0</v>
      </c>
      <c r="BF424" s="5">
        <v>0</v>
      </c>
      <c r="BH424" s="5">
        <v>0</v>
      </c>
      <c r="BI424" s="5">
        <v>0</v>
      </c>
      <c r="BL424" s="5">
        <v>0</v>
      </c>
      <c r="BM424" s="5">
        <v>0</v>
      </c>
      <c r="BN424" s="5" t="s">
        <v>85</v>
      </c>
      <c r="BO424" s="5">
        <v>10</v>
      </c>
      <c r="BP424" s="5">
        <v>54</v>
      </c>
      <c r="BQ424" s="5">
        <v>18</v>
      </c>
      <c r="BR424" s="5">
        <v>36</v>
      </c>
      <c r="BS424" s="5" t="s">
        <v>2492</v>
      </c>
      <c r="BT424" s="5">
        <v>0</v>
      </c>
      <c r="BU424" s="5">
        <v>10</v>
      </c>
      <c r="BV424" s="5">
        <v>0</v>
      </c>
      <c r="BW424" s="5">
        <v>0</v>
      </c>
      <c r="BX424" s="5">
        <v>0</v>
      </c>
      <c r="BZ424" s="5">
        <v>0</v>
      </c>
      <c r="CA424" s="5">
        <v>0</v>
      </c>
      <c r="CC424" s="5">
        <v>0</v>
      </c>
      <c r="CD424" s="5">
        <v>0</v>
      </c>
      <c r="CF424" s="1442" t="str">
        <f>IF([1]!sommaire[[#This Row],[présence des personnes déplacés interne]]="Oui","1","0")</f>
        <v>1</v>
      </c>
      <c r="CG424" s="1442" t="str">
        <f>IF([1]!sommaire[[#This Row],[présence Réfugié hors camp]]="Oui","1","0")</f>
        <v>1</v>
      </c>
      <c r="CH424" s="1442" t="str">
        <f>IF([1]!sommaire[[#This Row],[présence personnes retournées]]="Oui","1","0")</f>
        <v>1</v>
      </c>
      <c r="CI424" s="1442">
        <f>[1]!sommaire[[#This Row],[Flag PDI]]+[1]!sommaire[[#This Row],[Flag REF]]+[1]!sommaire[[#This Row],[Flag RET]]</f>
        <v>3</v>
      </c>
    </row>
    <row r="425" spans="1:87" ht="14.55" customHeight="1" x14ac:dyDescent="0.3">
      <c r="A425" s="390">
        <v>2621724</v>
      </c>
      <c r="B425" s="5" t="s">
        <v>533</v>
      </c>
      <c r="C425" s="1430" t="s">
        <v>3449</v>
      </c>
      <c r="D425" s="1090" t="s">
        <v>534</v>
      </c>
      <c r="E425" s="5" t="s">
        <v>31</v>
      </c>
      <c r="F425" s="5" t="s">
        <v>31</v>
      </c>
      <c r="G425" s="5" t="s">
        <v>549</v>
      </c>
      <c r="H425" s="5" t="s">
        <v>169</v>
      </c>
      <c r="I425" s="5" t="str">
        <f>_xlfn.XLOOKUP(sommaire[[#This Row],[Arrondissement_code]],OCHA_GIS!$F:$F,OCHA_GIS!$E:$E,,)</f>
        <v>Logone-Birni</v>
      </c>
      <c r="J425" s="5" t="s">
        <v>673</v>
      </c>
      <c r="K425" t="s">
        <v>2948</v>
      </c>
      <c r="L425" s="5" t="s">
        <v>1524</v>
      </c>
      <c r="N425" s="5" t="s">
        <v>3053</v>
      </c>
      <c r="O425" s="5" t="s">
        <v>2467</v>
      </c>
      <c r="P425" s="5" t="s">
        <v>85</v>
      </c>
      <c r="Q425" s="5" t="s">
        <v>86</v>
      </c>
      <c r="R425" s="5" t="s">
        <v>86</v>
      </c>
      <c r="T425" s="390">
        <v>3</v>
      </c>
      <c r="U425" s="5" t="s">
        <v>97</v>
      </c>
      <c r="W425" s="5" t="s">
        <v>2468</v>
      </c>
      <c r="X425" s="5" t="s">
        <v>102</v>
      </c>
      <c r="AA425" s="586" t="s">
        <v>85</v>
      </c>
      <c r="AB425" s="5" t="s">
        <v>2469</v>
      </c>
      <c r="AC425" s="5" t="s">
        <v>2470</v>
      </c>
      <c r="AD425" s="5" t="s">
        <v>86</v>
      </c>
      <c r="AF425" s="5">
        <v>10</v>
      </c>
      <c r="AG425" s="5">
        <v>475</v>
      </c>
      <c r="AH425" s="5" t="s">
        <v>85</v>
      </c>
      <c r="AI425" s="5" t="s">
        <v>2471</v>
      </c>
      <c r="AJ425" s="5">
        <v>10</v>
      </c>
      <c r="AK425" s="5">
        <v>55</v>
      </c>
      <c r="AL425" s="5">
        <v>29</v>
      </c>
      <c r="AM425" s="5">
        <v>26</v>
      </c>
      <c r="AN425" s="5">
        <v>0</v>
      </c>
      <c r="AO425" s="5">
        <v>10</v>
      </c>
      <c r="AP425" s="5">
        <v>0</v>
      </c>
      <c r="AQ425" s="5">
        <v>0</v>
      </c>
      <c r="AT425" s="5">
        <v>0</v>
      </c>
      <c r="AU425" s="5">
        <v>0</v>
      </c>
      <c r="AX425" s="5">
        <v>0</v>
      </c>
      <c r="AY425" s="5" t="s">
        <v>86</v>
      </c>
      <c r="BN425" s="5" t="s">
        <v>85</v>
      </c>
      <c r="BO425" s="5">
        <v>4</v>
      </c>
      <c r="BP425" s="5">
        <v>10</v>
      </c>
      <c r="BQ425" s="5">
        <v>4</v>
      </c>
      <c r="BR425" s="5">
        <v>6</v>
      </c>
      <c r="BS425" s="5" t="s">
        <v>2492</v>
      </c>
      <c r="BT425" s="5">
        <v>0</v>
      </c>
      <c r="BU425" s="5">
        <v>4</v>
      </c>
      <c r="BV425" s="5">
        <v>0</v>
      </c>
      <c r="BW425" s="5">
        <v>0</v>
      </c>
      <c r="BX425" s="5">
        <v>0</v>
      </c>
      <c r="BZ425" s="5">
        <v>0</v>
      </c>
      <c r="CA425" s="5">
        <v>0</v>
      </c>
      <c r="CC425" s="5">
        <v>0</v>
      </c>
      <c r="CD425" s="5">
        <v>0</v>
      </c>
      <c r="CF425" s="1442" t="str">
        <f>IF([1]!sommaire[[#This Row],[présence des personnes déplacés interne]]="Oui","1","0")</f>
        <v>1</v>
      </c>
      <c r="CG425" s="1442" t="str">
        <f>IF([1]!sommaire[[#This Row],[présence Réfugié hors camp]]="Oui","1","0")</f>
        <v>0</v>
      </c>
      <c r="CH425" s="1442" t="str">
        <f>IF([1]!sommaire[[#This Row],[présence personnes retournées]]="Oui","1","0")</f>
        <v>1</v>
      </c>
      <c r="CI425" s="1442">
        <f>[1]!sommaire[[#This Row],[Flag PDI]]+[1]!sommaire[[#This Row],[Flag REF]]+[1]!sommaire[[#This Row],[Flag RET]]</f>
        <v>2</v>
      </c>
    </row>
    <row r="426" spans="1:87" ht="14.55" customHeight="1" x14ac:dyDescent="0.3">
      <c r="A426" s="390">
        <v>2633734</v>
      </c>
      <c r="B426" s="5" t="s">
        <v>533</v>
      </c>
      <c r="C426" s="1430" t="s">
        <v>3449</v>
      </c>
      <c r="D426" s="1090" t="s">
        <v>534</v>
      </c>
      <c r="E426" s="5" t="s">
        <v>31</v>
      </c>
      <c r="F426" s="5" t="s">
        <v>31</v>
      </c>
      <c r="G426" s="5" t="s">
        <v>549</v>
      </c>
      <c r="H426" s="5" t="s">
        <v>169</v>
      </c>
      <c r="I426" s="5" t="str">
        <f>_xlfn.XLOOKUP(sommaire[[#This Row],[Arrondissement_code]],OCHA_GIS!$F:$F,OCHA_GIS!$E:$E,,)</f>
        <v>Logone-Birni</v>
      </c>
      <c r="J426" s="5" t="s">
        <v>673</v>
      </c>
      <c r="K426" t="s">
        <v>1131</v>
      </c>
      <c r="L426" s="5" t="s">
        <v>1475</v>
      </c>
      <c r="N426" s="5" t="s">
        <v>3053</v>
      </c>
      <c r="O426" s="5" t="s">
        <v>2467</v>
      </c>
      <c r="P426" s="5" t="s">
        <v>85</v>
      </c>
      <c r="Q426" s="5" t="s">
        <v>86</v>
      </c>
      <c r="R426" s="5" t="s">
        <v>86</v>
      </c>
      <c r="T426" s="390">
        <v>3</v>
      </c>
      <c r="U426" s="5" t="s">
        <v>97</v>
      </c>
      <c r="W426" s="5" t="s">
        <v>2468</v>
      </c>
      <c r="X426" s="5" t="s">
        <v>102</v>
      </c>
      <c r="AA426" s="5" t="s">
        <v>85</v>
      </c>
      <c r="AB426" s="5" t="s">
        <v>2469</v>
      </c>
      <c r="AC426" s="5" t="s">
        <v>2470</v>
      </c>
      <c r="AD426" s="5" t="s">
        <v>86</v>
      </c>
      <c r="AF426" s="5">
        <v>18</v>
      </c>
      <c r="AG426" s="5">
        <v>266</v>
      </c>
      <c r="AH426" s="5" t="s">
        <v>85</v>
      </c>
      <c r="AI426" s="5" t="s">
        <v>2471</v>
      </c>
      <c r="AJ426" s="5">
        <v>18</v>
      </c>
      <c r="AK426" s="5">
        <v>138</v>
      </c>
      <c r="AL426" s="5">
        <v>60</v>
      </c>
      <c r="AM426" s="5">
        <v>78</v>
      </c>
      <c r="AN426" s="5">
        <v>0</v>
      </c>
      <c r="AO426" s="5">
        <v>0</v>
      </c>
      <c r="AP426" s="5">
        <v>0</v>
      </c>
      <c r="AQ426" s="5">
        <v>0</v>
      </c>
      <c r="AT426" s="5">
        <v>0</v>
      </c>
      <c r="AU426" s="5">
        <v>18</v>
      </c>
      <c r="AV426" s="5" t="s">
        <v>2490</v>
      </c>
      <c r="AX426" s="5">
        <v>0</v>
      </c>
      <c r="AY426" s="5" t="s">
        <v>86</v>
      </c>
      <c r="BN426" s="5" t="s">
        <v>86</v>
      </c>
      <c r="CD426" s="5">
        <v>0</v>
      </c>
      <c r="CF426" s="1442" t="str">
        <f>IF([1]!sommaire[[#This Row],[présence des personnes déplacés interne]]="Oui","1","0")</f>
        <v>1</v>
      </c>
      <c r="CG426" s="1442" t="str">
        <f>IF([1]!sommaire[[#This Row],[présence Réfugié hors camp]]="Oui","1","0")</f>
        <v>0</v>
      </c>
      <c r="CH426" s="1442" t="str">
        <f>IF([1]!sommaire[[#This Row],[présence personnes retournées]]="Oui","1","0")</f>
        <v>0</v>
      </c>
      <c r="CI426" s="1442">
        <f>[1]!sommaire[[#This Row],[Flag PDI]]+[1]!sommaire[[#This Row],[Flag REF]]+[1]!sommaire[[#This Row],[Flag RET]]</f>
        <v>1</v>
      </c>
    </row>
    <row r="427" spans="1:87" ht="14.55" customHeight="1" x14ac:dyDescent="0.3">
      <c r="A427" s="390">
        <v>2706281</v>
      </c>
      <c r="B427" s="5" t="s">
        <v>533</v>
      </c>
      <c r="C427" s="1430" t="s">
        <v>3449</v>
      </c>
      <c r="D427" s="1090" t="s">
        <v>534</v>
      </c>
      <c r="E427" s="5" t="s">
        <v>31</v>
      </c>
      <c r="F427" s="5" t="s">
        <v>31</v>
      </c>
      <c r="G427" s="5" t="s">
        <v>549</v>
      </c>
      <c r="H427" s="5" t="s">
        <v>169</v>
      </c>
      <c r="I427" s="5" t="str">
        <f>_xlfn.XLOOKUP(sommaire[[#This Row],[Arrondissement_code]],OCHA_GIS!$F:$F,OCHA_GIS!$E:$E,,)</f>
        <v>Logone-Birni</v>
      </c>
      <c r="J427" s="5" t="s">
        <v>673</v>
      </c>
      <c r="K427" t="s">
        <v>2998</v>
      </c>
      <c r="L427" s="5" t="s">
        <v>2339</v>
      </c>
      <c r="N427" s="5" t="s">
        <v>3053</v>
      </c>
      <c r="O427" s="5" t="s">
        <v>2467</v>
      </c>
      <c r="P427" s="5" t="s">
        <v>85</v>
      </c>
      <c r="Q427" s="5" t="s">
        <v>86</v>
      </c>
      <c r="R427" s="5" t="s">
        <v>86</v>
      </c>
      <c r="T427" s="390">
        <v>3</v>
      </c>
      <c r="U427" s="5" t="s">
        <v>97</v>
      </c>
      <c r="W427" s="5" t="s">
        <v>2468</v>
      </c>
      <c r="X427" s="5" t="s">
        <v>103</v>
      </c>
      <c r="Y427" s="5" t="s">
        <v>274</v>
      </c>
      <c r="AA427" s="5" t="s">
        <v>85</v>
      </c>
      <c r="AB427" s="5" t="s">
        <v>2469</v>
      </c>
      <c r="AC427" s="5" t="s">
        <v>2470</v>
      </c>
      <c r="AD427" s="5" t="s">
        <v>86</v>
      </c>
      <c r="AG427" s="5">
        <v>402</v>
      </c>
      <c r="AH427" s="5" t="s">
        <v>86</v>
      </c>
      <c r="AY427" s="5" t="s">
        <v>86</v>
      </c>
      <c r="BN427" s="5" t="s">
        <v>85</v>
      </c>
      <c r="BO427" s="5">
        <v>126</v>
      </c>
      <c r="BP427" s="5">
        <v>402</v>
      </c>
      <c r="BQ427" s="5">
        <v>176</v>
      </c>
      <c r="BR427" s="5">
        <v>226</v>
      </c>
      <c r="BS427" s="5" t="s">
        <v>2484</v>
      </c>
      <c r="BT427" s="5">
        <v>0</v>
      </c>
      <c r="BU427" s="5">
        <v>126</v>
      </c>
      <c r="BV427" s="5">
        <v>0</v>
      </c>
      <c r="BW427" s="5">
        <v>0</v>
      </c>
      <c r="BX427" s="5">
        <v>0</v>
      </c>
      <c r="BZ427" s="5">
        <v>0</v>
      </c>
      <c r="CA427" s="5">
        <v>0</v>
      </c>
      <c r="CC427" s="5">
        <v>0</v>
      </c>
      <c r="CD427" s="5">
        <v>0</v>
      </c>
      <c r="CF427" s="1442" t="str">
        <f>IF([1]!sommaire[[#This Row],[présence des personnes déplacés interne]]="Oui","1","0")</f>
        <v>0</v>
      </c>
      <c r="CG427" s="1442" t="str">
        <f>IF([1]!sommaire[[#This Row],[présence Réfugié hors camp]]="Oui","1","0")</f>
        <v>0</v>
      </c>
      <c r="CH427" s="1442" t="str">
        <f>IF([1]!sommaire[[#This Row],[présence personnes retournées]]="Oui","1","0")</f>
        <v>1</v>
      </c>
      <c r="CI427" s="1442">
        <f>[1]!sommaire[[#This Row],[Flag PDI]]+[1]!sommaire[[#This Row],[Flag REF]]+[1]!sommaire[[#This Row],[Flag RET]]</f>
        <v>1</v>
      </c>
    </row>
    <row r="428" spans="1:87" ht="14.55" customHeight="1" x14ac:dyDescent="0.3">
      <c r="A428" s="390">
        <v>2695926</v>
      </c>
      <c r="B428" s="5" t="s">
        <v>533</v>
      </c>
      <c r="C428" s="1430" t="s">
        <v>3449</v>
      </c>
      <c r="D428" s="1090" t="s">
        <v>534</v>
      </c>
      <c r="E428" s="5" t="s">
        <v>31</v>
      </c>
      <c r="F428" s="5" t="s">
        <v>31</v>
      </c>
      <c r="G428" s="5" t="s">
        <v>549</v>
      </c>
      <c r="H428" s="5" t="s">
        <v>169</v>
      </c>
      <c r="I428" s="5" t="str">
        <f>_xlfn.XLOOKUP(sommaire[[#This Row],[Arrondissement_code]],OCHA_GIS!$F:$F,OCHA_GIS!$E:$E,,)</f>
        <v>Logone-Birni</v>
      </c>
      <c r="J428" s="5" t="s">
        <v>673</v>
      </c>
      <c r="K428" t="s">
        <v>3222</v>
      </c>
      <c r="L428" s="5" t="s">
        <v>3067</v>
      </c>
      <c r="N428" s="5" t="s">
        <v>3053</v>
      </c>
      <c r="O428" s="5" t="s">
        <v>2467</v>
      </c>
      <c r="P428" s="5" t="s">
        <v>85</v>
      </c>
      <c r="Q428" s="5" t="s">
        <v>86</v>
      </c>
      <c r="R428" s="5" t="s">
        <v>86</v>
      </c>
      <c r="T428" s="390">
        <v>4</v>
      </c>
      <c r="U428" s="5" t="s">
        <v>97</v>
      </c>
      <c r="W428" s="5" t="s">
        <v>2468</v>
      </c>
      <c r="X428" s="5" t="s">
        <v>103</v>
      </c>
      <c r="Y428" s="5" t="s">
        <v>274</v>
      </c>
      <c r="AA428" s="5" t="s">
        <v>85</v>
      </c>
      <c r="AB428" s="5" t="s">
        <v>2469</v>
      </c>
      <c r="AC428" s="5" t="s">
        <v>2470</v>
      </c>
      <c r="AD428" s="5" t="s">
        <v>86</v>
      </c>
      <c r="AG428" s="5">
        <v>360</v>
      </c>
      <c r="AH428" s="5" t="s">
        <v>86</v>
      </c>
      <c r="AY428" s="5" t="s">
        <v>86</v>
      </c>
      <c r="BN428" s="5" t="s">
        <v>85</v>
      </c>
      <c r="BO428" s="5">
        <v>35</v>
      </c>
      <c r="BP428" s="5">
        <v>360</v>
      </c>
      <c r="BQ428" s="5">
        <v>153</v>
      </c>
      <c r="BR428" s="5">
        <v>207</v>
      </c>
      <c r="BS428" s="5" t="s">
        <v>2484</v>
      </c>
      <c r="BT428" s="5">
        <v>10</v>
      </c>
      <c r="BU428" s="5">
        <v>25</v>
      </c>
      <c r="BV428" s="5">
        <v>0</v>
      </c>
      <c r="BW428" s="5">
        <v>0</v>
      </c>
      <c r="BX428" s="5">
        <v>0</v>
      </c>
      <c r="BZ428" s="5">
        <v>0</v>
      </c>
      <c r="CA428" s="5">
        <v>0</v>
      </c>
      <c r="CC428" s="5">
        <v>0</v>
      </c>
      <c r="CD428" s="5">
        <v>0</v>
      </c>
      <c r="CF428" s="1442" t="str">
        <f>IF([1]!sommaire[[#This Row],[présence des personnes déplacés interne]]="Oui","1","0")</f>
        <v>0</v>
      </c>
      <c r="CG428" s="1442" t="str">
        <f>IF([1]!sommaire[[#This Row],[présence Réfugié hors camp]]="Oui","1","0")</f>
        <v>0</v>
      </c>
      <c r="CH428" s="1442" t="str">
        <f>IF([1]!sommaire[[#This Row],[présence personnes retournées]]="Oui","1","0")</f>
        <v>1</v>
      </c>
      <c r="CI428" s="1442">
        <f>[1]!sommaire[[#This Row],[Flag PDI]]+[1]!sommaire[[#This Row],[Flag REF]]+[1]!sommaire[[#This Row],[Flag RET]]</f>
        <v>1</v>
      </c>
    </row>
    <row r="429" spans="1:87" ht="14.55" customHeight="1" x14ac:dyDescent="0.3">
      <c r="A429" s="390">
        <v>2647032</v>
      </c>
      <c r="B429" s="5" t="s">
        <v>533</v>
      </c>
      <c r="C429" s="1430" t="s">
        <v>3449</v>
      </c>
      <c r="D429" s="1090" t="s">
        <v>534</v>
      </c>
      <c r="E429" s="5" t="s">
        <v>31</v>
      </c>
      <c r="F429" s="5" t="s">
        <v>31</v>
      </c>
      <c r="G429" s="5" t="s">
        <v>549</v>
      </c>
      <c r="H429" s="5" t="s">
        <v>169</v>
      </c>
      <c r="I429" s="5" t="str">
        <f>_xlfn.XLOOKUP(sommaire[[#This Row],[Arrondissement_code]],OCHA_GIS!$F:$F,OCHA_GIS!$E:$E,,)</f>
        <v>Logone-Birni</v>
      </c>
      <c r="J429" s="5" t="s">
        <v>673</v>
      </c>
      <c r="K429" t="s">
        <v>2967</v>
      </c>
      <c r="L429" s="5" t="s">
        <v>815</v>
      </c>
      <c r="N429" s="5" t="s">
        <v>3053</v>
      </c>
      <c r="O429" s="5" t="s">
        <v>2467</v>
      </c>
      <c r="P429" s="5" t="s">
        <v>85</v>
      </c>
      <c r="Q429" s="5" t="s">
        <v>86</v>
      </c>
      <c r="R429" s="5" t="s">
        <v>86</v>
      </c>
      <c r="T429" s="390">
        <v>3</v>
      </c>
      <c r="U429" s="5" t="s">
        <v>97</v>
      </c>
      <c r="W429" s="5" t="s">
        <v>2468</v>
      </c>
      <c r="X429" s="5" t="s">
        <v>102</v>
      </c>
      <c r="AA429" s="5" t="s">
        <v>85</v>
      </c>
      <c r="AB429" s="5" t="s">
        <v>2469</v>
      </c>
      <c r="AC429" s="5" t="s">
        <v>2470</v>
      </c>
      <c r="AD429" s="5" t="s">
        <v>86</v>
      </c>
      <c r="AF429" s="5">
        <v>7</v>
      </c>
      <c r="AG429" s="5">
        <v>290</v>
      </c>
      <c r="AH429" s="5" t="s">
        <v>85</v>
      </c>
      <c r="AI429" s="5" t="s">
        <v>2471</v>
      </c>
      <c r="AJ429" s="5">
        <v>7</v>
      </c>
      <c r="AK429" s="5">
        <v>72</v>
      </c>
      <c r="AL429" s="5">
        <v>44</v>
      </c>
      <c r="AM429" s="5">
        <v>28</v>
      </c>
      <c r="AN429" s="5">
        <v>0</v>
      </c>
      <c r="AO429" s="5">
        <v>0</v>
      </c>
      <c r="AP429" s="5">
        <v>0</v>
      </c>
      <c r="AQ429" s="5">
        <v>0</v>
      </c>
      <c r="AT429" s="5">
        <v>0</v>
      </c>
      <c r="AU429" s="5">
        <v>7</v>
      </c>
      <c r="AV429" s="5" t="s">
        <v>2490</v>
      </c>
      <c r="AX429" s="5">
        <v>0</v>
      </c>
      <c r="AY429" s="5" t="s">
        <v>86</v>
      </c>
      <c r="BN429" s="5" t="s">
        <v>86</v>
      </c>
      <c r="CD429" s="5">
        <v>0</v>
      </c>
      <c r="CF429" s="1442" t="str">
        <f>IF([1]!sommaire[[#This Row],[présence des personnes déplacés interne]]="Oui","1","0")</f>
        <v>1</v>
      </c>
      <c r="CG429" s="1442" t="str">
        <f>IF([1]!sommaire[[#This Row],[présence Réfugié hors camp]]="Oui","1","0")</f>
        <v>0</v>
      </c>
      <c r="CH429" s="1442" t="str">
        <f>IF([1]!sommaire[[#This Row],[présence personnes retournées]]="Oui","1","0")</f>
        <v>0</v>
      </c>
      <c r="CI429" s="1442">
        <f>[1]!sommaire[[#This Row],[Flag PDI]]+[1]!sommaire[[#This Row],[Flag REF]]+[1]!sommaire[[#This Row],[Flag RET]]</f>
        <v>1</v>
      </c>
    </row>
    <row r="430" spans="1:87" ht="14.55" customHeight="1" x14ac:dyDescent="0.3">
      <c r="A430" s="390">
        <v>2633750</v>
      </c>
      <c r="B430" s="5" t="s">
        <v>533</v>
      </c>
      <c r="C430" s="1430" t="s">
        <v>3449</v>
      </c>
      <c r="D430" s="1090" t="s">
        <v>534</v>
      </c>
      <c r="E430" s="5" t="s">
        <v>31</v>
      </c>
      <c r="F430" s="5" t="s">
        <v>31</v>
      </c>
      <c r="G430" s="5" t="s">
        <v>549</v>
      </c>
      <c r="H430" s="5" t="s">
        <v>169</v>
      </c>
      <c r="I430" s="5" t="str">
        <f>_xlfn.XLOOKUP(sommaire[[#This Row],[Arrondissement_code]],OCHA_GIS!$F:$F,OCHA_GIS!$E:$E,,)</f>
        <v>Logone-Birni</v>
      </c>
      <c r="J430" s="5" t="s">
        <v>673</v>
      </c>
      <c r="K430" t="s">
        <v>2968</v>
      </c>
      <c r="L430" s="5" t="s">
        <v>1094</v>
      </c>
      <c r="N430" s="5" t="s">
        <v>3053</v>
      </c>
      <c r="O430" s="5" t="s">
        <v>2467</v>
      </c>
      <c r="P430" s="5" t="s">
        <v>85</v>
      </c>
      <c r="Q430" s="5" t="s">
        <v>86</v>
      </c>
      <c r="R430" s="5" t="s">
        <v>86</v>
      </c>
      <c r="T430" s="390">
        <v>3</v>
      </c>
      <c r="U430" s="5" t="s">
        <v>97</v>
      </c>
      <c r="W430" s="5" t="s">
        <v>2468</v>
      </c>
      <c r="X430" s="1090" t="s">
        <v>102</v>
      </c>
      <c r="AA430" s="1090" t="s">
        <v>85</v>
      </c>
      <c r="AB430" s="5" t="s">
        <v>2469</v>
      </c>
      <c r="AC430" s="5" t="s">
        <v>2470</v>
      </c>
      <c r="AD430" s="5" t="s">
        <v>86</v>
      </c>
      <c r="AF430" s="5">
        <v>14</v>
      </c>
      <c r="AG430" s="5">
        <v>908</v>
      </c>
      <c r="AH430" s="5" t="s">
        <v>85</v>
      </c>
      <c r="AI430" s="5" t="s">
        <v>2471</v>
      </c>
      <c r="AJ430" s="5">
        <v>14</v>
      </c>
      <c r="AK430" s="5">
        <v>85</v>
      </c>
      <c r="AL430" s="5">
        <v>37</v>
      </c>
      <c r="AM430" s="5">
        <v>48</v>
      </c>
      <c r="AN430" s="5">
        <v>0</v>
      </c>
      <c r="AO430" s="5">
        <v>10</v>
      </c>
      <c r="AP430" s="5">
        <v>0</v>
      </c>
      <c r="AQ430" s="5">
        <v>0</v>
      </c>
      <c r="AT430" s="5">
        <v>0</v>
      </c>
      <c r="AU430" s="5">
        <v>4</v>
      </c>
      <c r="AV430" s="5" t="s">
        <v>2490</v>
      </c>
      <c r="AX430" s="5">
        <v>0</v>
      </c>
      <c r="AY430" s="1090" t="s">
        <v>85</v>
      </c>
      <c r="AZ430" s="5">
        <v>44</v>
      </c>
      <c r="BA430" s="5">
        <v>244</v>
      </c>
      <c r="BB430" s="5">
        <v>109</v>
      </c>
      <c r="BC430" s="5">
        <v>135</v>
      </c>
      <c r="BD430" s="5">
        <v>0</v>
      </c>
      <c r="BE430" s="5">
        <v>0</v>
      </c>
      <c r="BF430" s="5">
        <v>0</v>
      </c>
      <c r="BH430" s="5">
        <v>0</v>
      </c>
      <c r="BI430" s="5">
        <v>44</v>
      </c>
      <c r="BJ430" s="5" t="s">
        <v>2490</v>
      </c>
      <c r="BL430" s="5">
        <v>0</v>
      </c>
      <c r="BM430" s="5">
        <v>44</v>
      </c>
      <c r="BN430" s="1090" t="s">
        <v>86</v>
      </c>
      <c r="CD430" s="5">
        <v>0</v>
      </c>
      <c r="CF430" s="1442" t="str">
        <f>IF([1]!sommaire[[#This Row],[présence des personnes déplacés interne]]="Oui","1","0")</f>
        <v>1</v>
      </c>
      <c r="CG430" s="1442" t="str">
        <f>IF([1]!sommaire[[#This Row],[présence Réfugié hors camp]]="Oui","1","0")</f>
        <v>1</v>
      </c>
      <c r="CH430" s="1442" t="str">
        <f>IF([1]!sommaire[[#This Row],[présence personnes retournées]]="Oui","1","0")</f>
        <v>0</v>
      </c>
      <c r="CI430" s="1442">
        <f>[1]!sommaire[[#This Row],[Flag PDI]]+[1]!sommaire[[#This Row],[Flag REF]]+[1]!sommaire[[#This Row],[Flag RET]]</f>
        <v>2</v>
      </c>
    </row>
    <row r="431" spans="1:87" ht="14.55" customHeight="1" x14ac:dyDescent="0.3">
      <c r="A431" s="390">
        <v>2619955</v>
      </c>
      <c r="B431" s="5" t="s">
        <v>533</v>
      </c>
      <c r="C431" s="1430" t="s">
        <v>3449</v>
      </c>
      <c r="D431" s="1090" t="s">
        <v>534</v>
      </c>
      <c r="E431" s="5" t="s">
        <v>31</v>
      </c>
      <c r="F431" s="5" t="s">
        <v>31</v>
      </c>
      <c r="G431" s="5" t="s">
        <v>549</v>
      </c>
      <c r="H431" s="5" t="s">
        <v>169</v>
      </c>
      <c r="I431" s="5" t="str">
        <f>_xlfn.XLOOKUP(sommaire[[#This Row],[Arrondissement_code]],OCHA_GIS!$F:$F,OCHA_GIS!$E:$E,,)</f>
        <v>Logone-Birni</v>
      </c>
      <c r="J431" s="5" t="s">
        <v>673</v>
      </c>
      <c r="K431" t="s">
        <v>2808</v>
      </c>
      <c r="L431" s="5" t="s">
        <v>2354</v>
      </c>
      <c r="N431" s="5" t="s">
        <v>3053</v>
      </c>
      <c r="O431" s="5" t="s">
        <v>2467</v>
      </c>
      <c r="P431" s="5" t="s">
        <v>85</v>
      </c>
      <c r="Q431" s="5" t="s">
        <v>86</v>
      </c>
      <c r="R431" s="5" t="s">
        <v>85</v>
      </c>
      <c r="T431" s="390">
        <v>3</v>
      </c>
      <c r="U431" s="5" t="s">
        <v>97</v>
      </c>
      <c r="W431" s="5" t="s">
        <v>2468</v>
      </c>
      <c r="X431" s="5" t="s">
        <v>103</v>
      </c>
      <c r="Y431" s="5" t="s">
        <v>274</v>
      </c>
      <c r="AA431" s="5" t="s">
        <v>85</v>
      </c>
      <c r="AB431" s="5" t="s">
        <v>2469</v>
      </c>
      <c r="AC431" s="5" t="s">
        <v>2470</v>
      </c>
      <c r="AD431" s="5" t="s">
        <v>86</v>
      </c>
      <c r="AG431" s="5">
        <v>550</v>
      </c>
      <c r="AH431" s="5" t="s">
        <v>86</v>
      </c>
      <c r="AY431" s="5" t="s">
        <v>85</v>
      </c>
      <c r="AZ431" s="5">
        <v>10</v>
      </c>
      <c r="BA431" s="5">
        <v>36</v>
      </c>
      <c r="BB431" s="5">
        <v>16</v>
      </c>
      <c r="BC431" s="5">
        <v>20</v>
      </c>
      <c r="BD431" s="5">
        <v>10</v>
      </c>
      <c r="BE431" s="5">
        <v>0</v>
      </c>
      <c r="BF431" s="5">
        <v>0</v>
      </c>
      <c r="BH431" s="5">
        <v>0</v>
      </c>
      <c r="BI431" s="5">
        <v>0</v>
      </c>
      <c r="BL431" s="5">
        <v>0</v>
      </c>
      <c r="BM431" s="5">
        <v>0</v>
      </c>
      <c r="BN431" s="5" t="s">
        <v>85</v>
      </c>
      <c r="BO431" s="5">
        <v>61</v>
      </c>
      <c r="BP431" s="5">
        <v>240</v>
      </c>
      <c r="BQ431" s="5">
        <v>100</v>
      </c>
      <c r="BR431" s="5">
        <v>140</v>
      </c>
      <c r="BS431" s="5" t="s">
        <v>2492</v>
      </c>
      <c r="BT431" s="5">
        <v>0</v>
      </c>
      <c r="BU431" s="5">
        <v>61</v>
      </c>
      <c r="BV431" s="5">
        <v>0</v>
      </c>
      <c r="BW431" s="5">
        <v>0</v>
      </c>
      <c r="BX431" s="5">
        <v>0</v>
      </c>
      <c r="BZ431" s="5">
        <v>0</v>
      </c>
      <c r="CA431" s="5">
        <v>0</v>
      </c>
      <c r="CC431" s="5">
        <v>0</v>
      </c>
      <c r="CD431" s="5">
        <v>0</v>
      </c>
      <c r="CF431" s="1442" t="str">
        <f>IF([1]!sommaire[[#This Row],[présence des personnes déplacés interne]]="Oui","1","0")</f>
        <v>0</v>
      </c>
      <c r="CG431" s="1442" t="str">
        <f>IF([1]!sommaire[[#This Row],[présence Réfugié hors camp]]="Oui","1","0")</f>
        <v>1</v>
      </c>
      <c r="CH431" s="1442" t="str">
        <f>IF([1]!sommaire[[#This Row],[présence personnes retournées]]="Oui","1","0")</f>
        <v>1</v>
      </c>
      <c r="CI431" s="1442">
        <f>[1]!sommaire[[#This Row],[Flag PDI]]+[1]!sommaire[[#This Row],[Flag REF]]+[1]!sommaire[[#This Row],[Flag RET]]</f>
        <v>2</v>
      </c>
    </row>
    <row r="432" spans="1:87" ht="14.55" customHeight="1" x14ac:dyDescent="0.3">
      <c r="A432" s="390">
        <v>2704545</v>
      </c>
      <c r="B432" s="5" t="s">
        <v>533</v>
      </c>
      <c r="C432" s="1430" t="s">
        <v>3449</v>
      </c>
      <c r="D432" s="1090" t="s">
        <v>534</v>
      </c>
      <c r="E432" s="5" t="s">
        <v>31</v>
      </c>
      <c r="F432" s="5" t="s">
        <v>31</v>
      </c>
      <c r="G432" s="5" t="s">
        <v>549</v>
      </c>
      <c r="H432" s="5" t="s">
        <v>169</v>
      </c>
      <c r="I432" s="5" t="str">
        <f>_xlfn.XLOOKUP(sommaire[[#This Row],[Arrondissement_code]],OCHA_GIS!$F:$F,OCHA_GIS!$E:$E,,)</f>
        <v>Logone-Birni</v>
      </c>
      <c r="J432" s="5" t="s">
        <v>673</v>
      </c>
      <c r="K432" t="s">
        <v>3223</v>
      </c>
      <c r="L432" s="5" t="s">
        <v>3066</v>
      </c>
      <c r="N432" s="5" t="s">
        <v>3053</v>
      </c>
      <c r="O432" s="5" t="s">
        <v>2467</v>
      </c>
      <c r="P432" s="5" t="s">
        <v>85</v>
      </c>
      <c r="Q432" s="5" t="s">
        <v>86</v>
      </c>
      <c r="R432" s="5" t="s">
        <v>86</v>
      </c>
      <c r="T432" s="390">
        <v>3</v>
      </c>
      <c r="U432" s="5" t="s">
        <v>97</v>
      </c>
      <c r="W432" s="5" t="s">
        <v>2468</v>
      </c>
      <c r="X432" s="5" t="s">
        <v>103</v>
      </c>
      <c r="Y432" s="5" t="s">
        <v>274</v>
      </c>
      <c r="AA432" s="5" t="s">
        <v>86</v>
      </c>
      <c r="AH432" s="1430" t="s">
        <v>86</v>
      </c>
      <c r="AY432" s="1430" t="s">
        <v>86</v>
      </c>
      <c r="BN432" s="1430" t="s">
        <v>86</v>
      </c>
      <c r="CF432" s="1442" t="str">
        <f>IF([1]!sommaire[[#This Row],[présence des personnes déplacés interne]]="Oui","1","0")</f>
        <v>0</v>
      </c>
      <c r="CG432" s="1442" t="str">
        <f>IF([1]!sommaire[[#This Row],[présence Réfugié hors camp]]="Oui","1","0")</f>
        <v>0</v>
      </c>
      <c r="CH432" s="1442" t="str">
        <f>IF([1]!sommaire[[#This Row],[présence personnes retournées]]="Oui","1","0")</f>
        <v>0</v>
      </c>
      <c r="CI432" s="1442">
        <f>[1]!sommaire[[#This Row],[Flag PDI]]+[1]!sommaire[[#This Row],[Flag REF]]+[1]!sommaire[[#This Row],[Flag RET]]</f>
        <v>0</v>
      </c>
    </row>
    <row r="433" spans="1:87" ht="14.55" customHeight="1" x14ac:dyDescent="0.3">
      <c r="A433" s="390">
        <v>2578475</v>
      </c>
      <c r="B433" s="5" t="s">
        <v>533</v>
      </c>
      <c r="C433" s="1430" t="s">
        <v>3449</v>
      </c>
      <c r="D433" s="1090" t="s">
        <v>534</v>
      </c>
      <c r="E433" s="5" t="s">
        <v>31</v>
      </c>
      <c r="F433" s="5" t="s">
        <v>31</v>
      </c>
      <c r="G433" s="5" t="s">
        <v>549</v>
      </c>
      <c r="H433" s="5" t="s">
        <v>169</v>
      </c>
      <c r="I433" s="5" t="str">
        <f>_xlfn.XLOOKUP(sommaire[[#This Row],[Arrondissement_code]],OCHA_GIS!$F:$F,OCHA_GIS!$E:$E,,)</f>
        <v>Logone-Birni</v>
      </c>
      <c r="J433" s="5" t="s">
        <v>673</v>
      </c>
      <c r="K433" t="s">
        <v>2803</v>
      </c>
      <c r="L433" s="5" t="s">
        <v>3090</v>
      </c>
      <c r="N433" s="5" t="s">
        <v>3053</v>
      </c>
      <c r="O433" s="5" t="s">
        <v>2467</v>
      </c>
      <c r="P433" s="5" t="s">
        <v>85</v>
      </c>
      <c r="Q433" s="5" t="s">
        <v>86</v>
      </c>
      <c r="R433" s="5" t="s">
        <v>86</v>
      </c>
      <c r="T433" s="390">
        <v>3</v>
      </c>
      <c r="U433" s="5" t="s">
        <v>97</v>
      </c>
      <c r="W433" s="5" t="s">
        <v>2468</v>
      </c>
      <c r="X433" s="5" t="s">
        <v>102</v>
      </c>
      <c r="AA433" s="5" t="s">
        <v>85</v>
      </c>
      <c r="AB433" s="5" t="s">
        <v>2469</v>
      </c>
      <c r="AC433" s="5" t="s">
        <v>2470</v>
      </c>
      <c r="AD433" s="5" t="s">
        <v>86</v>
      </c>
      <c r="AG433" s="5">
        <v>353</v>
      </c>
      <c r="AH433" s="5" t="s">
        <v>86</v>
      </c>
      <c r="AY433" s="5" t="s">
        <v>86</v>
      </c>
      <c r="BN433" s="5" t="s">
        <v>85</v>
      </c>
      <c r="BO433" s="5">
        <v>1</v>
      </c>
      <c r="BP433" s="5">
        <v>3</v>
      </c>
      <c r="BQ433" s="5">
        <v>1</v>
      </c>
      <c r="BR433" s="5">
        <v>2</v>
      </c>
      <c r="BS433" s="5" t="s">
        <v>2492</v>
      </c>
      <c r="BT433" s="5">
        <v>0</v>
      </c>
      <c r="BU433" s="5">
        <v>1</v>
      </c>
      <c r="BV433" s="5">
        <v>0</v>
      </c>
      <c r="BW433" s="5">
        <v>0</v>
      </c>
      <c r="BX433" s="5">
        <v>0</v>
      </c>
      <c r="BZ433" s="5">
        <v>0</v>
      </c>
      <c r="CA433" s="5">
        <v>0</v>
      </c>
      <c r="CC433" s="5">
        <v>0</v>
      </c>
      <c r="CD433" s="5">
        <v>0</v>
      </c>
      <c r="CF433" s="1442" t="str">
        <f>IF([1]!sommaire[[#This Row],[présence des personnes déplacés interne]]="Oui","1","0")</f>
        <v>0</v>
      </c>
      <c r="CG433" s="1442" t="str">
        <f>IF([1]!sommaire[[#This Row],[présence Réfugié hors camp]]="Oui","1","0")</f>
        <v>0</v>
      </c>
      <c r="CH433" s="1442" t="str">
        <f>IF([1]!sommaire[[#This Row],[présence personnes retournées]]="Oui","1","0")</f>
        <v>1</v>
      </c>
      <c r="CI433" s="1442">
        <f>[1]!sommaire[[#This Row],[Flag PDI]]+[1]!sommaire[[#This Row],[Flag REF]]+[1]!sommaire[[#This Row],[Flag RET]]</f>
        <v>1</v>
      </c>
    </row>
    <row r="434" spans="1:87" ht="14.55" customHeight="1" x14ac:dyDescent="0.3">
      <c r="A434" s="390">
        <v>2659540</v>
      </c>
      <c r="B434" s="5" t="s">
        <v>533</v>
      </c>
      <c r="C434" s="1430" t="s">
        <v>3449</v>
      </c>
      <c r="D434" s="1090" t="s">
        <v>534</v>
      </c>
      <c r="E434" s="5" t="s">
        <v>31</v>
      </c>
      <c r="F434" s="5" t="s">
        <v>31</v>
      </c>
      <c r="G434" s="5" t="s">
        <v>549</v>
      </c>
      <c r="H434" s="5" t="s">
        <v>169</v>
      </c>
      <c r="I434" s="5" t="str">
        <f>_xlfn.XLOOKUP(sommaire[[#This Row],[Arrondissement_code]],OCHA_GIS!$F:$F,OCHA_GIS!$E:$E,,)</f>
        <v>Logone-Birni</v>
      </c>
      <c r="J434" s="5" t="s">
        <v>673</v>
      </c>
      <c r="K434" t="s">
        <v>2574</v>
      </c>
      <c r="L434" s="5" t="s">
        <v>613</v>
      </c>
      <c r="N434" s="5" t="s">
        <v>3053</v>
      </c>
      <c r="O434" s="5" t="s">
        <v>2467</v>
      </c>
      <c r="P434" s="5" t="s">
        <v>85</v>
      </c>
      <c r="Q434" s="5" t="s">
        <v>86</v>
      </c>
      <c r="R434" s="5" t="s">
        <v>85</v>
      </c>
      <c r="T434" s="390">
        <v>4</v>
      </c>
      <c r="U434" s="5" t="s">
        <v>97</v>
      </c>
      <c r="W434" s="5" t="s">
        <v>2468</v>
      </c>
      <c r="X434" s="5" t="s">
        <v>101</v>
      </c>
      <c r="Y434" s="5" t="s">
        <v>274</v>
      </c>
      <c r="AA434" s="5" t="s">
        <v>85</v>
      </c>
      <c r="AB434" s="5" t="s">
        <v>2469</v>
      </c>
      <c r="AC434" s="5" t="s">
        <v>2470</v>
      </c>
      <c r="AD434" s="5" t="s">
        <v>86</v>
      </c>
      <c r="AF434" s="5">
        <v>8</v>
      </c>
      <c r="AG434" s="5">
        <v>602</v>
      </c>
      <c r="AH434" s="5" t="s">
        <v>85</v>
      </c>
      <c r="AI434" s="5" t="s">
        <v>2471</v>
      </c>
      <c r="AJ434" s="5">
        <v>8</v>
      </c>
      <c r="AK434" s="5">
        <v>39</v>
      </c>
      <c r="AL434" s="5">
        <v>19</v>
      </c>
      <c r="AM434" s="5">
        <v>20</v>
      </c>
      <c r="AN434" s="5">
        <v>0</v>
      </c>
      <c r="AO434" s="5">
        <v>8</v>
      </c>
      <c r="AP434" s="5">
        <v>0</v>
      </c>
      <c r="AQ434" s="5">
        <v>0</v>
      </c>
      <c r="AT434" s="5">
        <v>0</v>
      </c>
      <c r="AU434" s="5">
        <v>0</v>
      </c>
      <c r="AX434" s="5">
        <v>0</v>
      </c>
      <c r="AY434" s="5" t="s">
        <v>85</v>
      </c>
      <c r="AZ434" s="5">
        <v>22</v>
      </c>
      <c r="BA434" s="5">
        <v>113</v>
      </c>
      <c r="BB434" s="5">
        <v>60</v>
      </c>
      <c r="BC434" s="5">
        <v>53</v>
      </c>
      <c r="BD434" s="5">
        <v>22</v>
      </c>
      <c r="BE434" s="5">
        <v>0</v>
      </c>
      <c r="BF434" s="5">
        <v>0</v>
      </c>
      <c r="BH434" s="5">
        <v>0</v>
      </c>
      <c r="BI434" s="5">
        <v>0</v>
      </c>
      <c r="BL434" s="5">
        <v>0</v>
      </c>
      <c r="BM434" s="5">
        <v>0</v>
      </c>
      <c r="BN434" s="5" t="s">
        <v>85</v>
      </c>
      <c r="BO434" s="5">
        <v>49</v>
      </c>
      <c r="BP434" s="5">
        <v>450</v>
      </c>
      <c r="BQ434" s="5">
        <v>208</v>
      </c>
      <c r="BR434" s="5">
        <v>242</v>
      </c>
      <c r="BS434" s="5" t="s">
        <v>2492</v>
      </c>
      <c r="BT434" s="5">
        <v>0</v>
      </c>
      <c r="BU434" s="5">
        <v>49</v>
      </c>
      <c r="BV434" s="5">
        <v>0</v>
      </c>
      <c r="BW434" s="5">
        <v>0</v>
      </c>
      <c r="BX434" s="5">
        <v>0</v>
      </c>
      <c r="BZ434" s="5">
        <v>0</v>
      </c>
      <c r="CA434" s="5">
        <v>0</v>
      </c>
      <c r="CC434" s="5">
        <v>0</v>
      </c>
      <c r="CD434" s="5">
        <v>0</v>
      </c>
      <c r="CF434" s="1442" t="str">
        <f>IF([1]!sommaire[[#This Row],[présence des personnes déplacés interne]]="Oui","1","0")</f>
        <v>1</v>
      </c>
      <c r="CG434" s="1442" t="str">
        <f>IF([1]!sommaire[[#This Row],[présence Réfugié hors camp]]="Oui","1","0")</f>
        <v>1</v>
      </c>
      <c r="CH434" s="1442" t="str">
        <f>IF([1]!sommaire[[#This Row],[présence personnes retournées]]="Oui","1","0")</f>
        <v>1</v>
      </c>
      <c r="CI434" s="1442">
        <f>[1]!sommaire[[#This Row],[Flag PDI]]+[1]!sommaire[[#This Row],[Flag REF]]+[1]!sommaire[[#This Row],[Flag RET]]</f>
        <v>3</v>
      </c>
    </row>
    <row r="435" spans="1:87" ht="14.55" customHeight="1" x14ac:dyDescent="0.3">
      <c r="A435" s="390">
        <v>2691074</v>
      </c>
      <c r="B435" s="5" t="s">
        <v>533</v>
      </c>
      <c r="C435" s="1430" t="s">
        <v>3449</v>
      </c>
      <c r="D435" s="1090" t="s">
        <v>534</v>
      </c>
      <c r="E435" s="5" t="s">
        <v>31</v>
      </c>
      <c r="F435" s="5" t="s">
        <v>31</v>
      </c>
      <c r="G435" s="5" t="s">
        <v>549</v>
      </c>
      <c r="H435" s="5" t="s">
        <v>169</v>
      </c>
      <c r="I435" s="5" t="str">
        <f>_xlfn.XLOOKUP(sommaire[[#This Row],[Arrondissement_code]],OCHA_GIS!$F:$F,OCHA_GIS!$E:$E,,)</f>
        <v>Logone-Birni</v>
      </c>
      <c r="J435" s="5" t="s">
        <v>673</v>
      </c>
      <c r="K435" t="s">
        <v>3226</v>
      </c>
      <c r="L435" s="5" t="s">
        <v>3071</v>
      </c>
      <c r="N435" s="5" t="s">
        <v>3053</v>
      </c>
      <c r="O435" s="5" t="s">
        <v>2467</v>
      </c>
      <c r="P435" s="5" t="s">
        <v>85</v>
      </c>
      <c r="Q435" s="5" t="s">
        <v>86</v>
      </c>
      <c r="R435" s="5" t="s">
        <v>86</v>
      </c>
      <c r="T435" s="390">
        <v>4</v>
      </c>
      <c r="U435" s="5" t="s">
        <v>97</v>
      </c>
      <c r="W435" s="5" t="s">
        <v>2468</v>
      </c>
      <c r="X435" s="5" t="s">
        <v>103</v>
      </c>
      <c r="Y435" s="5" t="s">
        <v>274</v>
      </c>
      <c r="AA435" s="5" t="s">
        <v>85</v>
      </c>
      <c r="AB435" s="5" t="s">
        <v>2469</v>
      </c>
      <c r="AC435" s="5" t="s">
        <v>2470</v>
      </c>
      <c r="AD435" s="5" t="s">
        <v>86</v>
      </c>
      <c r="AG435" s="5">
        <v>360</v>
      </c>
      <c r="AH435" s="5" t="s">
        <v>86</v>
      </c>
      <c r="AY435" s="5" t="s">
        <v>86</v>
      </c>
      <c r="BN435" s="5" t="s">
        <v>85</v>
      </c>
      <c r="BO435" s="5">
        <v>46</v>
      </c>
      <c r="BP435" s="5">
        <v>360</v>
      </c>
      <c r="BQ435" s="5">
        <v>160</v>
      </c>
      <c r="BR435" s="5">
        <v>200</v>
      </c>
      <c r="BS435" s="5" t="s">
        <v>2492</v>
      </c>
      <c r="BT435" s="5">
        <v>40</v>
      </c>
      <c r="BU435" s="5">
        <v>6</v>
      </c>
      <c r="BV435" s="5">
        <v>0</v>
      </c>
      <c r="BW435" s="5">
        <v>0</v>
      </c>
      <c r="BX435" s="5">
        <v>0</v>
      </c>
      <c r="BZ435" s="5">
        <v>0</v>
      </c>
      <c r="CA435" s="5">
        <v>0</v>
      </c>
      <c r="CC435" s="5">
        <v>0</v>
      </c>
      <c r="CD435" s="5">
        <v>0</v>
      </c>
      <c r="CF435" s="1442" t="str">
        <f>IF([1]!sommaire[[#This Row],[présence des personnes déplacés interne]]="Oui","1","0")</f>
        <v>0</v>
      </c>
      <c r="CG435" s="1442" t="str">
        <f>IF([1]!sommaire[[#This Row],[présence Réfugié hors camp]]="Oui","1","0")</f>
        <v>0</v>
      </c>
      <c r="CH435" s="1442" t="str">
        <f>IF([1]!sommaire[[#This Row],[présence personnes retournées]]="Oui","1","0")</f>
        <v>1</v>
      </c>
      <c r="CI435" s="1442">
        <f>[1]!sommaire[[#This Row],[Flag PDI]]+[1]!sommaire[[#This Row],[Flag REF]]+[1]!sommaire[[#This Row],[Flag RET]]</f>
        <v>1</v>
      </c>
    </row>
    <row r="436" spans="1:87" ht="14.55" customHeight="1" x14ac:dyDescent="0.3">
      <c r="A436" s="390">
        <v>2720961</v>
      </c>
      <c r="B436" s="5" t="s">
        <v>533</v>
      </c>
      <c r="C436" s="1430" t="s">
        <v>3449</v>
      </c>
      <c r="D436" s="1090" t="s">
        <v>534</v>
      </c>
      <c r="E436" s="5" t="s">
        <v>31</v>
      </c>
      <c r="F436" s="5" t="s">
        <v>31</v>
      </c>
      <c r="G436" s="5" t="s">
        <v>549</v>
      </c>
      <c r="H436" s="5" t="s">
        <v>169</v>
      </c>
      <c r="I436" s="5" t="str">
        <f>_xlfn.XLOOKUP(sommaire[[#This Row],[Arrondissement_code]],OCHA_GIS!$F:$F,OCHA_GIS!$E:$E,,)</f>
        <v>Logone-Birni</v>
      </c>
      <c r="J436" s="5" t="s">
        <v>673</v>
      </c>
      <c r="K436" t="s">
        <v>3002</v>
      </c>
      <c r="L436" s="5" t="s">
        <v>2334</v>
      </c>
      <c r="N436" s="5" t="s">
        <v>3053</v>
      </c>
      <c r="O436" s="5" t="s">
        <v>2467</v>
      </c>
      <c r="P436" s="5" t="s">
        <v>85</v>
      </c>
      <c r="Q436" s="5" t="s">
        <v>86</v>
      </c>
      <c r="R436" s="5" t="s">
        <v>86</v>
      </c>
      <c r="T436" s="390">
        <v>3</v>
      </c>
      <c r="U436" s="5" t="s">
        <v>97</v>
      </c>
      <c r="W436" s="5" t="s">
        <v>2468</v>
      </c>
      <c r="X436" s="5" t="s">
        <v>103</v>
      </c>
      <c r="Y436" s="5" t="s">
        <v>274</v>
      </c>
      <c r="AA436" s="5" t="s">
        <v>85</v>
      </c>
      <c r="AB436" s="5" t="s">
        <v>2469</v>
      </c>
      <c r="AC436" s="5" t="s">
        <v>2470</v>
      </c>
      <c r="AD436" s="1090" t="s">
        <v>86</v>
      </c>
      <c r="AG436" s="5">
        <v>255</v>
      </c>
      <c r="AH436" s="5" t="s">
        <v>86</v>
      </c>
      <c r="AY436" s="5" t="s">
        <v>86</v>
      </c>
      <c r="BN436" s="5" t="s">
        <v>85</v>
      </c>
      <c r="BO436" s="5">
        <v>127</v>
      </c>
      <c r="BP436" s="5">
        <v>255</v>
      </c>
      <c r="BQ436" s="5">
        <v>110</v>
      </c>
      <c r="BR436" s="5">
        <v>145</v>
      </c>
      <c r="BS436" s="5" t="s">
        <v>2484</v>
      </c>
      <c r="BT436" s="5">
        <v>93</v>
      </c>
      <c r="BU436" s="5">
        <v>34</v>
      </c>
      <c r="BV436" s="5">
        <v>0</v>
      </c>
      <c r="BW436" s="5">
        <v>0</v>
      </c>
      <c r="BX436" s="5">
        <v>0</v>
      </c>
      <c r="BZ436" s="5">
        <v>0</v>
      </c>
      <c r="CA436" s="5">
        <v>0</v>
      </c>
      <c r="CC436" s="5">
        <v>0</v>
      </c>
      <c r="CD436" s="5">
        <v>0</v>
      </c>
      <c r="CF436" s="1442" t="str">
        <f>IF([1]!sommaire[[#This Row],[présence des personnes déplacés interne]]="Oui","1","0")</f>
        <v>0</v>
      </c>
      <c r="CG436" s="1442" t="str">
        <f>IF([1]!sommaire[[#This Row],[présence Réfugié hors camp]]="Oui","1","0")</f>
        <v>0</v>
      </c>
      <c r="CH436" s="1442" t="str">
        <f>IF([1]!sommaire[[#This Row],[présence personnes retournées]]="Oui","1","0")</f>
        <v>1</v>
      </c>
      <c r="CI436" s="1442">
        <f>[1]!sommaire[[#This Row],[Flag PDI]]+[1]!sommaire[[#This Row],[Flag REF]]+[1]!sommaire[[#This Row],[Flag RET]]</f>
        <v>1</v>
      </c>
    </row>
    <row r="437" spans="1:87" ht="14.55" customHeight="1" x14ac:dyDescent="0.3">
      <c r="A437" s="390">
        <v>2682900</v>
      </c>
      <c r="B437" s="5" t="s">
        <v>533</v>
      </c>
      <c r="C437" s="1430" t="s">
        <v>3449</v>
      </c>
      <c r="D437" s="1090" t="s">
        <v>534</v>
      </c>
      <c r="E437" s="5" t="s">
        <v>31</v>
      </c>
      <c r="F437" s="5" t="s">
        <v>31</v>
      </c>
      <c r="G437" s="5" t="s">
        <v>549</v>
      </c>
      <c r="H437" s="5" t="s">
        <v>169</v>
      </c>
      <c r="I437" s="5" t="str">
        <f>_xlfn.XLOOKUP(sommaire[[#This Row],[Arrondissement_code]],OCHA_GIS!$F:$F,OCHA_GIS!$E:$E,,)</f>
        <v>Logone-Birni</v>
      </c>
      <c r="J437" s="5" t="s">
        <v>673</v>
      </c>
      <c r="K437" t="s">
        <v>2572</v>
      </c>
      <c r="L437" s="5" t="s">
        <v>1271</v>
      </c>
      <c r="N437" s="5" t="s">
        <v>3053</v>
      </c>
      <c r="O437" s="5" t="s">
        <v>2467</v>
      </c>
      <c r="P437" s="5" t="s">
        <v>85</v>
      </c>
      <c r="Q437" s="5" t="s">
        <v>86</v>
      </c>
      <c r="R437" s="5" t="s">
        <v>86</v>
      </c>
      <c r="T437" s="390">
        <v>4</v>
      </c>
      <c r="U437" s="5" t="s">
        <v>97</v>
      </c>
      <c r="W437" s="5" t="s">
        <v>2468</v>
      </c>
      <c r="X437" s="5" t="s">
        <v>102</v>
      </c>
      <c r="AA437" s="5" t="s">
        <v>85</v>
      </c>
      <c r="AB437" s="5" t="s">
        <v>2469</v>
      </c>
      <c r="AC437" s="5" t="s">
        <v>2470</v>
      </c>
      <c r="AD437" s="1090" t="s">
        <v>86</v>
      </c>
      <c r="AF437" s="5">
        <v>16</v>
      </c>
      <c r="AG437" s="5">
        <v>500</v>
      </c>
      <c r="AH437" s="5" t="s">
        <v>85</v>
      </c>
      <c r="AI437" s="5" t="s">
        <v>2471</v>
      </c>
      <c r="AJ437" s="5">
        <v>16</v>
      </c>
      <c r="AK437" s="5">
        <v>117</v>
      </c>
      <c r="AL437" s="5">
        <v>52</v>
      </c>
      <c r="AM437" s="5">
        <v>65</v>
      </c>
      <c r="AN437" s="5">
        <v>0</v>
      </c>
      <c r="AO437" s="5">
        <v>0</v>
      </c>
      <c r="AP437" s="5">
        <v>0</v>
      </c>
      <c r="AQ437" s="5">
        <v>0</v>
      </c>
      <c r="AT437" s="5">
        <v>0</v>
      </c>
      <c r="AU437" s="5">
        <v>16</v>
      </c>
      <c r="AV437" s="5" t="s">
        <v>2478</v>
      </c>
      <c r="AX437" s="5">
        <v>0</v>
      </c>
      <c r="AY437" s="5" t="s">
        <v>85</v>
      </c>
      <c r="AZ437" s="5">
        <v>18</v>
      </c>
      <c r="BA437" s="5">
        <v>205</v>
      </c>
      <c r="BB437" s="5">
        <v>82</v>
      </c>
      <c r="BC437" s="5">
        <v>123</v>
      </c>
      <c r="BD437" s="5">
        <v>0</v>
      </c>
      <c r="BE437" s="5">
        <v>0</v>
      </c>
      <c r="BF437" s="5">
        <v>0</v>
      </c>
      <c r="BH437" s="5">
        <v>0</v>
      </c>
      <c r="BI437" s="5">
        <v>18</v>
      </c>
      <c r="BJ437" s="5" t="s">
        <v>2478</v>
      </c>
      <c r="BL437" s="5">
        <v>0</v>
      </c>
      <c r="BM437" s="5">
        <v>0</v>
      </c>
      <c r="BN437" s="5" t="s">
        <v>86</v>
      </c>
      <c r="CD437" s="5">
        <v>0</v>
      </c>
      <c r="CF437" s="1442" t="str">
        <f>IF([1]!sommaire[[#This Row],[présence des personnes déplacés interne]]="Oui","1","0")</f>
        <v>1</v>
      </c>
      <c r="CG437" s="1442" t="str">
        <f>IF([1]!sommaire[[#This Row],[présence Réfugié hors camp]]="Oui","1","0")</f>
        <v>1</v>
      </c>
      <c r="CH437" s="1442" t="str">
        <f>IF([1]!sommaire[[#This Row],[présence personnes retournées]]="Oui","1","0")</f>
        <v>0</v>
      </c>
      <c r="CI437" s="1442">
        <f>[1]!sommaire[[#This Row],[Flag PDI]]+[1]!sommaire[[#This Row],[Flag REF]]+[1]!sommaire[[#This Row],[Flag RET]]</f>
        <v>2</v>
      </c>
    </row>
    <row r="438" spans="1:87" ht="14.55" customHeight="1" x14ac:dyDescent="0.3">
      <c r="A438" s="390">
        <v>2713442</v>
      </c>
      <c r="B438" s="5" t="s">
        <v>533</v>
      </c>
      <c r="C438" s="1430" t="s">
        <v>3449</v>
      </c>
      <c r="D438" s="1090" t="s">
        <v>534</v>
      </c>
      <c r="E438" s="5" t="s">
        <v>31</v>
      </c>
      <c r="F438" s="5" t="s">
        <v>31</v>
      </c>
      <c r="G438" s="5" t="s">
        <v>549</v>
      </c>
      <c r="H438" s="5" t="s">
        <v>169</v>
      </c>
      <c r="I438" s="5" t="str">
        <f>_xlfn.XLOOKUP(sommaire[[#This Row],[Arrondissement_code]],OCHA_GIS!$F:$F,OCHA_GIS!$E:$E,,)</f>
        <v>Logone-Birni</v>
      </c>
      <c r="J438" s="5" t="s">
        <v>673</v>
      </c>
      <c r="K438" t="s">
        <v>2990</v>
      </c>
      <c r="L438" s="5" t="s">
        <v>2331</v>
      </c>
      <c r="N438" s="5" t="s">
        <v>3053</v>
      </c>
      <c r="O438" s="5" t="s">
        <v>2467</v>
      </c>
      <c r="P438" s="5" t="s">
        <v>86</v>
      </c>
      <c r="Q438" s="5" t="s">
        <v>85</v>
      </c>
      <c r="R438" s="5" t="s">
        <v>85</v>
      </c>
      <c r="S438" s="390">
        <v>6</v>
      </c>
      <c r="U438" s="5" t="s">
        <v>97</v>
      </c>
      <c r="W438" s="5" t="s">
        <v>2468</v>
      </c>
      <c r="X438" s="5" t="s">
        <v>102</v>
      </c>
      <c r="AA438" s="5" t="s">
        <v>85</v>
      </c>
      <c r="AB438" s="5" t="s">
        <v>2469</v>
      </c>
      <c r="AC438" s="5" t="s">
        <v>2470</v>
      </c>
      <c r="AD438" s="1090" t="s">
        <v>86</v>
      </c>
      <c r="AF438" s="5">
        <v>15</v>
      </c>
      <c r="AG438" s="5">
        <v>242</v>
      </c>
      <c r="AH438" s="5" t="s">
        <v>85</v>
      </c>
      <c r="AI438" s="5" t="s">
        <v>2485</v>
      </c>
      <c r="AJ438" s="5">
        <v>15</v>
      </c>
      <c r="AK438" s="5">
        <v>20</v>
      </c>
      <c r="AL438" s="5">
        <v>5</v>
      </c>
      <c r="AM438" s="5">
        <v>15</v>
      </c>
      <c r="AN438" s="5">
        <v>0</v>
      </c>
      <c r="AO438" s="5">
        <v>15</v>
      </c>
      <c r="AP438" s="5">
        <v>0</v>
      </c>
      <c r="AQ438" s="5">
        <v>0</v>
      </c>
      <c r="AT438" s="5">
        <v>0</v>
      </c>
      <c r="AU438" s="5">
        <v>0</v>
      </c>
      <c r="AX438" s="5">
        <v>0</v>
      </c>
      <c r="AY438" s="5" t="s">
        <v>86</v>
      </c>
      <c r="BN438" s="5" t="s">
        <v>85</v>
      </c>
      <c r="BO438" s="5">
        <v>15</v>
      </c>
      <c r="BP438" s="5">
        <v>107</v>
      </c>
      <c r="BQ438" s="5">
        <v>45</v>
      </c>
      <c r="BR438" s="5">
        <v>62</v>
      </c>
      <c r="BS438" s="5" t="s">
        <v>2492</v>
      </c>
      <c r="BT438" s="5">
        <v>0</v>
      </c>
      <c r="BU438" s="5">
        <v>15</v>
      </c>
      <c r="BV438" s="5">
        <v>0</v>
      </c>
      <c r="BW438" s="5">
        <v>0</v>
      </c>
      <c r="BX438" s="5">
        <v>0</v>
      </c>
      <c r="BZ438" s="5">
        <v>0</v>
      </c>
      <c r="CA438" s="5">
        <v>0</v>
      </c>
      <c r="CC438" s="5">
        <v>0</v>
      </c>
      <c r="CD438" s="5">
        <v>0</v>
      </c>
      <c r="CF438" s="1442" t="str">
        <f>IF([1]!sommaire[[#This Row],[présence des personnes déplacés interne]]="Oui","1","0")</f>
        <v>1</v>
      </c>
      <c r="CG438" s="1442" t="str">
        <f>IF([1]!sommaire[[#This Row],[présence Réfugié hors camp]]="Oui","1","0")</f>
        <v>0</v>
      </c>
      <c r="CH438" s="1442" t="str">
        <f>IF([1]!sommaire[[#This Row],[présence personnes retournées]]="Oui","1","0")</f>
        <v>1</v>
      </c>
      <c r="CI438" s="1442">
        <f>[1]!sommaire[[#This Row],[Flag PDI]]+[1]!sommaire[[#This Row],[Flag REF]]+[1]!sommaire[[#This Row],[Flag RET]]</f>
        <v>2</v>
      </c>
    </row>
    <row r="439" spans="1:87" ht="14.55" customHeight="1" x14ac:dyDescent="0.3">
      <c r="A439" s="390">
        <v>2680247</v>
      </c>
      <c r="B439" s="5" t="s">
        <v>533</v>
      </c>
      <c r="C439" s="1430" t="s">
        <v>3449</v>
      </c>
      <c r="D439" s="1090" t="s">
        <v>534</v>
      </c>
      <c r="E439" s="5" t="s">
        <v>31</v>
      </c>
      <c r="F439" s="5" t="s">
        <v>31</v>
      </c>
      <c r="G439" s="5" t="s">
        <v>549</v>
      </c>
      <c r="H439" s="5" t="s">
        <v>169</v>
      </c>
      <c r="I439" s="5" t="str">
        <f>_xlfn.XLOOKUP(sommaire[[#This Row],[Arrondissement_code]],OCHA_GIS!$F:$F,OCHA_GIS!$E:$E,,)</f>
        <v>Logone-Birni</v>
      </c>
      <c r="J439" s="5" t="s">
        <v>673</v>
      </c>
      <c r="K439" t="s">
        <v>2566</v>
      </c>
      <c r="L439" s="5" t="s">
        <v>1563</v>
      </c>
      <c r="N439" s="5" t="s">
        <v>3053</v>
      </c>
      <c r="O439" s="5" t="s">
        <v>2467</v>
      </c>
      <c r="P439" s="5" t="s">
        <v>85</v>
      </c>
      <c r="Q439" s="5" t="s">
        <v>86</v>
      </c>
      <c r="R439" s="5" t="s">
        <v>86</v>
      </c>
      <c r="T439" s="390">
        <v>3</v>
      </c>
      <c r="U439" s="5" t="s">
        <v>99</v>
      </c>
      <c r="V439" s="5" t="s">
        <v>122</v>
      </c>
      <c r="W439" s="5" t="s">
        <v>2468</v>
      </c>
      <c r="X439" s="5" t="s">
        <v>103</v>
      </c>
      <c r="Y439" s="5" t="s">
        <v>2476</v>
      </c>
      <c r="AA439" s="5" t="s">
        <v>85</v>
      </c>
      <c r="AB439" s="5" t="s">
        <v>2469</v>
      </c>
      <c r="AC439" s="5" t="s">
        <v>2470</v>
      </c>
      <c r="AD439" s="5" t="s">
        <v>86</v>
      </c>
      <c r="AF439" s="5">
        <v>59</v>
      </c>
      <c r="AG439" s="5">
        <v>1088</v>
      </c>
      <c r="AH439" s="5" t="s">
        <v>85</v>
      </c>
      <c r="AI439" s="5" t="s">
        <v>2471</v>
      </c>
      <c r="AJ439" s="5">
        <v>59</v>
      </c>
      <c r="AK439" s="5">
        <v>309</v>
      </c>
      <c r="AL439" s="5">
        <v>120</v>
      </c>
      <c r="AM439" s="5">
        <v>189</v>
      </c>
      <c r="AN439" s="5">
        <v>0</v>
      </c>
      <c r="AO439" s="5">
        <v>0</v>
      </c>
      <c r="AP439" s="5">
        <v>0</v>
      </c>
      <c r="AQ439" s="5">
        <v>0</v>
      </c>
      <c r="AT439" s="5">
        <v>0</v>
      </c>
      <c r="AU439" s="5">
        <v>59</v>
      </c>
      <c r="AV439" s="5" t="s">
        <v>2478</v>
      </c>
      <c r="AX439" s="5">
        <v>0</v>
      </c>
      <c r="AY439" s="5" t="s">
        <v>85</v>
      </c>
      <c r="AZ439" s="5">
        <v>50</v>
      </c>
      <c r="BA439" s="5">
        <v>198</v>
      </c>
      <c r="BB439" s="5">
        <v>86</v>
      </c>
      <c r="BC439" s="5">
        <v>112</v>
      </c>
      <c r="BD439" s="5">
        <v>0</v>
      </c>
      <c r="BE439" s="5">
        <v>0</v>
      </c>
      <c r="BF439" s="5">
        <v>0</v>
      </c>
      <c r="BH439" s="5">
        <v>0</v>
      </c>
      <c r="BI439" s="5">
        <v>50</v>
      </c>
      <c r="BJ439" s="5" t="s">
        <v>2490</v>
      </c>
      <c r="BL439" s="5">
        <v>0</v>
      </c>
      <c r="BM439" s="5">
        <v>0</v>
      </c>
      <c r="BN439" s="5" t="s">
        <v>85</v>
      </c>
      <c r="BO439" s="5">
        <v>58</v>
      </c>
      <c r="BP439" s="5">
        <v>581</v>
      </c>
      <c r="BQ439" s="5">
        <v>200</v>
      </c>
      <c r="BR439" s="5">
        <v>381</v>
      </c>
      <c r="BS439" s="5" t="s">
        <v>2484</v>
      </c>
      <c r="BT439" s="5">
        <v>0</v>
      </c>
      <c r="BU439" s="5">
        <v>58</v>
      </c>
      <c r="BV439" s="5">
        <v>0</v>
      </c>
      <c r="BW439" s="5">
        <v>0</v>
      </c>
      <c r="BX439" s="5">
        <v>0</v>
      </c>
      <c r="BZ439" s="5">
        <v>0</v>
      </c>
      <c r="CA439" s="5">
        <v>0</v>
      </c>
      <c r="CC439" s="5">
        <v>0</v>
      </c>
      <c r="CD439" s="5">
        <v>0</v>
      </c>
      <c r="CF439" s="1442" t="str">
        <f>IF([1]!sommaire[[#This Row],[présence des personnes déplacés interne]]="Oui","1","0")</f>
        <v>1</v>
      </c>
      <c r="CG439" s="1442" t="str">
        <f>IF([1]!sommaire[[#This Row],[présence Réfugié hors camp]]="Oui","1","0")</f>
        <v>1</v>
      </c>
      <c r="CH439" s="1442" t="str">
        <f>IF([1]!sommaire[[#This Row],[présence personnes retournées]]="Oui","1","0")</f>
        <v>1</v>
      </c>
      <c r="CI439" s="1442">
        <f>[1]!sommaire[[#This Row],[Flag PDI]]+[1]!sommaire[[#This Row],[Flag REF]]+[1]!sommaire[[#This Row],[Flag RET]]</f>
        <v>3</v>
      </c>
    </row>
    <row r="440" spans="1:87" ht="14.55" customHeight="1" x14ac:dyDescent="0.3">
      <c r="A440" s="390">
        <v>2619958</v>
      </c>
      <c r="B440" s="5" t="s">
        <v>533</v>
      </c>
      <c r="C440" s="1430" t="s">
        <v>3449</v>
      </c>
      <c r="D440" s="1090" t="s">
        <v>534</v>
      </c>
      <c r="E440" s="5" t="s">
        <v>31</v>
      </c>
      <c r="F440" s="5" t="s">
        <v>31</v>
      </c>
      <c r="G440" s="5" t="s">
        <v>549</v>
      </c>
      <c r="H440" s="5" t="s">
        <v>169</v>
      </c>
      <c r="I440" s="5" t="str">
        <f>_xlfn.XLOOKUP(sommaire[[#This Row],[Arrondissement_code]],OCHA_GIS!$F:$F,OCHA_GIS!$E:$E,,)</f>
        <v>Logone-Birni</v>
      </c>
      <c r="J440" s="5" t="s">
        <v>673</v>
      </c>
      <c r="K440" t="s">
        <v>2951</v>
      </c>
      <c r="L440" s="5" t="s">
        <v>829</v>
      </c>
      <c r="N440" s="5" t="s">
        <v>3053</v>
      </c>
      <c r="O440" s="5" t="s">
        <v>2467</v>
      </c>
      <c r="P440" s="5" t="s">
        <v>85</v>
      </c>
      <c r="Q440" s="5" t="s">
        <v>86</v>
      </c>
      <c r="R440" s="5" t="s">
        <v>85</v>
      </c>
      <c r="T440" s="390">
        <v>3</v>
      </c>
      <c r="U440" s="5" t="s">
        <v>97</v>
      </c>
      <c r="W440" s="5" t="s">
        <v>2468</v>
      </c>
      <c r="X440" s="5" t="s">
        <v>102</v>
      </c>
      <c r="AA440" s="5" t="s">
        <v>85</v>
      </c>
      <c r="AB440" s="5" t="s">
        <v>2469</v>
      </c>
      <c r="AC440" s="5" t="s">
        <v>2470</v>
      </c>
      <c r="AD440" s="5" t="s">
        <v>86</v>
      </c>
      <c r="AF440" s="5">
        <v>20</v>
      </c>
      <c r="AG440" s="5">
        <v>371</v>
      </c>
      <c r="AH440" s="5" t="s">
        <v>85</v>
      </c>
      <c r="AI440" s="5" t="s">
        <v>2471</v>
      </c>
      <c r="AJ440" s="5">
        <v>20</v>
      </c>
      <c r="AK440" s="5">
        <v>75</v>
      </c>
      <c r="AL440" s="5">
        <v>30</v>
      </c>
      <c r="AM440" s="5">
        <v>45</v>
      </c>
      <c r="AN440" s="5">
        <v>0</v>
      </c>
      <c r="AO440" s="5">
        <v>20</v>
      </c>
      <c r="AP440" s="5">
        <v>0</v>
      </c>
      <c r="AQ440" s="5">
        <v>0</v>
      </c>
      <c r="AT440" s="5">
        <v>0</v>
      </c>
      <c r="AU440" s="5">
        <v>0</v>
      </c>
      <c r="AX440" s="5">
        <v>0</v>
      </c>
      <c r="AY440" s="5" t="s">
        <v>85</v>
      </c>
      <c r="AZ440" s="5">
        <v>4</v>
      </c>
      <c r="BA440" s="5">
        <v>16</v>
      </c>
      <c r="BB440" s="5">
        <v>6</v>
      </c>
      <c r="BC440" s="5">
        <v>10</v>
      </c>
      <c r="BD440" s="5">
        <v>4</v>
      </c>
      <c r="BE440" s="5">
        <v>0</v>
      </c>
      <c r="BF440" s="5">
        <v>0</v>
      </c>
      <c r="BH440" s="5">
        <v>0</v>
      </c>
      <c r="BI440" s="5">
        <v>0</v>
      </c>
      <c r="BL440" s="5">
        <v>0</v>
      </c>
      <c r="BM440" s="5">
        <v>0</v>
      </c>
      <c r="BN440" s="5" t="s">
        <v>85</v>
      </c>
      <c r="BO440" s="5">
        <v>29</v>
      </c>
      <c r="BP440" s="5">
        <v>123</v>
      </c>
      <c r="BQ440" s="5">
        <v>53</v>
      </c>
      <c r="BR440" s="5">
        <v>70</v>
      </c>
      <c r="BS440" s="5" t="s">
        <v>2492</v>
      </c>
      <c r="BT440" s="5">
        <v>0</v>
      </c>
      <c r="BU440" s="5">
        <v>29</v>
      </c>
      <c r="BV440" s="5">
        <v>0</v>
      </c>
      <c r="BW440" s="5">
        <v>0</v>
      </c>
      <c r="BX440" s="5">
        <v>0</v>
      </c>
      <c r="BZ440" s="5">
        <v>0</v>
      </c>
      <c r="CA440" s="5">
        <v>0</v>
      </c>
      <c r="CC440" s="5">
        <v>0</v>
      </c>
      <c r="CD440" s="5">
        <v>0</v>
      </c>
      <c r="CF440" s="1442" t="str">
        <f>IF([1]!sommaire[[#This Row],[présence des personnes déplacés interne]]="Oui","1","0")</f>
        <v>1</v>
      </c>
      <c r="CG440" s="1442" t="str">
        <f>IF([1]!sommaire[[#This Row],[présence Réfugié hors camp]]="Oui","1","0")</f>
        <v>1</v>
      </c>
      <c r="CH440" s="1442" t="str">
        <f>IF([1]!sommaire[[#This Row],[présence personnes retournées]]="Oui","1","0")</f>
        <v>1</v>
      </c>
      <c r="CI440" s="1442">
        <f>[1]!sommaire[[#This Row],[Flag PDI]]+[1]!sommaire[[#This Row],[Flag REF]]+[1]!sommaire[[#This Row],[Flag RET]]</f>
        <v>3</v>
      </c>
    </row>
    <row r="441" spans="1:87" ht="14.55" customHeight="1" x14ac:dyDescent="0.3">
      <c r="A441" s="390">
        <v>2659452</v>
      </c>
      <c r="B441" s="5" t="s">
        <v>533</v>
      </c>
      <c r="C441" s="1430" t="s">
        <v>3449</v>
      </c>
      <c r="D441" s="1090" t="s">
        <v>534</v>
      </c>
      <c r="E441" s="5" t="s">
        <v>31</v>
      </c>
      <c r="F441" s="5" t="s">
        <v>31</v>
      </c>
      <c r="G441" s="5" t="s">
        <v>549</v>
      </c>
      <c r="H441" s="5" t="s">
        <v>169</v>
      </c>
      <c r="I441" s="5" t="str">
        <f>_xlfn.XLOOKUP(sommaire[[#This Row],[Arrondissement_code]],OCHA_GIS!$F:$F,OCHA_GIS!$E:$E,,)</f>
        <v>Logone-Birni</v>
      </c>
      <c r="J441" s="5" t="s">
        <v>673</v>
      </c>
      <c r="K441" t="s">
        <v>1520</v>
      </c>
      <c r="L441" s="5" t="s">
        <v>1128</v>
      </c>
      <c r="N441" s="5" t="s">
        <v>3053</v>
      </c>
      <c r="O441" s="5" t="s">
        <v>2467</v>
      </c>
      <c r="P441" s="5" t="s">
        <v>85</v>
      </c>
      <c r="Q441" s="5" t="s">
        <v>86</v>
      </c>
      <c r="R441" s="5" t="s">
        <v>86</v>
      </c>
      <c r="T441" s="390">
        <v>3</v>
      </c>
      <c r="U441" s="5" t="s">
        <v>97</v>
      </c>
      <c r="W441" s="5" t="s">
        <v>2468</v>
      </c>
      <c r="X441" s="5" t="s">
        <v>102</v>
      </c>
      <c r="AA441" s="5" t="s">
        <v>85</v>
      </c>
      <c r="AB441" s="5" t="s">
        <v>2469</v>
      </c>
      <c r="AC441" s="5" t="s">
        <v>2470</v>
      </c>
      <c r="AD441" s="5" t="s">
        <v>86</v>
      </c>
      <c r="AF441" s="5">
        <v>15</v>
      </c>
      <c r="AG441" s="5">
        <v>4049</v>
      </c>
      <c r="AH441" s="5" t="s">
        <v>85</v>
      </c>
      <c r="AI441" s="5" t="s">
        <v>2471</v>
      </c>
      <c r="AJ441" s="5">
        <v>15</v>
      </c>
      <c r="AK441" s="5">
        <v>31</v>
      </c>
      <c r="AL441" s="5">
        <v>16</v>
      </c>
      <c r="AM441" s="5">
        <v>15</v>
      </c>
      <c r="AN441" s="5">
        <v>0</v>
      </c>
      <c r="AO441" s="5">
        <v>15</v>
      </c>
      <c r="AP441" s="5">
        <v>0</v>
      </c>
      <c r="AQ441" s="5">
        <v>0</v>
      </c>
      <c r="AT441" s="5">
        <v>0</v>
      </c>
      <c r="AU441" s="5">
        <v>0</v>
      </c>
      <c r="AX441" s="5">
        <v>0</v>
      </c>
      <c r="AY441" s="5" t="s">
        <v>85</v>
      </c>
      <c r="AZ441" s="5">
        <v>20</v>
      </c>
      <c r="BA441" s="5">
        <v>130</v>
      </c>
      <c r="BB441" s="5">
        <v>63</v>
      </c>
      <c r="BC441" s="5">
        <v>67</v>
      </c>
      <c r="BD441" s="5">
        <v>20</v>
      </c>
      <c r="BE441" s="5">
        <v>0</v>
      </c>
      <c r="BF441" s="5">
        <v>0</v>
      </c>
      <c r="BH441" s="5">
        <v>0</v>
      </c>
      <c r="BI441" s="5">
        <v>0</v>
      </c>
      <c r="BL441" s="5">
        <v>0</v>
      </c>
      <c r="BM441" s="5">
        <v>0</v>
      </c>
      <c r="BN441" s="5" t="s">
        <v>86</v>
      </c>
      <c r="CD441" s="5">
        <v>0</v>
      </c>
      <c r="CF441" s="1442" t="str">
        <f>IF([1]!sommaire[[#This Row],[présence des personnes déplacés interne]]="Oui","1","0")</f>
        <v>1</v>
      </c>
      <c r="CG441" s="1442" t="str">
        <f>IF([1]!sommaire[[#This Row],[présence Réfugié hors camp]]="Oui","1","0")</f>
        <v>1</v>
      </c>
      <c r="CH441" s="1442" t="str">
        <f>IF([1]!sommaire[[#This Row],[présence personnes retournées]]="Oui","1","0")</f>
        <v>0</v>
      </c>
      <c r="CI441" s="1442">
        <f>[1]!sommaire[[#This Row],[Flag PDI]]+[1]!sommaire[[#This Row],[Flag REF]]+[1]!sommaire[[#This Row],[Flag RET]]</f>
        <v>2</v>
      </c>
    </row>
    <row r="442" spans="1:87" ht="14.55" customHeight="1" x14ac:dyDescent="0.3">
      <c r="A442" s="390">
        <v>2578476</v>
      </c>
      <c r="B442" s="5" t="s">
        <v>533</v>
      </c>
      <c r="C442" s="1430" t="s">
        <v>3449</v>
      </c>
      <c r="D442" s="1090" t="s">
        <v>534</v>
      </c>
      <c r="E442" s="5" t="s">
        <v>31</v>
      </c>
      <c r="F442" s="5" t="s">
        <v>31</v>
      </c>
      <c r="G442" s="5" t="s">
        <v>549</v>
      </c>
      <c r="H442" s="5" t="s">
        <v>169</v>
      </c>
      <c r="I442" s="5" t="str">
        <f>_xlfn.XLOOKUP(sommaire[[#This Row],[Arrondissement_code]],OCHA_GIS!$F:$F,OCHA_GIS!$E:$E,,)</f>
        <v>Logone-Birni</v>
      </c>
      <c r="J442" s="5" t="s">
        <v>673</v>
      </c>
      <c r="K442" t="s">
        <v>2822</v>
      </c>
      <c r="L442" s="5" t="s">
        <v>2328</v>
      </c>
      <c r="N442" s="5" t="s">
        <v>3053</v>
      </c>
      <c r="O442" s="5" t="s">
        <v>2467</v>
      </c>
      <c r="P442" s="5" t="s">
        <v>85</v>
      </c>
      <c r="Q442" s="5" t="s">
        <v>86</v>
      </c>
      <c r="R442" s="5" t="s">
        <v>86</v>
      </c>
      <c r="T442" s="390">
        <v>3</v>
      </c>
      <c r="U442" s="5" t="s">
        <v>97</v>
      </c>
      <c r="W442" s="5" t="s">
        <v>2468</v>
      </c>
      <c r="X442" s="5" t="s">
        <v>103</v>
      </c>
      <c r="Y442" s="5" t="s">
        <v>274</v>
      </c>
      <c r="AA442" s="5" t="s">
        <v>86</v>
      </c>
      <c r="AH442" s="1430" t="s">
        <v>86</v>
      </c>
      <c r="AY442" s="1430" t="s">
        <v>86</v>
      </c>
      <c r="BN442" s="1430" t="s">
        <v>86</v>
      </c>
      <c r="CF442" s="1442" t="str">
        <f>IF([1]!sommaire[[#This Row],[présence des personnes déplacés interne]]="Oui","1","0")</f>
        <v>0</v>
      </c>
      <c r="CG442" s="1442" t="str">
        <f>IF([1]!sommaire[[#This Row],[présence Réfugié hors camp]]="Oui","1","0")</f>
        <v>0</v>
      </c>
      <c r="CH442" s="1442" t="str">
        <f>IF([1]!sommaire[[#This Row],[présence personnes retournées]]="Oui","1","0")</f>
        <v>0</v>
      </c>
      <c r="CI442" s="1442">
        <f>[1]!sommaire[[#This Row],[Flag PDI]]+[1]!sommaire[[#This Row],[Flag REF]]+[1]!sommaire[[#This Row],[Flag RET]]</f>
        <v>0</v>
      </c>
    </row>
    <row r="443" spans="1:87" ht="14.55" customHeight="1" x14ac:dyDescent="0.3">
      <c r="A443" s="390">
        <v>2634714</v>
      </c>
      <c r="B443" s="5" t="s">
        <v>533</v>
      </c>
      <c r="C443" s="1430" t="s">
        <v>3449</v>
      </c>
      <c r="D443" s="1090" t="s">
        <v>534</v>
      </c>
      <c r="E443" s="5" t="s">
        <v>31</v>
      </c>
      <c r="F443" s="5" t="s">
        <v>31</v>
      </c>
      <c r="G443" s="5" t="s">
        <v>549</v>
      </c>
      <c r="H443" s="5" t="s">
        <v>169</v>
      </c>
      <c r="I443" s="5" t="str">
        <f>_xlfn.XLOOKUP(sommaire[[#This Row],[Arrondissement_code]],OCHA_GIS!$F:$F,OCHA_GIS!$E:$E,,)</f>
        <v>Logone-Birni</v>
      </c>
      <c r="J443" s="5" t="s">
        <v>673</v>
      </c>
      <c r="K443" t="s">
        <v>2969</v>
      </c>
      <c r="L443" s="5" t="s">
        <v>2355</v>
      </c>
      <c r="N443" s="5" t="s">
        <v>3053</v>
      </c>
      <c r="O443" s="5" t="s">
        <v>2467</v>
      </c>
      <c r="P443" s="5" t="s">
        <v>85</v>
      </c>
      <c r="Q443" s="5" t="s">
        <v>86</v>
      </c>
      <c r="R443" s="5" t="s">
        <v>86</v>
      </c>
      <c r="T443" s="390">
        <v>3</v>
      </c>
      <c r="U443" s="5" t="s">
        <v>97</v>
      </c>
      <c r="W443" s="5" t="s">
        <v>2468</v>
      </c>
      <c r="X443" s="5" t="s">
        <v>103</v>
      </c>
      <c r="Y443" s="5" t="s">
        <v>274</v>
      </c>
      <c r="AA443" s="5" t="s">
        <v>85</v>
      </c>
      <c r="AB443" s="5" t="s">
        <v>2469</v>
      </c>
      <c r="AC443" s="5" t="s">
        <v>2470</v>
      </c>
      <c r="AD443" s="5" t="s">
        <v>86</v>
      </c>
      <c r="AG443" s="5">
        <v>310</v>
      </c>
      <c r="AH443" s="5" t="s">
        <v>86</v>
      </c>
      <c r="AY443" s="5" t="s">
        <v>86</v>
      </c>
      <c r="BN443" s="5" t="s">
        <v>85</v>
      </c>
      <c r="BO443" s="5">
        <v>51</v>
      </c>
      <c r="BP443" s="5">
        <v>310</v>
      </c>
      <c r="BQ443" s="5">
        <v>123</v>
      </c>
      <c r="BR443" s="5">
        <v>187</v>
      </c>
      <c r="BS443" s="5" t="s">
        <v>2492</v>
      </c>
      <c r="BT443" s="5">
        <v>3</v>
      </c>
      <c r="BU443" s="5">
        <v>48</v>
      </c>
      <c r="BV443" s="5">
        <v>0</v>
      </c>
      <c r="BW443" s="5">
        <v>0</v>
      </c>
      <c r="BX443" s="5">
        <v>0</v>
      </c>
      <c r="BZ443" s="5">
        <v>0</v>
      </c>
      <c r="CA443" s="5">
        <v>0</v>
      </c>
      <c r="CC443" s="5">
        <v>0</v>
      </c>
      <c r="CD443" s="5">
        <v>0</v>
      </c>
      <c r="CF443" s="1442" t="str">
        <f>IF([1]!sommaire[[#This Row],[présence des personnes déplacés interne]]="Oui","1","0")</f>
        <v>0</v>
      </c>
      <c r="CG443" s="1442" t="str">
        <f>IF([1]!sommaire[[#This Row],[présence Réfugié hors camp]]="Oui","1","0")</f>
        <v>0</v>
      </c>
      <c r="CH443" s="1442" t="str">
        <f>IF([1]!sommaire[[#This Row],[présence personnes retournées]]="Oui","1","0")</f>
        <v>1</v>
      </c>
      <c r="CI443" s="1442">
        <f>[1]!sommaire[[#This Row],[Flag PDI]]+[1]!sommaire[[#This Row],[Flag REF]]+[1]!sommaire[[#This Row],[Flag RET]]</f>
        <v>1</v>
      </c>
    </row>
    <row r="444" spans="1:87" ht="14.55" customHeight="1" x14ac:dyDescent="0.3">
      <c r="A444" s="390">
        <v>2590746</v>
      </c>
      <c r="B444" s="5" t="s">
        <v>533</v>
      </c>
      <c r="C444" s="1430" t="s">
        <v>3449</v>
      </c>
      <c r="D444" s="1090" t="s">
        <v>534</v>
      </c>
      <c r="E444" s="5" t="s">
        <v>31</v>
      </c>
      <c r="F444" s="5" t="s">
        <v>31</v>
      </c>
      <c r="G444" s="5" t="s">
        <v>549</v>
      </c>
      <c r="H444" s="5" t="s">
        <v>169</v>
      </c>
      <c r="I444" s="5" t="str">
        <f>_xlfn.XLOOKUP(sommaire[[#This Row],[Arrondissement_code]],OCHA_GIS!$F:$F,OCHA_GIS!$E:$E,,)</f>
        <v>Logone-Birni</v>
      </c>
      <c r="J444" s="5" t="s">
        <v>673</v>
      </c>
      <c r="K444" t="s">
        <v>2992</v>
      </c>
      <c r="L444" s="5" t="s">
        <v>2330</v>
      </c>
      <c r="N444" s="5" t="s">
        <v>3053</v>
      </c>
      <c r="O444" s="5" t="s">
        <v>2467</v>
      </c>
      <c r="P444" s="5" t="s">
        <v>85</v>
      </c>
      <c r="Q444" s="5" t="s">
        <v>86</v>
      </c>
      <c r="R444" s="5" t="s">
        <v>86</v>
      </c>
      <c r="T444" s="390">
        <v>3</v>
      </c>
      <c r="U444" s="5" t="s">
        <v>97</v>
      </c>
      <c r="W444" s="5" t="s">
        <v>2468</v>
      </c>
      <c r="X444" s="5" t="s">
        <v>102</v>
      </c>
      <c r="AA444" s="5" t="s">
        <v>85</v>
      </c>
      <c r="AB444" s="5" t="s">
        <v>2469</v>
      </c>
      <c r="AC444" s="5" t="s">
        <v>2470</v>
      </c>
      <c r="AD444" s="5" t="s">
        <v>86</v>
      </c>
      <c r="AG444" s="5">
        <v>336</v>
      </c>
      <c r="AH444" s="5" t="s">
        <v>86</v>
      </c>
      <c r="AY444" s="5" t="s">
        <v>86</v>
      </c>
      <c r="BN444" s="5" t="s">
        <v>85</v>
      </c>
      <c r="BO444" s="5">
        <v>43</v>
      </c>
      <c r="BP444" s="5">
        <v>336</v>
      </c>
      <c r="BQ444" s="5">
        <v>129</v>
      </c>
      <c r="BR444" s="5">
        <v>207</v>
      </c>
      <c r="BS444" s="5" t="s">
        <v>2484</v>
      </c>
      <c r="BT444" s="5">
        <v>0</v>
      </c>
      <c r="BU444" s="5">
        <v>43</v>
      </c>
      <c r="BV444" s="5">
        <v>0</v>
      </c>
      <c r="BW444" s="5">
        <v>0</v>
      </c>
      <c r="BX444" s="5">
        <v>0</v>
      </c>
      <c r="BZ444" s="5">
        <v>0</v>
      </c>
      <c r="CA444" s="5">
        <v>0</v>
      </c>
      <c r="CC444" s="5">
        <v>0</v>
      </c>
      <c r="CD444" s="5">
        <v>0</v>
      </c>
      <c r="CF444" s="1442" t="str">
        <f>IF([1]!sommaire[[#This Row],[présence des personnes déplacés interne]]="Oui","1","0")</f>
        <v>0</v>
      </c>
      <c r="CG444" s="1442" t="str">
        <f>IF([1]!sommaire[[#This Row],[présence Réfugié hors camp]]="Oui","1","0")</f>
        <v>0</v>
      </c>
      <c r="CH444" s="1442" t="str">
        <f>IF([1]!sommaire[[#This Row],[présence personnes retournées]]="Oui","1","0")</f>
        <v>1</v>
      </c>
      <c r="CI444" s="1442">
        <f>[1]!sommaire[[#This Row],[Flag PDI]]+[1]!sommaire[[#This Row],[Flag REF]]+[1]!sommaire[[#This Row],[Flag RET]]</f>
        <v>1</v>
      </c>
    </row>
    <row r="445" spans="1:87" ht="14.55" customHeight="1" x14ac:dyDescent="0.3">
      <c r="A445" s="390">
        <v>2630233</v>
      </c>
      <c r="B445" s="5" t="s">
        <v>533</v>
      </c>
      <c r="C445" s="1430" t="s">
        <v>3449</v>
      </c>
      <c r="D445" s="1090" t="s">
        <v>534</v>
      </c>
      <c r="E445" s="5" t="s">
        <v>31</v>
      </c>
      <c r="F445" s="5" t="s">
        <v>31</v>
      </c>
      <c r="G445" s="5" t="s">
        <v>549</v>
      </c>
      <c r="H445" s="5" t="s">
        <v>169</v>
      </c>
      <c r="I445" s="5" t="str">
        <f>_xlfn.XLOOKUP(sommaire[[#This Row],[Arrondissement_code]],OCHA_GIS!$F:$F,OCHA_GIS!$E:$E,,)</f>
        <v>Logone-Birni</v>
      </c>
      <c r="J445" s="5" t="s">
        <v>673</v>
      </c>
      <c r="K445" t="s">
        <v>2989</v>
      </c>
      <c r="L445" s="5" t="s">
        <v>2356</v>
      </c>
      <c r="N445" s="5" t="s">
        <v>3053</v>
      </c>
      <c r="O445" s="5" t="s">
        <v>2467</v>
      </c>
      <c r="P445" s="5" t="s">
        <v>86</v>
      </c>
      <c r="Q445" s="5" t="s">
        <v>85</v>
      </c>
      <c r="R445" s="5" t="s">
        <v>85</v>
      </c>
      <c r="S445" s="390">
        <v>6</v>
      </c>
      <c r="U445" s="5" t="s">
        <v>97</v>
      </c>
      <c r="W445" s="5" t="s">
        <v>2468</v>
      </c>
      <c r="X445" s="5" t="s">
        <v>103</v>
      </c>
      <c r="Y445" s="5" t="s">
        <v>274</v>
      </c>
      <c r="AA445" s="5" t="s">
        <v>85</v>
      </c>
      <c r="AB445" s="5" t="s">
        <v>2469</v>
      </c>
      <c r="AC445" s="5" t="s">
        <v>2470</v>
      </c>
      <c r="AD445" s="5" t="s">
        <v>86</v>
      </c>
      <c r="AG445" s="5">
        <v>620</v>
      </c>
      <c r="AH445" s="5" t="s">
        <v>86</v>
      </c>
      <c r="AY445" s="5" t="s">
        <v>86</v>
      </c>
      <c r="BN445" s="5" t="s">
        <v>85</v>
      </c>
      <c r="BO445" s="5">
        <v>99</v>
      </c>
      <c r="BP445" s="5">
        <v>620</v>
      </c>
      <c r="BQ445" s="5">
        <v>245</v>
      </c>
      <c r="BR445" s="5">
        <v>375</v>
      </c>
      <c r="BS445" s="5" t="s">
        <v>2492</v>
      </c>
      <c r="BT445" s="5">
        <v>0</v>
      </c>
      <c r="BU445" s="5">
        <v>99</v>
      </c>
      <c r="BV445" s="5">
        <v>0</v>
      </c>
      <c r="BW445" s="5">
        <v>0</v>
      </c>
      <c r="BX445" s="5">
        <v>0</v>
      </c>
      <c r="BZ445" s="5">
        <v>0</v>
      </c>
      <c r="CA445" s="5">
        <v>0</v>
      </c>
      <c r="CC445" s="5">
        <v>0</v>
      </c>
      <c r="CD445" s="5">
        <v>0</v>
      </c>
      <c r="CF445" s="1442" t="str">
        <f>IF([1]!sommaire[[#This Row],[présence des personnes déplacés interne]]="Oui","1","0")</f>
        <v>0</v>
      </c>
      <c r="CG445" s="1442" t="str">
        <f>IF([1]!sommaire[[#This Row],[présence Réfugié hors camp]]="Oui","1","0")</f>
        <v>0</v>
      </c>
      <c r="CH445" s="1442" t="str">
        <f>IF([1]!sommaire[[#This Row],[présence personnes retournées]]="Oui","1","0")</f>
        <v>1</v>
      </c>
      <c r="CI445" s="1442">
        <f>[1]!sommaire[[#This Row],[Flag PDI]]+[1]!sommaire[[#This Row],[Flag REF]]+[1]!sommaire[[#This Row],[Flag RET]]</f>
        <v>1</v>
      </c>
    </row>
    <row r="446" spans="1:87" ht="14.55" customHeight="1" x14ac:dyDescent="0.3">
      <c r="A446" s="390">
        <v>2583648</v>
      </c>
      <c r="B446" s="5" t="s">
        <v>533</v>
      </c>
      <c r="C446" s="1430" t="s">
        <v>3449</v>
      </c>
      <c r="D446" s="1090" t="s">
        <v>534</v>
      </c>
      <c r="E446" s="5" t="s">
        <v>31</v>
      </c>
      <c r="F446" s="5" t="s">
        <v>31</v>
      </c>
      <c r="G446" s="5" t="s">
        <v>549</v>
      </c>
      <c r="H446" s="5" t="s">
        <v>169</v>
      </c>
      <c r="I446" s="5" t="str">
        <f>_xlfn.XLOOKUP(sommaire[[#This Row],[Arrondissement_code]],OCHA_GIS!$F:$F,OCHA_GIS!$E:$E,,)</f>
        <v>Logone-Birni</v>
      </c>
      <c r="J446" s="5" t="s">
        <v>673</v>
      </c>
      <c r="K446" t="s">
        <v>2988</v>
      </c>
      <c r="L446" s="5" t="s">
        <v>2329</v>
      </c>
      <c r="N446" s="5" t="s">
        <v>3053</v>
      </c>
      <c r="O446" s="5" t="s">
        <v>2467</v>
      </c>
      <c r="P446" s="5" t="s">
        <v>85</v>
      </c>
      <c r="Q446" s="5" t="s">
        <v>86</v>
      </c>
      <c r="R446" s="5" t="s">
        <v>86</v>
      </c>
      <c r="T446" s="390">
        <v>3</v>
      </c>
      <c r="U446" s="5" t="s">
        <v>97</v>
      </c>
      <c r="W446" s="5" t="s">
        <v>2468</v>
      </c>
      <c r="X446" s="5" t="s">
        <v>102</v>
      </c>
      <c r="AA446" s="5" t="s">
        <v>86</v>
      </c>
      <c r="AH446" s="1430" t="s">
        <v>86</v>
      </c>
      <c r="AY446" s="1430" t="s">
        <v>86</v>
      </c>
      <c r="BN446" s="1430" t="s">
        <v>86</v>
      </c>
      <c r="CF446" s="1442" t="str">
        <f>IF([1]!sommaire[[#This Row],[présence des personnes déplacés interne]]="Oui","1","0")</f>
        <v>0</v>
      </c>
      <c r="CG446" s="1442" t="str">
        <f>IF([1]!sommaire[[#This Row],[présence Réfugié hors camp]]="Oui","1","0")</f>
        <v>0</v>
      </c>
      <c r="CH446" s="1442" t="str">
        <f>IF([1]!sommaire[[#This Row],[présence personnes retournées]]="Oui","1","0")</f>
        <v>0</v>
      </c>
      <c r="CI446" s="1442">
        <f>[1]!sommaire[[#This Row],[Flag PDI]]+[1]!sommaire[[#This Row],[Flag REF]]+[1]!sommaire[[#This Row],[Flag RET]]</f>
        <v>0</v>
      </c>
    </row>
    <row r="447" spans="1:87" ht="14.55" customHeight="1" x14ac:dyDescent="0.3">
      <c r="A447" s="1091">
        <v>2695925</v>
      </c>
      <c r="B447" s="5" t="s">
        <v>533</v>
      </c>
      <c r="C447" s="1430" t="s">
        <v>3449</v>
      </c>
      <c r="D447" s="1090" t="s">
        <v>534</v>
      </c>
      <c r="E447" s="5" t="s">
        <v>31</v>
      </c>
      <c r="F447" s="5" t="s">
        <v>31</v>
      </c>
      <c r="G447" s="5" t="s">
        <v>549</v>
      </c>
      <c r="H447" s="5" t="s">
        <v>169</v>
      </c>
      <c r="I447" s="5" t="str">
        <f>_xlfn.XLOOKUP(sommaire[[#This Row],[Arrondissement_code]],OCHA_GIS!$F:$F,OCHA_GIS!$E:$E,,)</f>
        <v>Logone-Birni</v>
      </c>
      <c r="J447" s="5" t="s">
        <v>673</v>
      </c>
      <c r="K447" t="s">
        <v>2842</v>
      </c>
      <c r="L447" s="5" t="s">
        <v>2338</v>
      </c>
      <c r="N447" s="5" t="s">
        <v>3053</v>
      </c>
      <c r="O447" s="5" t="s">
        <v>2467</v>
      </c>
      <c r="P447" s="5" t="s">
        <v>85</v>
      </c>
      <c r="Q447" s="5" t="s">
        <v>86</v>
      </c>
      <c r="R447" s="5" t="s">
        <v>86</v>
      </c>
      <c r="T447" s="390">
        <v>3</v>
      </c>
      <c r="U447" s="5" t="s">
        <v>97</v>
      </c>
      <c r="W447" s="5" t="s">
        <v>2468</v>
      </c>
      <c r="X447" s="1090" t="s">
        <v>103</v>
      </c>
      <c r="Y447" s="5" t="s">
        <v>274</v>
      </c>
      <c r="AA447" s="1090" t="s">
        <v>85</v>
      </c>
      <c r="AB447" s="5" t="s">
        <v>2469</v>
      </c>
      <c r="AC447" s="5" t="s">
        <v>2470</v>
      </c>
      <c r="AD447" s="5" t="s">
        <v>86</v>
      </c>
      <c r="AG447" s="5">
        <v>815</v>
      </c>
      <c r="AH447" s="5" t="s">
        <v>86</v>
      </c>
      <c r="AY447" s="1090" t="s">
        <v>86</v>
      </c>
      <c r="BN447" s="1090" t="s">
        <v>85</v>
      </c>
      <c r="BO447" s="5">
        <v>122</v>
      </c>
      <c r="BP447" s="5">
        <v>800</v>
      </c>
      <c r="BQ447" s="5">
        <v>350</v>
      </c>
      <c r="BR447" s="5">
        <v>450</v>
      </c>
      <c r="BS447" s="5" t="s">
        <v>2492</v>
      </c>
      <c r="BT447" s="5">
        <v>50</v>
      </c>
      <c r="BU447" s="5">
        <v>42</v>
      </c>
      <c r="BV447" s="5">
        <v>0</v>
      </c>
      <c r="BW447" s="5">
        <v>0</v>
      </c>
      <c r="BX447" s="5">
        <v>0</v>
      </c>
      <c r="BZ447" s="5">
        <v>0</v>
      </c>
      <c r="CA447" s="5">
        <v>30</v>
      </c>
      <c r="CB447" s="5" t="s">
        <v>2478</v>
      </c>
      <c r="CC447" s="5">
        <v>0</v>
      </c>
      <c r="CD447" s="5">
        <v>0</v>
      </c>
      <c r="CE447" s="1090"/>
      <c r="CF447" s="1442" t="str">
        <f>IF([1]!sommaire[[#This Row],[présence des personnes déplacés interne]]="Oui","1","0")</f>
        <v>0</v>
      </c>
      <c r="CG447" s="1442" t="str">
        <f>IF([1]!sommaire[[#This Row],[présence Réfugié hors camp]]="Oui","1","0")</f>
        <v>0</v>
      </c>
      <c r="CH447" s="1442" t="str">
        <f>IF([1]!sommaire[[#This Row],[présence personnes retournées]]="Oui","1","0")</f>
        <v>1</v>
      </c>
      <c r="CI447" s="1442">
        <f>[1]!sommaire[[#This Row],[Flag PDI]]+[1]!sommaire[[#This Row],[Flag REF]]+[1]!sommaire[[#This Row],[Flag RET]]</f>
        <v>1</v>
      </c>
    </row>
    <row r="448" spans="1:87" ht="14.55" customHeight="1" x14ac:dyDescent="0.3">
      <c r="A448" s="390">
        <v>2659534</v>
      </c>
      <c r="B448" s="5" t="s">
        <v>533</v>
      </c>
      <c r="C448" s="1430" t="s">
        <v>3449</v>
      </c>
      <c r="D448" s="1090" t="s">
        <v>534</v>
      </c>
      <c r="E448" s="5" t="s">
        <v>31</v>
      </c>
      <c r="F448" s="5" t="s">
        <v>31</v>
      </c>
      <c r="G448" s="5" t="s">
        <v>549</v>
      </c>
      <c r="H448" s="1090" t="s">
        <v>169</v>
      </c>
      <c r="I448" s="1090" t="str">
        <f>_xlfn.XLOOKUP(sommaire[[#This Row],[Arrondissement_code]],OCHA_GIS!$F:$F,OCHA_GIS!$E:$E,,)</f>
        <v>Logone-Birni</v>
      </c>
      <c r="J448" s="1090" t="s">
        <v>673</v>
      </c>
      <c r="K448" t="s">
        <v>1733</v>
      </c>
      <c r="L448" s="1090" t="s">
        <v>1082</v>
      </c>
      <c r="N448" s="5" t="s">
        <v>3053</v>
      </c>
      <c r="O448" s="5" t="s">
        <v>2467</v>
      </c>
      <c r="P448" s="5" t="s">
        <v>85</v>
      </c>
      <c r="Q448" s="5" t="s">
        <v>86</v>
      </c>
      <c r="R448" s="5" t="s">
        <v>86</v>
      </c>
      <c r="T448" s="390">
        <v>3</v>
      </c>
      <c r="U448" s="5" t="s">
        <v>97</v>
      </c>
      <c r="W448" s="5" t="s">
        <v>2468</v>
      </c>
      <c r="X448" s="5" t="s">
        <v>102</v>
      </c>
      <c r="AA448" s="5" t="s">
        <v>85</v>
      </c>
      <c r="AB448" s="5" t="s">
        <v>2469</v>
      </c>
      <c r="AC448" s="5" t="s">
        <v>2470</v>
      </c>
      <c r="AD448" s="5" t="s">
        <v>86</v>
      </c>
      <c r="AF448" s="5">
        <v>98</v>
      </c>
      <c r="AG448" s="5">
        <v>1388</v>
      </c>
      <c r="AH448" s="5" t="s">
        <v>85</v>
      </c>
      <c r="AI448" s="5" t="s">
        <v>2471</v>
      </c>
      <c r="AJ448" s="5">
        <v>98</v>
      </c>
      <c r="AK448" s="5">
        <v>492</v>
      </c>
      <c r="AL448" s="5">
        <v>238</v>
      </c>
      <c r="AM448" s="5">
        <v>254</v>
      </c>
      <c r="AN448" s="5">
        <v>0</v>
      </c>
      <c r="AO448" s="5">
        <v>98</v>
      </c>
      <c r="AP448" s="5">
        <v>0</v>
      </c>
      <c r="AQ448" s="5">
        <v>0</v>
      </c>
      <c r="AT448" s="5">
        <v>0</v>
      </c>
      <c r="AU448" s="5">
        <v>0</v>
      </c>
      <c r="AX448" s="5">
        <v>0</v>
      </c>
      <c r="AY448" s="5" t="s">
        <v>85</v>
      </c>
      <c r="AZ448" s="5">
        <v>104</v>
      </c>
      <c r="BA448" s="5">
        <v>525</v>
      </c>
      <c r="BB448" s="5">
        <v>240</v>
      </c>
      <c r="BC448" s="5">
        <v>285</v>
      </c>
      <c r="BD448" s="5">
        <v>15</v>
      </c>
      <c r="BE448" s="5">
        <v>0</v>
      </c>
      <c r="BF448" s="5">
        <v>0</v>
      </c>
      <c r="BH448" s="5">
        <v>0</v>
      </c>
      <c r="BI448" s="5">
        <v>89</v>
      </c>
      <c r="BJ448" s="5" t="s">
        <v>2490</v>
      </c>
      <c r="BL448" s="5">
        <v>0</v>
      </c>
      <c r="BM448" s="5">
        <v>0</v>
      </c>
      <c r="BN448" s="5" t="s">
        <v>86</v>
      </c>
      <c r="CD448" s="5">
        <v>0</v>
      </c>
      <c r="CF448" s="1442" t="str">
        <f>IF([1]!sommaire[[#This Row],[présence des personnes déplacés interne]]="Oui","1","0")</f>
        <v>1</v>
      </c>
      <c r="CG448" s="1442" t="str">
        <f>IF([1]!sommaire[[#This Row],[présence Réfugié hors camp]]="Oui","1","0")</f>
        <v>1</v>
      </c>
      <c r="CH448" s="1442" t="str">
        <f>IF([1]!sommaire[[#This Row],[présence personnes retournées]]="Oui","1","0")</f>
        <v>0</v>
      </c>
      <c r="CI448" s="1442">
        <f>[1]!sommaire[[#This Row],[Flag PDI]]+[1]!sommaire[[#This Row],[Flag REF]]+[1]!sommaire[[#This Row],[Flag RET]]</f>
        <v>2</v>
      </c>
    </row>
    <row r="449" spans="1:87" ht="14.55" customHeight="1" x14ac:dyDescent="0.3">
      <c r="A449" s="390">
        <v>2613512</v>
      </c>
      <c r="B449" s="5" t="s">
        <v>533</v>
      </c>
      <c r="C449" s="1430" t="s">
        <v>3449</v>
      </c>
      <c r="D449" s="1090" t="s">
        <v>534</v>
      </c>
      <c r="E449" s="5" t="s">
        <v>31</v>
      </c>
      <c r="F449" s="5" t="s">
        <v>31</v>
      </c>
      <c r="G449" s="5" t="s">
        <v>549</v>
      </c>
      <c r="H449" s="5" t="s">
        <v>169</v>
      </c>
      <c r="I449" s="5" t="str">
        <f>_xlfn.XLOOKUP(sommaire[[#This Row],[Arrondissement_code]],OCHA_GIS!$F:$F,OCHA_GIS!$E:$E,,)</f>
        <v>Logone-Birni</v>
      </c>
      <c r="J449" s="5" t="s">
        <v>673</v>
      </c>
      <c r="K449" t="s">
        <v>3001</v>
      </c>
      <c r="L449" s="5" t="s">
        <v>2567</v>
      </c>
      <c r="N449" s="5" t="s">
        <v>3053</v>
      </c>
      <c r="O449" s="5" t="s">
        <v>2467</v>
      </c>
      <c r="P449" s="5" t="s">
        <v>85</v>
      </c>
      <c r="Q449" s="5" t="s">
        <v>86</v>
      </c>
      <c r="R449" s="5" t="s">
        <v>86</v>
      </c>
      <c r="T449" s="390">
        <v>3</v>
      </c>
      <c r="U449" s="5" t="s">
        <v>97</v>
      </c>
      <c r="W449" s="5" t="s">
        <v>2482</v>
      </c>
      <c r="AA449" s="5" t="s">
        <v>86</v>
      </c>
      <c r="AH449" s="1430" t="s">
        <v>86</v>
      </c>
      <c r="AY449" s="1430" t="s">
        <v>86</v>
      </c>
      <c r="BN449" s="1430" t="s">
        <v>86</v>
      </c>
      <c r="CF449" s="1442" t="str">
        <f>IF([1]!sommaire[[#This Row],[présence des personnes déplacés interne]]="Oui","1","0")</f>
        <v>0</v>
      </c>
      <c r="CG449" s="1442" t="str">
        <f>IF([1]!sommaire[[#This Row],[présence Réfugié hors camp]]="Oui","1","0")</f>
        <v>0</v>
      </c>
      <c r="CH449" s="1442" t="str">
        <f>IF([1]!sommaire[[#This Row],[présence personnes retournées]]="Oui","1","0")</f>
        <v>0</v>
      </c>
      <c r="CI449" s="1442">
        <f>[1]!sommaire[[#This Row],[Flag PDI]]+[1]!sommaire[[#This Row],[Flag REF]]+[1]!sommaire[[#This Row],[Flag RET]]</f>
        <v>0</v>
      </c>
    </row>
    <row r="450" spans="1:87" ht="14.55" customHeight="1" x14ac:dyDescent="0.3">
      <c r="A450" s="1091">
        <v>2667496</v>
      </c>
      <c r="B450" s="5" t="s">
        <v>533</v>
      </c>
      <c r="C450" s="1430" t="s">
        <v>3449</v>
      </c>
      <c r="D450" s="1090" t="s">
        <v>534</v>
      </c>
      <c r="E450" s="5" t="s">
        <v>31</v>
      </c>
      <c r="F450" s="5" t="s">
        <v>31</v>
      </c>
      <c r="G450" s="5" t="s">
        <v>549</v>
      </c>
      <c r="H450" s="5" t="s">
        <v>169</v>
      </c>
      <c r="I450" s="5" t="str">
        <f>_xlfn.XLOOKUP(sommaire[[#This Row],[Arrondissement_code]],OCHA_GIS!$F:$F,OCHA_GIS!$E:$E,,)</f>
        <v>Logone-Birni</v>
      </c>
      <c r="J450" s="5" t="s">
        <v>673</v>
      </c>
      <c r="K450" t="s">
        <v>2904</v>
      </c>
      <c r="L450" s="5" t="s">
        <v>2333</v>
      </c>
      <c r="N450" s="5" t="s">
        <v>3053</v>
      </c>
      <c r="O450" s="5" t="s">
        <v>2467</v>
      </c>
      <c r="P450" s="5" t="s">
        <v>85</v>
      </c>
      <c r="Q450" s="5" t="s">
        <v>86</v>
      </c>
      <c r="R450" s="5" t="s">
        <v>85</v>
      </c>
      <c r="T450" s="390">
        <v>3</v>
      </c>
      <c r="U450" s="5" t="s">
        <v>97</v>
      </c>
      <c r="W450" s="5" t="s">
        <v>2468</v>
      </c>
      <c r="X450" s="1090" t="s">
        <v>103</v>
      </c>
      <c r="Y450" s="5" t="s">
        <v>274</v>
      </c>
      <c r="AA450" s="1090" t="s">
        <v>85</v>
      </c>
      <c r="AB450" s="5" t="s">
        <v>2469</v>
      </c>
      <c r="AC450" s="5" t="s">
        <v>2470</v>
      </c>
      <c r="AD450" s="5" t="s">
        <v>86</v>
      </c>
      <c r="AG450" s="5">
        <v>355</v>
      </c>
      <c r="AH450" s="5" t="s">
        <v>86</v>
      </c>
      <c r="AY450" s="1090" t="s">
        <v>85</v>
      </c>
      <c r="AZ450" s="5">
        <v>10</v>
      </c>
      <c r="BA450" s="5">
        <v>40</v>
      </c>
      <c r="BB450" s="5">
        <v>15</v>
      </c>
      <c r="BC450" s="5">
        <v>25</v>
      </c>
      <c r="BD450" s="5">
        <v>10</v>
      </c>
      <c r="BE450" s="5">
        <v>0</v>
      </c>
      <c r="BF450" s="5">
        <v>0</v>
      </c>
      <c r="BH450" s="5">
        <v>0</v>
      </c>
      <c r="BI450" s="5">
        <v>0</v>
      </c>
      <c r="BL450" s="5">
        <v>0</v>
      </c>
      <c r="BM450" s="5">
        <v>0</v>
      </c>
      <c r="BN450" s="1090" t="s">
        <v>85</v>
      </c>
      <c r="BO450" s="5">
        <v>103</v>
      </c>
      <c r="BP450" s="5">
        <v>315</v>
      </c>
      <c r="BQ450" s="5">
        <v>120</v>
      </c>
      <c r="BR450" s="5">
        <v>195</v>
      </c>
      <c r="BS450" s="5" t="s">
        <v>2492</v>
      </c>
      <c r="BT450" s="5">
        <v>0</v>
      </c>
      <c r="BU450" s="5">
        <v>90</v>
      </c>
      <c r="BV450" s="5">
        <v>13</v>
      </c>
      <c r="BW450" s="5">
        <v>0</v>
      </c>
      <c r="BX450" s="5">
        <v>0</v>
      </c>
      <c r="BZ450" s="5">
        <v>0</v>
      </c>
      <c r="CA450" s="5">
        <v>0</v>
      </c>
      <c r="CC450" s="5">
        <v>0</v>
      </c>
      <c r="CD450" s="5">
        <v>0</v>
      </c>
      <c r="CE450" s="1090"/>
      <c r="CF450" s="1442" t="str">
        <f>IF([1]!sommaire[[#This Row],[présence des personnes déplacés interne]]="Oui","1","0")</f>
        <v>0</v>
      </c>
      <c r="CG450" s="1442" t="str">
        <f>IF([1]!sommaire[[#This Row],[présence Réfugié hors camp]]="Oui","1","0")</f>
        <v>1</v>
      </c>
      <c r="CH450" s="1442" t="str">
        <f>IF([1]!sommaire[[#This Row],[présence personnes retournées]]="Oui","1","0")</f>
        <v>1</v>
      </c>
      <c r="CI450" s="1442">
        <f>[1]!sommaire[[#This Row],[Flag PDI]]+[1]!sommaire[[#This Row],[Flag REF]]+[1]!sommaire[[#This Row],[Flag RET]]</f>
        <v>2</v>
      </c>
    </row>
    <row r="451" spans="1:87" ht="14.55" customHeight="1" x14ac:dyDescent="0.3">
      <c r="A451" s="390">
        <v>2690389</v>
      </c>
      <c r="B451" s="5" t="s">
        <v>533</v>
      </c>
      <c r="C451" s="1430" t="s">
        <v>3449</v>
      </c>
      <c r="D451" s="5" t="s">
        <v>534</v>
      </c>
      <c r="E451" s="5" t="s">
        <v>31</v>
      </c>
      <c r="F451" s="5" t="s">
        <v>31</v>
      </c>
      <c r="G451" s="5" t="s">
        <v>549</v>
      </c>
      <c r="H451" s="5" t="s">
        <v>169</v>
      </c>
      <c r="I451" s="5" t="str">
        <f>_xlfn.XLOOKUP(sommaire[[#This Row],[Arrondissement_code]],OCHA_GIS!$F:$F,OCHA_GIS!$E:$E,,)</f>
        <v>Logone-Birni</v>
      </c>
      <c r="J451" s="5" t="s">
        <v>673</v>
      </c>
      <c r="K451" t="s">
        <v>2832</v>
      </c>
      <c r="L451" s="5" t="s">
        <v>3246</v>
      </c>
      <c r="N451" s="5" t="s">
        <v>3053</v>
      </c>
      <c r="O451" s="5" t="s">
        <v>2473</v>
      </c>
      <c r="P451" s="5" t="s">
        <v>85</v>
      </c>
      <c r="Q451" s="5" t="s">
        <v>86</v>
      </c>
      <c r="R451" s="5" t="s">
        <v>86</v>
      </c>
      <c r="T451" s="390">
        <v>3</v>
      </c>
      <c r="U451" s="5" t="s">
        <v>97</v>
      </c>
      <c r="W451" s="5" t="s">
        <v>2468</v>
      </c>
      <c r="X451" s="5" t="s">
        <v>102</v>
      </c>
      <c r="AA451" s="5" t="s">
        <v>85</v>
      </c>
      <c r="AB451" s="5" t="s">
        <v>2473</v>
      </c>
      <c r="AC451" s="5" t="s">
        <v>2470</v>
      </c>
      <c r="AF451" s="5">
        <v>53</v>
      </c>
      <c r="AG451" s="5">
        <v>228</v>
      </c>
      <c r="AH451" s="5" t="s">
        <v>85</v>
      </c>
      <c r="AI451" s="5" t="s">
        <v>2485</v>
      </c>
      <c r="AJ451" s="5">
        <v>53</v>
      </c>
      <c r="AK451" s="5">
        <v>228</v>
      </c>
      <c r="AL451" s="5">
        <v>110</v>
      </c>
      <c r="AM451" s="5">
        <v>118</v>
      </c>
      <c r="AN451" s="5">
        <v>0</v>
      </c>
      <c r="AO451" s="5">
        <v>0</v>
      </c>
      <c r="AP451" s="5">
        <v>0</v>
      </c>
      <c r="AQ451" s="5">
        <v>0</v>
      </c>
      <c r="AT451" s="5">
        <v>0</v>
      </c>
      <c r="AU451" s="5">
        <v>53</v>
      </c>
      <c r="AV451" s="5" t="s">
        <v>2478</v>
      </c>
      <c r="AX451" s="5">
        <v>0</v>
      </c>
      <c r="AY451" s="5" t="s">
        <v>86</v>
      </c>
      <c r="BN451" s="5" t="s">
        <v>86</v>
      </c>
      <c r="CD451" s="5">
        <v>0</v>
      </c>
      <c r="CF451" s="1442" t="str">
        <f>IF([1]!sommaire[[#This Row],[présence des personnes déplacés interne]]="Oui","1","0")</f>
        <v>1</v>
      </c>
      <c r="CG451" s="1442" t="str">
        <f>IF([1]!sommaire[[#This Row],[présence Réfugié hors camp]]="Oui","1","0")</f>
        <v>0</v>
      </c>
      <c r="CH451" s="1442" t="str">
        <f>IF([1]!sommaire[[#This Row],[présence personnes retournées]]="Oui","1","0")</f>
        <v>0</v>
      </c>
      <c r="CI451" s="1442">
        <f>[1]!sommaire[[#This Row],[Flag PDI]]+[1]!sommaire[[#This Row],[Flag REF]]+[1]!sommaire[[#This Row],[Flag RET]]</f>
        <v>1</v>
      </c>
    </row>
    <row r="452" spans="1:87" ht="14.55" customHeight="1" x14ac:dyDescent="0.3">
      <c r="A452" s="390">
        <v>2690386</v>
      </c>
      <c r="B452" s="5" t="s">
        <v>533</v>
      </c>
      <c r="C452" s="1430" t="s">
        <v>3449</v>
      </c>
      <c r="D452" s="5" t="s">
        <v>534</v>
      </c>
      <c r="E452" s="5" t="s">
        <v>31</v>
      </c>
      <c r="F452" s="5" t="s">
        <v>31</v>
      </c>
      <c r="G452" s="5" t="s">
        <v>549</v>
      </c>
      <c r="H452" s="5" t="s">
        <v>169</v>
      </c>
      <c r="I452" s="5" t="str">
        <f>_xlfn.XLOOKUP(sommaire[[#This Row],[Arrondissement_code]],OCHA_GIS!$F:$F,OCHA_GIS!$E:$E,,)</f>
        <v>Logone-Birni</v>
      </c>
      <c r="J452" s="5" t="s">
        <v>673</v>
      </c>
      <c r="K452" t="s">
        <v>1731</v>
      </c>
      <c r="L452" s="5" t="s">
        <v>3253</v>
      </c>
      <c r="N452" s="5" t="s">
        <v>3053</v>
      </c>
      <c r="O452" s="5" t="s">
        <v>2473</v>
      </c>
      <c r="P452" s="5" t="s">
        <v>85</v>
      </c>
      <c r="Q452" s="5" t="s">
        <v>86</v>
      </c>
      <c r="R452" s="5" t="s">
        <v>86</v>
      </c>
      <c r="T452" s="390">
        <v>3</v>
      </c>
      <c r="U452" s="5" t="s">
        <v>97</v>
      </c>
      <c r="W452" s="5" t="s">
        <v>2468</v>
      </c>
      <c r="X452" s="5" t="s">
        <v>102</v>
      </c>
      <c r="AA452" s="1175" t="s">
        <v>85</v>
      </c>
      <c r="AB452" s="5" t="s">
        <v>2473</v>
      </c>
      <c r="AC452" s="5" t="s">
        <v>2470</v>
      </c>
      <c r="AF452" s="5">
        <v>15</v>
      </c>
      <c r="AG452" s="5">
        <v>124</v>
      </c>
      <c r="AH452" s="5" t="s">
        <v>85</v>
      </c>
      <c r="AI452" s="5" t="s">
        <v>2471</v>
      </c>
      <c r="AJ452" s="5">
        <v>15</v>
      </c>
      <c r="AK452" s="5">
        <v>82</v>
      </c>
      <c r="AL452" s="5">
        <v>47</v>
      </c>
      <c r="AM452" s="5">
        <v>35</v>
      </c>
      <c r="AN452" s="5">
        <v>0</v>
      </c>
      <c r="AO452" s="5">
        <v>0</v>
      </c>
      <c r="AP452" s="5">
        <v>0</v>
      </c>
      <c r="AQ452" s="5">
        <v>0</v>
      </c>
      <c r="AT452" s="5">
        <v>0</v>
      </c>
      <c r="AU452" s="5">
        <v>15</v>
      </c>
      <c r="AV452" s="5" t="s">
        <v>2478</v>
      </c>
      <c r="AX452" s="5">
        <v>0</v>
      </c>
      <c r="AY452" s="5" t="s">
        <v>85</v>
      </c>
      <c r="AZ452" s="5">
        <v>6</v>
      </c>
      <c r="BA452" s="5">
        <v>42</v>
      </c>
      <c r="BB452" s="5">
        <v>24</v>
      </c>
      <c r="BC452" s="5">
        <v>18</v>
      </c>
      <c r="BD452" s="5">
        <v>0</v>
      </c>
      <c r="BE452" s="5">
        <v>0</v>
      </c>
      <c r="BF452" s="5">
        <v>0</v>
      </c>
      <c r="BH452" s="5">
        <v>0</v>
      </c>
      <c r="BI452" s="5">
        <v>6</v>
      </c>
      <c r="BJ452" s="5" t="s">
        <v>2478</v>
      </c>
      <c r="BL452" s="5">
        <v>0</v>
      </c>
      <c r="BM452" s="5">
        <v>0</v>
      </c>
      <c r="BN452" s="5" t="s">
        <v>86</v>
      </c>
      <c r="CD452" s="5">
        <v>0</v>
      </c>
      <c r="CF452" s="1442" t="str">
        <f>IF([1]!sommaire[[#This Row],[présence des personnes déplacés interne]]="Oui","1","0")</f>
        <v>1</v>
      </c>
      <c r="CG452" s="1442" t="str">
        <f>IF([1]!sommaire[[#This Row],[présence Réfugié hors camp]]="Oui","1","0")</f>
        <v>1</v>
      </c>
      <c r="CH452" s="1442" t="str">
        <f>IF([1]!sommaire[[#This Row],[présence personnes retournées]]="Oui","1","0")</f>
        <v>0</v>
      </c>
      <c r="CI452" s="1442">
        <f>[1]!sommaire[[#This Row],[Flag PDI]]+[1]!sommaire[[#This Row],[Flag REF]]+[1]!sommaire[[#This Row],[Flag RET]]</f>
        <v>2</v>
      </c>
    </row>
    <row r="453" spans="1:87" ht="14.55" customHeight="1" x14ac:dyDescent="0.3">
      <c r="A453" s="390">
        <v>2690387</v>
      </c>
      <c r="B453" s="5" t="s">
        <v>533</v>
      </c>
      <c r="C453" s="1430" t="s">
        <v>3449</v>
      </c>
      <c r="D453" s="5" t="s">
        <v>534</v>
      </c>
      <c r="E453" s="5" t="s">
        <v>31</v>
      </c>
      <c r="F453" s="5" t="s">
        <v>31</v>
      </c>
      <c r="G453" s="5" t="s">
        <v>549</v>
      </c>
      <c r="H453" s="5" t="s">
        <v>169</v>
      </c>
      <c r="I453" s="5" t="str">
        <f>_xlfn.XLOOKUP(sommaire[[#This Row],[Arrondissement_code]],OCHA_GIS!$F:$F,OCHA_GIS!$E:$E,,)</f>
        <v>Logone-Birni</v>
      </c>
      <c r="J453" s="5" t="s">
        <v>673</v>
      </c>
      <c r="K453" t="s">
        <v>2906</v>
      </c>
      <c r="L453" s="5" t="s">
        <v>3262</v>
      </c>
      <c r="N453" s="5" t="s">
        <v>3053</v>
      </c>
      <c r="O453" s="5" t="s">
        <v>2473</v>
      </c>
      <c r="P453" s="5" t="s">
        <v>85</v>
      </c>
      <c r="Q453" s="5" t="s">
        <v>86</v>
      </c>
      <c r="R453" s="5" t="s">
        <v>86</v>
      </c>
      <c r="T453" s="390">
        <v>3</v>
      </c>
      <c r="U453" s="5" t="s">
        <v>97</v>
      </c>
      <c r="W453" s="5" t="s">
        <v>2482</v>
      </c>
      <c r="AA453" s="5" t="s">
        <v>86</v>
      </c>
      <c r="AH453" s="1430" t="s">
        <v>86</v>
      </c>
      <c r="AY453" s="1430" t="s">
        <v>86</v>
      </c>
      <c r="BN453" s="1430" t="s">
        <v>86</v>
      </c>
      <c r="CF453" s="1442" t="str">
        <f>IF([1]!sommaire[[#This Row],[présence des personnes déplacés interne]]="Oui","1","0")</f>
        <v>0</v>
      </c>
      <c r="CG453" s="1442" t="str">
        <f>IF([1]!sommaire[[#This Row],[présence Réfugié hors camp]]="Oui","1","0")</f>
        <v>0</v>
      </c>
      <c r="CH453" s="1442" t="str">
        <f>IF([1]!sommaire[[#This Row],[présence personnes retournées]]="Oui","1","0")</f>
        <v>0</v>
      </c>
      <c r="CI453" s="1442">
        <f>[1]!sommaire[[#This Row],[Flag PDI]]+[1]!sommaire[[#This Row],[Flag REF]]+[1]!sommaire[[#This Row],[Flag RET]]</f>
        <v>0</v>
      </c>
    </row>
    <row r="454" spans="1:87" ht="14.55" customHeight="1" x14ac:dyDescent="0.3">
      <c r="A454" s="390">
        <v>2614358</v>
      </c>
      <c r="B454" s="5" t="s">
        <v>533</v>
      </c>
      <c r="C454" s="1430" t="s">
        <v>3449</v>
      </c>
      <c r="D454" s="5" t="s">
        <v>534</v>
      </c>
      <c r="E454" s="5" t="s">
        <v>31</v>
      </c>
      <c r="F454" s="5" t="s">
        <v>31</v>
      </c>
      <c r="G454" s="5" t="s">
        <v>549</v>
      </c>
      <c r="H454" s="1090" t="s">
        <v>169</v>
      </c>
      <c r="I454" s="1090" t="str">
        <f>_xlfn.XLOOKUP(sommaire[[#This Row],[Arrondissement_code]],OCHA_GIS!$F:$F,OCHA_GIS!$E:$E,,)</f>
        <v>Logone-Birni</v>
      </c>
      <c r="J454" s="5" t="s">
        <v>673</v>
      </c>
      <c r="K454" t="s">
        <v>1503</v>
      </c>
      <c r="L454" s="5" t="s">
        <v>3268</v>
      </c>
      <c r="N454" s="5" t="s">
        <v>3053</v>
      </c>
      <c r="O454" s="5" t="s">
        <v>2473</v>
      </c>
      <c r="P454" s="5" t="s">
        <v>85</v>
      </c>
      <c r="Q454" s="5" t="s">
        <v>86</v>
      </c>
      <c r="R454" s="5" t="s">
        <v>86</v>
      </c>
      <c r="T454" s="390">
        <v>3</v>
      </c>
      <c r="U454" s="5" t="s">
        <v>97</v>
      </c>
      <c r="W454" s="5" t="s">
        <v>2482</v>
      </c>
      <c r="AA454" s="5" t="s">
        <v>86</v>
      </c>
      <c r="AH454" s="1430" t="s">
        <v>86</v>
      </c>
      <c r="AY454" s="1430" t="s">
        <v>86</v>
      </c>
      <c r="BN454" s="1430" t="s">
        <v>86</v>
      </c>
      <c r="CF454" s="1442" t="str">
        <f>IF([1]!sommaire[[#This Row],[présence des personnes déplacés interne]]="Oui","1","0")</f>
        <v>0</v>
      </c>
      <c r="CG454" s="1442" t="str">
        <f>IF([1]!sommaire[[#This Row],[présence Réfugié hors camp]]="Oui","1","0")</f>
        <v>0</v>
      </c>
      <c r="CH454" s="1442" t="str">
        <f>IF([1]!sommaire[[#This Row],[présence personnes retournées]]="Oui","1","0")</f>
        <v>0</v>
      </c>
      <c r="CI454" s="1442">
        <f>[1]!sommaire[[#This Row],[Flag PDI]]+[1]!sommaire[[#This Row],[Flag REF]]+[1]!sommaire[[#This Row],[Flag RET]]</f>
        <v>0</v>
      </c>
    </row>
    <row r="455" spans="1:87" ht="14.55" customHeight="1" x14ac:dyDescent="0.3">
      <c r="A455" s="390">
        <v>2621878</v>
      </c>
      <c r="B455" s="5" t="s">
        <v>533</v>
      </c>
      <c r="C455" s="1430" t="s">
        <v>3449</v>
      </c>
      <c r="D455" s="5" t="s">
        <v>534</v>
      </c>
      <c r="E455" s="5" t="s">
        <v>31</v>
      </c>
      <c r="F455" s="5" t="s">
        <v>31</v>
      </c>
      <c r="G455" s="5" t="s">
        <v>549</v>
      </c>
      <c r="H455" s="5" t="s">
        <v>169</v>
      </c>
      <c r="I455" s="5" t="str">
        <f>_xlfn.XLOOKUP(sommaire[[#This Row],[Arrondissement_code]],OCHA_GIS!$F:$F,OCHA_GIS!$E:$E,,)</f>
        <v>Logone-Birni</v>
      </c>
      <c r="J455" s="5" t="s">
        <v>673</v>
      </c>
      <c r="K455" t="s">
        <v>2922</v>
      </c>
      <c r="L455" s="5" t="s">
        <v>3277</v>
      </c>
      <c r="N455" s="5" t="s">
        <v>3053</v>
      </c>
      <c r="O455" s="5" t="s">
        <v>2473</v>
      </c>
      <c r="P455" s="5" t="s">
        <v>86</v>
      </c>
      <c r="Q455" s="5" t="s">
        <v>86</v>
      </c>
      <c r="R455" s="5" t="s">
        <v>85</v>
      </c>
      <c r="U455" s="5" t="s">
        <v>97</v>
      </c>
      <c r="W455" s="5" t="s">
        <v>2482</v>
      </c>
      <c r="AA455" s="5" t="s">
        <v>86</v>
      </c>
      <c r="AH455" s="1430" t="s">
        <v>86</v>
      </c>
      <c r="AY455" s="1430" t="s">
        <v>86</v>
      </c>
      <c r="BN455" s="1430" t="s">
        <v>86</v>
      </c>
      <c r="CF455" s="1442" t="str">
        <f>IF([1]!sommaire[[#This Row],[présence des personnes déplacés interne]]="Oui","1","0")</f>
        <v>0</v>
      </c>
      <c r="CG455" s="1442" t="str">
        <f>IF([1]!sommaire[[#This Row],[présence Réfugié hors camp]]="Oui","1","0")</f>
        <v>0</v>
      </c>
      <c r="CH455" s="1442" t="str">
        <f>IF([1]!sommaire[[#This Row],[présence personnes retournées]]="Oui","1","0")</f>
        <v>0</v>
      </c>
      <c r="CI455" s="1442">
        <f>[1]!sommaire[[#This Row],[Flag PDI]]+[1]!sommaire[[#This Row],[Flag REF]]+[1]!sommaire[[#This Row],[Flag RET]]</f>
        <v>0</v>
      </c>
    </row>
    <row r="456" spans="1:87" ht="14.55" customHeight="1" x14ac:dyDescent="0.3">
      <c r="A456" s="390">
        <v>2659454</v>
      </c>
      <c r="B456" s="5" t="s">
        <v>533</v>
      </c>
      <c r="C456" s="1430" t="s">
        <v>3449</v>
      </c>
      <c r="D456" s="5" t="s">
        <v>534</v>
      </c>
      <c r="E456" s="5" t="s">
        <v>31</v>
      </c>
      <c r="F456" s="5" t="s">
        <v>31</v>
      </c>
      <c r="G456" s="5" t="s">
        <v>549</v>
      </c>
      <c r="H456" s="5" t="s">
        <v>169</v>
      </c>
      <c r="I456" s="5" t="str">
        <f>_xlfn.XLOOKUP(sommaire[[#This Row],[Arrondissement_code]],OCHA_GIS!$F:$F,OCHA_GIS!$E:$E,,)</f>
        <v>Logone-Birni</v>
      </c>
      <c r="J456" s="5" t="s">
        <v>673</v>
      </c>
      <c r="K456" t="s">
        <v>1268</v>
      </c>
      <c r="L456" s="5" t="s">
        <v>3296</v>
      </c>
      <c r="N456" s="5" t="s">
        <v>3053</v>
      </c>
      <c r="O456" s="5" t="s">
        <v>2473</v>
      </c>
      <c r="P456" s="5" t="s">
        <v>85</v>
      </c>
      <c r="Q456" s="5" t="s">
        <v>86</v>
      </c>
      <c r="R456" s="5" t="s">
        <v>86</v>
      </c>
      <c r="T456" s="390">
        <v>3</v>
      </c>
      <c r="U456" s="5" t="s">
        <v>97</v>
      </c>
      <c r="W456" s="5" t="s">
        <v>2468</v>
      </c>
      <c r="X456" s="5" t="s">
        <v>102</v>
      </c>
      <c r="AA456" s="5" t="s">
        <v>85</v>
      </c>
      <c r="AB456" s="5" t="s">
        <v>2469</v>
      </c>
      <c r="AC456" s="5" t="s">
        <v>2470</v>
      </c>
      <c r="AF456" s="5">
        <v>31</v>
      </c>
      <c r="AG456" s="5">
        <v>207</v>
      </c>
      <c r="AH456" s="5" t="s">
        <v>85</v>
      </c>
      <c r="AI456" s="5" t="s">
        <v>2471</v>
      </c>
      <c r="AJ456" s="5">
        <v>31</v>
      </c>
      <c r="AK456" s="5">
        <v>207</v>
      </c>
      <c r="AL456" s="5">
        <v>95</v>
      </c>
      <c r="AM456" s="5">
        <v>112</v>
      </c>
      <c r="AN456" s="5">
        <v>0</v>
      </c>
      <c r="AO456" s="5">
        <v>31</v>
      </c>
      <c r="AP456" s="5">
        <v>0</v>
      </c>
      <c r="AQ456" s="5">
        <v>0</v>
      </c>
      <c r="AT456" s="5">
        <v>0</v>
      </c>
      <c r="AU456" s="5">
        <v>0</v>
      </c>
      <c r="AX456" s="5">
        <v>0</v>
      </c>
      <c r="AY456" s="5" t="s">
        <v>86</v>
      </c>
      <c r="BN456" s="5" t="s">
        <v>86</v>
      </c>
      <c r="CD456" s="5">
        <v>0</v>
      </c>
      <c r="CF456" s="1442" t="str">
        <f>IF([1]!sommaire[[#This Row],[présence des personnes déplacés interne]]="Oui","1","0")</f>
        <v>1</v>
      </c>
      <c r="CG456" s="1442" t="str">
        <f>IF([1]!sommaire[[#This Row],[présence Réfugié hors camp]]="Oui","1","0")</f>
        <v>0</v>
      </c>
      <c r="CH456" s="1442" t="str">
        <f>IF([1]!sommaire[[#This Row],[présence personnes retournées]]="Oui","1","0")</f>
        <v>0</v>
      </c>
      <c r="CI456" s="1442">
        <f>[1]!sommaire[[#This Row],[Flag PDI]]+[1]!sommaire[[#This Row],[Flag REF]]+[1]!sommaire[[#This Row],[Flag RET]]</f>
        <v>1</v>
      </c>
    </row>
    <row r="457" spans="1:87" ht="14.55" customHeight="1" x14ac:dyDescent="0.3">
      <c r="A457" s="390">
        <v>2600742</v>
      </c>
      <c r="B457" s="5" t="s">
        <v>533</v>
      </c>
      <c r="C457" s="1430" t="s">
        <v>3449</v>
      </c>
      <c r="D457" s="5" t="s">
        <v>534</v>
      </c>
      <c r="E457" s="5" t="s">
        <v>31</v>
      </c>
      <c r="F457" s="5" t="s">
        <v>31</v>
      </c>
      <c r="G457" s="5" t="s">
        <v>549</v>
      </c>
      <c r="H457" s="5" t="s">
        <v>169</v>
      </c>
      <c r="I457" s="5" t="str">
        <f>_xlfn.XLOOKUP(sommaire[[#This Row],[Arrondissement_code]],OCHA_GIS!$F:$F,OCHA_GIS!$E:$E,,)</f>
        <v>Logone-Birni</v>
      </c>
      <c r="J457" s="5" t="s">
        <v>673</v>
      </c>
      <c r="K457" t="s">
        <v>827</v>
      </c>
      <c r="L457" s="5" t="s">
        <v>3305</v>
      </c>
      <c r="N457" s="5" t="s">
        <v>3053</v>
      </c>
      <c r="O457" s="5" t="s">
        <v>2473</v>
      </c>
      <c r="P457" s="5" t="s">
        <v>85</v>
      </c>
      <c r="Q457" s="5" t="s">
        <v>86</v>
      </c>
      <c r="R457" s="5" t="s">
        <v>86</v>
      </c>
      <c r="T457" s="390">
        <v>3</v>
      </c>
      <c r="U457" s="5" t="s">
        <v>97</v>
      </c>
      <c r="W457" s="5" t="s">
        <v>2468</v>
      </c>
      <c r="X457" s="5" t="s">
        <v>102</v>
      </c>
      <c r="AA457" s="5" t="s">
        <v>85</v>
      </c>
      <c r="AB457" s="5" t="s">
        <v>2473</v>
      </c>
      <c r="AC457" s="5" t="s">
        <v>2470</v>
      </c>
      <c r="AF457" s="5">
        <v>153</v>
      </c>
      <c r="AG457" s="5">
        <v>2538</v>
      </c>
      <c r="AH457" s="5" t="s">
        <v>85</v>
      </c>
      <c r="AI457" s="5" t="s">
        <v>2471</v>
      </c>
      <c r="AJ457" s="5">
        <v>153</v>
      </c>
      <c r="AK457" s="5">
        <v>1332</v>
      </c>
      <c r="AL457" s="5">
        <v>660</v>
      </c>
      <c r="AM457" s="5">
        <v>672</v>
      </c>
      <c r="AN457" s="5">
        <v>0</v>
      </c>
      <c r="AO457" s="5">
        <v>0</v>
      </c>
      <c r="AP457" s="5">
        <v>0</v>
      </c>
      <c r="AQ457" s="5">
        <v>0</v>
      </c>
      <c r="AT457" s="5">
        <v>0</v>
      </c>
      <c r="AU457" s="5">
        <v>153</v>
      </c>
      <c r="AV457" s="5" t="s">
        <v>2478</v>
      </c>
      <c r="AX457" s="5">
        <v>0</v>
      </c>
      <c r="AY457" s="5" t="s">
        <v>85</v>
      </c>
      <c r="AZ457" s="5">
        <v>115</v>
      </c>
      <c r="BA457" s="5">
        <v>674</v>
      </c>
      <c r="BB457" s="5">
        <v>327</v>
      </c>
      <c r="BC457" s="5">
        <v>347</v>
      </c>
      <c r="BD457" s="5">
        <v>0</v>
      </c>
      <c r="BE457" s="5">
        <v>0</v>
      </c>
      <c r="BF457" s="5">
        <v>0</v>
      </c>
      <c r="BH457" s="5">
        <v>0</v>
      </c>
      <c r="BI457" s="5">
        <v>115</v>
      </c>
      <c r="BJ457" s="5" t="s">
        <v>2478</v>
      </c>
      <c r="BL457" s="5">
        <v>0</v>
      </c>
      <c r="BM457" s="5">
        <v>0</v>
      </c>
      <c r="BN457" s="5" t="s">
        <v>86</v>
      </c>
      <c r="CD457" s="5">
        <v>0</v>
      </c>
      <c r="CF457" s="1442" t="str">
        <f>IF([1]!sommaire[[#This Row],[présence des personnes déplacés interne]]="Oui","1","0")</f>
        <v>1</v>
      </c>
      <c r="CG457" s="1442" t="str">
        <f>IF([1]!sommaire[[#This Row],[présence Réfugié hors camp]]="Oui","1","0")</f>
        <v>1</v>
      </c>
      <c r="CH457" s="1442" t="str">
        <f>IF([1]!sommaire[[#This Row],[présence personnes retournées]]="Oui","1","0")</f>
        <v>0</v>
      </c>
      <c r="CI457" s="1442">
        <f>[1]!sommaire[[#This Row],[Flag PDI]]+[1]!sommaire[[#This Row],[Flag REF]]+[1]!sommaire[[#This Row],[Flag RET]]</f>
        <v>2</v>
      </c>
    </row>
    <row r="458" spans="1:87" ht="14.55" customHeight="1" x14ac:dyDescent="0.3">
      <c r="A458" s="390">
        <v>2633743</v>
      </c>
      <c r="B458" s="5" t="s">
        <v>533</v>
      </c>
      <c r="C458" s="1430" t="s">
        <v>3449</v>
      </c>
      <c r="D458" s="5" t="s">
        <v>534</v>
      </c>
      <c r="E458" s="5" t="s">
        <v>31</v>
      </c>
      <c r="F458" s="5" t="s">
        <v>31</v>
      </c>
      <c r="G458" s="5" t="s">
        <v>549</v>
      </c>
      <c r="H458" s="5" t="s">
        <v>169</v>
      </c>
      <c r="I458" s="5" t="str">
        <f>_xlfn.XLOOKUP(sommaire[[#This Row],[Arrondissement_code]],OCHA_GIS!$F:$F,OCHA_GIS!$E:$E,,)</f>
        <v>Logone-Birni</v>
      </c>
      <c r="J458" s="5" t="s">
        <v>673</v>
      </c>
      <c r="K458" t="s">
        <v>1564</v>
      </c>
      <c r="L458" s="5" t="s">
        <v>1096</v>
      </c>
      <c r="N458" s="5" t="s">
        <v>3053</v>
      </c>
      <c r="O458" s="5" t="s">
        <v>2467</v>
      </c>
      <c r="P458" s="5" t="s">
        <v>85</v>
      </c>
      <c r="Q458" s="5" t="s">
        <v>86</v>
      </c>
      <c r="R458" s="5" t="s">
        <v>86</v>
      </c>
      <c r="T458" s="1190">
        <v>3</v>
      </c>
      <c r="U458" s="5" t="s">
        <v>97</v>
      </c>
      <c r="W458" s="5" t="s">
        <v>2468</v>
      </c>
      <c r="X458" s="5" t="s">
        <v>102</v>
      </c>
      <c r="AA458" s="5" t="s">
        <v>85</v>
      </c>
      <c r="AB458" s="5" t="s">
        <v>2469</v>
      </c>
      <c r="AC458" s="5" t="s">
        <v>2470</v>
      </c>
      <c r="AD458" s="5" t="s">
        <v>86</v>
      </c>
      <c r="AF458" s="5">
        <v>98</v>
      </c>
      <c r="AG458" s="5">
        <v>1117</v>
      </c>
      <c r="AH458" s="5" t="s">
        <v>85</v>
      </c>
      <c r="AI458" s="5" t="s">
        <v>2471</v>
      </c>
      <c r="AJ458" s="5">
        <v>98</v>
      </c>
      <c r="AK458" s="5">
        <v>552</v>
      </c>
      <c r="AL458" s="5">
        <v>288</v>
      </c>
      <c r="AM458" s="5">
        <v>264</v>
      </c>
      <c r="AN458" s="5">
        <v>0</v>
      </c>
      <c r="AO458" s="5">
        <v>14</v>
      </c>
      <c r="AP458" s="5">
        <v>0</v>
      </c>
      <c r="AQ458" s="5">
        <v>0</v>
      </c>
      <c r="AT458" s="5">
        <v>0</v>
      </c>
      <c r="AU458" s="5">
        <v>84</v>
      </c>
      <c r="AV458" s="5" t="s">
        <v>2490</v>
      </c>
      <c r="AX458" s="5">
        <v>0</v>
      </c>
      <c r="AY458" s="5" t="s">
        <v>85</v>
      </c>
      <c r="AZ458" s="5">
        <v>40</v>
      </c>
      <c r="BA458" s="5">
        <v>119</v>
      </c>
      <c r="BB458" s="5">
        <v>45</v>
      </c>
      <c r="BC458" s="5">
        <v>74</v>
      </c>
      <c r="BD458" s="5">
        <v>0</v>
      </c>
      <c r="BE458" s="5">
        <v>0</v>
      </c>
      <c r="BF458" s="5">
        <v>0</v>
      </c>
      <c r="BH458" s="5">
        <v>0</v>
      </c>
      <c r="BI458" s="5">
        <v>40</v>
      </c>
      <c r="BJ458" s="5" t="s">
        <v>2490</v>
      </c>
      <c r="BL458" s="5">
        <v>0</v>
      </c>
      <c r="BM458" s="5">
        <v>0</v>
      </c>
      <c r="BN458" s="5" t="s">
        <v>86</v>
      </c>
      <c r="CD458" s="5">
        <v>0</v>
      </c>
      <c r="CF458" s="1442" t="str">
        <f>IF([1]!sommaire[[#This Row],[présence des personnes déplacés interne]]="Oui","1","0")</f>
        <v>1</v>
      </c>
      <c r="CG458" s="1442" t="str">
        <f>IF([1]!sommaire[[#This Row],[présence Réfugié hors camp]]="Oui","1","0")</f>
        <v>1</v>
      </c>
      <c r="CH458" s="1442" t="str">
        <f>IF([1]!sommaire[[#This Row],[présence personnes retournées]]="Oui","1","0")</f>
        <v>0</v>
      </c>
      <c r="CI458" s="1442">
        <f>[1]!sommaire[[#This Row],[Flag PDI]]+[1]!sommaire[[#This Row],[Flag REF]]+[1]!sommaire[[#This Row],[Flag RET]]</f>
        <v>2</v>
      </c>
    </row>
    <row r="459" spans="1:87" ht="14.55" customHeight="1" x14ac:dyDescent="0.3">
      <c r="A459" s="390">
        <v>2630232</v>
      </c>
      <c r="B459" s="5" t="s">
        <v>533</v>
      </c>
      <c r="C459" s="1430" t="s">
        <v>3449</v>
      </c>
      <c r="D459" s="5" t="s">
        <v>534</v>
      </c>
      <c r="E459" s="5" t="s">
        <v>31</v>
      </c>
      <c r="F459" s="5" t="s">
        <v>31</v>
      </c>
      <c r="G459" s="5" t="s">
        <v>549</v>
      </c>
      <c r="H459" s="5" t="s">
        <v>169</v>
      </c>
      <c r="I459" s="5" t="str">
        <f>_xlfn.XLOOKUP(sommaire[[#This Row],[Arrondissement_code]],OCHA_GIS!$F:$F,OCHA_GIS!$E:$E,,)</f>
        <v>Logone-Birni</v>
      </c>
      <c r="J459" s="5" t="s">
        <v>673</v>
      </c>
      <c r="K459" t="s">
        <v>2981</v>
      </c>
      <c r="L459" s="5" t="s">
        <v>1633</v>
      </c>
      <c r="N459" s="5" t="s">
        <v>3053</v>
      </c>
      <c r="O459" s="5" t="s">
        <v>2467</v>
      </c>
      <c r="P459" s="5" t="s">
        <v>85</v>
      </c>
      <c r="Q459" s="5" t="s">
        <v>86</v>
      </c>
      <c r="R459" s="5" t="s">
        <v>85</v>
      </c>
      <c r="T459" s="390">
        <v>3</v>
      </c>
      <c r="U459" s="5" t="s">
        <v>97</v>
      </c>
      <c r="W459" s="5" t="s">
        <v>2468</v>
      </c>
      <c r="X459" s="5" t="s">
        <v>102</v>
      </c>
      <c r="AA459" s="5" t="s">
        <v>85</v>
      </c>
      <c r="AB459" s="5" t="s">
        <v>2469</v>
      </c>
      <c r="AC459" s="5" t="s">
        <v>2470</v>
      </c>
      <c r="AD459" s="5" t="s">
        <v>86</v>
      </c>
      <c r="AF459" s="5">
        <v>10</v>
      </c>
      <c r="AG459" s="5">
        <v>780</v>
      </c>
      <c r="AH459" s="5" t="s">
        <v>85</v>
      </c>
      <c r="AI459" s="5" t="s">
        <v>2471</v>
      </c>
      <c r="AJ459" s="5">
        <v>10</v>
      </c>
      <c r="AK459" s="5">
        <v>50</v>
      </c>
      <c r="AL459" s="5">
        <v>15</v>
      </c>
      <c r="AM459" s="5">
        <v>35</v>
      </c>
      <c r="AN459" s="5">
        <v>0</v>
      </c>
      <c r="AO459" s="5">
        <v>10</v>
      </c>
      <c r="AP459" s="5">
        <v>0</v>
      </c>
      <c r="AQ459" s="5">
        <v>0</v>
      </c>
      <c r="AT459" s="5">
        <v>0</v>
      </c>
      <c r="AU459" s="5">
        <v>0</v>
      </c>
      <c r="AX459" s="5">
        <v>0</v>
      </c>
      <c r="AY459" s="5" t="s">
        <v>85</v>
      </c>
      <c r="AZ459" s="5">
        <v>11</v>
      </c>
      <c r="BA459" s="5">
        <v>48</v>
      </c>
      <c r="BB459" s="5">
        <v>19</v>
      </c>
      <c r="BC459" s="5">
        <v>29</v>
      </c>
      <c r="BD459" s="5">
        <v>11</v>
      </c>
      <c r="BE459" s="5">
        <v>0</v>
      </c>
      <c r="BF459" s="5">
        <v>0</v>
      </c>
      <c r="BH459" s="5">
        <v>0</v>
      </c>
      <c r="BI459" s="5">
        <v>0</v>
      </c>
      <c r="BL459" s="5">
        <v>0</v>
      </c>
      <c r="BM459" s="5">
        <v>0</v>
      </c>
      <c r="BN459" s="5" t="s">
        <v>85</v>
      </c>
      <c r="BO459" s="5">
        <v>5</v>
      </c>
      <c r="BP459" s="5">
        <v>30</v>
      </c>
      <c r="BQ459" s="5">
        <v>12</v>
      </c>
      <c r="BR459" s="5">
        <v>18</v>
      </c>
      <c r="BS459" s="5" t="s">
        <v>2492</v>
      </c>
      <c r="BT459" s="5">
        <v>0</v>
      </c>
      <c r="BU459" s="5">
        <v>5</v>
      </c>
      <c r="BV459" s="5">
        <v>0</v>
      </c>
      <c r="BW459" s="5">
        <v>0</v>
      </c>
      <c r="BX459" s="5">
        <v>0</v>
      </c>
      <c r="BZ459" s="5">
        <v>0</v>
      </c>
      <c r="CA459" s="5">
        <v>0</v>
      </c>
      <c r="CC459" s="5">
        <v>0</v>
      </c>
      <c r="CD459" s="5">
        <v>0</v>
      </c>
      <c r="CF459" s="1442" t="str">
        <f>IF([1]!sommaire[[#This Row],[présence des personnes déplacés interne]]="Oui","1","0")</f>
        <v>1</v>
      </c>
      <c r="CG459" s="1442" t="str">
        <f>IF([1]!sommaire[[#This Row],[présence Réfugié hors camp]]="Oui","1","0")</f>
        <v>1</v>
      </c>
      <c r="CH459" s="1442" t="str">
        <f>IF([1]!sommaire[[#This Row],[présence personnes retournées]]="Oui","1","0")</f>
        <v>1</v>
      </c>
      <c r="CI459" s="1442">
        <f>[1]!sommaire[[#This Row],[Flag PDI]]+[1]!sommaire[[#This Row],[Flag REF]]+[1]!sommaire[[#This Row],[Flag RET]]</f>
        <v>3</v>
      </c>
    </row>
    <row r="460" spans="1:87" ht="14.55" customHeight="1" x14ac:dyDescent="0.3">
      <c r="A460" s="390">
        <v>2614355</v>
      </c>
      <c r="B460" s="5" t="s">
        <v>533</v>
      </c>
      <c r="C460" s="1430" t="s">
        <v>3449</v>
      </c>
      <c r="D460" s="5" t="s">
        <v>534</v>
      </c>
      <c r="E460" s="5" t="s">
        <v>31</v>
      </c>
      <c r="F460" s="5" t="s">
        <v>31</v>
      </c>
      <c r="G460" s="5" t="s">
        <v>549</v>
      </c>
      <c r="H460" s="5" t="s">
        <v>169</v>
      </c>
      <c r="I460" s="5" t="str">
        <f>_xlfn.XLOOKUP(sommaire[[#This Row],[Arrondissement_code]],OCHA_GIS!$F:$F,OCHA_GIS!$E:$E,,)</f>
        <v>Logone-Birni</v>
      </c>
      <c r="J460" s="5" t="s">
        <v>673</v>
      </c>
      <c r="K460" t="s">
        <v>1522</v>
      </c>
      <c r="L460" s="5" t="s">
        <v>1473</v>
      </c>
      <c r="N460" s="5" t="s">
        <v>3053</v>
      </c>
      <c r="O460" s="5" t="s">
        <v>2467</v>
      </c>
      <c r="P460" s="5" t="s">
        <v>85</v>
      </c>
      <c r="Q460" s="5" t="s">
        <v>86</v>
      </c>
      <c r="R460" s="5" t="s">
        <v>86</v>
      </c>
      <c r="T460" s="390">
        <v>3</v>
      </c>
      <c r="U460" s="5" t="s">
        <v>97</v>
      </c>
      <c r="W460" s="5" t="s">
        <v>2482</v>
      </c>
      <c r="AA460" s="5" t="s">
        <v>86</v>
      </c>
      <c r="AH460" s="1430" t="s">
        <v>86</v>
      </c>
      <c r="AY460" s="1430" t="s">
        <v>86</v>
      </c>
      <c r="BN460" s="1430" t="s">
        <v>86</v>
      </c>
      <c r="CF460" s="1442" t="str">
        <f>IF([1]!sommaire[[#This Row],[présence des personnes déplacés interne]]="Oui","1","0")</f>
        <v>0</v>
      </c>
      <c r="CG460" s="1442" t="str">
        <f>IF([1]!sommaire[[#This Row],[présence Réfugié hors camp]]="Oui","1","0")</f>
        <v>0</v>
      </c>
      <c r="CH460" s="1442" t="str">
        <f>IF([1]!sommaire[[#This Row],[présence personnes retournées]]="Oui","1","0")</f>
        <v>0</v>
      </c>
      <c r="CI460" s="1442">
        <f>[1]!sommaire[[#This Row],[Flag PDI]]+[1]!sommaire[[#This Row],[Flag REF]]+[1]!sommaire[[#This Row],[Flag RET]]</f>
        <v>0</v>
      </c>
    </row>
    <row r="461" spans="1:87" ht="14.55" customHeight="1" x14ac:dyDescent="0.3">
      <c r="A461" s="390">
        <v>2593167</v>
      </c>
      <c r="B461" s="5" t="s">
        <v>533</v>
      </c>
      <c r="C461" s="1430" t="s">
        <v>3449</v>
      </c>
      <c r="D461" s="5" t="s">
        <v>534</v>
      </c>
      <c r="E461" s="5" t="s">
        <v>31</v>
      </c>
      <c r="F461" s="5" t="s">
        <v>31</v>
      </c>
      <c r="G461" s="5" t="s">
        <v>549</v>
      </c>
      <c r="H461" s="5" t="s">
        <v>169</v>
      </c>
      <c r="I461" s="5" t="str">
        <f>_xlfn.XLOOKUP(sommaire[[#This Row],[Arrondissement_code]],OCHA_GIS!$F:$F,OCHA_GIS!$E:$E,,)</f>
        <v>Logone-Birni</v>
      </c>
      <c r="J461" s="5" t="s">
        <v>673</v>
      </c>
      <c r="K461" t="s">
        <v>3016</v>
      </c>
      <c r="L461" s="5" t="s">
        <v>1634</v>
      </c>
      <c r="N461" s="5" t="s">
        <v>3053</v>
      </c>
      <c r="O461" s="5" t="s">
        <v>2467</v>
      </c>
      <c r="P461" s="5" t="s">
        <v>85</v>
      </c>
      <c r="Q461" s="5" t="s">
        <v>86</v>
      </c>
      <c r="R461" s="5" t="s">
        <v>85</v>
      </c>
      <c r="T461" s="390">
        <v>3</v>
      </c>
      <c r="U461" s="5" t="s">
        <v>97</v>
      </c>
      <c r="W461" s="5" t="s">
        <v>2468</v>
      </c>
      <c r="X461" s="5" t="s">
        <v>102</v>
      </c>
      <c r="AA461" s="5" t="s">
        <v>85</v>
      </c>
      <c r="AB461" s="5" t="s">
        <v>2469</v>
      </c>
      <c r="AC461" s="5" t="s">
        <v>2470</v>
      </c>
      <c r="AD461" s="5" t="s">
        <v>86</v>
      </c>
      <c r="AF461" s="5">
        <v>11</v>
      </c>
      <c r="AG461" s="5">
        <v>748</v>
      </c>
      <c r="AH461" s="5" t="s">
        <v>85</v>
      </c>
      <c r="AI461" s="5" t="s">
        <v>2471</v>
      </c>
      <c r="AJ461" s="5">
        <v>11</v>
      </c>
      <c r="AK461" s="5">
        <v>42</v>
      </c>
      <c r="AL461" s="5">
        <v>10</v>
      </c>
      <c r="AM461" s="5">
        <v>32</v>
      </c>
      <c r="AN461" s="5">
        <v>0</v>
      </c>
      <c r="AO461" s="5">
        <v>11</v>
      </c>
      <c r="AP461" s="5">
        <v>0</v>
      </c>
      <c r="AQ461" s="5">
        <v>0</v>
      </c>
      <c r="AT461" s="5">
        <v>0</v>
      </c>
      <c r="AU461" s="5">
        <v>0</v>
      </c>
      <c r="AX461" s="5">
        <v>0</v>
      </c>
      <c r="AY461" s="5" t="s">
        <v>85</v>
      </c>
      <c r="AZ461" s="5">
        <v>32</v>
      </c>
      <c r="BA461" s="5">
        <v>224</v>
      </c>
      <c r="BB461" s="5">
        <v>100</v>
      </c>
      <c r="BC461" s="5">
        <v>124</v>
      </c>
      <c r="BD461" s="5">
        <v>20</v>
      </c>
      <c r="BE461" s="5">
        <v>0</v>
      </c>
      <c r="BF461" s="5">
        <v>0</v>
      </c>
      <c r="BH461" s="5">
        <v>0</v>
      </c>
      <c r="BI461" s="5">
        <v>12</v>
      </c>
      <c r="BJ461" s="5" t="s">
        <v>2474</v>
      </c>
      <c r="BL461" s="5">
        <v>0</v>
      </c>
      <c r="BM461" s="5">
        <v>0</v>
      </c>
      <c r="BN461" s="5" t="s">
        <v>85</v>
      </c>
      <c r="BO461" s="5">
        <v>44</v>
      </c>
      <c r="BP461" s="5">
        <v>89</v>
      </c>
      <c r="BQ461" s="5">
        <v>51</v>
      </c>
      <c r="BR461" s="5">
        <v>38</v>
      </c>
      <c r="BS461" s="5" t="s">
        <v>2492</v>
      </c>
      <c r="BT461" s="5">
        <v>0</v>
      </c>
      <c r="BU461" s="5">
        <v>44</v>
      </c>
      <c r="BV461" s="5">
        <v>0</v>
      </c>
      <c r="BW461" s="5">
        <v>0</v>
      </c>
      <c r="BX461" s="5">
        <v>0</v>
      </c>
      <c r="BZ461" s="5">
        <v>0</v>
      </c>
      <c r="CA461" s="5">
        <v>0</v>
      </c>
      <c r="CC461" s="5">
        <v>0</v>
      </c>
      <c r="CD461" s="5">
        <v>0</v>
      </c>
      <c r="CF461" s="1442" t="str">
        <f>IF([1]!sommaire[[#This Row],[présence des personnes déplacés interne]]="Oui","1","0")</f>
        <v>1</v>
      </c>
      <c r="CG461" s="1442" t="str">
        <f>IF([1]!sommaire[[#This Row],[présence Réfugié hors camp]]="Oui","1","0")</f>
        <v>1</v>
      </c>
      <c r="CH461" s="1442" t="str">
        <f>IF([1]!sommaire[[#This Row],[présence personnes retournées]]="Oui","1","0")</f>
        <v>1</v>
      </c>
      <c r="CI461" s="1442">
        <f>[1]!sommaire[[#This Row],[Flag PDI]]+[1]!sommaire[[#This Row],[Flag REF]]+[1]!sommaire[[#This Row],[Flag RET]]</f>
        <v>3</v>
      </c>
    </row>
    <row r="462" spans="1:87" ht="14.55" customHeight="1" x14ac:dyDescent="0.3">
      <c r="A462" s="390">
        <v>2659541</v>
      </c>
      <c r="B462" s="5" t="s">
        <v>533</v>
      </c>
      <c r="C462" s="1430" t="s">
        <v>3449</v>
      </c>
      <c r="D462" s="5" t="s">
        <v>534</v>
      </c>
      <c r="E462" s="5" t="s">
        <v>31</v>
      </c>
      <c r="F462" s="5" t="s">
        <v>31</v>
      </c>
      <c r="G462" s="5" t="s">
        <v>549</v>
      </c>
      <c r="H462" s="5" t="s">
        <v>169</v>
      </c>
      <c r="I462" s="5" t="str">
        <f>_xlfn.XLOOKUP(sommaire[[#This Row],[Arrondissement_code]],OCHA_GIS!$F:$F,OCHA_GIS!$E:$E,,)</f>
        <v>Logone-Birni</v>
      </c>
      <c r="J462" s="5" t="s">
        <v>673</v>
      </c>
      <c r="K462" t="s">
        <v>3319</v>
      </c>
      <c r="L462" s="5" t="s">
        <v>3083</v>
      </c>
      <c r="N462" s="5" t="s">
        <v>3053</v>
      </c>
      <c r="O462" s="5" t="s">
        <v>2467</v>
      </c>
      <c r="P462" s="5" t="s">
        <v>85</v>
      </c>
      <c r="Q462" s="5" t="s">
        <v>86</v>
      </c>
      <c r="R462" s="5" t="s">
        <v>85</v>
      </c>
      <c r="T462" s="390">
        <v>4</v>
      </c>
      <c r="U462" s="5" t="s">
        <v>97</v>
      </c>
      <c r="W462" s="5" t="s">
        <v>2468</v>
      </c>
      <c r="X462" s="5" t="s">
        <v>101</v>
      </c>
      <c r="Y462" s="5" t="s">
        <v>274</v>
      </c>
      <c r="AA462" s="5" t="s">
        <v>85</v>
      </c>
      <c r="AB462" s="5" t="s">
        <v>2469</v>
      </c>
      <c r="AC462" s="5" t="s">
        <v>2470</v>
      </c>
      <c r="AD462" s="5" t="s">
        <v>86</v>
      </c>
      <c r="AG462" s="5">
        <v>78</v>
      </c>
      <c r="AH462" s="5" t="s">
        <v>86</v>
      </c>
      <c r="AY462" s="5" t="s">
        <v>86</v>
      </c>
      <c r="BN462" s="5" t="s">
        <v>85</v>
      </c>
      <c r="BO462" s="5">
        <v>10</v>
      </c>
      <c r="BP462" s="5">
        <v>63</v>
      </c>
      <c r="BQ462" s="5">
        <v>24</v>
      </c>
      <c r="BR462" s="5">
        <v>39</v>
      </c>
      <c r="BS462" s="5" t="s">
        <v>2492</v>
      </c>
      <c r="BT462" s="5">
        <v>0</v>
      </c>
      <c r="BU462" s="5">
        <v>3</v>
      </c>
      <c r="BV462" s="5">
        <v>0</v>
      </c>
      <c r="BW462" s="5">
        <v>0</v>
      </c>
      <c r="BX462" s="5">
        <v>0</v>
      </c>
      <c r="BZ462" s="5">
        <v>0</v>
      </c>
      <c r="CA462" s="5">
        <v>7</v>
      </c>
      <c r="CB462" s="5" t="s">
        <v>2490</v>
      </c>
      <c r="CC462" s="5">
        <v>0</v>
      </c>
      <c r="CD462" s="5">
        <v>0</v>
      </c>
      <c r="CF462" s="1442" t="str">
        <f>IF([1]!sommaire[[#This Row],[présence des personnes déplacés interne]]="Oui","1","0")</f>
        <v>0</v>
      </c>
      <c r="CG462" s="1442" t="str">
        <f>IF([1]!sommaire[[#This Row],[présence Réfugié hors camp]]="Oui","1","0")</f>
        <v>0</v>
      </c>
      <c r="CH462" s="1442" t="str">
        <f>IF([1]!sommaire[[#This Row],[présence personnes retournées]]="Oui","1","0")</f>
        <v>1</v>
      </c>
      <c r="CI462" s="1442">
        <f>[1]!sommaire[[#This Row],[Flag PDI]]+[1]!sommaire[[#This Row],[Flag REF]]+[1]!sommaire[[#This Row],[Flag RET]]</f>
        <v>1</v>
      </c>
    </row>
    <row r="463" spans="1:87" ht="14.55" customHeight="1" x14ac:dyDescent="0.3">
      <c r="A463" s="390">
        <v>2659542</v>
      </c>
      <c r="B463" s="5" t="s">
        <v>533</v>
      </c>
      <c r="C463" s="1430" t="s">
        <v>3449</v>
      </c>
      <c r="D463" s="5" t="s">
        <v>534</v>
      </c>
      <c r="E463" s="5" t="s">
        <v>31</v>
      </c>
      <c r="F463" s="5" t="s">
        <v>31</v>
      </c>
      <c r="G463" s="5" t="s">
        <v>549</v>
      </c>
      <c r="H463" s="5" t="s">
        <v>169</v>
      </c>
      <c r="I463" s="5" t="str">
        <f>_xlfn.XLOOKUP(sommaire[[#This Row],[Arrondissement_code]],OCHA_GIS!$F:$F,OCHA_GIS!$E:$E,,)</f>
        <v>Logone-Birni</v>
      </c>
      <c r="J463" s="5" t="s">
        <v>673</v>
      </c>
      <c r="K463" t="s">
        <v>3320</v>
      </c>
      <c r="L463" s="5" t="s">
        <v>3084</v>
      </c>
      <c r="N463" s="5" t="s">
        <v>3053</v>
      </c>
      <c r="O463" s="5" t="s">
        <v>2467</v>
      </c>
      <c r="P463" s="5" t="s">
        <v>85</v>
      </c>
      <c r="Q463" s="5" t="s">
        <v>86</v>
      </c>
      <c r="R463" s="5" t="s">
        <v>85</v>
      </c>
      <c r="T463" s="390">
        <v>4</v>
      </c>
      <c r="U463" s="5" t="s">
        <v>97</v>
      </c>
      <c r="W463" s="5" t="s">
        <v>2468</v>
      </c>
      <c r="X463" s="5" t="s">
        <v>101</v>
      </c>
      <c r="Y463" s="5" t="s">
        <v>274</v>
      </c>
      <c r="AA463" s="5" t="s">
        <v>85</v>
      </c>
      <c r="AB463" s="5" t="s">
        <v>2469</v>
      </c>
      <c r="AC463" s="5" t="s">
        <v>2470</v>
      </c>
      <c r="AD463" s="5" t="s">
        <v>86</v>
      </c>
      <c r="AG463" s="5">
        <v>98</v>
      </c>
      <c r="AH463" s="5" t="s">
        <v>86</v>
      </c>
      <c r="AY463" s="5" t="s">
        <v>86</v>
      </c>
      <c r="BN463" s="5" t="s">
        <v>85</v>
      </c>
      <c r="BO463" s="5">
        <v>20</v>
      </c>
      <c r="BP463" s="5">
        <v>97</v>
      </c>
      <c r="BQ463" s="5">
        <v>47</v>
      </c>
      <c r="BR463" s="5">
        <v>50</v>
      </c>
      <c r="BS463" s="5" t="s">
        <v>2492</v>
      </c>
      <c r="BT463" s="5">
        <v>0</v>
      </c>
      <c r="BU463" s="5">
        <v>10</v>
      </c>
      <c r="BV463" s="5">
        <v>0</v>
      </c>
      <c r="BW463" s="5">
        <v>0</v>
      </c>
      <c r="BX463" s="5">
        <v>0</v>
      </c>
      <c r="BZ463" s="5">
        <v>0</v>
      </c>
      <c r="CA463" s="5">
        <v>10</v>
      </c>
      <c r="CB463" s="5" t="s">
        <v>2490</v>
      </c>
      <c r="CC463" s="5">
        <v>0</v>
      </c>
      <c r="CD463" s="5">
        <v>0</v>
      </c>
      <c r="CF463" s="1442" t="str">
        <f>IF([1]!sommaire[[#This Row],[présence des personnes déplacés interne]]="Oui","1","0")</f>
        <v>0</v>
      </c>
      <c r="CG463" s="1442" t="str">
        <f>IF([1]!sommaire[[#This Row],[présence Réfugié hors camp]]="Oui","1","0")</f>
        <v>0</v>
      </c>
      <c r="CH463" s="1442" t="str">
        <f>IF([1]!sommaire[[#This Row],[présence personnes retournées]]="Oui","1","0")</f>
        <v>1</v>
      </c>
      <c r="CI463" s="1442">
        <f>[1]!sommaire[[#This Row],[Flag PDI]]+[1]!sommaire[[#This Row],[Flag REF]]+[1]!sommaire[[#This Row],[Flag RET]]</f>
        <v>1</v>
      </c>
    </row>
    <row r="464" spans="1:87" ht="14.55" customHeight="1" x14ac:dyDescent="0.3">
      <c r="A464" s="390">
        <v>2659565</v>
      </c>
      <c r="B464" s="5" t="s">
        <v>533</v>
      </c>
      <c r="C464" s="1430" t="s">
        <v>3449</v>
      </c>
      <c r="D464" s="5" t="s">
        <v>534</v>
      </c>
      <c r="E464" s="5" t="s">
        <v>31</v>
      </c>
      <c r="F464" s="5" t="s">
        <v>31</v>
      </c>
      <c r="G464" s="5" t="s">
        <v>549</v>
      </c>
      <c r="H464" s="5" t="s">
        <v>169</v>
      </c>
      <c r="I464" s="5" t="str">
        <f>_xlfn.XLOOKUP(sommaire[[#This Row],[Arrondissement_code]],OCHA_GIS!$F:$F,OCHA_GIS!$E:$E,,)</f>
        <v>Logone-Birni</v>
      </c>
      <c r="J464" s="5" t="s">
        <v>673</v>
      </c>
      <c r="K464" t="s">
        <v>3019</v>
      </c>
      <c r="L464" s="5" t="s">
        <v>1080</v>
      </c>
      <c r="N464" s="5" t="s">
        <v>3053</v>
      </c>
      <c r="O464" s="5" t="s">
        <v>2467</v>
      </c>
      <c r="P464" s="5" t="s">
        <v>85</v>
      </c>
      <c r="Q464" s="5" t="s">
        <v>86</v>
      </c>
      <c r="R464" s="5" t="s">
        <v>86</v>
      </c>
      <c r="T464" s="390">
        <v>3</v>
      </c>
      <c r="U464" s="5" t="s">
        <v>97</v>
      </c>
      <c r="W464" s="5" t="s">
        <v>2468</v>
      </c>
      <c r="X464" s="5" t="s">
        <v>102</v>
      </c>
      <c r="AA464" s="5" t="s">
        <v>85</v>
      </c>
      <c r="AB464" s="5" t="s">
        <v>2469</v>
      </c>
      <c r="AC464" s="5" t="s">
        <v>2470</v>
      </c>
      <c r="AD464" s="5" t="s">
        <v>86</v>
      </c>
      <c r="AF464" s="5">
        <v>18</v>
      </c>
      <c r="AG464" s="5">
        <v>1707</v>
      </c>
      <c r="AH464" s="5" t="s">
        <v>85</v>
      </c>
      <c r="AI464" s="5" t="s">
        <v>2471</v>
      </c>
      <c r="AJ464" s="5">
        <v>18</v>
      </c>
      <c r="AK464" s="5">
        <v>142</v>
      </c>
      <c r="AL464" s="5">
        <v>58</v>
      </c>
      <c r="AM464" s="5">
        <v>84</v>
      </c>
      <c r="AN464" s="5">
        <v>0</v>
      </c>
      <c r="AO464" s="5">
        <v>18</v>
      </c>
      <c r="AP464" s="5">
        <v>0</v>
      </c>
      <c r="AQ464" s="5">
        <v>0</v>
      </c>
      <c r="AT464" s="5">
        <v>0</v>
      </c>
      <c r="AU464" s="5">
        <v>0</v>
      </c>
      <c r="AX464" s="5">
        <v>0</v>
      </c>
      <c r="AY464" s="5" t="s">
        <v>85</v>
      </c>
      <c r="AZ464" s="5">
        <v>5</v>
      </c>
      <c r="BA464" s="5">
        <v>40</v>
      </c>
      <c r="BB464" s="5">
        <v>15</v>
      </c>
      <c r="BC464" s="5">
        <v>25</v>
      </c>
      <c r="BD464" s="5">
        <v>0</v>
      </c>
      <c r="BE464" s="5">
        <v>0</v>
      </c>
      <c r="BF464" s="5">
        <v>0</v>
      </c>
      <c r="BH464" s="5">
        <v>0</v>
      </c>
      <c r="BI464" s="5">
        <v>5</v>
      </c>
      <c r="BJ464" s="5" t="s">
        <v>2490</v>
      </c>
      <c r="BL464" s="5">
        <v>0</v>
      </c>
      <c r="BM464" s="5">
        <v>0</v>
      </c>
      <c r="BN464" s="5" t="s">
        <v>86</v>
      </c>
      <c r="CD464" s="5">
        <v>0</v>
      </c>
      <c r="CF464" s="1442" t="str">
        <f>IF([1]!sommaire[[#This Row],[présence des personnes déplacés interne]]="Oui","1","0")</f>
        <v>1</v>
      </c>
      <c r="CG464" s="1442" t="str">
        <f>IF([1]!sommaire[[#This Row],[présence Réfugié hors camp]]="Oui","1","0")</f>
        <v>1</v>
      </c>
      <c r="CH464" s="1442" t="str">
        <f>IF([1]!sommaire[[#This Row],[présence personnes retournées]]="Oui","1","0")</f>
        <v>0</v>
      </c>
      <c r="CI464" s="1442">
        <f>[1]!sommaire[[#This Row],[Flag PDI]]+[1]!sommaire[[#This Row],[Flag REF]]+[1]!sommaire[[#This Row],[Flag RET]]</f>
        <v>2</v>
      </c>
    </row>
    <row r="465" spans="1:87" ht="14.55" customHeight="1" x14ac:dyDescent="0.3">
      <c r="A465" s="390">
        <v>2621528</v>
      </c>
      <c r="B465" s="5" t="s">
        <v>533</v>
      </c>
      <c r="C465" s="1430" t="s">
        <v>3449</v>
      </c>
      <c r="D465" s="5" t="s">
        <v>534</v>
      </c>
      <c r="E465" s="5" t="s">
        <v>31</v>
      </c>
      <c r="F465" s="5" t="s">
        <v>31</v>
      </c>
      <c r="G465" s="5" t="s">
        <v>549</v>
      </c>
      <c r="H465" s="5" t="s">
        <v>169</v>
      </c>
      <c r="I465" s="5" t="str">
        <f>_xlfn.XLOOKUP(sommaire[[#This Row],[Arrondissement_code]],OCHA_GIS!$F:$F,OCHA_GIS!$E:$E,,)</f>
        <v>Logone-Birni</v>
      </c>
      <c r="J465" s="5" t="s">
        <v>673</v>
      </c>
      <c r="K465" t="s">
        <v>3012</v>
      </c>
      <c r="L465" s="5" t="s">
        <v>2385</v>
      </c>
      <c r="N465" s="5" t="s">
        <v>3053</v>
      </c>
      <c r="O465" s="5" t="s">
        <v>2467</v>
      </c>
      <c r="P465" s="5" t="s">
        <v>86</v>
      </c>
      <c r="Q465" s="5" t="s">
        <v>85</v>
      </c>
      <c r="R465" s="5" t="s">
        <v>85</v>
      </c>
      <c r="S465" s="390">
        <v>8</v>
      </c>
      <c r="U465" s="5" t="s">
        <v>97</v>
      </c>
      <c r="W465" s="5" t="s">
        <v>2468</v>
      </c>
      <c r="X465" s="5" t="s">
        <v>103</v>
      </c>
      <c r="Y465" s="5" t="s">
        <v>274</v>
      </c>
      <c r="AA465" s="5" t="s">
        <v>85</v>
      </c>
      <c r="AB465" s="5" t="s">
        <v>2469</v>
      </c>
      <c r="AC465" s="5" t="s">
        <v>2470</v>
      </c>
      <c r="AD465" s="5" t="s">
        <v>86</v>
      </c>
      <c r="AG465" s="5">
        <v>400</v>
      </c>
      <c r="AH465" s="5" t="s">
        <v>86</v>
      </c>
      <c r="AY465" s="5" t="s">
        <v>86</v>
      </c>
      <c r="BN465" s="5" t="s">
        <v>85</v>
      </c>
      <c r="BO465" s="5">
        <v>125</v>
      </c>
      <c r="BP465" s="5">
        <v>400</v>
      </c>
      <c r="BQ465" s="5">
        <v>250</v>
      </c>
      <c r="BR465" s="5">
        <v>150</v>
      </c>
      <c r="BS465" s="5" t="s">
        <v>2484</v>
      </c>
      <c r="BT465" s="5">
        <v>0</v>
      </c>
      <c r="BU465" s="5">
        <v>125</v>
      </c>
      <c r="BV465" s="5">
        <v>0</v>
      </c>
      <c r="BW465" s="5">
        <v>0</v>
      </c>
      <c r="BX465" s="5">
        <v>0</v>
      </c>
      <c r="BZ465" s="5">
        <v>0</v>
      </c>
      <c r="CA465" s="5">
        <v>0</v>
      </c>
      <c r="CC465" s="5">
        <v>0</v>
      </c>
      <c r="CD465" s="5">
        <v>5</v>
      </c>
      <c r="CF465" s="1442" t="str">
        <f>IF([1]!sommaire[[#This Row],[présence des personnes déplacés interne]]="Oui","1","0")</f>
        <v>0</v>
      </c>
      <c r="CG465" s="1442" t="str">
        <f>IF([1]!sommaire[[#This Row],[présence Réfugié hors camp]]="Oui","1","0")</f>
        <v>0</v>
      </c>
      <c r="CH465" s="1442" t="str">
        <f>IF([1]!sommaire[[#This Row],[présence personnes retournées]]="Oui","1","0")</f>
        <v>1</v>
      </c>
      <c r="CI465" s="1442">
        <f>[1]!sommaire[[#This Row],[Flag PDI]]+[1]!sommaire[[#This Row],[Flag REF]]+[1]!sommaire[[#This Row],[Flag RET]]</f>
        <v>1</v>
      </c>
    </row>
    <row r="466" spans="1:87" ht="14.55" customHeight="1" x14ac:dyDescent="0.3">
      <c r="A466" s="390">
        <v>2720962</v>
      </c>
      <c r="B466" s="5" t="s">
        <v>533</v>
      </c>
      <c r="C466" s="1430" t="s">
        <v>3449</v>
      </c>
      <c r="D466" s="5" t="s">
        <v>534</v>
      </c>
      <c r="E466" s="5" t="s">
        <v>31</v>
      </c>
      <c r="F466" s="5" t="s">
        <v>31</v>
      </c>
      <c r="G466" s="5" t="s">
        <v>549</v>
      </c>
      <c r="H466" s="5" t="s">
        <v>169</v>
      </c>
      <c r="I466" s="5" t="str">
        <f>_xlfn.XLOOKUP(sommaire[[#This Row],[Arrondissement_code]],OCHA_GIS!$F:$F,OCHA_GIS!$E:$E,,)</f>
        <v>Logone-Birni</v>
      </c>
      <c r="J466" s="5" t="s">
        <v>673</v>
      </c>
      <c r="K466" t="s">
        <v>2959</v>
      </c>
      <c r="L466" s="5" t="s">
        <v>2340</v>
      </c>
      <c r="N466" s="5" t="s">
        <v>3053</v>
      </c>
      <c r="O466" s="5" t="s">
        <v>2467</v>
      </c>
      <c r="P466" s="5" t="s">
        <v>85</v>
      </c>
      <c r="Q466" s="5" t="s">
        <v>86</v>
      </c>
      <c r="R466" s="5" t="s">
        <v>86</v>
      </c>
      <c r="T466" s="390">
        <v>3</v>
      </c>
      <c r="U466" s="5" t="s">
        <v>97</v>
      </c>
      <c r="W466" s="5" t="s">
        <v>2468</v>
      </c>
      <c r="X466" s="5" t="s">
        <v>103</v>
      </c>
      <c r="Y466" s="5" t="s">
        <v>274</v>
      </c>
      <c r="AA466" s="5" t="s">
        <v>85</v>
      </c>
      <c r="AB466" s="5" t="s">
        <v>2469</v>
      </c>
      <c r="AC466" s="5" t="s">
        <v>2470</v>
      </c>
      <c r="AD466" s="5" t="s">
        <v>86</v>
      </c>
      <c r="AG466" s="5">
        <v>685</v>
      </c>
      <c r="AH466" s="5" t="s">
        <v>86</v>
      </c>
      <c r="AY466" s="5" t="s">
        <v>86</v>
      </c>
      <c r="BN466" s="5" t="s">
        <v>85</v>
      </c>
      <c r="BO466" s="5">
        <v>196</v>
      </c>
      <c r="BP466" s="5">
        <v>685</v>
      </c>
      <c r="BQ466" s="5">
        <v>255</v>
      </c>
      <c r="BR466" s="5">
        <v>430</v>
      </c>
      <c r="BS466" s="5" t="s">
        <v>2484</v>
      </c>
      <c r="BT466" s="5">
        <v>56</v>
      </c>
      <c r="BU466" s="5">
        <v>140</v>
      </c>
      <c r="BV466" s="5">
        <v>0</v>
      </c>
      <c r="BW466" s="5">
        <v>0</v>
      </c>
      <c r="BX466" s="5">
        <v>0</v>
      </c>
      <c r="BZ466" s="5">
        <v>0</v>
      </c>
      <c r="CA466" s="5">
        <v>0</v>
      </c>
      <c r="CC466" s="5">
        <v>0</v>
      </c>
      <c r="CD466" s="5">
        <v>0</v>
      </c>
      <c r="CF466" s="1442" t="str">
        <f>IF([1]!sommaire[[#This Row],[présence des personnes déplacés interne]]="Oui","1","0")</f>
        <v>0</v>
      </c>
      <c r="CG466" s="1442" t="str">
        <f>IF([1]!sommaire[[#This Row],[présence Réfugié hors camp]]="Oui","1","0")</f>
        <v>0</v>
      </c>
      <c r="CH466" s="1442" t="str">
        <f>IF([1]!sommaire[[#This Row],[présence personnes retournées]]="Oui","1","0")</f>
        <v>1</v>
      </c>
      <c r="CI466" s="1442">
        <f>[1]!sommaire[[#This Row],[Flag PDI]]+[1]!sommaire[[#This Row],[Flag REF]]+[1]!sommaire[[#This Row],[Flag RET]]</f>
        <v>1</v>
      </c>
    </row>
    <row r="467" spans="1:87" ht="14.55" customHeight="1" x14ac:dyDescent="0.3">
      <c r="A467" s="390">
        <v>2721996</v>
      </c>
      <c r="B467" s="5" t="s">
        <v>533</v>
      </c>
      <c r="C467" s="1430" t="s">
        <v>3449</v>
      </c>
      <c r="D467" s="5" t="s">
        <v>534</v>
      </c>
      <c r="E467" s="5" t="s">
        <v>31</v>
      </c>
      <c r="F467" s="5" t="s">
        <v>31</v>
      </c>
      <c r="G467" s="5" t="s">
        <v>549</v>
      </c>
      <c r="H467" s="5" t="s">
        <v>169</v>
      </c>
      <c r="I467" s="5" t="str">
        <f>_xlfn.XLOOKUP(sommaire[[#This Row],[Arrondissement_code]],OCHA_GIS!$F:$F,OCHA_GIS!$E:$E,,)</f>
        <v>Logone-Birni</v>
      </c>
      <c r="J467" s="5" t="s">
        <v>673</v>
      </c>
      <c r="K467" t="s">
        <v>1647</v>
      </c>
      <c r="L467" s="5" t="s">
        <v>676</v>
      </c>
      <c r="N467" s="5" t="s">
        <v>3052</v>
      </c>
      <c r="O467" s="5" t="s">
        <v>2467</v>
      </c>
      <c r="P467" s="5" t="s">
        <v>85</v>
      </c>
      <c r="Q467" s="5" t="s">
        <v>86</v>
      </c>
      <c r="R467" s="5" t="s">
        <v>86</v>
      </c>
      <c r="T467" s="390">
        <v>4</v>
      </c>
      <c r="U467" s="5" t="s">
        <v>97</v>
      </c>
      <c r="W467" s="5" t="s">
        <v>2468</v>
      </c>
      <c r="X467" s="5" t="s">
        <v>102</v>
      </c>
      <c r="AA467" s="5" t="s">
        <v>85</v>
      </c>
      <c r="AB467" s="5" t="s">
        <v>2469</v>
      </c>
      <c r="AC467" s="5" t="s">
        <v>2470</v>
      </c>
      <c r="AD467" s="5" t="s">
        <v>86</v>
      </c>
      <c r="AF467" s="5">
        <v>100</v>
      </c>
      <c r="AG467" s="5">
        <v>1322</v>
      </c>
      <c r="AH467" s="5" t="s">
        <v>85</v>
      </c>
      <c r="AI467" s="5" t="s">
        <v>2471</v>
      </c>
      <c r="AJ467" s="5">
        <v>100</v>
      </c>
      <c r="AK467" s="5">
        <v>724</v>
      </c>
      <c r="AL467" s="5">
        <v>376</v>
      </c>
      <c r="AM467" s="5">
        <v>348</v>
      </c>
      <c r="AN467" s="5">
        <v>0</v>
      </c>
      <c r="AO467" s="5">
        <v>100</v>
      </c>
      <c r="AP467" s="5">
        <v>0</v>
      </c>
      <c r="AQ467" s="5">
        <v>0</v>
      </c>
      <c r="AT467" s="5">
        <v>0</v>
      </c>
      <c r="AU467" s="5">
        <v>0</v>
      </c>
      <c r="AX467" s="5">
        <v>0</v>
      </c>
      <c r="AY467" s="5" t="s">
        <v>86</v>
      </c>
      <c r="BN467" s="5" t="s">
        <v>85</v>
      </c>
      <c r="BO467" s="5">
        <v>51</v>
      </c>
      <c r="BP467" s="5">
        <v>249</v>
      </c>
      <c r="BQ467" s="5">
        <v>133</v>
      </c>
      <c r="BR467" s="5">
        <v>116</v>
      </c>
      <c r="BS467" s="5" t="s">
        <v>2492</v>
      </c>
      <c r="BT467" s="5">
        <v>0</v>
      </c>
      <c r="BU467" s="5">
        <v>51</v>
      </c>
      <c r="BV467" s="5">
        <v>0</v>
      </c>
      <c r="BW467" s="5">
        <v>0</v>
      </c>
      <c r="BX467" s="5">
        <v>0</v>
      </c>
      <c r="BZ467" s="5">
        <v>0</v>
      </c>
      <c r="CA467" s="5">
        <v>0</v>
      </c>
      <c r="CC467" s="5">
        <v>0</v>
      </c>
      <c r="CD467" s="5">
        <v>0</v>
      </c>
      <c r="CF467" s="1442" t="str">
        <f>IF([1]!sommaire[[#This Row],[présence des personnes déplacés interne]]="Oui","1","0")</f>
        <v>1</v>
      </c>
      <c r="CG467" s="1442" t="str">
        <f>IF([1]!sommaire[[#This Row],[présence Réfugié hors camp]]="Oui","1","0")</f>
        <v>0</v>
      </c>
      <c r="CH467" s="1442" t="str">
        <f>IF([1]!sommaire[[#This Row],[présence personnes retournées]]="Oui","1","0")</f>
        <v>1</v>
      </c>
      <c r="CI467" s="1442">
        <f>[1]!sommaire[[#This Row],[Flag PDI]]+[1]!sommaire[[#This Row],[Flag REF]]+[1]!sommaire[[#This Row],[Flag RET]]</f>
        <v>2</v>
      </c>
    </row>
    <row r="468" spans="1:87" ht="14.55" customHeight="1" x14ac:dyDescent="0.3">
      <c r="A468" s="390">
        <v>2721900</v>
      </c>
      <c r="B468" s="5" t="s">
        <v>533</v>
      </c>
      <c r="C468" s="1430" t="s">
        <v>3449</v>
      </c>
      <c r="D468" s="5" t="s">
        <v>534</v>
      </c>
      <c r="E468" s="5" t="s">
        <v>31</v>
      </c>
      <c r="F468" s="5" t="s">
        <v>31</v>
      </c>
      <c r="G468" s="5" t="s">
        <v>549</v>
      </c>
      <c r="H468" s="5" t="s">
        <v>169</v>
      </c>
      <c r="I468" s="5" t="str">
        <f>_xlfn.XLOOKUP(sommaire[[#This Row],[Arrondissement_code]],OCHA_GIS!$F:$F,OCHA_GIS!$E:$E,,)</f>
        <v>Logone-Birni</v>
      </c>
      <c r="J468" s="5" t="s">
        <v>673</v>
      </c>
      <c r="K468" t="s">
        <v>1270</v>
      </c>
      <c r="L468" s="5" t="s">
        <v>674</v>
      </c>
      <c r="N468" s="5" t="s">
        <v>3053</v>
      </c>
      <c r="O468" s="5" t="s">
        <v>2467</v>
      </c>
      <c r="P468" s="5" t="s">
        <v>85</v>
      </c>
      <c r="Q468" s="5" t="s">
        <v>86</v>
      </c>
      <c r="R468" s="5" t="s">
        <v>85</v>
      </c>
      <c r="T468" s="390">
        <v>4</v>
      </c>
      <c r="U468" s="5" t="s">
        <v>97</v>
      </c>
      <c r="W468" s="5" t="s">
        <v>2468</v>
      </c>
      <c r="X468" s="5" t="s">
        <v>102</v>
      </c>
      <c r="AA468" s="5" t="s">
        <v>85</v>
      </c>
      <c r="AB468" s="5" t="s">
        <v>2469</v>
      </c>
      <c r="AC468" s="5" t="s">
        <v>2470</v>
      </c>
      <c r="AD468" s="5" t="s">
        <v>86</v>
      </c>
      <c r="AF468" s="5">
        <v>7</v>
      </c>
      <c r="AG468" s="5">
        <v>694</v>
      </c>
      <c r="AH468" s="5" t="s">
        <v>85</v>
      </c>
      <c r="AI468" s="5" t="s">
        <v>2471</v>
      </c>
      <c r="AJ468" s="5">
        <v>7</v>
      </c>
      <c r="AK468" s="5">
        <v>65</v>
      </c>
      <c r="AL468" s="5">
        <v>36</v>
      </c>
      <c r="AM468" s="5">
        <v>29</v>
      </c>
      <c r="AN468" s="5">
        <v>0</v>
      </c>
      <c r="AO468" s="5">
        <v>7</v>
      </c>
      <c r="AP468" s="5">
        <v>0</v>
      </c>
      <c r="AQ468" s="5">
        <v>0</v>
      </c>
      <c r="AT468" s="5">
        <v>0</v>
      </c>
      <c r="AU468" s="5">
        <v>0</v>
      </c>
      <c r="AX468" s="5">
        <v>0</v>
      </c>
      <c r="AY468" s="5" t="s">
        <v>86</v>
      </c>
      <c r="BN468" s="5" t="s">
        <v>85</v>
      </c>
      <c r="BO468" s="5">
        <v>150</v>
      </c>
      <c r="BP468" s="5">
        <v>629</v>
      </c>
      <c r="BQ468" s="5">
        <v>326</v>
      </c>
      <c r="BR468" s="5">
        <v>303</v>
      </c>
      <c r="BS468" s="5" t="s">
        <v>2492</v>
      </c>
      <c r="BT468" s="5">
        <v>0</v>
      </c>
      <c r="BU468" s="5">
        <v>150</v>
      </c>
      <c r="BV468" s="5">
        <v>0</v>
      </c>
      <c r="BW468" s="5">
        <v>0</v>
      </c>
      <c r="BX468" s="5">
        <v>0</v>
      </c>
      <c r="BZ468" s="5">
        <v>0</v>
      </c>
      <c r="CA468" s="5">
        <v>0</v>
      </c>
      <c r="CC468" s="5">
        <v>0</v>
      </c>
      <c r="CD468" s="5">
        <v>0</v>
      </c>
      <c r="CF468" s="1442" t="str">
        <f>IF([1]!sommaire[[#This Row],[présence des personnes déplacés interne]]="Oui","1","0")</f>
        <v>1</v>
      </c>
      <c r="CG468" s="1442" t="str">
        <f>IF([1]!sommaire[[#This Row],[présence Réfugié hors camp]]="Oui","1","0")</f>
        <v>0</v>
      </c>
      <c r="CH468" s="1442" t="str">
        <f>IF([1]!sommaire[[#This Row],[présence personnes retournées]]="Oui","1","0")</f>
        <v>1</v>
      </c>
      <c r="CI468" s="1442">
        <f>[1]!sommaire[[#This Row],[Flag PDI]]+[1]!sommaire[[#This Row],[Flag REF]]+[1]!sommaire[[#This Row],[Flag RET]]</f>
        <v>2</v>
      </c>
    </row>
    <row r="469" spans="1:87" ht="14.55" customHeight="1" x14ac:dyDescent="0.3">
      <c r="A469" s="390">
        <v>2721899</v>
      </c>
      <c r="B469" s="5" t="s">
        <v>533</v>
      </c>
      <c r="C469" s="1430" t="s">
        <v>3449</v>
      </c>
      <c r="D469" s="5" t="s">
        <v>534</v>
      </c>
      <c r="E469" s="5" t="s">
        <v>31</v>
      </c>
      <c r="F469" s="5" t="s">
        <v>31</v>
      </c>
      <c r="G469" s="5" t="s">
        <v>549</v>
      </c>
      <c r="H469" s="5" t="s">
        <v>169</v>
      </c>
      <c r="I469" s="5" t="str">
        <f>_xlfn.XLOOKUP(sommaire[[#This Row],[Arrondissement_code]],OCHA_GIS!$F:$F,OCHA_GIS!$E:$E,,)</f>
        <v>Logone-Birni</v>
      </c>
      <c r="J469" s="5" t="s">
        <v>673</v>
      </c>
      <c r="K469" t="s">
        <v>1127</v>
      </c>
      <c r="L469" s="5" t="s">
        <v>677</v>
      </c>
      <c r="N469" s="5" t="s">
        <v>3053</v>
      </c>
      <c r="O469" s="5" t="s">
        <v>2467</v>
      </c>
      <c r="P469" s="5" t="s">
        <v>85</v>
      </c>
      <c r="Q469" s="5" t="s">
        <v>86</v>
      </c>
      <c r="R469" s="5" t="s">
        <v>85</v>
      </c>
      <c r="T469" s="390">
        <v>4</v>
      </c>
      <c r="U469" s="5" t="s">
        <v>97</v>
      </c>
      <c r="W469" s="5" t="s">
        <v>2468</v>
      </c>
      <c r="X469" s="5" t="s">
        <v>102</v>
      </c>
      <c r="AA469" s="5" t="s">
        <v>85</v>
      </c>
      <c r="AB469" s="5" t="s">
        <v>2469</v>
      </c>
      <c r="AC469" s="5" t="s">
        <v>2470</v>
      </c>
      <c r="AD469" s="5" t="s">
        <v>86</v>
      </c>
      <c r="AF469" s="5">
        <v>21</v>
      </c>
      <c r="AG469" s="5">
        <v>458</v>
      </c>
      <c r="AH469" s="5" t="s">
        <v>85</v>
      </c>
      <c r="AI469" s="5" t="s">
        <v>2471</v>
      </c>
      <c r="AJ469" s="5">
        <v>21</v>
      </c>
      <c r="AK469" s="5">
        <v>198</v>
      </c>
      <c r="AL469" s="5">
        <v>97</v>
      </c>
      <c r="AM469" s="5">
        <v>101</v>
      </c>
      <c r="AN469" s="5">
        <v>0</v>
      </c>
      <c r="AO469" s="5">
        <v>21</v>
      </c>
      <c r="AP469" s="5">
        <v>0</v>
      </c>
      <c r="AQ469" s="5">
        <v>0</v>
      </c>
      <c r="AT469" s="5">
        <v>0</v>
      </c>
      <c r="AU469" s="5">
        <v>0</v>
      </c>
      <c r="AX469" s="5">
        <v>0</v>
      </c>
      <c r="AY469" s="5" t="s">
        <v>86</v>
      </c>
      <c r="BN469" s="5" t="s">
        <v>85</v>
      </c>
      <c r="BO469" s="5">
        <v>20</v>
      </c>
      <c r="BP469" s="5">
        <v>100</v>
      </c>
      <c r="BQ469" s="5">
        <v>55</v>
      </c>
      <c r="BR469" s="5">
        <v>45</v>
      </c>
      <c r="BS469" s="5" t="s">
        <v>2492</v>
      </c>
      <c r="BT469" s="5">
        <v>0</v>
      </c>
      <c r="BU469" s="5">
        <v>20</v>
      </c>
      <c r="BV469" s="5">
        <v>0</v>
      </c>
      <c r="BW469" s="5">
        <v>0</v>
      </c>
      <c r="BX469" s="5">
        <v>0</v>
      </c>
      <c r="BZ469" s="5">
        <v>0</v>
      </c>
      <c r="CA469" s="5">
        <v>0</v>
      </c>
      <c r="CC469" s="5">
        <v>0</v>
      </c>
      <c r="CD469" s="5">
        <v>0</v>
      </c>
      <c r="CF469" s="1442" t="str">
        <f>IF([1]!sommaire[[#This Row],[présence des personnes déplacés interne]]="Oui","1","0")</f>
        <v>1</v>
      </c>
      <c r="CG469" s="1442" t="str">
        <f>IF([1]!sommaire[[#This Row],[présence Réfugié hors camp]]="Oui","1","0")</f>
        <v>0</v>
      </c>
      <c r="CH469" s="1442" t="str">
        <f>IF([1]!sommaire[[#This Row],[présence personnes retournées]]="Oui","1","0")</f>
        <v>1</v>
      </c>
      <c r="CI469" s="1442">
        <f>[1]!sommaire[[#This Row],[Flag PDI]]+[1]!sommaire[[#This Row],[Flag REF]]+[1]!sommaire[[#This Row],[Flag RET]]</f>
        <v>2</v>
      </c>
    </row>
    <row r="470" spans="1:87" ht="14.55" customHeight="1" x14ac:dyDescent="0.3">
      <c r="A470" s="390">
        <v>2669134</v>
      </c>
      <c r="B470" s="5" t="s">
        <v>533</v>
      </c>
      <c r="C470" s="1430" t="s">
        <v>3449</v>
      </c>
      <c r="D470" s="1090" t="s">
        <v>534</v>
      </c>
      <c r="E470" s="5" t="s">
        <v>31</v>
      </c>
      <c r="F470" s="5" t="s">
        <v>31</v>
      </c>
      <c r="G470" s="5" t="s">
        <v>549</v>
      </c>
      <c r="H470" s="5" t="s">
        <v>171</v>
      </c>
      <c r="I470" s="5" t="str">
        <f>_xlfn.XLOOKUP(sommaire[[#This Row],[Arrondissement_code]],OCHA_GIS!$F:$F,OCHA_GIS!$E:$E,,)</f>
        <v>Makary</v>
      </c>
      <c r="J470" s="5" t="s">
        <v>634</v>
      </c>
      <c r="K470" t="s">
        <v>550</v>
      </c>
      <c r="L470" s="5" t="s">
        <v>3170</v>
      </c>
      <c r="M470" s="5" t="s">
        <v>3170</v>
      </c>
      <c r="N470" s="5" t="s">
        <v>3053</v>
      </c>
      <c r="O470" s="5" t="s">
        <v>2473</v>
      </c>
      <c r="P470" s="5" t="s">
        <v>85</v>
      </c>
      <c r="Q470" s="5" t="s">
        <v>86</v>
      </c>
      <c r="R470" s="5" t="s">
        <v>86</v>
      </c>
      <c r="T470" s="390">
        <v>3</v>
      </c>
      <c r="U470" s="5" t="s">
        <v>97</v>
      </c>
      <c r="W470" s="5" t="s">
        <v>2468</v>
      </c>
      <c r="X470" s="5" t="s">
        <v>102</v>
      </c>
      <c r="AA470" s="5" t="s">
        <v>85</v>
      </c>
      <c r="AB470" s="5" t="s">
        <v>2473</v>
      </c>
      <c r="AC470" s="5" t="s">
        <v>2470</v>
      </c>
      <c r="AF470" s="5">
        <v>100</v>
      </c>
      <c r="AG470" s="5">
        <v>360</v>
      </c>
      <c r="AH470" s="5" t="s">
        <v>85</v>
      </c>
      <c r="AI470" s="5" t="s">
        <v>2471</v>
      </c>
      <c r="AJ470" s="5">
        <v>100</v>
      </c>
      <c r="AK470" s="5">
        <v>200</v>
      </c>
      <c r="AL470" s="5">
        <v>150</v>
      </c>
      <c r="AM470" s="5">
        <v>50</v>
      </c>
      <c r="AN470" s="5">
        <v>0</v>
      </c>
      <c r="AO470" s="5">
        <v>0</v>
      </c>
      <c r="AP470" s="5">
        <v>0</v>
      </c>
      <c r="AQ470" s="5">
        <v>0</v>
      </c>
      <c r="AT470" s="5">
        <v>0</v>
      </c>
      <c r="AU470" s="5">
        <v>100</v>
      </c>
      <c r="AV470" s="5" t="s">
        <v>2474</v>
      </c>
      <c r="AX470" s="5">
        <v>0</v>
      </c>
      <c r="AY470" s="5" t="s">
        <v>85</v>
      </c>
      <c r="AZ470" s="5">
        <v>50</v>
      </c>
      <c r="BA470" s="5">
        <v>150</v>
      </c>
      <c r="BB470" s="5">
        <v>100</v>
      </c>
      <c r="BC470" s="5">
        <v>50</v>
      </c>
      <c r="BD470" s="5">
        <v>0</v>
      </c>
      <c r="BE470" s="5">
        <v>0</v>
      </c>
      <c r="BF470" s="5">
        <v>0</v>
      </c>
      <c r="BH470" s="5">
        <v>0</v>
      </c>
      <c r="BI470" s="5">
        <v>50</v>
      </c>
      <c r="BJ470" s="5" t="s">
        <v>2474</v>
      </c>
      <c r="BL470" s="5">
        <v>0</v>
      </c>
      <c r="BM470" s="5">
        <v>0</v>
      </c>
      <c r="BN470" s="5" t="s">
        <v>86</v>
      </c>
      <c r="CD470" s="5">
        <v>0</v>
      </c>
      <c r="CF470" s="1442" t="str">
        <f>IF([1]!sommaire[[#This Row],[présence des personnes déplacés interne]]="Oui","1","0")</f>
        <v>1</v>
      </c>
      <c r="CG470" s="1442" t="str">
        <f>IF([1]!sommaire[[#This Row],[présence Réfugié hors camp]]="Oui","1","0")</f>
        <v>1</v>
      </c>
      <c r="CH470" s="1442" t="str">
        <f>IF([1]!sommaire[[#This Row],[présence personnes retournées]]="Oui","1","0")</f>
        <v>0</v>
      </c>
      <c r="CI470" s="1442">
        <f>[1]!sommaire[[#This Row],[Flag PDI]]+[1]!sommaire[[#This Row],[Flag REF]]+[1]!sommaire[[#This Row],[Flag RET]]</f>
        <v>2</v>
      </c>
    </row>
    <row r="471" spans="1:87" ht="14.55" customHeight="1" x14ac:dyDescent="0.3">
      <c r="A471" s="390">
        <v>2592211</v>
      </c>
      <c r="B471" s="5" t="s">
        <v>533</v>
      </c>
      <c r="C471" s="1430" t="s">
        <v>3449</v>
      </c>
      <c r="D471" s="1090" t="s">
        <v>534</v>
      </c>
      <c r="E471" s="5" t="s">
        <v>31</v>
      </c>
      <c r="F471" s="5" t="s">
        <v>31</v>
      </c>
      <c r="G471" s="5" t="s">
        <v>549</v>
      </c>
      <c r="H471" s="5" t="s">
        <v>171</v>
      </c>
      <c r="I471" s="5" t="str">
        <f>_xlfn.XLOOKUP(sommaire[[#This Row],[Arrondissement_code]],OCHA_GIS!$F:$F,OCHA_GIS!$E:$E,,)</f>
        <v>Makary</v>
      </c>
      <c r="J471" s="5" t="s">
        <v>634</v>
      </c>
      <c r="K471" t="s">
        <v>550</v>
      </c>
      <c r="L471" s="5" t="s">
        <v>3181</v>
      </c>
      <c r="M471" s="5" t="s">
        <v>3181</v>
      </c>
      <c r="N471" s="5" t="s">
        <v>3053</v>
      </c>
      <c r="O471" s="5" t="s">
        <v>2473</v>
      </c>
      <c r="P471" s="5" t="s">
        <v>85</v>
      </c>
      <c r="Q471" s="5" t="s">
        <v>86</v>
      </c>
      <c r="R471" s="5" t="s">
        <v>86</v>
      </c>
      <c r="T471" s="390">
        <v>4</v>
      </c>
      <c r="U471" s="5" t="s">
        <v>97</v>
      </c>
      <c r="W471" s="5" t="s">
        <v>2468</v>
      </c>
      <c r="X471" s="5" t="s">
        <v>102</v>
      </c>
      <c r="AA471" s="5" t="s">
        <v>85</v>
      </c>
      <c r="AB471" s="5" t="s">
        <v>2473</v>
      </c>
      <c r="AC471" s="5" t="s">
        <v>2470</v>
      </c>
      <c r="AF471" s="5">
        <v>263</v>
      </c>
      <c r="AG471" s="5">
        <v>401</v>
      </c>
      <c r="AH471" s="5" t="s">
        <v>85</v>
      </c>
      <c r="AI471" s="5" t="s">
        <v>2485</v>
      </c>
      <c r="AJ471" s="5">
        <v>263</v>
      </c>
      <c r="AK471" s="5">
        <v>401</v>
      </c>
      <c r="AL471" s="5">
        <v>150</v>
      </c>
      <c r="AM471" s="5">
        <v>251</v>
      </c>
      <c r="AN471" s="5">
        <v>0</v>
      </c>
      <c r="AO471" s="5">
        <v>0</v>
      </c>
      <c r="AP471" s="5">
        <v>0</v>
      </c>
      <c r="AQ471" s="5">
        <v>0</v>
      </c>
      <c r="AT471" s="5">
        <v>0</v>
      </c>
      <c r="AU471" s="5">
        <v>263</v>
      </c>
      <c r="AV471" s="5" t="s">
        <v>2474</v>
      </c>
      <c r="AX471" s="5">
        <v>0</v>
      </c>
      <c r="AY471" s="5" t="s">
        <v>86</v>
      </c>
      <c r="BN471" s="5" t="s">
        <v>86</v>
      </c>
      <c r="CD471" s="5">
        <v>0</v>
      </c>
      <c r="CF471" s="1442" t="str">
        <f>IF([1]!sommaire[[#This Row],[présence des personnes déplacés interne]]="Oui","1","0")</f>
        <v>1</v>
      </c>
      <c r="CG471" s="1442" t="str">
        <f>IF([1]!sommaire[[#This Row],[présence Réfugié hors camp]]="Oui","1","0")</f>
        <v>0</v>
      </c>
      <c r="CH471" s="1442" t="str">
        <f>IF([1]!sommaire[[#This Row],[présence personnes retournées]]="Oui","1","0")</f>
        <v>0</v>
      </c>
      <c r="CI471" s="1442">
        <f>[1]!sommaire[[#This Row],[Flag PDI]]+[1]!sommaire[[#This Row],[Flag REF]]+[1]!sommaire[[#This Row],[Flag RET]]</f>
        <v>1</v>
      </c>
    </row>
    <row r="472" spans="1:87" ht="14.55" customHeight="1" x14ac:dyDescent="0.3">
      <c r="A472" s="390">
        <v>2630389</v>
      </c>
      <c r="B472" s="5" t="s">
        <v>533</v>
      </c>
      <c r="C472" s="1430" t="s">
        <v>3449</v>
      </c>
      <c r="D472" s="1090" t="s">
        <v>534</v>
      </c>
      <c r="E472" s="5" t="s">
        <v>31</v>
      </c>
      <c r="F472" s="5" t="s">
        <v>31</v>
      </c>
      <c r="G472" s="5" t="s">
        <v>549</v>
      </c>
      <c r="H472" s="5" t="s">
        <v>171</v>
      </c>
      <c r="I472" s="5" t="str">
        <f>_xlfn.XLOOKUP(sommaire[[#This Row],[Arrondissement_code]],OCHA_GIS!$F:$F,OCHA_GIS!$E:$E,,)</f>
        <v>Makary</v>
      </c>
      <c r="J472" s="5" t="s">
        <v>634</v>
      </c>
      <c r="K472" t="s">
        <v>2200</v>
      </c>
      <c r="L472" s="5" t="s">
        <v>1249</v>
      </c>
      <c r="N472" s="5" t="s">
        <v>3053</v>
      </c>
      <c r="O472" s="5" t="s">
        <v>2467</v>
      </c>
      <c r="P472" s="5" t="s">
        <v>86</v>
      </c>
      <c r="Q472" s="5" t="s">
        <v>86</v>
      </c>
      <c r="R472" s="5" t="s">
        <v>85</v>
      </c>
      <c r="U472" s="5" t="s">
        <v>97</v>
      </c>
      <c r="W472" s="5" t="s">
        <v>2468</v>
      </c>
      <c r="X472" s="5" t="s">
        <v>102</v>
      </c>
      <c r="AA472" s="5" t="s">
        <v>85</v>
      </c>
      <c r="AB472" s="5" t="s">
        <v>2473</v>
      </c>
      <c r="AC472" s="5" t="s">
        <v>2470</v>
      </c>
      <c r="AD472" s="5" t="s">
        <v>85</v>
      </c>
      <c r="AE472" s="5">
        <v>1</v>
      </c>
      <c r="AF472" s="5">
        <v>326</v>
      </c>
      <c r="AG472" s="5">
        <v>3383</v>
      </c>
      <c r="AH472" s="5" t="s">
        <v>85</v>
      </c>
      <c r="AI472" s="5" t="s">
        <v>2471</v>
      </c>
      <c r="AJ472" s="5">
        <v>326</v>
      </c>
      <c r="AK472" s="5">
        <v>3143</v>
      </c>
      <c r="AL472" s="5">
        <v>1468</v>
      </c>
      <c r="AM472" s="5">
        <v>1675</v>
      </c>
      <c r="AN472" s="5">
        <v>0</v>
      </c>
      <c r="AO472" s="5">
        <v>15</v>
      </c>
      <c r="AP472" s="5">
        <v>0</v>
      </c>
      <c r="AQ472" s="5">
        <v>0</v>
      </c>
      <c r="AT472" s="5">
        <v>0</v>
      </c>
      <c r="AU472" s="5">
        <v>311</v>
      </c>
      <c r="AV472" s="5" t="s">
        <v>2490</v>
      </c>
      <c r="AX472" s="5">
        <v>0</v>
      </c>
      <c r="AY472" s="5" t="s">
        <v>85</v>
      </c>
      <c r="AZ472" s="5">
        <v>74</v>
      </c>
      <c r="BA472" s="5">
        <v>240</v>
      </c>
      <c r="BB472" s="5">
        <v>100</v>
      </c>
      <c r="BC472" s="5">
        <v>140</v>
      </c>
      <c r="BD472" s="5">
        <v>0</v>
      </c>
      <c r="BE472" s="5">
        <v>0</v>
      </c>
      <c r="BF472" s="5">
        <v>0</v>
      </c>
      <c r="BH472" s="5">
        <v>0</v>
      </c>
      <c r="BI472" s="5">
        <v>74</v>
      </c>
      <c r="BJ472" s="5" t="s">
        <v>2490</v>
      </c>
      <c r="BL472" s="5">
        <v>0</v>
      </c>
      <c r="BM472" s="5">
        <v>0</v>
      </c>
      <c r="BN472" s="5" t="s">
        <v>86</v>
      </c>
      <c r="CD472" s="5">
        <v>0</v>
      </c>
      <c r="CF472" s="1442" t="str">
        <f>IF([1]!sommaire[[#This Row],[présence des personnes déplacés interne]]="Oui","1","0")</f>
        <v>1</v>
      </c>
      <c r="CG472" s="1442" t="str">
        <f>IF([1]!sommaire[[#This Row],[présence Réfugié hors camp]]="Oui","1","0")</f>
        <v>1</v>
      </c>
      <c r="CH472" s="1442" t="str">
        <f>IF([1]!sommaire[[#This Row],[présence personnes retournées]]="Oui","1","0")</f>
        <v>0</v>
      </c>
      <c r="CI472" s="1442">
        <f>[1]!sommaire[[#This Row],[Flag PDI]]+[1]!sommaire[[#This Row],[Flag REF]]+[1]!sommaire[[#This Row],[Flag RET]]</f>
        <v>2</v>
      </c>
    </row>
    <row r="473" spans="1:87" ht="14.55" customHeight="1" x14ac:dyDescent="0.3">
      <c r="A473" s="390">
        <v>2635973</v>
      </c>
      <c r="B473" s="5" t="s">
        <v>533</v>
      </c>
      <c r="C473" s="1430" t="s">
        <v>3449</v>
      </c>
      <c r="D473" s="1090" t="s">
        <v>534</v>
      </c>
      <c r="E473" s="5" t="s">
        <v>31</v>
      </c>
      <c r="F473" s="5" t="s">
        <v>31</v>
      </c>
      <c r="G473" s="5" t="s">
        <v>549</v>
      </c>
      <c r="H473" s="5" t="s">
        <v>171</v>
      </c>
      <c r="I473" s="5" t="str">
        <f>_xlfn.XLOOKUP(sommaire[[#This Row],[Arrondissement_code]],OCHA_GIS!$F:$F,OCHA_GIS!$E:$E,,)</f>
        <v>Makary</v>
      </c>
      <c r="J473" s="5" t="s">
        <v>634</v>
      </c>
      <c r="K473" t="s">
        <v>2588</v>
      </c>
      <c r="L473" s="5" t="s">
        <v>2589</v>
      </c>
      <c r="N473" s="5" t="s">
        <v>3053</v>
      </c>
      <c r="O473" s="5" t="s">
        <v>2467</v>
      </c>
      <c r="P473" s="5" t="s">
        <v>85</v>
      </c>
      <c r="Q473" s="5" t="s">
        <v>86</v>
      </c>
      <c r="R473" s="5" t="s">
        <v>86</v>
      </c>
      <c r="T473" s="390">
        <v>3</v>
      </c>
      <c r="U473" s="5" t="s">
        <v>97</v>
      </c>
      <c r="W473" s="5" t="s">
        <v>2468</v>
      </c>
      <c r="X473" s="5" t="s">
        <v>103</v>
      </c>
      <c r="Y473" s="5" t="s">
        <v>2476</v>
      </c>
      <c r="AA473" s="5" t="s">
        <v>85</v>
      </c>
      <c r="AB473" s="5" t="s">
        <v>2469</v>
      </c>
      <c r="AC473" s="5" t="s">
        <v>2470</v>
      </c>
      <c r="AD473" s="5" t="s">
        <v>86</v>
      </c>
      <c r="AF473" s="5">
        <v>20</v>
      </c>
      <c r="AG473" s="5">
        <v>794</v>
      </c>
      <c r="AH473" s="5" t="s">
        <v>85</v>
      </c>
      <c r="AI473" s="5" t="s">
        <v>2471</v>
      </c>
      <c r="AJ473" s="5">
        <v>20</v>
      </c>
      <c r="AK473" s="5">
        <v>100</v>
      </c>
      <c r="AL473" s="5">
        <v>43</v>
      </c>
      <c r="AM473" s="5">
        <v>57</v>
      </c>
      <c r="AN473" s="5">
        <v>7</v>
      </c>
      <c r="AO473" s="5">
        <v>13</v>
      </c>
      <c r="AP473" s="5">
        <v>0</v>
      </c>
      <c r="AQ473" s="5">
        <v>0</v>
      </c>
      <c r="AT473" s="5">
        <v>0</v>
      </c>
      <c r="AU473" s="5">
        <v>0</v>
      </c>
      <c r="AX473" s="5">
        <v>0</v>
      </c>
      <c r="AY473" s="5" t="s">
        <v>86</v>
      </c>
      <c r="BN473" s="5" t="s">
        <v>86</v>
      </c>
      <c r="CD473" s="5">
        <v>0</v>
      </c>
      <c r="CF473" s="1442" t="str">
        <f>IF([1]!sommaire[[#This Row],[présence des personnes déplacés interne]]="Oui","1","0")</f>
        <v>1</v>
      </c>
      <c r="CG473" s="1442" t="str">
        <f>IF([1]!sommaire[[#This Row],[présence Réfugié hors camp]]="Oui","1","0")</f>
        <v>0</v>
      </c>
      <c r="CH473" s="1442" t="str">
        <f>IF([1]!sommaire[[#This Row],[présence personnes retournées]]="Oui","1","0")</f>
        <v>0</v>
      </c>
      <c r="CI473" s="1442">
        <f>[1]!sommaire[[#This Row],[Flag PDI]]+[1]!sommaire[[#This Row],[Flag REF]]+[1]!sommaire[[#This Row],[Flag RET]]</f>
        <v>1</v>
      </c>
    </row>
    <row r="474" spans="1:87" ht="14.55" customHeight="1" x14ac:dyDescent="0.3">
      <c r="A474" s="390">
        <v>2626367</v>
      </c>
      <c r="B474" s="5" t="s">
        <v>533</v>
      </c>
      <c r="C474" s="1430" t="s">
        <v>3449</v>
      </c>
      <c r="D474" s="1090" t="s">
        <v>534</v>
      </c>
      <c r="E474" s="5" t="s">
        <v>31</v>
      </c>
      <c r="F474" s="5" t="s">
        <v>31</v>
      </c>
      <c r="G474" s="5" t="s">
        <v>549</v>
      </c>
      <c r="H474" s="5" t="s">
        <v>171</v>
      </c>
      <c r="I474" s="5" t="str">
        <f>_xlfn.XLOOKUP(sommaire[[#This Row],[Arrondissement_code]],OCHA_GIS!$F:$F,OCHA_GIS!$E:$E,,)</f>
        <v>Makary</v>
      </c>
      <c r="J474" s="5" t="s">
        <v>634</v>
      </c>
      <c r="K474" t="s">
        <v>1212</v>
      </c>
      <c r="L474" s="5" t="s">
        <v>850</v>
      </c>
      <c r="N474" s="5" t="s">
        <v>3052</v>
      </c>
      <c r="O474" s="5" t="s">
        <v>2467</v>
      </c>
      <c r="P474" s="5" t="s">
        <v>85</v>
      </c>
      <c r="Q474" s="5" t="s">
        <v>86</v>
      </c>
      <c r="R474" s="5" t="s">
        <v>85</v>
      </c>
      <c r="T474" s="390">
        <v>3</v>
      </c>
      <c r="U474" s="5" t="s">
        <v>97</v>
      </c>
      <c r="W474" s="5" t="s">
        <v>2468</v>
      </c>
      <c r="X474" s="5" t="s">
        <v>103</v>
      </c>
      <c r="Y474" s="5" t="s">
        <v>2476</v>
      </c>
      <c r="AA474" s="5" t="s">
        <v>85</v>
      </c>
      <c r="AB474" s="5" t="s">
        <v>2469</v>
      </c>
      <c r="AC474" s="5" t="s">
        <v>2470</v>
      </c>
      <c r="AD474" s="5" t="s">
        <v>86</v>
      </c>
      <c r="AF474" s="5">
        <v>11</v>
      </c>
      <c r="AG474" s="5">
        <v>534</v>
      </c>
      <c r="AH474" s="5" t="s">
        <v>85</v>
      </c>
      <c r="AI474" s="5" t="s">
        <v>2486</v>
      </c>
      <c r="AJ474" s="5">
        <v>11</v>
      </c>
      <c r="AK474" s="5">
        <v>67</v>
      </c>
      <c r="AL474" s="5">
        <v>32</v>
      </c>
      <c r="AM474" s="5">
        <v>35</v>
      </c>
      <c r="AN474" s="5">
        <v>4</v>
      </c>
      <c r="AO474" s="5">
        <v>4</v>
      </c>
      <c r="AP474" s="5">
        <v>3</v>
      </c>
      <c r="AQ474" s="5">
        <v>0</v>
      </c>
      <c r="AT474" s="5">
        <v>0</v>
      </c>
      <c r="AU474" s="5">
        <v>0</v>
      </c>
      <c r="AX474" s="5">
        <v>0</v>
      </c>
      <c r="AY474" s="5" t="s">
        <v>86</v>
      </c>
      <c r="BN474" s="5" t="s">
        <v>86</v>
      </c>
      <c r="CD474" s="5">
        <v>0</v>
      </c>
      <c r="CF474" s="1442" t="str">
        <f>IF([1]!sommaire[[#This Row],[présence des personnes déplacés interne]]="Oui","1","0")</f>
        <v>1</v>
      </c>
      <c r="CG474" s="1442" t="str">
        <f>IF([1]!sommaire[[#This Row],[présence Réfugié hors camp]]="Oui","1","0")</f>
        <v>0</v>
      </c>
      <c r="CH474" s="1442" t="str">
        <f>IF([1]!sommaire[[#This Row],[présence personnes retournées]]="Oui","1","0")</f>
        <v>0</v>
      </c>
      <c r="CI474" s="1442">
        <f>[1]!sommaire[[#This Row],[Flag PDI]]+[1]!sommaire[[#This Row],[Flag REF]]+[1]!sommaire[[#This Row],[Flag RET]]</f>
        <v>1</v>
      </c>
    </row>
    <row r="475" spans="1:87" ht="14.55" customHeight="1" x14ac:dyDescent="0.3">
      <c r="A475" s="390">
        <v>2626909</v>
      </c>
      <c r="B475" s="5" t="s">
        <v>533</v>
      </c>
      <c r="C475" s="1430" t="s">
        <v>3449</v>
      </c>
      <c r="D475" s="1090" t="s">
        <v>534</v>
      </c>
      <c r="E475" s="5" t="s">
        <v>31</v>
      </c>
      <c r="F475" s="5" t="s">
        <v>31</v>
      </c>
      <c r="G475" s="5" t="s">
        <v>549</v>
      </c>
      <c r="H475" s="5" t="s">
        <v>171</v>
      </c>
      <c r="I475" s="5" t="str">
        <f>_xlfn.XLOOKUP(sommaire[[#This Row],[Arrondissement_code]],OCHA_GIS!$F:$F,OCHA_GIS!$E:$E,,)</f>
        <v>Makary</v>
      </c>
      <c r="J475" s="5" t="s">
        <v>634</v>
      </c>
      <c r="K475" t="s">
        <v>918</v>
      </c>
      <c r="L475" s="5" t="s">
        <v>1290</v>
      </c>
      <c r="N475" s="5" t="s">
        <v>3053</v>
      </c>
      <c r="O475" s="5" t="s">
        <v>2467</v>
      </c>
      <c r="P475" s="5" t="s">
        <v>85</v>
      </c>
      <c r="Q475" s="5" t="s">
        <v>86</v>
      </c>
      <c r="R475" s="5" t="s">
        <v>86</v>
      </c>
      <c r="T475" s="390">
        <v>3</v>
      </c>
      <c r="U475" s="5" t="s">
        <v>97</v>
      </c>
      <c r="W475" s="5" t="s">
        <v>2468</v>
      </c>
      <c r="X475" s="5" t="s">
        <v>102</v>
      </c>
      <c r="AA475" s="5" t="s">
        <v>85</v>
      </c>
      <c r="AB475" s="5" t="s">
        <v>2469</v>
      </c>
      <c r="AC475" s="5" t="s">
        <v>2470</v>
      </c>
      <c r="AD475" s="5" t="s">
        <v>86</v>
      </c>
      <c r="AF475" s="5">
        <v>16</v>
      </c>
      <c r="AG475" s="5">
        <v>152</v>
      </c>
      <c r="AH475" s="5" t="s">
        <v>85</v>
      </c>
      <c r="AI475" s="5" t="s">
        <v>2471</v>
      </c>
      <c r="AJ475" s="5">
        <v>16</v>
      </c>
      <c r="AK475" s="5">
        <v>109</v>
      </c>
      <c r="AL475" s="5">
        <v>53</v>
      </c>
      <c r="AM475" s="5">
        <v>56</v>
      </c>
      <c r="AN475" s="5">
        <v>0</v>
      </c>
      <c r="AO475" s="5">
        <v>16</v>
      </c>
      <c r="AP475" s="5">
        <v>0</v>
      </c>
      <c r="AQ475" s="5">
        <v>0</v>
      </c>
      <c r="AT475" s="5">
        <v>0</v>
      </c>
      <c r="AU475" s="5">
        <v>0</v>
      </c>
      <c r="AX475" s="5">
        <v>0</v>
      </c>
      <c r="AY475" s="5" t="s">
        <v>86</v>
      </c>
      <c r="BN475" s="5" t="s">
        <v>86</v>
      </c>
      <c r="CD475" s="5">
        <v>0</v>
      </c>
      <c r="CF475" s="1442" t="str">
        <f>IF([1]!sommaire[[#This Row],[présence des personnes déplacés interne]]="Oui","1","0")</f>
        <v>1</v>
      </c>
      <c r="CG475" s="1442" t="str">
        <f>IF([1]!sommaire[[#This Row],[présence Réfugié hors camp]]="Oui","1","0")</f>
        <v>0</v>
      </c>
      <c r="CH475" s="1442" t="str">
        <f>IF([1]!sommaire[[#This Row],[présence personnes retournées]]="Oui","1","0")</f>
        <v>0</v>
      </c>
      <c r="CI475" s="1442">
        <f>[1]!sommaire[[#This Row],[Flag PDI]]+[1]!sommaire[[#This Row],[Flag REF]]+[1]!sommaire[[#This Row],[Flag RET]]</f>
        <v>1</v>
      </c>
    </row>
    <row r="476" spans="1:87" ht="14.55" customHeight="1" x14ac:dyDescent="0.3">
      <c r="A476" s="390">
        <v>2634572</v>
      </c>
      <c r="B476" s="5" t="s">
        <v>533</v>
      </c>
      <c r="C476" s="1430" t="s">
        <v>3449</v>
      </c>
      <c r="D476" s="1090" t="s">
        <v>534</v>
      </c>
      <c r="E476" s="5" t="s">
        <v>31</v>
      </c>
      <c r="F476" s="5" t="s">
        <v>31</v>
      </c>
      <c r="G476" s="5" t="s">
        <v>549</v>
      </c>
      <c r="H476" s="5" t="s">
        <v>171</v>
      </c>
      <c r="I476" s="5" t="str">
        <f>_xlfn.XLOOKUP(sommaire[[#This Row],[Arrondissement_code]],OCHA_GIS!$F:$F,OCHA_GIS!$E:$E,,)</f>
        <v>Makary</v>
      </c>
      <c r="J476" s="5" t="s">
        <v>634</v>
      </c>
      <c r="K476" t="s">
        <v>2202</v>
      </c>
      <c r="L476" s="5" t="s">
        <v>1789</v>
      </c>
      <c r="N476" s="5" t="s">
        <v>3052</v>
      </c>
      <c r="O476" s="5" t="s">
        <v>2467</v>
      </c>
      <c r="P476" s="5" t="s">
        <v>85</v>
      </c>
      <c r="Q476" s="5" t="s">
        <v>86</v>
      </c>
      <c r="R476" s="5" t="s">
        <v>85</v>
      </c>
      <c r="T476" s="390">
        <v>3</v>
      </c>
      <c r="U476" s="5" t="s">
        <v>97</v>
      </c>
      <c r="W476" s="5" t="s">
        <v>2468</v>
      </c>
      <c r="X476" s="5" t="s">
        <v>103</v>
      </c>
      <c r="Y476" s="5" t="s">
        <v>2476</v>
      </c>
      <c r="AA476" s="1175" t="s">
        <v>85</v>
      </c>
      <c r="AB476" s="5" t="s">
        <v>2469</v>
      </c>
      <c r="AC476" s="5" t="s">
        <v>2470</v>
      </c>
      <c r="AD476" s="5" t="s">
        <v>86</v>
      </c>
      <c r="AF476" s="5">
        <v>4</v>
      </c>
      <c r="AG476" s="5">
        <v>613</v>
      </c>
      <c r="AH476" s="5" t="s">
        <v>85</v>
      </c>
      <c r="AI476" s="5" t="s">
        <v>2485</v>
      </c>
      <c r="AJ476" s="5">
        <v>4</v>
      </c>
      <c r="AK476" s="5">
        <v>22</v>
      </c>
      <c r="AL476" s="5">
        <v>10</v>
      </c>
      <c r="AM476" s="5">
        <v>12</v>
      </c>
      <c r="AN476" s="5">
        <v>1</v>
      </c>
      <c r="AO476" s="5">
        <v>3</v>
      </c>
      <c r="AP476" s="5">
        <v>0</v>
      </c>
      <c r="AQ476" s="5">
        <v>0</v>
      </c>
      <c r="AT476" s="5">
        <v>0</v>
      </c>
      <c r="AU476" s="5">
        <v>0</v>
      </c>
      <c r="AX476" s="5">
        <v>0</v>
      </c>
      <c r="AY476" s="5" t="s">
        <v>86</v>
      </c>
      <c r="BN476" s="5" t="s">
        <v>86</v>
      </c>
      <c r="CD476" s="5">
        <v>0</v>
      </c>
      <c r="CF476" s="1442" t="str">
        <f>IF([1]!sommaire[[#This Row],[présence des personnes déplacés interne]]="Oui","1","0")</f>
        <v>1</v>
      </c>
      <c r="CG476" s="1442" t="str">
        <f>IF([1]!sommaire[[#This Row],[présence Réfugié hors camp]]="Oui","1","0")</f>
        <v>0</v>
      </c>
      <c r="CH476" s="1442" t="str">
        <f>IF([1]!sommaire[[#This Row],[présence personnes retournées]]="Oui","1","0")</f>
        <v>0</v>
      </c>
      <c r="CI476" s="1442">
        <f>[1]!sommaire[[#This Row],[Flag PDI]]+[1]!sommaire[[#This Row],[Flag REF]]+[1]!sommaire[[#This Row],[Flag RET]]</f>
        <v>1</v>
      </c>
    </row>
    <row r="477" spans="1:87" ht="14.55" customHeight="1" x14ac:dyDescent="0.3">
      <c r="A477" s="390">
        <v>2627010</v>
      </c>
      <c r="B477" s="5" t="s">
        <v>533</v>
      </c>
      <c r="C477" s="1430" t="s">
        <v>3449</v>
      </c>
      <c r="D477" s="1090" t="s">
        <v>534</v>
      </c>
      <c r="E477" s="5" t="s">
        <v>31</v>
      </c>
      <c r="F477" s="5" t="s">
        <v>31</v>
      </c>
      <c r="G477" s="5" t="s">
        <v>549</v>
      </c>
      <c r="H477" s="5" t="s">
        <v>171</v>
      </c>
      <c r="I477" s="5" t="str">
        <f>_xlfn.XLOOKUP(sommaire[[#This Row],[Arrondissement_code]],OCHA_GIS!$F:$F,OCHA_GIS!$E:$E,,)</f>
        <v>Makary</v>
      </c>
      <c r="J477" s="5" t="s">
        <v>634</v>
      </c>
      <c r="K477" t="s">
        <v>1320</v>
      </c>
      <c r="L477" s="5" t="s">
        <v>1321</v>
      </c>
      <c r="N477" s="5" t="s">
        <v>3053</v>
      </c>
      <c r="O477" s="5" t="s">
        <v>2467</v>
      </c>
      <c r="P477" s="5" t="s">
        <v>85</v>
      </c>
      <c r="Q477" s="5" t="s">
        <v>86</v>
      </c>
      <c r="R477" s="5" t="s">
        <v>86</v>
      </c>
      <c r="T477" s="390">
        <v>4</v>
      </c>
      <c r="U477" s="5" t="s">
        <v>97</v>
      </c>
      <c r="W477" s="5" t="s">
        <v>2468</v>
      </c>
      <c r="X477" s="5" t="s">
        <v>103</v>
      </c>
      <c r="Y477" s="5" t="s">
        <v>2476</v>
      </c>
      <c r="AA477" s="5" t="s">
        <v>85</v>
      </c>
      <c r="AB477" s="5" t="s">
        <v>2469</v>
      </c>
      <c r="AC477" s="5" t="s">
        <v>2470</v>
      </c>
      <c r="AD477" s="5" t="s">
        <v>86</v>
      </c>
      <c r="AF477" s="5">
        <v>16</v>
      </c>
      <c r="AG477" s="5">
        <v>1244</v>
      </c>
      <c r="AH477" s="5" t="s">
        <v>85</v>
      </c>
      <c r="AI477" s="5" t="s">
        <v>2471</v>
      </c>
      <c r="AJ477" s="5">
        <v>16</v>
      </c>
      <c r="AK477" s="5">
        <v>92</v>
      </c>
      <c r="AL477" s="5">
        <v>38</v>
      </c>
      <c r="AM477" s="5">
        <v>54</v>
      </c>
      <c r="AN477" s="5">
        <v>10</v>
      </c>
      <c r="AO477" s="5">
        <v>6</v>
      </c>
      <c r="AP477" s="5">
        <v>0</v>
      </c>
      <c r="AQ477" s="5">
        <v>0</v>
      </c>
      <c r="AT477" s="5">
        <v>0</v>
      </c>
      <c r="AU477" s="5">
        <v>0</v>
      </c>
      <c r="AX477" s="5">
        <v>0</v>
      </c>
      <c r="AY477" s="5" t="s">
        <v>85</v>
      </c>
      <c r="AZ477" s="5">
        <v>25</v>
      </c>
      <c r="BA477" s="5">
        <v>76</v>
      </c>
      <c r="BB477" s="5">
        <v>34</v>
      </c>
      <c r="BC477" s="5">
        <v>42</v>
      </c>
      <c r="BD477" s="5">
        <v>25</v>
      </c>
      <c r="BE477" s="5">
        <v>0</v>
      </c>
      <c r="BF477" s="5">
        <v>0</v>
      </c>
      <c r="BH477" s="5">
        <v>0</v>
      </c>
      <c r="BI477" s="5">
        <v>0</v>
      </c>
      <c r="BL477" s="5">
        <v>0</v>
      </c>
      <c r="BM477" s="5">
        <v>0</v>
      </c>
      <c r="BN477" s="5" t="s">
        <v>85</v>
      </c>
      <c r="BO477" s="5">
        <v>4</v>
      </c>
      <c r="BP477" s="5">
        <v>28</v>
      </c>
      <c r="BQ477" s="5">
        <v>11</v>
      </c>
      <c r="BR477" s="5">
        <v>17</v>
      </c>
      <c r="BS477" s="5" t="s">
        <v>2492</v>
      </c>
      <c r="BT477" s="5">
        <v>4</v>
      </c>
      <c r="BU477" s="5">
        <v>0</v>
      </c>
      <c r="BV477" s="5">
        <v>0</v>
      </c>
      <c r="BW477" s="5">
        <v>0</v>
      </c>
      <c r="BX477" s="5">
        <v>0</v>
      </c>
      <c r="BZ477" s="5">
        <v>0</v>
      </c>
      <c r="CA477" s="5">
        <v>0</v>
      </c>
      <c r="CC477" s="5">
        <v>0</v>
      </c>
      <c r="CD477" s="5">
        <v>0</v>
      </c>
      <c r="CF477" s="1442" t="str">
        <f>IF([1]!sommaire[[#This Row],[présence des personnes déplacés interne]]="Oui","1","0")</f>
        <v>1</v>
      </c>
      <c r="CG477" s="1442" t="str">
        <f>IF([1]!sommaire[[#This Row],[présence Réfugié hors camp]]="Oui","1","0")</f>
        <v>1</v>
      </c>
      <c r="CH477" s="1442" t="str">
        <f>IF([1]!sommaire[[#This Row],[présence personnes retournées]]="Oui","1","0")</f>
        <v>1</v>
      </c>
      <c r="CI477" s="1442">
        <f>[1]!sommaire[[#This Row],[Flag PDI]]+[1]!sommaire[[#This Row],[Flag REF]]+[1]!sommaire[[#This Row],[Flag RET]]</f>
        <v>3</v>
      </c>
    </row>
    <row r="478" spans="1:87" ht="14.55" customHeight="1" x14ac:dyDescent="0.3">
      <c r="A478" s="390">
        <v>2639009</v>
      </c>
      <c r="B478" s="5" t="s">
        <v>533</v>
      </c>
      <c r="C478" s="1430" t="s">
        <v>3449</v>
      </c>
      <c r="D478" s="1090" t="s">
        <v>534</v>
      </c>
      <c r="E478" s="5" t="s">
        <v>31</v>
      </c>
      <c r="F478" s="5" t="s">
        <v>31</v>
      </c>
      <c r="G478" s="5" t="s">
        <v>549</v>
      </c>
      <c r="H478" s="5" t="s">
        <v>171</v>
      </c>
      <c r="I478" s="5" t="str">
        <f>_xlfn.XLOOKUP(sommaire[[#This Row],[Arrondissement_code]],OCHA_GIS!$F:$F,OCHA_GIS!$E:$E,,)</f>
        <v>Makary</v>
      </c>
      <c r="J478" s="5" t="s">
        <v>634</v>
      </c>
      <c r="K478" t="s">
        <v>2798</v>
      </c>
      <c r="L478" s="5" t="s">
        <v>2149</v>
      </c>
      <c r="N478" s="5" t="s">
        <v>3053</v>
      </c>
      <c r="O478" s="5" t="s">
        <v>2467</v>
      </c>
      <c r="P478" s="5" t="s">
        <v>85</v>
      </c>
      <c r="Q478" s="5" t="s">
        <v>86</v>
      </c>
      <c r="R478" s="5" t="s">
        <v>86</v>
      </c>
      <c r="T478" s="390">
        <v>3</v>
      </c>
      <c r="U478" s="5" t="s">
        <v>97</v>
      </c>
      <c r="W478" s="5" t="s">
        <v>2468</v>
      </c>
      <c r="X478" s="5" t="s">
        <v>102</v>
      </c>
      <c r="AA478" s="5" t="s">
        <v>85</v>
      </c>
      <c r="AB478" s="5" t="s">
        <v>2469</v>
      </c>
      <c r="AC478" s="5" t="s">
        <v>2470</v>
      </c>
      <c r="AD478" s="5" t="s">
        <v>86</v>
      </c>
      <c r="AF478" s="5">
        <v>2</v>
      </c>
      <c r="AG478" s="5">
        <v>420</v>
      </c>
      <c r="AH478" s="5" t="s">
        <v>85</v>
      </c>
      <c r="AI478" s="5" t="s">
        <v>2471</v>
      </c>
      <c r="AJ478" s="5">
        <v>2</v>
      </c>
      <c r="AK478" s="5">
        <v>19</v>
      </c>
      <c r="AL478" s="5">
        <v>7</v>
      </c>
      <c r="AM478" s="5">
        <v>12</v>
      </c>
      <c r="AN478" s="5">
        <v>0</v>
      </c>
      <c r="AO478" s="5">
        <v>2</v>
      </c>
      <c r="AP478" s="5">
        <v>0</v>
      </c>
      <c r="AQ478" s="5">
        <v>0</v>
      </c>
      <c r="AT478" s="5">
        <v>0</v>
      </c>
      <c r="AU478" s="5">
        <v>0</v>
      </c>
      <c r="AX478" s="5">
        <v>0</v>
      </c>
      <c r="AY478" s="5" t="s">
        <v>85</v>
      </c>
      <c r="AZ478" s="5">
        <v>12</v>
      </c>
      <c r="BA478" s="5">
        <v>115</v>
      </c>
      <c r="BB478" s="5">
        <v>50</v>
      </c>
      <c r="BC478" s="5">
        <v>65</v>
      </c>
      <c r="BD478" s="5">
        <v>12</v>
      </c>
      <c r="BE478" s="5">
        <v>0</v>
      </c>
      <c r="BF478" s="5">
        <v>0</v>
      </c>
      <c r="BH478" s="5">
        <v>0</v>
      </c>
      <c r="BI478" s="5">
        <v>0</v>
      </c>
      <c r="BL478" s="5">
        <v>0</v>
      </c>
      <c r="BM478" s="5">
        <v>0</v>
      </c>
      <c r="BN478" s="5" t="s">
        <v>86</v>
      </c>
      <c r="CD478" s="5">
        <v>0</v>
      </c>
      <c r="CF478" s="1442" t="str">
        <f>IF([1]!sommaire[[#This Row],[présence des personnes déplacés interne]]="Oui","1","0")</f>
        <v>1</v>
      </c>
      <c r="CG478" s="1442" t="str">
        <f>IF([1]!sommaire[[#This Row],[présence Réfugié hors camp]]="Oui","1","0")</f>
        <v>1</v>
      </c>
      <c r="CH478" s="1442" t="str">
        <f>IF([1]!sommaire[[#This Row],[présence personnes retournées]]="Oui","1","0")</f>
        <v>0</v>
      </c>
      <c r="CI478" s="1442">
        <f>[1]!sommaire[[#This Row],[Flag PDI]]+[1]!sommaire[[#This Row],[Flag REF]]+[1]!sommaire[[#This Row],[Flag RET]]</f>
        <v>2</v>
      </c>
    </row>
    <row r="479" spans="1:87" ht="14.55" customHeight="1" x14ac:dyDescent="0.3">
      <c r="A479" s="390">
        <v>2632791</v>
      </c>
      <c r="B479" s="5" t="s">
        <v>533</v>
      </c>
      <c r="C479" s="1430" t="s">
        <v>3449</v>
      </c>
      <c r="D479" s="1090" t="s">
        <v>534</v>
      </c>
      <c r="E479" s="5" t="s">
        <v>31</v>
      </c>
      <c r="F479" s="5" t="s">
        <v>31</v>
      </c>
      <c r="G479" s="5" t="s">
        <v>549</v>
      </c>
      <c r="H479" s="5" t="s">
        <v>171</v>
      </c>
      <c r="I479" s="5" t="str">
        <f>_xlfn.XLOOKUP(sommaire[[#This Row],[Arrondissement_code]],OCHA_GIS!$F:$F,OCHA_GIS!$E:$E,,)</f>
        <v>Makary</v>
      </c>
      <c r="J479" s="5" t="s">
        <v>634</v>
      </c>
      <c r="K479" t="s">
        <v>1318</v>
      </c>
      <c r="L479" s="5" t="s">
        <v>1319</v>
      </c>
      <c r="N479" s="5" t="s">
        <v>3053</v>
      </c>
      <c r="O479" s="5" t="s">
        <v>2467</v>
      </c>
      <c r="P479" s="5" t="s">
        <v>85</v>
      </c>
      <c r="Q479" s="5" t="s">
        <v>86</v>
      </c>
      <c r="R479" s="5" t="s">
        <v>86</v>
      </c>
      <c r="T479" s="390">
        <v>3</v>
      </c>
      <c r="U479" s="5" t="s">
        <v>97</v>
      </c>
      <c r="W479" s="5" t="s">
        <v>2468</v>
      </c>
      <c r="X479" s="5" t="s">
        <v>102</v>
      </c>
      <c r="AA479" s="5" t="s">
        <v>85</v>
      </c>
      <c r="AB479" s="5" t="s">
        <v>2469</v>
      </c>
      <c r="AC479" s="5" t="s">
        <v>2470</v>
      </c>
      <c r="AD479" s="5" t="s">
        <v>86</v>
      </c>
      <c r="AF479" s="5">
        <v>936</v>
      </c>
      <c r="AG479" s="5">
        <v>17000</v>
      </c>
      <c r="AH479" s="5" t="s">
        <v>85</v>
      </c>
      <c r="AI479" s="5" t="s">
        <v>2471</v>
      </c>
      <c r="AJ479" s="5">
        <v>936</v>
      </c>
      <c r="AK479" s="5">
        <v>8361</v>
      </c>
      <c r="AL479" s="5">
        <v>4135</v>
      </c>
      <c r="AM479" s="5">
        <v>4226</v>
      </c>
      <c r="AN479" s="5">
        <v>0</v>
      </c>
      <c r="AO479" s="5">
        <v>936</v>
      </c>
      <c r="AP479" s="5">
        <v>0</v>
      </c>
      <c r="AQ479" s="5">
        <v>0</v>
      </c>
      <c r="AT479" s="5">
        <v>0</v>
      </c>
      <c r="AU479" s="5">
        <v>0</v>
      </c>
      <c r="AX479" s="5">
        <v>0</v>
      </c>
      <c r="AY479" s="5" t="s">
        <v>85</v>
      </c>
      <c r="AZ479" s="5">
        <v>52</v>
      </c>
      <c r="BA479" s="5">
        <v>474</v>
      </c>
      <c r="BB479" s="5">
        <v>224</v>
      </c>
      <c r="BC479" s="5">
        <v>250</v>
      </c>
      <c r="BD479" s="5">
        <v>52</v>
      </c>
      <c r="BE479" s="5">
        <v>0</v>
      </c>
      <c r="BF479" s="5">
        <v>0</v>
      </c>
      <c r="BH479" s="5">
        <v>0</v>
      </c>
      <c r="BI479" s="5">
        <v>0</v>
      </c>
      <c r="BL479" s="5">
        <v>0</v>
      </c>
      <c r="BM479" s="5">
        <v>0</v>
      </c>
      <c r="BN479" s="5" t="s">
        <v>85</v>
      </c>
      <c r="BO479" s="5">
        <v>887</v>
      </c>
      <c r="BP479" s="5">
        <v>7299</v>
      </c>
      <c r="BQ479" s="5">
        <v>3611</v>
      </c>
      <c r="BR479" s="5">
        <v>3688</v>
      </c>
      <c r="BS479" s="5" t="s">
        <v>2535</v>
      </c>
      <c r="BT479" s="5">
        <v>487</v>
      </c>
      <c r="BU479" s="5">
        <v>100</v>
      </c>
      <c r="BV479" s="5">
        <v>100</v>
      </c>
      <c r="BW479" s="5">
        <v>100</v>
      </c>
      <c r="BX479" s="5">
        <v>100</v>
      </c>
      <c r="BY479" s="5" t="s">
        <v>2477</v>
      </c>
      <c r="BZ479" s="5">
        <v>0</v>
      </c>
      <c r="CA479" s="5">
        <v>0</v>
      </c>
      <c r="CC479" s="5">
        <v>0</v>
      </c>
      <c r="CD479" s="5">
        <v>0</v>
      </c>
      <c r="CF479" s="1442" t="str">
        <f>IF([1]!sommaire[[#This Row],[présence des personnes déplacés interne]]="Oui","1","0")</f>
        <v>1</v>
      </c>
      <c r="CG479" s="1442" t="str">
        <f>IF([1]!sommaire[[#This Row],[présence Réfugié hors camp]]="Oui","1","0")</f>
        <v>1</v>
      </c>
      <c r="CH479" s="1442" t="str">
        <f>IF([1]!sommaire[[#This Row],[présence personnes retournées]]="Oui","1","0")</f>
        <v>1</v>
      </c>
      <c r="CI479" s="1442">
        <f>[1]!sommaire[[#This Row],[Flag PDI]]+[1]!sommaire[[#This Row],[Flag REF]]+[1]!sommaire[[#This Row],[Flag RET]]</f>
        <v>3</v>
      </c>
    </row>
    <row r="480" spans="1:87" ht="14.55" customHeight="1" x14ac:dyDescent="0.3">
      <c r="A480" s="390">
        <v>2627133</v>
      </c>
      <c r="B480" s="5" t="s">
        <v>533</v>
      </c>
      <c r="C480" s="1430" t="s">
        <v>3449</v>
      </c>
      <c r="D480" s="1090" t="s">
        <v>534</v>
      </c>
      <c r="E480" s="5" t="s">
        <v>31</v>
      </c>
      <c r="F480" s="5" t="s">
        <v>31</v>
      </c>
      <c r="G480" s="5" t="s">
        <v>549</v>
      </c>
      <c r="H480" s="5" t="s">
        <v>171</v>
      </c>
      <c r="I480" s="5" t="str">
        <f>_xlfn.XLOOKUP(sommaire[[#This Row],[Arrondissement_code]],OCHA_GIS!$F:$F,OCHA_GIS!$E:$E,,)</f>
        <v>Makary</v>
      </c>
      <c r="J480" s="5" t="s">
        <v>634</v>
      </c>
      <c r="K480" t="s">
        <v>2168</v>
      </c>
      <c r="L480" s="5" t="s">
        <v>1152</v>
      </c>
      <c r="N480" s="5" t="s">
        <v>3053</v>
      </c>
      <c r="O480" s="5" t="s">
        <v>2467</v>
      </c>
      <c r="P480" s="5" t="s">
        <v>85</v>
      </c>
      <c r="Q480" s="5" t="s">
        <v>86</v>
      </c>
      <c r="R480" s="5" t="s">
        <v>86</v>
      </c>
      <c r="T480" s="390">
        <v>3</v>
      </c>
      <c r="U480" s="5" t="s">
        <v>97</v>
      </c>
      <c r="W480" s="5" t="s">
        <v>2468</v>
      </c>
      <c r="X480" s="5" t="s">
        <v>102</v>
      </c>
      <c r="AA480" s="5" t="s">
        <v>85</v>
      </c>
      <c r="AB480" s="5" t="s">
        <v>2469</v>
      </c>
      <c r="AC480" s="5" t="s">
        <v>2470</v>
      </c>
      <c r="AD480" s="5" t="s">
        <v>86</v>
      </c>
      <c r="AF480" s="5">
        <v>7</v>
      </c>
      <c r="AG480" s="5">
        <v>200</v>
      </c>
      <c r="AH480" s="5" t="s">
        <v>85</v>
      </c>
      <c r="AI480" s="5" t="s">
        <v>2471</v>
      </c>
      <c r="AJ480" s="5">
        <v>7</v>
      </c>
      <c r="AK480" s="5">
        <v>30</v>
      </c>
      <c r="AL480" s="5">
        <v>20</v>
      </c>
      <c r="AM480" s="5">
        <v>10</v>
      </c>
      <c r="AN480" s="5">
        <v>0</v>
      </c>
      <c r="AO480" s="5">
        <v>7</v>
      </c>
      <c r="AP480" s="5">
        <v>0</v>
      </c>
      <c r="AQ480" s="5">
        <v>0</v>
      </c>
      <c r="AT480" s="5">
        <v>0</v>
      </c>
      <c r="AU480" s="5">
        <v>0</v>
      </c>
      <c r="AX480" s="5">
        <v>0</v>
      </c>
      <c r="AY480" s="5" t="s">
        <v>85</v>
      </c>
      <c r="AZ480" s="5">
        <v>10</v>
      </c>
      <c r="BA480" s="5">
        <v>40</v>
      </c>
      <c r="BB480" s="5">
        <v>25</v>
      </c>
      <c r="BC480" s="5">
        <v>15</v>
      </c>
      <c r="BD480" s="5">
        <v>10</v>
      </c>
      <c r="BE480" s="5">
        <v>0</v>
      </c>
      <c r="BF480" s="5">
        <v>0</v>
      </c>
      <c r="BH480" s="5">
        <v>0</v>
      </c>
      <c r="BI480" s="5">
        <v>0</v>
      </c>
      <c r="BL480" s="5">
        <v>0</v>
      </c>
      <c r="BM480" s="5">
        <v>0</v>
      </c>
      <c r="BN480" s="5" t="s">
        <v>86</v>
      </c>
      <c r="CD480" s="5">
        <v>0</v>
      </c>
      <c r="CF480" s="1442" t="str">
        <f>IF([1]!sommaire[[#This Row],[présence des personnes déplacés interne]]="Oui","1","0")</f>
        <v>1</v>
      </c>
      <c r="CG480" s="1442" t="str">
        <f>IF([1]!sommaire[[#This Row],[présence Réfugié hors camp]]="Oui","1","0")</f>
        <v>1</v>
      </c>
      <c r="CH480" s="1442" t="str">
        <f>IF([1]!sommaire[[#This Row],[présence personnes retournées]]="Oui","1","0")</f>
        <v>0</v>
      </c>
      <c r="CI480" s="1442">
        <f>[1]!sommaire[[#This Row],[Flag PDI]]+[1]!sommaire[[#This Row],[Flag REF]]+[1]!sommaire[[#This Row],[Flag RET]]</f>
        <v>2</v>
      </c>
    </row>
    <row r="481" spans="1:87" ht="14.55" customHeight="1" x14ac:dyDescent="0.3">
      <c r="A481" s="390">
        <v>2627134</v>
      </c>
      <c r="B481" s="5" t="s">
        <v>533</v>
      </c>
      <c r="C481" s="1430" t="s">
        <v>3449</v>
      </c>
      <c r="D481" s="1090" t="s">
        <v>534</v>
      </c>
      <c r="E481" s="5" t="s">
        <v>31</v>
      </c>
      <c r="F481" s="5" t="s">
        <v>31</v>
      </c>
      <c r="G481" s="5" t="s">
        <v>549</v>
      </c>
      <c r="H481" s="5" t="s">
        <v>171</v>
      </c>
      <c r="I481" s="5" t="str">
        <f>_xlfn.XLOOKUP(sommaire[[#This Row],[Arrondissement_code]],OCHA_GIS!$F:$F,OCHA_GIS!$E:$E,,)</f>
        <v>Makary</v>
      </c>
      <c r="J481" s="5" t="s">
        <v>634</v>
      </c>
      <c r="K481" t="s">
        <v>2179</v>
      </c>
      <c r="L481" s="5" t="s">
        <v>1154</v>
      </c>
      <c r="N481" s="5" t="s">
        <v>3053</v>
      </c>
      <c r="O481" s="5" t="s">
        <v>2467</v>
      </c>
      <c r="P481" s="5" t="s">
        <v>85</v>
      </c>
      <c r="Q481" s="5" t="s">
        <v>86</v>
      </c>
      <c r="R481" s="5" t="s">
        <v>86</v>
      </c>
      <c r="T481" s="390">
        <v>3</v>
      </c>
      <c r="U481" s="5" t="s">
        <v>97</v>
      </c>
      <c r="W481" s="5" t="s">
        <v>2468</v>
      </c>
      <c r="X481" s="5" t="s">
        <v>102</v>
      </c>
      <c r="AA481" s="5" t="s">
        <v>85</v>
      </c>
      <c r="AB481" s="5" t="s">
        <v>2469</v>
      </c>
      <c r="AC481" s="5" t="s">
        <v>2470</v>
      </c>
      <c r="AD481" s="5" t="s">
        <v>86</v>
      </c>
      <c r="AF481" s="5">
        <v>4</v>
      </c>
      <c r="AG481" s="5">
        <v>613</v>
      </c>
      <c r="AH481" s="5" t="s">
        <v>85</v>
      </c>
      <c r="AI481" s="5" t="s">
        <v>2471</v>
      </c>
      <c r="AJ481" s="5">
        <v>4</v>
      </c>
      <c r="AK481" s="5">
        <v>30</v>
      </c>
      <c r="AL481" s="5">
        <v>20</v>
      </c>
      <c r="AM481" s="5">
        <v>10</v>
      </c>
      <c r="AN481" s="5">
        <v>0</v>
      </c>
      <c r="AO481" s="5">
        <v>4</v>
      </c>
      <c r="AP481" s="5">
        <v>0</v>
      </c>
      <c r="AQ481" s="5">
        <v>0</v>
      </c>
      <c r="AT481" s="5">
        <v>0</v>
      </c>
      <c r="AU481" s="5">
        <v>0</v>
      </c>
      <c r="AX481" s="5">
        <v>0</v>
      </c>
      <c r="AY481" s="5" t="s">
        <v>86</v>
      </c>
      <c r="BN481" s="5" t="s">
        <v>86</v>
      </c>
      <c r="CD481" s="5">
        <v>0</v>
      </c>
      <c r="CF481" s="1442" t="str">
        <f>IF([1]!sommaire[[#This Row],[présence des personnes déplacés interne]]="Oui","1","0")</f>
        <v>1</v>
      </c>
      <c r="CG481" s="1442" t="str">
        <f>IF([1]!sommaire[[#This Row],[présence Réfugié hors camp]]="Oui","1","0")</f>
        <v>0</v>
      </c>
      <c r="CH481" s="1442" t="str">
        <f>IF([1]!sommaire[[#This Row],[présence personnes retournées]]="Oui","1","0")</f>
        <v>0</v>
      </c>
      <c r="CI481" s="1442">
        <f>[1]!sommaire[[#This Row],[Flag PDI]]+[1]!sommaire[[#This Row],[Flag REF]]+[1]!sommaire[[#This Row],[Flag RET]]</f>
        <v>1</v>
      </c>
    </row>
    <row r="482" spans="1:87" ht="14.55" customHeight="1" x14ac:dyDescent="0.3">
      <c r="A482" s="390">
        <v>2626366</v>
      </c>
      <c r="B482" s="5" t="s">
        <v>533</v>
      </c>
      <c r="C482" s="1430" t="s">
        <v>3449</v>
      </c>
      <c r="D482" s="1090" t="s">
        <v>534</v>
      </c>
      <c r="E482" s="5" t="s">
        <v>31</v>
      </c>
      <c r="F482" s="5" t="s">
        <v>31</v>
      </c>
      <c r="G482" s="5" t="s">
        <v>549</v>
      </c>
      <c r="H482" s="5" t="s">
        <v>171</v>
      </c>
      <c r="I482" s="5" t="str">
        <f>_xlfn.XLOOKUP(sommaire[[#This Row],[Arrondissement_code]],OCHA_GIS!$F:$F,OCHA_GIS!$E:$E,,)</f>
        <v>Makary</v>
      </c>
      <c r="J482" s="5" t="s">
        <v>634</v>
      </c>
      <c r="K482" t="s">
        <v>2801</v>
      </c>
      <c r="L482" s="5" t="s">
        <v>1886</v>
      </c>
      <c r="N482" s="5" t="s">
        <v>3053</v>
      </c>
      <c r="O482" s="5" t="s">
        <v>2467</v>
      </c>
      <c r="P482" s="5" t="s">
        <v>85</v>
      </c>
      <c r="Q482" s="5" t="s">
        <v>86</v>
      </c>
      <c r="R482" s="5" t="s">
        <v>85</v>
      </c>
      <c r="T482" s="390">
        <v>3</v>
      </c>
      <c r="U482" s="5" t="s">
        <v>97</v>
      </c>
      <c r="W482" s="5" t="s">
        <v>2468</v>
      </c>
      <c r="X482" s="5" t="s">
        <v>103</v>
      </c>
      <c r="Y482" s="5" t="s">
        <v>2476</v>
      </c>
      <c r="AA482" s="5" t="s">
        <v>85</v>
      </c>
      <c r="AB482" s="5" t="s">
        <v>2469</v>
      </c>
      <c r="AC482" s="5" t="s">
        <v>2470</v>
      </c>
      <c r="AD482" s="5" t="s">
        <v>86</v>
      </c>
      <c r="AF482" s="5">
        <v>8</v>
      </c>
      <c r="AG482" s="5">
        <v>334</v>
      </c>
      <c r="AH482" s="5" t="s">
        <v>85</v>
      </c>
      <c r="AI482" s="5" t="s">
        <v>2485</v>
      </c>
      <c r="AJ482" s="5">
        <v>8</v>
      </c>
      <c r="AK482" s="5">
        <v>32</v>
      </c>
      <c r="AL482" s="5">
        <v>15</v>
      </c>
      <c r="AM482" s="5">
        <v>17</v>
      </c>
      <c r="AN482" s="5">
        <v>3</v>
      </c>
      <c r="AO482" s="5">
        <v>3</v>
      </c>
      <c r="AP482" s="5">
        <v>2</v>
      </c>
      <c r="AQ482" s="5">
        <v>0</v>
      </c>
      <c r="AT482" s="5">
        <v>0</v>
      </c>
      <c r="AU482" s="5">
        <v>0</v>
      </c>
      <c r="AX482" s="5">
        <v>0</v>
      </c>
      <c r="AY482" s="5" t="s">
        <v>86</v>
      </c>
      <c r="BN482" s="5" t="s">
        <v>86</v>
      </c>
      <c r="CD482" s="5">
        <v>0</v>
      </c>
      <c r="CF482" s="1442" t="str">
        <f>IF([1]!sommaire[[#This Row],[présence des personnes déplacés interne]]="Oui","1","0")</f>
        <v>1</v>
      </c>
      <c r="CG482" s="1442" t="str">
        <f>IF([1]!sommaire[[#This Row],[présence Réfugié hors camp]]="Oui","1","0")</f>
        <v>0</v>
      </c>
      <c r="CH482" s="1442" t="str">
        <f>IF([1]!sommaire[[#This Row],[présence personnes retournées]]="Oui","1","0")</f>
        <v>0</v>
      </c>
      <c r="CI482" s="1442">
        <f>[1]!sommaire[[#This Row],[Flag PDI]]+[1]!sommaire[[#This Row],[Flag REF]]+[1]!sommaire[[#This Row],[Flag RET]]</f>
        <v>1</v>
      </c>
    </row>
    <row r="483" spans="1:87" ht="14.55" customHeight="1" x14ac:dyDescent="0.3">
      <c r="A483" s="390">
        <v>2652397</v>
      </c>
      <c r="B483" s="5" t="s">
        <v>533</v>
      </c>
      <c r="C483" s="1430" t="s">
        <v>3449</v>
      </c>
      <c r="D483" s="1090" t="s">
        <v>534</v>
      </c>
      <c r="E483" s="5" t="s">
        <v>31</v>
      </c>
      <c r="F483" s="5" t="s">
        <v>31</v>
      </c>
      <c r="G483" s="5" t="s">
        <v>549</v>
      </c>
      <c r="H483" s="5" t="s">
        <v>171</v>
      </c>
      <c r="I483" s="5" t="str">
        <f>_xlfn.XLOOKUP(sommaire[[#This Row],[Arrondissement_code]],OCHA_GIS!$F:$F,OCHA_GIS!$E:$E,,)</f>
        <v>Makary</v>
      </c>
      <c r="J483" s="5" t="s">
        <v>634</v>
      </c>
      <c r="K483" t="s">
        <v>1242</v>
      </c>
      <c r="L483" s="5" t="s">
        <v>2633</v>
      </c>
      <c r="N483" s="5" t="s">
        <v>3053</v>
      </c>
      <c r="O483" s="5" t="s">
        <v>2467</v>
      </c>
      <c r="P483" s="5" t="s">
        <v>86</v>
      </c>
      <c r="Q483" s="5" t="s">
        <v>86</v>
      </c>
      <c r="R483" s="5" t="s">
        <v>85</v>
      </c>
      <c r="U483" s="5" t="s">
        <v>98</v>
      </c>
      <c r="W483" s="5" t="s">
        <v>2482</v>
      </c>
      <c r="AA483" s="5" t="s">
        <v>86</v>
      </c>
      <c r="AD483" s="1090"/>
      <c r="AH483" s="1430" t="s">
        <v>86</v>
      </c>
      <c r="AY483" s="1430" t="s">
        <v>86</v>
      </c>
      <c r="BN483" s="1430" t="s">
        <v>86</v>
      </c>
      <c r="CF483" s="1442" t="str">
        <f>IF([1]!sommaire[[#This Row],[présence des personnes déplacés interne]]="Oui","1","0")</f>
        <v>0</v>
      </c>
      <c r="CG483" s="1442" t="str">
        <f>IF([1]!sommaire[[#This Row],[présence Réfugié hors camp]]="Oui","1","0")</f>
        <v>0</v>
      </c>
      <c r="CH483" s="1442" t="str">
        <f>IF([1]!sommaire[[#This Row],[présence personnes retournées]]="Oui","1","0")</f>
        <v>0</v>
      </c>
      <c r="CI483" s="1442">
        <f>[1]!sommaire[[#This Row],[Flag PDI]]+[1]!sommaire[[#This Row],[Flag REF]]+[1]!sommaire[[#This Row],[Flag RET]]</f>
        <v>0</v>
      </c>
    </row>
    <row r="484" spans="1:87" ht="14.55" customHeight="1" x14ac:dyDescent="0.3">
      <c r="A484" s="390">
        <v>2626913</v>
      </c>
      <c r="B484" s="5" t="s">
        <v>533</v>
      </c>
      <c r="C484" s="1430" t="s">
        <v>3449</v>
      </c>
      <c r="D484" s="1090" t="s">
        <v>534</v>
      </c>
      <c r="E484" s="5" t="s">
        <v>31</v>
      </c>
      <c r="F484" s="5" t="s">
        <v>31</v>
      </c>
      <c r="G484" s="5" t="s">
        <v>549</v>
      </c>
      <c r="H484" s="5" t="s">
        <v>171</v>
      </c>
      <c r="I484" s="5" t="str">
        <f>_xlfn.XLOOKUP(sommaire[[#This Row],[Arrondissement_code]],OCHA_GIS!$F:$F,OCHA_GIS!$E:$E,,)</f>
        <v>Makary</v>
      </c>
      <c r="J484" s="5" t="s">
        <v>634</v>
      </c>
      <c r="K484" t="s">
        <v>2590</v>
      </c>
      <c r="L484" s="5" t="s">
        <v>2591</v>
      </c>
      <c r="N484" s="5" t="s">
        <v>3053</v>
      </c>
      <c r="O484" s="5" t="s">
        <v>2467</v>
      </c>
      <c r="P484" s="5" t="s">
        <v>86</v>
      </c>
      <c r="Q484" s="5" t="s">
        <v>86</v>
      </c>
      <c r="R484" s="5" t="s">
        <v>85</v>
      </c>
      <c r="U484" s="5" t="s">
        <v>100</v>
      </c>
      <c r="W484" s="5" t="s">
        <v>2482</v>
      </c>
      <c r="AA484" s="5" t="s">
        <v>86</v>
      </c>
      <c r="AH484" s="1430" t="s">
        <v>86</v>
      </c>
      <c r="AY484" s="1430" t="s">
        <v>86</v>
      </c>
      <c r="BN484" s="1430" t="s">
        <v>86</v>
      </c>
      <c r="CF484" s="1442" t="str">
        <f>IF([1]!sommaire[[#This Row],[présence des personnes déplacés interne]]="Oui","1","0")</f>
        <v>0</v>
      </c>
      <c r="CG484" s="1442" t="str">
        <f>IF([1]!sommaire[[#This Row],[présence Réfugié hors camp]]="Oui","1","0")</f>
        <v>0</v>
      </c>
      <c r="CH484" s="1442" t="str">
        <f>IF([1]!sommaire[[#This Row],[présence personnes retournées]]="Oui","1","0")</f>
        <v>0</v>
      </c>
      <c r="CI484" s="1442">
        <f>[1]!sommaire[[#This Row],[Flag PDI]]+[1]!sommaire[[#This Row],[Flag REF]]+[1]!sommaire[[#This Row],[Flag RET]]</f>
        <v>0</v>
      </c>
    </row>
    <row r="485" spans="1:87" ht="14.55" customHeight="1" x14ac:dyDescent="0.3">
      <c r="A485" s="390">
        <v>2646285</v>
      </c>
      <c r="B485" s="5" t="s">
        <v>533</v>
      </c>
      <c r="C485" s="1430" t="s">
        <v>3449</v>
      </c>
      <c r="D485" s="1090" t="s">
        <v>534</v>
      </c>
      <c r="E485" s="5" t="s">
        <v>31</v>
      </c>
      <c r="F485" s="5" t="s">
        <v>31</v>
      </c>
      <c r="G485" s="5" t="s">
        <v>549</v>
      </c>
      <c r="H485" s="5" t="s">
        <v>171</v>
      </c>
      <c r="I485" s="5" t="str">
        <f>_xlfn.XLOOKUP(sommaire[[#This Row],[Arrondissement_code]],OCHA_GIS!$F:$F,OCHA_GIS!$E:$E,,)</f>
        <v>Makary</v>
      </c>
      <c r="J485" s="5" t="s">
        <v>634</v>
      </c>
      <c r="K485" t="s">
        <v>1244</v>
      </c>
      <c r="L485" s="5" t="s">
        <v>1245</v>
      </c>
      <c r="N485" s="5" t="s">
        <v>3053</v>
      </c>
      <c r="O485" s="5" t="s">
        <v>2467</v>
      </c>
      <c r="P485" s="5" t="s">
        <v>85</v>
      </c>
      <c r="Q485" s="5" t="s">
        <v>86</v>
      </c>
      <c r="R485" s="5" t="s">
        <v>86</v>
      </c>
      <c r="T485" s="390">
        <v>3</v>
      </c>
      <c r="U485" s="5" t="s">
        <v>97</v>
      </c>
      <c r="W485" s="5" t="s">
        <v>2468</v>
      </c>
      <c r="X485" s="5" t="s">
        <v>103</v>
      </c>
      <c r="Y485" s="5" t="s">
        <v>2476</v>
      </c>
      <c r="AA485" s="5" t="s">
        <v>85</v>
      </c>
      <c r="AB485" s="5" t="s">
        <v>2469</v>
      </c>
      <c r="AC485" s="5" t="s">
        <v>2470</v>
      </c>
      <c r="AD485" s="5" t="s">
        <v>86</v>
      </c>
      <c r="AF485" s="5">
        <v>50</v>
      </c>
      <c r="AG485" s="5">
        <v>1235</v>
      </c>
      <c r="AH485" s="5" t="s">
        <v>85</v>
      </c>
      <c r="AI485" s="5" t="s">
        <v>2471</v>
      </c>
      <c r="AJ485" s="5">
        <v>50</v>
      </c>
      <c r="AK485" s="5">
        <v>210</v>
      </c>
      <c r="AL485" s="5">
        <v>130</v>
      </c>
      <c r="AM485" s="5">
        <v>80</v>
      </c>
      <c r="AN485" s="5">
        <v>3</v>
      </c>
      <c r="AO485" s="5">
        <v>47</v>
      </c>
      <c r="AP485" s="5">
        <v>0</v>
      </c>
      <c r="AQ485" s="5">
        <v>0</v>
      </c>
      <c r="AT485" s="5">
        <v>0</v>
      </c>
      <c r="AU485" s="5">
        <v>0</v>
      </c>
      <c r="AX485" s="5">
        <v>0</v>
      </c>
      <c r="AY485" s="5" t="s">
        <v>86</v>
      </c>
      <c r="BN485" s="5" t="s">
        <v>86</v>
      </c>
      <c r="CD485" s="5">
        <v>0</v>
      </c>
      <c r="CF485" s="1442" t="str">
        <f>IF([1]!sommaire[[#This Row],[présence des personnes déplacés interne]]="Oui","1","0")</f>
        <v>1</v>
      </c>
      <c r="CG485" s="1442" t="str">
        <f>IF([1]!sommaire[[#This Row],[présence Réfugié hors camp]]="Oui","1","0")</f>
        <v>0</v>
      </c>
      <c r="CH485" s="1442" t="str">
        <f>IF([1]!sommaire[[#This Row],[présence personnes retournées]]="Oui","1","0")</f>
        <v>0</v>
      </c>
      <c r="CI485" s="1442">
        <f>[1]!sommaire[[#This Row],[Flag PDI]]+[1]!sommaire[[#This Row],[Flag REF]]+[1]!sommaire[[#This Row],[Flag RET]]</f>
        <v>1</v>
      </c>
    </row>
    <row r="486" spans="1:87" ht="14.55" customHeight="1" x14ac:dyDescent="0.3">
      <c r="A486" s="390">
        <v>2627011</v>
      </c>
      <c r="B486" s="5" t="s">
        <v>533</v>
      </c>
      <c r="C486" s="1430" t="s">
        <v>3449</v>
      </c>
      <c r="D486" s="1090" t="s">
        <v>534</v>
      </c>
      <c r="E486" s="5" t="s">
        <v>31</v>
      </c>
      <c r="F486" s="5" t="s">
        <v>31</v>
      </c>
      <c r="G486" s="5" t="s">
        <v>549</v>
      </c>
      <c r="H486" s="5" t="s">
        <v>171</v>
      </c>
      <c r="I486" s="5" t="str">
        <f>_xlfn.XLOOKUP(sommaire[[#This Row],[Arrondissement_code]],OCHA_GIS!$F:$F,OCHA_GIS!$E:$E,,)</f>
        <v>Makary</v>
      </c>
      <c r="J486" s="5" t="s">
        <v>634</v>
      </c>
      <c r="K486" t="s">
        <v>1250</v>
      </c>
      <c r="L486" s="5" t="s">
        <v>1251</v>
      </c>
      <c r="N486" s="5" t="s">
        <v>3053</v>
      </c>
      <c r="O486" s="5" t="s">
        <v>2467</v>
      </c>
      <c r="P486" s="5" t="s">
        <v>85</v>
      </c>
      <c r="Q486" s="5" t="s">
        <v>86</v>
      </c>
      <c r="R486" s="5" t="s">
        <v>86</v>
      </c>
      <c r="T486" s="390">
        <v>3</v>
      </c>
      <c r="U486" s="5" t="s">
        <v>97</v>
      </c>
      <c r="W486" s="5" t="s">
        <v>2468</v>
      </c>
      <c r="X486" s="5" t="s">
        <v>103</v>
      </c>
      <c r="Y486" s="5" t="s">
        <v>2476</v>
      </c>
      <c r="AA486" s="5" t="s">
        <v>85</v>
      </c>
      <c r="AB486" s="5" t="s">
        <v>2469</v>
      </c>
      <c r="AC486" s="5" t="s">
        <v>2470</v>
      </c>
      <c r="AD486" s="5" t="s">
        <v>86</v>
      </c>
      <c r="AF486" s="5">
        <v>11</v>
      </c>
      <c r="AG486" s="5">
        <v>462</v>
      </c>
      <c r="AH486" s="5" t="s">
        <v>85</v>
      </c>
      <c r="AI486" s="5" t="s">
        <v>2471</v>
      </c>
      <c r="AJ486" s="5">
        <v>11</v>
      </c>
      <c r="AK486" s="5">
        <v>53</v>
      </c>
      <c r="AL486" s="5">
        <v>17</v>
      </c>
      <c r="AM486" s="5">
        <v>36</v>
      </c>
      <c r="AN486" s="5">
        <v>8</v>
      </c>
      <c r="AO486" s="5">
        <v>3</v>
      </c>
      <c r="AP486" s="5">
        <v>0</v>
      </c>
      <c r="AQ486" s="5">
        <v>0</v>
      </c>
      <c r="AT486" s="5">
        <v>0</v>
      </c>
      <c r="AU486" s="5">
        <v>0</v>
      </c>
      <c r="AX486" s="5">
        <v>0</v>
      </c>
      <c r="AY486" s="5" t="s">
        <v>85</v>
      </c>
      <c r="AZ486" s="5">
        <v>2</v>
      </c>
      <c r="BA486" s="5">
        <v>13</v>
      </c>
      <c r="BB486" s="5">
        <v>4</v>
      </c>
      <c r="BC486" s="5">
        <v>9</v>
      </c>
      <c r="BD486" s="5">
        <v>2</v>
      </c>
      <c r="BE486" s="5">
        <v>0</v>
      </c>
      <c r="BF486" s="5">
        <v>0</v>
      </c>
      <c r="BH486" s="5">
        <v>0</v>
      </c>
      <c r="BI486" s="5">
        <v>0</v>
      </c>
      <c r="BL486" s="5">
        <v>0</v>
      </c>
      <c r="BM486" s="5">
        <v>0</v>
      </c>
      <c r="BN486" s="5" t="s">
        <v>86</v>
      </c>
      <c r="CD486" s="5">
        <v>0</v>
      </c>
      <c r="CF486" s="1442" t="str">
        <f>IF([1]!sommaire[[#This Row],[présence des personnes déplacés interne]]="Oui","1","0")</f>
        <v>1</v>
      </c>
      <c r="CG486" s="1442" t="str">
        <f>IF([1]!sommaire[[#This Row],[présence Réfugié hors camp]]="Oui","1","0")</f>
        <v>1</v>
      </c>
      <c r="CH486" s="1442" t="str">
        <f>IF([1]!sommaire[[#This Row],[présence personnes retournées]]="Oui","1","0")</f>
        <v>0</v>
      </c>
      <c r="CI486" s="1442">
        <f>[1]!sommaire[[#This Row],[Flag PDI]]+[1]!sommaire[[#This Row],[Flag REF]]+[1]!sommaire[[#This Row],[Flag RET]]</f>
        <v>2</v>
      </c>
    </row>
    <row r="487" spans="1:87" ht="14.55" customHeight="1" x14ac:dyDescent="0.3">
      <c r="A487" s="390">
        <v>2639017</v>
      </c>
      <c r="B487" s="5" t="s">
        <v>533</v>
      </c>
      <c r="C487" s="1430" t="s">
        <v>3449</v>
      </c>
      <c r="D487" s="1090" t="s">
        <v>534</v>
      </c>
      <c r="E487" s="5" t="s">
        <v>31</v>
      </c>
      <c r="F487" s="5" t="s">
        <v>31</v>
      </c>
      <c r="G487" s="5" t="s">
        <v>549</v>
      </c>
      <c r="H487" s="5" t="s">
        <v>171</v>
      </c>
      <c r="I487" s="5" t="str">
        <f>_xlfn.XLOOKUP(sommaire[[#This Row],[Arrondissement_code]],OCHA_GIS!$F:$F,OCHA_GIS!$E:$E,,)</f>
        <v>Makary</v>
      </c>
      <c r="J487" s="5" t="s">
        <v>634</v>
      </c>
      <c r="K487" t="s">
        <v>856</v>
      </c>
      <c r="L487" s="5" t="s">
        <v>857</v>
      </c>
      <c r="N487" s="5" t="s">
        <v>3053</v>
      </c>
      <c r="O487" s="5" t="s">
        <v>2467</v>
      </c>
      <c r="P487" s="5" t="s">
        <v>85</v>
      </c>
      <c r="Q487" s="5" t="s">
        <v>86</v>
      </c>
      <c r="R487" s="5" t="s">
        <v>86</v>
      </c>
      <c r="T487" s="390">
        <v>4</v>
      </c>
      <c r="U487" s="5" t="s">
        <v>97</v>
      </c>
      <c r="W487" s="5" t="s">
        <v>2468</v>
      </c>
      <c r="X487" s="5" t="s">
        <v>102</v>
      </c>
      <c r="AA487" s="5" t="s">
        <v>85</v>
      </c>
      <c r="AB487" s="5" t="s">
        <v>2469</v>
      </c>
      <c r="AC487" s="5" t="s">
        <v>2470</v>
      </c>
      <c r="AD487" s="5" t="s">
        <v>86</v>
      </c>
      <c r="AF487" s="5">
        <v>66</v>
      </c>
      <c r="AG487" s="5">
        <v>1138</v>
      </c>
      <c r="AH487" s="5" t="s">
        <v>85</v>
      </c>
      <c r="AI487" s="5" t="s">
        <v>2471</v>
      </c>
      <c r="AJ487" s="5">
        <v>66</v>
      </c>
      <c r="AK487" s="5">
        <v>552</v>
      </c>
      <c r="AL487" s="5">
        <v>256</v>
      </c>
      <c r="AM487" s="5">
        <v>296</v>
      </c>
      <c r="AN487" s="5">
        <v>46</v>
      </c>
      <c r="AO487" s="5">
        <v>20</v>
      </c>
      <c r="AP487" s="5">
        <v>0</v>
      </c>
      <c r="AQ487" s="5">
        <v>0</v>
      </c>
      <c r="AT487" s="5">
        <v>0</v>
      </c>
      <c r="AU487" s="5">
        <v>0</v>
      </c>
      <c r="AX487" s="5">
        <v>0</v>
      </c>
      <c r="AY487" s="5" t="s">
        <v>86</v>
      </c>
      <c r="BN487" s="5" t="s">
        <v>86</v>
      </c>
      <c r="CD487" s="5">
        <v>0</v>
      </c>
      <c r="CF487" s="1442" t="str">
        <f>IF([1]!sommaire[[#This Row],[présence des personnes déplacés interne]]="Oui","1","0")</f>
        <v>1</v>
      </c>
      <c r="CG487" s="1442" t="str">
        <f>IF([1]!sommaire[[#This Row],[présence Réfugié hors camp]]="Oui","1","0")</f>
        <v>0</v>
      </c>
      <c r="CH487" s="1442" t="str">
        <f>IF([1]!sommaire[[#This Row],[présence personnes retournées]]="Oui","1","0")</f>
        <v>0</v>
      </c>
      <c r="CI487" s="1442">
        <f>[1]!sommaire[[#This Row],[Flag PDI]]+[1]!sommaire[[#This Row],[Flag REF]]+[1]!sommaire[[#This Row],[Flag RET]]</f>
        <v>1</v>
      </c>
    </row>
    <row r="488" spans="1:87" ht="14.55" customHeight="1" x14ac:dyDescent="0.3">
      <c r="A488" s="390">
        <v>2639018</v>
      </c>
      <c r="B488" s="5" t="s">
        <v>533</v>
      </c>
      <c r="C488" s="1430" t="s">
        <v>3449</v>
      </c>
      <c r="D488" s="1090" t="s">
        <v>534</v>
      </c>
      <c r="E488" s="5" t="s">
        <v>31</v>
      </c>
      <c r="F488" s="5" t="s">
        <v>31</v>
      </c>
      <c r="G488" s="5" t="s">
        <v>549</v>
      </c>
      <c r="H488" s="5" t="s">
        <v>171</v>
      </c>
      <c r="I488" s="5" t="str">
        <f>_xlfn.XLOOKUP(sommaire[[#This Row],[Arrondissement_code]],OCHA_GIS!$F:$F,OCHA_GIS!$E:$E,,)</f>
        <v>Makary</v>
      </c>
      <c r="J488" s="5" t="s">
        <v>634</v>
      </c>
      <c r="K488" t="s">
        <v>861</v>
      </c>
      <c r="L488" s="5" t="s">
        <v>862</v>
      </c>
      <c r="N488" s="5" t="s">
        <v>3053</v>
      </c>
      <c r="O488" s="5" t="s">
        <v>2467</v>
      </c>
      <c r="P488" s="5" t="s">
        <v>85</v>
      </c>
      <c r="Q488" s="5" t="s">
        <v>86</v>
      </c>
      <c r="R488" s="5" t="s">
        <v>86</v>
      </c>
      <c r="T488" s="390">
        <v>3</v>
      </c>
      <c r="U488" s="5" t="s">
        <v>97</v>
      </c>
      <c r="W488" s="5" t="s">
        <v>2468</v>
      </c>
      <c r="X488" s="5" t="s">
        <v>102</v>
      </c>
      <c r="AA488" s="5" t="s">
        <v>85</v>
      </c>
      <c r="AB488" s="5" t="s">
        <v>2469</v>
      </c>
      <c r="AC488" s="5" t="s">
        <v>2470</v>
      </c>
      <c r="AD488" s="5" t="s">
        <v>86</v>
      </c>
      <c r="AF488" s="5">
        <v>10</v>
      </c>
      <c r="AG488" s="5">
        <v>1022</v>
      </c>
      <c r="AH488" s="5" t="s">
        <v>85</v>
      </c>
      <c r="AI488" s="5" t="s">
        <v>2471</v>
      </c>
      <c r="AJ488" s="5">
        <v>10</v>
      </c>
      <c r="AK488" s="5">
        <v>69</v>
      </c>
      <c r="AL488" s="5">
        <v>30</v>
      </c>
      <c r="AM488" s="5">
        <v>39</v>
      </c>
      <c r="AN488" s="5">
        <v>7</v>
      </c>
      <c r="AO488" s="5">
        <v>3</v>
      </c>
      <c r="AP488" s="5">
        <v>0</v>
      </c>
      <c r="AQ488" s="5">
        <v>0</v>
      </c>
      <c r="AT488" s="5">
        <v>0</v>
      </c>
      <c r="AU488" s="5">
        <v>0</v>
      </c>
      <c r="AX488" s="5">
        <v>0</v>
      </c>
      <c r="AY488" s="5" t="s">
        <v>86</v>
      </c>
      <c r="BN488" s="5" t="s">
        <v>86</v>
      </c>
      <c r="CD488" s="5">
        <v>0</v>
      </c>
      <c r="CF488" s="1442" t="str">
        <f>IF([1]!sommaire[[#This Row],[présence des personnes déplacés interne]]="Oui","1","0")</f>
        <v>1</v>
      </c>
      <c r="CG488" s="1442" t="str">
        <f>IF([1]!sommaire[[#This Row],[présence Réfugié hors camp]]="Oui","1","0")</f>
        <v>0</v>
      </c>
      <c r="CH488" s="1442" t="str">
        <f>IF([1]!sommaire[[#This Row],[présence personnes retournées]]="Oui","1","0")</f>
        <v>0</v>
      </c>
      <c r="CI488" s="1442">
        <f>[1]!sommaire[[#This Row],[Flag PDI]]+[1]!sommaire[[#This Row],[Flag REF]]+[1]!sommaire[[#This Row],[Flag RET]]</f>
        <v>1</v>
      </c>
    </row>
    <row r="489" spans="1:87" ht="14.55" customHeight="1" x14ac:dyDescent="0.3">
      <c r="A489" s="390">
        <v>2590998</v>
      </c>
      <c r="B489" s="5" t="s">
        <v>533</v>
      </c>
      <c r="C489" s="1430" t="s">
        <v>3449</v>
      </c>
      <c r="D489" s="1090" t="s">
        <v>534</v>
      </c>
      <c r="E489" s="5" t="s">
        <v>31</v>
      </c>
      <c r="F489" s="5" t="s">
        <v>31</v>
      </c>
      <c r="G489" s="5" t="s">
        <v>549</v>
      </c>
      <c r="H489" s="5" t="s">
        <v>171</v>
      </c>
      <c r="I489" s="5" t="str">
        <f>_xlfn.XLOOKUP(sommaire[[#This Row],[Arrondissement_code]],OCHA_GIS!$F:$F,OCHA_GIS!$E:$E,,)</f>
        <v>Makary</v>
      </c>
      <c r="J489" s="5" t="s">
        <v>634</v>
      </c>
      <c r="K489" t="s">
        <v>1997</v>
      </c>
      <c r="L489" s="5" t="s">
        <v>892</v>
      </c>
      <c r="N489" s="5" t="s">
        <v>3053</v>
      </c>
      <c r="O489" s="5" t="s">
        <v>2467</v>
      </c>
      <c r="P489" s="5" t="s">
        <v>85</v>
      </c>
      <c r="Q489" s="5" t="s">
        <v>86</v>
      </c>
      <c r="R489" s="5" t="s">
        <v>86</v>
      </c>
      <c r="T489" s="390">
        <v>4</v>
      </c>
      <c r="U489" s="5" t="s">
        <v>97</v>
      </c>
      <c r="W489" s="5" t="s">
        <v>2468</v>
      </c>
      <c r="X489" s="5" t="s">
        <v>103</v>
      </c>
      <c r="Y489" s="5" t="s">
        <v>2476</v>
      </c>
      <c r="AA489" s="5" t="s">
        <v>85</v>
      </c>
      <c r="AB489" s="5" t="s">
        <v>2469</v>
      </c>
      <c r="AC489" s="5" t="s">
        <v>2470</v>
      </c>
      <c r="AD489" s="5" t="s">
        <v>86</v>
      </c>
      <c r="AF489" s="5">
        <v>5</v>
      </c>
      <c r="AG489" s="5">
        <v>407</v>
      </c>
      <c r="AH489" s="5" t="s">
        <v>85</v>
      </c>
      <c r="AI489" s="5" t="s">
        <v>2486</v>
      </c>
      <c r="AJ489" s="5">
        <v>5</v>
      </c>
      <c r="AK489" s="5">
        <v>31</v>
      </c>
      <c r="AL489" s="5">
        <v>12</v>
      </c>
      <c r="AM489" s="5">
        <v>19</v>
      </c>
      <c r="AN489" s="5">
        <v>3</v>
      </c>
      <c r="AO489" s="5">
        <v>2</v>
      </c>
      <c r="AP489" s="5">
        <v>0</v>
      </c>
      <c r="AQ489" s="5">
        <v>0</v>
      </c>
      <c r="AT489" s="5">
        <v>0</v>
      </c>
      <c r="AU489" s="5">
        <v>0</v>
      </c>
      <c r="AX489" s="5">
        <v>0</v>
      </c>
      <c r="AY489" s="5" t="s">
        <v>86</v>
      </c>
      <c r="BN489" s="5" t="s">
        <v>86</v>
      </c>
      <c r="CD489" s="5">
        <v>0</v>
      </c>
      <c r="CF489" s="1442" t="str">
        <f>IF([1]!sommaire[[#This Row],[présence des personnes déplacés interne]]="Oui","1","0")</f>
        <v>1</v>
      </c>
      <c r="CG489" s="1442" t="str">
        <f>IF([1]!sommaire[[#This Row],[présence Réfugié hors camp]]="Oui","1","0")</f>
        <v>0</v>
      </c>
      <c r="CH489" s="1442" t="str">
        <f>IF([1]!sommaire[[#This Row],[présence personnes retournées]]="Oui","1","0")</f>
        <v>0</v>
      </c>
      <c r="CI489" s="1442">
        <f>[1]!sommaire[[#This Row],[Flag PDI]]+[1]!sommaire[[#This Row],[Flag REF]]+[1]!sommaire[[#This Row],[Flag RET]]</f>
        <v>1</v>
      </c>
    </row>
    <row r="490" spans="1:87" ht="14.55" customHeight="1" x14ac:dyDescent="0.3">
      <c r="A490" s="390">
        <v>2646286</v>
      </c>
      <c r="B490" s="5" t="s">
        <v>533</v>
      </c>
      <c r="C490" s="1430" t="s">
        <v>3449</v>
      </c>
      <c r="D490" s="1090" t="s">
        <v>534</v>
      </c>
      <c r="E490" s="5" t="s">
        <v>31</v>
      </c>
      <c r="F490" s="5" t="s">
        <v>31</v>
      </c>
      <c r="G490" s="5" t="s">
        <v>549</v>
      </c>
      <c r="H490" s="5" t="s">
        <v>171</v>
      </c>
      <c r="I490" s="5" t="str">
        <f>_xlfn.XLOOKUP(sommaire[[#This Row],[Arrondissement_code]],OCHA_GIS!$F:$F,OCHA_GIS!$E:$E,,)</f>
        <v>Makary</v>
      </c>
      <c r="J490" s="5" t="s">
        <v>634</v>
      </c>
      <c r="K490" t="s">
        <v>802</v>
      </c>
      <c r="L490" s="5" t="s">
        <v>1243</v>
      </c>
      <c r="N490" s="5" t="s">
        <v>3053</v>
      </c>
      <c r="O490" s="5" t="s">
        <v>2467</v>
      </c>
      <c r="P490" s="5" t="s">
        <v>85</v>
      </c>
      <c r="Q490" s="5" t="s">
        <v>86</v>
      </c>
      <c r="R490" s="5" t="s">
        <v>86</v>
      </c>
      <c r="T490" s="390">
        <v>4</v>
      </c>
      <c r="U490" s="5" t="s">
        <v>97</v>
      </c>
      <c r="W490" s="5" t="s">
        <v>2468</v>
      </c>
      <c r="X490" s="5" t="s">
        <v>103</v>
      </c>
      <c r="Y490" s="5" t="s">
        <v>2476</v>
      </c>
      <c r="AA490" s="5" t="s">
        <v>85</v>
      </c>
      <c r="AB490" s="5" t="s">
        <v>2469</v>
      </c>
      <c r="AC490" s="5" t="s">
        <v>2470</v>
      </c>
      <c r="AD490" s="5" t="s">
        <v>86</v>
      </c>
      <c r="AF490" s="5">
        <v>6</v>
      </c>
      <c r="AG490" s="5">
        <v>204</v>
      </c>
      <c r="AH490" s="5" t="s">
        <v>85</v>
      </c>
      <c r="AI490" s="5" t="s">
        <v>2487</v>
      </c>
      <c r="AJ490" s="5">
        <v>6</v>
      </c>
      <c r="AK490" s="5">
        <v>31</v>
      </c>
      <c r="AL490" s="5">
        <v>11</v>
      </c>
      <c r="AM490" s="5">
        <v>20</v>
      </c>
      <c r="AN490" s="5">
        <v>0</v>
      </c>
      <c r="AO490" s="5">
        <v>6</v>
      </c>
      <c r="AP490" s="5">
        <v>0</v>
      </c>
      <c r="AQ490" s="5">
        <v>0</v>
      </c>
      <c r="AT490" s="5">
        <v>0</v>
      </c>
      <c r="AU490" s="5">
        <v>0</v>
      </c>
      <c r="AX490" s="5">
        <v>0</v>
      </c>
      <c r="AY490" s="5" t="s">
        <v>86</v>
      </c>
      <c r="BN490" s="5" t="s">
        <v>86</v>
      </c>
      <c r="CD490" s="5">
        <v>0</v>
      </c>
      <c r="CF490" s="1442" t="str">
        <f>IF([1]!sommaire[[#This Row],[présence des personnes déplacés interne]]="Oui","1","0")</f>
        <v>1</v>
      </c>
      <c r="CG490" s="1442" t="str">
        <f>IF([1]!sommaire[[#This Row],[présence Réfugié hors camp]]="Oui","1","0")</f>
        <v>0</v>
      </c>
      <c r="CH490" s="1442" t="str">
        <f>IF([1]!sommaire[[#This Row],[présence personnes retournées]]="Oui","1","0")</f>
        <v>0</v>
      </c>
      <c r="CI490" s="1442">
        <f>[1]!sommaire[[#This Row],[Flag PDI]]+[1]!sommaire[[#This Row],[Flag REF]]+[1]!sommaire[[#This Row],[Flag RET]]</f>
        <v>1</v>
      </c>
    </row>
    <row r="491" spans="1:87" ht="14.55" customHeight="1" x14ac:dyDescent="0.3">
      <c r="A491" s="390">
        <v>2754131</v>
      </c>
      <c r="B491" s="5" t="s">
        <v>533</v>
      </c>
      <c r="C491" s="1430" t="s">
        <v>3449</v>
      </c>
      <c r="D491" s="1090" t="s">
        <v>534</v>
      </c>
      <c r="E491" s="5" t="s">
        <v>31</v>
      </c>
      <c r="F491" s="5" t="s">
        <v>31</v>
      </c>
      <c r="G491" s="5" t="s">
        <v>549</v>
      </c>
      <c r="H491" s="5" t="s">
        <v>171</v>
      </c>
      <c r="I491" s="5" t="str">
        <f>_xlfn.XLOOKUP(sommaire[[#This Row],[Arrondissement_code]],OCHA_GIS!$F:$F,OCHA_GIS!$E:$E,,)</f>
        <v>Makary</v>
      </c>
      <c r="J491" s="5" t="s">
        <v>634</v>
      </c>
      <c r="K491" t="s">
        <v>2809</v>
      </c>
      <c r="L491" s="5" t="s">
        <v>878</v>
      </c>
      <c r="N491" s="5" t="s">
        <v>3053</v>
      </c>
      <c r="O491" s="5" t="s">
        <v>2467</v>
      </c>
      <c r="P491" s="5" t="s">
        <v>86</v>
      </c>
      <c r="Q491" s="5" t="s">
        <v>86</v>
      </c>
      <c r="R491" s="5" t="s">
        <v>85</v>
      </c>
      <c r="U491" s="5" t="s">
        <v>97</v>
      </c>
      <c r="W491" s="5" t="s">
        <v>2468</v>
      </c>
      <c r="X491" s="5" t="s">
        <v>102</v>
      </c>
      <c r="AA491" s="5" t="s">
        <v>85</v>
      </c>
      <c r="AB491" s="5" t="s">
        <v>2469</v>
      </c>
      <c r="AC491" s="5" t="s">
        <v>2470</v>
      </c>
      <c r="AD491" s="5" t="s">
        <v>86</v>
      </c>
      <c r="AF491" s="5">
        <v>10</v>
      </c>
      <c r="AG491" s="5">
        <v>500</v>
      </c>
      <c r="AH491" s="5" t="s">
        <v>85</v>
      </c>
      <c r="AI491" s="5" t="s">
        <v>2471</v>
      </c>
      <c r="AJ491" s="5">
        <v>10</v>
      </c>
      <c r="AK491" s="5">
        <v>96</v>
      </c>
      <c r="AL491" s="5">
        <v>40</v>
      </c>
      <c r="AM491" s="5">
        <v>56</v>
      </c>
      <c r="AN491" s="5">
        <v>0</v>
      </c>
      <c r="AO491" s="5">
        <v>10</v>
      </c>
      <c r="AP491" s="5">
        <v>0</v>
      </c>
      <c r="AQ491" s="5">
        <v>0</v>
      </c>
      <c r="AT491" s="5">
        <v>0</v>
      </c>
      <c r="AU491" s="5">
        <v>0</v>
      </c>
      <c r="AX491" s="5">
        <v>0</v>
      </c>
      <c r="AY491" s="5" t="s">
        <v>85</v>
      </c>
      <c r="AZ491" s="5">
        <v>1</v>
      </c>
      <c r="BA491" s="5">
        <v>6</v>
      </c>
      <c r="BB491" s="5">
        <v>2</v>
      </c>
      <c r="BC491" s="5">
        <v>4</v>
      </c>
      <c r="BD491" s="5">
        <v>1</v>
      </c>
      <c r="BE491" s="5">
        <v>0</v>
      </c>
      <c r="BF491" s="5">
        <v>0</v>
      </c>
      <c r="BH491" s="5">
        <v>0</v>
      </c>
      <c r="BI491" s="5">
        <v>0</v>
      </c>
      <c r="BL491" s="5">
        <v>0</v>
      </c>
      <c r="BM491" s="5">
        <v>0</v>
      </c>
      <c r="BN491" s="5" t="s">
        <v>86</v>
      </c>
      <c r="CD491" s="5">
        <v>0</v>
      </c>
      <c r="CF491" s="1442" t="str">
        <f>IF([1]!sommaire[[#This Row],[présence des personnes déplacés interne]]="Oui","1","0")</f>
        <v>1</v>
      </c>
      <c r="CG491" s="1442" t="str">
        <f>IF([1]!sommaire[[#This Row],[présence Réfugié hors camp]]="Oui","1","0")</f>
        <v>1</v>
      </c>
      <c r="CH491" s="1442" t="str">
        <f>IF([1]!sommaire[[#This Row],[présence personnes retournées]]="Oui","1","0")</f>
        <v>0</v>
      </c>
      <c r="CI491" s="1442">
        <f>[1]!sommaire[[#This Row],[Flag PDI]]+[1]!sommaire[[#This Row],[Flag REF]]+[1]!sommaire[[#This Row],[Flag RET]]</f>
        <v>2</v>
      </c>
    </row>
    <row r="492" spans="1:87" ht="14.55" customHeight="1" x14ac:dyDescent="0.3">
      <c r="A492" s="390">
        <v>2631790</v>
      </c>
      <c r="B492" s="5" t="s">
        <v>533</v>
      </c>
      <c r="C492" s="1430" t="s">
        <v>3449</v>
      </c>
      <c r="D492" s="1090" t="s">
        <v>534</v>
      </c>
      <c r="E492" s="5" t="s">
        <v>31</v>
      </c>
      <c r="F492" s="5" t="s">
        <v>31</v>
      </c>
      <c r="G492" s="5" t="s">
        <v>549</v>
      </c>
      <c r="H492" s="5" t="s">
        <v>171</v>
      </c>
      <c r="I492" s="5" t="str">
        <f>_xlfn.XLOOKUP(sommaire[[#This Row],[Arrondissement_code]],OCHA_GIS!$F:$F,OCHA_GIS!$E:$E,,)</f>
        <v>Makary</v>
      </c>
      <c r="J492" s="5" t="s">
        <v>634</v>
      </c>
      <c r="K492" t="s">
        <v>1716</v>
      </c>
      <c r="L492" s="5" t="s">
        <v>2213</v>
      </c>
      <c r="N492" s="5" t="s">
        <v>3053</v>
      </c>
      <c r="O492" s="5" t="s">
        <v>2467</v>
      </c>
      <c r="P492" s="5" t="s">
        <v>85</v>
      </c>
      <c r="Q492" s="5" t="s">
        <v>86</v>
      </c>
      <c r="R492" s="5" t="s">
        <v>86</v>
      </c>
      <c r="T492" s="390">
        <v>3</v>
      </c>
      <c r="U492" s="5" t="s">
        <v>97</v>
      </c>
      <c r="W492" s="5" t="s">
        <v>2468</v>
      </c>
      <c r="X492" s="5" t="s">
        <v>102</v>
      </c>
      <c r="AA492" s="5" t="s">
        <v>85</v>
      </c>
      <c r="AB492" s="5" t="s">
        <v>2469</v>
      </c>
      <c r="AC492" s="5" t="s">
        <v>2470</v>
      </c>
      <c r="AD492" s="5" t="s">
        <v>86</v>
      </c>
      <c r="AG492" s="5">
        <v>348</v>
      </c>
      <c r="AH492" s="5" t="s">
        <v>86</v>
      </c>
      <c r="AY492" s="5" t="s">
        <v>85</v>
      </c>
      <c r="AZ492" s="5">
        <v>22</v>
      </c>
      <c r="BA492" s="5">
        <v>180</v>
      </c>
      <c r="BB492" s="5">
        <v>70</v>
      </c>
      <c r="BC492" s="5">
        <v>110</v>
      </c>
      <c r="BD492" s="5">
        <v>22</v>
      </c>
      <c r="BE492" s="5">
        <v>0</v>
      </c>
      <c r="BF492" s="5">
        <v>0</v>
      </c>
      <c r="BH492" s="5">
        <v>0</v>
      </c>
      <c r="BI492" s="5">
        <v>0</v>
      </c>
      <c r="BL492" s="5">
        <v>0</v>
      </c>
      <c r="BM492" s="5">
        <v>0</v>
      </c>
      <c r="BN492" s="5" t="s">
        <v>86</v>
      </c>
      <c r="CD492" s="5">
        <v>0</v>
      </c>
      <c r="CF492" s="1442" t="str">
        <f>IF([1]!sommaire[[#This Row],[présence des personnes déplacés interne]]="Oui","1","0")</f>
        <v>0</v>
      </c>
      <c r="CG492" s="1442" t="str">
        <f>IF([1]!sommaire[[#This Row],[présence Réfugié hors camp]]="Oui","1","0")</f>
        <v>1</v>
      </c>
      <c r="CH492" s="1442" t="str">
        <f>IF([1]!sommaire[[#This Row],[présence personnes retournées]]="Oui","1","0")</f>
        <v>0</v>
      </c>
      <c r="CI492" s="1442">
        <f>[1]!sommaire[[#This Row],[Flag PDI]]+[1]!sommaire[[#This Row],[Flag REF]]+[1]!sommaire[[#This Row],[Flag RET]]</f>
        <v>1</v>
      </c>
    </row>
    <row r="493" spans="1:87" ht="14.55" customHeight="1" x14ac:dyDescent="0.3">
      <c r="A493" s="390">
        <v>2583522</v>
      </c>
      <c r="B493" s="5" t="s">
        <v>533</v>
      </c>
      <c r="C493" s="1430" t="s">
        <v>3449</v>
      </c>
      <c r="D493" s="1090" t="s">
        <v>534</v>
      </c>
      <c r="E493" s="5" t="s">
        <v>31</v>
      </c>
      <c r="F493" s="5" t="s">
        <v>31</v>
      </c>
      <c r="G493" s="5" t="s">
        <v>549</v>
      </c>
      <c r="H493" s="5" t="s">
        <v>171</v>
      </c>
      <c r="I493" s="5" t="str">
        <f>_xlfn.XLOOKUP(sommaire[[#This Row],[Arrondissement_code]],OCHA_GIS!$F:$F,OCHA_GIS!$E:$E,,)</f>
        <v>Makary</v>
      </c>
      <c r="J493" s="5" t="s">
        <v>634</v>
      </c>
      <c r="K493" t="s">
        <v>2810</v>
      </c>
      <c r="L493" s="5" t="s">
        <v>2013</v>
      </c>
      <c r="M493" s="1090"/>
      <c r="N493" s="1090" t="s">
        <v>3053</v>
      </c>
      <c r="O493" s="5" t="s">
        <v>2467</v>
      </c>
      <c r="P493" s="5" t="s">
        <v>85</v>
      </c>
      <c r="Q493" s="5" t="s">
        <v>86</v>
      </c>
      <c r="R493" s="5" t="s">
        <v>86</v>
      </c>
      <c r="T493" s="390">
        <v>4</v>
      </c>
      <c r="U493" s="5" t="s">
        <v>97</v>
      </c>
      <c r="W493" s="5" t="s">
        <v>2468</v>
      </c>
      <c r="X493" s="5" t="s">
        <v>103</v>
      </c>
      <c r="Y493" s="5" t="s">
        <v>2476</v>
      </c>
      <c r="AA493" s="5" t="s">
        <v>85</v>
      </c>
      <c r="AB493" s="5" t="s">
        <v>2469</v>
      </c>
      <c r="AC493" s="5" t="s">
        <v>2470</v>
      </c>
      <c r="AD493" s="5" t="s">
        <v>86</v>
      </c>
      <c r="AF493" s="5">
        <v>9</v>
      </c>
      <c r="AG493" s="5">
        <v>168</v>
      </c>
      <c r="AH493" s="5" t="s">
        <v>85</v>
      </c>
      <c r="AI493" s="5" t="s">
        <v>2471</v>
      </c>
      <c r="AJ493" s="5">
        <v>9</v>
      </c>
      <c r="AK493" s="5">
        <v>43</v>
      </c>
      <c r="AL493" s="5">
        <v>17</v>
      </c>
      <c r="AM493" s="5">
        <v>26</v>
      </c>
      <c r="AN493" s="5">
        <v>4</v>
      </c>
      <c r="AO493" s="5">
        <v>5</v>
      </c>
      <c r="AP493" s="5">
        <v>0</v>
      </c>
      <c r="AQ493" s="5">
        <v>0</v>
      </c>
      <c r="AT493" s="5">
        <v>0</v>
      </c>
      <c r="AU493" s="5">
        <v>0</v>
      </c>
      <c r="AX493" s="5">
        <v>0</v>
      </c>
      <c r="AY493" s="5" t="s">
        <v>86</v>
      </c>
      <c r="BN493" s="5" t="s">
        <v>86</v>
      </c>
      <c r="CD493" s="5">
        <v>0</v>
      </c>
      <c r="CF493" s="1442" t="str">
        <f>IF([1]!sommaire[[#This Row],[présence des personnes déplacés interne]]="Oui","1","0")</f>
        <v>1</v>
      </c>
      <c r="CG493" s="1442" t="str">
        <f>IF([1]!sommaire[[#This Row],[présence Réfugié hors camp]]="Oui","1","0")</f>
        <v>0</v>
      </c>
      <c r="CH493" s="1442" t="str">
        <f>IF([1]!sommaire[[#This Row],[présence personnes retournées]]="Oui","1","0")</f>
        <v>0</v>
      </c>
      <c r="CI493" s="1442">
        <f>[1]!sommaire[[#This Row],[Flag PDI]]+[1]!sommaire[[#This Row],[Flag REF]]+[1]!sommaire[[#This Row],[Flag RET]]</f>
        <v>1</v>
      </c>
    </row>
    <row r="494" spans="1:87" ht="14.55" customHeight="1" x14ac:dyDescent="0.3">
      <c r="A494" s="390">
        <v>2627145</v>
      </c>
      <c r="B494" s="5" t="s">
        <v>533</v>
      </c>
      <c r="C494" s="1430" t="s">
        <v>3449</v>
      </c>
      <c r="D494" s="5" t="s">
        <v>534</v>
      </c>
      <c r="E494" s="5" t="s">
        <v>31</v>
      </c>
      <c r="F494" s="5" t="s">
        <v>31</v>
      </c>
      <c r="G494" s="5" t="s">
        <v>549</v>
      </c>
      <c r="H494" s="1090" t="s">
        <v>171</v>
      </c>
      <c r="I494" s="1090" t="str">
        <f>_xlfn.XLOOKUP(sommaire[[#This Row],[Arrondissement_code]],OCHA_GIS!$F:$F,OCHA_GIS!$E:$E,,)</f>
        <v>Makary</v>
      </c>
      <c r="J494" s="5" t="s">
        <v>634</v>
      </c>
      <c r="K494" t="s">
        <v>1155</v>
      </c>
      <c r="L494" s="1090" t="s">
        <v>1156</v>
      </c>
      <c r="N494" s="5" t="s">
        <v>3053</v>
      </c>
      <c r="O494" s="5" t="s">
        <v>2467</v>
      </c>
      <c r="P494" s="5" t="s">
        <v>85</v>
      </c>
      <c r="Q494" s="5" t="s">
        <v>86</v>
      </c>
      <c r="R494" s="5" t="s">
        <v>86</v>
      </c>
      <c r="T494" s="390">
        <v>3</v>
      </c>
      <c r="U494" s="5" t="s">
        <v>97</v>
      </c>
      <c r="W494" s="5" t="s">
        <v>2468</v>
      </c>
      <c r="X494" s="5" t="s">
        <v>102</v>
      </c>
      <c r="AA494" s="5" t="s">
        <v>85</v>
      </c>
      <c r="AB494" s="5" t="s">
        <v>2469</v>
      </c>
      <c r="AC494" s="5" t="s">
        <v>2470</v>
      </c>
      <c r="AD494" s="5" t="s">
        <v>86</v>
      </c>
      <c r="AF494" s="5">
        <v>5</v>
      </c>
      <c r="AG494" s="5">
        <v>495</v>
      </c>
      <c r="AH494" s="5" t="s">
        <v>85</v>
      </c>
      <c r="AI494" s="5" t="s">
        <v>2471</v>
      </c>
      <c r="AJ494" s="5">
        <v>5</v>
      </c>
      <c r="AK494" s="5">
        <v>22</v>
      </c>
      <c r="AL494" s="5">
        <v>17</v>
      </c>
      <c r="AM494" s="5">
        <v>5</v>
      </c>
      <c r="AN494" s="5">
        <v>0</v>
      </c>
      <c r="AO494" s="5">
        <v>5</v>
      </c>
      <c r="AP494" s="5">
        <v>0</v>
      </c>
      <c r="AQ494" s="5">
        <v>0</v>
      </c>
      <c r="AT494" s="5">
        <v>0</v>
      </c>
      <c r="AU494" s="5">
        <v>0</v>
      </c>
      <c r="AX494" s="5">
        <v>0</v>
      </c>
      <c r="AY494" s="5" t="s">
        <v>85</v>
      </c>
      <c r="AZ494" s="5">
        <v>10</v>
      </c>
      <c r="BA494" s="5">
        <v>40</v>
      </c>
      <c r="BB494" s="5">
        <v>25</v>
      </c>
      <c r="BC494" s="5">
        <v>15</v>
      </c>
      <c r="BD494" s="5">
        <v>10</v>
      </c>
      <c r="BE494" s="5">
        <v>0</v>
      </c>
      <c r="BF494" s="5">
        <v>0</v>
      </c>
      <c r="BH494" s="5">
        <v>0</v>
      </c>
      <c r="BI494" s="5">
        <v>0</v>
      </c>
      <c r="BL494" s="5">
        <v>0</v>
      </c>
      <c r="BM494" s="5">
        <v>0</v>
      </c>
      <c r="BN494" s="5" t="s">
        <v>86</v>
      </c>
      <c r="CD494" s="5">
        <v>0</v>
      </c>
      <c r="CF494" s="1442" t="str">
        <f>IF([1]!sommaire[[#This Row],[présence des personnes déplacés interne]]="Oui","1","0")</f>
        <v>1</v>
      </c>
      <c r="CG494" s="1442" t="str">
        <f>IF([1]!sommaire[[#This Row],[présence Réfugié hors camp]]="Oui","1","0")</f>
        <v>1</v>
      </c>
      <c r="CH494" s="1442" t="str">
        <f>IF([1]!sommaire[[#This Row],[présence personnes retournées]]="Oui","1","0")</f>
        <v>0</v>
      </c>
      <c r="CI494" s="1442">
        <f>[1]!sommaire[[#This Row],[Flag PDI]]+[1]!sommaire[[#This Row],[Flag REF]]+[1]!sommaire[[#This Row],[Flag RET]]</f>
        <v>2</v>
      </c>
    </row>
    <row r="495" spans="1:87" ht="14.55" customHeight="1" x14ac:dyDescent="0.3">
      <c r="A495" s="390">
        <v>2627137</v>
      </c>
      <c r="B495" s="5" t="s">
        <v>533</v>
      </c>
      <c r="C495" s="1430" t="s">
        <v>3449</v>
      </c>
      <c r="D495" s="1090" t="s">
        <v>534</v>
      </c>
      <c r="E495" s="5" t="s">
        <v>31</v>
      </c>
      <c r="F495" s="5" t="s">
        <v>31</v>
      </c>
      <c r="G495" s="5" t="s">
        <v>549</v>
      </c>
      <c r="H495" s="5" t="s">
        <v>171</v>
      </c>
      <c r="I495" s="5" t="str">
        <f>_xlfn.XLOOKUP(sommaire[[#This Row],[Arrondissement_code]],OCHA_GIS!$F:$F,OCHA_GIS!$E:$E,,)</f>
        <v>Makary</v>
      </c>
      <c r="J495" s="5" t="s">
        <v>634</v>
      </c>
      <c r="K495" t="s">
        <v>2610</v>
      </c>
      <c r="L495" s="5" t="s">
        <v>1150</v>
      </c>
      <c r="N495" s="5" t="s">
        <v>3053</v>
      </c>
      <c r="O495" s="5" t="s">
        <v>2467</v>
      </c>
      <c r="P495" s="5" t="s">
        <v>85</v>
      </c>
      <c r="Q495" s="5" t="s">
        <v>86</v>
      </c>
      <c r="R495" s="5" t="s">
        <v>86</v>
      </c>
      <c r="T495" s="390">
        <v>3</v>
      </c>
      <c r="U495" s="5" t="s">
        <v>97</v>
      </c>
      <c r="W495" s="5" t="s">
        <v>2468</v>
      </c>
      <c r="X495" s="5" t="s">
        <v>102</v>
      </c>
      <c r="AA495" s="5" t="s">
        <v>85</v>
      </c>
      <c r="AB495" s="5" t="s">
        <v>2469</v>
      </c>
      <c r="AC495" s="5" t="s">
        <v>2470</v>
      </c>
      <c r="AD495" s="5" t="s">
        <v>86</v>
      </c>
      <c r="AF495" s="5">
        <v>5</v>
      </c>
      <c r="AG495" s="5">
        <v>263</v>
      </c>
      <c r="AH495" s="5" t="s">
        <v>85</v>
      </c>
      <c r="AI495" s="5" t="s">
        <v>2471</v>
      </c>
      <c r="AJ495" s="5">
        <v>5</v>
      </c>
      <c r="AK495" s="5">
        <v>15</v>
      </c>
      <c r="AL495" s="5">
        <v>10</v>
      </c>
      <c r="AM495" s="5">
        <v>5</v>
      </c>
      <c r="AN495" s="5">
        <v>0</v>
      </c>
      <c r="AO495" s="5">
        <v>5</v>
      </c>
      <c r="AP495" s="5">
        <v>0</v>
      </c>
      <c r="AQ495" s="5">
        <v>0</v>
      </c>
      <c r="AT495" s="5">
        <v>0</v>
      </c>
      <c r="AU495" s="5">
        <v>0</v>
      </c>
      <c r="AX495" s="5">
        <v>0</v>
      </c>
      <c r="AY495" s="5" t="s">
        <v>85</v>
      </c>
      <c r="AZ495" s="5">
        <v>3</v>
      </c>
      <c r="BA495" s="5">
        <v>11</v>
      </c>
      <c r="BB495" s="5">
        <v>5</v>
      </c>
      <c r="BC495" s="5">
        <v>6</v>
      </c>
      <c r="BD495" s="5">
        <v>3</v>
      </c>
      <c r="BE495" s="5">
        <v>0</v>
      </c>
      <c r="BF495" s="5">
        <v>0</v>
      </c>
      <c r="BH495" s="5">
        <v>0</v>
      </c>
      <c r="BI495" s="5">
        <v>0</v>
      </c>
      <c r="BL495" s="5">
        <v>0</v>
      </c>
      <c r="BM495" s="5">
        <v>0</v>
      </c>
      <c r="BN495" s="5" t="s">
        <v>86</v>
      </c>
      <c r="CD495" s="5">
        <v>0</v>
      </c>
      <c r="CF495" s="1442" t="str">
        <f>IF([1]!sommaire[[#This Row],[présence des personnes déplacés interne]]="Oui","1","0")</f>
        <v>1</v>
      </c>
      <c r="CG495" s="1442" t="str">
        <f>IF([1]!sommaire[[#This Row],[présence Réfugié hors camp]]="Oui","1","0")</f>
        <v>1</v>
      </c>
      <c r="CH495" s="1442" t="str">
        <f>IF([1]!sommaire[[#This Row],[présence personnes retournées]]="Oui","1","0")</f>
        <v>0</v>
      </c>
      <c r="CI495" s="1442">
        <f>[1]!sommaire[[#This Row],[Flag PDI]]+[1]!sommaire[[#This Row],[Flag REF]]+[1]!sommaire[[#This Row],[Flag RET]]</f>
        <v>2</v>
      </c>
    </row>
    <row r="496" spans="1:87" ht="14.55" customHeight="1" x14ac:dyDescent="0.3">
      <c r="A496" s="390">
        <v>2627136</v>
      </c>
      <c r="B496" s="5" t="s">
        <v>533</v>
      </c>
      <c r="C496" s="1430" t="s">
        <v>3449</v>
      </c>
      <c r="D496" s="1090" t="s">
        <v>534</v>
      </c>
      <c r="E496" s="5" t="s">
        <v>31</v>
      </c>
      <c r="F496" s="5" t="s">
        <v>31</v>
      </c>
      <c r="G496" s="5" t="s">
        <v>549</v>
      </c>
      <c r="H496" s="5" t="s">
        <v>171</v>
      </c>
      <c r="I496" s="5" t="str">
        <f>_xlfn.XLOOKUP(sommaire[[#This Row],[Arrondissement_code]],OCHA_GIS!$F:$F,OCHA_GIS!$E:$E,,)</f>
        <v>Makary</v>
      </c>
      <c r="J496" s="5" t="s">
        <v>634</v>
      </c>
      <c r="K496" t="s">
        <v>923</v>
      </c>
      <c r="L496" s="5" t="s">
        <v>1962</v>
      </c>
      <c r="N496" s="5" t="s">
        <v>3053</v>
      </c>
      <c r="O496" s="5" t="s">
        <v>2467</v>
      </c>
      <c r="P496" s="5" t="s">
        <v>85</v>
      </c>
      <c r="Q496" s="5" t="s">
        <v>86</v>
      </c>
      <c r="R496" s="5" t="s">
        <v>86</v>
      </c>
      <c r="T496" s="390">
        <v>3</v>
      </c>
      <c r="U496" s="5" t="s">
        <v>97</v>
      </c>
      <c r="W496" s="5" t="s">
        <v>2468</v>
      </c>
      <c r="X496" s="5" t="s">
        <v>102</v>
      </c>
      <c r="AA496" s="586" t="s">
        <v>85</v>
      </c>
      <c r="AB496" s="5" t="s">
        <v>2469</v>
      </c>
      <c r="AC496" s="5" t="s">
        <v>2470</v>
      </c>
      <c r="AD496" s="1090" t="s">
        <v>86</v>
      </c>
      <c r="AF496" s="5">
        <v>8</v>
      </c>
      <c r="AG496" s="5">
        <v>531</v>
      </c>
      <c r="AH496" s="5" t="s">
        <v>85</v>
      </c>
      <c r="AI496" s="5" t="s">
        <v>2471</v>
      </c>
      <c r="AJ496" s="5">
        <v>8</v>
      </c>
      <c r="AK496" s="5">
        <v>29</v>
      </c>
      <c r="AL496" s="5">
        <v>10</v>
      </c>
      <c r="AM496" s="5">
        <v>19</v>
      </c>
      <c r="AN496" s="5">
        <v>0</v>
      </c>
      <c r="AO496" s="5">
        <v>8</v>
      </c>
      <c r="AP496" s="5">
        <v>0</v>
      </c>
      <c r="AQ496" s="5">
        <v>0</v>
      </c>
      <c r="AT496" s="5">
        <v>0</v>
      </c>
      <c r="AU496" s="5">
        <v>0</v>
      </c>
      <c r="AX496" s="5">
        <v>0</v>
      </c>
      <c r="AY496" s="5" t="s">
        <v>85</v>
      </c>
      <c r="AZ496" s="5">
        <v>3</v>
      </c>
      <c r="BA496" s="5">
        <v>9</v>
      </c>
      <c r="BB496" s="5">
        <v>5</v>
      </c>
      <c r="BC496" s="5">
        <v>4</v>
      </c>
      <c r="BD496" s="5">
        <v>3</v>
      </c>
      <c r="BE496" s="5">
        <v>0</v>
      </c>
      <c r="BF496" s="5">
        <v>0</v>
      </c>
      <c r="BH496" s="5">
        <v>0</v>
      </c>
      <c r="BI496" s="5">
        <v>0</v>
      </c>
      <c r="BL496" s="5">
        <v>0</v>
      </c>
      <c r="BM496" s="5">
        <v>0</v>
      </c>
      <c r="BN496" s="5" t="s">
        <v>86</v>
      </c>
      <c r="CD496" s="5">
        <v>0</v>
      </c>
      <c r="CF496" s="1442" t="str">
        <f>IF([1]!sommaire[[#This Row],[présence des personnes déplacés interne]]="Oui","1","0")</f>
        <v>1</v>
      </c>
      <c r="CG496" s="1442" t="str">
        <f>IF([1]!sommaire[[#This Row],[présence Réfugié hors camp]]="Oui","1","0")</f>
        <v>1</v>
      </c>
      <c r="CH496" s="1442" t="str">
        <f>IF([1]!sommaire[[#This Row],[présence personnes retournées]]="Oui","1","0")</f>
        <v>0</v>
      </c>
      <c r="CI496" s="1442">
        <f>[1]!sommaire[[#This Row],[Flag PDI]]+[1]!sommaire[[#This Row],[Flag REF]]+[1]!sommaire[[#This Row],[Flag RET]]</f>
        <v>2</v>
      </c>
    </row>
    <row r="497" spans="1:87" ht="14.55" customHeight="1" x14ac:dyDescent="0.3">
      <c r="A497" s="390">
        <v>2616244</v>
      </c>
      <c r="B497" s="5" t="s">
        <v>533</v>
      </c>
      <c r="C497" s="1430" t="s">
        <v>3449</v>
      </c>
      <c r="D497" s="1090" t="s">
        <v>534</v>
      </c>
      <c r="E497" s="5" t="s">
        <v>31</v>
      </c>
      <c r="F497" s="5" t="s">
        <v>31</v>
      </c>
      <c r="G497" s="5" t="s">
        <v>549</v>
      </c>
      <c r="H497" s="5" t="s">
        <v>171</v>
      </c>
      <c r="I497" s="5" t="str">
        <f>_xlfn.XLOOKUP(sommaire[[#This Row],[Arrondissement_code]],OCHA_GIS!$F:$F,OCHA_GIS!$E:$E,,)</f>
        <v>Makary</v>
      </c>
      <c r="J497" s="5" t="s">
        <v>634</v>
      </c>
      <c r="K497" t="s">
        <v>2128</v>
      </c>
      <c r="L497" s="5" t="s">
        <v>2116</v>
      </c>
      <c r="N497" s="5" t="s">
        <v>3053</v>
      </c>
      <c r="O497" s="5" t="s">
        <v>2467</v>
      </c>
      <c r="P497" s="5" t="s">
        <v>85</v>
      </c>
      <c r="Q497" s="5" t="s">
        <v>86</v>
      </c>
      <c r="R497" s="5" t="s">
        <v>86</v>
      </c>
      <c r="T497" s="390">
        <v>3</v>
      </c>
      <c r="U497" s="5" t="s">
        <v>97</v>
      </c>
      <c r="W497" s="5" t="s">
        <v>2468</v>
      </c>
      <c r="X497" s="5" t="s">
        <v>102</v>
      </c>
      <c r="AA497" s="5" t="s">
        <v>85</v>
      </c>
      <c r="AB497" s="5" t="s">
        <v>2469</v>
      </c>
      <c r="AC497" s="5" t="s">
        <v>2470</v>
      </c>
      <c r="AD497" s="5" t="s">
        <v>86</v>
      </c>
      <c r="AF497" s="5">
        <v>16</v>
      </c>
      <c r="AG497" s="5">
        <v>260</v>
      </c>
      <c r="AH497" s="5" t="s">
        <v>85</v>
      </c>
      <c r="AI497" s="5" t="s">
        <v>2471</v>
      </c>
      <c r="AJ497" s="5">
        <v>16</v>
      </c>
      <c r="AK497" s="5">
        <v>113</v>
      </c>
      <c r="AL497" s="5">
        <v>40</v>
      </c>
      <c r="AM497" s="5">
        <v>73</v>
      </c>
      <c r="AN497" s="5">
        <v>0</v>
      </c>
      <c r="AO497" s="5">
        <v>16</v>
      </c>
      <c r="AP497" s="5">
        <v>0</v>
      </c>
      <c r="AQ497" s="5">
        <v>0</v>
      </c>
      <c r="AT497" s="5">
        <v>0</v>
      </c>
      <c r="AU497" s="5">
        <v>0</v>
      </c>
      <c r="AX497" s="5">
        <v>0</v>
      </c>
      <c r="AY497" s="5" t="s">
        <v>86</v>
      </c>
      <c r="BN497" s="5" t="s">
        <v>86</v>
      </c>
      <c r="CD497" s="5">
        <v>0</v>
      </c>
      <c r="CF497" s="1442" t="str">
        <f>IF([1]!sommaire[[#This Row],[présence des personnes déplacés interne]]="Oui","1","0")</f>
        <v>1</v>
      </c>
      <c r="CG497" s="1442" t="str">
        <f>IF([1]!sommaire[[#This Row],[présence Réfugié hors camp]]="Oui","1","0")</f>
        <v>0</v>
      </c>
      <c r="CH497" s="1442" t="str">
        <f>IF([1]!sommaire[[#This Row],[présence personnes retournées]]="Oui","1","0")</f>
        <v>0</v>
      </c>
      <c r="CI497" s="1442">
        <f>[1]!sommaire[[#This Row],[Flag PDI]]+[1]!sommaire[[#This Row],[Flag REF]]+[1]!sommaire[[#This Row],[Flag RET]]</f>
        <v>1</v>
      </c>
    </row>
    <row r="498" spans="1:87" ht="14.55" customHeight="1" x14ac:dyDescent="0.3">
      <c r="A498" s="390">
        <v>2634621</v>
      </c>
      <c r="B498" s="5" t="s">
        <v>533</v>
      </c>
      <c r="C498" s="1430" t="s">
        <v>3449</v>
      </c>
      <c r="D498" s="1090" t="s">
        <v>534</v>
      </c>
      <c r="E498" s="5" t="s">
        <v>31</v>
      </c>
      <c r="F498" s="5" t="s">
        <v>31</v>
      </c>
      <c r="G498" s="5" t="s">
        <v>549</v>
      </c>
      <c r="H498" s="5" t="s">
        <v>171</v>
      </c>
      <c r="I498" s="5" t="str">
        <f>_xlfn.XLOOKUP(sommaire[[#This Row],[Arrondissement_code]],OCHA_GIS!$F:$F,OCHA_GIS!$E:$E,,)</f>
        <v>Makary</v>
      </c>
      <c r="J498" s="5" t="s">
        <v>634</v>
      </c>
      <c r="K498" t="s">
        <v>1291</v>
      </c>
      <c r="L498" s="5" t="s">
        <v>2599</v>
      </c>
      <c r="N498" s="5" t="s">
        <v>3053</v>
      </c>
      <c r="O498" s="5" t="s">
        <v>2467</v>
      </c>
      <c r="P498" s="5" t="s">
        <v>85</v>
      </c>
      <c r="Q498" s="5" t="s">
        <v>86</v>
      </c>
      <c r="R498" s="5" t="s">
        <v>86</v>
      </c>
      <c r="T498" s="390">
        <v>3</v>
      </c>
      <c r="U498" s="5" t="s">
        <v>97</v>
      </c>
      <c r="W498" s="5" t="s">
        <v>2482</v>
      </c>
      <c r="AA498" s="5" t="s">
        <v>86</v>
      </c>
      <c r="AH498" s="1430" t="s">
        <v>86</v>
      </c>
      <c r="AY498" s="1430" t="s">
        <v>86</v>
      </c>
      <c r="BN498" s="1430" t="s">
        <v>86</v>
      </c>
      <c r="CF498" s="1442" t="str">
        <f>IF([1]!sommaire[[#This Row],[présence des personnes déplacés interne]]="Oui","1","0")</f>
        <v>0</v>
      </c>
      <c r="CG498" s="1442" t="str">
        <f>IF([1]!sommaire[[#This Row],[présence Réfugié hors camp]]="Oui","1","0")</f>
        <v>0</v>
      </c>
      <c r="CH498" s="1442" t="str">
        <f>IF([1]!sommaire[[#This Row],[présence personnes retournées]]="Oui","1","0")</f>
        <v>0</v>
      </c>
      <c r="CI498" s="1442">
        <f>[1]!sommaire[[#This Row],[Flag PDI]]+[1]!sommaire[[#This Row],[Flag REF]]+[1]!sommaire[[#This Row],[Flag RET]]</f>
        <v>0</v>
      </c>
    </row>
    <row r="499" spans="1:87" ht="14.55" customHeight="1" x14ac:dyDescent="0.3">
      <c r="A499" s="390">
        <v>2644464</v>
      </c>
      <c r="B499" s="5" t="s">
        <v>533</v>
      </c>
      <c r="C499" s="1430" t="s">
        <v>3449</v>
      </c>
      <c r="D499" s="1090" t="s">
        <v>534</v>
      </c>
      <c r="E499" s="5" t="s">
        <v>31</v>
      </c>
      <c r="F499" s="5" t="s">
        <v>31</v>
      </c>
      <c r="G499" s="5" t="s">
        <v>549</v>
      </c>
      <c r="H499" s="5" t="s">
        <v>171</v>
      </c>
      <c r="I499" s="5" t="str">
        <f>_xlfn.XLOOKUP(sommaire[[#This Row],[Arrondissement_code]],OCHA_GIS!$F:$F,OCHA_GIS!$E:$E,,)</f>
        <v>Makary</v>
      </c>
      <c r="J499" s="5" t="s">
        <v>634</v>
      </c>
      <c r="K499" t="s">
        <v>1879</v>
      </c>
      <c r="L499" s="5" t="s">
        <v>1880</v>
      </c>
      <c r="N499" s="5" t="s">
        <v>3053</v>
      </c>
      <c r="O499" s="5" t="s">
        <v>2467</v>
      </c>
      <c r="P499" s="5" t="s">
        <v>85</v>
      </c>
      <c r="Q499" s="5" t="s">
        <v>86</v>
      </c>
      <c r="R499" s="5" t="s">
        <v>86</v>
      </c>
      <c r="T499" s="390">
        <v>3</v>
      </c>
      <c r="U499" s="5" t="s">
        <v>97</v>
      </c>
      <c r="W499" s="5" t="s">
        <v>2468</v>
      </c>
      <c r="X499" s="5" t="s">
        <v>102</v>
      </c>
      <c r="AA499" s="5" t="s">
        <v>85</v>
      </c>
      <c r="AB499" s="5" t="s">
        <v>2469</v>
      </c>
      <c r="AC499" s="5" t="s">
        <v>2470</v>
      </c>
      <c r="AD499" s="5" t="s">
        <v>86</v>
      </c>
      <c r="AF499" s="5">
        <v>16</v>
      </c>
      <c r="AG499" s="5">
        <v>1091</v>
      </c>
      <c r="AH499" s="5" t="s">
        <v>85</v>
      </c>
      <c r="AI499" s="5" t="s">
        <v>2471</v>
      </c>
      <c r="AJ499" s="5">
        <v>16</v>
      </c>
      <c r="AK499" s="5">
        <v>109</v>
      </c>
      <c r="AL499" s="5">
        <v>40</v>
      </c>
      <c r="AM499" s="5">
        <v>69</v>
      </c>
      <c r="AN499" s="5">
        <v>0</v>
      </c>
      <c r="AO499" s="5">
        <v>16</v>
      </c>
      <c r="AP499" s="5">
        <v>0</v>
      </c>
      <c r="AQ499" s="5">
        <v>0</v>
      </c>
      <c r="AT499" s="5">
        <v>0</v>
      </c>
      <c r="AU499" s="5">
        <v>0</v>
      </c>
      <c r="AX499" s="5">
        <v>0</v>
      </c>
      <c r="AY499" s="5" t="s">
        <v>86</v>
      </c>
      <c r="BN499" s="5" t="s">
        <v>86</v>
      </c>
      <c r="CD499" s="5">
        <v>0</v>
      </c>
      <c r="CF499" s="1442" t="str">
        <f>IF([1]!sommaire[[#This Row],[présence des personnes déplacés interne]]="Oui","1","0")</f>
        <v>1</v>
      </c>
      <c r="CG499" s="1442" t="str">
        <f>IF([1]!sommaire[[#This Row],[présence Réfugié hors camp]]="Oui","1","0")</f>
        <v>0</v>
      </c>
      <c r="CH499" s="1442" t="str">
        <f>IF([1]!sommaire[[#This Row],[présence personnes retournées]]="Oui","1","0")</f>
        <v>0</v>
      </c>
      <c r="CI499" s="1442">
        <f>[1]!sommaire[[#This Row],[Flag PDI]]+[1]!sommaire[[#This Row],[Flag REF]]+[1]!sommaire[[#This Row],[Flag RET]]</f>
        <v>1</v>
      </c>
    </row>
    <row r="500" spans="1:87" ht="14.55" customHeight="1" x14ac:dyDescent="0.3">
      <c r="A500" s="390">
        <v>2666078</v>
      </c>
      <c r="B500" s="5" t="s">
        <v>533</v>
      </c>
      <c r="C500" s="1430" t="s">
        <v>3449</v>
      </c>
      <c r="D500" s="1090" t="s">
        <v>534</v>
      </c>
      <c r="E500" s="5" t="s">
        <v>31</v>
      </c>
      <c r="F500" s="5" t="s">
        <v>31</v>
      </c>
      <c r="G500" s="5" t="s">
        <v>549</v>
      </c>
      <c r="H500" s="5" t="s">
        <v>171</v>
      </c>
      <c r="I500" s="5" t="str">
        <f>_xlfn.XLOOKUP(sommaire[[#This Row],[Arrondissement_code]],OCHA_GIS!$F:$F,OCHA_GIS!$E:$E,,)</f>
        <v>Makary</v>
      </c>
      <c r="J500" s="5" t="s">
        <v>634</v>
      </c>
      <c r="K500" t="s">
        <v>1248</v>
      </c>
      <c r="L500" s="5" t="s">
        <v>1793</v>
      </c>
      <c r="N500" s="5" t="s">
        <v>3053</v>
      </c>
      <c r="O500" s="5" t="s">
        <v>2467</v>
      </c>
      <c r="P500" s="5" t="s">
        <v>85</v>
      </c>
      <c r="Q500" s="5" t="s">
        <v>86</v>
      </c>
      <c r="R500" s="5" t="s">
        <v>86</v>
      </c>
      <c r="T500" s="390">
        <v>3</v>
      </c>
      <c r="U500" s="5" t="s">
        <v>97</v>
      </c>
      <c r="W500" s="5" t="s">
        <v>2468</v>
      </c>
      <c r="X500" s="5" t="s">
        <v>102</v>
      </c>
      <c r="AA500" s="5" t="s">
        <v>85</v>
      </c>
      <c r="AB500" s="5" t="s">
        <v>2469</v>
      </c>
      <c r="AC500" s="5" t="s">
        <v>2470</v>
      </c>
      <c r="AD500" s="5" t="s">
        <v>86</v>
      </c>
      <c r="AF500" s="5">
        <v>13</v>
      </c>
      <c r="AG500" s="5">
        <v>1997</v>
      </c>
      <c r="AH500" s="5" t="s">
        <v>85</v>
      </c>
      <c r="AI500" s="5" t="s">
        <v>2471</v>
      </c>
      <c r="AJ500" s="5">
        <v>13</v>
      </c>
      <c r="AK500" s="5">
        <v>42</v>
      </c>
      <c r="AL500" s="5">
        <v>25</v>
      </c>
      <c r="AM500" s="5">
        <v>17</v>
      </c>
      <c r="AN500" s="5">
        <v>0</v>
      </c>
      <c r="AO500" s="5">
        <v>13</v>
      </c>
      <c r="AP500" s="5">
        <v>0</v>
      </c>
      <c r="AQ500" s="5">
        <v>0</v>
      </c>
      <c r="AT500" s="5">
        <v>0</v>
      </c>
      <c r="AU500" s="5">
        <v>0</v>
      </c>
      <c r="AX500" s="5">
        <v>0</v>
      </c>
      <c r="AY500" s="5" t="s">
        <v>86</v>
      </c>
      <c r="BN500" s="5" t="s">
        <v>86</v>
      </c>
      <c r="CD500" s="5">
        <v>0</v>
      </c>
      <c r="CF500" s="1442" t="str">
        <f>IF([1]!sommaire[[#This Row],[présence des personnes déplacés interne]]="Oui","1","0")</f>
        <v>1</v>
      </c>
      <c r="CG500" s="1442" t="str">
        <f>IF([1]!sommaire[[#This Row],[présence Réfugié hors camp]]="Oui","1","0")</f>
        <v>0</v>
      </c>
      <c r="CH500" s="1442" t="str">
        <f>IF([1]!sommaire[[#This Row],[présence personnes retournées]]="Oui","1","0")</f>
        <v>0</v>
      </c>
      <c r="CI500" s="1442">
        <f>[1]!sommaire[[#This Row],[Flag PDI]]+[1]!sommaire[[#This Row],[Flag REF]]+[1]!sommaire[[#This Row],[Flag RET]]</f>
        <v>1</v>
      </c>
    </row>
    <row r="501" spans="1:87" ht="14.55" customHeight="1" x14ac:dyDescent="0.3">
      <c r="A501" s="390">
        <v>2670833</v>
      </c>
      <c r="B501" s="5" t="s">
        <v>533</v>
      </c>
      <c r="C501" s="1430" t="s">
        <v>3449</v>
      </c>
      <c r="D501" s="1090" t="s">
        <v>534</v>
      </c>
      <c r="E501" s="5" t="s">
        <v>31</v>
      </c>
      <c r="F501" s="5" t="s">
        <v>31</v>
      </c>
      <c r="G501" s="5" t="s">
        <v>549</v>
      </c>
      <c r="H501" s="5" t="s">
        <v>171</v>
      </c>
      <c r="I501" s="5" t="str">
        <f>_xlfn.XLOOKUP(sommaire[[#This Row],[Arrondissement_code]],OCHA_GIS!$F:$F,OCHA_GIS!$E:$E,,)</f>
        <v>Makary</v>
      </c>
      <c r="J501" s="5" t="s">
        <v>634</v>
      </c>
      <c r="K501" t="s">
        <v>1898</v>
      </c>
      <c r="L501" s="5" t="s">
        <v>1899</v>
      </c>
      <c r="N501" s="5" t="s">
        <v>3053</v>
      </c>
      <c r="O501" s="5" t="s">
        <v>2467</v>
      </c>
      <c r="P501" s="5" t="s">
        <v>85</v>
      </c>
      <c r="Q501" s="5" t="s">
        <v>86</v>
      </c>
      <c r="R501" s="5" t="s">
        <v>86</v>
      </c>
      <c r="T501" s="390">
        <v>3</v>
      </c>
      <c r="U501" s="5" t="s">
        <v>97</v>
      </c>
      <c r="W501" s="5" t="s">
        <v>2468</v>
      </c>
      <c r="X501" s="5" t="s">
        <v>103</v>
      </c>
      <c r="Y501" s="5" t="s">
        <v>2476</v>
      </c>
      <c r="AA501" s="5" t="s">
        <v>85</v>
      </c>
      <c r="AB501" s="5" t="s">
        <v>2469</v>
      </c>
      <c r="AC501" s="5" t="s">
        <v>2470</v>
      </c>
      <c r="AD501" s="5" t="s">
        <v>86</v>
      </c>
      <c r="AF501" s="5">
        <v>8</v>
      </c>
      <c r="AG501" s="5">
        <v>630</v>
      </c>
      <c r="AH501" s="5" t="s">
        <v>85</v>
      </c>
      <c r="AI501" s="5" t="s">
        <v>2471</v>
      </c>
      <c r="AJ501" s="5">
        <v>8</v>
      </c>
      <c r="AK501" s="5">
        <v>38</v>
      </c>
      <c r="AL501" s="5">
        <v>15</v>
      </c>
      <c r="AM501" s="5">
        <v>23</v>
      </c>
      <c r="AN501" s="5">
        <v>6</v>
      </c>
      <c r="AO501" s="5">
        <v>2</v>
      </c>
      <c r="AP501" s="5">
        <v>0</v>
      </c>
      <c r="AQ501" s="5">
        <v>0</v>
      </c>
      <c r="AT501" s="5">
        <v>0</v>
      </c>
      <c r="AU501" s="5">
        <v>0</v>
      </c>
      <c r="AX501" s="5">
        <v>0</v>
      </c>
      <c r="AY501" s="5" t="s">
        <v>85</v>
      </c>
      <c r="AZ501" s="5">
        <v>8</v>
      </c>
      <c r="BA501" s="5">
        <v>9</v>
      </c>
      <c r="BB501" s="5">
        <v>1</v>
      </c>
      <c r="BC501" s="5">
        <v>8</v>
      </c>
      <c r="BD501" s="5">
        <v>8</v>
      </c>
      <c r="BE501" s="5">
        <v>0</v>
      </c>
      <c r="BF501" s="5">
        <v>0</v>
      </c>
      <c r="BH501" s="5">
        <v>0</v>
      </c>
      <c r="BI501" s="5">
        <v>0</v>
      </c>
      <c r="BL501" s="5">
        <v>0</v>
      </c>
      <c r="BM501" s="5">
        <v>0</v>
      </c>
      <c r="BN501" s="5" t="s">
        <v>86</v>
      </c>
      <c r="CD501" s="5">
        <v>0</v>
      </c>
      <c r="CF501" s="1442" t="str">
        <f>IF([1]!sommaire[[#This Row],[présence des personnes déplacés interne]]="Oui","1","0")</f>
        <v>1</v>
      </c>
      <c r="CG501" s="1442" t="str">
        <f>IF([1]!sommaire[[#This Row],[présence Réfugié hors camp]]="Oui","1","0")</f>
        <v>1</v>
      </c>
      <c r="CH501" s="1442" t="str">
        <f>IF([1]!sommaire[[#This Row],[présence personnes retournées]]="Oui","1","0")</f>
        <v>0</v>
      </c>
      <c r="CI501" s="1442">
        <f>[1]!sommaire[[#This Row],[Flag PDI]]+[1]!sommaire[[#This Row],[Flag REF]]+[1]!sommaire[[#This Row],[Flag RET]]</f>
        <v>2</v>
      </c>
    </row>
    <row r="502" spans="1:87" ht="14.55" customHeight="1" x14ac:dyDescent="0.3">
      <c r="A502" s="390">
        <v>2753821</v>
      </c>
      <c r="B502" s="5" t="s">
        <v>533</v>
      </c>
      <c r="C502" s="1430" t="s">
        <v>3449</v>
      </c>
      <c r="D502" s="1090" t="s">
        <v>534</v>
      </c>
      <c r="E502" s="5" t="s">
        <v>31</v>
      </c>
      <c r="F502" s="5" t="s">
        <v>31</v>
      </c>
      <c r="G502" s="5" t="s">
        <v>549</v>
      </c>
      <c r="H502" s="5" t="s">
        <v>171</v>
      </c>
      <c r="I502" s="5" t="str">
        <f>_xlfn.XLOOKUP(sommaire[[#This Row],[Arrondissement_code]],OCHA_GIS!$F:$F,OCHA_GIS!$E:$E,,)</f>
        <v>Makary</v>
      </c>
      <c r="J502" s="5" t="s">
        <v>634</v>
      </c>
      <c r="K502" t="s">
        <v>820</v>
      </c>
      <c r="L502" s="5" t="s">
        <v>821</v>
      </c>
      <c r="N502" s="5" t="s">
        <v>3053</v>
      </c>
      <c r="O502" s="5" t="s">
        <v>2467</v>
      </c>
      <c r="P502" s="5" t="s">
        <v>86</v>
      </c>
      <c r="Q502" s="5" t="s">
        <v>86</v>
      </c>
      <c r="R502" s="5" t="s">
        <v>85</v>
      </c>
      <c r="U502" s="5" t="s">
        <v>97</v>
      </c>
      <c r="W502" s="5" t="s">
        <v>2468</v>
      </c>
      <c r="X502" s="5" t="s">
        <v>102</v>
      </c>
      <c r="AA502" s="5" t="s">
        <v>85</v>
      </c>
      <c r="AB502" s="5" t="s">
        <v>2469</v>
      </c>
      <c r="AC502" s="5" t="s">
        <v>2470</v>
      </c>
      <c r="AD502" s="5" t="s">
        <v>86</v>
      </c>
      <c r="AF502" s="5">
        <v>4</v>
      </c>
      <c r="AG502" s="5">
        <v>250</v>
      </c>
      <c r="AH502" s="5" t="s">
        <v>85</v>
      </c>
      <c r="AI502" s="5" t="s">
        <v>2471</v>
      </c>
      <c r="AJ502" s="5">
        <v>4</v>
      </c>
      <c r="AK502" s="5">
        <v>37</v>
      </c>
      <c r="AL502" s="5">
        <v>15</v>
      </c>
      <c r="AM502" s="5">
        <v>22</v>
      </c>
      <c r="AN502" s="5">
        <v>0</v>
      </c>
      <c r="AO502" s="5">
        <v>4</v>
      </c>
      <c r="AP502" s="5">
        <v>0</v>
      </c>
      <c r="AQ502" s="5">
        <v>0</v>
      </c>
      <c r="AT502" s="5">
        <v>0</v>
      </c>
      <c r="AU502" s="5">
        <v>0</v>
      </c>
      <c r="AX502" s="5">
        <v>0</v>
      </c>
      <c r="AY502" s="5" t="s">
        <v>86</v>
      </c>
      <c r="BN502" s="5" t="s">
        <v>86</v>
      </c>
      <c r="CD502" s="5">
        <v>0</v>
      </c>
      <c r="CF502" s="1442" t="str">
        <f>IF([1]!sommaire[[#This Row],[présence des personnes déplacés interne]]="Oui","1","0")</f>
        <v>1</v>
      </c>
      <c r="CG502" s="1442" t="str">
        <f>IF([1]!sommaire[[#This Row],[présence Réfugié hors camp]]="Oui","1","0")</f>
        <v>0</v>
      </c>
      <c r="CH502" s="1442" t="str">
        <f>IF([1]!sommaire[[#This Row],[présence personnes retournées]]="Oui","1","0")</f>
        <v>0</v>
      </c>
      <c r="CI502" s="1442">
        <f>[1]!sommaire[[#This Row],[Flag PDI]]+[1]!sommaire[[#This Row],[Flag REF]]+[1]!sommaire[[#This Row],[Flag RET]]</f>
        <v>1</v>
      </c>
    </row>
    <row r="503" spans="1:87" ht="14.55" customHeight="1" x14ac:dyDescent="0.3">
      <c r="A503" s="390">
        <v>2657643</v>
      </c>
      <c r="B503" s="5" t="s">
        <v>533</v>
      </c>
      <c r="C503" s="1430" t="s">
        <v>3449</v>
      </c>
      <c r="D503" s="1090" t="s">
        <v>534</v>
      </c>
      <c r="E503" s="5" t="s">
        <v>31</v>
      </c>
      <c r="F503" s="5" t="s">
        <v>31</v>
      </c>
      <c r="G503" s="5" t="s">
        <v>549</v>
      </c>
      <c r="H503" s="5" t="s">
        <v>171</v>
      </c>
      <c r="I503" s="5" t="str">
        <f>_xlfn.XLOOKUP(sommaire[[#This Row],[Arrondissement_code]],OCHA_GIS!$F:$F,OCHA_GIS!$E:$E,,)</f>
        <v>Makary</v>
      </c>
      <c r="J503" s="5" t="s">
        <v>634</v>
      </c>
      <c r="K503" t="s">
        <v>1978</v>
      </c>
      <c r="L503" s="5" t="s">
        <v>1979</v>
      </c>
      <c r="N503" s="5" t="s">
        <v>3053</v>
      </c>
      <c r="O503" s="5" t="s">
        <v>2467</v>
      </c>
      <c r="P503" s="5" t="s">
        <v>85</v>
      </c>
      <c r="Q503" s="5" t="s">
        <v>86</v>
      </c>
      <c r="R503" s="5" t="s">
        <v>86</v>
      </c>
      <c r="T503" s="390">
        <v>3</v>
      </c>
      <c r="U503" s="5" t="s">
        <v>97</v>
      </c>
      <c r="W503" s="5" t="s">
        <v>2468</v>
      </c>
      <c r="X503" s="5" t="s">
        <v>102</v>
      </c>
      <c r="AA503" s="5" t="s">
        <v>85</v>
      </c>
      <c r="AB503" s="5" t="s">
        <v>2469</v>
      </c>
      <c r="AC503" s="5" t="s">
        <v>2470</v>
      </c>
      <c r="AD503" s="5" t="s">
        <v>86</v>
      </c>
      <c r="AF503" s="5">
        <v>20</v>
      </c>
      <c r="AG503" s="5">
        <v>1100</v>
      </c>
      <c r="AH503" s="5" t="s">
        <v>85</v>
      </c>
      <c r="AI503" s="5" t="s">
        <v>2471</v>
      </c>
      <c r="AJ503" s="5">
        <v>20</v>
      </c>
      <c r="AK503" s="5">
        <v>123</v>
      </c>
      <c r="AL503" s="5">
        <v>53</v>
      </c>
      <c r="AM503" s="5">
        <v>70</v>
      </c>
      <c r="AN503" s="5">
        <v>0</v>
      </c>
      <c r="AO503" s="5">
        <v>20</v>
      </c>
      <c r="AP503" s="5">
        <v>0</v>
      </c>
      <c r="AQ503" s="5">
        <v>0</v>
      </c>
      <c r="AT503" s="5">
        <v>0</v>
      </c>
      <c r="AU503" s="5">
        <v>0</v>
      </c>
      <c r="AX503" s="5">
        <v>0</v>
      </c>
      <c r="AY503" s="5" t="s">
        <v>86</v>
      </c>
      <c r="BN503" s="5" t="s">
        <v>86</v>
      </c>
      <c r="CD503" s="5">
        <v>0</v>
      </c>
      <c r="CF503" s="1442" t="str">
        <f>IF([1]!sommaire[[#This Row],[présence des personnes déplacés interne]]="Oui","1","0")</f>
        <v>1</v>
      </c>
      <c r="CG503" s="1442" t="str">
        <f>IF([1]!sommaire[[#This Row],[présence Réfugié hors camp]]="Oui","1","0")</f>
        <v>0</v>
      </c>
      <c r="CH503" s="1442" t="str">
        <f>IF([1]!sommaire[[#This Row],[présence personnes retournées]]="Oui","1","0")</f>
        <v>0</v>
      </c>
      <c r="CI503" s="1442">
        <f>[1]!sommaire[[#This Row],[Flag PDI]]+[1]!sommaire[[#This Row],[Flag REF]]+[1]!sommaire[[#This Row],[Flag RET]]</f>
        <v>1</v>
      </c>
    </row>
    <row r="504" spans="1:87" ht="14.55" customHeight="1" x14ac:dyDescent="0.3">
      <c r="A504" s="390">
        <v>2631825</v>
      </c>
      <c r="B504" s="5" t="s">
        <v>533</v>
      </c>
      <c r="C504" s="1430" t="s">
        <v>3449</v>
      </c>
      <c r="D504" s="1090" t="s">
        <v>534</v>
      </c>
      <c r="E504" s="5" t="s">
        <v>31</v>
      </c>
      <c r="F504" s="5" t="s">
        <v>31</v>
      </c>
      <c r="G504" s="5" t="s">
        <v>549</v>
      </c>
      <c r="H504" s="5" t="s">
        <v>171</v>
      </c>
      <c r="I504" s="5" t="str">
        <f>_xlfn.XLOOKUP(sommaire[[#This Row],[Arrondissement_code]],OCHA_GIS!$F:$F,OCHA_GIS!$E:$E,,)</f>
        <v>Makary</v>
      </c>
      <c r="J504" s="5" t="s">
        <v>634</v>
      </c>
      <c r="K504" t="s">
        <v>2036</v>
      </c>
      <c r="L504" s="5" t="s">
        <v>2607</v>
      </c>
      <c r="N504" s="5" t="s">
        <v>3053</v>
      </c>
      <c r="O504" s="5" t="s">
        <v>2467</v>
      </c>
      <c r="P504" s="5" t="s">
        <v>86</v>
      </c>
      <c r="Q504" s="5" t="s">
        <v>86</v>
      </c>
      <c r="R504" s="5" t="s">
        <v>85</v>
      </c>
      <c r="U504" s="5" t="s">
        <v>97</v>
      </c>
      <c r="W504" s="5" t="s">
        <v>2482</v>
      </c>
      <c r="AA504" s="5" t="s">
        <v>86</v>
      </c>
      <c r="AH504" s="1430" t="s">
        <v>86</v>
      </c>
      <c r="AY504" s="1430" t="s">
        <v>86</v>
      </c>
      <c r="BN504" s="1430" t="s">
        <v>86</v>
      </c>
      <c r="CF504" s="1442" t="str">
        <f>IF([1]!sommaire[[#This Row],[présence des personnes déplacés interne]]="Oui","1","0")</f>
        <v>0</v>
      </c>
      <c r="CG504" s="1442" t="str">
        <f>IF([1]!sommaire[[#This Row],[présence Réfugié hors camp]]="Oui","1","0")</f>
        <v>0</v>
      </c>
      <c r="CH504" s="1442" t="str">
        <f>IF([1]!sommaire[[#This Row],[présence personnes retournées]]="Oui","1","0")</f>
        <v>0</v>
      </c>
      <c r="CI504" s="1442">
        <f>[1]!sommaire[[#This Row],[Flag PDI]]+[1]!sommaire[[#This Row],[Flag REF]]+[1]!sommaire[[#This Row],[Flag RET]]</f>
        <v>0</v>
      </c>
    </row>
    <row r="505" spans="1:87" ht="14.55" customHeight="1" x14ac:dyDescent="0.3">
      <c r="A505" s="390">
        <v>2631801</v>
      </c>
      <c r="B505" s="5" t="s">
        <v>533</v>
      </c>
      <c r="C505" s="1430" t="s">
        <v>3449</v>
      </c>
      <c r="D505" s="1090" t="s">
        <v>534</v>
      </c>
      <c r="E505" s="5" t="s">
        <v>31</v>
      </c>
      <c r="F505" s="5" t="s">
        <v>31</v>
      </c>
      <c r="G505" s="5" t="s">
        <v>549</v>
      </c>
      <c r="H505" s="5" t="s">
        <v>171</v>
      </c>
      <c r="I505" s="5" t="str">
        <f>_xlfn.XLOOKUP(sommaire[[#This Row],[Arrondissement_code]],OCHA_GIS!$F:$F,OCHA_GIS!$E:$E,,)</f>
        <v>Makary</v>
      </c>
      <c r="J505" s="5" t="s">
        <v>634</v>
      </c>
      <c r="K505" t="s">
        <v>2818</v>
      </c>
      <c r="L505" s="5" t="s">
        <v>2636</v>
      </c>
      <c r="N505" s="5" t="s">
        <v>3053</v>
      </c>
      <c r="O505" s="5" t="s">
        <v>2467</v>
      </c>
      <c r="P505" s="5" t="s">
        <v>86</v>
      </c>
      <c r="Q505" s="5" t="s">
        <v>86</v>
      </c>
      <c r="R505" s="5" t="s">
        <v>85</v>
      </c>
      <c r="U505" s="5" t="s">
        <v>100</v>
      </c>
      <c r="W505" s="5" t="s">
        <v>2482</v>
      </c>
      <c r="AA505" s="5" t="s">
        <v>86</v>
      </c>
      <c r="AH505" s="1430" t="s">
        <v>86</v>
      </c>
      <c r="AY505" s="1430" t="s">
        <v>86</v>
      </c>
      <c r="BN505" s="1430" t="s">
        <v>86</v>
      </c>
      <c r="CF505" s="1442" t="str">
        <f>IF([1]!sommaire[[#This Row],[présence des personnes déplacés interne]]="Oui","1","0")</f>
        <v>0</v>
      </c>
      <c r="CG505" s="1442" t="str">
        <f>IF([1]!sommaire[[#This Row],[présence Réfugié hors camp]]="Oui","1","0")</f>
        <v>0</v>
      </c>
      <c r="CH505" s="1442" t="str">
        <f>IF([1]!sommaire[[#This Row],[présence personnes retournées]]="Oui","1","0")</f>
        <v>0</v>
      </c>
      <c r="CI505" s="1442">
        <f>[1]!sommaire[[#This Row],[Flag PDI]]+[1]!sommaire[[#This Row],[Flag REF]]+[1]!sommaire[[#This Row],[Flag RET]]</f>
        <v>0</v>
      </c>
    </row>
    <row r="506" spans="1:87" ht="14.55" customHeight="1" x14ac:dyDescent="0.3">
      <c r="A506" s="390">
        <v>2669132</v>
      </c>
      <c r="B506" s="5" t="s">
        <v>533</v>
      </c>
      <c r="C506" s="1430" t="s">
        <v>3449</v>
      </c>
      <c r="D506" s="1090" t="s">
        <v>534</v>
      </c>
      <c r="E506" s="5" t="s">
        <v>31</v>
      </c>
      <c r="F506" s="5" t="s">
        <v>31</v>
      </c>
      <c r="G506" s="5" t="s">
        <v>549</v>
      </c>
      <c r="H506" s="5" t="s">
        <v>171</v>
      </c>
      <c r="I506" s="5" t="str">
        <f>_xlfn.XLOOKUP(sommaire[[#This Row],[Arrondissement_code]],OCHA_GIS!$F:$F,OCHA_GIS!$E:$E,,)</f>
        <v>Makary</v>
      </c>
      <c r="J506" s="5" t="s">
        <v>634</v>
      </c>
      <c r="K506" t="s">
        <v>1984</v>
      </c>
      <c r="L506" s="5" t="s">
        <v>858</v>
      </c>
      <c r="N506" s="5" t="s">
        <v>3053</v>
      </c>
      <c r="O506" s="5" t="s">
        <v>2467</v>
      </c>
      <c r="P506" s="5" t="s">
        <v>85</v>
      </c>
      <c r="Q506" s="5" t="s">
        <v>86</v>
      </c>
      <c r="R506" s="5" t="s">
        <v>86</v>
      </c>
      <c r="T506" s="390">
        <v>3</v>
      </c>
      <c r="U506" s="5" t="s">
        <v>97</v>
      </c>
      <c r="W506" s="5" t="s">
        <v>2468</v>
      </c>
      <c r="X506" s="5" t="s">
        <v>102</v>
      </c>
      <c r="AA506" s="5" t="s">
        <v>85</v>
      </c>
      <c r="AB506" s="5" t="s">
        <v>2469</v>
      </c>
      <c r="AC506" s="5" t="s">
        <v>2470</v>
      </c>
      <c r="AD506" s="5" t="s">
        <v>86</v>
      </c>
      <c r="AF506" s="5">
        <v>6</v>
      </c>
      <c r="AG506" s="5">
        <v>165</v>
      </c>
      <c r="AH506" s="5" t="s">
        <v>85</v>
      </c>
      <c r="AI506" s="5" t="s">
        <v>2471</v>
      </c>
      <c r="AJ506" s="5">
        <v>6</v>
      </c>
      <c r="AK506" s="5">
        <v>28</v>
      </c>
      <c r="AL506" s="5">
        <v>15</v>
      </c>
      <c r="AM506" s="5">
        <v>13</v>
      </c>
      <c r="AN506" s="5">
        <v>0</v>
      </c>
      <c r="AO506" s="5">
        <v>6</v>
      </c>
      <c r="AP506" s="5">
        <v>0</v>
      </c>
      <c r="AQ506" s="5">
        <v>0</v>
      </c>
      <c r="AT506" s="5">
        <v>0</v>
      </c>
      <c r="AU506" s="5">
        <v>0</v>
      </c>
      <c r="AX506" s="5">
        <v>0</v>
      </c>
      <c r="AY506" s="5" t="s">
        <v>85</v>
      </c>
      <c r="AZ506" s="5">
        <v>9</v>
      </c>
      <c r="BA506" s="5">
        <v>41</v>
      </c>
      <c r="BB506" s="5">
        <v>18</v>
      </c>
      <c r="BC506" s="5">
        <v>23</v>
      </c>
      <c r="BD506" s="5">
        <v>9</v>
      </c>
      <c r="BE506" s="5">
        <v>0</v>
      </c>
      <c r="BF506" s="5">
        <v>0</v>
      </c>
      <c r="BH506" s="5">
        <v>0</v>
      </c>
      <c r="BI506" s="5">
        <v>0</v>
      </c>
      <c r="BL506" s="5">
        <v>0</v>
      </c>
      <c r="BM506" s="5">
        <v>0</v>
      </c>
      <c r="BN506" s="5" t="s">
        <v>86</v>
      </c>
      <c r="CD506" s="5">
        <v>0</v>
      </c>
      <c r="CF506" s="1442" t="str">
        <f>IF([1]!sommaire[[#This Row],[présence des personnes déplacés interne]]="Oui","1","0")</f>
        <v>1</v>
      </c>
      <c r="CG506" s="1442" t="str">
        <f>IF([1]!sommaire[[#This Row],[présence Réfugié hors camp]]="Oui","1","0")</f>
        <v>1</v>
      </c>
      <c r="CH506" s="1442" t="str">
        <f>IF([1]!sommaire[[#This Row],[présence personnes retournées]]="Oui","1","0")</f>
        <v>0</v>
      </c>
      <c r="CI506" s="1442">
        <f>[1]!sommaire[[#This Row],[Flag PDI]]+[1]!sommaire[[#This Row],[Flag REF]]+[1]!sommaire[[#This Row],[Flag RET]]</f>
        <v>2</v>
      </c>
    </row>
    <row r="507" spans="1:87" ht="14.55" customHeight="1" x14ac:dyDescent="0.3">
      <c r="A507" s="390">
        <v>2627132</v>
      </c>
      <c r="B507" s="5" t="s">
        <v>533</v>
      </c>
      <c r="C507" s="1430" t="s">
        <v>3449</v>
      </c>
      <c r="D507" s="1090" t="s">
        <v>534</v>
      </c>
      <c r="E507" s="5" t="s">
        <v>31</v>
      </c>
      <c r="F507" s="5" t="s">
        <v>31</v>
      </c>
      <c r="G507" s="5" t="s">
        <v>549</v>
      </c>
      <c r="H507" s="5" t="s">
        <v>171</v>
      </c>
      <c r="I507" s="5" t="str">
        <f>_xlfn.XLOOKUP(sommaire[[#This Row],[Arrondissement_code]],OCHA_GIS!$F:$F,OCHA_GIS!$E:$E,,)</f>
        <v>Makary</v>
      </c>
      <c r="J507" s="5" t="s">
        <v>634</v>
      </c>
      <c r="K507" t="s">
        <v>1147</v>
      </c>
      <c r="L507" s="5" t="s">
        <v>1148</v>
      </c>
      <c r="N507" s="5" t="s">
        <v>3053</v>
      </c>
      <c r="O507" s="5" t="s">
        <v>2467</v>
      </c>
      <c r="P507" s="5" t="s">
        <v>85</v>
      </c>
      <c r="Q507" s="5" t="s">
        <v>86</v>
      </c>
      <c r="R507" s="5" t="s">
        <v>86</v>
      </c>
      <c r="T507" s="390">
        <v>3</v>
      </c>
      <c r="U507" s="5" t="s">
        <v>97</v>
      </c>
      <c r="W507" s="5" t="s">
        <v>2468</v>
      </c>
      <c r="X507" s="5" t="s">
        <v>102</v>
      </c>
      <c r="AA507" s="5" t="s">
        <v>85</v>
      </c>
      <c r="AB507" s="5" t="s">
        <v>2469</v>
      </c>
      <c r="AC507" s="5" t="s">
        <v>2470</v>
      </c>
      <c r="AD507" s="5" t="s">
        <v>86</v>
      </c>
      <c r="AF507" s="5">
        <v>86</v>
      </c>
      <c r="AG507" s="5">
        <v>14534</v>
      </c>
      <c r="AH507" s="5" t="s">
        <v>85</v>
      </c>
      <c r="AI507" s="5" t="s">
        <v>2471</v>
      </c>
      <c r="AJ507" s="5">
        <v>86</v>
      </c>
      <c r="AK507" s="5">
        <v>300</v>
      </c>
      <c r="AL507" s="5">
        <v>200</v>
      </c>
      <c r="AM507" s="5">
        <v>100</v>
      </c>
      <c r="AN507" s="5">
        <v>0</v>
      </c>
      <c r="AO507" s="5">
        <v>86</v>
      </c>
      <c r="AP507" s="5">
        <v>0</v>
      </c>
      <c r="AQ507" s="5">
        <v>0</v>
      </c>
      <c r="AT507" s="5">
        <v>0</v>
      </c>
      <c r="AU507" s="5">
        <v>0</v>
      </c>
      <c r="AX507" s="5">
        <v>0</v>
      </c>
      <c r="AY507" s="5" t="s">
        <v>85</v>
      </c>
      <c r="AZ507" s="5">
        <v>95</v>
      </c>
      <c r="BA507" s="5">
        <v>845</v>
      </c>
      <c r="BB507" s="5">
        <v>600</v>
      </c>
      <c r="BC507" s="5">
        <v>245</v>
      </c>
      <c r="BD507" s="5">
        <v>95</v>
      </c>
      <c r="BE507" s="5">
        <v>0</v>
      </c>
      <c r="BF507" s="5">
        <v>0</v>
      </c>
      <c r="BH507" s="5">
        <v>0</v>
      </c>
      <c r="BI507" s="5">
        <v>0</v>
      </c>
      <c r="BL507" s="5">
        <v>0</v>
      </c>
      <c r="BM507" s="5">
        <v>0</v>
      </c>
      <c r="BN507" s="5" t="s">
        <v>85</v>
      </c>
      <c r="BO507" s="5">
        <v>6</v>
      </c>
      <c r="BP507" s="5">
        <v>30</v>
      </c>
      <c r="BQ507" s="5">
        <v>20</v>
      </c>
      <c r="BR507" s="5">
        <v>10</v>
      </c>
      <c r="BS507" s="5" t="s">
        <v>2535</v>
      </c>
      <c r="BT507" s="5">
        <v>0</v>
      </c>
      <c r="BU507" s="5">
        <v>6</v>
      </c>
      <c r="BV507" s="5">
        <v>0</v>
      </c>
      <c r="BW507" s="5">
        <v>0</v>
      </c>
      <c r="BX507" s="5">
        <v>0</v>
      </c>
      <c r="BZ507" s="5">
        <v>0</v>
      </c>
      <c r="CA507" s="5">
        <v>0</v>
      </c>
      <c r="CC507" s="5">
        <v>0</v>
      </c>
      <c r="CD507" s="5">
        <v>0</v>
      </c>
      <c r="CF507" s="1442" t="str">
        <f>IF([1]!sommaire[[#This Row],[présence des personnes déplacés interne]]="Oui","1","0")</f>
        <v>1</v>
      </c>
      <c r="CG507" s="1442" t="str">
        <f>IF([1]!sommaire[[#This Row],[présence Réfugié hors camp]]="Oui","1","0")</f>
        <v>1</v>
      </c>
      <c r="CH507" s="1442" t="str">
        <f>IF([1]!sommaire[[#This Row],[présence personnes retournées]]="Oui","1","0")</f>
        <v>1</v>
      </c>
      <c r="CI507" s="1442">
        <f>[1]!sommaire[[#This Row],[Flag PDI]]+[1]!sommaire[[#This Row],[Flag REF]]+[1]!sommaire[[#This Row],[Flag RET]]</f>
        <v>3</v>
      </c>
    </row>
    <row r="508" spans="1:87" ht="14.55" customHeight="1" x14ac:dyDescent="0.3">
      <c r="A508" s="390">
        <v>2604285</v>
      </c>
      <c r="B508" s="5" t="s">
        <v>533</v>
      </c>
      <c r="C508" s="1430" t="s">
        <v>3449</v>
      </c>
      <c r="D508" s="1090" t="s">
        <v>534</v>
      </c>
      <c r="E508" s="5" t="s">
        <v>31</v>
      </c>
      <c r="F508" s="5" t="s">
        <v>31</v>
      </c>
      <c r="G508" s="5" t="s">
        <v>549</v>
      </c>
      <c r="H508" s="5" t="s">
        <v>171</v>
      </c>
      <c r="I508" s="5" t="str">
        <f>_xlfn.XLOOKUP(sommaire[[#This Row],[Arrondissement_code]],OCHA_GIS!$F:$F,OCHA_GIS!$E:$E,,)</f>
        <v>Makary</v>
      </c>
      <c r="J508" s="5" t="s">
        <v>634</v>
      </c>
      <c r="K508" t="s">
        <v>2820</v>
      </c>
      <c r="L508" s="5" t="s">
        <v>1288</v>
      </c>
      <c r="N508" s="5" t="s">
        <v>3053</v>
      </c>
      <c r="O508" s="5" t="s">
        <v>2467</v>
      </c>
      <c r="P508" s="5" t="s">
        <v>85</v>
      </c>
      <c r="Q508" s="5" t="s">
        <v>86</v>
      </c>
      <c r="R508" s="5" t="s">
        <v>86</v>
      </c>
      <c r="T508" s="390">
        <v>3</v>
      </c>
      <c r="U508" s="5" t="s">
        <v>97</v>
      </c>
      <c r="W508" s="5" t="s">
        <v>2468</v>
      </c>
      <c r="X508" s="5" t="s">
        <v>102</v>
      </c>
      <c r="AA508" s="5" t="s">
        <v>85</v>
      </c>
      <c r="AB508" s="5" t="s">
        <v>2469</v>
      </c>
      <c r="AC508" s="5" t="s">
        <v>2470</v>
      </c>
      <c r="AD508" s="5" t="s">
        <v>86</v>
      </c>
      <c r="AF508" s="5">
        <v>12</v>
      </c>
      <c r="AG508" s="5">
        <v>1301</v>
      </c>
      <c r="AH508" s="5" t="s">
        <v>85</v>
      </c>
      <c r="AI508" s="5" t="s">
        <v>2471</v>
      </c>
      <c r="AJ508" s="5">
        <v>12</v>
      </c>
      <c r="AK508" s="5">
        <v>89</v>
      </c>
      <c r="AL508" s="5">
        <v>36</v>
      </c>
      <c r="AM508" s="5">
        <v>53</v>
      </c>
      <c r="AN508" s="5">
        <v>0</v>
      </c>
      <c r="AO508" s="5">
        <v>12</v>
      </c>
      <c r="AP508" s="5">
        <v>0</v>
      </c>
      <c r="AQ508" s="5">
        <v>0</v>
      </c>
      <c r="AT508" s="5">
        <v>0</v>
      </c>
      <c r="AU508" s="5">
        <v>0</v>
      </c>
      <c r="AX508" s="5">
        <v>0</v>
      </c>
      <c r="AY508" s="5" t="s">
        <v>86</v>
      </c>
      <c r="BN508" s="5" t="s">
        <v>86</v>
      </c>
      <c r="CD508" s="5">
        <v>0</v>
      </c>
      <c r="CF508" s="1442" t="str">
        <f>IF([1]!sommaire[[#This Row],[présence des personnes déplacés interne]]="Oui","1","0")</f>
        <v>1</v>
      </c>
      <c r="CG508" s="1442" t="str">
        <f>IF([1]!sommaire[[#This Row],[présence Réfugié hors camp]]="Oui","1","0")</f>
        <v>0</v>
      </c>
      <c r="CH508" s="1442" t="str">
        <f>IF([1]!sommaire[[#This Row],[présence personnes retournées]]="Oui","1","0")</f>
        <v>0</v>
      </c>
      <c r="CI508" s="1442">
        <f>[1]!sommaire[[#This Row],[Flag PDI]]+[1]!sommaire[[#This Row],[Flag REF]]+[1]!sommaire[[#This Row],[Flag RET]]</f>
        <v>1</v>
      </c>
    </row>
    <row r="509" spans="1:87" ht="14.55" customHeight="1" x14ac:dyDescent="0.3">
      <c r="A509" s="390">
        <v>2657860</v>
      </c>
      <c r="B509" s="5" t="s">
        <v>533</v>
      </c>
      <c r="C509" s="1430" t="s">
        <v>3449</v>
      </c>
      <c r="D509" s="5" t="s">
        <v>534</v>
      </c>
      <c r="E509" s="5" t="s">
        <v>31</v>
      </c>
      <c r="F509" s="5" t="s">
        <v>31</v>
      </c>
      <c r="G509" s="5" t="s">
        <v>549</v>
      </c>
      <c r="H509" s="5" t="s">
        <v>171</v>
      </c>
      <c r="I509" s="5" t="str">
        <f>_xlfn.XLOOKUP(sommaire[[#This Row],[Arrondissement_code]],OCHA_GIS!$F:$F,OCHA_GIS!$E:$E,,)</f>
        <v>Makary</v>
      </c>
      <c r="J509" s="5" t="s">
        <v>634</v>
      </c>
      <c r="K509" t="s">
        <v>889</v>
      </c>
      <c r="L509" s="5" t="s">
        <v>925</v>
      </c>
      <c r="N509" s="5" t="s">
        <v>3053</v>
      </c>
      <c r="O509" s="5" t="s">
        <v>2467</v>
      </c>
      <c r="P509" s="5" t="s">
        <v>85</v>
      </c>
      <c r="Q509" s="5" t="s">
        <v>86</v>
      </c>
      <c r="R509" s="5" t="s">
        <v>86</v>
      </c>
      <c r="T509" s="390">
        <v>3</v>
      </c>
      <c r="U509" s="5" t="s">
        <v>97</v>
      </c>
      <c r="W509" s="5" t="s">
        <v>2468</v>
      </c>
      <c r="X509" s="5" t="s">
        <v>102</v>
      </c>
      <c r="AA509" s="5" t="s">
        <v>85</v>
      </c>
      <c r="AB509" s="5" t="s">
        <v>2469</v>
      </c>
      <c r="AC509" s="5" t="s">
        <v>2470</v>
      </c>
      <c r="AD509" s="5" t="s">
        <v>86</v>
      </c>
      <c r="AF509" s="5">
        <v>38</v>
      </c>
      <c r="AG509" s="5">
        <v>959</v>
      </c>
      <c r="AH509" s="5" t="s">
        <v>85</v>
      </c>
      <c r="AI509" s="5" t="s">
        <v>2471</v>
      </c>
      <c r="AJ509" s="5">
        <v>38</v>
      </c>
      <c r="AK509" s="5">
        <v>135</v>
      </c>
      <c r="AL509" s="5">
        <v>52</v>
      </c>
      <c r="AM509" s="5">
        <v>83</v>
      </c>
      <c r="AN509" s="5">
        <v>0</v>
      </c>
      <c r="AO509" s="5">
        <v>38</v>
      </c>
      <c r="AP509" s="5">
        <v>0</v>
      </c>
      <c r="AQ509" s="5">
        <v>0</v>
      </c>
      <c r="AT509" s="5">
        <v>0</v>
      </c>
      <c r="AU509" s="5">
        <v>0</v>
      </c>
      <c r="AX509" s="5">
        <v>0</v>
      </c>
      <c r="AY509" s="5" t="s">
        <v>86</v>
      </c>
      <c r="BN509" s="5" t="s">
        <v>86</v>
      </c>
      <c r="CD509" s="5">
        <v>0</v>
      </c>
      <c r="CF509" s="1442" t="str">
        <f>IF([1]!sommaire[[#This Row],[présence des personnes déplacés interne]]="Oui","1","0")</f>
        <v>1</v>
      </c>
      <c r="CG509" s="1442" t="str">
        <f>IF([1]!sommaire[[#This Row],[présence Réfugié hors camp]]="Oui","1","0")</f>
        <v>0</v>
      </c>
      <c r="CH509" s="1442" t="str">
        <f>IF([1]!sommaire[[#This Row],[présence personnes retournées]]="Oui","1","0")</f>
        <v>0</v>
      </c>
      <c r="CI509" s="1442">
        <f>[1]!sommaire[[#This Row],[Flag PDI]]+[1]!sommaire[[#This Row],[Flag REF]]+[1]!sommaire[[#This Row],[Flag RET]]</f>
        <v>1</v>
      </c>
    </row>
    <row r="510" spans="1:87" ht="14.55" customHeight="1" x14ac:dyDescent="0.3">
      <c r="A510" s="390">
        <v>2625727</v>
      </c>
      <c r="B510" s="5" t="s">
        <v>533</v>
      </c>
      <c r="C510" s="1430" t="s">
        <v>3449</v>
      </c>
      <c r="D510" s="1090" t="s">
        <v>534</v>
      </c>
      <c r="E510" s="5" t="s">
        <v>31</v>
      </c>
      <c r="F510" s="5" t="s">
        <v>31</v>
      </c>
      <c r="G510" s="5" t="s">
        <v>549</v>
      </c>
      <c r="H510" s="1090" t="s">
        <v>171</v>
      </c>
      <c r="I510" s="1090" t="str">
        <f>_xlfn.XLOOKUP(sommaire[[#This Row],[Arrondissement_code]],OCHA_GIS!$F:$F,OCHA_GIS!$E:$E,,)</f>
        <v>Makary</v>
      </c>
      <c r="J510" s="5" t="s">
        <v>634</v>
      </c>
      <c r="K510" t="s">
        <v>2823</v>
      </c>
      <c r="L510" s="5" t="s">
        <v>1277</v>
      </c>
      <c r="N510" s="5" t="s">
        <v>3053</v>
      </c>
      <c r="O510" s="5" t="s">
        <v>2467</v>
      </c>
      <c r="P510" s="5" t="s">
        <v>85</v>
      </c>
      <c r="Q510" s="5" t="s">
        <v>86</v>
      </c>
      <c r="R510" s="5" t="s">
        <v>86</v>
      </c>
      <c r="T510" s="390">
        <v>3</v>
      </c>
      <c r="U510" s="5" t="s">
        <v>97</v>
      </c>
      <c r="W510" s="5" t="s">
        <v>2468</v>
      </c>
      <c r="X510" s="5" t="s">
        <v>102</v>
      </c>
      <c r="AA510" s="5" t="s">
        <v>85</v>
      </c>
      <c r="AB510" s="5" t="s">
        <v>2469</v>
      </c>
      <c r="AC510" s="5" t="s">
        <v>2470</v>
      </c>
      <c r="AD510" s="5" t="s">
        <v>86</v>
      </c>
      <c r="AF510" s="5">
        <v>7</v>
      </c>
      <c r="AG510" s="5">
        <v>250</v>
      </c>
      <c r="AH510" s="5" t="s">
        <v>85</v>
      </c>
      <c r="AI510" s="5" t="s">
        <v>2471</v>
      </c>
      <c r="AJ510" s="5">
        <v>7</v>
      </c>
      <c r="AK510" s="5">
        <v>20</v>
      </c>
      <c r="AL510" s="5">
        <v>15</v>
      </c>
      <c r="AM510" s="5">
        <v>5</v>
      </c>
      <c r="AN510" s="5">
        <v>0</v>
      </c>
      <c r="AO510" s="5">
        <v>7</v>
      </c>
      <c r="AP510" s="5">
        <v>0</v>
      </c>
      <c r="AQ510" s="5">
        <v>0</v>
      </c>
      <c r="AT510" s="5">
        <v>0</v>
      </c>
      <c r="AU510" s="5">
        <v>0</v>
      </c>
      <c r="AX510" s="5">
        <v>0</v>
      </c>
      <c r="AY510" s="5" t="s">
        <v>86</v>
      </c>
      <c r="BN510" s="5" t="s">
        <v>86</v>
      </c>
      <c r="CD510" s="5">
        <v>0</v>
      </c>
      <c r="CF510" s="1442" t="str">
        <f>IF([1]!sommaire[[#This Row],[présence des personnes déplacés interne]]="Oui","1","0")</f>
        <v>1</v>
      </c>
      <c r="CG510" s="1442" t="str">
        <f>IF([1]!sommaire[[#This Row],[présence Réfugié hors camp]]="Oui","1","0")</f>
        <v>0</v>
      </c>
      <c r="CH510" s="1442" t="str">
        <f>IF([1]!sommaire[[#This Row],[présence personnes retournées]]="Oui","1","0")</f>
        <v>0</v>
      </c>
      <c r="CI510" s="1442">
        <f>[1]!sommaire[[#This Row],[Flag PDI]]+[1]!sommaire[[#This Row],[Flag REF]]+[1]!sommaire[[#This Row],[Flag RET]]</f>
        <v>1</v>
      </c>
    </row>
    <row r="511" spans="1:87" ht="14.55" customHeight="1" x14ac:dyDescent="0.3">
      <c r="A511" s="390">
        <v>2670834</v>
      </c>
      <c r="B511" s="5" t="s">
        <v>533</v>
      </c>
      <c r="C511" s="1430" t="s">
        <v>3449</v>
      </c>
      <c r="D511" s="1090" t="s">
        <v>534</v>
      </c>
      <c r="E511" s="5" t="s">
        <v>31</v>
      </c>
      <c r="F511" s="5" t="s">
        <v>31</v>
      </c>
      <c r="G511" s="5" t="s">
        <v>549</v>
      </c>
      <c r="H511" s="1090" t="s">
        <v>171</v>
      </c>
      <c r="I511" s="1090" t="str">
        <f>_xlfn.XLOOKUP(sommaire[[#This Row],[Arrondissement_code]],OCHA_GIS!$F:$F,OCHA_GIS!$E:$E,,)</f>
        <v>Makary</v>
      </c>
      <c r="J511" s="5" t="s">
        <v>634</v>
      </c>
      <c r="K511" t="s">
        <v>1276</v>
      </c>
      <c r="L511" s="5" t="s">
        <v>1897</v>
      </c>
      <c r="N511" s="5" t="s">
        <v>3053</v>
      </c>
      <c r="O511" s="5" t="s">
        <v>2467</v>
      </c>
      <c r="P511" s="5" t="s">
        <v>85</v>
      </c>
      <c r="Q511" s="5" t="s">
        <v>86</v>
      </c>
      <c r="R511" s="5" t="s">
        <v>86</v>
      </c>
      <c r="T511" s="390">
        <v>3</v>
      </c>
      <c r="U511" s="5" t="s">
        <v>97</v>
      </c>
      <c r="W511" s="5" t="s">
        <v>2468</v>
      </c>
      <c r="X511" s="5" t="s">
        <v>103</v>
      </c>
      <c r="Y511" s="5" t="s">
        <v>2476</v>
      </c>
      <c r="AA511" s="5" t="s">
        <v>85</v>
      </c>
      <c r="AB511" s="5" t="s">
        <v>2469</v>
      </c>
      <c r="AC511" s="5" t="s">
        <v>2470</v>
      </c>
      <c r="AD511" s="5" t="s">
        <v>86</v>
      </c>
      <c r="AF511" s="5">
        <v>14</v>
      </c>
      <c r="AG511" s="5">
        <v>862</v>
      </c>
      <c r="AH511" s="5" t="s">
        <v>85</v>
      </c>
      <c r="AI511" s="5" t="s">
        <v>2471</v>
      </c>
      <c r="AJ511" s="5">
        <v>14</v>
      </c>
      <c r="AK511" s="5">
        <v>70</v>
      </c>
      <c r="AL511" s="5">
        <v>27</v>
      </c>
      <c r="AM511" s="5">
        <v>43</v>
      </c>
      <c r="AN511" s="5">
        <v>3</v>
      </c>
      <c r="AO511" s="5">
        <v>11</v>
      </c>
      <c r="AP511" s="5">
        <v>0</v>
      </c>
      <c r="AQ511" s="5">
        <v>0</v>
      </c>
      <c r="AT511" s="5">
        <v>0</v>
      </c>
      <c r="AU511" s="5">
        <v>0</v>
      </c>
      <c r="AX511" s="5">
        <v>0</v>
      </c>
      <c r="AY511" s="5" t="s">
        <v>85</v>
      </c>
      <c r="AZ511" s="5">
        <v>51</v>
      </c>
      <c r="BA511" s="5">
        <v>431</v>
      </c>
      <c r="BB511" s="5">
        <v>199</v>
      </c>
      <c r="BC511" s="5">
        <v>232</v>
      </c>
      <c r="BD511" s="5">
        <v>51</v>
      </c>
      <c r="BE511" s="5">
        <v>0</v>
      </c>
      <c r="BF511" s="5">
        <v>0</v>
      </c>
      <c r="BH511" s="5">
        <v>0</v>
      </c>
      <c r="BI511" s="5">
        <v>0</v>
      </c>
      <c r="BL511" s="5">
        <v>0</v>
      </c>
      <c r="BM511" s="5">
        <v>0</v>
      </c>
      <c r="BN511" s="5" t="s">
        <v>86</v>
      </c>
      <c r="CD511" s="5">
        <v>0</v>
      </c>
      <c r="CF511" s="1442" t="str">
        <f>IF([1]!sommaire[[#This Row],[présence des personnes déplacés interne]]="Oui","1","0")</f>
        <v>1</v>
      </c>
      <c r="CG511" s="1442" t="str">
        <f>IF([1]!sommaire[[#This Row],[présence Réfugié hors camp]]="Oui","1","0")</f>
        <v>1</v>
      </c>
      <c r="CH511" s="1442" t="str">
        <f>IF([1]!sommaire[[#This Row],[présence personnes retournées]]="Oui","1","0")</f>
        <v>0</v>
      </c>
      <c r="CI511" s="1442">
        <f>[1]!sommaire[[#This Row],[Flag PDI]]+[1]!sommaire[[#This Row],[Flag REF]]+[1]!sommaire[[#This Row],[Flag RET]]</f>
        <v>2</v>
      </c>
    </row>
    <row r="512" spans="1:87" ht="14.55" customHeight="1" x14ac:dyDescent="0.3">
      <c r="A512" s="390">
        <v>2631795</v>
      </c>
      <c r="B512" s="5" t="s">
        <v>533</v>
      </c>
      <c r="C512" s="1430" t="s">
        <v>3449</v>
      </c>
      <c r="D512" s="1090" t="s">
        <v>534</v>
      </c>
      <c r="E512" s="5" t="s">
        <v>31</v>
      </c>
      <c r="F512" s="5" t="s">
        <v>31</v>
      </c>
      <c r="G512" s="5" t="s">
        <v>549</v>
      </c>
      <c r="H512" s="1090" t="s">
        <v>171</v>
      </c>
      <c r="I512" s="1090" t="str">
        <f>_xlfn.XLOOKUP(sommaire[[#This Row],[Arrondissement_code]],OCHA_GIS!$F:$F,OCHA_GIS!$E:$E,,)</f>
        <v>Makary</v>
      </c>
      <c r="J512" s="5" t="s">
        <v>634</v>
      </c>
      <c r="K512" t="s">
        <v>2826</v>
      </c>
      <c r="L512" s="5" t="s">
        <v>2201</v>
      </c>
      <c r="N512" s="5" t="s">
        <v>3053</v>
      </c>
      <c r="O512" s="5" t="s">
        <v>2467</v>
      </c>
      <c r="P512" s="5" t="s">
        <v>85</v>
      </c>
      <c r="Q512" s="5" t="s">
        <v>86</v>
      </c>
      <c r="R512" s="5" t="s">
        <v>86</v>
      </c>
      <c r="T512" s="390">
        <v>3</v>
      </c>
      <c r="U512" s="5" t="s">
        <v>97</v>
      </c>
      <c r="W512" s="5" t="s">
        <v>2468</v>
      </c>
      <c r="X512" s="5" t="s">
        <v>102</v>
      </c>
      <c r="AA512" s="5" t="s">
        <v>85</v>
      </c>
      <c r="AB512" s="5" t="s">
        <v>2469</v>
      </c>
      <c r="AC512" s="5" t="s">
        <v>2470</v>
      </c>
      <c r="AD512" s="5" t="s">
        <v>86</v>
      </c>
      <c r="AG512" s="5">
        <v>907</v>
      </c>
      <c r="AH512" s="5" t="s">
        <v>86</v>
      </c>
      <c r="AY512" s="5" t="s">
        <v>85</v>
      </c>
      <c r="AZ512" s="5">
        <v>47</v>
      </c>
      <c r="BA512" s="5">
        <v>422</v>
      </c>
      <c r="BB512" s="5">
        <v>200</v>
      </c>
      <c r="BC512" s="5">
        <v>222</v>
      </c>
      <c r="BD512" s="5">
        <v>47</v>
      </c>
      <c r="BE512" s="5">
        <v>0</v>
      </c>
      <c r="BF512" s="5">
        <v>0</v>
      </c>
      <c r="BH512" s="5">
        <v>0</v>
      </c>
      <c r="BI512" s="5">
        <v>0</v>
      </c>
      <c r="BL512" s="5">
        <v>0</v>
      </c>
      <c r="BM512" s="5">
        <v>0</v>
      </c>
      <c r="BN512" s="5" t="s">
        <v>86</v>
      </c>
      <c r="CD512" s="5">
        <v>0</v>
      </c>
      <c r="CF512" s="1442" t="str">
        <f>IF([1]!sommaire[[#This Row],[présence des personnes déplacés interne]]="Oui","1","0")</f>
        <v>0</v>
      </c>
      <c r="CG512" s="1442" t="str">
        <f>IF([1]!sommaire[[#This Row],[présence Réfugié hors camp]]="Oui","1","0")</f>
        <v>1</v>
      </c>
      <c r="CH512" s="1442" t="str">
        <f>IF([1]!sommaire[[#This Row],[présence personnes retournées]]="Oui","1","0")</f>
        <v>0</v>
      </c>
      <c r="CI512" s="1442">
        <f>[1]!sommaire[[#This Row],[Flag PDI]]+[1]!sommaire[[#This Row],[Flag REF]]+[1]!sommaire[[#This Row],[Flag RET]]</f>
        <v>1</v>
      </c>
    </row>
    <row r="513" spans="1:87" ht="14.55" customHeight="1" x14ac:dyDescent="0.3">
      <c r="A513" s="390">
        <v>2615538</v>
      </c>
      <c r="B513" s="5" t="s">
        <v>533</v>
      </c>
      <c r="C513" s="1430" t="s">
        <v>3449</v>
      </c>
      <c r="D513" s="1090" t="s">
        <v>534</v>
      </c>
      <c r="E513" s="5" t="s">
        <v>31</v>
      </c>
      <c r="F513" s="5" t="s">
        <v>31</v>
      </c>
      <c r="G513" s="5" t="s">
        <v>549</v>
      </c>
      <c r="H513" s="1090" t="s">
        <v>171</v>
      </c>
      <c r="I513" s="1090" t="str">
        <f>_xlfn.XLOOKUP(sommaire[[#This Row],[Arrondissement_code]],OCHA_GIS!$F:$F,OCHA_GIS!$E:$E,,)</f>
        <v>Makary</v>
      </c>
      <c r="J513" s="5" t="s">
        <v>634</v>
      </c>
      <c r="K513" t="s">
        <v>1896</v>
      </c>
      <c r="L513" s="5" t="s">
        <v>1338</v>
      </c>
      <c r="N513" s="5" t="s">
        <v>3053</v>
      </c>
      <c r="O513" s="5" t="s">
        <v>2467</v>
      </c>
      <c r="P513" s="5" t="s">
        <v>85</v>
      </c>
      <c r="Q513" s="5" t="s">
        <v>86</v>
      </c>
      <c r="R513" s="5" t="s">
        <v>86</v>
      </c>
      <c r="T513" s="390">
        <v>3</v>
      </c>
      <c r="U513" s="5" t="s">
        <v>97</v>
      </c>
      <c r="W513" s="5" t="s">
        <v>2468</v>
      </c>
      <c r="X513" s="5" t="s">
        <v>102</v>
      </c>
      <c r="AA513" s="5" t="s">
        <v>85</v>
      </c>
      <c r="AB513" s="5" t="s">
        <v>2469</v>
      </c>
      <c r="AC513" s="5" t="s">
        <v>2470</v>
      </c>
      <c r="AD513" s="5" t="s">
        <v>86</v>
      </c>
      <c r="AF513" s="5">
        <v>7</v>
      </c>
      <c r="AG513" s="5">
        <v>222</v>
      </c>
      <c r="AH513" s="5" t="s">
        <v>85</v>
      </c>
      <c r="AI513" s="5" t="s">
        <v>2471</v>
      </c>
      <c r="AJ513" s="5">
        <v>7</v>
      </c>
      <c r="AK513" s="5">
        <v>30</v>
      </c>
      <c r="AL513" s="5">
        <v>15</v>
      </c>
      <c r="AM513" s="5">
        <v>15</v>
      </c>
      <c r="AN513" s="5">
        <v>0</v>
      </c>
      <c r="AO513" s="5">
        <v>7</v>
      </c>
      <c r="AP513" s="5">
        <v>0</v>
      </c>
      <c r="AQ513" s="5">
        <v>0</v>
      </c>
      <c r="AT513" s="5">
        <v>0</v>
      </c>
      <c r="AU513" s="5">
        <v>0</v>
      </c>
      <c r="AX513" s="5">
        <v>0</v>
      </c>
      <c r="AY513" s="5" t="s">
        <v>85</v>
      </c>
      <c r="AZ513" s="5">
        <v>13</v>
      </c>
      <c r="BA513" s="5">
        <v>68</v>
      </c>
      <c r="BB513" s="5">
        <v>30</v>
      </c>
      <c r="BC513" s="5">
        <v>38</v>
      </c>
      <c r="BD513" s="5">
        <v>13</v>
      </c>
      <c r="BE513" s="5">
        <v>0</v>
      </c>
      <c r="BF513" s="5">
        <v>0</v>
      </c>
      <c r="BH513" s="5">
        <v>0</v>
      </c>
      <c r="BI513" s="5">
        <v>0</v>
      </c>
      <c r="BL513" s="5">
        <v>0</v>
      </c>
      <c r="BM513" s="5">
        <v>0</v>
      </c>
      <c r="BN513" s="5" t="s">
        <v>86</v>
      </c>
      <c r="CD513" s="5">
        <v>0</v>
      </c>
      <c r="CF513" s="1442" t="str">
        <f>IF([1]!sommaire[[#This Row],[présence des personnes déplacés interne]]="Oui","1","0")</f>
        <v>1</v>
      </c>
      <c r="CG513" s="1442" t="str">
        <f>IF([1]!sommaire[[#This Row],[présence Réfugié hors camp]]="Oui","1","0")</f>
        <v>1</v>
      </c>
      <c r="CH513" s="1442" t="str">
        <f>IF([1]!sommaire[[#This Row],[présence personnes retournées]]="Oui","1","0")</f>
        <v>0</v>
      </c>
      <c r="CI513" s="1442">
        <f>[1]!sommaire[[#This Row],[Flag PDI]]+[1]!sommaire[[#This Row],[Flag REF]]+[1]!sommaire[[#This Row],[Flag RET]]</f>
        <v>2</v>
      </c>
    </row>
    <row r="514" spans="1:87" ht="14.55" customHeight="1" x14ac:dyDescent="0.3">
      <c r="A514" s="390">
        <v>2602994</v>
      </c>
      <c r="B514" s="5" t="s">
        <v>533</v>
      </c>
      <c r="C514" s="1430" t="s">
        <v>3449</v>
      </c>
      <c r="D514" s="1090" t="s">
        <v>534</v>
      </c>
      <c r="E514" s="5" t="s">
        <v>31</v>
      </c>
      <c r="F514" s="5" t="s">
        <v>31</v>
      </c>
      <c r="G514" s="5" t="s">
        <v>549</v>
      </c>
      <c r="H514" s="1090" t="s">
        <v>171</v>
      </c>
      <c r="I514" s="1090" t="str">
        <f>_xlfn.XLOOKUP(sommaire[[#This Row],[Arrondissement_code]],OCHA_GIS!$F:$F,OCHA_GIS!$E:$E,,)</f>
        <v>Makary</v>
      </c>
      <c r="J514" s="5" t="s">
        <v>634</v>
      </c>
      <c r="K514" t="s">
        <v>1337</v>
      </c>
      <c r="L514" s="5" t="s">
        <v>1426</v>
      </c>
      <c r="N514" s="5" t="s">
        <v>3052</v>
      </c>
      <c r="O514" s="5" t="s">
        <v>2467</v>
      </c>
      <c r="P514" s="5" t="s">
        <v>85</v>
      </c>
      <c r="Q514" s="5" t="s">
        <v>86</v>
      </c>
      <c r="R514" s="5" t="s">
        <v>86</v>
      </c>
      <c r="T514" s="390">
        <v>3</v>
      </c>
      <c r="U514" s="5" t="s">
        <v>97</v>
      </c>
      <c r="W514" s="5" t="s">
        <v>2468</v>
      </c>
      <c r="X514" s="5" t="s">
        <v>102</v>
      </c>
      <c r="AA514" s="5" t="s">
        <v>85</v>
      </c>
      <c r="AB514" s="5" t="s">
        <v>2469</v>
      </c>
      <c r="AC514" s="5" t="s">
        <v>2470</v>
      </c>
      <c r="AD514" s="5" t="s">
        <v>86</v>
      </c>
      <c r="AF514" s="5">
        <v>40</v>
      </c>
      <c r="AG514" s="5">
        <v>11200</v>
      </c>
      <c r="AH514" s="5" t="s">
        <v>85</v>
      </c>
      <c r="AI514" s="5" t="s">
        <v>2471</v>
      </c>
      <c r="AJ514" s="5">
        <v>40</v>
      </c>
      <c r="AK514" s="5">
        <v>301</v>
      </c>
      <c r="AL514" s="5">
        <v>140</v>
      </c>
      <c r="AM514" s="5">
        <v>161</v>
      </c>
      <c r="AN514" s="5">
        <v>0</v>
      </c>
      <c r="AO514" s="5">
        <v>40</v>
      </c>
      <c r="AP514" s="5">
        <v>0</v>
      </c>
      <c r="AQ514" s="5">
        <v>0</v>
      </c>
      <c r="AT514" s="5">
        <v>0</v>
      </c>
      <c r="AU514" s="5">
        <v>0</v>
      </c>
      <c r="AX514" s="5">
        <v>0</v>
      </c>
      <c r="AY514" s="5" t="s">
        <v>85</v>
      </c>
      <c r="AZ514" s="5">
        <v>185</v>
      </c>
      <c r="BA514" s="5">
        <v>1122</v>
      </c>
      <c r="BB514" s="5">
        <v>552</v>
      </c>
      <c r="BC514" s="5">
        <v>570</v>
      </c>
      <c r="BD514" s="5">
        <v>185</v>
      </c>
      <c r="BE514" s="5">
        <v>0</v>
      </c>
      <c r="BF514" s="5">
        <v>0</v>
      </c>
      <c r="BH514" s="5">
        <v>0</v>
      </c>
      <c r="BI514" s="5">
        <v>0</v>
      </c>
      <c r="BL514" s="5">
        <v>0</v>
      </c>
      <c r="BM514" s="5">
        <v>0</v>
      </c>
      <c r="BN514" s="5" t="s">
        <v>85</v>
      </c>
      <c r="BO514" s="5">
        <v>10</v>
      </c>
      <c r="BP514" s="5">
        <v>51</v>
      </c>
      <c r="BQ514" s="5">
        <v>20</v>
      </c>
      <c r="BR514" s="5">
        <v>31</v>
      </c>
      <c r="BS514" s="5" t="s">
        <v>2535</v>
      </c>
      <c r="BT514" s="5">
        <v>0</v>
      </c>
      <c r="BU514" s="5">
        <v>10</v>
      </c>
      <c r="BV514" s="5">
        <v>0</v>
      </c>
      <c r="BW514" s="5">
        <v>0</v>
      </c>
      <c r="BX514" s="5">
        <v>0</v>
      </c>
      <c r="BZ514" s="5">
        <v>0</v>
      </c>
      <c r="CA514" s="5">
        <v>0</v>
      </c>
      <c r="CC514" s="5">
        <v>0</v>
      </c>
      <c r="CD514" s="5">
        <v>0</v>
      </c>
      <c r="CF514" s="1442" t="str">
        <f>IF([1]!sommaire[[#This Row],[présence des personnes déplacés interne]]="Oui","1","0")</f>
        <v>1</v>
      </c>
      <c r="CG514" s="1442" t="str">
        <f>IF([1]!sommaire[[#This Row],[présence Réfugié hors camp]]="Oui","1","0")</f>
        <v>1</v>
      </c>
      <c r="CH514" s="1442" t="str">
        <f>IF([1]!sommaire[[#This Row],[présence personnes retournées]]="Oui","1","0")</f>
        <v>1</v>
      </c>
      <c r="CI514" s="1442">
        <f>[1]!sommaire[[#This Row],[Flag PDI]]+[1]!sommaire[[#This Row],[Flag REF]]+[1]!sommaire[[#This Row],[Flag RET]]</f>
        <v>3</v>
      </c>
    </row>
    <row r="515" spans="1:87" ht="14.55" customHeight="1" x14ac:dyDescent="0.3">
      <c r="A515" s="390">
        <v>2607718</v>
      </c>
      <c r="B515" s="5" t="s">
        <v>533</v>
      </c>
      <c r="C515" s="1430" t="s">
        <v>3449</v>
      </c>
      <c r="D515" s="1090" t="s">
        <v>534</v>
      </c>
      <c r="E515" s="5" t="s">
        <v>31</v>
      </c>
      <c r="F515" s="5" t="s">
        <v>31</v>
      </c>
      <c r="G515" s="5" t="s">
        <v>549</v>
      </c>
      <c r="H515" s="5" t="s">
        <v>171</v>
      </c>
      <c r="I515" s="5" t="str">
        <f>_xlfn.XLOOKUP(sommaire[[#This Row],[Arrondissement_code]],OCHA_GIS!$F:$F,OCHA_GIS!$E:$E,,)</f>
        <v>Makary</v>
      </c>
      <c r="J515" s="5" t="s">
        <v>634</v>
      </c>
      <c r="K515" t="s">
        <v>2828</v>
      </c>
      <c r="L515" s="5" t="s">
        <v>1065</v>
      </c>
      <c r="N515" s="5" t="s">
        <v>3052</v>
      </c>
      <c r="O515" s="5" t="s">
        <v>2467</v>
      </c>
      <c r="P515" s="5" t="s">
        <v>85</v>
      </c>
      <c r="Q515" s="5" t="s">
        <v>86</v>
      </c>
      <c r="R515" s="5" t="s">
        <v>85</v>
      </c>
      <c r="T515" s="390">
        <v>3</v>
      </c>
      <c r="U515" s="5" t="s">
        <v>97</v>
      </c>
      <c r="W515" s="5" t="s">
        <v>2468</v>
      </c>
      <c r="X515" s="5" t="s">
        <v>103</v>
      </c>
      <c r="Y515" s="5" t="s">
        <v>2476</v>
      </c>
      <c r="AA515" s="5" t="s">
        <v>85</v>
      </c>
      <c r="AB515" s="5" t="s">
        <v>2469</v>
      </c>
      <c r="AC515" s="5" t="s">
        <v>2470</v>
      </c>
      <c r="AD515" s="5" t="s">
        <v>86</v>
      </c>
      <c r="AF515" s="5">
        <v>23</v>
      </c>
      <c r="AG515" s="5">
        <v>1071</v>
      </c>
      <c r="AH515" s="5" t="s">
        <v>85</v>
      </c>
      <c r="AI515" s="5" t="s">
        <v>2471</v>
      </c>
      <c r="AJ515" s="5">
        <v>23</v>
      </c>
      <c r="AK515" s="5">
        <v>312</v>
      </c>
      <c r="AL515" s="5">
        <v>142</v>
      </c>
      <c r="AM515" s="5">
        <v>170</v>
      </c>
      <c r="AN515" s="5">
        <v>5</v>
      </c>
      <c r="AO515" s="5">
        <v>5</v>
      </c>
      <c r="AP515" s="5">
        <v>6</v>
      </c>
      <c r="AQ515" s="5">
        <v>7</v>
      </c>
      <c r="AR515" s="5" t="s">
        <v>2477</v>
      </c>
      <c r="AT515" s="5">
        <v>0</v>
      </c>
      <c r="AU515" s="5">
        <v>0</v>
      </c>
      <c r="AX515" s="5">
        <v>0</v>
      </c>
      <c r="AY515" s="5" t="s">
        <v>86</v>
      </c>
      <c r="BN515" s="5" t="s">
        <v>86</v>
      </c>
      <c r="CD515" s="5">
        <v>0</v>
      </c>
      <c r="CF515" s="1442" t="str">
        <f>IF([1]!sommaire[[#This Row],[présence des personnes déplacés interne]]="Oui","1","0")</f>
        <v>1</v>
      </c>
      <c r="CG515" s="1442" t="str">
        <f>IF([1]!sommaire[[#This Row],[présence Réfugié hors camp]]="Oui","1","0")</f>
        <v>0</v>
      </c>
      <c r="CH515" s="1442" t="str">
        <f>IF([1]!sommaire[[#This Row],[présence personnes retournées]]="Oui","1","0")</f>
        <v>0</v>
      </c>
      <c r="CI515" s="1442">
        <f>[1]!sommaire[[#This Row],[Flag PDI]]+[1]!sommaire[[#This Row],[Flag REF]]+[1]!sommaire[[#This Row],[Flag RET]]</f>
        <v>1</v>
      </c>
    </row>
    <row r="516" spans="1:87" ht="14.55" customHeight="1" x14ac:dyDescent="0.3">
      <c r="A516" s="390">
        <v>2657514</v>
      </c>
      <c r="B516" s="5" t="s">
        <v>533</v>
      </c>
      <c r="C516" s="1430" t="s">
        <v>3449</v>
      </c>
      <c r="D516" s="1090" t="s">
        <v>534</v>
      </c>
      <c r="E516" s="5" t="s">
        <v>31</v>
      </c>
      <c r="F516" s="5" t="s">
        <v>31</v>
      </c>
      <c r="G516" s="5" t="s">
        <v>549</v>
      </c>
      <c r="H516" s="5" t="s">
        <v>171</v>
      </c>
      <c r="I516" s="5" t="str">
        <f>_xlfn.XLOOKUP(sommaire[[#This Row],[Arrondissement_code]],OCHA_GIS!$F:$F,OCHA_GIS!$E:$E,,)</f>
        <v>Makary</v>
      </c>
      <c r="J516" s="5" t="s">
        <v>634</v>
      </c>
      <c r="K516" t="s">
        <v>2831</v>
      </c>
      <c r="L516" s="5" t="s">
        <v>2275</v>
      </c>
      <c r="N516" s="5" t="s">
        <v>3053</v>
      </c>
      <c r="O516" s="5" t="s">
        <v>2467</v>
      </c>
      <c r="P516" s="5" t="s">
        <v>85</v>
      </c>
      <c r="Q516" s="5" t="s">
        <v>86</v>
      </c>
      <c r="R516" s="5" t="s">
        <v>86</v>
      </c>
      <c r="T516" s="390">
        <v>3</v>
      </c>
      <c r="U516" s="5" t="s">
        <v>97</v>
      </c>
      <c r="W516" s="5" t="s">
        <v>2468</v>
      </c>
      <c r="X516" s="5" t="s">
        <v>103</v>
      </c>
      <c r="Y516" s="5" t="s">
        <v>2511</v>
      </c>
      <c r="AA516" s="5" t="s">
        <v>85</v>
      </c>
      <c r="AB516" s="5" t="s">
        <v>2469</v>
      </c>
      <c r="AC516" s="5" t="s">
        <v>2470</v>
      </c>
      <c r="AD516" s="5" t="s">
        <v>86</v>
      </c>
      <c r="AG516" s="5">
        <v>785</v>
      </c>
      <c r="AH516" s="5" t="s">
        <v>86</v>
      </c>
      <c r="AY516" s="1090" t="s">
        <v>86</v>
      </c>
      <c r="BN516" s="1090" t="s">
        <v>85</v>
      </c>
      <c r="BO516" s="5">
        <v>117</v>
      </c>
      <c r="BP516" s="5">
        <v>774</v>
      </c>
      <c r="BQ516" s="5">
        <v>300</v>
      </c>
      <c r="BR516" s="5">
        <v>474</v>
      </c>
      <c r="BS516" s="5" t="s">
        <v>2479</v>
      </c>
      <c r="BT516" s="5">
        <v>0</v>
      </c>
      <c r="BU516" s="5">
        <v>117</v>
      </c>
      <c r="BV516" s="5">
        <v>0</v>
      </c>
      <c r="BW516" s="5">
        <v>0</v>
      </c>
      <c r="BX516" s="5">
        <v>0</v>
      </c>
      <c r="BZ516" s="5">
        <v>0</v>
      </c>
      <c r="CA516" s="5">
        <v>0</v>
      </c>
      <c r="CC516" s="5">
        <v>0</v>
      </c>
      <c r="CD516" s="5">
        <v>0</v>
      </c>
      <c r="CF516" s="1442" t="str">
        <f>IF([1]!sommaire[[#This Row],[présence des personnes déplacés interne]]="Oui","1","0")</f>
        <v>0</v>
      </c>
      <c r="CG516" s="1442" t="str">
        <f>IF([1]!sommaire[[#This Row],[présence Réfugié hors camp]]="Oui","1","0")</f>
        <v>0</v>
      </c>
      <c r="CH516" s="1442" t="str">
        <f>IF([1]!sommaire[[#This Row],[présence personnes retournées]]="Oui","1","0")</f>
        <v>1</v>
      </c>
      <c r="CI516" s="1442">
        <f>[1]!sommaire[[#This Row],[Flag PDI]]+[1]!sommaire[[#This Row],[Flag REF]]+[1]!sommaire[[#This Row],[Flag RET]]</f>
        <v>1</v>
      </c>
    </row>
    <row r="517" spans="1:87" ht="14.55" customHeight="1" x14ac:dyDescent="0.3">
      <c r="A517" s="390">
        <v>2587544</v>
      </c>
      <c r="B517" s="5" t="s">
        <v>533</v>
      </c>
      <c r="C517" s="1430" t="s">
        <v>3449</v>
      </c>
      <c r="D517" s="1090" t="s">
        <v>534</v>
      </c>
      <c r="E517" s="5" t="s">
        <v>31</v>
      </c>
      <c r="F517" s="5" t="s">
        <v>31</v>
      </c>
      <c r="G517" s="5" t="s">
        <v>549</v>
      </c>
      <c r="H517" s="5" t="s">
        <v>171</v>
      </c>
      <c r="I517" s="5" t="str">
        <f>_xlfn.XLOOKUP(sommaire[[#This Row],[Arrondissement_code]],OCHA_GIS!$F:$F,OCHA_GIS!$E:$E,,)</f>
        <v>Makary</v>
      </c>
      <c r="J517" s="5" t="s">
        <v>634</v>
      </c>
      <c r="K517" t="s">
        <v>1425</v>
      </c>
      <c r="L517" s="5" t="s">
        <v>1801</v>
      </c>
      <c r="N517" s="5" t="s">
        <v>3053</v>
      </c>
      <c r="O517" s="5" t="s">
        <v>2467</v>
      </c>
      <c r="P517" s="5" t="s">
        <v>85</v>
      </c>
      <c r="Q517" s="5" t="s">
        <v>86</v>
      </c>
      <c r="R517" s="5" t="s">
        <v>86</v>
      </c>
      <c r="T517" s="390">
        <v>3</v>
      </c>
      <c r="U517" s="5" t="s">
        <v>97</v>
      </c>
      <c r="W517" s="5" t="s">
        <v>2468</v>
      </c>
      <c r="X517" s="5" t="s">
        <v>102</v>
      </c>
      <c r="AA517" s="5" t="s">
        <v>85</v>
      </c>
      <c r="AB517" s="5" t="s">
        <v>2469</v>
      </c>
      <c r="AC517" s="5" t="s">
        <v>2470</v>
      </c>
      <c r="AD517" s="5" t="s">
        <v>86</v>
      </c>
      <c r="AF517" s="5">
        <v>13</v>
      </c>
      <c r="AG517" s="5">
        <v>1200</v>
      </c>
      <c r="AH517" s="5" t="s">
        <v>85</v>
      </c>
      <c r="AI517" s="5" t="s">
        <v>2471</v>
      </c>
      <c r="AJ517" s="5">
        <v>13</v>
      </c>
      <c r="AK517" s="5">
        <v>39</v>
      </c>
      <c r="AL517" s="5">
        <v>19</v>
      </c>
      <c r="AM517" s="5">
        <v>20</v>
      </c>
      <c r="AN517" s="5">
        <v>0</v>
      </c>
      <c r="AO517" s="5">
        <v>13</v>
      </c>
      <c r="AP517" s="5">
        <v>0</v>
      </c>
      <c r="AQ517" s="5">
        <v>0</v>
      </c>
      <c r="AT517" s="5">
        <v>0</v>
      </c>
      <c r="AU517" s="5">
        <v>0</v>
      </c>
      <c r="AX517" s="5">
        <v>0</v>
      </c>
      <c r="AY517" s="5" t="s">
        <v>86</v>
      </c>
      <c r="BN517" s="5" t="s">
        <v>86</v>
      </c>
      <c r="CD517" s="5">
        <v>0</v>
      </c>
      <c r="CF517" s="1442" t="str">
        <f>IF([1]!sommaire[[#This Row],[présence des personnes déplacés interne]]="Oui","1","0")</f>
        <v>1</v>
      </c>
      <c r="CG517" s="1442" t="str">
        <f>IF([1]!sommaire[[#This Row],[présence Réfugié hors camp]]="Oui","1","0")</f>
        <v>0</v>
      </c>
      <c r="CH517" s="1442" t="str">
        <f>IF([1]!sommaire[[#This Row],[présence personnes retournées]]="Oui","1","0")</f>
        <v>0</v>
      </c>
      <c r="CI517" s="1442">
        <f>[1]!sommaire[[#This Row],[Flag PDI]]+[1]!sommaire[[#This Row],[Flag REF]]+[1]!sommaire[[#This Row],[Flag RET]]</f>
        <v>1</v>
      </c>
    </row>
    <row r="518" spans="1:87" ht="14.55" customHeight="1" x14ac:dyDescent="0.3">
      <c r="A518" s="390">
        <v>2574933</v>
      </c>
      <c r="B518" s="5" t="s">
        <v>533</v>
      </c>
      <c r="C518" s="1430" t="s">
        <v>3449</v>
      </c>
      <c r="D518" s="1090" t="s">
        <v>534</v>
      </c>
      <c r="E518" s="5" t="s">
        <v>31</v>
      </c>
      <c r="F518" s="5" t="s">
        <v>31</v>
      </c>
      <c r="G518" s="5" t="s">
        <v>549</v>
      </c>
      <c r="H518" s="5" t="s">
        <v>171</v>
      </c>
      <c r="I518" s="5" t="str">
        <f>_xlfn.XLOOKUP(sommaire[[#This Row],[Arrondissement_code]],OCHA_GIS!$F:$F,OCHA_GIS!$E:$E,,)</f>
        <v>Makary</v>
      </c>
      <c r="J518" s="5" t="s">
        <v>634</v>
      </c>
      <c r="K518" t="s">
        <v>1800</v>
      </c>
      <c r="L518" s="5" t="s">
        <v>2023</v>
      </c>
      <c r="N518" s="5" t="s">
        <v>3053</v>
      </c>
      <c r="O518" s="5" t="s">
        <v>2467</v>
      </c>
      <c r="P518" s="5" t="s">
        <v>85</v>
      </c>
      <c r="Q518" s="5" t="s">
        <v>86</v>
      </c>
      <c r="R518" s="5" t="s">
        <v>86</v>
      </c>
      <c r="T518" s="390">
        <v>3</v>
      </c>
      <c r="U518" s="5" t="s">
        <v>97</v>
      </c>
      <c r="W518" s="5" t="s">
        <v>2468</v>
      </c>
      <c r="X518" s="5" t="s">
        <v>102</v>
      </c>
      <c r="AA518" s="5" t="s">
        <v>85</v>
      </c>
      <c r="AB518" s="5" t="s">
        <v>2469</v>
      </c>
      <c r="AC518" s="5" t="s">
        <v>2470</v>
      </c>
      <c r="AD518" s="5" t="s">
        <v>86</v>
      </c>
      <c r="AF518" s="5">
        <v>9</v>
      </c>
      <c r="AG518" s="5">
        <v>239</v>
      </c>
      <c r="AH518" s="5" t="s">
        <v>85</v>
      </c>
      <c r="AI518" s="5" t="s">
        <v>2471</v>
      </c>
      <c r="AJ518" s="5">
        <v>9</v>
      </c>
      <c r="AK518" s="5">
        <v>37</v>
      </c>
      <c r="AL518" s="5">
        <v>20</v>
      </c>
      <c r="AM518" s="5">
        <v>17</v>
      </c>
      <c r="AN518" s="5">
        <v>0</v>
      </c>
      <c r="AO518" s="5">
        <v>9</v>
      </c>
      <c r="AP518" s="5">
        <v>0</v>
      </c>
      <c r="AQ518" s="5">
        <v>0</v>
      </c>
      <c r="AT518" s="5">
        <v>0</v>
      </c>
      <c r="AU518" s="5">
        <v>0</v>
      </c>
      <c r="AX518" s="5">
        <v>0</v>
      </c>
      <c r="AY518" s="5" t="s">
        <v>86</v>
      </c>
      <c r="BN518" s="5" t="s">
        <v>86</v>
      </c>
      <c r="CD518" s="5">
        <v>0</v>
      </c>
      <c r="CF518" s="1442" t="str">
        <f>IF([1]!sommaire[[#This Row],[présence des personnes déplacés interne]]="Oui","1","0")</f>
        <v>1</v>
      </c>
      <c r="CG518" s="1442" t="str">
        <f>IF([1]!sommaire[[#This Row],[présence Réfugié hors camp]]="Oui","1","0")</f>
        <v>0</v>
      </c>
      <c r="CH518" s="1442" t="str">
        <f>IF([1]!sommaire[[#This Row],[présence personnes retournées]]="Oui","1","0")</f>
        <v>0</v>
      </c>
      <c r="CI518" s="1442">
        <f>[1]!sommaire[[#This Row],[Flag PDI]]+[1]!sommaire[[#This Row],[Flag REF]]+[1]!sommaire[[#This Row],[Flag RET]]</f>
        <v>1</v>
      </c>
    </row>
    <row r="519" spans="1:87" ht="14.55" customHeight="1" x14ac:dyDescent="0.3">
      <c r="A519" s="390">
        <v>2647514</v>
      </c>
      <c r="B519" s="5" t="s">
        <v>533</v>
      </c>
      <c r="C519" s="1430" t="s">
        <v>3449</v>
      </c>
      <c r="D519" s="1090" t="s">
        <v>534</v>
      </c>
      <c r="E519" s="5" t="s">
        <v>31</v>
      </c>
      <c r="F519" s="5" t="s">
        <v>31</v>
      </c>
      <c r="G519" s="5" t="s">
        <v>549</v>
      </c>
      <c r="H519" s="5" t="s">
        <v>171</v>
      </c>
      <c r="I519" s="5" t="str">
        <f>_xlfn.XLOOKUP(sommaire[[#This Row],[Arrondissement_code]],OCHA_GIS!$F:$F,OCHA_GIS!$E:$E,,)</f>
        <v>Makary</v>
      </c>
      <c r="J519" s="5" t="s">
        <v>634</v>
      </c>
      <c r="K519" t="s">
        <v>1287</v>
      </c>
      <c r="L519" s="5" t="s">
        <v>1356</v>
      </c>
      <c r="N519" s="5" t="s">
        <v>3053</v>
      </c>
      <c r="O519" s="5" t="s">
        <v>2467</v>
      </c>
      <c r="P519" s="5" t="s">
        <v>85</v>
      </c>
      <c r="Q519" s="5" t="s">
        <v>86</v>
      </c>
      <c r="R519" s="5" t="s">
        <v>86</v>
      </c>
      <c r="T519" s="390">
        <v>3</v>
      </c>
      <c r="U519" s="5" t="s">
        <v>97</v>
      </c>
      <c r="W519" s="5" t="s">
        <v>2468</v>
      </c>
      <c r="X519" s="5" t="s">
        <v>103</v>
      </c>
      <c r="Y519" s="5" t="s">
        <v>2476</v>
      </c>
      <c r="AA519" s="5" t="s">
        <v>85</v>
      </c>
      <c r="AB519" s="5" t="s">
        <v>2469</v>
      </c>
      <c r="AC519" s="5" t="s">
        <v>2470</v>
      </c>
      <c r="AD519" s="5" t="s">
        <v>86</v>
      </c>
      <c r="AF519" s="5">
        <v>89</v>
      </c>
      <c r="AG519" s="5">
        <v>420</v>
      </c>
      <c r="AH519" s="5" t="s">
        <v>85</v>
      </c>
      <c r="AI519" s="5" t="s">
        <v>2471</v>
      </c>
      <c r="AJ519" s="5">
        <v>89</v>
      </c>
      <c r="AK519" s="5">
        <v>404</v>
      </c>
      <c r="AL519" s="5">
        <v>166</v>
      </c>
      <c r="AM519" s="5">
        <v>238</v>
      </c>
      <c r="AN519" s="5">
        <v>0</v>
      </c>
      <c r="AO519" s="5">
        <v>89</v>
      </c>
      <c r="AP519" s="5">
        <v>0</v>
      </c>
      <c r="AQ519" s="5">
        <v>0</v>
      </c>
      <c r="AT519" s="5">
        <v>0</v>
      </c>
      <c r="AU519" s="5">
        <v>0</v>
      </c>
      <c r="AX519" s="5">
        <v>0</v>
      </c>
      <c r="AY519" s="5" t="s">
        <v>86</v>
      </c>
      <c r="BN519" s="5" t="s">
        <v>86</v>
      </c>
      <c r="CD519" s="5">
        <v>0</v>
      </c>
      <c r="CF519" s="1442" t="str">
        <f>IF([1]!sommaire[[#This Row],[présence des personnes déplacés interne]]="Oui","1","0")</f>
        <v>1</v>
      </c>
      <c r="CG519" s="1442" t="str">
        <f>IF([1]!sommaire[[#This Row],[présence Réfugié hors camp]]="Oui","1","0")</f>
        <v>0</v>
      </c>
      <c r="CH519" s="1442" t="str">
        <f>IF([1]!sommaire[[#This Row],[présence personnes retournées]]="Oui","1","0")</f>
        <v>0</v>
      </c>
      <c r="CI519" s="1442">
        <f>[1]!sommaire[[#This Row],[Flag PDI]]+[1]!sommaire[[#This Row],[Flag REF]]+[1]!sommaire[[#This Row],[Flag RET]]</f>
        <v>1</v>
      </c>
    </row>
    <row r="520" spans="1:87" ht="14.55" customHeight="1" x14ac:dyDescent="0.3">
      <c r="A520" s="390">
        <v>2636289</v>
      </c>
      <c r="B520" s="5" t="s">
        <v>533</v>
      </c>
      <c r="C520" s="1430" t="s">
        <v>3449</v>
      </c>
      <c r="D520" s="1090" t="s">
        <v>534</v>
      </c>
      <c r="E520" s="5" t="s">
        <v>31</v>
      </c>
      <c r="F520" s="5" t="s">
        <v>31</v>
      </c>
      <c r="G520" s="5" t="s">
        <v>549</v>
      </c>
      <c r="H520" s="5" t="s">
        <v>171</v>
      </c>
      <c r="I520" s="5" t="str">
        <f>_xlfn.XLOOKUP(sommaire[[#This Row],[Arrondissement_code]],OCHA_GIS!$F:$F,OCHA_GIS!$E:$E,,)</f>
        <v>Makary</v>
      </c>
      <c r="J520" s="5" t="s">
        <v>634</v>
      </c>
      <c r="K520" t="s">
        <v>1101</v>
      </c>
      <c r="L520" s="5" t="s">
        <v>1284</v>
      </c>
      <c r="N520" s="5" t="s">
        <v>3053</v>
      </c>
      <c r="O520" s="5" t="s">
        <v>2467</v>
      </c>
      <c r="P520" s="5" t="s">
        <v>85</v>
      </c>
      <c r="Q520" s="5" t="s">
        <v>86</v>
      </c>
      <c r="R520" s="5" t="s">
        <v>86</v>
      </c>
      <c r="T520" s="390">
        <v>3</v>
      </c>
      <c r="U520" s="5" t="s">
        <v>97</v>
      </c>
      <c r="W520" s="5" t="s">
        <v>2468</v>
      </c>
      <c r="X520" s="5" t="s">
        <v>102</v>
      </c>
      <c r="AA520" s="1175" t="s">
        <v>85</v>
      </c>
      <c r="AB520" s="5" t="s">
        <v>2469</v>
      </c>
      <c r="AC520" s="5" t="s">
        <v>2470</v>
      </c>
      <c r="AD520" s="5" t="s">
        <v>86</v>
      </c>
      <c r="AF520" s="5">
        <v>18</v>
      </c>
      <c r="AG520" s="5">
        <v>706</v>
      </c>
      <c r="AH520" s="5" t="s">
        <v>85</v>
      </c>
      <c r="AI520" s="5" t="s">
        <v>2471</v>
      </c>
      <c r="AJ520" s="5">
        <v>18</v>
      </c>
      <c r="AK520" s="5">
        <v>98</v>
      </c>
      <c r="AL520" s="5">
        <v>40</v>
      </c>
      <c r="AM520" s="5">
        <v>58</v>
      </c>
      <c r="AN520" s="5">
        <v>0</v>
      </c>
      <c r="AO520" s="5">
        <v>18</v>
      </c>
      <c r="AP520" s="5">
        <v>0</v>
      </c>
      <c r="AQ520" s="5">
        <v>0</v>
      </c>
      <c r="AT520" s="5">
        <v>0</v>
      </c>
      <c r="AU520" s="5">
        <v>0</v>
      </c>
      <c r="AX520" s="5">
        <v>0</v>
      </c>
      <c r="AY520" s="5" t="s">
        <v>86</v>
      </c>
      <c r="BN520" s="5" t="s">
        <v>86</v>
      </c>
      <c r="CD520" s="5">
        <v>0</v>
      </c>
      <c r="CF520" s="1442" t="str">
        <f>IF([1]!sommaire[[#This Row],[présence des personnes déplacés interne]]="Oui","1","0")</f>
        <v>1</v>
      </c>
      <c r="CG520" s="1442" t="str">
        <f>IF([1]!sommaire[[#This Row],[présence Réfugié hors camp]]="Oui","1","0")</f>
        <v>0</v>
      </c>
      <c r="CH520" s="1442" t="str">
        <f>IF([1]!sommaire[[#This Row],[présence personnes retournées]]="Oui","1","0")</f>
        <v>0</v>
      </c>
      <c r="CI520" s="1442">
        <f>[1]!sommaire[[#This Row],[Flag PDI]]+[1]!sommaire[[#This Row],[Flag REF]]+[1]!sommaire[[#This Row],[Flag RET]]</f>
        <v>1</v>
      </c>
    </row>
    <row r="521" spans="1:87" ht="14.55" customHeight="1" x14ac:dyDescent="0.3">
      <c r="A521" s="390">
        <v>2626914</v>
      </c>
      <c r="B521" s="5" t="s">
        <v>533</v>
      </c>
      <c r="C521" s="1430" t="s">
        <v>3449</v>
      </c>
      <c r="D521" s="1090" t="s">
        <v>534</v>
      </c>
      <c r="E521" s="5" t="s">
        <v>31</v>
      </c>
      <c r="F521" s="5" t="s">
        <v>31</v>
      </c>
      <c r="G521" s="5" t="s">
        <v>549</v>
      </c>
      <c r="H521" s="5" t="s">
        <v>171</v>
      </c>
      <c r="I521" s="5" t="str">
        <f>_xlfn.XLOOKUP(sommaire[[#This Row],[Arrondissement_code]],OCHA_GIS!$F:$F,OCHA_GIS!$E:$E,,)</f>
        <v>Makary</v>
      </c>
      <c r="J521" s="5" t="s">
        <v>634</v>
      </c>
      <c r="K521" t="s">
        <v>2022</v>
      </c>
      <c r="L521" s="5" t="s">
        <v>1752</v>
      </c>
      <c r="N521" s="5" t="s">
        <v>3053</v>
      </c>
      <c r="O521" s="5" t="s">
        <v>2467</v>
      </c>
      <c r="P521" s="5" t="s">
        <v>85</v>
      </c>
      <c r="Q521" s="5" t="s">
        <v>86</v>
      </c>
      <c r="R521" s="5" t="s">
        <v>86</v>
      </c>
      <c r="T521" s="390">
        <v>3</v>
      </c>
      <c r="U521" s="5" t="s">
        <v>97</v>
      </c>
      <c r="W521" s="5" t="s">
        <v>2468</v>
      </c>
      <c r="X521" s="5" t="s">
        <v>102</v>
      </c>
      <c r="AA521" s="5" t="s">
        <v>85</v>
      </c>
      <c r="AB521" s="5" t="s">
        <v>2469</v>
      </c>
      <c r="AC521" s="5" t="s">
        <v>2470</v>
      </c>
      <c r="AD521" s="5" t="s">
        <v>86</v>
      </c>
      <c r="AF521" s="5">
        <v>50</v>
      </c>
      <c r="AG521" s="5">
        <v>10079</v>
      </c>
      <c r="AH521" s="5" t="s">
        <v>85</v>
      </c>
      <c r="AI521" s="5" t="s">
        <v>2471</v>
      </c>
      <c r="AJ521" s="5">
        <v>50</v>
      </c>
      <c r="AK521" s="5">
        <v>369</v>
      </c>
      <c r="AL521" s="5">
        <v>168</v>
      </c>
      <c r="AM521" s="5">
        <v>201</v>
      </c>
      <c r="AN521" s="5">
        <v>0</v>
      </c>
      <c r="AO521" s="5">
        <v>50</v>
      </c>
      <c r="AP521" s="5">
        <v>0</v>
      </c>
      <c r="AQ521" s="5">
        <v>0</v>
      </c>
      <c r="AT521" s="5">
        <v>0</v>
      </c>
      <c r="AU521" s="5">
        <v>0</v>
      </c>
      <c r="AX521" s="5">
        <v>0</v>
      </c>
      <c r="AY521" s="5" t="s">
        <v>85</v>
      </c>
      <c r="AZ521" s="5">
        <v>5</v>
      </c>
      <c r="BA521" s="5">
        <v>27</v>
      </c>
      <c r="BB521" s="5">
        <v>9</v>
      </c>
      <c r="BC521" s="5">
        <v>18</v>
      </c>
      <c r="BD521" s="5">
        <v>5</v>
      </c>
      <c r="BE521" s="5">
        <v>0</v>
      </c>
      <c r="BF521" s="5">
        <v>0</v>
      </c>
      <c r="BH521" s="5">
        <v>0</v>
      </c>
      <c r="BI521" s="5">
        <v>0</v>
      </c>
      <c r="BL521" s="5">
        <v>0</v>
      </c>
      <c r="BM521" s="5">
        <v>0</v>
      </c>
      <c r="BN521" s="5" t="s">
        <v>85</v>
      </c>
      <c r="BO521" s="5">
        <v>35</v>
      </c>
      <c r="BP521" s="5">
        <v>220</v>
      </c>
      <c r="BQ521" s="5">
        <v>95</v>
      </c>
      <c r="BR521" s="5">
        <v>125</v>
      </c>
      <c r="BS521" s="5" t="s">
        <v>2479</v>
      </c>
      <c r="BT521" s="5">
        <v>12</v>
      </c>
      <c r="BU521" s="5">
        <v>0</v>
      </c>
      <c r="BV521" s="5">
        <v>0</v>
      </c>
      <c r="BW521" s="5">
        <v>8</v>
      </c>
      <c r="BX521" s="5">
        <v>0</v>
      </c>
      <c r="BZ521" s="5">
        <v>0</v>
      </c>
      <c r="CA521" s="5">
        <v>15</v>
      </c>
      <c r="CB521" s="5" t="s">
        <v>2474</v>
      </c>
      <c r="CC521" s="5">
        <v>0</v>
      </c>
      <c r="CD521" s="5">
        <v>0</v>
      </c>
      <c r="CF521" s="1442" t="str">
        <f>IF([1]!sommaire[[#This Row],[présence des personnes déplacés interne]]="Oui","1","0")</f>
        <v>1</v>
      </c>
      <c r="CG521" s="1442" t="str">
        <f>IF([1]!sommaire[[#This Row],[présence Réfugié hors camp]]="Oui","1","0")</f>
        <v>1</v>
      </c>
      <c r="CH521" s="1442" t="str">
        <f>IF([1]!sommaire[[#This Row],[présence personnes retournées]]="Oui","1","0")</f>
        <v>1</v>
      </c>
      <c r="CI521" s="1442">
        <f>[1]!sommaire[[#This Row],[Flag PDI]]+[1]!sommaire[[#This Row],[Flag REF]]+[1]!sommaire[[#This Row],[Flag RET]]</f>
        <v>3</v>
      </c>
    </row>
    <row r="522" spans="1:87" ht="14.55" customHeight="1" x14ac:dyDescent="0.3">
      <c r="A522" s="390">
        <v>2587543</v>
      </c>
      <c r="B522" s="5" t="s">
        <v>533</v>
      </c>
      <c r="C522" s="1430" t="s">
        <v>3449</v>
      </c>
      <c r="D522" s="1090" t="s">
        <v>534</v>
      </c>
      <c r="E522" s="5" t="s">
        <v>31</v>
      </c>
      <c r="F522" s="5" t="s">
        <v>31</v>
      </c>
      <c r="G522" s="5" t="s">
        <v>549</v>
      </c>
      <c r="H522" s="5" t="s">
        <v>171</v>
      </c>
      <c r="I522" s="5" t="str">
        <f>_xlfn.XLOOKUP(sommaire[[#This Row],[Arrondissement_code]],OCHA_GIS!$F:$F,OCHA_GIS!$E:$E,,)</f>
        <v>Makary</v>
      </c>
      <c r="J522" s="5" t="s">
        <v>634</v>
      </c>
      <c r="K522" t="s">
        <v>2612</v>
      </c>
      <c r="L522" s="5" t="s">
        <v>1987</v>
      </c>
      <c r="N522" s="5" t="s">
        <v>3053</v>
      </c>
      <c r="O522" s="5" t="s">
        <v>2467</v>
      </c>
      <c r="P522" s="5" t="s">
        <v>85</v>
      </c>
      <c r="Q522" s="5" t="s">
        <v>86</v>
      </c>
      <c r="R522" s="5" t="s">
        <v>86</v>
      </c>
      <c r="T522" s="390">
        <v>3</v>
      </c>
      <c r="U522" s="5" t="s">
        <v>97</v>
      </c>
      <c r="W522" s="5" t="s">
        <v>2468</v>
      </c>
      <c r="X522" s="5" t="s">
        <v>102</v>
      </c>
      <c r="AA522" s="5" t="s">
        <v>85</v>
      </c>
      <c r="AB522" s="5" t="s">
        <v>2469</v>
      </c>
      <c r="AC522" s="5" t="s">
        <v>2470</v>
      </c>
      <c r="AD522" s="5" t="s">
        <v>86</v>
      </c>
      <c r="AF522" s="5">
        <v>29</v>
      </c>
      <c r="AG522" s="5">
        <v>134</v>
      </c>
      <c r="AH522" s="5" t="s">
        <v>85</v>
      </c>
      <c r="AI522" s="5" t="s">
        <v>2471</v>
      </c>
      <c r="AJ522" s="5">
        <v>29</v>
      </c>
      <c r="AK522" s="5">
        <v>102</v>
      </c>
      <c r="AL522" s="5">
        <v>48</v>
      </c>
      <c r="AM522" s="5">
        <v>54</v>
      </c>
      <c r="AN522" s="5">
        <v>7</v>
      </c>
      <c r="AO522" s="5">
        <v>22</v>
      </c>
      <c r="AP522" s="5">
        <v>0</v>
      </c>
      <c r="AQ522" s="5">
        <v>0</v>
      </c>
      <c r="AT522" s="5">
        <v>0</v>
      </c>
      <c r="AU522" s="5">
        <v>0</v>
      </c>
      <c r="AX522" s="5">
        <v>0</v>
      </c>
      <c r="AY522" s="5" t="s">
        <v>86</v>
      </c>
      <c r="BN522" s="5" t="s">
        <v>86</v>
      </c>
      <c r="CD522" s="5">
        <v>0</v>
      </c>
      <c r="CF522" s="1442" t="str">
        <f>IF([1]!sommaire[[#This Row],[présence des personnes déplacés interne]]="Oui","1","0")</f>
        <v>1</v>
      </c>
      <c r="CG522" s="1442" t="str">
        <f>IF([1]!sommaire[[#This Row],[présence Réfugié hors camp]]="Oui","1","0")</f>
        <v>0</v>
      </c>
      <c r="CH522" s="1442" t="str">
        <f>IF([1]!sommaire[[#This Row],[présence personnes retournées]]="Oui","1","0")</f>
        <v>0</v>
      </c>
      <c r="CI522" s="1442">
        <f>[1]!sommaire[[#This Row],[Flag PDI]]+[1]!sommaire[[#This Row],[Flag REF]]+[1]!sommaire[[#This Row],[Flag RET]]</f>
        <v>1</v>
      </c>
    </row>
    <row r="523" spans="1:87" ht="14.55" customHeight="1" x14ac:dyDescent="0.3">
      <c r="A523" s="390">
        <v>2631792</v>
      </c>
      <c r="B523" s="5" t="s">
        <v>533</v>
      </c>
      <c r="C523" s="1430" t="s">
        <v>3449</v>
      </c>
      <c r="D523" s="1090" t="s">
        <v>534</v>
      </c>
      <c r="E523" s="5" t="s">
        <v>31</v>
      </c>
      <c r="F523" s="5" t="s">
        <v>31</v>
      </c>
      <c r="G523" s="5" t="s">
        <v>549</v>
      </c>
      <c r="H523" s="5" t="s">
        <v>171</v>
      </c>
      <c r="I523" s="5" t="str">
        <f>_xlfn.XLOOKUP(sommaire[[#This Row],[Arrondissement_code]],OCHA_GIS!$F:$F,OCHA_GIS!$E:$E,,)</f>
        <v>Makary</v>
      </c>
      <c r="J523" s="5" t="s">
        <v>634</v>
      </c>
      <c r="K523" t="s">
        <v>2606</v>
      </c>
      <c r="L523" s="5" t="s">
        <v>2169</v>
      </c>
      <c r="N523" s="5" t="s">
        <v>3053</v>
      </c>
      <c r="O523" s="5" t="s">
        <v>2467</v>
      </c>
      <c r="P523" s="5" t="s">
        <v>85</v>
      </c>
      <c r="Q523" s="5" t="s">
        <v>86</v>
      </c>
      <c r="R523" s="5" t="s">
        <v>86</v>
      </c>
      <c r="T523" s="390">
        <v>3</v>
      </c>
      <c r="U523" s="5" t="s">
        <v>97</v>
      </c>
      <c r="W523" s="5" t="s">
        <v>2468</v>
      </c>
      <c r="X523" s="5" t="s">
        <v>102</v>
      </c>
      <c r="AA523" s="5" t="s">
        <v>85</v>
      </c>
      <c r="AB523" s="5" t="s">
        <v>2469</v>
      </c>
      <c r="AC523" s="5" t="s">
        <v>2470</v>
      </c>
      <c r="AD523" s="5" t="s">
        <v>86</v>
      </c>
      <c r="AF523" s="5">
        <v>11</v>
      </c>
      <c r="AG523" s="5">
        <v>344</v>
      </c>
      <c r="AH523" s="5" t="s">
        <v>85</v>
      </c>
      <c r="AI523" s="5" t="s">
        <v>2471</v>
      </c>
      <c r="AJ523" s="5">
        <v>11</v>
      </c>
      <c r="AK523" s="5">
        <v>50</v>
      </c>
      <c r="AL523" s="5">
        <v>23</v>
      </c>
      <c r="AM523" s="5">
        <v>27</v>
      </c>
      <c r="AN523" s="5">
        <v>0</v>
      </c>
      <c r="AO523" s="5">
        <v>11</v>
      </c>
      <c r="AP523" s="5">
        <v>0</v>
      </c>
      <c r="AQ523" s="5">
        <v>0</v>
      </c>
      <c r="AT523" s="5">
        <v>0</v>
      </c>
      <c r="AU523" s="5">
        <v>0</v>
      </c>
      <c r="AX523" s="5">
        <v>0</v>
      </c>
      <c r="AY523" s="5" t="s">
        <v>85</v>
      </c>
      <c r="AZ523" s="5">
        <v>9</v>
      </c>
      <c r="BA523" s="5">
        <v>12</v>
      </c>
      <c r="BB523" s="5">
        <v>3</v>
      </c>
      <c r="BC523" s="5">
        <v>9</v>
      </c>
      <c r="BD523" s="5">
        <v>9</v>
      </c>
      <c r="BE523" s="5">
        <v>0</v>
      </c>
      <c r="BF523" s="5">
        <v>0</v>
      </c>
      <c r="BH523" s="5">
        <v>0</v>
      </c>
      <c r="BI523" s="5">
        <v>0</v>
      </c>
      <c r="BL523" s="5">
        <v>0</v>
      </c>
      <c r="BM523" s="5">
        <v>0</v>
      </c>
      <c r="BN523" s="5" t="s">
        <v>85</v>
      </c>
      <c r="BO523" s="5">
        <v>7</v>
      </c>
      <c r="BP523" s="5">
        <v>20</v>
      </c>
      <c r="BQ523" s="5">
        <v>7</v>
      </c>
      <c r="BR523" s="5">
        <v>13</v>
      </c>
      <c r="BS523" s="5" t="s">
        <v>2492</v>
      </c>
      <c r="BT523" s="5">
        <v>7</v>
      </c>
      <c r="BU523" s="5">
        <v>0</v>
      </c>
      <c r="BV523" s="5">
        <v>0</v>
      </c>
      <c r="BW523" s="5">
        <v>0</v>
      </c>
      <c r="BX523" s="5">
        <v>0</v>
      </c>
      <c r="BZ523" s="5">
        <v>0</v>
      </c>
      <c r="CA523" s="5">
        <v>0</v>
      </c>
      <c r="CC523" s="5">
        <v>0</v>
      </c>
      <c r="CD523" s="5">
        <v>0</v>
      </c>
      <c r="CF523" s="1442" t="str">
        <f>IF([1]!sommaire[[#This Row],[présence des personnes déplacés interne]]="Oui","1","0")</f>
        <v>1</v>
      </c>
      <c r="CG523" s="1442" t="str">
        <f>IF([1]!sommaire[[#This Row],[présence Réfugié hors camp]]="Oui","1","0")</f>
        <v>1</v>
      </c>
      <c r="CH523" s="1442" t="str">
        <f>IF([1]!sommaire[[#This Row],[présence personnes retournées]]="Oui","1","0")</f>
        <v>1</v>
      </c>
      <c r="CI523" s="1442">
        <f>[1]!sommaire[[#This Row],[Flag PDI]]+[1]!sommaire[[#This Row],[Flag REF]]+[1]!sommaire[[#This Row],[Flag RET]]</f>
        <v>3</v>
      </c>
    </row>
    <row r="524" spans="1:87" ht="14.55" customHeight="1" x14ac:dyDescent="0.3">
      <c r="A524" s="390">
        <v>2631791</v>
      </c>
      <c r="B524" s="5" t="s">
        <v>533</v>
      </c>
      <c r="C524" s="1430" t="s">
        <v>3449</v>
      </c>
      <c r="D524" s="1090" t="s">
        <v>534</v>
      </c>
      <c r="E524" s="5" t="s">
        <v>31</v>
      </c>
      <c r="F524" s="5" t="s">
        <v>31</v>
      </c>
      <c r="G524" s="5" t="s">
        <v>549</v>
      </c>
      <c r="H524" s="5" t="s">
        <v>171</v>
      </c>
      <c r="I524" s="5" t="str">
        <f>_xlfn.XLOOKUP(sommaire[[#This Row],[Arrondissement_code]],OCHA_GIS!$F:$F,OCHA_GIS!$E:$E,,)</f>
        <v>Makary</v>
      </c>
      <c r="J524" s="5" t="s">
        <v>634</v>
      </c>
      <c r="K524" t="s">
        <v>2835</v>
      </c>
      <c r="L524" s="5" t="s">
        <v>2180</v>
      </c>
      <c r="N524" s="5" t="s">
        <v>3053</v>
      </c>
      <c r="O524" s="5" t="s">
        <v>2467</v>
      </c>
      <c r="P524" s="5" t="s">
        <v>85</v>
      </c>
      <c r="Q524" s="5" t="s">
        <v>86</v>
      </c>
      <c r="R524" s="5" t="s">
        <v>86</v>
      </c>
      <c r="T524" s="390">
        <v>3</v>
      </c>
      <c r="U524" s="5" t="s">
        <v>97</v>
      </c>
      <c r="W524" s="5" t="s">
        <v>2468</v>
      </c>
      <c r="X524" s="5" t="s">
        <v>102</v>
      </c>
      <c r="AA524" s="5" t="s">
        <v>85</v>
      </c>
      <c r="AB524" s="5" t="s">
        <v>2469</v>
      </c>
      <c r="AC524" s="5" t="s">
        <v>2470</v>
      </c>
      <c r="AD524" s="5" t="s">
        <v>86</v>
      </c>
      <c r="AF524" s="5">
        <v>10</v>
      </c>
      <c r="AG524" s="5">
        <v>974</v>
      </c>
      <c r="AH524" s="5" t="s">
        <v>85</v>
      </c>
      <c r="AI524" s="5" t="s">
        <v>2471</v>
      </c>
      <c r="AJ524" s="5">
        <v>10</v>
      </c>
      <c r="AK524" s="5">
        <v>29</v>
      </c>
      <c r="AL524" s="5">
        <v>12</v>
      </c>
      <c r="AM524" s="5">
        <v>17</v>
      </c>
      <c r="AN524" s="5">
        <v>0</v>
      </c>
      <c r="AO524" s="5">
        <v>10</v>
      </c>
      <c r="AP524" s="5">
        <v>0</v>
      </c>
      <c r="AQ524" s="5">
        <v>0</v>
      </c>
      <c r="AT524" s="5">
        <v>0</v>
      </c>
      <c r="AU524" s="5">
        <v>0</v>
      </c>
      <c r="AX524" s="5">
        <v>0</v>
      </c>
      <c r="AY524" s="5" t="s">
        <v>85</v>
      </c>
      <c r="AZ524" s="5">
        <v>5</v>
      </c>
      <c r="BA524" s="5">
        <v>11</v>
      </c>
      <c r="BB524" s="5">
        <v>3</v>
      </c>
      <c r="BC524" s="5">
        <v>8</v>
      </c>
      <c r="BD524" s="5">
        <v>5</v>
      </c>
      <c r="BE524" s="5">
        <v>0</v>
      </c>
      <c r="BF524" s="5">
        <v>0</v>
      </c>
      <c r="BH524" s="5">
        <v>0</v>
      </c>
      <c r="BI524" s="5">
        <v>0</v>
      </c>
      <c r="BL524" s="5">
        <v>0</v>
      </c>
      <c r="BM524" s="5">
        <v>0</v>
      </c>
      <c r="BN524" s="5" t="s">
        <v>86</v>
      </c>
      <c r="CD524" s="5">
        <v>0</v>
      </c>
      <c r="CF524" s="1442" t="str">
        <f>IF([1]!sommaire[[#This Row],[présence des personnes déplacés interne]]="Oui","1","0")</f>
        <v>1</v>
      </c>
      <c r="CG524" s="1442" t="str">
        <f>IF([1]!sommaire[[#This Row],[présence Réfugié hors camp]]="Oui","1","0")</f>
        <v>1</v>
      </c>
      <c r="CH524" s="1442" t="str">
        <f>IF([1]!sommaire[[#This Row],[présence personnes retournées]]="Oui","1","0")</f>
        <v>0</v>
      </c>
      <c r="CI524" s="1442">
        <f>[1]!sommaire[[#This Row],[Flag PDI]]+[1]!sommaire[[#This Row],[Flag REF]]+[1]!sommaire[[#This Row],[Flag RET]]</f>
        <v>2</v>
      </c>
    </row>
    <row r="525" spans="1:87" ht="14.55" customHeight="1" x14ac:dyDescent="0.3">
      <c r="A525" s="390">
        <v>2620546</v>
      </c>
      <c r="B525" s="5" t="s">
        <v>533</v>
      </c>
      <c r="C525" s="1430" t="s">
        <v>3449</v>
      </c>
      <c r="D525" s="1090" t="s">
        <v>534</v>
      </c>
      <c r="E525" s="5" t="s">
        <v>31</v>
      </c>
      <c r="F525" s="5" t="s">
        <v>31</v>
      </c>
      <c r="G525" s="5" t="s">
        <v>549</v>
      </c>
      <c r="H525" s="5" t="s">
        <v>171</v>
      </c>
      <c r="I525" s="5" t="str">
        <f>_xlfn.XLOOKUP(sommaire[[#This Row],[Arrondissement_code]],OCHA_GIS!$F:$F,OCHA_GIS!$E:$E,,)</f>
        <v>Makary</v>
      </c>
      <c r="J525" s="5" t="s">
        <v>634</v>
      </c>
      <c r="K525" t="s">
        <v>2837</v>
      </c>
      <c r="L525" s="5" t="s">
        <v>1078</v>
      </c>
      <c r="N525" s="5" t="s">
        <v>3053</v>
      </c>
      <c r="O525" s="5" t="s">
        <v>2467</v>
      </c>
      <c r="P525" s="5" t="s">
        <v>85</v>
      </c>
      <c r="Q525" s="5" t="s">
        <v>86</v>
      </c>
      <c r="R525" s="5" t="s">
        <v>86</v>
      </c>
      <c r="T525" s="390">
        <v>3</v>
      </c>
      <c r="U525" s="5" t="s">
        <v>97</v>
      </c>
      <c r="W525" s="5" t="s">
        <v>2468</v>
      </c>
      <c r="X525" s="5" t="s">
        <v>103</v>
      </c>
      <c r="Y525" s="5" t="s">
        <v>2476</v>
      </c>
      <c r="AA525" s="5" t="s">
        <v>85</v>
      </c>
      <c r="AB525" s="5" t="s">
        <v>2469</v>
      </c>
      <c r="AC525" s="5" t="s">
        <v>2470</v>
      </c>
      <c r="AD525" s="5" t="s">
        <v>86</v>
      </c>
      <c r="AF525" s="5">
        <v>48</v>
      </c>
      <c r="AG525" s="5">
        <v>778</v>
      </c>
      <c r="AH525" s="5" t="s">
        <v>85</v>
      </c>
      <c r="AI525" s="5" t="s">
        <v>2471</v>
      </c>
      <c r="AJ525" s="5">
        <v>48</v>
      </c>
      <c r="AK525" s="5">
        <v>308</v>
      </c>
      <c r="AL525" s="5">
        <v>136</v>
      </c>
      <c r="AM525" s="5">
        <v>172</v>
      </c>
      <c r="AN525" s="5">
        <v>0</v>
      </c>
      <c r="AO525" s="5">
        <v>48</v>
      </c>
      <c r="AP525" s="5">
        <v>0</v>
      </c>
      <c r="AQ525" s="5">
        <v>0</v>
      </c>
      <c r="AT525" s="5">
        <v>0</v>
      </c>
      <c r="AU525" s="5">
        <v>0</v>
      </c>
      <c r="AX525" s="5">
        <v>0</v>
      </c>
      <c r="AY525" s="1090" t="s">
        <v>85</v>
      </c>
      <c r="AZ525" s="5">
        <v>37</v>
      </c>
      <c r="BA525" s="5">
        <v>207</v>
      </c>
      <c r="BB525" s="5">
        <v>102</v>
      </c>
      <c r="BC525" s="5">
        <v>105</v>
      </c>
      <c r="BD525" s="5">
        <v>37</v>
      </c>
      <c r="BE525" s="5">
        <v>0</v>
      </c>
      <c r="BF525" s="5">
        <v>0</v>
      </c>
      <c r="BH525" s="5">
        <v>0</v>
      </c>
      <c r="BI525" s="5">
        <v>0</v>
      </c>
      <c r="BL525" s="5">
        <v>0</v>
      </c>
      <c r="BM525" s="5">
        <v>20</v>
      </c>
      <c r="BN525" s="1090" t="s">
        <v>86</v>
      </c>
      <c r="CD525" s="5">
        <v>0</v>
      </c>
      <c r="CF525" s="1442" t="str">
        <f>IF([1]!sommaire[[#This Row],[présence des personnes déplacés interne]]="Oui","1","0")</f>
        <v>1</v>
      </c>
      <c r="CG525" s="1442" t="str">
        <f>IF([1]!sommaire[[#This Row],[présence Réfugié hors camp]]="Oui","1","0")</f>
        <v>1</v>
      </c>
      <c r="CH525" s="1442" t="str">
        <f>IF([1]!sommaire[[#This Row],[présence personnes retournées]]="Oui","1","0")</f>
        <v>0</v>
      </c>
      <c r="CI525" s="1442">
        <f>[1]!sommaire[[#This Row],[Flag PDI]]+[1]!sommaire[[#This Row],[Flag REF]]+[1]!sommaire[[#This Row],[Flag RET]]</f>
        <v>2</v>
      </c>
    </row>
    <row r="526" spans="1:87" ht="14.55" customHeight="1" x14ac:dyDescent="0.3">
      <c r="A526" s="390">
        <v>2658133</v>
      </c>
      <c r="B526" s="5" t="s">
        <v>533</v>
      </c>
      <c r="C526" s="1430" t="s">
        <v>3449</v>
      </c>
      <c r="D526" s="1090" t="s">
        <v>534</v>
      </c>
      <c r="E526" s="5" t="s">
        <v>31</v>
      </c>
      <c r="F526" s="5" t="s">
        <v>31</v>
      </c>
      <c r="G526" s="5" t="s">
        <v>549</v>
      </c>
      <c r="H526" s="5" t="s">
        <v>171</v>
      </c>
      <c r="I526" s="5" t="str">
        <f>_xlfn.XLOOKUP(sommaire[[#This Row],[Arrondissement_code]],OCHA_GIS!$F:$F,OCHA_GIS!$E:$E,,)</f>
        <v>Makary</v>
      </c>
      <c r="J526" s="5" t="s">
        <v>634</v>
      </c>
      <c r="K526" t="s">
        <v>1345</v>
      </c>
      <c r="L526" s="5" t="s">
        <v>1775</v>
      </c>
      <c r="N526" s="5" t="s">
        <v>3053</v>
      </c>
      <c r="O526" s="5" t="s">
        <v>2467</v>
      </c>
      <c r="P526" s="5" t="s">
        <v>86</v>
      </c>
      <c r="Q526" s="5" t="s">
        <v>86</v>
      </c>
      <c r="R526" s="5" t="s">
        <v>85</v>
      </c>
      <c r="U526" s="5" t="s">
        <v>100</v>
      </c>
      <c r="W526" s="5" t="s">
        <v>2482</v>
      </c>
      <c r="AA526" s="5" t="s">
        <v>86</v>
      </c>
      <c r="AH526" s="1430" t="s">
        <v>86</v>
      </c>
      <c r="AY526" s="1430" t="s">
        <v>86</v>
      </c>
      <c r="BN526" s="1430" t="s">
        <v>86</v>
      </c>
      <c r="CF526" s="1442" t="str">
        <f>IF([1]!sommaire[[#This Row],[présence des personnes déplacés interne]]="Oui","1","0")</f>
        <v>0</v>
      </c>
      <c r="CG526" s="1442" t="str">
        <f>IF([1]!sommaire[[#This Row],[présence Réfugié hors camp]]="Oui","1","0")</f>
        <v>0</v>
      </c>
      <c r="CH526" s="1442" t="str">
        <f>IF([1]!sommaire[[#This Row],[présence personnes retournées]]="Oui","1","0")</f>
        <v>0</v>
      </c>
      <c r="CI526" s="1442">
        <f>[1]!sommaire[[#This Row],[Flag PDI]]+[1]!sommaire[[#This Row],[Flag REF]]+[1]!sommaire[[#This Row],[Flag RET]]</f>
        <v>0</v>
      </c>
    </row>
    <row r="527" spans="1:87" ht="14.55" customHeight="1" x14ac:dyDescent="0.3">
      <c r="A527" s="390">
        <v>2615168</v>
      </c>
      <c r="B527" s="5" t="s">
        <v>533</v>
      </c>
      <c r="C527" s="1430" t="s">
        <v>3449</v>
      </c>
      <c r="D527" s="1090" t="s">
        <v>534</v>
      </c>
      <c r="E527" s="5" t="s">
        <v>31</v>
      </c>
      <c r="F527" s="5" t="s">
        <v>31</v>
      </c>
      <c r="G527" s="5" t="s">
        <v>549</v>
      </c>
      <c r="H527" s="5" t="s">
        <v>171</v>
      </c>
      <c r="I527" s="5" t="str">
        <f>_xlfn.XLOOKUP(sommaire[[#This Row],[Arrondissement_code]],OCHA_GIS!$F:$F,OCHA_GIS!$E:$E,,)</f>
        <v>Makary</v>
      </c>
      <c r="J527" s="5" t="s">
        <v>634</v>
      </c>
      <c r="K527" t="s">
        <v>1751</v>
      </c>
      <c r="L527" s="5" t="s">
        <v>860</v>
      </c>
      <c r="N527" s="5" t="s">
        <v>3053</v>
      </c>
      <c r="O527" s="5" t="s">
        <v>2467</v>
      </c>
      <c r="P527" s="5" t="s">
        <v>85</v>
      </c>
      <c r="Q527" s="5" t="s">
        <v>86</v>
      </c>
      <c r="R527" s="5" t="s">
        <v>86</v>
      </c>
      <c r="T527" s="390">
        <v>3</v>
      </c>
      <c r="U527" s="5" t="s">
        <v>97</v>
      </c>
      <c r="W527" s="5" t="s">
        <v>2468</v>
      </c>
      <c r="X527" s="5" t="s">
        <v>102</v>
      </c>
      <c r="AA527" s="5" t="s">
        <v>85</v>
      </c>
      <c r="AB527" s="5" t="s">
        <v>2469</v>
      </c>
      <c r="AC527" s="5" t="s">
        <v>2470</v>
      </c>
      <c r="AD527" s="5" t="s">
        <v>86</v>
      </c>
      <c r="AF527" s="5">
        <v>6</v>
      </c>
      <c r="AG527" s="5">
        <v>532</v>
      </c>
      <c r="AH527" s="5" t="s">
        <v>85</v>
      </c>
      <c r="AI527" s="5" t="s">
        <v>2471</v>
      </c>
      <c r="AJ527" s="5">
        <v>6</v>
      </c>
      <c r="AK527" s="5">
        <v>50</v>
      </c>
      <c r="AL527" s="5">
        <v>23</v>
      </c>
      <c r="AM527" s="5">
        <v>27</v>
      </c>
      <c r="AN527" s="5">
        <v>0</v>
      </c>
      <c r="AO527" s="5">
        <v>6</v>
      </c>
      <c r="AP527" s="5">
        <v>0</v>
      </c>
      <c r="AQ527" s="5">
        <v>0</v>
      </c>
      <c r="AT527" s="5">
        <v>0</v>
      </c>
      <c r="AU527" s="5">
        <v>0</v>
      </c>
      <c r="AX527" s="5">
        <v>0</v>
      </c>
      <c r="AY527" s="5" t="s">
        <v>86</v>
      </c>
      <c r="BN527" s="5" t="s">
        <v>86</v>
      </c>
      <c r="CD527" s="5">
        <v>0</v>
      </c>
      <c r="CF527" s="1442" t="str">
        <f>IF([1]!sommaire[[#This Row],[présence des personnes déplacés interne]]="Oui","1","0")</f>
        <v>1</v>
      </c>
      <c r="CG527" s="1442" t="str">
        <f>IF([1]!sommaire[[#This Row],[présence Réfugié hors camp]]="Oui","1","0")</f>
        <v>0</v>
      </c>
      <c r="CH527" s="1442" t="str">
        <f>IF([1]!sommaire[[#This Row],[présence personnes retournées]]="Oui","1","0")</f>
        <v>0</v>
      </c>
      <c r="CI527" s="1442">
        <f>[1]!sommaire[[#This Row],[Flag PDI]]+[1]!sommaire[[#This Row],[Flag REF]]+[1]!sommaire[[#This Row],[Flag RET]]</f>
        <v>1</v>
      </c>
    </row>
    <row r="528" spans="1:87" ht="14.55" customHeight="1" x14ac:dyDescent="0.3">
      <c r="A528" s="390">
        <v>2704536</v>
      </c>
      <c r="B528" s="5" t="s">
        <v>533</v>
      </c>
      <c r="C528" s="1430" t="s">
        <v>3449</v>
      </c>
      <c r="D528" s="1090" t="s">
        <v>534</v>
      </c>
      <c r="E528" s="5" t="s">
        <v>31</v>
      </c>
      <c r="F528" s="5" t="s">
        <v>31</v>
      </c>
      <c r="G528" s="5" t="s">
        <v>549</v>
      </c>
      <c r="H528" s="5" t="s">
        <v>171</v>
      </c>
      <c r="I528" s="5" t="str">
        <f>_xlfn.XLOOKUP(sommaire[[#This Row],[Arrondissement_code]],OCHA_GIS!$F:$F,OCHA_GIS!$E:$E,,)</f>
        <v>Makary</v>
      </c>
      <c r="J528" s="5" t="s">
        <v>634</v>
      </c>
      <c r="K528" t="s">
        <v>1028</v>
      </c>
      <c r="L528" s="5" t="s">
        <v>2055</v>
      </c>
      <c r="N528" s="5" t="s">
        <v>3053</v>
      </c>
      <c r="O528" s="5" t="s">
        <v>2467</v>
      </c>
      <c r="P528" s="5" t="s">
        <v>85</v>
      </c>
      <c r="Q528" s="5" t="s">
        <v>86</v>
      </c>
      <c r="R528" s="5" t="s">
        <v>85</v>
      </c>
      <c r="T528" s="390">
        <v>3</v>
      </c>
      <c r="U528" s="5" t="s">
        <v>97</v>
      </c>
      <c r="W528" s="5" t="s">
        <v>2468</v>
      </c>
      <c r="X528" s="5" t="s">
        <v>103</v>
      </c>
      <c r="Y528" s="5" t="s">
        <v>2476</v>
      </c>
      <c r="AA528" s="5" t="s">
        <v>85</v>
      </c>
      <c r="AB528" s="5" t="s">
        <v>2469</v>
      </c>
      <c r="AC528" s="5" t="s">
        <v>2470</v>
      </c>
      <c r="AD528" s="1090" t="s">
        <v>86</v>
      </c>
      <c r="AF528" s="5">
        <v>11</v>
      </c>
      <c r="AG528" s="5">
        <v>315</v>
      </c>
      <c r="AH528" s="5" t="s">
        <v>85</v>
      </c>
      <c r="AI528" s="5" t="s">
        <v>2486</v>
      </c>
      <c r="AJ528" s="5">
        <v>11</v>
      </c>
      <c r="AK528" s="5">
        <v>65</v>
      </c>
      <c r="AL528" s="5">
        <v>29</v>
      </c>
      <c r="AM528" s="5">
        <v>36</v>
      </c>
      <c r="AN528" s="5">
        <v>4</v>
      </c>
      <c r="AO528" s="5">
        <v>4</v>
      </c>
      <c r="AP528" s="5">
        <v>3</v>
      </c>
      <c r="AQ528" s="5">
        <v>0</v>
      </c>
      <c r="AT528" s="5">
        <v>0</v>
      </c>
      <c r="AU528" s="5">
        <v>0</v>
      </c>
      <c r="AX528" s="5">
        <v>0</v>
      </c>
      <c r="AY528" s="5" t="s">
        <v>86</v>
      </c>
      <c r="BN528" s="5" t="s">
        <v>86</v>
      </c>
      <c r="CD528" s="5">
        <v>0</v>
      </c>
      <c r="CF528" s="1442" t="str">
        <f>IF([1]!sommaire[[#This Row],[présence des personnes déplacés interne]]="Oui","1","0")</f>
        <v>1</v>
      </c>
      <c r="CG528" s="1442" t="str">
        <f>IF([1]!sommaire[[#This Row],[présence Réfugié hors camp]]="Oui","1","0")</f>
        <v>0</v>
      </c>
      <c r="CH528" s="1442" t="str">
        <f>IF([1]!sommaire[[#This Row],[présence personnes retournées]]="Oui","1","0")</f>
        <v>0</v>
      </c>
      <c r="CI528" s="1442">
        <f>[1]!sommaire[[#This Row],[Flag PDI]]+[1]!sommaire[[#This Row],[Flag REF]]+[1]!sommaire[[#This Row],[Flag RET]]</f>
        <v>1</v>
      </c>
    </row>
    <row r="529" spans="1:87" ht="14.55" customHeight="1" x14ac:dyDescent="0.3">
      <c r="A529" s="390">
        <v>2629301</v>
      </c>
      <c r="B529" s="5" t="s">
        <v>533</v>
      </c>
      <c r="C529" s="1430" t="s">
        <v>3449</v>
      </c>
      <c r="D529" s="1090" t="s">
        <v>534</v>
      </c>
      <c r="E529" s="5" t="s">
        <v>31</v>
      </c>
      <c r="F529" s="5" t="s">
        <v>31</v>
      </c>
      <c r="G529" s="5" t="s">
        <v>549</v>
      </c>
      <c r="H529" s="5" t="s">
        <v>171</v>
      </c>
      <c r="I529" s="5" t="str">
        <f>_xlfn.XLOOKUP(sommaire[[#This Row],[Arrondissement_code]],OCHA_GIS!$F:$F,OCHA_GIS!$E:$E,,)</f>
        <v>Makary</v>
      </c>
      <c r="J529" s="5" t="s">
        <v>634</v>
      </c>
      <c r="K529" t="s">
        <v>2845</v>
      </c>
      <c r="L529" s="5" t="s">
        <v>791</v>
      </c>
      <c r="N529" s="5" t="s">
        <v>3053</v>
      </c>
      <c r="O529" s="5" t="s">
        <v>2467</v>
      </c>
      <c r="P529" s="5" t="s">
        <v>85</v>
      </c>
      <c r="Q529" s="5" t="s">
        <v>86</v>
      </c>
      <c r="R529" s="5" t="s">
        <v>86</v>
      </c>
      <c r="T529" s="390">
        <v>3</v>
      </c>
      <c r="U529" s="5" t="s">
        <v>97</v>
      </c>
      <c r="W529" s="5" t="s">
        <v>2468</v>
      </c>
      <c r="X529" s="5" t="s">
        <v>103</v>
      </c>
      <c r="Y529" s="5" t="s">
        <v>2476</v>
      </c>
      <c r="AA529" s="5" t="s">
        <v>85</v>
      </c>
      <c r="AB529" s="5" t="s">
        <v>2469</v>
      </c>
      <c r="AC529" s="5" t="s">
        <v>2470</v>
      </c>
      <c r="AD529" s="5" t="s">
        <v>86</v>
      </c>
      <c r="AF529" s="5">
        <v>27</v>
      </c>
      <c r="AG529" s="5">
        <v>273</v>
      </c>
      <c r="AH529" s="5" t="s">
        <v>85</v>
      </c>
      <c r="AI529" s="5" t="s">
        <v>2471</v>
      </c>
      <c r="AJ529" s="5">
        <v>27</v>
      </c>
      <c r="AK529" s="5">
        <v>180</v>
      </c>
      <c r="AL529" s="5">
        <v>74</v>
      </c>
      <c r="AM529" s="5">
        <v>106</v>
      </c>
      <c r="AN529" s="5">
        <v>0</v>
      </c>
      <c r="AO529" s="5">
        <v>27</v>
      </c>
      <c r="AP529" s="5">
        <v>0</v>
      </c>
      <c r="AQ529" s="5">
        <v>0</v>
      </c>
      <c r="AT529" s="5">
        <v>0</v>
      </c>
      <c r="AU529" s="5">
        <v>0</v>
      </c>
      <c r="AX529" s="5">
        <v>0</v>
      </c>
      <c r="AY529" s="5" t="s">
        <v>85</v>
      </c>
      <c r="AZ529" s="5">
        <v>16</v>
      </c>
      <c r="BA529" s="5">
        <v>93</v>
      </c>
      <c r="BB529" s="5">
        <v>33</v>
      </c>
      <c r="BC529" s="5">
        <v>60</v>
      </c>
      <c r="BD529" s="5">
        <v>16</v>
      </c>
      <c r="BE529" s="5">
        <v>0</v>
      </c>
      <c r="BF529" s="5">
        <v>0</v>
      </c>
      <c r="BH529" s="5">
        <v>0</v>
      </c>
      <c r="BI529" s="5">
        <v>0</v>
      </c>
      <c r="BL529" s="5">
        <v>0</v>
      </c>
      <c r="BM529" s="5">
        <v>9</v>
      </c>
      <c r="BN529" s="5" t="s">
        <v>86</v>
      </c>
      <c r="CD529" s="5">
        <v>0</v>
      </c>
      <c r="CF529" s="1442" t="str">
        <f>IF([1]!sommaire[[#This Row],[présence des personnes déplacés interne]]="Oui","1","0")</f>
        <v>1</v>
      </c>
      <c r="CG529" s="1442" t="str">
        <f>IF([1]!sommaire[[#This Row],[présence Réfugié hors camp]]="Oui","1","0")</f>
        <v>1</v>
      </c>
      <c r="CH529" s="1442" t="str">
        <f>IF([1]!sommaire[[#This Row],[présence personnes retournées]]="Oui","1","0")</f>
        <v>0</v>
      </c>
      <c r="CI529" s="1442">
        <f>[1]!sommaire[[#This Row],[Flag PDI]]+[1]!sommaire[[#This Row],[Flag REF]]+[1]!sommaire[[#This Row],[Flag RET]]</f>
        <v>2</v>
      </c>
    </row>
    <row r="530" spans="1:87" ht="14.55" customHeight="1" x14ac:dyDescent="0.3">
      <c r="A530" s="390">
        <v>2636344</v>
      </c>
      <c r="B530" s="5" t="s">
        <v>533</v>
      </c>
      <c r="C530" s="1430" t="s">
        <v>3449</v>
      </c>
      <c r="D530" s="1090" t="s">
        <v>534</v>
      </c>
      <c r="E530" s="5" t="s">
        <v>31</v>
      </c>
      <c r="F530" s="5" t="s">
        <v>31</v>
      </c>
      <c r="G530" s="5" t="s">
        <v>549</v>
      </c>
      <c r="H530" s="5" t="s">
        <v>171</v>
      </c>
      <c r="I530" s="5" t="str">
        <f>_xlfn.XLOOKUP(sommaire[[#This Row],[Arrondissement_code]],OCHA_GIS!$F:$F,OCHA_GIS!$E:$E,,)</f>
        <v>Makary</v>
      </c>
      <c r="J530" s="5" t="s">
        <v>634</v>
      </c>
      <c r="K530" t="s">
        <v>2614</v>
      </c>
      <c r="L530" s="5" t="s">
        <v>797</v>
      </c>
      <c r="N530" s="5" t="s">
        <v>3053</v>
      </c>
      <c r="O530" s="5" t="s">
        <v>2467</v>
      </c>
      <c r="P530" s="5" t="s">
        <v>85</v>
      </c>
      <c r="Q530" s="5" t="s">
        <v>86</v>
      </c>
      <c r="R530" s="5" t="s">
        <v>86</v>
      </c>
      <c r="T530" s="390">
        <v>4</v>
      </c>
      <c r="U530" s="5" t="s">
        <v>97</v>
      </c>
      <c r="W530" s="5" t="s">
        <v>2468</v>
      </c>
      <c r="X530" s="5" t="s">
        <v>103</v>
      </c>
      <c r="Y530" s="5" t="s">
        <v>2476</v>
      </c>
      <c r="AA530" s="5" t="s">
        <v>85</v>
      </c>
      <c r="AB530" s="5" t="s">
        <v>2469</v>
      </c>
      <c r="AC530" s="5" t="s">
        <v>2470</v>
      </c>
      <c r="AD530" s="5" t="s">
        <v>86</v>
      </c>
      <c r="AF530" s="5">
        <v>23</v>
      </c>
      <c r="AG530" s="5">
        <v>477</v>
      </c>
      <c r="AH530" s="5" t="s">
        <v>85</v>
      </c>
      <c r="AI530" s="5" t="s">
        <v>2471</v>
      </c>
      <c r="AJ530" s="5">
        <v>23</v>
      </c>
      <c r="AK530" s="5">
        <v>173</v>
      </c>
      <c r="AL530" s="5">
        <v>76</v>
      </c>
      <c r="AM530" s="5">
        <v>97</v>
      </c>
      <c r="AN530" s="5">
        <v>0</v>
      </c>
      <c r="AO530" s="5">
        <v>23</v>
      </c>
      <c r="AP530" s="5">
        <v>0</v>
      </c>
      <c r="AQ530" s="5">
        <v>0</v>
      </c>
      <c r="AT530" s="5">
        <v>0</v>
      </c>
      <c r="AU530" s="5">
        <v>0</v>
      </c>
      <c r="AX530" s="5">
        <v>0</v>
      </c>
      <c r="AY530" s="5" t="s">
        <v>86</v>
      </c>
      <c r="BN530" s="5" t="s">
        <v>86</v>
      </c>
      <c r="CD530" s="5">
        <v>0</v>
      </c>
      <c r="CF530" s="1442" t="str">
        <f>IF([1]!sommaire[[#This Row],[présence des personnes déplacés interne]]="Oui","1","0")</f>
        <v>1</v>
      </c>
      <c r="CG530" s="1442" t="str">
        <f>IF([1]!sommaire[[#This Row],[présence Réfugié hors camp]]="Oui","1","0")</f>
        <v>0</v>
      </c>
      <c r="CH530" s="1442" t="str">
        <f>IF([1]!sommaire[[#This Row],[présence personnes retournées]]="Oui","1","0")</f>
        <v>0</v>
      </c>
      <c r="CI530" s="1442">
        <f>[1]!sommaire[[#This Row],[Flag PDI]]+[1]!sommaire[[#This Row],[Flag REF]]+[1]!sommaire[[#This Row],[Flag RET]]</f>
        <v>1</v>
      </c>
    </row>
    <row r="531" spans="1:87" ht="14.55" customHeight="1" x14ac:dyDescent="0.3">
      <c r="A531" s="390">
        <v>2639013</v>
      </c>
      <c r="B531" s="5" t="s">
        <v>533</v>
      </c>
      <c r="C531" s="1430" t="s">
        <v>3449</v>
      </c>
      <c r="D531" s="1090" t="s">
        <v>534</v>
      </c>
      <c r="E531" s="5" t="s">
        <v>31</v>
      </c>
      <c r="F531" s="5" t="s">
        <v>31</v>
      </c>
      <c r="G531" s="5" t="s">
        <v>549</v>
      </c>
      <c r="H531" s="5" t="s">
        <v>171</v>
      </c>
      <c r="I531" s="5" t="str">
        <f>_xlfn.XLOOKUP(sommaire[[#This Row],[Arrondissement_code]],OCHA_GIS!$F:$F,OCHA_GIS!$E:$E,,)</f>
        <v>Makary</v>
      </c>
      <c r="J531" s="5" t="s">
        <v>634</v>
      </c>
      <c r="K531" t="s">
        <v>1363</v>
      </c>
      <c r="L531" s="5" t="s">
        <v>1781</v>
      </c>
      <c r="N531" s="5" t="s">
        <v>3053</v>
      </c>
      <c r="O531" s="5" t="s">
        <v>2467</v>
      </c>
      <c r="P531" s="5" t="s">
        <v>85</v>
      </c>
      <c r="Q531" s="5" t="s">
        <v>86</v>
      </c>
      <c r="R531" s="5" t="s">
        <v>86</v>
      </c>
      <c r="T531" s="390">
        <v>3</v>
      </c>
      <c r="U531" s="5" t="s">
        <v>97</v>
      </c>
      <c r="W531" s="5" t="s">
        <v>2468</v>
      </c>
      <c r="X531" s="5" t="s">
        <v>102</v>
      </c>
      <c r="AA531" s="5" t="s">
        <v>85</v>
      </c>
      <c r="AB531" s="5" t="s">
        <v>2469</v>
      </c>
      <c r="AC531" s="5" t="s">
        <v>2470</v>
      </c>
      <c r="AD531" s="5" t="s">
        <v>86</v>
      </c>
      <c r="AF531" s="5">
        <v>8</v>
      </c>
      <c r="AG531" s="5">
        <v>2500</v>
      </c>
      <c r="AH531" s="5" t="s">
        <v>85</v>
      </c>
      <c r="AI531" s="5" t="s">
        <v>2471</v>
      </c>
      <c r="AJ531" s="5">
        <v>8</v>
      </c>
      <c r="AK531" s="5">
        <v>65</v>
      </c>
      <c r="AL531" s="5">
        <v>30</v>
      </c>
      <c r="AM531" s="5">
        <v>35</v>
      </c>
      <c r="AN531" s="5">
        <v>0</v>
      </c>
      <c r="AO531" s="5">
        <v>8</v>
      </c>
      <c r="AP531" s="5">
        <v>0</v>
      </c>
      <c r="AQ531" s="5">
        <v>0</v>
      </c>
      <c r="AT531" s="5">
        <v>0</v>
      </c>
      <c r="AU531" s="5">
        <v>0</v>
      </c>
      <c r="AX531" s="5">
        <v>0</v>
      </c>
      <c r="AY531" s="5" t="s">
        <v>85</v>
      </c>
      <c r="AZ531" s="5">
        <v>12</v>
      </c>
      <c r="BA531" s="5">
        <v>120</v>
      </c>
      <c r="BB531" s="5">
        <v>50</v>
      </c>
      <c r="BC531" s="5">
        <v>70</v>
      </c>
      <c r="BD531" s="5">
        <v>12</v>
      </c>
      <c r="BE531" s="5">
        <v>0</v>
      </c>
      <c r="BF531" s="5">
        <v>0</v>
      </c>
      <c r="BH531" s="5">
        <v>0</v>
      </c>
      <c r="BI531" s="5">
        <v>0</v>
      </c>
      <c r="BL531" s="5">
        <v>0</v>
      </c>
      <c r="BM531" s="5">
        <v>0</v>
      </c>
      <c r="BN531" s="5" t="s">
        <v>86</v>
      </c>
      <c r="CD531" s="5">
        <v>0</v>
      </c>
      <c r="CF531" s="1442" t="str">
        <f>IF([1]!sommaire[[#This Row],[présence des personnes déplacés interne]]="Oui","1","0")</f>
        <v>1</v>
      </c>
      <c r="CG531" s="1442" t="str">
        <f>IF([1]!sommaire[[#This Row],[présence Réfugié hors camp]]="Oui","1","0")</f>
        <v>1</v>
      </c>
      <c r="CH531" s="1442" t="str">
        <f>IF([1]!sommaire[[#This Row],[présence personnes retournées]]="Oui","1","0")</f>
        <v>0</v>
      </c>
      <c r="CI531" s="1442">
        <f>[1]!sommaire[[#This Row],[Flag PDI]]+[1]!sommaire[[#This Row],[Flag REF]]+[1]!sommaire[[#This Row],[Flag RET]]</f>
        <v>2</v>
      </c>
    </row>
    <row r="532" spans="1:87" ht="14.55" customHeight="1" x14ac:dyDescent="0.3">
      <c r="A532" s="390">
        <v>2639010</v>
      </c>
      <c r="B532" s="5" t="s">
        <v>533</v>
      </c>
      <c r="C532" s="1430" t="s">
        <v>3449</v>
      </c>
      <c r="D532" s="1090" t="s">
        <v>534</v>
      </c>
      <c r="E532" s="5" t="s">
        <v>31</v>
      </c>
      <c r="F532" s="5" t="s">
        <v>31</v>
      </c>
      <c r="G532" s="5" t="s">
        <v>549</v>
      </c>
      <c r="H532" s="5" t="s">
        <v>171</v>
      </c>
      <c r="I532" s="5" t="str">
        <f>_xlfn.XLOOKUP(sommaire[[#This Row],[Arrondissement_code]],OCHA_GIS!$F:$F,OCHA_GIS!$E:$E,,)</f>
        <v>Makary</v>
      </c>
      <c r="J532" s="5" t="s">
        <v>634</v>
      </c>
      <c r="K532" t="s">
        <v>1798</v>
      </c>
      <c r="L532" s="5" t="s">
        <v>2593</v>
      </c>
      <c r="N532" s="5" t="s">
        <v>3053</v>
      </c>
      <c r="O532" s="5" t="s">
        <v>2467</v>
      </c>
      <c r="P532" s="5" t="s">
        <v>85</v>
      </c>
      <c r="Q532" s="5" t="s">
        <v>86</v>
      </c>
      <c r="R532" s="5" t="s">
        <v>86</v>
      </c>
      <c r="T532" s="390">
        <v>3</v>
      </c>
      <c r="U532" s="5" t="s">
        <v>97</v>
      </c>
      <c r="W532" s="5" t="s">
        <v>2468</v>
      </c>
      <c r="X532" s="5" t="s">
        <v>102</v>
      </c>
      <c r="AA532" s="5" t="s">
        <v>86</v>
      </c>
      <c r="AH532" s="1430" t="s">
        <v>86</v>
      </c>
      <c r="AY532" s="1430" t="s">
        <v>86</v>
      </c>
      <c r="BN532" s="1430" t="s">
        <v>86</v>
      </c>
      <c r="CF532" s="1442" t="str">
        <f>IF([1]!sommaire[[#This Row],[présence des personnes déplacés interne]]="Oui","1","0")</f>
        <v>0</v>
      </c>
      <c r="CG532" s="1442" t="str">
        <f>IF([1]!sommaire[[#This Row],[présence Réfugié hors camp]]="Oui","1","0")</f>
        <v>0</v>
      </c>
      <c r="CH532" s="1442" t="str">
        <f>IF([1]!sommaire[[#This Row],[présence personnes retournées]]="Oui","1","0")</f>
        <v>0</v>
      </c>
      <c r="CI532" s="1442">
        <f>[1]!sommaire[[#This Row],[Flag PDI]]+[1]!sommaire[[#This Row],[Flag REF]]+[1]!sommaire[[#This Row],[Flag RET]]</f>
        <v>0</v>
      </c>
    </row>
    <row r="533" spans="1:87" ht="14.55" customHeight="1" x14ac:dyDescent="0.3">
      <c r="A533" s="390">
        <v>2613049</v>
      </c>
      <c r="B533" s="5" t="s">
        <v>533</v>
      </c>
      <c r="C533" s="1430" t="s">
        <v>3449</v>
      </c>
      <c r="D533" s="1090" t="s">
        <v>534</v>
      </c>
      <c r="E533" s="5" t="s">
        <v>31</v>
      </c>
      <c r="F533" s="5" t="s">
        <v>31</v>
      </c>
      <c r="G533" s="5" t="s">
        <v>549</v>
      </c>
      <c r="H533" s="5" t="s">
        <v>171</v>
      </c>
      <c r="I533" s="5" t="str">
        <f>_xlfn.XLOOKUP(sommaire[[#This Row],[Arrondissement_code]],OCHA_GIS!$F:$F,OCHA_GIS!$E:$E,,)</f>
        <v>Makary</v>
      </c>
      <c r="J533" s="5" t="s">
        <v>634</v>
      </c>
      <c r="K533" t="s">
        <v>2616</v>
      </c>
      <c r="L533" s="5" t="s">
        <v>1878</v>
      </c>
      <c r="N533" s="5" t="s">
        <v>3053</v>
      </c>
      <c r="O533" s="5" t="s">
        <v>2467</v>
      </c>
      <c r="P533" s="5" t="s">
        <v>85</v>
      </c>
      <c r="Q533" s="5" t="s">
        <v>86</v>
      </c>
      <c r="R533" s="5" t="s">
        <v>86</v>
      </c>
      <c r="T533" s="390">
        <v>3</v>
      </c>
      <c r="U533" s="5" t="s">
        <v>97</v>
      </c>
      <c r="W533" s="5" t="s">
        <v>2468</v>
      </c>
      <c r="X533" s="5" t="s">
        <v>102</v>
      </c>
      <c r="AA533" s="5" t="s">
        <v>85</v>
      </c>
      <c r="AB533" s="5" t="s">
        <v>2469</v>
      </c>
      <c r="AC533" s="5" t="s">
        <v>2470</v>
      </c>
      <c r="AD533" s="5" t="s">
        <v>86</v>
      </c>
      <c r="AF533" s="5">
        <v>3</v>
      </c>
      <c r="AG533" s="5">
        <v>263</v>
      </c>
      <c r="AH533" s="5" t="s">
        <v>85</v>
      </c>
      <c r="AI533" s="5" t="s">
        <v>2471</v>
      </c>
      <c r="AJ533" s="5">
        <v>3</v>
      </c>
      <c r="AK533" s="5">
        <v>51</v>
      </c>
      <c r="AL533" s="5">
        <v>23</v>
      </c>
      <c r="AM533" s="5">
        <v>28</v>
      </c>
      <c r="AN533" s="5">
        <v>0</v>
      </c>
      <c r="AO533" s="5">
        <v>3</v>
      </c>
      <c r="AP533" s="5">
        <v>0</v>
      </c>
      <c r="AQ533" s="5">
        <v>0</v>
      </c>
      <c r="AT533" s="5">
        <v>0</v>
      </c>
      <c r="AU533" s="5">
        <v>0</v>
      </c>
      <c r="AX533" s="5">
        <v>0</v>
      </c>
      <c r="AY533" s="5" t="s">
        <v>86</v>
      </c>
      <c r="BN533" s="5" t="s">
        <v>86</v>
      </c>
      <c r="CD533" s="5">
        <v>0</v>
      </c>
      <c r="CF533" s="1442" t="str">
        <f>IF([1]!sommaire[[#This Row],[présence des personnes déplacés interne]]="Oui","1","0")</f>
        <v>1</v>
      </c>
      <c r="CG533" s="1442" t="str">
        <f>IF([1]!sommaire[[#This Row],[présence Réfugié hors camp]]="Oui","1","0")</f>
        <v>0</v>
      </c>
      <c r="CH533" s="1442" t="str">
        <f>IF([1]!sommaire[[#This Row],[présence personnes retournées]]="Oui","1","0")</f>
        <v>0</v>
      </c>
      <c r="CI533" s="1442">
        <f>[1]!sommaire[[#This Row],[Flag PDI]]+[1]!sommaire[[#This Row],[Flag REF]]+[1]!sommaire[[#This Row],[Flag RET]]</f>
        <v>1</v>
      </c>
    </row>
    <row r="534" spans="1:87" ht="14.55" customHeight="1" x14ac:dyDescent="0.3">
      <c r="A534" s="390">
        <v>2626553</v>
      </c>
      <c r="B534" s="5" t="s">
        <v>533</v>
      </c>
      <c r="C534" s="1430" t="s">
        <v>3449</v>
      </c>
      <c r="D534" s="1090" t="s">
        <v>534</v>
      </c>
      <c r="E534" s="5" t="s">
        <v>31</v>
      </c>
      <c r="F534" s="5" t="s">
        <v>31</v>
      </c>
      <c r="G534" s="5" t="s">
        <v>549</v>
      </c>
      <c r="H534" s="5" t="s">
        <v>171</v>
      </c>
      <c r="I534" s="5" t="str">
        <f>_xlfn.XLOOKUP(sommaire[[#This Row],[Arrondissement_code]],OCHA_GIS!$F:$F,OCHA_GIS!$E:$E,,)</f>
        <v>Makary</v>
      </c>
      <c r="J534" s="5" t="s">
        <v>634</v>
      </c>
      <c r="K534" t="s">
        <v>1780</v>
      </c>
      <c r="L534" s="5" t="s">
        <v>1717</v>
      </c>
      <c r="N534" s="5" t="s">
        <v>3053</v>
      </c>
      <c r="O534" s="5" t="s">
        <v>2467</v>
      </c>
      <c r="P534" s="5" t="s">
        <v>85</v>
      </c>
      <c r="Q534" s="5" t="s">
        <v>86</v>
      </c>
      <c r="R534" s="5" t="s">
        <v>86</v>
      </c>
      <c r="T534" s="390">
        <v>4</v>
      </c>
      <c r="U534" s="5" t="s">
        <v>97</v>
      </c>
      <c r="W534" s="5" t="s">
        <v>2468</v>
      </c>
      <c r="X534" s="5" t="s">
        <v>103</v>
      </c>
      <c r="Y534" s="5" t="s">
        <v>2476</v>
      </c>
      <c r="AA534" s="5" t="s">
        <v>85</v>
      </c>
      <c r="AB534" s="5" t="s">
        <v>2469</v>
      </c>
      <c r="AC534" s="5" t="s">
        <v>2470</v>
      </c>
      <c r="AD534" s="5" t="s">
        <v>86</v>
      </c>
      <c r="AF534" s="5">
        <v>55</v>
      </c>
      <c r="AG534" s="5">
        <v>1446</v>
      </c>
      <c r="AH534" s="5" t="s">
        <v>85</v>
      </c>
      <c r="AI534" s="5" t="s">
        <v>2471</v>
      </c>
      <c r="AJ534" s="5">
        <v>55</v>
      </c>
      <c r="AK534" s="5">
        <v>265</v>
      </c>
      <c r="AL534" s="5">
        <v>124</v>
      </c>
      <c r="AM534" s="5">
        <v>141</v>
      </c>
      <c r="AN534" s="5">
        <v>0</v>
      </c>
      <c r="AO534" s="5">
        <v>55</v>
      </c>
      <c r="AP534" s="5">
        <v>0</v>
      </c>
      <c r="AQ534" s="5">
        <v>0</v>
      </c>
      <c r="AT534" s="5">
        <v>0</v>
      </c>
      <c r="AU534" s="5">
        <v>0</v>
      </c>
      <c r="AX534" s="5">
        <v>0</v>
      </c>
      <c r="AY534" s="5" t="s">
        <v>85</v>
      </c>
      <c r="AZ534" s="5">
        <v>5</v>
      </c>
      <c r="BA534" s="5">
        <v>37</v>
      </c>
      <c r="BB534" s="5">
        <v>16</v>
      </c>
      <c r="BC534" s="5">
        <v>21</v>
      </c>
      <c r="BD534" s="5">
        <v>5</v>
      </c>
      <c r="BE534" s="5">
        <v>0</v>
      </c>
      <c r="BF534" s="5">
        <v>0</v>
      </c>
      <c r="BH534" s="5">
        <v>0</v>
      </c>
      <c r="BI534" s="5">
        <v>0</v>
      </c>
      <c r="BL534" s="5">
        <v>0</v>
      </c>
      <c r="BM534" s="5">
        <v>0</v>
      </c>
      <c r="BN534" s="5" t="s">
        <v>86</v>
      </c>
      <c r="CD534" s="5">
        <v>0</v>
      </c>
      <c r="CF534" s="1442" t="str">
        <f>IF([1]!sommaire[[#This Row],[présence des personnes déplacés interne]]="Oui","1","0")</f>
        <v>1</v>
      </c>
      <c r="CG534" s="1442" t="str">
        <f>IF([1]!sommaire[[#This Row],[présence Réfugié hors camp]]="Oui","1","0")</f>
        <v>1</v>
      </c>
      <c r="CH534" s="1442" t="str">
        <f>IF([1]!sommaire[[#This Row],[présence personnes retournées]]="Oui","1","0")</f>
        <v>0</v>
      </c>
      <c r="CI534" s="1442">
        <f>[1]!sommaire[[#This Row],[Flag PDI]]+[1]!sommaire[[#This Row],[Flag REF]]+[1]!sommaire[[#This Row],[Flag RET]]</f>
        <v>2</v>
      </c>
    </row>
    <row r="535" spans="1:87" ht="14.55" customHeight="1" x14ac:dyDescent="0.3">
      <c r="A535" s="390">
        <v>2629277</v>
      </c>
      <c r="B535" s="5" t="s">
        <v>533</v>
      </c>
      <c r="C535" s="1430" t="s">
        <v>3449</v>
      </c>
      <c r="D535" s="1090" t="s">
        <v>534</v>
      </c>
      <c r="E535" s="5" t="s">
        <v>31</v>
      </c>
      <c r="F535" s="5" t="s">
        <v>31</v>
      </c>
      <c r="G535" s="5" t="s">
        <v>549</v>
      </c>
      <c r="H535" s="5" t="s">
        <v>171</v>
      </c>
      <c r="I535" s="5" t="str">
        <f>_xlfn.XLOOKUP(sommaire[[#This Row],[Arrondissement_code]],OCHA_GIS!$F:$F,OCHA_GIS!$E:$E,,)</f>
        <v>Makary</v>
      </c>
      <c r="J535" s="5" t="s">
        <v>634</v>
      </c>
      <c r="K535" t="s">
        <v>2618</v>
      </c>
      <c r="L535" s="5" t="s">
        <v>1213</v>
      </c>
      <c r="N535" s="5" t="s">
        <v>3053</v>
      </c>
      <c r="O535" s="5" t="s">
        <v>2467</v>
      </c>
      <c r="P535" s="5" t="s">
        <v>85</v>
      </c>
      <c r="Q535" s="5" t="s">
        <v>86</v>
      </c>
      <c r="R535" s="5" t="s">
        <v>86</v>
      </c>
      <c r="T535" s="390">
        <v>3</v>
      </c>
      <c r="U535" s="5" t="s">
        <v>97</v>
      </c>
      <c r="W535" s="5" t="s">
        <v>2468</v>
      </c>
      <c r="X535" s="5" t="s">
        <v>103</v>
      </c>
      <c r="Y535" s="5" t="s">
        <v>2476</v>
      </c>
      <c r="AA535" s="5" t="s">
        <v>85</v>
      </c>
      <c r="AB535" s="5" t="s">
        <v>2469</v>
      </c>
      <c r="AC535" s="5" t="s">
        <v>2470</v>
      </c>
      <c r="AD535" s="5" t="s">
        <v>86</v>
      </c>
      <c r="AF535" s="5">
        <v>10</v>
      </c>
      <c r="AG535" s="5">
        <v>466</v>
      </c>
      <c r="AH535" s="5" t="s">
        <v>85</v>
      </c>
      <c r="AI535" s="5" t="s">
        <v>2471</v>
      </c>
      <c r="AJ535" s="5">
        <v>10</v>
      </c>
      <c r="AK535" s="5">
        <v>75</v>
      </c>
      <c r="AL535" s="5">
        <v>35</v>
      </c>
      <c r="AM535" s="5">
        <v>40</v>
      </c>
      <c r="AN535" s="5">
        <v>0</v>
      </c>
      <c r="AO535" s="5">
        <v>10</v>
      </c>
      <c r="AP535" s="5">
        <v>0</v>
      </c>
      <c r="AQ535" s="5">
        <v>0</v>
      </c>
      <c r="AT535" s="5">
        <v>0</v>
      </c>
      <c r="AU535" s="5">
        <v>0</v>
      </c>
      <c r="AX535" s="5">
        <v>0</v>
      </c>
      <c r="AY535" s="5" t="s">
        <v>86</v>
      </c>
      <c r="BN535" s="5" t="s">
        <v>86</v>
      </c>
      <c r="CD535" s="5">
        <v>0</v>
      </c>
      <c r="CF535" s="1442" t="str">
        <f>IF([1]!sommaire[[#This Row],[présence des personnes déplacés interne]]="Oui","1","0")</f>
        <v>1</v>
      </c>
      <c r="CG535" s="1442" t="str">
        <f>IF([1]!sommaire[[#This Row],[présence Réfugié hors camp]]="Oui","1","0")</f>
        <v>0</v>
      </c>
      <c r="CH535" s="1442" t="str">
        <f>IF([1]!sommaire[[#This Row],[présence personnes retournées]]="Oui","1","0")</f>
        <v>0</v>
      </c>
      <c r="CI535" s="1442">
        <f>[1]!sommaire[[#This Row],[Flag PDI]]+[1]!sommaire[[#This Row],[Flag REF]]+[1]!sommaire[[#This Row],[Flag RET]]</f>
        <v>1</v>
      </c>
    </row>
    <row r="536" spans="1:87" ht="14.55" customHeight="1" x14ac:dyDescent="0.3">
      <c r="A536" s="390">
        <v>2627138</v>
      </c>
      <c r="B536" s="5" t="s">
        <v>533</v>
      </c>
      <c r="C536" s="1430" t="s">
        <v>3449</v>
      </c>
      <c r="D536" s="1090" t="s">
        <v>534</v>
      </c>
      <c r="E536" s="5" t="s">
        <v>31</v>
      </c>
      <c r="F536" s="5" t="s">
        <v>31</v>
      </c>
      <c r="G536" s="5" t="s">
        <v>549</v>
      </c>
      <c r="H536" s="5" t="s">
        <v>171</v>
      </c>
      <c r="I536" s="5" t="str">
        <f>_xlfn.XLOOKUP(sommaire[[#This Row],[Arrondissement_code]],OCHA_GIS!$F:$F,OCHA_GIS!$E:$E,,)</f>
        <v>Makary</v>
      </c>
      <c r="J536" s="5" t="s">
        <v>634</v>
      </c>
      <c r="K536" t="s">
        <v>2851</v>
      </c>
      <c r="L536" s="5" t="s">
        <v>1754</v>
      </c>
      <c r="N536" s="5" t="s">
        <v>3053</v>
      </c>
      <c r="O536" s="5" t="s">
        <v>2467</v>
      </c>
      <c r="P536" s="5" t="s">
        <v>85</v>
      </c>
      <c r="Q536" s="5" t="s">
        <v>86</v>
      </c>
      <c r="R536" s="5" t="s">
        <v>86</v>
      </c>
      <c r="T536" s="390">
        <v>3</v>
      </c>
      <c r="U536" s="5" t="s">
        <v>97</v>
      </c>
      <c r="W536" s="5" t="s">
        <v>2468</v>
      </c>
      <c r="X536" s="5" t="s">
        <v>102</v>
      </c>
      <c r="AA536" s="5" t="s">
        <v>85</v>
      </c>
      <c r="AB536" s="5" t="s">
        <v>2469</v>
      </c>
      <c r="AC536" s="5" t="s">
        <v>2470</v>
      </c>
      <c r="AD536" s="5" t="s">
        <v>86</v>
      </c>
      <c r="AF536" s="5">
        <v>2</v>
      </c>
      <c r="AG536" s="5">
        <v>200</v>
      </c>
      <c r="AH536" s="5" t="s">
        <v>85</v>
      </c>
      <c r="AI536" s="5" t="s">
        <v>2471</v>
      </c>
      <c r="AJ536" s="5">
        <v>2</v>
      </c>
      <c r="AK536" s="5">
        <v>8</v>
      </c>
      <c r="AL536" s="5">
        <v>5</v>
      </c>
      <c r="AM536" s="5">
        <v>3</v>
      </c>
      <c r="AN536" s="5">
        <v>0</v>
      </c>
      <c r="AO536" s="5">
        <v>2</v>
      </c>
      <c r="AP536" s="5">
        <v>0</v>
      </c>
      <c r="AQ536" s="5">
        <v>0</v>
      </c>
      <c r="AT536" s="5">
        <v>0</v>
      </c>
      <c r="AU536" s="5">
        <v>0</v>
      </c>
      <c r="AX536" s="5">
        <v>0</v>
      </c>
      <c r="AY536" s="5" t="s">
        <v>86</v>
      </c>
      <c r="BN536" s="5" t="s">
        <v>86</v>
      </c>
      <c r="CD536" s="5">
        <v>0</v>
      </c>
      <c r="CF536" s="1442" t="str">
        <f>IF([1]!sommaire[[#This Row],[présence des personnes déplacés interne]]="Oui","1","0")</f>
        <v>1</v>
      </c>
      <c r="CG536" s="1442" t="str">
        <f>IF([1]!sommaire[[#This Row],[présence Réfugié hors camp]]="Oui","1","0")</f>
        <v>0</v>
      </c>
      <c r="CH536" s="1442" t="str">
        <f>IF([1]!sommaire[[#This Row],[présence personnes retournées]]="Oui","1","0")</f>
        <v>0</v>
      </c>
      <c r="CI536" s="1442">
        <f>[1]!sommaire[[#This Row],[Flag PDI]]+[1]!sommaire[[#This Row],[Flag REF]]+[1]!sommaire[[#This Row],[Flag RET]]</f>
        <v>1</v>
      </c>
    </row>
    <row r="537" spans="1:87" ht="14.55" customHeight="1" x14ac:dyDescent="0.3">
      <c r="A537" s="390">
        <v>2627135</v>
      </c>
      <c r="B537" s="5" t="s">
        <v>533</v>
      </c>
      <c r="C537" s="1430" t="s">
        <v>3449</v>
      </c>
      <c r="D537" s="1090" t="s">
        <v>534</v>
      </c>
      <c r="E537" s="5" t="s">
        <v>31</v>
      </c>
      <c r="F537" s="5" t="s">
        <v>31</v>
      </c>
      <c r="G537" s="5" t="s">
        <v>549</v>
      </c>
      <c r="H537" s="5" t="s">
        <v>171</v>
      </c>
      <c r="I537" s="5" t="str">
        <f>_xlfn.XLOOKUP(sommaire[[#This Row],[Arrondissement_code]],OCHA_GIS!$F:$F,OCHA_GIS!$E:$E,,)</f>
        <v>Makary</v>
      </c>
      <c r="J537" s="5" t="s">
        <v>634</v>
      </c>
      <c r="K537" t="s">
        <v>2592</v>
      </c>
      <c r="L537" s="5" t="s">
        <v>1964</v>
      </c>
      <c r="N537" s="5" t="s">
        <v>3053</v>
      </c>
      <c r="O537" s="5" t="s">
        <v>2467</v>
      </c>
      <c r="P537" s="5" t="s">
        <v>85</v>
      </c>
      <c r="Q537" s="5" t="s">
        <v>86</v>
      </c>
      <c r="R537" s="5" t="s">
        <v>86</v>
      </c>
      <c r="T537" s="1190">
        <v>3</v>
      </c>
      <c r="U537" s="5" t="s">
        <v>97</v>
      </c>
      <c r="W537" s="5" t="s">
        <v>2468</v>
      </c>
      <c r="X537" s="5" t="s">
        <v>102</v>
      </c>
      <c r="AA537" s="5" t="s">
        <v>85</v>
      </c>
      <c r="AB537" s="5" t="s">
        <v>2469</v>
      </c>
      <c r="AC537" s="5" t="s">
        <v>2470</v>
      </c>
      <c r="AD537" s="5" t="s">
        <v>86</v>
      </c>
      <c r="AF537" s="5">
        <v>9</v>
      </c>
      <c r="AG537" s="5">
        <v>432</v>
      </c>
      <c r="AH537" s="5" t="s">
        <v>85</v>
      </c>
      <c r="AI537" s="5" t="s">
        <v>2471</v>
      </c>
      <c r="AJ537" s="5">
        <v>9</v>
      </c>
      <c r="AK537" s="5">
        <v>71</v>
      </c>
      <c r="AL537" s="5">
        <v>40</v>
      </c>
      <c r="AM537" s="5">
        <v>31</v>
      </c>
      <c r="AN537" s="5">
        <v>0</v>
      </c>
      <c r="AO537" s="5">
        <v>9</v>
      </c>
      <c r="AP537" s="5">
        <v>0</v>
      </c>
      <c r="AQ537" s="5">
        <v>0</v>
      </c>
      <c r="AT537" s="5">
        <v>0</v>
      </c>
      <c r="AU537" s="5">
        <v>0</v>
      </c>
      <c r="AX537" s="5">
        <v>0</v>
      </c>
      <c r="AY537" s="5" t="s">
        <v>86</v>
      </c>
      <c r="BN537" s="5" t="s">
        <v>86</v>
      </c>
      <c r="CD537" s="5">
        <v>0</v>
      </c>
      <c r="CF537" s="1442" t="str">
        <f>IF([1]!sommaire[[#This Row],[présence des personnes déplacés interne]]="Oui","1","0")</f>
        <v>1</v>
      </c>
      <c r="CG537" s="1442" t="str">
        <f>IF([1]!sommaire[[#This Row],[présence Réfugié hors camp]]="Oui","1","0")</f>
        <v>0</v>
      </c>
      <c r="CH537" s="1442" t="str">
        <f>IF([1]!sommaire[[#This Row],[présence personnes retournées]]="Oui","1","0")</f>
        <v>0</v>
      </c>
      <c r="CI537" s="1442">
        <f>[1]!sommaire[[#This Row],[Flag PDI]]+[1]!sommaire[[#This Row],[Flag REF]]+[1]!sommaire[[#This Row],[Flag RET]]</f>
        <v>1</v>
      </c>
    </row>
    <row r="538" spans="1:87" ht="14.55" customHeight="1" x14ac:dyDescent="0.3">
      <c r="A538" s="390">
        <v>2615537</v>
      </c>
      <c r="B538" s="5" t="s">
        <v>533</v>
      </c>
      <c r="C538" s="1430" t="s">
        <v>3449</v>
      </c>
      <c r="D538" s="1090" t="s">
        <v>534</v>
      </c>
      <c r="E538" s="5" t="s">
        <v>31</v>
      </c>
      <c r="F538" s="5" t="s">
        <v>31</v>
      </c>
      <c r="G538" s="5" t="s">
        <v>549</v>
      </c>
      <c r="H538" s="5" t="s">
        <v>171</v>
      </c>
      <c r="I538" s="5" t="str">
        <f>_xlfn.XLOOKUP(sommaire[[#This Row],[Arrondissement_code]],OCHA_GIS!$F:$F,OCHA_GIS!$E:$E,,)</f>
        <v>Makary</v>
      </c>
      <c r="J538" s="5" t="s">
        <v>634</v>
      </c>
      <c r="K538" t="s">
        <v>2856</v>
      </c>
      <c r="L538" s="5" t="s">
        <v>1340</v>
      </c>
      <c r="N538" s="5" t="s">
        <v>3053</v>
      </c>
      <c r="O538" s="5" t="s">
        <v>2467</v>
      </c>
      <c r="P538" s="5" t="s">
        <v>85</v>
      </c>
      <c r="Q538" s="5" t="s">
        <v>86</v>
      </c>
      <c r="R538" s="5" t="s">
        <v>86</v>
      </c>
      <c r="T538" s="1190">
        <v>3</v>
      </c>
      <c r="U538" s="5" t="s">
        <v>97</v>
      </c>
      <c r="W538" s="5" t="s">
        <v>2468</v>
      </c>
      <c r="X538" s="5" t="s">
        <v>102</v>
      </c>
      <c r="AA538" s="5" t="s">
        <v>85</v>
      </c>
      <c r="AB538" s="5" t="s">
        <v>2469</v>
      </c>
      <c r="AC538" s="5" t="s">
        <v>2470</v>
      </c>
      <c r="AD538" s="5" t="s">
        <v>86</v>
      </c>
      <c r="AF538" s="5">
        <v>15</v>
      </c>
      <c r="AG538" s="5">
        <v>473</v>
      </c>
      <c r="AH538" s="5" t="s">
        <v>85</v>
      </c>
      <c r="AI538" s="5" t="s">
        <v>2471</v>
      </c>
      <c r="AJ538" s="5">
        <v>15</v>
      </c>
      <c r="AK538" s="5">
        <v>87</v>
      </c>
      <c r="AL538" s="5">
        <v>35</v>
      </c>
      <c r="AM538" s="5">
        <v>52</v>
      </c>
      <c r="AN538" s="5">
        <v>0</v>
      </c>
      <c r="AO538" s="5">
        <v>15</v>
      </c>
      <c r="AP538" s="5">
        <v>0</v>
      </c>
      <c r="AQ538" s="5">
        <v>0</v>
      </c>
      <c r="AT538" s="5">
        <v>0</v>
      </c>
      <c r="AU538" s="5">
        <v>0</v>
      </c>
      <c r="AX538" s="5">
        <v>0</v>
      </c>
      <c r="AY538" s="5" t="s">
        <v>85</v>
      </c>
      <c r="AZ538" s="5">
        <v>10</v>
      </c>
      <c r="BA538" s="5">
        <v>45</v>
      </c>
      <c r="BB538" s="5">
        <v>20</v>
      </c>
      <c r="BC538" s="5">
        <v>25</v>
      </c>
      <c r="BD538" s="5">
        <v>10</v>
      </c>
      <c r="BE538" s="5">
        <v>0</v>
      </c>
      <c r="BF538" s="5">
        <v>0</v>
      </c>
      <c r="BH538" s="5">
        <v>0</v>
      </c>
      <c r="BI538" s="5">
        <v>0</v>
      </c>
      <c r="BL538" s="5">
        <v>0</v>
      </c>
      <c r="BM538" s="5">
        <v>0</v>
      </c>
      <c r="BN538" s="5" t="s">
        <v>86</v>
      </c>
      <c r="CD538" s="5">
        <v>0</v>
      </c>
      <c r="CF538" s="1442" t="str">
        <f>IF([1]!sommaire[[#This Row],[présence des personnes déplacés interne]]="Oui","1","0")</f>
        <v>1</v>
      </c>
      <c r="CG538" s="1442" t="str">
        <f>IF([1]!sommaire[[#This Row],[présence Réfugié hors camp]]="Oui","1","0")</f>
        <v>1</v>
      </c>
      <c r="CH538" s="1442" t="str">
        <f>IF([1]!sommaire[[#This Row],[présence personnes retournées]]="Oui","1","0")</f>
        <v>0</v>
      </c>
      <c r="CI538" s="1442">
        <f>[1]!sommaire[[#This Row],[Flag PDI]]+[1]!sommaire[[#This Row],[Flag REF]]+[1]!sommaire[[#This Row],[Flag RET]]</f>
        <v>2</v>
      </c>
    </row>
    <row r="539" spans="1:87" ht="14.55" customHeight="1" x14ac:dyDescent="0.3">
      <c r="A539" s="390">
        <v>2639007</v>
      </c>
      <c r="B539" s="5" t="s">
        <v>533</v>
      </c>
      <c r="C539" s="1430" t="s">
        <v>3449</v>
      </c>
      <c r="D539" s="1090" t="s">
        <v>534</v>
      </c>
      <c r="E539" s="5" t="s">
        <v>31</v>
      </c>
      <c r="F539" s="5" t="s">
        <v>31</v>
      </c>
      <c r="G539" s="5" t="s">
        <v>549</v>
      </c>
      <c r="H539" s="1144" t="s">
        <v>171</v>
      </c>
      <c r="I539" s="1144" t="str">
        <f>_xlfn.XLOOKUP(sommaire[[#This Row],[Arrondissement_code]],OCHA_GIS!$F:$F,OCHA_GIS!$E:$E,,)</f>
        <v>Makary</v>
      </c>
      <c r="J539" s="5" t="s">
        <v>634</v>
      </c>
      <c r="K539" t="s">
        <v>1753</v>
      </c>
      <c r="L539" s="5" t="s">
        <v>1300</v>
      </c>
      <c r="N539" s="5" t="s">
        <v>3053</v>
      </c>
      <c r="O539" s="5" t="s">
        <v>2467</v>
      </c>
      <c r="P539" s="5" t="s">
        <v>85</v>
      </c>
      <c r="Q539" s="5" t="s">
        <v>86</v>
      </c>
      <c r="R539" s="5" t="s">
        <v>86</v>
      </c>
      <c r="T539" s="390">
        <v>3</v>
      </c>
      <c r="U539" s="5" t="s">
        <v>97</v>
      </c>
      <c r="W539" s="5" t="s">
        <v>2468</v>
      </c>
      <c r="X539" s="5" t="s">
        <v>102</v>
      </c>
      <c r="AA539" s="5" t="s">
        <v>85</v>
      </c>
      <c r="AB539" s="5" t="s">
        <v>2469</v>
      </c>
      <c r="AC539" s="5" t="s">
        <v>2470</v>
      </c>
      <c r="AD539" s="5" t="s">
        <v>86</v>
      </c>
      <c r="AF539" s="5">
        <v>9</v>
      </c>
      <c r="AG539" s="5">
        <v>1770</v>
      </c>
      <c r="AH539" s="5" t="s">
        <v>85</v>
      </c>
      <c r="AI539" s="5" t="s">
        <v>2471</v>
      </c>
      <c r="AJ539" s="5">
        <v>9</v>
      </c>
      <c r="AK539" s="5">
        <v>79</v>
      </c>
      <c r="AL539" s="5">
        <v>35</v>
      </c>
      <c r="AM539" s="5">
        <v>44</v>
      </c>
      <c r="AN539" s="5">
        <v>0</v>
      </c>
      <c r="AO539" s="5">
        <v>9</v>
      </c>
      <c r="AP539" s="5">
        <v>0</v>
      </c>
      <c r="AQ539" s="5">
        <v>0</v>
      </c>
      <c r="AT539" s="5">
        <v>0</v>
      </c>
      <c r="AU539" s="5">
        <v>0</v>
      </c>
      <c r="AX539" s="5">
        <v>0</v>
      </c>
      <c r="AY539" s="5" t="s">
        <v>86</v>
      </c>
      <c r="BN539" s="5" t="s">
        <v>86</v>
      </c>
      <c r="CD539" s="5">
        <v>0</v>
      </c>
      <c r="CF539" s="1442" t="str">
        <f>IF([1]!sommaire[[#This Row],[présence des personnes déplacés interne]]="Oui","1","0")</f>
        <v>1</v>
      </c>
      <c r="CG539" s="1442" t="str">
        <f>IF([1]!sommaire[[#This Row],[présence Réfugié hors camp]]="Oui","1","0")</f>
        <v>0</v>
      </c>
      <c r="CH539" s="1442" t="str">
        <f>IF([1]!sommaire[[#This Row],[présence personnes retournées]]="Oui","1","0")</f>
        <v>0</v>
      </c>
      <c r="CI539" s="1442">
        <f>[1]!sommaire[[#This Row],[Flag PDI]]+[1]!sommaire[[#This Row],[Flag REF]]+[1]!sommaire[[#This Row],[Flag RET]]</f>
        <v>1</v>
      </c>
    </row>
    <row r="540" spans="1:87" ht="14.55" customHeight="1" x14ac:dyDescent="0.3">
      <c r="A540" s="390">
        <v>2580362</v>
      </c>
      <c r="B540" s="5" t="s">
        <v>533</v>
      </c>
      <c r="C540" s="1430" t="s">
        <v>3449</v>
      </c>
      <c r="D540" s="1090" t="s">
        <v>534</v>
      </c>
      <c r="E540" s="5" t="s">
        <v>31</v>
      </c>
      <c r="F540" s="5" t="s">
        <v>31</v>
      </c>
      <c r="G540" s="5" t="s">
        <v>549</v>
      </c>
      <c r="H540" s="5" t="s">
        <v>171</v>
      </c>
      <c r="I540" s="5" t="str">
        <f>_xlfn.XLOOKUP(sommaire[[#This Row],[Arrondissement_code]],OCHA_GIS!$F:$F,OCHA_GIS!$E:$E,,)</f>
        <v>Makary</v>
      </c>
      <c r="J540" s="5" t="s">
        <v>634</v>
      </c>
      <c r="K540" t="s">
        <v>1963</v>
      </c>
      <c r="L540" s="5" t="s">
        <v>975</v>
      </c>
      <c r="N540" s="5" t="s">
        <v>3053</v>
      </c>
      <c r="O540" s="5" t="s">
        <v>2467</v>
      </c>
      <c r="P540" s="5" t="s">
        <v>85</v>
      </c>
      <c r="Q540" s="5" t="s">
        <v>86</v>
      </c>
      <c r="R540" s="5" t="s">
        <v>86</v>
      </c>
      <c r="T540" s="390">
        <v>3</v>
      </c>
      <c r="U540" s="5" t="s">
        <v>97</v>
      </c>
      <c r="W540" s="5" t="s">
        <v>2468</v>
      </c>
      <c r="X540" s="5" t="s">
        <v>102</v>
      </c>
      <c r="AA540" s="5" t="s">
        <v>85</v>
      </c>
      <c r="AB540" s="5" t="s">
        <v>2469</v>
      </c>
      <c r="AC540" s="5" t="s">
        <v>2470</v>
      </c>
      <c r="AD540" s="5" t="s">
        <v>86</v>
      </c>
      <c r="AF540" s="5">
        <v>56</v>
      </c>
      <c r="AG540" s="5">
        <v>781</v>
      </c>
      <c r="AH540" s="5" t="s">
        <v>85</v>
      </c>
      <c r="AI540" s="5" t="s">
        <v>2471</v>
      </c>
      <c r="AJ540" s="5">
        <v>56</v>
      </c>
      <c r="AK540" s="5">
        <v>200</v>
      </c>
      <c r="AL540" s="5">
        <v>93</v>
      </c>
      <c r="AM540" s="5">
        <v>107</v>
      </c>
      <c r="AN540" s="5">
        <v>0</v>
      </c>
      <c r="AO540" s="5">
        <v>56</v>
      </c>
      <c r="AP540" s="5">
        <v>0</v>
      </c>
      <c r="AQ540" s="5">
        <v>0</v>
      </c>
      <c r="AT540" s="5">
        <v>0</v>
      </c>
      <c r="AU540" s="5">
        <v>0</v>
      </c>
      <c r="AX540" s="5">
        <v>0</v>
      </c>
      <c r="AY540" s="5" t="s">
        <v>86</v>
      </c>
      <c r="BN540" s="5" t="s">
        <v>86</v>
      </c>
      <c r="CD540" s="5">
        <v>0</v>
      </c>
      <c r="CF540" s="1442" t="str">
        <f>IF([1]!sommaire[[#This Row],[présence des personnes déplacés interne]]="Oui","1","0")</f>
        <v>1</v>
      </c>
      <c r="CG540" s="1442" t="str">
        <f>IF([1]!sommaire[[#This Row],[présence Réfugié hors camp]]="Oui","1","0")</f>
        <v>0</v>
      </c>
      <c r="CH540" s="1442" t="str">
        <f>IF([1]!sommaire[[#This Row],[présence personnes retournées]]="Oui","1","0")</f>
        <v>0</v>
      </c>
      <c r="CI540" s="1442">
        <f>[1]!sommaire[[#This Row],[Flag PDI]]+[1]!sommaire[[#This Row],[Flag REF]]+[1]!sommaire[[#This Row],[Flag RET]]</f>
        <v>1</v>
      </c>
    </row>
    <row r="541" spans="1:87" ht="14.55" customHeight="1" x14ac:dyDescent="0.3">
      <c r="A541" s="390">
        <v>2574931</v>
      </c>
      <c r="B541" s="5" t="s">
        <v>533</v>
      </c>
      <c r="C541" s="1430" t="s">
        <v>3449</v>
      </c>
      <c r="D541" s="1090" t="s">
        <v>534</v>
      </c>
      <c r="E541" s="5" t="s">
        <v>31</v>
      </c>
      <c r="F541" s="5" t="s">
        <v>31</v>
      </c>
      <c r="G541" s="5" t="s">
        <v>549</v>
      </c>
      <c r="H541" s="5" t="s">
        <v>171</v>
      </c>
      <c r="I541" s="5" t="str">
        <f>_xlfn.XLOOKUP(sommaire[[#This Row],[Arrondissement_code]],OCHA_GIS!$F:$F,OCHA_GIS!$E:$E,,)</f>
        <v>Makary</v>
      </c>
      <c r="J541" s="5" t="s">
        <v>634</v>
      </c>
      <c r="K541" t="s">
        <v>859</v>
      </c>
      <c r="L541" s="5" t="s">
        <v>1799</v>
      </c>
      <c r="N541" s="5" t="s">
        <v>3053</v>
      </c>
      <c r="O541" s="5" t="s">
        <v>2467</v>
      </c>
      <c r="P541" s="5" t="s">
        <v>85</v>
      </c>
      <c r="Q541" s="5" t="s">
        <v>86</v>
      </c>
      <c r="R541" s="5" t="s">
        <v>86</v>
      </c>
      <c r="T541" s="390">
        <v>3</v>
      </c>
      <c r="U541" s="5" t="s">
        <v>97</v>
      </c>
      <c r="W541" s="5" t="s">
        <v>2468</v>
      </c>
      <c r="X541" s="5" t="s">
        <v>102</v>
      </c>
      <c r="AA541" s="5" t="s">
        <v>85</v>
      </c>
      <c r="AB541" s="5" t="s">
        <v>2469</v>
      </c>
      <c r="AC541" s="5" t="s">
        <v>2470</v>
      </c>
      <c r="AD541" s="5" t="s">
        <v>86</v>
      </c>
      <c r="AF541" s="5">
        <v>27</v>
      </c>
      <c r="AG541" s="5">
        <v>429</v>
      </c>
      <c r="AH541" s="5" t="s">
        <v>85</v>
      </c>
      <c r="AI541" s="5" t="s">
        <v>2471</v>
      </c>
      <c r="AJ541" s="5">
        <v>27</v>
      </c>
      <c r="AK541" s="5">
        <v>90</v>
      </c>
      <c r="AL541" s="5">
        <v>35</v>
      </c>
      <c r="AM541" s="5">
        <v>55</v>
      </c>
      <c r="AN541" s="5">
        <v>0</v>
      </c>
      <c r="AO541" s="5">
        <v>27</v>
      </c>
      <c r="AP541" s="5">
        <v>0</v>
      </c>
      <c r="AQ541" s="5">
        <v>0</v>
      </c>
      <c r="AT541" s="5">
        <v>0</v>
      </c>
      <c r="AU541" s="5">
        <v>0</v>
      </c>
      <c r="AX541" s="5">
        <v>0</v>
      </c>
      <c r="AY541" s="5" t="s">
        <v>86</v>
      </c>
      <c r="BN541" s="5" t="s">
        <v>86</v>
      </c>
      <c r="CD541" s="5">
        <v>0</v>
      </c>
      <c r="CF541" s="1442" t="str">
        <f>IF([1]!sommaire[[#This Row],[présence des personnes déplacés interne]]="Oui","1","0")</f>
        <v>1</v>
      </c>
      <c r="CG541" s="1442" t="str">
        <f>IF([1]!sommaire[[#This Row],[présence Réfugié hors camp]]="Oui","1","0")</f>
        <v>0</v>
      </c>
      <c r="CH541" s="1442" t="str">
        <f>IF([1]!sommaire[[#This Row],[présence personnes retournées]]="Oui","1","0")</f>
        <v>0</v>
      </c>
      <c r="CI541" s="1442">
        <f>[1]!sommaire[[#This Row],[Flag PDI]]+[1]!sommaire[[#This Row],[Flag REF]]+[1]!sommaire[[#This Row],[Flag RET]]</f>
        <v>1</v>
      </c>
    </row>
    <row r="542" spans="1:87" ht="14.55" customHeight="1" x14ac:dyDescent="0.3">
      <c r="A542" s="390">
        <v>2597114</v>
      </c>
      <c r="B542" s="5" t="s">
        <v>533</v>
      </c>
      <c r="C542" s="1430" t="s">
        <v>3449</v>
      </c>
      <c r="D542" s="1090" t="s">
        <v>534</v>
      </c>
      <c r="E542" s="5" t="s">
        <v>31</v>
      </c>
      <c r="F542" s="5" t="s">
        <v>31</v>
      </c>
      <c r="G542" s="5" t="s">
        <v>549</v>
      </c>
      <c r="H542" s="1144" t="s">
        <v>171</v>
      </c>
      <c r="I542" s="1144" t="str">
        <f>_xlfn.XLOOKUP(sommaire[[#This Row],[Arrondissement_code]],OCHA_GIS!$F:$F,OCHA_GIS!$E:$E,,)</f>
        <v>Makary</v>
      </c>
      <c r="J542" s="5" t="s">
        <v>634</v>
      </c>
      <c r="K542" t="s">
        <v>1339</v>
      </c>
      <c r="L542" s="5" t="s">
        <v>848</v>
      </c>
      <c r="N542" s="5" t="s">
        <v>3053</v>
      </c>
      <c r="O542" s="5" t="s">
        <v>2467</v>
      </c>
      <c r="P542" s="5" t="s">
        <v>85</v>
      </c>
      <c r="Q542" s="5" t="s">
        <v>86</v>
      </c>
      <c r="R542" s="5" t="s">
        <v>86</v>
      </c>
      <c r="T542" s="390">
        <v>3</v>
      </c>
      <c r="U542" s="5" t="s">
        <v>97</v>
      </c>
      <c r="W542" s="5" t="s">
        <v>2468</v>
      </c>
      <c r="X542" s="5" t="s">
        <v>103</v>
      </c>
      <c r="Y542" s="5" t="s">
        <v>2476</v>
      </c>
      <c r="AA542" s="5" t="s">
        <v>85</v>
      </c>
      <c r="AB542" s="5" t="s">
        <v>2469</v>
      </c>
      <c r="AC542" s="5" t="s">
        <v>2470</v>
      </c>
      <c r="AD542" s="5" t="s">
        <v>86</v>
      </c>
      <c r="AF542" s="5">
        <v>27</v>
      </c>
      <c r="AG542" s="5">
        <v>1367</v>
      </c>
      <c r="AH542" s="5" t="s">
        <v>85</v>
      </c>
      <c r="AI542" s="5" t="s">
        <v>2471</v>
      </c>
      <c r="AJ542" s="5">
        <v>27</v>
      </c>
      <c r="AK542" s="5">
        <v>123</v>
      </c>
      <c r="AL542" s="5">
        <v>63</v>
      </c>
      <c r="AM542" s="5">
        <v>60</v>
      </c>
      <c r="AN542" s="5">
        <v>20</v>
      </c>
      <c r="AO542" s="5">
        <v>7</v>
      </c>
      <c r="AP542" s="5">
        <v>0</v>
      </c>
      <c r="AQ542" s="5">
        <v>0</v>
      </c>
      <c r="AT542" s="5">
        <v>0</v>
      </c>
      <c r="AU542" s="5">
        <v>0</v>
      </c>
      <c r="AX542" s="5">
        <v>0</v>
      </c>
      <c r="AY542" s="1090" t="s">
        <v>85</v>
      </c>
      <c r="AZ542" s="5">
        <v>3</v>
      </c>
      <c r="BA542" s="5">
        <v>21</v>
      </c>
      <c r="BB542" s="5">
        <v>9</v>
      </c>
      <c r="BC542" s="5">
        <v>12</v>
      </c>
      <c r="BD542" s="5">
        <v>3</v>
      </c>
      <c r="BE542" s="5">
        <v>0</v>
      </c>
      <c r="BF542" s="5">
        <v>0</v>
      </c>
      <c r="BH542" s="5">
        <v>0</v>
      </c>
      <c r="BI542" s="5">
        <v>0</v>
      </c>
      <c r="BL542" s="5">
        <v>0</v>
      </c>
      <c r="BM542" s="5">
        <v>0</v>
      </c>
      <c r="BN542" s="1090" t="s">
        <v>86</v>
      </c>
      <c r="CD542" s="5">
        <v>0</v>
      </c>
      <c r="CF542" s="1442" t="str">
        <f>IF([1]!sommaire[[#This Row],[présence des personnes déplacés interne]]="Oui","1","0")</f>
        <v>1</v>
      </c>
      <c r="CG542" s="1442" t="str">
        <f>IF([1]!sommaire[[#This Row],[présence Réfugié hors camp]]="Oui","1","0")</f>
        <v>1</v>
      </c>
      <c r="CH542" s="1442" t="str">
        <f>IF([1]!sommaire[[#This Row],[présence personnes retournées]]="Oui","1","0")</f>
        <v>0</v>
      </c>
      <c r="CI542" s="1442">
        <f>[1]!sommaire[[#This Row],[Flag PDI]]+[1]!sommaire[[#This Row],[Flag REF]]+[1]!sommaire[[#This Row],[Flag RET]]</f>
        <v>2</v>
      </c>
    </row>
    <row r="543" spans="1:87" ht="14.55" customHeight="1" x14ac:dyDescent="0.3">
      <c r="A543" s="390">
        <v>2605221</v>
      </c>
      <c r="B543" s="5" t="s">
        <v>533</v>
      </c>
      <c r="C543" s="1430" t="s">
        <v>3449</v>
      </c>
      <c r="D543" s="1090" t="s">
        <v>534</v>
      </c>
      <c r="E543" s="5" t="s">
        <v>31</v>
      </c>
      <c r="F543" s="5" t="s">
        <v>31</v>
      </c>
      <c r="G543" s="5" t="s">
        <v>549</v>
      </c>
      <c r="H543" s="5" t="s">
        <v>171</v>
      </c>
      <c r="I543" s="5" t="str">
        <f>_xlfn.XLOOKUP(sommaire[[#This Row],[Arrondissement_code]],OCHA_GIS!$F:$F,OCHA_GIS!$E:$E,,)</f>
        <v>Makary</v>
      </c>
      <c r="J543" s="5" t="s">
        <v>634</v>
      </c>
      <c r="K543" t="s">
        <v>1299</v>
      </c>
      <c r="L543" s="5" t="s">
        <v>1975</v>
      </c>
      <c r="N543" s="5" t="s">
        <v>3053</v>
      </c>
      <c r="O543" s="5" t="s">
        <v>2467</v>
      </c>
      <c r="P543" s="5" t="s">
        <v>85</v>
      </c>
      <c r="Q543" s="5" t="s">
        <v>86</v>
      </c>
      <c r="R543" s="5" t="s">
        <v>86</v>
      </c>
      <c r="T543" s="390">
        <v>3</v>
      </c>
      <c r="U543" s="5" t="s">
        <v>97</v>
      </c>
      <c r="W543" s="5" t="s">
        <v>2468</v>
      </c>
      <c r="X543" s="5" t="s">
        <v>102</v>
      </c>
      <c r="AA543" s="5" t="s">
        <v>85</v>
      </c>
      <c r="AB543" s="5" t="s">
        <v>2469</v>
      </c>
      <c r="AC543" s="5" t="s">
        <v>2470</v>
      </c>
      <c r="AD543" s="5" t="s">
        <v>86</v>
      </c>
      <c r="AF543" s="5">
        <v>29</v>
      </c>
      <c r="AG543" s="5">
        <v>450</v>
      </c>
      <c r="AH543" s="5" t="s">
        <v>85</v>
      </c>
      <c r="AI543" s="5" t="s">
        <v>2471</v>
      </c>
      <c r="AJ543" s="5">
        <v>29</v>
      </c>
      <c r="AK543" s="5">
        <v>85</v>
      </c>
      <c r="AL543" s="5">
        <v>40</v>
      </c>
      <c r="AM543" s="5">
        <v>45</v>
      </c>
      <c r="AN543" s="5">
        <v>7</v>
      </c>
      <c r="AO543" s="5">
        <v>22</v>
      </c>
      <c r="AP543" s="5">
        <v>0</v>
      </c>
      <c r="AQ543" s="5">
        <v>0</v>
      </c>
      <c r="AT543" s="5">
        <v>0</v>
      </c>
      <c r="AU543" s="5">
        <v>0</v>
      </c>
      <c r="AX543" s="5">
        <v>0</v>
      </c>
      <c r="AY543" s="5" t="s">
        <v>86</v>
      </c>
      <c r="BN543" s="5" t="s">
        <v>86</v>
      </c>
      <c r="CD543" s="5">
        <v>0</v>
      </c>
      <c r="CF543" s="1442" t="str">
        <f>IF([1]!sommaire[[#This Row],[présence des personnes déplacés interne]]="Oui","1","0")</f>
        <v>1</v>
      </c>
      <c r="CG543" s="1442" t="str">
        <f>IF([1]!sommaire[[#This Row],[présence Réfugié hors camp]]="Oui","1","0")</f>
        <v>0</v>
      </c>
      <c r="CH543" s="1442" t="str">
        <f>IF([1]!sommaire[[#This Row],[présence personnes retournées]]="Oui","1","0")</f>
        <v>0</v>
      </c>
      <c r="CI543" s="1442">
        <f>[1]!sommaire[[#This Row],[Flag PDI]]+[1]!sommaire[[#This Row],[Flag REF]]+[1]!sommaire[[#This Row],[Flag RET]]</f>
        <v>1</v>
      </c>
    </row>
    <row r="544" spans="1:87" ht="14.55" customHeight="1" x14ac:dyDescent="0.3">
      <c r="A544" s="390">
        <v>2580173</v>
      </c>
      <c r="B544" s="5" t="s">
        <v>533</v>
      </c>
      <c r="C544" s="1430" t="s">
        <v>3449</v>
      </c>
      <c r="D544" s="1090" t="s">
        <v>534</v>
      </c>
      <c r="E544" s="5" t="s">
        <v>31</v>
      </c>
      <c r="F544" s="5" t="s">
        <v>31</v>
      </c>
      <c r="G544" s="5" t="s">
        <v>549</v>
      </c>
      <c r="H544" s="5" t="s">
        <v>171</v>
      </c>
      <c r="I544" s="5" t="str">
        <f>_xlfn.XLOOKUP(sommaire[[#This Row],[Arrondissement_code]],OCHA_GIS!$F:$F,OCHA_GIS!$E:$E,,)</f>
        <v>Makary</v>
      </c>
      <c r="J544" s="5" t="s">
        <v>634</v>
      </c>
      <c r="K544" t="s">
        <v>926</v>
      </c>
      <c r="L544" s="5" t="s">
        <v>919</v>
      </c>
      <c r="N544" s="5" t="s">
        <v>3053</v>
      </c>
      <c r="O544" s="5" t="s">
        <v>2467</v>
      </c>
      <c r="P544" s="5" t="s">
        <v>85</v>
      </c>
      <c r="Q544" s="5" t="s">
        <v>86</v>
      </c>
      <c r="R544" s="5" t="s">
        <v>86</v>
      </c>
      <c r="T544" s="390">
        <v>3</v>
      </c>
      <c r="U544" s="5" t="s">
        <v>97</v>
      </c>
      <c r="W544" s="5" t="s">
        <v>2468</v>
      </c>
      <c r="X544" s="5" t="s">
        <v>102</v>
      </c>
      <c r="AA544" s="5" t="s">
        <v>86</v>
      </c>
      <c r="AG544" s="5">
        <v>2750</v>
      </c>
      <c r="AH544" s="1430" t="s">
        <v>86</v>
      </c>
      <c r="AY544" s="1430" t="s">
        <v>86</v>
      </c>
      <c r="BN544" s="1430" t="s">
        <v>86</v>
      </c>
      <c r="CF544" s="1442" t="str">
        <f>IF([1]!sommaire[[#This Row],[présence des personnes déplacés interne]]="Oui","1","0")</f>
        <v>0</v>
      </c>
      <c r="CG544" s="1442" t="str">
        <f>IF([1]!sommaire[[#This Row],[présence Réfugié hors camp]]="Oui","1","0")</f>
        <v>0</v>
      </c>
      <c r="CH544" s="1442" t="str">
        <f>IF([1]!sommaire[[#This Row],[présence personnes retournées]]="Oui","1","0")</f>
        <v>0</v>
      </c>
      <c r="CI544" s="1442">
        <f>[1]!sommaire[[#This Row],[Flag PDI]]+[1]!sommaire[[#This Row],[Flag REF]]+[1]!sommaire[[#This Row],[Flag RET]]</f>
        <v>0</v>
      </c>
    </row>
    <row r="545" spans="1:87" ht="14.55" customHeight="1" x14ac:dyDescent="0.3">
      <c r="A545" s="390">
        <v>2605220</v>
      </c>
      <c r="B545" s="5" t="s">
        <v>533</v>
      </c>
      <c r="C545" s="1430" t="s">
        <v>3449</v>
      </c>
      <c r="D545" s="1090" t="s">
        <v>534</v>
      </c>
      <c r="E545" s="5" t="s">
        <v>31</v>
      </c>
      <c r="F545" s="5" t="s">
        <v>31</v>
      </c>
      <c r="G545" s="5" t="s">
        <v>549</v>
      </c>
      <c r="H545" s="5" t="s">
        <v>171</v>
      </c>
      <c r="I545" s="5" t="str">
        <f>_xlfn.XLOOKUP(sommaire[[#This Row],[Arrondissement_code]],OCHA_GIS!$F:$F,OCHA_GIS!$E:$E,,)</f>
        <v>Makary</v>
      </c>
      <c r="J545" s="5" t="s">
        <v>634</v>
      </c>
      <c r="K545" t="s">
        <v>2620</v>
      </c>
      <c r="L545" s="5" t="s">
        <v>2203</v>
      </c>
      <c r="N545" s="5" t="s">
        <v>3053</v>
      </c>
      <c r="O545" s="5" t="s">
        <v>2467</v>
      </c>
      <c r="P545" s="5" t="s">
        <v>85</v>
      </c>
      <c r="Q545" s="5" t="s">
        <v>86</v>
      </c>
      <c r="R545" s="5" t="s">
        <v>86</v>
      </c>
      <c r="T545" s="390">
        <v>3</v>
      </c>
      <c r="U545" s="5" t="s">
        <v>97</v>
      </c>
      <c r="W545" s="5" t="s">
        <v>2468</v>
      </c>
      <c r="X545" s="5" t="s">
        <v>102</v>
      </c>
      <c r="AA545" s="5" t="s">
        <v>85</v>
      </c>
      <c r="AB545" s="5" t="s">
        <v>2469</v>
      </c>
      <c r="AC545" s="5" t="s">
        <v>2470</v>
      </c>
      <c r="AD545" s="5" t="s">
        <v>86</v>
      </c>
      <c r="AF545" s="5">
        <v>6</v>
      </c>
      <c r="AG545" s="5">
        <v>380</v>
      </c>
      <c r="AH545" s="5" t="s">
        <v>85</v>
      </c>
      <c r="AI545" s="5" t="s">
        <v>2471</v>
      </c>
      <c r="AJ545" s="5">
        <v>6</v>
      </c>
      <c r="AK545" s="5">
        <v>38</v>
      </c>
      <c r="AL545" s="5">
        <v>18</v>
      </c>
      <c r="AM545" s="5">
        <v>20</v>
      </c>
      <c r="AN545" s="5">
        <v>3</v>
      </c>
      <c r="AO545" s="5">
        <v>3</v>
      </c>
      <c r="AP545" s="5">
        <v>0</v>
      </c>
      <c r="AQ545" s="5">
        <v>0</v>
      </c>
      <c r="AT545" s="5">
        <v>0</v>
      </c>
      <c r="AU545" s="5">
        <v>0</v>
      </c>
      <c r="AX545" s="5">
        <v>0</v>
      </c>
      <c r="AY545" s="5" t="s">
        <v>86</v>
      </c>
      <c r="BN545" s="5" t="s">
        <v>86</v>
      </c>
      <c r="CD545" s="5">
        <v>0</v>
      </c>
      <c r="CF545" s="1442" t="str">
        <f>IF([1]!sommaire[[#This Row],[présence des personnes déplacés interne]]="Oui","1","0")</f>
        <v>1</v>
      </c>
      <c r="CG545" s="1442" t="str">
        <f>IF([1]!sommaire[[#This Row],[présence Réfugié hors camp]]="Oui","1","0")</f>
        <v>0</v>
      </c>
      <c r="CH545" s="1442" t="str">
        <f>IF([1]!sommaire[[#This Row],[présence personnes retournées]]="Oui","1","0")</f>
        <v>0</v>
      </c>
      <c r="CI545" s="1442">
        <f>[1]!sommaire[[#This Row],[Flag PDI]]+[1]!sommaire[[#This Row],[Flag REF]]+[1]!sommaire[[#This Row],[Flag RET]]</f>
        <v>1</v>
      </c>
    </row>
    <row r="546" spans="1:87" ht="14.55" customHeight="1" x14ac:dyDescent="0.3">
      <c r="A546" s="390">
        <v>2591098</v>
      </c>
      <c r="B546" s="5" t="s">
        <v>533</v>
      </c>
      <c r="C546" s="1430" t="s">
        <v>3449</v>
      </c>
      <c r="D546" s="1090" t="s">
        <v>534</v>
      </c>
      <c r="E546" s="5" t="s">
        <v>31</v>
      </c>
      <c r="F546" s="5" t="s">
        <v>31</v>
      </c>
      <c r="G546" s="5" t="s">
        <v>549</v>
      </c>
      <c r="H546" s="5" t="s">
        <v>171</v>
      </c>
      <c r="I546" s="5" t="str">
        <f>_xlfn.XLOOKUP(sommaire[[#This Row],[Arrondissement_code]],OCHA_GIS!$F:$F,OCHA_GIS!$E:$E,,)</f>
        <v>Makary</v>
      </c>
      <c r="J546" s="5" t="s">
        <v>634</v>
      </c>
      <c r="K546" t="s">
        <v>1365</v>
      </c>
      <c r="L546" s="5" t="s">
        <v>1715</v>
      </c>
      <c r="N546" s="5" t="s">
        <v>3053</v>
      </c>
      <c r="O546" s="5" t="s">
        <v>2467</v>
      </c>
      <c r="P546" s="5" t="s">
        <v>85</v>
      </c>
      <c r="Q546" s="5" t="s">
        <v>86</v>
      </c>
      <c r="R546" s="5" t="s">
        <v>86</v>
      </c>
      <c r="T546" s="390">
        <v>3</v>
      </c>
      <c r="U546" s="5" t="s">
        <v>97</v>
      </c>
      <c r="W546" s="5" t="s">
        <v>2468</v>
      </c>
      <c r="X546" s="5" t="s">
        <v>102</v>
      </c>
      <c r="AA546" s="5" t="s">
        <v>85</v>
      </c>
      <c r="AB546" s="5" t="s">
        <v>2469</v>
      </c>
      <c r="AC546" s="5" t="s">
        <v>2470</v>
      </c>
      <c r="AD546" s="5" t="s">
        <v>86</v>
      </c>
      <c r="AF546" s="5">
        <v>24</v>
      </c>
      <c r="AG546" s="5">
        <v>909</v>
      </c>
      <c r="AH546" s="5" t="s">
        <v>85</v>
      </c>
      <c r="AI546" s="5" t="s">
        <v>2471</v>
      </c>
      <c r="AJ546" s="5">
        <v>24</v>
      </c>
      <c r="AK546" s="5">
        <v>167</v>
      </c>
      <c r="AL546" s="5">
        <v>71</v>
      </c>
      <c r="AM546" s="5">
        <v>96</v>
      </c>
      <c r="AN546" s="5">
        <v>0</v>
      </c>
      <c r="AO546" s="5">
        <v>24</v>
      </c>
      <c r="AP546" s="5">
        <v>0</v>
      </c>
      <c r="AQ546" s="5">
        <v>0</v>
      </c>
      <c r="AT546" s="5">
        <v>0</v>
      </c>
      <c r="AU546" s="5">
        <v>0</v>
      </c>
      <c r="AX546" s="5">
        <v>0</v>
      </c>
      <c r="AY546" s="5" t="s">
        <v>86</v>
      </c>
      <c r="BN546" s="5" t="s">
        <v>86</v>
      </c>
      <c r="CD546" s="5">
        <v>0</v>
      </c>
      <c r="CF546" s="1442" t="str">
        <f>IF([1]!sommaire[[#This Row],[présence des personnes déplacés interne]]="Oui","1","0")</f>
        <v>1</v>
      </c>
      <c r="CG546" s="1442" t="str">
        <f>IF([1]!sommaire[[#This Row],[présence Réfugié hors camp]]="Oui","1","0")</f>
        <v>0</v>
      </c>
      <c r="CH546" s="1442" t="str">
        <f>IF([1]!sommaire[[#This Row],[présence personnes retournées]]="Oui","1","0")</f>
        <v>0</v>
      </c>
      <c r="CI546" s="1442">
        <f>[1]!sommaire[[#This Row],[Flag PDI]]+[1]!sommaire[[#This Row],[Flag REF]]+[1]!sommaire[[#This Row],[Flag RET]]</f>
        <v>1</v>
      </c>
    </row>
    <row r="547" spans="1:87" ht="14.55" customHeight="1" x14ac:dyDescent="0.3">
      <c r="A547" s="390">
        <v>2670837</v>
      </c>
      <c r="B547" s="5" t="s">
        <v>533</v>
      </c>
      <c r="C547" s="1430" t="s">
        <v>3449</v>
      </c>
      <c r="D547" s="1090" t="s">
        <v>534</v>
      </c>
      <c r="E547" s="5" t="s">
        <v>31</v>
      </c>
      <c r="F547" s="5" t="s">
        <v>31</v>
      </c>
      <c r="G547" s="5" t="s">
        <v>549</v>
      </c>
      <c r="H547" s="5" t="s">
        <v>171</v>
      </c>
      <c r="I547" s="5" t="str">
        <f>_xlfn.XLOOKUP(sommaire[[#This Row],[Arrondissement_code]],OCHA_GIS!$F:$F,OCHA_GIS!$E:$E,,)</f>
        <v>Makary</v>
      </c>
      <c r="J547" s="5" t="s">
        <v>634</v>
      </c>
      <c r="K547" t="s">
        <v>1281</v>
      </c>
      <c r="L547" s="5" t="s">
        <v>1090</v>
      </c>
      <c r="N547" s="5" t="s">
        <v>3053</v>
      </c>
      <c r="O547" s="5" t="s">
        <v>2467</v>
      </c>
      <c r="P547" s="5" t="s">
        <v>85</v>
      </c>
      <c r="Q547" s="5" t="s">
        <v>86</v>
      </c>
      <c r="R547" s="5" t="s">
        <v>86</v>
      </c>
      <c r="T547" s="390">
        <v>3</v>
      </c>
      <c r="U547" s="5" t="s">
        <v>97</v>
      </c>
      <c r="W547" s="5" t="s">
        <v>2468</v>
      </c>
      <c r="X547" s="5" t="s">
        <v>103</v>
      </c>
      <c r="Y547" s="5" t="s">
        <v>2476</v>
      </c>
      <c r="AA547" s="5" t="s">
        <v>85</v>
      </c>
      <c r="AB547" s="5" t="s">
        <v>2469</v>
      </c>
      <c r="AC547" s="5" t="s">
        <v>2470</v>
      </c>
      <c r="AD547" s="5" t="s">
        <v>86</v>
      </c>
      <c r="AF547" s="5">
        <v>15</v>
      </c>
      <c r="AG547" s="5">
        <v>2417</v>
      </c>
      <c r="AH547" s="5" t="s">
        <v>85</v>
      </c>
      <c r="AI547" s="5" t="s">
        <v>2471</v>
      </c>
      <c r="AJ547" s="5">
        <v>15</v>
      </c>
      <c r="AK547" s="5">
        <v>85</v>
      </c>
      <c r="AL547" s="5">
        <v>29</v>
      </c>
      <c r="AM547" s="5">
        <v>56</v>
      </c>
      <c r="AN547" s="5">
        <v>11</v>
      </c>
      <c r="AO547" s="5">
        <v>4</v>
      </c>
      <c r="AP547" s="5">
        <v>0</v>
      </c>
      <c r="AQ547" s="5">
        <v>0</v>
      </c>
      <c r="AT547" s="5">
        <v>0</v>
      </c>
      <c r="AU547" s="5">
        <v>0</v>
      </c>
      <c r="AX547" s="5">
        <v>0</v>
      </c>
      <c r="AY547" s="5" t="s">
        <v>85</v>
      </c>
      <c r="AZ547" s="5">
        <v>12</v>
      </c>
      <c r="BA547" s="5">
        <v>74</v>
      </c>
      <c r="BB547" s="5">
        <v>20</v>
      </c>
      <c r="BC547" s="5">
        <v>54</v>
      </c>
      <c r="BD547" s="5">
        <v>12</v>
      </c>
      <c r="BE547" s="5">
        <v>0</v>
      </c>
      <c r="BF547" s="5">
        <v>0</v>
      </c>
      <c r="BH547" s="5">
        <v>0</v>
      </c>
      <c r="BI547" s="5">
        <v>0</v>
      </c>
      <c r="BL547" s="5">
        <v>0</v>
      </c>
      <c r="BM547" s="5">
        <v>0</v>
      </c>
      <c r="BN547" s="5" t="s">
        <v>86</v>
      </c>
      <c r="CD547" s="5">
        <v>0</v>
      </c>
      <c r="CF547" s="1442" t="str">
        <f>IF([1]!sommaire[[#This Row],[présence des personnes déplacés interne]]="Oui","1","0")</f>
        <v>1</v>
      </c>
      <c r="CG547" s="1442" t="str">
        <f>IF([1]!sommaire[[#This Row],[présence Réfugié hors camp]]="Oui","1","0")</f>
        <v>1</v>
      </c>
      <c r="CH547" s="1442" t="str">
        <f>IF([1]!sommaire[[#This Row],[présence personnes retournées]]="Oui","1","0")</f>
        <v>0</v>
      </c>
      <c r="CI547" s="1442">
        <f>[1]!sommaire[[#This Row],[Flag PDI]]+[1]!sommaire[[#This Row],[Flag REF]]+[1]!sommaire[[#This Row],[Flag RET]]</f>
        <v>2</v>
      </c>
    </row>
    <row r="548" spans="1:87" ht="14.55" customHeight="1" x14ac:dyDescent="0.3">
      <c r="A548" s="390">
        <v>2690775</v>
      </c>
      <c r="B548" s="5" t="s">
        <v>533</v>
      </c>
      <c r="C548" s="1430" t="s">
        <v>3449</v>
      </c>
      <c r="D548" s="5" t="s">
        <v>534</v>
      </c>
      <c r="E548" s="5" t="s">
        <v>31</v>
      </c>
      <c r="F548" s="5" t="s">
        <v>31</v>
      </c>
      <c r="G548" s="5" t="s">
        <v>549</v>
      </c>
      <c r="H548" s="5" t="s">
        <v>171</v>
      </c>
      <c r="I548" s="5" t="str">
        <f>_xlfn.XLOOKUP(sommaire[[#This Row],[Arrondissement_code]],OCHA_GIS!$F:$F,OCHA_GIS!$E:$E,,)</f>
        <v>Makary</v>
      </c>
      <c r="J548" s="5" t="s">
        <v>634</v>
      </c>
      <c r="K548" t="s">
        <v>2631</v>
      </c>
      <c r="L548" s="5" t="s">
        <v>2009</v>
      </c>
      <c r="N548" s="5" t="s">
        <v>3053</v>
      </c>
      <c r="O548" s="5" t="s">
        <v>2467</v>
      </c>
      <c r="P548" s="5" t="s">
        <v>86</v>
      </c>
      <c r="Q548" s="5" t="s">
        <v>86</v>
      </c>
      <c r="R548" s="5" t="s">
        <v>85</v>
      </c>
      <c r="U548" s="5" t="s">
        <v>97</v>
      </c>
      <c r="W548" s="5" t="s">
        <v>2468</v>
      </c>
      <c r="X548" s="5" t="s">
        <v>102</v>
      </c>
      <c r="AA548" s="5" t="s">
        <v>85</v>
      </c>
      <c r="AB548" s="5" t="s">
        <v>2469</v>
      </c>
      <c r="AC548" s="5" t="s">
        <v>2470</v>
      </c>
      <c r="AD548" s="5" t="s">
        <v>86</v>
      </c>
      <c r="AF548" s="5">
        <v>17</v>
      </c>
      <c r="AG548" s="5">
        <v>250</v>
      </c>
      <c r="AH548" s="5" t="s">
        <v>85</v>
      </c>
      <c r="AI548" s="5" t="s">
        <v>2471</v>
      </c>
      <c r="AJ548" s="5">
        <v>17</v>
      </c>
      <c r="AK548" s="5">
        <v>67</v>
      </c>
      <c r="AL548" s="5">
        <v>30</v>
      </c>
      <c r="AM548" s="5">
        <v>37</v>
      </c>
      <c r="AN548" s="5">
        <v>0</v>
      </c>
      <c r="AO548" s="5">
        <v>17</v>
      </c>
      <c r="AP548" s="5">
        <v>0</v>
      </c>
      <c r="AQ548" s="5">
        <v>0</v>
      </c>
      <c r="AT548" s="5">
        <v>0</v>
      </c>
      <c r="AU548" s="5">
        <v>0</v>
      </c>
      <c r="AX548" s="5">
        <v>0</v>
      </c>
      <c r="AY548" s="5" t="s">
        <v>86</v>
      </c>
      <c r="BN548" s="5" t="s">
        <v>86</v>
      </c>
      <c r="CD548" s="5">
        <v>0</v>
      </c>
      <c r="CF548" s="1442" t="str">
        <f>IF([1]!sommaire[[#This Row],[présence des personnes déplacés interne]]="Oui","1","0")</f>
        <v>1</v>
      </c>
      <c r="CG548" s="1442" t="str">
        <f>IF([1]!sommaire[[#This Row],[présence Réfugié hors camp]]="Oui","1","0")</f>
        <v>0</v>
      </c>
      <c r="CH548" s="1442" t="str">
        <f>IF([1]!sommaire[[#This Row],[présence personnes retournées]]="Oui","1","0")</f>
        <v>0</v>
      </c>
      <c r="CI548" s="1442">
        <f>[1]!sommaire[[#This Row],[Flag PDI]]+[1]!sommaire[[#This Row],[Flag REF]]+[1]!sommaire[[#This Row],[Flag RET]]</f>
        <v>1</v>
      </c>
    </row>
    <row r="549" spans="1:87" ht="14.55" customHeight="1" x14ac:dyDescent="0.3">
      <c r="A549" s="390">
        <v>2613505</v>
      </c>
      <c r="B549" s="5" t="s">
        <v>533</v>
      </c>
      <c r="C549" s="1430" t="s">
        <v>3449</v>
      </c>
      <c r="D549" s="1090" t="s">
        <v>534</v>
      </c>
      <c r="E549" s="5" t="s">
        <v>31</v>
      </c>
      <c r="F549" s="5" t="s">
        <v>31</v>
      </c>
      <c r="G549" s="5" t="s">
        <v>549</v>
      </c>
      <c r="H549" s="5" t="s">
        <v>171</v>
      </c>
      <c r="I549" s="5" t="str">
        <f>_xlfn.XLOOKUP(sommaire[[#This Row],[Arrondissement_code]],OCHA_GIS!$F:$F,OCHA_GIS!$E:$E,,)</f>
        <v>Makary</v>
      </c>
      <c r="J549" s="5" t="s">
        <v>634</v>
      </c>
      <c r="K549" t="s">
        <v>1959</v>
      </c>
      <c r="L549" s="5" t="s">
        <v>1923</v>
      </c>
      <c r="N549" s="5" t="s">
        <v>3053</v>
      </c>
      <c r="O549" s="5" t="s">
        <v>2467</v>
      </c>
      <c r="P549" s="5" t="s">
        <v>85</v>
      </c>
      <c r="Q549" s="5" t="s">
        <v>86</v>
      </c>
      <c r="R549" s="5" t="s">
        <v>85</v>
      </c>
      <c r="T549" s="390">
        <v>3</v>
      </c>
      <c r="U549" s="5" t="s">
        <v>97</v>
      </c>
      <c r="W549" s="5" t="s">
        <v>2468</v>
      </c>
      <c r="X549" s="5" t="s">
        <v>103</v>
      </c>
      <c r="Y549" s="5" t="s">
        <v>2476</v>
      </c>
      <c r="AA549" s="5" t="s">
        <v>85</v>
      </c>
      <c r="AB549" s="5" t="s">
        <v>2469</v>
      </c>
      <c r="AC549" s="5" t="s">
        <v>2470</v>
      </c>
      <c r="AD549" s="5" t="s">
        <v>86</v>
      </c>
      <c r="AF549" s="5">
        <v>13</v>
      </c>
      <c r="AG549" s="5">
        <v>324</v>
      </c>
      <c r="AH549" s="5" t="s">
        <v>85</v>
      </c>
      <c r="AI549" s="5" t="s">
        <v>2471</v>
      </c>
      <c r="AJ549" s="5">
        <v>13</v>
      </c>
      <c r="AK549" s="5">
        <v>90</v>
      </c>
      <c r="AL549" s="5">
        <v>40</v>
      </c>
      <c r="AM549" s="5">
        <v>50</v>
      </c>
      <c r="AN549" s="5">
        <v>5</v>
      </c>
      <c r="AO549" s="5">
        <v>5</v>
      </c>
      <c r="AP549" s="5">
        <v>3</v>
      </c>
      <c r="AQ549" s="5">
        <v>0</v>
      </c>
      <c r="AT549" s="5">
        <v>0</v>
      </c>
      <c r="AU549" s="5">
        <v>0</v>
      </c>
      <c r="AX549" s="5">
        <v>0</v>
      </c>
      <c r="AY549" s="5" t="s">
        <v>86</v>
      </c>
      <c r="BN549" s="5" t="s">
        <v>86</v>
      </c>
      <c r="CD549" s="5">
        <v>0</v>
      </c>
      <c r="CF549" s="1442" t="str">
        <f>IF([1]!sommaire[[#This Row],[présence des personnes déplacés interne]]="Oui","1","0")</f>
        <v>1</v>
      </c>
      <c r="CG549" s="1442" t="str">
        <f>IF([1]!sommaire[[#This Row],[présence Réfugié hors camp]]="Oui","1","0")</f>
        <v>0</v>
      </c>
      <c r="CH549" s="1442" t="str">
        <f>IF([1]!sommaire[[#This Row],[présence personnes retournées]]="Oui","1","0")</f>
        <v>0</v>
      </c>
      <c r="CI549" s="1442">
        <f>[1]!sommaire[[#This Row],[Flag PDI]]+[1]!sommaire[[#This Row],[Flag REF]]+[1]!sommaire[[#This Row],[Flag RET]]</f>
        <v>1</v>
      </c>
    </row>
    <row r="550" spans="1:87" ht="14.55" customHeight="1" x14ac:dyDescent="0.3">
      <c r="A550" s="390">
        <v>2615172</v>
      </c>
      <c r="B550" s="5" t="s">
        <v>533</v>
      </c>
      <c r="C550" s="1430" t="s">
        <v>3449</v>
      </c>
      <c r="D550" s="1090" t="s">
        <v>534</v>
      </c>
      <c r="E550" s="5" t="s">
        <v>31</v>
      </c>
      <c r="F550" s="5" t="s">
        <v>31</v>
      </c>
      <c r="G550" s="5" t="s">
        <v>549</v>
      </c>
      <c r="H550" s="5" t="s">
        <v>171</v>
      </c>
      <c r="I550" s="5" t="str">
        <f>_xlfn.XLOOKUP(sommaire[[#This Row],[Arrondissement_code]],OCHA_GIS!$F:$F,OCHA_GIS!$E:$E,,)</f>
        <v>Makary</v>
      </c>
      <c r="J550" s="5" t="s">
        <v>634</v>
      </c>
      <c r="K550" t="s">
        <v>1714</v>
      </c>
      <c r="L550" s="5" t="s">
        <v>2611</v>
      </c>
      <c r="N550" s="5" t="s">
        <v>3053</v>
      </c>
      <c r="O550" s="5" t="s">
        <v>2467</v>
      </c>
      <c r="P550" s="5" t="s">
        <v>86</v>
      </c>
      <c r="Q550" s="5" t="s">
        <v>86</v>
      </c>
      <c r="R550" s="5" t="s">
        <v>85</v>
      </c>
      <c r="U550" s="5" t="s">
        <v>98</v>
      </c>
      <c r="W550" s="5" t="s">
        <v>2482</v>
      </c>
      <c r="AA550" s="5" t="s">
        <v>86</v>
      </c>
      <c r="AH550" s="1430" t="s">
        <v>86</v>
      </c>
      <c r="AY550" s="1430" t="s">
        <v>86</v>
      </c>
      <c r="BN550" s="1430" t="s">
        <v>86</v>
      </c>
      <c r="CF550" s="1442" t="str">
        <f>IF([1]!sommaire[[#This Row],[présence des personnes déplacés interne]]="Oui","1","0")</f>
        <v>0</v>
      </c>
      <c r="CG550" s="1442" t="str">
        <f>IF([1]!sommaire[[#This Row],[présence Réfugié hors camp]]="Oui","1","0")</f>
        <v>0</v>
      </c>
      <c r="CH550" s="1442" t="str">
        <f>IF([1]!sommaire[[#This Row],[présence personnes retournées]]="Oui","1","0")</f>
        <v>0</v>
      </c>
      <c r="CI550" s="1442">
        <f>[1]!sommaire[[#This Row],[Flag PDI]]+[1]!sommaire[[#This Row],[Flag REF]]+[1]!sommaire[[#This Row],[Flag RET]]</f>
        <v>0</v>
      </c>
    </row>
    <row r="551" spans="1:87" ht="14.55" customHeight="1" x14ac:dyDescent="0.3">
      <c r="A551" s="390">
        <v>2630808</v>
      </c>
      <c r="B551" s="5" t="s">
        <v>533</v>
      </c>
      <c r="C551" s="1430" t="s">
        <v>3449</v>
      </c>
      <c r="D551" s="1090" t="s">
        <v>534</v>
      </c>
      <c r="E551" s="5" t="s">
        <v>31</v>
      </c>
      <c r="F551" s="5" t="s">
        <v>31</v>
      </c>
      <c r="G551" s="5" t="s">
        <v>549</v>
      </c>
      <c r="H551" s="5" t="s">
        <v>171</v>
      </c>
      <c r="I551" s="5" t="str">
        <f>_xlfn.XLOOKUP(sommaire[[#This Row],[Arrondissement_code]],OCHA_GIS!$F:$F,OCHA_GIS!$E:$E,,)</f>
        <v>Makary</v>
      </c>
      <c r="J551" s="5" t="s">
        <v>634</v>
      </c>
      <c r="K551" t="s">
        <v>974</v>
      </c>
      <c r="L551" s="5" t="s">
        <v>843</v>
      </c>
      <c r="N551" s="5" t="s">
        <v>3053</v>
      </c>
      <c r="O551" s="5" t="s">
        <v>2467</v>
      </c>
      <c r="P551" s="5" t="s">
        <v>85</v>
      </c>
      <c r="Q551" s="5" t="s">
        <v>86</v>
      </c>
      <c r="R551" s="5" t="s">
        <v>86</v>
      </c>
      <c r="T551" s="390">
        <v>3</v>
      </c>
      <c r="U551" s="5" t="s">
        <v>97</v>
      </c>
      <c r="W551" s="5" t="s">
        <v>2468</v>
      </c>
      <c r="X551" s="5" t="s">
        <v>102</v>
      </c>
      <c r="AA551" s="5" t="s">
        <v>85</v>
      </c>
      <c r="AB551" s="5" t="s">
        <v>2469</v>
      </c>
      <c r="AC551" s="5" t="s">
        <v>2470</v>
      </c>
      <c r="AD551" s="5" t="s">
        <v>86</v>
      </c>
      <c r="AF551" s="5">
        <v>12</v>
      </c>
      <c r="AG551" s="5">
        <v>204</v>
      </c>
      <c r="AH551" s="5" t="s">
        <v>85</v>
      </c>
      <c r="AI551" s="5" t="s">
        <v>2471</v>
      </c>
      <c r="AJ551" s="5">
        <v>12</v>
      </c>
      <c r="AK551" s="5">
        <v>157</v>
      </c>
      <c r="AL551" s="5">
        <v>57</v>
      </c>
      <c r="AM551" s="5">
        <v>100</v>
      </c>
      <c r="AN551" s="5">
        <v>0</v>
      </c>
      <c r="AO551" s="5">
        <v>12</v>
      </c>
      <c r="AP551" s="5">
        <v>0</v>
      </c>
      <c r="AQ551" s="5">
        <v>0</v>
      </c>
      <c r="AT551" s="5">
        <v>0</v>
      </c>
      <c r="AU551" s="5">
        <v>0</v>
      </c>
      <c r="AX551" s="5">
        <v>0</v>
      </c>
      <c r="AY551" s="5" t="s">
        <v>86</v>
      </c>
      <c r="BN551" s="5" t="s">
        <v>86</v>
      </c>
      <c r="CD551" s="5">
        <v>0</v>
      </c>
      <c r="CF551" s="1442" t="str">
        <f>IF([1]!sommaire[[#This Row],[présence des personnes déplacés interne]]="Oui","1","0")</f>
        <v>1</v>
      </c>
      <c r="CG551" s="1442" t="str">
        <f>IF([1]!sommaire[[#This Row],[présence Réfugié hors camp]]="Oui","1","0")</f>
        <v>0</v>
      </c>
      <c r="CH551" s="1442" t="str">
        <f>IF([1]!sommaire[[#This Row],[présence personnes retournées]]="Oui","1","0")</f>
        <v>0</v>
      </c>
      <c r="CI551" s="1442">
        <f>[1]!sommaire[[#This Row],[Flag PDI]]+[1]!sommaire[[#This Row],[Flag REF]]+[1]!sommaire[[#This Row],[Flag RET]]</f>
        <v>1</v>
      </c>
    </row>
    <row r="552" spans="1:87" ht="14.55" customHeight="1" x14ac:dyDescent="0.3">
      <c r="A552" s="390">
        <v>2634568</v>
      </c>
      <c r="B552" s="5" t="s">
        <v>533</v>
      </c>
      <c r="C552" s="1430" t="s">
        <v>3449</v>
      </c>
      <c r="D552" s="1090" t="s">
        <v>534</v>
      </c>
      <c r="E552" s="5" t="s">
        <v>31</v>
      </c>
      <c r="F552" s="5" t="s">
        <v>31</v>
      </c>
      <c r="G552" s="5" t="s">
        <v>549</v>
      </c>
      <c r="H552" s="5" t="s">
        <v>171</v>
      </c>
      <c r="I552" s="5" t="str">
        <f>_xlfn.XLOOKUP(sommaire[[#This Row],[Arrondissement_code]],OCHA_GIS!$F:$F,OCHA_GIS!$E:$E,,)</f>
        <v>Makary</v>
      </c>
      <c r="J552" s="5" t="s">
        <v>634</v>
      </c>
      <c r="K552" t="s">
        <v>847</v>
      </c>
      <c r="L552" s="5" t="s">
        <v>2595</v>
      </c>
      <c r="N552" s="5" t="s">
        <v>3053</v>
      </c>
      <c r="O552" s="5" t="s">
        <v>2467</v>
      </c>
      <c r="P552" s="5" t="s">
        <v>85</v>
      </c>
      <c r="Q552" s="5" t="s">
        <v>86</v>
      </c>
      <c r="R552" s="5" t="s">
        <v>86</v>
      </c>
      <c r="T552" s="390">
        <v>3</v>
      </c>
      <c r="U552" s="5" t="s">
        <v>98</v>
      </c>
      <c r="W552" s="5" t="s">
        <v>2482</v>
      </c>
      <c r="X552" s="1090"/>
      <c r="AA552" s="5" t="s">
        <v>86</v>
      </c>
      <c r="AH552" s="1430" t="s">
        <v>86</v>
      </c>
      <c r="AY552" s="1430" t="s">
        <v>86</v>
      </c>
      <c r="BN552" s="1430" t="s">
        <v>86</v>
      </c>
      <c r="CF552" s="1442" t="str">
        <f>IF([1]!sommaire[[#This Row],[présence des personnes déplacés interne]]="Oui","1","0")</f>
        <v>0</v>
      </c>
      <c r="CG552" s="1442" t="str">
        <f>IF([1]!sommaire[[#This Row],[présence Réfugié hors camp]]="Oui","1","0")</f>
        <v>0</v>
      </c>
      <c r="CH552" s="1442" t="str">
        <f>IF([1]!sommaire[[#This Row],[présence personnes retournées]]="Oui","1","0")</f>
        <v>0</v>
      </c>
      <c r="CI552" s="1442">
        <f>[1]!sommaire[[#This Row],[Flag PDI]]+[1]!sommaire[[#This Row],[Flag REF]]+[1]!sommaire[[#This Row],[Flag RET]]</f>
        <v>0</v>
      </c>
    </row>
    <row r="553" spans="1:87" ht="14.55" customHeight="1" x14ac:dyDescent="0.3">
      <c r="A553" s="390">
        <v>2674263</v>
      </c>
      <c r="B553" s="5" t="s">
        <v>533</v>
      </c>
      <c r="C553" s="1430" t="s">
        <v>3449</v>
      </c>
      <c r="D553" s="1090" t="s">
        <v>534</v>
      </c>
      <c r="E553" s="5" t="s">
        <v>31</v>
      </c>
      <c r="F553" s="5" t="s">
        <v>31</v>
      </c>
      <c r="G553" s="5" t="s">
        <v>549</v>
      </c>
      <c r="H553" s="5" t="s">
        <v>171</v>
      </c>
      <c r="I553" s="5" t="str">
        <f>_xlfn.XLOOKUP(sommaire[[#This Row],[Arrondissement_code]],OCHA_GIS!$F:$F,OCHA_GIS!$E:$E,,)</f>
        <v>Makary</v>
      </c>
      <c r="J553" s="5" t="s">
        <v>634</v>
      </c>
      <c r="K553" t="s">
        <v>1976</v>
      </c>
      <c r="L553" s="5" t="s">
        <v>803</v>
      </c>
      <c r="N553" s="5" t="s">
        <v>3053</v>
      </c>
      <c r="O553" s="5" t="s">
        <v>2467</v>
      </c>
      <c r="P553" s="5" t="s">
        <v>85</v>
      </c>
      <c r="Q553" s="5" t="s">
        <v>86</v>
      </c>
      <c r="R553" s="5" t="s">
        <v>86</v>
      </c>
      <c r="T553" s="390">
        <v>3</v>
      </c>
      <c r="U553" s="5" t="s">
        <v>97</v>
      </c>
      <c r="W553" s="5" t="s">
        <v>2468</v>
      </c>
      <c r="X553" s="5" t="s">
        <v>102</v>
      </c>
      <c r="AA553" s="5" t="s">
        <v>85</v>
      </c>
      <c r="AB553" s="5" t="s">
        <v>2469</v>
      </c>
      <c r="AC553" s="5" t="s">
        <v>2470</v>
      </c>
      <c r="AD553" s="5" t="s">
        <v>86</v>
      </c>
      <c r="AF553" s="5">
        <v>17</v>
      </c>
      <c r="AG553" s="5">
        <v>522</v>
      </c>
      <c r="AH553" s="5" t="s">
        <v>85</v>
      </c>
      <c r="AI553" s="5" t="s">
        <v>2471</v>
      </c>
      <c r="AJ553" s="5">
        <v>17</v>
      </c>
      <c r="AK553" s="5">
        <v>102</v>
      </c>
      <c r="AL553" s="5">
        <v>55</v>
      </c>
      <c r="AM553" s="5">
        <v>47</v>
      </c>
      <c r="AN553" s="5">
        <v>0</v>
      </c>
      <c r="AO553" s="5">
        <v>17</v>
      </c>
      <c r="AP553" s="5">
        <v>0</v>
      </c>
      <c r="AQ553" s="5">
        <v>0</v>
      </c>
      <c r="AT553" s="5">
        <v>0</v>
      </c>
      <c r="AU553" s="5">
        <v>0</v>
      </c>
      <c r="AX553" s="5">
        <v>0</v>
      </c>
      <c r="AY553" s="5" t="s">
        <v>85</v>
      </c>
      <c r="AZ553" s="5">
        <v>42</v>
      </c>
      <c r="BA553" s="5">
        <v>262</v>
      </c>
      <c r="BB553" s="5">
        <v>117</v>
      </c>
      <c r="BC553" s="5">
        <v>145</v>
      </c>
      <c r="BD553" s="5">
        <v>42</v>
      </c>
      <c r="BE553" s="5">
        <v>0</v>
      </c>
      <c r="BF553" s="5">
        <v>0</v>
      </c>
      <c r="BH553" s="5">
        <v>0</v>
      </c>
      <c r="BI553" s="5">
        <v>0</v>
      </c>
      <c r="BL553" s="5">
        <v>0</v>
      </c>
      <c r="BM553" s="5">
        <v>30</v>
      </c>
      <c r="BN553" s="5" t="s">
        <v>86</v>
      </c>
      <c r="CD553" s="5">
        <v>0</v>
      </c>
      <c r="CF553" s="1442" t="str">
        <f>IF([1]!sommaire[[#This Row],[présence des personnes déplacés interne]]="Oui","1","0")</f>
        <v>1</v>
      </c>
      <c r="CG553" s="1442" t="str">
        <f>IF([1]!sommaire[[#This Row],[présence Réfugié hors camp]]="Oui","1","0")</f>
        <v>1</v>
      </c>
      <c r="CH553" s="1442" t="str">
        <f>IF([1]!sommaire[[#This Row],[présence personnes retournées]]="Oui","1","0")</f>
        <v>0</v>
      </c>
      <c r="CI553" s="1442">
        <f>[1]!sommaire[[#This Row],[Flag PDI]]+[1]!sommaire[[#This Row],[Flag REF]]+[1]!sommaire[[#This Row],[Flag RET]]</f>
        <v>2</v>
      </c>
    </row>
    <row r="554" spans="1:87" ht="14.55" customHeight="1" x14ac:dyDescent="0.3">
      <c r="A554" s="390">
        <v>2668470</v>
      </c>
      <c r="B554" s="5" t="s">
        <v>533</v>
      </c>
      <c r="C554" s="1430" t="s">
        <v>3449</v>
      </c>
      <c r="D554" s="1090" t="s">
        <v>534</v>
      </c>
      <c r="E554" s="5" t="s">
        <v>31</v>
      </c>
      <c r="F554" s="5" t="s">
        <v>31</v>
      </c>
      <c r="G554" s="5" t="s">
        <v>549</v>
      </c>
      <c r="H554" s="5" t="s">
        <v>171</v>
      </c>
      <c r="I554" s="5" t="str">
        <f>_xlfn.XLOOKUP(sommaire[[#This Row],[Arrondissement_code]],OCHA_GIS!$F:$F,OCHA_GIS!$E:$E,,)</f>
        <v>Makary</v>
      </c>
      <c r="J554" s="5" t="s">
        <v>634</v>
      </c>
      <c r="K554" t="s">
        <v>1741</v>
      </c>
      <c r="L554" s="5" t="s">
        <v>1932</v>
      </c>
      <c r="N554" s="5" t="s">
        <v>3053</v>
      </c>
      <c r="O554" s="5" t="s">
        <v>2467</v>
      </c>
      <c r="P554" s="5" t="s">
        <v>85</v>
      </c>
      <c r="Q554" s="5" t="s">
        <v>86</v>
      </c>
      <c r="R554" s="5" t="s">
        <v>86</v>
      </c>
      <c r="T554" s="390">
        <v>3</v>
      </c>
      <c r="U554" s="5" t="s">
        <v>97</v>
      </c>
      <c r="W554" s="5" t="s">
        <v>2468</v>
      </c>
      <c r="X554" s="5" t="s">
        <v>102</v>
      </c>
      <c r="AA554" s="586" t="s">
        <v>85</v>
      </c>
      <c r="AB554" s="5" t="s">
        <v>2469</v>
      </c>
      <c r="AC554" s="5" t="s">
        <v>2470</v>
      </c>
      <c r="AD554" s="5" t="s">
        <v>86</v>
      </c>
      <c r="AF554" s="5">
        <v>3</v>
      </c>
      <c r="AG554" s="5">
        <v>160</v>
      </c>
      <c r="AH554" s="5" t="s">
        <v>85</v>
      </c>
      <c r="AI554" s="5" t="s">
        <v>2471</v>
      </c>
      <c r="AJ554" s="5">
        <v>3</v>
      </c>
      <c r="AK554" s="5">
        <v>30</v>
      </c>
      <c r="AL554" s="5">
        <v>12</v>
      </c>
      <c r="AM554" s="5">
        <v>18</v>
      </c>
      <c r="AN554" s="5">
        <v>0</v>
      </c>
      <c r="AO554" s="5">
        <v>3</v>
      </c>
      <c r="AP554" s="5">
        <v>0</v>
      </c>
      <c r="AQ554" s="5">
        <v>0</v>
      </c>
      <c r="AT554" s="5">
        <v>0</v>
      </c>
      <c r="AU554" s="5">
        <v>0</v>
      </c>
      <c r="AX554" s="5">
        <v>0</v>
      </c>
      <c r="AY554" s="5" t="s">
        <v>86</v>
      </c>
      <c r="BN554" s="5" t="s">
        <v>86</v>
      </c>
      <c r="CD554" s="5">
        <v>0</v>
      </c>
      <c r="CF554" s="1442" t="str">
        <f>IF([1]!sommaire[[#This Row],[présence des personnes déplacés interne]]="Oui","1","0")</f>
        <v>1</v>
      </c>
      <c r="CG554" s="1442" t="str">
        <f>IF([1]!sommaire[[#This Row],[présence Réfugié hors camp]]="Oui","1","0")</f>
        <v>0</v>
      </c>
      <c r="CH554" s="1442" t="str">
        <f>IF([1]!sommaire[[#This Row],[présence personnes retournées]]="Oui","1","0")</f>
        <v>0</v>
      </c>
      <c r="CI554" s="1442">
        <f>[1]!sommaire[[#This Row],[Flag PDI]]+[1]!sommaire[[#This Row],[Flag REF]]+[1]!sommaire[[#This Row],[Flag RET]]</f>
        <v>1</v>
      </c>
    </row>
    <row r="555" spans="1:87" ht="14.55" customHeight="1" x14ac:dyDescent="0.3">
      <c r="A555" s="390">
        <v>2613256</v>
      </c>
      <c r="B555" s="5" t="s">
        <v>533</v>
      </c>
      <c r="C555" s="1430" t="s">
        <v>3449</v>
      </c>
      <c r="D555" s="1090" t="s">
        <v>534</v>
      </c>
      <c r="E555" s="5" t="s">
        <v>31</v>
      </c>
      <c r="F555" s="5" t="s">
        <v>31</v>
      </c>
      <c r="G555" s="5" t="s">
        <v>549</v>
      </c>
      <c r="H555" s="5" t="s">
        <v>171</v>
      </c>
      <c r="I555" s="5" t="str">
        <f>_xlfn.XLOOKUP(sommaire[[#This Row],[Arrondissement_code]],OCHA_GIS!$F:$F,OCHA_GIS!$E:$E,,)</f>
        <v>Makary</v>
      </c>
      <c r="J555" s="5" t="s">
        <v>634</v>
      </c>
      <c r="K555" t="s">
        <v>1743</v>
      </c>
      <c r="L555" s="5" t="s">
        <v>924</v>
      </c>
      <c r="N555" s="5" t="s">
        <v>3053</v>
      </c>
      <c r="O555" s="5" t="s">
        <v>2467</v>
      </c>
      <c r="P555" s="5" t="s">
        <v>85</v>
      </c>
      <c r="Q555" s="5" t="s">
        <v>86</v>
      </c>
      <c r="R555" s="5" t="s">
        <v>86</v>
      </c>
      <c r="T555" s="390">
        <v>3</v>
      </c>
      <c r="U555" s="5" t="s">
        <v>97</v>
      </c>
      <c r="W555" s="5" t="s">
        <v>2468</v>
      </c>
      <c r="X555" s="1090" t="s">
        <v>102</v>
      </c>
      <c r="AA555" s="1090" t="s">
        <v>85</v>
      </c>
      <c r="AB555" s="5" t="s">
        <v>2469</v>
      </c>
      <c r="AC555" s="5" t="s">
        <v>2470</v>
      </c>
      <c r="AD555" s="5" t="s">
        <v>86</v>
      </c>
      <c r="AF555" s="5">
        <v>7</v>
      </c>
      <c r="AG555" s="5">
        <v>430</v>
      </c>
      <c r="AH555" s="5" t="s">
        <v>85</v>
      </c>
      <c r="AI555" s="5" t="s">
        <v>2471</v>
      </c>
      <c r="AJ555" s="5">
        <v>7</v>
      </c>
      <c r="AK555" s="5">
        <v>107</v>
      </c>
      <c r="AL555" s="5">
        <v>34</v>
      </c>
      <c r="AM555" s="5">
        <v>73</v>
      </c>
      <c r="AN555" s="5">
        <v>0</v>
      </c>
      <c r="AO555" s="5">
        <v>7</v>
      </c>
      <c r="AP555" s="5">
        <v>0</v>
      </c>
      <c r="AQ555" s="5">
        <v>0</v>
      </c>
      <c r="AT555" s="5">
        <v>0</v>
      </c>
      <c r="AU555" s="5">
        <v>0</v>
      </c>
      <c r="AX555" s="5">
        <v>0</v>
      </c>
      <c r="AY555" s="1090" t="s">
        <v>85</v>
      </c>
      <c r="AZ555" s="5">
        <v>24</v>
      </c>
      <c r="BA555" s="5">
        <v>142</v>
      </c>
      <c r="BB555" s="5">
        <v>48</v>
      </c>
      <c r="BC555" s="5">
        <v>94</v>
      </c>
      <c r="BD555" s="5">
        <v>24</v>
      </c>
      <c r="BE555" s="5">
        <v>0</v>
      </c>
      <c r="BF555" s="5">
        <v>0</v>
      </c>
      <c r="BH555" s="5">
        <v>0</v>
      </c>
      <c r="BI555" s="5">
        <v>0</v>
      </c>
      <c r="BL555" s="5">
        <v>0</v>
      </c>
      <c r="BM555" s="5">
        <v>3</v>
      </c>
      <c r="BN555" s="1090" t="s">
        <v>86</v>
      </c>
      <c r="CD555" s="5">
        <v>0</v>
      </c>
      <c r="CF555" s="1442" t="str">
        <f>IF([1]!sommaire[[#This Row],[présence des personnes déplacés interne]]="Oui","1","0")</f>
        <v>1</v>
      </c>
      <c r="CG555" s="1442" t="str">
        <f>IF([1]!sommaire[[#This Row],[présence Réfugié hors camp]]="Oui","1","0")</f>
        <v>1</v>
      </c>
      <c r="CH555" s="1442" t="str">
        <f>IF([1]!sommaire[[#This Row],[présence personnes retournées]]="Oui","1","0")</f>
        <v>0</v>
      </c>
      <c r="CI555" s="1442">
        <f>[1]!sommaire[[#This Row],[Flag PDI]]+[1]!sommaire[[#This Row],[Flag REF]]+[1]!sommaire[[#This Row],[Flag RET]]</f>
        <v>2</v>
      </c>
    </row>
    <row r="556" spans="1:87" ht="14.55" customHeight="1" x14ac:dyDescent="0.3">
      <c r="A556" s="390">
        <v>2666350</v>
      </c>
      <c r="B556" s="5" t="s">
        <v>533</v>
      </c>
      <c r="C556" s="1430" t="s">
        <v>3449</v>
      </c>
      <c r="D556" s="1090" t="s">
        <v>534</v>
      </c>
      <c r="E556" s="5" t="s">
        <v>31</v>
      </c>
      <c r="F556" s="5" t="s">
        <v>31</v>
      </c>
      <c r="G556" s="5" t="s">
        <v>549</v>
      </c>
      <c r="H556" s="5" t="s">
        <v>171</v>
      </c>
      <c r="I556" s="5" t="str">
        <f>_xlfn.XLOOKUP(sommaire[[#This Row],[Arrondissement_code]],OCHA_GIS!$F:$F,OCHA_GIS!$E:$E,,)</f>
        <v>Makary</v>
      </c>
      <c r="J556" s="5" t="s">
        <v>634</v>
      </c>
      <c r="K556" t="s">
        <v>1974</v>
      </c>
      <c r="L556" s="5" t="s">
        <v>1817</v>
      </c>
      <c r="N556" s="5" t="s">
        <v>3053</v>
      </c>
      <c r="O556" s="5" t="s">
        <v>2467</v>
      </c>
      <c r="P556" s="5" t="s">
        <v>85</v>
      </c>
      <c r="Q556" s="5" t="s">
        <v>86</v>
      </c>
      <c r="R556" s="5" t="s">
        <v>86</v>
      </c>
      <c r="T556" s="390">
        <v>3</v>
      </c>
      <c r="U556" s="5" t="s">
        <v>97</v>
      </c>
      <c r="W556" s="5" t="s">
        <v>2468</v>
      </c>
      <c r="X556" s="5" t="s">
        <v>103</v>
      </c>
      <c r="Y556" s="5" t="s">
        <v>2476</v>
      </c>
      <c r="AA556" s="5" t="s">
        <v>85</v>
      </c>
      <c r="AB556" s="5" t="s">
        <v>2469</v>
      </c>
      <c r="AC556" s="5" t="s">
        <v>2470</v>
      </c>
      <c r="AD556" s="5" t="s">
        <v>86</v>
      </c>
      <c r="AF556" s="5">
        <v>14</v>
      </c>
      <c r="AG556" s="5">
        <v>679</v>
      </c>
      <c r="AH556" s="5" t="s">
        <v>85</v>
      </c>
      <c r="AI556" s="5" t="s">
        <v>2485</v>
      </c>
      <c r="AJ556" s="5">
        <v>14</v>
      </c>
      <c r="AK556" s="5">
        <v>68</v>
      </c>
      <c r="AL556" s="5">
        <v>25</v>
      </c>
      <c r="AM556" s="5">
        <v>43</v>
      </c>
      <c r="AN556" s="5">
        <v>14</v>
      </c>
      <c r="AO556" s="5">
        <v>0</v>
      </c>
      <c r="AP556" s="5">
        <v>0</v>
      </c>
      <c r="AQ556" s="5">
        <v>0</v>
      </c>
      <c r="AT556" s="5">
        <v>0</v>
      </c>
      <c r="AU556" s="5">
        <v>0</v>
      </c>
      <c r="AX556" s="5">
        <v>0</v>
      </c>
      <c r="AY556" s="5" t="s">
        <v>85</v>
      </c>
      <c r="AZ556" s="5">
        <v>10</v>
      </c>
      <c r="BA556" s="5">
        <v>36</v>
      </c>
      <c r="BB556" s="5">
        <v>16</v>
      </c>
      <c r="BC556" s="5">
        <v>20</v>
      </c>
      <c r="BD556" s="5">
        <v>10</v>
      </c>
      <c r="BE556" s="5">
        <v>0</v>
      </c>
      <c r="BF556" s="5">
        <v>0</v>
      </c>
      <c r="BH556" s="5">
        <v>0</v>
      </c>
      <c r="BI556" s="5">
        <v>0</v>
      </c>
      <c r="BL556" s="5">
        <v>0</v>
      </c>
      <c r="BM556" s="5">
        <v>0</v>
      </c>
      <c r="BN556" s="5" t="s">
        <v>86</v>
      </c>
      <c r="CD556" s="5">
        <v>3</v>
      </c>
      <c r="CF556" s="1442" t="str">
        <f>IF([1]!sommaire[[#This Row],[présence des personnes déplacés interne]]="Oui","1","0")</f>
        <v>1</v>
      </c>
      <c r="CG556" s="1442" t="str">
        <f>IF([1]!sommaire[[#This Row],[présence Réfugié hors camp]]="Oui","1","0")</f>
        <v>1</v>
      </c>
      <c r="CH556" s="1442" t="str">
        <f>IF([1]!sommaire[[#This Row],[présence personnes retournées]]="Oui","1","0")</f>
        <v>0</v>
      </c>
      <c r="CI556" s="1442">
        <f>[1]!sommaire[[#This Row],[Flag PDI]]+[1]!sommaire[[#This Row],[Flag REF]]+[1]!sommaire[[#This Row],[Flag RET]]</f>
        <v>2</v>
      </c>
    </row>
    <row r="557" spans="1:87" ht="14.55" customHeight="1" x14ac:dyDescent="0.3">
      <c r="A557" s="390">
        <v>2623454</v>
      </c>
      <c r="B557" s="5" t="s">
        <v>533</v>
      </c>
      <c r="C557" s="1430" t="s">
        <v>3449</v>
      </c>
      <c r="D557" s="1090" t="s">
        <v>534</v>
      </c>
      <c r="E557" s="5" t="s">
        <v>31</v>
      </c>
      <c r="F557" s="5" t="s">
        <v>31</v>
      </c>
      <c r="G557" s="5" t="s">
        <v>549</v>
      </c>
      <c r="H557" s="5" t="s">
        <v>171</v>
      </c>
      <c r="I557" s="5" t="str">
        <f>_xlfn.XLOOKUP(sommaire[[#This Row],[Arrondissement_code]],OCHA_GIS!$F:$F,OCHA_GIS!$E:$E,,)</f>
        <v>Makary</v>
      </c>
      <c r="J557" s="5" t="s">
        <v>634</v>
      </c>
      <c r="K557" t="s">
        <v>1283</v>
      </c>
      <c r="L557" s="5" t="s">
        <v>2635</v>
      </c>
      <c r="N557" s="5" t="s">
        <v>3053</v>
      </c>
      <c r="O557" s="5" t="s">
        <v>2467</v>
      </c>
      <c r="P557" s="5" t="s">
        <v>85</v>
      </c>
      <c r="Q557" s="5" t="s">
        <v>86</v>
      </c>
      <c r="R557" s="5" t="s">
        <v>86</v>
      </c>
      <c r="T557" s="390">
        <v>3</v>
      </c>
      <c r="U557" s="5" t="s">
        <v>97</v>
      </c>
      <c r="W557" s="5" t="s">
        <v>2468</v>
      </c>
      <c r="X557" s="5" t="s">
        <v>102</v>
      </c>
      <c r="AA557" s="5" t="s">
        <v>86</v>
      </c>
      <c r="AG557" s="5">
        <v>114</v>
      </c>
      <c r="AH557" s="1430" t="s">
        <v>86</v>
      </c>
      <c r="AY557" s="1430" t="s">
        <v>86</v>
      </c>
      <c r="BN557" s="1430" t="s">
        <v>86</v>
      </c>
      <c r="CF557" s="1442" t="str">
        <f>IF([1]!sommaire[[#This Row],[présence des personnes déplacés interne]]="Oui","1","0")</f>
        <v>0</v>
      </c>
      <c r="CG557" s="1442" t="str">
        <f>IF([1]!sommaire[[#This Row],[présence Réfugié hors camp]]="Oui","1","0")</f>
        <v>0</v>
      </c>
      <c r="CH557" s="1442" t="str">
        <f>IF([1]!sommaire[[#This Row],[présence personnes retournées]]="Oui","1","0")</f>
        <v>0</v>
      </c>
      <c r="CI557" s="1442">
        <f>[1]!sommaire[[#This Row],[Flag PDI]]+[1]!sommaire[[#This Row],[Flag REF]]+[1]!sommaire[[#This Row],[Flag RET]]</f>
        <v>0</v>
      </c>
    </row>
    <row r="558" spans="1:87" ht="14.55" customHeight="1" x14ac:dyDescent="0.3">
      <c r="A558" s="390">
        <v>2645443</v>
      </c>
      <c r="B558" s="5" t="s">
        <v>533</v>
      </c>
      <c r="C558" s="1430" t="s">
        <v>3449</v>
      </c>
      <c r="D558" s="1090" t="s">
        <v>534</v>
      </c>
      <c r="E558" s="5" t="s">
        <v>31</v>
      </c>
      <c r="F558" s="5" t="s">
        <v>31</v>
      </c>
      <c r="G558" s="5" t="s">
        <v>549</v>
      </c>
      <c r="H558" s="5" t="s">
        <v>171</v>
      </c>
      <c r="I558" s="5" t="str">
        <f>_xlfn.XLOOKUP(sommaire[[#This Row],[Arrondissement_code]],OCHA_GIS!$F:$F,OCHA_GIS!$E:$E,,)</f>
        <v>Makary</v>
      </c>
      <c r="J558" s="5" t="s">
        <v>634</v>
      </c>
      <c r="K558" t="s">
        <v>2621</v>
      </c>
      <c r="L558" s="5" t="s">
        <v>1785</v>
      </c>
      <c r="N558" s="5" t="s">
        <v>3053</v>
      </c>
      <c r="O558" s="5" t="s">
        <v>2467</v>
      </c>
      <c r="P558" s="5" t="s">
        <v>85</v>
      </c>
      <c r="Q558" s="5" t="s">
        <v>86</v>
      </c>
      <c r="R558" s="5" t="s">
        <v>85</v>
      </c>
      <c r="T558" s="390">
        <v>3</v>
      </c>
      <c r="U558" s="5" t="s">
        <v>97</v>
      </c>
      <c r="W558" s="5" t="s">
        <v>2468</v>
      </c>
      <c r="X558" s="5" t="s">
        <v>103</v>
      </c>
      <c r="Y558" s="5" t="s">
        <v>2476</v>
      </c>
      <c r="AA558" s="5" t="s">
        <v>85</v>
      </c>
      <c r="AB558" s="5" t="s">
        <v>2469</v>
      </c>
      <c r="AC558" s="5" t="s">
        <v>2470</v>
      </c>
      <c r="AD558" s="5" t="s">
        <v>86</v>
      </c>
      <c r="AF558" s="5">
        <v>8</v>
      </c>
      <c r="AG558" s="5">
        <v>315</v>
      </c>
      <c r="AH558" s="5" t="s">
        <v>85</v>
      </c>
      <c r="AI558" s="5" t="s">
        <v>2486</v>
      </c>
      <c r="AJ558" s="5">
        <v>8</v>
      </c>
      <c r="AK558" s="5">
        <v>74</v>
      </c>
      <c r="AL558" s="5">
        <v>34</v>
      </c>
      <c r="AM558" s="5">
        <v>40</v>
      </c>
      <c r="AN558" s="5">
        <v>2</v>
      </c>
      <c r="AO558" s="5">
        <v>2</v>
      </c>
      <c r="AP558" s="5">
        <v>4</v>
      </c>
      <c r="AQ558" s="5">
        <v>0</v>
      </c>
      <c r="AT558" s="5">
        <v>0</v>
      </c>
      <c r="AU558" s="5">
        <v>0</v>
      </c>
      <c r="AX558" s="5">
        <v>0</v>
      </c>
      <c r="AY558" s="5" t="s">
        <v>86</v>
      </c>
      <c r="BN558" s="5" t="s">
        <v>86</v>
      </c>
      <c r="CD558" s="5">
        <v>0</v>
      </c>
      <c r="CF558" s="1442" t="str">
        <f>IF([1]!sommaire[[#This Row],[présence des personnes déplacés interne]]="Oui","1","0")</f>
        <v>1</v>
      </c>
      <c r="CG558" s="1442" t="str">
        <f>IF([1]!sommaire[[#This Row],[présence Réfugié hors camp]]="Oui","1","0")</f>
        <v>0</v>
      </c>
      <c r="CH558" s="1442" t="str">
        <f>IF([1]!sommaire[[#This Row],[présence personnes retournées]]="Oui","1","0")</f>
        <v>0</v>
      </c>
      <c r="CI558" s="1442">
        <f>[1]!sommaire[[#This Row],[Flag PDI]]+[1]!sommaire[[#This Row],[Flag REF]]+[1]!sommaire[[#This Row],[Flag RET]]</f>
        <v>1</v>
      </c>
    </row>
    <row r="559" spans="1:87" ht="14.55" customHeight="1" x14ac:dyDescent="0.3">
      <c r="A559" s="390">
        <v>2632785</v>
      </c>
      <c r="B559" s="5" t="s">
        <v>533</v>
      </c>
      <c r="C559" s="1430" t="s">
        <v>3449</v>
      </c>
      <c r="D559" s="1090" t="s">
        <v>534</v>
      </c>
      <c r="E559" s="5" t="s">
        <v>31</v>
      </c>
      <c r="F559" s="5" t="s">
        <v>31</v>
      </c>
      <c r="G559" s="5" t="s">
        <v>549</v>
      </c>
      <c r="H559" s="5" t="s">
        <v>171</v>
      </c>
      <c r="I559" s="5" t="str">
        <f>_xlfn.XLOOKUP(sommaire[[#This Row],[Arrondissement_code]],OCHA_GIS!$F:$F,OCHA_GIS!$E:$E,,)</f>
        <v>Makary</v>
      </c>
      <c r="J559" s="5" t="s">
        <v>634</v>
      </c>
      <c r="K559" t="s">
        <v>2054</v>
      </c>
      <c r="L559" s="5" t="s">
        <v>2204</v>
      </c>
      <c r="N559" s="5" t="s">
        <v>3053</v>
      </c>
      <c r="O559" s="5" t="s">
        <v>2467</v>
      </c>
      <c r="P559" s="5" t="s">
        <v>85</v>
      </c>
      <c r="Q559" s="5" t="s">
        <v>86</v>
      </c>
      <c r="R559" s="5" t="s">
        <v>86</v>
      </c>
      <c r="T559" s="390">
        <v>3</v>
      </c>
      <c r="U559" s="5" t="s">
        <v>97</v>
      </c>
      <c r="W559" s="5" t="s">
        <v>2468</v>
      </c>
      <c r="X559" s="1090" t="s">
        <v>102</v>
      </c>
      <c r="AA559" s="5" t="s">
        <v>86</v>
      </c>
      <c r="AH559" s="1430" t="s">
        <v>86</v>
      </c>
      <c r="AY559" s="1430" t="s">
        <v>86</v>
      </c>
      <c r="BN559" s="1430" t="s">
        <v>86</v>
      </c>
      <c r="CF559" s="1442" t="str">
        <f>IF([1]!sommaire[[#This Row],[présence des personnes déplacés interne]]="Oui","1","0")</f>
        <v>0</v>
      </c>
      <c r="CG559" s="1442" t="str">
        <f>IF([1]!sommaire[[#This Row],[présence Réfugié hors camp]]="Oui","1","0")</f>
        <v>0</v>
      </c>
      <c r="CH559" s="1442" t="str">
        <f>IF([1]!sommaire[[#This Row],[présence personnes retournées]]="Oui","1","0")</f>
        <v>0</v>
      </c>
      <c r="CI559" s="1442">
        <f>[1]!sommaire[[#This Row],[Flag PDI]]+[1]!sommaire[[#This Row],[Flag REF]]+[1]!sommaire[[#This Row],[Flag RET]]</f>
        <v>0</v>
      </c>
    </row>
    <row r="560" spans="1:87" ht="14.55" customHeight="1" x14ac:dyDescent="0.3">
      <c r="A560" s="390">
        <v>2639014</v>
      </c>
      <c r="B560" s="5" t="s">
        <v>533</v>
      </c>
      <c r="C560" s="1430" t="s">
        <v>3449</v>
      </c>
      <c r="D560" s="1090" t="s">
        <v>534</v>
      </c>
      <c r="E560" s="5" t="s">
        <v>31</v>
      </c>
      <c r="F560" s="5" t="s">
        <v>31</v>
      </c>
      <c r="G560" s="5" t="s">
        <v>549</v>
      </c>
      <c r="H560" s="5" t="s">
        <v>171</v>
      </c>
      <c r="I560" s="5" t="str">
        <f>_xlfn.XLOOKUP(sommaire[[#This Row],[Arrondissement_code]],OCHA_GIS!$F:$F,OCHA_GIS!$E:$E,,)</f>
        <v>Makary</v>
      </c>
      <c r="J560" s="5" t="s">
        <v>634</v>
      </c>
      <c r="K560" t="s">
        <v>2876</v>
      </c>
      <c r="L560" s="5" t="s">
        <v>1876</v>
      </c>
      <c r="N560" s="5" t="s">
        <v>3053</v>
      </c>
      <c r="O560" s="5" t="s">
        <v>2467</v>
      </c>
      <c r="P560" s="5" t="s">
        <v>85</v>
      </c>
      <c r="Q560" s="5" t="s">
        <v>86</v>
      </c>
      <c r="R560" s="5" t="s">
        <v>86</v>
      </c>
      <c r="T560" s="390">
        <v>3</v>
      </c>
      <c r="U560" s="5" t="s">
        <v>97</v>
      </c>
      <c r="W560" s="5" t="s">
        <v>2468</v>
      </c>
      <c r="X560" s="1090" t="s">
        <v>102</v>
      </c>
      <c r="AA560" s="1090" t="s">
        <v>85</v>
      </c>
      <c r="AB560" s="5" t="s">
        <v>2469</v>
      </c>
      <c r="AC560" s="5" t="s">
        <v>2470</v>
      </c>
      <c r="AD560" s="5" t="s">
        <v>86</v>
      </c>
      <c r="AF560" s="5">
        <v>2</v>
      </c>
      <c r="AG560" s="5">
        <v>480</v>
      </c>
      <c r="AH560" s="5" t="s">
        <v>85</v>
      </c>
      <c r="AI560" s="5" t="s">
        <v>2471</v>
      </c>
      <c r="AJ560" s="5">
        <v>2</v>
      </c>
      <c r="AK560" s="5">
        <v>15</v>
      </c>
      <c r="AL560" s="5">
        <v>6</v>
      </c>
      <c r="AM560" s="5">
        <v>9</v>
      </c>
      <c r="AN560" s="5">
        <v>0</v>
      </c>
      <c r="AO560" s="5">
        <v>2</v>
      </c>
      <c r="AP560" s="5">
        <v>0</v>
      </c>
      <c r="AQ560" s="5">
        <v>0</v>
      </c>
      <c r="AT560" s="5">
        <v>0</v>
      </c>
      <c r="AU560" s="5">
        <v>0</v>
      </c>
      <c r="AX560" s="5">
        <v>0</v>
      </c>
      <c r="AY560" s="1090" t="s">
        <v>85</v>
      </c>
      <c r="AZ560" s="5">
        <v>9</v>
      </c>
      <c r="BA560" s="5">
        <v>82</v>
      </c>
      <c r="BB560" s="5">
        <v>37</v>
      </c>
      <c r="BC560" s="5">
        <v>45</v>
      </c>
      <c r="BD560" s="5">
        <v>9</v>
      </c>
      <c r="BE560" s="5">
        <v>0</v>
      </c>
      <c r="BF560" s="5">
        <v>0</v>
      </c>
      <c r="BH560" s="5">
        <v>0</v>
      </c>
      <c r="BI560" s="5">
        <v>0</v>
      </c>
      <c r="BL560" s="5">
        <v>0</v>
      </c>
      <c r="BM560" s="5">
        <v>0</v>
      </c>
      <c r="BN560" s="1090" t="s">
        <v>86</v>
      </c>
      <c r="CD560" s="5">
        <v>0</v>
      </c>
      <c r="CF560" s="1442" t="str">
        <f>IF([1]!sommaire[[#This Row],[présence des personnes déplacés interne]]="Oui","1","0")</f>
        <v>1</v>
      </c>
      <c r="CG560" s="1442" t="str">
        <f>IF([1]!sommaire[[#This Row],[présence Réfugié hors camp]]="Oui","1","0")</f>
        <v>1</v>
      </c>
      <c r="CH560" s="1442" t="str">
        <f>IF([1]!sommaire[[#This Row],[présence personnes retournées]]="Oui","1","0")</f>
        <v>0</v>
      </c>
      <c r="CI560" s="1442">
        <f>[1]!sommaire[[#This Row],[Flag PDI]]+[1]!sommaire[[#This Row],[Flag REF]]+[1]!sommaire[[#This Row],[Flag RET]]</f>
        <v>2</v>
      </c>
    </row>
    <row r="561" spans="1:87" ht="14.55" customHeight="1" x14ac:dyDescent="0.3">
      <c r="A561" s="390">
        <v>2629278</v>
      </c>
      <c r="B561" s="5" t="s">
        <v>533</v>
      </c>
      <c r="C561" s="1430" t="s">
        <v>3449</v>
      </c>
      <c r="D561" s="1090" t="s">
        <v>534</v>
      </c>
      <c r="E561" s="5" t="s">
        <v>31</v>
      </c>
      <c r="F561" s="5" t="s">
        <v>31</v>
      </c>
      <c r="G561" s="5" t="s">
        <v>549</v>
      </c>
      <c r="H561" s="5" t="s">
        <v>171</v>
      </c>
      <c r="I561" s="5" t="str">
        <f>_xlfn.XLOOKUP(sommaire[[#This Row],[Arrondissement_code]],OCHA_GIS!$F:$F,OCHA_GIS!$E:$E,,)</f>
        <v>Makary</v>
      </c>
      <c r="J561" s="5" t="s">
        <v>634</v>
      </c>
      <c r="K561" t="s">
        <v>790</v>
      </c>
      <c r="L561" s="5" t="s">
        <v>1023</v>
      </c>
      <c r="N561" s="5" t="s">
        <v>3053</v>
      </c>
      <c r="O561" s="5" t="s">
        <v>2467</v>
      </c>
      <c r="P561" s="5" t="s">
        <v>85</v>
      </c>
      <c r="Q561" s="5" t="s">
        <v>86</v>
      </c>
      <c r="R561" s="5" t="s">
        <v>86</v>
      </c>
      <c r="T561" s="390">
        <v>3</v>
      </c>
      <c r="U561" s="5" t="s">
        <v>97</v>
      </c>
      <c r="W561" s="5" t="s">
        <v>2468</v>
      </c>
      <c r="X561" s="5" t="s">
        <v>103</v>
      </c>
      <c r="Y561" s="5" t="s">
        <v>2476</v>
      </c>
      <c r="AA561" s="5" t="s">
        <v>85</v>
      </c>
      <c r="AB561" s="5" t="s">
        <v>2469</v>
      </c>
      <c r="AC561" s="5" t="s">
        <v>2470</v>
      </c>
      <c r="AD561" s="5" t="s">
        <v>86</v>
      </c>
      <c r="AF561" s="5">
        <v>10</v>
      </c>
      <c r="AG561" s="5">
        <v>648</v>
      </c>
      <c r="AH561" s="5" t="s">
        <v>85</v>
      </c>
      <c r="AI561" s="5" t="s">
        <v>2471</v>
      </c>
      <c r="AJ561" s="5">
        <v>10</v>
      </c>
      <c r="AK561" s="5">
        <v>62</v>
      </c>
      <c r="AL561" s="5">
        <v>24</v>
      </c>
      <c r="AM561" s="5">
        <v>38</v>
      </c>
      <c r="AN561" s="5">
        <v>10</v>
      </c>
      <c r="AO561" s="5">
        <v>0</v>
      </c>
      <c r="AP561" s="5">
        <v>0</v>
      </c>
      <c r="AQ561" s="5">
        <v>0</v>
      </c>
      <c r="AT561" s="5">
        <v>0</v>
      </c>
      <c r="AU561" s="5">
        <v>0</v>
      </c>
      <c r="AX561" s="5">
        <v>0</v>
      </c>
      <c r="AY561" s="5" t="s">
        <v>86</v>
      </c>
      <c r="BN561" s="5" t="s">
        <v>86</v>
      </c>
      <c r="CD561" s="5">
        <v>0</v>
      </c>
      <c r="CF561" s="1442" t="str">
        <f>IF([1]!sommaire[[#This Row],[présence des personnes déplacés interne]]="Oui","1","0")</f>
        <v>1</v>
      </c>
      <c r="CG561" s="1442" t="str">
        <f>IF([1]!sommaire[[#This Row],[présence Réfugié hors camp]]="Oui","1","0")</f>
        <v>0</v>
      </c>
      <c r="CH561" s="1442" t="str">
        <f>IF([1]!sommaire[[#This Row],[présence personnes retournées]]="Oui","1","0")</f>
        <v>0</v>
      </c>
      <c r="CI561" s="1442">
        <f>[1]!sommaire[[#This Row],[Flag PDI]]+[1]!sommaire[[#This Row],[Flag REF]]+[1]!sommaire[[#This Row],[Flag RET]]</f>
        <v>1</v>
      </c>
    </row>
    <row r="562" spans="1:87" ht="14.55" customHeight="1" x14ac:dyDescent="0.3">
      <c r="A562" s="390">
        <v>2629279</v>
      </c>
      <c r="B562" s="5" t="s">
        <v>533</v>
      </c>
      <c r="C562" s="1430" t="s">
        <v>3449</v>
      </c>
      <c r="D562" s="1090" t="s">
        <v>534</v>
      </c>
      <c r="E562" s="5" t="s">
        <v>31</v>
      </c>
      <c r="F562" s="5" t="s">
        <v>31</v>
      </c>
      <c r="G562" s="5" t="s">
        <v>549</v>
      </c>
      <c r="H562" s="5" t="s">
        <v>171</v>
      </c>
      <c r="I562" s="5" t="str">
        <f>_xlfn.XLOOKUP(sommaire[[#This Row],[Arrondissement_code]],OCHA_GIS!$F:$F,OCHA_GIS!$E:$E,,)</f>
        <v>Makary</v>
      </c>
      <c r="J562" s="5" t="s">
        <v>634</v>
      </c>
      <c r="K562" t="s">
        <v>796</v>
      </c>
      <c r="L562" s="5" t="s">
        <v>1025</v>
      </c>
      <c r="N562" s="5" t="s">
        <v>3053</v>
      </c>
      <c r="O562" s="5" t="s">
        <v>2467</v>
      </c>
      <c r="P562" s="5" t="s">
        <v>85</v>
      </c>
      <c r="Q562" s="5" t="s">
        <v>86</v>
      </c>
      <c r="R562" s="5" t="s">
        <v>86</v>
      </c>
      <c r="T562" s="390">
        <v>3</v>
      </c>
      <c r="U562" s="5" t="s">
        <v>97</v>
      </c>
      <c r="W562" s="5" t="s">
        <v>2468</v>
      </c>
      <c r="X562" s="5" t="s">
        <v>103</v>
      </c>
      <c r="Y562" s="5" t="s">
        <v>2476</v>
      </c>
      <c r="AA562" s="1175" t="s">
        <v>85</v>
      </c>
      <c r="AB562" s="5" t="s">
        <v>2469</v>
      </c>
      <c r="AC562" s="5" t="s">
        <v>2470</v>
      </c>
      <c r="AD562" s="5" t="s">
        <v>86</v>
      </c>
      <c r="AF562" s="5">
        <v>4</v>
      </c>
      <c r="AG562" s="5">
        <v>362</v>
      </c>
      <c r="AH562" s="5" t="s">
        <v>85</v>
      </c>
      <c r="AI562" s="5" t="s">
        <v>2471</v>
      </c>
      <c r="AJ562" s="5">
        <v>4</v>
      </c>
      <c r="AK562" s="5">
        <v>79</v>
      </c>
      <c r="AL562" s="5">
        <v>39</v>
      </c>
      <c r="AM562" s="5">
        <v>40</v>
      </c>
      <c r="AN562" s="5">
        <v>2</v>
      </c>
      <c r="AO562" s="5">
        <v>2</v>
      </c>
      <c r="AP562" s="5">
        <v>0</v>
      </c>
      <c r="AQ562" s="5">
        <v>0</v>
      </c>
      <c r="AT562" s="5">
        <v>0</v>
      </c>
      <c r="AU562" s="5">
        <v>0</v>
      </c>
      <c r="AX562" s="5">
        <v>0</v>
      </c>
      <c r="AY562" s="5" t="s">
        <v>86</v>
      </c>
      <c r="BN562" s="5" t="s">
        <v>86</v>
      </c>
      <c r="CD562" s="5">
        <v>0</v>
      </c>
      <c r="CF562" s="1442" t="str">
        <f>IF([1]!sommaire[[#This Row],[présence des personnes déplacés interne]]="Oui","1","0")</f>
        <v>1</v>
      </c>
      <c r="CG562" s="1442" t="str">
        <f>IF([1]!sommaire[[#This Row],[présence Réfugié hors camp]]="Oui","1","0")</f>
        <v>0</v>
      </c>
      <c r="CH562" s="1442" t="str">
        <f>IF([1]!sommaire[[#This Row],[présence personnes retournées]]="Oui","1","0")</f>
        <v>0</v>
      </c>
      <c r="CI562" s="1442">
        <f>[1]!sommaire[[#This Row],[Flag PDI]]+[1]!sommaire[[#This Row],[Flag REF]]+[1]!sommaire[[#This Row],[Flag RET]]</f>
        <v>1</v>
      </c>
    </row>
    <row r="563" spans="1:87" ht="14.55" customHeight="1" x14ac:dyDescent="0.3">
      <c r="A563" s="390">
        <v>2592151</v>
      </c>
      <c r="B563" s="5" t="s">
        <v>533</v>
      </c>
      <c r="C563" s="1430" t="s">
        <v>3449</v>
      </c>
      <c r="D563" s="5" t="s">
        <v>534</v>
      </c>
      <c r="E563" s="5" t="s">
        <v>31</v>
      </c>
      <c r="F563" s="5" t="s">
        <v>31</v>
      </c>
      <c r="G563" s="5" t="s">
        <v>549</v>
      </c>
      <c r="H563" s="5" t="s">
        <v>171</v>
      </c>
      <c r="I563" s="5" t="str">
        <f>_xlfn.XLOOKUP(sommaire[[#This Row],[Arrondissement_code]],OCHA_GIS!$F:$F,OCHA_GIS!$E:$E,,)</f>
        <v>Makary</v>
      </c>
      <c r="J563" s="5" t="s">
        <v>634</v>
      </c>
      <c r="K563" t="s">
        <v>2877</v>
      </c>
      <c r="L563" s="5" t="s">
        <v>1292</v>
      </c>
      <c r="N563" s="5" t="s">
        <v>3053</v>
      </c>
      <c r="O563" s="5" t="s">
        <v>2467</v>
      </c>
      <c r="P563" s="5" t="s">
        <v>86</v>
      </c>
      <c r="Q563" s="5" t="s">
        <v>85</v>
      </c>
      <c r="R563" s="5" t="s">
        <v>86</v>
      </c>
      <c r="S563" s="390">
        <v>6</v>
      </c>
      <c r="U563" s="5" t="s">
        <v>97</v>
      </c>
      <c r="W563" s="5" t="s">
        <v>2468</v>
      </c>
      <c r="X563" s="5" t="s">
        <v>102</v>
      </c>
      <c r="AA563" s="5" t="s">
        <v>85</v>
      </c>
      <c r="AB563" s="5" t="s">
        <v>2469</v>
      </c>
      <c r="AC563" s="5" t="s">
        <v>2470</v>
      </c>
      <c r="AD563" s="5" t="s">
        <v>86</v>
      </c>
      <c r="AF563" s="5">
        <v>19</v>
      </c>
      <c r="AG563" s="5">
        <v>554</v>
      </c>
      <c r="AH563" s="5" t="s">
        <v>85</v>
      </c>
      <c r="AI563" s="5" t="s">
        <v>2471</v>
      </c>
      <c r="AJ563" s="5">
        <v>19</v>
      </c>
      <c r="AK563" s="5">
        <v>107</v>
      </c>
      <c r="AL563" s="5">
        <v>45</v>
      </c>
      <c r="AM563" s="5">
        <v>62</v>
      </c>
      <c r="AN563" s="5">
        <v>13</v>
      </c>
      <c r="AO563" s="5">
        <v>6</v>
      </c>
      <c r="AP563" s="5">
        <v>0</v>
      </c>
      <c r="AQ563" s="5">
        <v>0</v>
      </c>
      <c r="AT563" s="5">
        <v>0</v>
      </c>
      <c r="AU563" s="5">
        <v>0</v>
      </c>
      <c r="AX563" s="5">
        <v>0</v>
      </c>
      <c r="AY563" s="5" t="s">
        <v>86</v>
      </c>
      <c r="BN563" s="5" t="s">
        <v>86</v>
      </c>
      <c r="CD563" s="5">
        <v>0</v>
      </c>
      <c r="CF563" s="1442" t="str">
        <f>IF([1]!sommaire[[#This Row],[présence des personnes déplacés interne]]="Oui","1","0")</f>
        <v>1</v>
      </c>
      <c r="CG563" s="1442" t="str">
        <f>IF([1]!sommaire[[#This Row],[présence Réfugié hors camp]]="Oui","1","0")</f>
        <v>0</v>
      </c>
      <c r="CH563" s="1442" t="str">
        <f>IF([1]!sommaire[[#This Row],[présence personnes retournées]]="Oui","1","0")</f>
        <v>0</v>
      </c>
      <c r="CI563" s="1442">
        <f>[1]!sommaire[[#This Row],[Flag PDI]]+[1]!sommaire[[#This Row],[Flag REF]]+[1]!sommaire[[#This Row],[Flag RET]]</f>
        <v>1</v>
      </c>
    </row>
    <row r="564" spans="1:87" ht="14.55" customHeight="1" x14ac:dyDescent="0.3">
      <c r="A564" s="390">
        <v>2648095</v>
      </c>
      <c r="B564" s="5" t="s">
        <v>533</v>
      </c>
      <c r="C564" s="1430" t="s">
        <v>3449</v>
      </c>
      <c r="D564" s="1090" t="s">
        <v>534</v>
      </c>
      <c r="E564" s="5" t="s">
        <v>31</v>
      </c>
      <c r="F564" s="5" t="s">
        <v>31</v>
      </c>
      <c r="G564" s="5" t="s">
        <v>549</v>
      </c>
      <c r="H564" s="5" t="s">
        <v>171</v>
      </c>
      <c r="I564" s="5" t="str">
        <f>_xlfn.XLOOKUP(sommaire[[#This Row],[Arrondissement_code]],OCHA_GIS!$F:$F,OCHA_GIS!$E:$E,,)</f>
        <v>Makary</v>
      </c>
      <c r="J564" s="5" t="s">
        <v>634</v>
      </c>
      <c r="K564" t="s">
        <v>842</v>
      </c>
      <c r="L564" s="5" t="s">
        <v>1255</v>
      </c>
      <c r="N564" s="5" t="s">
        <v>3053</v>
      </c>
      <c r="O564" s="5" t="s">
        <v>2467</v>
      </c>
      <c r="P564" s="5" t="s">
        <v>85</v>
      </c>
      <c r="Q564" s="5" t="s">
        <v>86</v>
      </c>
      <c r="R564" s="5" t="s">
        <v>86</v>
      </c>
      <c r="T564" s="390">
        <v>3</v>
      </c>
      <c r="U564" s="5" t="s">
        <v>97</v>
      </c>
      <c r="W564" s="5" t="s">
        <v>2468</v>
      </c>
      <c r="X564" s="5" t="s">
        <v>102</v>
      </c>
      <c r="AA564" s="5" t="s">
        <v>85</v>
      </c>
      <c r="AB564" s="5" t="s">
        <v>2469</v>
      </c>
      <c r="AC564" s="5" t="s">
        <v>2470</v>
      </c>
      <c r="AD564" s="5" t="s">
        <v>86</v>
      </c>
      <c r="AF564" s="5">
        <v>39</v>
      </c>
      <c r="AG564" s="5">
        <v>1215</v>
      </c>
      <c r="AH564" s="5" t="s">
        <v>85</v>
      </c>
      <c r="AI564" s="5" t="s">
        <v>2471</v>
      </c>
      <c r="AJ564" s="5">
        <v>39</v>
      </c>
      <c r="AK564" s="5">
        <v>247</v>
      </c>
      <c r="AL564" s="5">
        <v>57</v>
      </c>
      <c r="AM564" s="5">
        <v>190</v>
      </c>
      <c r="AN564" s="5">
        <v>0</v>
      </c>
      <c r="AO564" s="5">
        <v>39</v>
      </c>
      <c r="AP564" s="5">
        <v>0</v>
      </c>
      <c r="AQ564" s="5">
        <v>0</v>
      </c>
      <c r="AT564" s="5">
        <v>0</v>
      </c>
      <c r="AU564" s="5">
        <v>0</v>
      </c>
      <c r="AX564" s="5">
        <v>0</v>
      </c>
      <c r="AY564" s="5" t="s">
        <v>86</v>
      </c>
      <c r="BN564" s="5" t="s">
        <v>86</v>
      </c>
      <c r="CD564" s="5">
        <v>0</v>
      </c>
      <c r="CF564" s="1442" t="str">
        <f>IF([1]!sommaire[[#This Row],[présence des personnes déplacés interne]]="Oui","1","0")</f>
        <v>1</v>
      </c>
      <c r="CG564" s="1442" t="str">
        <f>IF([1]!sommaire[[#This Row],[présence Réfugié hors camp]]="Oui","1","0")</f>
        <v>0</v>
      </c>
      <c r="CH564" s="1442" t="str">
        <f>IF([1]!sommaire[[#This Row],[présence personnes retournées]]="Oui","1","0")</f>
        <v>0</v>
      </c>
      <c r="CI564" s="1442">
        <f>[1]!sommaire[[#This Row],[Flag PDI]]+[1]!sommaire[[#This Row],[Flag REF]]+[1]!sommaire[[#This Row],[Flag RET]]</f>
        <v>1</v>
      </c>
    </row>
    <row r="565" spans="1:87" ht="14.55" customHeight="1" x14ac:dyDescent="0.3">
      <c r="A565" s="390">
        <v>2635971</v>
      </c>
      <c r="B565" s="5" t="s">
        <v>533</v>
      </c>
      <c r="C565" s="1430" t="s">
        <v>3449</v>
      </c>
      <c r="D565" s="1090" t="s">
        <v>534</v>
      </c>
      <c r="E565" s="5" t="s">
        <v>31</v>
      </c>
      <c r="F565" s="5" t="s">
        <v>31</v>
      </c>
      <c r="G565" s="5" t="s">
        <v>549</v>
      </c>
      <c r="H565" s="5" t="s">
        <v>171</v>
      </c>
      <c r="I565" s="5" t="str">
        <f>_xlfn.XLOOKUP(sommaire[[#This Row],[Arrondissement_code]],OCHA_GIS!$F:$F,OCHA_GIS!$E:$E,,)</f>
        <v>Makary</v>
      </c>
      <c r="J565" s="5" t="s">
        <v>634</v>
      </c>
      <c r="K565" t="s">
        <v>1697</v>
      </c>
      <c r="L565" s="5" t="s">
        <v>1067</v>
      </c>
      <c r="N565" s="5" t="s">
        <v>3053</v>
      </c>
      <c r="O565" s="5" t="s">
        <v>2467</v>
      </c>
      <c r="P565" s="5" t="s">
        <v>86</v>
      </c>
      <c r="Q565" s="5" t="s">
        <v>86</v>
      </c>
      <c r="R565" s="5" t="s">
        <v>85</v>
      </c>
      <c r="U565" s="5" t="s">
        <v>97</v>
      </c>
      <c r="W565" s="5" t="s">
        <v>2482</v>
      </c>
      <c r="X565" s="1090"/>
      <c r="AA565" s="5" t="s">
        <v>86</v>
      </c>
      <c r="AH565" s="1430" t="s">
        <v>86</v>
      </c>
      <c r="AY565" s="1430" t="s">
        <v>86</v>
      </c>
      <c r="BN565" s="1430" t="s">
        <v>86</v>
      </c>
      <c r="CF565" s="1442" t="str">
        <f>IF([1]!sommaire[[#This Row],[présence des personnes déplacés interne]]="Oui","1","0")</f>
        <v>0</v>
      </c>
      <c r="CG565" s="1442" t="str">
        <f>IF([1]!sommaire[[#This Row],[présence Réfugié hors camp]]="Oui","1","0")</f>
        <v>0</v>
      </c>
      <c r="CH565" s="1442" t="str">
        <f>IF([1]!sommaire[[#This Row],[présence personnes retournées]]="Oui","1","0")</f>
        <v>0</v>
      </c>
      <c r="CI565" s="1442">
        <f>[1]!sommaire[[#This Row],[Flag PDI]]+[1]!sommaire[[#This Row],[Flag REF]]+[1]!sommaire[[#This Row],[Flag RET]]</f>
        <v>0</v>
      </c>
    </row>
    <row r="566" spans="1:87" ht="14.55" customHeight="1" x14ac:dyDescent="0.3">
      <c r="A566" s="390">
        <v>2656576</v>
      </c>
      <c r="B566" s="5" t="s">
        <v>533</v>
      </c>
      <c r="C566" s="1430" t="s">
        <v>3449</v>
      </c>
      <c r="D566" s="1090" t="s">
        <v>534</v>
      </c>
      <c r="E566" s="5" t="s">
        <v>31</v>
      </c>
      <c r="F566" s="5" t="s">
        <v>31</v>
      </c>
      <c r="G566" s="5" t="s">
        <v>549</v>
      </c>
      <c r="H566" s="5" t="s">
        <v>171</v>
      </c>
      <c r="I566" s="5" t="str">
        <f>_xlfn.XLOOKUP(sommaire[[#This Row],[Arrondissement_code]],OCHA_GIS!$F:$F,OCHA_GIS!$E:$E,,)</f>
        <v>Makary</v>
      </c>
      <c r="J566" s="5" t="s">
        <v>634</v>
      </c>
      <c r="K566" t="s">
        <v>2594</v>
      </c>
      <c r="L566" s="5" t="s">
        <v>1832</v>
      </c>
      <c r="N566" s="5" t="s">
        <v>3053</v>
      </c>
      <c r="O566" s="5" t="s">
        <v>2467</v>
      </c>
      <c r="P566" s="5" t="s">
        <v>85</v>
      </c>
      <c r="Q566" s="5" t="s">
        <v>86</v>
      </c>
      <c r="R566" s="5" t="s">
        <v>86</v>
      </c>
      <c r="T566" s="390">
        <v>3</v>
      </c>
      <c r="U566" s="5" t="s">
        <v>97</v>
      </c>
      <c r="W566" s="5" t="s">
        <v>2468</v>
      </c>
      <c r="X566" s="5" t="s">
        <v>103</v>
      </c>
      <c r="Y566" s="5" t="s">
        <v>2476</v>
      </c>
      <c r="AA566" s="5" t="s">
        <v>85</v>
      </c>
      <c r="AB566" s="5" t="s">
        <v>2469</v>
      </c>
      <c r="AC566" s="5" t="s">
        <v>2470</v>
      </c>
      <c r="AD566" s="5" t="s">
        <v>86</v>
      </c>
      <c r="AF566" s="5">
        <v>10</v>
      </c>
      <c r="AG566" s="5">
        <v>282</v>
      </c>
      <c r="AH566" s="5" t="s">
        <v>85</v>
      </c>
      <c r="AI566" s="5" t="s">
        <v>2485</v>
      </c>
      <c r="AJ566" s="5">
        <v>10</v>
      </c>
      <c r="AK566" s="5">
        <v>82</v>
      </c>
      <c r="AL566" s="5">
        <v>41</v>
      </c>
      <c r="AM566" s="5">
        <v>41</v>
      </c>
      <c r="AN566" s="5">
        <v>10</v>
      </c>
      <c r="AO566" s="5">
        <v>0</v>
      </c>
      <c r="AP566" s="5">
        <v>0</v>
      </c>
      <c r="AQ566" s="5">
        <v>0</v>
      </c>
      <c r="AT566" s="5">
        <v>0</v>
      </c>
      <c r="AU566" s="5">
        <v>0</v>
      </c>
      <c r="AX566" s="5">
        <v>0</v>
      </c>
      <c r="AY566" s="5" t="s">
        <v>85</v>
      </c>
      <c r="AZ566" s="5">
        <v>12</v>
      </c>
      <c r="BA566" s="5">
        <v>59</v>
      </c>
      <c r="BB566" s="5">
        <v>20</v>
      </c>
      <c r="BC566" s="5">
        <v>39</v>
      </c>
      <c r="BD566" s="5">
        <v>12</v>
      </c>
      <c r="BE566" s="5">
        <v>0</v>
      </c>
      <c r="BF566" s="5">
        <v>0</v>
      </c>
      <c r="BH566" s="5">
        <v>0</v>
      </c>
      <c r="BI566" s="5">
        <v>0</v>
      </c>
      <c r="BL566" s="5">
        <v>0</v>
      </c>
      <c r="BM566" s="5">
        <v>0</v>
      </c>
      <c r="BN566" s="5" t="s">
        <v>86</v>
      </c>
      <c r="CD566" s="5">
        <v>0</v>
      </c>
      <c r="CF566" s="1442" t="str">
        <f>IF([1]!sommaire[[#This Row],[présence des personnes déplacés interne]]="Oui","1","0")</f>
        <v>1</v>
      </c>
      <c r="CG566" s="1442" t="str">
        <f>IF([1]!sommaire[[#This Row],[présence Réfugié hors camp]]="Oui","1","0")</f>
        <v>1</v>
      </c>
      <c r="CH566" s="1442" t="str">
        <f>IF([1]!sommaire[[#This Row],[présence personnes retournées]]="Oui","1","0")</f>
        <v>0</v>
      </c>
      <c r="CI566" s="1442">
        <f>[1]!sommaire[[#This Row],[Flag PDI]]+[1]!sommaire[[#This Row],[Flag REF]]+[1]!sommaire[[#This Row],[Flag RET]]</f>
        <v>2</v>
      </c>
    </row>
    <row r="567" spans="1:87" ht="14.55" customHeight="1" x14ac:dyDescent="0.3">
      <c r="A567" s="390">
        <v>2613258</v>
      </c>
      <c r="B567" s="5" t="s">
        <v>533</v>
      </c>
      <c r="C567" s="1430" t="s">
        <v>3449</v>
      </c>
      <c r="D567" s="1090" t="s">
        <v>534</v>
      </c>
      <c r="E567" s="5" t="s">
        <v>31</v>
      </c>
      <c r="F567" s="5" t="s">
        <v>31</v>
      </c>
      <c r="G567" s="5" t="s">
        <v>549</v>
      </c>
      <c r="H567" s="5" t="s">
        <v>171</v>
      </c>
      <c r="I567" s="5" t="str">
        <f>_xlfn.XLOOKUP(sommaire[[#This Row],[Arrondissement_code]],OCHA_GIS!$F:$F,OCHA_GIS!$E:$E,,)</f>
        <v>Makary</v>
      </c>
      <c r="J567" s="5" t="s">
        <v>634</v>
      </c>
      <c r="K567" t="s">
        <v>1995</v>
      </c>
      <c r="L567" s="5" t="s">
        <v>1102</v>
      </c>
      <c r="N567" s="5" t="s">
        <v>3053</v>
      </c>
      <c r="O567" s="5" t="s">
        <v>2467</v>
      </c>
      <c r="P567" s="5" t="s">
        <v>85</v>
      </c>
      <c r="Q567" s="5" t="s">
        <v>86</v>
      </c>
      <c r="R567" s="5" t="s">
        <v>86</v>
      </c>
      <c r="T567" s="390">
        <v>3</v>
      </c>
      <c r="U567" s="5" t="s">
        <v>97</v>
      </c>
      <c r="W567" s="5" t="s">
        <v>2468</v>
      </c>
      <c r="X567" s="5" t="s">
        <v>102</v>
      </c>
      <c r="AA567" s="5" t="s">
        <v>85</v>
      </c>
      <c r="AB567" s="5" t="s">
        <v>2469</v>
      </c>
      <c r="AC567" s="5" t="s">
        <v>2470</v>
      </c>
      <c r="AD567" s="5" t="s">
        <v>86</v>
      </c>
      <c r="AF567" s="5">
        <v>11</v>
      </c>
      <c r="AG567" s="5">
        <v>382</v>
      </c>
      <c r="AH567" s="5" t="s">
        <v>85</v>
      </c>
      <c r="AI567" s="5" t="s">
        <v>2471</v>
      </c>
      <c r="AJ567" s="5">
        <v>11</v>
      </c>
      <c r="AK567" s="5">
        <v>112</v>
      </c>
      <c r="AL567" s="5">
        <v>46</v>
      </c>
      <c r="AM567" s="5">
        <v>66</v>
      </c>
      <c r="AN567" s="5">
        <v>0</v>
      </c>
      <c r="AO567" s="5">
        <v>11</v>
      </c>
      <c r="AP567" s="5">
        <v>0</v>
      </c>
      <c r="AQ567" s="5">
        <v>0</v>
      </c>
      <c r="AT567" s="5">
        <v>0</v>
      </c>
      <c r="AU567" s="5">
        <v>0</v>
      </c>
      <c r="AX567" s="5">
        <v>0</v>
      </c>
      <c r="AY567" s="5" t="s">
        <v>85</v>
      </c>
      <c r="AZ567" s="5">
        <v>21</v>
      </c>
      <c r="BA567" s="5">
        <v>135</v>
      </c>
      <c r="BB567" s="5">
        <v>57</v>
      </c>
      <c r="BC567" s="5">
        <v>78</v>
      </c>
      <c r="BD567" s="5">
        <v>21</v>
      </c>
      <c r="BE567" s="5">
        <v>0</v>
      </c>
      <c r="BF567" s="5">
        <v>0</v>
      </c>
      <c r="BH567" s="5">
        <v>0</v>
      </c>
      <c r="BI567" s="5">
        <v>0</v>
      </c>
      <c r="BL567" s="5">
        <v>0</v>
      </c>
      <c r="BM567" s="5">
        <v>0</v>
      </c>
      <c r="BN567" s="5" t="s">
        <v>86</v>
      </c>
      <c r="CD567" s="5">
        <v>0</v>
      </c>
      <c r="CF567" s="1442" t="str">
        <f>IF([1]!sommaire[[#This Row],[présence des personnes déplacés interne]]="Oui","1","0")</f>
        <v>1</v>
      </c>
      <c r="CG567" s="1442" t="str">
        <f>IF([1]!sommaire[[#This Row],[présence Réfugié hors camp]]="Oui","1","0")</f>
        <v>1</v>
      </c>
      <c r="CH567" s="1442" t="str">
        <f>IF([1]!sommaire[[#This Row],[présence personnes retournées]]="Oui","1","0")</f>
        <v>0</v>
      </c>
      <c r="CI567" s="1442">
        <f>[1]!sommaire[[#This Row],[Flag PDI]]+[1]!sommaire[[#This Row],[Flag REF]]+[1]!sommaire[[#This Row],[Flag RET]]</f>
        <v>2</v>
      </c>
    </row>
    <row r="568" spans="1:87" ht="14.55" customHeight="1" x14ac:dyDescent="0.3">
      <c r="A568" s="390">
        <v>2629387</v>
      </c>
      <c r="B568" s="5" t="s">
        <v>533</v>
      </c>
      <c r="C568" s="1430" t="s">
        <v>3449</v>
      </c>
      <c r="D568" s="1090" t="s">
        <v>534</v>
      </c>
      <c r="E568" s="5" t="s">
        <v>31</v>
      </c>
      <c r="F568" s="5" t="s">
        <v>31</v>
      </c>
      <c r="G568" s="5" t="s">
        <v>549</v>
      </c>
      <c r="H568" s="5" t="s">
        <v>171</v>
      </c>
      <c r="I568" s="5" t="str">
        <f>_xlfn.XLOOKUP(sommaire[[#This Row],[Arrondissement_code]],OCHA_GIS!$F:$F,OCHA_GIS!$E:$E,,)</f>
        <v>Makary</v>
      </c>
      <c r="J568" s="5" t="s">
        <v>634</v>
      </c>
      <c r="K568" t="s">
        <v>1816</v>
      </c>
      <c r="L568" s="5" t="s">
        <v>2597</v>
      </c>
      <c r="N568" s="5" t="s">
        <v>3053</v>
      </c>
      <c r="O568" s="5" t="s">
        <v>2467</v>
      </c>
      <c r="P568" s="5" t="s">
        <v>85</v>
      </c>
      <c r="Q568" s="5" t="s">
        <v>86</v>
      </c>
      <c r="R568" s="5" t="s">
        <v>86</v>
      </c>
      <c r="T568" s="390">
        <v>3</v>
      </c>
      <c r="U568" s="5" t="s">
        <v>97</v>
      </c>
      <c r="W568" s="5" t="s">
        <v>2468</v>
      </c>
      <c r="X568" s="1090" t="s">
        <v>102</v>
      </c>
      <c r="AA568" s="1090" t="s">
        <v>85</v>
      </c>
      <c r="AB568" s="5" t="s">
        <v>2469</v>
      </c>
      <c r="AC568" s="5" t="s">
        <v>2470</v>
      </c>
      <c r="AD568" s="5" t="s">
        <v>86</v>
      </c>
      <c r="AG568" s="5">
        <v>800</v>
      </c>
      <c r="AH568" s="5" t="s">
        <v>86</v>
      </c>
      <c r="AY568" s="1090" t="s">
        <v>85</v>
      </c>
      <c r="AZ568" s="5">
        <v>20</v>
      </c>
      <c r="BA568" s="5">
        <v>140</v>
      </c>
      <c r="BB568" s="5">
        <v>100</v>
      </c>
      <c r="BC568" s="5">
        <v>40</v>
      </c>
      <c r="BD568" s="5">
        <v>20</v>
      </c>
      <c r="BE568" s="5">
        <v>0</v>
      </c>
      <c r="BF568" s="5">
        <v>0</v>
      </c>
      <c r="BH568" s="5">
        <v>0</v>
      </c>
      <c r="BI568" s="5">
        <v>0</v>
      </c>
      <c r="BL568" s="5">
        <v>0</v>
      </c>
      <c r="BM568" s="5">
        <v>0</v>
      </c>
      <c r="BN568" s="1090" t="s">
        <v>86</v>
      </c>
      <c r="CD568" s="5">
        <v>0</v>
      </c>
      <c r="CF568" s="1442" t="str">
        <f>IF([1]!sommaire[[#This Row],[présence des personnes déplacés interne]]="Oui","1","0")</f>
        <v>0</v>
      </c>
      <c r="CG568" s="1442" t="str">
        <f>IF([1]!sommaire[[#This Row],[présence Réfugié hors camp]]="Oui","1","0")</f>
        <v>1</v>
      </c>
      <c r="CH568" s="1442" t="str">
        <f>IF([1]!sommaire[[#This Row],[présence personnes retournées]]="Oui","1","0")</f>
        <v>0</v>
      </c>
      <c r="CI568" s="1442">
        <f>[1]!sommaire[[#This Row],[Flag PDI]]+[1]!sommaire[[#This Row],[Flag REF]]+[1]!sommaire[[#This Row],[Flag RET]]</f>
        <v>1</v>
      </c>
    </row>
    <row r="569" spans="1:87" ht="14.55" customHeight="1" x14ac:dyDescent="0.3">
      <c r="A569" s="390">
        <v>2629388</v>
      </c>
      <c r="B569" s="5" t="s">
        <v>533</v>
      </c>
      <c r="C569" s="1430" t="s">
        <v>3449</v>
      </c>
      <c r="D569" s="1090" t="s">
        <v>534</v>
      </c>
      <c r="E569" s="5" t="s">
        <v>31</v>
      </c>
      <c r="F569" s="5" t="s">
        <v>31</v>
      </c>
      <c r="G569" s="5" t="s">
        <v>549</v>
      </c>
      <c r="H569" s="5" t="s">
        <v>171</v>
      </c>
      <c r="I569" s="5" t="str">
        <f>_xlfn.XLOOKUP(sommaire[[#This Row],[Arrondissement_code]],OCHA_GIS!$F:$F,OCHA_GIS!$E:$E,,)</f>
        <v>Makary</v>
      </c>
      <c r="J569" s="5" t="s">
        <v>634</v>
      </c>
      <c r="K569" t="s">
        <v>849</v>
      </c>
      <c r="L569" s="5" t="s">
        <v>1159</v>
      </c>
      <c r="N569" s="5" t="s">
        <v>3053</v>
      </c>
      <c r="O569" s="5" t="s">
        <v>2467</v>
      </c>
      <c r="P569" s="5" t="s">
        <v>85</v>
      </c>
      <c r="Q569" s="5" t="s">
        <v>86</v>
      </c>
      <c r="R569" s="5" t="s">
        <v>86</v>
      </c>
      <c r="T569" s="390">
        <v>3</v>
      </c>
      <c r="U569" s="5" t="s">
        <v>97</v>
      </c>
      <c r="W569" s="5" t="s">
        <v>2468</v>
      </c>
      <c r="X569" s="5" t="s">
        <v>102</v>
      </c>
      <c r="AA569" s="5" t="s">
        <v>85</v>
      </c>
      <c r="AB569" s="5" t="s">
        <v>2469</v>
      </c>
      <c r="AC569" s="5" t="s">
        <v>2470</v>
      </c>
      <c r="AD569" s="5" t="s">
        <v>86</v>
      </c>
      <c r="AF569" s="5">
        <v>21</v>
      </c>
      <c r="AG569" s="5">
        <v>263</v>
      </c>
      <c r="AH569" s="5" t="s">
        <v>85</v>
      </c>
      <c r="AI569" s="5" t="s">
        <v>2471</v>
      </c>
      <c r="AJ569" s="5">
        <v>21</v>
      </c>
      <c r="AK569" s="5">
        <v>119</v>
      </c>
      <c r="AL569" s="5">
        <v>100</v>
      </c>
      <c r="AM569" s="5">
        <v>19</v>
      </c>
      <c r="AN569" s="5">
        <v>0</v>
      </c>
      <c r="AO569" s="5">
        <v>21</v>
      </c>
      <c r="AP569" s="5">
        <v>0</v>
      </c>
      <c r="AQ569" s="5">
        <v>0</v>
      </c>
      <c r="AT569" s="5">
        <v>0</v>
      </c>
      <c r="AU569" s="5">
        <v>0</v>
      </c>
      <c r="AX569" s="5">
        <v>0</v>
      </c>
      <c r="AY569" s="1090" t="s">
        <v>85</v>
      </c>
      <c r="AZ569" s="5">
        <v>2</v>
      </c>
      <c r="BA569" s="5">
        <v>11</v>
      </c>
      <c r="BB569" s="5">
        <v>6</v>
      </c>
      <c r="BC569" s="5">
        <v>5</v>
      </c>
      <c r="BD569" s="5">
        <v>2</v>
      </c>
      <c r="BE569" s="5">
        <v>0</v>
      </c>
      <c r="BF569" s="5">
        <v>0</v>
      </c>
      <c r="BH569" s="5">
        <v>0</v>
      </c>
      <c r="BI569" s="5">
        <v>0</v>
      </c>
      <c r="BL569" s="5">
        <v>0</v>
      </c>
      <c r="BM569" s="5">
        <v>0</v>
      </c>
      <c r="BN569" s="1090" t="s">
        <v>86</v>
      </c>
      <c r="CD569" s="5">
        <v>0</v>
      </c>
      <c r="CF569" s="1442" t="str">
        <f>IF([1]!sommaire[[#This Row],[présence des personnes déplacés interne]]="Oui","1","0")</f>
        <v>1</v>
      </c>
      <c r="CG569" s="1442" t="str">
        <f>IF([1]!sommaire[[#This Row],[présence Réfugié hors camp]]="Oui","1","0")</f>
        <v>1</v>
      </c>
      <c r="CH569" s="1442" t="str">
        <f>IF([1]!sommaire[[#This Row],[présence personnes retournées]]="Oui","1","0")</f>
        <v>0</v>
      </c>
      <c r="CI569" s="1442">
        <f>[1]!sommaire[[#This Row],[Flag PDI]]+[1]!sommaire[[#This Row],[Flag REF]]+[1]!sommaire[[#This Row],[Flag RET]]</f>
        <v>2</v>
      </c>
    </row>
    <row r="570" spans="1:87" ht="14.55" customHeight="1" x14ac:dyDescent="0.3">
      <c r="A570" s="390">
        <v>2629389</v>
      </c>
      <c r="B570" s="5" t="s">
        <v>533</v>
      </c>
      <c r="C570" s="1430" t="s">
        <v>3449</v>
      </c>
      <c r="D570" s="1090" t="s">
        <v>534</v>
      </c>
      <c r="E570" s="5" t="s">
        <v>31</v>
      </c>
      <c r="F570" s="5" t="s">
        <v>31</v>
      </c>
      <c r="G570" s="5" t="s">
        <v>549</v>
      </c>
      <c r="H570" s="5" t="s">
        <v>171</v>
      </c>
      <c r="I570" s="5" t="str">
        <f>_xlfn.XLOOKUP(sommaire[[#This Row],[Arrondissement_code]],OCHA_GIS!$F:$F,OCHA_GIS!$E:$E,,)</f>
        <v>Makary</v>
      </c>
      <c r="J570" s="5" t="s">
        <v>634</v>
      </c>
      <c r="K570" t="s">
        <v>1922</v>
      </c>
      <c r="L570" s="5" t="s">
        <v>2187</v>
      </c>
      <c r="N570" s="5" t="s">
        <v>3053</v>
      </c>
      <c r="O570" s="5" t="s">
        <v>2467</v>
      </c>
      <c r="P570" s="5" t="s">
        <v>85</v>
      </c>
      <c r="Q570" s="5" t="s">
        <v>86</v>
      </c>
      <c r="R570" s="5" t="s">
        <v>86</v>
      </c>
      <c r="T570" s="390">
        <v>3</v>
      </c>
      <c r="U570" s="5" t="s">
        <v>97</v>
      </c>
      <c r="W570" s="5" t="s">
        <v>2468</v>
      </c>
      <c r="X570" s="5" t="s">
        <v>102</v>
      </c>
      <c r="AA570" s="5" t="s">
        <v>85</v>
      </c>
      <c r="AB570" s="5" t="s">
        <v>2469</v>
      </c>
      <c r="AC570" s="5" t="s">
        <v>2470</v>
      </c>
      <c r="AD570" s="5" t="s">
        <v>86</v>
      </c>
      <c r="AF570" s="5">
        <v>2</v>
      </c>
      <c r="AG570" s="5">
        <v>675</v>
      </c>
      <c r="AH570" s="5" t="s">
        <v>85</v>
      </c>
      <c r="AI570" s="5" t="s">
        <v>2471</v>
      </c>
      <c r="AJ570" s="5">
        <v>2</v>
      </c>
      <c r="AK570" s="5">
        <v>10</v>
      </c>
      <c r="AL570" s="5">
        <v>6</v>
      </c>
      <c r="AM570" s="5">
        <v>4</v>
      </c>
      <c r="AN570" s="5">
        <v>0</v>
      </c>
      <c r="AO570" s="5">
        <v>2</v>
      </c>
      <c r="AP570" s="5">
        <v>0</v>
      </c>
      <c r="AQ570" s="5">
        <v>0</v>
      </c>
      <c r="AT570" s="5">
        <v>0</v>
      </c>
      <c r="AU570" s="5">
        <v>0</v>
      </c>
      <c r="AX570" s="5">
        <v>0</v>
      </c>
      <c r="AY570" s="5" t="s">
        <v>85</v>
      </c>
      <c r="AZ570" s="5">
        <v>2</v>
      </c>
      <c r="BA570" s="5">
        <v>12</v>
      </c>
      <c r="BB570" s="5">
        <v>8</v>
      </c>
      <c r="BC570" s="5">
        <v>4</v>
      </c>
      <c r="BD570" s="5">
        <v>2</v>
      </c>
      <c r="BE570" s="5">
        <v>0</v>
      </c>
      <c r="BF570" s="5">
        <v>0</v>
      </c>
      <c r="BH570" s="5">
        <v>0</v>
      </c>
      <c r="BI570" s="5">
        <v>0</v>
      </c>
      <c r="BL570" s="5">
        <v>0</v>
      </c>
      <c r="BM570" s="5">
        <v>0</v>
      </c>
      <c r="BN570" s="5" t="s">
        <v>86</v>
      </c>
      <c r="CD570" s="5">
        <v>0</v>
      </c>
      <c r="CF570" s="1442" t="str">
        <f>IF([1]!sommaire[[#This Row],[présence des personnes déplacés interne]]="Oui","1","0")</f>
        <v>1</v>
      </c>
      <c r="CG570" s="1442" t="str">
        <f>IF([1]!sommaire[[#This Row],[présence Réfugié hors camp]]="Oui","1","0")</f>
        <v>1</v>
      </c>
      <c r="CH570" s="1442" t="str">
        <f>IF([1]!sommaire[[#This Row],[présence personnes retournées]]="Oui","1","0")</f>
        <v>0</v>
      </c>
      <c r="CI570" s="1442">
        <f>[1]!sommaire[[#This Row],[Flag PDI]]+[1]!sommaire[[#This Row],[Flag REF]]+[1]!sommaire[[#This Row],[Flag RET]]</f>
        <v>2</v>
      </c>
    </row>
    <row r="571" spans="1:87" ht="14.55" customHeight="1" x14ac:dyDescent="0.3">
      <c r="A571" s="390">
        <v>2627838</v>
      </c>
      <c r="B571" s="5" t="s">
        <v>533</v>
      </c>
      <c r="C571" s="1430" t="s">
        <v>3449</v>
      </c>
      <c r="D571" s="1090" t="s">
        <v>534</v>
      </c>
      <c r="E571" s="5" t="s">
        <v>31</v>
      </c>
      <c r="F571" s="5" t="s">
        <v>31</v>
      </c>
      <c r="G571" s="5" t="s">
        <v>549</v>
      </c>
      <c r="H571" s="5" t="s">
        <v>171</v>
      </c>
      <c r="I571" s="5" t="str">
        <f>_xlfn.XLOOKUP(sommaire[[#This Row],[Arrondissement_code]],OCHA_GIS!$F:$F,OCHA_GIS!$E:$E,,)</f>
        <v>Makary</v>
      </c>
      <c r="J571" s="5" t="s">
        <v>634</v>
      </c>
      <c r="K571" t="s">
        <v>1784</v>
      </c>
      <c r="L571" s="5" t="s">
        <v>1157</v>
      </c>
      <c r="N571" s="5" t="s">
        <v>3053</v>
      </c>
      <c r="O571" s="5" t="s">
        <v>2467</v>
      </c>
      <c r="P571" s="5" t="s">
        <v>85</v>
      </c>
      <c r="Q571" s="5" t="s">
        <v>86</v>
      </c>
      <c r="R571" s="5" t="s">
        <v>86</v>
      </c>
      <c r="T571" s="390">
        <v>3</v>
      </c>
      <c r="U571" s="5" t="s">
        <v>97</v>
      </c>
      <c r="W571" s="5" t="s">
        <v>2468</v>
      </c>
      <c r="X571" s="5" t="s">
        <v>102</v>
      </c>
      <c r="AA571" s="5" t="s">
        <v>85</v>
      </c>
      <c r="AB571" s="5" t="s">
        <v>2469</v>
      </c>
      <c r="AC571" s="5" t="s">
        <v>2470</v>
      </c>
      <c r="AD571" s="5" t="s">
        <v>86</v>
      </c>
      <c r="AF571" s="5">
        <v>2</v>
      </c>
      <c r="AG571" s="5">
        <v>448</v>
      </c>
      <c r="AH571" s="5" t="s">
        <v>85</v>
      </c>
      <c r="AI571" s="5" t="s">
        <v>2471</v>
      </c>
      <c r="AJ571" s="5">
        <v>2</v>
      </c>
      <c r="AK571" s="5">
        <v>19</v>
      </c>
      <c r="AL571" s="5">
        <v>10</v>
      </c>
      <c r="AM571" s="5">
        <v>9</v>
      </c>
      <c r="AN571" s="5">
        <v>0</v>
      </c>
      <c r="AO571" s="5">
        <v>2</v>
      </c>
      <c r="AP571" s="5">
        <v>0</v>
      </c>
      <c r="AQ571" s="5">
        <v>0</v>
      </c>
      <c r="AT571" s="5">
        <v>0</v>
      </c>
      <c r="AU571" s="5">
        <v>0</v>
      </c>
      <c r="AX571" s="5">
        <v>0</v>
      </c>
      <c r="AY571" s="5" t="s">
        <v>86</v>
      </c>
      <c r="BN571" s="5" t="s">
        <v>86</v>
      </c>
      <c r="CD571" s="5">
        <v>0</v>
      </c>
      <c r="CF571" s="1442" t="str">
        <f>IF([1]!sommaire[[#This Row],[présence des personnes déplacés interne]]="Oui","1","0")</f>
        <v>1</v>
      </c>
      <c r="CG571" s="1442" t="str">
        <f>IF([1]!sommaire[[#This Row],[présence Réfugié hors camp]]="Oui","1","0")</f>
        <v>0</v>
      </c>
      <c r="CH571" s="1442" t="str">
        <f>IF([1]!sommaire[[#This Row],[présence personnes retournées]]="Oui","1","0")</f>
        <v>0</v>
      </c>
      <c r="CI571" s="1442">
        <f>[1]!sommaire[[#This Row],[Flag PDI]]+[1]!sommaire[[#This Row],[Flag REF]]+[1]!sommaire[[#This Row],[Flag RET]]</f>
        <v>1</v>
      </c>
    </row>
    <row r="572" spans="1:87" ht="14.55" customHeight="1" x14ac:dyDescent="0.3">
      <c r="A572" s="390">
        <v>2670838</v>
      </c>
      <c r="B572" s="5" t="s">
        <v>533</v>
      </c>
      <c r="C572" s="1430" t="s">
        <v>3449</v>
      </c>
      <c r="D572" s="1090" t="s">
        <v>534</v>
      </c>
      <c r="E572" s="5" t="s">
        <v>31</v>
      </c>
      <c r="F572" s="5" t="s">
        <v>31</v>
      </c>
      <c r="G572" s="5" t="s">
        <v>549</v>
      </c>
      <c r="H572" s="5" t="s">
        <v>171</v>
      </c>
      <c r="I572" s="5" t="str">
        <f>_xlfn.XLOOKUP(sommaire[[#This Row],[Arrondissement_code]],OCHA_GIS!$F:$F,OCHA_GIS!$E:$E,,)</f>
        <v>Makary</v>
      </c>
      <c r="J572" s="5" t="s">
        <v>634</v>
      </c>
      <c r="K572" t="s">
        <v>1875</v>
      </c>
      <c r="L572" s="5" t="s">
        <v>2021</v>
      </c>
      <c r="N572" s="5" t="s">
        <v>3053</v>
      </c>
      <c r="O572" s="5" t="s">
        <v>2467</v>
      </c>
      <c r="P572" s="5" t="s">
        <v>85</v>
      </c>
      <c r="Q572" s="5" t="s">
        <v>86</v>
      </c>
      <c r="R572" s="5" t="s">
        <v>86</v>
      </c>
      <c r="T572" s="390">
        <v>3</v>
      </c>
      <c r="U572" s="5" t="s">
        <v>97</v>
      </c>
      <c r="W572" s="5" t="s">
        <v>2468</v>
      </c>
      <c r="X572" s="5" t="s">
        <v>103</v>
      </c>
      <c r="Y572" s="5" t="s">
        <v>2476</v>
      </c>
      <c r="AA572" s="5" t="s">
        <v>85</v>
      </c>
      <c r="AB572" s="5" t="s">
        <v>2469</v>
      </c>
      <c r="AC572" s="5" t="s">
        <v>2470</v>
      </c>
      <c r="AD572" s="5" t="s">
        <v>86</v>
      </c>
      <c r="AF572" s="5">
        <v>20</v>
      </c>
      <c r="AG572" s="5">
        <v>322</v>
      </c>
      <c r="AH572" s="5" t="s">
        <v>85</v>
      </c>
      <c r="AI572" s="5" t="s">
        <v>2471</v>
      </c>
      <c r="AJ572" s="5">
        <v>20</v>
      </c>
      <c r="AK572" s="5">
        <v>115</v>
      </c>
      <c r="AL572" s="5">
        <v>55</v>
      </c>
      <c r="AM572" s="5">
        <v>60</v>
      </c>
      <c r="AN572" s="5">
        <v>10</v>
      </c>
      <c r="AO572" s="5">
        <v>10</v>
      </c>
      <c r="AP572" s="5">
        <v>0</v>
      </c>
      <c r="AQ572" s="5">
        <v>0</v>
      </c>
      <c r="AT572" s="5">
        <v>0</v>
      </c>
      <c r="AU572" s="5">
        <v>0</v>
      </c>
      <c r="AX572" s="5">
        <v>0</v>
      </c>
      <c r="AY572" s="5" t="s">
        <v>85</v>
      </c>
      <c r="AZ572" s="5">
        <v>12</v>
      </c>
      <c r="BA572" s="5">
        <v>59</v>
      </c>
      <c r="BB572" s="5">
        <v>20</v>
      </c>
      <c r="BC572" s="5">
        <v>39</v>
      </c>
      <c r="BD572" s="5">
        <v>12</v>
      </c>
      <c r="BE572" s="5">
        <v>0</v>
      </c>
      <c r="BF572" s="5">
        <v>0</v>
      </c>
      <c r="BH572" s="5">
        <v>0</v>
      </c>
      <c r="BI572" s="5">
        <v>0</v>
      </c>
      <c r="BL572" s="5">
        <v>0</v>
      </c>
      <c r="BM572" s="5">
        <v>0</v>
      </c>
      <c r="BN572" s="5" t="s">
        <v>86</v>
      </c>
      <c r="CD572" s="5">
        <v>3</v>
      </c>
      <c r="CF572" s="1442" t="str">
        <f>IF([1]!sommaire[[#This Row],[présence des personnes déplacés interne]]="Oui","1","0")</f>
        <v>1</v>
      </c>
      <c r="CG572" s="1442" t="str">
        <f>IF([1]!sommaire[[#This Row],[présence Réfugié hors camp]]="Oui","1","0")</f>
        <v>1</v>
      </c>
      <c r="CH572" s="1442" t="str">
        <f>IF([1]!sommaire[[#This Row],[présence personnes retournées]]="Oui","1","0")</f>
        <v>0</v>
      </c>
      <c r="CI572" s="1442">
        <f>[1]!sommaire[[#This Row],[Flag PDI]]+[1]!sommaire[[#This Row],[Flag REF]]+[1]!sommaire[[#This Row],[Flag RET]]</f>
        <v>2</v>
      </c>
    </row>
    <row r="573" spans="1:87" ht="14.55" customHeight="1" x14ac:dyDescent="0.3">
      <c r="A573" s="390">
        <v>2669130</v>
      </c>
      <c r="B573" s="5" t="s">
        <v>533</v>
      </c>
      <c r="C573" s="1430" t="s">
        <v>3449</v>
      </c>
      <c r="D573" s="1090" t="s">
        <v>534</v>
      </c>
      <c r="E573" s="5" t="s">
        <v>31</v>
      </c>
      <c r="F573" s="5" t="s">
        <v>31</v>
      </c>
      <c r="G573" s="5" t="s">
        <v>549</v>
      </c>
      <c r="H573" s="5" t="s">
        <v>171</v>
      </c>
      <c r="I573" s="5" t="str">
        <f>_xlfn.XLOOKUP(sommaire[[#This Row],[Arrondissement_code]],OCHA_GIS!$F:$F,OCHA_GIS!$E:$E,,)</f>
        <v>Makary</v>
      </c>
      <c r="J573" s="5" t="s">
        <v>634</v>
      </c>
      <c r="K573" t="s">
        <v>2886</v>
      </c>
      <c r="L573" s="5" t="s">
        <v>1029</v>
      </c>
      <c r="N573" s="5" t="s">
        <v>3053</v>
      </c>
      <c r="O573" s="5" t="s">
        <v>2467</v>
      </c>
      <c r="P573" s="5" t="s">
        <v>85</v>
      </c>
      <c r="Q573" s="5" t="s">
        <v>86</v>
      </c>
      <c r="R573" s="5" t="s">
        <v>86</v>
      </c>
      <c r="T573" s="390">
        <v>3</v>
      </c>
      <c r="U573" s="5" t="s">
        <v>97</v>
      </c>
      <c r="W573" s="5" t="s">
        <v>2468</v>
      </c>
      <c r="X573" s="5" t="s">
        <v>102</v>
      </c>
      <c r="AA573" s="5" t="s">
        <v>85</v>
      </c>
      <c r="AB573" s="5" t="s">
        <v>2469</v>
      </c>
      <c r="AC573" s="5" t="s">
        <v>2470</v>
      </c>
      <c r="AD573" s="5" t="s">
        <v>86</v>
      </c>
      <c r="AF573" s="5">
        <v>4</v>
      </c>
      <c r="AG573" s="5">
        <v>491</v>
      </c>
      <c r="AH573" s="5" t="s">
        <v>85</v>
      </c>
      <c r="AI573" s="5" t="s">
        <v>2471</v>
      </c>
      <c r="AJ573" s="5">
        <v>4</v>
      </c>
      <c r="AK573" s="5">
        <v>46</v>
      </c>
      <c r="AL573" s="5">
        <v>26</v>
      </c>
      <c r="AM573" s="5">
        <v>20</v>
      </c>
      <c r="AN573" s="5">
        <v>0</v>
      </c>
      <c r="AO573" s="5">
        <v>4</v>
      </c>
      <c r="AP573" s="5">
        <v>0</v>
      </c>
      <c r="AQ573" s="5">
        <v>0</v>
      </c>
      <c r="AT573" s="5">
        <v>0</v>
      </c>
      <c r="AU573" s="5">
        <v>0</v>
      </c>
      <c r="AX573" s="5">
        <v>0</v>
      </c>
      <c r="AY573" s="5" t="s">
        <v>86</v>
      </c>
      <c r="BN573" s="5" t="s">
        <v>86</v>
      </c>
      <c r="CD573" s="5">
        <v>0</v>
      </c>
      <c r="CF573" s="1442" t="str">
        <f>IF([1]!sommaire[[#This Row],[présence des personnes déplacés interne]]="Oui","1","0")</f>
        <v>1</v>
      </c>
      <c r="CG573" s="1442" t="str">
        <f>IF([1]!sommaire[[#This Row],[présence Réfugié hors camp]]="Oui","1","0")</f>
        <v>0</v>
      </c>
      <c r="CH573" s="1442" t="str">
        <f>IF([1]!sommaire[[#This Row],[présence personnes retournées]]="Oui","1","0")</f>
        <v>0</v>
      </c>
      <c r="CI573" s="1442">
        <f>[1]!sommaire[[#This Row],[Flag PDI]]+[1]!sommaire[[#This Row],[Flag REF]]+[1]!sommaire[[#This Row],[Flag RET]]</f>
        <v>1</v>
      </c>
    </row>
    <row r="574" spans="1:87" ht="14.55" customHeight="1" x14ac:dyDescent="0.3">
      <c r="A574" s="390">
        <v>2627837</v>
      </c>
      <c r="B574" s="5" t="s">
        <v>533</v>
      </c>
      <c r="C574" s="1430" t="s">
        <v>3449</v>
      </c>
      <c r="D574" s="1090" t="s">
        <v>534</v>
      </c>
      <c r="E574" s="5" t="s">
        <v>31</v>
      </c>
      <c r="F574" s="5" t="s">
        <v>31</v>
      </c>
      <c r="G574" s="5" t="s">
        <v>549</v>
      </c>
      <c r="H574" s="5" t="s">
        <v>171</v>
      </c>
      <c r="I574" s="5" t="str">
        <f>_xlfn.XLOOKUP(sommaire[[#This Row],[Arrondissement_code]],OCHA_GIS!$F:$F,OCHA_GIS!$E:$E,,)</f>
        <v>Makary</v>
      </c>
      <c r="J574" s="5" t="s">
        <v>634</v>
      </c>
      <c r="K574" t="s">
        <v>2888</v>
      </c>
      <c r="L574" s="5" t="s">
        <v>1960</v>
      </c>
      <c r="N574" s="5" t="s">
        <v>3053</v>
      </c>
      <c r="O574" s="5" t="s">
        <v>2467</v>
      </c>
      <c r="P574" s="5" t="s">
        <v>85</v>
      </c>
      <c r="Q574" s="5" t="s">
        <v>86</v>
      </c>
      <c r="R574" s="5" t="s">
        <v>86</v>
      </c>
      <c r="T574" s="390">
        <v>3</v>
      </c>
      <c r="U574" s="5" t="s">
        <v>97</v>
      </c>
      <c r="W574" s="5" t="s">
        <v>2468</v>
      </c>
      <c r="X574" s="5" t="s">
        <v>102</v>
      </c>
      <c r="AA574" s="5" t="s">
        <v>85</v>
      </c>
      <c r="AB574" s="5" t="s">
        <v>2469</v>
      </c>
      <c r="AC574" s="5" t="s">
        <v>2470</v>
      </c>
      <c r="AD574" s="5" t="s">
        <v>86</v>
      </c>
      <c r="AF574" s="5">
        <v>13</v>
      </c>
      <c r="AG574" s="5">
        <v>521</v>
      </c>
      <c r="AH574" s="5" t="s">
        <v>85</v>
      </c>
      <c r="AI574" s="5" t="s">
        <v>2471</v>
      </c>
      <c r="AJ574" s="5">
        <v>13</v>
      </c>
      <c r="AK574" s="5">
        <v>127</v>
      </c>
      <c r="AL574" s="5">
        <v>95</v>
      </c>
      <c r="AM574" s="5">
        <v>32</v>
      </c>
      <c r="AN574" s="5">
        <v>0</v>
      </c>
      <c r="AO574" s="5">
        <v>13</v>
      </c>
      <c r="AP574" s="5">
        <v>0</v>
      </c>
      <c r="AQ574" s="5">
        <v>0</v>
      </c>
      <c r="AT574" s="5">
        <v>0</v>
      </c>
      <c r="AU574" s="5">
        <v>0</v>
      </c>
      <c r="AX574" s="5">
        <v>0</v>
      </c>
      <c r="AY574" s="5" t="s">
        <v>85</v>
      </c>
      <c r="AZ574" s="5">
        <v>2</v>
      </c>
      <c r="BA574" s="5">
        <v>10</v>
      </c>
      <c r="BB574" s="5">
        <v>7</v>
      </c>
      <c r="BC574" s="5">
        <v>3</v>
      </c>
      <c r="BD574" s="5">
        <v>2</v>
      </c>
      <c r="BE574" s="5">
        <v>0</v>
      </c>
      <c r="BF574" s="5">
        <v>0</v>
      </c>
      <c r="BH574" s="5">
        <v>0</v>
      </c>
      <c r="BI574" s="5">
        <v>0</v>
      </c>
      <c r="BL574" s="5">
        <v>0</v>
      </c>
      <c r="BM574" s="5">
        <v>0</v>
      </c>
      <c r="BN574" s="5" t="s">
        <v>86</v>
      </c>
      <c r="CD574" s="5">
        <v>0</v>
      </c>
      <c r="CF574" s="1442" t="str">
        <f>IF([1]!sommaire[[#This Row],[présence des personnes déplacés interne]]="Oui","1","0")</f>
        <v>1</v>
      </c>
      <c r="CG574" s="1442" t="str">
        <f>IF([1]!sommaire[[#This Row],[présence Réfugié hors camp]]="Oui","1","0")</f>
        <v>1</v>
      </c>
      <c r="CH574" s="1442" t="str">
        <f>IF([1]!sommaire[[#This Row],[présence personnes retournées]]="Oui","1","0")</f>
        <v>0</v>
      </c>
      <c r="CI574" s="1442">
        <f>[1]!sommaire[[#This Row],[Flag PDI]]+[1]!sommaire[[#This Row],[Flag REF]]+[1]!sommaire[[#This Row],[Flag RET]]</f>
        <v>2</v>
      </c>
    </row>
    <row r="575" spans="1:87" ht="14.55" customHeight="1" x14ac:dyDescent="0.3">
      <c r="A575" s="390">
        <v>2576326</v>
      </c>
      <c r="B575" s="5" t="s">
        <v>533</v>
      </c>
      <c r="C575" s="1430" t="s">
        <v>3449</v>
      </c>
      <c r="D575" s="1090" t="s">
        <v>534</v>
      </c>
      <c r="E575" s="5" t="s">
        <v>31</v>
      </c>
      <c r="F575" s="5" t="s">
        <v>31</v>
      </c>
      <c r="G575" s="5" t="s">
        <v>549</v>
      </c>
      <c r="H575" s="5" t="s">
        <v>171</v>
      </c>
      <c r="I575" s="5" t="str">
        <f>_xlfn.XLOOKUP(sommaire[[#This Row],[Arrondissement_code]],OCHA_GIS!$F:$F,OCHA_GIS!$E:$E,,)</f>
        <v>Makary</v>
      </c>
      <c r="J575" s="5" t="s">
        <v>634</v>
      </c>
      <c r="K575" t="s">
        <v>2890</v>
      </c>
      <c r="L575" s="5" t="s">
        <v>1346</v>
      </c>
      <c r="N575" s="5" t="s">
        <v>3053</v>
      </c>
      <c r="O575" s="5" t="s">
        <v>2467</v>
      </c>
      <c r="P575" s="5" t="s">
        <v>85</v>
      </c>
      <c r="Q575" s="5" t="s">
        <v>86</v>
      </c>
      <c r="R575" s="5" t="s">
        <v>86</v>
      </c>
      <c r="T575" s="390">
        <v>3</v>
      </c>
      <c r="U575" s="5" t="s">
        <v>97</v>
      </c>
      <c r="W575" s="5" t="s">
        <v>2468</v>
      </c>
      <c r="X575" s="5" t="s">
        <v>102</v>
      </c>
      <c r="AA575" s="5" t="s">
        <v>85</v>
      </c>
      <c r="AB575" s="5" t="s">
        <v>2469</v>
      </c>
      <c r="AC575" s="5" t="s">
        <v>2470</v>
      </c>
      <c r="AD575" s="5" t="s">
        <v>86</v>
      </c>
      <c r="AF575" s="5">
        <v>13</v>
      </c>
      <c r="AG575" s="5">
        <v>1300</v>
      </c>
      <c r="AH575" s="5" t="s">
        <v>85</v>
      </c>
      <c r="AI575" s="5" t="s">
        <v>2485</v>
      </c>
      <c r="AJ575" s="5">
        <v>13</v>
      </c>
      <c r="AK575" s="5">
        <v>86</v>
      </c>
      <c r="AL575" s="5">
        <v>42</v>
      </c>
      <c r="AM575" s="5">
        <v>44</v>
      </c>
      <c r="AN575" s="5">
        <v>0</v>
      </c>
      <c r="AO575" s="5">
        <v>13</v>
      </c>
      <c r="AP575" s="5">
        <v>0</v>
      </c>
      <c r="AQ575" s="5">
        <v>0</v>
      </c>
      <c r="AT575" s="5">
        <v>0</v>
      </c>
      <c r="AU575" s="5">
        <v>0</v>
      </c>
      <c r="AX575" s="5">
        <v>0</v>
      </c>
      <c r="AY575" s="5" t="s">
        <v>85</v>
      </c>
      <c r="AZ575" s="5">
        <v>15</v>
      </c>
      <c r="BA575" s="5">
        <v>115</v>
      </c>
      <c r="BB575" s="5">
        <v>55</v>
      </c>
      <c r="BC575" s="5">
        <v>60</v>
      </c>
      <c r="BD575" s="5">
        <v>15</v>
      </c>
      <c r="BE575" s="5">
        <v>0</v>
      </c>
      <c r="BF575" s="5">
        <v>0</v>
      </c>
      <c r="BH575" s="5">
        <v>0</v>
      </c>
      <c r="BI575" s="5">
        <v>0</v>
      </c>
      <c r="BL575" s="5">
        <v>0</v>
      </c>
      <c r="BM575" s="5">
        <v>0</v>
      </c>
      <c r="BN575" s="5" t="s">
        <v>86</v>
      </c>
      <c r="CD575" s="5">
        <v>0</v>
      </c>
      <c r="CF575" s="1442" t="str">
        <f>IF([1]!sommaire[[#This Row],[présence des personnes déplacés interne]]="Oui","1","0")</f>
        <v>1</v>
      </c>
      <c r="CG575" s="1442" t="str">
        <f>IF([1]!sommaire[[#This Row],[présence Réfugié hors camp]]="Oui","1","0")</f>
        <v>1</v>
      </c>
      <c r="CH575" s="1442" t="str">
        <f>IF([1]!sommaire[[#This Row],[présence personnes retournées]]="Oui","1","0")</f>
        <v>0</v>
      </c>
      <c r="CI575" s="1442">
        <f>[1]!sommaire[[#This Row],[Flag PDI]]+[1]!sommaire[[#This Row],[Flag REF]]+[1]!sommaire[[#This Row],[Flag RET]]</f>
        <v>2</v>
      </c>
    </row>
    <row r="576" spans="1:87" ht="14.55" customHeight="1" x14ac:dyDescent="0.3">
      <c r="A576" s="390">
        <v>2613506</v>
      </c>
      <c r="B576" s="5" t="s">
        <v>533</v>
      </c>
      <c r="C576" s="1430" t="s">
        <v>3449</v>
      </c>
      <c r="D576" s="1090" t="s">
        <v>534</v>
      </c>
      <c r="E576" s="5" t="s">
        <v>31</v>
      </c>
      <c r="F576" s="5" t="s">
        <v>31</v>
      </c>
      <c r="G576" s="5" t="s">
        <v>549</v>
      </c>
      <c r="H576" s="5" t="s">
        <v>171</v>
      </c>
      <c r="I576" s="5" t="str">
        <f>_xlfn.XLOOKUP(sommaire[[#This Row],[Arrondissement_code]],OCHA_GIS!$F:$F,OCHA_GIS!$E:$E,,)</f>
        <v>Makary</v>
      </c>
      <c r="J576" s="5" t="s">
        <v>634</v>
      </c>
      <c r="K576" t="s">
        <v>1285</v>
      </c>
      <c r="L576" s="5" t="s">
        <v>1790</v>
      </c>
      <c r="N576" s="5" t="s">
        <v>3053</v>
      </c>
      <c r="O576" s="5" t="s">
        <v>2467</v>
      </c>
      <c r="P576" s="5" t="s">
        <v>85</v>
      </c>
      <c r="Q576" s="5" t="s">
        <v>86</v>
      </c>
      <c r="R576" s="5" t="s">
        <v>85</v>
      </c>
      <c r="T576" s="390">
        <v>3</v>
      </c>
      <c r="U576" s="5" t="s">
        <v>97</v>
      </c>
      <c r="W576" s="5" t="s">
        <v>2468</v>
      </c>
      <c r="X576" s="5" t="s">
        <v>103</v>
      </c>
      <c r="Y576" s="5" t="s">
        <v>2476</v>
      </c>
      <c r="AA576" s="5" t="s">
        <v>85</v>
      </c>
      <c r="AB576" s="5" t="s">
        <v>2469</v>
      </c>
      <c r="AC576" s="5" t="s">
        <v>2470</v>
      </c>
      <c r="AD576" s="5" t="s">
        <v>86</v>
      </c>
      <c r="AF576" s="5">
        <v>2</v>
      </c>
      <c r="AG576" s="5">
        <v>121</v>
      </c>
      <c r="AH576" s="5" t="s">
        <v>85</v>
      </c>
      <c r="AI576" s="5" t="s">
        <v>2471</v>
      </c>
      <c r="AJ576" s="5">
        <v>2</v>
      </c>
      <c r="AK576" s="5">
        <v>8</v>
      </c>
      <c r="AL576" s="5">
        <v>3</v>
      </c>
      <c r="AM576" s="5">
        <v>5</v>
      </c>
      <c r="AN576" s="5">
        <v>2</v>
      </c>
      <c r="AO576" s="5">
        <v>0</v>
      </c>
      <c r="AP576" s="5">
        <v>0</v>
      </c>
      <c r="AQ576" s="5">
        <v>0</v>
      </c>
      <c r="AT576" s="5">
        <v>0</v>
      </c>
      <c r="AU576" s="5">
        <v>0</v>
      </c>
      <c r="AX576" s="5">
        <v>0</v>
      </c>
      <c r="AY576" s="5" t="s">
        <v>86</v>
      </c>
      <c r="BN576" s="5" t="s">
        <v>86</v>
      </c>
      <c r="CD576" s="5">
        <v>0</v>
      </c>
      <c r="CF576" s="1442" t="str">
        <f>IF([1]!sommaire[[#This Row],[présence des personnes déplacés interne]]="Oui","1","0")</f>
        <v>1</v>
      </c>
      <c r="CG576" s="1442" t="str">
        <f>IF([1]!sommaire[[#This Row],[présence Réfugié hors camp]]="Oui","1","0")</f>
        <v>0</v>
      </c>
      <c r="CH576" s="1442" t="str">
        <f>IF([1]!sommaire[[#This Row],[présence personnes retournées]]="Oui","1","0")</f>
        <v>0</v>
      </c>
      <c r="CI576" s="1442">
        <f>[1]!sommaire[[#This Row],[Flag PDI]]+[1]!sommaire[[#This Row],[Flag REF]]+[1]!sommaire[[#This Row],[Flag RET]]</f>
        <v>1</v>
      </c>
    </row>
    <row r="577" spans="1:87" ht="14.55" customHeight="1" x14ac:dyDescent="0.3">
      <c r="A577" s="390">
        <v>2605517</v>
      </c>
      <c r="B577" s="5" t="s">
        <v>533</v>
      </c>
      <c r="C577" s="1430" t="s">
        <v>3449</v>
      </c>
      <c r="D577" s="1090" t="s">
        <v>534</v>
      </c>
      <c r="E577" s="5" t="s">
        <v>31</v>
      </c>
      <c r="F577" s="5" t="s">
        <v>31</v>
      </c>
      <c r="G577" s="5" t="s">
        <v>549</v>
      </c>
      <c r="H577" s="5" t="s">
        <v>171</v>
      </c>
      <c r="I577" s="5" t="str">
        <f>_xlfn.XLOOKUP(sommaire[[#This Row],[Arrondissement_code]],OCHA_GIS!$F:$F,OCHA_GIS!$E:$E,,)</f>
        <v>Makary</v>
      </c>
      <c r="J577" s="5" t="s">
        <v>634</v>
      </c>
      <c r="K577" t="s">
        <v>2892</v>
      </c>
      <c r="L577" s="5" t="s">
        <v>2622</v>
      </c>
      <c r="N577" s="5" t="s">
        <v>3053</v>
      </c>
      <c r="O577" s="5" t="s">
        <v>2467</v>
      </c>
      <c r="P577" s="5" t="s">
        <v>85</v>
      </c>
      <c r="Q577" s="5" t="s">
        <v>86</v>
      </c>
      <c r="R577" s="5" t="s">
        <v>86</v>
      </c>
      <c r="T577" s="390">
        <v>3</v>
      </c>
      <c r="U577" s="5" t="s">
        <v>98</v>
      </c>
      <c r="W577" s="5" t="s">
        <v>2482</v>
      </c>
      <c r="AA577" s="5" t="s">
        <v>86</v>
      </c>
      <c r="AH577" s="1430" t="s">
        <v>86</v>
      </c>
      <c r="AY577" s="1430" t="s">
        <v>86</v>
      </c>
      <c r="BN577" s="1430" t="s">
        <v>86</v>
      </c>
      <c r="CF577" s="1442" t="str">
        <f>IF([1]!sommaire[[#This Row],[présence des personnes déplacés interne]]="Oui","1","0")</f>
        <v>0</v>
      </c>
      <c r="CG577" s="1442" t="str">
        <f>IF([1]!sommaire[[#This Row],[présence Réfugié hors camp]]="Oui","1","0")</f>
        <v>0</v>
      </c>
      <c r="CH577" s="1442" t="str">
        <f>IF([1]!sommaire[[#This Row],[présence personnes retournées]]="Oui","1","0")</f>
        <v>0</v>
      </c>
      <c r="CI577" s="1442">
        <f>[1]!sommaire[[#This Row],[Flag PDI]]+[1]!sommaire[[#This Row],[Flag REF]]+[1]!sommaire[[#This Row],[Flag RET]]</f>
        <v>0</v>
      </c>
    </row>
    <row r="578" spans="1:87" ht="14.55" customHeight="1" x14ac:dyDescent="0.3">
      <c r="A578" s="390">
        <v>2632789</v>
      </c>
      <c r="B578" s="5" t="s">
        <v>533</v>
      </c>
      <c r="C578" s="1430" t="s">
        <v>3449</v>
      </c>
      <c r="D578" s="1090" t="s">
        <v>534</v>
      </c>
      <c r="E578" s="5" t="s">
        <v>31</v>
      </c>
      <c r="F578" s="5" t="s">
        <v>31</v>
      </c>
      <c r="G578" s="5" t="s">
        <v>549</v>
      </c>
      <c r="H578" s="5" t="s">
        <v>171</v>
      </c>
      <c r="I578" s="5" t="str">
        <f>_xlfn.XLOOKUP(sommaire[[#This Row],[Arrondissement_code]],OCHA_GIS!$F:$F,OCHA_GIS!$E:$E,,)</f>
        <v>Makary</v>
      </c>
      <c r="J578" s="5" t="s">
        <v>634</v>
      </c>
      <c r="K578" t="s">
        <v>1542</v>
      </c>
      <c r="L578" s="5" t="s">
        <v>1012</v>
      </c>
      <c r="N578" s="5" t="s">
        <v>3053</v>
      </c>
      <c r="O578" s="5" t="s">
        <v>2467</v>
      </c>
      <c r="P578" s="5" t="s">
        <v>85</v>
      </c>
      <c r="Q578" s="5" t="s">
        <v>86</v>
      </c>
      <c r="R578" s="5" t="s">
        <v>86</v>
      </c>
      <c r="T578" s="390">
        <v>3</v>
      </c>
      <c r="U578" s="5" t="s">
        <v>97</v>
      </c>
      <c r="W578" s="5" t="s">
        <v>2468</v>
      </c>
      <c r="X578" s="5" t="s">
        <v>102</v>
      </c>
      <c r="AA578" s="5" t="s">
        <v>85</v>
      </c>
      <c r="AB578" s="5" t="s">
        <v>2469</v>
      </c>
      <c r="AC578" s="5" t="s">
        <v>2470</v>
      </c>
      <c r="AD578" s="5" t="s">
        <v>86</v>
      </c>
      <c r="AF578" s="5">
        <v>12</v>
      </c>
      <c r="AG578" s="5">
        <v>492</v>
      </c>
      <c r="AH578" s="5" t="s">
        <v>85</v>
      </c>
      <c r="AI578" s="5" t="s">
        <v>2485</v>
      </c>
      <c r="AJ578" s="5">
        <v>12</v>
      </c>
      <c r="AK578" s="5">
        <v>87</v>
      </c>
      <c r="AL578" s="5">
        <v>39</v>
      </c>
      <c r="AM578" s="5">
        <v>48</v>
      </c>
      <c r="AN578" s="5">
        <v>0</v>
      </c>
      <c r="AO578" s="5">
        <v>12</v>
      </c>
      <c r="AP578" s="5">
        <v>0</v>
      </c>
      <c r="AQ578" s="5">
        <v>0</v>
      </c>
      <c r="AT578" s="5">
        <v>0</v>
      </c>
      <c r="AU578" s="5">
        <v>0</v>
      </c>
      <c r="AX578" s="5">
        <v>0</v>
      </c>
      <c r="AY578" s="5" t="s">
        <v>85</v>
      </c>
      <c r="AZ578" s="5">
        <v>5</v>
      </c>
      <c r="BA578" s="5">
        <v>47</v>
      </c>
      <c r="BB578" s="5">
        <v>18</v>
      </c>
      <c r="BC578" s="5">
        <v>29</v>
      </c>
      <c r="BD578" s="5">
        <v>5</v>
      </c>
      <c r="BE578" s="5">
        <v>0</v>
      </c>
      <c r="BF578" s="5">
        <v>0</v>
      </c>
      <c r="BH578" s="5">
        <v>0</v>
      </c>
      <c r="BI578" s="5">
        <v>0</v>
      </c>
      <c r="BL578" s="5">
        <v>0</v>
      </c>
      <c r="BM578" s="5">
        <v>0</v>
      </c>
      <c r="BN578" s="5" t="s">
        <v>85</v>
      </c>
      <c r="BO578" s="5">
        <v>21</v>
      </c>
      <c r="BP578" s="5">
        <v>257</v>
      </c>
      <c r="BQ578" s="5">
        <v>101</v>
      </c>
      <c r="BR578" s="5">
        <v>156</v>
      </c>
      <c r="BS578" s="5" t="s">
        <v>2535</v>
      </c>
      <c r="BT578" s="5">
        <v>7</v>
      </c>
      <c r="BU578" s="5">
        <v>0</v>
      </c>
      <c r="BV578" s="5">
        <v>8</v>
      </c>
      <c r="BW578" s="5">
        <v>0</v>
      </c>
      <c r="BX578" s="5">
        <v>0</v>
      </c>
      <c r="BZ578" s="5">
        <v>0</v>
      </c>
      <c r="CA578" s="5">
        <v>6</v>
      </c>
      <c r="CB578" s="5" t="s">
        <v>2490</v>
      </c>
      <c r="CC578" s="5">
        <v>0</v>
      </c>
      <c r="CD578" s="5">
        <v>0</v>
      </c>
      <c r="CF578" s="1442" t="str">
        <f>IF([1]!sommaire[[#This Row],[présence des personnes déplacés interne]]="Oui","1","0")</f>
        <v>1</v>
      </c>
      <c r="CG578" s="1442" t="str">
        <f>IF([1]!sommaire[[#This Row],[présence Réfugié hors camp]]="Oui","1","0")</f>
        <v>1</v>
      </c>
      <c r="CH578" s="1442" t="str">
        <f>IF([1]!sommaire[[#This Row],[présence personnes retournées]]="Oui","1","0")</f>
        <v>1</v>
      </c>
      <c r="CI578" s="1442">
        <f>[1]!sommaire[[#This Row],[Flag PDI]]+[1]!sommaire[[#This Row],[Flag REF]]+[1]!sommaire[[#This Row],[Flag RET]]</f>
        <v>3</v>
      </c>
    </row>
    <row r="579" spans="1:87" ht="14.55" customHeight="1" x14ac:dyDescent="0.3">
      <c r="A579" s="390">
        <v>2657859</v>
      </c>
      <c r="B579" s="5" t="s">
        <v>533</v>
      </c>
      <c r="C579" s="1430" t="s">
        <v>3449</v>
      </c>
      <c r="D579" s="1090" t="s">
        <v>534</v>
      </c>
      <c r="E579" s="5" t="s">
        <v>31</v>
      </c>
      <c r="F579" s="5" t="s">
        <v>31</v>
      </c>
      <c r="G579" s="5" t="s">
        <v>549</v>
      </c>
      <c r="H579" s="5" t="s">
        <v>171</v>
      </c>
      <c r="I579" s="5" t="str">
        <f>_xlfn.XLOOKUP(sommaire[[#This Row],[Arrondissement_code]],OCHA_GIS!$F:$F,OCHA_GIS!$E:$E,,)</f>
        <v>Makary</v>
      </c>
      <c r="J579" s="5" t="s">
        <v>634</v>
      </c>
      <c r="K579" t="s">
        <v>1254</v>
      </c>
      <c r="L579" s="5" t="s">
        <v>2088</v>
      </c>
      <c r="N579" s="5" t="s">
        <v>3053</v>
      </c>
      <c r="O579" s="5" t="s">
        <v>2467</v>
      </c>
      <c r="P579" s="5" t="s">
        <v>85</v>
      </c>
      <c r="Q579" s="5" t="s">
        <v>86</v>
      </c>
      <c r="R579" s="5" t="s">
        <v>86</v>
      </c>
      <c r="T579" s="390">
        <v>3</v>
      </c>
      <c r="U579" s="5" t="s">
        <v>97</v>
      </c>
      <c r="W579" s="5" t="s">
        <v>2468</v>
      </c>
      <c r="X579" s="5" t="s">
        <v>102</v>
      </c>
      <c r="AA579" s="5" t="s">
        <v>85</v>
      </c>
      <c r="AB579" s="5" t="s">
        <v>2469</v>
      </c>
      <c r="AC579" s="5" t="s">
        <v>2470</v>
      </c>
      <c r="AD579" s="5" t="s">
        <v>86</v>
      </c>
      <c r="AF579" s="5">
        <v>19</v>
      </c>
      <c r="AG579" s="5">
        <v>1143</v>
      </c>
      <c r="AH579" s="5" t="s">
        <v>85</v>
      </c>
      <c r="AI579" s="5" t="s">
        <v>2471</v>
      </c>
      <c r="AJ579" s="5">
        <v>19</v>
      </c>
      <c r="AK579" s="5">
        <v>171</v>
      </c>
      <c r="AL579" s="5">
        <v>71</v>
      </c>
      <c r="AM579" s="5">
        <v>100</v>
      </c>
      <c r="AN579" s="5">
        <v>0</v>
      </c>
      <c r="AO579" s="5">
        <v>19</v>
      </c>
      <c r="AP579" s="5">
        <v>0</v>
      </c>
      <c r="AQ579" s="5">
        <v>0</v>
      </c>
      <c r="AT579" s="5">
        <v>0</v>
      </c>
      <c r="AU579" s="5">
        <v>0</v>
      </c>
      <c r="AX579" s="5">
        <v>0</v>
      </c>
      <c r="AY579" s="5" t="s">
        <v>86</v>
      </c>
      <c r="BN579" s="5" t="s">
        <v>86</v>
      </c>
      <c r="CD579" s="5">
        <v>0</v>
      </c>
      <c r="CF579" s="1442" t="str">
        <f>IF([1]!sommaire[[#This Row],[présence des personnes déplacés interne]]="Oui","1","0")</f>
        <v>1</v>
      </c>
      <c r="CG579" s="1442" t="str">
        <f>IF([1]!sommaire[[#This Row],[présence Réfugié hors camp]]="Oui","1","0")</f>
        <v>0</v>
      </c>
      <c r="CH579" s="1442" t="str">
        <f>IF([1]!sommaire[[#This Row],[présence personnes retournées]]="Oui","1","0")</f>
        <v>0</v>
      </c>
      <c r="CI579" s="1442">
        <f>[1]!sommaire[[#This Row],[Flag PDI]]+[1]!sommaire[[#This Row],[Flag REF]]+[1]!sommaire[[#This Row],[Flag RET]]</f>
        <v>1</v>
      </c>
    </row>
    <row r="580" spans="1:87" ht="14.55" customHeight="1" x14ac:dyDescent="0.3">
      <c r="A580" s="390">
        <v>2613263</v>
      </c>
      <c r="B580" s="5" t="s">
        <v>533</v>
      </c>
      <c r="C580" s="1430" t="s">
        <v>3449</v>
      </c>
      <c r="D580" s="1090" t="s">
        <v>534</v>
      </c>
      <c r="E580" s="5" t="s">
        <v>31</v>
      </c>
      <c r="F580" s="5" t="s">
        <v>31</v>
      </c>
      <c r="G580" s="5" t="s">
        <v>549</v>
      </c>
      <c r="H580" s="5" t="s">
        <v>171</v>
      </c>
      <c r="I580" s="5" t="str">
        <f>_xlfn.XLOOKUP(sommaire[[#This Row],[Arrondissement_code]],OCHA_GIS!$F:$F,OCHA_GIS!$E:$E,,)</f>
        <v>Makary</v>
      </c>
      <c r="J580" s="5" t="s">
        <v>634</v>
      </c>
      <c r="K580" t="s">
        <v>1024</v>
      </c>
      <c r="L580" s="5" t="s">
        <v>1273</v>
      </c>
      <c r="N580" s="5" t="s">
        <v>3053</v>
      </c>
      <c r="O580" s="5" t="s">
        <v>2467</v>
      </c>
      <c r="P580" s="5" t="s">
        <v>85</v>
      </c>
      <c r="Q580" s="5" t="s">
        <v>86</v>
      </c>
      <c r="R580" s="5" t="s">
        <v>86</v>
      </c>
      <c r="T580" s="390">
        <v>3</v>
      </c>
      <c r="U580" s="5" t="s">
        <v>97</v>
      </c>
      <c r="W580" s="5" t="s">
        <v>2468</v>
      </c>
      <c r="X580" s="5" t="s">
        <v>102</v>
      </c>
      <c r="AA580" s="5" t="s">
        <v>85</v>
      </c>
      <c r="AB580" s="5" t="s">
        <v>2469</v>
      </c>
      <c r="AC580" s="5" t="s">
        <v>2470</v>
      </c>
      <c r="AD580" s="5" t="s">
        <v>86</v>
      </c>
      <c r="AF580" s="5">
        <v>7</v>
      </c>
      <c r="AG580" s="5">
        <v>291</v>
      </c>
      <c r="AH580" s="5" t="s">
        <v>85</v>
      </c>
      <c r="AI580" s="5" t="s">
        <v>2471</v>
      </c>
      <c r="AJ580" s="5">
        <v>7</v>
      </c>
      <c r="AK580" s="5">
        <v>74</v>
      </c>
      <c r="AL580" s="5">
        <v>27</v>
      </c>
      <c r="AM580" s="5">
        <v>47</v>
      </c>
      <c r="AN580" s="5">
        <v>0</v>
      </c>
      <c r="AO580" s="5">
        <v>7</v>
      </c>
      <c r="AP580" s="5">
        <v>0</v>
      </c>
      <c r="AQ580" s="5">
        <v>0</v>
      </c>
      <c r="AT580" s="5">
        <v>0</v>
      </c>
      <c r="AU580" s="5">
        <v>0</v>
      </c>
      <c r="AX580" s="5">
        <v>0</v>
      </c>
      <c r="AY580" s="5" t="s">
        <v>85</v>
      </c>
      <c r="AZ580" s="5">
        <v>11</v>
      </c>
      <c r="BA580" s="5">
        <v>93</v>
      </c>
      <c r="BB580" s="5">
        <v>41</v>
      </c>
      <c r="BC580" s="5">
        <v>52</v>
      </c>
      <c r="BD580" s="5">
        <v>11</v>
      </c>
      <c r="BE580" s="5">
        <v>0</v>
      </c>
      <c r="BF580" s="5">
        <v>0</v>
      </c>
      <c r="BH580" s="5">
        <v>0</v>
      </c>
      <c r="BI580" s="5">
        <v>0</v>
      </c>
      <c r="BL580" s="5">
        <v>0</v>
      </c>
      <c r="BM580" s="5">
        <v>0</v>
      </c>
      <c r="BN580" s="5" t="s">
        <v>86</v>
      </c>
      <c r="CD580" s="5">
        <v>0</v>
      </c>
      <c r="CF580" s="1442" t="str">
        <f>IF([1]!sommaire[[#This Row],[présence des personnes déplacés interne]]="Oui","1","0")</f>
        <v>1</v>
      </c>
      <c r="CG580" s="1442" t="str">
        <f>IF([1]!sommaire[[#This Row],[présence Réfugié hors camp]]="Oui","1","0")</f>
        <v>1</v>
      </c>
      <c r="CH580" s="1442" t="str">
        <f>IF([1]!sommaire[[#This Row],[présence personnes retournées]]="Oui","1","0")</f>
        <v>0</v>
      </c>
      <c r="CI580" s="1442">
        <f>[1]!sommaire[[#This Row],[Flag PDI]]+[1]!sommaire[[#This Row],[Flag REF]]+[1]!sommaire[[#This Row],[Flag RET]]</f>
        <v>2</v>
      </c>
    </row>
    <row r="581" spans="1:87" ht="14.55" customHeight="1" x14ac:dyDescent="0.3">
      <c r="A581" s="390">
        <v>2657846</v>
      </c>
      <c r="B581" s="5" t="s">
        <v>533</v>
      </c>
      <c r="C581" s="1430" t="s">
        <v>3449</v>
      </c>
      <c r="D581" s="5" t="s">
        <v>534</v>
      </c>
      <c r="E581" s="5" t="s">
        <v>31</v>
      </c>
      <c r="F581" s="5" t="s">
        <v>31</v>
      </c>
      <c r="G581" s="5" t="s">
        <v>549</v>
      </c>
      <c r="H581" s="5" t="s">
        <v>171</v>
      </c>
      <c r="I581" s="5" t="str">
        <f>_xlfn.XLOOKUP(sommaire[[#This Row],[Arrondissement_code]],OCHA_GIS!$F:$F,OCHA_GIS!$E:$E,,)</f>
        <v>Makary</v>
      </c>
      <c r="J581" s="5" t="s">
        <v>634</v>
      </c>
      <c r="K581" t="s">
        <v>2893</v>
      </c>
      <c r="L581" s="5" t="s">
        <v>1895</v>
      </c>
      <c r="N581" s="5" t="s">
        <v>3053</v>
      </c>
      <c r="O581" s="5" t="s">
        <v>2467</v>
      </c>
      <c r="P581" s="5" t="s">
        <v>85</v>
      </c>
      <c r="Q581" s="5" t="s">
        <v>86</v>
      </c>
      <c r="R581" s="5" t="s">
        <v>86</v>
      </c>
      <c r="T581" s="390">
        <v>3</v>
      </c>
      <c r="U581" s="5" t="s">
        <v>97</v>
      </c>
      <c r="W581" s="5" t="s">
        <v>2468</v>
      </c>
      <c r="X581" s="1090" t="s">
        <v>103</v>
      </c>
      <c r="Y581" s="5" t="s">
        <v>2476</v>
      </c>
      <c r="AA581" s="1090" t="s">
        <v>85</v>
      </c>
      <c r="AB581" s="5" t="s">
        <v>2469</v>
      </c>
      <c r="AC581" s="5" t="s">
        <v>2470</v>
      </c>
      <c r="AD581" s="5" t="s">
        <v>86</v>
      </c>
      <c r="AF581" s="5">
        <v>30</v>
      </c>
      <c r="AG581" s="5">
        <v>102</v>
      </c>
      <c r="AH581" s="5" t="s">
        <v>85</v>
      </c>
      <c r="AI581" s="5" t="s">
        <v>2471</v>
      </c>
      <c r="AJ581" s="5">
        <v>30</v>
      </c>
      <c r="AK581" s="5">
        <v>82</v>
      </c>
      <c r="AL581" s="5">
        <v>40</v>
      </c>
      <c r="AM581" s="5">
        <v>42</v>
      </c>
      <c r="AN581" s="5">
        <v>30</v>
      </c>
      <c r="AO581" s="5">
        <v>0</v>
      </c>
      <c r="AP581" s="5">
        <v>0</v>
      </c>
      <c r="AQ581" s="5">
        <v>0</v>
      </c>
      <c r="AT581" s="5">
        <v>0</v>
      </c>
      <c r="AU581" s="5">
        <v>0</v>
      </c>
      <c r="AX581" s="5">
        <v>0</v>
      </c>
      <c r="AY581" s="1090" t="s">
        <v>86</v>
      </c>
      <c r="BN581" s="1090" t="s">
        <v>86</v>
      </c>
      <c r="CD581" s="5">
        <v>0</v>
      </c>
      <c r="CF581" s="1442" t="str">
        <f>IF([1]!sommaire[[#This Row],[présence des personnes déplacés interne]]="Oui","1","0")</f>
        <v>1</v>
      </c>
      <c r="CG581" s="1442" t="str">
        <f>IF([1]!sommaire[[#This Row],[présence Réfugié hors camp]]="Oui","1","0")</f>
        <v>0</v>
      </c>
      <c r="CH581" s="1442" t="str">
        <f>IF([1]!sommaire[[#This Row],[présence personnes retournées]]="Oui","1","0")</f>
        <v>0</v>
      </c>
      <c r="CI581" s="1442">
        <f>[1]!sommaire[[#This Row],[Flag PDI]]+[1]!sommaire[[#This Row],[Flag REF]]+[1]!sommaire[[#This Row],[Flag RET]]</f>
        <v>1</v>
      </c>
    </row>
    <row r="582" spans="1:87" ht="14.55" customHeight="1" x14ac:dyDescent="0.3">
      <c r="A582" s="390">
        <v>2657676</v>
      </c>
      <c r="B582" s="5" t="s">
        <v>533</v>
      </c>
      <c r="C582" s="1430" t="s">
        <v>3449</v>
      </c>
      <c r="D582" s="1090" t="s">
        <v>534</v>
      </c>
      <c r="E582" s="5" t="s">
        <v>31</v>
      </c>
      <c r="F582" s="5" t="s">
        <v>31</v>
      </c>
      <c r="G582" s="5" t="s">
        <v>549</v>
      </c>
      <c r="H582" s="5" t="s">
        <v>171</v>
      </c>
      <c r="I582" s="5" t="str">
        <f>_xlfn.XLOOKUP(sommaire[[#This Row],[Arrondissement_code]],OCHA_GIS!$F:$F,OCHA_GIS!$E:$E,,)</f>
        <v>Makary</v>
      </c>
      <c r="J582" s="5" t="s">
        <v>634</v>
      </c>
      <c r="K582" t="s">
        <v>1831</v>
      </c>
      <c r="L582" s="5" t="s">
        <v>1397</v>
      </c>
      <c r="N582" s="5" t="s">
        <v>3053</v>
      </c>
      <c r="O582" s="5" t="s">
        <v>2467</v>
      </c>
      <c r="P582" s="5" t="s">
        <v>85</v>
      </c>
      <c r="Q582" s="5" t="s">
        <v>86</v>
      </c>
      <c r="R582" s="5" t="s">
        <v>86</v>
      </c>
      <c r="T582" s="390">
        <v>4</v>
      </c>
      <c r="U582" s="5" t="s">
        <v>97</v>
      </c>
      <c r="W582" s="5" t="s">
        <v>2468</v>
      </c>
      <c r="X582" s="1090" t="s">
        <v>102</v>
      </c>
      <c r="AA582" s="1090" t="s">
        <v>85</v>
      </c>
      <c r="AB582" s="5" t="s">
        <v>2469</v>
      </c>
      <c r="AC582" s="5" t="s">
        <v>2470</v>
      </c>
      <c r="AD582" s="5" t="s">
        <v>86</v>
      </c>
      <c r="AF582" s="5">
        <v>11</v>
      </c>
      <c r="AG582" s="5">
        <v>767</v>
      </c>
      <c r="AH582" s="5" t="s">
        <v>85</v>
      </c>
      <c r="AI582" s="5" t="s">
        <v>2471</v>
      </c>
      <c r="AJ582" s="5">
        <v>11</v>
      </c>
      <c r="AK582" s="5">
        <v>60</v>
      </c>
      <c r="AL582" s="5">
        <v>27</v>
      </c>
      <c r="AM582" s="5">
        <v>33</v>
      </c>
      <c r="AN582" s="5">
        <v>3</v>
      </c>
      <c r="AO582" s="5">
        <v>8</v>
      </c>
      <c r="AP582" s="5">
        <v>0</v>
      </c>
      <c r="AQ582" s="5">
        <v>0</v>
      </c>
      <c r="AT582" s="5">
        <v>0</v>
      </c>
      <c r="AU582" s="5">
        <v>0</v>
      </c>
      <c r="AX582" s="5">
        <v>0</v>
      </c>
      <c r="AY582" s="1090" t="s">
        <v>86</v>
      </c>
      <c r="BN582" s="1090" t="s">
        <v>86</v>
      </c>
      <c r="CD582" s="5">
        <v>0</v>
      </c>
      <c r="CF582" s="1442" t="str">
        <f>IF([1]!sommaire[[#This Row],[présence des personnes déplacés interne]]="Oui","1","0")</f>
        <v>1</v>
      </c>
      <c r="CG582" s="1442" t="str">
        <f>IF([1]!sommaire[[#This Row],[présence Réfugié hors camp]]="Oui","1","0")</f>
        <v>0</v>
      </c>
      <c r="CH582" s="1442" t="str">
        <f>IF([1]!sommaire[[#This Row],[présence personnes retournées]]="Oui","1","0")</f>
        <v>0</v>
      </c>
      <c r="CI582" s="1442">
        <f>[1]!sommaire[[#This Row],[Flag PDI]]+[1]!sommaire[[#This Row],[Flag REF]]+[1]!sommaire[[#This Row],[Flag RET]]</f>
        <v>1</v>
      </c>
    </row>
    <row r="583" spans="1:87" ht="14.55" customHeight="1" x14ac:dyDescent="0.3">
      <c r="A583" s="390">
        <v>2647201</v>
      </c>
      <c r="B583" s="5" t="s">
        <v>533</v>
      </c>
      <c r="C583" s="1430" t="s">
        <v>3449</v>
      </c>
      <c r="D583" s="1090" t="s">
        <v>534</v>
      </c>
      <c r="E583" s="5" t="s">
        <v>31</v>
      </c>
      <c r="F583" s="5" t="s">
        <v>31</v>
      </c>
      <c r="G583" s="5" t="s">
        <v>549</v>
      </c>
      <c r="H583" s="5" t="s">
        <v>171</v>
      </c>
      <c r="I583" s="5" t="str">
        <f>_xlfn.XLOOKUP(sommaire[[#This Row],[Arrondissement_code]],OCHA_GIS!$F:$F,OCHA_GIS!$E:$E,,)</f>
        <v>Makary</v>
      </c>
      <c r="J583" s="5" t="s">
        <v>634</v>
      </c>
      <c r="K583" t="s">
        <v>2608</v>
      </c>
      <c r="L583" s="5" t="s">
        <v>2613</v>
      </c>
      <c r="N583" s="5" t="s">
        <v>3053</v>
      </c>
      <c r="O583" s="5" t="s">
        <v>2467</v>
      </c>
      <c r="P583" s="5" t="s">
        <v>85</v>
      </c>
      <c r="Q583" s="5" t="s">
        <v>86</v>
      </c>
      <c r="R583" s="5" t="s">
        <v>86</v>
      </c>
      <c r="T583" s="390">
        <v>3</v>
      </c>
      <c r="U583" s="5" t="s">
        <v>97</v>
      </c>
      <c r="W583" s="5" t="s">
        <v>2468</v>
      </c>
      <c r="X583" s="1090" t="s">
        <v>103</v>
      </c>
      <c r="Y583" s="5" t="s">
        <v>2476</v>
      </c>
      <c r="AA583" s="5" t="s">
        <v>86</v>
      </c>
      <c r="AH583" s="1430" t="s">
        <v>86</v>
      </c>
      <c r="AY583" s="1430" t="s">
        <v>86</v>
      </c>
      <c r="BN583" s="1430" t="s">
        <v>86</v>
      </c>
      <c r="CF583" s="1442" t="str">
        <f>IF([1]!sommaire[[#This Row],[présence des personnes déplacés interne]]="Oui","1","0")</f>
        <v>0</v>
      </c>
      <c r="CG583" s="1442" t="str">
        <f>IF([1]!sommaire[[#This Row],[présence Réfugié hors camp]]="Oui","1","0")</f>
        <v>0</v>
      </c>
      <c r="CH583" s="1442" t="str">
        <f>IF([1]!sommaire[[#This Row],[présence personnes retournées]]="Oui","1","0")</f>
        <v>0</v>
      </c>
      <c r="CI583" s="1442">
        <f>[1]!sommaire[[#This Row],[Flag PDI]]+[1]!sommaire[[#This Row],[Flag REF]]+[1]!sommaire[[#This Row],[Flag RET]]</f>
        <v>0</v>
      </c>
    </row>
    <row r="584" spans="1:87" ht="14.55" customHeight="1" x14ac:dyDescent="0.3">
      <c r="A584" s="390">
        <v>2636023</v>
      </c>
      <c r="B584" s="5" t="s">
        <v>533</v>
      </c>
      <c r="C584" s="1430" t="s">
        <v>3449</v>
      </c>
      <c r="D584" s="1090" t="s">
        <v>534</v>
      </c>
      <c r="E584" s="5" t="s">
        <v>31</v>
      </c>
      <c r="F584" s="5" t="s">
        <v>31</v>
      </c>
      <c r="G584" s="5" t="s">
        <v>549</v>
      </c>
      <c r="H584" s="5" t="s">
        <v>171</v>
      </c>
      <c r="I584" s="5" t="str">
        <f>_xlfn.XLOOKUP(sommaire[[#This Row],[Arrondissement_code]],OCHA_GIS!$F:$F,OCHA_GIS!$E:$E,,)</f>
        <v>Makary</v>
      </c>
      <c r="J584" s="5" t="s">
        <v>634</v>
      </c>
      <c r="K584" t="s">
        <v>869</v>
      </c>
      <c r="L584" s="5" t="s">
        <v>1223</v>
      </c>
      <c r="N584" s="5" t="s">
        <v>3053</v>
      </c>
      <c r="O584" s="5" t="s">
        <v>2467</v>
      </c>
      <c r="P584" s="5" t="s">
        <v>85</v>
      </c>
      <c r="Q584" s="5" t="s">
        <v>86</v>
      </c>
      <c r="R584" s="5" t="s">
        <v>86</v>
      </c>
      <c r="T584" s="390">
        <v>3</v>
      </c>
      <c r="U584" s="5" t="s">
        <v>97</v>
      </c>
      <c r="W584" s="5" t="s">
        <v>2468</v>
      </c>
      <c r="X584" s="1090" t="s">
        <v>102</v>
      </c>
      <c r="AA584" s="1090" t="s">
        <v>85</v>
      </c>
      <c r="AB584" s="5" t="s">
        <v>2469</v>
      </c>
      <c r="AC584" s="5" t="s">
        <v>2470</v>
      </c>
      <c r="AD584" s="1090" t="s">
        <v>86</v>
      </c>
      <c r="AF584" s="5">
        <v>15</v>
      </c>
      <c r="AG584" s="5">
        <v>305</v>
      </c>
      <c r="AH584" s="5" t="s">
        <v>85</v>
      </c>
      <c r="AI584" s="5" t="s">
        <v>2471</v>
      </c>
      <c r="AJ584" s="5">
        <v>15</v>
      </c>
      <c r="AK584" s="5">
        <v>80</v>
      </c>
      <c r="AL584" s="5">
        <v>42</v>
      </c>
      <c r="AM584" s="5">
        <v>38</v>
      </c>
      <c r="AN584" s="5">
        <v>15</v>
      </c>
      <c r="AO584" s="5">
        <v>0</v>
      </c>
      <c r="AP584" s="5">
        <v>0</v>
      </c>
      <c r="AQ584" s="5">
        <v>0</v>
      </c>
      <c r="AT584" s="5">
        <v>0</v>
      </c>
      <c r="AU584" s="5">
        <v>0</v>
      </c>
      <c r="AX584" s="5">
        <v>0</v>
      </c>
      <c r="AY584" s="1090" t="s">
        <v>86</v>
      </c>
      <c r="BN584" s="1090" t="s">
        <v>86</v>
      </c>
      <c r="CD584" s="5">
        <v>0</v>
      </c>
      <c r="CF584" s="1442" t="str">
        <f>IF([1]!sommaire[[#This Row],[présence des personnes déplacés interne]]="Oui","1","0")</f>
        <v>1</v>
      </c>
      <c r="CG584" s="1442" t="str">
        <f>IF([1]!sommaire[[#This Row],[présence Réfugié hors camp]]="Oui","1","0")</f>
        <v>0</v>
      </c>
      <c r="CH584" s="1442" t="str">
        <f>IF([1]!sommaire[[#This Row],[présence personnes retournées]]="Oui","1","0")</f>
        <v>0</v>
      </c>
      <c r="CI584" s="1442">
        <f>[1]!sommaire[[#This Row],[Flag PDI]]+[1]!sommaire[[#This Row],[Flag REF]]+[1]!sommaire[[#This Row],[Flag RET]]</f>
        <v>1</v>
      </c>
    </row>
    <row r="585" spans="1:87" ht="14.55" customHeight="1" x14ac:dyDescent="0.3">
      <c r="A585" s="390">
        <v>2601991</v>
      </c>
      <c r="B585" s="5" t="s">
        <v>533</v>
      </c>
      <c r="C585" s="1430" t="s">
        <v>3449</v>
      </c>
      <c r="D585" s="1090" t="s">
        <v>534</v>
      </c>
      <c r="E585" s="5" t="s">
        <v>31</v>
      </c>
      <c r="F585" s="5" t="s">
        <v>31</v>
      </c>
      <c r="G585" s="5" t="s">
        <v>549</v>
      </c>
      <c r="H585" s="5" t="s">
        <v>171</v>
      </c>
      <c r="I585" s="5" t="str">
        <f>_xlfn.XLOOKUP(sommaire[[#This Row],[Arrondissement_code]],OCHA_GIS!$F:$F,OCHA_GIS!$E:$E,,)</f>
        <v>Makary</v>
      </c>
      <c r="J585" s="5" t="s">
        <v>634</v>
      </c>
      <c r="K585" t="s">
        <v>2596</v>
      </c>
      <c r="L585" s="5" t="s">
        <v>1915</v>
      </c>
      <c r="N585" s="5" t="s">
        <v>3053</v>
      </c>
      <c r="O585" s="5" t="s">
        <v>2467</v>
      </c>
      <c r="P585" s="5" t="s">
        <v>85</v>
      </c>
      <c r="Q585" s="5" t="s">
        <v>86</v>
      </c>
      <c r="R585" s="5" t="s">
        <v>86</v>
      </c>
      <c r="T585" s="390">
        <v>3</v>
      </c>
      <c r="U585" s="5" t="s">
        <v>97</v>
      </c>
      <c r="W585" s="5" t="s">
        <v>2468</v>
      </c>
      <c r="X585" s="5" t="s">
        <v>102</v>
      </c>
      <c r="AA585" s="5" t="s">
        <v>85</v>
      </c>
      <c r="AB585" s="5" t="s">
        <v>2469</v>
      </c>
      <c r="AC585" s="5" t="s">
        <v>2470</v>
      </c>
      <c r="AD585" s="5" t="s">
        <v>86</v>
      </c>
      <c r="AF585" s="5">
        <v>20</v>
      </c>
      <c r="AG585" s="5">
        <v>810</v>
      </c>
      <c r="AH585" s="5" t="s">
        <v>85</v>
      </c>
      <c r="AI585" s="5" t="s">
        <v>2471</v>
      </c>
      <c r="AJ585" s="5">
        <v>20</v>
      </c>
      <c r="AK585" s="5">
        <v>121</v>
      </c>
      <c r="AL585" s="5">
        <v>55</v>
      </c>
      <c r="AM585" s="5">
        <v>66</v>
      </c>
      <c r="AN585" s="5">
        <v>0</v>
      </c>
      <c r="AO585" s="5">
        <v>20</v>
      </c>
      <c r="AP585" s="5">
        <v>0</v>
      </c>
      <c r="AQ585" s="5">
        <v>0</v>
      </c>
      <c r="AT585" s="5">
        <v>0</v>
      </c>
      <c r="AU585" s="5">
        <v>0</v>
      </c>
      <c r="AX585" s="5">
        <v>0</v>
      </c>
      <c r="AY585" s="5" t="s">
        <v>86</v>
      </c>
      <c r="BN585" s="5" t="s">
        <v>86</v>
      </c>
      <c r="CD585" s="5">
        <v>0</v>
      </c>
      <c r="CF585" s="1442" t="str">
        <f>IF([1]!sommaire[[#This Row],[présence des personnes déplacés interne]]="Oui","1","0")</f>
        <v>1</v>
      </c>
      <c r="CG585" s="1442" t="str">
        <f>IF([1]!sommaire[[#This Row],[présence Réfugié hors camp]]="Oui","1","0")</f>
        <v>0</v>
      </c>
      <c r="CH585" s="1442" t="str">
        <f>IF([1]!sommaire[[#This Row],[présence personnes retournées]]="Oui","1","0")</f>
        <v>0</v>
      </c>
      <c r="CI585" s="1442">
        <f>[1]!sommaire[[#This Row],[Flag PDI]]+[1]!sommaire[[#This Row],[Flag REF]]+[1]!sommaire[[#This Row],[Flag RET]]</f>
        <v>1</v>
      </c>
    </row>
    <row r="586" spans="1:87" ht="14.55" customHeight="1" x14ac:dyDescent="0.3">
      <c r="A586" s="390">
        <v>2673256</v>
      </c>
      <c r="B586" s="5" t="s">
        <v>533</v>
      </c>
      <c r="C586" s="1430" t="s">
        <v>3449</v>
      </c>
      <c r="D586" s="1090" t="s">
        <v>534</v>
      </c>
      <c r="E586" s="5" t="s">
        <v>31</v>
      </c>
      <c r="F586" s="5" t="s">
        <v>31</v>
      </c>
      <c r="G586" s="5" t="s">
        <v>549</v>
      </c>
      <c r="H586" s="5" t="s">
        <v>171</v>
      </c>
      <c r="I586" s="5" t="str">
        <f>_xlfn.XLOOKUP(sommaire[[#This Row],[Arrondissement_code]],OCHA_GIS!$F:$F,OCHA_GIS!$E:$E,,)</f>
        <v>Makary</v>
      </c>
      <c r="J586" s="5" t="s">
        <v>634</v>
      </c>
      <c r="K586" t="s">
        <v>1272</v>
      </c>
      <c r="L586" s="5" t="s">
        <v>1294</v>
      </c>
      <c r="N586" s="5" t="s">
        <v>3053</v>
      </c>
      <c r="O586" s="5" t="s">
        <v>2467</v>
      </c>
      <c r="P586" s="5" t="s">
        <v>85</v>
      </c>
      <c r="Q586" s="5" t="s">
        <v>86</v>
      </c>
      <c r="R586" s="5" t="s">
        <v>86</v>
      </c>
      <c r="T586" s="390">
        <v>3</v>
      </c>
      <c r="U586" s="5" t="s">
        <v>97</v>
      </c>
      <c r="W586" s="5" t="s">
        <v>2468</v>
      </c>
      <c r="X586" s="5" t="s">
        <v>102</v>
      </c>
      <c r="AA586" s="5" t="s">
        <v>85</v>
      </c>
      <c r="AB586" s="5" t="s">
        <v>2469</v>
      </c>
      <c r="AC586" s="5" t="s">
        <v>2470</v>
      </c>
      <c r="AD586" s="1090" t="s">
        <v>86</v>
      </c>
      <c r="AF586" s="5">
        <v>6</v>
      </c>
      <c r="AG586" s="5">
        <v>65</v>
      </c>
      <c r="AH586" s="5" t="s">
        <v>85</v>
      </c>
      <c r="AI586" s="5" t="s">
        <v>2471</v>
      </c>
      <c r="AJ586" s="5">
        <v>6</v>
      </c>
      <c r="AK586" s="5">
        <v>23</v>
      </c>
      <c r="AL586" s="5">
        <v>7</v>
      </c>
      <c r="AM586" s="5">
        <v>16</v>
      </c>
      <c r="AN586" s="5">
        <v>0</v>
      </c>
      <c r="AO586" s="5">
        <v>6</v>
      </c>
      <c r="AP586" s="5">
        <v>0</v>
      </c>
      <c r="AQ586" s="5">
        <v>0</v>
      </c>
      <c r="AT586" s="5">
        <v>0</v>
      </c>
      <c r="AU586" s="5">
        <v>0</v>
      </c>
      <c r="AX586" s="5">
        <v>0</v>
      </c>
      <c r="AY586" s="5" t="s">
        <v>86</v>
      </c>
      <c r="BN586" s="5" t="s">
        <v>86</v>
      </c>
      <c r="CD586" s="5">
        <v>0</v>
      </c>
      <c r="CF586" s="1442" t="str">
        <f>IF([1]!sommaire[[#This Row],[présence des personnes déplacés interne]]="Oui","1","0")</f>
        <v>1</v>
      </c>
      <c r="CG586" s="1442" t="str">
        <f>IF([1]!sommaire[[#This Row],[présence Réfugié hors camp]]="Oui","1","0")</f>
        <v>0</v>
      </c>
      <c r="CH586" s="1442" t="str">
        <f>IF([1]!sommaire[[#This Row],[présence personnes retournées]]="Oui","1","0")</f>
        <v>0</v>
      </c>
      <c r="CI586" s="1442">
        <f>[1]!sommaire[[#This Row],[Flag PDI]]+[1]!sommaire[[#This Row],[Flag REF]]+[1]!sommaire[[#This Row],[Flag RET]]</f>
        <v>1</v>
      </c>
    </row>
    <row r="587" spans="1:87" ht="14.55" customHeight="1" x14ac:dyDescent="0.3">
      <c r="A587" s="390">
        <v>2626552</v>
      </c>
      <c r="B587" s="5" t="s">
        <v>533</v>
      </c>
      <c r="C587" s="1430" t="s">
        <v>3449</v>
      </c>
      <c r="D587" s="1090" t="s">
        <v>534</v>
      </c>
      <c r="E587" s="5" t="s">
        <v>31</v>
      </c>
      <c r="F587" s="5" t="s">
        <v>31</v>
      </c>
      <c r="G587" s="5" t="s">
        <v>549</v>
      </c>
      <c r="H587" s="5" t="s">
        <v>171</v>
      </c>
      <c r="I587" s="5" t="str">
        <f>_xlfn.XLOOKUP(sommaire[[#This Row],[Arrondissement_code]],OCHA_GIS!$F:$F,OCHA_GIS!$E:$E,,)</f>
        <v>Makary</v>
      </c>
      <c r="J587" s="5" t="s">
        <v>634</v>
      </c>
      <c r="K587" t="s">
        <v>2020</v>
      </c>
      <c r="L587" s="5" t="s">
        <v>1919</v>
      </c>
      <c r="N587" s="5" t="s">
        <v>3053</v>
      </c>
      <c r="O587" s="5" t="s">
        <v>2467</v>
      </c>
      <c r="P587" s="5" t="s">
        <v>85</v>
      </c>
      <c r="Q587" s="5" t="s">
        <v>86</v>
      </c>
      <c r="R587" s="5" t="s">
        <v>86</v>
      </c>
      <c r="T587" s="390">
        <v>3</v>
      </c>
      <c r="U587" s="5" t="s">
        <v>97</v>
      </c>
      <c r="W587" s="5" t="s">
        <v>2468</v>
      </c>
      <c r="X587" s="5" t="s">
        <v>103</v>
      </c>
      <c r="Y587" s="5" t="s">
        <v>2476</v>
      </c>
      <c r="AA587" s="5" t="s">
        <v>85</v>
      </c>
      <c r="AB587" s="5" t="s">
        <v>2469</v>
      </c>
      <c r="AC587" s="5" t="s">
        <v>2470</v>
      </c>
      <c r="AD587" s="5" t="s">
        <v>86</v>
      </c>
      <c r="AF587" s="5">
        <v>5</v>
      </c>
      <c r="AG587" s="5">
        <v>496</v>
      </c>
      <c r="AH587" s="5" t="s">
        <v>85</v>
      </c>
      <c r="AI587" s="5" t="s">
        <v>2471</v>
      </c>
      <c r="AJ587" s="5">
        <v>5</v>
      </c>
      <c r="AK587" s="5">
        <v>32</v>
      </c>
      <c r="AL587" s="5">
        <v>17</v>
      </c>
      <c r="AM587" s="5">
        <v>15</v>
      </c>
      <c r="AN587" s="5">
        <v>0</v>
      </c>
      <c r="AO587" s="5">
        <v>5</v>
      </c>
      <c r="AP587" s="5">
        <v>0</v>
      </c>
      <c r="AQ587" s="5">
        <v>0</v>
      </c>
      <c r="AT587" s="5">
        <v>0</v>
      </c>
      <c r="AU587" s="5">
        <v>0</v>
      </c>
      <c r="AX587" s="5">
        <v>0</v>
      </c>
      <c r="AY587" s="5" t="s">
        <v>86</v>
      </c>
      <c r="BN587" s="5" t="s">
        <v>86</v>
      </c>
      <c r="CD587" s="5">
        <v>1</v>
      </c>
      <c r="CF587" s="1442" t="str">
        <f>IF([1]!sommaire[[#This Row],[présence des personnes déplacés interne]]="Oui","1","0")</f>
        <v>1</v>
      </c>
      <c r="CG587" s="1442" t="str">
        <f>IF([1]!sommaire[[#This Row],[présence Réfugié hors camp]]="Oui","1","0")</f>
        <v>0</v>
      </c>
      <c r="CH587" s="1442" t="str">
        <f>IF([1]!sommaire[[#This Row],[présence personnes retournées]]="Oui","1","0")</f>
        <v>0</v>
      </c>
      <c r="CI587" s="1442">
        <f>[1]!sommaire[[#This Row],[Flag PDI]]+[1]!sommaire[[#This Row],[Flag REF]]+[1]!sommaire[[#This Row],[Flag RET]]</f>
        <v>1</v>
      </c>
    </row>
    <row r="588" spans="1:87" ht="14.55" customHeight="1" x14ac:dyDescent="0.3">
      <c r="A588" s="390">
        <v>2602650</v>
      </c>
      <c r="B588" s="5" t="s">
        <v>533</v>
      </c>
      <c r="C588" s="1430" t="s">
        <v>3449</v>
      </c>
      <c r="D588" s="1090" t="s">
        <v>534</v>
      </c>
      <c r="E588" s="5" t="s">
        <v>31</v>
      </c>
      <c r="F588" s="5" t="s">
        <v>31</v>
      </c>
      <c r="G588" s="5" t="s">
        <v>549</v>
      </c>
      <c r="H588" s="5" t="s">
        <v>171</v>
      </c>
      <c r="I588" s="5" t="str">
        <f>_xlfn.XLOOKUP(sommaire[[#This Row],[Arrondissement_code]],OCHA_GIS!$F:$F,OCHA_GIS!$E:$E,,)</f>
        <v>Makary</v>
      </c>
      <c r="J588" s="5" t="s">
        <v>634</v>
      </c>
      <c r="K588" t="s">
        <v>2598</v>
      </c>
      <c r="L588" s="5" t="s">
        <v>1049</v>
      </c>
      <c r="N588" s="5" t="s">
        <v>3053</v>
      </c>
      <c r="O588" s="5" t="s">
        <v>2467</v>
      </c>
      <c r="P588" s="5" t="s">
        <v>86</v>
      </c>
      <c r="Q588" s="5" t="s">
        <v>85</v>
      </c>
      <c r="R588" s="5" t="s">
        <v>86</v>
      </c>
      <c r="S588" s="390">
        <v>6</v>
      </c>
      <c r="U588" s="5" t="s">
        <v>97</v>
      </c>
      <c r="W588" s="5" t="s">
        <v>2468</v>
      </c>
      <c r="X588" s="5" t="s">
        <v>103</v>
      </c>
      <c r="Y588" s="5" t="s">
        <v>2476</v>
      </c>
      <c r="AA588" s="5" t="s">
        <v>85</v>
      </c>
      <c r="AB588" s="5" t="s">
        <v>2469</v>
      </c>
      <c r="AC588" s="5" t="s">
        <v>2470</v>
      </c>
      <c r="AD588" s="5" t="s">
        <v>86</v>
      </c>
      <c r="AF588" s="5">
        <v>27</v>
      </c>
      <c r="AG588" s="5">
        <v>504</v>
      </c>
      <c r="AH588" s="5" t="s">
        <v>85</v>
      </c>
      <c r="AI588" s="5" t="s">
        <v>2471</v>
      </c>
      <c r="AJ588" s="5">
        <v>27</v>
      </c>
      <c r="AK588" s="5">
        <v>245</v>
      </c>
      <c r="AL588" s="5">
        <v>87</v>
      </c>
      <c r="AM588" s="5">
        <v>158</v>
      </c>
      <c r="AN588" s="5">
        <v>0</v>
      </c>
      <c r="AO588" s="5">
        <v>27</v>
      </c>
      <c r="AP588" s="5">
        <v>0</v>
      </c>
      <c r="AQ588" s="5">
        <v>0</v>
      </c>
      <c r="AT588" s="5">
        <v>0</v>
      </c>
      <c r="AU588" s="5">
        <v>0</v>
      </c>
      <c r="AX588" s="5">
        <v>0</v>
      </c>
      <c r="AY588" s="5" t="s">
        <v>86</v>
      </c>
      <c r="BN588" s="5" t="s">
        <v>86</v>
      </c>
      <c r="CD588" s="5">
        <v>0</v>
      </c>
      <c r="CF588" s="1442" t="str">
        <f>IF([1]!sommaire[[#This Row],[présence des personnes déplacés interne]]="Oui","1","0")</f>
        <v>1</v>
      </c>
      <c r="CG588" s="1442" t="str">
        <f>IF([1]!sommaire[[#This Row],[présence Réfugié hors camp]]="Oui","1","0")</f>
        <v>0</v>
      </c>
      <c r="CH588" s="1442" t="str">
        <f>IF([1]!sommaire[[#This Row],[présence personnes retournées]]="Oui","1","0")</f>
        <v>0</v>
      </c>
      <c r="CI588" s="1442">
        <f>[1]!sommaire[[#This Row],[Flag PDI]]+[1]!sommaire[[#This Row],[Flag REF]]+[1]!sommaire[[#This Row],[Flag RET]]</f>
        <v>1</v>
      </c>
    </row>
    <row r="589" spans="1:87" ht="14.55" customHeight="1" x14ac:dyDescent="0.3">
      <c r="A589" s="390">
        <v>2632781</v>
      </c>
      <c r="B589" s="5" t="s">
        <v>533</v>
      </c>
      <c r="C589" s="1430" t="s">
        <v>3449</v>
      </c>
      <c r="D589" s="1090" t="s">
        <v>534</v>
      </c>
      <c r="E589" s="5" t="s">
        <v>31</v>
      </c>
      <c r="F589" s="5" t="s">
        <v>31</v>
      </c>
      <c r="G589" s="5" t="s">
        <v>549</v>
      </c>
      <c r="H589" s="5" t="s">
        <v>171</v>
      </c>
      <c r="I589" s="5" t="str">
        <f>_xlfn.XLOOKUP(sommaire[[#This Row],[Arrondissement_code]],OCHA_GIS!$F:$F,OCHA_GIS!$E:$E,,)</f>
        <v>Makary</v>
      </c>
      <c r="J589" s="5" t="s">
        <v>634</v>
      </c>
      <c r="K589" t="s">
        <v>2087</v>
      </c>
      <c r="L589" s="5" t="s">
        <v>1746</v>
      </c>
      <c r="M589" s="1090"/>
      <c r="N589" s="1090" t="s">
        <v>3053</v>
      </c>
      <c r="O589" s="5" t="s">
        <v>2467</v>
      </c>
      <c r="P589" s="5" t="s">
        <v>85</v>
      </c>
      <c r="Q589" s="5" t="s">
        <v>86</v>
      </c>
      <c r="R589" s="5" t="s">
        <v>86</v>
      </c>
      <c r="T589" s="390">
        <v>3</v>
      </c>
      <c r="U589" s="5" t="s">
        <v>97</v>
      </c>
      <c r="W589" s="5" t="s">
        <v>2468</v>
      </c>
      <c r="X589" s="5" t="s">
        <v>102</v>
      </c>
      <c r="AA589" s="5" t="s">
        <v>85</v>
      </c>
      <c r="AB589" s="5" t="s">
        <v>2469</v>
      </c>
      <c r="AC589" s="5" t="s">
        <v>2470</v>
      </c>
      <c r="AD589" s="5" t="s">
        <v>86</v>
      </c>
      <c r="AF589" s="5">
        <v>21</v>
      </c>
      <c r="AG589" s="5">
        <v>449</v>
      </c>
      <c r="AH589" s="5" t="s">
        <v>85</v>
      </c>
      <c r="AI589" s="5" t="s">
        <v>2471</v>
      </c>
      <c r="AJ589" s="5">
        <v>21</v>
      </c>
      <c r="AK589" s="5">
        <v>175</v>
      </c>
      <c r="AL589" s="5">
        <v>77</v>
      </c>
      <c r="AM589" s="5">
        <v>98</v>
      </c>
      <c r="AN589" s="5">
        <v>0</v>
      </c>
      <c r="AO589" s="5">
        <v>21</v>
      </c>
      <c r="AP589" s="5">
        <v>0</v>
      </c>
      <c r="AQ589" s="5">
        <v>0</v>
      </c>
      <c r="AT589" s="5">
        <v>0</v>
      </c>
      <c r="AU589" s="5">
        <v>0</v>
      </c>
      <c r="AX589" s="5">
        <v>0</v>
      </c>
      <c r="AY589" s="5" t="s">
        <v>85</v>
      </c>
      <c r="AZ589" s="5">
        <v>15</v>
      </c>
      <c r="BA589" s="5">
        <v>139</v>
      </c>
      <c r="BB589" s="5">
        <v>60</v>
      </c>
      <c r="BC589" s="5">
        <v>79</v>
      </c>
      <c r="BD589" s="5">
        <v>15</v>
      </c>
      <c r="BE589" s="5">
        <v>0</v>
      </c>
      <c r="BF589" s="5">
        <v>0</v>
      </c>
      <c r="BH589" s="5">
        <v>0</v>
      </c>
      <c r="BI589" s="5">
        <v>0</v>
      </c>
      <c r="BL589" s="5">
        <v>0</v>
      </c>
      <c r="BM589" s="5">
        <v>0</v>
      </c>
      <c r="BN589" s="5" t="s">
        <v>86</v>
      </c>
      <c r="CD589" s="5">
        <v>0</v>
      </c>
      <c r="CF589" s="1442" t="str">
        <f>IF([1]!sommaire[[#This Row],[présence des personnes déplacés interne]]="Oui","1","0")</f>
        <v>1</v>
      </c>
      <c r="CG589" s="1442" t="str">
        <f>IF([1]!sommaire[[#This Row],[présence Réfugié hors camp]]="Oui","1","0")</f>
        <v>1</v>
      </c>
      <c r="CH589" s="1442" t="str">
        <f>IF([1]!sommaire[[#This Row],[présence personnes retournées]]="Oui","1","0")</f>
        <v>0</v>
      </c>
      <c r="CI589" s="1442">
        <f>[1]!sommaire[[#This Row],[Flag PDI]]+[1]!sommaire[[#This Row],[Flag REF]]+[1]!sommaire[[#This Row],[Flag RET]]</f>
        <v>2</v>
      </c>
    </row>
    <row r="590" spans="1:87" ht="14.55" customHeight="1" x14ac:dyDescent="0.3">
      <c r="A590" s="390">
        <v>2632774</v>
      </c>
      <c r="B590" s="5" t="s">
        <v>533</v>
      </c>
      <c r="C590" s="1430" t="s">
        <v>3449</v>
      </c>
      <c r="D590" s="1090" t="s">
        <v>534</v>
      </c>
      <c r="E590" s="5" t="s">
        <v>31</v>
      </c>
      <c r="F590" s="5" t="s">
        <v>31</v>
      </c>
      <c r="G590" s="5" t="s">
        <v>549</v>
      </c>
      <c r="H590" s="5" t="s">
        <v>171</v>
      </c>
      <c r="I590" s="5" t="str">
        <f>_xlfn.XLOOKUP(sommaire[[#This Row],[Arrondissement_code]],OCHA_GIS!$F:$F,OCHA_GIS!$E:$E,,)</f>
        <v>Makary</v>
      </c>
      <c r="J590" s="5" t="s">
        <v>634</v>
      </c>
      <c r="K590" t="s">
        <v>1916</v>
      </c>
      <c r="L590" s="5" t="s">
        <v>1744</v>
      </c>
      <c r="N590" s="5" t="s">
        <v>3053</v>
      </c>
      <c r="O590" s="5" t="s">
        <v>2467</v>
      </c>
      <c r="P590" s="5" t="s">
        <v>85</v>
      </c>
      <c r="Q590" s="5" t="s">
        <v>86</v>
      </c>
      <c r="R590" s="5" t="s">
        <v>86</v>
      </c>
      <c r="T590" s="390">
        <v>3</v>
      </c>
      <c r="U590" s="5" t="s">
        <v>97</v>
      </c>
      <c r="W590" s="5" t="s">
        <v>2468</v>
      </c>
      <c r="X590" s="1090" t="s">
        <v>102</v>
      </c>
      <c r="AA590" s="1090" t="s">
        <v>85</v>
      </c>
      <c r="AB590" s="5" t="s">
        <v>2469</v>
      </c>
      <c r="AC590" s="5" t="s">
        <v>2470</v>
      </c>
      <c r="AD590" s="1090" t="s">
        <v>86</v>
      </c>
      <c r="AF590" s="5">
        <v>165</v>
      </c>
      <c r="AG590" s="5">
        <v>1570</v>
      </c>
      <c r="AH590" s="5" t="s">
        <v>85</v>
      </c>
      <c r="AI590" s="5" t="s">
        <v>2471</v>
      </c>
      <c r="AJ590" s="5">
        <v>165</v>
      </c>
      <c r="AK590" s="5">
        <v>1229</v>
      </c>
      <c r="AL590" s="5">
        <v>515</v>
      </c>
      <c r="AM590" s="5">
        <v>714</v>
      </c>
      <c r="AN590" s="5">
        <v>0</v>
      </c>
      <c r="AO590" s="5">
        <v>165</v>
      </c>
      <c r="AP590" s="5">
        <v>0</v>
      </c>
      <c r="AQ590" s="5">
        <v>0</v>
      </c>
      <c r="AT590" s="5">
        <v>0</v>
      </c>
      <c r="AU590" s="5">
        <v>0</v>
      </c>
      <c r="AX590" s="5">
        <v>0</v>
      </c>
      <c r="AY590" s="1090" t="s">
        <v>85</v>
      </c>
      <c r="AZ590" s="5">
        <v>49</v>
      </c>
      <c r="BA590" s="5">
        <v>341</v>
      </c>
      <c r="BB590" s="5">
        <v>146</v>
      </c>
      <c r="BC590" s="5">
        <v>195</v>
      </c>
      <c r="BD590" s="5">
        <v>49</v>
      </c>
      <c r="BE590" s="5">
        <v>0</v>
      </c>
      <c r="BF590" s="5">
        <v>0</v>
      </c>
      <c r="BH590" s="5">
        <v>0</v>
      </c>
      <c r="BI590" s="5">
        <v>0</v>
      </c>
      <c r="BL590" s="5">
        <v>0</v>
      </c>
      <c r="BM590" s="5">
        <v>0</v>
      </c>
      <c r="BN590" s="1090" t="s">
        <v>86</v>
      </c>
      <c r="CD590" s="5">
        <v>0</v>
      </c>
      <c r="CF590" s="1442" t="str">
        <f>IF([1]!sommaire[[#This Row],[présence des personnes déplacés interne]]="Oui","1","0")</f>
        <v>1</v>
      </c>
      <c r="CG590" s="1442" t="str">
        <f>IF([1]!sommaire[[#This Row],[présence Réfugié hors camp]]="Oui","1","0")</f>
        <v>1</v>
      </c>
      <c r="CH590" s="1442" t="str">
        <f>IF([1]!sommaire[[#This Row],[présence personnes retournées]]="Oui","1","0")</f>
        <v>0</v>
      </c>
      <c r="CI590" s="1442">
        <f>[1]!sommaire[[#This Row],[Flag PDI]]+[1]!sommaire[[#This Row],[Flag REF]]+[1]!sommaire[[#This Row],[Flag RET]]</f>
        <v>2</v>
      </c>
    </row>
    <row r="591" spans="1:87" ht="14.55" customHeight="1" x14ac:dyDescent="0.3">
      <c r="A591" s="390">
        <v>2647206</v>
      </c>
      <c r="B591" s="5" t="s">
        <v>533</v>
      </c>
      <c r="C591" s="1430" t="s">
        <v>3449</v>
      </c>
      <c r="D591" s="1090" t="s">
        <v>534</v>
      </c>
      <c r="E591" s="5" t="s">
        <v>31</v>
      </c>
      <c r="F591" s="5" t="s">
        <v>31</v>
      </c>
      <c r="G591" s="5" t="s">
        <v>549</v>
      </c>
      <c r="H591" s="5" t="s">
        <v>171</v>
      </c>
      <c r="I591" s="5" t="str">
        <f>_xlfn.XLOOKUP(sommaire[[#This Row],[Arrondissement_code]],OCHA_GIS!$F:$F,OCHA_GIS!$E:$E,,)</f>
        <v>Makary</v>
      </c>
      <c r="J591" s="5" t="s">
        <v>634</v>
      </c>
      <c r="K591" t="s">
        <v>2913</v>
      </c>
      <c r="L591" s="5" t="s">
        <v>1824</v>
      </c>
      <c r="N591" s="5" t="s">
        <v>3053</v>
      </c>
      <c r="O591" s="5" t="s">
        <v>2467</v>
      </c>
      <c r="P591" s="5" t="s">
        <v>85</v>
      </c>
      <c r="Q591" s="5" t="s">
        <v>86</v>
      </c>
      <c r="R591" s="5" t="s">
        <v>86</v>
      </c>
      <c r="T591" s="390">
        <v>3</v>
      </c>
      <c r="U591" s="5" t="s">
        <v>97</v>
      </c>
      <c r="W591" s="5" t="s">
        <v>2468</v>
      </c>
      <c r="X591" s="5" t="s">
        <v>103</v>
      </c>
      <c r="Y591" s="5" t="s">
        <v>2476</v>
      </c>
      <c r="AA591" s="5" t="s">
        <v>86</v>
      </c>
      <c r="AH591" s="1430" t="s">
        <v>86</v>
      </c>
      <c r="AY591" s="1430" t="s">
        <v>86</v>
      </c>
      <c r="BN591" s="1430" t="s">
        <v>86</v>
      </c>
      <c r="CF591" s="1442" t="str">
        <f>IF([1]!sommaire[[#This Row],[présence des personnes déplacés interne]]="Oui","1","0")</f>
        <v>0</v>
      </c>
      <c r="CG591" s="1442" t="str">
        <f>IF([1]!sommaire[[#This Row],[présence Réfugié hors camp]]="Oui","1","0")</f>
        <v>0</v>
      </c>
      <c r="CH591" s="1442" t="str">
        <f>IF([1]!sommaire[[#This Row],[présence personnes retournées]]="Oui","1","0")</f>
        <v>0</v>
      </c>
      <c r="CI591" s="1442">
        <f>[1]!sommaire[[#This Row],[Flag PDI]]+[1]!sommaire[[#This Row],[Flag REF]]+[1]!sommaire[[#This Row],[Flag RET]]</f>
        <v>0</v>
      </c>
    </row>
    <row r="592" spans="1:87" ht="14.55" customHeight="1" x14ac:dyDescent="0.3">
      <c r="A592" s="390">
        <v>2656575</v>
      </c>
      <c r="B592" s="5" t="s">
        <v>533</v>
      </c>
      <c r="C592" s="1430" t="s">
        <v>3449</v>
      </c>
      <c r="D592" s="1090" t="s">
        <v>534</v>
      </c>
      <c r="E592" s="5" t="s">
        <v>31</v>
      </c>
      <c r="F592" s="5" t="s">
        <v>31</v>
      </c>
      <c r="G592" s="5" t="s">
        <v>549</v>
      </c>
      <c r="H592" s="5" t="s">
        <v>171</v>
      </c>
      <c r="I592" s="5" t="str">
        <f>_xlfn.XLOOKUP(sommaire[[#This Row],[Arrondissement_code]],OCHA_GIS!$F:$F,OCHA_GIS!$E:$E,,)</f>
        <v>Makary</v>
      </c>
      <c r="J592" s="5" t="s">
        <v>634</v>
      </c>
      <c r="K592" t="s">
        <v>1396</v>
      </c>
      <c r="L592" s="5" t="s">
        <v>1940</v>
      </c>
      <c r="N592" s="5" t="s">
        <v>3053</v>
      </c>
      <c r="O592" s="5" t="s">
        <v>2467</v>
      </c>
      <c r="P592" s="5" t="s">
        <v>85</v>
      </c>
      <c r="Q592" s="5" t="s">
        <v>86</v>
      </c>
      <c r="R592" s="5" t="s">
        <v>86</v>
      </c>
      <c r="T592" s="390">
        <v>3</v>
      </c>
      <c r="U592" s="5" t="s">
        <v>97</v>
      </c>
      <c r="W592" s="5" t="s">
        <v>2468</v>
      </c>
      <c r="X592" s="5" t="s">
        <v>103</v>
      </c>
      <c r="Y592" s="5" t="s">
        <v>2476</v>
      </c>
      <c r="AA592" s="5" t="s">
        <v>85</v>
      </c>
      <c r="AB592" s="5" t="s">
        <v>2469</v>
      </c>
      <c r="AC592" s="5" t="s">
        <v>2470</v>
      </c>
      <c r="AD592" s="5" t="s">
        <v>86</v>
      </c>
      <c r="AF592" s="5">
        <v>27</v>
      </c>
      <c r="AG592" s="5">
        <v>840</v>
      </c>
      <c r="AH592" s="5" t="s">
        <v>85</v>
      </c>
      <c r="AI592" s="5" t="s">
        <v>2485</v>
      </c>
      <c r="AJ592" s="5">
        <v>27</v>
      </c>
      <c r="AK592" s="5">
        <v>145</v>
      </c>
      <c r="AL592" s="5">
        <v>46</v>
      </c>
      <c r="AM592" s="5">
        <v>99</v>
      </c>
      <c r="AN592" s="5">
        <v>20</v>
      </c>
      <c r="AO592" s="5">
        <v>7</v>
      </c>
      <c r="AP592" s="5">
        <v>0</v>
      </c>
      <c r="AQ592" s="5">
        <v>0</v>
      </c>
      <c r="AT592" s="5">
        <v>0</v>
      </c>
      <c r="AU592" s="5">
        <v>0</v>
      </c>
      <c r="AX592" s="5">
        <v>0</v>
      </c>
      <c r="AY592" s="5" t="s">
        <v>85</v>
      </c>
      <c r="AZ592" s="5">
        <v>17</v>
      </c>
      <c r="BA592" s="5">
        <v>87</v>
      </c>
      <c r="BB592" s="5">
        <v>23</v>
      </c>
      <c r="BC592" s="5">
        <v>64</v>
      </c>
      <c r="BD592" s="5">
        <v>17</v>
      </c>
      <c r="BE592" s="5">
        <v>0</v>
      </c>
      <c r="BF592" s="5">
        <v>0</v>
      </c>
      <c r="BH592" s="5">
        <v>0</v>
      </c>
      <c r="BI592" s="5">
        <v>0</v>
      </c>
      <c r="BL592" s="5">
        <v>0</v>
      </c>
      <c r="BM592" s="5">
        <v>0</v>
      </c>
      <c r="BN592" s="5" t="s">
        <v>86</v>
      </c>
      <c r="CD592" s="5">
        <v>0</v>
      </c>
      <c r="CF592" s="1442" t="str">
        <f>IF([1]!sommaire[[#This Row],[présence des personnes déplacés interne]]="Oui","1","0")</f>
        <v>1</v>
      </c>
      <c r="CG592" s="1442" t="str">
        <f>IF([1]!sommaire[[#This Row],[présence Réfugié hors camp]]="Oui","1","0")</f>
        <v>1</v>
      </c>
      <c r="CH592" s="1442" t="str">
        <f>IF([1]!sommaire[[#This Row],[présence personnes retournées]]="Oui","1","0")</f>
        <v>0</v>
      </c>
      <c r="CI592" s="1442">
        <f>[1]!sommaire[[#This Row],[Flag PDI]]+[1]!sommaire[[#This Row],[Flag REF]]+[1]!sommaire[[#This Row],[Flag RET]]</f>
        <v>2</v>
      </c>
    </row>
    <row r="593" spans="1:87" ht="14.55" customHeight="1" x14ac:dyDescent="0.3">
      <c r="A593" s="390">
        <v>2666351</v>
      </c>
      <c r="B593" s="5" t="s">
        <v>533</v>
      </c>
      <c r="C593" s="1430" t="s">
        <v>3449</v>
      </c>
      <c r="D593" s="1090" t="s">
        <v>534</v>
      </c>
      <c r="E593" s="5" t="s">
        <v>31</v>
      </c>
      <c r="F593" s="5" t="s">
        <v>31</v>
      </c>
      <c r="G593" s="5" t="s">
        <v>549</v>
      </c>
      <c r="H593" s="5" t="s">
        <v>171</v>
      </c>
      <c r="I593" s="5" t="str">
        <f>_xlfn.XLOOKUP(sommaire[[#This Row],[Arrondissement_code]],OCHA_GIS!$F:$F,OCHA_GIS!$E:$E,,)</f>
        <v>Makary</v>
      </c>
      <c r="J593" s="5" t="s">
        <v>634</v>
      </c>
      <c r="K593" t="s">
        <v>1343</v>
      </c>
      <c r="L593" s="5" t="s">
        <v>1828</v>
      </c>
      <c r="N593" s="5" t="s">
        <v>3053</v>
      </c>
      <c r="O593" s="5" t="s">
        <v>2467</v>
      </c>
      <c r="P593" s="5" t="s">
        <v>85</v>
      </c>
      <c r="Q593" s="5" t="s">
        <v>86</v>
      </c>
      <c r="R593" s="5" t="s">
        <v>86</v>
      </c>
      <c r="T593" s="390">
        <v>3</v>
      </c>
      <c r="U593" s="5" t="s">
        <v>97</v>
      </c>
      <c r="W593" s="5" t="s">
        <v>2468</v>
      </c>
      <c r="X593" s="5" t="s">
        <v>103</v>
      </c>
      <c r="Y593" s="5" t="s">
        <v>2476</v>
      </c>
      <c r="AA593" s="5" t="s">
        <v>85</v>
      </c>
      <c r="AB593" s="5" t="s">
        <v>2469</v>
      </c>
      <c r="AC593" s="5" t="s">
        <v>2470</v>
      </c>
      <c r="AD593" s="5" t="s">
        <v>86</v>
      </c>
      <c r="AF593" s="5">
        <v>6</v>
      </c>
      <c r="AG593" s="5">
        <v>520</v>
      </c>
      <c r="AH593" s="5" t="s">
        <v>85</v>
      </c>
      <c r="AI593" s="5" t="s">
        <v>2485</v>
      </c>
      <c r="AJ593" s="5">
        <v>6</v>
      </c>
      <c r="AK593" s="5">
        <v>43</v>
      </c>
      <c r="AL593" s="5">
        <v>16</v>
      </c>
      <c r="AM593" s="5">
        <v>27</v>
      </c>
      <c r="AN593" s="5">
        <v>4</v>
      </c>
      <c r="AO593" s="5">
        <v>2</v>
      </c>
      <c r="AP593" s="5">
        <v>0</v>
      </c>
      <c r="AQ593" s="5">
        <v>0</v>
      </c>
      <c r="AT593" s="5">
        <v>0</v>
      </c>
      <c r="AU593" s="5">
        <v>0</v>
      </c>
      <c r="AX593" s="5">
        <v>0</v>
      </c>
      <c r="AY593" s="5" t="s">
        <v>85</v>
      </c>
      <c r="AZ593" s="5">
        <v>3</v>
      </c>
      <c r="BA593" s="5">
        <v>28</v>
      </c>
      <c r="BB593" s="5">
        <v>8</v>
      </c>
      <c r="BC593" s="5">
        <v>20</v>
      </c>
      <c r="BD593" s="5">
        <v>3</v>
      </c>
      <c r="BE593" s="5">
        <v>0</v>
      </c>
      <c r="BF593" s="5">
        <v>0</v>
      </c>
      <c r="BH593" s="5">
        <v>0</v>
      </c>
      <c r="BI593" s="5">
        <v>0</v>
      </c>
      <c r="BL593" s="5">
        <v>0</v>
      </c>
      <c r="BM593" s="5">
        <v>0</v>
      </c>
      <c r="BN593" s="5" t="s">
        <v>86</v>
      </c>
      <c r="CD593" s="5">
        <v>8</v>
      </c>
      <c r="CF593" s="1442" t="str">
        <f>IF([1]!sommaire[[#This Row],[présence des personnes déplacés interne]]="Oui","1","0")</f>
        <v>1</v>
      </c>
      <c r="CG593" s="1442" t="str">
        <f>IF([1]!sommaire[[#This Row],[présence Réfugié hors camp]]="Oui","1","0")</f>
        <v>1</v>
      </c>
      <c r="CH593" s="1442" t="str">
        <f>IF([1]!sommaire[[#This Row],[présence personnes retournées]]="Oui","1","0")</f>
        <v>0</v>
      </c>
      <c r="CI593" s="1442">
        <f>[1]!sommaire[[#This Row],[Flag PDI]]+[1]!sommaire[[#This Row],[Flag REF]]+[1]!sommaire[[#This Row],[Flag RET]]</f>
        <v>2</v>
      </c>
    </row>
    <row r="594" spans="1:87" ht="14.55" customHeight="1" x14ac:dyDescent="0.3">
      <c r="A594" s="390">
        <v>2631838</v>
      </c>
      <c r="B594" s="5" t="s">
        <v>533</v>
      </c>
      <c r="C594" s="1430" t="s">
        <v>3449</v>
      </c>
      <c r="D594" s="1090" t="s">
        <v>534</v>
      </c>
      <c r="E594" s="5" t="s">
        <v>31</v>
      </c>
      <c r="F594" s="5" t="s">
        <v>31</v>
      </c>
      <c r="G594" s="5" t="s">
        <v>549</v>
      </c>
      <c r="H594" s="5" t="s">
        <v>171</v>
      </c>
      <c r="I594" s="5" t="str">
        <f>_xlfn.XLOOKUP(sommaire[[#This Row],[Arrondissement_code]],OCHA_GIS!$F:$F,OCHA_GIS!$E:$E,,)</f>
        <v>Makary</v>
      </c>
      <c r="J594" s="5" t="s">
        <v>634</v>
      </c>
      <c r="K594" t="s">
        <v>1823</v>
      </c>
      <c r="L594" s="5" t="s">
        <v>1698</v>
      </c>
      <c r="N594" s="5" t="s">
        <v>3053</v>
      </c>
      <c r="O594" s="5" t="s">
        <v>2467</v>
      </c>
      <c r="P594" s="5" t="s">
        <v>85</v>
      </c>
      <c r="Q594" s="5" t="s">
        <v>86</v>
      </c>
      <c r="R594" s="5" t="s">
        <v>86</v>
      </c>
      <c r="T594" s="390">
        <v>3</v>
      </c>
      <c r="U594" s="5" t="s">
        <v>97</v>
      </c>
      <c r="W594" s="5" t="s">
        <v>2468</v>
      </c>
      <c r="X594" s="5" t="s">
        <v>103</v>
      </c>
      <c r="Y594" s="5" t="s">
        <v>2476</v>
      </c>
      <c r="AA594" s="5" t="s">
        <v>85</v>
      </c>
      <c r="AB594" s="5" t="s">
        <v>2469</v>
      </c>
      <c r="AC594" s="5" t="s">
        <v>2470</v>
      </c>
      <c r="AD594" s="5" t="s">
        <v>86</v>
      </c>
      <c r="AF594" s="5">
        <v>21</v>
      </c>
      <c r="AG594" s="5">
        <v>732</v>
      </c>
      <c r="AH594" s="5" t="s">
        <v>85</v>
      </c>
      <c r="AI594" s="5" t="s">
        <v>2471</v>
      </c>
      <c r="AJ594" s="5">
        <v>21</v>
      </c>
      <c r="AK594" s="5">
        <v>77</v>
      </c>
      <c r="AL594" s="5">
        <v>35</v>
      </c>
      <c r="AM594" s="5">
        <v>42</v>
      </c>
      <c r="AN594" s="5">
        <v>0</v>
      </c>
      <c r="AO594" s="5">
        <v>0</v>
      </c>
      <c r="AP594" s="5">
        <v>21</v>
      </c>
      <c r="AQ594" s="5">
        <v>0</v>
      </c>
      <c r="AT594" s="5">
        <v>0</v>
      </c>
      <c r="AU594" s="5">
        <v>0</v>
      </c>
      <c r="AX594" s="5">
        <v>0</v>
      </c>
      <c r="AY594" s="5" t="s">
        <v>86</v>
      </c>
      <c r="BN594" s="5" t="s">
        <v>86</v>
      </c>
      <c r="CD594" s="5">
        <v>0</v>
      </c>
      <c r="CF594" s="1442" t="str">
        <f>IF([1]!sommaire[[#This Row],[présence des personnes déplacés interne]]="Oui","1","0")</f>
        <v>1</v>
      </c>
      <c r="CG594" s="1442" t="str">
        <f>IF([1]!sommaire[[#This Row],[présence Réfugié hors camp]]="Oui","1","0")</f>
        <v>0</v>
      </c>
      <c r="CH594" s="1442" t="str">
        <f>IF([1]!sommaire[[#This Row],[présence personnes retournées]]="Oui","1","0")</f>
        <v>0</v>
      </c>
      <c r="CI594" s="1442">
        <f>[1]!sommaire[[#This Row],[Flag PDI]]+[1]!sommaire[[#This Row],[Flag REF]]+[1]!sommaire[[#This Row],[Flag RET]]</f>
        <v>1</v>
      </c>
    </row>
    <row r="595" spans="1:87" ht="14.55" customHeight="1" x14ac:dyDescent="0.3">
      <c r="A595" s="390">
        <v>2629280</v>
      </c>
      <c r="B595" s="5" t="s">
        <v>533</v>
      </c>
      <c r="C595" s="1430" t="s">
        <v>3449</v>
      </c>
      <c r="D595" s="1090" t="s">
        <v>534</v>
      </c>
      <c r="E595" s="5" t="s">
        <v>31</v>
      </c>
      <c r="F595" s="5" t="s">
        <v>31</v>
      </c>
      <c r="G595" s="5" t="s">
        <v>549</v>
      </c>
      <c r="H595" s="5" t="s">
        <v>171</v>
      </c>
      <c r="I595" s="5" t="str">
        <f>_xlfn.XLOOKUP(sommaire[[#This Row],[Arrondissement_code]],OCHA_GIS!$F:$F,OCHA_GIS!$E:$E,,)</f>
        <v>Makary</v>
      </c>
      <c r="J595" s="5" t="s">
        <v>634</v>
      </c>
      <c r="K595" t="s">
        <v>1877</v>
      </c>
      <c r="L595" s="5" t="s">
        <v>2624</v>
      </c>
      <c r="N595" s="5" t="s">
        <v>3053</v>
      </c>
      <c r="O595" s="5" t="s">
        <v>2467</v>
      </c>
      <c r="P595" s="5" t="s">
        <v>86</v>
      </c>
      <c r="Q595" s="5" t="s">
        <v>86</v>
      </c>
      <c r="R595" s="5" t="s">
        <v>85</v>
      </c>
      <c r="U595" s="5" t="s">
        <v>97</v>
      </c>
      <c r="W595" s="5" t="s">
        <v>2482</v>
      </c>
      <c r="AA595" s="5" t="s">
        <v>86</v>
      </c>
      <c r="AD595" s="1090"/>
      <c r="AH595" s="1430" t="s">
        <v>86</v>
      </c>
      <c r="AY595" s="1430" t="s">
        <v>86</v>
      </c>
      <c r="BN595" s="1430" t="s">
        <v>86</v>
      </c>
      <c r="CF595" s="1442" t="str">
        <f>IF([1]!sommaire[[#This Row],[présence des personnes déplacés interne]]="Oui","1","0")</f>
        <v>0</v>
      </c>
      <c r="CG595" s="1442" t="str">
        <f>IF([1]!sommaire[[#This Row],[présence Réfugié hors camp]]="Oui","1","0")</f>
        <v>0</v>
      </c>
      <c r="CH595" s="1442" t="str">
        <f>IF([1]!sommaire[[#This Row],[présence personnes retournées]]="Oui","1","0")</f>
        <v>0</v>
      </c>
      <c r="CI595" s="1442">
        <f>[1]!sommaire[[#This Row],[Flag PDI]]+[1]!sommaire[[#This Row],[Flag REF]]+[1]!sommaire[[#This Row],[Flag RET]]</f>
        <v>0</v>
      </c>
    </row>
    <row r="596" spans="1:87" ht="14.55" customHeight="1" x14ac:dyDescent="0.3">
      <c r="A596" s="390">
        <v>2625720</v>
      </c>
      <c r="B596" s="5" t="s">
        <v>533</v>
      </c>
      <c r="C596" s="1430" t="s">
        <v>3449</v>
      </c>
      <c r="D596" s="1090" t="s">
        <v>534</v>
      </c>
      <c r="E596" s="5" t="s">
        <v>31</v>
      </c>
      <c r="F596" s="5" t="s">
        <v>31</v>
      </c>
      <c r="G596" s="5" t="s">
        <v>549</v>
      </c>
      <c r="H596" s="5" t="s">
        <v>171</v>
      </c>
      <c r="I596" s="5" t="str">
        <f>_xlfn.XLOOKUP(sommaire[[#This Row],[Arrondissement_code]],OCHA_GIS!$F:$F,OCHA_GIS!$E:$E,,)</f>
        <v>Makary</v>
      </c>
      <c r="J596" s="5" t="s">
        <v>634</v>
      </c>
      <c r="K596" t="s">
        <v>1982</v>
      </c>
      <c r="L596" s="5" t="s">
        <v>841</v>
      </c>
      <c r="N596" s="5" t="s">
        <v>3053</v>
      </c>
      <c r="O596" s="5" t="s">
        <v>2467</v>
      </c>
      <c r="P596" s="5" t="s">
        <v>85</v>
      </c>
      <c r="Q596" s="5" t="s">
        <v>86</v>
      </c>
      <c r="R596" s="5" t="s">
        <v>86</v>
      </c>
      <c r="T596" s="390">
        <v>3</v>
      </c>
      <c r="U596" s="5" t="s">
        <v>97</v>
      </c>
      <c r="W596" s="5" t="s">
        <v>2468</v>
      </c>
      <c r="X596" s="5" t="s">
        <v>102</v>
      </c>
      <c r="AA596" s="586" t="s">
        <v>85</v>
      </c>
      <c r="AB596" s="5" t="s">
        <v>2469</v>
      </c>
      <c r="AC596" s="5" t="s">
        <v>2470</v>
      </c>
      <c r="AD596" s="5" t="s">
        <v>86</v>
      </c>
      <c r="AF596" s="5">
        <v>27</v>
      </c>
      <c r="AG596" s="5">
        <v>219</v>
      </c>
      <c r="AH596" s="5" t="s">
        <v>85</v>
      </c>
      <c r="AI596" s="5" t="s">
        <v>2471</v>
      </c>
      <c r="AJ596" s="5">
        <v>27</v>
      </c>
      <c r="AK596" s="5">
        <v>208</v>
      </c>
      <c r="AL596" s="5">
        <v>100</v>
      </c>
      <c r="AM596" s="5">
        <v>108</v>
      </c>
      <c r="AN596" s="5">
        <v>0</v>
      </c>
      <c r="AO596" s="5">
        <v>27</v>
      </c>
      <c r="AP596" s="5">
        <v>0</v>
      </c>
      <c r="AQ596" s="5">
        <v>0</v>
      </c>
      <c r="AT596" s="5">
        <v>0</v>
      </c>
      <c r="AU596" s="5">
        <v>0</v>
      </c>
      <c r="AX596" s="5">
        <v>0</v>
      </c>
      <c r="AY596" s="5" t="s">
        <v>86</v>
      </c>
      <c r="BN596" s="5" t="s">
        <v>86</v>
      </c>
      <c r="CD596" s="5">
        <v>0</v>
      </c>
      <c r="CF596" s="1442" t="str">
        <f>IF([1]!sommaire[[#This Row],[présence des personnes déplacés interne]]="Oui","1","0")</f>
        <v>1</v>
      </c>
      <c r="CG596" s="1442" t="str">
        <f>IF([1]!sommaire[[#This Row],[présence Réfugié hors camp]]="Oui","1","0")</f>
        <v>0</v>
      </c>
      <c r="CH596" s="1442" t="str">
        <f>IF([1]!sommaire[[#This Row],[présence personnes retournées]]="Oui","1","0")</f>
        <v>0</v>
      </c>
      <c r="CI596" s="1442">
        <f>[1]!sommaire[[#This Row],[Flag PDI]]+[1]!sommaire[[#This Row],[Flag REF]]+[1]!sommaire[[#This Row],[Flag RET]]</f>
        <v>1</v>
      </c>
    </row>
    <row r="597" spans="1:87" ht="14.55" customHeight="1" x14ac:dyDescent="0.3">
      <c r="A597" s="390">
        <v>2645444</v>
      </c>
      <c r="B597" s="5" t="s">
        <v>533</v>
      </c>
      <c r="C597" s="1430" t="s">
        <v>3449</v>
      </c>
      <c r="D597" s="1090" t="s">
        <v>534</v>
      </c>
      <c r="E597" s="5" t="s">
        <v>31</v>
      </c>
      <c r="F597" s="5" t="s">
        <v>31</v>
      </c>
      <c r="G597" s="5" t="s">
        <v>549</v>
      </c>
      <c r="H597" s="5" t="s">
        <v>171</v>
      </c>
      <c r="I597" s="5" t="str">
        <f>_xlfn.XLOOKUP(sommaire[[#This Row],[Arrondissement_code]],OCHA_GIS!$F:$F,OCHA_GIS!$E:$E,,)</f>
        <v>Makary</v>
      </c>
      <c r="J597" s="5" t="s">
        <v>634</v>
      </c>
      <c r="K597" t="s">
        <v>1914</v>
      </c>
      <c r="L597" s="5" t="s">
        <v>1263</v>
      </c>
      <c r="N597" s="5" t="s">
        <v>3053</v>
      </c>
      <c r="O597" s="5" t="s">
        <v>2467</v>
      </c>
      <c r="P597" s="5" t="s">
        <v>85</v>
      </c>
      <c r="Q597" s="5" t="s">
        <v>86</v>
      </c>
      <c r="R597" s="5" t="s">
        <v>85</v>
      </c>
      <c r="T597" s="390">
        <v>3</v>
      </c>
      <c r="U597" s="5" t="s">
        <v>97</v>
      </c>
      <c r="W597" s="5" t="s">
        <v>2468</v>
      </c>
      <c r="X597" s="5" t="s">
        <v>103</v>
      </c>
      <c r="Y597" s="5" t="s">
        <v>2476</v>
      </c>
      <c r="AA597" s="5" t="s">
        <v>85</v>
      </c>
      <c r="AB597" s="5" t="s">
        <v>2469</v>
      </c>
      <c r="AC597" s="5" t="s">
        <v>2470</v>
      </c>
      <c r="AD597" s="5" t="s">
        <v>86</v>
      </c>
      <c r="AF597" s="5">
        <v>27</v>
      </c>
      <c r="AG597" s="5">
        <v>462</v>
      </c>
      <c r="AH597" s="5" t="s">
        <v>85</v>
      </c>
      <c r="AI597" s="5" t="s">
        <v>2471</v>
      </c>
      <c r="AJ597" s="5">
        <v>27</v>
      </c>
      <c r="AK597" s="5">
        <v>164</v>
      </c>
      <c r="AL597" s="5">
        <v>67</v>
      </c>
      <c r="AM597" s="5">
        <v>97</v>
      </c>
      <c r="AN597" s="5">
        <v>12</v>
      </c>
      <c r="AO597" s="5">
        <v>7</v>
      </c>
      <c r="AP597" s="5">
        <v>3</v>
      </c>
      <c r="AQ597" s="5">
        <v>5</v>
      </c>
      <c r="AR597" s="5" t="s">
        <v>2477</v>
      </c>
      <c r="AT597" s="5">
        <v>0</v>
      </c>
      <c r="AU597" s="5">
        <v>0</v>
      </c>
      <c r="AX597" s="5">
        <v>0</v>
      </c>
      <c r="AY597" s="5" t="s">
        <v>86</v>
      </c>
      <c r="BN597" s="5" t="s">
        <v>86</v>
      </c>
      <c r="CD597" s="5">
        <v>0</v>
      </c>
      <c r="CF597" s="1442" t="str">
        <f>IF([1]!sommaire[[#This Row],[présence des personnes déplacés interne]]="Oui","1","0")</f>
        <v>1</v>
      </c>
      <c r="CG597" s="1442" t="str">
        <f>IF([1]!sommaire[[#This Row],[présence Réfugié hors camp]]="Oui","1","0")</f>
        <v>0</v>
      </c>
      <c r="CH597" s="1442" t="str">
        <f>IF([1]!sommaire[[#This Row],[présence personnes retournées]]="Oui","1","0")</f>
        <v>0</v>
      </c>
      <c r="CI597" s="1442">
        <f>[1]!sommaire[[#This Row],[Flag PDI]]+[1]!sommaire[[#This Row],[Flag REF]]+[1]!sommaire[[#This Row],[Flag RET]]</f>
        <v>1</v>
      </c>
    </row>
    <row r="598" spans="1:87" ht="14.55" customHeight="1" x14ac:dyDescent="0.3">
      <c r="A598" s="390">
        <v>2646369</v>
      </c>
      <c r="B598" s="5" t="s">
        <v>533</v>
      </c>
      <c r="C598" s="1430" t="s">
        <v>3449</v>
      </c>
      <c r="D598" s="1090" t="s">
        <v>534</v>
      </c>
      <c r="E598" s="5" t="s">
        <v>31</v>
      </c>
      <c r="F598" s="5" t="s">
        <v>31</v>
      </c>
      <c r="G598" s="5" t="s">
        <v>549</v>
      </c>
      <c r="H598" s="5" t="s">
        <v>171</v>
      </c>
      <c r="I598" s="5" t="str">
        <f>_xlfn.XLOOKUP(sommaire[[#This Row],[Arrondissement_code]],OCHA_GIS!$F:$F,OCHA_GIS!$E:$E,,)</f>
        <v>Makary</v>
      </c>
      <c r="J598" s="5" t="s">
        <v>634</v>
      </c>
      <c r="K598" t="s">
        <v>891</v>
      </c>
      <c r="L598" s="5" t="s">
        <v>1469</v>
      </c>
      <c r="N598" s="5" t="s">
        <v>3053</v>
      </c>
      <c r="O598" s="5" t="s">
        <v>2467</v>
      </c>
      <c r="P598" s="5" t="s">
        <v>85</v>
      </c>
      <c r="Q598" s="5" t="s">
        <v>86</v>
      </c>
      <c r="R598" s="5" t="s">
        <v>86</v>
      </c>
      <c r="T598" s="390">
        <v>3</v>
      </c>
      <c r="U598" s="5" t="s">
        <v>97</v>
      </c>
      <c r="W598" s="5" t="s">
        <v>2468</v>
      </c>
      <c r="X598" s="5" t="s">
        <v>102</v>
      </c>
      <c r="AA598" s="5" t="s">
        <v>85</v>
      </c>
      <c r="AB598" s="5" t="s">
        <v>2469</v>
      </c>
      <c r="AC598" s="5" t="s">
        <v>2470</v>
      </c>
      <c r="AD598" s="5" t="s">
        <v>86</v>
      </c>
      <c r="AF598" s="5">
        <v>5</v>
      </c>
      <c r="AG598" s="5">
        <v>150</v>
      </c>
      <c r="AH598" s="5" t="s">
        <v>85</v>
      </c>
      <c r="AI598" s="5" t="s">
        <v>2471</v>
      </c>
      <c r="AJ598" s="5">
        <v>5</v>
      </c>
      <c r="AK598" s="5">
        <v>20</v>
      </c>
      <c r="AL598" s="5">
        <v>15</v>
      </c>
      <c r="AM598" s="5">
        <v>5</v>
      </c>
      <c r="AN598" s="5">
        <v>0</v>
      </c>
      <c r="AO598" s="5">
        <v>5</v>
      </c>
      <c r="AP598" s="5">
        <v>0</v>
      </c>
      <c r="AQ598" s="5">
        <v>0</v>
      </c>
      <c r="AT598" s="5">
        <v>0</v>
      </c>
      <c r="AU598" s="5">
        <v>0</v>
      </c>
      <c r="AX598" s="5">
        <v>0</v>
      </c>
      <c r="AY598" s="5" t="s">
        <v>85</v>
      </c>
      <c r="AZ598" s="5">
        <v>15</v>
      </c>
      <c r="BA598" s="5">
        <v>50</v>
      </c>
      <c r="BB598" s="5">
        <v>35</v>
      </c>
      <c r="BC598" s="5">
        <v>15</v>
      </c>
      <c r="BD598" s="5">
        <v>15</v>
      </c>
      <c r="BE598" s="5">
        <v>0</v>
      </c>
      <c r="BF598" s="5">
        <v>0</v>
      </c>
      <c r="BH598" s="5">
        <v>0</v>
      </c>
      <c r="BI598" s="5">
        <v>0</v>
      </c>
      <c r="BL598" s="5">
        <v>0</v>
      </c>
      <c r="BM598" s="5">
        <v>0</v>
      </c>
      <c r="BN598" s="5" t="s">
        <v>86</v>
      </c>
      <c r="CD598" s="5">
        <v>0</v>
      </c>
      <c r="CF598" s="1442" t="str">
        <f>IF([1]!sommaire[[#This Row],[présence des personnes déplacés interne]]="Oui","1","0")</f>
        <v>1</v>
      </c>
      <c r="CG598" s="1442" t="str">
        <f>IF([1]!sommaire[[#This Row],[présence Réfugié hors camp]]="Oui","1","0")</f>
        <v>1</v>
      </c>
      <c r="CH598" s="1442" t="str">
        <f>IF([1]!sommaire[[#This Row],[présence personnes retournées]]="Oui","1","0")</f>
        <v>0</v>
      </c>
      <c r="CI598" s="1442">
        <f>[1]!sommaire[[#This Row],[Flag PDI]]+[1]!sommaire[[#This Row],[Flag REF]]+[1]!sommaire[[#This Row],[Flag RET]]</f>
        <v>2</v>
      </c>
    </row>
    <row r="599" spans="1:87" ht="14.55" customHeight="1" x14ac:dyDescent="0.3">
      <c r="A599" s="390">
        <v>2646368</v>
      </c>
      <c r="B599" s="5" t="s">
        <v>533</v>
      </c>
      <c r="C599" s="1430" t="s">
        <v>3449</v>
      </c>
      <c r="D599" s="1090" t="s">
        <v>534</v>
      </c>
      <c r="E599" s="5" t="s">
        <v>31</v>
      </c>
      <c r="F599" s="5" t="s">
        <v>31</v>
      </c>
      <c r="G599" s="5" t="s">
        <v>549</v>
      </c>
      <c r="H599" s="5" t="s">
        <v>171</v>
      </c>
      <c r="I599" s="5" t="str">
        <f>_xlfn.XLOOKUP(sommaire[[#This Row],[Arrondissement_code]],OCHA_GIS!$F:$F,OCHA_GIS!$E:$E,,)</f>
        <v>Makary</v>
      </c>
      <c r="J599" s="5" t="s">
        <v>634</v>
      </c>
      <c r="K599" t="s">
        <v>1066</v>
      </c>
      <c r="L599" s="1090" t="s">
        <v>1757</v>
      </c>
      <c r="N599" s="5" t="s">
        <v>3053</v>
      </c>
      <c r="O599" s="5" t="s">
        <v>2467</v>
      </c>
      <c r="P599" s="5" t="s">
        <v>85</v>
      </c>
      <c r="Q599" s="5" t="s">
        <v>86</v>
      </c>
      <c r="R599" s="5" t="s">
        <v>86</v>
      </c>
      <c r="T599" s="390">
        <v>3</v>
      </c>
      <c r="U599" s="5" t="s">
        <v>97</v>
      </c>
      <c r="W599" s="5" t="s">
        <v>2468</v>
      </c>
      <c r="X599" s="5" t="s">
        <v>102</v>
      </c>
      <c r="AA599" s="5" t="s">
        <v>85</v>
      </c>
      <c r="AB599" s="5" t="s">
        <v>2473</v>
      </c>
      <c r="AC599" s="5" t="s">
        <v>2470</v>
      </c>
      <c r="AD599" s="5" t="s">
        <v>86</v>
      </c>
      <c r="AF599" s="5">
        <v>110</v>
      </c>
      <c r="AG599" s="5">
        <v>1716</v>
      </c>
      <c r="AH599" s="5" t="s">
        <v>85</v>
      </c>
      <c r="AI599" s="5" t="s">
        <v>2471</v>
      </c>
      <c r="AJ599" s="5">
        <v>110</v>
      </c>
      <c r="AK599" s="5">
        <v>1000</v>
      </c>
      <c r="AL599" s="5">
        <v>750</v>
      </c>
      <c r="AM599" s="5">
        <v>250</v>
      </c>
      <c r="AN599" s="5">
        <v>0</v>
      </c>
      <c r="AO599" s="5">
        <v>0</v>
      </c>
      <c r="AP599" s="5">
        <v>0</v>
      </c>
      <c r="AQ599" s="5">
        <v>0</v>
      </c>
      <c r="AT599" s="5">
        <v>0</v>
      </c>
      <c r="AU599" s="5">
        <v>110</v>
      </c>
      <c r="AV599" s="5" t="s">
        <v>2478</v>
      </c>
      <c r="AX599" s="5">
        <v>0</v>
      </c>
      <c r="AY599" s="5" t="s">
        <v>86</v>
      </c>
      <c r="BN599" s="5" t="s">
        <v>86</v>
      </c>
      <c r="CD599" s="5">
        <v>0</v>
      </c>
      <c r="CF599" s="1442" t="str">
        <f>IF([1]!sommaire[[#This Row],[présence des personnes déplacés interne]]="Oui","1","0")</f>
        <v>1</v>
      </c>
      <c r="CG599" s="1442" t="str">
        <f>IF([1]!sommaire[[#This Row],[présence Réfugié hors camp]]="Oui","1","0")</f>
        <v>0</v>
      </c>
      <c r="CH599" s="1442" t="str">
        <f>IF([1]!sommaire[[#This Row],[présence personnes retournées]]="Oui","1","0")</f>
        <v>0</v>
      </c>
      <c r="CI599" s="1442">
        <f>[1]!sommaire[[#This Row],[Flag PDI]]+[1]!sommaire[[#This Row],[Flag REF]]+[1]!sommaire[[#This Row],[Flag RET]]</f>
        <v>1</v>
      </c>
    </row>
    <row r="600" spans="1:87" ht="14.55" customHeight="1" x14ac:dyDescent="0.3">
      <c r="A600" s="390">
        <v>2590774</v>
      </c>
      <c r="B600" s="5" t="s">
        <v>533</v>
      </c>
      <c r="C600" s="1430" t="s">
        <v>3449</v>
      </c>
      <c r="D600" s="1090" t="s">
        <v>534</v>
      </c>
      <c r="E600" s="5" t="s">
        <v>31</v>
      </c>
      <c r="F600" s="5" t="s">
        <v>31</v>
      </c>
      <c r="G600" s="5" t="s">
        <v>549</v>
      </c>
      <c r="H600" s="5" t="s">
        <v>171</v>
      </c>
      <c r="I600" s="5" t="str">
        <f>_xlfn.XLOOKUP(sommaire[[#This Row],[Arrondissement_code]],OCHA_GIS!$F:$F,OCHA_GIS!$E:$E,,)</f>
        <v>Makary</v>
      </c>
      <c r="J600" s="5" t="s">
        <v>634</v>
      </c>
      <c r="K600" t="s">
        <v>1918</v>
      </c>
      <c r="L600" s="5" t="s">
        <v>1994</v>
      </c>
      <c r="N600" s="5" t="s">
        <v>3052</v>
      </c>
      <c r="O600" s="5" t="s">
        <v>2467</v>
      </c>
      <c r="P600" s="5" t="s">
        <v>85</v>
      </c>
      <c r="Q600" s="5" t="s">
        <v>86</v>
      </c>
      <c r="R600" s="5" t="s">
        <v>85</v>
      </c>
      <c r="T600" s="390">
        <v>3</v>
      </c>
      <c r="U600" s="5" t="s">
        <v>97</v>
      </c>
      <c r="W600" s="5" t="s">
        <v>2468</v>
      </c>
      <c r="X600" s="1090" t="s">
        <v>103</v>
      </c>
      <c r="Y600" s="5" t="s">
        <v>2476</v>
      </c>
      <c r="AA600" s="1090" t="s">
        <v>85</v>
      </c>
      <c r="AB600" s="5" t="s">
        <v>2469</v>
      </c>
      <c r="AC600" s="5" t="s">
        <v>2470</v>
      </c>
      <c r="AD600" s="5" t="s">
        <v>86</v>
      </c>
      <c r="AF600" s="5">
        <v>19</v>
      </c>
      <c r="AG600" s="5">
        <v>809</v>
      </c>
      <c r="AH600" s="5" t="s">
        <v>85</v>
      </c>
      <c r="AI600" s="5" t="s">
        <v>2471</v>
      </c>
      <c r="AJ600" s="5">
        <v>19</v>
      </c>
      <c r="AK600" s="5">
        <v>98</v>
      </c>
      <c r="AL600" s="5">
        <v>46</v>
      </c>
      <c r="AM600" s="5">
        <v>52</v>
      </c>
      <c r="AN600" s="5">
        <v>4</v>
      </c>
      <c r="AO600" s="5">
        <v>3</v>
      </c>
      <c r="AP600" s="5">
        <v>7</v>
      </c>
      <c r="AQ600" s="5">
        <v>5</v>
      </c>
      <c r="AR600" s="5" t="s">
        <v>2477</v>
      </c>
      <c r="AT600" s="5">
        <v>0</v>
      </c>
      <c r="AU600" s="5">
        <v>0</v>
      </c>
      <c r="AX600" s="5">
        <v>0</v>
      </c>
      <c r="AY600" s="1090" t="s">
        <v>86</v>
      </c>
      <c r="BN600" s="1090" t="s">
        <v>86</v>
      </c>
      <c r="CD600" s="5">
        <v>0</v>
      </c>
      <c r="CF600" s="1442" t="str">
        <f>IF([1]!sommaire[[#This Row],[présence des personnes déplacés interne]]="Oui","1","0")</f>
        <v>1</v>
      </c>
      <c r="CG600" s="1442" t="str">
        <f>IF([1]!sommaire[[#This Row],[présence Réfugié hors camp]]="Oui","1","0")</f>
        <v>0</v>
      </c>
      <c r="CH600" s="1442" t="str">
        <f>IF([1]!sommaire[[#This Row],[présence personnes retournées]]="Oui","1","0")</f>
        <v>0</v>
      </c>
      <c r="CI600" s="1442">
        <f>[1]!sommaire[[#This Row],[Flag PDI]]+[1]!sommaire[[#This Row],[Flag REF]]+[1]!sommaire[[#This Row],[Flag RET]]</f>
        <v>1</v>
      </c>
    </row>
    <row r="601" spans="1:87" ht="14.55" customHeight="1" x14ac:dyDescent="0.3">
      <c r="A601" s="390">
        <v>2648094</v>
      </c>
      <c r="B601" s="5" t="s">
        <v>533</v>
      </c>
      <c r="C601" s="1430" t="s">
        <v>3449</v>
      </c>
      <c r="D601" s="5" t="s">
        <v>534</v>
      </c>
      <c r="E601" s="5" t="s">
        <v>31</v>
      </c>
      <c r="F601" s="5" t="s">
        <v>31</v>
      </c>
      <c r="G601" s="5" t="s">
        <v>549</v>
      </c>
      <c r="H601" s="5" t="s">
        <v>171</v>
      </c>
      <c r="I601" s="5" t="str">
        <f>_xlfn.XLOOKUP(sommaire[[#This Row],[Arrondissement_code]],OCHA_GIS!$F:$F,OCHA_GIS!$E:$E,,)</f>
        <v>Makary</v>
      </c>
      <c r="J601" s="5" t="s">
        <v>634</v>
      </c>
      <c r="K601" t="s">
        <v>1048</v>
      </c>
      <c r="L601" s="5" t="s">
        <v>745</v>
      </c>
      <c r="N601" s="5" t="s">
        <v>3053</v>
      </c>
      <c r="O601" s="5" t="s">
        <v>2467</v>
      </c>
      <c r="P601" s="5" t="s">
        <v>85</v>
      </c>
      <c r="Q601" s="5" t="s">
        <v>86</v>
      </c>
      <c r="R601" s="5" t="s">
        <v>86</v>
      </c>
      <c r="T601" s="390">
        <v>5</v>
      </c>
      <c r="U601" s="5" t="s">
        <v>97</v>
      </c>
      <c r="W601" s="5" t="s">
        <v>2468</v>
      </c>
      <c r="X601" s="5" t="s">
        <v>102</v>
      </c>
      <c r="AA601" s="5" t="s">
        <v>85</v>
      </c>
      <c r="AB601" s="5" t="s">
        <v>2469</v>
      </c>
      <c r="AC601" s="5" t="s">
        <v>2470</v>
      </c>
      <c r="AD601" s="5" t="s">
        <v>86</v>
      </c>
      <c r="AF601" s="5">
        <v>211</v>
      </c>
      <c r="AG601" s="5">
        <v>1277</v>
      </c>
      <c r="AH601" s="5" t="s">
        <v>85</v>
      </c>
      <c r="AI601" s="5" t="s">
        <v>2471</v>
      </c>
      <c r="AJ601" s="5">
        <v>211</v>
      </c>
      <c r="AK601" s="5">
        <v>847</v>
      </c>
      <c r="AL601" s="5">
        <v>347</v>
      </c>
      <c r="AM601" s="5">
        <v>500</v>
      </c>
      <c r="AN601" s="5">
        <v>100</v>
      </c>
      <c r="AO601" s="5">
        <v>111</v>
      </c>
      <c r="AP601" s="5">
        <v>0</v>
      </c>
      <c r="AQ601" s="5">
        <v>0</v>
      </c>
      <c r="AT601" s="5">
        <v>0</v>
      </c>
      <c r="AU601" s="5">
        <v>0</v>
      </c>
      <c r="AX601" s="5">
        <v>0</v>
      </c>
      <c r="AY601" s="5" t="s">
        <v>86</v>
      </c>
      <c r="BN601" s="5" t="s">
        <v>86</v>
      </c>
      <c r="CD601" s="5">
        <v>0</v>
      </c>
      <c r="CF601" s="1442" t="str">
        <f>IF([1]!sommaire[[#This Row],[présence des personnes déplacés interne]]="Oui","1","0")</f>
        <v>1</v>
      </c>
      <c r="CG601" s="1442" t="str">
        <f>IF([1]!sommaire[[#This Row],[présence Réfugié hors camp]]="Oui","1","0")</f>
        <v>0</v>
      </c>
      <c r="CH601" s="1442" t="str">
        <f>IF([1]!sommaire[[#This Row],[présence personnes retournées]]="Oui","1","0")</f>
        <v>0</v>
      </c>
      <c r="CI601" s="1442">
        <f>[1]!sommaire[[#This Row],[Flag PDI]]+[1]!sommaire[[#This Row],[Flag REF]]+[1]!sommaire[[#This Row],[Flag RET]]</f>
        <v>1</v>
      </c>
    </row>
    <row r="602" spans="1:87" ht="14.55" customHeight="1" x14ac:dyDescent="0.3">
      <c r="A602" s="390">
        <v>2722674</v>
      </c>
      <c r="B602" s="5" t="s">
        <v>533</v>
      </c>
      <c r="C602" s="1430" t="s">
        <v>3449</v>
      </c>
      <c r="D602" s="1090" t="s">
        <v>534</v>
      </c>
      <c r="E602" s="5" t="s">
        <v>31</v>
      </c>
      <c r="F602" s="5" t="s">
        <v>31</v>
      </c>
      <c r="G602" s="5" t="s">
        <v>549</v>
      </c>
      <c r="H602" s="1144" t="s">
        <v>171</v>
      </c>
      <c r="I602" s="1144" t="str">
        <f>_xlfn.XLOOKUP(sommaire[[#This Row],[Arrondissement_code]],OCHA_GIS!$F:$F,OCHA_GIS!$E:$E,,)</f>
        <v>Makary</v>
      </c>
      <c r="J602" s="5" t="s">
        <v>634</v>
      </c>
      <c r="K602" t="s">
        <v>1920</v>
      </c>
      <c r="L602" s="5" t="s">
        <v>1323</v>
      </c>
      <c r="N602" s="5" t="s">
        <v>3053</v>
      </c>
      <c r="O602" s="5" t="s">
        <v>2467</v>
      </c>
      <c r="P602" s="5" t="s">
        <v>85</v>
      </c>
      <c r="Q602" s="5" t="s">
        <v>86</v>
      </c>
      <c r="R602" s="5" t="s">
        <v>86</v>
      </c>
      <c r="T602" s="390">
        <v>3</v>
      </c>
      <c r="U602" s="5" t="s">
        <v>97</v>
      </c>
      <c r="W602" s="5" t="s">
        <v>2468</v>
      </c>
      <c r="X602" s="5" t="s">
        <v>102</v>
      </c>
      <c r="AA602" s="586" t="s">
        <v>85</v>
      </c>
      <c r="AB602" s="5" t="s">
        <v>2469</v>
      </c>
      <c r="AC602" s="5" t="s">
        <v>2470</v>
      </c>
      <c r="AD602" s="5" t="s">
        <v>86</v>
      </c>
      <c r="AF602" s="5">
        <v>22</v>
      </c>
      <c r="AG602" s="5">
        <v>336</v>
      </c>
      <c r="AH602" s="5" t="s">
        <v>85</v>
      </c>
      <c r="AI602" s="5" t="s">
        <v>2471</v>
      </c>
      <c r="AJ602" s="5">
        <v>22</v>
      </c>
      <c r="AK602" s="5">
        <v>170</v>
      </c>
      <c r="AL602" s="5">
        <v>108</v>
      </c>
      <c r="AM602" s="5">
        <v>62</v>
      </c>
      <c r="AN602" s="5">
        <v>0</v>
      </c>
      <c r="AO602" s="5">
        <v>22</v>
      </c>
      <c r="AP602" s="5">
        <v>0</v>
      </c>
      <c r="AQ602" s="5">
        <v>0</v>
      </c>
      <c r="AT602" s="5">
        <v>0</v>
      </c>
      <c r="AU602" s="5">
        <v>0</v>
      </c>
      <c r="AX602" s="5">
        <v>0</v>
      </c>
      <c r="AY602" s="5" t="s">
        <v>86</v>
      </c>
      <c r="BN602" s="5" t="s">
        <v>85</v>
      </c>
      <c r="BO602" s="5">
        <v>10</v>
      </c>
      <c r="BP602" s="5">
        <v>45</v>
      </c>
      <c r="BQ602" s="5">
        <v>20</v>
      </c>
      <c r="BR602" s="5">
        <v>25</v>
      </c>
      <c r="BS602" s="5" t="s">
        <v>2479</v>
      </c>
      <c r="BT602" s="5">
        <v>0</v>
      </c>
      <c r="BU602" s="5">
        <v>0</v>
      </c>
      <c r="BV602" s="5">
        <v>10</v>
      </c>
      <c r="BW602" s="5">
        <v>0</v>
      </c>
      <c r="BX602" s="5">
        <v>0</v>
      </c>
      <c r="BZ602" s="5">
        <v>0</v>
      </c>
      <c r="CA602" s="5">
        <v>0</v>
      </c>
      <c r="CC602" s="5">
        <v>0</v>
      </c>
      <c r="CD602" s="5">
        <v>0</v>
      </c>
      <c r="CF602" s="1442" t="str">
        <f>IF([1]!sommaire[[#This Row],[présence des personnes déplacés interne]]="Oui","1","0")</f>
        <v>1</v>
      </c>
      <c r="CG602" s="1442" t="str">
        <f>IF([1]!sommaire[[#This Row],[présence Réfugié hors camp]]="Oui","1","0")</f>
        <v>0</v>
      </c>
      <c r="CH602" s="1442" t="str">
        <f>IF([1]!sommaire[[#This Row],[présence personnes retournées]]="Oui","1","0")</f>
        <v>1</v>
      </c>
      <c r="CI602" s="1442">
        <f>[1]!sommaire[[#This Row],[Flag PDI]]+[1]!sommaire[[#This Row],[Flag REF]]+[1]!sommaire[[#This Row],[Flag RET]]</f>
        <v>2</v>
      </c>
    </row>
    <row r="603" spans="1:87" ht="14.55" customHeight="1" x14ac:dyDescent="0.3">
      <c r="A603" s="390">
        <v>2625726</v>
      </c>
      <c r="B603" s="5" t="s">
        <v>533</v>
      </c>
      <c r="C603" s="1430" t="s">
        <v>3449</v>
      </c>
      <c r="D603" s="1090" t="s">
        <v>534</v>
      </c>
      <c r="E603" s="5" t="s">
        <v>31</v>
      </c>
      <c r="F603" s="5" t="s">
        <v>31</v>
      </c>
      <c r="G603" s="5" t="s">
        <v>549</v>
      </c>
      <c r="H603" s="5" t="s">
        <v>171</v>
      </c>
      <c r="I603" s="5" t="str">
        <f>_xlfn.XLOOKUP(sommaire[[#This Row],[Arrondissement_code]],OCHA_GIS!$F:$F,OCHA_GIS!$E:$E,,)</f>
        <v>Makary</v>
      </c>
      <c r="J603" s="5" t="s">
        <v>634</v>
      </c>
      <c r="K603" t="s">
        <v>1745</v>
      </c>
      <c r="L603" s="5" t="s">
        <v>933</v>
      </c>
      <c r="N603" s="5" t="s">
        <v>3053</v>
      </c>
      <c r="O603" s="5" t="s">
        <v>2467</v>
      </c>
      <c r="P603" s="5" t="s">
        <v>85</v>
      </c>
      <c r="Q603" s="5" t="s">
        <v>86</v>
      </c>
      <c r="R603" s="5" t="s">
        <v>86</v>
      </c>
      <c r="T603" s="390">
        <v>3</v>
      </c>
      <c r="U603" s="5" t="s">
        <v>97</v>
      </c>
      <c r="W603" s="5" t="s">
        <v>2468</v>
      </c>
      <c r="X603" s="5" t="s">
        <v>102</v>
      </c>
      <c r="AA603" s="5" t="s">
        <v>85</v>
      </c>
      <c r="AB603" s="5" t="s">
        <v>2469</v>
      </c>
      <c r="AC603" s="5" t="s">
        <v>2470</v>
      </c>
      <c r="AD603" s="5" t="s">
        <v>86</v>
      </c>
      <c r="AF603" s="5">
        <v>4</v>
      </c>
      <c r="AG603" s="5">
        <v>115</v>
      </c>
      <c r="AH603" s="5" t="s">
        <v>85</v>
      </c>
      <c r="AI603" s="5" t="s">
        <v>2471</v>
      </c>
      <c r="AJ603" s="5">
        <v>4</v>
      </c>
      <c r="AK603" s="5">
        <v>15</v>
      </c>
      <c r="AL603" s="5">
        <v>10</v>
      </c>
      <c r="AM603" s="5">
        <v>5</v>
      </c>
      <c r="AN603" s="5">
        <v>0</v>
      </c>
      <c r="AO603" s="5">
        <v>4</v>
      </c>
      <c r="AP603" s="5">
        <v>0</v>
      </c>
      <c r="AQ603" s="5">
        <v>0</v>
      </c>
      <c r="AT603" s="5">
        <v>0</v>
      </c>
      <c r="AU603" s="5">
        <v>0</v>
      </c>
      <c r="AX603" s="5">
        <v>0</v>
      </c>
      <c r="AY603" s="5" t="s">
        <v>86</v>
      </c>
      <c r="BN603" s="5" t="s">
        <v>86</v>
      </c>
      <c r="CD603" s="5">
        <v>0</v>
      </c>
      <c r="CF603" s="1442" t="str">
        <f>IF([1]!sommaire[[#This Row],[présence des personnes déplacés interne]]="Oui","1","0")</f>
        <v>1</v>
      </c>
      <c r="CG603" s="1442" t="str">
        <f>IF([1]!sommaire[[#This Row],[présence Réfugié hors camp]]="Oui","1","0")</f>
        <v>0</v>
      </c>
      <c r="CH603" s="1442" t="str">
        <f>IF([1]!sommaire[[#This Row],[présence personnes retournées]]="Oui","1","0")</f>
        <v>0</v>
      </c>
      <c r="CI603" s="1442">
        <f>[1]!sommaire[[#This Row],[Flag PDI]]+[1]!sommaire[[#This Row],[Flag REF]]+[1]!sommaire[[#This Row],[Flag RET]]</f>
        <v>1</v>
      </c>
    </row>
    <row r="604" spans="1:87" ht="14.55" customHeight="1" x14ac:dyDescent="0.3">
      <c r="A604" s="390">
        <v>2630807</v>
      </c>
      <c r="B604" s="5" t="s">
        <v>533</v>
      </c>
      <c r="C604" s="1430" t="s">
        <v>3449</v>
      </c>
      <c r="D604" s="1090" t="s">
        <v>534</v>
      </c>
      <c r="E604" s="5" t="s">
        <v>31</v>
      </c>
      <c r="F604" s="5" t="s">
        <v>31</v>
      </c>
      <c r="G604" s="5" t="s">
        <v>549</v>
      </c>
      <c r="H604" s="5" t="s">
        <v>171</v>
      </c>
      <c r="I604" s="5" t="str">
        <f>_xlfn.XLOOKUP(sommaire[[#This Row],[Arrondissement_code]],OCHA_GIS!$F:$F,OCHA_GIS!$E:$E,,)</f>
        <v>Makary</v>
      </c>
      <c r="J604" s="5" t="s">
        <v>634</v>
      </c>
      <c r="K604" t="s">
        <v>1939</v>
      </c>
      <c r="L604" s="5" t="s">
        <v>935</v>
      </c>
      <c r="N604" s="5" t="s">
        <v>3053</v>
      </c>
      <c r="O604" s="5" t="s">
        <v>2467</v>
      </c>
      <c r="P604" s="5" t="s">
        <v>85</v>
      </c>
      <c r="Q604" s="5" t="s">
        <v>86</v>
      </c>
      <c r="R604" s="5" t="s">
        <v>86</v>
      </c>
      <c r="T604" s="390">
        <v>3</v>
      </c>
      <c r="U604" s="5" t="s">
        <v>97</v>
      </c>
      <c r="W604" s="5" t="s">
        <v>2468</v>
      </c>
      <c r="X604" s="5" t="s">
        <v>102</v>
      </c>
      <c r="AA604" s="5" t="s">
        <v>85</v>
      </c>
      <c r="AB604" s="5" t="s">
        <v>2469</v>
      </c>
      <c r="AC604" s="5" t="s">
        <v>2470</v>
      </c>
      <c r="AD604" s="5" t="s">
        <v>86</v>
      </c>
      <c r="AF604" s="5">
        <v>10</v>
      </c>
      <c r="AG604" s="5">
        <v>130</v>
      </c>
      <c r="AH604" s="5" t="s">
        <v>85</v>
      </c>
      <c r="AI604" s="5" t="s">
        <v>2471</v>
      </c>
      <c r="AJ604" s="5">
        <v>10</v>
      </c>
      <c r="AK604" s="5">
        <v>56</v>
      </c>
      <c r="AL604" s="5">
        <v>25</v>
      </c>
      <c r="AM604" s="5">
        <v>31</v>
      </c>
      <c r="AN604" s="5">
        <v>0</v>
      </c>
      <c r="AO604" s="5">
        <v>10</v>
      </c>
      <c r="AP604" s="5">
        <v>0</v>
      </c>
      <c r="AQ604" s="5">
        <v>0</v>
      </c>
      <c r="AT604" s="5">
        <v>0</v>
      </c>
      <c r="AU604" s="5">
        <v>0</v>
      </c>
      <c r="AX604" s="5">
        <v>0</v>
      </c>
      <c r="AY604" s="5" t="s">
        <v>86</v>
      </c>
      <c r="BN604" s="5" t="s">
        <v>86</v>
      </c>
      <c r="CD604" s="5">
        <v>0</v>
      </c>
      <c r="CF604" s="1442" t="str">
        <f>IF([1]!sommaire[[#This Row],[présence des personnes déplacés interne]]="Oui","1","0")</f>
        <v>1</v>
      </c>
      <c r="CG604" s="1442" t="str">
        <f>IF([1]!sommaire[[#This Row],[présence Réfugié hors camp]]="Oui","1","0")</f>
        <v>0</v>
      </c>
      <c r="CH604" s="1442" t="str">
        <f>IF([1]!sommaire[[#This Row],[présence personnes retournées]]="Oui","1","0")</f>
        <v>0</v>
      </c>
      <c r="CI604" s="1442">
        <f>[1]!sommaire[[#This Row],[Flag PDI]]+[1]!sommaire[[#This Row],[Flag REF]]+[1]!sommaire[[#This Row],[Flag RET]]</f>
        <v>1</v>
      </c>
    </row>
    <row r="605" spans="1:87" ht="14.55" customHeight="1" x14ac:dyDescent="0.3">
      <c r="A605" s="390">
        <v>2621750</v>
      </c>
      <c r="B605" s="5" t="s">
        <v>533</v>
      </c>
      <c r="C605" s="1430" t="s">
        <v>3449</v>
      </c>
      <c r="D605" s="1090" t="s">
        <v>534</v>
      </c>
      <c r="E605" s="5" t="s">
        <v>31</v>
      </c>
      <c r="F605" s="5" t="s">
        <v>31</v>
      </c>
      <c r="G605" s="5" t="s">
        <v>549</v>
      </c>
      <c r="H605" s="5" t="s">
        <v>171</v>
      </c>
      <c r="I605" s="5" t="str">
        <f>_xlfn.XLOOKUP(sommaire[[#This Row],[Arrondissement_code]],OCHA_GIS!$F:$F,OCHA_GIS!$E:$E,,)</f>
        <v>Makary</v>
      </c>
      <c r="J605" s="5" t="s">
        <v>634</v>
      </c>
      <c r="K605" t="s">
        <v>2927</v>
      </c>
      <c r="L605" s="5" t="s">
        <v>1853</v>
      </c>
      <c r="N605" s="5" t="s">
        <v>3053</v>
      </c>
      <c r="O605" s="5" t="s">
        <v>2467</v>
      </c>
      <c r="P605" s="5" t="s">
        <v>85</v>
      </c>
      <c r="Q605" s="5" t="s">
        <v>86</v>
      </c>
      <c r="R605" s="5" t="s">
        <v>86</v>
      </c>
      <c r="T605" s="390">
        <v>3</v>
      </c>
      <c r="U605" s="5" t="s">
        <v>97</v>
      </c>
      <c r="W605" s="5" t="s">
        <v>2468</v>
      </c>
      <c r="X605" s="5" t="s">
        <v>102</v>
      </c>
      <c r="AA605" s="5" t="s">
        <v>85</v>
      </c>
      <c r="AB605" s="5" t="s">
        <v>2469</v>
      </c>
      <c r="AC605" s="5" t="s">
        <v>2470</v>
      </c>
      <c r="AD605" s="5" t="s">
        <v>86</v>
      </c>
      <c r="AF605" s="5">
        <v>20</v>
      </c>
      <c r="AG605" s="5">
        <v>1700</v>
      </c>
      <c r="AH605" s="5" t="s">
        <v>85</v>
      </c>
      <c r="AI605" s="5" t="s">
        <v>2471</v>
      </c>
      <c r="AJ605" s="5">
        <v>20</v>
      </c>
      <c r="AK605" s="5">
        <v>56</v>
      </c>
      <c r="AL605" s="5">
        <v>25</v>
      </c>
      <c r="AM605" s="5">
        <v>31</v>
      </c>
      <c r="AN605" s="5">
        <v>0</v>
      </c>
      <c r="AO605" s="5">
        <v>20</v>
      </c>
      <c r="AP605" s="5">
        <v>0</v>
      </c>
      <c r="AQ605" s="5">
        <v>0</v>
      </c>
      <c r="AT605" s="5">
        <v>0</v>
      </c>
      <c r="AU605" s="5">
        <v>0</v>
      </c>
      <c r="AX605" s="5">
        <v>0</v>
      </c>
      <c r="AY605" s="5" t="s">
        <v>86</v>
      </c>
      <c r="BN605" s="5" t="s">
        <v>86</v>
      </c>
      <c r="CD605" s="5">
        <v>0</v>
      </c>
      <c r="CF605" s="1442" t="str">
        <f>IF([1]!sommaire[[#This Row],[présence des personnes déplacés interne]]="Oui","1","0")</f>
        <v>1</v>
      </c>
      <c r="CG605" s="1442" t="str">
        <f>IF([1]!sommaire[[#This Row],[présence Réfugié hors camp]]="Oui","1","0")</f>
        <v>0</v>
      </c>
      <c r="CH605" s="1442" t="str">
        <f>IF([1]!sommaire[[#This Row],[présence personnes retournées]]="Oui","1","0")</f>
        <v>0</v>
      </c>
      <c r="CI605" s="1442">
        <f>[1]!sommaire[[#This Row],[Flag PDI]]+[1]!sommaire[[#This Row],[Flag REF]]+[1]!sommaire[[#This Row],[Flag RET]]</f>
        <v>1</v>
      </c>
    </row>
    <row r="606" spans="1:87" ht="14.55" customHeight="1" x14ac:dyDescent="0.3">
      <c r="A606" s="390">
        <v>2626952</v>
      </c>
      <c r="B606" s="5" t="s">
        <v>533</v>
      </c>
      <c r="C606" s="1430" t="s">
        <v>3449</v>
      </c>
      <c r="D606" s="1090" t="s">
        <v>534</v>
      </c>
      <c r="E606" s="5" t="s">
        <v>31</v>
      </c>
      <c r="F606" s="5" t="s">
        <v>31</v>
      </c>
      <c r="G606" s="5" t="s">
        <v>549</v>
      </c>
      <c r="H606" s="5" t="s">
        <v>171</v>
      </c>
      <c r="I606" s="5" t="str">
        <f>_xlfn.XLOOKUP(sommaire[[#This Row],[Arrondissement_code]],OCHA_GIS!$F:$F,OCHA_GIS!$E:$E,,)</f>
        <v>Makary</v>
      </c>
      <c r="J606" s="5" t="s">
        <v>634</v>
      </c>
      <c r="K606" t="s">
        <v>1262</v>
      </c>
      <c r="L606" s="5" t="s">
        <v>2601</v>
      </c>
      <c r="N606" s="5" t="s">
        <v>3053</v>
      </c>
      <c r="O606" s="5" t="s">
        <v>2467</v>
      </c>
      <c r="P606" s="5" t="s">
        <v>86</v>
      </c>
      <c r="Q606" s="5" t="s">
        <v>86</v>
      </c>
      <c r="R606" s="5" t="s">
        <v>85</v>
      </c>
      <c r="U606" s="5" t="s">
        <v>98</v>
      </c>
      <c r="W606" s="5" t="s">
        <v>2482</v>
      </c>
      <c r="AA606" s="5" t="s">
        <v>86</v>
      </c>
      <c r="AH606" s="1430" t="s">
        <v>86</v>
      </c>
      <c r="AY606" s="1430" t="s">
        <v>86</v>
      </c>
      <c r="BN606" s="1430" t="s">
        <v>86</v>
      </c>
      <c r="CF606" s="1442" t="str">
        <f>IF([1]!sommaire[[#This Row],[présence des personnes déplacés interne]]="Oui","1","0")</f>
        <v>0</v>
      </c>
      <c r="CG606" s="1442" t="str">
        <f>IF([1]!sommaire[[#This Row],[présence Réfugié hors camp]]="Oui","1","0")</f>
        <v>0</v>
      </c>
      <c r="CH606" s="1442" t="str">
        <f>IF([1]!sommaire[[#This Row],[présence personnes retournées]]="Oui","1","0")</f>
        <v>0</v>
      </c>
      <c r="CI606" s="1442">
        <f>[1]!sommaire[[#This Row],[Flag PDI]]+[1]!sommaire[[#This Row],[Flag REF]]+[1]!sommaire[[#This Row],[Flag RET]]</f>
        <v>0</v>
      </c>
    </row>
    <row r="607" spans="1:87" ht="14.55" customHeight="1" x14ac:dyDescent="0.3">
      <c r="A607" s="390">
        <v>2592210</v>
      </c>
      <c r="B607" s="5" t="s">
        <v>533</v>
      </c>
      <c r="C607" s="1430" t="s">
        <v>3449</v>
      </c>
      <c r="D607" s="1090" t="s">
        <v>534</v>
      </c>
      <c r="E607" s="5" t="s">
        <v>31</v>
      </c>
      <c r="F607" s="5" t="s">
        <v>31</v>
      </c>
      <c r="G607" s="5" t="s">
        <v>549</v>
      </c>
      <c r="H607" s="5" t="s">
        <v>171</v>
      </c>
      <c r="I607" s="5" t="str">
        <f>_xlfn.XLOOKUP(sommaire[[#This Row],[Arrondissement_code]],OCHA_GIS!$F:$F,OCHA_GIS!$E:$E,,)</f>
        <v>Makary</v>
      </c>
      <c r="J607" s="5" t="s">
        <v>634</v>
      </c>
      <c r="K607" t="s">
        <v>1993</v>
      </c>
      <c r="L607" s="5" t="s">
        <v>3089</v>
      </c>
      <c r="N607" s="5" t="s">
        <v>3052</v>
      </c>
      <c r="O607" s="5" t="s">
        <v>2467</v>
      </c>
      <c r="P607" s="5" t="s">
        <v>85</v>
      </c>
      <c r="Q607" s="5" t="s">
        <v>86</v>
      </c>
      <c r="R607" s="5" t="s">
        <v>86</v>
      </c>
      <c r="T607" s="390">
        <v>3</v>
      </c>
      <c r="U607" s="5" t="s">
        <v>97</v>
      </c>
      <c r="W607" s="5" t="s">
        <v>2468</v>
      </c>
      <c r="X607" s="5" t="s">
        <v>102</v>
      </c>
      <c r="AA607" s="5" t="s">
        <v>85</v>
      </c>
      <c r="AB607" s="5" t="s">
        <v>2473</v>
      </c>
      <c r="AC607" s="5" t="s">
        <v>2470</v>
      </c>
      <c r="AD607" s="5" t="s">
        <v>86</v>
      </c>
      <c r="AF607" s="5">
        <v>5869</v>
      </c>
      <c r="AG607" s="5">
        <v>19855</v>
      </c>
      <c r="AH607" s="5" t="s">
        <v>85</v>
      </c>
      <c r="AI607" s="5" t="s">
        <v>2471</v>
      </c>
      <c r="AJ607" s="5">
        <v>5869</v>
      </c>
      <c r="AK607" s="5">
        <v>16341</v>
      </c>
      <c r="AL607" s="5">
        <v>3285</v>
      </c>
      <c r="AM607" s="5">
        <v>13056</v>
      </c>
      <c r="AN607" s="5">
        <v>0</v>
      </c>
      <c r="AO607" s="5">
        <v>2356</v>
      </c>
      <c r="AP607" s="5">
        <v>0</v>
      </c>
      <c r="AQ607" s="5">
        <v>3513</v>
      </c>
      <c r="AR607" s="5" t="s">
        <v>2477</v>
      </c>
      <c r="AT607" s="5">
        <v>0</v>
      </c>
      <c r="AU607" s="5">
        <v>0</v>
      </c>
      <c r="AX607" s="5">
        <v>0</v>
      </c>
      <c r="AY607" s="5" t="s">
        <v>86</v>
      </c>
      <c r="BN607" s="5" t="s">
        <v>86</v>
      </c>
      <c r="CD607" s="5">
        <v>0</v>
      </c>
      <c r="CF607" s="1442" t="str">
        <f>IF([1]!sommaire[[#This Row],[présence des personnes déplacés interne]]="Oui","1","0")</f>
        <v>1</v>
      </c>
      <c r="CG607" s="1442" t="str">
        <f>IF([1]!sommaire[[#This Row],[présence Réfugié hors camp]]="Oui","1","0")</f>
        <v>0</v>
      </c>
      <c r="CH607" s="1442" t="str">
        <f>IF([1]!sommaire[[#This Row],[présence personnes retournées]]="Oui","1","0")</f>
        <v>0</v>
      </c>
      <c r="CI607" s="1442">
        <f>[1]!sommaire[[#This Row],[Flag PDI]]+[1]!sommaire[[#This Row],[Flag REF]]+[1]!sommaire[[#This Row],[Flag RET]]</f>
        <v>1</v>
      </c>
    </row>
    <row r="608" spans="1:87" ht="14.55" customHeight="1" x14ac:dyDescent="0.3">
      <c r="A608" s="390">
        <v>2666352</v>
      </c>
      <c r="B608" s="5" t="s">
        <v>533</v>
      </c>
      <c r="C608" s="1430" t="s">
        <v>3449</v>
      </c>
      <c r="D608" s="1090" t="s">
        <v>534</v>
      </c>
      <c r="E608" s="5" t="s">
        <v>31</v>
      </c>
      <c r="F608" s="5" t="s">
        <v>31</v>
      </c>
      <c r="G608" s="5" t="s">
        <v>549</v>
      </c>
      <c r="H608" s="5" t="s">
        <v>171</v>
      </c>
      <c r="I608" s="5" t="str">
        <f>_xlfn.XLOOKUP(sommaire[[#This Row],[Arrondissement_code]],OCHA_GIS!$F:$F,OCHA_GIS!$E:$E,,)</f>
        <v>Makary</v>
      </c>
      <c r="J608" s="5" t="s">
        <v>634</v>
      </c>
      <c r="K608" t="s">
        <v>922</v>
      </c>
      <c r="L608" s="5" t="s">
        <v>1253</v>
      </c>
      <c r="N608" s="5" t="s">
        <v>3052</v>
      </c>
      <c r="O608" s="5" t="s">
        <v>2467</v>
      </c>
      <c r="P608" s="5" t="s">
        <v>85</v>
      </c>
      <c r="Q608" s="5" t="s">
        <v>86</v>
      </c>
      <c r="R608" s="5" t="s">
        <v>86</v>
      </c>
      <c r="T608" s="390">
        <v>3</v>
      </c>
      <c r="U608" s="5" t="s">
        <v>97</v>
      </c>
      <c r="W608" s="5" t="s">
        <v>2468</v>
      </c>
      <c r="X608" s="5" t="s">
        <v>103</v>
      </c>
      <c r="Y608" s="5" t="s">
        <v>2476</v>
      </c>
      <c r="AA608" s="5" t="s">
        <v>85</v>
      </c>
      <c r="AB608" s="5" t="s">
        <v>2469</v>
      </c>
      <c r="AC608" s="5" t="s">
        <v>2470</v>
      </c>
      <c r="AD608" s="5" t="s">
        <v>86</v>
      </c>
      <c r="AF608" s="5">
        <v>32</v>
      </c>
      <c r="AG608" s="5">
        <v>5593</v>
      </c>
      <c r="AH608" s="5" t="s">
        <v>85</v>
      </c>
      <c r="AI608" s="5" t="s">
        <v>2485</v>
      </c>
      <c r="AJ608" s="5">
        <v>32</v>
      </c>
      <c r="AK608" s="5">
        <v>169</v>
      </c>
      <c r="AL608" s="5">
        <v>65</v>
      </c>
      <c r="AM608" s="5">
        <v>104</v>
      </c>
      <c r="AN608" s="5">
        <v>27</v>
      </c>
      <c r="AO608" s="5">
        <v>5</v>
      </c>
      <c r="AP608" s="5">
        <v>0</v>
      </c>
      <c r="AQ608" s="5">
        <v>0</v>
      </c>
      <c r="AT608" s="5">
        <v>0</v>
      </c>
      <c r="AU608" s="5">
        <v>0</v>
      </c>
      <c r="AX608" s="5">
        <v>0</v>
      </c>
      <c r="AY608" s="5" t="s">
        <v>85</v>
      </c>
      <c r="AZ608" s="5">
        <v>2</v>
      </c>
      <c r="BA608" s="5">
        <v>5</v>
      </c>
      <c r="BB608" s="5">
        <v>2</v>
      </c>
      <c r="BC608" s="5">
        <v>3</v>
      </c>
      <c r="BD608" s="5">
        <v>2</v>
      </c>
      <c r="BE608" s="5">
        <v>0</v>
      </c>
      <c r="BF608" s="5">
        <v>0</v>
      </c>
      <c r="BH608" s="5">
        <v>0</v>
      </c>
      <c r="BI608" s="5">
        <v>0</v>
      </c>
      <c r="BL608" s="5">
        <v>0</v>
      </c>
      <c r="BM608" s="5">
        <v>0</v>
      </c>
      <c r="BN608" s="5" t="s">
        <v>86</v>
      </c>
      <c r="CD608" s="5">
        <v>0</v>
      </c>
      <c r="CF608" s="1442" t="str">
        <f>IF([1]!sommaire[[#This Row],[présence des personnes déplacés interne]]="Oui","1","0")</f>
        <v>1</v>
      </c>
      <c r="CG608" s="1442" t="str">
        <f>IF([1]!sommaire[[#This Row],[présence Réfugié hors camp]]="Oui","1","0")</f>
        <v>1</v>
      </c>
      <c r="CH608" s="1442" t="str">
        <f>IF([1]!sommaire[[#This Row],[présence personnes retournées]]="Oui","1","0")</f>
        <v>0</v>
      </c>
      <c r="CI608" s="1442">
        <f>[1]!sommaire[[#This Row],[Flag PDI]]+[1]!sommaire[[#This Row],[Flag REF]]+[1]!sommaire[[#This Row],[Flag RET]]</f>
        <v>2</v>
      </c>
    </row>
    <row r="609" spans="1:87" ht="14.55" customHeight="1" x14ac:dyDescent="0.3">
      <c r="A609" s="390">
        <v>2639008</v>
      </c>
      <c r="B609" s="5" t="s">
        <v>533</v>
      </c>
      <c r="C609" s="1430" t="s">
        <v>3449</v>
      </c>
      <c r="D609" s="1090" t="s">
        <v>534</v>
      </c>
      <c r="E609" s="5" t="s">
        <v>31</v>
      </c>
      <c r="F609" s="5" t="s">
        <v>31</v>
      </c>
      <c r="G609" s="5" t="s">
        <v>549</v>
      </c>
      <c r="H609" s="5" t="s">
        <v>171</v>
      </c>
      <c r="I609" s="5" t="str">
        <f>_xlfn.XLOOKUP(sommaire[[#This Row],[Arrondissement_code]],OCHA_GIS!$F:$F,OCHA_GIS!$E:$E,,)</f>
        <v>Makary</v>
      </c>
      <c r="J609" s="5" t="s">
        <v>634</v>
      </c>
      <c r="K609" t="s">
        <v>932</v>
      </c>
      <c r="L609" s="5" t="s">
        <v>2603</v>
      </c>
      <c r="N609" s="5" t="s">
        <v>3053</v>
      </c>
      <c r="O609" s="5" t="s">
        <v>2467</v>
      </c>
      <c r="P609" s="5" t="s">
        <v>85</v>
      </c>
      <c r="Q609" s="5" t="s">
        <v>86</v>
      </c>
      <c r="R609" s="5" t="s">
        <v>86</v>
      </c>
      <c r="T609" s="390">
        <v>3</v>
      </c>
      <c r="U609" s="5" t="s">
        <v>97</v>
      </c>
      <c r="W609" s="5" t="s">
        <v>2468</v>
      </c>
      <c r="X609" s="5" t="s">
        <v>102</v>
      </c>
      <c r="AA609" s="5" t="s">
        <v>86</v>
      </c>
      <c r="AH609" s="1430" t="s">
        <v>86</v>
      </c>
      <c r="AY609" s="1430" t="s">
        <v>86</v>
      </c>
      <c r="BN609" s="1430" t="s">
        <v>86</v>
      </c>
      <c r="CF609" s="1442" t="str">
        <f>IF([1]!sommaire[[#This Row],[présence des personnes déplacés interne]]="Oui","1","0")</f>
        <v>0</v>
      </c>
      <c r="CG609" s="1442" t="str">
        <f>IF([1]!sommaire[[#This Row],[présence Réfugié hors camp]]="Oui","1","0")</f>
        <v>0</v>
      </c>
      <c r="CH609" s="1442" t="str">
        <f>IF([1]!sommaire[[#This Row],[présence personnes retournées]]="Oui","1","0")</f>
        <v>0</v>
      </c>
      <c r="CI609" s="1442">
        <f>[1]!sommaire[[#This Row],[Flag PDI]]+[1]!sommaire[[#This Row],[Flag REF]]+[1]!sommaire[[#This Row],[Flag RET]]</f>
        <v>0</v>
      </c>
    </row>
    <row r="610" spans="1:87" ht="14.55" customHeight="1" x14ac:dyDescent="0.3">
      <c r="A610" s="390">
        <v>2666000</v>
      </c>
      <c r="B610" s="5" t="s">
        <v>533</v>
      </c>
      <c r="C610" s="1430" t="s">
        <v>3449</v>
      </c>
      <c r="D610" s="1090" t="s">
        <v>534</v>
      </c>
      <c r="E610" s="5" t="s">
        <v>31</v>
      </c>
      <c r="F610" s="5" t="s">
        <v>31</v>
      </c>
      <c r="G610" s="5" t="s">
        <v>549</v>
      </c>
      <c r="H610" s="5" t="s">
        <v>171</v>
      </c>
      <c r="I610" s="5" t="str">
        <f>_xlfn.XLOOKUP(sommaire[[#This Row],[Arrondissement_code]],OCHA_GIS!$F:$F,OCHA_GIS!$E:$E,,)</f>
        <v>Makary</v>
      </c>
      <c r="J610" s="5" t="s">
        <v>634</v>
      </c>
      <c r="K610" t="s">
        <v>934</v>
      </c>
      <c r="L610" s="5" t="s">
        <v>2064</v>
      </c>
      <c r="N610" s="5" t="s">
        <v>3053</v>
      </c>
      <c r="O610" s="5" t="s">
        <v>2467</v>
      </c>
      <c r="P610" s="5" t="s">
        <v>85</v>
      </c>
      <c r="Q610" s="5" t="s">
        <v>86</v>
      </c>
      <c r="R610" s="5" t="s">
        <v>86</v>
      </c>
      <c r="T610" s="390">
        <v>3</v>
      </c>
      <c r="U610" s="5" t="s">
        <v>97</v>
      </c>
      <c r="W610" s="5" t="s">
        <v>2468</v>
      </c>
      <c r="X610" s="5" t="s">
        <v>102</v>
      </c>
      <c r="AA610" s="5" t="s">
        <v>85</v>
      </c>
      <c r="AB610" s="5" t="s">
        <v>2469</v>
      </c>
      <c r="AC610" s="5" t="s">
        <v>2470</v>
      </c>
      <c r="AD610" s="1090" t="s">
        <v>86</v>
      </c>
      <c r="AF610" s="5">
        <v>40</v>
      </c>
      <c r="AG610" s="5">
        <v>1275</v>
      </c>
      <c r="AH610" s="5" t="s">
        <v>85</v>
      </c>
      <c r="AI610" s="5" t="s">
        <v>2471</v>
      </c>
      <c r="AJ610" s="5">
        <v>40</v>
      </c>
      <c r="AK610" s="5">
        <v>670</v>
      </c>
      <c r="AL610" s="5">
        <v>220</v>
      </c>
      <c r="AM610" s="5">
        <v>450</v>
      </c>
      <c r="AN610" s="5">
        <v>20</v>
      </c>
      <c r="AO610" s="5">
        <v>14</v>
      </c>
      <c r="AP610" s="5">
        <v>4</v>
      </c>
      <c r="AQ610" s="5">
        <v>2</v>
      </c>
      <c r="AR610" s="5" t="s">
        <v>2477</v>
      </c>
      <c r="AT610" s="5">
        <v>0</v>
      </c>
      <c r="AU610" s="5">
        <v>0</v>
      </c>
      <c r="AX610" s="5">
        <v>0</v>
      </c>
      <c r="AY610" s="5" t="s">
        <v>85</v>
      </c>
      <c r="AZ610" s="5">
        <v>5</v>
      </c>
      <c r="BA610" s="5">
        <v>58</v>
      </c>
      <c r="BB610" s="5">
        <v>27</v>
      </c>
      <c r="BC610" s="5">
        <v>31</v>
      </c>
      <c r="BD610" s="5">
        <v>5</v>
      </c>
      <c r="BE610" s="5">
        <v>0</v>
      </c>
      <c r="BF610" s="5">
        <v>0</v>
      </c>
      <c r="BH610" s="5">
        <v>0</v>
      </c>
      <c r="BI610" s="5">
        <v>0</v>
      </c>
      <c r="BL610" s="5">
        <v>0</v>
      </c>
      <c r="BM610" s="5">
        <v>5</v>
      </c>
      <c r="BN610" s="5" t="s">
        <v>85</v>
      </c>
      <c r="BO610" s="5">
        <v>20</v>
      </c>
      <c r="BP610" s="5">
        <v>102</v>
      </c>
      <c r="BQ610" s="5">
        <v>33</v>
      </c>
      <c r="BR610" s="5">
        <v>69</v>
      </c>
      <c r="BS610" s="5" t="s">
        <v>2492</v>
      </c>
      <c r="BT610" s="5">
        <v>5</v>
      </c>
      <c r="BU610" s="5">
        <v>5</v>
      </c>
      <c r="BV610" s="5">
        <v>10</v>
      </c>
      <c r="BW610" s="5">
        <v>0</v>
      </c>
      <c r="BX610" s="5">
        <v>0</v>
      </c>
      <c r="BZ610" s="5">
        <v>0</v>
      </c>
      <c r="CA610" s="5">
        <v>0</v>
      </c>
      <c r="CC610" s="5">
        <v>0</v>
      </c>
      <c r="CD610" s="5">
        <v>0</v>
      </c>
      <c r="CF610" s="1442" t="str">
        <f>IF([1]!sommaire[[#This Row],[présence des personnes déplacés interne]]="Oui","1","0")</f>
        <v>1</v>
      </c>
      <c r="CG610" s="1442" t="str">
        <f>IF([1]!sommaire[[#This Row],[présence Réfugié hors camp]]="Oui","1","0")</f>
        <v>1</v>
      </c>
      <c r="CH610" s="1442" t="str">
        <f>IF([1]!sommaire[[#This Row],[présence personnes retournées]]="Oui","1","0")</f>
        <v>1</v>
      </c>
      <c r="CI610" s="1442">
        <f>[1]!sommaire[[#This Row],[Flag PDI]]+[1]!sommaire[[#This Row],[Flag REF]]+[1]!sommaire[[#This Row],[Flag RET]]</f>
        <v>3</v>
      </c>
    </row>
    <row r="611" spans="1:87" ht="14.55" customHeight="1" x14ac:dyDescent="0.3">
      <c r="A611" s="390">
        <v>2650790</v>
      </c>
      <c r="B611" s="5" t="s">
        <v>533</v>
      </c>
      <c r="C611" s="1430" t="s">
        <v>3449</v>
      </c>
      <c r="D611" s="1090" t="s">
        <v>534</v>
      </c>
      <c r="E611" s="5" t="s">
        <v>31</v>
      </c>
      <c r="F611" s="5" t="s">
        <v>31</v>
      </c>
      <c r="G611" s="5" t="s">
        <v>549</v>
      </c>
      <c r="H611" s="5" t="s">
        <v>171</v>
      </c>
      <c r="I611" s="5" t="str">
        <f>_xlfn.XLOOKUP(sommaire[[#This Row],[Arrondissement_code]],OCHA_GIS!$F:$F,OCHA_GIS!$E:$E,,)</f>
        <v>Makary</v>
      </c>
      <c r="J611" s="5" t="s">
        <v>634</v>
      </c>
      <c r="K611" t="s">
        <v>2938</v>
      </c>
      <c r="L611" s="5" t="s">
        <v>1893</v>
      </c>
      <c r="N611" s="5" t="s">
        <v>3053</v>
      </c>
      <c r="O611" s="5" t="s">
        <v>2467</v>
      </c>
      <c r="P611" s="5" t="s">
        <v>85</v>
      </c>
      <c r="Q611" s="5" t="s">
        <v>86</v>
      </c>
      <c r="R611" s="5" t="s">
        <v>86</v>
      </c>
      <c r="T611" s="390">
        <v>3</v>
      </c>
      <c r="U611" s="5" t="s">
        <v>97</v>
      </c>
      <c r="W611" s="5" t="s">
        <v>2468</v>
      </c>
      <c r="X611" s="5" t="s">
        <v>102</v>
      </c>
      <c r="AA611" s="5" t="s">
        <v>85</v>
      </c>
      <c r="AB611" s="5" t="s">
        <v>2469</v>
      </c>
      <c r="AC611" s="5" t="s">
        <v>2473</v>
      </c>
      <c r="AD611" s="5" t="s">
        <v>86</v>
      </c>
      <c r="AF611" s="5">
        <v>20</v>
      </c>
      <c r="AG611" s="5">
        <v>440</v>
      </c>
      <c r="AH611" s="5" t="s">
        <v>85</v>
      </c>
      <c r="AI611" s="5" t="s">
        <v>2471</v>
      </c>
      <c r="AJ611" s="5">
        <v>20</v>
      </c>
      <c r="AK611" s="5">
        <v>202</v>
      </c>
      <c r="AL611" s="5">
        <v>127</v>
      </c>
      <c r="AM611" s="5">
        <v>75</v>
      </c>
      <c r="AN611" s="5">
        <v>4</v>
      </c>
      <c r="AO611" s="5">
        <v>6</v>
      </c>
      <c r="AP611" s="5">
        <v>0</v>
      </c>
      <c r="AQ611" s="5">
        <v>0</v>
      </c>
      <c r="AT611" s="5">
        <v>0</v>
      </c>
      <c r="AU611" s="5">
        <v>10</v>
      </c>
      <c r="AV611" s="5" t="s">
        <v>2490</v>
      </c>
      <c r="AX611" s="5">
        <v>0</v>
      </c>
      <c r="AY611" s="5" t="s">
        <v>86</v>
      </c>
      <c r="BN611" s="5" t="s">
        <v>86</v>
      </c>
      <c r="CD611" s="5">
        <v>0</v>
      </c>
      <c r="CF611" s="1442" t="str">
        <f>IF([1]!sommaire[[#This Row],[présence des personnes déplacés interne]]="Oui","1","0")</f>
        <v>1</v>
      </c>
      <c r="CG611" s="1442" t="str">
        <f>IF([1]!sommaire[[#This Row],[présence Réfugié hors camp]]="Oui","1","0")</f>
        <v>0</v>
      </c>
      <c r="CH611" s="1442" t="str">
        <f>IF([1]!sommaire[[#This Row],[présence personnes retournées]]="Oui","1","0")</f>
        <v>0</v>
      </c>
      <c r="CI611" s="1442">
        <f>[1]!sommaire[[#This Row],[Flag PDI]]+[1]!sommaire[[#This Row],[Flag REF]]+[1]!sommaire[[#This Row],[Flag RET]]</f>
        <v>1</v>
      </c>
    </row>
    <row r="612" spans="1:87" ht="14.55" customHeight="1" x14ac:dyDescent="0.3">
      <c r="A612" s="390">
        <v>2650789</v>
      </c>
      <c r="B612" s="5" t="s">
        <v>533</v>
      </c>
      <c r="C612" s="1430" t="s">
        <v>3449</v>
      </c>
      <c r="D612" s="1090" t="s">
        <v>534</v>
      </c>
      <c r="E612" s="5" t="s">
        <v>31</v>
      </c>
      <c r="F612" s="5" t="s">
        <v>31</v>
      </c>
      <c r="G612" s="5" t="s">
        <v>549</v>
      </c>
      <c r="H612" s="5" t="s">
        <v>171</v>
      </c>
      <c r="I612" s="5" t="str">
        <f>_xlfn.XLOOKUP(sommaire[[#This Row],[Arrondissement_code]],OCHA_GIS!$F:$F,OCHA_GIS!$E:$E,,)</f>
        <v>Makary</v>
      </c>
      <c r="J612" s="5" t="s">
        <v>634</v>
      </c>
      <c r="K612" t="s">
        <v>2625</v>
      </c>
      <c r="L612" s="5" t="s">
        <v>1822</v>
      </c>
      <c r="N612" s="5" t="s">
        <v>3053</v>
      </c>
      <c r="O612" s="5" t="s">
        <v>2467</v>
      </c>
      <c r="P612" s="5" t="s">
        <v>85</v>
      </c>
      <c r="Q612" s="5" t="s">
        <v>86</v>
      </c>
      <c r="R612" s="5" t="s">
        <v>86</v>
      </c>
      <c r="T612" s="390">
        <v>3</v>
      </c>
      <c r="U612" s="5" t="s">
        <v>97</v>
      </c>
      <c r="W612" s="5" t="s">
        <v>2468</v>
      </c>
      <c r="X612" s="5" t="s">
        <v>102</v>
      </c>
      <c r="AA612" s="5" t="s">
        <v>85</v>
      </c>
      <c r="AB612" s="5" t="s">
        <v>2469</v>
      </c>
      <c r="AC612" s="5" t="s">
        <v>2470</v>
      </c>
      <c r="AD612" s="1090" t="s">
        <v>86</v>
      </c>
      <c r="AF612" s="5">
        <v>60</v>
      </c>
      <c r="AG612" s="5">
        <v>4072</v>
      </c>
      <c r="AH612" s="5" t="s">
        <v>85</v>
      </c>
      <c r="AI612" s="5" t="s">
        <v>2471</v>
      </c>
      <c r="AJ612" s="5">
        <v>60</v>
      </c>
      <c r="AK612" s="5">
        <v>462</v>
      </c>
      <c r="AL612" s="5">
        <v>349</v>
      </c>
      <c r="AM612" s="5">
        <v>113</v>
      </c>
      <c r="AN612" s="5">
        <v>10</v>
      </c>
      <c r="AO612" s="5">
        <v>40</v>
      </c>
      <c r="AP612" s="5">
        <v>10</v>
      </c>
      <c r="AQ612" s="5">
        <v>0</v>
      </c>
      <c r="AT612" s="5">
        <v>0</v>
      </c>
      <c r="AU612" s="5">
        <v>0</v>
      </c>
      <c r="AX612" s="5">
        <v>0</v>
      </c>
      <c r="AY612" s="5" t="s">
        <v>86</v>
      </c>
      <c r="BN612" s="5" t="s">
        <v>86</v>
      </c>
      <c r="CD612" s="5">
        <v>0</v>
      </c>
      <c r="CF612" s="1442" t="str">
        <f>IF([1]!sommaire[[#This Row],[présence des personnes déplacés interne]]="Oui","1","0")</f>
        <v>1</v>
      </c>
      <c r="CG612" s="1442" t="str">
        <f>IF([1]!sommaire[[#This Row],[présence Réfugié hors camp]]="Oui","1","0")</f>
        <v>0</v>
      </c>
      <c r="CH612" s="1442" t="str">
        <f>IF([1]!sommaire[[#This Row],[présence personnes retournées]]="Oui","1","0")</f>
        <v>0</v>
      </c>
      <c r="CI612" s="1442">
        <f>[1]!sommaire[[#This Row],[Flag PDI]]+[1]!sommaire[[#This Row],[Flag REF]]+[1]!sommaire[[#This Row],[Flag RET]]</f>
        <v>1</v>
      </c>
    </row>
    <row r="613" spans="1:87" ht="14.55" customHeight="1" x14ac:dyDescent="0.3">
      <c r="A613" s="390">
        <v>2592223</v>
      </c>
      <c r="B613" s="5" t="s">
        <v>533</v>
      </c>
      <c r="C613" s="1430" t="s">
        <v>3449</v>
      </c>
      <c r="D613" s="1090" t="s">
        <v>534</v>
      </c>
      <c r="E613" s="5" t="s">
        <v>31</v>
      </c>
      <c r="F613" s="5" t="s">
        <v>31</v>
      </c>
      <c r="G613" s="5" t="s">
        <v>549</v>
      </c>
      <c r="H613" s="5" t="s">
        <v>171</v>
      </c>
      <c r="I613" s="5" t="str">
        <f>_xlfn.XLOOKUP(sommaire[[#This Row],[Arrondissement_code]],OCHA_GIS!$F:$F,OCHA_GIS!$E:$E,,)</f>
        <v>Makary</v>
      </c>
      <c r="J613" s="5" t="s">
        <v>634</v>
      </c>
      <c r="K613" t="s">
        <v>1852</v>
      </c>
      <c r="L613" s="5" t="s">
        <v>1047</v>
      </c>
      <c r="N613" s="5" t="s">
        <v>3053</v>
      </c>
      <c r="O613" s="5" t="s">
        <v>2467</v>
      </c>
      <c r="P613" s="5" t="s">
        <v>85</v>
      </c>
      <c r="Q613" s="5" t="s">
        <v>86</v>
      </c>
      <c r="R613" s="5" t="s">
        <v>86</v>
      </c>
      <c r="T613" s="390">
        <v>3</v>
      </c>
      <c r="U613" s="5" t="s">
        <v>97</v>
      </c>
      <c r="W613" s="5" t="s">
        <v>2468</v>
      </c>
      <c r="X613" s="1090" t="s">
        <v>102</v>
      </c>
      <c r="AA613" s="1090" t="s">
        <v>85</v>
      </c>
      <c r="AB613" s="5" t="s">
        <v>2469</v>
      </c>
      <c r="AC613" s="5" t="s">
        <v>2470</v>
      </c>
      <c r="AD613" s="5" t="s">
        <v>86</v>
      </c>
      <c r="AF613" s="5">
        <v>24</v>
      </c>
      <c r="AG613" s="5">
        <v>2615</v>
      </c>
      <c r="AH613" s="5" t="s">
        <v>85</v>
      </c>
      <c r="AI613" s="5" t="s">
        <v>2471</v>
      </c>
      <c r="AJ613" s="5">
        <v>24</v>
      </c>
      <c r="AK613" s="5">
        <v>347</v>
      </c>
      <c r="AL613" s="5">
        <v>204</v>
      </c>
      <c r="AM613" s="5">
        <v>143</v>
      </c>
      <c r="AN613" s="5">
        <v>0</v>
      </c>
      <c r="AO613" s="5">
        <v>24</v>
      </c>
      <c r="AP613" s="5">
        <v>0</v>
      </c>
      <c r="AQ613" s="5">
        <v>0</v>
      </c>
      <c r="AT613" s="5">
        <v>0</v>
      </c>
      <c r="AU613" s="5">
        <v>0</v>
      </c>
      <c r="AX613" s="5">
        <v>0</v>
      </c>
      <c r="AY613" s="1090" t="s">
        <v>86</v>
      </c>
      <c r="BN613" s="1090" t="s">
        <v>86</v>
      </c>
      <c r="CD613" s="5">
        <v>0</v>
      </c>
      <c r="CF613" s="1442" t="str">
        <f>IF([1]!sommaire[[#This Row],[présence des personnes déplacés interne]]="Oui","1","0")</f>
        <v>1</v>
      </c>
      <c r="CG613" s="1442" t="str">
        <f>IF([1]!sommaire[[#This Row],[présence Réfugié hors camp]]="Oui","1","0")</f>
        <v>0</v>
      </c>
      <c r="CH613" s="1442" t="str">
        <f>IF([1]!sommaire[[#This Row],[présence personnes retournées]]="Oui","1","0")</f>
        <v>0</v>
      </c>
      <c r="CI613" s="1442">
        <f>[1]!sommaire[[#This Row],[Flag PDI]]+[1]!sommaire[[#This Row],[Flag REF]]+[1]!sommaire[[#This Row],[Flag RET]]</f>
        <v>1</v>
      </c>
    </row>
    <row r="614" spans="1:87" ht="14.55" customHeight="1" x14ac:dyDescent="0.3">
      <c r="A614" s="390">
        <v>2602651</v>
      </c>
      <c r="B614" s="5" t="s">
        <v>533</v>
      </c>
      <c r="C614" s="1430" t="s">
        <v>3449</v>
      </c>
      <c r="D614" s="1090" t="s">
        <v>534</v>
      </c>
      <c r="E614" s="5" t="s">
        <v>31</v>
      </c>
      <c r="F614" s="5" t="s">
        <v>31</v>
      </c>
      <c r="G614" s="5" t="s">
        <v>549</v>
      </c>
      <c r="H614" s="5" t="s">
        <v>171</v>
      </c>
      <c r="I614" s="5" t="str">
        <f>_xlfn.XLOOKUP(sommaire[[#This Row],[Arrondissement_code]],OCHA_GIS!$F:$F,OCHA_GIS!$E:$E,,)</f>
        <v>Makary</v>
      </c>
      <c r="J614" s="5" t="s">
        <v>634</v>
      </c>
      <c r="K614" t="s">
        <v>2600</v>
      </c>
      <c r="L614" s="5" t="s">
        <v>1803</v>
      </c>
      <c r="N614" s="5" t="s">
        <v>3053</v>
      </c>
      <c r="O614" s="5" t="s">
        <v>2467</v>
      </c>
      <c r="P614" s="5" t="s">
        <v>85</v>
      </c>
      <c r="Q614" s="5" t="s">
        <v>86</v>
      </c>
      <c r="R614" s="5" t="s">
        <v>86</v>
      </c>
      <c r="T614" s="390">
        <v>3</v>
      </c>
      <c r="U614" s="5" t="s">
        <v>97</v>
      </c>
      <c r="W614" s="5" t="s">
        <v>2468</v>
      </c>
      <c r="X614" s="5" t="s">
        <v>103</v>
      </c>
      <c r="Y614" s="5" t="s">
        <v>2476</v>
      </c>
      <c r="AA614" s="586" t="s">
        <v>85</v>
      </c>
      <c r="AB614" s="5" t="s">
        <v>2469</v>
      </c>
      <c r="AC614" s="5" t="s">
        <v>2470</v>
      </c>
      <c r="AD614" s="5" t="s">
        <v>86</v>
      </c>
      <c r="AF614" s="5">
        <v>16</v>
      </c>
      <c r="AG614" s="5">
        <v>204</v>
      </c>
      <c r="AH614" s="5" t="s">
        <v>85</v>
      </c>
      <c r="AI614" s="5" t="s">
        <v>2471</v>
      </c>
      <c r="AJ614" s="5">
        <v>16</v>
      </c>
      <c r="AK614" s="5">
        <v>120</v>
      </c>
      <c r="AL614" s="5">
        <v>54</v>
      </c>
      <c r="AM614" s="5">
        <v>66</v>
      </c>
      <c r="AN614" s="5">
        <v>5</v>
      </c>
      <c r="AO614" s="5">
        <v>11</v>
      </c>
      <c r="AP614" s="5">
        <v>0</v>
      </c>
      <c r="AQ614" s="5">
        <v>0</v>
      </c>
      <c r="AT614" s="5">
        <v>0</v>
      </c>
      <c r="AU614" s="5">
        <v>0</v>
      </c>
      <c r="AX614" s="5">
        <v>0</v>
      </c>
      <c r="AY614" s="5" t="s">
        <v>86</v>
      </c>
      <c r="BN614" s="5" t="s">
        <v>85</v>
      </c>
      <c r="BO614" s="5">
        <v>1</v>
      </c>
      <c r="BP614" s="5">
        <v>3</v>
      </c>
      <c r="BQ614" s="5">
        <v>0</v>
      </c>
      <c r="BR614" s="5">
        <v>3</v>
      </c>
      <c r="BS614" s="5" t="s">
        <v>2484</v>
      </c>
      <c r="BT614" s="5">
        <v>0</v>
      </c>
      <c r="BU614" s="5">
        <v>0</v>
      </c>
      <c r="BV614" s="5">
        <v>1</v>
      </c>
      <c r="BW614" s="5">
        <v>0</v>
      </c>
      <c r="BX614" s="5">
        <v>0</v>
      </c>
      <c r="BZ614" s="5">
        <v>0</v>
      </c>
      <c r="CA614" s="5">
        <v>0</v>
      </c>
      <c r="CC614" s="5">
        <v>0</v>
      </c>
      <c r="CD614" s="5">
        <v>0</v>
      </c>
      <c r="CF614" s="1442" t="str">
        <f>IF([1]!sommaire[[#This Row],[présence des personnes déplacés interne]]="Oui","1","0")</f>
        <v>1</v>
      </c>
      <c r="CG614" s="1442" t="str">
        <f>IF([1]!sommaire[[#This Row],[présence Réfugié hors camp]]="Oui","1","0")</f>
        <v>0</v>
      </c>
      <c r="CH614" s="1442" t="str">
        <f>IF([1]!sommaire[[#This Row],[présence personnes retournées]]="Oui","1","0")</f>
        <v>1</v>
      </c>
      <c r="CI614" s="1442">
        <f>[1]!sommaire[[#This Row],[Flag PDI]]+[1]!sommaire[[#This Row],[Flag REF]]+[1]!sommaire[[#This Row],[Flag RET]]</f>
        <v>2</v>
      </c>
    </row>
    <row r="615" spans="1:87" ht="14.55" customHeight="1" x14ac:dyDescent="0.3">
      <c r="A615" s="390">
        <v>2647171</v>
      </c>
      <c r="B615" s="5" t="s">
        <v>533</v>
      </c>
      <c r="C615" s="1430" t="s">
        <v>3449</v>
      </c>
      <c r="D615" s="1090" t="s">
        <v>534</v>
      </c>
      <c r="E615" s="5" t="s">
        <v>31</v>
      </c>
      <c r="F615" s="5" t="s">
        <v>31</v>
      </c>
      <c r="G615" s="5" t="s">
        <v>549</v>
      </c>
      <c r="H615" s="5" t="s">
        <v>171</v>
      </c>
      <c r="I615" s="5" t="str">
        <f>_xlfn.XLOOKUP(sommaire[[#This Row],[Arrondissement_code]],OCHA_GIS!$F:$F,OCHA_GIS!$E:$E,,)</f>
        <v>Makary</v>
      </c>
      <c r="J615" s="5" t="s">
        <v>634</v>
      </c>
      <c r="K615" t="s">
        <v>1538</v>
      </c>
      <c r="L615" s="5" t="s">
        <v>2615</v>
      </c>
      <c r="N615" s="5" t="s">
        <v>3053</v>
      </c>
      <c r="O615" s="5" t="s">
        <v>2467</v>
      </c>
      <c r="P615" s="5" t="s">
        <v>86</v>
      </c>
      <c r="Q615" s="5" t="s">
        <v>86</v>
      </c>
      <c r="R615" s="5" t="s">
        <v>85</v>
      </c>
      <c r="U615" s="5" t="s">
        <v>97</v>
      </c>
      <c r="W615" s="5" t="s">
        <v>2468</v>
      </c>
      <c r="X615" s="5" t="s">
        <v>103</v>
      </c>
      <c r="Y615" s="5" t="s">
        <v>2476</v>
      </c>
      <c r="AA615" s="5" t="s">
        <v>86</v>
      </c>
      <c r="AH615" s="1430" t="s">
        <v>86</v>
      </c>
      <c r="AY615" s="1430" t="s">
        <v>86</v>
      </c>
      <c r="BN615" s="1430" t="s">
        <v>86</v>
      </c>
      <c r="CF615" s="1442" t="str">
        <f>IF([1]!sommaire[[#This Row],[présence des personnes déplacés interne]]="Oui","1","0")</f>
        <v>0</v>
      </c>
      <c r="CG615" s="1442" t="str">
        <f>IF([1]!sommaire[[#This Row],[présence Réfugié hors camp]]="Oui","1","0")</f>
        <v>0</v>
      </c>
      <c r="CH615" s="1442" t="str">
        <f>IF([1]!sommaire[[#This Row],[présence personnes retournées]]="Oui","1","0")</f>
        <v>0</v>
      </c>
      <c r="CI615" s="1442">
        <f>[1]!sommaire[[#This Row],[Flag PDI]]+[1]!sommaire[[#This Row],[Flag REF]]+[1]!sommaire[[#This Row],[Flag RET]]</f>
        <v>0</v>
      </c>
    </row>
    <row r="616" spans="1:87" ht="14.55" customHeight="1" x14ac:dyDescent="0.3">
      <c r="A616" s="390">
        <v>2614633</v>
      </c>
      <c r="B616" s="5" t="s">
        <v>533</v>
      </c>
      <c r="C616" s="1430" t="s">
        <v>3449</v>
      </c>
      <c r="D616" s="1090" t="s">
        <v>534</v>
      </c>
      <c r="E616" s="5" t="s">
        <v>31</v>
      </c>
      <c r="F616" s="5" t="s">
        <v>31</v>
      </c>
      <c r="G616" s="5" t="s">
        <v>549</v>
      </c>
      <c r="H616" s="5" t="s">
        <v>171</v>
      </c>
      <c r="I616" s="5" t="str">
        <f>_xlfn.XLOOKUP(sommaire[[#This Row],[Arrondissement_code]],OCHA_GIS!$F:$F,OCHA_GIS!$E:$E,,)</f>
        <v>Makary</v>
      </c>
      <c r="J616" s="5" t="s">
        <v>634</v>
      </c>
      <c r="K616" t="s">
        <v>917</v>
      </c>
      <c r="L616" s="5" t="s">
        <v>1921</v>
      </c>
      <c r="N616" s="5" t="s">
        <v>3053</v>
      </c>
      <c r="O616" s="5" t="s">
        <v>2467</v>
      </c>
      <c r="P616" s="5" t="s">
        <v>85</v>
      </c>
      <c r="Q616" s="5" t="s">
        <v>86</v>
      </c>
      <c r="R616" s="5" t="s">
        <v>86</v>
      </c>
      <c r="T616" s="390">
        <v>4</v>
      </c>
      <c r="U616" s="5" t="s">
        <v>97</v>
      </c>
      <c r="W616" s="5" t="s">
        <v>2468</v>
      </c>
      <c r="X616" s="5" t="s">
        <v>103</v>
      </c>
      <c r="Y616" s="5" t="s">
        <v>2476</v>
      </c>
      <c r="AA616" s="5" t="s">
        <v>85</v>
      </c>
      <c r="AB616" s="5" t="s">
        <v>2469</v>
      </c>
      <c r="AC616" s="5" t="s">
        <v>2470</v>
      </c>
      <c r="AD616" s="5" t="s">
        <v>86</v>
      </c>
      <c r="AF616" s="5">
        <v>23</v>
      </c>
      <c r="AG616" s="5">
        <v>491</v>
      </c>
      <c r="AH616" s="5" t="s">
        <v>85</v>
      </c>
      <c r="AI616" s="5" t="s">
        <v>2471</v>
      </c>
      <c r="AJ616" s="5">
        <v>23</v>
      </c>
      <c r="AK616" s="5">
        <v>231</v>
      </c>
      <c r="AL616" s="5">
        <v>81</v>
      </c>
      <c r="AM616" s="5">
        <v>150</v>
      </c>
      <c r="AN616" s="5">
        <v>0</v>
      </c>
      <c r="AO616" s="5">
        <v>23</v>
      </c>
      <c r="AP616" s="5">
        <v>0</v>
      </c>
      <c r="AQ616" s="5">
        <v>0</v>
      </c>
      <c r="AT616" s="5">
        <v>0</v>
      </c>
      <c r="AU616" s="5">
        <v>0</v>
      </c>
      <c r="AX616" s="5">
        <v>0</v>
      </c>
      <c r="AY616" s="5" t="s">
        <v>86</v>
      </c>
      <c r="BN616" s="5" t="s">
        <v>86</v>
      </c>
      <c r="CD616" s="5">
        <v>0</v>
      </c>
      <c r="CF616" s="1442" t="str">
        <f>IF([1]!sommaire[[#This Row],[présence des personnes déplacés interne]]="Oui","1","0")</f>
        <v>1</v>
      </c>
      <c r="CG616" s="1442" t="str">
        <f>IF([1]!sommaire[[#This Row],[présence Réfugié hors camp]]="Oui","1","0")</f>
        <v>0</v>
      </c>
      <c r="CH616" s="1442" t="str">
        <f>IF([1]!sommaire[[#This Row],[présence personnes retournées]]="Oui","1","0")</f>
        <v>0</v>
      </c>
      <c r="CI616" s="1442">
        <f>[1]!sommaire[[#This Row],[Flag PDI]]+[1]!sommaire[[#This Row],[Flag REF]]+[1]!sommaire[[#This Row],[Flag RET]]</f>
        <v>1</v>
      </c>
    </row>
    <row r="617" spans="1:87" ht="14.55" customHeight="1" x14ac:dyDescent="0.3">
      <c r="A617" s="390">
        <v>2658583</v>
      </c>
      <c r="B617" s="5" t="s">
        <v>533</v>
      </c>
      <c r="C617" s="1430" t="s">
        <v>3449</v>
      </c>
      <c r="D617" s="5" t="s">
        <v>534</v>
      </c>
      <c r="E617" s="5" t="s">
        <v>31</v>
      </c>
      <c r="F617" s="5" t="s">
        <v>31</v>
      </c>
      <c r="G617" s="5" t="s">
        <v>549</v>
      </c>
      <c r="H617" s="5" t="s">
        <v>171</v>
      </c>
      <c r="I617" s="5" t="str">
        <f>_xlfn.XLOOKUP(sommaire[[#This Row],[Arrondissement_code]],OCHA_GIS!$F:$F,OCHA_GIS!$E:$E,,)</f>
        <v>Makary</v>
      </c>
      <c r="J617" s="5" t="s">
        <v>634</v>
      </c>
      <c r="K617" t="s">
        <v>1252</v>
      </c>
      <c r="L617" s="5" t="s">
        <v>2019</v>
      </c>
      <c r="N617" s="5" t="s">
        <v>3053</v>
      </c>
      <c r="O617" s="5" t="s">
        <v>2467</v>
      </c>
      <c r="P617" s="5" t="s">
        <v>85</v>
      </c>
      <c r="Q617" s="5" t="s">
        <v>86</v>
      </c>
      <c r="R617" s="5" t="s">
        <v>86</v>
      </c>
      <c r="T617" s="390">
        <v>3</v>
      </c>
      <c r="U617" s="5" t="s">
        <v>97</v>
      </c>
      <c r="W617" s="5" t="s">
        <v>2468</v>
      </c>
      <c r="X617" s="5" t="s">
        <v>102</v>
      </c>
      <c r="AA617" s="5" t="s">
        <v>85</v>
      </c>
      <c r="AB617" s="5" t="s">
        <v>2469</v>
      </c>
      <c r="AC617" s="5" t="s">
        <v>2470</v>
      </c>
      <c r="AD617" s="5" t="s">
        <v>86</v>
      </c>
      <c r="AF617" s="5">
        <v>47</v>
      </c>
      <c r="AG617" s="5">
        <v>1555</v>
      </c>
      <c r="AH617" s="5" t="s">
        <v>85</v>
      </c>
      <c r="AI617" s="5" t="s">
        <v>2471</v>
      </c>
      <c r="AJ617" s="5">
        <v>47</v>
      </c>
      <c r="AK617" s="5">
        <v>440</v>
      </c>
      <c r="AL617" s="5">
        <v>224</v>
      </c>
      <c r="AM617" s="5">
        <v>216</v>
      </c>
      <c r="AN617" s="5">
        <v>0</v>
      </c>
      <c r="AO617" s="5">
        <v>47</v>
      </c>
      <c r="AP617" s="5">
        <v>0</v>
      </c>
      <c r="AQ617" s="5">
        <v>0</v>
      </c>
      <c r="AT617" s="5">
        <v>0</v>
      </c>
      <c r="AU617" s="5">
        <v>0</v>
      </c>
      <c r="AX617" s="5">
        <v>0</v>
      </c>
      <c r="AY617" s="5" t="s">
        <v>86</v>
      </c>
      <c r="BN617" s="5" t="s">
        <v>86</v>
      </c>
      <c r="CD617" s="5">
        <v>0</v>
      </c>
      <c r="CF617" s="1442" t="str">
        <f>IF([1]!sommaire[[#This Row],[présence des personnes déplacés interne]]="Oui","1","0")</f>
        <v>1</v>
      </c>
      <c r="CG617" s="1442" t="str">
        <f>IF([1]!sommaire[[#This Row],[présence Réfugié hors camp]]="Oui","1","0")</f>
        <v>0</v>
      </c>
      <c r="CH617" s="1442" t="str">
        <f>IF([1]!sommaire[[#This Row],[présence personnes retournées]]="Oui","1","0")</f>
        <v>0</v>
      </c>
      <c r="CI617" s="1442">
        <f>[1]!sommaire[[#This Row],[Flag PDI]]+[1]!sommaire[[#This Row],[Flag REF]]+[1]!sommaire[[#This Row],[Flag RET]]</f>
        <v>1</v>
      </c>
    </row>
    <row r="618" spans="1:87" ht="14.55" customHeight="1" x14ac:dyDescent="0.3">
      <c r="A618" s="390">
        <v>2631796</v>
      </c>
      <c r="B618" s="5" t="s">
        <v>533</v>
      </c>
      <c r="C618" s="1430" t="s">
        <v>3449</v>
      </c>
      <c r="D618" s="1090" t="s">
        <v>534</v>
      </c>
      <c r="E618" s="5" t="s">
        <v>31</v>
      </c>
      <c r="F618" s="5" t="s">
        <v>31</v>
      </c>
      <c r="G618" s="5" t="s">
        <v>549</v>
      </c>
      <c r="H618" s="5" t="s">
        <v>171</v>
      </c>
      <c r="I618" s="5" t="str">
        <f>_xlfn.XLOOKUP(sommaire[[#This Row],[Arrondissement_code]],OCHA_GIS!$F:$F,OCHA_GIS!$E:$E,,)</f>
        <v>Makary</v>
      </c>
      <c r="J618" s="5" t="s">
        <v>634</v>
      </c>
      <c r="K618" t="s">
        <v>1827</v>
      </c>
      <c r="L618" s="5" t="s">
        <v>2617</v>
      </c>
      <c r="N618" s="5" t="s">
        <v>3053</v>
      </c>
      <c r="O618" s="5" t="s">
        <v>2467</v>
      </c>
      <c r="P618" s="5" t="s">
        <v>86</v>
      </c>
      <c r="Q618" s="5" t="s">
        <v>86</v>
      </c>
      <c r="R618" s="5" t="s">
        <v>85</v>
      </c>
      <c r="U618" s="5" t="s">
        <v>98</v>
      </c>
      <c r="W618" s="5" t="s">
        <v>2482</v>
      </c>
      <c r="AA618" s="5" t="s">
        <v>86</v>
      </c>
      <c r="AH618" s="1430" t="s">
        <v>86</v>
      </c>
      <c r="AY618" s="1430" t="s">
        <v>86</v>
      </c>
      <c r="BN618" s="1430" t="s">
        <v>86</v>
      </c>
      <c r="CF618" s="1442" t="str">
        <f>IF([1]!sommaire[[#This Row],[présence des personnes déplacés interne]]="Oui","1","0")</f>
        <v>0</v>
      </c>
      <c r="CG618" s="1442" t="str">
        <f>IF([1]!sommaire[[#This Row],[présence Réfugié hors camp]]="Oui","1","0")</f>
        <v>0</v>
      </c>
      <c r="CH618" s="1442" t="str">
        <f>IF([1]!sommaire[[#This Row],[présence personnes retournées]]="Oui","1","0")</f>
        <v>0</v>
      </c>
      <c r="CI618" s="1442">
        <f>[1]!sommaire[[#This Row],[Flag PDI]]+[1]!sommaire[[#This Row],[Flag REF]]+[1]!sommaire[[#This Row],[Flag RET]]</f>
        <v>0</v>
      </c>
    </row>
    <row r="619" spans="1:87" ht="14.55" customHeight="1" x14ac:dyDescent="0.3">
      <c r="A619" s="390">
        <v>2631798</v>
      </c>
      <c r="B619" s="5" t="s">
        <v>533</v>
      </c>
      <c r="C619" s="1430" t="s">
        <v>3449</v>
      </c>
      <c r="D619" s="1090" t="s">
        <v>534</v>
      </c>
      <c r="E619" s="5" t="s">
        <v>31</v>
      </c>
      <c r="F619" s="5" t="s">
        <v>31</v>
      </c>
      <c r="G619" s="5" t="s">
        <v>549</v>
      </c>
      <c r="H619" s="5" t="s">
        <v>171</v>
      </c>
      <c r="I619" s="5" t="str">
        <f>_xlfn.XLOOKUP(sommaire[[#This Row],[Arrondissement_code]],OCHA_GIS!$F:$F,OCHA_GIS!$E:$E,,)</f>
        <v>Makary</v>
      </c>
      <c r="J619" s="5" t="s">
        <v>634</v>
      </c>
      <c r="K619" t="s">
        <v>2944</v>
      </c>
      <c r="L619" s="5" t="s">
        <v>2619</v>
      </c>
      <c r="N619" s="5" t="s">
        <v>3053</v>
      </c>
      <c r="O619" s="5" t="s">
        <v>2467</v>
      </c>
      <c r="P619" s="5" t="s">
        <v>86</v>
      </c>
      <c r="Q619" s="5" t="s">
        <v>86</v>
      </c>
      <c r="R619" s="5" t="s">
        <v>85</v>
      </c>
      <c r="U619" s="5" t="s">
        <v>98</v>
      </c>
      <c r="W619" s="5" t="s">
        <v>2482</v>
      </c>
      <c r="AA619" s="5" t="s">
        <v>86</v>
      </c>
      <c r="AH619" s="1430" t="s">
        <v>86</v>
      </c>
      <c r="AY619" s="1430" t="s">
        <v>86</v>
      </c>
      <c r="BN619" s="1430" t="s">
        <v>86</v>
      </c>
      <c r="CF619" s="1442" t="str">
        <f>IF([1]!sommaire[[#This Row],[présence des personnes déplacés interne]]="Oui","1","0")</f>
        <v>0</v>
      </c>
      <c r="CG619" s="1442" t="str">
        <f>IF([1]!sommaire[[#This Row],[présence Réfugié hors camp]]="Oui","1","0")</f>
        <v>0</v>
      </c>
      <c r="CH619" s="1442" t="str">
        <f>IF([1]!sommaire[[#This Row],[présence personnes retournées]]="Oui","1","0")</f>
        <v>0</v>
      </c>
      <c r="CI619" s="1442">
        <f>[1]!sommaire[[#This Row],[Flag PDI]]+[1]!sommaire[[#This Row],[Flag REF]]+[1]!sommaire[[#This Row],[Flag RET]]</f>
        <v>0</v>
      </c>
    </row>
    <row r="620" spans="1:87" ht="14.55" customHeight="1" x14ac:dyDescent="0.3">
      <c r="A620" s="390">
        <v>2631802</v>
      </c>
      <c r="B620" s="5" t="s">
        <v>533</v>
      </c>
      <c r="C620" s="1430" t="s">
        <v>3449</v>
      </c>
      <c r="D620" s="1090" t="s">
        <v>534</v>
      </c>
      <c r="E620" s="5" t="s">
        <v>31</v>
      </c>
      <c r="F620" s="5" t="s">
        <v>31</v>
      </c>
      <c r="G620" s="5" t="s">
        <v>549</v>
      </c>
      <c r="H620" s="5" t="s">
        <v>171</v>
      </c>
      <c r="I620" s="5" t="str">
        <f>_xlfn.XLOOKUP(sommaire[[#This Row],[Arrondissement_code]],OCHA_GIS!$F:$F,OCHA_GIS!$E:$E,,)</f>
        <v>Makary</v>
      </c>
      <c r="J620" s="5" t="s">
        <v>634</v>
      </c>
      <c r="K620" t="s">
        <v>1278</v>
      </c>
      <c r="L620" s="5" t="s">
        <v>1543</v>
      </c>
      <c r="N620" s="5" t="s">
        <v>3053</v>
      </c>
      <c r="O620" s="5" t="s">
        <v>2467</v>
      </c>
      <c r="P620" s="5" t="s">
        <v>85</v>
      </c>
      <c r="Q620" s="5" t="s">
        <v>86</v>
      </c>
      <c r="R620" s="5" t="s">
        <v>86</v>
      </c>
      <c r="T620" s="390">
        <v>3</v>
      </c>
      <c r="U620" s="5" t="s">
        <v>97</v>
      </c>
      <c r="W620" s="5" t="s">
        <v>2468</v>
      </c>
      <c r="X620" s="5" t="s">
        <v>102</v>
      </c>
      <c r="AA620" s="5" t="s">
        <v>85</v>
      </c>
      <c r="AB620" s="5" t="s">
        <v>2469</v>
      </c>
      <c r="AC620" s="5" t="s">
        <v>2470</v>
      </c>
      <c r="AD620" s="5" t="s">
        <v>86</v>
      </c>
      <c r="AF620" s="5">
        <v>24</v>
      </c>
      <c r="AG620" s="5">
        <v>423</v>
      </c>
      <c r="AH620" s="5" t="s">
        <v>85</v>
      </c>
      <c r="AI620" s="5" t="s">
        <v>2471</v>
      </c>
      <c r="AJ620" s="5">
        <v>24</v>
      </c>
      <c r="AK620" s="5">
        <v>182</v>
      </c>
      <c r="AL620" s="5">
        <v>84</v>
      </c>
      <c r="AM620" s="5">
        <v>98</v>
      </c>
      <c r="AN620" s="5">
        <v>0</v>
      </c>
      <c r="AO620" s="5">
        <v>24</v>
      </c>
      <c r="AP620" s="5">
        <v>0</v>
      </c>
      <c r="AQ620" s="5">
        <v>0</v>
      </c>
      <c r="AT620" s="5">
        <v>0</v>
      </c>
      <c r="AU620" s="5">
        <v>0</v>
      </c>
      <c r="AX620" s="5">
        <v>0</v>
      </c>
      <c r="AY620" s="5" t="s">
        <v>85</v>
      </c>
      <c r="AZ620" s="5">
        <v>16</v>
      </c>
      <c r="BA620" s="5">
        <v>83</v>
      </c>
      <c r="BB620" s="5">
        <v>26</v>
      </c>
      <c r="BC620" s="5">
        <v>57</v>
      </c>
      <c r="BD620" s="5">
        <v>16</v>
      </c>
      <c r="BE620" s="5">
        <v>0</v>
      </c>
      <c r="BF620" s="5">
        <v>0</v>
      </c>
      <c r="BH620" s="5">
        <v>0</v>
      </c>
      <c r="BI620" s="5">
        <v>0</v>
      </c>
      <c r="BL620" s="5">
        <v>0</v>
      </c>
      <c r="BM620" s="5">
        <v>0</v>
      </c>
      <c r="BN620" s="5" t="s">
        <v>85</v>
      </c>
      <c r="BO620" s="5">
        <v>30</v>
      </c>
      <c r="BP620" s="5">
        <v>158</v>
      </c>
      <c r="BQ620" s="5">
        <v>67</v>
      </c>
      <c r="BR620" s="5">
        <v>91</v>
      </c>
      <c r="BS620" s="5" t="s">
        <v>2479</v>
      </c>
      <c r="BT620" s="5">
        <v>0</v>
      </c>
      <c r="BU620" s="5">
        <v>20</v>
      </c>
      <c r="BV620" s="5">
        <v>0</v>
      </c>
      <c r="BW620" s="5">
        <v>0</v>
      </c>
      <c r="BX620" s="5">
        <v>0</v>
      </c>
      <c r="BZ620" s="5">
        <v>0</v>
      </c>
      <c r="CA620" s="5">
        <v>10</v>
      </c>
      <c r="CB620" s="5" t="s">
        <v>2474</v>
      </c>
      <c r="CC620" s="5">
        <v>0</v>
      </c>
      <c r="CD620" s="5">
        <v>0</v>
      </c>
      <c r="CF620" s="1442" t="str">
        <f>IF([1]!sommaire[[#This Row],[présence des personnes déplacés interne]]="Oui","1","0")</f>
        <v>1</v>
      </c>
      <c r="CG620" s="1442" t="str">
        <f>IF([1]!sommaire[[#This Row],[présence Réfugié hors camp]]="Oui","1","0")</f>
        <v>1</v>
      </c>
      <c r="CH620" s="1442" t="str">
        <f>IF([1]!sommaire[[#This Row],[présence personnes retournées]]="Oui","1","0")</f>
        <v>1</v>
      </c>
      <c r="CI620" s="1442">
        <f>[1]!sommaire[[#This Row],[Flag PDI]]+[1]!sommaire[[#This Row],[Flag REF]]+[1]!sommaire[[#This Row],[Flag RET]]</f>
        <v>3</v>
      </c>
    </row>
    <row r="621" spans="1:87" ht="14.55" customHeight="1" x14ac:dyDescent="0.3">
      <c r="A621" s="390">
        <v>2626953</v>
      </c>
      <c r="B621" s="5" t="s">
        <v>533</v>
      </c>
      <c r="C621" s="1430" t="s">
        <v>3449</v>
      </c>
      <c r="D621" s="1090" t="s">
        <v>534</v>
      </c>
      <c r="E621" s="5" t="s">
        <v>31</v>
      </c>
      <c r="F621" s="5" t="s">
        <v>31</v>
      </c>
      <c r="G621" s="5" t="s">
        <v>549</v>
      </c>
      <c r="H621" s="5" t="s">
        <v>171</v>
      </c>
      <c r="I621" s="5" t="str">
        <f>_xlfn.XLOOKUP(sommaire[[#This Row],[Arrondissement_code]],OCHA_GIS!$F:$F,OCHA_GIS!$E:$E,,)</f>
        <v>Makary</v>
      </c>
      <c r="J621" s="5" t="s">
        <v>634</v>
      </c>
      <c r="K621" t="s">
        <v>2602</v>
      </c>
      <c r="L621" s="5" t="s">
        <v>2230</v>
      </c>
      <c r="N621" s="5" t="s">
        <v>3053</v>
      </c>
      <c r="O621" s="5" t="s">
        <v>2467</v>
      </c>
      <c r="P621" s="5" t="s">
        <v>85</v>
      </c>
      <c r="Q621" s="5" t="s">
        <v>86</v>
      </c>
      <c r="R621" s="5" t="s">
        <v>86</v>
      </c>
      <c r="T621" s="390">
        <v>3</v>
      </c>
      <c r="U621" s="5" t="s">
        <v>97</v>
      </c>
      <c r="W621" s="5" t="s">
        <v>2468</v>
      </c>
      <c r="X621" s="5" t="s">
        <v>102</v>
      </c>
      <c r="AA621" s="5" t="s">
        <v>86</v>
      </c>
      <c r="AH621" s="1430" t="s">
        <v>86</v>
      </c>
      <c r="AY621" s="1430" t="s">
        <v>86</v>
      </c>
      <c r="BN621" s="1430" t="s">
        <v>86</v>
      </c>
      <c r="CF621" s="1442" t="str">
        <f>IF([1]!sommaire[[#This Row],[présence des personnes déplacés interne]]="Oui","1","0")</f>
        <v>0</v>
      </c>
      <c r="CG621" s="1442" t="str">
        <f>IF([1]!sommaire[[#This Row],[présence Réfugié hors camp]]="Oui","1","0")</f>
        <v>0</v>
      </c>
      <c r="CH621" s="1442" t="str">
        <f>IF([1]!sommaire[[#This Row],[présence personnes retournées]]="Oui","1","0")</f>
        <v>0</v>
      </c>
      <c r="CI621" s="1442">
        <f>[1]!sommaire[[#This Row],[Flag PDI]]+[1]!sommaire[[#This Row],[Flag REF]]+[1]!sommaire[[#This Row],[Flag RET]]</f>
        <v>0</v>
      </c>
    </row>
    <row r="622" spans="1:87" ht="14.55" customHeight="1" x14ac:dyDescent="0.3">
      <c r="A622" s="390">
        <v>2625723</v>
      </c>
      <c r="B622" s="5" t="s">
        <v>533</v>
      </c>
      <c r="C622" s="1430" t="s">
        <v>3449</v>
      </c>
      <c r="D622" s="1090" t="s">
        <v>534</v>
      </c>
      <c r="E622" s="5" t="s">
        <v>31</v>
      </c>
      <c r="F622" s="5" t="s">
        <v>31</v>
      </c>
      <c r="G622" s="5" t="s">
        <v>549</v>
      </c>
      <c r="H622" s="5" t="s">
        <v>171</v>
      </c>
      <c r="I622" s="5" t="str">
        <f>_xlfn.XLOOKUP(sommaire[[#This Row],[Arrondissement_code]],OCHA_GIS!$F:$F,OCHA_GIS!$E:$E,,)</f>
        <v>Makary</v>
      </c>
      <c r="J622" s="5" t="s">
        <v>634</v>
      </c>
      <c r="K622" t="s">
        <v>2063</v>
      </c>
      <c r="L622" s="5" t="s">
        <v>937</v>
      </c>
      <c r="N622" s="5" t="s">
        <v>3053</v>
      </c>
      <c r="O622" s="5" t="s">
        <v>2467</v>
      </c>
      <c r="P622" s="5" t="s">
        <v>85</v>
      </c>
      <c r="Q622" s="5" t="s">
        <v>86</v>
      </c>
      <c r="R622" s="5" t="s">
        <v>86</v>
      </c>
      <c r="T622" s="390">
        <v>3</v>
      </c>
      <c r="U622" s="5" t="s">
        <v>97</v>
      </c>
      <c r="W622" s="5" t="s">
        <v>2468</v>
      </c>
      <c r="X622" s="5" t="s">
        <v>102</v>
      </c>
      <c r="AA622" s="5" t="s">
        <v>85</v>
      </c>
      <c r="AB622" s="5" t="s">
        <v>2469</v>
      </c>
      <c r="AC622" s="5" t="s">
        <v>2470</v>
      </c>
      <c r="AD622" s="5" t="s">
        <v>86</v>
      </c>
      <c r="AF622" s="5">
        <v>4</v>
      </c>
      <c r="AG622" s="5">
        <v>105</v>
      </c>
      <c r="AH622" s="5" t="s">
        <v>85</v>
      </c>
      <c r="AI622" s="5" t="s">
        <v>2471</v>
      </c>
      <c r="AJ622" s="5">
        <v>4</v>
      </c>
      <c r="AK622" s="5">
        <v>20</v>
      </c>
      <c r="AL622" s="5">
        <v>12</v>
      </c>
      <c r="AM622" s="5">
        <v>8</v>
      </c>
      <c r="AN622" s="5">
        <v>0</v>
      </c>
      <c r="AO622" s="5">
        <v>4</v>
      </c>
      <c r="AP622" s="5">
        <v>0</v>
      </c>
      <c r="AQ622" s="5">
        <v>0</v>
      </c>
      <c r="AT622" s="5">
        <v>0</v>
      </c>
      <c r="AU622" s="5">
        <v>0</v>
      </c>
      <c r="AX622" s="5">
        <v>0</v>
      </c>
      <c r="AY622" s="5" t="s">
        <v>85</v>
      </c>
      <c r="AZ622" s="5">
        <v>1</v>
      </c>
      <c r="BA622" s="5">
        <v>6</v>
      </c>
      <c r="BB622" s="5">
        <v>2</v>
      </c>
      <c r="BC622" s="5">
        <v>4</v>
      </c>
      <c r="BD622" s="5">
        <v>1</v>
      </c>
      <c r="BE622" s="5">
        <v>0</v>
      </c>
      <c r="BF622" s="5">
        <v>0</v>
      </c>
      <c r="BH622" s="5">
        <v>0</v>
      </c>
      <c r="BI622" s="5">
        <v>0</v>
      </c>
      <c r="BL622" s="5">
        <v>0</v>
      </c>
      <c r="BM622" s="5">
        <v>0</v>
      </c>
      <c r="BN622" s="5" t="s">
        <v>86</v>
      </c>
      <c r="CD622" s="5">
        <v>0</v>
      </c>
      <c r="CF622" s="1442" t="str">
        <f>IF([1]!sommaire[[#This Row],[présence des personnes déplacés interne]]="Oui","1","0")</f>
        <v>1</v>
      </c>
      <c r="CG622" s="1442" t="str">
        <f>IF([1]!sommaire[[#This Row],[présence Réfugié hors camp]]="Oui","1","0")</f>
        <v>1</v>
      </c>
      <c r="CH622" s="1442" t="str">
        <f>IF([1]!sommaire[[#This Row],[présence personnes retournées]]="Oui","1","0")</f>
        <v>0</v>
      </c>
      <c r="CI622" s="1442">
        <f>[1]!sommaire[[#This Row],[Flag PDI]]+[1]!sommaire[[#This Row],[Flag REF]]+[1]!sommaire[[#This Row],[Flag RET]]</f>
        <v>2</v>
      </c>
    </row>
    <row r="623" spans="1:87" ht="14.55" customHeight="1" x14ac:dyDescent="0.3">
      <c r="A623" s="390">
        <v>2615169</v>
      </c>
      <c r="B623" s="5" t="s">
        <v>533</v>
      </c>
      <c r="C623" s="1430" t="s">
        <v>3449</v>
      </c>
      <c r="D623" s="1090" t="s">
        <v>534</v>
      </c>
      <c r="E623" s="5" t="s">
        <v>31</v>
      </c>
      <c r="F623" s="5" t="s">
        <v>31</v>
      </c>
      <c r="G623" s="5" t="s">
        <v>549</v>
      </c>
      <c r="H623" s="5" t="s">
        <v>171</v>
      </c>
      <c r="I623" s="5" t="str">
        <f>_xlfn.XLOOKUP(sommaire[[#This Row],[Arrondissement_code]],OCHA_GIS!$F:$F,OCHA_GIS!$E:$E,,)</f>
        <v>Makary</v>
      </c>
      <c r="J623" s="5" t="s">
        <v>634</v>
      </c>
      <c r="K623" t="s">
        <v>1046</v>
      </c>
      <c r="L623" s="5" t="s">
        <v>1215</v>
      </c>
      <c r="N623" s="5" t="s">
        <v>3053</v>
      </c>
      <c r="O623" s="5" t="s">
        <v>2467</v>
      </c>
      <c r="P623" s="5" t="s">
        <v>85</v>
      </c>
      <c r="Q623" s="5" t="s">
        <v>86</v>
      </c>
      <c r="R623" s="5" t="s">
        <v>86</v>
      </c>
      <c r="T623" s="390">
        <v>3</v>
      </c>
      <c r="U623" s="5" t="s">
        <v>97</v>
      </c>
      <c r="W623" s="5" t="s">
        <v>2468</v>
      </c>
      <c r="X623" s="5" t="s">
        <v>102</v>
      </c>
      <c r="AA623" s="5" t="s">
        <v>85</v>
      </c>
      <c r="AB623" s="5" t="s">
        <v>2469</v>
      </c>
      <c r="AC623" s="5" t="s">
        <v>2470</v>
      </c>
      <c r="AD623" s="5" t="s">
        <v>86</v>
      </c>
      <c r="AF623" s="5">
        <v>12</v>
      </c>
      <c r="AG623" s="5">
        <v>834</v>
      </c>
      <c r="AH623" s="5" t="s">
        <v>85</v>
      </c>
      <c r="AI623" s="5" t="s">
        <v>2471</v>
      </c>
      <c r="AJ623" s="5">
        <v>12</v>
      </c>
      <c r="AK623" s="5">
        <v>74</v>
      </c>
      <c r="AL623" s="5">
        <v>40</v>
      </c>
      <c r="AM623" s="5">
        <v>34</v>
      </c>
      <c r="AN623" s="5">
        <v>0</v>
      </c>
      <c r="AO623" s="5">
        <v>12</v>
      </c>
      <c r="AP623" s="5">
        <v>0</v>
      </c>
      <c r="AQ623" s="5">
        <v>0</v>
      </c>
      <c r="AT623" s="5">
        <v>0</v>
      </c>
      <c r="AU623" s="5">
        <v>0</v>
      </c>
      <c r="AX623" s="5">
        <v>0</v>
      </c>
      <c r="AY623" s="5" t="s">
        <v>85</v>
      </c>
      <c r="AZ623" s="5">
        <v>13</v>
      </c>
      <c r="BA623" s="5">
        <v>77</v>
      </c>
      <c r="BB623" s="5">
        <v>35</v>
      </c>
      <c r="BC623" s="5">
        <v>42</v>
      </c>
      <c r="BD623" s="5">
        <v>13</v>
      </c>
      <c r="BE623" s="5">
        <v>0</v>
      </c>
      <c r="BF623" s="5">
        <v>0</v>
      </c>
      <c r="BH623" s="5">
        <v>0</v>
      </c>
      <c r="BI623" s="5">
        <v>0</v>
      </c>
      <c r="BL623" s="5">
        <v>0</v>
      </c>
      <c r="BM623" s="5">
        <v>0</v>
      </c>
      <c r="BN623" s="5" t="s">
        <v>85</v>
      </c>
      <c r="BO623" s="5">
        <v>16</v>
      </c>
      <c r="BP623" s="5">
        <v>88</v>
      </c>
      <c r="BQ623" s="5">
        <v>36</v>
      </c>
      <c r="BR623" s="5">
        <v>52</v>
      </c>
      <c r="BS623" s="5" t="s">
        <v>2484</v>
      </c>
      <c r="BT623" s="5">
        <v>16</v>
      </c>
      <c r="BU623" s="5">
        <v>0</v>
      </c>
      <c r="BV623" s="5">
        <v>0</v>
      </c>
      <c r="BW623" s="5">
        <v>0</v>
      </c>
      <c r="BX623" s="5">
        <v>0</v>
      </c>
      <c r="BZ623" s="5">
        <v>0</v>
      </c>
      <c r="CA623" s="5">
        <v>0</v>
      </c>
      <c r="CC623" s="5">
        <v>0</v>
      </c>
      <c r="CD623" s="5">
        <v>0</v>
      </c>
      <c r="CF623" s="1442" t="str">
        <f>IF([1]!sommaire[[#This Row],[présence des personnes déplacés interne]]="Oui","1","0")</f>
        <v>1</v>
      </c>
      <c r="CG623" s="1442" t="str">
        <f>IF([1]!sommaire[[#This Row],[présence Réfugié hors camp]]="Oui","1","0")</f>
        <v>1</v>
      </c>
      <c r="CH623" s="1442" t="str">
        <f>IF([1]!sommaire[[#This Row],[présence personnes retournées]]="Oui","1","0")</f>
        <v>1</v>
      </c>
      <c r="CI623" s="1442">
        <f>[1]!sommaire[[#This Row],[Flag PDI]]+[1]!sommaire[[#This Row],[Flag REF]]+[1]!sommaire[[#This Row],[Flag RET]]</f>
        <v>3</v>
      </c>
    </row>
    <row r="624" spans="1:87" ht="14.55" customHeight="1" x14ac:dyDescent="0.3">
      <c r="A624" s="390">
        <v>2634571</v>
      </c>
      <c r="B624" s="5" t="s">
        <v>533</v>
      </c>
      <c r="C624" s="1430" t="s">
        <v>3449</v>
      </c>
      <c r="D624" s="1090" t="s">
        <v>534</v>
      </c>
      <c r="E624" s="5" t="s">
        <v>31</v>
      </c>
      <c r="F624" s="5" t="s">
        <v>31</v>
      </c>
      <c r="G624" s="5" t="s">
        <v>549</v>
      </c>
      <c r="H624" s="5" t="s">
        <v>171</v>
      </c>
      <c r="I624" s="5" t="str">
        <f>_xlfn.XLOOKUP(sommaire[[#This Row],[Arrondissement_code]],OCHA_GIS!$F:$F,OCHA_GIS!$E:$E,,)</f>
        <v>Makary</v>
      </c>
      <c r="J624" s="5" t="s">
        <v>634</v>
      </c>
      <c r="K624" t="s">
        <v>2954</v>
      </c>
      <c r="L624" s="5" t="s">
        <v>1783</v>
      </c>
      <c r="N624" s="5" t="s">
        <v>3053</v>
      </c>
      <c r="O624" s="5" t="s">
        <v>2467</v>
      </c>
      <c r="P624" s="5" t="s">
        <v>85</v>
      </c>
      <c r="Q624" s="5" t="s">
        <v>86</v>
      </c>
      <c r="R624" s="5" t="s">
        <v>85</v>
      </c>
      <c r="T624" s="390">
        <v>3</v>
      </c>
      <c r="U624" s="5" t="s">
        <v>97</v>
      </c>
      <c r="W624" s="5" t="s">
        <v>2468</v>
      </c>
      <c r="X624" s="5" t="s">
        <v>103</v>
      </c>
      <c r="Y624" s="5" t="s">
        <v>2476</v>
      </c>
      <c r="AA624" s="5" t="s">
        <v>86</v>
      </c>
      <c r="AH624" s="1430" t="s">
        <v>86</v>
      </c>
      <c r="AY624" s="1430" t="s">
        <v>86</v>
      </c>
      <c r="BN624" s="1430" t="s">
        <v>86</v>
      </c>
      <c r="CF624" s="1442" t="str">
        <f>IF([1]!sommaire[[#This Row],[présence des personnes déplacés interne]]="Oui","1","0")</f>
        <v>0</v>
      </c>
      <c r="CG624" s="1442" t="str">
        <f>IF([1]!sommaire[[#This Row],[présence Réfugié hors camp]]="Oui","1","0")</f>
        <v>0</v>
      </c>
      <c r="CH624" s="1442" t="str">
        <f>IF([1]!sommaire[[#This Row],[présence personnes retournées]]="Oui","1","0")</f>
        <v>0</v>
      </c>
      <c r="CI624" s="1442">
        <f>[1]!sommaire[[#This Row],[Flag PDI]]+[1]!sommaire[[#This Row],[Flag REF]]+[1]!sommaire[[#This Row],[Flag RET]]</f>
        <v>0</v>
      </c>
    </row>
    <row r="625" spans="1:87" ht="14.55" customHeight="1" x14ac:dyDescent="0.3">
      <c r="A625" s="390">
        <v>2604862</v>
      </c>
      <c r="B625" s="5" t="s">
        <v>533</v>
      </c>
      <c r="C625" s="1430" t="s">
        <v>3449</v>
      </c>
      <c r="D625" s="1090" t="s">
        <v>534</v>
      </c>
      <c r="E625" s="5" t="s">
        <v>31</v>
      </c>
      <c r="F625" s="5" t="s">
        <v>31</v>
      </c>
      <c r="G625" s="5" t="s">
        <v>549</v>
      </c>
      <c r="H625" s="5" t="s">
        <v>171</v>
      </c>
      <c r="I625" s="5" t="str">
        <f>_xlfn.XLOOKUP(sommaire[[#This Row],[Arrondissement_code]],OCHA_GIS!$F:$F,OCHA_GIS!$E:$E,,)</f>
        <v>Makary</v>
      </c>
      <c r="J625" s="5" t="s">
        <v>634</v>
      </c>
      <c r="K625" t="s">
        <v>1099</v>
      </c>
      <c r="L625" s="5" t="s">
        <v>1985</v>
      </c>
      <c r="N625" s="5" t="s">
        <v>3053</v>
      </c>
      <c r="O625" s="5" t="s">
        <v>2467</v>
      </c>
      <c r="P625" s="5" t="s">
        <v>85</v>
      </c>
      <c r="Q625" s="5" t="s">
        <v>86</v>
      </c>
      <c r="R625" s="5" t="s">
        <v>86</v>
      </c>
      <c r="T625" s="390">
        <v>4</v>
      </c>
      <c r="U625" s="5" t="s">
        <v>97</v>
      </c>
      <c r="W625" s="5" t="s">
        <v>2468</v>
      </c>
      <c r="X625" s="5" t="s">
        <v>103</v>
      </c>
      <c r="Y625" s="5" t="s">
        <v>2476</v>
      </c>
      <c r="AA625" s="5" t="s">
        <v>85</v>
      </c>
      <c r="AB625" s="5" t="s">
        <v>2469</v>
      </c>
      <c r="AC625" s="5" t="s">
        <v>2470</v>
      </c>
      <c r="AD625" s="5" t="s">
        <v>86</v>
      </c>
      <c r="AF625" s="5">
        <v>55</v>
      </c>
      <c r="AG625" s="5">
        <v>1325</v>
      </c>
      <c r="AH625" s="5" t="s">
        <v>85</v>
      </c>
      <c r="AI625" s="5" t="s">
        <v>2485</v>
      </c>
      <c r="AJ625" s="5">
        <v>55</v>
      </c>
      <c r="AK625" s="5">
        <v>233</v>
      </c>
      <c r="AL625" s="5">
        <v>33</v>
      </c>
      <c r="AM625" s="5">
        <v>200</v>
      </c>
      <c r="AN625" s="5">
        <v>35</v>
      </c>
      <c r="AO625" s="5">
        <v>20</v>
      </c>
      <c r="AP625" s="5">
        <v>0</v>
      </c>
      <c r="AQ625" s="5">
        <v>0</v>
      </c>
      <c r="AT625" s="5">
        <v>0</v>
      </c>
      <c r="AU625" s="5">
        <v>0</v>
      </c>
      <c r="AX625" s="5">
        <v>0</v>
      </c>
      <c r="AY625" s="5" t="s">
        <v>86</v>
      </c>
      <c r="BN625" s="5" t="s">
        <v>86</v>
      </c>
      <c r="CD625" s="5">
        <v>0</v>
      </c>
      <c r="CF625" s="1442" t="str">
        <f>IF([1]!sommaire[[#This Row],[présence des personnes déplacés interne]]="Oui","1","0")</f>
        <v>1</v>
      </c>
      <c r="CG625" s="1442" t="str">
        <f>IF([1]!sommaire[[#This Row],[présence Réfugié hors camp]]="Oui","1","0")</f>
        <v>0</v>
      </c>
      <c r="CH625" s="1442" t="str">
        <f>IF([1]!sommaire[[#This Row],[présence personnes retournées]]="Oui","1","0")</f>
        <v>0</v>
      </c>
      <c r="CI625" s="1442">
        <f>[1]!sommaire[[#This Row],[Flag PDI]]+[1]!sommaire[[#This Row],[Flag REF]]+[1]!sommaire[[#This Row],[Flag RET]]</f>
        <v>1</v>
      </c>
    </row>
    <row r="626" spans="1:87" ht="14.55" customHeight="1" x14ac:dyDescent="0.3">
      <c r="A626" s="390">
        <v>2615536</v>
      </c>
      <c r="B626" s="5" t="s">
        <v>533</v>
      </c>
      <c r="C626" s="1430" t="s">
        <v>3449</v>
      </c>
      <c r="D626" s="1090" t="s">
        <v>534</v>
      </c>
      <c r="E626" s="5" t="s">
        <v>31</v>
      </c>
      <c r="F626" s="5" t="s">
        <v>31</v>
      </c>
      <c r="G626" s="5" t="s">
        <v>549</v>
      </c>
      <c r="H626" s="5" t="s">
        <v>171</v>
      </c>
      <c r="I626" s="5" t="str">
        <f>_xlfn.XLOOKUP(sommaire[[#This Row],[Arrondissement_code]],OCHA_GIS!$F:$F,OCHA_GIS!$E:$E,,)</f>
        <v>Makary</v>
      </c>
      <c r="J626" s="5" t="s">
        <v>634</v>
      </c>
      <c r="K626" t="s">
        <v>1218</v>
      </c>
      <c r="L626" s="5" t="s">
        <v>1344</v>
      </c>
      <c r="N626" s="5" t="s">
        <v>3053</v>
      </c>
      <c r="O626" s="5" t="s">
        <v>2467</v>
      </c>
      <c r="P626" s="5" t="s">
        <v>85</v>
      </c>
      <c r="Q626" s="5" t="s">
        <v>86</v>
      </c>
      <c r="R626" s="5" t="s">
        <v>86</v>
      </c>
      <c r="T626" s="390">
        <v>3</v>
      </c>
      <c r="U626" s="5" t="s">
        <v>97</v>
      </c>
      <c r="W626" s="5" t="s">
        <v>2468</v>
      </c>
      <c r="X626" s="1090" t="s">
        <v>102</v>
      </c>
      <c r="AA626" s="1090" t="s">
        <v>85</v>
      </c>
      <c r="AB626" s="5" t="s">
        <v>2469</v>
      </c>
      <c r="AC626" s="5" t="s">
        <v>2470</v>
      </c>
      <c r="AD626" s="5" t="s">
        <v>86</v>
      </c>
      <c r="AF626" s="5">
        <v>14</v>
      </c>
      <c r="AG626" s="5">
        <v>1515</v>
      </c>
      <c r="AH626" s="5" t="s">
        <v>85</v>
      </c>
      <c r="AI626" s="5" t="s">
        <v>2471</v>
      </c>
      <c r="AJ626" s="5">
        <v>14</v>
      </c>
      <c r="AK626" s="5">
        <v>94</v>
      </c>
      <c r="AL626" s="5">
        <v>46</v>
      </c>
      <c r="AM626" s="5">
        <v>48</v>
      </c>
      <c r="AN626" s="5">
        <v>0</v>
      </c>
      <c r="AO626" s="5">
        <v>14</v>
      </c>
      <c r="AP626" s="5">
        <v>0</v>
      </c>
      <c r="AQ626" s="5">
        <v>0</v>
      </c>
      <c r="AT626" s="5">
        <v>0</v>
      </c>
      <c r="AU626" s="5">
        <v>0</v>
      </c>
      <c r="AX626" s="5">
        <v>0</v>
      </c>
      <c r="AY626" s="1090" t="s">
        <v>85</v>
      </c>
      <c r="AZ626" s="5">
        <v>16</v>
      </c>
      <c r="BA626" s="5">
        <v>94</v>
      </c>
      <c r="BB626" s="5">
        <v>40</v>
      </c>
      <c r="BC626" s="5">
        <v>54</v>
      </c>
      <c r="BD626" s="5">
        <v>16</v>
      </c>
      <c r="BE626" s="5">
        <v>0</v>
      </c>
      <c r="BF626" s="5">
        <v>0</v>
      </c>
      <c r="BH626" s="5">
        <v>0</v>
      </c>
      <c r="BI626" s="5">
        <v>0</v>
      </c>
      <c r="BL626" s="5">
        <v>0</v>
      </c>
      <c r="BM626" s="5">
        <v>0</v>
      </c>
      <c r="BN626" s="1090" t="s">
        <v>86</v>
      </c>
      <c r="CD626" s="5">
        <v>0</v>
      </c>
      <c r="CF626" s="1442" t="str">
        <f>IF([1]!sommaire[[#This Row],[présence des personnes déplacés interne]]="Oui","1","0")</f>
        <v>1</v>
      </c>
      <c r="CG626" s="1442" t="str">
        <f>IF([1]!sommaire[[#This Row],[présence Réfugié hors camp]]="Oui","1","0")</f>
        <v>1</v>
      </c>
      <c r="CH626" s="1442" t="str">
        <f>IF([1]!sommaire[[#This Row],[présence personnes retournées]]="Oui","1","0")</f>
        <v>0</v>
      </c>
      <c r="CI626" s="1442">
        <f>[1]!sommaire[[#This Row],[Flag PDI]]+[1]!sommaire[[#This Row],[Flag REF]]+[1]!sommaire[[#This Row],[Flag RET]]</f>
        <v>2</v>
      </c>
    </row>
    <row r="627" spans="1:87" ht="14.55" customHeight="1" x14ac:dyDescent="0.3">
      <c r="A627" s="390">
        <v>2631804</v>
      </c>
      <c r="B627" s="5" t="s">
        <v>533</v>
      </c>
      <c r="C627" s="1430" t="s">
        <v>3449</v>
      </c>
      <c r="D627" s="1090" t="s">
        <v>534</v>
      </c>
      <c r="E627" s="5" t="s">
        <v>31</v>
      </c>
      <c r="F627" s="5" t="s">
        <v>31</v>
      </c>
      <c r="G627" s="5" t="s">
        <v>549</v>
      </c>
      <c r="H627" s="5" t="s">
        <v>171</v>
      </c>
      <c r="I627" s="5" t="str">
        <f>_xlfn.XLOOKUP(sommaire[[#This Row],[Arrondissement_code]],OCHA_GIS!$F:$F,OCHA_GIS!$E:$E,,)</f>
        <v>Makary</v>
      </c>
      <c r="J627" s="5" t="s">
        <v>634</v>
      </c>
      <c r="K627" t="s">
        <v>905</v>
      </c>
      <c r="L627" s="5" t="s">
        <v>2609</v>
      </c>
      <c r="N627" s="5" t="s">
        <v>3053</v>
      </c>
      <c r="O627" s="5" t="s">
        <v>2467</v>
      </c>
      <c r="P627" s="5" t="s">
        <v>86</v>
      </c>
      <c r="Q627" s="5" t="s">
        <v>86</v>
      </c>
      <c r="R627" s="5" t="s">
        <v>85</v>
      </c>
      <c r="U627" s="5" t="s">
        <v>98</v>
      </c>
      <c r="W627" s="5" t="s">
        <v>2482</v>
      </c>
      <c r="AA627" s="5" t="s">
        <v>86</v>
      </c>
      <c r="AH627" s="1430" t="s">
        <v>86</v>
      </c>
      <c r="AY627" s="1430" t="s">
        <v>86</v>
      </c>
      <c r="BN627" s="1430" t="s">
        <v>86</v>
      </c>
      <c r="CF627" s="1442" t="str">
        <f>IF([1]!sommaire[[#This Row],[présence des personnes déplacés interne]]="Oui","1","0")</f>
        <v>0</v>
      </c>
      <c r="CG627" s="1442" t="str">
        <f>IF([1]!sommaire[[#This Row],[présence Réfugié hors camp]]="Oui","1","0")</f>
        <v>0</v>
      </c>
      <c r="CH627" s="1442" t="str">
        <f>IF([1]!sommaire[[#This Row],[présence personnes retournées]]="Oui","1","0")</f>
        <v>0</v>
      </c>
      <c r="CI627" s="1442">
        <f>[1]!sommaire[[#This Row],[Flag PDI]]+[1]!sommaire[[#This Row],[Flag REF]]+[1]!sommaire[[#This Row],[Flag RET]]</f>
        <v>0</v>
      </c>
    </row>
    <row r="628" spans="1:87" ht="14.55" customHeight="1" x14ac:dyDescent="0.3">
      <c r="A628" s="390">
        <v>2646366</v>
      </c>
      <c r="B628" s="5" t="s">
        <v>533</v>
      </c>
      <c r="C628" s="1430" t="s">
        <v>3449</v>
      </c>
      <c r="D628" s="1090" t="s">
        <v>534</v>
      </c>
      <c r="E628" s="5" t="s">
        <v>31</v>
      </c>
      <c r="F628" s="5" t="s">
        <v>31</v>
      </c>
      <c r="G628" s="5" t="s">
        <v>549</v>
      </c>
      <c r="H628" s="5" t="s">
        <v>171</v>
      </c>
      <c r="I628" s="5" t="str">
        <f>_xlfn.XLOOKUP(sommaire[[#This Row],[Arrondissement_code]],OCHA_GIS!$F:$F,OCHA_GIS!$E:$E,,)</f>
        <v>Makary</v>
      </c>
      <c r="J628" s="5" t="s">
        <v>634</v>
      </c>
      <c r="K628" t="s">
        <v>1782</v>
      </c>
      <c r="L628" s="5" t="s">
        <v>1965</v>
      </c>
      <c r="N628" s="5" t="s">
        <v>3053</v>
      </c>
      <c r="O628" s="5" t="s">
        <v>2467</v>
      </c>
      <c r="P628" s="5" t="s">
        <v>85</v>
      </c>
      <c r="Q628" s="5" t="s">
        <v>86</v>
      </c>
      <c r="R628" s="5" t="s">
        <v>86</v>
      </c>
      <c r="T628" s="390">
        <v>3</v>
      </c>
      <c r="U628" s="5" t="s">
        <v>97</v>
      </c>
      <c r="W628" s="5" t="s">
        <v>2468</v>
      </c>
      <c r="X628" s="5" t="s">
        <v>102</v>
      </c>
      <c r="AA628" s="5" t="s">
        <v>85</v>
      </c>
      <c r="AB628" s="5" t="s">
        <v>2469</v>
      </c>
      <c r="AC628" s="5" t="s">
        <v>2470</v>
      </c>
      <c r="AD628" s="5" t="s">
        <v>86</v>
      </c>
      <c r="AF628" s="5">
        <v>1</v>
      </c>
      <c r="AG628" s="5">
        <v>500</v>
      </c>
      <c r="AH628" s="5" t="s">
        <v>85</v>
      </c>
      <c r="AI628" s="5" t="s">
        <v>2471</v>
      </c>
      <c r="AJ628" s="5">
        <v>1</v>
      </c>
      <c r="AK628" s="5">
        <v>4</v>
      </c>
      <c r="AL628" s="5">
        <v>1</v>
      </c>
      <c r="AM628" s="5">
        <v>3</v>
      </c>
      <c r="AN628" s="5">
        <v>0</v>
      </c>
      <c r="AO628" s="5">
        <v>1</v>
      </c>
      <c r="AP628" s="5">
        <v>0</v>
      </c>
      <c r="AQ628" s="5">
        <v>0</v>
      </c>
      <c r="AT628" s="5">
        <v>0</v>
      </c>
      <c r="AU628" s="5">
        <v>0</v>
      </c>
      <c r="AX628" s="5">
        <v>0</v>
      </c>
      <c r="AY628" s="5" t="s">
        <v>86</v>
      </c>
      <c r="BN628" s="5" t="s">
        <v>86</v>
      </c>
      <c r="CD628" s="5">
        <v>0</v>
      </c>
      <c r="CF628" s="1442" t="str">
        <f>IF([1]!sommaire[[#This Row],[présence des personnes déplacés interne]]="Oui","1","0")</f>
        <v>1</v>
      </c>
      <c r="CG628" s="1442" t="str">
        <f>IF([1]!sommaire[[#This Row],[présence Réfugié hors camp]]="Oui","1","0")</f>
        <v>0</v>
      </c>
      <c r="CH628" s="1442" t="str">
        <f>IF([1]!sommaire[[#This Row],[présence personnes retournées]]="Oui","1","0")</f>
        <v>0</v>
      </c>
      <c r="CI628" s="1442">
        <f>[1]!sommaire[[#This Row],[Flag PDI]]+[1]!sommaire[[#This Row],[Flag REF]]+[1]!sommaire[[#This Row],[Flag RET]]</f>
        <v>1</v>
      </c>
    </row>
    <row r="629" spans="1:87" ht="14.55" customHeight="1" x14ac:dyDescent="0.3">
      <c r="A629" s="390">
        <v>2590997</v>
      </c>
      <c r="B629" s="5" t="s">
        <v>533</v>
      </c>
      <c r="C629" s="1430" t="s">
        <v>3449</v>
      </c>
      <c r="D629" s="1090" t="s">
        <v>534</v>
      </c>
      <c r="E629" s="5" t="s">
        <v>31</v>
      </c>
      <c r="F629" s="5" t="s">
        <v>31</v>
      </c>
      <c r="G629" s="5" t="s">
        <v>549</v>
      </c>
      <c r="H629" s="5" t="s">
        <v>171</v>
      </c>
      <c r="I629" s="5" t="str">
        <f>_xlfn.XLOOKUP(sommaire[[#This Row],[Arrondissement_code]],OCHA_GIS!$F:$F,OCHA_GIS!$E:$E,,)</f>
        <v>Makary</v>
      </c>
      <c r="J629" s="5" t="s">
        <v>634</v>
      </c>
      <c r="K629" t="s">
        <v>1246</v>
      </c>
      <c r="L629" s="5" t="s">
        <v>894</v>
      </c>
      <c r="N629" s="5" t="s">
        <v>3053</v>
      </c>
      <c r="O629" s="5" t="s">
        <v>2467</v>
      </c>
      <c r="P629" s="5" t="s">
        <v>85</v>
      </c>
      <c r="Q629" s="5" t="s">
        <v>86</v>
      </c>
      <c r="R629" s="5" t="s">
        <v>86</v>
      </c>
      <c r="T629" s="390">
        <v>4</v>
      </c>
      <c r="U629" s="5" t="s">
        <v>97</v>
      </c>
      <c r="W629" s="5" t="s">
        <v>2468</v>
      </c>
      <c r="X629" s="5" t="s">
        <v>103</v>
      </c>
      <c r="Y629" s="5" t="s">
        <v>2476</v>
      </c>
      <c r="AA629" s="586" t="s">
        <v>85</v>
      </c>
      <c r="AB629" s="5" t="s">
        <v>2469</v>
      </c>
      <c r="AC629" s="5" t="s">
        <v>2470</v>
      </c>
      <c r="AD629" s="5" t="s">
        <v>86</v>
      </c>
      <c r="AF629" s="5">
        <v>6</v>
      </c>
      <c r="AG629" s="5">
        <v>101</v>
      </c>
      <c r="AH629" s="5" t="s">
        <v>85</v>
      </c>
      <c r="AI629" s="5" t="s">
        <v>2486</v>
      </c>
      <c r="AJ629" s="5">
        <v>6</v>
      </c>
      <c r="AK629" s="5">
        <v>51</v>
      </c>
      <c r="AL629" s="5">
        <v>19</v>
      </c>
      <c r="AM629" s="5">
        <v>32</v>
      </c>
      <c r="AN629" s="5">
        <v>2</v>
      </c>
      <c r="AO629" s="5">
        <v>4</v>
      </c>
      <c r="AP629" s="5">
        <v>0</v>
      </c>
      <c r="AQ629" s="5">
        <v>0</v>
      </c>
      <c r="AT629" s="5">
        <v>0</v>
      </c>
      <c r="AU629" s="5">
        <v>0</v>
      </c>
      <c r="AX629" s="5">
        <v>0</v>
      </c>
      <c r="AY629" s="5" t="s">
        <v>86</v>
      </c>
      <c r="BN629" s="5" t="s">
        <v>86</v>
      </c>
      <c r="CD629" s="5">
        <v>0</v>
      </c>
      <c r="CF629" s="1442" t="str">
        <f>IF([1]!sommaire[[#This Row],[présence des personnes déplacés interne]]="Oui","1","0")</f>
        <v>1</v>
      </c>
      <c r="CG629" s="1442" t="str">
        <f>IF([1]!sommaire[[#This Row],[présence Réfugié hors camp]]="Oui","1","0")</f>
        <v>0</v>
      </c>
      <c r="CH629" s="1442" t="str">
        <f>IF([1]!sommaire[[#This Row],[présence personnes retournées]]="Oui","1","0")</f>
        <v>0</v>
      </c>
      <c r="CI629" s="1442">
        <f>[1]!sommaire[[#This Row],[Flag PDI]]+[1]!sommaire[[#This Row],[Flag REF]]+[1]!sommaire[[#This Row],[Flag RET]]</f>
        <v>1</v>
      </c>
    </row>
    <row r="630" spans="1:87" ht="14.55" customHeight="1" x14ac:dyDescent="0.3">
      <c r="A630" s="390">
        <v>2657677</v>
      </c>
      <c r="B630" s="5" t="s">
        <v>533</v>
      </c>
      <c r="C630" s="1430" t="s">
        <v>3449</v>
      </c>
      <c r="D630" s="1090" t="s">
        <v>534</v>
      </c>
      <c r="E630" s="5" t="s">
        <v>31</v>
      </c>
      <c r="F630" s="5" t="s">
        <v>31</v>
      </c>
      <c r="G630" s="5" t="s">
        <v>549</v>
      </c>
      <c r="H630" s="5" t="s">
        <v>171</v>
      </c>
      <c r="I630" s="5" t="str">
        <f>_xlfn.XLOOKUP(sommaire[[#This Row],[Arrondissement_code]],OCHA_GIS!$F:$F,OCHA_GIS!$E:$E,,)</f>
        <v>Makary</v>
      </c>
      <c r="J630" s="5" t="s">
        <v>634</v>
      </c>
      <c r="K630" t="s">
        <v>1394</v>
      </c>
      <c r="L630" s="5" t="s">
        <v>1927</v>
      </c>
      <c r="N630" s="5" t="s">
        <v>3053</v>
      </c>
      <c r="O630" s="5" t="s">
        <v>2467</v>
      </c>
      <c r="P630" s="5" t="s">
        <v>85</v>
      </c>
      <c r="Q630" s="5" t="s">
        <v>86</v>
      </c>
      <c r="R630" s="5" t="s">
        <v>86</v>
      </c>
      <c r="T630" s="390">
        <v>4</v>
      </c>
      <c r="U630" s="5" t="s">
        <v>97</v>
      </c>
      <c r="W630" s="5" t="s">
        <v>2468</v>
      </c>
      <c r="X630" s="1090" t="s">
        <v>103</v>
      </c>
      <c r="Y630" s="5" t="s">
        <v>2476</v>
      </c>
      <c r="AA630" s="1090" t="s">
        <v>85</v>
      </c>
      <c r="AB630" s="5" t="s">
        <v>2469</v>
      </c>
      <c r="AC630" s="5" t="s">
        <v>2470</v>
      </c>
      <c r="AD630" s="5" t="s">
        <v>86</v>
      </c>
      <c r="AF630" s="5">
        <v>18</v>
      </c>
      <c r="AG630" s="5">
        <v>156</v>
      </c>
      <c r="AH630" s="5" t="s">
        <v>85</v>
      </c>
      <c r="AI630" s="5" t="s">
        <v>2487</v>
      </c>
      <c r="AJ630" s="5">
        <v>18</v>
      </c>
      <c r="AK630" s="5">
        <v>89</v>
      </c>
      <c r="AL630" s="5">
        <v>35</v>
      </c>
      <c r="AM630" s="5">
        <v>54</v>
      </c>
      <c r="AN630" s="5">
        <v>0</v>
      </c>
      <c r="AO630" s="5">
        <v>18</v>
      </c>
      <c r="AP630" s="5">
        <v>0</v>
      </c>
      <c r="AQ630" s="5">
        <v>0</v>
      </c>
      <c r="AT630" s="5">
        <v>0</v>
      </c>
      <c r="AU630" s="5">
        <v>0</v>
      </c>
      <c r="AX630" s="5">
        <v>0</v>
      </c>
      <c r="AY630" s="1090" t="s">
        <v>86</v>
      </c>
      <c r="BN630" s="1090" t="s">
        <v>86</v>
      </c>
      <c r="CD630" s="5">
        <v>0</v>
      </c>
      <c r="CF630" s="1442" t="str">
        <f>IF([1]!sommaire[[#This Row],[présence des personnes déplacés interne]]="Oui","1","0")</f>
        <v>1</v>
      </c>
      <c r="CG630" s="1442" t="str">
        <f>IF([1]!sommaire[[#This Row],[présence Réfugié hors camp]]="Oui","1","0")</f>
        <v>0</v>
      </c>
      <c r="CH630" s="1442" t="str">
        <f>IF([1]!sommaire[[#This Row],[présence personnes retournées]]="Oui","1","0")</f>
        <v>0</v>
      </c>
      <c r="CI630" s="1442">
        <f>[1]!sommaire[[#This Row],[Flag PDI]]+[1]!sommaire[[#This Row],[Flag REF]]+[1]!sommaire[[#This Row],[Flag RET]]</f>
        <v>1</v>
      </c>
    </row>
    <row r="631" spans="1:87" ht="14.55" customHeight="1" x14ac:dyDescent="0.3">
      <c r="A631" s="390">
        <v>2615171</v>
      </c>
      <c r="B631" s="5" t="s">
        <v>533</v>
      </c>
      <c r="C631" s="1430" t="s">
        <v>3449</v>
      </c>
      <c r="D631" s="1090" t="s">
        <v>534</v>
      </c>
      <c r="E631" s="5" t="s">
        <v>31</v>
      </c>
      <c r="F631" s="5" t="s">
        <v>31</v>
      </c>
      <c r="G631" s="5" t="s">
        <v>549</v>
      </c>
      <c r="H631" s="5" t="s">
        <v>171</v>
      </c>
      <c r="I631" s="5" t="str">
        <f>_xlfn.XLOOKUP(sommaire[[#This Row],[Arrondissement_code]],OCHA_GIS!$F:$F,OCHA_GIS!$E:$E,,)</f>
        <v>Makary</v>
      </c>
      <c r="J631" s="5" t="s">
        <v>634</v>
      </c>
      <c r="K631" t="s">
        <v>1802</v>
      </c>
      <c r="L631" s="5" t="s">
        <v>1027</v>
      </c>
      <c r="N631" s="5" t="s">
        <v>3053</v>
      </c>
      <c r="O631" s="5" t="s">
        <v>2467</v>
      </c>
      <c r="P631" s="5" t="s">
        <v>85</v>
      </c>
      <c r="Q631" s="5" t="s">
        <v>86</v>
      </c>
      <c r="R631" s="5" t="s">
        <v>86</v>
      </c>
      <c r="T631" s="390">
        <v>3</v>
      </c>
      <c r="U631" s="5" t="s">
        <v>97</v>
      </c>
      <c r="W631" s="5" t="s">
        <v>2468</v>
      </c>
      <c r="X631" s="5" t="s">
        <v>102</v>
      </c>
      <c r="AA631" s="5" t="s">
        <v>85</v>
      </c>
      <c r="AB631" s="5" t="s">
        <v>2469</v>
      </c>
      <c r="AC631" s="5" t="s">
        <v>2470</v>
      </c>
      <c r="AD631" s="5" t="s">
        <v>86</v>
      </c>
      <c r="AF631" s="5">
        <v>15</v>
      </c>
      <c r="AG631" s="5">
        <v>835</v>
      </c>
      <c r="AH631" s="5" t="s">
        <v>85</v>
      </c>
      <c r="AI631" s="5" t="s">
        <v>2471</v>
      </c>
      <c r="AJ631" s="5">
        <v>15</v>
      </c>
      <c r="AK631" s="5">
        <v>98</v>
      </c>
      <c r="AL631" s="5">
        <v>51</v>
      </c>
      <c r="AM631" s="5">
        <v>47</v>
      </c>
      <c r="AN631" s="5">
        <v>0</v>
      </c>
      <c r="AO631" s="5">
        <v>15</v>
      </c>
      <c r="AP631" s="5">
        <v>0</v>
      </c>
      <c r="AQ631" s="5">
        <v>0</v>
      </c>
      <c r="AT631" s="5">
        <v>0</v>
      </c>
      <c r="AU631" s="5">
        <v>0</v>
      </c>
      <c r="AX631" s="5">
        <v>0</v>
      </c>
      <c r="AY631" s="5" t="s">
        <v>86</v>
      </c>
      <c r="BN631" s="5" t="s">
        <v>86</v>
      </c>
      <c r="CD631" s="5">
        <v>0</v>
      </c>
      <c r="CF631" s="1442" t="str">
        <f>IF([1]!sommaire[[#This Row],[présence des personnes déplacés interne]]="Oui","1","0")</f>
        <v>1</v>
      </c>
      <c r="CG631" s="1442" t="str">
        <f>IF([1]!sommaire[[#This Row],[présence Réfugié hors camp]]="Oui","1","0")</f>
        <v>0</v>
      </c>
      <c r="CH631" s="1442" t="str">
        <f>IF([1]!sommaire[[#This Row],[présence personnes retournées]]="Oui","1","0")</f>
        <v>0</v>
      </c>
      <c r="CI631" s="1442">
        <f>[1]!sommaire[[#This Row],[Flag PDI]]+[1]!sommaire[[#This Row],[Flag REF]]+[1]!sommaire[[#This Row],[Flag RET]]</f>
        <v>1</v>
      </c>
    </row>
    <row r="632" spans="1:87" ht="14.55" customHeight="1" x14ac:dyDescent="0.3">
      <c r="A632" s="390">
        <v>2639768</v>
      </c>
      <c r="B632" s="5" t="s">
        <v>533</v>
      </c>
      <c r="C632" s="1430" t="s">
        <v>3449</v>
      </c>
      <c r="D632" s="1090" t="s">
        <v>534</v>
      </c>
      <c r="E632" s="5" t="s">
        <v>31</v>
      </c>
      <c r="F632" s="5" t="s">
        <v>31</v>
      </c>
      <c r="G632" s="5" t="s">
        <v>549</v>
      </c>
      <c r="H632" s="5" t="s">
        <v>171</v>
      </c>
      <c r="I632" s="5" t="str">
        <f>_xlfn.XLOOKUP(sommaire[[#This Row],[Arrondissement_code]],OCHA_GIS!$F:$F,OCHA_GIS!$E:$E,,)</f>
        <v>Makary</v>
      </c>
      <c r="J632" s="5" t="s">
        <v>634</v>
      </c>
      <c r="K632" t="s">
        <v>877</v>
      </c>
      <c r="L632" s="5" t="s">
        <v>2634</v>
      </c>
      <c r="N632" s="5" t="s">
        <v>3053</v>
      </c>
      <c r="O632" s="5" t="s">
        <v>2467</v>
      </c>
      <c r="P632" s="5" t="s">
        <v>86</v>
      </c>
      <c r="Q632" s="5" t="s">
        <v>86</v>
      </c>
      <c r="R632" s="5" t="s">
        <v>85</v>
      </c>
      <c r="U632" s="5" t="s">
        <v>98</v>
      </c>
      <c r="W632" s="5" t="s">
        <v>2482</v>
      </c>
      <c r="AA632" s="5" t="s">
        <v>86</v>
      </c>
      <c r="AH632" s="1430" t="s">
        <v>86</v>
      </c>
      <c r="AY632" s="1430" t="s">
        <v>86</v>
      </c>
      <c r="BN632" s="1430" t="s">
        <v>86</v>
      </c>
      <c r="CF632" s="1442" t="str">
        <f>IF([1]!sommaire[[#This Row],[présence des personnes déplacés interne]]="Oui","1","0")</f>
        <v>0</v>
      </c>
      <c r="CG632" s="1442" t="str">
        <f>IF([1]!sommaire[[#This Row],[présence Réfugié hors camp]]="Oui","1","0")</f>
        <v>0</v>
      </c>
      <c r="CH632" s="1442" t="str">
        <f>IF([1]!sommaire[[#This Row],[présence personnes retournées]]="Oui","1","0")</f>
        <v>0</v>
      </c>
      <c r="CI632" s="1442">
        <f>[1]!sommaire[[#This Row],[Flag PDI]]+[1]!sommaire[[#This Row],[Flag REF]]+[1]!sommaire[[#This Row],[Flag RET]]</f>
        <v>0</v>
      </c>
    </row>
    <row r="633" spans="1:87" ht="14.55" customHeight="1" x14ac:dyDescent="0.3">
      <c r="A633" s="390">
        <v>2613264</v>
      </c>
      <c r="B633" s="5" t="s">
        <v>533</v>
      </c>
      <c r="C633" s="1430" t="s">
        <v>3449</v>
      </c>
      <c r="D633" s="1090" t="s">
        <v>534</v>
      </c>
      <c r="E633" s="5" t="s">
        <v>31</v>
      </c>
      <c r="F633" s="5" t="s">
        <v>31</v>
      </c>
      <c r="G633" s="5" t="s">
        <v>549</v>
      </c>
      <c r="H633" s="5" t="s">
        <v>171</v>
      </c>
      <c r="I633" s="5" t="str">
        <f>_xlfn.XLOOKUP(sommaire[[#This Row],[Arrondissement_code]],OCHA_GIS!$F:$F,OCHA_GIS!$E:$E,,)</f>
        <v>Makary</v>
      </c>
      <c r="J633" s="5" t="s">
        <v>634</v>
      </c>
      <c r="K633" t="s">
        <v>1894</v>
      </c>
      <c r="L633" s="5" t="s">
        <v>1100</v>
      </c>
      <c r="N633" s="5" t="s">
        <v>3053</v>
      </c>
      <c r="O633" s="5" t="s">
        <v>2467</v>
      </c>
      <c r="P633" s="5" t="s">
        <v>85</v>
      </c>
      <c r="Q633" s="5" t="s">
        <v>86</v>
      </c>
      <c r="R633" s="5" t="s">
        <v>86</v>
      </c>
      <c r="T633" s="390">
        <v>3</v>
      </c>
      <c r="U633" s="5" t="s">
        <v>97</v>
      </c>
      <c r="W633" s="5" t="s">
        <v>2468</v>
      </c>
      <c r="X633" s="5" t="s">
        <v>102</v>
      </c>
      <c r="AA633" s="5" t="s">
        <v>85</v>
      </c>
      <c r="AB633" s="5" t="s">
        <v>2469</v>
      </c>
      <c r="AC633" s="5" t="s">
        <v>2470</v>
      </c>
      <c r="AD633" s="5" t="s">
        <v>86</v>
      </c>
      <c r="AF633" s="5">
        <v>35</v>
      </c>
      <c r="AG633" s="5">
        <v>525</v>
      </c>
      <c r="AH633" s="5" t="s">
        <v>85</v>
      </c>
      <c r="AI633" s="5" t="s">
        <v>2471</v>
      </c>
      <c r="AJ633" s="5">
        <v>35</v>
      </c>
      <c r="AK633" s="5">
        <v>330</v>
      </c>
      <c r="AL633" s="5">
        <v>155</v>
      </c>
      <c r="AM633" s="5">
        <v>175</v>
      </c>
      <c r="AN633" s="5">
        <v>0</v>
      </c>
      <c r="AO633" s="5">
        <v>35</v>
      </c>
      <c r="AP633" s="5">
        <v>0</v>
      </c>
      <c r="AQ633" s="5">
        <v>0</v>
      </c>
      <c r="AT633" s="5">
        <v>0</v>
      </c>
      <c r="AU633" s="5">
        <v>0</v>
      </c>
      <c r="AX633" s="5">
        <v>0</v>
      </c>
      <c r="AY633" s="5" t="s">
        <v>86</v>
      </c>
      <c r="BN633" s="5" t="s">
        <v>86</v>
      </c>
      <c r="CD633" s="5">
        <v>0</v>
      </c>
      <c r="CF633" s="1442" t="str">
        <f>IF([1]!sommaire[[#This Row],[présence des personnes déplacés interne]]="Oui","1","0")</f>
        <v>1</v>
      </c>
      <c r="CG633" s="1442" t="str">
        <f>IF([1]!sommaire[[#This Row],[présence Réfugié hors camp]]="Oui","1","0")</f>
        <v>0</v>
      </c>
      <c r="CH633" s="1442" t="str">
        <f>IF([1]!sommaire[[#This Row],[présence personnes retournées]]="Oui","1","0")</f>
        <v>0</v>
      </c>
      <c r="CI633" s="1442">
        <f>[1]!sommaire[[#This Row],[Flag PDI]]+[1]!sommaire[[#This Row],[Flag REF]]+[1]!sommaire[[#This Row],[Flag RET]]</f>
        <v>1</v>
      </c>
    </row>
    <row r="634" spans="1:87" ht="14.55" customHeight="1" x14ac:dyDescent="0.3">
      <c r="A634" s="390">
        <v>2583521</v>
      </c>
      <c r="B634" s="5" t="s">
        <v>533</v>
      </c>
      <c r="C634" s="1430" t="s">
        <v>3449</v>
      </c>
      <c r="D634" s="1090" t="s">
        <v>534</v>
      </c>
      <c r="E634" s="5" t="s">
        <v>31</v>
      </c>
      <c r="F634" s="5" t="s">
        <v>31</v>
      </c>
      <c r="G634" s="5" t="s">
        <v>549</v>
      </c>
      <c r="H634" s="5" t="s">
        <v>171</v>
      </c>
      <c r="I634" s="5" t="str">
        <f>_xlfn.XLOOKUP(sommaire[[#This Row],[Arrondissement_code]],OCHA_GIS!$F:$F,OCHA_GIS!$E:$E,,)</f>
        <v>Makary</v>
      </c>
      <c r="J634" s="5" t="s">
        <v>634</v>
      </c>
      <c r="K634" t="s">
        <v>1720</v>
      </c>
      <c r="L634" s="5" t="s">
        <v>2011</v>
      </c>
      <c r="N634" s="5" t="s">
        <v>3053</v>
      </c>
      <c r="O634" s="5" t="s">
        <v>2467</v>
      </c>
      <c r="P634" s="5" t="s">
        <v>85</v>
      </c>
      <c r="Q634" s="5" t="s">
        <v>86</v>
      </c>
      <c r="R634" s="5" t="s">
        <v>86</v>
      </c>
      <c r="T634" s="390">
        <v>4</v>
      </c>
      <c r="U634" s="5" t="s">
        <v>97</v>
      </c>
      <c r="W634" s="5" t="s">
        <v>2468</v>
      </c>
      <c r="X634" s="5" t="s">
        <v>103</v>
      </c>
      <c r="Y634" s="5" t="s">
        <v>2476</v>
      </c>
      <c r="AA634" s="5" t="s">
        <v>85</v>
      </c>
      <c r="AB634" s="5" t="s">
        <v>2469</v>
      </c>
      <c r="AC634" s="5" t="s">
        <v>2470</v>
      </c>
      <c r="AD634" s="5" t="s">
        <v>86</v>
      </c>
      <c r="AF634" s="5">
        <v>8</v>
      </c>
      <c r="AG634" s="5">
        <v>150</v>
      </c>
      <c r="AH634" s="5" t="s">
        <v>85</v>
      </c>
      <c r="AI634" s="5" t="s">
        <v>2485</v>
      </c>
      <c r="AJ634" s="5">
        <v>8</v>
      </c>
      <c r="AK634" s="5">
        <v>39</v>
      </c>
      <c r="AL634" s="5">
        <v>22</v>
      </c>
      <c r="AM634" s="5">
        <v>17</v>
      </c>
      <c r="AN634" s="5">
        <v>3</v>
      </c>
      <c r="AO634" s="5">
        <v>5</v>
      </c>
      <c r="AP634" s="5">
        <v>0</v>
      </c>
      <c r="AQ634" s="5">
        <v>0</v>
      </c>
      <c r="AT634" s="5">
        <v>0</v>
      </c>
      <c r="AU634" s="5">
        <v>0</v>
      </c>
      <c r="AX634" s="5">
        <v>0</v>
      </c>
      <c r="AY634" s="5" t="s">
        <v>86</v>
      </c>
      <c r="BN634" s="5" t="s">
        <v>86</v>
      </c>
      <c r="CD634" s="5">
        <v>0</v>
      </c>
      <c r="CF634" s="1442" t="str">
        <f>IF([1]!sommaire[[#This Row],[présence des personnes déplacés interne]]="Oui","1","0")</f>
        <v>1</v>
      </c>
      <c r="CG634" s="1442" t="str">
        <f>IF([1]!sommaire[[#This Row],[présence Réfugié hors camp]]="Oui","1","0")</f>
        <v>0</v>
      </c>
      <c r="CH634" s="1442" t="str">
        <f>IF([1]!sommaire[[#This Row],[présence personnes retournées]]="Oui","1","0")</f>
        <v>0</v>
      </c>
      <c r="CI634" s="1442">
        <f>[1]!sommaire[[#This Row],[Flag PDI]]+[1]!sommaire[[#This Row],[Flag REF]]+[1]!sommaire[[#This Row],[Flag RET]]</f>
        <v>1</v>
      </c>
    </row>
    <row r="635" spans="1:87" ht="14.55" customHeight="1" x14ac:dyDescent="0.3">
      <c r="A635" s="390">
        <v>2613504</v>
      </c>
      <c r="B635" s="5" t="s">
        <v>533</v>
      </c>
      <c r="C635" s="1430" t="s">
        <v>3449</v>
      </c>
      <c r="D635" s="1090" t="s">
        <v>534</v>
      </c>
      <c r="E635" s="5" t="s">
        <v>31</v>
      </c>
      <c r="F635" s="5" t="s">
        <v>31</v>
      </c>
      <c r="G635" s="5" t="s">
        <v>549</v>
      </c>
      <c r="H635" s="5" t="s">
        <v>171</v>
      </c>
      <c r="I635" s="5" t="str">
        <f>_xlfn.XLOOKUP(sommaire[[#This Row],[Arrondissement_code]],OCHA_GIS!$F:$F,OCHA_GIS!$E:$E,,)</f>
        <v>Makary</v>
      </c>
      <c r="J635" s="5" t="s">
        <v>634</v>
      </c>
      <c r="K635" t="s">
        <v>635</v>
      </c>
      <c r="L635" s="5" t="s">
        <v>2129</v>
      </c>
      <c r="N635" s="5" t="s">
        <v>3052</v>
      </c>
      <c r="O635" s="5" t="s">
        <v>2467</v>
      </c>
      <c r="P635" s="5" t="s">
        <v>85</v>
      </c>
      <c r="Q635" s="5" t="s">
        <v>86</v>
      </c>
      <c r="R635" s="5" t="s">
        <v>85</v>
      </c>
      <c r="T635" s="390">
        <v>3</v>
      </c>
      <c r="U635" s="5" t="s">
        <v>97</v>
      </c>
      <c r="W635" s="5" t="s">
        <v>2468</v>
      </c>
      <c r="X635" s="5" t="s">
        <v>102</v>
      </c>
      <c r="AA635" s="5" t="s">
        <v>85</v>
      </c>
      <c r="AB635" s="5" t="s">
        <v>2469</v>
      </c>
      <c r="AC635" s="5" t="s">
        <v>2470</v>
      </c>
      <c r="AD635" s="5" t="s">
        <v>86</v>
      </c>
      <c r="AF635" s="5">
        <v>29</v>
      </c>
      <c r="AG635" s="5">
        <v>1103</v>
      </c>
      <c r="AH635" s="5" t="s">
        <v>85</v>
      </c>
      <c r="AI635" s="5" t="s">
        <v>2471</v>
      </c>
      <c r="AJ635" s="5">
        <v>29</v>
      </c>
      <c r="AK635" s="5">
        <v>165</v>
      </c>
      <c r="AL635" s="5">
        <v>82</v>
      </c>
      <c r="AM635" s="5">
        <v>83</v>
      </c>
      <c r="AN635" s="5">
        <v>8</v>
      </c>
      <c r="AO635" s="5">
        <v>12</v>
      </c>
      <c r="AP635" s="5">
        <v>6</v>
      </c>
      <c r="AQ635" s="5">
        <v>3</v>
      </c>
      <c r="AR635" s="5" t="s">
        <v>2477</v>
      </c>
      <c r="AT635" s="5">
        <v>0</v>
      </c>
      <c r="AU635" s="5">
        <v>0</v>
      </c>
      <c r="AX635" s="5">
        <v>0</v>
      </c>
      <c r="AY635" s="5" t="s">
        <v>86</v>
      </c>
      <c r="BN635" s="5" t="s">
        <v>86</v>
      </c>
      <c r="CD635" s="5">
        <v>0</v>
      </c>
      <c r="CF635" s="1442" t="str">
        <f>IF([1]!sommaire[[#This Row],[présence des personnes déplacés interne]]="Oui","1","0")</f>
        <v>1</v>
      </c>
      <c r="CG635" s="1442" t="str">
        <f>IF([1]!sommaire[[#This Row],[présence Réfugié hors camp]]="Oui","1","0")</f>
        <v>0</v>
      </c>
      <c r="CH635" s="1442" t="str">
        <f>IF([1]!sommaire[[#This Row],[présence personnes retournées]]="Oui","1","0")</f>
        <v>0</v>
      </c>
      <c r="CI635" s="1442">
        <f>[1]!sommaire[[#This Row],[Flag PDI]]+[1]!sommaire[[#This Row],[Flag REF]]+[1]!sommaire[[#This Row],[Flag RET]]</f>
        <v>1</v>
      </c>
    </row>
    <row r="636" spans="1:87" ht="14.55" customHeight="1" x14ac:dyDescent="0.3">
      <c r="A636" s="390">
        <v>2683100</v>
      </c>
      <c r="B636" s="5" t="s">
        <v>533</v>
      </c>
      <c r="C636" s="1430" t="s">
        <v>3449</v>
      </c>
      <c r="D636" s="1090" t="s">
        <v>534</v>
      </c>
      <c r="E636" s="5" t="s">
        <v>31</v>
      </c>
      <c r="F636" s="5" t="s">
        <v>31</v>
      </c>
      <c r="G636" s="5" t="s">
        <v>549</v>
      </c>
      <c r="H636" s="5" t="s">
        <v>171</v>
      </c>
      <c r="I636" s="5" t="str">
        <f>_xlfn.XLOOKUP(sommaire[[#This Row],[Arrondissement_code]],OCHA_GIS!$F:$F,OCHA_GIS!$E:$E,,)</f>
        <v>Makary</v>
      </c>
      <c r="J636" s="5" t="s">
        <v>634</v>
      </c>
      <c r="K636" t="s">
        <v>1443</v>
      </c>
      <c r="L636" s="5" t="s">
        <v>1862</v>
      </c>
      <c r="N636" s="5" t="s">
        <v>3053</v>
      </c>
      <c r="O636" s="5" t="s">
        <v>2467</v>
      </c>
      <c r="P636" s="5" t="s">
        <v>85</v>
      </c>
      <c r="Q636" s="5" t="s">
        <v>86</v>
      </c>
      <c r="R636" s="5" t="s">
        <v>86</v>
      </c>
      <c r="T636" s="390">
        <v>3</v>
      </c>
      <c r="U636" s="5" t="s">
        <v>97</v>
      </c>
      <c r="W636" s="5" t="s">
        <v>2468</v>
      </c>
      <c r="X636" s="5" t="s">
        <v>102</v>
      </c>
      <c r="AA636" s="5" t="s">
        <v>85</v>
      </c>
      <c r="AB636" s="5" t="s">
        <v>2469</v>
      </c>
      <c r="AC636" s="5" t="s">
        <v>2470</v>
      </c>
      <c r="AD636" s="5" t="s">
        <v>86</v>
      </c>
      <c r="AF636" s="5">
        <v>10</v>
      </c>
      <c r="AG636" s="5">
        <v>102</v>
      </c>
      <c r="AH636" s="5" t="s">
        <v>85</v>
      </c>
      <c r="AI636" s="5" t="s">
        <v>2471</v>
      </c>
      <c r="AJ636" s="5">
        <v>10</v>
      </c>
      <c r="AK636" s="5">
        <v>25</v>
      </c>
      <c r="AL636" s="5">
        <v>10</v>
      </c>
      <c r="AM636" s="5">
        <v>15</v>
      </c>
      <c r="AN636" s="5">
        <v>0</v>
      </c>
      <c r="AO636" s="5">
        <v>10</v>
      </c>
      <c r="AP636" s="5">
        <v>0</v>
      </c>
      <c r="AQ636" s="5">
        <v>0</v>
      </c>
      <c r="AT636" s="5">
        <v>0</v>
      </c>
      <c r="AU636" s="5">
        <v>0</v>
      </c>
      <c r="AX636" s="5">
        <v>0</v>
      </c>
      <c r="AY636" s="5" t="s">
        <v>86</v>
      </c>
      <c r="BN636" s="5" t="s">
        <v>86</v>
      </c>
      <c r="CD636" s="5">
        <v>0</v>
      </c>
      <c r="CF636" s="1442" t="str">
        <f>IF([1]!sommaire[[#This Row],[présence des personnes déplacés interne]]="Oui","1","0")</f>
        <v>1</v>
      </c>
      <c r="CG636" s="1442" t="str">
        <f>IF([1]!sommaire[[#This Row],[présence Réfugié hors camp]]="Oui","1","0")</f>
        <v>0</v>
      </c>
      <c r="CH636" s="1442" t="str">
        <f>IF([1]!sommaire[[#This Row],[présence personnes retournées]]="Oui","1","0")</f>
        <v>0</v>
      </c>
      <c r="CI636" s="1442">
        <f>[1]!sommaire[[#This Row],[Flag PDI]]+[1]!sommaire[[#This Row],[Flag REF]]+[1]!sommaire[[#This Row],[Flag RET]]</f>
        <v>1</v>
      </c>
    </row>
    <row r="637" spans="1:87" ht="14.55" customHeight="1" x14ac:dyDescent="0.3">
      <c r="A637" s="390">
        <v>2576321</v>
      </c>
      <c r="B637" s="5" t="s">
        <v>533</v>
      </c>
      <c r="C637" s="1430" t="s">
        <v>3449</v>
      </c>
      <c r="D637" s="1090" t="s">
        <v>534</v>
      </c>
      <c r="E637" s="5" t="s">
        <v>31</v>
      </c>
      <c r="F637" s="5" t="s">
        <v>31</v>
      </c>
      <c r="G637" s="5" t="s">
        <v>549</v>
      </c>
      <c r="H637" s="5" t="s">
        <v>171</v>
      </c>
      <c r="I637" s="5" t="str">
        <f>_xlfn.XLOOKUP(sommaire[[#This Row],[Arrondissement_code]],OCHA_GIS!$F:$F,OCHA_GIS!$E:$E,,)</f>
        <v>Makary</v>
      </c>
      <c r="J637" s="5" t="s">
        <v>634</v>
      </c>
      <c r="K637" t="s">
        <v>2018</v>
      </c>
      <c r="L637" s="5" t="s">
        <v>1342</v>
      </c>
      <c r="N637" s="5" t="s">
        <v>3053</v>
      </c>
      <c r="O637" s="5" t="s">
        <v>2467</v>
      </c>
      <c r="P637" s="5" t="s">
        <v>85</v>
      </c>
      <c r="Q637" s="5" t="s">
        <v>86</v>
      </c>
      <c r="R637" s="5" t="s">
        <v>86</v>
      </c>
      <c r="T637" s="390">
        <v>3</v>
      </c>
      <c r="U637" s="5" t="s">
        <v>97</v>
      </c>
      <c r="W637" s="5" t="s">
        <v>2468</v>
      </c>
      <c r="X637" s="5" t="s">
        <v>102</v>
      </c>
      <c r="AA637" s="5" t="s">
        <v>85</v>
      </c>
      <c r="AB637" s="5" t="s">
        <v>2469</v>
      </c>
      <c r="AC637" s="5" t="s">
        <v>2470</v>
      </c>
      <c r="AD637" s="5" t="s">
        <v>86</v>
      </c>
      <c r="AF637" s="5">
        <v>6</v>
      </c>
      <c r="AG637" s="5">
        <v>708</v>
      </c>
      <c r="AH637" s="5" t="s">
        <v>85</v>
      </c>
      <c r="AI637" s="5" t="s">
        <v>2471</v>
      </c>
      <c r="AJ637" s="5">
        <v>6</v>
      </c>
      <c r="AK637" s="5">
        <v>34</v>
      </c>
      <c r="AL637" s="5">
        <v>14</v>
      </c>
      <c r="AM637" s="5">
        <v>20</v>
      </c>
      <c r="AN637" s="5">
        <v>0</v>
      </c>
      <c r="AO637" s="5">
        <v>6</v>
      </c>
      <c r="AP637" s="5">
        <v>0</v>
      </c>
      <c r="AQ637" s="5">
        <v>0</v>
      </c>
      <c r="AT637" s="5">
        <v>0</v>
      </c>
      <c r="AU637" s="5">
        <v>0</v>
      </c>
      <c r="AX637" s="5">
        <v>0</v>
      </c>
      <c r="AY637" s="5" t="s">
        <v>85</v>
      </c>
      <c r="AZ637" s="5">
        <v>6</v>
      </c>
      <c r="BA637" s="5">
        <v>21</v>
      </c>
      <c r="BB637" s="5">
        <v>13</v>
      </c>
      <c r="BC637" s="5">
        <v>8</v>
      </c>
      <c r="BD637" s="5">
        <v>6</v>
      </c>
      <c r="BE637" s="5">
        <v>0</v>
      </c>
      <c r="BF637" s="5">
        <v>0</v>
      </c>
      <c r="BH637" s="5">
        <v>0</v>
      </c>
      <c r="BI637" s="5">
        <v>0</v>
      </c>
      <c r="BL637" s="5">
        <v>0</v>
      </c>
      <c r="BM637" s="5">
        <v>0</v>
      </c>
      <c r="BN637" s="5" t="s">
        <v>85</v>
      </c>
      <c r="BO637" s="5">
        <v>8</v>
      </c>
      <c r="BP637" s="5">
        <v>42</v>
      </c>
      <c r="BQ637" s="5">
        <v>19</v>
      </c>
      <c r="BR637" s="5">
        <v>23</v>
      </c>
      <c r="BS637" s="5" t="s">
        <v>2479</v>
      </c>
      <c r="BT637" s="5">
        <v>0</v>
      </c>
      <c r="BU637" s="5">
        <v>8</v>
      </c>
      <c r="BV637" s="5">
        <v>0</v>
      </c>
      <c r="BW637" s="5">
        <v>0</v>
      </c>
      <c r="BX637" s="5">
        <v>0</v>
      </c>
      <c r="BZ637" s="5">
        <v>0</v>
      </c>
      <c r="CA637" s="5">
        <v>0</v>
      </c>
      <c r="CC637" s="5">
        <v>0</v>
      </c>
      <c r="CD637" s="5">
        <v>0</v>
      </c>
      <c r="CF637" s="1442" t="str">
        <f>IF([1]!sommaire[[#This Row],[présence des personnes déplacés interne]]="Oui","1","0")</f>
        <v>1</v>
      </c>
      <c r="CG637" s="1442" t="str">
        <f>IF([1]!sommaire[[#This Row],[présence Réfugié hors camp]]="Oui","1","0")</f>
        <v>1</v>
      </c>
      <c r="CH637" s="1442" t="str">
        <f>IF([1]!sommaire[[#This Row],[présence personnes retournées]]="Oui","1","0")</f>
        <v>1</v>
      </c>
      <c r="CI637" s="1442">
        <f>[1]!sommaire[[#This Row],[Flag PDI]]+[1]!sommaire[[#This Row],[Flag REF]]+[1]!sommaire[[#This Row],[Flag RET]]</f>
        <v>3</v>
      </c>
    </row>
    <row r="638" spans="1:87" ht="14.55" customHeight="1" x14ac:dyDescent="0.3">
      <c r="A638" s="390">
        <v>2639011</v>
      </c>
      <c r="B638" s="5" t="s">
        <v>533</v>
      </c>
      <c r="C638" s="1430" t="s">
        <v>3449</v>
      </c>
      <c r="D638" s="1090" t="s">
        <v>534</v>
      </c>
      <c r="E638" s="5" t="s">
        <v>31</v>
      </c>
      <c r="F638" s="5" t="s">
        <v>31</v>
      </c>
      <c r="G638" s="5" t="s">
        <v>549</v>
      </c>
      <c r="H638" s="5" t="s">
        <v>171</v>
      </c>
      <c r="I638" s="5" t="str">
        <f>_xlfn.XLOOKUP(sommaire[[#This Row],[Arrondissement_code]],OCHA_GIS!$F:$F,OCHA_GIS!$E:$E,,)</f>
        <v>Makary</v>
      </c>
      <c r="J638" s="5" t="s">
        <v>634</v>
      </c>
      <c r="K638" t="s">
        <v>2974</v>
      </c>
      <c r="L638" s="5" t="s">
        <v>636</v>
      </c>
      <c r="N638" s="5" t="s">
        <v>3053</v>
      </c>
      <c r="O638" s="5" t="s">
        <v>2467</v>
      </c>
      <c r="P638" s="5" t="s">
        <v>85</v>
      </c>
      <c r="Q638" s="5" t="s">
        <v>86</v>
      </c>
      <c r="R638" s="5" t="s">
        <v>86</v>
      </c>
      <c r="T638" s="390">
        <v>3</v>
      </c>
      <c r="U638" s="5" t="s">
        <v>97</v>
      </c>
      <c r="W638" s="5" t="s">
        <v>2468</v>
      </c>
      <c r="X638" s="5" t="s">
        <v>102</v>
      </c>
      <c r="AA638" s="586" t="s">
        <v>85</v>
      </c>
      <c r="AB638" s="5" t="s">
        <v>2469</v>
      </c>
      <c r="AC638" s="5" t="s">
        <v>2470</v>
      </c>
      <c r="AD638" s="5" t="s">
        <v>86</v>
      </c>
      <c r="AF638" s="5">
        <v>14</v>
      </c>
      <c r="AG638" s="5">
        <v>443</v>
      </c>
      <c r="AH638" s="5" t="s">
        <v>85</v>
      </c>
      <c r="AI638" s="5" t="s">
        <v>2486</v>
      </c>
      <c r="AJ638" s="5">
        <v>14</v>
      </c>
      <c r="AK638" s="5">
        <v>128</v>
      </c>
      <c r="AL638" s="5">
        <v>53</v>
      </c>
      <c r="AM638" s="5">
        <v>75</v>
      </c>
      <c r="AN638" s="5">
        <v>0</v>
      </c>
      <c r="AO638" s="5">
        <v>14</v>
      </c>
      <c r="AP638" s="5">
        <v>0</v>
      </c>
      <c r="AQ638" s="5">
        <v>0</v>
      </c>
      <c r="AT638" s="5">
        <v>0</v>
      </c>
      <c r="AU638" s="5">
        <v>0</v>
      </c>
      <c r="AX638" s="5">
        <v>0</v>
      </c>
      <c r="AY638" s="5" t="s">
        <v>86</v>
      </c>
      <c r="BN638" s="5" t="s">
        <v>86</v>
      </c>
      <c r="CD638" s="5">
        <v>0</v>
      </c>
      <c r="CF638" s="1442" t="str">
        <f>IF([1]!sommaire[[#This Row],[présence des personnes déplacés interne]]="Oui","1","0")</f>
        <v>1</v>
      </c>
      <c r="CG638" s="1442" t="str">
        <f>IF([1]!sommaire[[#This Row],[présence Réfugié hors camp]]="Oui","1","0")</f>
        <v>0</v>
      </c>
      <c r="CH638" s="1442" t="str">
        <f>IF([1]!sommaire[[#This Row],[présence personnes retournées]]="Oui","1","0")</f>
        <v>0</v>
      </c>
      <c r="CI638" s="1442">
        <f>[1]!sommaire[[#This Row],[Flag PDI]]+[1]!sommaire[[#This Row],[Flag REF]]+[1]!sommaire[[#This Row],[Flag RET]]</f>
        <v>1</v>
      </c>
    </row>
    <row r="639" spans="1:87" ht="14.55" customHeight="1" x14ac:dyDescent="0.3">
      <c r="A639" s="390">
        <v>2591099</v>
      </c>
      <c r="B639" s="5" t="s">
        <v>533</v>
      </c>
      <c r="C639" s="1430" t="s">
        <v>3449</v>
      </c>
      <c r="D639" s="1090" t="s">
        <v>534</v>
      </c>
      <c r="E639" s="5" t="s">
        <v>31</v>
      </c>
      <c r="F639" s="5" t="s">
        <v>31</v>
      </c>
      <c r="G639" s="5" t="s">
        <v>549</v>
      </c>
      <c r="H639" s="5" t="s">
        <v>171</v>
      </c>
      <c r="I639" s="5" t="str">
        <f>_xlfn.XLOOKUP(sommaire[[#This Row],[Arrondissement_code]],OCHA_GIS!$F:$F,OCHA_GIS!$E:$E,,)</f>
        <v>Makary</v>
      </c>
      <c r="J639" s="5" t="s">
        <v>634</v>
      </c>
      <c r="K639" t="s">
        <v>2229</v>
      </c>
      <c r="L639" s="5" t="s">
        <v>1967</v>
      </c>
      <c r="N639" s="5" t="s">
        <v>3053</v>
      </c>
      <c r="O639" s="5" t="s">
        <v>2467</v>
      </c>
      <c r="P639" s="5" t="s">
        <v>85</v>
      </c>
      <c r="Q639" s="5" t="s">
        <v>86</v>
      </c>
      <c r="R639" s="5" t="s">
        <v>86</v>
      </c>
      <c r="T639" s="390">
        <v>3</v>
      </c>
      <c r="U639" s="5" t="s">
        <v>97</v>
      </c>
      <c r="W639" s="5" t="s">
        <v>2468</v>
      </c>
      <c r="X639" s="5" t="s">
        <v>103</v>
      </c>
      <c r="Y639" s="5" t="s">
        <v>2476</v>
      </c>
      <c r="AA639" s="586" t="s">
        <v>85</v>
      </c>
      <c r="AB639" s="5" t="s">
        <v>2469</v>
      </c>
      <c r="AC639" s="5" t="s">
        <v>2470</v>
      </c>
      <c r="AD639" s="5" t="s">
        <v>86</v>
      </c>
      <c r="AF639" s="5">
        <v>33</v>
      </c>
      <c r="AG639" s="5">
        <v>898</v>
      </c>
      <c r="AH639" s="5" t="s">
        <v>85</v>
      </c>
      <c r="AI639" s="5" t="s">
        <v>2471</v>
      </c>
      <c r="AJ639" s="5">
        <v>33</v>
      </c>
      <c r="AK639" s="5">
        <v>178</v>
      </c>
      <c r="AL639" s="5">
        <v>80</v>
      </c>
      <c r="AM639" s="5">
        <v>98</v>
      </c>
      <c r="AN639" s="5">
        <v>0</v>
      </c>
      <c r="AO639" s="5">
        <v>33</v>
      </c>
      <c r="AP639" s="5">
        <v>0</v>
      </c>
      <c r="AQ639" s="5">
        <v>0</v>
      </c>
      <c r="AT639" s="5">
        <v>0</v>
      </c>
      <c r="AU639" s="5">
        <v>0</v>
      </c>
      <c r="AX639" s="5">
        <v>0</v>
      </c>
      <c r="AY639" s="5" t="s">
        <v>86</v>
      </c>
      <c r="BN639" s="5" t="s">
        <v>86</v>
      </c>
      <c r="CD639" s="5">
        <v>0</v>
      </c>
      <c r="CF639" s="1442" t="str">
        <f>IF([1]!sommaire[[#This Row],[présence des personnes déplacés interne]]="Oui","1","0")</f>
        <v>1</v>
      </c>
      <c r="CG639" s="1442" t="str">
        <f>IF([1]!sommaire[[#This Row],[présence Réfugié hors camp]]="Oui","1","0")</f>
        <v>0</v>
      </c>
      <c r="CH639" s="1442" t="str">
        <f>IF([1]!sommaire[[#This Row],[présence personnes retournées]]="Oui","1","0")</f>
        <v>0</v>
      </c>
      <c r="CI639" s="1442">
        <f>[1]!sommaire[[#This Row],[Flag PDI]]+[1]!sommaire[[#This Row],[Flag REF]]+[1]!sommaire[[#This Row],[Flag RET]]</f>
        <v>1</v>
      </c>
    </row>
    <row r="640" spans="1:87" ht="14.55" customHeight="1" x14ac:dyDescent="0.3">
      <c r="A640" s="390">
        <v>2602057</v>
      </c>
      <c r="B640" s="5" t="s">
        <v>533</v>
      </c>
      <c r="C640" s="1430" t="s">
        <v>3449</v>
      </c>
      <c r="D640" s="1090" t="s">
        <v>534</v>
      </c>
      <c r="E640" s="5" t="s">
        <v>31</v>
      </c>
      <c r="F640" s="5" t="s">
        <v>31</v>
      </c>
      <c r="G640" s="5" t="s">
        <v>549</v>
      </c>
      <c r="H640" s="5" t="s">
        <v>171</v>
      </c>
      <c r="I640" s="5" t="str">
        <f>_xlfn.XLOOKUP(sommaire[[#This Row],[Arrondissement_code]],OCHA_GIS!$F:$F,OCHA_GIS!$E:$E,,)</f>
        <v>Makary</v>
      </c>
      <c r="J640" s="5" t="s">
        <v>634</v>
      </c>
      <c r="K640" t="s">
        <v>936</v>
      </c>
      <c r="L640" s="5" t="s">
        <v>912</v>
      </c>
      <c r="N640" s="5" t="s">
        <v>3053</v>
      </c>
      <c r="O640" s="5" t="s">
        <v>2467</v>
      </c>
      <c r="P640" s="5" t="s">
        <v>85</v>
      </c>
      <c r="Q640" s="5" t="s">
        <v>86</v>
      </c>
      <c r="R640" s="5" t="s">
        <v>86</v>
      </c>
      <c r="T640" s="390">
        <v>3</v>
      </c>
      <c r="U640" s="5" t="s">
        <v>97</v>
      </c>
      <c r="W640" s="5" t="s">
        <v>2468</v>
      </c>
      <c r="X640" s="5" t="s">
        <v>102</v>
      </c>
      <c r="AA640" s="5" t="s">
        <v>85</v>
      </c>
      <c r="AB640" s="5" t="s">
        <v>2469</v>
      </c>
      <c r="AC640" s="5" t="s">
        <v>2470</v>
      </c>
      <c r="AD640" s="5" t="s">
        <v>86</v>
      </c>
      <c r="AF640" s="5">
        <v>32</v>
      </c>
      <c r="AG640" s="5">
        <v>374</v>
      </c>
      <c r="AH640" s="5" t="s">
        <v>85</v>
      </c>
      <c r="AI640" s="5" t="s">
        <v>2485</v>
      </c>
      <c r="AJ640" s="5">
        <v>32</v>
      </c>
      <c r="AK640" s="5">
        <v>280</v>
      </c>
      <c r="AL640" s="5">
        <v>107</v>
      </c>
      <c r="AM640" s="5">
        <v>173</v>
      </c>
      <c r="AN640" s="5">
        <v>0</v>
      </c>
      <c r="AO640" s="5">
        <v>32</v>
      </c>
      <c r="AP640" s="5">
        <v>0</v>
      </c>
      <c r="AQ640" s="5">
        <v>0</v>
      </c>
      <c r="AT640" s="5">
        <v>0</v>
      </c>
      <c r="AU640" s="5">
        <v>0</v>
      </c>
      <c r="AX640" s="5">
        <v>0</v>
      </c>
      <c r="AY640" s="5" t="s">
        <v>86</v>
      </c>
      <c r="BN640" s="5" t="s">
        <v>86</v>
      </c>
      <c r="CD640" s="5">
        <v>0</v>
      </c>
      <c r="CF640" s="1442" t="str">
        <f>IF([1]!sommaire[[#This Row],[présence des personnes déplacés interne]]="Oui","1","0")</f>
        <v>1</v>
      </c>
      <c r="CG640" s="1442" t="str">
        <f>IF([1]!sommaire[[#This Row],[présence Réfugié hors camp]]="Oui","1","0")</f>
        <v>0</v>
      </c>
      <c r="CH640" s="1442" t="str">
        <f>IF([1]!sommaire[[#This Row],[présence personnes retournées]]="Oui","1","0")</f>
        <v>0</v>
      </c>
      <c r="CI640" s="1442">
        <f>[1]!sommaire[[#This Row],[Flag PDI]]+[1]!sommaire[[#This Row],[Flag REF]]+[1]!sommaire[[#This Row],[Flag RET]]</f>
        <v>1</v>
      </c>
    </row>
    <row r="641" spans="1:87" ht="14.55" customHeight="1" x14ac:dyDescent="0.3">
      <c r="A641" s="390">
        <v>2613052</v>
      </c>
      <c r="B641" s="5" t="s">
        <v>533</v>
      </c>
      <c r="C641" s="1430" t="s">
        <v>3449</v>
      </c>
      <c r="D641" s="1090" t="s">
        <v>534</v>
      </c>
      <c r="E641" s="5" t="s">
        <v>31</v>
      </c>
      <c r="F641" s="5" t="s">
        <v>31</v>
      </c>
      <c r="G641" s="5" t="s">
        <v>549</v>
      </c>
      <c r="H641" s="5" t="s">
        <v>171</v>
      </c>
      <c r="I641" s="5" t="str">
        <f>_xlfn.XLOOKUP(sommaire[[#This Row],[Arrondissement_code]],OCHA_GIS!$F:$F,OCHA_GIS!$E:$E,,)</f>
        <v>Makary</v>
      </c>
      <c r="J641" s="5" t="s">
        <v>634</v>
      </c>
      <c r="K641" t="s">
        <v>2148</v>
      </c>
      <c r="L641" s="5" t="s">
        <v>1247</v>
      </c>
      <c r="N641" s="5" t="s">
        <v>3053</v>
      </c>
      <c r="O641" s="5" t="s">
        <v>2467</v>
      </c>
      <c r="P641" s="5" t="s">
        <v>85</v>
      </c>
      <c r="Q641" s="5" t="s">
        <v>86</v>
      </c>
      <c r="R641" s="5" t="s">
        <v>86</v>
      </c>
      <c r="T641" s="390">
        <v>3</v>
      </c>
      <c r="U641" s="5" t="s">
        <v>97</v>
      </c>
      <c r="W641" s="5" t="s">
        <v>2468</v>
      </c>
      <c r="X641" s="5" t="s">
        <v>102</v>
      </c>
      <c r="AA641" s="586" t="s">
        <v>85</v>
      </c>
      <c r="AB641" s="5" t="s">
        <v>2469</v>
      </c>
      <c r="AC641" s="5" t="s">
        <v>2470</v>
      </c>
      <c r="AD641" s="5" t="s">
        <v>86</v>
      </c>
      <c r="AF641" s="5">
        <v>28</v>
      </c>
      <c r="AG641" s="5">
        <v>352</v>
      </c>
      <c r="AH641" s="5" t="s">
        <v>85</v>
      </c>
      <c r="AI641" s="5" t="s">
        <v>2471</v>
      </c>
      <c r="AJ641" s="5">
        <v>28</v>
      </c>
      <c r="AK641" s="5">
        <v>158</v>
      </c>
      <c r="AL641" s="5">
        <v>75</v>
      </c>
      <c r="AM641" s="5">
        <v>83</v>
      </c>
      <c r="AN641" s="5">
        <v>0</v>
      </c>
      <c r="AO641" s="5">
        <v>28</v>
      </c>
      <c r="AP641" s="5">
        <v>0</v>
      </c>
      <c r="AQ641" s="5">
        <v>0</v>
      </c>
      <c r="AT641" s="5">
        <v>0</v>
      </c>
      <c r="AU641" s="5">
        <v>0</v>
      </c>
      <c r="AX641" s="5">
        <v>0</v>
      </c>
      <c r="AY641" s="5" t="s">
        <v>86</v>
      </c>
      <c r="BN641" s="5" t="s">
        <v>86</v>
      </c>
      <c r="CD641" s="5">
        <v>0</v>
      </c>
      <c r="CF641" s="1442" t="str">
        <f>IF([1]!sommaire[[#This Row],[présence des personnes déplacés interne]]="Oui","1","0")</f>
        <v>1</v>
      </c>
      <c r="CG641" s="1442" t="str">
        <f>IF([1]!sommaire[[#This Row],[présence Réfugié hors camp]]="Oui","1","0")</f>
        <v>0</v>
      </c>
      <c r="CH641" s="1442" t="str">
        <f>IF([1]!sommaire[[#This Row],[présence personnes retournées]]="Oui","1","0")</f>
        <v>0</v>
      </c>
      <c r="CI641" s="1442">
        <f>[1]!sommaire[[#This Row],[Flag PDI]]+[1]!sommaire[[#This Row],[Flag REF]]+[1]!sommaire[[#This Row],[Flag RET]]</f>
        <v>1</v>
      </c>
    </row>
    <row r="642" spans="1:87" ht="14.55" customHeight="1" x14ac:dyDescent="0.3">
      <c r="A642" s="390">
        <v>2613252</v>
      </c>
      <c r="B642" s="5" t="s">
        <v>533</v>
      </c>
      <c r="C642" s="1430" t="s">
        <v>3449</v>
      </c>
      <c r="D642" s="1090" t="s">
        <v>534</v>
      </c>
      <c r="E642" s="5" t="s">
        <v>31</v>
      </c>
      <c r="F642" s="5" t="s">
        <v>31</v>
      </c>
      <c r="G642" s="5" t="s">
        <v>549</v>
      </c>
      <c r="H642" s="5" t="s">
        <v>171</v>
      </c>
      <c r="I642" s="5" t="str">
        <f>_xlfn.XLOOKUP(sommaire[[#This Row],[Arrondissement_code]],OCHA_GIS!$F:$F,OCHA_GIS!$E:$E,,)</f>
        <v>Makary</v>
      </c>
      <c r="J642" s="5" t="s">
        <v>634</v>
      </c>
      <c r="K642" t="s">
        <v>1214</v>
      </c>
      <c r="L642" s="5" t="s">
        <v>1809</v>
      </c>
      <c r="N642" s="5" t="s">
        <v>3053</v>
      </c>
      <c r="O642" s="5" t="s">
        <v>2467</v>
      </c>
      <c r="P642" s="5" t="s">
        <v>85</v>
      </c>
      <c r="Q642" s="5" t="s">
        <v>86</v>
      </c>
      <c r="R642" s="5" t="s">
        <v>86</v>
      </c>
      <c r="T642" s="390">
        <v>3</v>
      </c>
      <c r="U642" s="5" t="s">
        <v>97</v>
      </c>
      <c r="W642" s="5" t="s">
        <v>2468</v>
      </c>
      <c r="X642" s="5" t="s">
        <v>102</v>
      </c>
      <c r="AA642" s="5" t="s">
        <v>85</v>
      </c>
      <c r="AB642" s="5" t="s">
        <v>2469</v>
      </c>
      <c r="AC642" s="5" t="s">
        <v>2470</v>
      </c>
      <c r="AD642" s="5" t="s">
        <v>86</v>
      </c>
      <c r="AF642" s="5">
        <v>31</v>
      </c>
      <c r="AG642" s="5">
        <v>250</v>
      </c>
      <c r="AH642" s="5" t="s">
        <v>85</v>
      </c>
      <c r="AI642" s="5" t="s">
        <v>2471</v>
      </c>
      <c r="AJ642" s="5">
        <v>31</v>
      </c>
      <c r="AK642" s="5">
        <v>135</v>
      </c>
      <c r="AL642" s="5">
        <v>57</v>
      </c>
      <c r="AM642" s="5">
        <v>78</v>
      </c>
      <c r="AN642" s="5">
        <v>0</v>
      </c>
      <c r="AO642" s="5">
        <v>31</v>
      </c>
      <c r="AP642" s="5">
        <v>0</v>
      </c>
      <c r="AQ642" s="5">
        <v>0</v>
      </c>
      <c r="AT642" s="5">
        <v>0</v>
      </c>
      <c r="AU642" s="5">
        <v>0</v>
      </c>
      <c r="AX642" s="5">
        <v>0</v>
      </c>
      <c r="AY642" s="5" t="s">
        <v>86</v>
      </c>
      <c r="BN642" s="5" t="s">
        <v>86</v>
      </c>
      <c r="CD642" s="5">
        <v>0</v>
      </c>
      <c r="CF642" s="1442" t="str">
        <f>IF([1]!sommaire[[#This Row],[présence des personnes déplacés interne]]="Oui","1","0")</f>
        <v>1</v>
      </c>
      <c r="CG642" s="1442" t="str">
        <f>IF([1]!sommaire[[#This Row],[présence Réfugié hors camp]]="Oui","1","0")</f>
        <v>0</v>
      </c>
      <c r="CH642" s="1442" t="str">
        <f>IF([1]!sommaire[[#This Row],[présence personnes retournées]]="Oui","1","0")</f>
        <v>0</v>
      </c>
      <c r="CI642" s="1442">
        <f>[1]!sommaire[[#This Row],[Flag PDI]]+[1]!sommaire[[#This Row],[Flag REF]]+[1]!sommaire[[#This Row],[Flag RET]]</f>
        <v>1</v>
      </c>
    </row>
    <row r="643" spans="1:87" ht="14.55" customHeight="1" x14ac:dyDescent="0.3">
      <c r="A643" s="390">
        <v>2602497</v>
      </c>
      <c r="B643" s="5" t="s">
        <v>533</v>
      </c>
      <c r="C643" s="1430" t="s">
        <v>3449</v>
      </c>
      <c r="D643" s="1090" t="s">
        <v>534</v>
      </c>
      <c r="E643" s="5" t="s">
        <v>31</v>
      </c>
      <c r="F643" s="5" t="s">
        <v>31</v>
      </c>
      <c r="G643" s="5" t="s">
        <v>549</v>
      </c>
      <c r="H643" s="5" t="s">
        <v>171</v>
      </c>
      <c r="I643" s="5" t="str">
        <f>_xlfn.XLOOKUP(sommaire[[#This Row],[Arrondissement_code]],OCHA_GIS!$F:$F,OCHA_GIS!$E:$E,,)</f>
        <v>Makary</v>
      </c>
      <c r="J643" s="5" t="s">
        <v>634</v>
      </c>
      <c r="K643" t="s">
        <v>1026</v>
      </c>
      <c r="L643" s="5" t="s">
        <v>1813</v>
      </c>
      <c r="N643" s="5" t="s">
        <v>3053</v>
      </c>
      <c r="O643" s="5" t="s">
        <v>2467</v>
      </c>
      <c r="P643" s="5" t="s">
        <v>85</v>
      </c>
      <c r="Q643" s="5" t="s">
        <v>86</v>
      </c>
      <c r="R643" s="5" t="s">
        <v>86</v>
      </c>
      <c r="T643" s="390">
        <v>3</v>
      </c>
      <c r="U643" s="5" t="s">
        <v>97</v>
      </c>
      <c r="W643" s="5" t="s">
        <v>2468</v>
      </c>
      <c r="X643" s="5" t="s">
        <v>102</v>
      </c>
      <c r="AA643" s="5" t="s">
        <v>85</v>
      </c>
      <c r="AB643" s="5" t="s">
        <v>2469</v>
      </c>
      <c r="AC643" s="5" t="s">
        <v>2470</v>
      </c>
      <c r="AD643" s="5" t="s">
        <v>86</v>
      </c>
      <c r="AF643" s="5">
        <v>23</v>
      </c>
      <c r="AG643" s="5">
        <v>218</v>
      </c>
      <c r="AH643" s="5" t="s">
        <v>85</v>
      </c>
      <c r="AI643" s="5" t="s">
        <v>2486</v>
      </c>
      <c r="AJ643" s="5">
        <v>23</v>
      </c>
      <c r="AK643" s="5">
        <v>154</v>
      </c>
      <c r="AL643" s="5">
        <v>65</v>
      </c>
      <c r="AM643" s="5">
        <v>89</v>
      </c>
      <c r="AN643" s="5">
        <v>0</v>
      </c>
      <c r="AO643" s="5">
        <v>23</v>
      </c>
      <c r="AP643" s="5">
        <v>0</v>
      </c>
      <c r="AQ643" s="5">
        <v>0</v>
      </c>
      <c r="AT643" s="5">
        <v>0</v>
      </c>
      <c r="AU643" s="5">
        <v>0</v>
      </c>
      <c r="AX643" s="5">
        <v>0</v>
      </c>
      <c r="AY643" s="5" t="s">
        <v>86</v>
      </c>
      <c r="BN643" s="5" t="s">
        <v>86</v>
      </c>
      <c r="CD643" s="5">
        <v>0</v>
      </c>
      <c r="CF643" s="1442" t="str">
        <f>IF([1]!sommaire[[#This Row],[présence des personnes déplacés interne]]="Oui","1","0")</f>
        <v>1</v>
      </c>
      <c r="CG643" s="1442" t="str">
        <f>IF([1]!sommaire[[#This Row],[présence Réfugié hors camp]]="Oui","1","0")</f>
        <v>0</v>
      </c>
      <c r="CH643" s="1442" t="str">
        <f>IF([1]!sommaire[[#This Row],[présence personnes retournées]]="Oui","1","0")</f>
        <v>0</v>
      </c>
      <c r="CI643" s="1442">
        <f>[1]!sommaire[[#This Row],[Flag PDI]]+[1]!sommaire[[#This Row],[Flag REF]]+[1]!sommaire[[#This Row],[Flag RET]]</f>
        <v>1</v>
      </c>
    </row>
    <row r="644" spans="1:87" ht="14.55" customHeight="1" x14ac:dyDescent="0.3">
      <c r="A644" s="390">
        <v>2613251</v>
      </c>
      <c r="B644" s="5" t="s">
        <v>533</v>
      </c>
      <c r="C644" s="1430" t="s">
        <v>3449</v>
      </c>
      <c r="D644" s="1090" t="s">
        <v>534</v>
      </c>
      <c r="E644" s="5" t="s">
        <v>31</v>
      </c>
      <c r="F644" s="5" t="s">
        <v>31</v>
      </c>
      <c r="G644" s="5" t="s">
        <v>549</v>
      </c>
      <c r="H644" s="5" t="s">
        <v>171</v>
      </c>
      <c r="I644" s="5" t="str">
        <f>_xlfn.XLOOKUP(sommaire[[#This Row],[Arrondissement_code]],OCHA_GIS!$F:$F,OCHA_GIS!$E:$E,,)</f>
        <v>Makary</v>
      </c>
      <c r="J644" s="5" t="s">
        <v>634</v>
      </c>
      <c r="K644" t="s">
        <v>2975</v>
      </c>
      <c r="L644" s="5" t="s">
        <v>2134</v>
      </c>
      <c r="N644" s="5" t="s">
        <v>3053</v>
      </c>
      <c r="O644" s="5" t="s">
        <v>2467</v>
      </c>
      <c r="P644" s="5" t="s">
        <v>85</v>
      </c>
      <c r="Q644" s="5" t="s">
        <v>86</v>
      </c>
      <c r="R644" s="5" t="s">
        <v>86</v>
      </c>
      <c r="T644" s="390">
        <v>3</v>
      </c>
      <c r="U644" s="5" t="s">
        <v>97</v>
      </c>
      <c r="W644" s="5" t="s">
        <v>2468</v>
      </c>
      <c r="X644" s="5" t="s">
        <v>102</v>
      </c>
      <c r="AA644" s="5" t="s">
        <v>85</v>
      </c>
      <c r="AB644" s="5" t="s">
        <v>2469</v>
      </c>
      <c r="AC644" s="5" t="s">
        <v>2470</v>
      </c>
      <c r="AD644" s="1090" t="s">
        <v>86</v>
      </c>
      <c r="AF644" s="5">
        <v>22</v>
      </c>
      <c r="AG644" s="5">
        <v>752</v>
      </c>
      <c r="AH644" s="5" t="s">
        <v>85</v>
      </c>
      <c r="AI644" s="5" t="s">
        <v>2485</v>
      </c>
      <c r="AJ644" s="5">
        <v>22</v>
      </c>
      <c r="AK644" s="5">
        <v>86</v>
      </c>
      <c r="AL644" s="5">
        <v>39</v>
      </c>
      <c r="AM644" s="5">
        <v>47</v>
      </c>
      <c r="AN644" s="5">
        <v>0</v>
      </c>
      <c r="AO644" s="5">
        <v>22</v>
      </c>
      <c r="AP644" s="5">
        <v>0</v>
      </c>
      <c r="AQ644" s="5">
        <v>0</v>
      </c>
      <c r="AT644" s="5">
        <v>0</v>
      </c>
      <c r="AU644" s="5">
        <v>0</v>
      </c>
      <c r="AX644" s="5">
        <v>0</v>
      </c>
      <c r="AY644" s="5" t="s">
        <v>86</v>
      </c>
      <c r="BN644" s="5" t="s">
        <v>86</v>
      </c>
      <c r="CD644" s="5">
        <v>0</v>
      </c>
      <c r="CF644" s="1442" t="str">
        <f>IF([1]!sommaire[[#This Row],[présence des personnes déplacés interne]]="Oui","1","0")</f>
        <v>1</v>
      </c>
      <c r="CG644" s="1442" t="str">
        <f>IF([1]!sommaire[[#This Row],[présence Réfugié hors camp]]="Oui","1","0")</f>
        <v>0</v>
      </c>
      <c r="CH644" s="1442" t="str">
        <f>IF([1]!sommaire[[#This Row],[présence personnes retournées]]="Oui","1","0")</f>
        <v>0</v>
      </c>
      <c r="CI644" s="1442">
        <f>[1]!sommaire[[#This Row],[Flag PDI]]+[1]!sommaire[[#This Row],[Flag REF]]+[1]!sommaire[[#This Row],[Flag RET]]</f>
        <v>1</v>
      </c>
    </row>
    <row r="645" spans="1:87" ht="14.55" customHeight="1" x14ac:dyDescent="0.3">
      <c r="A645" s="390">
        <v>2639012</v>
      </c>
      <c r="B645" s="5" t="s">
        <v>533</v>
      </c>
      <c r="C645" s="1430" t="s">
        <v>3449</v>
      </c>
      <c r="D645" s="1090" t="s">
        <v>534</v>
      </c>
      <c r="E645" s="5" t="s">
        <v>31</v>
      </c>
      <c r="F645" s="5" t="s">
        <v>31</v>
      </c>
      <c r="G645" s="5" t="s">
        <v>549</v>
      </c>
      <c r="H645" s="5" t="s">
        <v>171</v>
      </c>
      <c r="I645" s="5" t="str">
        <f>_xlfn.XLOOKUP(sommaire[[#This Row],[Arrondissement_code]],OCHA_GIS!$F:$F,OCHA_GIS!$E:$E,,)</f>
        <v>Makary</v>
      </c>
      <c r="J645" s="5" t="s">
        <v>634</v>
      </c>
      <c r="K645" t="s">
        <v>1322</v>
      </c>
      <c r="L645" s="5" t="s">
        <v>2002</v>
      </c>
      <c r="N645" s="5" t="s">
        <v>3053</v>
      </c>
      <c r="O645" s="5" t="s">
        <v>2467</v>
      </c>
      <c r="P645" s="5" t="s">
        <v>85</v>
      </c>
      <c r="Q645" s="5" t="s">
        <v>86</v>
      </c>
      <c r="R645" s="5" t="s">
        <v>86</v>
      </c>
      <c r="T645" s="390">
        <v>3</v>
      </c>
      <c r="U645" s="5" t="s">
        <v>97</v>
      </c>
      <c r="W645" s="5" t="s">
        <v>2468</v>
      </c>
      <c r="X645" s="5" t="s">
        <v>102</v>
      </c>
      <c r="AA645" s="5" t="s">
        <v>85</v>
      </c>
      <c r="AB645" s="5" t="s">
        <v>2469</v>
      </c>
      <c r="AC645" s="5" t="s">
        <v>2470</v>
      </c>
      <c r="AD645" s="5" t="s">
        <v>86</v>
      </c>
      <c r="AF645" s="5">
        <v>39</v>
      </c>
      <c r="AG645" s="5">
        <v>931</v>
      </c>
      <c r="AH645" s="5" t="s">
        <v>85</v>
      </c>
      <c r="AI645" s="5" t="s">
        <v>2471</v>
      </c>
      <c r="AJ645" s="5">
        <v>39</v>
      </c>
      <c r="AK645" s="5">
        <v>250</v>
      </c>
      <c r="AL645" s="5">
        <v>118</v>
      </c>
      <c r="AM645" s="5">
        <v>132</v>
      </c>
      <c r="AN645" s="5">
        <v>8</v>
      </c>
      <c r="AO645" s="5">
        <v>31</v>
      </c>
      <c r="AP645" s="5">
        <v>0</v>
      </c>
      <c r="AQ645" s="5">
        <v>0</v>
      </c>
      <c r="AT645" s="5">
        <v>0</v>
      </c>
      <c r="AU645" s="5">
        <v>0</v>
      </c>
      <c r="AX645" s="5">
        <v>0</v>
      </c>
      <c r="AY645" s="5" t="s">
        <v>86</v>
      </c>
      <c r="BN645" s="5" t="s">
        <v>86</v>
      </c>
      <c r="CD645" s="5">
        <v>0</v>
      </c>
      <c r="CF645" s="1442" t="str">
        <f>IF([1]!sommaire[[#This Row],[présence des personnes déplacés interne]]="Oui","1","0")</f>
        <v>1</v>
      </c>
      <c r="CG645" s="1442" t="str">
        <f>IF([1]!sommaire[[#This Row],[présence Réfugié hors camp]]="Oui","1","0")</f>
        <v>0</v>
      </c>
      <c r="CH645" s="1442" t="str">
        <f>IF([1]!sommaire[[#This Row],[présence personnes retournées]]="Oui","1","0")</f>
        <v>0</v>
      </c>
      <c r="CI645" s="1442">
        <f>[1]!sommaire[[#This Row],[Flag PDI]]+[1]!sommaire[[#This Row],[Flag REF]]+[1]!sommaire[[#This Row],[Flag RET]]</f>
        <v>1</v>
      </c>
    </row>
    <row r="646" spans="1:87" ht="14.55" customHeight="1" x14ac:dyDescent="0.3">
      <c r="A646" s="390">
        <v>2652392</v>
      </c>
      <c r="B646" s="5" t="s">
        <v>533</v>
      </c>
      <c r="C646" s="1430" t="s">
        <v>3449</v>
      </c>
      <c r="D646" s="1090" t="s">
        <v>534</v>
      </c>
      <c r="E646" s="5" t="s">
        <v>31</v>
      </c>
      <c r="F646" s="5" t="s">
        <v>31</v>
      </c>
      <c r="G646" s="5" t="s">
        <v>549</v>
      </c>
      <c r="H646" s="5" t="s">
        <v>171</v>
      </c>
      <c r="I646" s="5" t="str">
        <f>_xlfn.XLOOKUP(sommaire[[#This Row],[Arrondissement_code]],OCHA_GIS!$F:$F,OCHA_GIS!$E:$E,,)</f>
        <v>Makary</v>
      </c>
      <c r="J646" s="5" t="s">
        <v>634</v>
      </c>
      <c r="K646" t="s">
        <v>1341</v>
      </c>
      <c r="L646" s="5" t="s">
        <v>1756</v>
      </c>
      <c r="N646" s="5" t="s">
        <v>3053</v>
      </c>
      <c r="O646" s="5" t="s">
        <v>2467</v>
      </c>
      <c r="P646" s="5" t="s">
        <v>85</v>
      </c>
      <c r="Q646" s="5" t="s">
        <v>86</v>
      </c>
      <c r="R646" s="5" t="s">
        <v>86</v>
      </c>
      <c r="T646" s="390">
        <v>3</v>
      </c>
      <c r="U646" s="5" t="s">
        <v>97</v>
      </c>
      <c r="W646" s="5" t="s">
        <v>2468</v>
      </c>
      <c r="X646" s="5" t="s">
        <v>102</v>
      </c>
      <c r="AA646" s="5" t="s">
        <v>85</v>
      </c>
      <c r="AB646" s="5" t="s">
        <v>2469</v>
      </c>
      <c r="AC646" s="5" t="s">
        <v>2470</v>
      </c>
      <c r="AD646" s="1090" t="s">
        <v>86</v>
      </c>
      <c r="AF646" s="5">
        <v>18</v>
      </c>
      <c r="AG646" s="5">
        <v>118</v>
      </c>
      <c r="AH646" s="5" t="s">
        <v>85</v>
      </c>
      <c r="AI646" s="5" t="s">
        <v>2471</v>
      </c>
      <c r="AJ646" s="5">
        <v>18</v>
      </c>
      <c r="AK646" s="5">
        <v>109</v>
      </c>
      <c r="AL646" s="5">
        <v>49</v>
      </c>
      <c r="AM646" s="5">
        <v>60</v>
      </c>
      <c r="AN646" s="5">
        <v>0</v>
      </c>
      <c r="AO646" s="5">
        <v>18</v>
      </c>
      <c r="AP646" s="5">
        <v>0</v>
      </c>
      <c r="AQ646" s="5">
        <v>0</v>
      </c>
      <c r="AT646" s="5">
        <v>0</v>
      </c>
      <c r="AU646" s="5">
        <v>0</v>
      </c>
      <c r="AX646" s="5">
        <v>0</v>
      </c>
      <c r="AY646" s="5" t="s">
        <v>85</v>
      </c>
      <c r="AZ646" s="5">
        <v>6</v>
      </c>
      <c r="BA646" s="5">
        <v>9</v>
      </c>
      <c r="BB646" s="5">
        <v>4</v>
      </c>
      <c r="BC646" s="5">
        <v>5</v>
      </c>
      <c r="BD646" s="5">
        <v>6</v>
      </c>
      <c r="BE646" s="5">
        <v>0</v>
      </c>
      <c r="BF646" s="5">
        <v>0</v>
      </c>
      <c r="BH646" s="5">
        <v>0</v>
      </c>
      <c r="BI646" s="5">
        <v>0</v>
      </c>
      <c r="BL646" s="5">
        <v>0</v>
      </c>
      <c r="BM646" s="5">
        <v>0</v>
      </c>
      <c r="BN646" s="5" t="s">
        <v>86</v>
      </c>
      <c r="CD646" s="5">
        <v>0</v>
      </c>
      <c r="CF646" s="1442" t="str">
        <f>IF([1]!sommaire[[#This Row],[présence des personnes déplacés interne]]="Oui","1","0")</f>
        <v>1</v>
      </c>
      <c r="CG646" s="1442" t="str">
        <f>IF([1]!sommaire[[#This Row],[présence Réfugié hors camp]]="Oui","1","0")</f>
        <v>1</v>
      </c>
      <c r="CH646" s="1442" t="str">
        <f>IF([1]!sommaire[[#This Row],[présence personnes retournées]]="Oui","1","0")</f>
        <v>0</v>
      </c>
      <c r="CI646" s="1442">
        <f>[1]!sommaire[[#This Row],[Flag PDI]]+[1]!sommaire[[#This Row],[Flag REF]]+[1]!sommaire[[#This Row],[Flag RET]]</f>
        <v>2</v>
      </c>
    </row>
    <row r="647" spans="1:87" ht="14.55" customHeight="1" x14ac:dyDescent="0.3">
      <c r="A647" s="390">
        <v>2669131</v>
      </c>
      <c r="B647" s="5" t="s">
        <v>533</v>
      </c>
      <c r="C647" s="1430" t="s">
        <v>3449</v>
      </c>
      <c r="D647" s="1090" t="s">
        <v>534</v>
      </c>
      <c r="E647" s="5" t="s">
        <v>31</v>
      </c>
      <c r="F647" s="5" t="s">
        <v>31</v>
      </c>
      <c r="G647" s="5" t="s">
        <v>549</v>
      </c>
      <c r="H647" s="5" t="s">
        <v>171</v>
      </c>
      <c r="I647" s="5" t="str">
        <f>_xlfn.XLOOKUP(sommaire[[#This Row],[Arrondissement_code]],OCHA_GIS!$F:$F,OCHA_GIS!$E:$E,,)</f>
        <v>Makary</v>
      </c>
      <c r="J647" s="5" t="s">
        <v>634</v>
      </c>
      <c r="K647" t="s">
        <v>893</v>
      </c>
      <c r="L647" s="5" t="s">
        <v>2167</v>
      </c>
      <c r="N647" s="5" t="s">
        <v>3053</v>
      </c>
      <c r="O647" s="5" t="s">
        <v>2467</v>
      </c>
      <c r="P647" s="5" t="s">
        <v>85</v>
      </c>
      <c r="Q647" s="5" t="s">
        <v>86</v>
      </c>
      <c r="R647" s="5" t="s">
        <v>86</v>
      </c>
      <c r="T647" s="390">
        <v>3</v>
      </c>
      <c r="U647" s="5" t="s">
        <v>97</v>
      </c>
      <c r="W647" s="5" t="s">
        <v>2468</v>
      </c>
      <c r="X647" s="5" t="s">
        <v>102</v>
      </c>
      <c r="AA647" s="5" t="s">
        <v>85</v>
      </c>
      <c r="AB647" s="5" t="s">
        <v>2469</v>
      </c>
      <c r="AC647" s="5" t="s">
        <v>2470</v>
      </c>
      <c r="AD647" s="5" t="s">
        <v>86</v>
      </c>
      <c r="AG647" s="5">
        <v>125</v>
      </c>
      <c r="AH647" s="5" t="s">
        <v>86</v>
      </c>
      <c r="AY647" s="5" t="s">
        <v>85</v>
      </c>
      <c r="AZ647" s="5">
        <v>15</v>
      </c>
      <c r="BA647" s="5">
        <v>78</v>
      </c>
      <c r="BB647" s="5">
        <v>39</v>
      </c>
      <c r="BC647" s="5">
        <v>39</v>
      </c>
      <c r="BD647" s="5">
        <v>15</v>
      </c>
      <c r="BE647" s="5">
        <v>0</v>
      </c>
      <c r="BF647" s="5">
        <v>0</v>
      </c>
      <c r="BH647" s="5">
        <v>0</v>
      </c>
      <c r="BI647" s="5">
        <v>0</v>
      </c>
      <c r="BL647" s="5">
        <v>0</v>
      </c>
      <c r="BM647" s="5">
        <v>0</v>
      </c>
      <c r="BN647" s="5" t="s">
        <v>86</v>
      </c>
      <c r="CD647" s="5">
        <v>0</v>
      </c>
      <c r="CF647" s="1442" t="str">
        <f>IF([1]!sommaire[[#This Row],[présence des personnes déplacés interne]]="Oui","1","0")</f>
        <v>0</v>
      </c>
      <c r="CG647" s="1442" t="str">
        <f>IF([1]!sommaire[[#This Row],[présence Réfugié hors camp]]="Oui","1","0")</f>
        <v>1</v>
      </c>
      <c r="CH647" s="1442" t="str">
        <f>IF([1]!sommaire[[#This Row],[présence personnes retournées]]="Oui","1","0")</f>
        <v>0</v>
      </c>
      <c r="CI647" s="1442">
        <f>[1]!sommaire[[#This Row],[Flag PDI]]+[1]!sommaire[[#This Row],[Flag REF]]+[1]!sommaire[[#This Row],[Flag RET]]</f>
        <v>1</v>
      </c>
    </row>
    <row r="648" spans="1:87" ht="14.55" customHeight="1" x14ac:dyDescent="0.3">
      <c r="A648" s="390">
        <v>2670835</v>
      </c>
      <c r="B648" s="5" t="s">
        <v>533</v>
      </c>
      <c r="C648" s="1430" t="s">
        <v>3449</v>
      </c>
      <c r="D648" s="1090" t="s">
        <v>534</v>
      </c>
      <c r="E648" s="5" t="s">
        <v>31</v>
      </c>
      <c r="F648" s="5" t="s">
        <v>31</v>
      </c>
      <c r="G648" s="5" t="s">
        <v>549</v>
      </c>
      <c r="H648" s="5" t="s">
        <v>171</v>
      </c>
      <c r="I648" s="5" t="str">
        <f>_xlfn.XLOOKUP(sommaire[[#This Row],[Arrondissement_code]],OCHA_GIS!$F:$F,OCHA_GIS!$E:$E,,)</f>
        <v>Makary</v>
      </c>
      <c r="J648" s="5" t="s">
        <v>634</v>
      </c>
      <c r="K648" t="s">
        <v>1966</v>
      </c>
      <c r="L648" s="5" t="s">
        <v>1830</v>
      </c>
      <c r="N648" s="5" t="s">
        <v>3053</v>
      </c>
      <c r="O648" s="5" t="s">
        <v>2467</v>
      </c>
      <c r="P648" s="5" t="s">
        <v>85</v>
      </c>
      <c r="Q648" s="5" t="s">
        <v>86</v>
      </c>
      <c r="R648" s="5" t="s">
        <v>86</v>
      </c>
      <c r="T648" s="390">
        <v>3</v>
      </c>
      <c r="U648" s="5" t="s">
        <v>97</v>
      </c>
      <c r="W648" s="5" t="s">
        <v>2468</v>
      </c>
      <c r="X648" s="5" t="s">
        <v>103</v>
      </c>
      <c r="Y648" s="5" t="s">
        <v>2476</v>
      </c>
      <c r="AA648" s="5" t="s">
        <v>85</v>
      </c>
      <c r="AB648" s="5" t="s">
        <v>2469</v>
      </c>
      <c r="AC648" s="5" t="s">
        <v>2470</v>
      </c>
      <c r="AD648" s="5" t="s">
        <v>86</v>
      </c>
      <c r="AF648" s="5">
        <v>7</v>
      </c>
      <c r="AG648" s="5">
        <v>443</v>
      </c>
      <c r="AH648" s="5" t="s">
        <v>85</v>
      </c>
      <c r="AI648" s="5" t="s">
        <v>2485</v>
      </c>
      <c r="AJ648" s="5">
        <v>7</v>
      </c>
      <c r="AK648" s="5">
        <v>41</v>
      </c>
      <c r="AL648" s="5">
        <v>17</v>
      </c>
      <c r="AM648" s="5">
        <v>24</v>
      </c>
      <c r="AN648" s="5">
        <v>4</v>
      </c>
      <c r="AO648" s="5">
        <v>3</v>
      </c>
      <c r="AP648" s="5">
        <v>0</v>
      </c>
      <c r="AQ648" s="5">
        <v>0</v>
      </c>
      <c r="AT648" s="5">
        <v>0</v>
      </c>
      <c r="AU648" s="5">
        <v>0</v>
      </c>
      <c r="AX648" s="5">
        <v>0</v>
      </c>
      <c r="AY648" s="5" t="s">
        <v>85</v>
      </c>
      <c r="AZ648" s="5">
        <v>9</v>
      </c>
      <c r="BA648" s="5">
        <v>36</v>
      </c>
      <c r="BB648" s="5">
        <v>12</v>
      </c>
      <c r="BC648" s="5">
        <v>24</v>
      </c>
      <c r="BD648" s="5">
        <v>9</v>
      </c>
      <c r="BE648" s="5">
        <v>0</v>
      </c>
      <c r="BF648" s="5">
        <v>0</v>
      </c>
      <c r="BH648" s="5">
        <v>0</v>
      </c>
      <c r="BI648" s="5">
        <v>0</v>
      </c>
      <c r="BL648" s="5">
        <v>0</v>
      </c>
      <c r="BM648" s="5">
        <v>0</v>
      </c>
      <c r="BN648" s="5" t="s">
        <v>86</v>
      </c>
      <c r="CD648" s="5">
        <v>0</v>
      </c>
      <c r="CF648" s="1442" t="str">
        <f>IF([1]!sommaire[[#This Row],[présence des personnes déplacés interne]]="Oui","1","0")</f>
        <v>1</v>
      </c>
      <c r="CG648" s="1442" t="str">
        <f>IF([1]!sommaire[[#This Row],[présence Réfugié hors camp]]="Oui","1","0")</f>
        <v>1</v>
      </c>
      <c r="CH648" s="1442" t="str">
        <f>IF([1]!sommaire[[#This Row],[présence personnes retournées]]="Oui","1","0")</f>
        <v>0</v>
      </c>
      <c r="CI648" s="1442">
        <f>[1]!sommaire[[#This Row],[Flag PDI]]+[1]!sommaire[[#This Row],[Flag REF]]+[1]!sommaire[[#This Row],[Flag RET]]</f>
        <v>2</v>
      </c>
    </row>
    <row r="649" spans="1:87" ht="14.55" customHeight="1" x14ac:dyDescent="0.3">
      <c r="A649" s="390">
        <v>2670836</v>
      </c>
      <c r="B649" s="5" t="s">
        <v>533</v>
      </c>
      <c r="C649" s="1430" t="s">
        <v>3449</v>
      </c>
      <c r="D649" s="1090" t="s">
        <v>534</v>
      </c>
      <c r="E649" s="5" t="s">
        <v>31</v>
      </c>
      <c r="F649" s="5" t="s">
        <v>31</v>
      </c>
      <c r="G649" s="5" t="s">
        <v>549</v>
      </c>
      <c r="H649" s="5" t="s">
        <v>171</v>
      </c>
      <c r="I649" s="5" t="str">
        <f>_xlfn.XLOOKUP(sommaire[[#This Row],[Arrondissement_code]],OCHA_GIS!$F:$F,OCHA_GIS!$E:$E,,)</f>
        <v>Makary</v>
      </c>
      <c r="J649" s="5" t="s">
        <v>634</v>
      </c>
      <c r="K649" t="s">
        <v>911</v>
      </c>
      <c r="L649" s="5" t="s">
        <v>2605</v>
      </c>
      <c r="N649" s="5" t="s">
        <v>3053</v>
      </c>
      <c r="O649" s="5" t="s">
        <v>2467</v>
      </c>
      <c r="P649" s="5" t="s">
        <v>85</v>
      </c>
      <c r="Q649" s="5" t="s">
        <v>86</v>
      </c>
      <c r="R649" s="5" t="s">
        <v>86</v>
      </c>
      <c r="T649" s="390">
        <v>3</v>
      </c>
      <c r="U649" s="5" t="s">
        <v>97</v>
      </c>
      <c r="W649" s="5" t="s">
        <v>2468</v>
      </c>
      <c r="X649" s="5" t="s">
        <v>103</v>
      </c>
      <c r="Y649" s="5" t="s">
        <v>2476</v>
      </c>
      <c r="AA649" s="5" t="s">
        <v>85</v>
      </c>
      <c r="AB649" s="5" t="s">
        <v>2469</v>
      </c>
      <c r="AC649" s="5" t="s">
        <v>2470</v>
      </c>
      <c r="AD649" s="5" t="s">
        <v>86</v>
      </c>
      <c r="AF649" s="5">
        <v>14</v>
      </c>
      <c r="AG649" s="5">
        <v>558</v>
      </c>
      <c r="AH649" s="5" t="s">
        <v>85</v>
      </c>
      <c r="AI649" s="5" t="s">
        <v>2471</v>
      </c>
      <c r="AJ649" s="5">
        <v>14</v>
      </c>
      <c r="AK649" s="5">
        <v>104</v>
      </c>
      <c r="AL649" s="5">
        <v>62</v>
      </c>
      <c r="AM649" s="5">
        <v>42</v>
      </c>
      <c r="AN649" s="5">
        <v>6</v>
      </c>
      <c r="AO649" s="5">
        <v>8</v>
      </c>
      <c r="AP649" s="5">
        <v>0</v>
      </c>
      <c r="AQ649" s="5">
        <v>0</v>
      </c>
      <c r="AT649" s="5">
        <v>0</v>
      </c>
      <c r="AU649" s="5">
        <v>0</v>
      </c>
      <c r="AX649" s="5">
        <v>0</v>
      </c>
      <c r="AY649" s="5" t="s">
        <v>85</v>
      </c>
      <c r="AZ649" s="5">
        <v>4</v>
      </c>
      <c r="BA649" s="5">
        <v>27</v>
      </c>
      <c r="BB649" s="5">
        <v>19</v>
      </c>
      <c r="BC649" s="5">
        <v>8</v>
      </c>
      <c r="BD649" s="5">
        <v>4</v>
      </c>
      <c r="BE649" s="5">
        <v>0</v>
      </c>
      <c r="BF649" s="5">
        <v>0</v>
      </c>
      <c r="BH649" s="5">
        <v>0</v>
      </c>
      <c r="BI649" s="5">
        <v>0</v>
      </c>
      <c r="BL649" s="5">
        <v>0</v>
      </c>
      <c r="BM649" s="5">
        <v>0</v>
      </c>
      <c r="BN649" s="5" t="s">
        <v>86</v>
      </c>
      <c r="CD649" s="5">
        <v>0</v>
      </c>
      <c r="CF649" s="1442" t="str">
        <f>IF([1]!sommaire[[#This Row],[présence des personnes déplacés interne]]="Oui","1","0")</f>
        <v>1</v>
      </c>
      <c r="CG649" s="1442" t="str">
        <f>IF([1]!sommaire[[#This Row],[présence Réfugié hors camp]]="Oui","1","0")</f>
        <v>1</v>
      </c>
      <c r="CH649" s="1442" t="str">
        <f>IF([1]!sommaire[[#This Row],[présence personnes retournées]]="Oui","1","0")</f>
        <v>0</v>
      </c>
      <c r="CI649" s="1442">
        <f>[1]!sommaire[[#This Row],[Flag PDI]]+[1]!sommaire[[#This Row],[Flag REF]]+[1]!sommaire[[#This Row],[Flag RET]]</f>
        <v>2</v>
      </c>
    </row>
    <row r="650" spans="1:87" ht="14.55" customHeight="1" x14ac:dyDescent="0.3">
      <c r="A650" s="390">
        <v>2666348</v>
      </c>
      <c r="B650" s="5" t="s">
        <v>533</v>
      </c>
      <c r="C650" s="1430" t="s">
        <v>3449</v>
      </c>
      <c r="D650" s="1090" t="s">
        <v>534</v>
      </c>
      <c r="E650" s="5" t="s">
        <v>31</v>
      </c>
      <c r="F650" s="5" t="s">
        <v>31</v>
      </c>
      <c r="G650" s="5" t="s">
        <v>549</v>
      </c>
      <c r="H650" s="5" t="s">
        <v>171</v>
      </c>
      <c r="I650" s="5" t="str">
        <f>_xlfn.XLOOKUP(sommaire[[#This Row],[Arrondissement_code]],OCHA_GIS!$F:$F,OCHA_GIS!$E:$E,,)</f>
        <v>Makary</v>
      </c>
      <c r="J650" s="5" t="s">
        <v>634</v>
      </c>
      <c r="K650" t="s">
        <v>1808</v>
      </c>
      <c r="L650" s="5" t="s">
        <v>1821</v>
      </c>
      <c r="N650" s="5" t="s">
        <v>3053</v>
      </c>
      <c r="O650" s="5" t="s">
        <v>2467</v>
      </c>
      <c r="P650" s="5" t="s">
        <v>85</v>
      </c>
      <c r="Q650" s="5" t="s">
        <v>86</v>
      </c>
      <c r="R650" s="5" t="s">
        <v>86</v>
      </c>
      <c r="T650" s="390">
        <v>4</v>
      </c>
      <c r="U650" s="5" t="s">
        <v>97</v>
      </c>
      <c r="W650" s="5" t="s">
        <v>2468</v>
      </c>
      <c r="X650" s="5" t="s">
        <v>103</v>
      </c>
      <c r="Y650" s="5" t="s">
        <v>2476</v>
      </c>
      <c r="AA650" s="5" t="s">
        <v>85</v>
      </c>
      <c r="AB650" s="5" t="s">
        <v>2469</v>
      </c>
      <c r="AC650" s="5" t="s">
        <v>2470</v>
      </c>
      <c r="AD650" s="5" t="s">
        <v>86</v>
      </c>
      <c r="AF650" s="5">
        <v>10</v>
      </c>
      <c r="AG650" s="5">
        <v>1219</v>
      </c>
      <c r="AH650" s="5" t="s">
        <v>85</v>
      </c>
      <c r="AI650" s="5" t="s">
        <v>2471</v>
      </c>
      <c r="AJ650" s="5">
        <v>10</v>
      </c>
      <c r="AK650" s="5">
        <v>62</v>
      </c>
      <c r="AL650" s="5">
        <v>28</v>
      </c>
      <c r="AM650" s="5">
        <v>34</v>
      </c>
      <c r="AN650" s="5">
        <v>5</v>
      </c>
      <c r="AO650" s="5">
        <v>5</v>
      </c>
      <c r="AP650" s="5">
        <v>0</v>
      </c>
      <c r="AQ650" s="5">
        <v>0</v>
      </c>
      <c r="AT650" s="5">
        <v>0</v>
      </c>
      <c r="AU650" s="5">
        <v>0</v>
      </c>
      <c r="AX650" s="5">
        <v>0</v>
      </c>
      <c r="AY650" s="5" t="s">
        <v>85</v>
      </c>
      <c r="AZ650" s="5">
        <v>4</v>
      </c>
      <c r="BA650" s="5">
        <v>29</v>
      </c>
      <c r="BB650" s="5">
        <v>11</v>
      </c>
      <c r="BC650" s="5">
        <v>18</v>
      </c>
      <c r="BD650" s="5">
        <v>4</v>
      </c>
      <c r="BE650" s="5">
        <v>0</v>
      </c>
      <c r="BF650" s="5">
        <v>0</v>
      </c>
      <c r="BH650" s="5">
        <v>0</v>
      </c>
      <c r="BI650" s="5">
        <v>0</v>
      </c>
      <c r="BL650" s="5">
        <v>0</v>
      </c>
      <c r="BM650" s="5">
        <v>0</v>
      </c>
      <c r="BN650" s="5" t="s">
        <v>86</v>
      </c>
      <c r="CD650" s="5">
        <v>2</v>
      </c>
      <c r="CF650" s="1442" t="str">
        <f>IF([1]!sommaire[[#This Row],[présence des personnes déplacés interne]]="Oui","1","0")</f>
        <v>1</v>
      </c>
      <c r="CG650" s="1442" t="str">
        <f>IF([1]!sommaire[[#This Row],[présence Réfugié hors camp]]="Oui","1","0")</f>
        <v>1</v>
      </c>
      <c r="CH650" s="1442" t="str">
        <f>IF([1]!sommaire[[#This Row],[présence personnes retournées]]="Oui","1","0")</f>
        <v>0</v>
      </c>
      <c r="CI650" s="1442">
        <f>[1]!sommaire[[#This Row],[Flag PDI]]+[1]!sommaire[[#This Row],[Flag REF]]+[1]!sommaire[[#This Row],[Flag RET]]</f>
        <v>2</v>
      </c>
    </row>
    <row r="651" spans="1:87" ht="14.55" customHeight="1" x14ac:dyDescent="0.3">
      <c r="A651" s="390">
        <v>2623453</v>
      </c>
      <c r="B651" s="5" t="s">
        <v>533</v>
      </c>
      <c r="C651" s="1430" t="s">
        <v>3449</v>
      </c>
      <c r="D651" s="1090" t="s">
        <v>534</v>
      </c>
      <c r="E651" s="5" t="s">
        <v>31</v>
      </c>
      <c r="F651" s="5" t="s">
        <v>31</v>
      </c>
      <c r="G651" s="5" t="s">
        <v>549</v>
      </c>
      <c r="H651" s="5" t="s">
        <v>171</v>
      </c>
      <c r="I651" s="5" t="str">
        <f>_xlfn.XLOOKUP(sommaire[[#This Row],[Arrondissement_code]],OCHA_GIS!$F:$F,OCHA_GIS!$E:$E,,)</f>
        <v>Makary</v>
      </c>
      <c r="J651" s="5" t="s">
        <v>634</v>
      </c>
      <c r="K651" t="s">
        <v>1151</v>
      </c>
      <c r="L651" s="5" t="s">
        <v>1395</v>
      </c>
      <c r="N651" s="5" t="s">
        <v>3053</v>
      </c>
      <c r="O651" s="5" t="s">
        <v>2467</v>
      </c>
      <c r="P651" s="5" t="s">
        <v>85</v>
      </c>
      <c r="Q651" s="5" t="s">
        <v>86</v>
      </c>
      <c r="R651" s="5" t="s">
        <v>86</v>
      </c>
      <c r="T651" s="390">
        <v>3</v>
      </c>
      <c r="U651" s="5" t="s">
        <v>97</v>
      </c>
      <c r="W651" s="5" t="s">
        <v>2468</v>
      </c>
      <c r="X651" s="5" t="s">
        <v>102</v>
      </c>
      <c r="AA651" s="5" t="s">
        <v>85</v>
      </c>
      <c r="AB651" s="5" t="s">
        <v>2469</v>
      </c>
      <c r="AC651" s="5" t="s">
        <v>2470</v>
      </c>
      <c r="AD651" s="5" t="s">
        <v>86</v>
      </c>
      <c r="AF651" s="5">
        <v>30</v>
      </c>
      <c r="AG651" s="5">
        <v>711</v>
      </c>
      <c r="AH651" s="5" t="s">
        <v>85</v>
      </c>
      <c r="AI651" s="5" t="s">
        <v>2471</v>
      </c>
      <c r="AJ651" s="5">
        <v>30</v>
      </c>
      <c r="AK651" s="5">
        <v>107</v>
      </c>
      <c r="AL651" s="5">
        <v>63</v>
      </c>
      <c r="AM651" s="5">
        <v>44</v>
      </c>
      <c r="AN651" s="5">
        <v>4</v>
      </c>
      <c r="AO651" s="5">
        <v>23</v>
      </c>
      <c r="AP651" s="5">
        <v>3</v>
      </c>
      <c r="AQ651" s="5">
        <v>0</v>
      </c>
      <c r="AT651" s="5">
        <v>0</v>
      </c>
      <c r="AU651" s="5">
        <v>0</v>
      </c>
      <c r="AX651" s="5">
        <v>0</v>
      </c>
      <c r="AY651" s="5" t="s">
        <v>86</v>
      </c>
      <c r="BN651" s="5" t="s">
        <v>86</v>
      </c>
      <c r="CD651" s="5">
        <v>0</v>
      </c>
      <c r="CF651" s="1442" t="str">
        <f>IF([1]!sommaire[[#This Row],[présence des personnes déplacés interne]]="Oui","1","0")</f>
        <v>1</v>
      </c>
      <c r="CG651" s="1442" t="str">
        <f>IF([1]!sommaire[[#This Row],[présence Réfugié hors camp]]="Oui","1","0")</f>
        <v>0</v>
      </c>
      <c r="CH651" s="1442" t="str">
        <f>IF([1]!sommaire[[#This Row],[présence personnes retournées]]="Oui","1","0")</f>
        <v>0</v>
      </c>
      <c r="CI651" s="1442">
        <f>[1]!sommaire[[#This Row],[Flag PDI]]+[1]!sommaire[[#This Row],[Flag REF]]+[1]!sommaire[[#This Row],[Flag RET]]</f>
        <v>1</v>
      </c>
    </row>
    <row r="652" spans="1:87" ht="14.55" customHeight="1" x14ac:dyDescent="0.3">
      <c r="A652" s="390">
        <v>2636288</v>
      </c>
      <c r="B652" s="5" t="s">
        <v>533</v>
      </c>
      <c r="C652" s="1430" t="s">
        <v>3449</v>
      </c>
      <c r="D652" s="1090" t="s">
        <v>534</v>
      </c>
      <c r="E652" s="5" t="s">
        <v>31</v>
      </c>
      <c r="F652" s="5" t="s">
        <v>31</v>
      </c>
      <c r="G652" s="5" t="s">
        <v>549</v>
      </c>
      <c r="H652" s="5" t="s">
        <v>171</v>
      </c>
      <c r="I652" s="5" t="str">
        <f>_xlfn.XLOOKUP(sommaire[[#This Row],[Arrondissement_code]],OCHA_GIS!$F:$F,OCHA_GIS!$E:$E,,)</f>
        <v>Makary</v>
      </c>
      <c r="J652" s="5" t="s">
        <v>634</v>
      </c>
      <c r="K652" t="s">
        <v>1220</v>
      </c>
      <c r="L652" s="5" t="s">
        <v>811</v>
      </c>
      <c r="N652" s="5" t="s">
        <v>3053</v>
      </c>
      <c r="O652" s="5" t="s">
        <v>2467</v>
      </c>
      <c r="P652" s="5" t="s">
        <v>85</v>
      </c>
      <c r="Q652" s="5" t="s">
        <v>86</v>
      </c>
      <c r="R652" s="5" t="s">
        <v>86</v>
      </c>
      <c r="T652" s="390">
        <v>3</v>
      </c>
      <c r="U652" s="5" t="s">
        <v>97</v>
      </c>
      <c r="W652" s="5" t="s">
        <v>2468</v>
      </c>
      <c r="X652" s="5" t="s">
        <v>102</v>
      </c>
      <c r="AA652" s="5" t="s">
        <v>85</v>
      </c>
      <c r="AB652" s="5" t="s">
        <v>2469</v>
      </c>
      <c r="AC652" s="5" t="s">
        <v>2470</v>
      </c>
      <c r="AD652" s="5" t="s">
        <v>86</v>
      </c>
      <c r="AF652" s="5">
        <v>43</v>
      </c>
      <c r="AG652" s="5">
        <v>250</v>
      </c>
      <c r="AH652" s="5" t="s">
        <v>85</v>
      </c>
      <c r="AI652" s="5" t="s">
        <v>2471</v>
      </c>
      <c r="AJ652" s="5">
        <v>43</v>
      </c>
      <c r="AK652" s="5">
        <v>231</v>
      </c>
      <c r="AL652" s="5">
        <v>100</v>
      </c>
      <c r="AM652" s="5">
        <v>131</v>
      </c>
      <c r="AN652" s="5">
        <v>0</v>
      </c>
      <c r="AO652" s="5">
        <v>43</v>
      </c>
      <c r="AP652" s="5">
        <v>0</v>
      </c>
      <c r="AQ652" s="5">
        <v>0</v>
      </c>
      <c r="AT652" s="5">
        <v>0</v>
      </c>
      <c r="AU652" s="5">
        <v>0</v>
      </c>
      <c r="AX652" s="5">
        <v>0</v>
      </c>
      <c r="AY652" s="5" t="s">
        <v>86</v>
      </c>
      <c r="BN652" s="5" t="s">
        <v>86</v>
      </c>
      <c r="CD652" s="5">
        <v>0</v>
      </c>
      <c r="CF652" s="1442" t="str">
        <f>IF([1]!sommaire[[#This Row],[présence des personnes déplacés interne]]="Oui","1","0")</f>
        <v>1</v>
      </c>
      <c r="CG652" s="1442" t="str">
        <f>IF([1]!sommaire[[#This Row],[présence Réfugié hors camp]]="Oui","1","0")</f>
        <v>0</v>
      </c>
      <c r="CH652" s="1442" t="str">
        <f>IF([1]!sommaire[[#This Row],[présence personnes retournées]]="Oui","1","0")</f>
        <v>0</v>
      </c>
      <c r="CI652" s="1442">
        <f>[1]!sommaire[[#This Row],[Flag PDI]]+[1]!sommaire[[#This Row],[Flag REF]]+[1]!sommaire[[#This Row],[Flag RET]]</f>
        <v>1</v>
      </c>
    </row>
    <row r="653" spans="1:87" ht="14.55" customHeight="1" x14ac:dyDescent="0.3">
      <c r="A653" s="390">
        <v>2631794</v>
      </c>
      <c r="B653" s="5" t="s">
        <v>533</v>
      </c>
      <c r="C653" s="1430" t="s">
        <v>3449</v>
      </c>
      <c r="D653" s="1090" t="s">
        <v>534</v>
      </c>
      <c r="E653" s="5" t="s">
        <v>31</v>
      </c>
      <c r="F653" s="5" t="s">
        <v>31</v>
      </c>
      <c r="G653" s="5" t="s">
        <v>549</v>
      </c>
      <c r="H653" s="5" t="s">
        <v>171</v>
      </c>
      <c r="I653" s="5" t="str">
        <f>_xlfn.XLOOKUP(sommaire[[#This Row],[Arrondissement_code]],OCHA_GIS!$F:$F,OCHA_GIS!$E:$E,,)</f>
        <v>Makary</v>
      </c>
      <c r="J653" s="5" t="s">
        <v>634</v>
      </c>
      <c r="K653" t="s">
        <v>2133</v>
      </c>
      <c r="L653" s="5" t="s">
        <v>1709</v>
      </c>
      <c r="N653" s="5" t="s">
        <v>3053</v>
      </c>
      <c r="O653" s="5" t="s">
        <v>2467</v>
      </c>
      <c r="P653" s="5" t="s">
        <v>85</v>
      </c>
      <c r="Q653" s="5" t="s">
        <v>86</v>
      </c>
      <c r="R653" s="5" t="s">
        <v>86</v>
      </c>
      <c r="T653" s="390">
        <v>3</v>
      </c>
      <c r="U653" s="5" t="s">
        <v>97</v>
      </c>
      <c r="W653" s="5" t="s">
        <v>2468</v>
      </c>
      <c r="X653" s="5" t="s">
        <v>102</v>
      </c>
      <c r="AA653" s="5" t="s">
        <v>85</v>
      </c>
      <c r="AB653" s="5" t="s">
        <v>2469</v>
      </c>
      <c r="AC653" s="5" t="s">
        <v>2470</v>
      </c>
      <c r="AD653" s="5" t="s">
        <v>86</v>
      </c>
      <c r="AF653" s="5">
        <v>37</v>
      </c>
      <c r="AG653" s="5">
        <v>963</v>
      </c>
      <c r="AH653" s="5" t="s">
        <v>85</v>
      </c>
      <c r="AI653" s="5" t="s">
        <v>2471</v>
      </c>
      <c r="AJ653" s="5">
        <v>37</v>
      </c>
      <c r="AK653" s="5">
        <v>339</v>
      </c>
      <c r="AL653" s="5">
        <v>125</v>
      </c>
      <c r="AM653" s="5">
        <v>214</v>
      </c>
      <c r="AN653" s="5">
        <v>0</v>
      </c>
      <c r="AO653" s="5">
        <v>37</v>
      </c>
      <c r="AP653" s="5">
        <v>0</v>
      </c>
      <c r="AQ653" s="5">
        <v>0</v>
      </c>
      <c r="AT653" s="5">
        <v>0</v>
      </c>
      <c r="AU653" s="5">
        <v>0</v>
      </c>
      <c r="AX653" s="5">
        <v>0</v>
      </c>
      <c r="AY653" s="5" t="s">
        <v>86</v>
      </c>
      <c r="BN653" s="5" t="s">
        <v>86</v>
      </c>
      <c r="CD653" s="5">
        <v>0</v>
      </c>
      <c r="CF653" s="1442" t="str">
        <f>IF([1]!sommaire[[#This Row],[présence des personnes déplacés interne]]="Oui","1","0")</f>
        <v>1</v>
      </c>
      <c r="CG653" s="1442" t="str">
        <f>IF([1]!sommaire[[#This Row],[présence Réfugié hors camp]]="Oui","1","0")</f>
        <v>0</v>
      </c>
      <c r="CH653" s="1442" t="str">
        <f>IF([1]!sommaire[[#This Row],[présence personnes retournées]]="Oui","1","0")</f>
        <v>0</v>
      </c>
      <c r="CI653" s="1442">
        <f>[1]!sommaire[[#This Row],[Flag PDI]]+[1]!sommaire[[#This Row],[Flag REF]]+[1]!sommaire[[#This Row],[Flag RET]]</f>
        <v>1</v>
      </c>
    </row>
    <row r="654" spans="1:87" ht="14.55" customHeight="1" x14ac:dyDescent="0.3">
      <c r="A654" s="390">
        <v>2775457</v>
      </c>
      <c r="B654" s="5" t="s">
        <v>533</v>
      </c>
      <c r="C654" s="1430" t="s">
        <v>3449</v>
      </c>
      <c r="D654" s="1090" t="s">
        <v>534</v>
      </c>
      <c r="E654" s="5" t="s">
        <v>31</v>
      </c>
      <c r="F654" s="5" t="s">
        <v>31</v>
      </c>
      <c r="G654" s="5" t="s">
        <v>549</v>
      </c>
      <c r="H654" s="5" t="s">
        <v>171</v>
      </c>
      <c r="I654" s="5" t="str">
        <f>_xlfn.XLOOKUP(sommaire[[#This Row],[Arrondissement_code]],OCHA_GIS!$F:$F,OCHA_GIS!$E:$E,,)</f>
        <v>Makary</v>
      </c>
      <c r="J654" s="5" t="s">
        <v>634</v>
      </c>
      <c r="K654" t="s">
        <v>1812</v>
      </c>
      <c r="L654" s="5" t="s">
        <v>2160</v>
      </c>
      <c r="N654" s="5" t="s">
        <v>3053</v>
      </c>
      <c r="O654" s="5" t="s">
        <v>2467</v>
      </c>
      <c r="P654" s="5" t="s">
        <v>86</v>
      </c>
      <c r="Q654" s="5" t="s">
        <v>86</v>
      </c>
      <c r="R654" s="5" t="s">
        <v>85</v>
      </c>
      <c r="U654" s="5" t="s">
        <v>97</v>
      </c>
      <c r="W654" s="5" t="s">
        <v>2468</v>
      </c>
      <c r="X654" s="5" t="s">
        <v>102</v>
      </c>
      <c r="AA654" s="5" t="s">
        <v>85</v>
      </c>
      <c r="AB654" s="5" t="s">
        <v>2469</v>
      </c>
      <c r="AC654" s="5" t="s">
        <v>2470</v>
      </c>
      <c r="AD654" s="5" t="s">
        <v>86</v>
      </c>
      <c r="AG654" s="5">
        <v>400</v>
      </c>
      <c r="AH654" s="5" t="s">
        <v>86</v>
      </c>
      <c r="AY654" s="5" t="s">
        <v>85</v>
      </c>
      <c r="AZ654" s="5">
        <v>10</v>
      </c>
      <c r="BA654" s="5">
        <v>79</v>
      </c>
      <c r="BB654" s="5">
        <v>30</v>
      </c>
      <c r="BC654" s="5">
        <v>49</v>
      </c>
      <c r="BD654" s="5">
        <v>10</v>
      </c>
      <c r="BE654" s="5">
        <v>0</v>
      </c>
      <c r="BF654" s="5">
        <v>0</v>
      </c>
      <c r="BH654" s="5">
        <v>0</v>
      </c>
      <c r="BI654" s="5">
        <v>0</v>
      </c>
      <c r="BL654" s="5">
        <v>0</v>
      </c>
      <c r="BM654" s="5">
        <v>0</v>
      </c>
      <c r="BN654" s="5" t="s">
        <v>86</v>
      </c>
      <c r="CD654" s="5">
        <v>0</v>
      </c>
      <c r="CF654" s="1442" t="str">
        <f>IF([1]!sommaire[[#This Row],[présence des personnes déplacés interne]]="Oui","1","0")</f>
        <v>0</v>
      </c>
      <c r="CG654" s="1442" t="str">
        <f>IF([1]!sommaire[[#This Row],[présence Réfugié hors camp]]="Oui","1","0")</f>
        <v>1</v>
      </c>
      <c r="CH654" s="1442" t="str">
        <f>IF([1]!sommaire[[#This Row],[présence personnes retournées]]="Oui","1","0")</f>
        <v>0</v>
      </c>
      <c r="CI654" s="1442">
        <f>[1]!sommaire[[#This Row],[Flag PDI]]+[1]!sommaire[[#This Row],[Flag REF]]+[1]!sommaire[[#This Row],[Flag RET]]</f>
        <v>1</v>
      </c>
    </row>
    <row r="655" spans="1:87" ht="14.55" customHeight="1" x14ac:dyDescent="0.3">
      <c r="A655" s="390">
        <v>2616246</v>
      </c>
      <c r="B655" s="5" t="s">
        <v>533</v>
      </c>
      <c r="C655" s="1430" t="s">
        <v>3449</v>
      </c>
      <c r="D655" s="1090" t="s">
        <v>534</v>
      </c>
      <c r="E655" s="5" t="s">
        <v>31</v>
      </c>
      <c r="F655" s="5" t="s">
        <v>31</v>
      </c>
      <c r="G655" s="5" t="s">
        <v>549</v>
      </c>
      <c r="H655" s="5" t="s">
        <v>171</v>
      </c>
      <c r="I655" s="5" t="str">
        <f>_xlfn.XLOOKUP(sommaire[[#This Row],[Arrondissement_code]],OCHA_GIS!$F:$F,OCHA_GIS!$E:$E,,)</f>
        <v>Makary</v>
      </c>
      <c r="J655" s="5" t="s">
        <v>634</v>
      </c>
      <c r="K655" t="s">
        <v>2001</v>
      </c>
      <c r="L655" s="5" t="s">
        <v>1981</v>
      </c>
      <c r="N655" s="5" t="s">
        <v>3053</v>
      </c>
      <c r="O655" s="5" t="s">
        <v>2467</v>
      </c>
      <c r="P655" s="5" t="s">
        <v>85</v>
      </c>
      <c r="Q655" s="5" t="s">
        <v>86</v>
      </c>
      <c r="R655" s="5" t="s">
        <v>86</v>
      </c>
      <c r="T655" s="390">
        <v>3</v>
      </c>
      <c r="U655" s="5" t="s">
        <v>97</v>
      </c>
      <c r="W655" s="5" t="s">
        <v>2468</v>
      </c>
      <c r="X655" s="5" t="s">
        <v>102</v>
      </c>
      <c r="AA655" s="5" t="s">
        <v>85</v>
      </c>
      <c r="AB655" s="5" t="s">
        <v>2469</v>
      </c>
      <c r="AC655" s="5" t="s">
        <v>2470</v>
      </c>
      <c r="AD655" s="5" t="s">
        <v>86</v>
      </c>
      <c r="AF655" s="5">
        <v>20</v>
      </c>
      <c r="AG655" s="5">
        <v>820</v>
      </c>
      <c r="AH655" s="5" t="s">
        <v>85</v>
      </c>
      <c r="AI655" s="5" t="s">
        <v>2471</v>
      </c>
      <c r="AJ655" s="5">
        <v>20</v>
      </c>
      <c r="AK655" s="5">
        <v>189</v>
      </c>
      <c r="AL655" s="5">
        <v>83</v>
      </c>
      <c r="AM655" s="5">
        <v>106</v>
      </c>
      <c r="AN655" s="5">
        <v>0</v>
      </c>
      <c r="AO655" s="5">
        <v>20</v>
      </c>
      <c r="AP655" s="5">
        <v>0</v>
      </c>
      <c r="AQ655" s="5">
        <v>0</v>
      </c>
      <c r="AT655" s="5">
        <v>0</v>
      </c>
      <c r="AU655" s="5">
        <v>0</v>
      </c>
      <c r="AX655" s="5">
        <v>0</v>
      </c>
      <c r="AY655" s="5" t="s">
        <v>86</v>
      </c>
      <c r="BN655" s="5" t="s">
        <v>86</v>
      </c>
      <c r="CD655" s="5">
        <v>0</v>
      </c>
      <c r="CF655" s="1442" t="str">
        <f>IF([1]!sommaire[[#This Row],[présence des personnes déplacés interne]]="Oui","1","0")</f>
        <v>1</v>
      </c>
      <c r="CG655" s="1442" t="str">
        <f>IF([1]!sommaire[[#This Row],[présence Réfugié hors camp]]="Oui","1","0")</f>
        <v>0</v>
      </c>
      <c r="CH655" s="1442" t="str">
        <f>IF([1]!sommaire[[#This Row],[présence personnes retournées]]="Oui","1","0")</f>
        <v>0</v>
      </c>
      <c r="CI655" s="1442">
        <f>[1]!sommaire[[#This Row],[Flag PDI]]+[1]!sommaire[[#This Row],[Flag REF]]+[1]!sommaire[[#This Row],[Flag RET]]</f>
        <v>1</v>
      </c>
    </row>
    <row r="656" spans="1:87" ht="14.55" customHeight="1" x14ac:dyDescent="0.3">
      <c r="A656" s="390">
        <v>2615170</v>
      </c>
      <c r="B656" s="5" t="s">
        <v>533</v>
      </c>
      <c r="C656" s="1430" t="s">
        <v>3449</v>
      </c>
      <c r="D656" s="1090" t="s">
        <v>534</v>
      </c>
      <c r="E656" s="5" t="s">
        <v>31</v>
      </c>
      <c r="F656" s="5" t="s">
        <v>31</v>
      </c>
      <c r="G656" s="5" t="s">
        <v>549</v>
      </c>
      <c r="H656" s="5" t="s">
        <v>171</v>
      </c>
      <c r="I656" s="5" t="str">
        <f>_xlfn.XLOOKUP(sommaire[[#This Row],[Arrondissement_code]],OCHA_GIS!$F:$F,OCHA_GIS!$E:$E,,)</f>
        <v>Makary</v>
      </c>
      <c r="J656" s="5" t="s">
        <v>634</v>
      </c>
      <c r="K656" t="s">
        <v>1755</v>
      </c>
      <c r="L656" s="5" t="s">
        <v>1387</v>
      </c>
      <c r="N656" s="5" t="s">
        <v>3053</v>
      </c>
      <c r="O656" s="5" t="s">
        <v>2467</v>
      </c>
      <c r="P656" s="5" t="s">
        <v>85</v>
      </c>
      <c r="Q656" s="5" t="s">
        <v>86</v>
      </c>
      <c r="R656" s="5" t="s">
        <v>86</v>
      </c>
      <c r="T656" s="390">
        <v>3</v>
      </c>
      <c r="U656" s="5" t="s">
        <v>97</v>
      </c>
      <c r="W656" s="5" t="s">
        <v>2468</v>
      </c>
      <c r="X656" s="5" t="s">
        <v>102</v>
      </c>
      <c r="AA656" s="5" t="s">
        <v>85</v>
      </c>
      <c r="AB656" s="5" t="s">
        <v>2469</v>
      </c>
      <c r="AC656" s="5" t="s">
        <v>2470</v>
      </c>
      <c r="AD656" s="1090" t="s">
        <v>86</v>
      </c>
      <c r="AF656" s="5">
        <v>1</v>
      </c>
      <c r="AG656" s="5">
        <v>482</v>
      </c>
      <c r="AH656" s="5" t="s">
        <v>85</v>
      </c>
      <c r="AI656" s="5" t="s">
        <v>2471</v>
      </c>
      <c r="AJ656" s="5">
        <v>1</v>
      </c>
      <c r="AK656" s="5">
        <v>9</v>
      </c>
      <c r="AL656" s="5">
        <v>4</v>
      </c>
      <c r="AM656" s="5">
        <v>5</v>
      </c>
      <c r="AN656" s="5">
        <v>1</v>
      </c>
      <c r="AO656" s="5">
        <v>0</v>
      </c>
      <c r="AP656" s="5">
        <v>0</v>
      </c>
      <c r="AQ656" s="5">
        <v>0</v>
      </c>
      <c r="AT656" s="5">
        <v>0</v>
      </c>
      <c r="AU656" s="5">
        <v>0</v>
      </c>
      <c r="AX656" s="5">
        <v>0</v>
      </c>
      <c r="AY656" s="5" t="s">
        <v>86</v>
      </c>
      <c r="BN656" s="5" t="s">
        <v>86</v>
      </c>
      <c r="CD656" s="5">
        <v>0</v>
      </c>
      <c r="CF656" s="1442" t="str">
        <f>IF([1]!sommaire[[#This Row],[présence des personnes déplacés interne]]="Oui","1","0")</f>
        <v>1</v>
      </c>
      <c r="CG656" s="1442" t="str">
        <f>IF([1]!sommaire[[#This Row],[présence Réfugié hors camp]]="Oui","1","0")</f>
        <v>0</v>
      </c>
      <c r="CH656" s="1442" t="str">
        <f>IF([1]!sommaire[[#This Row],[présence personnes retournées]]="Oui","1","0")</f>
        <v>0</v>
      </c>
      <c r="CI656" s="1442">
        <f>[1]!sommaire[[#This Row],[Flag PDI]]+[1]!sommaire[[#This Row],[Flag REF]]+[1]!sommaire[[#This Row],[Flag RET]]</f>
        <v>1</v>
      </c>
    </row>
    <row r="657" spans="1:87" ht="14.55" customHeight="1" x14ac:dyDescent="0.3">
      <c r="A657" s="390">
        <v>2631839</v>
      </c>
      <c r="B657" s="5" t="s">
        <v>533</v>
      </c>
      <c r="C657" s="1430" t="s">
        <v>3449</v>
      </c>
      <c r="D657" s="1090" t="s">
        <v>534</v>
      </c>
      <c r="E657" s="5" t="s">
        <v>31</v>
      </c>
      <c r="F657" s="5" t="s">
        <v>31</v>
      </c>
      <c r="G657" s="5" t="s">
        <v>549</v>
      </c>
      <c r="H657" s="5" t="s">
        <v>171</v>
      </c>
      <c r="I657" s="5" t="str">
        <f>_xlfn.XLOOKUP(sommaire[[#This Row],[Arrondissement_code]],OCHA_GIS!$F:$F,OCHA_GIS!$E:$E,,)</f>
        <v>Makary</v>
      </c>
      <c r="J657" s="5" t="s">
        <v>634</v>
      </c>
      <c r="K657" t="s">
        <v>1153</v>
      </c>
      <c r="L657" s="5" t="s">
        <v>1721</v>
      </c>
      <c r="N657" s="5" t="s">
        <v>3053</v>
      </c>
      <c r="O657" s="5" t="s">
        <v>2467</v>
      </c>
      <c r="P657" s="5" t="s">
        <v>85</v>
      </c>
      <c r="Q657" s="5" t="s">
        <v>86</v>
      </c>
      <c r="R657" s="5" t="s">
        <v>86</v>
      </c>
      <c r="T657" s="390">
        <v>3</v>
      </c>
      <c r="U657" s="5" t="s">
        <v>97</v>
      </c>
      <c r="W657" s="5" t="s">
        <v>2468</v>
      </c>
      <c r="X657" s="5" t="s">
        <v>103</v>
      </c>
      <c r="Y657" s="5" t="s">
        <v>2476</v>
      </c>
      <c r="AA657" s="1175" t="s">
        <v>85</v>
      </c>
      <c r="AB657" s="5" t="s">
        <v>2469</v>
      </c>
      <c r="AC657" s="5" t="s">
        <v>2470</v>
      </c>
      <c r="AD657" s="5" t="s">
        <v>86</v>
      </c>
      <c r="AF657" s="5">
        <v>3</v>
      </c>
      <c r="AG657" s="5">
        <v>337</v>
      </c>
      <c r="AH657" s="5" t="s">
        <v>85</v>
      </c>
      <c r="AI657" s="5" t="s">
        <v>2471</v>
      </c>
      <c r="AJ657" s="5">
        <v>3</v>
      </c>
      <c r="AK657" s="5">
        <v>47</v>
      </c>
      <c r="AL657" s="5">
        <v>22</v>
      </c>
      <c r="AM657" s="5">
        <v>25</v>
      </c>
      <c r="AN657" s="5">
        <v>3</v>
      </c>
      <c r="AO657" s="5">
        <v>0</v>
      </c>
      <c r="AP657" s="5">
        <v>0</v>
      </c>
      <c r="AQ657" s="5">
        <v>0</v>
      </c>
      <c r="AT657" s="5">
        <v>0</v>
      </c>
      <c r="AU657" s="5">
        <v>0</v>
      </c>
      <c r="AX657" s="5">
        <v>0</v>
      </c>
      <c r="AY657" s="5" t="s">
        <v>86</v>
      </c>
      <c r="BN657" s="5" t="s">
        <v>86</v>
      </c>
      <c r="CD657" s="5">
        <v>0</v>
      </c>
      <c r="CF657" s="1442" t="str">
        <f>IF([1]!sommaire[[#This Row],[présence des personnes déplacés interne]]="Oui","1","0")</f>
        <v>1</v>
      </c>
      <c r="CG657" s="1442" t="str">
        <f>IF([1]!sommaire[[#This Row],[présence Réfugié hors camp]]="Oui","1","0")</f>
        <v>0</v>
      </c>
      <c r="CH657" s="1442" t="str">
        <f>IF([1]!sommaire[[#This Row],[présence personnes retournées]]="Oui","1","0")</f>
        <v>0</v>
      </c>
      <c r="CI657" s="1442">
        <f>[1]!sommaire[[#This Row],[Flag PDI]]+[1]!sommaire[[#This Row],[Flag REF]]+[1]!sommaire[[#This Row],[Flag RET]]</f>
        <v>1</v>
      </c>
    </row>
    <row r="658" spans="1:87" ht="14.55" customHeight="1" x14ac:dyDescent="0.3">
      <c r="A658" s="390">
        <v>2631793</v>
      </c>
      <c r="B658" s="5" t="s">
        <v>533</v>
      </c>
      <c r="C658" s="1430" t="s">
        <v>3449</v>
      </c>
      <c r="D658" s="1090" t="s">
        <v>534</v>
      </c>
      <c r="E658" s="5" t="s">
        <v>31</v>
      </c>
      <c r="F658" s="5" t="s">
        <v>31</v>
      </c>
      <c r="G658" s="5" t="s">
        <v>549</v>
      </c>
      <c r="H658" s="5" t="s">
        <v>171</v>
      </c>
      <c r="I658" s="5" t="str">
        <f>_xlfn.XLOOKUP(sommaire[[#This Row],[Arrondissement_code]],OCHA_GIS!$F:$F,OCHA_GIS!$E:$E,,)</f>
        <v>Makary</v>
      </c>
      <c r="J658" s="5" t="s">
        <v>634</v>
      </c>
      <c r="K658" t="s">
        <v>2980</v>
      </c>
      <c r="L658" s="5" t="s">
        <v>927</v>
      </c>
      <c r="N658" s="5" t="s">
        <v>3053</v>
      </c>
      <c r="O658" s="5" t="s">
        <v>2467</v>
      </c>
      <c r="P658" s="5" t="s">
        <v>85</v>
      </c>
      <c r="Q658" s="5" t="s">
        <v>86</v>
      </c>
      <c r="R658" s="5" t="s">
        <v>86</v>
      </c>
      <c r="T658" s="390">
        <v>3</v>
      </c>
      <c r="U658" s="5" t="s">
        <v>97</v>
      </c>
      <c r="W658" s="5" t="s">
        <v>2468</v>
      </c>
      <c r="X658" s="5" t="s">
        <v>102</v>
      </c>
      <c r="AA658" s="5" t="s">
        <v>85</v>
      </c>
      <c r="AB658" s="5" t="s">
        <v>2469</v>
      </c>
      <c r="AC658" s="5" t="s">
        <v>2470</v>
      </c>
      <c r="AD658" s="5" t="s">
        <v>86</v>
      </c>
      <c r="AF658" s="5">
        <v>14</v>
      </c>
      <c r="AG658" s="5">
        <v>820</v>
      </c>
      <c r="AH658" s="5" t="s">
        <v>85</v>
      </c>
      <c r="AI658" s="5" t="s">
        <v>2471</v>
      </c>
      <c r="AJ658" s="5">
        <v>14</v>
      </c>
      <c r="AK658" s="5">
        <v>110</v>
      </c>
      <c r="AL658" s="5">
        <v>44</v>
      </c>
      <c r="AM658" s="5">
        <v>66</v>
      </c>
      <c r="AN658" s="5">
        <v>0</v>
      </c>
      <c r="AO658" s="5">
        <v>14</v>
      </c>
      <c r="AP658" s="5">
        <v>0</v>
      </c>
      <c r="AQ658" s="5">
        <v>0</v>
      </c>
      <c r="AT658" s="5">
        <v>0</v>
      </c>
      <c r="AU658" s="5">
        <v>0</v>
      </c>
      <c r="AX658" s="5">
        <v>0</v>
      </c>
      <c r="AY658" s="5" t="s">
        <v>85</v>
      </c>
      <c r="AZ658" s="5">
        <v>19</v>
      </c>
      <c r="BA658" s="5">
        <v>154</v>
      </c>
      <c r="BB658" s="5">
        <v>67</v>
      </c>
      <c r="BC658" s="5">
        <v>87</v>
      </c>
      <c r="BD658" s="5">
        <v>0</v>
      </c>
      <c r="BE658" s="5">
        <v>19</v>
      </c>
      <c r="BF658" s="5">
        <v>0</v>
      </c>
      <c r="BH658" s="5">
        <v>0</v>
      </c>
      <c r="BI658" s="5">
        <v>0</v>
      </c>
      <c r="BL658" s="5">
        <v>0</v>
      </c>
      <c r="BM658" s="5">
        <v>0</v>
      </c>
      <c r="BN658" s="5" t="s">
        <v>86</v>
      </c>
      <c r="CD658" s="5">
        <v>0</v>
      </c>
      <c r="CF658" s="1442" t="str">
        <f>IF([1]!sommaire[[#This Row],[présence des personnes déplacés interne]]="Oui","1","0")</f>
        <v>1</v>
      </c>
      <c r="CG658" s="1442" t="str">
        <f>IF([1]!sommaire[[#This Row],[présence Réfugié hors camp]]="Oui","1","0")</f>
        <v>1</v>
      </c>
      <c r="CH658" s="1442" t="str">
        <f>IF([1]!sommaire[[#This Row],[présence personnes retournées]]="Oui","1","0")</f>
        <v>0</v>
      </c>
      <c r="CI658" s="1442">
        <f>[1]!sommaire[[#This Row],[Flag PDI]]+[1]!sommaire[[#This Row],[Flag REF]]+[1]!sommaire[[#This Row],[Flag RET]]</f>
        <v>2</v>
      </c>
    </row>
    <row r="659" spans="1:87" ht="14.55" customHeight="1" x14ac:dyDescent="0.3">
      <c r="A659" s="390">
        <v>2630391</v>
      </c>
      <c r="B659" s="5" t="s">
        <v>533</v>
      </c>
      <c r="C659" s="1430" t="s">
        <v>3449</v>
      </c>
      <c r="D659" s="1090" t="s">
        <v>534</v>
      </c>
      <c r="E659" s="5" t="s">
        <v>31</v>
      </c>
      <c r="F659" s="5" t="s">
        <v>31</v>
      </c>
      <c r="G659" s="5" t="s">
        <v>549</v>
      </c>
      <c r="H659" s="5" t="s">
        <v>171</v>
      </c>
      <c r="I659" s="5" t="str">
        <f>_xlfn.XLOOKUP(sommaire[[#This Row],[Arrondissement_code]],OCHA_GIS!$F:$F,OCHA_GIS!$E:$E,,)</f>
        <v>Makary</v>
      </c>
      <c r="J659" s="5" t="s">
        <v>634</v>
      </c>
      <c r="K659" t="s">
        <v>1829</v>
      </c>
      <c r="L659" s="5" t="s">
        <v>1358</v>
      </c>
      <c r="N659" s="5" t="s">
        <v>3052</v>
      </c>
      <c r="O659" s="5" t="s">
        <v>2467</v>
      </c>
      <c r="P659" s="5" t="s">
        <v>85</v>
      </c>
      <c r="Q659" s="5" t="s">
        <v>86</v>
      </c>
      <c r="R659" s="5" t="s">
        <v>86</v>
      </c>
      <c r="T659" s="390">
        <v>3</v>
      </c>
      <c r="U659" s="5" t="s">
        <v>97</v>
      </c>
      <c r="W659" s="5" t="s">
        <v>2468</v>
      </c>
      <c r="X659" s="5" t="s">
        <v>102</v>
      </c>
      <c r="AA659" s="5" t="s">
        <v>85</v>
      </c>
      <c r="AB659" s="5" t="s">
        <v>2469</v>
      </c>
      <c r="AC659" s="5" t="s">
        <v>2470</v>
      </c>
      <c r="AD659" s="1090" t="s">
        <v>85</v>
      </c>
      <c r="AE659" s="5">
        <v>1</v>
      </c>
      <c r="AF659" s="5">
        <v>401</v>
      </c>
      <c r="AG659" s="5">
        <v>7472</v>
      </c>
      <c r="AH659" s="5" t="s">
        <v>85</v>
      </c>
      <c r="AI659" s="5" t="s">
        <v>2485</v>
      </c>
      <c r="AJ659" s="5">
        <v>401</v>
      </c>
      <c r="AK659" s="5">
        <v>1173</v>
      </c>
      <c r="AL659" s="5">
        <v>481</v>
      </c>
      <c r="AM659" s="5">
        <v>692</v>
      </c>
      <c r="AN659" s="5">
        <v>0</v>
      </c>
      <c r="AO659" s="5">
        <v>276</v>
      </c>
      <c r="AP659" s="5">
        <v>0</v>
      </c>
      <c r="AQ659" s="5">
        <v>0</v>
      </c>
      <c r="AT659" s="5">
        <v>0</v>
      </c>
      <c r="AU659" s="5">
        <v>125</v>
      </c>
      <c r="AV659" s="5" t="s">
        <v>2490</v>
      </c>
      <c r="AX659" s="5">
        <v>0</v>
      </c>
      <c r="AY659" s="5" t="s">
        <v>85</v>
      </c>
      <c r="AZ659" s="5">
        <v>18</v>
      </c>
      <c r="BA659" s="5">
        <v>96</v>
      </c>
      <c r="BB659" s="5">
        <v>40</v>
      </c>
      <c r="BC659" s="5">
        <v>56</v>
      </c>
      <c r="BD659" s="5">
        <v>18</v>
      </c>
      <c r="BE659" s="5">
        <v>0</v>
      </c>
      <c r="BF659" s="5">
        <v>0</v>
      </c>
      <c r="BH659" s="5">
        <v>0</v>
      </c>
      <c r="BI659" s="5">
        <v>0</v>
      </c>
      <c r="BL659" s="5">
        <v>0</v>
      </c>
      <c r="BM659" s="5">
        <v>0</v>
      </c>
      <c r="BN659" s="5" t="s">
        <v>85</v>
      </c>
      <c r="BO659" s="5">
        <v>18</v>
      </c>
      <c r="BP659" s="5">
        <v>96</v>
      </c>
      <c r="BQ659" s="5">
        <v>42</v>
      </c>
      <c r="BR659" s="5">
        <v>54</v>
      </c>
      <c r="BS659" s="5" t="s">
        <v>2479</v>
      </c>
      <c r="BT659" s="5">
        <v>6</v>
      </c>
      <c r="BU659" s="5">
        <v>0</v>
      </c>
      <c r="BV659" s="5">
        <v>12</v>
      </c>
      <c r="BW659" s="5">
        <v>0</v>
      </c>
      <c r="BX659" s="5">
        <v>0</v>
      </c>
      <c r="BZ659" s="5">
        <v>0</v>
      </c>
      <c r="CA659" s="5">
        <v>0</v>
      </c>
      <c r="CC659" s="5">
        <v>0</v>
      </c>
      <c r="CD659" s="5">
        <v>0</v>
      </c>
      <c r="CF659" s="1442" t="str">
        <f>IF([1]!sommaire[[#This Row],[présence des personnes déplacés interne]]="Oui","1","0")</f>
        <v>1</v>
      </c>
      <c r="CG659" s="1442" t="str">
        <f>IF([1]!sommaire[[#This Row],[présence Réfugié hors camp]]="Oui","1","0")</f>
        <v>1</v>
      </c>
      <c r="CH659" s="1442" t="str">
        <f>IF([1]!sommaire[[#This Row],[présence personnes retournées]]="Oui","1","0")</f>
        <v>1</v>
      </c>
      <c r="CI659" s="1442">
        <f>[1]!sommaire[[#This Row],[Flag PDI]]+[1]!sommaire[[#This Row],[Flag REF]]+[1]!sommaire[[#This Row],[Flag RET]]</f>
        <v>3</v>
      </c>
    </row>
    <row r="660" spans="1:87" ht="14.55" customHeight="1" x14ac:dyDescent="0.3">
      <c r="A660" s="390">
        <v>2631800</v>
      </c>
      <c r="B660" s="5" t="s">
        <v>533</v>
      </c>
      <c r="C660" s="1430" t="s">
        <v>3449</v>
      </c>
      <c r="D660" s="1090" t="s">
        <v>534</v>
      </c>
      <c r="E660" s="5" t="s">
        <v>31</v>
      </c>
      <c r="F660" s="5" t="s">
        <v>31</v>
      </c>
      <c r="G660" s="5" t="s">
        <v>549</v>
      </c>
      <c r="H660" s="5" t="s">
        <v>171</v>
      </c>
      <c r="I660" s="5" t="str">
        <f>_xlfn.XLOOKUP(sommaire[[#This Row],[Arrondissement_code]],OCHA_GIS!$F:$F,OCHA_GIS!$E:$E,,)</f>
        <v>Makary</v>
      </c>
      <c r="J660" s="5" t="s">
        <v>634</v>
      </c>
      <c r="K660" t="s">
        <v>1392</v>
      </c>
      <c r="L660" s="5" t="s">
        <v>1539</v>
      </c>
      <c r="N660" s="5" t="s">
        <v>3053</v>
      </c>
      <c r="O660" s="5" t="s">
        <v>2467</v>
      </c>
      <c r="P660" s="5" t="s">
        <v>85</v>
      </c>
      <c r="Q660" s="5" t="s">
        <v>86</v>
      </c>
      <c r="R660" s="5" t="s">
        <v>86</v>
      </c>
      <c r="T660" s="390">
        <v>3</v>
      </c>
      <c r="U660" s="5" t="s">
        <v>97</v>
      </c>
      <c r="W660" s="5" t="s">
        <v>2468</v>
      </c>
      <c r="X660" s="5" t="s">
        <v>102</v>
      </c>
      <c r="AA660" s="5" t="s">
        <v>85</v>
      </c>
      <c r="AB660" s="5" t="s">
        <v>2469</v>
      </c>
      <c r="AC660" s="5" t="s">
        <v>2470</v>
      </c>
      <c r="AD660" s="5" t="s">
        <v>86</v>
      </c>
      <c r="AF660" s="5">
        <v>130</v>
      </c>
      <c r="AG660" s="5">
        <v>2549</v>
      </c>
      <c r="AH660" s="5" t="s">
        <v>85</v>
      </c>
      <c r="AI660" s="5" t="s">
        <v>2471</v>
      </c>
      <c r="AJ660" s="5">
        <v>130</v>
      </c>
      <c r="AK660" s="5">
        <v>246</v>
      </c>
      <c r="AL660" s="5">
        <v>106</v>
      </c>
      <c r="AM660" s="5">
        <v>140</v>
      </c>
      <c r="AN660" s="5">
        <v>0</v>
      </c>
      <c r="AO660" s="5">
        <v>0</v>
      </c>
      <c r="AP660" s="5">
        <v>0</v>
      </c>
      <c r="AQ660" s="5">
        <v>0</v>
      </c>
      <c r="AT660" s="5">
        <v>0</v>
      </c>
      <c r="AU660" s="5">
        <v>130</v>
      </c>
      <c r="AV660" s="5" t="s">
        <v>2490</v>
      </c>
      <c r="AX660" s="5">
        <v>0</v>
      </c>
      <c r="AY660" s="5" t="s">
        <v>85</v>
      </c>
      <c r="AZ660" s="5">
        <v>42</v>
      </c>
      <c r="BA660" s="5">
        <v>152</v>
      </c>
      <c r="BB660" s="5">
        <v>63</v>
      </c>
      <c r="BC660" s="5">
        <v>89</v>
      </c>
      <c r="BD660" s="5">
        <v>42</v>
      </c>
      <c r="BE660" s="5">
        <v>0</v>
      </c>
      <c r="BF660" s="5">
        <v>0</v>
      </c>
      <c r="BH660" s="5">
        <v>0</v>
      </c>
      <c r="BI660" s="5">
        <v>0</v>
      </c>
      <c r="BL660" s="5">
        <v>0</v>
      </c>
      <c r="BM660" s="5">
        <v>27</v>
      </c>
      <c r="BN660" s="5" t="s">
        <v>85</v>
      </c>
      <c r="BO660" s="5">
        <v>12</v>
      </c>
      <c r="BP660" s="5">
        <v>60</v>
      </c>
      <c r="BQ660" s="5">
        <v>22</v>
      </c>
      <c r="BR660" s="5">
        <v>38</v>
      </c>
      <c r="BS660" s="5" t="s">
        <v>2479</v>
      </c>
      <c r="BT660" s="5">
        <v>12</v>
      </c>
      <c r="BU660" s="5">
        <v>0</v>
      </c>
      <c r="BV660" s="5">
        <v>0</v>
      </c>
      <c r="BW660" s="5">
        <v>0</v>
      </c>
      <c r="BX660" s="5">
        <v>0</v>
      </c>
      <c r="BZ660" s="5">
        <v>0</v>
      </c>
      <c r="CA660" s="5">
        <v>0</v>
      </c>
      <c r="CC660" s="5">
        <v>0</v>
      </c>
      <c r="CD660" s="5">
        <v>0</v>
      </c>
      <c r="CF660" s="1442" t="str">
        <f>IF([1]!sommaire[[#This Row],[présence des personnes déplacés interne]]="Oui","1","0")</f>
        <v>1</v>
      </c>
      <c r="CG660" s="1442" t="str">
        <f>IF([1]!sommaire[[#This Row],[présence Réfugié hors camp]]="Oui","1","0")</f>
        <v>1</v>
      </c>
      <c r="CH660" s="1442" t="str">
        <f>IF([1]!sommaire[[#This Row],[présence personnes retournées]]="Oui","1","0")</f>
        <v>1</v>
      </c>
      <c r="CI660" s="1442">
        <f>[1]!sommaire[[#This Row],[Flag PDI]]+[1]!sommaire[[#This Row],[Flag REF]]+[1]!sommaire[[#This Row],[Flag RET]]</f>
        <v>3</v>
      </c>
    </row>
    <row r="661" spans="1:87" ht="14.55" customHeight="1" x14ac:dyDescent="0.3">
      <c r="A661" s="390">
        <v>2635970</v>
      </c>
      <c r="B661" s="5" t="s">
        <v>533</v>
      </c>
      <c r="C661" s="1430" t="s">
        <v>3449</v>
      </c>
      <c r="D661" s="1090" t="s">
        <v>534</v>
      </c>
      <c r="E661" s="5" t="s">
        <v>31</v>
      </c>
      <c r="F661" s="5" t="s">
        <v>31</v>
      </c>
      <c r="G661" s="5" t="s">
        <v>549</v>
      </c>
      <c r="H661" s="5" t="s">
        <v>171</v>
      </c>
      <c r="I661" s="5" t="str">
        <f>_xlfn.XLOOKUP(sommaire[[#This Row],[Arrondissement_code]],OCHA_GIS!$F:$F,OCHA_GIS!$E:$E,,)</f>
        <v>Makary</v>
      </c>
      <c r="J661" s="5" t="s">
        <v>634</v>
      </c>
      <c r="K661" t="s">
        <v>2069</v>
      </c>
      <c r="L661" s="5" t="s">
        <v>890</v>
      </c>
      <c r="N661" s="5" t="s">
        <v>3053</v>
      </c>
      <c r="O661" s="5" t="s">
        <v>2467</v>
      </c>
      <c r="P661" s="5" t="s">
        <v>85</v>
      </c>
      <c r="Q661" s="5" t="s">
        <v>86</v>
      </c>
      <c r="R661" s="5" t="s">
        <v>86</v>
      </c>
      <c r="T661" s="390">
        <v>4</v>
      </c>
      <c r="U661" s="5" t="s">
        <v>97</v>
      </c>
      <c r="W661" s="5" t="s">
        <v>2468</v>
      </c>
      <c r="X661" s="5" t="s">
        <v>103</v>
      </c>
      <c r="Y661" s="5" t="s">
        <v>2476</v>
      </c>
      <c r="AA661" s="586" t="s">
        <v>85</v>
      </c>
      <c r="AB661" s="5" t="s">
        <v>2469</v>
      </c>
      <c r="AC661" s="5" t="s">
        <v>2470</v>
      </c>
      <c r="AD661" s="5" t="s">
        <v>86</v>
      </c>
      <c r="AF661" s="5">
        <v>6</v>
      </c>
      <c r="AG661" s="5">
        <v>500</v>
      </c>
      <c r="AH661" s="5" t="s">
        <v>85</v>
      </c>
      <c r="AI661" s="5" t="s">
        <v>2487</v>
      </c>
      <c r="AJ661" s="5">
        <v>6</v>
      </c>
      <c r="AK661" s="5">
        <v>30</v>
      </c>
      <c r="AL661" s="5">
        <v>12</v>
      </c>
      <c r="AM661" s="5">
        <v>18</v>
      </c>
      <c r="AN661" s="5">
        <v>0</v>
      </c>
      <c r="AO661" s="5">
        <v>6</v>
      </c>
      <c r="AP661" s="5">
        <v>0</v>
      </c>
      <c r="AQ661" s="5">
        <v>0</v>
      </c>
      <c r="AT661" s="5">
        <v>0</v>
      </c>
      <c r="AU661" s="5">
        <v>0</v>
      </c>
      <c r="AX661" s="5">
        <v>0</v>
      </c>
      <c r="AY661" s="5" t="s">
        <v>86</v>
      </c>
      <c r="BN661" s="5" t="s">
        <v>86</v>
      </c>
      <c r="CD661" s="5">
        <v>0</v>
      </c>
      <c r="CF661" s="1442" t="str">
        <f>IF([1]!sommaire[[#This Row],[présence des personnes déplacés interne]]="Oui","1","0")</f>
        <v>1</v>
      </c>
      <c r="CG661" s="1442" t="str">
        <f>IF([1]!sommaire[[#This Row],[présence Réfugié hors camp]]="Oui","1","0")</f>
        <v>0</v>
      </c>
      <c r="CH661" s="1442" t="str">
        <f>IF([1]!sommaire[[#This Row],[présence personnes retournées]]="Oui","1","0")</f>
        <v>0</v>
      </c>
      <c r="CI661" s="1442">
        <f>[1]!sommaire[[#This Row],[Flag PDI]]+[1]!sommaire[[#This Row],[Flag REF]]+[1]!sommaire[[#This Row],[Flag RET]]</f>
        <v>1</v>
      </c>
    </row>
    <row r="662" spans="1:87" ht="14.55" customHeight="1" x14ac:dyDescent="0.3">
      <c r="A662" s="390">
        <v>2753823</v>
      </c>
      <c r="B662" s="5" t="s">
        <v>533</v>
      </c>
      <c r="C662" s="1430" t="s">
        <v>3449</v>
      </c>
      <c r="D662" s="1090" t="s">
        <v>534</v>
      </c>
      <c r="E662" s="5" t="s">
        <v>31</v>
      </c>
      <c r="F662" s="5" t="s">
        <v>31</v>
      </c>
      <c r="G662" s="5" t="s">
        <v>549</v>
      </c>
      <c r="H662" s="5" t="s">
        <v>171</v>
      </c>
      <c r="I662" s="5" t="str">
        <f>_xlfn.XLOOKUP(sommaire[[#This Row],[Arrondissement_code]],OCHA_GIS!$F:$F,OCHA_GIS!$E:$E,,)</f>
        <v>Makary</v>
      </c>
      <c r="J662" s="5" t="s">
        <v>634</v>
      </c>
      <c r="K662" t="s">
        <v>2212</v>
      </c>
      <c r="L662" s="5" t="s">
        <v>1221</v>
      </c>
      <c r="N662" s="5" t="s">
        <v>3053</v>
      </c>
      <c r="O662" s="5" t="s">
        <v>2467</v>
      </c>
      <c r="P662" s="5" t="s">
        <v>86</v>
      </c>
      <c r="Q662" s="5" t="s">
        <v>86</v>
      </c>
      <c r="R662" s="5" t="s">
        <v>85</v>
      </c>
      <c r="U662" s="5" t="s">
        <v>97</v>
      </c>
      <c r="W662" s="5" t="s">
        <v>2468</v>
      </c>
      <c r="X662" s="5" t="s">
        <v>102</v>
      </c>
      <c r="AA662" s="586" t="s">
        <v>85</v>
      </c>
      <c r="AB662" s="5" t="s">
        <v>2469</v>
      </c>
      <c r="AC662" s="5" t="s">
        <v>2470</v>
      </c>
      <c r="AD662" s="5" t="s">
        <v>86</v>
      </c>
      <c r="AF662" s="5">
        <v>29</v>
      </c>
      <c r="AG662" s="5">
        <v>500</v>
      </c>
      <c r="AH662" s="5" t="s">
        <v>85</v>
      </c>
      <c r="AI662" s="5" t="s">
        <v>2471</v>
      </c>
      <c r="AJ662" s="5">
        <v>29</v>
      </c>
      <c r="AK662" s="5">
        <v>199</v>
      </c>
      <c r="AL662" s="5">
        <v>99</v>
      </c>
      <c r="AM662" s="5">
        <v>100</v>
      </c>
      <c r="AN662" s="5">
        <v>0</v>
      </c>
      <c r="AO662" s="5">
        <v>29</v>
      </c>
      <c r="AP662" s="5">
        <v>0</v>
      </c>
      <c r="AQ662" s="5">
        <v>0</v>
      </c>
      <c r="AT662" s="5">
        <v>0</v>
      </c>
      <c r="AU662" s="5">
        <v>0</v>
      </c>
      <c r="AX662" s="5">
        <v>0</v>
      </c>
      <c r="AY662" s="5" t="s">
        <v>86</v>
      </c>
      <c r="BN662" s="5" t="s">
        <v>86</v>
      </c>
      <c r="CD662" s="5">
        <v>0</v>
      </c>
      <c r="CF662" s="1442" t="str">
        <f>IF([1]!sommaire[[#This Row],[présence des personnes déplacés interne]]="Oui","1","0")</f>
        <v>1</v>
      </c>
      <c r="CG662" s="1442" t="str">
        <f>IF([1]!sommaire[[#This Row],[présence Réfugié hors camp]]="Oui","1","0")</f>
        <v>0</v>
      </c>
      <c r="CH662" s="1442" t="str">
        <f>IF([1]!sommaire[[#This Row],[présence personnes retournées]]="Oui","1","0")</f>
        <v>0</v>
      </c>
      <c r="CI662" s="1442">
        <f>[1]!sommaire[[#This Row],[Flag PDI]]+[1]!sommaire[[#This Row],[Flag REF]]+[1]!sommaire[[#This Row],[Flag RET]]</f>
        <v>1</v>
      </c>
    </row>
    <row r="663" spans="1:87" ht="14.55" customHeight="1" x14ac:dyDescent="0.3">
      <c r="A663" s="390">
        <v>2617583</v>
      </c>
      <c r="B663" s="5" t="s">
        <v>533</v>
      </c>
      <c r="C663" s="1430" t="s">
        <v>3449</v>
      </c>
      <c r="D663" s="1090" t="s">
        <v>534</v>
      </c>
      <c r="E663" s="5" t="s">
        <v>31</v>
      </c>
      <c r="F663" s="5" t="s">
        <v>31</v>
      </c>
      <c r="G663" s="5" t="s">
        <v>549</v>
      </c>
      <c r="H663" s="5" t="s">
        <v>171</v>
      </c>
      <c r="I663" s="5" t="str">
        <f>_xlfn.XLOOKUP(sommaire[[#This Row],[Arrondissement_code]],OCHA_GIS!$F:$F,OCHA_GIS!$E:$E,,)</f>
        <v>Makary</v>
      </c>
      <c r="J663" s="5" t="s">
        <v>634</v>
      </c>
      <c r="K663" t="s">
        <v>1158</v>
      </c>
      <c r="L663" s="5" t="s">
        <v>1928</v>
      </c>
      <c r="N663" s="5" t="s">
        <v>3053</v>
      </c>
      <c r="O663" s="5" t="s">
        <v>2467</v>
      </c>
      <c r="P663" s="5" t="s">
        <v>85</v>
      </c>
      <c r="Q663" s="5" t="s">
        <v>86</v>
      </c>
      <c r="R663" s="5" t="s">
        <v>86</v>
      </c>
      <c r="T663" s="390">
        <v>3</v>
      </c>
      <c r="U663" s="5" t="s">
        <v>97</v>
      </c>
      <c r="W663" s="5" t="s">
        <v>2468</v>
      </c>
      <c r="X663" s="5" t="s">
        <v>103</v>
      </c>
      <c r="Y663" s="5" t="s">
        <v>2476</v>
      </c>
      <c r="AA663" s="5" t="s">
        <v>85</v>
      </c>
      <c r="AB663" s="5" t="s">
        <v>2469</v>
      </c>
      <c r="AC663" s="5" t="s">
        <v>2470</v>
      </c>
      <c r="AD663" s="5" t="s">
        <v>86</v>
      </c>
      <c r="AF663" s="5">
        <v>65</v>
      </c>
      <c r="AG663" s="5">
        <v>265</v>
      </c>
      <c r="AH663" s="5" t="s">
        <v>85</v>
      </c>
      <c r="AI663" s="5" t="s">
        <v>2471</v>
      </c>
      <c r="AJ663" s="5">
        <v>65</v>
      </c>
      <c r="AK663" s="5">
        <v>105</v>
      </c>
      <c r="AL663" s="5">
        <v>83</v>
      </c>
      <c r="AM663" s="5">
        <v>22</v>
      </c>
      <c r="AN663" s="5">
        <v>10</v>
      </c>
      <c r="AO663" s="5">
        <v>55</v>
      </c>
      <c r="AP663" s="5">
        <v>0</v>
      </c>
      <c r="AQ663" s="5">
        <v>0</v>
      </c>
      <c r="AT663" s="5">
        <v>0</v>
      </c>
      <c r="AU663" s="5">
        <v>0</v>
      </c>
      <c r="AX663" s="5">
        <v>0</v>
      </c>
      <c r="AY663" s="5" t="s">
        <v>86</v>
      </c>
      <c r="BN663" s="5" t="s">
        <v>86</v>
      </c>
      <c r="CD663" s="5">
        <v>0</v>
      </c>
      <c r="CF663" s="1442" t="str">
        <f>IF([1]!sommaire[[#This Row],[présence des personnes déplacés interne]]="Oui","1","0")</f>
        <v>1</v>
      </c>
      <c r="CG663" s="1442" t="str">
        <f>IF([1]!sommaire[[#This Row],[présence Réfugié hors camp]]="Oui","1","0")</f>
        <v>0</v>
      </c>
      <c r="CH663" s="1442" t="str">
        <f>IF([1]!sommaire[[#This Row],[présence personnes retournées]]="Oui","1","0")</f>
        <v>0</v>
      </c>
      <c r="CI663" s="1442">
        <f>[1]!sommaire[[#This Row],[Flag PDI]]+[1]!sommaire[[#This Row],[Flag REF]]+[1]!sommaire[[#This Row],[Flag RET]]</f>
        <v>1</v>
      </c>
    </row>
    <row r="664" spans="1:87" ht="14.55" customHeight="1" x14ac:dyDescent="0.3">
      <c r="A664" s="390">
        <v>2617582</v>
      </c>
      <c r="B664" s="5" t="s">
        <v>533</v>
      </c>
      <c r="C664" s="1430" t="s">
        <v>3449</v>
      </c>
      <c r="D664" s="1090" t="s">
        <v>534</v>
      </c>
      <c r="E664" s="5" t="s">
        <v>31</v>
      </c>
      <c r="F664" s="5" t="s">
        <v>31</v>
      </c>
      <c r="G664" s="5" t="s">
        <v>549</v>
      </c>
      <c r="H664" s="5" t="s">
        <v>171</v>
      </c>
      <c r="I664" s="5" t="str">
        <f>_xlfn.XLOOKUP(sommaire[[#This Row],[Arrondissement_code]],OCHA_GIS!$F:$F,OCHA_GIS!$E:$E,,)</f>
        <v>Makary</v>
      </c>
      <c r="J664" s="5" t="s">
        <v>634</v>
      </c>
      <c r="K664" t="s">
        <v>1804</v>
      </c>
      <c r="L664" s="5" t="s">
        <v>1988</v>
      </c>
      <c r="N664" s="5" t="s">
        <v>3053</v>
      </c>
      <c r="O664" s="5" t="s">
        <v>2467</v>
      </c>
      <c r="P664" s="5" t="s">
        <v>85</v>
      </c>
      <c r="Q664" s="5" t="s">
        <v>86</v>
      </c>
      <c r="R664" s="5" t="s">
        <v>86</v>
      </c>
      <c r="T664" s="390">
        <v>3</v>
      </c>
      <c r="U664" s="5" t="s">
        <v>97</v>
      </c>
      <c r="W664" s="5" t="s">
        <v>2468</v>
      </c>
      <c r="X664" s="5" t="s">
        <v>103</v>
      </c>
      <c r="Y664" s="5" t="s">
        <v>2476</v>
      </c>
      <c r="AA664" s="586" t="s">
        <v>85</v>
      </c>
      <c r="AB664" s="5" t="s">
        <v>2469</v>
      </c>
      <c r="AC664" s="5" t="s">
        <v>2470</v>
      </c>
      <c r="AD664" s="5" t="s">
        <v>86</v>
      </c>
      <c r="AF664" s="5">
        <v>18</v>
      </c>
      <c r="AG664" s="5">
        <v>371</v>
      </c>
      <c r="AH664" s="5" t="s">
        <v>85</v>
      </c>
      <c r="AI664" s="5" t="s">
        <v>2471</v>
      </c>
      <c r="AJ664" s="5">
        <v>18</v>
      </c>
      <c r="AK664" s="5">
        <v>141</v>
      </c>
      <c r="AL664" s="5">
        <v>75</v>
      </c>
      <c r="AM664" s="5">
        <v>66</v>
      </c>
      <c r="AN664" s="5">
        <v>10</v>
      </c>
      <c r="AO664" s="5">
        <v>8</v>
      </c>
      <c r="AP664" s="5">
        <v>0</v>
      </c>
      <c r="AQ664" s="5">
        <v>0</v>
      </c>
      <c r="AT664" s="5">
        <v>0</v>
      </c>
      <c r="AU664" s="5">
        <v>0</v>
      </c>
      <c r="AX664" s="5">
        <v>0</v>
      </c>
      <c r="AY664" s="5" t="s">
        <v>86</v>
      </c>
      <c r="BN664" s="5" t="s">
        <v>86</v>
      </c>
      <c r="CD664" s="5">
        <v>0</v>
      </c>
      <c r="CF664" s="1442" t="str">
        <f>IF([1]!sommaire[[#This Row],[présence des personnes déplacés interne]]="Oui","1","0")</f>
        <v>1</v>
      </c>
      <c r="CG664" s="1442" t="str">
        <f>IF([1]!sommaire[[#This Row],[présence Réfugié hors camp]]="Oui","1","0")</f>
        <v>0</v>
      </c>
      <c r="CH664" s="1442" t="str">
        <f>IF([1]!sommaire[[#This Row],[présence personnes retournées]]="Oui","1","0")</f>
        <v>0</v>
      </c>
      <c r="CI664" s="1442">
        <f>[1]!sommaire[[#This Row],[Flag PDI]]+[1]!sommaire[[#This Row],[Flag REF]]+[1]!sommaire[[#This Row],[Flag RET]]</f>
        <v>1</v>
      </c>
    </row>
    <row r="665" spans="1:87" ht="14.55" customHeight="1" x14ac:dyDescent="0.3">
      <c r="A665" s="390">
        <v>2627570</v>
      </c>
      <c r="B665" s="5" t="s">
        <v>533</v>
      </c>
      <c r="C665" s="1430" t="s">
        <v>3449</v>
      </c>
      <c r="D665" s="1090" t="s">
        <v>534</v>
      </c>
      <c r="E665" s="5" t="s">
        <v>31</v>
      </c>
      <c r="F665" s="5" t="s">
        <v>31</v>
      </c>
      <c r="G665" s="5" t="s">
        <v>549</v>
      </c>
      <c r="H665" s="5" t="s">
        <v>171</v>
      </c>
      <c r="I665" s="5" t="str">
        <f>_xlfn.XLOOKUP(sommaire[[#This Row],[Arrondissement_code]],OCHA_GIS!$F:$F,OCHA_GIS!$E:$E,,)</f>
        <v>Makary</v>
      </c>
      <c r="J665" s="5" t="s">
        <v>634</v>
      </c>
      <c r="K665" t="s">
        <v>2604</v>
      </c>
      <c r="L665" s="5" t="s">
        <v>1217</v>
      </c>
      <c r="N665" s="5" t="s">
        <v>3053</v>
      </c>
      <c r="O665" s="5" t="s">
        <v>2467</v>
      </c>
      <c r="P665" s="5" t="s">
        <v>85</v>
      </c>
      <c r="Q665" s="5" t="s">
        <v>86</v>
      </c>
      <c r="R665" s="5" t="s">
        <v>86</v>
      </c>
      <c r="T665" s="390">
        <v>3</v>
      </c>
      <c r="U665" s="5" t="s">
        <v>97</v>
      </c>
      <c r="W665" s="5" t="s">
        <v>2468</v>
      </c>
      <c r="X665" s="5" t="s">
        <v>102</v>
      </c>
      <c r="AA665" s="5" t="s">
        <v>85</v>
      </c>
      <c r="AB665" s="5" t="s">
        <v>2469</v>
      </c>
      <c r="AC665" s="5" t="s">
        <v>2470</v>
      </c>
      <c r="AD665" s="5" t="s">
        <v>86</v>
      </c>
      <c r="AF665" s="5">
        <v>35</v>
      </c>
      <c r="AG665" s="5">
        <v>400</v>
      </c>
      <c r="AH665" s="5" t="s">
        <v>85</v>
      </c>
      <c r="AI665" s="5" t="s">
        <v>2471</v>
      </c>
      <c r="AJ665" s="5">
        <v>35</v>
      </c>
      <c r="AK665" s="5">
        <v>308</v>
      </c>
      <c r="AL665" s="5">
        <v>115</v>
      </c>
      <c r="AM665" s="5">
        <v>193</v>
      </c>
      <c r="AN665" s="5">
        <v>25</v>
      </c>
      <c r="AO665" s="5">
        <v>10</v>
      </c>
      <c r="AP665" s="5">
        <v>0</v>
      </c>
      <c r="AQ665" s="5">
        <v>0</v>
      </c>
      <c r="AT665" s="5">
        <v>0</v>
      </c>
      <c r="AU665" s="5">
        <v>0</v>
      </c>
      <c r="AX665" s="5">
        <v>0</v>
      </c>
      <c r="AY665" s="5" t="s">
        <v>86</v>
      </c>
      <c r="BN665" s="5" t="s">
        <v>86</v>
      </c>
      <c r="CD665" s="5">
        <v>0</v>
      </c>
      <c r="CF665" s="1442" t="str">
        <f>IF([1]!sommaire[[#This Row],[présence des personnes déplacés interne]]="Oui","1","0")</f>
        <v>1</v>
      </c>
      <c r="CG665" s="1442" t="str">
        <f>IF([1]!sommaire[[#This Row],[présence Réfugié hors camp]]="Oui","1","0")</f>
        <v>0</v>
      </c>
      <c r="CH665" s="1442" t="str">
        <f>IF([1]!sommaire[[#This Row],[présence personnes retournées]]="Oui","1","0")</f>
        <v>0</v>
      </c>
      <c r="CI665" s="1442">
        <f>[1]!sommaire[[#This Row],[Flag PDI]]+[1]!sommaire[[#This Row],[Flag REF]]+[1]!sommaire[[#This Row],[Flag RET]]</f>
        <v>1</v>
      </c>
    </row>
    <row r="666" spans="1:87" ht="14.55" customHeight="1" x14ac:dyDescent="0.3">
      <c r="A666" s="390">
        <v>2627571</v>
      </c>
      <c r="B666" s="5" t="s">
        <v>533</v>
      </c>
      <c r="C666" s="1430" t="s">
        <v>3449</v>
      </c>
      <c r="D666" s="1090" t="s">
        <v>534</v>
      </c>
      <c r="E666" s="5" t="s">
        <v>31</v>
      </c>
      <c r="F666" s="5" t="s">
        <v>31</v>
      </c>
      <c r="G666" s="5" t="s">
        <v>549</v>
      </c>
      <c r="H666" s="5" t="s">
        <v>171</v>
      </c>
      <c r="I666" s="5" t="str">
        <f>_xlfn.XLOOKUP(sommaire[[#This Row],[Arrondissement_code]],OCHA_GIS!$F:$F,OCHA_GIS!$E:$E,,)</f>
        <v>Makary</v>
      </c>
      <c r="J666" s="5" t="s">
        <v>634</v>
      </c>
      <c r="K666" t="s">
        <v>1820</v>
      </c>
      <c r="L666" s="5" t="s">
        <v>1219</v>
      </c>
      <c r="N666" s="5" t="s">
        <v>3053</v>
      </c>
      <c r="O666" s="5" t="s">
        <v>2467</v>
      </c>
      <c r="P666" s="5" t="s">
        <v>85</v>
      </c>
      <c r="Q666" s="5" t="s">
        <v>86</v>
      </c>
      <c r="R666" s="5" t="s">
        <v>86</v>
      </c>
      <c r="T666" s="390">
        <v>3</v>
      </c>
      <c r="U666" s="5" t="s">
        <v>97</v>
      </c>
      <c r="W666" s="5" t="s">
        <v>2468</v>
      </c>
      <c r="X666" s="5" t="s">
        <v>102</v>
      </c>
      <c r="AA666" s="5" t="s">
        <v>85</v>
      </c>
      <c r="AB666" s="5" t="s">
        <v>2469</v>
      </c>
      <c r="AC666" s="5" t="s">
        <v>2470</v>
      </c>
      <c r="AD666" s="5" t="s">
        <v>86</v>
      </c>
      <c r="AF666" s="5">
        <v>51</v>
      </c>
      <c r="AG666" s="5">
        <v>280</v>
      </c>
      <c r="AH666" s="5" t="s">
        <v>85</v>
      </c>
      <c r="AI666" s="5" t="s">
        <v>2471</v>
      </c>
      <c r="AJ666" s="5">
        <v>51</v>
      </c>
      <c r="AK666" s="5">
        <v>280</v>
      </c>
      <c r="AL666" s="5">
        <v>110</v>
      </c>
      <c r="AM666" s="5">
        <v>170</v>
      </c>
      <c r="AN666" s="5">
        <v>40</v>
      </c>
      <c r="AO666" s="5">
        <v>11</v>
      </c>
      <c r="AP666" s="5">
        <v>0</v>
      </c>
      <c r="AQ666" s="5">
        <v>0</v>
      </c>
      <c r="AT666" s="5">
        <v>0</v>
      </c>
      <c r="AU666" s="5">
        <v>0</v>
      </c>
      <c r="AX666" s="5">
        <v>0</v>
      </c>
      <c r="AY666" s="5" t="s">
        <v>86</v>
      </c>
      <c r="BN666" s="5" t="s">
        <v>86</v>
      </c>
      <c r="CD666" s="5">
        <v>0</v>
      </c>
      <c r="CF666" s="1442" t="str">
        <f>IF([1]!sommaire[[#This Row],[présence des personnes déplacés interne]]="Oui","1","0")</f>
        <v>1</v>
      </c>
      <c r="CG666" s="1442" t="str">
        <f>IF([1]!sommaire[[#This Row],[présence Réfugié hors camp]]="Oui","1","0")</f>
        <v>0</v>
      </c>
      <c r="CH666" s="1442" t="str">
        <f>IF([1]!sommaire[[#This Row],[présence personnes retournées]]="Oui","1","0")</f>
        <v>0</v>
      </c>
      <c r="CI666" s="1442">
        <f>[1]!sommaire[[#This Row],[Flag PDI]]+[1]!sommaire[[#This Row],[Flag REF]]+[1]!sommaire[[#This Row],[Flag RET]]</f>
        <v>1</v>
      </c>
    </row>
    <row r="667" spans="1:87" ht="14.55" customHeight="1" x14ac:dyDescent="0.3">
      <c r="A667" s="390">
        <v>2647204</v>
      </c>
      <c r="B667" s="5" t="s">
        <v>533</v>
      </c>
      <c r="C667" s="1430" t="s">
        <v>3449</v>
      </c>
      <c r="D667" s="1090" t="s">
        <v>534</v>
      </c>
      <c r="E667" s="5" t="s">
        <v>31</v>
      </c>
      <c r="F667" s="5" t="s">
        <v>31</v>
      </c>
      <c r="G667" s="5" t="s">
        <v>549</v>
      </c>
      <c r="H667" s="5" t="s">
        <v>171</v>
      </c>
      <c r="I667" s="5" t="str">
        <f>_xlfn.XLOOKUP(sommaire[[#This Row],[Arrondissement_code]],OCHA_GIS!$F:$F,OCHA_GIS!$E:$E,,)</f>
        <v>Makary</v>
      </c>
      <c r="J667" s="5" t="s">
        <v>634</v>
      </c>
      <c r="K667" t="s">
        <v>2983</v>
      </c>
      <c r="L667" s="5" t="s">
        <v>2125</v>
      </c>
      <c r="N667" s="5" t="s">
        <v>3053</v>
      </c>
      <c r="O667" s="5" t="s">
        <v>2467</v>
      </c>
      <c r="P667" s="5" t="s">
        <v>85</v>
      </c>
      <c r="Q667" s="5" t="s">
        <v>86</v>
      </c>
      <c r="R667" s="5" t="s">
        <v>86</v>
      </c>
      <c r="T667" s="390">
        <v>3</v>
      </c>
      <c r="U667" s="5" t="s">
        <v>97</v>
      </c>
      <c r="W667" s="5" t="s">
        <v>2468</v>
      </c>
      <c r="X667" s="5" t="s">
        <v>103</v>
      </c>
      <c r="Y667" s="5" t="s">
        <v>2476</v>
      </c>
      <c r="AA667" s="5" t="s">
        <v>86</v>
      </c>
      <c r="AH667" s="1430" t="s">
        <v>86</v>
      </c>
      <c r="AY667" s="1430" t="s">
        <v>86</v>
      </c>
      <c r="BN667" s="1430" t="s">
        <v>86</v>
      </c>
      <c r="CF667" s="1442" t="str">
        <f>IF([1]!sommaire[[#This Row],[présence des personnes déplacés interne]]="Oui","1","0")</f>
        <v>0</v>
      </c>
      <c r="CG667" s="1442" t="str">
        <f>IF([1]!sommaire[[#This Row],[présence Réfugié hors camp]]="Oui","1","0")</f>
        <v>0</v>
      </c>
      <c r="CH667" s="1442" t="str">
        <f>IF([1]!sommaire[[#This Row],[présence personnes retournées]]="Oui","1","0")</f>
        <v>0</v>
      </c>
      <c r="CI667" s="1442">
        <f>[1]!sommaire[[#This Row],[Flag PDI]]+[1]!sommaire[[#This Row],[Flag REF]]+[1]!sommaire[[#This Row],[Flag RET]]</f>
        <v>0</v>
      </c>
    </row>
    <row r="668" spans="1:87" ht="14.55" customHeight="1" x14ac:dyDescent="0.3">
      <c r="A668" s="390">
        <v>2658132</v>
      </c>
      <c r="B668" s="5" t="s">
        <v>533</v>
      </c>
      <c r="C668" s="1430" t="s">
        <v>3449</v>
      </c>
      <c r="D668" s="1090" t="s">
        <v>534</v>
      </c>
      <c r="E668" s="5" t="s">
        <v>31</v>
      </c>
      <c r="F668" s="5" t="s">
        <v>31</v>
      </c>
      <c r="G668" s="5" t="s">
        <v>549</v>
      </c>
      <c r="H668" s="5" t="s">
        <v>171</v>
      </c>
      <c r="I668" s="5" t="str">
        <f>_xlfn.XLOOKUP(sommaire[[#This Row],[Arrondissement_code]],OCHA_GIS!$F:$F,OCHA_GIS!$E:$E,,)</f>
        <v>Makary</v>
      </c>
      <c r="J668" s="5" t="s">
        <v>634</v>
      </c>
      <c r="K668" t="s">
        <v>2986</v>
      </c>
      <c r="L668" s="5" t="s">
        <v>2224</v>
      </c>
      <c r="N668" s="5" t="s">
        <v>3053</v>
      </c>
      <c r="O668" s="5" t="s">
        <v>2467</v>
      </c>
      <c r="P668" s="5" t="s">
        <v>85</v>
      </c>
      <c r="Q668" s="5" t="s">
        <v>86</v>
      </c>
      <c r="R668" s="5" t="s">
        <v>86</v>
      </c>
      <c r="T668" s="390">
        <v>3</v>
      </c>
      <c r="U668" s="5" t="s">
        <v>97</v>
      </c>
      <c r="W668" s="5" t="s">
        <v>2468</v>
      </c>
      <c r="X668" s="5" t="s">
        <v>103</v>
      </c>
      <c r="Y668" s="5" t="s">
        <v>2476</v>
      </c>
      <c r="AA668" s="586" t="s">
        <v>85</v>
      </c>
      <c r="AB668" s="5" t="s">
        <v>2469</v>
      </c>
      <c r="AC668" s="5" t="s">
        <v>2470</v>
      </c>
      <c r="AD668" s="5" t="s">
        <v>86</v>
      </c>
      <c r="AG668" s="5">
        <v>239</v>
      </c>
      <c r="AH668" s="5" t="s">
        <v>86</v>
      </c>
      <c r="AY668" s="5" t="s">
        <v>85</v>
      </c>
      <c r="AZ668" s="5">
        <v>7</v>
      </c>
      <c r="BA668" s="5">
        <v>30</v>
      </c>
      <c r="BB668" s="5">
        <v>15</v>
      </c>
      <c r="BC668" s="5">
        <v>15</v>
      </c>
      <c r="BD668" s="5">
        <v>7</v>
      </c>
      <c r="BE668" s="5">
        <v>0</v>
      </c>
      <c r="BF668" s="5">
        <v>0</v>
      </c>
      <c r="BH668" s="5">
        <v>0</v>
      </c>
      <c r="BI668" s="5">
        <v>0</v>
      </c>
      <c r="BL668" s="5">
        <v>0</v>
      </c>
      <c r="BM668" s="5">
        <v>7</v>
      </c>
      <c r="BN668" s="5" t="s">
        <v>86</v>
      </c>
      <c r="CD668" s="5">
        <v>0</v>
      </c>
      <c r="CF668" s="1442" t="str">
        <f>IF([1]!sommaire[[#This Row],[présence des personnes déplacés interne]]="Oui","1","0")</f>
        <v>0</v>
      </c>
      <c r="CG668" s="1442" t="str">
        <f>IF([1]!sommaire[[#This Row],[présence Réfugié hors camp]]="Oui","1","0")</f>
        <v>1</v>
      </c>
      <c r="CH668" s="1442" t="str">
        <f>IF([1]!sommaire[[#This Row],[présence personnes retournées]]="Oui","1","0")</f>
        <v>0</v>
      </c>
      <c r="CI668" s="1442">
        <f>[1]!sommaire[[#This Row],[Flag PDI]]+[1]!sommaire[[#This Row],[Flag REF]]+[1]!sommaire[[#This Row],[Flag RET]]</f>
        <v>1</v>
      </c>
    </row>
    <row r="669" spans="1:87" ht="14.55" customHeight="1" x14ac:dyDescent="0.3">
      <c r="A669" s="390">
        <v>2621749</v>
      </c>
      <c r="B669" s="5" t="s">
        <v>533</v>
      </c>
      <c r="C669" s="1430" t="s">
        <v>3449</v>
      </c>
      <c r="D669" s="1090" t="s">
        <v>534</v>
      </c>
      <c r="E669" s="5" t="s">
        <v>31</v>
      </c>
      <c r="F669" s="5" t="s">
        <v>31</v>
      </c>
      <c r="G669" s="5" t="s">
        <v>549</v>
      </c>
      <c r="H669" s="5" t="s">
        <v>171</v>
      </c>
      <c r="I669" s="5" t="str">
        <f>_xlfn.XLOOKUP(sommaire[[#This Row],[Arrondissement_code]],OCHA_GIS!$F:$F,OCHA_GIS!$E:$E,,)</f>
        <v>Makary</v>
      </c>
      <c r="J669" s="5" t="s">
        <v>634</v>
      </c>
      <c r="K669" t="s">
        <v>2999</v>
      </c>
      <c r="L669" s="5" t="s">
        <v>1977</v>
      </c>
      <c r="N669" s="5" t="s">
        <v>3053</v>
      </c>
      <c r="O669" s="5" t="s">
        <v>2467</v>
      </c>
      <c r="P669" s="5" t="s">
        <v>85</v>
      </c>
      <c r="Q669" s="5" t="s">
        <v>86</v>
      </c>
      <c r="R669" s="5" t="s">
        <v>86</v>
      </c>
      <c r="T669" s="390">
        <v>3</v>
      </c>
      <c r="U669" s="5" t="s">
        <v>97</v>
      </c>
      <c r="W669" s="5" t="s">
        <v>2468</v>
      </c>
      <c r="X669" s="5" t="s">
        <v>102</v>
      </c>
      <c r="AA669" s="1175" t="s">
        <v>85</v>
      </c>
      <c r="AB669" s="5" t="s">
        <v>2469</v>
      </c>
      <c r="AC669" s="5" t="s">
        <v>2470</v>
      </c>
      <c r="AD669" s="5" t="s">
        <v>86</v>
      </c>
      <c r="AF669" s="5">
        <v>11</v>
      </c>
      <c r="AG669" s="5">
        <v>812</v>
      </c>
      <c r="AH669" s="5" t="s">
        <v>85</v>
      </c>
      <c r="AI669" s="5" t="s">
        <v>2485</v>
      </c>
      <c r="AJ669" s="5">
        <v>11</v>
      </c>
      <c r="AK669" s="5">
        <v>57</v>
      </c>
      <c r="AL669" s="5">
        <v>20</v>
      </c>
      <c r="AM669" s="5">
        <v>37</v>
      </c>
      <c r="AN669" s="5">
        <v>0</v>
      </c>
      <c r="AO669" s="5">
        <v>11</v>
      </c>
      <c r="AP669" s="5">
        <v>0</v>
      </c>
      <c r="AQ669" s="5">
        <v>0</v>
      </c>
      <c r="AT669" s="5">
        <v>0</v>
      </c>
      <c r="AU669" s="5">
        <v>0</v>
      </c>
      <c r="AX669" s="5">
        <v>0</v>
      </c>
      <c r="AY669" s="5" t="s">
        <v>86</v>
      </c>
      <c r="BN669" s="5" t="s">
        <v>86</v>
      </c>
      <c r="CD669" s="5">
        <v>0</v>
      </c>
      <c r="CF669" s="1442" t="str">
        <f>IF([1]!sommaire[[#This Row],[présence des personnes déplacés interne]]="Oui","1","0")</f>
        <v>1</v>
      </c>
      <c r="CG669" s="1442" t="str">
        <f>IF([1]!sommaire[[#This Row],[présence Réfugié hors camp]]="Oui","1","0")</f>
        <v>0</v>
      </c>
      <c r="CH669" s="1442" t="str">
        <f>IF([1]!sommaire[[#This Row],[présence personnes retournées]]="Oui","1","0")</f>
        <v>0</v>
      </c>
      <c r="CI669" s="1442">
        <f>[1]!sommaire[[#This Row],[Flag PDI]]+[1]!sommaire[[#This Row],[Flag REF]]+[1]!sommaire[[#This Row],[Flag RET]]</f>
        <v>1</v>
      </c>
    </row>
    <row r="670" spans="1:87" ht="14.55" customHeight="1" x14ac:dyDescent="0.3">
      <c r="A670" s="390">
        <v>2657837</v>
      </c>
      <c r="B670" s="5" t="s">
        <v>533</v>
      </c>
      <c r="C670" s="1430" t="s">
        <v>3449</v>
      </c>
      <c r="D670" s="1090" t="s">
        <v>534</v>
      </c>
      <c r="E670" s="5" t="s">
        <v>31</v>
      </c>
      <c r="F670" s="5" t="s">
        <v>31</v>
      </c>
      <c r="G670" s="5" t="s">
        <v>549</v>
      </c>
      <c r="H670" s="5" t="s">
        <v>171</v>
      </c>
      <c r="I670" s="5" t="str">
        <f>_xlfn.XLOOKUP(sommaire[[#This Row],[Arrondissement_code]],OCHA_GIS!$F:$F,OCHA_GIS!$E:$E,,)</f>
        <v>Makary</v>
      </c>
      <c r="J670" s="5" t="s">
        <v>634</v>
      </c>
      <c r="K670" t="s">
        <v>1885</v>
      </c>
      <c r="L670" s="5" t="s">
        <v>2632</v>
      </c>
      <c r="N670" s="5" t="s">
        <v>3053</v>
      </c>
      <c r="O670" s="5" t="s">
        <v>2467</v>
      </c>
      <c r="P670" s="5" t="s">
        <v>86</v>
      </c>
      <c r="Q670" s="5" t="s">
        <v>86</v>
      </c>
      <c r="R670" s="5" t="s">
        <v>85</v>
      </c>
      <c r="U670" s="5" t="s">
        <v>98</v>
      </c>
      <c r="W670" s="5" t="s">
        <v>2482</v>
      </c>
      <c r="AA670" s="5" t="s">
        <v>86</v>
      </c>
      <c r="AH670" s="1430" t="s">
        <v>86</v>
      </c>
      <c r="AY670" s="1430" t="s">
        <v>86</v>
      </c>
      <c r="BN670" s="1430" t="s">
        <v>86</v>
      </c>
      <c r="CF670" s="1442" t="str">
        <f>IF([1]!sommaire[[#This Row],[présence des personnes déplacés interne]]="Oui","1","0")</f>
        <v>0</v>
      </c>
      <c r="CG670" s="1442" t="str">
        <f>IF([1]!sommaire[[#This Row],[présence Réfugié hors camp]]="Oui","1","0")</f>
        <v>0</v>
      </c>
      <c r="CH670" s="1442" t="str">
        <f>IF([1]!sommaire[[#This Row],[présence personnes retournées]]="Oui","1","0")</f>
        <v>0</v>
      </c>
      <c r="CI670" s="1442">
        <f>[1]!sommaire[[#This Row],[Flag PDI]]+[1]!sommaire[[#This Row],[Flag REF]]+[1]!sommaire[[#This Row],[Flag RET]]</f>
        <v>0</v>
      </c>
    </row>
    <row r="671" spans="1:87" ht="14.55" customHeight="1" x14ac:dyDescent="0.3">
      <c r="A671" s="390">
        <v>2647205</v>
      </c>
      <c r="B671" s="5" t="s">
        <v>533</v>
      </c>
      <c r="C671" s="1430" t="s">
        <v>3449</v>
      </c>
      <c r="D671" s="1090" t="s">
        <v>534</v>
      </c>
      <c r="E671" s="5" t="s">
        <v>31</v>
      </c>
      <c r="F671" s="5" t="s">
        <v>31</v>
      </c>
      <c r="G671" s="5" t="s">
        <v>549</v>
      </c>
      <c r="H671" s="5" t="s">
        <v>171</v>
      </c>
      <c r="I671" s="5" t="str">
        <f>_xlfn.XLOOKUP(sommaire[[#This Row],[Arrondissement_code]],OCHA_GIS!$F:$F,OCHA_GIS!$E:$E,,)</f>
        <v>Makary</v>
      </c>
      <c r="J671" s="5" t="s">
        <v>634</v>
      </c>
      <c r="K671" t="s">
        <v>3000</v>
      </c>
      <c r="L671" s="5" t="s">
        <v>1996</v>
      </c>
      <c r="N671" s="5" t="s">
        <v>3053</v>
      </c>
      <c r="O671" s="5" t="s">
        <v>2467</v>
      </c>
      <c r="P671" s="5" t="s">
        <v>86</v>
      </c>
      <c r="Q671" s="5" t="s">
        <v>86</v>
      </c>
      <c r="R671" s="5" t="s">
        <v>85</v>
      </c>
      <c r="U671" s="5" t="s">
        <v>97</v>
      </c>
      <c r="W671" s="5" t="s">
        <v>2468</v>
      </c>
      <c r="X671" s="1090" t="s">
        <v>103</v>
      </c>
      <c r="Y671" s="5" t="s">
        <v>2476</v>
      </c>
      <c r="AA671" s="5" t="s">
        <v>86</v>
      </c>
      <c r="AH671" s="1430" t="s">
        <v>86</v>
      </c>
      <c r="AY671" s="1430" t="s">
        <v>86</v>
      </c>
      <c r="BN671" s="1430" t="s">
        <v>86</v>
      </c>
      <c r="CF671" s="1442" t="str">
        <f>IF([1]!sommaire[[#This Row],[présence des personnes déplacés interne]]="Oui","1","0")</f>
        <v>0</v>
      </c>
      <c r="CG671" s="1442" t="str">
        <f>IF([1]!sommaire[[#This Row],[présence Réfugié hors camp]]="Oui","1","0")</f>
        <v>0</v>
      </c>
      <c r="CH671" s="1442" t="str">
        <f>IF([1]!sommaire[[#This Row],[présence personnes retournées]]="Oui","1","0")</f>
        <v>0</v>
      </c>
      <c r="CI671" s="1442">
        <f>[1]!sommaire[[#This Row],[Flag PDI]]+[1]!sommaire[[#This Row],[Flag REF]]+[1]!sommaire[[#This Row],[Flag RET]]</f>
        <v>0</v>
      </c>
    </row>
    <row r="672" spans="1:87" ht="14.55" customHeight="1" x14ac:dyDescent="0.3">
      <c r="A672" s="390">
        <v>2682564</v>
      </c>
      <c r="B672" s="5" t="s">
        <v>533</v>
      </c>
      <c r="C672" s="1430" t="s">
        <v>3449</v>
      </c>
      <c r="D672" s="1090" t="s">
        <v>534</v>
      </c>
      <c r="E672" s="5" t="s">
        <v>31</v>
      </c>
      <c r="F672" s="5" t="s">
        <v>31</v>
      </c>
      <c r="G672" s="5" t="s">
        <v>549</v>
      </c>
      <c r="H672" s="5" t="s">
        <v>171</v>
      </c>
      <c r="I672" s="5" t="str">
        <f>_xlfn.XLOOKUP(sommaire[[#This Row],[Arrondissement_code]],OCHA_GIS!$F:$F,OCHA_GIS!$E:$E,,)</f>
        <v>Makary</v>
      </c>
      <c r="J672" s="5" t="s">
        <v>634</v>
      </c>
      <c r="K672" t="s">
        <v>1986</v>
      </c>
      <c r="L672" s="5" t="s">
        <v>813</v>
      </c>
      <c r="N672" s="5" t="s">
        <v>3053</v>
      </c>
      <c r="O672" s="5" t="s">
        <v>2467</v>
      </c>
      <c r="P672" s="5" t="s">
        <v>85</v>
      </c>
      <c r="Q672" s="5" t="s">
        <v>86</v>
      </c>
      <c r="R672" s="5" t="s">
        <v>86</v>
      </c>
      <c r="T672" s="390">
        <v>3</v>
      </c>
      <c r="U672" s="5" t="s">
        <v>97</v>
      </c>
      <c r="W672" s="5" t="s">
        <v>2468</v>
      </c>
      <c r="X672" s="5" t="s">
        <v>102</v>
      </c>
      <c r="AA672" s="5" t="s">
        <v>85</v>
      </c>
      <c r="AB672" s="5" t="s">
        <v>2469</v>
      </c>
      <c r="AC672" s="5" t="s">
        <v>2470</v>
      </c>
      <c r="AD672" s="1090" t="s">
        <v>86</v>
      </c>
      <c r="AF672" s="5">
        <v>36</v>
      </c>
      <c r="AG672" s="5">
        <v>308</v>
      </c>
      <c r="AH672" s="5" t="s">
        <v>85</v>
      </c>
      <c r="AI672" s="5" t="s">
        <v>2471</v>
      </c>
      <c r="AJ672" s="5">
        <v>36</v>
      </c>
      <c r="AK672" s="5">
        <v>178</v>
      </c>
      <c r="AL672" s="5">
        <v>79</v>
      </c>
      <c r="AM672" s="5">
        <v>99</v>
      </c>
      <c r="AN672" s="5">
        <v>0</v>
      </c>
      <c r="AO672" s="5">
        <v>36</v>
      </c>
      <c r="AP672" s="5">
        <v>0</v>
      </c>
      <c r="AQ672" s="5">
        <v>0</v>
      </c>
      <c r="AT672" s="5">
        <v>0</v>
      </c>
      <c r="AU672" s="5">
        <v>0</v>
      </c>
      <c r="AX672" s="5">
        <v>0</v>
      </c>
      <c r="AY672" s="5" t="s">
        <v>85</v>
      </c>
      <c r="AZ672" s="5">
        <v>10</v>
      </c>
      <c r="BA672" s="5">
        <v>109</v>
      </c>
      <c r="BB672" s="5">
        <v>49</v>
      </c>
      <c r="BC672" s="5">
        <v>60</v>
      </c>
      <c r="BD672" s="5">
        <v>10</v>
      </c>
      <c r="BE672" s="5">
        <v>0</v>
      </c>
      <c r="BF672" s="5">
        <v>0</v>
      </c>
      <c r="BH672" s="5">
        <v>0</v>
      </c>
      <c r="BI672" s="5">
        <v>0</v>
      </c>
      <c r="BL672" s="5">
        <v>0</v>
      </c>
      <c r="BM672" s="5">
        <v>0</v>
      </c>
      <c r="BN672" s="5" t="s">
        <v>86</v>
      </c>
      <c r="CD672" s="5">
        <v>0</v>
      </c>
      <c r="CF672" s="1442" t="str">
        <f>IF([1]!sommaire[[#This Row],[présence des personnes déplacés interne]]="Oui","1","0")</f>
        <v>1</v>
      </c>
      <c r="CG672" s="1442" t="str">
        <f>IF([1]!sommaire[[#This Row],[présence Réfugié hors camp]]="Oui","1","0")</f>
        <v>1</v>
      </c>
      <c r="CH672" s="1442" t="str">
        <f>IF([1]!sommaire[[#This Row],[présence personnes retournées]]="Oui","1","0")</f>
        <v>0</v>
      </c>
      <c r="CI672" s="1442">
        <f>[1]!sommaire[[#This Row],[Flag PDI]]+[1]!sommaire[[#This Row],[Flag REF]]+[1]!sommaire[[#This Row],[Flag RET]]</f>
        <v>2</v>
      </c>
    </row>
    <row r="673" spans="1:87" ht="14.55" customHeight="1" x14ac:dyDescent="0.3">
      <c r="A673" s="390">
        <v>2592150</v>
      </c>
      <c r="B673" s="5" t="s">
        <v>533</v>
      </c>
      <c r="C673" s="1430" t="s">
        <v>3449</v>
      </c>
      <c r="D673" s="1090" t="s">
        <v>534</v>
      </c>
      <c r="E673" s="5" t="s">
        <v>31</v>
      </c>
      <c r="F673" s="5" t="s">
        <v>31</v>
      </c>
      <c r="G673" s="5" t="s">
        <v>549</v>
      </c>
      <c r="H673" s="5" t="s">
        <v>171</v>
      </c>
      <c r="I673" s="5" t="str">
        <f>_xlfn.XLOOKUP(sommaire[[#This Row],[Arrondissement_code]],OCHA_GIS!$F:$F,OCHA_GIS!$E:$E,,)</f>
        <v>Makary</v>
      </c>
      <c r="J673" s="5" t="s">
        <v>634</v>
      </c>
      <c r="K673" t="s">
        <v>2627</v>
      </c>
      <c r="L673" s="5" t="s">
        <v>2139</v>
      </c>
      <c r="N673" s="5" t="s">
        <v>3053</v>
      </c>
      <c r="O673" s="5" t="s">
        <v>2467</v>
      </c>
      <c r="P673" s="5" t="s">
        <v>85</v>
      </c>
      <c r="Q673" s="5" t="s">
        <v>86</v>
      </c>
      <c r="R673" s="5" t="s">
        <v>86</v>
      </c>
      <c r="T673" s="390">
        <v>3</v>
      </c>
      <c r="U673" s="5" t="s">
        <v>97</v>
      </c>
      <c r="W673" s="5" t="s">
        <v>2468</v>
      </c>
      <c r="X673" s="5" t="s">
        <v>102</v>
      </c>
      <c r="AA673" s="5" t="s">
        <v>85</v>
      </c>
      <c r="AB673" s="5" t="s">
        <v>2469</v>
      </c>
      <c r="AC673" s="5" t="s">
        <v>2470</v>
      </c>
      <c r="AD673" s="5" t="s">
        <v>86</v>
      </c>
      <c r="AF673" s="5">
        <v>59</v>
      </c>
      <c r="AG673" s="5">
        <v>1000</v>
      </c>
      <c r="AH673" s="5" t="s">
        <v>85</v>
      </c>
      <c r="AI673" s="5" t="s">
        <v>2471</v>
      </c>
      <c r="AJ673" s="5">
        <v>59</v>
      </c>
      <c r="AK673" s="5">
        <v>75</v>
      </c>
      <c r="AL673" s="5">
        <v>35</v>
      </c>
      <c r="AM673" s="5">
        <v>40</v>
      </c>
      <c r="AN673" s="5">
        <v>30</v>
      </c>
      <c r="AO673" s="5">
        <v>20</v>
      </c>
      <c r="AP673" s="5">
        <v>9</v>
      </c>
      <c r="AQ673" s="5">
        <v>0</v>
      </c>
      <c r="AT673" s="5">
        <v>0</v>
      </c>
      <c r="AU673" s="5">
        <v>0</v>
      </c>
      <c r="AX673" s="5">
        <v>0</v>
      </c>
      <c r="AY673" s="5" t="s">
        <v>86</v>
      </c>
      <c r="BN673" s="5" t="s">
        <v>86</v>
      </c>
      <c r="CD673" s="5">
        <v>0</v>
      </c>
      <c r="CF673" s="1442" t="str">
        <f>IF([1]!sommaire[[#This Row],[présence des personnes déplacés interne]]="Oui","1","0")</f>
        <v>1</v>
      </c>
      <c r="CG673" s="1442" t="str">
        <f>IF([1]!sommaire[[#This Row],[présence Réfugié hors camp]]="Oui","1","0")</f>
        <v>0</v>
      </c>
      <c r="CH673" s="1442" t="str">
        <f>IF([1]!sommaire[[#This Row],[présence personnes retournées]]="Oui","1","0")</f>
        <v>0</v>
      </c>
      <c r="CI673" s="1442">
        <f>[1]!sommaire[[#This Row],[Flag PDI]]+[1]!sommaire[[#This Row],[Flag REF]]+[1]!sommaire[[#This Row],[Flag RET]]</f>
        <v>1</v>
      </c>
    </row>
    <row r="674" spans="1:87" ht="14.55" customHeight="1" x14ac:dyDescent="0.3">
      <c r="A674" s="390">
        <v>2632793</v>
      </c>
      <c r="B674" s="5" t="s">
        <v>533</v>
      </c>
      <c r="C674" s="1430" t="s">
        <v>3449</v>
      </c>
      <c r="D674" s="1090" t="s">
        <v>534</v>
      </c>
      <c r="E674" s="5" t="s">
        <v>31</v>
      </c>
      <c r="F674" s="5" t="s">
        <v>31</v>
      </c>
      <c r="G674" s="5" t="s">
        <v>549</v>
      </c>
      <c r="H674" s="5" t="s">
        <v>171</v>
      </c>
      <c r="I674" s="5" t="str">
        <f>_xlfn.XLOOKUP(sommaire[[#This Row],[Arrondissement_code]],OCHA_GIS!$F:$F,OCHA_GIS!$E:$E,,)</f>
        <v>Makary</v>
      </c>
      <c r="J674" s="5" t="s">
        <v>634</v>
      </c>
      <c r="K674" t="s">
        <v>1303</v>
      </c>
      <c r="L674" s="5" t="s">
        <v>3235</v>
      </c>
      <c r="N674" s="5" t="s">
        <v>3053</v>
      </c>
      <c r="O674" s="5" t="s">
        <v>2473</v>
      </c>
      <c r="P674" s="5" t="s">
        <v>85</v>
      </c>
      <c r="Q674" s="5" t="s">
        <v>86</v>
      </c>
      <c r="R674" s="5" t="s">
        <v>86</v>
      </c>
      <c r="T674" s="390">
        <v>3</v>
      </c>
      <c r="U674" s="5" t="s">
        <v>97</v>
      </c>
      <c r="W674" s="5" t="s">
        <v>2468</v>
      </c>
      <c r="X674" s="5" t="s">
        <v>102</v>
      </c>
      <c r="AA674" s="5" t="s">
        <v>85</v>
      </c>
      <c r="AB674" s="5" t="s">
        <v>2473</v>
      </c>
      <c r="AC674" s="5" t="s">
        <v>2470</v>
      </c>
      <c r="AD674" s="1090"/>
      <c r="AF674" s="5">
        <v>443</v>
      </c>
      <c r="AG674" s="5">
        <v>7428</v>
      </c>
      <c r="AH674" s="5" t="s">
        <v>85</v>
      </c>
      <c r="AI674" s="5" t="s">
        <v>2471</v>
      </c>
      <c r="AJ674" s="5">
        <v>443</v>
      </c>
      <c r="AK674" s="5">
        <v>3791</v>
      </c>
      <c r="AL674" s="5">
        <v>1601</v>
      </c>
      <c r="AM674" s="5">
        <v>2190</v>
      </c>
      <c r="AN674" s="5">
        <v>0</v>
      </c>
      <c r="AO674" s="5">
        <v>0</v>
      </c>
      <c r="AP674" s="5">
        <v>0</v>
      </c>
      <c r="AQ674" s="5">
        <v>0</v>
      </c>
      <c r="AT674" s="5">
        <v>0</v>
      </c>
      <c r="AU674" s="5">
        <v>443</v>
      </c>
      <c r="AV674" s="5" t="s">
        <v>2490</v>
      </c>
      <c r="AX674" s="5">
        <v>0</v>
      </c>
      <c r="AY674" s="5" t="s">
        <v>85</v>
      </c>
      <c r="AZ674" s="5">
        <v>397</v>
      </c>
      <c r="BA674" s="5">
        <v>3500</v>
      </c>
      <c r="BB674" s="5">
        <v>1474</v>
      </c>
      <c r="BC674" s="5">
        <v>2026</v>
      </c>
      <c r="BD674" s="5">
        <v>0</v>
      </c>
      <c r="BE674" s="5">
        <v>0</v>
      </c>
      <c r="BF674" s="5">
        <v>0</v>
      </c>
      <c r="BH674" s="5">
        <v>0</v>
      </c>
      <c r="BI674" s="5">
        <v>397</v>
      </c>
      <c r="BJ674" s="5" t="s">
        <v>2490</v>
      </c>
      <c r="BL674" s="5">
        <v>0</v>
      </c>
      <c r="BM674" s="5">
        <v>0</v>
      </c>
      <c r="BN674" s="5" t="s">
        <v>86</v>
      </c>
      <c r="CD674" s="5">
        <v>0</v>
      </c>
      <c r="CF674" s="1442" t="str">
        <f>IF([1]!sommaire[[#This Row],[présence des personnes déplacés interne]]="Oui","1","0")</f>
        <v>1</v>
      </c>
      <c r="CG674" s="1442" t="str">
        <f>IF([1]!sommaire[[#This Row],[présence Réfugié hors camp]]="Oui","1","0")</f>
        <v>1</v>
      </c>
      <c r="CH674" s="1442" t="str">
        <f>IF([1]!sommaire[[#This Row],[présence personnes retournées]]="Oui","1","0")</f>
        <v>0</v>
      </c>
      <c r="CI674" s="1442">
        <f>[1]!sommaire[[#This Row],[Flag PDI]]+[1]!sommaire[[#This Row],[Flag REF]]+[1]!sommaire[[#This Row],[Flag RET]]</f>
        <v>2</v>
      </c>
    </row>
    <row r="675" spans="1:87" ht="14.55" customHeight="1" x14ac:dyDescent="0.3">
      <c r="A675" s="390">
        <v>2652395</v>
      </c>
      <c r="B675" s="5" t="s">
        <v>533</v>
      </c>
      <c r="C675" s="1430" t="s">
        <v>3449</v>
      </c>
      <c r="D675" s="1090" t="s">
        <v>534</v>
      </c>
      <c r="E675" s="5" t="s">
        <v>31</v>
      </c>
      <c r="F675" s="5" t="s">
        <v>31</v>
      </c>
      <c r="G675" s="5" t="s">
        <v>549</v>
      </c>
      <c r="H675" s="5" t="s">
        <v>171</v>
      </c>
      <c r="I675" s="5" t="str">
        <f>_xlfn.XLOOKUP(sommaire[[#This Row],[Arrondissement_code]],OCHA_GIS!$F:$F,OCHA_GIS!$E:$E,,)</f>
        <v>Makary</v>
      </c>
      <c r="J675" s="5" t="s">
        <v>634</v>
      </c>
      <c r="K675" t="s">
        <v>2802</v>
      </c>
      <c r="L675" s="5" t="s">
        <v>3238</v>
      </c>
      <c r="N675" s="5" t="s">
        <v>3053</v>
      </c>
      <c r="O675" s="5" t="s">
        <v>2473</v>
      </c>
      <c r="P675" s="5" t="s">
        <v>85</v>
      </c>
      <c r="Q675" s="5" t="s">
        <v>86</v>
      </c>
      <c r="R675" s="5" t="s">
        <v>86</v>
      </c>
      <c r="T675" s="390">
        <v>3</v>
      </c>
      <c r="U675" s="5" t="s">
        <v>97</v>
      </c>
      <c r="W675" s="5" t="s">
        <v>2468</v>
      </c>
      <c r="X675" s="5" t="s">
        <v>102</v>
      </c>
      <c r="AA675" s="5" t="s">
        <v>85</v>
      </c>
      <c r="AB675" s="5" t="s">
        <v>2473</v>
      </c>
      <c r="AC675" s="5" t="s">
        <v>2470</v>
      </c>
      <c r="AF675" s="5">
        <v>15</v>
      </c>
      <c r="AG675" s="5">
        <v>56</v>
      </c>
      <c r="AH675" s="5" t="s">
        <v>85</v>
      </c>
      <c r="AI675" s="5" t="s">
        <v>2471</v>
      </c>
      <c r="AJ675" s="5">
        <v>15</v>
      </c>
      <c r="AK675" s="5">
        <v>43</v>
      </c>
      <c r="AL675" s="5">
        <v>16</v>
      </c>
      <c r="AM675" s="5">
        <v>27</v>
      </c>
      <c r="AN675" s="5">
        <v>0</v>
      </c>
      <c r="AO675" s="5">
        <v>0</v>
      </c>
      <c r="AP675" s="5">
        <v>0</v>
      </c>
      <c r="AQ675" s="5">
        <v>0</v>
      </c>
      <c r="AT675" s="5">
        <v>0</v>
      </c>
      <c r="AU675" s="5">
        <v>15</v>
      </c>
      <c r="AV675" s="5" t="s">
        <v>2490</v>
      </c>
      <c r="AX675" s="5">
        <v>0</v>
      </c>
      <c r="AY675" s="5" t="s">
        <v>85</v>
      </c>
      <c r="AZ675" s="5">
        <v>3</v>
      </c>
      <c r="BA675" s="5">
        <v>13</v>
      </c>
      <c r="BB675" s="5">
        <v>9</v>
      </c>
      <c r="BC675" s="5">
        <v>4</v>
      </c>
      <c r="BD675" s="5">
        <v>0</v>
      </c>
      <c r="BE675" s="5">
        <v>0</v>
      </c>
      <c r="BF675" s="5">
        <v>0</v>
      </c>
      <c r="BH675" s="5">
        <v>0</v>
      </c>
      <c r="BI675" s="5">
        <v>3</v>
      </c>
      <c r="BJ675" s="5" t="s">
        <v>2490</v>
      </c>
      <c r="BL675" s="5">
        <v>0</v>
      </c>
      <c r="BM675" s="5">
        <v>0</v>
      </c>
      <c r="BN675" s="5" t="s">
        <v>86</v>
      </c>
      <c r="CD675" s="5">
        <v>0</v>
      </c>
      <c r="CF675" s="1442" t="str">
        <f>IF([1]!sommaire[[#This Row],[présence des personnes déplacés interne]]="Oui","1","0")</f>
        <v>1</v>
      </c>
      <c r="CG675" s="1442" t="str">
        <f>IF([1]!sommaire[[#This Row],[présence Réfugié hors camp]]="Oui","1","0")</f>
        <v>1</v>
      </c>
      <c r="CH675" s="1442" t="str">
        <f>IF([1]!sommaire[[#This Row],[présence personnes retournées]]="Oui","1","0")</f>
        <v>0</v>
      </c>
      <c r="CI675" s="1442">
        <f>[1]!sommaire[[#This Row],[Flag PDI]]+[1]!sommaire[[#This Row],[Flag REF]]+[1]!sommaire[[#This Row],[Flag RET]]</f>
        <v>2</v>
      </c>
    </row>
    <row r="676" spans="1:87" ht="14.55" customHeight="1" x14ac:dyDescent="0.3">
      <c r="A676" s="390">
        <v>2652401</v>
      </c>
      <c r="B676" s="5" t="s">
        <v>533</v>
      </c>
      <c r="C676" s="1430" t="s">
        <v>3449</v>
      </c>
      <c r="D676" s="1090" t="s">
        <v>534</v>
      </c>
      <c r="E676" s="5" t="s">
        <v>31</v>
      </c>
      <c r="F676" s="5" t="s">
        <v>31</v>
      </c>
      <c r="G676" s="5" t="s">
        <v>549</v>
      </c>
      <c r="H676" s="5" t="s">
        <v>171</v>
      </c>
      <c r="I676" s="5" t="str">
        <f>_xlfn.XLOOKUP(sommaire[[#This Row],[Arrondissement_code]],OCHA_GIS!$F:$F,OCHA_GIS!$E:$E,,)</f>
        <v>Makary</v>
      </c>
      <c r="J676" s="5" t="s">
        <v>634</v>
      </c>
      <c r="K676" t="s">
        <v>1064</v>
      </c>
      <c r="L676" s="5" t="s">
        <v>3239</v>
      </c>
      <c r="N676" s="5" t="s">
        <v>3053</v>
      </c>
      <c r="O676" s="5" t="s">
        <v>2473</v>
      </c>
      <c r="P676" s="5" t="s">
        <v>85</v>
      </c>
      <c r="Q676" s="5" t="s">
        <v>86</v>
      </c>
      <c r="R676" s="5" t="s">
        <v>86</v>
      </c>
      <c r="T676" s="390">
        <v>3</v>
      </c>
      <c r="U676" s="5" t="s">
        <v>97</v>
      </c>
      <c r="W676" s="5" t="s">
        <v>2468</v>
      </c>
      <c r="X676" s="5" t="s">
        <v>102</v>
      </c>
      <c r="AA676" s="5" t="s">
        <v>85</v>
      </c>
      <c r="AB676" s="5" t="s">
        <v>2473</v>
      </c>
      <c r="AC676" s="5" t="s">
        <v>2470</v>
      </c>
      <c r="AF676" s="5">
        <v>45</v>
      </c>
      <c r="AG676" s="5">
        <v>566</v>
      </c>
      <c r="AH676" s="5" t="s">
        <v>85</v>
      </c>
      <c r="AI676" s="5" t="s">
        <v>2471</v>
      </c>
      <c r="AJ676" s="5">
        <v>45</v>
      </c>
      <c r="AK676" s="5">
        <v>427</v>
      </c>
      <c r="AL676" s="5">
        <v>183</v>
      </c>
      <c r="AM676" s="5">
        <v>244</v>
      </c>
      <c r="AN676" s="5">
        <v>0</v>
      </c>
      <c r="AO676" s="5">
        <v>0</v>
      </c>
      <c r="AP676" s="5">
        <v>0</v>
      </c>
      <c r="AQ676" s="5">
        <v>0</v>
      </c>
      <c r="AT676" s="5">
        <v>0</v>
      </c>
      <c r="AU676" s="5">
        <v>45</v>
      </c>
      <c r="AV676" s="5" t="s">
        <v>2490</v>
      </c>
      <c r="AX676" s="5">
        <v>0</v>
      </c>
      <c r="AY676" s="5" t="s">
        <v>85</v>
      </c>
      <c r="AZ676" s="5">
        <v>23</v>
      </c>
      <c r="BA676" s="5">
        <v>137</v>
      </c>
      <c r="BB676" s="5">
        <v>48</v>
      </c>
      <c r="BC676" s="5">
        <v>89</v>
      </c>
      <c r="BD676" s="5">
        <v>0</v>
      </c>
      <c r="BE676" s="5">
        <v>0</v>
      </c>
      <c r="BF676" s="5">
        <v>0</v>
      </c>
      <c r="BH676" s="5">
        <v>0</v>
      </c>
      <c r="BI676" s="5">
        <v>23</v>
      </c>
      <c r="BJ676" s="5" t="s">
        <v>2490</v>
      </c>
      <c r="BL676" s="5">
        <v>0</v>
      </c>
      <c r="BM676" s="5">
        <v>0</v>
      </c>
      <c r="BN676" s="5" t="s">
        <v>86</v>
      </c>
      <c r="CD676" s="5">
        <v>0</v>
      </c>
      <c r="CF676" s="1442" t="str">
        <f>IF([1]!sommaire[[#This Row],[présence des personnes déplacés interne]]="Oui","1","0")</f>
        <v>1</v>
      </c>
      <c r="CG676" s="1442" t="str">
        <f>IF([1]!sommaire[[#This Row],[présence Réfugié hors camp]]="Oui","1","0")</f>
        <v>1</v>
      </c>
      <c r="CH676" s="1442" t="str">
        <f>IF([1]!sommaire[[#This Row],[présence personnes retournées]]="Oui","1","0")</f>
        <v>0</v>
      </c>
      <c r="CI676" s="1442">
        <f>[1]!sommaire[[#This Row],[Flag PDI]]+[1]!sommaire[[#This Row],[Flag REF]]+[1]!sommaire[[#This Row],[Flag RET]]</f>
        <v>2</v>
      </c>
    </row>
    <row r="677" spans="1:87" ht="14.55" customHeight="1" x14ac:dyDescent="0.3">
      <c r="A677" s="390">
        <v>2631826</v>
      </c>
      <c r="B677" s="5" t="s">
        <v>533</v>
      </c>
      <c r="C677" s="1430" t="s">
        <v>3449</v>
      </c>
      <c r="D677" s="5" t="s">
        <v>534</v>
      </c>
      <c r="E677" s="5" t="s">
        <v>31</v>
      </c>
      <c r="F677" s="5" t="s">
        <v>31</v>
      </c>
      <c r="G677" s="5" t="s">
        <v>549</v>
      </c>
      <c r="H677" s="5" t="s">
        <v>171</v>
      </c>
      <c r="I677" s="5" t="str">
        <f>_xlfn.XLOOKUP(sommaire[[#This Row],[Arrondissement_code]],OCHA_GIS!$F:$F,OCHA_GIS!$E:$E,,)</f>
        <v>Makary</v>
      </c>
      <c r="J677" s="5" t="s">
        <v>634</v>
      </c>
      <c r="K677" t="s">
        <v>1011</v>
      </c>
      <c r="L677" s="5" t="s">
        <v>3241</v>
      </c>
      <c r="N677" s="5" t="s">
        <v>3053</v>
      </c>
      <c r="O677" s="5" t="s">
        <v>2473</v>
      </c>
      <c r="P677" s="5" t="s">
        <v>85</v>
      </c>
      <c r="Q677" s="5" t="s">
        <v>86</v>
      </c>
      <c r="R677" s="5" t="s">
        <v>86</v>
      </c>
      <c r="T677" s="390">
        <v>3</v>
      </c>
      <c r="U677" s="5" t="s">
        <v>97</v>
      </c>
      <c r="W677" s="5" t="s">
        <v>2468</v>
      </c>
      <c r="X677" s="5" t="s">
        <v>103</v>
      </c>
      <c r="Y677" s="5" t="s">
        <v>2476</v>
      </c>
      <c r="AA677" s="5" t="s">
        <v>85</v>
      </c>
      <c r="AB677" s="5" t="s">
        <v>2473</v>
      </c>
      <c r="AC677" s="5" t="s">
        <v>2469</v>
      </c>
      <c r="AF677" s="5">
        <v>49</v>
      </c>
      <c r="AG677" s="5">
        <v>829</v>
      </c>
      <c r="AH677" s="5" t="s">
        <v>85</v>
      </c>
      <c r="AI677" s="5" t="s">
        <v>2471</v>
      </c>
      <c r="AJ677" s="5">
        <v>49</v>
      </c>
      <c r="AK677" s="5">
        <v>485</v>
      </c>
      <c r="AL677" s="5">
        <v>240</v>
      </c>
      <c r="AM677" s="5">
        <v>245</v>
      </c>
      <c r="AN677" s="5">
        <v>0</v>
      </c>
      <c r="AO677" s="5">
        <v>0</v>
      </c>
      <c r="AP677" s="5">
        <v>0</v>
      </c>
      <c r="AQ677" s="5">
        <v>0</v>
      </c>
      <c r="AT677" s="5">
        <v>0</v>
      </c>
      <c r="AU677" s="5">
        <v>49</v>
      </c>
      <c r="AV677" s="5" t="s">
        <v>2478</v>
      </c>
      <c r="AX677" s="5">
        <v>0</v>
      </c>
      <c r="AY677" s="5" t="s">
        <v>85</v>
      </c>
      <c r="AZ677" s="5">
        <v>26</v>
      </c>
      <c r="BA677" s="5">
        <v>344</v>
      </c>
      <c r="BB677" s="5">
        <v>165</v>
      </c>
      <c r="BC677" s="5">
        <v>179</v>
      </c>
      <c r="BD677" s="5">
        <v>0</v>
      </c>
      <c r="BE677" s="5">
        <v>0</v>
      </c>
      <c r="BF677" s="5">
        <v>0</v>
      </c>
      <c r="BH677" s="5">
        <v>0</v>
      </c>
      <c r="BI677" s="5">
        <v>26</v>
      </c>
      <c r="BJ677" s="5" t="s">
        <v>2478</v>
      </c>
      <c r="BL677" s="5">
        <v>0</v>
      </c>
      <c r="BM677" s="5">
        <v>26</v>
      </c>
      <c r="BN677" s="5" t="s">
        <v>86</v>
      </c>
      <c r="CD677" s="5">
        <v>0</v>
      </c>
      <c r="CF677" s="1442" t="str">
        <f>IF([1]!sommaire[[#This Row],[présence des personnes déplacés interne]]="Oui","1","0")</f>
        <v>1</v>
      </c>
      <c r="CG677" s="1442" t="str">
        <f>IF([1]!sommaire[[#This Row],[présence Réfugié hors camp]]="Oui","1","0")</f>
        <v>1</v>
      </c>
      <c r="CH677" s="1442" t="str">
        <f>IF([1]!sommaire[[#This Row],[présence personnes retournées]]="Oui","1","0")</f>
        <v>0</v>
      </c>
      <c r="CI677" s="1442">
        <f>[1]!sommaire[[#This Row],[Flag PDI]]+[1]!sommaire[[#This Row],[Flag REF]]+[1]!sommaire[[#This Row],[Flag RET]]</f>
        <v>2</v>
      </c>
    </row>
    <row r="678" spans="1:87" ht="14.55" customHeight="1" x14ac:dyDescent="0.3">
      <c r="A678" s="390">
        <v>2689947</v>
      </c>
      <c r="B678" s="5" t="s">
        <v>533</v>
      </c>
      <c r="C678" s="1430" t="s">
        <v>3449</v>
      </c>
      <c r="D678" s="5" t="s">
        <v>534</v>
      </c>
      <c r="E678" s="5" t="s">
        <v>31</v>
      </c>
      <c r="F678" s="5" t="s">
        <v>31</v>
      </c>
      <c r="G678" s="5" t="s">
        <v>549</v>
      </c>
      <c r="H678" s="5" t="s">
        <v>171</v>
      </c>
      <c r="I678" s="5" t="str">
        <f>_xlfn.XLOOKUP(sommaire[[#This Row],[Arrondissement_code]],OCHA_GIS!$F:$F,OCHA_GIS!$E:$E,,)</f>
        <v>Makary</v>
      </c>
      <c r="J678" s="5" t="s">
        <v>634</v>
      </c>
      <c r="K678" t="s">
        <v>1926</v>
      </c>
      <c r="L678" s="5" t="s">
        <v>1010</v>
      </c>
      <c r="N678" s="5" t="s">
        <v>3053</v>
      </c>
      <c r="O678" s="5" t="s">
        <v>2473</v>
      </c>
      <c r="P678" s="5" t="s">
        <v>86</v>
      </c>
      <c r="Q678" s="5" t="s">
        <v>86</v>
      </c>
      <c r="R678" s="5" t="s">
        <v>85</v>
      </c>
      <c r="U678" s="5" t="s">
        <v>97</v>
      </c>
      <c r="W678" s="5" t="s">
        <v>2468</v>
      </c>
      <c r="X678" s="5" t="s">
        <v>102</v>
      </c>
      <c r="AA678" s="5" t="s">
        <v>85</v>
      </c>
      <c r="AB678" s="5" t="s">
        <v>2473</v>
      </c>
      <c r="AC678" s="5" t="s">
        <v>2470</v>
      </c>
      <c r="AF678" s="5">
        <v>24</v>
      </c>
      <c r="AG678" s="5">
        <v>115</v>
      </c>
      <c r="AH678" s="5" t="s">
        <v>85</v>
      </c>
      <c r="AI678" s="5" t="s">
        <v>2471</v>
      </c>
      <c r="AJ678" s="5">
        <v>24</v>
      </c>
      <c r="AK678" s="5">
        <v>115</v>
      </c>
      <c r="AL678" s="5">
        <v>50</v>
      </c>
      <c r="AM678" s="5">
        <v>65</v>
      </c>
      <c r="AN678" s="5">
        <v>0</v>
      </c>
      <c r="AO678" s="5">
        <v>0</v>
      </c>
      <c r="AP678" s="5">
        <v>0</v>
      </c>
      <c r="AQ678" s="5">
        <v>0</v>
      </c>
      <c r="AT678" s="5">
        <v>0</v>
      </c>
      <c r="AU678" s="5">
        <v>24</v>
      </c>
      <c r="AV678" s="5" t="s">
        <v>2490</v>
      </c>
      <c r="AX678" s="5">
        <v>0</v>
      </c>
      <c r="AY678" s="5" t="s">
        <v>86</v>
      </c>
      <c r="BN678" s="5" t="s">
        <v>86</v>
      </c>
      <c r="CD678" s="5">
        <v>0</v>
      </c>
      <c r="CF678" s="1442" t="str">
        <f>IF([1]!sommaire[[#This Row],[présence des personnes déplacés interne]]="Oui","1","0")</f>
        <v>1</v>
      </c>
      <c r="CG678" s="1442" t="str">
        <f>IF([1]!sommaire[[#This Row],[présence Réfugié hors camp]]="Oui","1","0")</f>
        <v>0</v>
      </c>
      <c r="CH678" s="1442" t="str">
        <f>IF([1]!sommaire[[#This Row],[présence personnes retournées]]="Oui","1","0")</f>
        <v>0</v>
      </c>
      <c r="CI678" s="1442">
        <f>[1]!sommaire[[#This Row],[Flag PDI]]+[1]!sommaire[[#This Row],[Flag REF]]+[1]!sommaire[[#This Row],[Flag RET]]</f>
        <v>1</v>
      </c>
    </row>
    <row r="679" spans="1:87" ht="14.55" customHeight="1" x14ac:dyDescent="0.3">
      <c r="A679" s="390">
        <v>2626911</v>
      </c>
      <c r="B679" s="5" t="s">
        <v>533</v>
      </c>
      <c r="C679" s="1430" t="s">
        <v>3449</v>
      </c>
      <c r="D679" s="5" t="s">
        <v>534</v>
      </c>
      <c r="E679" s="5" t="s">
        <v>31</v>
      </c>
      <c r="F679" s="5" t="s">
        <v>31</v>
      </c>
      <c r="G679" s="5" t="s">
        <v>549</v>
      </c>
      <c r="H679" s="5" t="s">
        <v>171</v>
      </c>
      <c r="I679" s="5" t="str">
        <f>_xlfn.XLOOKUP(sommaire[[#This Row],[Arrondissement_code]],OCHA_GIS!$F:$F,OCHA_GIS!$E:$E,,)</f>
        <v>Makary</v>
      </c>
      <c r="J679" s="5" t="s">
        <v>634</v>
      </c>
      <c r="K679" t="s">
        <v>1540</v>
      </c>
      <c r="L679" s="5" t="s">
        <v>3242</v>
      </c>
      <c r="N679" s="5" t="s">
        <v>3053</v>
      </c>
      <c r="O679" s="5" t="s">
        <v>2473</v>
      </c>
      <c r="P679" s="5" t="s">
        <v>85</v>
      </c>
      <c r="Q679" s="5" t="s">
        <v>86</v>
      </c>
      <c r="R679" s="5" t="s">
        <v>86</v>
      </c>
      <c r="T679" s="390">
        <v>3</v>
      </c>
      <c r="U679" s="5" t="s">
        <v>97</v>
      </c>
      <c r="W679" s="5" t="s">
        <v>2468</v>
      </c>
      <c r="X679" s="5" t="s">
        <v>102</v>
      </c>
      <c r="AA679" s="5" t="s">
        <v>85</v>
      </c>
      <c r="AB679" s="5" t="s">
        <v>2473</v>
      </c>
      <c r="AC679" s="5" t="s">
        <v>2469</v>
      </c>
      <c r="AF679" s="5">
        <v>153</v>
      </c>
      <c r="AG679" s="5">
        <v>1307</v>
      </c>
      <c r="AH679" s="5" t="s">
        <v>85</v>
      </c>
      <c r="AI679" s="5" t="s">
        <v>2471</v>
      </c>
      <c r="AJ679" s="5">
        <v>153</v>
      </c>
      <c r="AK679" s="5">
        <v>837</v>
      </c>
      <c r="AL679" s="5">
        <v>321</v>
      </c>
      <c r="AM679" s="5">
        <v>516</v>
      </c>
      <c r="AN679" s="5">
        <v>0</v>
      </c>
      <c r="AO679" s="5">
        <v>13</v>
      </c>
      <c r="AP679" s="5">
        <v>0</v>
      </c>
      <c r="AQ679" s="5">
        <v>0</v>
      </c>
      <c r="AT679" s="5">
        <v>0</v>
      </c>
      <c r="AU679" s="5">
        <v>140</v>
      </c>
      <c r="AV679" s="5" t="s">
        <v>2478</v>
      </c>
      <c r="AX679" s="5">
        <v>0</v>
      </c>
      <c r="AY679" s="5" t="s">
        <v>85</v>
      </c>
      <c r="AZ679" s="5">
        <v>65</v>
      </c>
      <c r="BA679" s="5">
        <v>470</v>
      </c>
      <c r="BB679" s="5">
        <v>208</v>
      </c>
      <c r="BC679" s="5">
        <v>262</v>
      </c>
      <c r="BD679" s="5">
        <v>2</v>
      </c>
      <c r="BE679" s="5">
        <v>0</v>
      </c>
      <c r="BF679" s="5">
        <v>0</v>
      </c>
      <c r="BH679" s="5">
        <v>0</v>
      </c>
      <c r="BI679" s="5">
        <v>63</v>
      </c>
      <c r="BJ679" s="5" t="s">
        <v>2490</v>
      </c>
      <c r="BL679" s="5">
        <v>0</v>
      </c>
      <c r="BM679" s="5">
        <v>61</v>
      </c>
      <c r="BN679" s="5" t="s">
        <v>86</v>
      </c>
      <c r="CD679" s="5">
        <v>0</v>
      </c>
      <c r="CF679" s="1442" t="str">
        <f>IF([1]!sommaire[[#This Row],[présence des personnes déplacés interne]]="Oui","1","0")</f>
        <v>1</v>
      </c>
      <c r="CG679" s="1442" t="str">
        <f>IF([1]!sommaire[[#This Row],[présence Réfugié hors camp]]="Oui","1","0")</f>
        <v>1</v>
      </c>
      <c r="CH679" s="1442" t="str">
        <f>IF([1]!sommaire[[#This Row],[présence personnes retournées]]="Oui","1","0")</f>
        <v>0</v>
      </c>
      <c r="CI679" s="1442">
        <f>[1]!sommaire[[#This Row],[Flag PDI]]+[1]!sommaire[[#This Row],[Flag REF]]+[1]!sommaire[[#This Row],[Flag RET]]</f>
        <v>2</v>
      </c>
    </row>
    <row r="680" spans="1:87" ht="14.55" customHeight="1" x14ac:dyDescent="0.3">
      <c r="A680" s="390">
        <v>2634566</v>
      </c>
      <c r="B680" s="5" t="s">
        <v>533</v>
      </c>
      <c r="C680" s="1430" t="s">
        <v>3449</v>
      </c>
      <c r="D680" s="5" t="s">
        <v>534</v>
      </c>
      <c r="E680" s="5" t="s">
        <v>31</v>
      </c>
      <c r="F680" s="5" t="s">
        <v>31</v>
      </c>
      <c r="G680" s="5" t="s">
        <v>549</v>
      </c>
      <c r="H680" s="5" t="s">
        <v>171</v>
      </c>
      <c r="I680" s="5" t="str">
        <f>_xlfn.XLOOKUP(sommaire[[#This Row],[Arrondissement_code]],OCHA_GIS!$F:$F,OCHA_GIS!$E:$E,,)</f>
        <v>Makary</v>
      </c>
      <c r="J680" s="5" t="s">
        <v>634</v>
      </c>
      <c r="K680" t="s">
        <v>2012</v>
      </c>
      <c r="L680" s="5" t="s">
        <v>3243</v>
      </c>
      <c r="N680" s="5" t="s">
        <v>3053</v>
      </c>
      <c r="O680" s="5" t="s">
        <v>2473</v>
      </c>
      <c r="P680" s="5" t="s">
        <v>85</v>
      </c>
      <c r="Q680" s="5" t="s">
        <v>86</v>
      </c>
      <c r="R680" s="5" t="s">
        <v>86</v>
      </c>
      <c r="T680" s="390">
        <v>3</v>
      </c>
      <c r="U680" s="5" t="s">
        <v>97</v>
      </c>
      <c r="W680" s="5" t="s">
        <v>2468</v>
      </c>
      <c r="X680" s="5" t="s">
        <v>102</v>
      </c>
      <c r="AA680" s="5" t="s">
        <v>85</v>
      </c>
      <c r="AB680" s="5" t="s">
        <v>2469</v>
      </c>
      <c r="AC680" s="5" t="s">
        <v>2470</v>
      </c>
      <c r="AF680" s="5">
        <v>60</v>
      </c>
      <c r="AG680" s="5">
        <v>155</v>
      </c>
      <c r="AH680" s="5" t="s">
        <v>85</v>
      </c>
      <c r="AI680" s="5" t="s">
        <v>2471</v>
      </c>
      <c r="AJ680" s="5">
        <v>60</v>
      </c>
      <c r="AK680" s="5">
        <v>100</v>
      </c>
      <c r="AL680" s="5">
        <v>75</v>
      </c>
      <c r="AM680" s="5">
        <v>25</v>
      </c>
      <c r="AN680" s="5">
        <v>0</v>
      </c>
      <c r="AO680" s="5">
        <v>60</v>
      </c>
      <c r="AP680" s="5">
        <v>0</v>
      </c>
      <c r="AQ680" s="5">
        <v>0</v>
      </c>
      <c r="AT680" s="5">
        <v>0</v>
      </c>
      <c r="AU680" s="5">
        <v>0</v>
      </c>
      <c r="AX680" s="5">
        <v>0</v>
      </c>
      <c r="AY680" s="5" t="s">
        <v>86</v>
      </c>
      <c r="BN680" s="5" t="s">
        <v>86</v>
      </c>
      <c r="CD680" s="5">
        <v>0</v>
      </c>
      <c r="CF680" s="1442" t="str">
        <f>IF([1]!sommaire[[#This Row],[présence des personnes déplacés interne]]="Oui","1","0")</f>
        <v>1</v>
      </c>
      <c r="CG680" s="1442" t="str">
        <f>IF([1]!sommaire[[#This Row],[présence Réfugié hors camp]]="Oui","1","0")</f>
        <v>0</v>
      </c>
      <c r="CH680" s="1442" t="str">
        <f>IF([1]!sommaire[[#This Row],[présence personnes retournées]]="Oui","1","0")</f>
        <v>0</v>
      </c>
      <c r="CI680" s="1442">
        <f>[1]!sommaire[[#This Row],[Flag PDI]]+[1]!sommaire[[#This Row],[Flag REF]]+[1]!sommaire[[#This Row],[Flag RET]]</f>
        <v>1</v>
      </c>
    </row>
    <row r="681" spans="1:87" ht="14.55" customHeight="1" x14ac:dyDescent="0.3">
      <c r="A681" s="390">
        <v>2615173</v>
      </c>
      <c r="B681" s="5" t="s">
        <v>533</v>
      </c>
      <c r="C681" s="1430" t="s">
        <v>3449</v>
      </c>
      <c r="D681" s="5" t="s">
        <v>534</v>
      </c>
      <c r="E681" s="5" t="s">
        <v>31</v>
      </c>
      <c r="F681" s="5" t="s">
        <v>31</v>
      </c>
      <c r="G681" s="5" t="s">
        <v>549</v>
      </c>
      <c r="H681" s="5" t="s">
        <v>171</v>
      </c>
      <c r="I681" s="5" t="str">
        <f>_xlfn.XLOOKUP(sommaire[[#This Row],[Arrondissement_code]],OCHA_GIS!$F:$F,OCHA_GIS!$E:$E,,)</f>
        <v>Makary</v>
      </c>
      <c r="J681" s="5" t="s">
        <v>634</v>
      </c>
      <c r="K681" t="s">
        <v>1022</v>
      </c>
      <c r="L681" s="5" t="s">
        <v>3245</v>
      </c>
      <c r="N681" s="5" t="s">
        <v>3053</v>
      </c>
      <c r="O681" s="5" t="s">
        <v>2473</v>
      </c>
      <c r="P681" s="5" t="s">
        <v>85</v>
      </c>
      <c r="Q681" s="5" t="s">
        <v>86</v>
      </c>
      <c r="R681" s="5" t="s">
        <v>86</v>
      </c>
      <c r="T681" s="390">
        <v>3</v>
      </c>
      <c r="U681" s="5" t="s">
        <v>97</v>
      </c>
      <c r="W681" s="5" t="s">
        <v>2468</v>
      </c>
      <c r="X681" s="5" t="s">
        <v>102</v>
      </c>
      <c r="AA681" s="5" t="s">
        <v>85</v>
      </c>
      <c r="AB681" s="5" t="s">
        <v>2473</v>
      </c>
      <c r="AC681" s="5" t="s">
        <v>2470</v>
      </c>
      <c r="AF681" s="5">
        <v>3</v>
      </c>
      <c r="AG681" s="5">
        <v>449</v>
      </c>
      <c r="AH681" s="5" t="s">
        <v>85</v>
      </c>
      <c r="AI681" s="5" t="s">
        <v>2485</v>
      </c>
      <c r="AJ681" s="5">
        <v>3</v>
      </c>
      <c r="AK681" s="5">
        <v>16</v>
      </c>
      <c r="AL681" s="5">
        <v>7</v>
      </c>
      <c r="AM681" s="5">
        <v>9</v>
      </c>
      <c r="AN681" s="5">
        <v>0</v>
      </c>
      <c r="AO681" s="5">
        <v>0</v>
      </c>
      <c r="AP681" s="5">
        <v>0</v>
      </c>
      <c r="AQ681" s="5">
        <v>0</v>
      </c>
      <c r="AT681" s="5">
        <v>0</v>
      </c>
      <c r="AU681" s="5">
        <v>3</v>
      </c>
      <c r="AV681" s="5" t="s">
        <v>2474</v>
      </c>
      <c r="AX681" s="5">
        <v>0</v>
      </c>
      <c r="AY681" s="5" t="s">
        <v>85</v>
      </c>
      <c r="AZ681" s="5">
        <v>51</v>
      </c>
      <c r="BA681" s="5">
        <v>431</v>
      </c>
      <c r="BB681" s="5">
        <v>199</v>
      </c>
      <c r="BC681" s="5">
        <v>232</v>
      </c>
      <c r="BD681" s="5">
        <v>0</v>
      </c>
      <c r="BE681" s="5">
        <v>0</v>
      </c>
      <c r="BF681" s="5">
        <v>0</v>
      </c>
      <c r="BH681" s="5">
        <v>0</v>
      </c>
      <c r="BI681" s="5">
        <v>51</v>
      </c>
      <c r="BJ681" s="5" t="s">
        <v>2474</v>
      </c>
      <c r="BL681" s="5">
        <v>0</v>
      </c>
      <c r="BM681" s="5">
        <v>38</v>
      </c>
      <c r="BN681" s="5" t="s">
        <v>86</v>
      </c>
      <c r="CD681" s="5">
        <v>0</v>
      </c>
      <c r="CF681" s="1442" t="str">
        <f>IF([1]!sommaire[[#This Row],[présence des personnes déplacés interne]]="Oui","1","0")</f>
        <v>1</v>
      </c>
      <c r="CG681" s="1442" t="str">
        <f>IF([1]!sommaire[[#This Row],[présence Réfugié hors camp]]="Oui","1","0")</f>
        <v>1</v>
      </c>
      <c r="CH681" s="1442" t="str">
        <f>IF([1]!sommaire[[#This Row],[présence personnes retournées]]="Oui","1","0")</f>
        <v>0</v>
      </c>
      <c r="CI681" s="1442">
        <f>[1]!sommaire[[#This Row],[Flag PDI]]+[1]!sommaire[[#This Row],[Flag REF]]+[1]!sommaire[[#This Row],[Flag RET]]</f>
        <v>2</v>
      </c>
    </row>
    <row r="682" spans="1:87" ht="14.55" customHeight="1" x14ac:dyDescent="0.3">
      <c r="A682" s="390">
        <v>2639769</v>
      </c>
      <c r="B682" s="5" t="s">
        <v>533</v>
      </c>
      <c r="C682" s="1430" t="s">
        <v>3449</v>
      </c>
      <c r="D682" s="5" t="s">
        <v>534</v>
      </c>
      <c r="E682" s="5" t="s">
        <v>31</v>
      </c>
      <c r="F682" s="5" t="s">
        <v>31</v>
      </c>
      <c r="G682" s="5" t="s">
        <v>549</v>
      </c>
      <c r="H682" s="5" t="s">
        <v>171</v>
      </c>
      <c r="I682" s="5" t="str">
        <f>_xlfn.XLOOKUP(sommaire[[#This Row],[Arrondissement_code]],OCHA_GIS!$F:$F,OCHA_GIS!$E:$E,,)</f>
        <v>Makary</v>
      </c>
      <c r="J682" s="5" t="s">
        <v>634</v>
      </c>
      <c r="K682" t="s">
        <v>810</v>
      </c>
      <c r="L682" s="5" t="s">
        <v>1302</v>
      </c>
      <c r="N682" s="5" t="s">
        <v>3053</v>
      </c>
      <c r="O682" s="5" t="s">
        <v>2473</v>
      </c>
      <c r="P682" s="5" t="s">
        <v>85</v>
      </c>
      <c r="Q682" s="5" t="s">
        <v>86</v>
      </c>
      <c r="R682" s="5" t="s">
        <v>86</v>
      </c>
      <c r="T682" s="390">
        <v>3</v>
      </c>
      <c r="U682" s="5" t="s">
        <v>97</v>
      </c>
      <c r="W682" s="5" t="s">
        <v>2468</v>
      </c>
      <c r="X682" s="5" t="s">
        <v>102</v>
      </c>
      <c r="AA682" s="5" t="s">
        <v>85</v>
      </c>
      <c r="AB682" s="5" t="s">
        <v>2473</v>
      </c>
      <c r="AC682" s="5" t="s">
        <v>2469</v>
      </c>
      <c r="AF682" s="5">
        <v>16</v>
      </c>
      <c r="AG682" s="5">
        <v>104</v>
      </c>
      <c r="AH682" s="5" t="s">
        <v>85</v>
      </c>
      <c r="AI682" s="5" t="s">
        <v>2471</v>
      </c>
      <c r="AJ682" s="5">
        <v>16</v>
      </c>
      <c r="AK682" s="5">
        <v>64</v>
      </c>
      <c r="AL682" s="5">
        <v>23</v>
      </c>
      <c r="AM682" s="5">
        <v>41</v>
      </c>
      <c r="AN682" s="5">
        <v>0</v>
      </c>
      <c r="AO682" s="5">
        <v>0</v>
      </c>
      <c r="AP682" s="5">
        <v>0</v>
      </c>
      <c r="AQ682" s="5">
        <v>0</v>
      </c>
      <c r="AT682" s="5">
        <v>0</v>
      </c>
      <c r="AU682" s="5">
        <v>16</v>
      </c>
      <c r="AV682" s="5" t="s">
        <v>2490</v>
      </c>
      <c r="AX682" s="5">
        <v>0</v>
      </c>
      <c r="AY682" s="5" t="s">
        <v>86</v>
      </c>
      <c r="BN682" s="5" t="s">
        <v>86</v>
      </c>
      <c r="CD682" s="5">
        <v>0</v>
      </c>
      <c r="CF682" s="1442" t="str">
        <f>IF([1]!sommaire[[#This Row],[présence des personnes déplacés interne]]="Oui","1","0")</f>
        <v>1</v>
      </c>
      <c r="CG682" s="1442" t="str">
        <f>IF([1]!sommaire[[#This Row],[présence Réfugié hors camp]]="Oui","1","0")</f>
        <v>0</v>
      </c>
      <c r="CH682" s="1442" t="str">
        <f>IF([1]!sommaire[[#This Row],[présence personnes retournées]]="Oui","1","0")</f>
        <v>0</v>
      </c>
      <c r="CI682" s="1442">
        <f>[1]!sommaire[[#This Row],[Flag PDI]]+[1]!sommaire[[#This Row],[Flag REF]]+[1]!sommaire[[#This Row],[Flag RET]]</f>
        <v>1</v>
      </c>
    </row>
    <row r="683" spans="1:87" ht="14.55" customHeight="1" x14ac:dyDescent="0.3">
      <c r="A683" s="390">
        <v>2615174</v>
      </c>
      <c r="B683" s="5" t="s">
        <v>533</v>
      </c>
      <c r="C683" s="1430" t="s">
        <v>3449</v>
      </c>
      <c r="D683" s="5" t="s">
        <v>534</v>
      </c>
      <c r="E683" s="5" t="s">
        <v>31</v>
      </c>
      <c r="F683" s="5" t="s">
        <v>31</v>
      </c>
      <c r="G683" s="5" t="s">
        <v>549</v>
      </c>
      <c r="H683" s="5" t="s">
        <v>171</v>
      </c>
      <c r="I683" s="5" t="str">
        <f>_xlfn.XLOOKUP(sommaire[[#This Row],[Arrondissement_code]],OCHA_GIS!$F:$F,OCHA_GIS!$E:$E,,)</f>
        <v>Makary</v>
      </c>
      <c r="J683" s="5" t="s">
        <v>634</v>
      </c>
      <c r="K683" t="s">
        <v>2862</v>
      </c>
      <c r="L683" s="5" t="s">
        <v>3250</v>
      </c>
      <c r="N683" s="5" t="s">
        <v>3053</v>
      </c>
      <c r="O683" s="5" t="s">
        <v>2473</v>
      </c>
      <c r="P683" s="5" t="s">
        <v>86</v>
      </c>
      <c r="Q683" s="5" t="s">
        <v>86</v>
      </c>
      <c r="R683" s="5" t="s">
        <v>85</v>
      </c>
      <c r="U683" s="5" t="s">
        <v>97</v>
      </c>
      <c r="W683" s="5" t="s">
        <v>2482</v>
      </c>
      <c r="AA683" s="5" t="s">
        <v>86</v>
      </c>
      <c r="AH683" s="1430" t="s">
        <v>86</v>
      </c>
      <c r="AY683" s="1430" t="s">
        <v>86</v>
      </c>
      <c r="BN683" s="1430" t="s">
        <v>86</v>
      </c>
      <c r="CF683" s="1442" t="str">
        <f>IF([1]!sommaire[[#This Row],[présence des personnes déplacés interne]]="Oui","1","0")</f>
        <v>0</v>
      </c>
      <c r="CG683" s="1442" t="str">
        <f>IF([1]!sommaire[[#This Row],[présence Réfugié hors camp]]="Oui","1","0")</f>
        <v>0</v>
      </c>
      <c r="CH683" s="1442" t="str">
        <f>IF([1]!sommaire[[#This Row],[présence personnes retournées]]="Oui","1","0")</f>
        <v>0</v>
      </c>
      <c r="CI683" s="1442">
        <f>[1]!sommaire[[#This Row],[Flag PDI]]+[1]!sommaire[[#This Row],[Flag REF]]+[1]!sommaire[[#This Row],[Flag RET]]</f>
        <v>0</v>
      </c>
    </row>
    <row r="684" spans="1:87" ht="14.55" customHeight="1" x14ac:dyDescent="0.3">
      <c r="A684" s="390">
        <v>2634567</v>
      </c>
      <c r="B684" s="5" t="s">
        <v>533</v>
      </c>
      <c r="C684" s="1430" t="s">
        <v>3449</v>
      </c>
      <c r="D684" s="5" t="s">
        <v>534</v>
      </c>
      <c r="E684" s="5" t="s">
        <v>31</v>
      </c>
      <c r="F684" s="5" t="s">
        <v>31</v>
      </c>
      <c r="G684" s="5" t="s">
        <v>549</v>
      </c>
      <c r="H684" s="5" t="s">
        <v>171</v>
      </c>
      <c r="I684" s="5" t="str">
        <f>_xlfn.XLOOKUP(sommaire[[#This Row],[Arrondissement_code]],OCHA_GIS!$F:$F,OCHA_GIS!$E:$E,,)</f>
        <v>Makary</v>
      </c>
      <c r="J684" s="5" t="s">
        <v>634</v>
      </c>
      <c r="K684" t="s">
        <v>2623</v>
      </c>
      <c r="L684" s="5" t="s">
        <v>3278</v>
      </c>
      <c r="N684" s="5" t="s">
        <v>3053</v>
      </c>
      <c r="O684" s="5" t="s">
        <v>2473</v>
      </c>
      <c r="P684" s="5" t="s">
        <v>85</v>
      </c>
      <c r="Q684" s="5" t="s">
        <v>86</v>
      </c>
      <c r="R684" s="5" t="s">
        <v>86</v>
      </c>
      <c r="T684" s="390">
        <v>3</v>
      </c>
      <c r="U684" s="5" t="s">
        <v>97</v>
      </c>
      <c r="W684" s="5" t="s">
        <v>2468</v>
      </c>
      <c r="X684" s="5" t="s">
        <v>102</v>
      </c>
      <c r="AA684" s="5" t="s">
        <v>85</v>
      </c>
      <c r="AB684" s="5" t="s">
        <v>2469</v>
      </c>
      <c r="AC684" s="5" t="s">
        <v>2470</v>
      </c>
      <c r="AF684" s="5">
        <v>10</v>
      </c>
      <c r="AG684" s="5">
        <v>127</v>
      </c>
      <c r="AH684" s="5" t="s">
        <v>85</v>
      </c>
      <c r="AI684" s="5" t="s">
        <v>2471</v>
      </c>
      <c r="AJ684" s="5">
        <v>10</v>
      </c>
      <c r="AK684" s="5">
        <v>20</v>
      </c>
      <c r="AL684" s="5">
        <v>15</v>
      </c>
      <c r="AM684" s="5">
        <v>5</v>
      </c>
      <c r="AN684" s="5">
        <v>0</v>
      </c>
      <c r="AO684" s="5">
        <v>10</v>
      </c>
      <c r="AP684" s="5">
        <v>0</v>
      </c>
      <c r="AQ684" s="5">
        <v>0</v>
      </c>
      <c r="AT684" s="5">
        <v>0</v>
      </c>
      <c r="AU684" s="5">
        <v>0</v>
      </c>
      <c r="AX684" s="5">
        <v>0</v>
      </c>
      <c r="AY684" s="5" t="s">
        <v>86</v>
      </c>
      <c r="BN684" s="5" t="s">
        <v>86</v>
      </c>
      <c r="CD684" s="5">
        <v>0</v>
      </c>
      <c r="CF684" s="1442" t="str">
        <f>IF([1]!sommaire[[#This Row],[présence des personnes déplacés interne]]="Oui","1","0")</f>
        <v>1</v>
      </c>
      <c r="CG684" s="1442" t="str">
        <f>IF([1]!sommaire[[#This Row],[présence Réfugié hors camp]]="Oui","1","0")</f>
        <v>0</v>
      </c>
      <c r="CH684" s="1442" t="str">
        <f>IF([1]!sommaire[[#This Row],[présence personnes retournées]]="Oui","1","0")</f>
        <v>0</v>
      </c>
      <c r="CI684" s="1442">
        <f>[1]!sommaire[[#This Row],[Flag PDI]]+[1]!sommaire[[#This Row],[Flag REF]]+[1]!sommaire[[#This Row],[Flag RET]]</f>
        <v>1</v>
      </c>
    </row>
    <row r="685" spans="1:87" ht="14.55" customHeight="1" x14ac:dyDescent="0.3">
      <c r="A685" s="390">
        <v>2631803</v>
      </c>
      <c r="B685" s="5" t="s">
        <v>533</v>
      </c>
      <c r="C685" s="1430" t="s">
        <v>3449</v>
      </c>
      <c r="D685" s="5" t="s">
        <v>534</v>
      </c>
      <c r="E685" s="5" t="s">
        <v>31</v>
      </c>
      <c r="F685" s="5" t="s">
        <v>31</v>
      </c>
      <c r="G685" s="5" t="s">
        <v>549</v>
      </c>
      <c r="H685" s="5" t="s">
        <v>171</v>
      </c>
      <c r="I685" s="5" t="str">
        <f>_xlfn.XLOOKUP(sommaire[[#This Row],[Arrondissement_code]],OCHA_GIS!$F:$F,OCHA_GIS!$E:$E,,)</f>
        <v>Makary</v>
      </c>
      <c r="J685" s="5" t="s">
        <v>634</v>
      </c>
      <c r="K685" t="s">
        <v>2928</v>
      </c>
      <c r="L685" s="5" t="s">
        <v>3279</v>
      </c>
      <c r="N685" s="5" t="s">
        <v>3053</v>
      </c>
      <c r="O685" s="5" t="s">
        <v>2473</v>
      </c>
      <c r="P685" s="5" t="s">
        <v>85</v>
      </c>
      <c r="Q685" s="5" t="s">
        <v>86</v>
      </c>
      <c r="R685" s="5" t="s">
        <v>86</v>
      </c>
      <c r="T685" s="390">
        <v>3</v>
      </c>
      <c r="U685" s="5" t="s">
        <v>97</v>
      </c>
      <c r="W685" s="5" t="s">
        <v>2468</v>
      </c>
      <c r="X685" s="5" t="s">
        <v>102</v>
      </c>
      <c r="AA685" s="5" t="s">
        <v>85</v>
      </c>
      <c r="AB685" s="5" t="s">
        <v>2473</v>
      </c>
      <c r="AC685" s="5" t="s">
        <v>2470</v>
      </c>
      <c r="AF685" s="5">
        <v>87</v>
      </c>
      <c r="AG685" s="5">
        <v>1164</v>
      </c>
      <c r="AH685" s="5" t="s">
        <v>85</v>
      </c>
      <c r="AI685" s="5" t="s">
        <v>2471</v>
      </c>
      <c r="AJ685" s="5">
        <v>87</v>
      </c>
      <c r="AK685" s="5">
        <v>1048</v>
      </c>
      <c r="AL685" s="5">
        <v>426</v>
      </c>
      <c r="AM685" s="5">
        <v>622</v>
      </c>
      <c r="AN685" s="5">
        <v>0</v>
      </c>
      <c r="AO685" s="5">
        <v>87</v>
      </c>
      <c r="AP685" s="5">
        <v>0</v>
      </c>
      <c r="AQ685" s="5">
        <v>0</v>
      </c>
      <c r="AT685" s="5">
        <v>0</v>
      </c>
      <c r="AU685" s="5">
        <v>0</v>
      </c>
      <c r="AX685" s="5">
        <v>0</v>
      </c>
      <c r="AY685" s="5" t="s">
        <v>85</v>
      </c>
      <c r="AZ685" s="5">
        <v>37</v>
      </c>
      <c r="BA685" s="5">
        <v>116</v>
      </c>
      <c r="BB685" s="5">
        <v>43</v>
      </c>
      <c r="BC685" s="5">
        <v>73</v>
      </c>
      <c r="BD685" s="5">
        <v>0</v>
      </c>
      <c r="BE685" s="5">
        <v>0</v>
      </c>
      <c r="BF685" s="5">
        <v>0</v>
      </c>
      <c r="BH685" s="5">
        <v>0</v>
      </c>
      <c r="BI685" s="5">
        <v>37</v>
      </c>
      <c r="BJ685" s="5" t="s">
        <v>2490</v>
      </c>
      <c r="BL685" s="5">
        <v>0</v>
      </c>
      <c r="BM685" s="5">
        <v>0</v>
      </c>
      <c r="BN685" s="5" t="s">
        <v>86</v>
      </c>
      <c r="CD685" s="5">
        <v>0</v>
      </c>
      <c r="CF685" s="1442" t="str">
        <f>IF([1]!sommaire[[#This Row],[présence des personnes déplacés interne]]="Oui","1","0")</f>
        <v>1</v>
      </c>
      <c r="CG685" s="1442" t="str">
        <f>IF([1]!sommaire[[#This Row],[présence Réfugié hors camp]]="Oui","1","0")</f>
        <v>1</v>
      </c>
      <c r="CH685" s="1442" t="str">
        <f>IF([1]!sommaire[[#This Row],[présence personnes retournées]]="Oui","1","0")</f>
        <v>0</v>
      </c>
      <c r="CI685" s="1442">
        <f>[1]!sommaire[[#This Row],[Flag PDI]]+[1]!sommaire[[#This Row],[Flag REF]]+[1]!sommaire[[#This Row],[Flag RET]]</f>
        <v>2</v>
      </c>
    </row>
    <row r="686" spans="1:87" ht="14.55" customHeight="1" x14ac:dyDescent="0.3">
      <c r="A686" s="390">
        <v>2652399</v>
      </c>
      <c r="B686" s="5" t="s">
        <v>533</v>
      </c>
      <c r="C686" s="1430" t="s">
        <v>3449</v>
      </c>
      <c r="D686" s="5" t="s">
        <v>534</v>
      </c>
      <c r="E686" s="5" t="s">
        <v>31</v>
      </c>
      <c r="F686" s="5" t="s">
        <v>31</v>
      </c>
      <c r="G686" s="5" t="s">
        <v>549</v>
      </c>
      <c r="H686" s="5" t="s">
        <v>171</v>
      </c>
      <c r="I686" s="5" t="str">
        <f>_xlfn.XLOOKUP(sommaire[[#This Row],[Arrondissement_code]],OCHA_GIS!$F:$F,OCHA_GIS!$E:$E,,)</f>
        <v>Makary</v>
      </c>
      <c r="J686" s="5" t="s">
        <v>634</v>
      </c>
      <c r="K686" t="s">
        <v>2010</v>
      </c>
      <c r="L686" s="5" t="s">
        <v>1547</v>
      </c>
      <c r="N686" s="5" t="s">
        <v>3053</v>
      </c>
      <c r="O686" s="5" t="s">
        <v>2473</v>
      </c>
      <c r="P686" s="5" t="s">
        <v>85</v>
      </c>
      <c r="Q686" s="5" t="s">
        <v>86</v>
      </c>
      <c r="R686" s="5" t="s">
        <v>86</v>
      </c>
      <c r="T686" s="390">
        <v>3</v>
      </c>
      <c r="U686" s="5" t="s">
        <v>97</v>
      </c>
      <c r="W686" s="5" t="s">
        <v>2468</v>
      </c>
      <c r="X686" s="5" t="s">
        <v>102</v>
      </c>
      <c r="AA686" s="5" t="s">
        <v>85</v>
      </c>
      <c r="AB686" s="5" t="s">
        <v>2473</v>
      </c>
      <c r="AC686" s="5" t="s">
        <v>2470</v>
      </c>
      <c r="AF686" s="5">
        <v>32</v>
      </c>
      <c r="AG686" s="5">
        <v>180</v>
      </c>
      <c r="AH686" s="5" t="s">
        <v>85</v>
      </c>
      <c r="AI686" s="5" t="s">
        <v>2471</v>
      </c>
      <c r="AJ686" s="5">
        <v>32</v>
      </c>
      <c r="AK686" s="5">
        <v>132</v>
      </c>
      <c r="AL686" s="5">
        <v>50</v>
      </c>
      <c r="AM686" s="5">
        <v>82</v>
      </c>
      <c r="AN686" s="5">
        <v>0</v>
      </c>
      <c r="AO686" s="5">
        <v>10</v>
      </c>
      <c r="AP686" s="5">
        <v>0</v>
      </c>
      <c r="AQ686" s="5">
        <v>0</v>
      </c>
      <c r="AT686" s="5">
        <v>0</v>
      </c>
      <c r="AU686" s="5">
        <v>22</v>
      </c>
      <c r="AV686" s="5" t="s">
        <v>2490</v>
      </c>
      <c r="AX686" s="5">
        <v>0</v>
      </c>
      <c r="AY686" s="5" t="s">
        <v>85</v>
      </c>
      <c r="AZ686" s="5">
        <v>1</v>
      </c>
      <c r="BA686" s="5">
        <v>2</v>
      </c>
      <c r="BB686" s="5">
        <v>1</v>
      </c>
      <c r="BC686" s="5">
        <v>1</v>
      </c>
      <c r="BD686" s="5">
        <v>1</v>
      </c>
      <c r="BE686" s="5">
        <v>0</v>
      </c>
      <c r="BF686" s="5">
        <v>0</v>
      </c>
      <c r="BH686" s="5">
        <v>0</v>
      </c>
      <c r="BI686" s="5">
        <v>0</v>
      </c>
      <c r="BL686" s="5">
        <v>0</v>
      </c>
      <c r="BM686" s="5">
        <v>0</v>
      </c>
      <c r="BN686" s="5" t="s">
        <v>86</v>
      </c>
      <c r="CD686" s="5">
        <v>0</v>
      </c>
      <c r="CF686" s="1442" t="str">
        <f>IF([1]!sommaire[[#This Row],[présence des personnes déplacés interne]]="Oui","1","0")</f>
        <v>1</v>
      </c>
      <c r="CG686" s="1442" t="str">
        <f>IF([1]!sommaire[[#This Row],[présence Réfugié hors camp]]="Oui","1","0")</f>
        <v>1</v>
      </c>
      <c r="CH686" s="1442" t="str">
        <f>IF([1]!sommaire[[#This Row],[présence personnes retournées]]="Oui","1","0")</f>
        <v>0</v>
      </c>
      <c r="CI686" s="1442">
        <f>[1]!sommaire[[#This Row],[Flag PDI]]+[1]!sommaire[[#This Row],[Flag REF]]+[1]!sommaire[[#This Row],[Flag RET]]</f>
        <v>2</v>
      </c>
    </row>
    <row r="687" spans="1:87" ht="14.55" customHeight="1" x14ac:dyDescent="0.3">
      <c r="A687" s="390">
        <v>2653224</v>
      </c>
      <c r="B687" s="5" t="s">
        <v>533</v>
      </c>
      <c r="C687" s="1430" t="s">
        <v>3449</v>
      </c>
      <c r="D687" s="5" t="s">
        <v>534</v>
      </c>
      <c r="E687" s="5" t="s">
        <v>31</v>
      </c>
      <c r="F687" s="5" t="s">
        <v>31</v>
      </c>
      <c r="G687" s="5" t="s">
        <v>549</v>
      </c>
      <c r="H687" s="5" t="s">
        <v>171</v>
      </c>
      <c r="I687" s="5" t="str">
        <f>_xlfn.XLOOKUP(sommaire[[#This Row],[Arrondissement_code]],OCHA_GIS!$F:$F,OCHA_GIS!$E:$E,,)</f>
        <v>Makary</v>
      </c>
      <c r="J687" s="5" t="s">
        <v>634</v>
      </c>
      <c r="K687" t="s">
        <v>1924</v>
      </c>
      <c r="L687" s="5" t="s">
        <v>3305</v>
      </c>
      <c r="N687" s="5" t="s">
        <v>3053</v>
      </c>
      <c r="O687" s="5" t="s">
        <v>2473</v>
      </c>
      <c r="P687" s="5" t="s">
        <v>85</v>
      </c>
      <c r="Q687" s="5" t="s">
        <v>86</v>
      </c>
      <c r="R687" s="5" t="s">
        <v>86</v>
      </c>
      <c r="T687" s="390">
        <v>3</v>
      </c>
      <c r="U687" s="5" t="s">
        <v>97</v>
      </c>
      <c r="W687" s="5" t="s">
        <v>2468</v>
      </c>
      <c r="X687" s="5" t="s">
        <v>102</v>
      </c>
      <c r="AA687" s="5" t="s">
        <v>85</v>
      </c>
      <c r="AB687" s="5" t="s">
        <v>2473</v>
      </c>
      <c r="AC687" s="5" t="s">
        <v>2470</v>
      </c>
      <c r="AF687" s="5">
        <v>80</v>
      </c>
      <c r="AG687" s="5">
        <v>1012</v>
      </c>
      <c r="AH687" s="5" t="s">
        <v>85</v>
      </c>
      <c r="AI687" s="5" t="s">
        <v>2471</v>
      </c>
      <c r="AJ687" s="5">
        <v>80</v>
      </c>
      <c r="AK687" s="5">
        <v>597</v>
      </c>
      <c r="AL687" s="5">
        <v>314</v>
      </c>
      <c r="AM687" s="5">
        <v>283</v>
      </c>
      <c r="AN687" s="5">
        <v>18</v>
      </c>
      <c r="AO687" s="5">
        <v>62</v>
      </c>
      <c r="AP687" s="5">
        <v>0</v>
      </c>
      <c r="AQ687" s="5">
        <v>0</v>
      </c>
      <c r="AT687" s="5">
        <v>0</v>
      </c>
      <c r="AU687" s="5">
        <v>0</v>
      </c>
      <c r="AX687" s="5">
        <v>0</v>
      </c>
      <c r="AY687" s="5" t="s">
        <v>85</v>
      </c>
      <c r="AZ687" s="5">
        <v>65</v>
      </c>
      <c r="BA687" s="5">
        <v>415</v>
      </c>
      <c r="BB687" s="5">
        <v>203</v>
      </c>
      <c r="BC687" s="5">
        <v>212</v>
      </c>
      <c r="BD687" s="5">
        <v>65</v>
      </c>
      <c r="BE687" s="5">
        <v>0</v>
      </c>
      <c r="BF687" s="5">
        <v>0</v>
      </c>
      <c r="BH687" s="5">
        <v>0</v>
      </c>
      <c r="BI687" s="5">
        <v>0</v>
      </c>
      <c r="BL687" s="5">
        <v>0</v>
      </c>
      <c r="BM687" s="5">
        <v>40</v>
      </c>
      <c r="BN687" s="5" t="s">
        <v>86</v>
      </c>
      <c r="CD687" s="5">
        <v>0</v>
      </c>
      <c r="CF687" s="1442" t="str">
        <f>IF([1]!sommaire[[#This Row],[présence des personnes déplacés interne]]="Oui","1","0")</f>
        <v>1</v>
      </c>
      <c r="CG687" s="1442" t="str">
        <f>IF([1]!sommaire[[#This Row],[présence Réfugié hors camp]]="Oui","1","0")</f>
        <v>1</v>
      </c>
      <c r="CH687" s="1442" t="str">
        <f>IF([1]!sommaire[[#This Row],[présence personnes retournées]]="Oui","1","0")</f>
        <v>0</v>
      </c>
      <c r="CI687" s="1442">
        <f>[1]!sommaire[[#This Row],[Flag PDI]]+[1]!sommaire[[#This Row],[Flag REF]]+[1]!sommaire[[#This Row],[Flag RET]]</f>
        <v>2</v>
      </c>
    </row>
    <row r="688" spans="1:87" ht="14.55" customHeight="1" x14ac:dyDescent="0.3">
      <c r="A688" s="390">
        <v>2634618</v>
      </c>
      <c r="B688" s="5" t="s">
        <v>533</v>
      </c>
      <c r="C688" s="1430" t="s">
        <v>3449</v>
      </c>
      <c r="D688" s="5" t="s">
        <v>534</v>
      </c>
      <c r="E688" s="5" t="s">
        <v>31</v>
      </c>
      <c r="F688" s="5" t="s">
        <v>31</v>
      </c>
      <c r="G688" s="5" t="s">
        <v>549</v>
      </c>
      <c r="H688" s="5" t="s">
        <v>171</v>
      </c>
      <c r="I688" s="5" t="str">
        <f>_xlfn.XLOOKUP(sommaire[[#This Row],[Arrondissement_code]],OCHA_GIS!$F:$F,OCHA_GIS!$E:$E,,)</f>
        <v>Makary</v>
      </c>
      <c r="J688" s="5" t="s">
        <v>634</v>
      </c>
      <c r="K688" t="s">
        <v>1289</v>
      </c>
      <c r="L688" s="5" t="s">
        <v>1805</v>
      </c>
      <c r="N688" s="5" t="s">
        <v>3053</v>
      </c>
      <c r="O688" s="5" t="s">
        <v>2467</v>
      </c>
      <c r="P688" s="5" t="s">
        <v>85</v>
      </c>
      <c r="Q688" s="5" t="s">
        <v>86</v>
      </c>
      <c r="R688" s="5" t="s">
        <v>86</v>
      </c>
      <c r="T688" s="390">
        <v>3</v>
      </c>
      <c r="U688" s="5" t="s">
        <v>97</v>
      </c>
      <c r="W688" s="5" t="s">
        <v>2468</v>
      </c>
      <c r="X688" s="5" t="s">
        <v>102</v>
      </c>
      <c r="AA688" s="5" t="s">
        <v>85</v>
      </c>
      <c r="AB688" s="5" t="s">
        <v>2469</v>
      </c>
      <c r="AC688" s="5" t="s">
        <v>2470</v>
      </c>
      <c r="AD688" s="5" t="s">
        <v>86</v>
      </c>
      <c r="AF688" s="5">
        <v>49</v>
      </c>
      <c r="AG688" s="5">
        <v>1136</v>
      </c>
      <c r="AH688" s="5" t="s">
        <v>85</v>
      </c>
      <c r="AI688" s="5" t="s">
        <v>2471</v>
      </c>
      <c r="AJ688" s="5">
        <v>49</v>
      </c>
      <c r="AK688" s="5">
        <v>374</v>
      </c>
      <c r="AL688" s="5">
        <v>179</v>
      </c>
      <c r="AM688" s="5">
        <v>195</v>
      </c>
      <c r="AN688" s="5">
        <v>11</v>
      </c>
      <c r="AO688" s="5">
        <v>34</v>
      </c>
      <c r="AP688" s="5">
        <v>0</v>
      </c>
      <c r="AQ688" s="5">
        <v>4</v>
      </c>
      <c r="AR688" s="5" t="s">
        <v>2477</v>
      </c>
      <c r="AT688" s="5">
        <v>0</v>
      </c>
      <c r="AU688" s="5">
        <v>0</v>
      </c>
      <c r="AX688" s="5">
        <v>0</v>
      </c>
      <c r="AY688" s="5" t="s">
        <v>85</v>
      </c>
      <c r="AZ688" s="5">
        <v>30</v>
      </c>
      <c r="BA688" s="5">
        <v>100</v>
      </c>
      <c r="BB688" s="5">
        <v>45</v>
      </c>
      <c r="BC688" s="5">
        <v>55</v>
      </c>
      <c r="BD688" s="5">
        <v>30</v>
      </c>
      <c r="BE688" s="5">
        <v>0</v>
      </c>
      <c r="BF688" s="5">
        <v>0</v>
      </c>
      <c r="BH688" s="5">
        <v>0</v>
      </c>
      <c r="BI688" s="5">
        <v>0</v>
      </c>
      <c r="BL688" s="5">
        <v>0</v>
      </c>
      <c r="BM688" s="5">
        <v>0</v>
      </c>
      <c r="BN688" s="5" t="s">
        <v>86</v>
      </c>
      <c r="CD688" s="5">
        <v>0</v>
      </c>
      <c r="CF688" s="1442" t="str">
        <f>IF([1]!sommaire[[#This Row],[présence des personnes déplacés interne]]="Oui","1","0")</f>
        <v>1</v>
      </c>
      <c r="CG688" s="1442" t="str">
        <f>IF([1]!sommaire[[#This Row],[présence Réfugié hors camp]]="Oui","1","0")</f>
        <v>1</v>
      </c>
      <c r="CH688" s="1442" t="str">
        <f>IF([1]!sommaire[[#This Row],[présence personnes retournées]]="Oui","1","0")</f>
        <v>0</v>
      </c>
      <c r="CI688" s="1442">
        <f>[1]!sommaire[[#This Row],[Flag PDI]]+[1]!sommaire[[#This Row],[Flag REF]]+[1]!sommaire[[#This Row],[Flag RET]]</f>
        <v>2</v>
      </c>
    </row>
    <row r="689" spans="1:87" ht="14.55" customHeight="1" x14ac:dyDescent="0.3">
      <c r="A689" s="390">
        <v>2602995</v>
      </c>
      <c r="B689" s="5" t="s">
        <v>533</v>
      </c>
      <c r="C689" s="1430" t="s">
        <v>3449</v>
      </c>
      <c r="D689" s="5" t="s">
        <v>534</v>
      </c>
      <c r="E689" s="5" t="s">
        <v>31</v>
      </c>
      <c r="F689" s="5" t="s">
        <v>31</v>
      </c>
      <c r="G689" s="5" t="s">
        <v>549</v>
      </c>
      <c r="H689" s="5" t="s">
        <v>171</v>
      </c>
      <c r="I689" s="5" t="str">
        <f>_xlfn.XLOOKUP(sommaire[[#This Row],[Arrondissement_code]],OCHA_GIS!$F:$F,OCHA_GIS!$E:$E,,)</f>
        <v>Makary</v>
      </c>
      <c r="J689" s="5" t="s">
        <v>634</v>
      </c>
      <c r="K689" t="s">
        <v>1708</v>
      </c>
      <c r="L689" s="5" t="s">
        <v>2037</v>
      </c>
      <c r="N689" s="5" t="s">
        <v>3053</v>
      </c>
      <c r="O689" s="5" t="s">
        <v>2467</v>
      </c>
      <c r="P689" s="5" t="s">
        <v>85</v>
      </c>
      <c r="Q689" s="5" t="s">
        <v>86</v>
      </c>
      <c r="R689" s="5" t="s">
        <v>86</v>
      </c>
      <c r="T689" s="390">
        <v>3</v>
      </c>
      <c r="U689" s="5" t="s">
        <v>97</v>
      </c>
      <c r="W689" s="5" t="s">
        <v>2468</v>
      </c>
      <c r="X689" s="5" t="s">
        <v>102</v>
      </c>
      <c r="AA689" s="5" t="s">
        <v>85</v>
      </c>
      <c r="AB689" s="5" t="s">
        <v>2469</v>
      </c>
      <c r="AC689" s="5" t="s">
        <v>2470</v>
      </c>
      <c r="AD689" s="5" t="s">
        <v>86</v>
      </c>
      <c r="AF689" s="5">
        <v>8</v>
      </c>
      <c r="AG689" s="5">
        <v>1500</v>
      </c>
      <c r="AH689" s="5" t="s">
        <v>85</v>
      </c>
      <c r="AI689" s="5" t="s">
        <v>2485</v>
      </c>
      <c r="AJ689" s="5">
        <v>8</v>
      </c>
      <c r="AK689" s="5">
        <v>35</v>
      </c>
      <c r="AL689" s="5">
        <v>16</v>
      </c>
      <c r="AM689" s="5">
        <v>19</v>
      </c>
      <c r="AN689" s="5">
        <v>0</v>
      </c>
      <c r="AO689" s="5">
        <v>8</v>
      </c>
      <c r="AP689" s="5">
        <v>0</v>
      </c>
      <c r="AQ689" s="5">
        <v>0</v>
      </c>
      <c r="AT689" s="5">
        <v>0</v>
      </c>
      <c r="AU689" s="5">
        <v>0</v>
      </c>
      <c r="AX689" s="5">
        <v>0</v>
      </c>
      <c r="AY689" s="5" t="s">
        <v>85</v>
      </c>
      <c r="AZ689" s="5">
        <v>53</v>
      </c>
      <c r="BA689" s="5">
        <v>359</v>
      </c>
      <c r="BB689" s="5">
        <v>150</v>
      </c>
      <c r="BC689" s="5">
        <v>209</v>
      </c>
      <c r="BD689" s="5">
        <v>53</v>
      </c>
      <c r="BE689" s="5">
        <v>0</v>
      </c>
      <c r="BF689" s="5">
        <v>0</v>
      </c>
      <c r="BH689" s="5">
        <v>0</v>
      </c>
      <c r="BI689" s="5">
        <v>0</v>
      </c>
      <c r="BL689" s="5">
        <v>0</v>
      </c>
      <c r="BM689" s="5">
        <v>0</v>
      </c>
      <c r="BN689" s="5" t="s">
        <v>86</v>
      </c>
      <c r="CD689" s="5">
        <v>0</v>
      </c>
      <c r="CF689" s="1442" t="str">
        <f>IF([1]!sommaire[[#This Row],[présence des personnes déplacés interne]]="Oui","1","0")</f>
        <v>1</v>
      </c>
      <c r="CG689" s="1442" t="str">
        <f>IF([1]!sommaire[[#This Row],[présence Réfugié hors camp]]="Oui","1","0")</f>
        <v>1</v>
      </c>
      <c r="CH689" s="1442" t="str">
        <f>IF([1]!sommaire[[#This Row],[présence personnes retournées]]="Oui","1","0")</f>
        <v>0</v>
      </c>
      <c r="CI689" s="1442">
        <f>[1]!sommaire[[#This Row],[Flag PDI]]+[1]!sommaire[[#This Row],[Flag REF]]+[1]!sommaire[[#This Row],[Flag RET]]</f>
        <v>2</v>
      </c>
    </row>
    <row r="690" spans="1:87" ht="14.55" customHeight="1" x14ac:dyDescent="0.3">
      <c r="A690" s="390">
        <v>2682569</v>
      </c>
      <c r="B690" s="5" t="s">
        <v>533</v>
      </c>
      <c r="C690" s="1430" t="s">
        <v>3449</v>
      </c>
      <c r="D690" s="5" t="s">
        <v>534</v>
      </c>
      <c r="E690" s="5" t="s">
        <v>31</v>
      </c>
      <c r="F690" s="5" t="s">
        <v>31</v>
      </c>
      <c r="G690" s="5" t="s">
        <v>549</v>
      </c>
      <c r="H690" s="5" t="s">
        <v>171</v>
      </c>
      <c r="I690" s="5" t="str">
        <f>_xlfn.XLOOKUP(sommaire[[#This Row],[Arrondissement_code]],OCHA_GIS!$F:$F,OCHA_GIS!$E:$E,,)</f>
        <v>Makary</v>
      </c>
      <c r="J690" s="5" t="s">
        <v>634</v>
      </c>
      <c r="K690" t="s">
        <v>1077</v>
      </c>
      <c r="L690" s="5" t="s">
        <v>1998</v>
      </c>
      <c r="N690" s="5" t="s">
        <v>3053</v>
      </c>
      <c r="O690" s="5" t="s">
        <v>2467</v>
      </c>
      <c r="P690" s="5" t="s">
        <v>85</v>
      </c>
      <c r="Q690" s="5" t="s">
        <v>86</v>
      </c>
      <c r="R690" s="5" t="s">
        <v>86</v>
      </c>
      <c r="T690" s="390">
        <v>3</v>
      </c>
      <c r="U690" s="5" t="s">
        <v>97</v>
      </c>
      <c r="W690" s="5" t="s">
        <v>2468</v>
      </c>
      <c r="X690" s="5" t="s">
        <v>102</v>
      </c>
      <c r="AA690" s="5" t="s">
        <v>85</v>
      </c>
      <c r="AB690" s="5" t="s">
        <v>2469</v>
      </c>
      <c r="AC690" s="5" t="s">
        <v>2470</v>
      </c>
      <c r="AD690" s="5" t="s">
        <v>86</v>
      </c>
      <c r="AF690" s="5">
        <v>4</v>
      </c>
      <c r="AG690" s="5">
        <v>918</v>
      </c>
      <c r="AH690" s="5" t="s">
        <v>85</v>
      </c>
      <c r="AI690" s="5" t="s">
        <v>2471</v>
      </c>
      <c r="AJ690" s="5">
        <v>4</v>
      </c>
      <c r="AK690" s="5">
        <v>30</v>
      </c>
      <c r="AL690" s="5">
        <v>10</v>
      </c>
      <c r="AM690" s="5">
        <v>20</v>
      </c>
      <c r="AN690" s="5">
        <v>0</v>
      </c>
      <c r="AO690" s="5">
        <v>4</v>
      </c>
      <c r="AP690" s="5">
        <v>0</v>
      </c>
      <c r="AQ690" s="5">
        <v>0</v>
      </c>
      <c r="AT690" s="5">
        <v>0</v>
      </c>
      <c r="AU690" s="5">
        <v>0</v>
      </c>
      <c r="AX690" s="5">
        <v>0</v>
      </c>
      <c r="AY690" s="5" t="s">
        <v>85</v>
      </c>
      <c r="AZ690" s="5">
        <v>2</v>
      </c>
      <c r="BA690" s="5">
        <v>22</v>
      </c>
      <c r="BB690" s="5">
        <v>7</v>
      </c>
      <c r="BC690" s="5">
        <v>15</v>
      </c>
      <c r="BD690" s="5">
        <v>2</v>
      </c>
      <c r="BE690" s="5">
        <v>0</v>
      </c>
      <c r="BF690" s="5">
        <v>0</v>
      </c>
      <c r="BH690" s="5">
        <v>0</v>
      </c>
      <c r="BI690" s="5">
        <v>0</v>
      </c>
      <c r="BL690" s="5">
        <v>0</v>
      </c>
      <c r="BM690" s="5">
        <v>2</v>
      </c>
      <c r="BN690" s="5" t="s">
        <v>86</v>
      </c>
      <c r="CD690" s="5">
        <v>0</v>
      </c>
      <c r="CF690" s="1442" t="str">
        <f>IF([1]!sommaire[[#This Row],[présence des personnes déplacés interne]]="Oui","1","0")</f>
        <v>1</v>
      </c>
      <c r="CG690" s="1442" t="str">
        <f>IF([1]!sommaire[[#This Row],[présence Réfugié hors camp]]="Oui","1","0")</f>
        <v>1</v>
      </c>
      <c r="CH690" s="1442" t="str">
        <f>IF([1]!sommaire[[#This Row],[présence personnes retournées]]="Oui","1","0")</f>
        <v>0</v>
      </c>
      <c r="CI690" s="1442">
        <f>[1]!sommaire[[#This Row],[Flag PDI]]+[1]!sommaire[[#This Row],[Flag REF]]+[1]!sommaire[[#This Row],[Flag RET]]</f>
        <v>2</v>
      </c>
    </row>
    <row r="691" spans="1:87" ht="14.55" customHeight="1" x14ac:dyDescent="0.3">
      <c r="A691" s="390">
        <v>2676956</v>
      </c>
      <c r="B691" s="5" t="s">
        <v>533</v>
      </c>
      <c r="C691" s="1430" t="s">
        <v>3449</v>
      </c>
      <c r="D691" s="5" t="s">
        <v>534</v>
      </c>
      <c r="E691" s="5" t="s">
        <v>31</v>
      </c>
      <c r="F691" s="5" t="s">
        <v>31</v>
      </c>
      <c r="G691" s="5" t="s">
        <v>549</v>
      </c>
      <c r="H691" s="5" t="s">
        <v>171</v>
      </c>
      <c r="I691" s="5" t="str">
        <f>_xlfn.XLOOKUP(sommaire[[#This Row],[Arrondissement_code]],OCHA_GIS!$F:$F,OCHA_GIS!$E:$E,,)</f>
        <v>Makary</v>
      </c>
      <c r="J691" s="5" t="s">
        <v>634</v>
      </c>
      <c r="K691" t="s">
        <v>2629</v>
      </c>
      <c r="L691" s="5" t="s">
        <v>1931</v>
      </c>
      <c r="N691" s="5" t="s">
        <v>3053</v>
      </c>
      <c r="O691" s="5" t="s">
        <v>2467</v>
      </c>
      <c r="P691" s="5" t="s">
        <v>85</v>
      </c>
      <c r="Q691" s="5" t="s">
        <v>86</v>
      </c>
      <c r="R691" s="5" t="s">
        <v>86</v>
      </c>
      <c r="T691" s="390">
        <v>3</v>
      </c>
      <c r="U691" s="5" t="s">
        <v>97</v>
      </c>
      <c r="W691" s="5" t="s">
        <v>2468</v>
      </c>
      <c r="X691" s="5" t="s">
        <v>102</v>
      </c>
      <c r="AA691" s="5" t="s">
        <v>85</v>
      </c>
      <c r="AB691" s="5" t="s">
        <v>2469</v>
      </c>
      <c r="AC691" s="5" t="s">
        <v>2470</v>
      </c>
      <c r="AD691" s="5" t="s">
        <v>86</v>
      </c>
      <c r="AF691" s="5">
        <v>26</v>
      </c>
      <c r="AG691" s="5">
        <v>157</v>
      </c>
      <c r="AH691" s="5" t="s">
        <v>85</v>
      </c>
      <c r="AI691" s="5" t="s">
        <v>2471</v>
      </c>
      <c r="AJ691" s="5">
        <v>26</v>
      </c>
      <c r="AK691" s="5">
        <v>157</v>
      </c>
      <c r="AL691" s="5">
        <v>72</v>
      </c>
      <c r="AM691" s="5">
        <v>85</v>
      </c>
      <c r="AN691" s="5">
        <v>0</v>
      </c>
      <c r="AO691" s="5">
        <v>26</v>
      </c>
      <c r="AP691" s="5">
        <v>0</v>
      </c>
      <c r="AQ691" s="5">
        <v>0</v>
      </c>
      <c r="AT691" s="5">
        <v>0</v>
      </c>
      <c r="AU691" s="5">
        <v>0</v>
      </c>
      <c r="AX691" s="5">
        <v>0</v>
      </c>
      <c r="AY691" s="5" t="s">
        <v>86</v>
      </c>
      <c r="BN691" s="5" t="s">
        <v>86</v>
      </c>
      <c r="CD691" s="5">
        <v>0</v>
      </c>
      <c r="CF691" s="1442" t="str">
        <f>IF([1]!sommaire[[#This Row],[présence des personnes déplacés interne]]="Oui","1","0")</f>
        <v>1</v>
      </c>
      <c r="CG691" s="1442" t="str">
        <f>IF([1]!sommaire[[#This Row],[présence Réfugié hors camp]]="Oui","1","0")</f>
        <v>0</v>
      </c>
      <c r="CH691" s="1442" t="str">
        <f>IF([1]!sommaire[[#This Row],[présence personnes retournées]]="Oui","1","0")</f>
        <v>0</v>
      </c>
      <c r="CI691" s="1442">
        <f>[1]!sommaire[[#This Row],[Flag PDI]]+[1]!sommaire[[#This Row],[Flag REF]]+[1]!sommaire[[#This Row],[Flag RET]]</f>
        <v>1</v>
      </c>
    </row>
    <row r="692" spans="1:87" ht="14.55" customHeight="1" x14ac:dyDescent="0.3">
      <c r="A692" s="390">
        <v>2626910</v>
      </c>
      <c r="B692" s="5" t="s">
        <v>533</v>
      </c>
      <c r="C692" s="1430" t="s">
        <v>3449</v>
      </c>
      <c r="D692" s="5" t="s">
        <v>534</v>
      </c>
      <c r="E692" s="5" t="s">
        <v>31</v>
      </c>
      <c r="F692" s="5" t="s">
        <v>31</v>
      </c>
      <c r="G692" s="5" t="s">
        <v>549</v>
      </c>
      <c r="H692" s="5" t="s">
        <v>171</v>
      </c>
      <c r="I692" s="5" t="str">
        <f>_xlfn.XLOOKUP(sommaire[[#This Row],[Arrondissement_code]],OCHA_GIS!$F:$F,OCHA_GIS!$E:$E,,)</f>
        <v>Makary</v>
      </c>
      <c r="J692" s="5" t="s">
        <v>634</v>
      </c>
      <c r="K692" t="s">
        <v>871</v>
      </c>
      <c r="L692" s="5" t="s">
        <v>1286</v>
      </c>
      <c r="N692" s="5" t="s">
        <v>3053</v>
      </c>
      <c r="O692" s="5" t="s">
        <v>2467</v>
      </c>
      <c r="P692" s="5" t="s">
        <v>85</v>
      </c>
      <c r="Q692" s="5" t="s">
        <v>86</v>
      </c>
      <c r="R692" s="5" t="s">
        <v>86</v>
      </c>
      <c r="T692" s="390">
        <v>3</v>
      </c>
      <c r="U692" s="5" t="s">
        <v>97</v>
      </c>
      <c r="W692" s="5" t="s">
        <v>2468</v>
      </c>
      <c r="X692" s="5" t="s">
        <v>102</v>
      </c>
      <c r="AA692" s="5" t="s">
        <v>85</v>
      </c>
      <c r="AB692" s="5" t="s">
        <v>2469</v>
      </c>
      <c r="AC692" s="5" t="s">
        <v>2470</v>
      </c>
      <c r="AD692" s="5" t="s">
        <v>86</v>
      </c>
      <c r="AF692" s="5">
        <v>37</v>
      </c>
      <c r="AG692" s="5">
        <v>356</v>
      </c>
      <c r="AH692" s="5" t="s">
        <v>85</v>
      </c>
      <c r="AI692" s="5" t="s">
        <v>2471</v>
      </c>
      <c r="AJ692" s="5">
        <v>37</v>
      </c>
      <c r="AK692" s="5">
        <v>146</v>
      </c>
      <c r="AL692" s="5">
        <v>66</v>
      </c>
      <c r="AM692" s="5">
        <v>80</v>
      </c>
      <c r="AN692" s="5">
        <v>37</v>
      </c>
      <c r="AO692" s="5">
        <v>0</v>
      </c>
      <c r="AP692" s="5">
        <v>0</v>
      </c>
      <c r="AQ692" s="5">
        <v>0</v>
      </c>
      <c r="AT692" s="5">
        <v>0</v>
      </c>
      <c r="AU692" s="5">
        <v>0</v>
      </c>
      <c r="AX692" s="5">
        <v>0</v>
      </c>
      <c r="AY692" s="5" t="s">
        <v>86</v>
      </c>
      <c r="BN692" s="5" t="s">
        <v>86</v>
      </c>
      <c r="CD692" s="5">
        <v>0</v>
      </c>
      <c r="CF692" s="1442" t="str">
        <f>IF([1]!sommaire[[#This Row],[présence des personnes déplacés interne]]="Oui","1","0")</f>
        <v>1</v>
      </c>
      <c r="CG692" s="1442" t="str">
        <f>IF([1]!sommaire[[#This Row],[présence Réfugié hors camp]]="Oui","1","0")</f>
        <v>0</v>
      </c>
      <c r="CH692" s="1442" t="str">
        <f>IF([1]!sommaire[[#This Row],[présence personnes retournées]]="Oui","1","0")</f>
        <v>0</v>
      </c>
      <c r="CI692" s="1442">
        <f>[1]!sommaire[[#This Row],[Flag PDI]]+[1]!sommaire[[#This Row],[Flag REF]]+[1]!sommaire[[#This Row],[Flag RET]]</f>
        <v>1</v>
      </c>
    </row>
    <row r="693" spans="1:87" ht="14.55" customHeight="1" x14ac:dyDescent="0.3">
      <c r="A693" s="390">
        <v>2657836</v>
      </c>
      <c r="B693" s="5" t="s">
        <v>533</v>
      </c>
      <c r="C693" s="1430" t="s">
        <v>3449</v>
      </c>
      <c r="D693" s="5" t="s">
        <v>534</v>
      </c>
      <c r="E693" s="5" t="s">
        <v>31</v>
      </c>
      <c r="F693" s="5" t="s">
        <v>31</v>
      </c>
      <c r="G693" s="5" t="s">
        <v>549</v>
      </c>
      <c r="H693" s="5" t="s">
        <v>171</v>
      </c>
      <c r="I693" s="5" t="str">
        <f>_xlfn.XLOOKUP(sommaire[[#This Row],[Arrondissement_code]],OCHA_GIS!$F:$F,OCHA_GIS!$E:$E,,)</f>
        <v>Makary</v>
      </c>
      <c r="J693" s="5" t="s">
        <v>634</v>
      </c>
      <c r="K693" t="s">
        <v>3013</v>
      </c>
      <c r="L693" s="5" t="s">
        <v>2630</v>
      </c>
      <c r="N693" s="5" t="s">
        <v>3053</v>
      </c>
      <c r="O693" s="5" t="s">
        <v>2467</v>
      </c>
      <c r="P693" s="5" t="s">
        <v>86</v>
      </c>
      <c r="Q693" s="5" t="s">
        <v>86</v>
      </c>
      <c r="R693" s="5" t="s">
        <v>85</v>
      </c>
      <c r="U693" s="5" t="s">
        <v>97</v>
      </c>
      <c r="W693" s="5" t="s">
        <v>2482</v>
      </c>
      <c r="AA693" s="5" t="s">
        <v>86</v>
      </c>
      <c r="AH693" s="1430" t="s">
        <v>86</v>
      </c>
      <c r="AY693" s="1430" t="s">
        <v>86</v>
      </c>
      <c r="BN693" s="1430" t="s">
        <v>86</v>
      </c>
      <c r="CF693" s="1442" t="str">
        <f>IF([1]!sommaire[[#This Row],[présence des personnes déplacés interne]]="Oui","1","0")</f>
        <v>0</v>
      </c>
      <c r="CG693" s="1442" t="str">
        <f>IF([1]!sommaire[[#This Row],[présence Réfugié hors camp]]="Oui","1","0")</f>
        <v>0</v>
      </c>
      <c r="CH693" s="1442" t="str">
        <f>IF([1]!sommaire[[#This Row],[présence personnes retournées]]="Oui","1","0")</f>
        <v>0</v>
      </c>
      <c r="CI693" s="1442">
        <f>[1]!sommaire[[#This Row],[Flag PDI]]+[1]!sommaire[[#This Row],[Flag REF]]+[1]!sommaire[[#This Row],[Flag RET]]</f>
        <v>0</v>
      </c>
    </row>
    <row r="694" spans="1:87" ht="14.55" customHeight="1" x14ac:dyDescent="0.3">
      <c r="A694" s="390">
        <v>2604286</v>
      </c>
      <c r="B694" s="5" t="s">
        <v>533</v>
      </c>
      <c r="C694" s="1430" t="s">
        <v>3449</v>
      </c>
      <c r="D694" s="5" t="s">
        <v>534</v>
      </c>
      <c r="E694" s="5" t="s">
        <v>31</v>
      </c>
      <c r="F694" s="5" t="s">
        <v>31</v>
      </c>
      <c r="G694" s="5" t="s">
        <v>549</v>
      </c>
      <c r="H694" s="5" t="s">
        <v>171</v>
      </c>
      <c r="I694" s="5" t="str">
        <f>_xlfn.XLOOKUP(sommaire[[#This Row],[Arrondissement_code]],OCHA_GIS!$F:$F,OCHA_GIS!$E:$E,,)</f>
        <v>Makary</v>
      </c>
      <c r="J694" s="5" t="s">
        <v>634</v>
      </c>
      <c r="K694" t="s">
        <v>3015</v>
      </c>
      <c r="L694" s="5" t="s">
        <v>1282</v>
      </c>
      <c r="N694" s="5" t="s">
        <v>3053</v>
      </c>
      <c r="O694" s="5" t="s">
        <v>2467</v>
      </c>
      <c r="P694" s="5" t="s">
        <v>85</v>
      </c>
      <c r="Q694" s="5" t="s">
        <v>86</v>
      </c>
      <c r="R694" s="5" t="s">
        <v>86</v>
      </c>
      <c r="T694" s="390">
        <v>3</v>
      </c>
      <c r="U694" s="5" t="s">
        <v>97</v>
      </c>
      <c r="W694" s="5" t="s">
        <v>2468</v>
      </c>
      <c r="X694" s="5" t="s">
        <v>102</v>
      </c>
      <c r="AA694" s="5" t="s">
        <v>85</v>
      </c>
      <c r="AB694" s="5" t="s">
        <v>2469</v>
      </c>
      <c r="AC694" s="5" t="s">
        <v>2470</v>
      </c>
      <c r="AD694" s="5" t="s">
        <v>86</v>
      </c>
      <c r="AF694" s="5">
        <v>7</v>
      </c>
      <c r="AG694" s="5">
        <v>307</v>
      </c>
      <c r="AH694" s="5" t="s">
        <v>85</v>
      </c>
      <c r="AI694" s="5" t="s">
        <v>2471</v>
      </c>
      <c r="AJ694" s="5">
        <v>7</v>
      </c>
      <c r="AK694" s="5">
        <v>47</v>
      </c>
      <c r="AL694" s="5">
        <v>19</v>
      </c>
      <c r="AM694" s="5">
        <v>28</v>
      </c>
      <c r="AN694" s="5">
        <v>0</v>
      </c>
      <c r="AO694" s="5">
        <v>7</v>
      </c>
      <c r="AP694" s="5">
        <v>0</v>
      </c>
      <c r="AQ694" s="5">
        <v>0</v>
      </c>
      <c r="AT694" s="5">
        <v>0</v>
      </c>
      <c r="AU694" s="5">
        <v>0</v>
      </c>
      <c r="AX694" s="5">
        <v>0</v>
      </c>
      <c r="AY694" s="5" t="s">
        <v>86</v>
      </c>
      <c r="BN694" s="5" t="s">
        <v>86</v>
      </c>
      <c r="CD694" s="5">
        <v>0</v>
      </c>
      <c r="CF694" s="1442" t="str">
        <f>IF([1]!sommaire[[#This Row],[présence des personnes déplacés interne]]="Oui","1","0")</f>
        <v>1</v>
      </c>
      <c r="CG694" s="1442" t="str">
        <f>IF([1]!sommaire[[#This Row],[présence Réfugié hors camp]]="Oui","1","0")</f>
        <v>0</v>
      </c>
      <c r="CH694" s="1442" t="str">
        <f>IF([1]!sommaire[[#This Row],[présence personnes retournées]]="Oui","1","0")</f>
        <v>0</v>
      </c>
      <c r="CI694" s="1442">
        <f>[1]!sommaire[[#This Row],[Flag PDI]]+[1]!sommaire[[#This Row],[Flag REF]]+[1]!sommaire[[#This Row],[Flag RET]]</f>
        <v>1</v>
      </c>
    </row>
    <row r="695" spans="1:87" ht="14.55" customHeight="1" x14ac:dyDescent="0.3">
      <c r="A695" s="390">
        <v>2668753</v>
      </c>
      <c r="B695" s="5" t="s">
        <v>533</v>
      </c>
      <c r="C695" s="1430" t="s">
        <v>3449</v>
      </c>
      <c r="D695" s="5" t="s">
        <v>534</v>
      </c>
      <c r="E695" s="5" t="s">
        <v>31</v>
      </c>
      <c r="F695" s="5" t="s">
        <v>31</v>
      </c>
      <c r="G695" s="5" t="s">
        <v>549</v>
      </c>
      <c r="H695" s="5" t="s">
        <v>171</v>
      </c>
      <c r="I695" s="5" t="str">
        <f>_xlfn.XLOOKUP(sommaire[[#This Row],[Arrondissement_code]],OCHA_GIS!$F:$F,OCHA_GIS!$E:$E,,)</f>
        <v>Makary</v>
      </c>
      <c r="J695" s="5" t="s">
        <v>634</v>
      </c>
      <c r="K695" t="s">
        <v>2159</v>
      </c>
      <c r="L695" s="5" t="s">
        <v>1364</v>
      </c>
      <c r="N695" s="5" t="s">
        <v>3053</v>
      </c>
      <c r="O695" s="5" t="s">
        <v>2467</v>
      </c>
      <c r="P695" s="5" t="s">
        <v>85</v>
      </c>
      <c r="Q695" s="5" t="s">
        <v>86</v>
      </c>
      <c r="R695" s="5" t="s">
        <v>86</v>
      </c>
      <c r="T695" s="390">
        <v>3</v>
      </c>
      <c r="U695" s="5" t="s">
        <v>97</v>
      </c>
      <c r="W695" s="5" t="s">
        <v>2468</v>
      </c>
      <c r="X695" s="5" t="s">
        <v>102</v>
      </c>
      <c r="AA695" s="5" t="s">
        <v>85</v>
      </c>
      <c r="AB695" s="5" t="s">
        <v>2469</v>
      </c>
      <c r="AC695" s="5" t="s">
        <v>2470</v>
      </c>
      <c r="AD695" s="5" t="s">
        <v>86</v>
      </c>
      <c r="AF695" s="5">
        <v>61</v>
      </c>
      <c r="AG695" s="5">
        <v>642</v>
      </c>
      <c r="AH695" s="5" t="s">
        <v>85</v>
      </c>
      <c r="AI695" s="5" t="s">
        <v>2471</v>
      </c>
      <c r="AJ695" s="5">
        <v>61</v>
      </c>
      <c r="AK695" s="5">
        <v>542</v>
      </c>
      <c r="AL695" s="5">
        <v>205</v>
      </c>
      <c r="AM695" s="5">
        <v>337</v>
      </c>
      <c r="AN695" s="5">
        <v>0</v>
      </c>
      <c r="AO695" s="5">
        <v>61</v>
      </c>
      <c r="AP695" s="5">
        <v>0</v>
      </c>
      <c r="AQ695" s="5">
        <v>0</v>
      </c>
      <c r="AT695" s="5">
        <v>0</v>
      </c>
      <c r="AU695" s="5">
        <v>0</v>
      </c>
      <c r="AX695" s="5">
        <v>0</v>
      </c>
      <c r="AY695" s="5" t="s">
        <v>86</v>
      </c>
      <c r="BN695" s="5" t="s">
        <v>86</v>
      </c>
      <c r="CD695" s="5">
        <v>0</v>
      </c>
      <c r="CF695" s="1442" t="str">
        <f>IF([1]!sommaire[[#This Row],[présence des personnes déplacés interne]]="Oui","1","0")</f>
        <v>1</v>
      </c>
      <c r="CG695" s="1442" t="str">
        <f>IF([1]!sommaire[[#This Row],[présence Réfugié hors camp]]="Oui","1","0")</f>
        <v>0</v>
      </c>
      <c r="CH695" s="1442" t="str">
        <f>IF([1]!sommaire[[#This Row],[présence personnes retournées]]="Oui","1","0")</f>
        <v>0</v>
      </c>
      <c r="CI695" s="1442">
        <f>[1]!sommaire[[#This Row],[Flag PDI]]+[1]!sommaire[[#This Row],[Flag REF]]+[1]!sommaire[[#This Row],[Flag RET]]</f>
        <v>1</v>
      </c>
    </row>
    <row r="696" spans="1:87" ht="14.55" customHeight="1" x14ac:dyDescent="0.3">
      <c r="A696" s="390">
        <v>2653225</v>
      </c>
      <c r="B696" s="5" t="s">
        <v>533</v>
      </c>
      <c r="C696" s="1430" t="s">
        <v>3449</v>
      </c>
      <c r="D696" s="5" t="s">
        <v>534</v>
      </c>
      <c r="E696" s="5" t="s">
        <v>31</v>
      </c>
      <c r="F696" s="5" t="s">
        <v>31</v>
      </c>
      <c r="G696" s="5" t="s">
        <v>549</v>
      </c>
      <c r="H696" s="5" t="s">
        <v>171</v>
      </c>
      <c r="I696" s="5" t="str">
        <f>_xlfn.XLOOKUP(sommaire[[#This Row],[Arrondissement_code]],OCHA_GIS!$F:$F,OCHA_GIS!$E:$E,,)</f>
        <v>Makary</v>
      </c>
      <c r="J696" s="5" t="s">
        <v>634</v>
      </c>
      <c r="K696" t="s">
        <v>1980</v>
      </c>
      <c r="L696" s="5" t="s">
        <v>1366</v>
      </c>
      <c r="N696" s="5" t="s">
        <v>3053</v>
      </c>
      <c r="O696" s="5" t="s">
        <v>2467</v>
      </c>
      <c r="P696" s="5" t="s">
        <v>85</v>
      </c>
      <c r="Q696" s="5" t="s">
        <v>86</v>
      </c>
      <c r="R696" s="5" t="s">
        <v>86</v>
      </c>
      <c r="T696" s="390">
        <v>3</v>
      </c>
      <c r="U696" s="5" t="s">
        <v>97</v>
      </c>
      <c r="W696" s="5" t="s">
        <v>2468</v>
      </c>
      <c r="X696" s="5" t="s">
        <v>102</v>
      </c>
      <c r="AA696" s="5" t="s">
        <v>85</v>
      </c>
      <c r="AB696" s="5" t="s">
        <v>2469</v>
      </c>
      <c r="AC696" s="5" t="s">
        <v>2470</v>
      </c>
      <c r="AD696" s="5" t="s">
        <v>86</v>
      </c>
      <c r="AF696" s="5">
        <v>57</v>
      </c>
      <c r="AG696" s="5">
        <v>555</v>
      </c>
      <c r="AH696" s="5" t="s">
        <v>85</v>
      </c>
      <c r="AI696" s="5" t="s">
        <v>2471</v>
      </c>
      <c r="AJ696" s="5">
        <v>57</v>
      </c>
      <c r="AK696" s="5">
        <v>555</v>
      </c>
      <c r="AL696" s="5">
        <v>292</v>
      </c>
      <c r="AM696" s="5">
        <v>263</v>
      </c>
      <c r="AN696" s="5">
        <v>0</v>
      </c>
      <c r="AO696" s="5">
        <v>57</v>
      </c>
      <c r="AP696" s="5">
        <v>0</v>
      </c>
      <c r="AQ696" s="5">
        <v>0</v>
      </c>
      <c r="AT696" s="5">
        <v>0</v>
      </c>
      <c r="AU696" s="5">
        <v>0</v>
      </c>
      <c r="AX696" s="5">
        <v>0</v>
      </c>
      <c r="AY696" s="5" t="s">
        <v>86</v>
      </c>
      <c r="BN696" s="5" t="s">
        <v>86</v>
      </c>
      <c r="CD696" s="5">
        <v>0</v>
      </c>
      <c r="CF696" s="1442" t="str">
        <f>IF([1]!sommaire[[#This Row],[présence des personnes déplacés interne]]="Oui","1","0")</f>
        <v>1</v>
      </c>
      <c r="CG696" s="1442" t="str">
        <f>IF([1]!sommaire[[#This Row],[présence Réfugié hors camp]]="Oui","1","0")</f>
        <v>0</v>
      </c>
      <c r="CH696" s="1442" t="str">
        <f>IF([1]!sommaire[[#This Row],[présence personnes retournées]]="Oui","1","0")</f>
        <v>0</v>
      </c>
      <c r="CI696" s="1442">
        <f>[1]!sommaire[[#This Row],[Flag PDI]]+[1]!sommaire[[#This Row],[Flag REF]]+[1]!sommaire[[#This Row],[Flag RET]]</f>
        <v>1</v>
      </c>
    </row>
    <row r="697" spans="1:87" ht="14.55" customHeight="1" x14ac:dyDescent="0.3">
      <c r="A697" s="390">
        <v>2604855</v>
      </c>
      <c r="B697" s="5" t="s">
        <v>533</v>
      </c>
      <c r="C697" s="1430" t="s">
        <v>3449</v>
      </c>
      <c r="D697" s="5" t="s">
        <v>534</v>
      </c>
      <c r="E697" s="5" t="s">
        <v>31</v>
      </c>
      <c r="F697" s="5" t="s">
        <v>31</v>
      </c>
      <c r="G697" s="5" t="s">
        <v>549</v>
      </c>
      <c r="H697" s="5" t="s">
        <v>171</v>
      </c>
      <c r="I697" s="5" t="str">
        <f>_xlfn.XLOOKUP(sommaire[[#This Row],[Arrondissement_code]],OCHA_GIS!$F:$F,OCHA_GIS!$E:$E,,)</f>
        <v>Makary</v>
      </c>
      <c r="J697" s="5" t="s">
        <v>634</v>
      </c>
      <c r="K697" t="s">
        <v>1222</v>
      </c>
      <c r="L697" s="5" t="s">
        <v>1925</v>
      </c>
      <c r="N697" s="5" t="s">
        <v>3053</v>
      </c>
      <c r="O697" s="5" t="s">
        <v>2467</v>
      </c>
      <c r="P697" s="5" t="s">
        <v>85</v>
      </c>
      <c r="Q697" s="5" t="s">
        <v>86</v>
      </c>
      <c r="R697" s="5" t="s">
        <v>86</v>
      </c>
      <c r="T697" s="390">
        <v>4</v>
      </c>
      <c r="U697" s="5" t="s">
        <v>97</v>
      </c>
      <c r="W697" s="5" t="s">
        <v>2468</v>
      </c>
      <c r="X697" s="5" t="s">
        <v>103</v>
      </c>
      <c r="Y697" s="5" t="s">
        <v>2476</v>
      </c>
      <c r="AA697" s="5" t="s">
        <v>85</v>
      </c>
      <c r="AB697" s="5" t="s">
        <v>2469</v>
      </c>
      <c r="AC697" s="5" t="s">
        <v>2470</v>
      </c>
      <c r="AD697" s="5" t="s">
        <v>86</v>
      </c>
      <c r="AF697" s="5">
        <v>36</v>
      </c>
      <c r="AG697" s="5">
        <v>1511</v>
      </c>
      <c r="AH697" s="5" t="s">
        <v>85</v>
      </c>
      <c r="AI697" s="5" t="s">
        <v>2487</v>
      </c>
      <c r="AJ697" s="5">
        <v>36</v>
      </c>
      <c r="AK697" s="5">
        <v>235</v>
      </c>
      <c r="AL697" s="5">
        <v>105</v>
      </c>
      <c r="AM697" s="5">
        <v>130</v>
      </c>
      <c r="AN697" s="5">
        <v>25</v>
      </c>
      <c r="AO697" s="5">
        <v>5</v>
      </c>
      <c r="AP697" s="5">
        <v>6</v>
      </c>
      <c r="AQ697" s="5">
        <v>0</v>
      </c>
      <c r="AT697" s="5">
        <v>0</v>
      </c>
      <c r="AU697" s="5">
        <v>0</v>
      </c>
      <c r="AX697" s="5">
        <v>0</v>
      </c>
      <c r="AY697" s="5" t="s">
        <v>86</v>
      </c>
      <c r="BN697" s="5" t="s">
        <v>86</v>
      </c>
      <c r="CD697" s="5">
        <v>0</v>
      </c>
      <c r="CF697" s="1442" t="str">
        <f>IF([1]!sommaire[[#This Row],[présence des personnes déplacés interne]]="Oui","1","0")</f>
        <v>1</v>
      </c>
      <c r="CG697" s="1442" t="str">
        <f>IF([1]!sommaire[[#This Row],[présence Réfugié hors camp]]="Oui","1","0")</f>
        <v>0</v>
      </c>
      <c r="CH697" s="1442" t="str">
        <f>IF([1]!sommaire[[#This Row],[présence personnes retournées]]="Oui","1","0")</f>
        <v>0</v>
      </c>
      <c r="CI697" s="1442">
        <f>[1]!sommaire[[#This Row],[Flag PDI]]+[1]!sommaire[[#This Row],[Flag REF]]+[1]!sommaire[[#This Row],[Flag RET]]</f>
        <v>1</v>
      </c>
    </row>
    <row r="698" spans="1:87" ht="14.55" customHeight="1" x14ac:dyDescent="0.3">
      <c r="A698" s="390">
        <v>2614815</v>
      </c>
      <c r="B698" s="5" t="s">
        <v>533</v>
      </c>
      <c r="C698" s="1430" t="s">
        <v>3449</v>
      </c>
      <c r="D698" s="5" t="s">
        <v>534</v>
      </c>
      <c r="E698" s="5" t="s">
        <v>31</v>
      </c>
      <c r="F698" s="5" t="s">
        <v>31</v>
      </c>
      <c r="G698" s="5" t="s">
        <v>549</v>
      </c>
      <c r="H698" s="5" t="s">
        <v>171</v>
      </c>
      <c r="I698" s="5" t="str">
        <f>_xlfn.XLOOKUP(sommaire[[#This Row],[Arrondissement_code]],OCHA_GIS!$F:$F,OCHA_GIS!$E:$E,,)</f>
        <v>Makary</v>
      </c>
      <c r="J698" s="5" t="s">
        <v>634</v>
      </c>
      <c r="K698" t="s">
        <v>812</v>
      </c>
      <c r="L698" s="5" t="s">
        <v>1983</v>
      </c>
      <c r="N698" s="5" t="s">
        <v>3053</v>
      </c>
      <c r="O698" s="5" t="s">
        <v>2467</v>
      </c>
      <c r="P698" s="5" t="s">
        <v>85</v>
      </c>
      <c r="Q698" s="5" t="s">
        <v>86</v>
      </c>
      <c r="R698" s="5" t="s">
        <v>86</v>
      </c>
      <c r="T698" s="390">
        <v>4</v>
      </c>
      <c r="U698" s="5" t="s">
        <v>97</v>
      </c>
      <c r="W698" s="5" t="s">
        <v>2468</v>
      </c>
      <c r="X698" s="5" t="s">
        <v>103</v>
      </c>
      <c r="Y698" s="5" t="s">
        <v>2476</v>
      </c>
      <c r="AA698" s="5" t="s">
        <v>85</v>
      </c>
      <c r="AB698" s="5" t="s">
        <v>2469</v>
      </c>
      <c r="AC698" s="5" t="s">
        <v>2470</v>
      </c>
      <c r="AD698" s="5" t="s">
        <v>86</v>
      </c>
      <c r="AF698" s="5">
        <v>26</v>
      </c>
      <c r="AG698" s="5">
        <v>200</v>
      </c>
      <c r="AH698" s="5" t="s">
        <v>85</v>
      </c>
      <c r="AI698" s="5" t="s">
        <v>2471</v>
      </c>
      <c r="AJ698" s="5">
        <v>26</v>
      </c>
      <c r="AK698" s="5">
        <v>147</v>
      </c>
      <c r="AL698" s="5">
        <v>43</v>
      </c>
      <c r="AM698" s="5">
        <v>104</v>
      </c>
      <c r="AN698" s="5">
        <v>20</v>
      </c>
      <c r="AO698" s="5">
        <v>6</v>
      </c>
      <c r="AP698" s="5">
        <v>0</v>
      </c>
      <c r="AQ698" s="5">
        <v>0</v>
      </c>
      <c r="AT698" s="5">
        <v>0</v>
      </c>
      <c r="AU698" s="5">
        <v>0</v>
      </c>
      <c r="AX698" s="5">
        <v>0</v>
      </c>
      <c r="AY698" s="5" t="s">
        <v>86</v>
      </c>
      <c r="BN698" s="5" t="s">
        <v>86</v>
      </c>
      <c r="CD698" s="5">
        <v>0</v>
      </c>
      <c r="CF698" s="1442" t="str">
        <f>IF([1]!sommaire[[#This Row],[présence des personnes déplacés interne]]="Oui","1","0")</f>
        <v>1</v>
      </c>
      <c r="CG698" s="1442" t="str">
        <f>IF([1]!sommaire[[#This Row],[présence Réfugié hors camp]]="Oui","1","0")</f>
        <v>0</v>
      </c>
      <c r="CH698" s="1442" t="str">
        <f>IF([1]!sommaire[[#This Row],[présence personnes retournées]]="Oui","1","0")</f>
        <v>0</v>
      </c>
      <c r="CI698" s="1442">
        <f>[1]!sommaire[[#This Row],[Flag PDI]]+[1]!sommaire[[#This Row],[Flag REF]]+[1]!sommaire[[#This Row],[Flag RET]]</f>
        <v>1</v>
      </c>
    </row>
    <row r="699" spans="1:87" ht="14.55" customHeight="1" x14ac:dyDescent="0.3">
      <c r="A699" s="390">
        <v>2671004</v>
      </c>
      <c r="B699" s="5" t="s">
        <v>533</v>
      </c>
      <c r="C699" s="1430" t="s">
        <v>3449</v>
      </c>
      <c r="D699" s="5" t="s">
        <v>534</v>
      </c>
      <c r="E699" s="5" t="s">
        <v>31</v>
      </c>
      <c r="F699" s="5" t="s">
        <v>31</v>
      </c>
      <c r="G699" s="5" t="s">
        <v>549</v>
      </c>
      <c r="H699" s="5" t="s">
        <v>171</v>
      </c>
      <c r="I699" s="5" t="str">
        <f>_xlfn.XLOOKUP(sommaire[[#This Row],[Arrondissement_code]],OCHA_GIS!$F:$F,OCHA_GIS!$E:$E,,)</f>
        <v>Makary</v>
      </c>
      <c r="J699" s="5" t="s">
        <v>634</v>
      </c>
      <c r="K699" t="s">
        <v>1386</v>
      </c>
      <c r="L699" s="5" t="s">
        <v>1917</v>
      </c>
      <c r="N699" s="5" t="s">
        <v>3053</v>
      </c>
      <c r="O699" s="5" t="s">
        <v>2467</v>
      </c>
      <c r="P699" s="5" t="s">
        <v>85</v>
      </c>
      <c r="Q699" s="5" t="s">
        <v>86</v>
      </c>
      <c r="R699" s="5" t="s">
        <v>86</v>
      </c>
      <c r="T699" s="390">
        <v>3</v>
      </c>
      <c r="U699" s="5" t="s">
        <v>97</v>
      </c>
      <c r="W699" s="5" t="s">
        <v>2468</v>
      </c>
      <c r="X699" s="5" t="s">
        <v>102</v>
      </c>
      <c r="AA699" s="5" t="s">
        <v>85</v>
      </c>
      <c r="AB699" s="5" t="s">
        <v>2469</v>
      </c>
      <c r="AC699" s="5" t="s">
        <v>2470</v>
      </c>
      <c r="AD699" s="5" t="s">
        <v>86</v>
      </c>
      <c r="AF699" s="5">
        <v>16</v>
      </c>
      <c r="AG699" s="5">
        <v>860</v>
      </c>
      <c r="AH699" s="5" t="s">
        <v>85</v>
      </c>
      <c r="AI699" s="5" t="s">
        <v>2485</v>
      </c>
      <c r="AJ699" s="5">
        <v>16</v>
      </c>
      <c r="AK699" s="5">
        <v>94</v>
      </c>
      <c r="AL699" s="5">
        <v>45</v>
      </c>
      <c r="AM699" s="5">
        <v>49</v>
      </c>
      <c r="AN699" s="5">
        <v>0</v>
      </c>
      <c r="AO699" s="5">
        <v>16</v>
      </c>
      <c r="AP699" s="5">
        <v>0</v>
      </c>
      <c r="AQ699" s="5">
        <v>0</v>
      </c>
      <c r="AT699" s="5">
        <v>0</v>
      </c>
      <c r="AU699" s="5">
        <v>0</v>
      </c>
      <c r="AX699" s="5">
        <v>0</v>
      </c>
      <c r="AY699" s="5" t="s">
        <v>86</v>
      </c>
      <c r="BN699" s="5" t="s">
        <v>86</v>
      </c>
      <c r="CD699" s="5">
        <v>0</v>
      </c>
      <c r="CF699" s="1442" t="str">
        <f>IF([1]!sommaire[[#This Row],[présence des personnes déplacés interne]]="Oui","1","0")</f>
        <v>1</v>
      </c>
      <c r="CG699" s="1442" t="str">
        <f>IF([1]!sommaire[[#This Row],[présence Réfugié hors camp]]="Oui","1","0")</f>
        <v>0</v>
      </c>
      <c r="CH699" s="1442" t="str">
        <f>IF([1]!sommaire[[#This Row],[présence personnes retournées]]="Oui","1","0")</f>
        <v>0</v>
      </c>
      <c r="CI699" s="1442">
        <f>[1]!sommaire[[#This Row],[Flag PDI]]+[1]!sommaire[[#This Row],[Flag REF]]+[1]!sommaire[[#This Row],[Flag RET]]</f>
        <v>1</v>
      </c>
    </row>
    <row r="700" spans="1:87" ht="14.55" customHeight="1" x14ac:dyDescent="0.3">
      <c r="A700" s="390">
        <v>2639016</v>
      </c>
      <c r="B700" s="5" t="s">
        <v>533</v>
      </c>
      <c r="C700" s="1430" t="s">
        <v>3449</v>
      </c>
      <c r="D700" s="5" t="s">
        <v>534</v>
      </c>
      <c r="E700" s="5" t="s">
        <v>31</v>
      </c>
      <c r="F700" s="5" t="s">
        <v>31</v>
      </c>
      <c r="G700" s="5" t="s">
        <v>549</v>
      </c>
      <c r="H700" s="5" t="s">
        <v>171</v>
      </c>
      <c r="I700" s="5" t="str">
        <f>_xlfn.XLOOKUP(sommaire[[#This Row],[Arrondissement_code]],OCHA_GIS!$F:$F,OCHA_GIS!$E:$E,,)</f>
        <v>Makary</v>
      </c>
      <c r="J700" s="5" t="s">
        <v>634</v>
      </c>
      <c r="K700" t="s">
        <v>1149</v>
      </c>
      <c r="L700" s="5" t="s">
        <v>2070</v>
      </c>
      <c r="N700" s="5" t="s">
        <v>3053</v>
      </c>
      <c r="O700" s="5" t="s">
        <v>2467</v>
      </c>
      <c r="P700" s="5" t="s">
        <v>85</v>
      </c>
      <c r="Q700" s="5" t="s">
        <v>86</v>
      </c>
      <c r="R700" s="5" t="s">
        <v>86</v>
      </c>
      <c r="T700" s="390">
        <v>3</v>
      </c>
      <c r="U700" s="5" t="s">
        <v>97</v>
      </c>
      <c r="W700" s="5" t="s">
        <v>2468</v>
      </c>
      <c r="X700" s="5" t="s">
        <v>102</v>
      </c>
      <c r="AA700" s="5" t="s">
        <v>85</v>
      </c>
      <c r="AB700" s="5" t="s">
        <v>2469</v>
      </c>
      <c r="AC700" s="5" t="s">
        <v>2470</v>
      </c>
      <c r="AD700" s="5" t="s">
        <v>86</v>
      </c>
      <c r="AF700" s="5">
        <v>8</v>
      </c>
      <c r="AG700" s="5">
        <v>500</v>
      </c>
      <c r="AH700" s="5" t="s">
        <v>85</v>
      </c>
      <c r="AI700" s="5" t="s">
        <v>2471</v>
      </c>
      <c r="AJ700" s="5">
        <v>8</v>
      </c>
      <c r="AK700" s="5">
        <v>40</v>
      </c>
      <c r="AL700" s="5">
        <v>15</v>
      </c>
      <c r="AM700" s="5">
        <v>25</v>
      </c>
      <c r="AN700" s="5">
        <v>0</v>
      </c>
      <c r="AO700" s="5">
        <v>8</v>
      </c>
      <c r="AP700" s="5">
        <v>0</v>
      </c>
      <c r="AQ700" s="5">
        <v>0</v>
      </c>
      <c r="AT700" s="5">
        <v>0</v>
      </c>
      <c r="AU700" s="5">
        <v>0</v>
      </c>
      <c r="AX700" s="5">
        <v>0</v>
      </c>
      <c r="AY700" s="5" t="s">
        <v>86</v>
      </c>
      <c r="BN700" s="5" t="s">
        <v>86</v>
      </c>
      <c r="CD700" s="5">
        <v>0</v>
      </c>
      <c r="CF700" s="1442" t="str">
        <f>IF([1]!sommaire[[#This Row],[présence des personnes déplacés interne]]="Oui","1","0")</f>
        <v>1</v>
      </c>
      <c r="CG700" s="1442" t="str">
        <f>IF([1]!sommaire[[#This Row],[présence Réfugié hors camp]]="Oui","1","0")</f>
        <v>0</v>
      </c>
      <c r="CH700" s="1442" t="str">
        <f>IF([1]!sommaire[[#This Row],[présence personnes retournées]]="Oui","1","0")</f>
        <v>0</v>
      </c>
      <c r="CI700" s="1442">
        <f>[1]!sommaire[[#This Row],[Flag PDI]]+[1]!sommaire[[#This Row],[Flag REF]]+[1]!sommaire[[#This Row],[Flag RET]]</f>
        <v>1</v>
      </c>
    </row>
    <row r="701" spans="1:87" ht="14.55" customHeight="1" x14ac:dyDescent="0.3">
      <c r="A701" s="390">
        <v>2657845</v>
      </c>
      <c r="B701" s="5" t="s">
        <v>533</v>
      </c>
      <c r="C701" s="1430" t="s">
        <v>3449</v>
      </c>
      <c r="D701" s="5" t="s">
        <v>534</v>
      </c>
      <c r="E701" s="5" t="s">
        <v>31</v>
      </c>
      <c r="F701" s="5" t="s">
        <v>31</v>
      </c>
      <c r="G701" s="5" t="s">
        <v>549</v>
      </c>
      <c r="H701" s="5" t="s">
        <v>171</v>
      </c>
      <c r="I701" s="5" t="str">
        <f>_xlfn.XLOOKUP(sommaire[[#This Row],[Arrondissement_code]],OCHA_GIS!$F:$F,OCHA_GIS!$E:$E,,)</f>
        <v>Makary</v>
      </c>
      <c r="J701" s="5" t="s">
        <v>634</v>
      </c>
      <c r="K701" t="s">
        <v>1961</v>
      </c>
      <c r="L701" s="5" t="s">
        <v>872</v>
      </c>
      <c r="N701" s="5" t="s">
        <v>3053</v>
      </c>
      <c r="O701" s="5" t="s">
        <v>2467</v>
      </c>
      <c r="P701" s="5" t="s">
        <v>85</v>
      </c>
      <c r="Q701" s="5" t="s">
        <v>86</v>
      </c>
      <c r="R701" s="5" t="s">
        <v>86</v>
      </c>
      <c r="T701" s="390">
        <v>3</v>
      </c>
      <c r="U701" s="5" t="s">
        <v>97</v>
      </c>
      <c r="W701" s="5" t="s">
        <v>2468</v>
      </c>
      <c r="X701" s="5" t="s">
        <v>103</v>
      </c>
      <c r="Y701" s="5" t="s">
        <v>2476</v>
      </c>
      <c r="AA701" s="5" t="s">
        <v>85</v>
      </c>
      <c r="AB701" s="5" t="s">
        <v>2469</v>
      </c>
      <c r="AC701" s="5" t="s">
        <v>2470</v>
      </c>
      <c r="AD701" s="5" t="s">
        <v>86</v>
      </c>
      <c r="AF701" s="5">
        <v>29</v>
      </c>
      <c r="AG701" s="5">
        <v>880</v>
      </c>
      <c r="AH701" s="5" t="s">
        <v>85</v>
      </c>
      <c r="AI701" s="5" t="s">
        <v>2471</v>
      </c>
      <c r="AJ701" s="5">
        <v>29</v>
      </c>
      <c r="AK701" s="5">
        <v>287</v>
      </c>
      <c r="AL701" s="5">
        <v>105</v>
      </c>
      <c r="AM701" s="5">
        <v>182</v>
      </c>
      <c r="AN701" s="5">
        <v>25</v>
      </c>
      <c r="AO701" s="5">
        <v>4</v>
      </c>
      <c r="AP701" s="5">
        <v>0</v>
      </c>
      <c r="AQ701" s="5">
        <v>0</v>
      </c>
      <c r="AT701" s="5">
        <v>0</v>
      </c>
      <c r="AU701" s="5">
        <v>0</v>
      </c>
      <c r="AX701" s="5">
        <v>0</v>
      </c>
      <c r="AY701" s="5" t="s">
        <v>86</v>
      </c>
      <c r="BN701" s="5" t="s">
        <v>86</v>
      </c>
      <c r="CD701" s="5">
        <v>0</v>
      </c>
      <c r="CF701" s="1442" t="str">
        <f>IF([1]!sommaire[[#This Row],[présence des personnes déplacés interne]]="Oui","1","0")</f>
        <v>1</v>
      </c>
      <c r="CG701" s="1442" t="str">
        <f>IF([1]!sommaire[[#This Row],[présence Réfugié hors camp]]="Oui","1","0")</f>
        <v>0</v>
      </c>
      <c r="CH701" s="1442" t="str">
        <f>IF([1]!sommaire[[#This Row],[présence personnes retournées]]="Oui","1","0")</f>
        <v>0</v>
      </c>
      <c r="CI701" s="1442">
        <f>[1]!sommaire[[#This Row],[Flag PDI]]+[1]!sommaire[[#This Row],[Flag REF]]+[1]!sommaire[[#This Row],[Flag RET]]</f>
        <v>1</v>
      </c>
    </row>
    <row r="702" spans="1:87" ht="14.55" customHeight="1" x14ac:dyDescent="0.3">
      <c r="A702" s="390">
        <v>2630806</v>
      </c>
      <c r="B702" s="5" t="s">
        <v>533</v>
      </c>
      <c r="C702" s="1430" t="s">
        <v>3449</v>
      </c>
      <c r="D702" s="5" t="s">
        <v>534</v>
      </c>
      <c r="E702" s="5" t="s">
        <v>31</v>
      </c>
      <c r="F702" s="5" t="s">
        <v>31</v>
      </c>
      <c r="G702" s="5" t="s">
        <v>549</v>
      </c>
      <c r="H702" s="5" t="s">
        <v>171</v>
      </c>
      <c r="I702" s="5" t="str">
        <f>_xlfn.XLOOKUP(sommaire[[#This Row],[Arrondissement_code]],OCHA_GIS!$F:$F,OCHA_GIS!$E:$E,,)</f>
        <v>Makary</v>
      </c>
      <c r="J702" s="5" t="s">
        <v>634</v>
      </c>
      <c r="K702" t="s">
        <v>1357</v>
      </c>
      <c r="L702" s="5" t="s">
        <v>1279</v>
      </c>
      <c r="N702" s="5" t="s">
        <v>3053</v>
      </c>
      <c r="O702" s="5" t="s">
        <v>2467</v>
      </c>
      <c r="P702" s="5" t="s">
        <v>85</v>
      </c>
      <c r="Q702" s="5" t="s">
        <v>86</v>
      </c>
      <c r="R702" s="5" t="s">
        <v>86</v>
      </c>
      <c r="T702" s="390">
        <v>3</v>
      </c>
      <c r="U702" s="5" t="s">
        <v>97</v>
      </c>
      <c r="W702" s="5" t="s">
        <v>2468</v>
      </c>
      <c r="X702" s="5" t="s">
        <v>102</v>
      </c>
      <c r="AA702" s="5" t="s">
        <v>85</v>
      </c>
      <c r="AB702" s="5" t="s">
        <v>2469</v>
      </c>
      <c r="AC702" s="5" t="s">
        <v>2470</v>
      </c>
      <c r="AD702" s="5" t="s">
        <v>86</v>
      </c>
      <c r="AF702" s="5">
        <v>6</v>
      </c>
      <c r="AG702" s="5">
        <v>150</v>
      </c>
      <c r="AH702" s="5" t="s">
        <v>85</v>
      </c>
      <c r="AI702" s="5" t="s">
        <v>2471</v>
      </c>
      <c r="AJ702" s="5">
        <v>6</v>
      </c>
      <c r="AK702" s="5">
        <v>21</v>
      </c>
      <c r="AL702" s="5">
        <v>12</v>
      </c>
      <c r="AM702" s="5">
        <v>9</v>
      </c>
      <c r="AN702" s="5">
        <v>0</v>
      </c>
      <c r="AO702" s="5">
        <v>6</v>
      </c>
      <c r="AP702" s="5">
        <v>0</v>
      </c>
      <c r="AQ702" s="5">
        <v>0</v>
      </c>
      <c r="AT702" s="5">
        <v>0</v>
      </c>
      <c r="AU702" s="5">
        <v>0</v>
      </c>
      <c r="AX702" s="5">
        <v>0</v>
      </c>
      <c r="AY702" s="5" t="s">
        <v>86</v>
      </c>
      <c r="BN702" s="5" t="s">
        <v>86</v>
      </c>
      <c r="CD702" s="5">
        <v>0</v>
      </c>
      <c r="CF702" s="1442" t="str">
        <f>IF([1]!sommaire[[#This Row],[présence des personnes déplacés interne]]="Oui","1","0")</f>
        <v>1</v>
      </c>
      <c r="CG702" s="1442" t="str">
        <f>IF([1]!sommaire[[#This Row],[présence Réfugié hors camp]]="Oui","1","0")</f>
        <v>0</v>
      </c>
      <c r="CH702" s="1442" t="str">
        <f>IF([1]!sommaire[[#This Row],[présence personnes retournées]]="Oui","1","0")</f>
        <v>0</v>
      </c>
      <c r="CI702" s="1442">
        <f>[1]!sommaire[[#This Row],[Flag PDI]]+[1]!sommaire[[#This Row],[Flag REF]]+[1]!sommaire[[#This Row],[Flag RET]]</f>
        <v>1</v>
      </c>
    </row>
    <row r="703" spans="1:87" ht="14.55" customHeight="1" x14ac:dyDescent="0.3">
      <c r="A703" s="390">
        <v>2657849</v>
      </c>
      <c r="B703" s="5" t="s">
        <v>533</v>
      </c>
      <c r="C703" s="1430" t="s">
        <v>3449</v>
      </c>
      <c r="D703" s="5" t="s">
        <v>534</v>
      </c>
      <c r="E703" s="5" t="s">
        <v>31</v>
      </c>
      <c r="F703" s="5" t="s">
        <v>31</v>
      </c>
      <c r="G703" s="5" t="s">
        <v>549</v>
      </c>
      <c r="H703" s="5" t="s">
        <v>171</v>
      </c>
      <c r="I703" s="5" t="str">
        <f>_xlfn.XLOOKUP(sommaire[[#This Row],[Arrondissement_code]],OCHA_GIS!$F:$F,OCHA_GIS!$E:$E,,)</f>
        <v>Makary</v>
      </c>
      <c r="J703" s="5" t="s">
        <v>634</v>
      </c>
      <c r="K703" t="s">
        <v>1788</v>
      </c>
      <c r="L703" s="5" t="s">
        <v>2628</v>
      </c>
      <c r="N703" s="5" t="s">
        <v>3053</v>
      </c>
      <c r="O703" s="5" t="s">
        <v>2467</v>
      </c>
      <c r="P703" s="5" t="s">
        <v>85</v>
      </c>
      <c r="Q703" s="5" t="s">
        <v>86</v>
      </c>
      <c r="R703" s="5" t="s">
        <v>86</v>
      </c>
      <c r="T703" s="390">
        <v>3</v>
      </c>
      <c r="U703" s="5" t="s">
        <v>97</v>
      </c>
      <c r="W703" s="5" t="s">
        <v>2468</v>
      </c>
      <c r="X703" s="5" t="s">
        <v>103</v>
      </c>
      <c r="Y703" s="5" t="s">
        <v>2476</v>
      </c>
      <c r="AA703" s="5" t="s">
        <v>86</v>
      </c>
      <c r="AH703" s="1430" t="s">
        <v>86</v>
      </c>
      <c r="AY703" s="1430" t="s">
        <v>86</v>
      </c>
      <c r="BN703" s="1430" t="s">
        <v>86</v>
      </c>
      <c r="CF703" s="1442" t="str">
        <f>IF([1]!sommaire[[#This Row],[présence des personnes déplacés interne]]="Oui","1","0")</f>
        <v>0</v>
      </c>
      <c r="CG703" s="1442" t="str">
        <f>IF([1]!sommaire[[#This Row],[présence Réfugié hors camp]]="Oui","1","0")</f>
        <v>0</v>
      </c>
      <c r="CH703" s="1442" t="str">
        <f>IF([1]!sommaire[[#This Row],[présence personnes retournées]]="Oui","1","0")</f>
        <v>0</v>
      </c>
      <c r="CI703" s="1442">
        <f>[1]!sommaire[[#This Row],[Flag PDI]]+[1]!sommaire[[#This Row],[Flag REF]]+[1]!sommaire[[#This Row],[Flag RET]]</f>
        <v>0</v>
      </c>
    </row>
    <row r="704" spans="1:87" ht="14.55" customHeight="1" x14ac:dyDescent="0.3">
      <c r="A704" s="390">
        <v>2639015</v>
      </c>
      <c r="B704" s="5" t="s">
        <v>533</v>
      </c>
      <c r="C704" s="1430" t="s">
        <v>3449</v>
      </c>
      <c r="D704" s="5" t="s">
        <v>534</v>
      </c>
      <c r="E704" s="5" t="s">
        <v>31</v>
      </c>
      <c r="F704" s="5" t="s">
        <v>31</v>
      </c>
      <c r="G704" s="5" t="s">
        <v>549</v>
      </c>
      <c r="H704" s="5" t="s">
        <v>171</v>
      </c>
      <c r="I704" s="5" t="str">
        <f>_xlfn.XLOOKUP(sommaire[[#This Row],[Arrondissement_code]],OCHA_GIS!$F:$F,OCHA_GIS!$E:$E,,)</f>
        <v>Makary</v>
      </c>
      <c r="J704" s="5" t="s">
        <v>634</v>
      </c>
      <c r="K704" t="s">
        <v>3025</v>
      </c>
      <c r="L704" s="5" t="s">
        <v>906</v>
      </c>
      <c r="N704" s="5" t="s">
        <v>3053</v>
      </c>
      <c r="O704" s="5" t="s">
        <v>2467</v>
      </c>
      <c r="P704" s="5" t="s">
        <v>85</v>
      </c>
      <c r="Q704" s="5" t="s">
        <v>86</v>
      </c>
      <c r="R704" s="5" t="s">
        <v>86</v>
      </c>
      <c r="T704" s="390">
        <v>3</v>
      </c>
      <c r="U704" s="5" t="s">
        <v>97</v>
      </c>
      <c r="W704" s="5" t="s">
        <v>2468</v>
      </c>
      <c r="X704" s="5" t="s">
        <v>102</v>
      </c>
      <c r="AA704" s="5" t="s">
        <v>85</v>
      </c>
      <c r="AB704" s="5" t="s">
        <v>2469</v>
      </c>
      <c r="AC704" s="5" t="s">
        <v>2470</v>
      </c>
      <c r="AD704" s="5" t="s">
        <v>86</v>
      </c>
      <c r="AF704" s="5">
        <v>15</v>
      </c>
      <c r="AG704" s="5">
        <v>1700</v>
      </c>
      <c r="AH704" s="5" t="s">
        <v>85</v>
      </c>
      <c r="AI704" s="5" t="s">
        <v>2471</v>
      </c>
      <c r="AJ704" s="5">
        <v>15</v>
      </c>
      <c r="AK704" s="5">
        <v>100</v>
      </c>
      <c r="AL704" s="5">
        <v>40</v>
      </c>
      <c r="AM704" s="5">
        <v>60</v>
      </c>
      <c r="AN704" s="5">
        <v>6</v>
      </c>
      <c r="AO704" s="5">
        <v>9</v>
      </c>
      <c r="AP704" s="5">
        <v>0</v>
      </c>
      <c r="AQ704" s="5">
        <v>0</v>
      </c>
      <c r="AT704" s="5">
        <v>0</v>
      </c>
      <c r="AU704" s="5">
        <v>0</v>
      </c>
      <c r="AX704" s="5">
        <v>0</v>
      </c>
      <c r="AY704" s="5" t="s">
        <v>85</v>
      </c>
      <c r="AZ704" s="5">
        <v>8</v>
      </c>
      <c r="BA704" s="5">
        <v>130</v>
      </c>
      <c r="BB704" s="5">
        <v>55</v>
      </c>
      <c r="BC704" s="5">
        <v>75</v>
      </c>
      <c r="BD704" s="5">
        <v>8</v>
      </c>
      <c r="BE704" s="5">
        <v>0</v>
      </c>
      <c r="BF704" s="5">
        <v>0</v>
      </c>
      <c r="BH704" s="5">
        <v>0</v>
      </c>
      <c r="BI704" s="5">
        <v>0</v>
      </c>
      <c r="BL704" s="5">
        <v>0</v>
      </c>
      <c r="BM704" s="5">
        <v>0</v>
      </c>
      <c r="BN704" s="5" t="s">
        <v>86</v>
      </c>
      <c r="CD704" s="5">
        <v>0</v>
      </c>
      <c r="CF704" s="1442" t="str">
        <f>IF([1]!sommaire[[#This Row],[présence des personnes déplacés interne]]="Oui","1","0")</f>
        <v>1</v>
      </c>
      <c r="CG704" s="1442" t="str">
        <f>IF([1]!sommaire[[#This Row],[présence Réfugié hors camp]]="Oui","1","0")</f>
        <v>1</v>
      </c>
      <c r="CH704" s="1442" t="str">
        <f>IF([1]!sommaire[[#This Row],[présence personnes retournées]]="Oui","1","0")</f>
        <v>0</v>
      </c>
      <c r="CI704" s="1442">
        <f>[1]!sommaire[[#This Row],[Flag PDI]]+[1]!sommaire[[#This Row],[Flag REF]]+[1]!sommaire[[#This Row],[Flag RET]]</f>
        <v>2</v>
      </c>
    </row>
    <row r="705" spans="1:87" ht="14.55" customHeight="1" x14ac:dyDescent="0.3">
      <c r="A705" s="390">
        <v>2601992</v>
      </c>
      <c r="B705" s="5" t="s">
        <v>533</v>
      </c>
      <c r="C705" s="1430" t="s">
        <v>3449</v>
      </c>
      <c r="D705" s="5" t="s">
        <v>534</v>
      </c>
      <c r="E705" s="5" t="s">
        <v>31</v>
      </c>
      <c r="F705" s="5" t="s">
        <v>31</v>
      </c>
      <c r="G705" s="5" t="s">
        <v>549</v>
      </c>
      <c r="H705" s="5" t="s">
        <v>171</v>
      </c>
      <c r="I705" s="5" t="str">
        <f>_xlfn.XLOOKUP(sommaire[[#This Row],[Arrondissement_code]],OCHA_GIS!$F:$F,OCHA_GIS!$E:$E,,)</f>
        <v>Makary</v>
      </c>
      <c r="J705" s="5" t="s">
        <v>634</v>
      </c>
      <c r="K705" t="s">
        <v>1216</v>
      </c>
      <c r="L705" s="5" t="s">
        <v>1393</v>
      </c>
      <c r="N705" s="5" t="s">
        <v>3053</v>
      </c>
      <c r="O705" s="5" t="s">
        <v>2467</v>
      </c>
      <c r="P705" s="5" t="s">
        <v>85</v>
      </c>
      <c r="Q705" s="5" t="s">
        <v>86</v>
      </c>
      <c r="R705" s="5" t="s">
        <v>86</v>
      </c>
      <c r="T705" s="390">
        <v>3</v>
      </c>
      <c r="U705" s="5" t="s">
        <v>97</v>
      </c>
      <c r="W705" s="5" t="s">
        <v>2468</v>
      </c>
      <c r="X705" s="5" t="s">
        <v>102</v>
      </c>
      <c r="AA705" s="5" t="s">
        <v>85</v>
      </c>
      <c r="AB705" s="5" t="s">
        <v>2469</v>
      </c>
      <c r="AC705" s="5" t="s">
        <v>2470</v>
      </c>
      <c r="AD705" s="5" t="s">
        <v>86</v>
      </c>
      <c r="AF705" s="5">
        <v>21</v>
      </c>
      <c r="AG705" s="5">
        <v>233</v>
      </c>
      <c r="AH705" s="5" t="s">
        <v>85</v>
      </c>
      <c r="AI705" s="5" t="s">
        <v>2471</v>
      </c>
      <c r="AJ705" s="5">
        <v>21</v>
      </c>
      <c r="AK705" s="5">
        <v>90</v>
      </c>
      <c r="AL705" s="5">
        <v>39</v>
      </c>
      <c r="AM705" s="5">
        <v>51</v>
      </c>
      <c r="AN705" s="5">
        <v>0</v>
      </c>
      <c r="AO705" s="5">
        <v>21</v>
      </c>
      <c r="AP705" s="5">
        <v>0</v>
      </c>
      <c r="AQ705" s="5">
        <v>0</v>
      </c>
      <c r="AT705" s="5">
        <v>0</v>
      </c>
      <c r="AU705" s="5">
        <v>0</v>
      </c>
      <c r="AX705" s="5">
        <v>0</v>
      </c>
      <c r="AY705" s="5" t="s">
        <v>86</v>
      </c>
      <c r="BN705" s="5" t="s">
        <v>86</v>
      </c>
      <c r="CD705" s="5">
        <v>0</v>
      </c>
      <c r="CF705" s="1442" t="str">
        <f>IF([1]!sommaire[[#This Row],[présence des personnes déplacés interne]]="Oui","1","0")</f>
        <v>1</v>
      </c>
      <c r="CG705" s="1442" t="str">
        <f>IF([1]!sommaire[[#This Row],[présence Réfugié hors camp]]="Oui","1","0")</f>
        <v>0</v>
      </c>
      <c r="CH705" s="1442" t="str">
        <f>IF([1]!sommaire[[#This Row],[présence personnes retournées]]="Oui","1","0")</f>
        <v>0</v>
      </c>
      <c r="CI705" s="1442">
        <f>[1]!sommaire[[#This Row],[Flag PDI]]+[1]!sommaire[[#This Row],[Flag REF]]+[1]!sommaire[[#This Row],[Flag RET]]</f>
        <v>1</v>
      </c>
    </row>
    <row r="706" spans="1:87" ht="14.55" customHeight="1" x14ac:dyDescent="0.3">
      <c r="A706" s="390">
        <v>2601876</v>
      </c>
      <c r="B706" s="5" t="s">
        <v>533</v>
      </c>
      <c r="C706" s="1430" t="s">
        <v>3449</v>
      </c>
      <c r="D706" s="1090" t="s">
        <v>534</v>
      </c>
      <c r="E706" s="5" t="s">
        <v>31</v>
      </c>
      <c r="F706" s="5" t="s">
        <v>31</v>
      </c>
      <c r="G706" s="5" t="s">
        <v>549</v>
      </c>
      <c r="H706" s="5" t="s">
        <v>172</v>
      </c>
      <c r="I706" s="5" t="str">
        <f>_xlfn.XLOOKUP(sommaire[[#This Row],[Arrondissement_code]],OCHA_GIS!$F:$F,OCHA_GIS!$E:$E,,)</f>
        <v>Waza</v>
      </c>
      <c r="J706" s="5" t="s">
        <v>706</v>
      </c>
      <c r="K706" t="s">
        <v>550</v>
      </c>
      <c r="L706" s="5" t="s">
        <v>3118</v>
      </c>
      <c r="M706" s="5" t="s">
        <v>3118</v>
      </c>
      <c r="N706" s="5" t="s">
        <v>3053</v>
      </c>
      <c r="O706" s="5" t="s">
        <v>2467</v>
      </c>
      <c r="P706" s="5" t="s">
        <v>85</v>
      </c>
      <c r="Q706" s="5" t="s">
        <v>86</v>
      </c>
      <c r="R706" s="5" t="s">
        <v>86</v>
      </c>
      <c r="T706" s="390">
        <v>3</v>
      </c>
      <c r="U706" s="5" t="s">
        <v>97</v>
      </c>
      <c r="W706" s="5" t="s">
        <v>2468</v>
      </c>
      <c r="X706" s="5" t="s">
        <v>102</v>
      </c>
      <c r="AA706" s="586" t="s">
        <v>85</v>
      </c>
      <c r="AB706" s="5" t="s">
        <v>2469</v>
      </c>
      <c r="AC706" s="5" t="s">
        <v>2470</v>
      </c>
      <c r="AD706" s="5" t="s">
        <v>86</v>
      </c>
      <c r="AF706" s="5">
        <v>22</v>
      </c>
      <c r="AG706" s="5">
        <v>500</v>
      </c>
      <c r="AH706" s="5" t="s">
        <v>85</v>
      </c>
      <c r="AI706" s="5" t="s">
        <v>2471</v>
      </c>
      <c r="AJ706" s="5">
        <v>22</v>
      </c>
      <c r="AK706" s="5">
        <v>109</v>
      </c>
      <c r="AL706" s="5">
        <v>38</v>
      </c>
      <c r="AM706" s="5">
        <v>71</v>
      </c>
      <c r="AN706" s="5">
        <v>0</v>
      </c>
      <c r="AO706" s="5">
        <v>0</v>
      </c>
      <c r="AP706" s="5">
        <v>0</v>
      </c>
      <c r="AQ706" s="5">
        <v>0</v>
      </c>
      <c r="AT706" s="5">
        <v>0</v>
      </c>
      <c r="AU706" s="5">
        <v>22</v>
      </c>
      <c r="AV706" s="5" t="s">
        <v>2490</v>
      </c>
      <c r="AX706" s="5">
        <v>0</v>
      </c>
      <c r="AY706" s="5" t="s">
        <v>85</v>
      </c>
      <c r="AZ706" s="5">
        <v>25</v>
      </c>
      <c r="BA706" s="5">
        <v>95</v>
      </c>
      <c r="BB706" s="5">
        <v>40</v>
      </c>
      <c r="BC706" s="5">
        <v>55</v>
      </c>
      <c r="BD706" s="5">
        <v>0</v>
      </c>
      <c r="BE706" s="5">
        <v>0</v>
      </c>
      <c r="BF706" s="5">
        <v>0</v>
      </c>
      <c r="BH706" s="5">
        <v>0</v>
      </c>
      <c r="BI706" s="5">
        <v>25</v>
      </c>
      <c r="BJ706" s="5" t="s">
        <v>2478</v>
      </c>
      <c r="BL706" s="5">
        <v>0</v>
      </c>
      <c r="BM706" s="5">
        <v>25</v>
      </c>
      <c r="BN706" s="5" t="s">
        <v>86</v>
      </c>
      <c r="CD706" s="5">
        <v>0</v>
      </c>
      <c r="CF706" s="1442" t="str">
        <f>IF([1]!sommaire[[#This Row],[présence des personnes déplacés interne]]="Oui","1","0")</f>
        <v>1</v>
      </c>
      <c r="CG706" s="1442" t="str">
        <f>IF([1]!sommaire[[#This Row],[présence Réfugié hors camp]]="Oui","1","0")</f>
        <v>1</v>
      </c>
      <c r="CH706" s="1442" t="str">
        <f>IF([1]!sommaire[[#This Row],[présence personnes retournées]]="Oui","1","0")</f>
        <v>0</v>
      </c>
      <c r="CI706" s="1442">
        <f>[1]!sommaire[[#This Row],[Flag PDI]]+[1]!sommaire[[#This Row],[Flag REF]]+[1]!sommaire[[#This Row],[Flag RET]]</f>
        <v>2</v>
      </c>
    </row>
    <row r="707" spans="1:87" ht="14.55" customHeight="1" x14ac:dyDescent="0.3">
      <c r="A707" s="390">
        <v>2647260</v>
      </c>
      <c r="B707" s="5" t="s">
        <v>533</v>
      </c>
      <c r="C707" s="1430" t="s">
        <v>3449</v>
      </c>
      <c r="D707" s="1090" t="s">
        <v>534</v>
      </c>
      <c r="E707" s="5" t="s">
        <v>31</v>
      </c>
      <c r="F707" s="5" t="s">
        <v>31</v>
      </c>
      <c r="G707" s="5" t="s">
        <v>549</v>
      </c>
      <c r="H707" s="5" t="s">
        <v>172</v>
      </c>
      <c r="I707" s="5" t="str">
        <f>_xlfn.XLOOKUP(sommaire[[#This Row],[Arrondissement_code]],OCHA_GIS!$F:$F,OCHA_GIS!$E:$E,,)</f>
        <v>Waza</v>
      </c>
      <c r="J707" s="5" t="s">
        <v>706</v>
      </c>
      <c r="K707" t="s">
        <v>550</v>
      </c>
      <c r="L707" s="5" t="s">
        <v>3130</v>
      </c>
      <c r="M707" s="5" t="s">
        <v>3130</v>
      </c>
      <c r="N707" s="5" t="s">
        <v>3053</v>
      </c>
      <c r="O707" s="5" t="s">
        <v>2467</v>
      </c>
      <c r="P707" s="5" t="s">
        <v>85</v>
      </c>
      <c r="Q707" s="5" t="s">
        <v>86</v>
      </c>
      <c r="R707" s="5" t="s">
        <v>86</v>
      </c>
      <c r="T707" s="390">
        <v>3</v>
      </c>
      <c r="U707" s="5" t="s">
        <v>99</v>
      </c>
      <c r="V707" s="5" t="s">
        <v>122</v>
      </c>
      <c r="W707" s="5" t="s">
        <v>2468</v>
      </c>
      <c r="X707" s="5" t="s">
        <v>103</v>
      </c>
      <c r="Y707" s="5" t="s">
        <v>2476</v>
      </c>
      <c r="AA707" s="5" t="s">
        <v>86</v>
      </c>
      <c r="AH707" s="1430" t="s">
        <v>86</v>
      </c>
      <c r="AY707" s="1430" t="s">
        <v>86</v>
      </c>
      <c r="BN707" s="1430" t="s">
        <v>86</v>
      </c>
      <c r="CF707" s="1442" t="str">
        <f>IF([1]!sommaire[[#This Row],[présence des personnes déplacés interne]]="Oui","1","0")</f>
        <v>0</v>
      </c>
      <c r="CG707" s="1442" t="str">
        <f>IF([1]!sommaire[[#This Row],[présence Réfugié hors camp]]="Oui","1","0")</f>
        <v>0</v>
      </c>
      <c r="CH707" s="1442" t="str">
        <f>IF([1]!sommaire[[#This Row],[présence personnes retournées]]="Oui","1","0")</f>
        <v>0</v>
      </c>
      <c r="CI707" s="1442">
        <f>[1]!sommaire[[#This Row],[Flag PDI]]+[1]!sommaire[[#This Row],[Flag REF]]+[1]!sommaire[[#This Row],[Flag RET]]</f>
        <v>0</v>
      </c>
    </row>
    <row r="708" spans="1:87" ht="14.55" customHeight="1" x14ac:dyDescent="0.3">
      <c r="A708" s="390">
        <v>2592260</v>
      </c>
      <c r="B708" s="5" t="s">
        <v>533</v>
      </c>
      <c r="C708" s="1430" t="s">
        <v>3449</v>
      </c>
      <c r="D708" s="1090" t="s">
        <v>534</v>
      </c>
      <c r="E708" s="5" t="s">
        <v>31</v>
      </c>
      <c r="F708" s="5" t="s">
        <v>31</v>
      </c>
      <c r="G708" s="5" t="s">
        <v>549</v>
      </c>
      <c r="H708" s="5" t="s">
        <v>172</v>
      </c>
      <c r="I708" s="5" t="str">
        <f>_xlfn.XLOOKUP(sommaire[[#This Row],[Arrondissement_code]],OCHA_GIS!$F:$F,OCHA_GIS!$E:$E,,)</f>
        <v>Waza</v>
      </c>
      <c r="J708" s="5" t="s">
        <v>706</v>
      </c>
      <c r="K708" t="s">
        <v>2812</v>
      </c>
      <c r="L708" s="5" t="s">
        <v>1865</v>
      </c>
      <c r="N708" s="5" t="s">
        <v>3053</v>
      </c>
      <c r="O708" s="5" t="s">
        <v>2467</v>
      </c>
      <c r="P708" s="5" t="s">
        <v>85</v>
      </c>
      <c r="Q708" s="5" t="s">
        <v>86</v>
      </c>
      <c r="R708" s="5" t="s">
        <v>86</v>
      </c>
      <c r="T708" s="390">
        <v>3</v>
      </c>
      <c r="U708" s="5" t="s">
        <v>97</v>
      </c>
      <c r="W708" s="5" t="s">
        <v>2468</v>
      </c>
      <c r="X708" s="5" t="s">
        <v>102</v>
      </c>
      <c r="AA708" s="5" t="s">
        <v>85</v>
      </c>
      <c r="AB708" s="5" t="s">
        <v>2469</v>
      </c>
      <c r="AC708" s="5" t="s">
        <v>2470</v>
      </c>
      <c r="AD708" s="5" t="s">
        <v>86</v>
      </c>
      <c r="AF708" s="5">
        <v>17</v>
      </c>
      <c r="AG708" s="5">
        <v>617</v>
      </c>
      <c r="AH708" s="5" t="s">
        <v>85</v>
      </c>
      <c r="AI708" s="5" t="s">
        <v>2471</v>
      </c>
      <c r="AJ708" s="5">
        <v>17</v>
      </c>
      <c r="AK708" s="5">
        <v>75</v>
      </c>
      <c r="AL708" s="5">
        <v>28</v>
      </c>
      <c r="AM708" s="5">
        <v>47</v>
      </c>
      <c r="AN708" s="5">
        <v>0</v>
      </c>
      <c r="AO708" s="5">
        <v>15</v>
      </c>
      <c r="AP708" s="5">
        <v>0</v>
      </c>
      <c r="AQ708" s="5">
        <v>0</v>
      </c>
      <c r="AT708" s="5">
        <v>0</v>
      </c>
      <c r="AU708" s="5">
        <v>2</v>
      </c>
      <c r="AV708" s="5" t="s">
        <v>2490</v>
      </c>
      <c r="AX708" s="5">
        <v>0</v>
      </c>
      <c r="AY708" s="5" t="s">
        <v>85</v>
      </c>
      <c r="AZ708" s="5">
        <v>9</v>
      </c>
      <c r="BA708" s="5">
        <v>76</v>
      </c>
      <c r="BB708" s="5">
        <v>36</v>
      </c>
      <c r="BC708" s="5">
        <v>40</v>
      </c>
      <c r="BD708" s="5">
        <v>0</v>
      </c>
      <c r="BE708" s="5">
        <v>0</v>
      </c>
      <c r="BF708" s="5">
        <v>0</v>
      </c>
      <c r="BH708" s="5">
        <v>0</v>
      </c>
      <c r="BI708" s="5">
        <v>9</v>
      </c>
      <c r="BJ708" s="5" t="s">
        <v>2490</v>
      </c>
      <c r="BL708" s="5">
        <v>0</v>
      </c>
      <c r="BM708" s="5">
        <v>8</v>
      </c>
      <c r="BN708" s="5" t="s">
        <v>85</v>
      </c>
      <c r="BO708" s="5">
        <v>18</v>
      </c>
      <c r="BP708" s="5">
        <v>166</v>
      </c>
      <c r="BQ708" s="5">
        <v>69</v>
      </c>
      <c r="BR708" s="5">
        <v>97</v>
      </c>
      <c r="BS708" s="5" t="s">
        <v>2535</v>
      </c>
      <c r="BT708" s="5">
        <v>0</v>
      </c>
      <c r="BU708" s="5">
        <v>18</v>
      </c>
      <c r="BV708" s="5">
        <v>0</v>
      </c>
      <c r="BW708" s="5">
        <v>0</v>
      </c>
      <c r="BX708" s="5">
        <v>0</v>
      </c>
      <c r="BZ708" s="5">
        <v>0</v>
      </c>
      <c r="CA708" s="5">
        <v>0</v>
      </c>
      <c r="CC708" s="5">
        <v>0</v>
      </c>
      <c r="CD708" s="5">
        <v>0</v>
      </c>
      <c r="CF708" s="1442" t="str">
        <f>IF([1]!sommaire[[#This Row],[présence des personnes déplacés interne]]="Oui","1","0")</f>
        <v>1</v>
      </c>
      <c r="CG708" s="1442" t="str">
        <f>IF([1]!sommaire[[#This Row],[présence Réfugié hors camp]]="Oui","1","0")</f>
        <v>1</v>
      </c>
      <c r="CH708" s="1442" t="str">
        <f>IF([1]!sommaire[[#This Row],[présence personnes retournées]]="Oui","1","0")</f>
        <v>1</v>
      </c>
      <c r="CI708" s="1442">
        <f>[1]!sommaire[[#This Row],[Flag PDI]]+[1]!sommaire[[#This Row],[Flag REF]]+[1]!sommaire[[#This Row],[Flag RET]]</f>
        <v>3</v>
      </c>
    </row>
    <row r="709" spans="1:87" ht="14.55" customHeight="1" x14ac:dyDescent="0.3">
      <c r="A709" s="390">
        <v>2619946</v>
      </c>
      <c r="B709" s="5" t="s">
        <v>533</v>
      </c>
      <c r="C709" s="1430" t="s">
        <v>3449</v>
      </c>
      <c r="D709" s="1090" t="s">
        <v>534</v>
      </c>
      <c r="E709" s="5" t="s">
        <v>31</v>
      </c>
      <c r="F709" s="5" t="s">
        <v>31</v>
      </c>
      <c r="G709" s="5" t="s">
        <v>549</v>
      </c>
      <c r="H709" s="5" t="s">
        <v>172</v>
      </c>
      <c r="I709" s="5" t="str">
        <f>_xlfn.XLOOKUP(sommaire[[#This Row],[Arrondissement_code]],OCHA_GIS!$F:$F,OCHA_GIS!$E:$E,,)</f>
        <v>Waza</v>
      </c>
      <c r="J709" s="5" t="s">
        <v>706</v>
      </c>
      <c r="K709" t="s">
        <v>2996</v>
      </c>
      <c r="L709" s="5" t="s">
        <v>1039</v>
      </c>
      <c r="N709" s="5" t="s">
        <v>3053</v>
      </c>
      <c r="O709" s="5" t="s">
        <v>2467</v>
      </c>
      <c r="P709" s="5" t="s">
        <v>85</v>
      </c>
      <c r="Q709" s="5" t="s">
        <v>86</v>
      </c>
      <c r="R709" s="5" t="s">
        <v>86</v>
      </c>
      <c r="T709" s="390">
        <v>3</v>
      </c>
      <c r="U709" s="5" t="s">
        <v>97</v>
      </c>
      <c r="W709" s="5" t="s">
        <v>2468</v>
      </c>
      <c r="X709" s="5" t="s">
        <v>103</v>
      </c>
      <c r="Y709" s="5" t="s">
        <v>2476</v>
      </c>
      <c r="AA709" s="5" t="s">
        <v>85</v>
      </c>
      <c r="AB709" s="5" t="s">
        <v>2469</v>
      </c>
      <c r="AC709" s="5" t="s">
        <v>2470</v>
      </c>
      <c r="AD709" s="5" t="s">
        <v>86</v>
      </c>
      <c r="AF709" s="5">
        <v>61</v>
      </c>
      <c r="AG709" s="5">
        <v>398</v>
      </c>
      <c r="AH709" s="5" t="s">
        <v>85</v>
      </c>
      <c r="AI709" s="5" t="s">
        <v>2486</v>
      </c>
      <c r="AJ709" s="5">
        <v>61</v>
      </c>
      <c r="AK709" s="5">
        <v>212</v>
      </c>
      <c r="AL709" s="5">
        <v>95</v>
      </c>
      <c r="AM709" s="5">
        <v>117</v>
      </c>
      <c r="AN709" s="5">
        <v>0</v>
      </c>
      <c r="AO709" s="5">
        <v>39</v>
      </c>
      <c r="AP709" s="5">
        <v>3</v>
      </c>
      <c r="AQ709" s="5">
        <v>0</v>
      </c>
      <c r="AT709" s="5">
        <v>0</v>
      </c>
      <c r="AU709" s="5">
        <v>19</v>
      </c>
      <c r="AV709" s="5" t="s">
        <v>2490</v>
      </c>
      <c r="AX709" s="5">
        <v>0</v>
      </c>
      <c r="AY709" s="5" t="s">
        <v>85</v>
      </c>
      <c r="AZ709" s="5">
        <v>13</v>
      </c>
      <c r="BA709" s="5">
        <v>59</v>
      </c>
      <c r="BB709" s="5">
        <v>25</v>
      </c>
      <c r="BC709" s="5">
        <v>34</v>
      </c>
      <c r="BD709" s="5">
        <v>9</v>
      </c>
      <c r="BE709" s="5">
        <v>0</v>
      </c>
      <c r="BF709" s="5">
        <v>0</v>
      </c>
      <c r="BH709" s="5">
        <v>0</v>
      </c>
      <c r="BI709" s="5">
        <v>4</v>
      </c>
      <c r="BJ709" s="5" t="s">
        <v>2490</v>
      </c>
      <c r="BL709" s="5">
        <v>0</v>
      </c>
      <c r="BM709" s="5">
        <v>13</v>
      </c>
      <c r="BN709" s="5" t="s">
        <v>85</v>
      </c>
      <c r="BO709" s="5">
        <v>20</v>
      </c>
      <c r="BP709" s="5">
        <v>117</v>
      </c>
      <c r="BQ709" s="5">
        <v>49</v>
      </c>
      <c r="BR709" s="5">
        <v>68</v>
      </c>
      <c r="BS709" s="5" t="s">
        <v>2535</v>
      </c>
      <c r="BT709" s="5">
        <v>0</v>
      </c>
      <c r="BU709" s="5">
        <v>20</v>
      </c>
      <c r="BV709" s="5">
        <v>0</v>
      </c>
      <c r="BW709" s="5">
        <v>0</v>
      </c>
      <c r="BX709" s="5">
        <v>0</v>
      </c>
      <c r="BZ709" s="5">
        <v>0</v>
      </c>
      <c r="CA709" s="5">
        <v>0</v>
      </c>
      <c r="CC709" s="5">
        <v>0</v>
      </c>
      <c r="CD709" s="5">
        <v>0</v>
      </c>
      <c r="CF709" s="1442" t="str">
        <f>IF([1]!sommaire[[#This Row],[présence des personnes déplacés interne]]="Oui","1","0")</f>
        <v>1</v>
      </c>
      <c r="CG709" s="1442" t="str">
        <f>IF([1]!sommaire[[#This Row],[présence Réfugié hors camp]]="Oui","1","0")</f>
        <v>1</v>
      </c>
      <c r="CH709" s="1442" t="str">
        <f>IF([1]!sommaire[[#This Row],[présence personnes retournées]]="Oui","1","0")</f>
        <v>1</v>
      </c>
      <c r="CI709" s="1442">
        <f>[1]!sommaire[[#This Row],[Flag PDI]]+[1]!sommaire[[#This Row],[Flag REF]]+[1]!sommaire[[#This Row],[Flag RET]]</f>
        <v>3</v>
      </c>
    </row>
    <row r="710" spans="1:87" ht="14.55" customHeight="1" x14ac:dyDescent="0.3">
      <c r="A710" s="390">
        <v>2632877</v>
      </c>
      <c r="B710" s="5" t="s">
        <v>533</v>
      </c>
      <c r="C710" s="1430" t="s">
        <v>3449</v>
      </c>
      <c r="D710" s="1090" t="s">
        <v>534</v>
      </c>
      <c r="E710" s="5" t="s">
        <v>31</v>
      </c>
      <c r="F710" s="5" t="s">
        <v>31</v>
      </c>
      <c r="G710" s="5" t="s">
        <v>549</v>
      </c>
      <c r="H710" s="5" t="s">
        <v>172</v>
      </c>
      <c r="I710" s="5" t="str">
        <f>_xlfn.XLOOKUP(sommaire[[#This Row],[Arrondissement_code]],OCHA_GIS!$F:$F,OCHA_GIS!$E:$E,,)</f>
        <v>Waza</v>
      </c>
      <c r="J710" s="5" t="s">
        <v>706</v>
      </c>
      <c r="K710" t="s">
        <v>1193</v>
      </c>
      <c r="L710" s="5" t="s">
        <v>1905</v>
      </c>
      <c r="N710" s="5" t="s">
        <v>3053</v>
      </c>
      <c r="O710" s="5" t="s">
        <v>2467</v>
      </c>
      <c r="P710" s="5" t="s">
        <v>85</v>
      </c>
      <c r="Q710" s="5" t="s">
        <v>86</v>
      </c>
      <c r="R710" s="5" t="s">
        <v>86</v>
      </c>
      <c r="T710" s="390">
        <v>3</v>
      </c>
      <c r="U710" s="5" t="s">
        <v>97</v>
      </c>
      <c r="W710" s="5" t="s">
        <v>2468</v>
      </c>
      <c r="X710" s="5" t="s">
        <v>102</v>
      </c>
      <c r="AA710" s="5" t="s">
        <v>85</v>
      </c>
      <c r="AB710" s="5" t="s">
        <v>2473</v>
      </c>
      <c r="AC710" s="5" t="s">
        <v>2470</v>
      </c>
      <c r="AD710" s="5" t="s">
        <v>86</v>
      </c>
      <c r="AF710" s="5">
        <v>11</v>
      </c>
      <c r="AG710" s="5">
        <v>221</v>
      </c>
      <c r="AH710" s="5" t="s">
        <v>85</v>
      </c>
      <c r="AI710" s="5" t="s">
        <v>2471</v>
      </c>
      <c r="AJ710" s="5">
        <v>11</v>
      </c>
      <c r="AK710" s="5">
        <v>66</v>
      </c>
      <c r="AL710" s="5">
        <v>30</v>
      </c>
      <c r="AM710" s="5">
        <v>36</v>
      </c>
      <c r="AN710" s="5">
        <v>0</v>
      </c>
      <c r="AO710" s="5">
        <v>0</v>
      </c>
      <c r="AP710" s="5">
        <v>0</v>
      </c>
      <c r="AQ710" s="5">
        <v>0</v>
      </c>
      <c r="AT710" s="5">
        <v>0</v>
      </c>
      <c r="AU710" s="5">
        <v>11</v>
      </c>
      <c r="AV710" s="5" t="s">
        <v>2490</v>
      </c>
      <c r="AX710" s="5">
        <v>0</v>
      </c>
      <c r="AY710" s="5" t="s">
        <v>86</v>
      </c>
      <c r="BN710" s="5" t="s">
        <v>86</v>
      </c>
      <c r="CD710" s="5">
        <v>0</v>
      </c>
      <c r="CF710" s="1442" t="str">
        <f>IF([1]!sommaire[[#This Row],[présence des personnes déplacés interne]]="Oui","1","0")</f>
        <v>1</v>
      </c>
      <c r="CG710" s="1442" t="str">
        <f>IF([1]!sommaire[[#This Row],[présence Réfugié hors camp]]="Oui","1","0")</f>
        <v>0</v>
      </c>
      <c r="CH710" s="1442" t="str">
        <f>IF([1]!sommaire[[#This Row],[présence personnes retournées]]="Oui","1","0")</f>
        <v>0</v>
      </c>
      <c r="CI710" s="1442">
        <f>[1]!sommaire[[#This Row],[Flag PDI]]+[1]!sommaire[[#This Row],[Flag REF]]+[1]!sommaire[[#This Row],[Flag RET]]</f>
        <v>1</v>
      </c>
    </row>
    <row r="711" spans="1:87" ht="14.55" customHeight="1" x14ac:dyDescent="0.3">
      <c r="A711" s="390">
        <v>2663616</v>
      </c>
      <c r="B711" s="5" t="s">
        <v>533</v>
      </c>
      <c r="C711" s="1430" t="s">
        <v>3449</v>
      </c>
      <c r="D711" s="1090" t="s">
        <v>534</v>
      </c>
      <c r="E711" s="5" t="s">
        <v>31</v>
      </c>
      <c r="F711" s="5" t="s">
        <v>31</v>
      </c>
      <c r="G711" s="5" t="s">
        <v>549</v>
      </c>
      <c r="H711" s="1090" t="s">
        <v>172</v>
      </c>
      <c r="I711" s="1090" t="str">
        <f>_xlfn.XLOOKUP(sommaire[[#This Row],[Arrondissement_code]],OCHA_GIS!$F:$F,OCHA_GIS!$E:$E,,)</f>
        <v>Waza</v>
      </c>
      <c r="J711" s="5" t="s">
        <v>706</v>
      </c>
      <c r="K711" t="s">
        <v>2253</v>
      </c>
      <c r="L711" s="5" t="s">
        <v>2703</v>
      </c>
      <c r="N711" s="5" t="s">
        <v>3053</v>
      </c>
      <c r="O711" s="5" t="s">
        <v>2467</v>
      </c>
      <c r="P711" s="5" t="s">
        <v>85</v>
      </c>
      <c r="Q711" s="5" t="s">
        <v>86</v>
      </c>
      <c r="R711" s="5" t="s">
        <v>86</v>
      </c>
      <c r="T711" s="390">
        <v>3</v>
      </c>
      <c r="U711" s="5" t="s">
        <v>99</v>
      </c>
      <c r="V711" s="5" t="s">
        <v>122</v>
      </c>
      <c r="W711" s="5" t="s">
        <v>2468</v>
      </c>
      <c r="X711" s="5" t="s">
        <v>103</v>
      </c>
      <c r="Y711" s="5" t="s">
        <v>2476</v>
      </c>
      <c r="AA711" s="5" t="s">
        <v>86</v>
      </c>
      <c r="AD711" s="1090"/>
      <c r="AH711" s="1430" t="s">
        <v>86</v>
      </c>
      <c r="AY711" s="1430" t="s">
        <v>86</v>
      </c>
      <c r="BN711" s="1430" t="s">
        <v>86</v>
      </c>
      <c r="CF711" s="1442" t="str">
        <f>IF([1]!sommaire[[#This Row],[présence des personnes déplacés interne]]="Oui","1","0")</f>
        <v>0</v>
      </c>
      <c r="CG711" s="1442" t="str">
        <f>IF([1]!sommaire[[#This Row],[présence Réfugié hors camp]]="Oui","1","0")</f>
        <v>0</v>
      </c>
      <c r="CH711" s="1442" t="str">
        <f>IF([1]!sommaire[[#This Row],[présence personnes retournées]]="Oui","1","0")</f>
        <v>0</v>
      </c>
      <c r="CI711" s="1442">
        <f>[1]!sommaire[[#This Row],[Flag PDI]]+[1]!sommaire[[#This Row],[Flag REF]]+[1]!sommaire[[#This Row],[Flag RET]]</f>
        <v>0</v>
      </c>
    </row>
    <row r="712" spans="1:87" ht="14.55" customHeight="1" x14ac:dyDescent="0.3">
      <c r="A712" s="390">
        <v>2703264</v>
      </c>
      <c r="B712" s="5" t="s">
        <v>533</v>
      </c>
      <c r="C712" s="1430" t="s">
        <v>3449</v>
      </c>
      <c r="D712" s="1090" t="s">
        <v>534</v>
      </c>
      <c r="E712" s="5" t="s">
        <v>31</v>
      </c>
      <c r="F712" s="5" t="s">
        <v>31</v>
      </c>
      <c r="G712" s="5" t="s">
        <v>549</v>
      </c>
      <c r="H712" s="1090" t="s">
        <v>172</v>
      </c>
      <c r="I712" s="1090" t="str">
        <f>_xlfn.XLOOKUP(sommaire[[#This Row],[Arrondissement_code]],OCHA_GIS!$F:$F,OCHA_GIS!$E:$E,,)</f>
        <v>Waza</v>
      </c>
      <c r="J712" s="5" t="s">
        <v>706</v>
      </c>
      <c r="K712" t="s">
        <v>2821</v>
      </c>
      <c r="L712" s="5" t="s">
        <v>2250</v>
      </c>
      <c r="N712" s="5" t="s">
        <v>3053</v>
      </c>
      <c r="O712" s="5" t="s">
        <v>2467</v>
      </c>
      <c r="P712" s="5" t="s">
        <v>85</v>
      </c>
      <c r="Q712" s="5" t="s">
        <v>86</v>
      </c>
      <c r="R712" s="5" t="s">
        <v>86</v>
      </c>
      <c r="T712" s="390">
        <v>3</v>
      </c>
      <c r="U712" s="5" t="s">
        <v>99</v>
      </c>
      <c r="V712" s="5" t="s">
        <v>122</v>
      </c>
      <c r="W712" s="5" t="s">
        <v>2468</v>
      </c>
      <c r="X712" s="5" t="s">
        <v>102</v>
      </c>
      <c r="AA712" s="5" t="s">
        <v>86</v>
      </c>
      <c r="AH712" s="1430" t="s">
        <v>86</v>
      </c>
      <c r="AY712" s="1430" t="s">
        <v>86</v>
      </c>
      <c r="BN712" s="1430" t="s">
        <v>86</v>
      </c>
      <c r="CF712" s="1442" t="str">
        <f>IF([1]!sommaire[[#This Row],[présence des personnes déplacés interne]]="Oui","1","0")</f>
        <v>0</v>
      </c>
      <c r="CG712" s="1442" t="str">
        <f>IF([1]!sommaire[[#This Row],[présence Réfugié hors camp]]="Oui","1","0")</f>
        <v>0</v>
      </c>
      <c r="CH712" s="1442" t="str">
        <f>IF([1]!sommaire[[#This Row],[présence personnes retournées]]="Oui","1","0")</f>
        <v>0</v>
      </c>
      <c r="CI712" s="1442">
        <f>[1]!sommaire[[#This Row],[Flag PDI]]+[1]!sommaire[[#This Row],[Flag REF]]+[1]!sommaire[[#This Row],[Flag RET]]</f>
        <v>0</v>
      </c>
    </row>
    <row r="713" spans="1:87" ht="14.55" customHeight="1" x14ac:dyDescent="0.3">
      <c r="A713" s="390">
        <v>2645717</v>
      </c>
      <c r="B713" s="5" t="s">
        <v>533</v>
      </c>
      <c r="C713" s="1430" t="s">
        <v>3449</v>
      </c>
      <c r="D713" s="1090" t="s">
        <v>534</v>
      </c>
      <c r="E713" s="5" t="s">
        <v>31</v>
      </c>
      <c r="F713" s="5" t="s">
        <v>31</v>
      </c>
      <c r="G713" s="5" t="s">
        <v>549</v>
      </c>
      <c r="H713" s="5" t="s">
        <v>172</v>
      </c>
      <c r="I713" s="5" t="str">
        <f>_xlfn.XLOOKUP(sommaire[[#This Row],[Arrondissement_code]],OCHA_GIS!$F:$F,OCHA_GIS!$E:$E,,)</f>
        <v>Waza</v>
      </c>
      <c r="J713" s="5" t="s">
        <v>706</v>
      </c>
      <c r="K713" t="s">
        <v>967</v>
      </c>
      <c r="L713" s="5" t="s">
        <v>2132</v>
      </c>
      <c r="N713" s="5" t="s">
        <v>3053</v>
      </c>
      <c r="O713" s="5" t="s">
        <v>2467</v>
      </c>
      <c r="P713" s="5" t="s">
        <v>85</v>
      </c>
      <c r="Q713" s="5" t="s">
        <v>86</v>
      </c>
      <c r="R713" s="5" t="s">
        <v>86</v>
      </c>
      <c r="T713" s="390">
        <v>3</v>
      </c>
      <c r="U713" s="5" t="s">
        <v>97</v>
      </c>
      <c r="W713" s="5" t="s">
        <v>2468</v>
      </c>
      <c r="X713" s="5" t="s">
        <v>102</v>
      </c>
      <c r="AA713" s="5" t="s">
        <v>85</v>
      </c>
      <c r="AB713" s="5" t="s">
        <v>2473</v>
      </c>
      <c r="AC713" s="5" t="s">
        <v>2469</v>
      </c>
      <c r="AD713" s="5" t="s">
        <v>86</v>
      </c>
      <c r="AF713" s="5">
        <v>39</v>
      </c>
      <c r="AG713" s="5">
        <v>504</v>
      </c>
      <c r="AH713" s="5" t="s">
        <v>85</v>
      </c>
      <c r="AI713" s="5" t="s">
        <v>2471</v>
      </c>
      <c r="AJ713" s="5">
        <v>39</v>
      </c>
      <c r="AK713" s="5">
        <v>351</v>
      </c>
      <c r="AL713" s="5">
        <v>153</v>
      </c>
      <c r="AM713" s="5">
        <v>198</v>
      </c>
      <c r="AN713" s="5">
        <v>0</v>
      </c>
      <c r="AO713" s="5">
        <v>0</v>
      </c>
      <c r="AP713" s="5">
        <v>0</v>
      </c>
      <c r="AQ713" s="5">
        <v>0</v>
      </c>
      <c r="AT713" s="5">
        <v>0</v>
      </c>
      <c r="AU713" s="5">
        <v>39</v>
      </c>
      <c r="AV713" s="5" t="s">
        <v>2490</v>
      </c>
      <c r="AX713" s="5">
        <v>0</v>
      </c>
      <c r="AY713" s="5" t="s">
        <v>85</v>
      </c>
      <c r="AZ713" s="5">
        <v>32</v>
      </c>
      <c r="BA713" s="5">
        <v>153</v>
      </c>
      <c r="BB713" s="5">
        <v>66</v>
      </c>
      <c r="BC713" s="5">
        <v>87</v>
      </c>
      <c r="BD713" s="5">
        <v>0</v>
      </c>
      <c r="BE713" s="5">
        <v>0</v>
      </c>
      <c r="BF713" s="5">
        <v>0</v>
      </c>
      <c r="BH713" s="5">
        <v>0</v>
      </c>
      <c r="BI713" s="5">
        <v>32</v>
      </c>
      <c r="BJ713" s="5" t="s">
        <v>2490</v>
      </c>
      <c r="BL713" s="5">
        <v>0</v>
      </c>
      <c r="BM713" s="5">
        <v>32</v>
      </c>
      <c r="BN713" s="5" t="s">
        <v>86</v>
      </c>
      <c r="CD713" s="5">
        <v>0</v>
      </c>
      <c r="CF713" s="1442" t="str">
        <f>IF([1]!sommaire[[#This Row],[présence des personnes déplacés interne]]="Oui","1","0")</f>
        <v>1</v>
      </c>
      <c r="CG713" s="1442" t="str">
        <f>IF([1]!sommaire[[#This Row],[présence Réfugié hors camp]]="Oui","1","0")</f>
        <v>1</v>
      </c>
      <c r="CH713" s="1442" t="str">
        <f>IF([1]!sommaire[[#This Row],[présence personnes retournées]]="Oui","1","0")</f>
        <v>0</v>
      </c>
      <c r="CI713" s="1442">
        <f>[1]!sommaire[[#This Row],[Flag PDI]]+[1]!sommaire[[#This Row],[Flag REF]]+[1]!sommaire[[#This Row],[Flag RET]]</f>
        <v>2</v>
      </c>
    </row>
    <row r="714" spans="1:87" ht="14.55" customHeight="1" x14ac:dyDescent="0.3">
      <c r="A714" s="390">
        <v>2626289</v>
      </c>
      <c r="B714" s="5" t="s">
        <v>533</v>
      </c>
      <c r="C714" s="1430" t="s">
        <v>3449</v>
      </c>
      <c r="D714" s="1090" t="s">
        <v>534</v>
      </c>
      <c r="E714" s="5" t="s">
        <v>31</v>
      </c>
      <c r="F714" s="5" t="s">
        <v>31</v>
      </c>
      <c r="G714" s="5" t="s">
        <v>549</v>
      </c>
      <c r="H714" s="1144" t="s">
        <v>172</v>
      </c>
      <c r="I714" s="1144" t="str">
        <f>_xlfn.XLOOKUP(sommaire[[#This Row],[Arrondissement_code]],OCHA_GIS!$F:$F,OCHA_GIS!$E:$E,,)</f>
        <v>Waza</v>
      </c>
      <c r="J714" s="5" t="s">
        <v>706</v>
      </c>
      <c r="K714" t="s">
        <v>2131</v>
      </c>
      <c r="L714" s="5" t="s">
        <v>1161</v>
      </c>
      <c r="N714" s="5" t="s">
        <v>3053</v>
      </c>
      <c r="O714" s="5" t="s">
        <v>2467</v>
      </c>
      <c r="P714" s="5" t="s">
        <v>85</v>
      </c>
      <c r="Q714" s="5" t="s">
        <v>86</v>
      </c>
      <c r="R714" s="5" t="s">
        <v>86</v>
      </c>
      <c r="T714" s="1190">
        <v>3</v>
      </c>
      <c r="U714" s="5" t="s">
        <v>97</v>
      </c>
      <c r="W714" s="5" t="s">
        <v>2468</v>
      </c>
      <c r="X714" s="5" t="s">
        <v>103</v>
      </c>
      <c r="Y714" s="5" t="s">
        <v>2476</v>
      </c>
      <c r="AA714" s="5" t="s">
        <v>85</v>
      </c>
      <c r="AB714" s="5" t="s">
        <v>2469</v>
      </c>
      <c r="AC714" s="5" t="s">
        <v>2470</v>
      </c>
      <c r="AD714" s="5" t="s">
        <v>86</v>
      </c>
      <c r="AF714" s="5">
        <v>40</v>
      </c>
      <c r="AG714" s="5">
        <v>590</v>
      </c>
      <c r="AH714" s="5" t="s">
        <v>85</v>
      </c>
      <c r="AI714" s="5" t="s">
        <v>2471</v>
      </c>
      <c r="AJ714" s="5">
        <v>40</v>
      </c>
      <c r="AK714" s="5">
        <v>340</v>
      </c>
      <c r="AL714" s="5">
        <v>179</v>
      </c>
      <c r="AM714" s="5">
        <v>161</v>
      </c>
      <c r="AN714" s="5">
        <v>0</v>
      </c>
      <c r="AO714" s="5">
        <v>0</v>
      </c>
      <c r="AP714" s="5">
        <v>0</v>
      </c>
      <c r="AQ714" s="5">
        <v>0</v>
      </c>
      <c r="AT714" s="5">
        <v>0</v>
      </c>
      <c r="AU714" s="5">
        <v>40</v>
      </c>
      <c r="AV714" s="5" t="s">
        <v>2490</v>
      </c>
      <c r="AX714" s="5">
        <v>0</v>
      </c>
      <c r="AY714" s="5" t="s">
        <v>85</v>
      </c>
      <c r="AZ714" s="5">
        <v>47</v>
      </c>
      <c r="BA714" s="5">
        <v>250</v>
      </c>
      <c r="BB714" s="5">
        <v>120</v>
      </c>
      <c r="BC714" s="5">
        <v>130</v>
      </c>
      <c r="BD714" s="5">
        <v>0</v>
      </c>
      <c r="BE714" s="5">
        <v>0</v>
      </c>
      <c r="BF714" s="5">
        <v>0</v>
      </c>
      <c r="BH714" s="5">
        <v>0</v>
      </c>
      <c r="BI714" s="5">
        <v>47</v>
      </c>
      <c r="BJ714" s="5" t="s">
        <v>2490</v>
      </c>
      <c r="BL714" s="5">
        <v>0</v>
      </c>
      <c r="BM714" s="5">
        <v>47</v>
      </c>
      <c r="BN714" s="5" t="s">
        <v>86</v>
      </c>
      <c r="CD714" s="5">
        <v>0</v>
      </c>
      <c r="CF714" s="1442" t="str">
        <f>IF([1]!sommaire[[#This Row],[présence des personnes déplacés interne]]="Oui","1","0")</f>
        <v>1</v>
      </c>
      <c r="CG714" s="1442" t="str">
        <f>IF([1]!sommaire[[#This Row],[présence Réfugié hors camp]]="Oui","1","0")</f>
        <v>1</v>
      </c>
      <c r="CH714" s="1442" t="str">
        <f>IF([1]!sommaire[[#This Row],[présence personnes retournées]]="Oui","1","0")</f>
        <v>0</v>
      </c>
      <c r="CI714" s="1442">
        <f>[1]!sommaire[[#This Row],[Flag PDI]]+[1]!sommaire[[#This Row],[Flag REF]]+[1]!sommaire[[#This Row],[Flag RET]]</f>
        <v>2</v>
      </c>
    </row>
    <row r="715" spans="1:87" ht="14.55" customHeight="1" x14ac:dyDescent="0.3">
      <c r="A715" s="390">
        <v>2610342</v>
      </c>
      <c r="B715" s="5" t="s">
        <v>533</v>
      </c>
      <c r="C715" s="1430" t="s">
        <v>3449</v>
      </c>
      <c r="D715" s="1090" t="s">
        <v>534</v>
      </c>
      <c r="E715" s="5" t="s">
        <v>31</v>
      </c>
      <c r="F715" s="5" t="s">
        <v>31</v>
      </c>
      <c r="G715" s="5" t="s">
        <v>549</v>
      </c>
      <c r="H715" s="5" t="s">
        <v>172</v>
      </c>
      <c r="I715" s="5" t="str">
        <f>_xlfn.XLOOKUP(sommaire[[#This Row],[Arrondissement_code]],OCHA_GIS!$F:$F,OCHA_GIS!$E:$E,,)</f>
        <v>Waza</v>
      </c>
      <c r="J715" s="5" t="s">
        <v>706</v>
      </c>
      <c r="K715" t="s">
        <v>2864</v>
      </c>
      <c r="L715" s="5" t="s">
        <v>2704</v>
      </c>
      <c r="N715" s="5" t="s">
        <v>3053</v>
      </c>
      <c r="O715" s="5" t="s">
        <v>2467</v>
      </c>
      <c r="P715" s="5" t="s">
        <v>86</v>
      </c>
      <c r="Q715" s="5" t="s">
        <v>86</v>
      </c>
      <c r="R715" s="5" t="s">
        <v>85</v>
      </c>
      <c r="U715" s="5" t="s">
        <v>99</v>
      </c>
      <c r="V715" s="5" t="s">
        <v>122</v>
      </c>
      <c r="W715" s="5" t="s">
        <v>2468</v>
      </c>
      <c r="X715" s="5" t="s">
        <v>102</v>
      </c>
      <c r="AA715" s="5" t="s">
        <v>86</v>
      </c>
      <c r="AH715" s="1430" t="s">
        <v>86</v>
      </c>
      <c r="AY715" s="1430" t="s">
        <v>86</v>
      </c>
      <c r="BN715" s="1430" t="s">
        <v>86</v>
      </c>
      <c r="CF715" s="1442" t="str">
        <f>IF([1]!sommaire[[#This Row],[présence des personnes déplacés interne]]="Oui","1","0")</f>
        <v>0</v>
      </c>
      <c r="CG715" s="1442" t="str">
        <f>IF([1]!sommaire[[#This Row],[présence Réfugié hors camp]]="Oui","1","0")</f>
        <v>0</v>
      </c>
      <c r="CH715" s="1442" t="str">
        <f>IF([1]!sommaire[[#This Row],[présence personnes retournées]]="Oui","1","0")</f>
        <v>0</v>
      </c>
      <c r="CI715" s="1442">
        <f>[1]!sommaire[[#This Row],[Flag PDI]]+[1]!sommaire[[#This Row],[Flag REF]]+[1]!sommaire[[#This Row],[Flag RET]]</f>
        <v>0</v>
      </c>
    </row>
    <row r="716" spans="1:87" ht="14.55" customHeight="1" x14ac:dyDescent="0.3">
      <c r="A716" s="390">
        <v>2671683</v>
      </c>
      <c r="B716" s="5" t="s">
        <v>533</v>
      </c>
      <c r="C716" s="1430" t="s">
        <v>3449</v>
      </c>
      <c r="D716" s="1090" t="s">
        <v>534</v>
      </c>
      <c r="E716" s="5" t="s">
        <v>31</v>
      </c>
      <c r="F716" s="5" t="s">
        <v>31</v>
      </c>
      <c r="G716" s="5" t="s">
        <v>549</v>
      </c>
      <c r="H716" s="5" t="s">
        <v>172</v>
      </c>
      <c r="I716" s="5" t="str">
        <f>_xlfn.XLOOKUP(sommaire[[#This Row],[Arrondissement_code]],OCHA_GIS!$F:$F,OCHA_GIS!$E:$E,,)</f>
        <v>Waza</v>
      </c>
      <c r="J716" s="5" t="s">
        <v>706</v>
      </c>
      <c r="K716" t="s">
        <v>2882</v>
      </c>
      <c r="L716" s="5" t="s">
        <v>2699</v>
      </c>
      <c r="N716" s="5" t="s">
        <v>3052</v>
      </c>
      <c r="O716" s="5" t="s">
        <v>2467</v>
      </c>
      <c r="P716" s="5" t="s">
        <v>86</v>
      </c>
      <c r="Q716" s="5" t="s">
        <v>86</v>
      </c>
      <c r="R716" s="5" t="s">
        <v>85</v>
      </c>
      <c r="U716" s="5" t="s">
        <v>99</v>
      </c>
      <c r="V716" s="5" t="s">
        <v>122</v>
      </c>
      <c r="W716" s="5" t="s">
        <v>2468</v>
      </c>
      <c r="X716" s="1090" t="s">
        <v>102</v>
      </c>
      <c r="AA716" s="5" t="s">
        <v>86</v>
      </c>
      <c r="AH716" s="1430" t="s">
        <v>86</v>
      </c>
      <c r="AY716" s="1430" t="s">
        <v>86</v>
      </c>
      <c r="BN716" s="1430" t="s">
        <v>86</v>
      </c>
      <c r="CF716" s="1442" t="str">
        <f>IF([1]!sommaire[[#This Row],[présence des personnes déplacés interne]]="Oui","1","0")</f>
        <v>0</v>
      </c>
      <c r="CG716" s="1442" t="str">
        <f>IF([1]!sommaire[[#This Row],[présence Réfugié hors camp]]="Oui","1","0")</f>
        <v>0</v>
      </c>
      <c r="CH716" s="1442" t="str">
        <f>IF([1]!sommaire[[#This Row],[présence personnes retournées]]="Oui","1","0")</f>
        <v>0</v>
      </c>
      <c r="CI716" s="1442">
        <f>[1]!sommaire[[#This Row],[Flag PDI]]+[1]!sommaire[[#This Row],[Flag REF]]+[1]!sommaire[[#This Row],[Flag RET]]</f>
        <v>0</v>
      </c>
    </row>
    <row r="717" spans="1:87" ht="14.55" customHeight="1" x14ac:dyDescent="0.3">
      <c r="A717" s="390">
        <v>2589509</v>
      </c>
      <c r="B717" s="5" t="s">
        <v>533</v>
      </c>
      <c r="C717" s="1430" t="s">
        <v>3449</v>
      </c>
      <c r="D717" s="1090" t="s">
        <v>534</v>
      </c>
      <c r="E717" s="5" t="s">
        <v>31</v>
      </c>
      <c r="F717" s="5" t="s">
        <v>31</v>
      </c>
      <c r="G717" s="5" t="s">
        <v>549</v>
      </c>
      <c r="H717" s="5" t="s">
        <v>172</v>
      </c>
      <c r="I717" s="5" t="str">
        <f>_xlfn.XLOOKUP(sommaire[[#This Row],[Arrondissement_code]],OCHA_GIS!$F:$F,OCHA_GIS!$E:$E,,)</f>
        <v>Waza</v>
      </c>
      <c r="J717" s="5" t="s">
        <v>706</v>
      </c>
      <c r="K717" t="s">
        <v>2883</v>
      </c>
      <c r="L717" s="5" t="s">
        <v>2162</v>
      </c>
      <c r="N717" s="5" t="s">
        <v>3053</v>
      </c>
      <c r="O717" s="5" t="s">
        <v>2467</v>
      </c>
      <c r="P717" s="5" t="s">
        <v>85</v>
      </c>
      <c r="Q717" s="5" t="s">
        <v>86</v>
      </c>
      <c r="R717" s="5" t="s">
        <v>86</v>
      </c>
      <c r="T717" s="390">
        <v>3</v>
      </c>
      <c r="U717" s="5" t="s">
        <v>97</v>
      </c>
      <c r="W717" s="5" t="s">
        <v>2468</v>
      </c>
      <c r="X717" s="5" t="s">
        <v>102</v>
      </c>
      <c r="AA717" s="5" t="s">
        <v>85</v>
      </c>
      <c r="AB717" s="5" t="s">
        <v>2473</v>
      </c>
      <c r="AC717" s="5" t="s">
        <v>2470</v>
      </c>
      <c r="AD717" s="5" t="s">
        <v>86</v>
      </c>
      <c r="AF717" s="5">
        <v>40</v>
      </c>
      <c r="AG717" s="5">
        <v>267</v>
      </c>
      <c r="AH717" s="5" t="s">
        <v>85</v>
      </c>
      <c r="AI717" s="5" t="s">
        <v>2485</v>
      </c>
      <c r="AJ717" s="5">
        <v>40</v>
      </c>
      <c r="AK717" s="5">
        <v>200</v>
      </c>
      <c r="AL717" s="5">
        <v>96</v>
      </c>
      <c r="AM717" s="5">
        <v>104</v>
      </c>
      <c r="AN717" s="5">
        <v>0</v>
      </c>
      <c r="AO717" s="5">
        <v>0</v>
      </c>
      <c r="AP717" s="5">
        <v>0</v>
      </c>
      <c r="AQ717" s="5">
        <v>0</v>
      </c>
      <c r="AT717" s="5">
        <v>0</v>
      </c>
      <c r="AU717" s="5">
        <v>40</v>
      </c>
      <c r="AV717" s="5" t="s">
        <v>2490</v>
      </c>
      <c r="AX717" s="5">
        <v>0</v>
      </c>
      <c r="AY717" s="1090" t="s">
        <v>85</v>
      </c>
      <c r="AZ717" s="5">
        <v>5</v>
      </c>
      <c r="BA717" s="5">
        <v>43</v>
      </c>
      <c r="BB717" s="5">
        <v>19</v>
      </c>
      <c r="BC717" s="5">
        <v>24</v>
      </c>
      <c r="BD717" s="5">
        <v>0</v>
      </c>
      <c r="BE717" s="5">
        <v>0</v>
      </c>
      <c r="BF717" s="5">
        <v>0</v>
      </c>
      <c r="BH717" s="5">
        <v>0</v>
      </c>
      <c r="BI717" s="5">
        <v>5</v>
      </c>
      <c r="BJ717" s="5" t="s">
        <v>2490</v>
      </c>
      <c r="BL717" s="5">
        <v>0</v>
      </c>
      <c r="BM717" s="5">
        <v>5</v>
      </c>
      <c r="BN717" s="1090" t="s">
        <v>85</v>
      </c>
      <c r="BO717" s="5">
        <v>3</v>
      </c>
      <c r="BP717" s="5">
        <v>24</v>
      </c>
      <c r="BQ717" s="5">
        <v>8</v>
      </c>
      <c r="BR717" s="5">
        <v>16</v>
      </c>
      <c r="BS717" s="5" t="s">
        <v>2535</v>
      </c>
      <c r="BT717" s="5">
        <v>0</v>
      </c>
      <c r="BU717" s="5">
        <v>3</v>
      </c>
      <c r="BV717" s="5">
        <v>0</v>
      </c>
      <c r="BW717" s="5">
        <v>0</v>
      </c>
      <c r="BX717" s="5">
        <v>0</v>
      </c>
      <c r="BZ717" s="5">
        <v>0</v>
      </c>
      <c r="CA717" s="5">
        <v>0</v>
      </c>
      <c r="CC717" s="5">
        <v>0</v>
      </c>
      <c r="CD717" s="5">
        <v>0</v>
      </c>
      <c r="CF717" s="1442" t="str">
        <f>IF([1]!sommaire[[#This Row],[présence des personnes déplacés interne]]="Oui","1","0")</f>
        <v>1</v>
      </c>
      <c r="CG717" s="1442" t="str">
        <f>IF([1]!sommaire[[#This Row],[présence Réfugié hors camp]]="Oui","1","0")</f>
        <v>1</v>
      </c>
      <c r="CH717" s="1442" t="str">
        <f>IF([1]!sommaire[[#This Row],[présence personnes retournées]]="Oui","1","0")</f>
        <v>1</v>
      </c>
      <c r="CI717" s="1442">
        <f>[1]!sommaire[[#This Row],[Flag PDI]]+[1]!sommaire[[#This Row],[Flag REF]]+[1]!sommaire[[#This Row],[Flag RET]]</f>
        <v>3</v>
      </c>
    </row>
    <row r="718" spans="1:87" ht="14.55" customHeight="1" x14ac:dyDescent="0.3">
      <c r="A718" s="390">
        <v>2688814</v>
      </c>
      <c r="B718" s="5" t="s">
        <v>533</v>
      </c>
      <c r="C718" s="1430" t="s">
        <v>3449</v>
      </c>
      <c r="D718" s="1090" t="s">
        <v>534</v>
      </c>
      <c r="E718" s="5" t="s">
        <v>31</v>
      </c>
      <c r="F718" s="5" t="s">
        <v>31</v>
      </c>
      <c r="G718" s="5" t="s">
        <v>549</v>
      </c>
      <c r="H718" s="5" t="s">
        <v>172</v>
      </c>
      <c r="I718" s="5" t="str">
        <f>_xlfn.XLOOKUP(sommaire[[#This Row],[Arrondissement_code]],OCHA_GIS!$F:$F,OCHA_GIS!$E:$E,,)</f>
        <v>Waza</v>
      </c>
      <c r="J718" s="5" t="s">
        <v>706</v>
      </c>
      <c r="K718" t="s">
        <v>2887</v>
      </c>
      <c r="L718" s="5" t="s">
        <v>1165</v>
      </c>
      <c r="N718" s="5" t="s">
        <v>3052</v>
      </c>
      <c r="O718" s="5" t="s">
        <v>2467</v>
      </c>
      <c r="P718" s="5" t="s">
        <v>85</v>
      </c>
      <c r="Q718" s="5" t="s">
        <v>86</v>
      </c>
      <c r="R718" s="5" t="s">
        <v>86</v>
      </c>
      <c r="T718" s="390">
        <v>3</v>
      </c>
      <c r="U718" s="5" t="s">
        <v>97</v>
      </c>
      <c r="W718" s="5" t="s">
        <v>2468</v>
      </c>
      <c r="X718" s="5" t="s">
        <v>102</v>
      </c>
      <c r="AA718" s="5" t="s">
        <v>85</v>
      </c>
      <c r="AB718" s="5" t="s">
        <v>2473</v>
      </c>
      <c r="AC718" s="5" t="s">
        <v>2470</v>
      </c>
      <c r="AD718" s="5" t="s">
        <v>86</v>
      </c>
      <c r="AF718" s="5">
        <v>19</v>
      </c>
      <c r="AG718" s="5">
        <v>416</v>
      </c>
      <c r="AH718" s="5" t="s">
        <v>85</v>
      </c>
      <c r="AI718" s="5" t="s">
        <v>2471</v>
      </c>
      <c r="AJ718" s="5">
        <v>19</v>
      </c>
      <c r="AK718" s="5">
        <v>76</v>
      </c>
      <c r="AL718" s="5">
        <v>32</v>
      </c>
      <c r="AM718" s="5">
        <v>44</v>
      </c>
      <c r="AN718" s="5">
        <v>0</v>
      </c>
      <c r="AO718" s="5">
        <v>0</v>
      </c>
      <c r="AP718" s="5">
        <v>0</v>
      </c>
      <c r="AQ718" s="5">
        <v>0</v>
      </c>
      <c r="AT718" s="5">
        <v>0</v>
      </c>
      <c r="AU718" s="5">
        <v>19</v>
      </c>
      <c r="AV718" s="5" t="s">
        <v>2490</v>
      </c>
      <c r="AX718" s="5">
        <v>0</v>
      </c>
      <c r="AY718" s="5" t="s">
        <v>85</v>
      </c>
      <c r="AZ718" s="5">
        <v>22</v>
      </c>
      <c r="BA718" s="5">
        <v>82</v>
      </c>
      <c r="BB718" s="5">
        <v>39</v>
      </c>
      <c r="BC718" s="5">
        <v>43</v>
      </c>
      <c r="BD718" s="5">
        <v>0</v>
      </c>
      <c r="BE718" s="5">
        <v>0</v>
      </c>
      <c r="BF718" s="5">
        <v>0</v>
      </c>
      <c r="BH718" s="5">
        <v>0</v>
      </c>
      <c r="BI718" s="5">
        <v>22</v>
      </c>
      <c r="BJ718" s="5" t="s">
        <v>2490</v>
      </c>
      <c r="BL718" s="5">
        <v>0</v>
      </c>
      <c r="BM718" s="5">
        <v>22</v>
      </c>
      <c r="BN718" s="5" t="s">
        <v>85</v>
      </c>
      <c r="BO718" s="5">
        <v>17</v>
      </c>
      <c r="BP718" s="5">
        <v>98</v>
      </c>
      <c r="BQ718" s="5">
        <v>45</v>
      </c>
      <c r="BR718" s="5">
        <v>53</v>
      </c>
      <c r="BS718" s="5" t="s">
        <v>2479</v>
      </c>
      <c r="BT718" s="5">
        <v>0</v>
      </c>
      <c r="BU718" s="5">
        <v>17</v>
      </c>
      <c r="BV718" s="5">
        <v>0</v>
      </c>
      <c r="BW718" s="5">
        <v>0</v>
      </c>
      <c r="BX718" s="5">
        <v>0</v>
      </c>
      <c r="BZ718" s="5">
        <v>0</v>
      </c>
      <c r="CA718" s="5">
        <v>0</v>
      </c>
      <c r="CC718" s="5">
        <v>0</v>
      </c>
      <c r="CD718" s="5">
        <v>0</v>
      </c>
      <c r="CF718" s="1442" t="str">
        <f>IF([1]!sommaire[[#This Row],[présence des personnes déplacés interne]]="Oui","1","0")</f>
        <v>1</v>
      </c>
      <c r="CG718" s="1442" t="str">
        <f>IF([1]!sommaire[[#This Row],[présence Réfugié hors camp]]="Oui","1","0")</f>
        <v>1</v>
      </c>
      <c r="CH718" s="1442" t="str">
        <f>IF([1]!sommaire[[#This Row],[présence personnes retournées]]="Oui","1","0")</f>
        <v>1</v>
      </c>
      <c r="CI718" s="1442">
        <f>[1]!sommaire[[#This Row],[Flag PDI]]+[1]!sommaire[[#This Row],[Flag REF]]+[1]!sommaire[[#This Row],[Flag RET]]</f>
        <v>3</v>
      </c>
    </row>
    <row r="719" spans="1:87" ht="14.55" customHeight="1" x14ac:dyDescent="0.3">
      <c r="A719" s="390">
        <v>2584947</v>
      </c>
      <c r="B719" s="5" t="s">
        <v>533</v>
      </c>
      <c r="C719" s="1430" t="s">
        <v>3449</v>
      </c>
      <c r="D719" s="1090" t="s">
        <v>534</v>
      </c>
      <c r="E719" s="5" t="s">
        <v>31</v>
      </c>
      <c r="F719" s="5" t="s">
        <v>31</v>
      </c>
      <c r="G719" s="5" t="s">
        <v>549</v>
      </c>
      <c r="H719" s="5" t="s">
        <v>172</v>
      </c>
      <c r="I719" s="5" t="str">
        <f>_xlfn.XLOOKUP(sommaire[[#This Row],[Arrondissement_code]],OCHA_GIS!$F:$F,OCHA_GIS!$E:$E,,)</f>
        <v>Waza</v>
      </c>
      <c r="J719" s="5" t="s">
        <v>706</v>
      </c>
      <c r="K719" t="s">
        <v>1164</v>
      </c>
      <c r="L719" s="5" t="s">
        <v>1869</v>
      </c>
      <c r="N719" s="5" t="s">
        <v>3053</v>
      </c>
      <c r="O719" s="5" t="s">
        <v>2467</v>
      </c>
      <c r="P719" s="5" t="s">
        <v>85</v>
      </c>
      <c r="Q719" s="5" t="s">
        <v>86</v>
      </c>
      <c r="R719" s="5" t="s">
        <v>86</v>
      </c>
      <c r="T719" s="390">
        <v>3</v>
      </c>
      <c r="U719" s="5" t="s">
        <v>97</v>
      </c>
      <c r="W719" s="5" t="s">
        <v>2468</v>
      </c>
      <c r="X719" s="5" t="s">
        <v>102</v>
      </c>
      <c r="AA719" s="5" t="s">
        <v>85</v>
      </c>
      <c r="AB719" s="5" t="s">
        <v>2473</v>
      </c>
      <c r="AC719" s="5" t="s">
        <v>2469</v>
      </c>
      <c r="AD719" s="5" t="s">
        <v>86</v>
      </c>
      <c r="AF719" s="5">
        <v>20</v>
      </c>
      <c r="AG719" s="5">
        <v>457</v>
      </c>
      <c r="AH719" s="5" t="s">
        <v>85</v>
      </c>
      <c r="AI719" s="5" t="s">
        <v>2471</v>
      </c>
      <c r="AJ719" s="5">
        <v>20</v>
      </c>
      <c r="AK719" s="5">
        <v>55</v>
      </c>
      <c r="AL719" s="5">
        <v>24</v>
      </c>
      <c r="AM719" s="5">
        <v>31</v>
      </c>
      <c r="AN719" s="5">
        <v>0</v>
      </c>
      <c r="AO719" s="5">
        <v>0</v>
      </c>
      <c r="AP719" s="5">
        <v>0</v>
      </c>
      <c r="AQ719" s="5">
        <v>0</v>
      </c>
      <c r="AT719" s="5">
        <v>0</v>
      </c>
      <c r="AU719" s="5">
        <v>20</v>
      </c>
      <c r="AV719" s="5" t="s">
        <v>2490</v>
      </c>
      <c r="AX719" s="5">
        <v>0</v>
      </c>
      <c r="AY719" s="5" t="s">
        <v>85</v>
      </c>
      <c r="AZ719" s="5">
        <v>6</v>
      </c>
      <c r="BA719" s="5">
        <v>22</v>
      </c>
      <c r="BB719" s="5">
        <v>8</v>
      </c>
      <c r="BC719" s="5">
        <v>14</v>
      </c>
      <c r="BD719" s="5">
        <v>0</v>
      </c>
      <c r="BE719" s="5">
        <v>0</v>
      </c>
      <c r="BF719" s="5">
        <v>0</v>
      </c>
      <c r="BH719" s="5">
        <v>0</v>
      </c>
      <c r="BI719" s="5">
        <v>6</v>
      </c>
      <c r="BJ719" s="5" t="s">
        <v>2490</v>
      </c>
      <c r="BL719" s="5">
        <v>0</v>
      </c>
      <c r="BM719" s="5">
        <v>6</v>
      </c>
      <c r="BN719" s="5" t="s">
        <v>85</v>
      </c>
      <c r="BO719" s="5">
        <v>62</v>
      </c>
      <c r="BP719" s="5">
        <v>360</v>
      </c>
      <c r="BQ719" s="5">
        <v>160</v>
      </c>
      <c r="BR719" s="5">
        <v>200</v>
      </c>
      <c r="BS719" s="5" t="s">
        <v>2479</v>
      </c>
      <c r="BT719" s="5">
        <v>0</v>
      </c>
      <c r="BU719" s="5">
        <v>62</v>
      </c>
      <c r="BV719" s="5">
        <v>0</v>
      </c>
      <c r="BW719" s="5">
        <v>0</v>
      </c>
      <c r="BX719" s="5">
        <v>0</v>
      </c>
      <c r="BZ719" s="5">
        <v>0</v>
      </c>
      <c r="CA719" s="5">
        <v>0</v>
      </c>
      <c r="CC719" s="5">
        <v>0</v>
      </c>
      <c r="CD719" s="5">
        <v>0</v>
      </c>
      <c r="CF719" s="1442" t="str">
        <f>IF([1]!sommaire[[#This Row],[présence des personnes déplacés interne]]="Oui","1","0")</f>
        <v>1</v>
      </c>
      <c r="CG719" s="1442" t="str">
        <f>IF([1]!sommaire[[#This Row],[présence Réfugié hors camp]]="Oui","1","0")</f>
        <v>1</v>
      </c>
      <c r="CH719" s="1442" t="str">
        <f>IF([1]!sommaire[[#This Row],[présence personnes retournées]]="Oui","1","0")</f>
        <v>1</v>
      </c>
      <c r="CI719" s="1442">
        <f>[1]!sommaire[[#This Row],[Flag PDI]]+[1]!sommaire[[#This Row],[Flag REF]]+[1]!sommaire[[#This Row],[Flag RET]]</f>
        <v>3</v>
      </c>
    </row>
    <row r="720" spans="1:87" ht="14.55" customHeight="1" x14ac:dyDescent="0.3">
      <c r="A720" s="390">
        <v>2592259</v>
      </c>
      <c r="B720" s="5" t="s">
        <v>533</v>
      </c>
      <c r="C720" s="1430" t="s">
        <v>3449</v>
      </c>
      <c r="D720" s="1090" t="s">
        <v>534</v>
      </c>
      <c r="E720" s="5" t="s">
        <v>31</v>
      </c>
      <c r="F720" s="5" t="s">
        <v>31</v>
      </c>
      <c r="G720" s="5" t="s">
        <v>549</v>
      </c>
      <c r="H720" s="5" t="s">
        <v>172</v>
      </c>
      <c r="I720" s="5" t="str">
        <f>_xlfn.XLOOKUP(sommaire[[#This Row],[Arrondissement_code]],OCHA_GIS!$F:$F,OCHA_GIS!$E:$E,,)</f>
        <v>Waza</v>
      </c>
      <c r="J720" s="5" t="s">
        <v>706</v>
      </c>
      <c r="K720" t="s">
        <v>1868</v>
      </c>
      <c r="L720" s="5" t="s">
        <v>1031</v>
      </c>
      <c r="N720" s="5" t="s">
        <v>3053</v>
      </c>
      <c r="O720" s="5" t="s">
        <v>2467</v>
      </c>
      <c r="P720" s="5" t="s">
        <v>85</v>
      </c>
      <c r="Q720" s="5" t="s">
        <v>86</v>
      </c>
      <c r="R720" s="5" t="s">
        <v>86</v>
      </c>
      <c r="T720" s="390">
        <v>3</v>
      </c>
      <c r="U720" s="5" t="s">
        <v>97</v>
      </c>
      <c r="W720" s="5" t="s">
        <v>2468</v>
      </c>
      <c r="X720" s="1090" t="s">
        <v>102</v>
      </c>
      <c r="AA720" s="1090" t="s">
        <v>85</v>
      </c>
      <c r="AB720" s="5" t="s">
        <v>2469</v>
      </c>
      <c r="AC720" s="5" t="s">
        <v>2470</v>
      </c>
      <c r="AD720" s="5" t="s">
        <v>86</v>
      </c>
      <c r="AF720" s="5">
        <v>14</v>
      </c>
      <c r="AG720" s="5">
        <v>452</v>
      </c>
      <c r="AH720" s="5" t="s">
        <v>85</v>
      </c>
      <c r="AI720" s="5" t="s">
        <v>2471</v>
      </c>
      <c r="AJ720" s="5">
        <v>14</v>
      </c>
      <c r="AK720" s="5">
        <v>54</v>
      </c>
      <c r="AL720" s="5">
        <v>23</v>
      </c>
      <c r="AM720" s="5">
        <v>31</v>
      </c>
      <c r="AN720" s="5">
        <v>0</v>
      </c>
      <c r="AO720" s="5">
        <v>13</v>
      </c>
      <c r="AP720" s="5">
        <v>0</v>
      </c>
      <c r="AQ720" s="5">
        <v>0</v>
      </c>
      <c r="AT720" s="5">
        <v>0</v>
      </c>
      <c r="AU720" s="5">
        <v>1</v>
      </c>
      <c r="AV720" s="5" t="s">
        <v>2474</v>
      </c>
      <c r="AX720" s="5">
        <v>0</v>
      </c>
      <c r="AY720" s="1090" t="s">
        <v>85</v>
      </c>
      <c r="AZ720" s="5">
        <v>17</v>
      </c>
      <c r="BA720" s="5">
        <v>64</v>
      </c>
      <c r="BB720" s="5">
        <v>26</v>
      </c>
      <c r="BC720" s="5">
        <v>38</v>
      </c>
      <c r="BD720" s="5">
        <v>17</v>
      </c>
      <c r="BE720" s="5">
        <v>0</v>
      </c>
      <c r="BF720" s="5">
        <v>0</v>
      </c>
      <c r="BH720" s="5">
        <v>0</v>
      </c>
      <c r="BI720" s="5">
        <v>0</v>
      </c>
      <c r="BL720" s="5">
        <v>0</v>
      </c>
      <c r="BM720" s="5">
        <v>17</v>
      </c>
      <c r="BN720" s="1090" t="s">
        <v>85</v>
      </c>
      <c r="BO720" s="5">
        <v>40</v>
      </c>
      <c r="BP720" s="5">
        <v>206</v>
      </c>
      <c r="BQ720" s="5">
        <v>87</v>
      </c>
      <c r="BR720" s="5">
        <v>119</v>
      </c>
      <c r="BS720" s="5" t="s">
        <v>2492</v>
      </c>
      <c r="BT720" s="5">
        <v>0</v>
      </c>
      <c r="BU720" s="5">
        <v>40</v>
      </c>
      <c r="BV720" s="5">
        <v>0</v>
      </c>
      <c r="BW720" s="5">
        <v>0</v>
      </c>
      <c r="BX720" s="5">
        <v>0</v>
      </c>
      <c r="BZ720" s="5">
        <v>0</v>
      </c>
      <c r="CA720" s="5">
        <v>0</v>
      </c>
      <c r="CC720" s="5">
        <v>0</v>
      </c>
      <c r="CD720" s="5">
        <v>0</v>
      </c>
      <c r="CF720" s="1442" t="str">
        <f>IF([1]!sommaire[[#This Row],[présence des personnes déplacés interne]]="Oui","1","0")</f>
        <v>1</v>
      </c>
      <c r="CG720" s="1442" t="str">
        <f>IF([1]!sommaire[[#This Row],[présence Réfugié hors camp]]="Oui","1","0")</f>
        <v>1</v>
      </c>
      <c r="CH720" s="1442" t="str">
        <f>IF([1]!sommaire[[#This Row],[présence personnes retournées]]="Oui","1","0")</f>
        <v>1</v>
      </c>
      <c r="CI720" s="1442">
        <f>[1]!sommaire[[#This Row],[Flag PDI]]+[1]!sommaire[[#This Row],[Flag REF]]+[1]!sommaire[[#This Row],[Flag RET]]</f>
        <v>3</v>
      </c>
    </row>
    <row r="721" spans="1:87" ht="14.55" customHeight="1" x14ac:dyDescent="0.3">
      <c r="A721" s="390">
        <v>2668039</v>
      </c>
      <c r="B721" s="5" t="s">
        <v>533</v>
      </c>
      <c r="C721" s="1430" t="s">
        <v>3449</v>
      </c>
      <c r="D721" s="1090" t="s">
        <v>534</v>
      </c>
      <c r="E721" s="5" t="s">
        <v>31</v>
      </c>
      <c r="F721" s="5" t="s">
        <v>31</v>
      </c>
      <c r="G721" s="5" t="s">
        <v>549</v>
      </c>
      <c r="H721" s="5" t="s">
        <v>172</v>
      </c>
      <c r="I721" s="5" t="str">
        <f>_xlfn.XLOOKUP(sommaire[[#This Row],[Arrondissement_code]],OCHA_GIS!$F:$F,OCHA_GIS!$E:$E,,)</f>
        <v>Waza</v>
      </c>
      <c r="J721" s="5" t="s">
        <v>706</v>
      </c>
      <c r="K721" t="s">
        <v>1125</v>
      </c>
      <c r="L721" s="5" t="s">
        <v>2705</v>
      </c>
      <c r="N721" s="5" t="s">
        <v>3053</v>
      </c>
      <c r="O721" s="5" t="s">
        <v>2467</v>
      </c>
      <c r="P721" s="5" t="s">
        <v>85</v>
      </c>
      <c r="Q721" s="5" t="s">
        <v>86</v>
      </c>
      <c r="R721" s="5" t="s">
        <v>86</v>
      </c>
      <c r="T721" s="390">
        <v>3</v>
      </c>
      <c r="U721" s="5" t="s">
        <v>99</v>
      </c>
      <c r="V721" s="5" t="s">
        <v>122</v>
      </c>
      <c r="W721" s="5" t="s">
        <v>2468</v>
      </c>
      <c r="X721" s="5" t="s">
        <v>102</v>
      </c>
      <c r="AA721" s="5" t="s">
        <v>86</v>
      </c>
      <c r="AH721" s="1430" t="s">
        <v>86</v>
      </c>
      <c r="AY721" s="1430" t="s">
        <v>86</v>
      </c>
      <c r="BN721" s="1430" t="s">
        <v>86</v>
      </c>
      <c r="CF721" s="1442" t="str">
        <f>IF([1]!sommaire[[#This Row],[présence des personnes déplacés interne]]="Oui","1","0")</f>
        <v>0</v>
      </c>
      <c r="CG721" s="1442" t="str">
        <f>IF([1]!sommaire[[#This Row],[présence Réfugié hors camp]]="Oui","1","0")</f>
        <v>0</v>
      </c>
      <c r="CH721" s="1442" t="str">
        <f>IF([1]!sommaire[[#This Row],[présence personnes retournées]]="Oui","1","0")</f>
        <v>0</v>
      </c>
      <c r="CI721" s="1442">
        <f>[1]!sommaire[[#This Row],[Flag PDI]]+[1]!sommaire[[#This Row],[Flag REF]]+[1]!sommaire[[#This Row],[Flag RET]]</f>
        <v>0</v>
      </c>
    </row>
    <row r="722" spans="1:87" ht="14.55" customHeight="1" x14ac:dyDescent="0.3">
      <c r="A722" s="390">
        <v>2632878</v>
      </c>
      <c r="B722" s="5" t="s">
        <v>533</v>
      </c>
      <c r="C722" s="1430" t="s">
        <v>3449</v>
      </c>
      <c r="D722" s="5" t="s">
        <v>534</v>
      </c>
      <c r="E722" s="5" t="s">
        <v>31</v>
      </c>
      <c r="F722" s="5" t="s">
        <v>31</v>
      </c>
      <c r="G722" s="5" t="s">
        <v>549</v>
      </c>
      <c r="H722" s="5" t="s">
        <v>172</v>
      </c>
      <c r="I722" s="5" t="str">
        <f>_xlfn.XLOOKUP(sommaire[[#This Row],[Arrondissement_code]],OCHA_GIS!$F:$F,OCHA_GIS!$E:$E,,)</f>
        <v>Waza</v>
      </c>
      <c r="J722" s="5" t="s">
        <v>706</v>
      </c>
      <c r="K722" t="s">
        <v>1030</v>
      </c>
      <c r="L722" s="5" t="s">
        <v>1069</v>
      </c>
      <c r="N722" s="5" t="s">
        <v>3053</v>
      </c>
      <c r="O722" s="5" t="s">
        <v>2467</v>
      </c>
      <c r="P722" s="5" t="s">
        <v>85</v>
      </c>
      <c r="Q722" s="5" t="s">
        <v>86</v>
      </c>
      <c r="R722" s="5" t="s">
        <v>86</v>
      </c>
      <c r="T722" s="390">
        <v>3</v>
      </c>
      <c r="U722" s="5" t="s">
        <v>97</v>
      </c>
      <c r="W722" s="5" t="s">
        <v>2468</v>
      </c>
      <c r="X722" s="1090" t="s">
        <v>102</v>
      </c>
      <c r="AA722" s="1090" t="s">
        <v>85</v>
      </c>
      <c r="AB722" s="5" t="s">
        <v>2473</v>
      </c>
      <c r="AC722" s="5" t="s">
        <v>2470</v>
      </c>
      <c r="AD722" s="5" t="s">
        <v>86</v>
      </c>
      <c r="AF722" s="5">
        <v>20</v>
      </c>
      <c r="AG722" s="5">
        <v>1228</v>
      </c>
      <c r="AH722" s="5" t="s">
        <v>85</v>
      </c>
      <c r="AI722" s="5" t="s">
        <v>2471</v>
      </c>
      <c r="AJ722" s="5">
        <v>20</v>
      </c>
      <c r="AK722" s="5">
        <v>99</v>
      </c>
      <c r="AL722" s="5">
        <v>40</v>
      </c>
      <c r="AM722" s="5">
        <v>59</v>
      </c>
      <c r="AN722" s="5">
        <v>0</v>
      </c>
      <c r="AO722" s="5">
        <v>13</v>
      </c>
      <c r="AP722" s="5">
        <v>0</v>
      </c>
      <c r="AQ722" s="5">
        <v>0</v>
      </c>
      <c r="AT722" s="5">
        <v>0</v>
      </c>
      <c r="AU722" s="5">
        <v>7</v>
      </c>
      <c r="AV722" s="5" t="s">
        <v>2490</v>
      </c>
      <c r="AX722" s="5">
        <v>0</v>
      </c>
      <c r="AY722" s="1090" t="s">
        <v>85</v>
      </c>
      <c r="AZ722" s="5">
        <v>40</v>
      </c>
      <c r="BA722" s="5">
        <v>190</v>
      </c>
      <c r="BB722" s="5">
        <v>80</v>
      </c>
      <c r="BC722" s="5">
        <v>110</v>
      </c>
      <c r="BD722" s="5">
        <v>0</v>
      </c>
      <c r="BE722" s="5">
        <v>0</v>
      </c>
      <c r="BF722" s="5">
        <v>0</v>
      </c>
      <c r="BH722" s="5">
        <v>0</v>
      </c>
      <c r="BI722" s="5">
        <v>40</v>
      </c>
      <c r="BJ722" s="5" t="s">
        <v>2490</v>
      </c>
      <c r="BL722" s="5">
        <v>0</v>
      </c>
      <c r="BM722" s="5">
        <v>40</v>
      </c>
      <c r="BN722" s="1090" t="s">
        <v>85</v>
      </c>
      <c r="BO722" s="5">
        <v>100</v>
      </c>
      <c r="BP722" s="5">
        <v>524</v>
      </c>
      <c r="BQ722" s="5">
        <v>200</v>
      </c>
      <c r="BR722" s="5">
        <v>324</v>
      </c>
      <c r="BS722" s="5" t="s">
        <v>2535</v>
      </c>
      <c r="BT722" s="5">
        <v>0</v>
      </c>
      <c r="BU722" s="5">
        <v>100</v>
      </c>
      <c r="BV722" s="5">
        <v>0</v>
      </c>
      <c r="BW722" s="5">
        <v>0</v>
      </c>
      <c r="BX722" s="5">
        <v>0</v>
      </c>
      <c r="BZ722" s="5">
        <v>0</v>
      </c>
      <c r="CA722" s="5">
        <v>0</v>
      </c>
      <c r="CC722" s="5">
        <v>0</v>
      </c>
      <c r="CD722" s="5">
        <v>0</v>
      </c>
      <c r="CF722" s="1442" t="str">
        <f>IF([1]!sommaire[[#This Row],[présence des personnes déplacés interne]]="Oui","1","0")</f>
        <v>1</v>
      </c>
      <c r="CG722" s="1442" t="str">
        <f>IF([1]!sommaire[[#This Row],[présence Réfugié hors camp]]="Oui","1","0")</f>
        <v>1</v>
      </c>
      <c r="CH722" s="1442" t="str">
        <f>IF([1]!sommaire[[#This Row],[présence personnes retournées]]="Oui","1","0")</f>
        <v>1</v>
      </c>
      <c r="CI722" s="1442">
        <f>[1]!sommaire[[#This Row],[Flag PDI]]+[1]!sommaire[[#This Row],[Flag REF]]+[1]!sommaire[[#This Row],[Flag RET]]</f>
        <v>3</v>
      </c>
    </row>
    <row r="723" spans="1:87" ht="14.55" customHeight="1" x14ac:dyDescent="0.3">
      <c r="A723" s="390">
        <v>2601877</v>
      </c>
      <c r="B723" s="5" t="s">
        <v>533</v>
      </c>
      <c r="C723" s="1430" t="s">
        <v>3449</v>
      </c>
      <c r="D723" s="1090" t="s">
        <v>534</v>
      </c>
      <c r="E723" s="5" t="s">
        <v>31</v>
      </c>
      <c r="F723" s="5" t="s">
        <v>31</v>
      </c>
      <c r="G723" s="5" t="s">
        <v>549</v>
      </c>
      <c r="H723" s="5" t="s">
        <v>172</v>
      </c>
      <c r="I723" s="5" t="str">
        <f>_xlfn.XLOOKUP(sommaire[[#This Row],[Arrondissement_code]],OCHA_GIS!$F:$F,OCHA_GIS!$E:$E,,)</f>
        <v>Waza</v>
      </c>
      <c r="J723" s="5" t="s">
        <v>706</v>
      </c>
      <c r="K723" t="s">
        <v>1957</v>
      </c>
      <c r="L723" s="5" t="s">
        <v>2382</v>
      </c>
      <c r="N723" s="5" t="s">
        <v>3053</v>
      </c>
      <c r="O723" s="5" t="s">
        <v>2467</v>
      </c>
      <c r="P723" s="5" t="s">
        <v>85</v>
      </c>
      <c r="Q723" s="5" t="s">
        <v>86</v>
      </c>
      <c r="R723" s="5" t="s">
        <v>86</v>
      </c>
      <c r="T723" s="390">
        <v>3</v>
      </c>
      <c r="U723" s="5" t="s">
        <v>97</v>
      </c>
      <c r="W723" s="5" t="s">
        <v>2482</v>
      </c>
      <c r="AA723" s="5" t="s">
        <v>86</v>
      </c>
      <c r="AH723" s="1430" t="s">
        <v>86</v>
      </c>
      <c r="AY723" s="1430" t="s">
        <v>86</v>
      </c>
      <c r="BN723" s="1430" t="s">
        <v>86</v>
      </c>
      <c r="CF723" s="1442" t="str">
        <f>IF([1]!sommaire[[#This Row],[présence des personnes déplacés interne]]="Oui","1","0")</f>
        <v>0</v>
      </c>
      <c r="CG723" s="1442" t="str">
        <f>IF([1]!sommaire[[#This Row],[présence Réfugié hors camp]]="Oui","1","0")</f>
        <v>0</v>
      </c>
      <c r="CH723" s="1442" t="str">
        <f>IF([1]!sommaire[[#This Row],[présence personnes retournées]]="Oui","1","0")</f>
        <v>0</v>
      </c>
      <c r="CI723" s="1442">
        <f>[1]!sommaire[[#This Row],[Flag PDI]]+[1]!sommaire[[#This Row],[Flag REF]]+[1]!sommaire[[#This Row],[Flag RET]]</f>
        <v>0</v>
      </c>
    </row>
    <row r="724" spans="1:87" ht="14.55" customHeight="1" x14ac:dyDescent="0.3">
      <c r="A724" s="390">
        <v>2610157</v>
      </c>
      <c r="B724" s="5" t="s">
        <v>533</v>
      </c>
      <c r="C724" s="1430" t="s">
        <v>3449</v>
      </c>
      <c r="D724" s="1090" t="s">
        <v>534</v>
      </c>
      <c r="E724" s="5" t="s">
        <v>31</v>
      </c>
      <c r="F724" s="5" t="s">
        <v>31</v>
      </c>
      <c r="G724" s="5" t="s">
        <v>549</v>
      </c>
      <c r="H724" s="5" t="s">
        <v>172</v>
      </c>
      <c r="I724" s="5" t="str">
        <f>_xlfn.XLOOKUP(sommaire[[#This Row],[Arrondissement_code]],OCHA_GIS!$F:$F,OCHA_GIS!$E:$E,,)</f>
        <v>Waza</v>
      </c>
      <c r="J724" s="5" t="s">
        <v>706</v>
      </c>
      <c r="K724" t="s">
        <v>2925</v>
      </c>
      <c r="L724" s="5" t="s">
        <v>2701</v>
      </c>
      <c r="N724" s="5" t="s">
        <v>3053</v>
      </c>
      <c r="O724" s="5" t="s">
        <v>2467</v>
      </c>
      <c r="P724" s="5" t="s">
        <v>86</v>
      </c>
      <c r="Q724" s="5" t="s">
        <v>86</v>
      </c>
      <c r="R724" s="5" t="s">
        <v>85</v>
      </c>
      <c r="U724" s="5" t="s">
        <v>98</v>
      </c>
      <c r="W724" s="5" t="s">
        <v>2482</v>
      </c>
      <c r="X724" s="1090"/>
      <c r="AA724" s="5" t="s">
        <v>86</v>
      </c>
      <c r="AH724" s="1430" t="s">
        <v>86</v>
      </c>
      <c r="AY724" s="1430" t="s">
        <v>86</v>
      </c>
      <c r="BN724" s="1430" t="s">
        <v>86</v>
      </c>
      <c r="CF724" s="1442" t="str">
        <f>IF([1]!sommaire[[#This Row],[présence des personnes déplacés interne]]="Oui","1","0")</f>
        <v>0</v>
      </c>
      <c r="CG724" s="1442" t="str">
        <f>IF([1]!sommaire[[#This Row],[présence Réfugié hors camp]]="Oui","1","0")</f>
        <v>0</v>
      </c>
      <c r="CH724" s="1442" t="str">
        <f>IF([1]!sommaire[[#This Row],[présence personnes retournées]]="Oui","1","0")</f>
        <v>0</v>
      </c>
      <c r="CI724" s="1442">
        <f>[1]!sommaire[[#This Row],[Flag PDI]]+[1]!sommaire[[#This Row],[Flag REF]]+[1]!sommaire[[#This Row],[Flag RET]]</f>
        <v>0</v>
      </c>
    </row>
    <row r="725" spans="1:87" ht="14.55" customHeight="1" x14ac:dyDescent="0.3">
      <c r="A725" s="390">
        <v>2619960</v>
      </c>
      <c r="B725" s="5" t="s">
        <v>533</v>
      </c>
      <c r="C725" s="1430" t="s">
        <v>3449</v>
      </c>
      <c r="D725" s="1090" t="s">
        <v>534</v>
      </c>
      <c r="E725" s="5" t="s">
        <v>31</v>
      </c>
      <c r="F725" s="5" t="s">
        <v>31</v>
      </c>
      <c r="G725" s="5" t="s">
        <v>549</v>
      </c>
      <c r="H725" s="5" t="s">
        <v>172</v>
      </c>
      <c r="I725" s="5" t="str">
        <f>_xlfn.XLOOKUP(sommaire[[#This Row],[Arrondissement_code]],OCHA_GIS!$F:$F,OCHA_GIS!$E:$E,,)</f>
        <v>Waza</v>
      </c>
      <c r="J725" s="5" t="s">
        <v>706</v>
      </c>
      <c r="K725" t="s">
        <v>2698</v>
      </c>
      <c r="L725" s="5" t="s">
        <v>981</v>
      </c>
      <c r="N725" s="5" t="s">
        <v>3053</v>
      </c>
      <c r="O725" s="5" t="s">
        <v>2467</v>
      </c>
      <c r="P725" s="5" t="s">
        <v>85</v>
      </c>
      <c r="Q725" s="5" t="s">
        <v>86</v>
      </c>
      <c r="R725" s="5" t="s">
        <v>86</v>
      </c>
      <c r="T725" s="390">
        <v>3</v>
      </c>
      <c r="U725" s="5" t="s">
        <v>97</v>
      </c>
      <c r="W725" s="5" t="s">
        <v>2468</v>
      </c>
      <c r="X725" s="5" t="s">
        <v>103</v>
      </c>
      <c r="Y725" s="5" t="s">
        <v>2476</v>
      </c>
      <c r="AA725" s="5" t="s">
        <v>85</v>
      </c>
      <c r="AB725" s="5" t="s">
        <v>2473</v>
      </c>
      <c r="AC725" s="5" t="s">
        <v>2470</v>
      </c>
      <c r="AD725" s="1090" t="s">
        <v>85</v>
      </c>
      <c r="AE725" s="5">
        <v>1</v>
      </c>
      <c r="AF725" s="5">
        <v>47</v>
      </c>
      <c r="AG725" s="5">
        <v>269</v>
      </c>
      <c r="AH725" s="5" t="s">
        <v>85</v>
      </c>
      <c r="AI725" s="5" t="s">
        <v>2471</v>
      </c>
      <c r="AJ725" s="5">
        <v>47</v>
      </c>
      <c r="AK725" s="5">
        <v>269</v>
      </c>
      <c r="AL725" s="5">
        <v>164</v>
      </c>
      <c r="AM725" s="5">
        <v>105</v>
      </c>
      <c r="AN725" s="5">
        <v>0</v>
      </c>
      <c r="AO725" s="5">
        <v>0</v>
      </c>
      <c r="AP725" s="5">
        <v>0</v>
      </c>
      <c r="AQ725" s="5">
        <v>0</v>
      </c>
      <c r="AT725" s="5">
        <v>0</v>
      </c>
      <c r="AU725" s="5">
        <v>47</v>
      </c>
      <c r="AV725" s="5" t="s">
        <v>2490</v>
      </c>
      <c r="AX725" s="5">
        <v>0</v>
      </c>
      <c r="AY725" s="5" t="s">
        <v>86</v>
      </c>
      <c r="BN725" s="5" t="s">
        <v>86</v>
      </c>
      <c r="CD725" s="5">
        <v>0</v>
      </c>
      <c r="CF725" s="1442" t="str">
        <f>IF([1]!sommaire[[#This Row],[présence des personnes déplacés interne]]="Oui","1","0")</f>
        <v>1</v>
      </c>
      <c r="CG725" s="1442" t="str">
        <f>IF([1]!sommaire[[#This Row],[présence Réfugié hors camp]]="Oui","1","0")</f>
        <v>0</v>
      </c>
      <c r="CH725" s="1442" t="str">
        <f>IF([1]!sommaire[[#This Row],[présence personnes retournées]]="Oui","1","0")</f>
        <v>0</v>
      </c>
      <c r="CI725" s="1442">
        <f>[1]!sommaire[[#This Row],[Flag PDI]]+[1]!sommaire[[#This Row],[Flag REF]]+[1]!sommaire[[#This Row],[Flag RET]]</f>
        <v>1</v>
      </c>
    </row>
    <row r="726" spans="1:87" ht="14.55" customHeight="1" x14ac:dyDescent="0.3">
      <c r="A726" s="390">
        <v>2592262</v>
      </c>
      <c r="B726" s="5" t="s">
        <v>533</v>
      </c>
      <c r="C726" s="1430" t="s">
        <v>3449</v>
      </c>
      <c r="D726" s="1090" t="s">
        <v>534</v>
      </c>
      <c r="E726" s="5" t="s">
        <v>31</v>
      </c>
      <c r="F726" s="5" t="s">
        <v>31</v>
      </c>
      <c r="G726" s="5" t="s">
        <v>549</v>
      </c>
      <c r="H726" s="5" t="s">
        <v>172</v>
      </c>
      <c r="I726" s="5" t="str">
        <f>_xlfn.XLOOKUP(sommaire[[#This Row],[Arrondissement_code]],OCHA_GIS!$F:$F,OCHA_GIS!$E:$E,,)</f>
        <v>Waza</v>
      </c>
      <c r="J726" s="5" t="s">
        <v>706</v>
      </c>
      <c r="K726" t="s">
        <v>2943</v>
      </c>
      <c r="L726" s="5" t="s">
        <v>1176</v>
      </c>
      <c r="N726" s="5" t="s">
        <v>3053</v>
      </c>
      <c r="O726" s="5" t="s">
        <v>2467</v>
      </c>
      <c r="P726" s="5" t="s">
        <v>85</v>
      </c>
      <c r="Q726" s="5" t="s">
        <v>86</v>
      </c>
      <c r="R726" s="5" t="s">
        <v>86</v>
      </c>
      <c r="T726" s="390">
        <v>3</v>
      </c>
      <c r="U726" s="5" t="s">
        <v>97</v>
      </c>
      <c r="W726" s="5" t="s">
        <v>2468</v>
      </c>
      <c r="X726" s="5" t="s">
        <v>102</v>
      </c>
      <c r="AA726" s="5" t="s">
        <v>85</v>
      </c>
      <c r="AB726" s="5" t="s">
        <v>2469</v>
      </c>
      <c r="AC726" s="5" t="s">
        <v>2470</v>
      </c>
      <c r="AD726" s="1090" t="s">
        <v>86</v>
      </c>
      <c r="AF726" s="5">
        <v>17</v>
      </c>
      <c r="AG726" s="5">
        <v>405</v>
      </c>
      <c r="AH726" s="5" t="s">
        <v>85</v>
      </c>
      <c r="AI726" s="5" t="s">
        <v>2471</v>
      </c>
      <c r="AJ726" s="5">
        <v>17</v>
      </c>
      <c r="AK726" s="5">
        <v>193</v>
      </c>
      <c r="AL726" s="5">
        <v>85</v>
      </c>
      <c r="AM726" s="5">
        <v>108</v>
      </c>
      <c r="AN726" s="5">
        <v>0</v>
      </c>
      <c r="AO726" s="5">
        <v>10</v>
      </c>
      <c r="AP726" s="5">
        <v>0</v>
      </c>
      <c r="AQ726" s="5">
        <v>0</v>
      </c>
      <c r="AT726" s="5">
        <v>0</v>
      </c>
      <c r="AU726" s="5">
        <v>7</v>
      </c>
      <c r="AV726" s="5" t="s">
        <v>2490</v>
      </c>
      <c r="AX726" s="5">
        <v>0</v>
      </c>
      <c r="AY726" s="5" t="s">
        <v>85</v>
      </c>
      <c r="AZ726" s="5">
        <v>15</v>
      </c>
      <c r="BA726" s="5">
        <v>81</v>
      </c>
      <c r="BB726" s="5">
        <v>35</v>
      </c>
      <c r="BC726" s="5">
        <v>46</v>
      </c>
      <c r="BD726" s="5">
        <v>0</v>
      </c>
      <c r="BE726" s="5">
        <v>0</v>
      </c>
      <c r="BF726" s="5">
        <v>0</v>
      </c>
      <c r="BH726" s="5">
        <v>0</v>
      </c>
      <c r="BI726" s="5">
        <v>15</v>
      </c>
      <c r="BJ726" s="5" t="s">
        <v>2490</v>
      </c>
      <c r="BL726" s="5">
        <v>0</v>
      </c>
      <c r="BM726" s="5">
        <v>12</v>
      </c>
      <c r="BN726" s="5" t="s">
        <v>85</v>
      </c>
      <c r="BO726" s="5">
        <v>2</v>
      </c>
      <c r="BP726" s="5">
        <v>12</v>
      </c>
      <c r="BQ726" s="5">
        <v>5</v>
      </c>
      <c r="BR726" s="5">
        <v>7</v>
      </c>
      <c r="BS726" s="5" t="s">
        <v>2492</v>
      </c>
      <c r="BT726" s="5">
        <v>0</v>
      </c>
      <c r="BU726" s="5">
        <v>2</v>
      </c>
      <c r="BV726" s="5">
        <v>0</v>
      </c>
      <c r="BW726" s="5">
        <v>0</v>
      </c>
      <c r="BX726" s="5">
        <v>0</v>
      </c>
      <c r="BZ726" s="5">
        <v>0</v>
      </c>
      <c r="CA726" s="5">
        <v>0</v>
      </c>
      <c r="CC726" s="5">
        <v>0</v>
      </c>
      <c r="CD726" s="5">
        <v>0</v>
      </c>
      <c r="CF726" s="1442" t="str">
        <f>IF([1]!sommaire[[#This Row],[présence des personnes déplacés interne]]="Oui","1","0")</f>
        <v>1</v>
      </c>
      <c r="CG726" s="1442" t="str">
        <f>IF([1]!sommaire[[#This Row],[présence Réfugié hors camp]]="Oui","1","0")</f>
        <v>1</v>
      </c>
      <c r="CH726" s="1442" t="str">
        <f>IF([1]!sommaire[[#This Row],[présence personnes retournées]]="Oui","1","0")</f>
        <v>1</v>
      </c>
      <c r="CI726" s="1442">
        <f>[1]!sommaire[[#This Row],[Flag PDI]]+[1]!sommaire[[#This Row],[Flag REF]]+[1]!sommaire[[#This Row],[Flag RET]]</f>
        <v>3</v>
      </c>
    </row>
    <row r="727" spans="1:87" ht="14.55" customHeight="1" x14ac:dyDescent="0.3">
      <c r="A727" s="390">
        <v>2591837</v>
      </c>
      <c r="B727" s="5" t="s">
        <v>533</v>
      </c>
      <c r="C727" s="1430" t="s">
        <v>3449</v>
      </c>
      <c r="D727" s="1090" t="s">
        <v>534</v>
      </c>
      <c r="E727" s="5" t="s">
        <v>31</v>
      </c>
      <c r="F727" s="5" t="s">
        <v>31</v>
      </c>
      <c r="G727" s="5" t="s">
        <v>549</v>
      </c>
      <c r="H727" s="5" t="s">
        <v>172</v>
      </c>
      <c r="I727" s="5" t="str">
        <f>_xlfn.XLOOKUP(sommaire[[#This Row],[Arrondissement_code]],OCHA_GIS!$F:$F,OCHA_GIS!$E:$E,,)</f>
        <v>Waza</v>
      </c>
      <c r="J727" s="5" t="s">
        <v>706</v>
      </c>
      <c r="K727" t="s">
        <v>986</v>
      </c>
      <c r="L727" s="5" t="s">
        <v>2254</v>
      </c>
      <c r="N727" s="5" t="s">
        <v>3053</v>
      </c>
      <c r="O727" s="5" t="s">
        <v>2467</v>
      </c>
      <c r="P727" s="5" t="s">
        <v>85</v>
      </c>
      <c r="Q727" s="5" t="s">
        <v>86</v>
      </c>
      <c r="R727" s="5" t="s">
        <v>86</v>
      </c>
      <c r="T727" s="390">
        <v>3</v>
      </c>
      <c r="U727" s="5" t="s">
        <v>97</v>
      </c>
      <c r="W727" s="5" t="s">
        <v>2468</v>
      </c>
      <c r="X727" s="5" t="s">
        <v>102</v>
      </c>
      <c r="AA727" s="5" t="s">
        <v>85</v>
      </c>
      <c r="AB727" s="5" t="s">
        <v>2469</v>
      </c>
      <c r="AC727" s="5" t="s">
        <v>2470</v>
      </c>
      <c r="AD727" s="5" t="s">
        <v>86</v>
      </c>
      <c r="AF727" s="5">
        <v>4</v>
      </c>
      <c r="AG727" s="5">
        <v>107</v>
      </c>
      <c r="AH727" s="5" t="s">
        <v>85</v>
      </c>
      <c r="AI727" s="5" t="s">
        <v>2471</v>
      </c>
      <c r="AJ727" s="5">
        <v>4</v>
      </c>
      <c r="AK727" s="5">
        <v>22</v>
      </c>
      <c r="AL727" s="5">
        <v>8</v>
      </c>
      <c r="AM727" s="5">
        <v>14</v>
      </c>
      <c r="AN727" s="5">
        <v>0</v>
      </c>
      <c r="AO727" s="5">
        <v>0</v>
      </c>
      <c r="AP727" s="5">
        <v>0</v>
      </c>
      <c r="AQ727" s="5">
        <v>0</v>
      </c>
      <c r="AT727" s="5">
        <v>0</v>
      </c>
      <c r="AU727" s="5">
        <v>4</v>
      </c>
      <c r="AV727" s="5" t="s">
        <v>2490</v>
      </c>
      <c r="AX727" s="5">
        <v>0</v>
      </c>
      <c r="AY727" s="5" t="s">
        <v>86</v>
      </c>
      <c r="BN727" s="5" t="s">
        <v>85</v>
      </c>
      <c r="BO727" s="5">
        <v>17</v>
      </c>
      <c r="BP727" s="5">
        <v>85</v>
      </c>
      <c r="BQ727" s="5">
        <v>34</v>
      </c>
      <c r="BR727" s="5">
        <v>51</v>
      </c>
      <c r="BS727" s="5" t="s">
        <v>2535</v>
      </c>
      <c r="BT727" s="5">
        <v>0</v>
      </c>
      <c r="BU727" s="5">
        <v>17</v>
      </c>
      <c r="BV727" s="5">
        <v>0</v>
      </c>
      <c r="BW727" s="5">
        <v>0</v>
      </c>
      <c r="BX727" s="5">
        <v>0</v>
      </c>
      <c r="BZ727" s="5">
        <v>0</v>
      </c>
      <c r="CA727" s="5">
        <v>0</v>
      </c>
      <c r="CC727" s="5">
        <v>0</v>
      </c>
      <c r="CD727" s="5">
        <v>0</v>
      </c>
      <c r="CF727" s="1442" t="str">
        <f>IF([1]!sommaire[[#This Row],[présence des personnes déplacés interne]]="Oui","1","0")</f>
        <v>1</v>
      </c>
      <c r="CG727" s="1442" t="str">
        <f>IF([1]!sommaire[[#This Row],[présence Réfugié hors camp]]="Oui","1","0")</f>
        <v>0</v>
      </c>
      <c r="CH727" s="1442" t="str">
        <f>IF([1]!sommaire[[#This Row],[présence personnes retournées]]="Oui","1","0")</f>
        <v>1</v>
      </c>
      <c r="CI727" s="1442">
        <f>[1]!sommaire[[#This Row],[Flag PDI]]+[1]!sommaire[[#This Row],[Flag REF]]+[1]!sommaire[[#This Row],[Flag RET]]</f>
        <v>2</v>
      </c>
    </row>
    <row r="728" spans="1:87" ht="14.55" customHeight="1" x14ac:dyDescent="0.3">
      <c r="A728" s="390">
        <v>2592261</v>
      </c>
      <c r="B728" s="5" t="s">
        <v>533</v>
      </c>
      <c r="C728" s="1430" t="s">
        <v>3449</v>
      </c>
      <c r="D728" s="1090" t="s">
        <v>534</v>
      </c>
      <c r="E728" s="5" t="s">
        <v>31</v>
      </c>
      <c r="F728" s="5" t="s">
        <v>31</v>
      </c>
      <c r="G728" s="5" t="s">
        <v>549</v>
      </c>
      <c r="H728" s="5" t="s">
        <v>172</v>
      </c>
      <c r="I728" s="5" t="str">
        <f>_xlfn.XLOOKUP(sommaire[[#This Row],[Arrondissement_code]],OCHA_GIS!$F:$F,OCHA_GIS!$E:$E,,)</f>
        <v>Waza</v>
      </c>
      <c r="J728" s="5" t="s">
        <v>706</v>
      </c>
      <c r="K728" t="s">
        <v>2957</v>
      </c>
      <c r="L728" s="5" t="s">
        <v>1909</v>
      </c>
      <c r="N728" s="5" t="s">
        <v>3053</v>
      </c>
      <c r="O728" s="5" t="s">
        <v>2467</v>
      </c>
      <c r="P728" s="5" t="s">
        <v>85</v>
      </c>
      <c r="Q728" s="5" t="s">
        <v>86</v>
      </c>
      <c r="R728" s="5" t="s">
        <v>86</v>
      </c>
      <c r="T728" s="390">
        <v>3</v>
      </c>
      <c r="U728" s="5" t="s">
        <v>97</v>
      </c>
      <c r="W728" s="5" t="s">
        <v>2468</v>
      </c>
      <c r="X728" s="5" t="s">
        <v>102</v>
      </c>
      <c r="AA728" s="5" t="s">
        <v>85</v>
      </c>
      <c r="AB728" s="5" t="s">
        <v>2469</v>
      </c>
      <c r="AC728" s="5" t="s">
        <v>2470</v>
      </c>
      <c r="AD728" s="5" t="s">
        <v>86</v>
      </c>
      <c r="AF728" s="5">
        <v>8</v>
      </c>
      <c r="AG728" s="5">
        <v>347</v>
      </c>
      <c r="AH728" s="5" t="s">
        <v>85</v>
      </c>
      <c r="AI728" s="5" t="s">
        <v>2471</v>
      </c>
      <c r="AJ728" s="5">
        <v>8</v>
      </c>
      <c r="AK728" s="5">
        <v>64</v>
      </c>
      <c r="AL728" s="5">
        <v>19</v>
      </c>
      <c r="AM728" s="5">
        <v>45</v>
      </c>
      <c r="AN728" s="5">
        <v>0</v>
      </c>
      <c r="AO728" s="5">
        <v>7</v>
      </c>
      <c r="AP728" s="5">
        <v>0</v>
      </c>
      <c r="AQ728" s="5">
        <v>0</v>
      </c>
      <c r="AT728" s="5">
        <v>0</v>
      </c>
      <c r="AU728" s="5">
        <v>1</v>
      </c>
      <c r="AV728" s="5" t="s">
        <v>2490</v>
      </c>
      <c r="AX728" s="5">
        <v>0</v>
      </c>
      <c r="AY728" s="5" t="s">
        <v>86</v>
      </c>
      <c r="BN728" s="5" t="s">
        <v>85</v>
      </c>
      <c r="BO728" s="5">
        <v>44</v>
      </c>
      <c r="BP728" s="5">
        <v>266</v>
      </c>
      <c r="BQ728" s="5">
        <v>75</v>
      </c>
      <c r="BR728" s="5">
        <v>191</v>
      </c>
      <c r="BS728" s="5" t="s">
        <v>2535</v>
      </c>
      <c r="BT728" s="5">
        <v>0</v>
      </c>
      <c r="BU728" s="5">
        <v>44</v>
      </c>
      <c r="BV728" s="5">
        <v>0</v>
      </c>
      <c r="BW728" s="5">
        <v>0</v>
      </c>
      <c r="BX728" s="5">
        <v>0</v>
      </c>
      <c r="BZ728" s="5">
        <v>0</v>
      </c>
      <c r="CA728" s="5">
        <v>0</v>
      </c>
      <c r="CC728" s="5">
        <v>0</v>
      </c>
      <c r="CD728" s="5">
        <v>0</v>
      </c>
      <c r="CF728" s="1442" t="str">
        <f>IF([1]!sommaire[[#This Row],[présence des personnes déplacés interne]]="Oui","1","0")</f>
        <v>1</v>
      </c>
      <c r="CG728" s="1442" t="str">
        <f>IF([1]!sommaire[[#This Row],[présence Réfugié hors camp]]="Oui","1","0")</f>
        <v>0</v>
      </c>
      <c r="CH728" s="1442" t="str">
        <f>IF([1]!sommaire[[#This Row],[présence personnes retournées]]="Oui","1","0")</f>
        <v>1</v>
      </c>
      <c r="CI728" s="1442">
        <f>[1]!sommaire[[#This Row],[Flag PDI]]+[1]!sommaire[[#This Row],[Flag REF]]+[1]!sommaire[[#This Row],[Flag RET]]</f>
        <v>2</v>
      </c>
    </row>
    <row r="729" spans="1:87" ht="14.55" customHeight="1" x14ac:dyDescent="0.3">
      <c r="A729" s="390">
        <v>2647262</v>
      </c>
      <c r="B729" s="5" t="s">
        <v>533</v>
      </c>
      <c r="C729" s="1430" t="s">
        <v>3449</v>
      </c>
      <c r="D729" s="1090" t="s">
        <v>534</v>
      </c>
      <c r="E729" s="5" t="s">
        <v>31</v>
      </c>
      <c r="F729" s="5" t="s">
        <v>31</v>
      </c>
      <c r="G729" s="5" t="s">
        <v>549</v>
      </c>
      <c r="H729" s="5" t="s">
        <v>172</v>
      </c>
      <c r="I729" s="5" t="str">
        <f>_xlfn.XLOOKUP(sommaire[[#This Row],[Arrondissement_code]],OCHA_GIS!$F:$F,OCHA_GIS!$E:$E,,)</f>
        <v>Waza</v>
      </c>
      <c r="J729" s="5" t="s">
        <v>706</v>
      </c>
      <c r="K729" t="s">
        <v>2161</v>
      </c>
      <c r="L729" s="5" t="s">
        <v>2706</v>
      </c>
      <c r="N729" s="5" t="s">
        <v>3053</v>
      </c>
      <c r="O729" s="5" t="s">
        <v>2467</v>
      </c>
      <c r="P729" s="5" t="s">
        <v>85</v>
      </c>
      <c r="Q729" s="5" t="s">
        <v>86</v>
      </c>
      <c r="R729" s="5" t="s">
        <v>86</v>
      </c>
      <c r="T729" s="390">
        <v>3</v>
      </c>
      <c r="U729" s="5" t="s">
        <v>99</v>
      </c>
      <c r="V729" s="5" t="s">
        <v>122</v>
      </c>
      <c r="W729" s="5" t="s">
        <v>2468</v>
      </c>
      <c r="X729" s="5" t="s">
        <v>103</v>
      </c>
      <c r="Y729" s="5" t="s">
        <v>2476</v>
      </c>
      <c r="AA729" s="5" t="s">
        <v>86</v>
      </c>
      <c r="AH729" s="1430" t="s">
        <v>86</v>
      </c>
      <c r="AY729" s="1430" t="s">
        <v>86</v>
      </c>
      <c r="BN729" s="1430" t="s">
        <v>86</v>
      </c>
      <c r="CF729" s="1442" t="str">
        <f>IF([1]!sommaire[[#This Row],[présence des personnes déplacés interne]]="Oui","1","0")</f>
        <v>0</v>
      </c>
      <c r="CG729" s="1442" t="str">
        <f>IF([1]!sommaire[[#This Row],[présence Réfugié hors camp]]="Oui","1","0")</f>
        <v>0</v>
      </c>
      <c r="CH729" s="1442" t="str">
        <f>IF([1]!sommaire[[#This Row],[présence personnes retournées]]="Oui","1","0")</f>
        <v>0</v>
      </c>
      <c r="CI729" s="1442">
        <f>[1]!sommaire[[#This Row],[Flag PDI]]+[1]!sommaire[[#This Row],[Flag REF]]+[1]!sommaire[[#This Row],[Flag RET]]</f>
        <v>0</v>
      </c>
    </row>
    <row r="730" spans="1:87" ht="14.55" customHeight="1" x14ac:dyDescent="0.3">
      <c r="A730" s="390">
        <v>2703262</v>
      </c>
      <c r="B730" s="5" t="s">
        <v>533</v>
      </c>
      <c r="C730" s="1430" t="s">
        <v>3449</v>
      </c>
      <c r="D730" s="1090" t="s">
        <v>534</v>
      </c>
      <c r="E730" s="5" t="s">
        <v>31</v>
      </c>
      <c r="F730" s="5" t="s">
        <v>31</v>
      </c>
      <c r="G730" s="5" t="s">
        <v>549</v>
      </c>
      <c r="H730" s="5" t="s">
        <v>172</v>
      </c>
      <c r="I730" s="5" t="str">
        <f>_xlfn.XLOOKUP(sommaire[[#This Row],[Arrondissement_code]],OCHA_GIS!$F:$F,OCHA_GIS!$E:$E,,)</f>
        <v>Waza</v>
      </c>
      <c r="J730" s="5" t="s">
        <v>706</v>
      </c>
      <c r="K730" t="s">
        <v>1307</v>
      </c>
      <c r="L730" s="1175" t="s">
        <v>2707</v>
      </c>
      <c r="N730" s="5" t="s">
        <v>3053</v>
      </c>
      <c r="O730" s="5" t="s">
        <v>2467</v>
      </c>
      <c r="P730" s="5" t="s">
        <v>85</v>
      </c>
      <c r="Q730" s="5" t="s">
        <v>86</v>
      </c>
      <c r="R730" s="5" t="s">
        <v>86</v>
      </c>
      <c r="T730" s="390">
        <v>3</v>
      </c>
      <c r="U730" s="5" t="s">
        <v>99</v>
      </c>
      <c r="V730" s="5" t="s">
        <v>122</v>
      </c>
      <c r="W730" s="5" t="s">
        <v>2468</v>
      </c>
      <c r="X730" s="5" t="s">
        <v>102</v>
      </c>
      <c r="AA730" s="5" t="s">
        <v>86</v>
      </c>
      <c r="AH730" s="1430" t="s">
        <v>86</v>
      </c>
      <c r="AY730" s="1430" t="s">
        <v>86</v>
      </c>
      <c r="BN730" s="1430" t="s">
        <v>86</v>
      </c>
      <c r="CF730" s="1442" t="str">
        <f>IF([1]!sommaire[[#This Row],[présence des personnes déplacés interne]]="Oui","1","0")</f>
        <v>0</v>
      </c>
      <c r="CG730" s="1442" t="str">
        <f>IF([1]!sommaire[[#This Row],[présence Réfugié hors camp]]="Oui","1","0")</f>
        <v>0</v>
      </c>
      <c r="CH730" s="1442" t="str">
        <f>IF([1]!sommaire[[#This Row],[présence personnes retournées]]="Oui","1","0")</f>
        <v>0</v>
      </c>
      <c r="CI730" s="1442">
        <f>[1]!sommaire[[#This Row],[Flag PDI]]+[1]!sommaire[[#This Row],[Flag REF]]+[1]!sommaire[[#This Row],[Flag RET]]</f>
        <v>0</v>
      </c>
    </row>
    <row r="731" spans="1:87" ht="14.55" customHeight="1" x14ac:dyDescent="0.3">
      <c r="A731" s="390">
        <v>2668040</v>
      </c>
      <c r="B731" s="5" t="s">
        <v>533</v>
      </c>
      <c r="C731" s="1430" t="s">
        <v>3449</v>
      </c>
      <c r="D731" s="1090" t="s">
        <v>534</v>
      </c>
      <c r="E731" s="5" t="s">
        <v>31</v>
      </c>
      <c r="F731" s="5" t="s">
        <v>31</v>
      </c>
      <c r="G731" s="5" t="s">
        <v>549</v>
      </c>
      <c r="H731" s="5" t="s">
        <v>172</v>
      </c>
      <c r="I731" s="5" t="str">
        <f>_xlfn.XLOOKUP(sommaire[[#This Row],[Arrondissement_code]],OCHA_GIS!$F:$F,OCHA_GIS!$E:$E,,)</f>
        <v>Waza</v>
      </c>
      <c r="J731" s="5" t="s">
        <v>706</v>
      </c>
      <c r="K731" t="s">
        <v>980</v>
      </c>
      <c r="L731" s="5" t="s">
        <v>2708</v>
      </c>
      <c r="N731" s="5" t="s">
        <v>3053</v>
      </c>
      <c r="O731" s="5" t="s">
        <v>2467</v>
      </c>
      <c r="P731" s="5" t="s">
        <v>85</v>
      </c>
      <c r="Q731" s="5" t="s">
        <v>86</v>
      </c>
      <c r="R731" s="5" t="s">
        <v>86</v>
      </c>
      <c r="T731" s="390">
        <v>3</v>
      </c>
      <c r="U731" s="5" t="s">
        <v>99</v>
      </c>
      <c r="V731" s="5" t="s">
        <v>122</v>
      </c>
      <c r="W731" s="5" t="s">
        <v>2468</v>
      </c>
      <c r="X731" s="5" t="s">
        <v>103</v>
      </c>
      <c r="Y731" s="5" t="s">
        <v>2476</v>
      </c>
      <c r="AA731" s="5" t="s">
        <v>86</v>
      </c>
      <c r="AH731" s="1430" t="s">
        <v>86</v>
      </c>
      <c r="AY731" s="1430" t="s">
        <v>86</v>
      </c>
      <c r="BN731" s="1430" t="s">
        <v>86</v>
      </c>
      <c r="CF731" s="1442" t="str">
        <f>IF([1]!sommaire[[#This Row],[présence des personnes déplacés interne]]="Oui","1","0")</f>
        <v>0</v>
      </c>
      <c r="CG731" s="1442" t="str">
        <f>IF([1]!sommaire[[#This Row],[présence Réfugié hors camp]]="Oui","1","0")</f>
        <v>0</v>
      </c>
      <c r="CH731" s="1442" t="str">
        <f>IF([1]!sommaire[[#This Row],[présence personnes retournées]]="Oui","1","0")</f>
        <v>0</v>
      </c>
      <c r="CI731" s="1442">
        <f>[1]!sommaire[[#This Row],[Flag PDI]]+[1]!sommaire[[#This Row],[Flag REF]]+[1]!sommaire[[#This Row],[Flag RET]]</f>
        <v>0</v>
      </c>
    </row>
    <row r="732" spans="1:87" ht="14.55" customHeight="1" x14ac:dyDescent="0.3">
      <c r="A732" s="390">
        <v>2703319</v>
      </c>
      <c r="B732" s="5" t="s">
        <v>533</v>
      </c>
      <c r="C732" s="1430" t="s">
        <v>3449</v>
      </c>
      <c r="D732" s="1090" t="s">
        <v>534</v>
      </c>
      <c r="E732" s="5" t="s">
        <v>31</v>
      </c>
      <c r="F732" s="5" t="s">
        <v>31</v>
      </c>
      <c r="G732" s="5" t="s">
        <v>549</v>
      </c>
      <c r="H732" s="5" t="s">
        <v>172</v>
      </c>
      <c r="I732" s="5" t="str">
        <f>_xlfn.XLOOKUP(sommaire[[#This Row],[Arrondissement_code]],OCHA_GIS!$F:$F,OCHA_GIS!$E:$E,,)</f>
        <v>Waza</v>
      </c>
      <c r="J732" s="5" t="s">
        <v>706</v>
      </c>
      <c r="K732" t="s">
        <v>3095</v>
      </c>
      <c r="L732" s="5" t="s">
        <v>2709</v>
      </c>
      <c r="N732" s="5" t="s">
        <v>3053</v>
      </c>
      <c r="O732" s="5" t="s">
        <v>2467</v>
      </c>
      <c r="P732" s="5" t="s">
        <v>85</v>
      </c>
      <c r="Q732" s="5" t="s">
        <v>86</v>
      </c>
      <c r="R732" s="5" t="s">
        <v>86</v>
      </c>
      <c r="T732" s="390">
        <v>3</v>
      </c>
      <c r="U732" s="5" t="s">
        <v>99</v>
      </c>
      <c r="V732" s="5" t="s">
        <v>122</v>
      </c>
      <c r="W732" s="5" t="s">
        <v>2468</v>
      </c>
      <c r="X732" s="5" t="s">
        <v>103</v>
      </c>
      <c r="Y732" s="5" t="s">
        <v>2476</v>
      </c>
      <c r="AA732" s="5" t="s">
        <v>86</v>
      </c>
      <c r="AH732" s="1430" t="s">
        <v>86</v>
      </c>
      <c r="AY732" s="1430" t="s">
        <v>86</v>
      </c>
      <c r="BN732" s="1430" t="s">
        <v>86</v>
      </c>
      <c r="CF732" s="1442" t="str">
        <f>IF([1]!sommaire[[#This Row],[présence des personnes déplacés interne]]="Oui","1","0")</f>
        <v>0</v>
      </c>
      <c r="CG732" s="1442" t="str">
        <f>IF([1]!sommaire[[#This Row],[présence Réfugié hors camp]]="Oui","1","0")</f>
        <v>0</v>
      </c>
      <c r="CH732" s="1442" t="str">
        <f>IF([1]!sommaire[[#This Row],[présence personnes retournées]]="Oui","1","0")</f>
        <v>0</v>
      </c>
      <c r="CI732" s="1442">
        <f>[1]!sommaire[[#This Row],[Flag PDI]]+[1]!sommaire[[#This Row],[Flag REF]]+[1]!sommaire[[#This Row],[Flag RET]]</f>
        <v>0</v>
      </c>
    </row>
    <row r="733" spans="1:87" ht="14.55" customHeight="1" x14ac:dyDescent="0.3">
      <c r="A733" s="390">
        <v>2589496</v>
      </c>
      <c r="B733" s="5" t="s">
        <v>533</v>
      </c>
      <c r="C733" s="1430" t="s">
        <v>3449</v>
      </c>
      <c r="D733" s="1090" t="s">
        <v>534</v>
      </c>
      <c r="E733" s="5" t="s">
        <v>31</v>
      </c>
      <c r="F733" s="5" t="s">
        <v>31</v>
      </c>
      <c r="G733" s="5" t="s">
        <v>549</v>
      </c>
      <c r="H733" s="5" t="s">
        <v>172</v>
      </c>
      <c r="I733" s="5" t="str">
        <f>_xlfn.XLOOKUP(sommaire[[#This Row],[Arrondissement_code]],OCHA_GIS!$F:$F,OCHA_GIS!$E:$E,,)</f>
        <v>Waza</v>
      </c>
      <c r="J733" s="5" t="s">
        <v>706</v>
      </c>
      <c r="K733" t="s">
        <v>1068</v>
      </c>
      <c r="L733" s="5" t="s">
        <v>1867</v>
      </c>
      <c r="N733" s="5" t="s">
        <v>3053</v>
      </c>
      <c r="O733" s="5" t="s">
        <v>2467</v>
      </c>
      <c r="P733" s="5" t="s">
        <v>85</v>
      </c>
      <c r="Q733" s="5" t="s">
        <v>86</v>
      </c>
      <c r="R733" s="5" t="s">
        <v>86</v>
      </c>
      <c r="T733" s="390">
        <v>3</v>
      </c>
      <c r="U733" s="5" t="s">
        <v>97</v>
      </c>
      <c r="W733" s="5" t="s">
        <v>2468</v>
      </c>
      <c r="X733" s="5" t="s">
        <v>102</v>
      </c>
      <c r="AA733" s="586" t="s">
        <v>85</v>
      </c>
      <c r="AB733" s="5" t="s">
        <v>2473</v>
      </c>
      <c r="AC733" s="5" t="s">
        <v>2470</v>
      </c>
      <c r="AD733" s="5" t="s">
        <v>86</v>
      </c>
      <c r="AF733" s="5">
        <v>7</v>
      </c>
      <c r="AG733" s="5">
        <v>966</v>
      </c>
      <c r="AH733" s="5" t="s">
        <v>85</v>
      </c>
      <c r="AI733" s="5" t="s">
        <v>2486</v>
      </c>
      <c r="AJ733" s="5">
        <v>7</v>
      </c>
      <c r="AK733" s="5">
        <v>27</v>
      </c>
      <c r="AL733" s="5">
        <v>11</v>
      </c>
      <c r="AM733" s="5">
        <v>16</v>
      </c>
      <c r="AN733" s="5">
        <v>0</v>
      </c>
      <c r="AO733" s="5">
        <v>0</v>
      </c>
      <c r="AP733" s="5">
        <v>0</v>
      </c>
      <c r="AQ733" s="5">
        <v>0</v>
      </c>
      <c r="AT733" s="5">
        <v>0</v>
      </c>
      <c r="AU733" s="5">
        <v>7</v>
      </c>
      <c r="AV733" s="5" t="s">
        <v>2490</v>
      </c>
      <c r="AX733" s="5">
        <v>0</v>
      </c>
      <c r="AY733" s="5" t="s">
        <v>85</v>
      </c>
      <c r="AZ733" s="5">
        <v>7</v>
      </c>
      <c r="BA733" s="5">
        <v>46</v>
      </c>
      <c r="BB733" s="5">
        <v>16</v>
      </c>
      <c r="BC733" s="5">
        <v>30</v>
      </c>
      <c r="BD733" s="5">
        <v>0</v>
      </c>
      <c r="BE733" s="5">
        <v>0</v>
      </c>
      <c r="BF733" s="5">
        <v>0</v>
      </c>
      <c r="BH733" s="5">
        <v>0</v>
      </c>
      <c r="BI733" s="5">
        <v>7</v>
      </c>
      <c r="BJ733" s="5" t="s">
        <v>2478</v>
      </c>
      <c r="BL733" s="5">
        <v>0</v>
      </c>
      <c r="BM733" s="5">
        <v>7</v>
      </c>
      <c r="BN733" s="5" t="s">
        <v>85</v>
      </c>
      <c r="BO733" s="5">
        <v>101</v>
      </c>
      <c r="BP733" s="5">
        <v>533</v>
      </c>
      <c r="BQ733" s="5">
        <v>223</v>
      </c>
      <c r="BR733" s="5">
        <v>310</v>
      </c>
      <c r="BS733" s="5" t="s">
        <v>2492</v>
      </c>
      <c r="BT733" s="5">
        <v>0</v>
      </c>
      <c r="BU733" s="5">
        <v>101</v>
      </c>
      <c r="BV733" s="5">
        <v>0</v>
      </c>
      <c r="BW733" s="5">
        <v>0</v>
      </c>
      <c r="BX733" s="5">
        <v>0</v>
      </c>
      <c r="BZ733" s="5">
        <v>0</v>
      </c>
      <c r="CA733" s="5">
        <v>0</v>
      </c>
      <c r="CC733" s="5">
        <v>0</v>
      </c>
      <c r="CD733" s="5">
        <v>0</v>
      </c>
      <c r="CF733" s="1442" t="str">
        <f>IF([1]!sommaire[[#This Row],[présence des personnes déplacés interne]]="Oui","1","0")</f>
        <v>1</v>
      </c>
      <c r="CG733" s="1442" t="str">
        <f>IF([1]!sommaire[[#This Row],[présence Réfugié hors camp]]="Oui","1","0")</f>
        <v>1</v>
      </c>
      <c r="CH733" s="1442" t="str">
        <f>IF([1]!sommaire[[#This Row],[présence personnes retournées]]="Oui","1","0")</f>
        <v>1</v>
      </c>
      <c r="CI733" s="1442">
        <f>[1]!sommaire[[#This Row],[Flag PDI]]+[1]!sommaire[[#This Row],[Flag REF]]+[1]!sommaire[[#This Row],[Flag RET]]</f>
        <v>3</v>
      </c>
    </row>
    <row r="734" spans="1:87" ht="14.55" customHeight="1" x14ac:dyDescent="0.3">
      <c r="A734" s="390">
        <v>2591836</v>
      </c>
      <c r="B734" s="5" t="s">
        <v>533</v>
      </c>
      <c r="C734" s="1430" t="s">
        <v>3449</v>
      </c>
      <c r="D734" s="5" t="s">
        <v>534</v>
      </c>
      <c r="E734" s="5" t="s">
        <v>31</v>
      </c>
      <c r="F734" s="5" t="s">
        <v>31</v>
      </c>
      <c r="G734" s="5" t="s">
        <v>549</v>
      </c>
      <c r="H734" s="5" t="s">
        <v>172</v>
      </c>
      <c r="I734" s="5" t="str">
        <f>_xlfn.XLOOKUP(sommaire[[#This Row],[Arrondissement_code]],OCHA_GIS!$F:$F,OCHA_GIS!$E:$E,,)</f>
        <v>Waza</v>
      </c>
      <c r="J734" s="5" t="s">
        <v>706</v>
      </c>
      <c r="K734" t="s">
        <v>2249</v>
      </c>
      <c r="L734" s="5" t="s">
        <v>3261</v>
      </c>
      <c r="N734" s="5" t="s">
        <v>3053</v>
      </c>
      <c r="O734" s="5" t="s">
        <v>2473</v>
      </c>
      <c r="P734" s="5" t="s">
        <v>85</v>
      </c>
      <c r="Q734" s="5" t="s">
        <v>86</v>
      </c>
      <c r="R734" s="5" t="s">
        <v>86</v>
      </c>
      <c r="T734" s="390">
        <v>3</v>
      </c>
      <c r="U734" s="5" t="s">
        <v>97</v>
      </c>
      <c r="W734" s="5" t="s">
        <v>2468</v>
      </c>
      <c r="X734" s="5" t="s">
        <v>102</v>
      </c>
      <c r="AA734" s="5" t="s">
        <v>85</v>
      </c>
      <c r="AB734" s="5" t="s">
        <v>2473</v>
      </c>
      <c r="AC734" s="5" t="s">
        <v>2470</v>
      </c>
      <c r="AF734" s="5">
        <v>33</v>
      </c>
      <c r="AG734" s="5">
        <v>494</v>
      </c>
      <c r="AH734" s="5" t="s">
        <v>85</v>
      </c>
      <c r="AI734" s="5" t="s">
        <v>2471</v>
      </c>
      <c r="AJ734" s="5">
        <v>33</v>
      </c>
      <c r="AK734" s="5">
        <v>148</v>
      </c>
      <c r="AL734" s="5">
        <v>68</v>
      </c>
      <c r="AM734" s="5">
        <v>80</v>
      </c>
      <c r="AN734" s="5">
        <v>0</v>
      </c>
      <c r="AO734" s="5">
        <v>0</v>
      </c>
      <c r="AP734" s="5">
        <v>0</v>
      </c>
      <c r="AQ734" s="5">
        <v>0</v>
      </c>
      <c r="AT734" s="5">
        <v>0</v>
      </c>
      <c r="AU734" s="5">
        <v>33</v>
      </c>
      <c r="AV734" s="5" t="s">
        <v>2490</v>
      </c>
      <c r="AX734" s="5">
        <v>0</v>
      </c>
      <c r="AY734" s="5" t="s">
        <v>86</v>
      </c>
      <c r="BN734" s="5" t="s">
        <v>86</v>
      </c>
      <c r="CD734" s="5">
        <v>0</v>
      </c>
      <c r="CF734" s="1442" t="str">
        <f>IF([1]!sommaire[[#This Row],[présence des personnes déplacés interne]]="Oui","1","0")</f>
        <v>1</v>
      </c>
      <c r="CG734" s="1442" t="str">
        <f>IF([1]!sommaire[[#This Row],[présence Réfugié hors camp]]="Oui","1","0")</f>
        <v>0</v>
      </c>
      <c r="CH734" s="1442" t="str">
        <f>IF([1]!sommaire[[#This Row],[présence personnes retournées]]="Oui","1","0")</f>
        <v>0</v>
      </c>
      <c r="CI734" s="1442">
        <f>[1]!sommaire[[#This Row],[Flag PDI]]+[1]!sommaire[[#This Row],[Flag REF]]+[1]!sommaire[[#This Row],[Flag RET]]</f>
        <v>1</v>
      </c>
    </row>
    <row r="735" spans="1:87" ht="14.55" customHeight="1" x14ac:dyDescent="0.3">
      <c r="A735" s="390">
        <v>2591835</v>
      </c>
      <c r="B735" s="5" t="s">
        <v>533</v>
      </c>
      <c r="C735" s="1430" t="s">
        <v>3449</v>
      </c>
      <c r="D735" s="5" t="s">
        <v>534</v>
      </c>
      <c r="E735" s="5" t="s">
        <v>31</v>
      </c>
      <c r="F735" s="5" t="s">
        <v>31</v>
      </c>
      <c r="G735" s="5" t="s">
        <v>549</v>
      </c>
      <c r="H735" s="5" t="s">
        <v>172</v>
      </c>
      <c r="I735" s="5" t="str">
        <f>_xlfn.XLOOKUP(sommaire[[#This Row],[Arrondissement_code]],OCHA_GIS!$F:$F,OCHA_GIS!$E:$E,,)</f>
        <v>Waza</v>
      </c>
      <c r="J735" s="5" t="s">
        <v>706</v>
      </c>
      <c r="K735" t="s">
        <v>1175</v>
      </c>
      <c r="L735" s="5" t="s">
        <v>3276</v>
      </c>
      <c r="N735" s="5" t="s">
        <v>3053</v>
      </c>
      <c r="O735" s="5" t="s">
        <v>2473</v>
      </c>
      <c r="P735" s="5" t="s">
        <v>85</v>
      </c>
      <c r="Q735" s="5" t="s">
        <v>86</v>
      </c>
      <c r="R735" s="5" t="s">
        <v>86</v>
      </c>
      <c r="T735" s="390">
        <v>3</v>
      </c>
      <c r="U735" s="5" t="s">
        <v>97</v>
      </c>
      <c r="W735" s="5" t="s">
        <v>2468</v>
      </c>
      <c r="X735" s="5" t="s">
        <v>102</v>
      </c>
      <c r="AA735" s="5" t="s">
        <v>85</v>
      </c>
      <c r="AB735" s="5" t="s">
        <v>2473</v>
      </c>
      <c r="AC735" s="5" t="s">
        <v>2469</v>
      </c>
      <c r="AF735" s="5">
        <v>25</v>
      </c>
      <c r="AG735" s="5">
        <v>478</v>
      </c>
      <c r="AH735" s="5" t="s">
        <v>85</v>
      </c>
      <c r="AI735" s="5" t="s">
        <v>2471</v>
      </c>
      <c r="AJ735" s="5">
        <v>25</v>
      </c>
      <c r="AK735" s="5">
        <v>110</v>
      </c>
      <c r="AL735" s="5">
        <v>45</v>
      </c>
      <c r="AM735" s="5">
        <v>65</v>
      </c>
      <c r="AN735" s="5">
        <v>0</v>
      </c>
      <c r="AO735" s="5">
        <v>0</v>
      </c>
      <c r="AP735" s="5">
        <v>0</v>
      </c>
      <c r="AQ735" s="5">
        <v>0</v>
      </c>
      <c r="AT735" s="5">
        <v>0</v>
      </c>
      <c r="AU735" s="5">
        <v>25</v>
      </c>
      <c r="AV735" s="5" t="s">
        <v>2490</v>
      </c>
      <c r="AX735" s="5">
        <v>0</v>
      </c>
      <c r="AY735" s="5" t="s">
        <v>85</v>
      </c>
      <c r="AZ735" s="5">
        <v>17</v>
      </c>
      <c r="BA735" s="5">
        <v>85</v>
      </c>
      <c r="BB735" s="5">
        <v>48</v>
      </c>
      <c r="BC735" s="5">
        <v>37</v>
      </c>
      <c r="BD735" s="5">
        <v>0</v>
      </c>
      <c r="BE735" s="5">
        <v>0</v>
      </c>
      <c r="BF735" s="5">
        <v>0</v>
      </c>
      <c r="BH735" s="5">
        <v>0</v>
      </c>
      <c r="BI735" s="5">
        <v>17</v>
      </c>
      <c r="BJ735" s="5" t="s">
        <v>2490</v>
      </c>
      <c r="BL735" s="5">
        <v>0</v>
      </c>
      <c r="BM735" s="5">
        <v>17</v>
      </c>
      <c r="BN735" s="5" t="s">
        <v>86</v>
      </c>
      <c r="CD735" s="5">
        <v>0</v>
      </c>
      <c r="CF735" s="1442" t="str">
        <f>IF([1]!sommaire[[#This Row],[présence des personnes déplacés interne]]="Oui","1","0")</f>
        <v>1</v>
      </c>
      <c r="CG735" s="1442" t="str">
        <f>IF([1]!sommaire[[#This Row],[présence Réfugié hors camp]]="Oui","1","0")</f>
        <v>1</v>
      </c>
      <c r="CH735" s="1442" t="str">
        <f>IF([1]!sommaire[[#This Row],[présence personnes retournées]]="Oui","1","0")</f>
        <v>0</v>
      </c>
      <c r="CI735" s="1442">
        <f>[1]!sommaire[[#This Row],[Flag PDI]]+[1]!sommaire[[#This Row],[Flag REF]]+[1]!sommaire[[#This Row],[Flag RET]]</f>
        <v>2</v>
      </c>
    </row>
    <row r="736" spans="1:87" ht="14.55" customHeight="1" x14ac:dyDescent="0.3">
      <c r="A736" s="390">
        <v>2626288</v>
      </c>
      <c r="B736" s="5" t="s">
        <v>533</v>
      </c>
      <c r="C736" s="1430" t="s">
        <v>3449</v>
      </c>
      <c r="D736" s="5" t="s">
        <v>534</v>
      </c>
      <c r="E736" s="5" t="s">
        <v>31</v>
      </c>
      <c r="F736" s="5" t="s">
        <v>31</v>
      </c>
      <c r="G736" s="5" t="s">
        <v>549</v>
      </c>
      <c r="H736" s="5" t="s">
        <v>172</v>
      </c>
      <c r="I736" s="5" t="str">
        <f>_xlfn.XLOOKUP(sommaire[[#This Row],[Arrondissement_code]],OCHA_GIS!$F:$F,OCHA_GIS!$E:$E,,)</f>
        <v>Waza</v>
      </c>
      <c r="J736" s="5" t="s">
        <v>706</v>
      </c>
      <c r="K736" t="s">
        <v>2702</v>
      </c>
      <c r="L736" s="5" t="s">
        <v>1972</v>
      </c>
      <c r="N736" s="5" t="s">
        <v>3053</v>
      </c>
      <c r="O736" s="5" t="s">
        <v>2473</v>
      </c>
      <c r="P736" s="5" t="s">
        <v>85</v>
      </c>
      <c r="Q736" s="5" t="s">
        <v>86</v>
      </c>
      <c r="R736" s="5" t="s">
        <v>86</v>
      </c>
      <c r="T736" s="390">
        <v>3</v>
      </c>
      <c r="U736" s="5" t="s">
        <v>97</v>
      </c>
      <c r="W736" s="5" t="s">
        <v>2468</v>
      </c>
      <c r="X736" s="5" t="s">
        <v>103</v>
      </c>
      <c r="Y736" s="5" t="s">
        <v>2476</v>
      </c>
      <c r="AA736" s="5" t="s">
        <v>85</v>
      </c>
      <c r="AB736" s="5" t="s">
        <v>2473</v>
      </c>
      <c r="AC736" s="5" t="s">
        <v>2470</v>
      </c>
      <c r="AF736" s="5">
        <v>20</v>
      </c>
      <c r="AG736" s="5">
        <v>103</v>
      </c>
      <c r="AH736" s="5" t="s">
        <v>85</v>
      </c>
      <c r="AI736" s="5" t="s">
        <v>2471</v>
      </c>
      <c r="AJ736" s="5">
        <v>20</v>
      </c>
      <c r="AK736" s="5">
        <v>103</v>
      </c>
      <c r="AL736" s="5">
        <v>46</v>
      </c>
      <c r="AM736" s="5">
        <v>57</v>
      </c>
      <c r="AN736" s="5">
        <v>0</v>
      </c>
      <c r="AO736" s="5">
        <v>0</v>
      </c>
      <c r="AP736" s="5">
        <v>0</v>
      </c>
      <c r="AQ736" s="5">
        <v>0</v>
      </c>
      <c r="AT736" s="5">
        <v>0</v>
      </c>
      <c r="AU736" s="5">
        <v>20</v>
      </c>
      <c r="AV736" s="5" t="s">
        <v>2490</v>
      </c>
      <c r="AX736" s="5">
        <v>0</v>
      </c>
      <c r="AY736" s="5" t="s">
        <v>86</v>
      </c>
      <c r="BN736" s="5" t="s">
        <v>86</v>
      </c>
      <c r="CD736" s="5">
        <v>0</v>
      </c>
      <c r="CF736" s="1442" t="str">
        <f>IF([1]!sommaire[[#This Row],[présence des personnes déplacés interne]]="Oui","1","0")</f>
        <v>1</v>
      </c>
      <c r="CG736" s="1442" t="str">
        <f>IF([1]!sommaire[[#This Row],[présence Réfugié hors camp]]="Oui","1","0")</f>
        <v>0</v>
      </c>
      <c r="CH736" s="1442" t="str">
        <f>IF([1]!sommaire[[#This Row],[présence personnes retournées]]="Oui","1","0")</f>
        <v>0</v>
      </c>
      <c r="CI736" s="1442">
        <f>[1]!sommaire[[#This Row],[Flag PDI]]+[1]!sommaire[[#This Row],[Flag REF]]+[1]!sommaire[[#This Row],[Flag RET]]</f>
        <v>1</v>
      </c>
    </row>
    <row r="737" spans="1:87" ht="14.55" customHeight="1" x14ac:dyDescent="0.3">
      <c r="A737" s="390">
        <v>2634201</v>
      </c>
      <c r="B737" s="5" t="s">
        <v>533</v>
      </c>
      <c r="C737" s="1430" t="s">
        <v>3449</v>
      </c>
      <c r="D737" s="5" t="s">
        <v>534</v>
      </c>
      <c r="E737" s="5" t="s">
        <v>31</v>
      </c>
      <c r="F737" s="5" t="s">
        <v>31</v>
      </c>
      <c r="G737" s="5" t="s">
        <v>549</v>
      </c>
      <c r="H737" s="5" t="s">
        <v>172</v>
      </c>
      <c r="I737" s="5" t="str">
        <f>_xlfn.XLOOKUP(sommaire[[#This Row],[Arrondissement_code]],OCHA_GIS!$F:$F,OCHA_GIS!$E:$E,,)</f>
        <v>Waza</v>
      </c>
      <c r="J737" s="5" t="s">
        <v>706</v>
      </c>
      <c r="K737" t="s">
        <v>3009</v>
      </c>
      <c r="L737" s="5" t="s">
        <v>1308</v>
      </c>
      <c r="N737" s="5" t="s">
        <v>3053</v>
      </c>
      <c r="O737" s="5" t="s">
        <v>2467</v>
      </c>
      <c r="P737" s="5" t="s">
        <v>85</v>
      </c>
      <c r="Q737" s="5" t="s">
        <v>86</v>
      </c>
      <c r="R737" s="5" t="s">
        <v>86</v>
      </c>
      <c r="T737" s="390">
        <v>3</v>
      </c>
      <c r="U737" s="5" t="s">
        <v>97</v>
      </c>
      <c r="W737" s="5" t="s">
        <v>2468</v>
      </c>
      <c r="X737" s="5" t="s">
        <v>102</v>
      </c>
      <c r="AA737" s="5" t="s">
        <v>85</v>
      </c>
      <c r="AB737" s="5" t="s">
        <v>2473</v>
      </c>
      <c r="AC737" s="5" t="s">
        <v>2469</v>
      </c>
      <c r="AD737" s="5" t="s">
        <v>86</v>
      </c>
      <c r="AF737" s="5">
        <v>55</v>
      </c>
      <c r="AG737" s="5">
        <v>521</v>
      </c>
      <c r="AH737" s="5" t="s">
        <v>85</v>
      </c>
      <c r="AI737" s="5" t="s">
        <v>2471</v>
      </c>
      <c r="AJ737" s="5">
        <v>55</v>
      </c>
      <c r="AK737" s="5">
        <v>461</v>
      </c>
      <c r="AL737" s="5">
        <v>200</v>
      </c>
      <c r="AM737" s="5">
        <v>261</v>
      </c>
      <c r="AN737" s="5">
        <v>0</v>
      </c>
      <c r="AO737" s="5">
        <v>0</v>
      </c>
      <c r="AP737" s="5">
        <v>0</v>
      </c>
      <c r="AQ737" s="5">
        <v>0</v>
      </c>
      <c r="AT737" s="5">
        <v>0</v>
      </c>
      <c r="AU737" s="5">
        <v>55</v>
      </c>
      <c r="AV737" s="5" t="s">
        <v>2490</v>
      </c>
      <c r="AX737" s="5">
        <v>0</v>
      </c>
      <c r="AY737" s="5" t="s">
        <v>85</v>
      </c>
      <c r="AZ737" s="5">
        <v>13</v>
      </c>
      <c r="BA737" s="5">
        <v>60</v>
      </c>
      <c r="BB737" s="5">
        <v>25</v>
      </c>
      <c r="BC737" s="5">
        <v>35</v>
      </c>
      <c r="BD737" s="5">
        <v>0</v>
      </c>
      <c r="BE737" s="5">
        <v>0</v>
      </c>
      <c r="BF737" s="5">
        <v>0</v>
      </c>
      <c r="BH737" s="5">
        <v>0</v>
      </c>
      <c r="BI737" s="5">
        <v>13</v>
      </c>
      <c r="BJ737" s="5" t="s">
        <v>2490</v>
      </c>
      <c r="BL737" s="5">
        <v>0</v>
      </c>
      <c r="BM737" s="5">
        <v>13</v>
      </c>
      <c r="BN737" s="5" t="s">
        <v>86</v>
      </c>
      <c r="CD737" s="5">
        <v>0</v>
      </c>
      <c r="CF737" s="1442" t="str">
        <f>IF([1]!sommaire[[#This Row],[présence des personnes déplacés interne]]="Oui","1","0")</f>
        <v>1</v>
      </c>
      <c r="CG737" s="1442" t="str">
        <f>IF([1]!sommaire[[#This Row],[présence Réfugié hors camp]]="Oui","1","0")</f>
        <v>1</v>
      </c>
      <c r="CH737" s="1442" t="str">
        <f>IF([1]!sommaire[[#This Row],[présence personnes retournées]]="Oui","1","0")</f>
        <v>0</v>
      </c>
      <c r="CI737" s="1442">
        <f>[1]!sommaire[[#This Row],[Flag PDI]]+[1]!sommaire[[#This Row],[Flag REF]]+[1]!sommaire[[#This Row],[Flag RET]]</f>
        <v>2</v>
      </c>
    </row>
    <row r="738" spans="1:87" ht="14.55" customHeight="1" x14ac:dyDescent="0.3">
      <c r="A738" s="390">
        <v>2645715</v>
      </c>
      <c r="B738" s="5" t="s">
        <v>533</v>
      </c>
      <c r="C738" s="1430" t="s">
        <v>3449</v>
      </c>
      <c r="D738" s="5" t="s">
        <v>534</v>
      </c>
      <c r="E738" s="5" t="s">
        <v>31</v>
      </c>
      <c r="F738" s="5" t="s">
        <v>31</v>
      </c>
      <c r="G738" s="5" t="s">
        <v>549</v>
      </c>
      <c r="H738" s="5" t="s">
        <v>172</v>
      </c>
      <c r="I738" s="5" t="str">
        <f>_xlfn.XLOOKUP(sommaire[[#This Row],[Arrondissement_code]],OCHA_GIS!$F:$F,OCHA_GIS!$E:$E,,)</f>
        <v>Waza</v>
      </c>
      <c r="J738" s="5" t="s">
        <v>706</v>
      </c>
      <c r="K738" t="s">
        <v>2696</v>
      </c>
      <c r="L738" s="5" t="s">
        <v>3309</v>
      </c>
      <c r="N738" s="5" t="s">
        <v>3052</v>
      </c>
      <c r="O738" s="5" t="s">
        <v>2473</v>
      </c>
      <c r="P738" s="5" t="s">
        <v>85</v>
      </c>
      <c r="Q738" s="5" t="s">
        <v>86</v>
      </c>
      <c r="R738" s="5" t="s">
        <v>86</v>
      </c>
      <c r="T738" s="390">
        <v>3</v>
      </c>
      <c r="U738" s="5" t="s">
        <v>97</v>
      </c>
      <c r="W738" s="5" t="s">
        <v>2468</v>
      </c>
      <c r="X738" s="5" t="s">
        <v>102</v>
      </c>
      <c r="AA738" s="5" t="s">
        <v>85</v>
      </c>
      <c r="AB738" s="5" t="s">
        <v>2473</v>
      </c>
      <c r="AC738" s="5" t="s">
        <v>2469</v>
      </c>
      <c r="AF738" s="5">
        <v>475</v>
      </c>
      <c r="AG738" s="5">
        <v>3115</v>
      </c>
      <c r="AH738" s="5" t="s">
        <v>85</v>
      </c>
      <c r="AI738" s="5" t="s">
        <v>2471</v>
      </c>
      <c r="AJ738" s="5">
        <v>475</v>
      </c>
      <c r="AK738" s="5">
        <v>2803</v>
      </c>
      <c r="AL738" s="5">
        <v>1023</v>
      </c>
      <c r="AM738" s="5">
        <v>1780</v>
      </c>
      <c r="AN738" s="5">
        <v>15</v>
      </c>
      <c r="AO738" s="5">
        <v>15</v>
      </c>
      <c r="AP738" s="5">
        <v>0</v>
      </c>
      <c r="AQ738" s="5">
        <v>15</v>
      </c>
      <c r="AR738" s="5" t="s">
        <v>2472</v>
      </c>
      <c r="AT738" s="5">
        <v>0</v>
      </c>
      <c r="AU738" s="5">
        <v>430</v>
      </c>
      <c r="AV738" s="5" t="s">
        <v>2490</v>
      </c>
      <c r="AX738" s="5">
        <v>0</v>
      </c>
      <c r="AY738" s="5" t="s">
        <v>85</v>
      </c>
      <c r="AZ738" s="5">
        <v>76</v>
      </c>
      <c r="BA738" s="5">
        <v>312</v>
      </c>
      <c r="BB738" s="5">
        <v>136</v>
      </c>
      <c r="BC738" s="5">
        <v>176</v>
      </c>
      <c r="BD738" s="5">
        <v>0</v>
      </c>
      <c r="BE738" s="5">
        <v>0</v>
      </c>
      <c r="BF738" s="5">
        <v>15</v>
      </c>
      <c r="BG738" s="5" t="s">
        <v>2472</v>
      </c>
      <c r="BH738" s="5">
        <v>0</v>
      </c>
      <c r="BI738" s="5">
        <v>61</v>
      </c>
      <c r="BJ738" s="5" t="s">
        <v>2490</v>
      </c>
      <c r="BL738" s="5">
        <v>0</v>
      </c>
      <c r="BM738" s="5">
        <v>76</v>
      </c>
      <c r="BN738" s="5" t="s">
        <v>86</v>
      </c>
      <c r="CD738" s="5">
        <v>0</v>
      </c>
      <c r="CF738" s="1442" t="str">
        <f>IF([1]!sommaire[[#This Row],[présence des personnes déplacés interne]]="Oui","1","0")</f>
        <v>1</v>
      </c>
      <c r="CG738" s="1442" t="str">
        <f>IF([1]!sommaire[[#This Row],[présence Réfugié hors camp]]="Oui","1","0")</f>
        <v>1</v>
      </c>
      <c r="CH738" s="1442" t="str">
        <f>IF([1]!sommaire[[#This Row],[présence personnes retournées]]="Oui","1","0")</f>
        <v>0</v>
      </c>
      <c r="CI738" s="1442">
        <f>[1]!sommaire[[#This Row],[Flag PDI]]+[1]!sommaire[[#This Row],[Flag REF]]+[1]!sommaire[[#This Row],[Flag RET]]</f>
        <v>2</v>
      </c>
    </row>
    <row r="739" spans="1:87" ht="14.55" customHeight="1" x14ac:dyDescent="0.3">
      <c r="A739" s="390">
        <v>2647259</v>
      </c>
      <c r="B739" s="5" t="s">
        <v>533</v>
      </c>
      <c r="C739" s="1430" t="s">
        <v>3449</v>
      </c>
      <c r="D739" s="5" t="s">
        <v>534</v>
      </c>
      <c r="E739" s="5" t="s">
        <v>31</v>
      </c>
      <c r="F739" s="5" t="s">
        <v>31</v>
      </c>
      <c r="G739" s="5" t="s">
        <v>549</v>
      </c>
      <c r="H739" s="5" t="s">
        <v>172</v>
      </c>
      <c r="I739" s="5" t="str">
        <f>_xlfn.XLOOKUP(sommaire[[#This Row],[Arrondissement_code]],OCHA_GIS!$F:$F,OCHA_GIS!$E:$E,,)</f>
        <v>Waza</v>
      </c>
      <c r="J739" s="5" t="s">
        <v>706</v>
      </c>
      <c r="K739" t="s">
        <v>1908</v>
      </c>
      <c r="L739" s="5" t="s">
        <v>2000</v>
      </c>
      <c r="N739" s="5" t="s">
        <v>3053</v>
      </c>
      <c r="O739" s="5" t="s">
        <v>2467</v>
      </c>
      <c r="P739" s="5" t="s">
        <v>85</v>
      </c>
      <c r="Q739" s="5" t="s">
        <v>86</v>
      </c>
      <c r="R739" s="5" t="s">
        <v>86</v>
      </c>
      <c r="T739" s="390">
        <v>3</v>
      </c>
      <c r="U739" s="5" t="s">
        <v>97</v>
      </c>
      <c r="W739" s="5" t="s">
        <v>2468</v>
      </c>
      <c r="X739" s="5" t="s">
        <v>103</v>
      </c>
      <c r="Y739" s="5" t="s">
        <v>2476</v>
      </c>
      <c r="AA739" s="5" t="s">
        <v>85</v>
      </c>
      <c r="AB739" s="5" t="s">
        <v>2469</v>
      </c>
      <c r="AC739" s="5" t="s">
        <v>2470</v>
      </c>
      <c r="AD739" s="5" t="s">
        <v>86</v>
      </c>
      <c r="AF739" s="5">
        <v>35</v>
      </c>
      <c r="AG739" s="5">
        <v>341</v>
      </c>
      <c r="AH739" s="5" t="s">
        <v>85</v>
      </c>
      <c r="AI739" s="5" t="s">
        <v>2471</v>
      </c>
      <c r="AJ739" s="5">
        <v>35</v>
      </c>
      <c r="AK739" s="5">
        <v>221</v>
      </c>
      <c r="AL739" s="5">
        <v>78</v>
      </c>
      <c r="AM739" s="5">
        <v>143</v>
      </c>
      <c r="AN739" s="5">
        <v>0</v>
      </c>
      <c r="AO739" s="5">
        <v>19</v>
      </c>
      <c r="AP739" s="5">
        <v>0</v>
      </c>
      <c r="AQ739" s="5">
        <v>0</v>
      </c>
      <c r="AT739" s="5">
        <v>0</v>
      </c>
      <c r="AU739" s="5">
        <v>16</v>
      </c>
      <c r="AV739" s="5" t="s">
        <v>2490</v>
      </c>
      <c r="AX739" s="5">
        <v>0</v>
      </c>
      <c r="AY739" s="5" t="s">
        <v>85</v>
      </c>
      <c r="AZ739" s="5">
        <v>5</v>
      </c>
      <c r="BA739" s="5">
        <v>35</v>
      </c>
      <c r="BB739" s="5">
        <v>15</v>
      </c>
      <c r="BC739" s="5">
        <v>20</v>
      </c>
      <c r="BD739" s="5">
        <v>0</v>
      </c>
      <c r="BE739" s="5">
        <v>0</v>
      </c>
      <c r="BF739" s="5">
        <v>0</v>
      </c>
      <c r="BH739" s="5">
        <v>0</v>
      </c>
      <c r="BI739" s="5">
        <v>5</v>
      </c>
      <c r="BJ739" s="5" t="s">
        <v>2490</v>
      </c>
      <c r="BL739" s="5">
        <v>0</v>
      </c>
      <c r="BM739" s="5">
        <v>5</v>
      </c>
      <c r="BN739" s="5" t="s">
        <v>85</v>
      </c>
      <c r="BO739" s="5">
        <v>5</v>
      </c>
      <c r="BP739" s="5">
        <v>35</v>
      </c>
      <c r="BQ739" s="5">
        <v>13</v>
      </c>
      <c r="BR739" s="5">
        <v>22</v>
      </c>
      <c r="BS739" s="5" t="s">
        <v>2535</v>
      </c>
      <c r="BT739" s="5">
        <v>0</v>
      </c>
      <c r="BU739" s="5">
        <v>5</v>
      </c>
      <c r="BV739" s="5">
        <v>0</v>
      </c>
      <c r="BW739" s="5">
        <v>0</v>
      </c>
      <c r="BX739" s="5">
        <v>0</v>
      </c>
      <c r="BZ739" s="5">
        <v>0</v>
      </c>
      <c r="CA739" s="5">
        <v>0</v>
      </c>
      <c r="CC739" s="5">
        <v>0</v>
      </c>
      <c r="CD739" s="5">
        <v>0</v>
      </c>
      <c r="CF739" s="1442" t="str">
        <f>IF([1]!sommaire[[#This Row],[présence des personnes déplacés interne]]="Oui","1","0")</f>
        <v>1</v>
      </c>
      <c r="CG739" s="1442" t="str">
        <f>IF([1]!sommaire[[#This Row],[présence Réfugié hors camp]]="Oui","1","0")</f>
        <v>1</v>
      </c>
      <c r="CH739" s="1442" t="str">
        <f>IF([1]!sommaire[[#This Row],[présence personnes retournées]]="Oui","1","0")</f>
        <v>1</v>
      </c>
      <c r="CI739" s="1442">
        <f>[1]!sommaire[[#This Row],[Flag PDI]]+[1]!sommaire[[#This Row],[Flag REF]]+[1]!sommaire[[#This Row],[Flag RET]]</f>
        <v>3</v>
      </c>
    </row>
    <row r="740" spans="1:87" ht="14.55" customHeight="1" x14ac:dyDescent="0.3">
      <c r="A740" s="390">
        <v>2668038</v>
      </c>
      <c r="B740" s="5" t="s">
        <v>533</v>
      </c>
      <c r="C740" s="1430" t="s">
        <v>3449</v>
      </c>
      <c r="D740" s="5" t="s">
        <v>534</v>
      </c>
      <c r="E740" s="5" t="s">
        <v>31</v>
      </c>
      <c r="F740" s="5" t="s">
        <v>31</v>
      </c>
      <c r="G740" s="5" t="s">
        <v>549</v>
      </c>
      <c r="H740" s="5" t="s">
        <v>172</v>
      </c>
      <c r="I740" s="5" t="str">
        <f>_xlfn.XLOOKUP(sommaire[[#This Row],[Arrondissement_code]],OCHA_GIS!$F:$F,OCHA_GIS!$E:$E,,)</f>
        <v>Waza</v>
      </c>
      <c r="J740" s="5" t="s">
        <v>706</v>
      </c>
      <c r="K740" t="s">
        <v>1866</v>
      </c>
      <c r="L740" s="5" t="s">
        <v>708</v>
      </c>
      <c r="N740" s="5" t="s">
        <v>3053</v>
      </c>
      <c r="O740" s="5" t="s">
        <v>2467</v>
      </c>
      <c r="P740" s="5" t="s">
        <v>85</v>
      </c>
      <c r="Q740" s="5" t="s">
        <v>86</v>
      </c>
      <c r="R740" s="5" t="s">
        <v>86</v>
      </c>
      <c r="T740" s="390">
        <v>3</v>
      </c>
      <c r="U740" s="5" t="s">
        <v>97</v>
      </c>
      <c r="W740" s="5" t="s">
        <v>2468</v>
      </c>
      <c r="X740" s="5" t="s">
        <v>102</v>
      </c>
      <c r="AA740" s="5" t="s">
        <v>85</v>
      </c>
      <c r="AB740" s="5" t="s">
        <v>2473</v>
      </c>
      <c r="AC740" s="5" t="s">
        <v>2469</v>
      </c>
      <c r="AD740" s="5" t="s">
        <v>86</v>
      </c>
      <c r="AF740" s="5">
        <v>33</v>
      </c>
      <c r="AG740" s="5">
        <v>481</v>
      </c>
      <c r="AH740" s="5" t="s">
        <v>85</v>
      </c>
      <c r="AI740" s="5" t="s">
        <v>2471</v>
      </c>
      <c r="AJ740" s="5">
        <v>33</v>
      </c>
      <c r="AK740" s="5">
        <v>171</v>
      </c>
      <c r="AL740" s="5">
        <v>80</v>
      </c>
      <c r="AM740" s="5">
        <v>91</v>
      </c>
      <c r="AN740" s="5">
        <v>0</v>
      </c>
      <c r="AO740" s="5">
        <v>0</v>
      </c>
      <c r="AP740" s="5">
        <v>0</v>
      </c>
      <c r="AQ740" s="5">
        <v>0</v>
      </c>
      <c r="AT740" s="5">
        <v>0</v>
      </c>
      <c r="AU740" s="5">
        <v>33</v>
      </c>
      <c r="AV740" s="5" t="s">
        <v>2490</v>
      </c>
      <c r="AX740" s="5">
        <v>0</v>
      </c>
      <c r="AY740" s="5" t="s">
        <v>85</v>
      </c>
      <c r="AZ740" s="5">
        <v>30</v>
      </c>
      <c r="BA740" s="5">
        <v>278</v>
      </c>
      <c r="BB740" s="5">
        <v>100</v>
      </c>
      <c r="BC740" s="5">
        <v>178</v>
      </c>
      <c r="BD740" s="5">
        <v>0</v>
      </c>
      <c r="BE740" s="5">
        <v>0</v>
      </c>
      <c r="BF740" s="5">
        <v>0</v>
      </c>
      <c r="BH740" s="5">
        <v>0</v>
      </c>
      <c r="BI740" s="5">
        <v>30</v>
      </c>
      <c r="BJ740" s="5" t="s">
        <v>2490</v>
      </c>
      <c r="BL740" s="5">
        <v>0</v>
      </c>
      <c r="BM740" s="5">
        <v>30</v>
      </c>
      <c r="BN740" s="5" t="s">
        <v>85</v>
      </c>
      <c r="BO740" s="5">
        <v>5</v>
      </c>
      <c r="BP740" s="5">
        <v>21</v>
      </c>
      <c r="BQ740" s="5">
        <v>8</v>
      </c>
      <c r="BR740" s="5">
        <v>13</v>
      </c>
      <c r="BS740" s="5" t="s">
        <v>2535</v>
      </c>
      <c r="BT740" s="5">
        <v>0</v>
      </c>
      <c r="BU740" s="5">
        <v>5</v>
      </c>
      <c r="BV740" s="5">
        <v>0</v>
      </c>
      <c r="BW740" s="5">
        <v>0</v>
      </c>
      <c r="BX740" s="5">
        <v>0</v>
      </c>
      <c r="BZ740" s="5">
        <v>0</v>
      </c>
      <c r="CA740" s="5">
        <v>0</v>
      </c>
      <c r="CC740" s="5">
        <v>0</v>
      </c>
      <c r="CD740" s="5">
        <v>0</v>
      </c>
      <c r="CF740" s="1442" t="str">
        <f>IF([1]!sommaire[[#This Row],[présence des personnes déplacés interne]]="Oui","1","0")</f>
        <v>1</v>
      </c>
      <c r="CG740" s="1442" t="str">
        <f>IF([1]!sommaire[[#This Row],[présence Réfugié hors camp]]="Oui","1","0")</f>
        <v>1</v>
      </c>
      <c r="CH740" s="1442" t="str">
        <f>IF([1]!sommaire[[#This Row],[présence personnes retournées]]="Oui","1","0")</f>
        <v>1</v>
      </c>
      <c r="CI740" s="1442">
        <f>[1]!sommaire[[#This Row],[Flag PDI]]+[1]!sommaire[[#This Row],[Flag REF]]+[1]!sommaire[[#This Row],[Flag RET]]</f>
        <v>3</v>
      </c>
    </row>
    <row r="741" spans="1:87" ht="14.55" customHeight="1" x14ac:dyDescent="0.3">
      <c r="A741" s="390">
        <v>2672468</v>
      </c>
      <c r="B741" s="5" t="s">
        <v>533</v>
      </c>
      <c r="C741" s="1430" t="s">
        <v>3449</v>
      </c>
      <c r="D741" s="5" t="s">
        <v>534</v>
      </c>
      <c r="E741" s="5" t="s">
        <v>31</v>
      </c>
      <c r="F741" s="5" t="s">
        <v>31</v>
      </c>
      <c r="G741" s="5" t="s">
        <v>549</v>
      </c>
      <c r="H741" s="5" t="s">
        <v>172</v>
      </c>
      <c r="I741" s="5" t="str">
        <f>_xlfn.XLOOKUP(sommaire[[#This Row],[Arrondissement_code]],OCHA_GIS!$F:$F,OCHA_GIS!$E:$E,,)</f>
        <v>Waza</v>
      </c>
      <c r="J741" s="5" t="s">
        <v>706</v>
      </c>
      <c r="K741" t="s">
        <v>1999</v>
      </c>
      <c r="L741" s="5" t="s">
        <v>2697</v>
      </c>
      <c r="N741" s="5" t="s">
        <v>3052</v>
      </c>
      <c r="O741" s="5" t="s">
        <v>2467</v>
      </c>
      <c r="P741" s="5" t="s">
        <v>85</v>
      </c>
      <c r="Q741" s="5" t="s">
        <v>86</v>
      </c>
      <c r="R741" s="5" t="s">
        <v>86</v>
      </c>
      <c r="T741" s="390">
        <v>3</v>
      </c>
      <c r="U741" s="5" t="s">
        <v>97</v>
      </c>
      <c r="W741" s="5" t="s">
        <v>2468</v>
      </c>
      <c r="X741" s="5" t="s">
        <v>103</v>
      </c>
      <c r="Y741" s="5" t="s">
        <v>2511</v>
      </c>
      <c r="AA741" s="5" t="s">
        <v>85</v>
      </c>
      <c r="AB741" s="5" t="s">
        <v>2473</v>
      </c>
      <c r="AC741" s="5" t="s">
        <v>2470</v>
      </c>
      <c r="AD741" s="5" t="s">
        <v>86</v>
      </c>
      <c r="AG741" s="5">
        <v>152</v>
      </c>
      <c r="AH741" s="5" t="s">
        <v>86</v>
      </c>
      <c r="AY741" s="5" t="s">
        <v>85</v>
      </c>
      <c r="AZ741" s="5">
        <v>6</v>
      </c>
      <c r="BA741" s="5">
        <v>50</v>
      </c>
      <c r="BB741" s="5">
        <v>20</v>
      </c>
      <c r="BC741" s="5">
        <v>30</v>
      </c>
      <c r="BD741" s="5">
        <v>0</v>
      </c>
      <c r="BE741" s="5">
        <v>0</v>
      </c>
      <c r="BF741" s="5">
        <v>0</v>
      </c>
      <c r="BH741" s="5">
        <v>0</v>
      </c>
      <c r="BI741" s="5">
        <v>6</v>
      </c>
      <c r="BJ741" s="5" t="s">
        <v>2490</v>
      </c>
      <c r="BL741" s="5">
        <v>0</v>
      </c>
      <c r="BM741" s="5">
        <v>6</v>
      </c>
      <c r="BN741" s="5" t="s">
        <v>85</v>
      </c>
      <c r="BO741" s="5">
        <v>15</v>
      </c>
      <c r="BP741" s="5">
        <v>102</v>
      </c>
      <c r="BQ741" s="5">
        <v>42</v>
      </c>
      <c r="BR741" s="5">
        <v>60</v>
      </c>
      <c r="BS741" s="5" t="s">
        <v>2492</v>
      </c>
      <c r="BT741" s="5">
        <v>15</v>
      </c>
      <c r="BU741" s="5">
        <v>0</v>
      </c>
      <c r="BV741" s="5">
        <v>0</v>
      </c>
      <c r="BW741" s="5">
        <v>0</v>
      </c>
      <c r="BX741" s="5">
        <v>0</v>
      </c>
      <c r="BZ741" s="5">
        <v>0</v>
      </c>
      <c r="CA741" s="5">
        <v>0</v>
      </c>
      <c r="CC741" s="5">
        <v>0</v>
      </c>
      <c r="CD741" s="5">
        <v>0</v>
      </c>
      <c r="CF741" s="1442" t="str">
        <f>IF([1]!sommaire[[#This Row],[présence des personnes déplacés interne]]="Oui","1","0")</f>
        <v>0</v>
      </c>
      <c r="CG741" s="1442" t="str">
        <f>IF([1]!sommaire[[#This Row],[présence Réfugié hors camp]]="Oui","1","0")</f>
        <v>1</v>
      </c>
      <c r="CH741" s="1442" t="str">
        <f>IF([1]!sommaire[[#This Row],[présence personnes retournées]]="Oui","1","0")</f>
        <v>1</v>
      </c>
      <c r="CI741" s="1442">
        <f>[1]!sommaire[[#This Row],[Flag PDI]]+[1]!sommaire[[#This Row],[Flag REF]]+[1]!sommaire[[#This Row],[Flag RET]]</f>
        <v>2</v>
      </c>
    </row>
    <row r="742" spans="1:87" ht="14.55" customHeight="1" x14ac:dyDescent="0.3">
      <c r="A742" s="390">
        <v>2645716</v>
      </c>
      <c r="B742" s="5" t="s">
        <v>533</v>
      </c>
      <c r="C742" s="1430" t="s">
        <v>3449</v>
      </c>
      <c r="D742" s="5" t="s">
        <v>534</v>
      </c>
      <c r="E742" s="5" t="s">
        <v>31</v>
      </c>
      <c r="F742" s="5" t="s">
        <v>31</v>
      </c>
      <c r="G742" s="5" t="s">
        <v>549</v>
      </c>
      <c r="H742" s="5" t="s">
        <v>172</v>
      </c>
      <c r="I742" s="5" t="str">
        <f>_xlfn.XLOOKUP(sommaire[[#This Row],[Arrondissement_code]],OCHA_GIS!$F:$F,OCHA_GIS!$E:$E,,)</f>
        <v>Waza</v>
      </c>
      <c r="J742" s="5" t="s">
        <v>706</v>
      </c>
      <c r="K742" t="s">
        <v>707</v>
      </c>
      <c r="L742" s="5" t="s">
        <v>1306</v>
      </c>
      <c r="N742" s="5" t="s">
        <v>3053</v>
      </c>
      <c r="O742" s="5" t="s">
        <v>2467</v>
      </c>
      <c r="P742" s="5" t="s">
        <v>85</v>
      </c>
      <c r="Q742" s="5" t="s">
        <v>86</v>
      </c>
      <c r="R742" s="5" t="s">
        <v>86</v>
      </c>
      <c r="T742" s="390">
        <v>3</v>
      </c>
      <c r="U742" s="5" t="s">
        <v>97</v>
      </c>
      <c r="W742" s="5" t="s">
        <v>2468</v>
      </c>
      <c r="X742" s="5" t="s">
        <v>102</v>
      </c>
      <c r="AA742" s="5" t="s">
        <v>85</v>
      </c>
      <c r="AB742" s="5" t="s">
        <v>2473</v>
      </c>
      <c r="AC742" s="5" t="s">
        <v>2470</v>
      </c>
      <c r="AD742" s="5" t="s">
        <v>86</v>
      </c>
      <c r="AF742" s="5">
        <v>32</v>
      </c>
      <c r="AG742" s="5">
        <v>428</v>
      </c>
      <c r="AH742" s="5" t="s">
        <v>85</v>
      </c>
      <c r="AI742" s="5" t="s">
        <v>2471</v>
      </c>
      <c r="AJ742" s="5">
        <v>32</v>
      </c>
      <c r="AK742" s="5">
        <v>200</v>
      </c>
      <c r="AL742" s="5">
        <v>80</v>
      </c>
      <c r="AM742" s="5">
        <v>120</v>
      </c>
      <c r="AN742" s="5">
        <v>0</v>
      </c>
      <c r="AO742" s="5">
        <v>0</v>
      </c>
      <c r="AP742" s="5">
        <v>0</v>
      </c>
      <c r="AQ742" s="5">
        <v>0</v>
      </c>
      <c r="AT742" s="5">
        <v>0</v>
      </c>
      <c r="AU742" s="5">
        <v>32</v>
      </c>
      <c r="AV742" s="5" t="s">
        <v>2490</v>
      </c>
      <c r="AX742" s="5">
        <v>0</v>
      </c>
      <c r="AY742" s="5" t="s">
        <v>85</v>
      </c>
      <c r="AZ742" s="5">
        <v>15</v>
      </c>
      <c r="BA742" s="5">
        <v>122</v>
      </c>
      <c r="BB742" s="5">
        <v>56</v>
      </c>
      <c r="BC742" s="5">
        <v>66</v>
      </c>
      <c r="BD742" s="5">
        <v>0</v>
      </c>
      <c r="BE742" s="5">
        <v>0</v>
      </c>
      <c r="BF742" s="5">
        <v>0</v>
      </c>
      <c r="BH742" s="5">
        <v>0</v>
      </c>
      <c r="BI742" s="5">
        <v>15</v>
      </c>
      <c r="BJ742" s="5" t="s">
        <v>2490</v>
      </c>
      <c r="BL742" s="5">
        <v>0</v>
      </c>
      <c r="BM742" s="5">
        <v>13</v>
      </c>
      <c r="BN742" s="5" t="s">
        <v>86</v>
      </c>
      <c r="CD742" s="5">
        <v>0</v>
      </c>
      <c r="CF742" s="1442" t="str">
        <f>IF([1]!sommaire[[#This Row],[présence des personnes déplacés interne]]="Oui","1","0")</f>
        <v>1</v>
      </c>
      <c r="CG742" s="1442" t="str">
        <f>IF([1]!sommaire[[#This Row],[présence Réfugié hors camp]]="Oui","1","0")</f>
        <v>1</v>
      </c>
      <c r="CH742" s="1442" t="str">
        <f>IF([1]!sommaire[[#This Row],[présence personnes retournées]]="Oui","1","0")</f>
        <v>0</v>
      </c>
      <c r="CI742" s="1442">
        <f>[1]!sommaire[[#This Row],[Flag PDI]]+[1]!sommaire[[#This Row],[Flag REF]]+[1]!sommaire[[#This Row],[Flag RET]]</f>
        <v>2</v>
      </c>
    </row>
    <row r="743" spans="1:87" ht="14.55" customHeight="1" x14ac:dyDescent="0.3">
      <c r="A743" s="390">
        <v>2619980</v>
      </c>
      <c r="B743" s="5" t="s">
        <v>533</v>
      </c>
      <c r="C743" s="1430" t="s">
        <v>3449</v>
      </c>
      <c r="D743" s="5" t="s">
        <v>534</v>
      </c>
      <c r="E743" s="5" t="s">
        <v>31</v>
      </c>
      <c r="F743" s="5" t="s">
        <v>31</v>
      </c>
      <c r="G743" s="5" t="s">
        <v>549</v>
      </c>
      <c r="H743" s="5" t="s">
        <v>172</v>
      </c>
      <c r="I743" s="5" t="str">
        <f>_xlfn.XLOOKUP(sommaire[[#This Row],[Arrondissement_code]],OCHA_GIS!$F:$F,OCHA_GIS!$E:$E,,)</f>
        <v>Waza</v>
      </c>
      <c r="J743" s="5" t="s">
        <v>706</v>
      </c>
      <c r="K743" t="s">
        <v>2700</v>
      </c>
      <c r="L743" s="5" t="s">
        <v>1194</v>
      </c>
      <c r="N743" s="5" t="s">
        <v>3053</v>
      </c>
      <c r="O743" s="5" t="s">
        <v>2467</v>
      </c>
      <c r="P743" s="5" t="s">
        <v>85</v>
      </c>
      <c r="Q743" s="5" t="s">
        <v>86</v>
      </c>
      <c r="R743" s="5" t="s">
        <v>86</v>
      </c>
      <c r="T743" s="390">
        <v>3</v>
      </c>
      <c r="U743" s="5" t="s">
        <v>97</v>
      </c>
      <c r="W743" s="5" t="s">
        <v>2468</v>
      </c>
      <c r="X743" s="5" t="s">
        <v>103</v>
      </c>
      <c r="Y743" s="5" t="s">
        <v>2476</v>
      </c>
      <c r="AA743" s="5" t="s">
        <v>85</v>
      </c>
      <c r="AB743" s="5" t="s">
        <v>2469</v>
      </c>
      <c r="AC743" s="5" t="s">
        <v>2473</v>
      </c>
      <c r="AD743" s="5" t="s">
        <v>86</v>
      </c>
      <c r="AF743" s="5">
        <v>69</v>
      </c>
      <c r="AG743" s="5">
        <v>1045</v>
      </c>
      <c r="AH743" s="5" t="s">
        <v>85</v>
      </c>
      <c r="AI743" s="5" t="s">
        <v>2471</v>
      </c>
      <c r="AJ743" s="5">
        <v>69</v>
      </c>
      <c r="AK743" s="5">
        <v>512</v>
      </c>
      <c r="AL743" s="5">
        <v>246</v>
      </c>
      <c r="AM743" s="5">
        <v>266</v>
      </c>
      <c r="AN743" s="5">
        <v>0</v>
      </c>
      <c r="AO743" s="5">
        <v>12</v>
      </c>
      <c r="AP743" s="5">
        <v>0</v>
      </c>
      <c r="AQ743" s="5">
        <v>0</v>
      </c>
      <c r="AT743" s="5">
        <v>0</v>
      </c>
      <c r="AU743" s="5">
        <v>57</v>
      </c>
      <c r="AV743" s="5" t="s">
        <v>2490</v>
      </c>
      <c r="AX743" s="5">
        <v>0</v>
      </c>
      <c r="AY743" s="5" t="s">
        <v>85</v>
      </c>
      <c r="AZ743" s="5">
        <v>15</v>
      </c>
      <c r="BA743" s="5">
        <v>120</v>
      </c>
      <c r="BB743" s="5">
        <v>47</v>
      </c>
      <c r="BC743" s="5">
        <v>73</v>
      </c>
      <c r="BD743" s="5">
        <v>9</v>
      </c>
      <c r="BE743" s="5">
        <v>0</v>
      </c>
      <c r="BF743" s="5">
        <v>0</v>
      </c>
      <c r="BH743" s="5">
        <v>0</v>
      </c>
      <c r="BI743" s="5">
        <v>6</v>
      </c>
      <c r="BJ743" s="5" t="s">
        <v>2490</v>
      </c>
      <c r="BL743" s="5">
        <v>0</v>
      </c>
      <c r="BM743" s="5">
        <v>15</v>
      </c>
      <c r="BN743" s="5" t="s">
        <v>86</v>
      </c>
      <c r="CD743" s="5">
        <v>0</v>
      </c>
      <c r="CF743" s="1442" t="str">
        <f>IF([1]!sommaire[[#This Row],[présence des personnes déplacés interne]]="Oui","1","0")</f>
        <v>1</v>
      </c>
      <c r="CG743" s="1442" t="str">
        <f>IF([1]!sommaire[[#This Row],[présence Réfugié hors camp]]="Oui","1","0")</f>
        <v>1</v>
      </c>
      <c r="CH743" s="1442" t="str">
        <f>IF([1]!sommaire[[#This Row],[présence personnes retournées]]="Oui","1","0")</f>
        <v>0</v>
      </c>
      <c r="CI743" s="1442">
        <f>[1]!sommaire[[#This Row],[Flag PDI]]+[1]!sommaire[[#This Row],[Flag REF]]+[1]!sommaire[[#This Row],[Flag RET]]</f>
        <v>2</v>
      </c>
    </row>
    <row r="744" spans="1:87" ht="14.55" customHeight="1" x14ac:dyDescent="0.3">
      <c r="A744" s="390">
        <v>2601875</v>
      </c>
      <c r="B744" s="5" t="s">
        <v>533</v>
      </c>
      <c r="C744" s="1430" t="s">
        <v>3449</v>
      </c>
      <c r="D744" s="5" t="s">
        <v>534</v>
      </c>
      <c r="E744" s="5" t="s">
        <v>31</v>
      </c>
      <c r="F744" s="5" t="s">
        <v>31</v>
      </c>
      <c r="G744" s="5" t="s">
        <v>549</v>
      </c>
      <c r="H744" s="5" t="s">
        <v>172</v>
      </c>
      <c r="I744" s="5" t="str">
        <f>_xlfn.XLOOKUP(sommaire[[#This Row],[Arrondissement_code]],OCHA_GIS!$F:$F,OCHA_GIS!$E:$E,,)</f>
        <v>Waza</v>
      </c>
      <c r="J744" s="5" t="s">
        <v>706</v>
      </c>
      <c r="K744" t="s">
        <v>1160</v>
      </c>
      <c r="L744" s="5" t="s">
        <v>1126</v>
      </c>
      <c r="N744" s="5" t="s">
        <v>3053</v>
      </c>
      <c r="O744" s="5" t="s">
        <v>2467</v>
      </c>
      <c r="P744" s="5" t="s">
        <v>85</v>
      </c>
      <c r="Q744" s="5" t="s">
        <v>86</v>
      </c>
      <c r="R744" s="5" t="s">
        <v>86</v>
      </c>
      <c r="T744" s="390">
        <v>3</v>
      </c>
      <c r="U744" s="5" t="s">
        <v>97</v>
      </c>
      <c r="W744" s="5" t="s">
        <v>2468</v>
      </c>
      <c r="X744" s="5" t="s">
        <v>102</v>
      </c>
      <c r="AA744" s="5" t="s">
        <v>85</v>
      </c>
      <c r="AB744" s="5" t="s">
        <v>2473</v>
      </c>
      <c r="AC744" s="5" t="s">
        <v>2469</v>
      </c>
      <c r="AD744" s="5" t="s">
        <v>86</v>
      </c>
      <c r="AF744" s="5">
        <v>9</v>
      </c>
      <c r="AG744" s="5">
        <v>224</v>
      </c>
      <c r="AH744" s="5" t="s">
        <v>85</v>
      </c>
      <c r="AI744" s="5" t="s">
        <v>2471</v>
      </c>
      <c r="AJ744" s="5">
        <v>9</v>
      </c>
      <c r="AK744" s="5">
        <v>52</v>
      </c>
      <c r="AL744" s="5">
        <v>33</v>
      </c>
      <c r="AM744" s="5">
        <v>19</v>
      </c>
      <c r="AN744" s="5">
        <v>0</v>
      </c>
      <c r="AO744" s="5">
        <v>0</v>
      </c>
      <c r="AP744" s="5">
        <v>0</v>
      </c>
      <c r="AQ744" s="5">
        <v>0</v>
      </c>
      <c r="AT744" s="5">
        <v>0</v>
      </c>
      <c r="AU744" s="5">
        <v>9</v>
      </c>
      <c r="AV744" s="5" t="s">
        <v>2490</v>
      </c>
      <c r="AX744" s="5">
        <v>0</v>
      </c>
      <c r="AY744" s="5" t="s">
        <v>85</v>
      </c>
      <c r="AZ744" s="5">
        <v>13</v>
      </c>
      <c r="BA744" s="5">
        <v>91</v>
      </c>
      <c r="BB744" s="5">
        <v>39</v>
      </c>
      <c r="BC744" s="5">
        <v>52</v>
      </c>
      <c r="BD744" s="5">
        <v>0</v>
      </c>
      <c r="BE744" s="5">
        <v>0</v>
      </c>
      <c r="BF744" s="5">
        <v>0</v>
      </c>
      <c r="BH744" s="5">
        <v>0</v>
      </c>
      <c r="BI744" s="5">
        <v>13</v>
      </c>
      <c r="BJ744" s="5" t="s">
        <v>2490</v>
      </c>
      <c r="BL744" s="5">
        <v>0</v>
      </c>
      <c r="BM744" s="5">
        <v>13</v>
      </c>
      <c r="BN744" s="5" t="s">
        <v>85</v>
      </c>
      <c r="BO744" s="5">
        <v>15</v>
      </c>
      <c r="BP744" s="5">
        <v>65</v>
      </c>
      <c r="BQ744" s="5">
        <v>22</v>
      </c>
      <c r="BR744" s="5">
        <v>43</v>
      </c>
      <c r="BS744" s="5" t="s">
        <v>2479</v>
      </c>
      <c r="BT744" s="5">
        <v>0</v>
      </c>
      <c r="BU744" s="5">
        <v>15</v>
      </c>
      <c r="BV744" s="5">
        <v>0</v>
      </c>
      <c r="BW744" s="5">
        <v>0</v>
      </c>
      <c r="BX744" s="5">
        <v>0</v>
      </c>
      <c r="BZ744" s="5">
        <v>0</v>
      </c>
      <c r="CA744" s="5">
        <v>0</v>
      </c>
      <c r="CC744" s="5">
        <v>0</v>
      </c>
      <c r="CD744" s="5">
        <v>0</v>
      </c>
      <c r="CF744" s="1442" t="str">
        <f>IF([1]!sommaire[[#This Row],[présence des personnes déplacés interne]]="Oui","1","0")</f>
        <v>1</v>
      </c>
      <c r="CG744" s="1442" t="str">
        <f>IF([1]!sommaire[[#This Row],[présence Réfugié hors camp]]="Oui","1","0")</f>
        <v>1</v>
      </c>
      <c r="CH744" s="1442" t="str">
        <f>IF([1]!sommaire[[#This Row],[présence personnes retournées]]="Oui","1","0")</f>
        <v>1</v>
      </c>
      <c r="CI744" s="1442">
        <f>[1]!sommaire[[#This Row],[Flag PDI]]+[1]!sommaire[[#This Row],[Flag REF]]+[1]!sommaire[[#This Row],[Flag RET]]</f>
        <v>3</v>
      </c>
    </row>
    <row r="745" spans="1:87" ht="14.55" customHeight="1" x14ac:dyDescent="0.3">
      <c r="A745" s="390">
        <v>2589508</v>
      </c>
      <c r="B745" s="5" t="s">
        <v>533</v>
      </c>
      <c r="C745" s="1430" t="s">
        <v>3449</v>
      </c>
      <c r="D745" s="5" t="s">
        <v>534</v>
      </c>
      <c r="E745" s="5" t="s">
        <v>31</v>
      </c>
      <c r="F745" s="5" t="s">
        <v>31</v>
      </c>
      <c r="G745" s="5" t="s">
        <v>549</v>
      </c>
      <c r="H745" s="5" t="s">
        <v>172</v>
      </c>
      <c r="I745" s="5" t="str">
        <f>_xlfn.XLOOKUP(sommaire[[#This Row],[Arrondissement_code]],OCHA_GIS!$F:$F,OCHA_GIS!$E:$E,,)</f>
        <v>Waza</v>
      </c>
      <c r="J745" s="5" t="s">
        <v>706</v>
      </c>
      <c r="K745" t="s">
        <v>1305</v>
      </c>
      <c r="L745" s="5" t="s">
        <v>973</v>
      </c>
      <c r="N745" s="5" t="s">
        <v>3053</v>
      </c>
      <c r="O745" s="5" t="s">
        <v>2467</v>
      </c>
      <c r="P745" s="5" t="s">
        <v>85</v>
      </c>
      <c r="Q745" s="5" t="s">
        <v>86</v>
      </c>
      <c r="R745" s="5" t="s">
        <v>86</v>
      </c>
      <c r="T745" s="390">
        <v>3</v>
      </c>
      <c r="U745" s="5" t="s">
        <v>97</v>
      </c>
      <c r="W745" s="5" t="s">
        <v>2468</v>
      </c>
      <c r="X745" s="5" t="s">
        <v>102</v>
      </c>
      <c r="AA745" s="5" t="s">
        <v>85</v>
      </c>
      <c r="AB745" s="5" t="s">
        <v>2473</v>
      </c>
      <c r="AC745" s="5" t="s">
        <v>2469</v>
      </c>
      <c r="AD745" s="5" t="s">
        <v>86</v>
      </c>
      <c r="AF745" s="5">
        <v>82</v>
      </c>
      <c r="AG745" s="5">
        <v>1760</v>
      </c>
      <c r="AH745" s="5" t="s">
        <v>85</v>
      </c>
      <c r="AI745" s="5" t="s">
        <v>2471</v>
      </c>
      <c r="AJ745" s="5">
        <v>82</v>
      </c>
      <c r="AK745" s="5">
        <v>505</v>
      </c>
      <c r="AL745" s="5">
        <v>300</v>
      </c>
      <c r="AM745" s="5">
        <v>205</v>
      </c>
      <c r="AN745" s="5">
        <v>0</v>
      </c>
      <c r="AO745" s="5">
        <v>10</v>
      </c>
      <c r="AP745" s="5">
        <v>0</v>
      </c>
      <c r="AQ745" s="5">
        <v>7</v>
      </c>
      <c r="AR745" s="5" t="s">
        <v>2472</v>
      </c>
      <c r="AT745" s="5">
        <v>0</v>
      </c>
      <c r="AU745" s="5">
        <v>65</v>
      </c>
      <c r="AV745" s="5" t="s">
        <v>2478</v>
      </c>
      <c r="AX745" s="5">
        <v>0</v>
      </c>
      <c r="AY745" s="5" t="s">
        <v>85</v>
      </c>
      <c r="AZ745" s="5">
        <v>15</v>
      </c>
      <c r="BA745" s="5">
        <v>61</v>
      </c>
      <c r="BB745" s="5">
        <v>22</v>
      </c>
      <c r="BC745" s="5">
        <v>39</v>
      </c>
      <c r="BD745" s="5">
        <v>10</v>
      </c>
      <c r="BE745" s="5">
        <v>0</v>
      </c>
      <c r="BF745" s="5">
        <v>0</v>
      </c>
      <c r="BH745" s="5">
        <v>0</v>
      </c>
      <c r="BI745" s="5">
        <v>5</v>
      </c>
      <c r="BJ745" s="5" t="s">
        <v>2478</v>
      </c>
      <c r="BL745" s="5">
        <v>0</v>
      </c>
      <c r="BM745" s="5">
        <v>15</v>
      </c>
      <c r="BN745" s="5" t="s">
        <v>85</v>
      </c>
      <c r="BO745" s="5">
        <v>53</v>
      </c>
      <c r="BP745" s="5">
        <v>382</v>
      </c>
      <c r="BQ745" s="5">
        <v>158</v>
      </c>
      <c r="BR745" s="5">
        <v>224</v>
      </c>
      <c r="BS745" s="5" t="s">
        <v>2492</v>
      </c>
      <c r="BT745" s="5">
        <v>0</v>
      </c>
      <c r="BU745" s="5">
        <v>53</v>
      </c>
      <c r="BV745" s="5">
        <v>0</v>
      </c>
      <c r="BW745" s="5">
        <v>0</v>
      </c>
      <c r="BX745" s="5">
        <v>0</v>
      </c>
      <c r="BZ745" s="5">
        <v>0</v>
      </c>
      <c r="CA745" s="5">
        <v>0</v>
      </c>
      <c r="CC745" s="5">
        <v>0</v>
      </c>
      <c r="CD745" s="5">
        <v>0</v>
      </c>
      <c r="CF745" s="1442" t="str">
        <f>IF([1]!sommaire[[#This Row],[présence des personnes déplacés interne]]="Oui","1","0")</f>
        <v>1</v>
      </c>
      <c r="CG745" s="1442" t="str">
        <f>IF([1]!sommaire[[#This Row],[présence Réfugié hors camp]]="Oui","1","0")</f>
        <v>1</v>
      </c>
      <c r="CH745" s="1442" t="str">
        <f>IF([1]!sommaire[[#This Row],[présence personnes retournées]]="Oui","1","0")</f>
        <v>1</v>
      </c>
      <c r="CI745" s="1442">
        <f>[1]!sommaire[[#This Row],[Flag PDI]]+[1]!sommaire[[#This Row],[Flag REF]]+[1]!sommaire[[#This Row],[Flag RET]]</f>
        <v>3</v>
      </c>
    </row>
    <row r="746" spans="1:87" ht="14.55" customHeight="1" x14ac:dyDescent="0.3">
      <c r="A746" s="390">
        <v>2589506</v>
      </c>
      <c r="B746" s="5" t="s">
        <v>533</v>
      </c>
      <c r="C746" s="1430" t="s">
        <v>3449</v>
      </c>
      <c r="D746" s="5" t="s">
        <v>534</v>
      </c>
      <c r="E746" s="5" t="s">
        <v>31</v>
      </c>
      <c r="F746" s="5" t="s">
        <v>31</v>
      </c>
      <c r="G746" s="5" t="s">
        <v>549</v>
      </c>
      <c r="H746" s="5" t="s">
        <v>172</v>
      </c>
      <c r="I746" s="5" t="str">
        <f>_xlfn.XLOOKUP(sommaire[[#This Row],[Arrondissement_code]],OCHA_GIS!$F:$F,OCHA_GIS!$E:$E,,)</f>
        <v>Waza</v>
      </c>
      <c r="J746" s="5" t="s">
        <v>706</v>
      </c>
      <c r="K746" t="s">
        <v>1864</v>
      </c>
      <c r="L746" s="5" t="s">
        <v>1835</v>
      </c>
      <c r="N746" s="5" t="s">
        <v>3053</v>
      </c>
      <c r="O746" s="5" t="s">
        <v>2467</v>
      </c>
      <c r="P746" s="5" t="s">
        <v>85</v>
      </c>
      <c r="Q746" s="5" t="s">
        <v>86</v>
      </c>
      <c r="R746" s="5" t="s">
        <v>86</v>
      </c>
      <c r="T746" s="390">
        <v>3</v>
      </c>
      <c r="U746" s="5" t="s">
        <v>97</v>
      </c>
      <c r="W746" s="5" t="s">
        <v>2468</v>
      </c>
      <c r="X746" s="5" t="s">
        <v>102</v>
      </c>
      <c r="AA746" s="5" t="s">
        <v>85</v>
      </c>
      <c r="AB746" s="5" t="s">
        <v>2473</v>
      </c>
      <c r="AC746" s="5" t="s">
        <v>2469</v>
      </c>
      <c r="AD746" s="5" t="s">
        <v>86</v>
      </c>
      <c r="AG746" s="5">
        <v>322</v>
      </c>
      <c r="AH746" s="5" t="s">
        <v>86</v>
      </c>
      <c r="AY746" s="5" t="s">
        <v>85</v>
      </c>
      <c r="AZ746" s="5">
        <v>10</v>
      </c>
      <c r="BA746" s="5">
        <v>66</v>
      </c>
      <c r="BB746" s="5">
        <v>28</v>
      </c>
      <c r="BC746" s="5">
        <v>38</v>
      </c>
      <c r="BD746" s="5">
        <v>2</v>
      </c>
      <c r="BE746" s="5">
        <v>0</v>
      </c>
      <c r="BF746" s="5">
        <v>0</v>
      </c>
      <c r="BH746" s="5">
        <v>0</v>
      </c>
      <c r="BI746" s="5">
        <v>8</v>
      </c>
      <c r="BJ746" s="5" t="s">
        <v>2478</v>
      </c>
      <c r="BL746" s="5">
        <v>0</v>
      </c>
      <c r="BM746" s="5">
        <v>10</v>
      </c>
      <c r="BN746" s="5" t="s">
        <v>86</v>
      </c>
      <c r="CD746" s="5">
        <v>0</v>
      </c>
      <c r="CF746" s="1442" t="str">
        <f>IF([1]!sommaire[[#This Row],[présence des personnes déplacés interne]]="Oui","1","0")</f>
        <v>0</v>
      </c>
      <c r="CG746" s="1442" t="str">
        <f>IF([1]!sommaire[[#This Row],[présence Réfugié hors camp]]="Oui","1","0")</f>
        <v>1</v>
      </c>
      <c r="CH746" s="1442" t="str">
        <f>IF([1]!sommaire[[#This Row],[présence personnes retournées]]="Oui","1","0")</f>
        <v>0</v>
      </c>
      <c r="CI746" s="1442">
        <f>[1]!sommaire[[#This Row],[Flag PDI]]+[1]!sommaire[[#This Row],[Flag REF]]+[1]!sommaire[[#This Row],[Flag RET]]</f>
        <v>1</v>
      </c>
    </row>
    <row r="747" spans="1:87" ht="14.55" customHeight="1" x14ac:dyDescent="0.3">
      <c r="A747" s="390">
        <v>2632876</v>
      </c>
      <c r="B747" s="5" t="s">
        <v>533</v>
      </c>
      <c r="C747" s="1430" t="s">
        <v>3449</v>
      </c>
      <c r="D747" s="5" t="s">
        <v>534</v>
      </c>
      <c r="E747" s="5" t="s">
        <v>31</v>
      </c>
      <c r="F747" s="5" t="s">
        <v>31</v>
      </c>
      <c r="G747" s="5" t="s">
        <v>549</v>
      </c>
      <c r="H747" s="5" t="s">
        <v>172</v>
      </c>
      <c r="I747" s="5" t="str">
        <f>_xlfn.XLOOKUP(sommaire[[#This Row],[Arrondissement_code]],OCHA_GIS!$F:$F,OCHA_GIS!$E:$E,,)</f>
        <v>Waza</v>
      </c>
      <c r="J747" s="5" t="s">
        <v>706</v>
      </c>
      <c r="K747" t="s">
        <v>972</v>
      </c>
      <c r="L747" s="5" t="s">
        <v>2791</v>
      </c>
      <c r="N747" s="5" t="s">
        <v>3053</v>
      </c>
      <c r="O747" s="5" t="s">
        <v>2467</v>
      </c>
      <c r="P747" s="5" t="s">
        <v>85</v>
      </c>
      <c r="Q747" s="5" t="s">
        <v>86</v>
      </c>
      <c r="R747" s="5" t="s">
        <v>86</v>
      </c>
      <c r="T747" s="390">
        <v>3</v>
      </c>
      <c r="U747" s="5" t="s">
        <v>97</v>
      </c>
      <c r="W747" s="5" t="s">
        <v>2468</v>
      </c>
      <c r="X747" s="5" t="s">
        <v>102</v>
      </c>
      <c r="AA747" s="5" t="s">
        <v>85</v>
      </c>
      <c r="AB747" s="5" t="s">
        <v>2473</v>
      </c>
      <c r="AC747" s="5" t="s">
        <v>2469</v>
      </c>
      <c r="AD747" s="5" t="s">
        <v>86</v>
      </c>
      <c r="AF747" s="5">
        <v>5</v>
      </c>
      <c r="AG747" s="5">
        <v>276</v>
      </c>
      <c r="AH747" s="5" t="s">
        <v>85</v>
      </c>
      <c r="AI747" s="5" t="s">
        <v>2471</v>
      </c>
      <c r="AJ747" s="5">
        <v>5</v>
      </c>
      <c r="AK747" s="5">
        <v>41</v>
      </c>
      <c r="AL747" s="5">
        <v>16</v>
      </c>
      <c r="AM747" s="5">
        <v>25</v>
      </c>
      <c r="AN747" s="5">
        <v>0</v>
      </c>
      <c r="AO747" s="5">
        <v>0</v>
      </c>
      <c r="AP747" s="5">
        <v>0</v>
      </c>
      <c r="AQ747" s="5">
        <v>0</v>
      </c>
      <c r="AT747" s="5">
        <v>0</v>
      </c>
      <c r="AU747" s="5">
        <v>5</v>
      </c>
      <c r="AV747" s="5" t="s">
        <v>2490</v>
      </c>
      <c r="AX747" s="5">
        <v>0</v>
      </c>
      <c r="AY747" s="5" t="s">
        <v>85</v>
      </c>
      <c r="AZ747" s="5">
        <v>38</v>
      </c>
      <c r="BA747" s="5">
        <v>235</v>
      </c>
      <c r="BB747" s="5">
        <v>135</v>
      </c>
      <c r="BC747" s="5">
        <v>100</v>
      </c>
      <c r="BD747" s="5">
        <v>0</v>
      </c>
      <c r="BE747" s="5">
        <v>0</v>
      </c>
      <c r="BF747" s="5">
        <v>0</v>
      </c>
      <c r="BH747" s="5">
        <v>0</v>
      </c>
      <c r="BI747" s="5">
        <v>38</v>
      </c>
      <c r="BJ747" s="5" t="s">
        <v>2490</v>
      </c>
      <c r="BL747" s="5">
        <v>0</v>
      </c>
      <c r="BM747" s="5">
        <v>35</v>
      </c>
      <c r="BN747" s="5" t="s">
        <v>86</v>
      </c>
      <c r="CD747" s="5">
        <v>0</v>
      </c>
      <c r="CF747" s="1442" t="str">
        <f>IF([1]!sommaire[[#This Row],[présence des personnes déplacés interne]]="Oui","1","0")</f>
        <v>1</v>
      </c>
      <c r="CG747" s="1442" t="str">
        <f>IF([1]!sommaire[[#This Row],[présence Réfugié hors camp]]="Oui","1","0")</f>
        <v>1</v>
      </c>
      <c r="CH747" s="1442" t="str">
        <f>IF([1]!sommaire[[#This Row],[présence personnes retournées]]="Oui","1","0")</f>
        <v>0</v>
      </c>
      <c r="CI747" s="1442">
        <f>[1]!sommaire[[#This Row],[Flag PDI]]+[1]!sommaire[[#This Row],[Flag REF]]+[1]!sommaire[[#This Row],[Flag RET]]</f>
        <v>2</v>
      </c>
    </row>
    <row r="748" spans="1:87" ht="14.55" customHeight="1" x14ac:dyDescent="0.3">
      <c r="A748" s="390">
        <v>2682610</v>
      </c>
      <c r="B748" s="5" t="s">
        <v>533</v>
      </c>
      <c r="C748" s="1430" t="s">
        <v>3449</v>
      </c>
      <c r="D748" s="1090" t="s">
        <v>534</v>
      </c>
      <c r="E748" s="5" t="s">
        <v>31</v>
      </c>
      <c r="F748" s="5" t="s">
        <v>31</v>
      </c>
      <c r="G748" s="5" t="s">
        <v>549</v>
      </c>
      <c r="H748" s="5" t="s">
        <v>173</v>
      </c>
      <c r="I748" s="5" t="str">
        <f>_xlfn.XLOOKUP(sommaire[[#This Row],[Arrondissement_code]],OCHA_GIS!$F:$F,OCHA_GIS!$E:$E,,)</f>
        <v>Zina</v>
      </c>
      <c r="J748" s="5" t="s">
        <v>556</v>
      </c>
      <c r="K748" t="s">
        <v>550</v>
      </c>
      <c r="L748" s="5" t="s">
        <v>3144</v>
      </c>
      <c r="M748" s="5" t="s">
        <v>3144</v>
      </c>
      <c r="N748" s="5" t="s">
        <v>3053</v>
      </c>
      <c r="O748" s="5" t="s">
        <v>2467</v>
      </c>
      <c r="P748" s="5" t="s">
        <v>85</v>
      </c>
      <c r="Q748" s="5" t="s">
        <v>86</v>
      </c>
      <c r="R748" s="5" t="s">
        <v>86</v>
      </c>
      <c r="T748" s="390">
        <v>4</v>
      </c>
      <c r="U748" s="5" t="s">
        <v>97</v>
      </c>
      <c r="W748" s="5" t="s">
        <v>2468</v>
      </c>
      <c r="X748" s="5" t="s">
        <v>101</v>
      </c>
      <c r="Y748" s="5" t="s">
        <v>2476</v>
      </c>
      <c r="AA748" s="5" t="s">
        <v>85</v>
      </c>
      <c r="AB748" s="5" t="s">
        <v>2469</v>
      </c>
      <c r="AC748" s="5" t="s">
        <v>2470</v>
      </c>
      <c r="AD748" s="5" t="s">
        <v>86</v>
      </c>
      <c r="AF748" s="5">
        <v>67</v>
      </c>
      <c r="AG748" s="5">
        <v>570</v>
      </c>
      <c r="AH748" s="5" t="s">
        <v>85</v>
      </c>
      <c r="AI748" s="5" t="s">
        <v>2471</v>
      </c>
      <c r="AJ748" s="5">
        <v>67</v>
      </c>
      <c r="AK748" s="5">
        <v>570</v>
      </c>
      <c r="AL748" s="5">
        <v>270</v>
      </c>
      <c r="AM748" s="5">
        <v>300</v>
      </c>
      <c r="AN748" s="5">
        <v>0</v>
      </c>
      <c r="AO748" s="5">
        <v>67</v>
      </c>
      <c r="AP748" s="5">
        <v>0</v>
      </c>
      <c r="AQ748" s="5">
        <v>0</v>
      </c>
      <c r="AT748" s="5">
        <v>0</v>
      </c>
      <c r="AU748" s="5">
        <v>0</v>
      </c>
      <c r="AX748" s="5">
        <v>0</v>
      </c>
      <c r="AY748" s="5" t="s">
        <v>86</v>
      </c>
      <c r="BN748" s="5" t="s">
        <v>86</v>
      </c>
      <c r="CD748" s="5">
        <v>0</v>
      </c>
      <c r="CF748" s="1442" t="str">
        <f>IF([1]!sommaire[[#This Row],[présence des personnes déplacés interne]]="Oui","1","0")</f>
        <v>1</v>
      </c>
      <c r="CG748" s="1442" t="str">
        <f>IF([1]!sommaire[[#This Row],[présence Réfugié hors camp]]="Oui","1","0")</f>
        <v>0</v>
      </c>
      <c r="CH748" s="1442" t="str">
        <f>IF([1]!sommaire[[#This Row],[présence personnes retournées]]="Oui","1","0")</f>
        <v>0</v>
      </c>
      <c r="CI748" s="1442">
        <f>[1]!sommaire[[#This Row],[Flag PDI]]+[1]!sommaire[[#This Row],[Flag REF]]+[1]!sommaire[[#This Row],[Flag RET]]</f>
        <v>1</v>
      </c>
    </row>
    <row r="749" spans="1:87" ht="14.55" customHeight="1" x14ac:dyDescent="0.3">
      <c r="A749" s="390">
        <v>2682473</v>
      </c>
      <c r="B749" s="5" t="s">
        <v>533</v>
      </c>
      <c r="C749" s="1430" t="s">
        <v>3449</v>
      </c>
      <c r="D749" s="1090" t="s">
        <v>534</v>
      </c>
      <c r="E749" s="5" t="s">
        <v>31</v>
      </c>
      <c r="F749" s="5" t="s">
        <v>31</v>
      </c>
      <c r="G749" s="5" t="s">
        <v>549</v>
      </c>
      <c r="H749" s="5" t="s">
        <v>173</v>
      </c>
      <c r="I749" s="5" t="str">
        <f>_xlfn.XLOOKUP(sommaire[[#This Row],[Arrondissement_code]],OCHA_GIS!$F:$F,OCHA_GIS!$E:$E,,)</f>
        <v>Zina</v>
      </c>
      <c r="J749" s="5" t="s">
        <v>556</v>
      </c>
      <c r="K749" t="s">
        <v>824</v>
      </c>
      <c r="L749" s="5" t="s">
        <v>607</v>
      </c>
      <c r="N749" s="5" t="s">
        <v>3053</v>
      </c>
      <c r="O749" s="5" t="s">
        <v>2467</v>
      </c>
      <c r="P749" s="5" t="s">
        <v>85</v>
      </c>
      <c r="Q749" s="5" t="s">
        <v>86</v>
      </c>
      <c r="R749" s="5" t="s">
        <v>86</v>
      </c>
      <c r="T749" s="390">
        <v>3</v>
      </c>
      <c r="U749" s="5" t="s">
        <v>97</v>
      </c>
      <c r="W749" s="5" t="s">
        <v>2468</v>
      </c>
      <c r="X749" s="5" t="s">
        <v>103</v>
      </c>
      <c r="Y749" s="5" t="s">
        <v>2476</v>
      </c>
      <c r="AA749" s="5" t="s">
        <v>86</v>
      </c>
      <c r="AD749" s="1090"/>
      <c r="AG749" s="5">
        <v>650</v>
      </c>
      <c r="AH749" s="1430" t="s">
        <v>86</v>
      </c>
      <c r="AY749" s="1430" t="s">
        <v>86</v>
      </c>
      <c r="BN749" s="1430" t="s">
        <v>86</v>
      </c>
      <c r="CF749" s="1442" t="str">
        <f>IF([1]!sommaire[[#This Row],[présence des personnes déplacés interne]]="Oui","1","0")</f>
        <v>0</v>
      </c>
      <c r="CG749" s="1442" t="str">
        <f>IF([1]!sommaire[[#This Row],[présence Réfugié hors camp]]="Oui","1","0")</f>
        <v>0</v>
      </c>
      <c r="CH749" s="1442" t="str">
        <f>IF([1]!sommaire[[#This Row],[présence personnes retournées]]="Oui","1","0")</f>
        <v>0</v>
      </c>
      <c r="CI749" s="1442">
        <f>[1]!sommaire[[#This Row],[Flag PDI]]+[1]!sommaire[[#This Row],[Flag REF]]+[1]!sommaire[[#This Row],[Flag RET]]</f>
        <v>0</v>
      </c>
    </row>
    <row r="750" spans="1:87" ht="14.55" customHeight="1" x14ac:dyDescent="0.3">
      <c r="A750" s="390">
        <v>2682474</v>
      </c>
      <c r="B750" s="5" t="s">
        <v>533</v>
      </c>
      <c r="C750" s="1430" t="s">
        <v>3449</v>
      </c>
      <c r="D750" s="1090" t="s">
        <v>534</v>
      </c>
      <c r="E750" s="5" t="s">
        <v>31</v>
      </c>
      <c r="F750" s="5" t="s">
        <v>31</v>
      </c>
      <c r="G750" s="5" t="s">
        <v>549</v>
      </c>
      <c r="H750" s="5" t="s">
        <v>173</v>
      </c>
      <c r="I750" s="5" t="str">
        <f>_xlfn.XLOOKUP(sommaire[[#This Row],[Arrondissement_code]],OCHA_GIS!$F:$F,OCHA_GIS!$E:$E,,)</f>
        <v>Zina</v>
      </c>
      <c r="J750" s="5" t="s">
        <v>556</v>
      </c>
      <c r="K750" t="s">
        <v>606</v>
      </c>
      <c r="L750" s="5" t="s">
        <v>2264</v>
      </c>
      <c r="N750" s="5" t="s">
        <v>3053</v>
      </c>
      <c r="O750" s="5" t="s">
        <v>2467</v>
      </c>
      <c r="P750" s="5" t="s">
        <v>85</v>
      </c>
      <c r="Q750" s="5" t="s">
        <v>86</v>
      </c>
      <c r="R750" s="5" t="s">
        <v>86</v>
      </c>
      <c r="T750" s="390">
        <v>3</v>
      </c>
      <c r="U750" s="5" t="s">
        <v>97</v>
      </c>
      <c r="W750" s="5" t="s">
        <v>2468</v>
      </c>
      <c r="X750" s="5" t="s">
        <v>103</v>
      </c>
      <c r="Y750" s="5" t="s">
        <v>2476</v>
      </c>
      <c r="AA750" s="5" t="s">
        <v>86</v>
      </c>
      <c r="AH750" s="1430" t="s">
        <v>86</v>
      </c>
      <c r="AY750" s="1430" t="s">
        <v>86</v>
      </c>
      <c r="BN750" s="1430" t="s">
        <v>86</v>
      </c>
      <c r="CF750" s="1442" t="str">
        <f>IF([1]!sommaire[[#This Row],[présence des personnes déplacés interne]]="Oui","1","0")</f>
        <v>0</v>
      </c>
      <c r="CG750" s="1442" t="str">
        <f>IF([1]!sommaire[[#This Row],[présence Réfugié hors camp]]="Oui","1","0")</f>
        <v>0</v>
      </c>
      <c r="CH750" s="1442" t="str">
        <f>IF([1]!sommaire[[#This Row],[présence personnes retournées]]="Oui","1","0")</f>
        <v>0</v>
      </c>
      <c r="CI750" s="1442">
        <f>[1]!sommaire[[#This Row],[Flag PDI]]+[1]!sommaire[[#This Row],[Flag REF]]+[1]!sommaire[[#This Row],[Flag RET]]</f>
        <v>0</v>
      </c>
    </row>
    <row r="751" spans="1:87" ht="14.55" customHeight="1" x14ac:dyDescent="0.3">
      <c r="A751" s="390">
        <v>2682467</v>
      </c>
      <c r="B751" s="5" t="s">
        <v>533</v>
      </c>
      <c r="C751" s="1430" t="s">
        <v>3449</v>
      </c>
      <c r="D751" s="1090" t="s">
        <v>534</v>
      </c>
      <c r="E751" s="5" t="s">
        <v>31</v>
      </c>
      <c r="F751" s="5" t="s">
        <v>31</v>
      </c>
      <c r="G751" s="5" t="s">
        <v>549</v>
      </c>
      <c r="H751" s="5" t="s">
        <v>173</v>
      </c>
      <c r="I751" s="5" t="str">
        <f>_xlfn.XLOOKUP(sommaire[[#This Row],[Arrondissement_code]],OCHA_GIS!$F:$F,OCHA_GIS!$E:$E,,)</f>
        <v>Zina</v>
      </c>
      <c r="J751" s="5" t="s">
        <v>556</v>
      </c>
      <c r="K751" t="s">
        <v>2813</v>
      </c>
      <c r="L751" s="5" t="s">
        <v>1104</v>
      </c>
      <c r="N751" s="5" t="s">
        <v>3053</v>
      </c>
      <c r="O751" s="5" t="s">
        <v>2467</v>
      </c>
      <c r="P751" s="5" t="s">
        <v>85</v>
      </c>
      <c r="Q751" s="5" t="s">
        <v>86</v>
      </c>
      <c r="R751" s="5" t="s">
        <v>86</v>
      </c>
      <c r="T751" s="390">
        <v>3</v>
      </c>
      <c r="U751" s="5" t="s">
        <v>97</v>
      </c>
      <c r="W751" s="5" t="s">
        <v>2468</v>
      </c>
      <c r="X751" s="5" t="s">
        <v>103</v>
      </c>
      <c r="Y751" s="5" t="s">
        <v>2476</v>
      </c>
      <c r="AA751" s="5" t="s">
        <v>86</v>
      </c>
      <c r="AH751" s="1430" t="s">
        <v>86</v>
      </c>
      <c r="AY751" s="1430" t="s">
        <v>86</v>
      </c>
      <c r="BN751" s="1430" t="s">
        <v>86</v>
      </c>
      <c r="CF751" s="1442" t="str">
        <f>IF([1]!sommaire[[#This Row],[présence des personnes déplacés interne]]="Oui","1","0")</f>
        <v>0</v>
      </c>
      <c r="CG751" s="1442" t="str">
        <f>IF([1]!sommaire[[#This Row],[présence Réfugié hors camp]]="Oui","1","0")</f>
        <v>0</v>
      </c>
      <c r="CH751" s="1442" t="str">
        <f>IF([1]!sommaire[[#This Row],[présence personnes retournées]]="Oui","1","0")</f>
        <v>0</v>
      </c>
      <c r="CI751" s="1442">
        <f>[1]!sommaire[[#This Row],[Flag PDI]]+[1]!sommaire[[#This Row],[Flag REF]]+[1]!sommaire[[#This Row],[Flag RET]]</f>
        <v>0</v>
      </c>
    </row>
    <row r="752" spans="1:87" ht="14.55" customHeight="1" x14ac:dyDescent="0.3">
      <c r="A752" s="390">
        <v>2682461</v>
      </c>
      <c r="B752" s="5" t="s">
        <v>533</v>
      </c>
      <c r="C752" s="1430" t="s">
        <v>3449</v>
      </c>
      <c r="D752" s="1090" t="s">
        <v>534</v>
      </c>
      <c r="E752" s="5" t="s">
        <v>31</v>
      </c>
      <c r="F752" s="5" t="s">
        <v>31</v>
      </c>
      <c r="G752" s="5" t="s">
        <v>549</v>
      </c>
      <c r="H752" s="5" t="s">
        <v>173</v>
      </c>
      <c r="I752" s="5" t="str">
        <f>_xlfn.XLOOKUP(sommaire[[#This Row],[Arrondissement_code]],OCHA_GIS!$F:$F,OCHA_GIS!$E:$E,,)</f>
        <v>Zina</v>
      </c>
      <c r="J752" s="5" t="s">
        <v>556</v>
      </c>
      <c r="K752" t="s">
        <v>1103</v>
      </c>
      <c r="L752" s="5" t="s">
        <v>1435</v>
      </c>
      <c r="N752" s="5" t="s">
        <v>3053</v>
      </c>
      <c r="O752" s="5" t="s">
        <v>2467</v>
      </c>
      <c r="P752" s="5" t="s">
        <v>85</v>
      </c>
      <c r="Q752" s="5" t="s">
        <v>86</v>
      </c>
      <c r="R752" s="5" t="s">
        <v>86</v>
      </c>
      <c r="T752" s="390">
        <v>3</v>
      </c>
      <c r="U752" s="5" t="s">
        <v>97</v>
      </c>
      <c r="W752" s="5" t="s">
        <v>2468</v>
      </c>
      <c r="X752" s="5" t="s">
        <v>103</v>
      </c>
      <c r="Y752" s="5" t="s">
        <v>2476</v>
      </c>
      <c r="AA752" s="5" t="s">
        <v>85</v>
      </c>
      <c r="AB752" s="5" t="s">
        <v>2469</v>
      </c>
      <c r="AC752" s="5" t="s">
        <v>2470</v>
      </c>
      <c r="AD752" s="5" t="s">
        <v>86</v>
      </c>
      <c r="AF752" s="5">
        <v>2</v>
      </c>
      <c r="AG752" s="5">
        <v>300</v>
      </c>
      <c r="AH752" s="5" t="s">
        <v>85</v>
      </c>
      <c r="AI752" s="5" t="s">
        <v>2471</v>
      </c>
      <c r="AJ752" s="5">
        <v>2</v>
      </c>
      <c r="AK752" s="5">
        <v>9</v>
      </c>
      <c r="AL752" s="5">
        <v>3</v>
      </c>
      <c r="AM752" s="5">
        <v>6</v>
      </c>
      <c r="AN752" s="5">
        <v>0</v>
      </c>
      <c r="AO752" s="5">
        <v>2</v>
      </c>
      <c r="AP752" s="5">
        <v>0</v>
      </c>
      <c r="AQ752" s="5">
        <v>0</v>
      </c>
      <c r="AT752" s="5">
        <v>0</v>
      </c>
      <c r="AU752" s="5">
        <v>0</v>
      </c>
      <c r="AX752" s="5">
        <v>0</v>
      </c>
      <c r="AY752" s="5" t="s">
        <v>86</v>
      </c>
      <c r="BN752" s="5" t="s">
        <v>86</v>
      </c>
      <c r="CD752" s="5">
        <v>0</v>
      </c>
      <c r="CF752" s="1442" t="str">
        <f>IF([1]!sommaire[[#This Row],[présence des personnes déplacés interne]]="Oui","1","0")</f>
        <v>1</v>
      </c>
      <c r="CG752" s="1442" t="str">
        <f>IF([1]!sommaire[[#This Row],[présence Réfugié hors camp]]="Oui","1","0")</f>
        <v>0</v>
      </c>
      <c r="CH752" s="1442" t="str">
        <f>IF([1]!sommaire[[#This Row],[présence personnes retournées]]="Oui","1","0")</f>
        <v>0</v>
      </c>
      <c r="CI752" s="1442">
        <f>[1]!sommaire[[#This Row],[Flag PDI]]+[1]!sommaire[[#This Row],[Flag REF]]+[1]!sommaire[[#This Row],[Flag RET]]</f>
        <v>1</v>
      </c>
    </row>
    <row r="753" spans="1:87" ht="14.55" customHeight="1" x14ac:dyDescent="0.3">
      <c r="A753" s="390">
        <v>2682471</v>
      </c>
      <c r="B753" s="5" t="s">
        <v>533</v>
      </c>
      <c r="C753" s="1430" t="s">
        <v>3449</v>
      </c>
      <c r="D753" s="1090" t="s">
        <v>534</v>
      </c>
      <c r="E753" s="5" t="s">
        <v>31</v>
      </c>
      <c r="F753" s="5" t="s">
        <v>31</v>
      </c>
      <c r="G753" s="5" t="s">
        <v>549</v>
      </c>
      <c r="H753" s="1090" t="s">
        <v>173</v>
      </c>
      <c r="I753" s="1090" t="str">
        <f>_xlfn.XLOOKUP(sommaire[[#This Row],[Arrondissement_code]],OCHA_GIS!$F:$F,OCHA_GIS!$E:$E,,)</f>
        <v>Zina</v>
      </c>
      <c r="J753" s="5" t="s">
        <v>556</v>
      </c>
      <c r="K753" t="s">
        <v>1432</v>
      </c>
      <c r="L753" s="5" t="s">
        <v>1537</v>
      </c>
      <c r="N753" s="5" t="s">
        <v>3053</v>
      </c>
      <c r="O753" s="5" t="s">
        <v>2467</v>
      </c>
      <c r="P753" s="5" t="s">
        <v>85</v>
      </c>
      <c r="Q753" s="5" t="s">
        <v>86</v>
      </c>
      <c r="R753" s="5" t="s">
        <v>86</v>
      </c>
      <c r="T753" s="390">
        <v>3</v>
      </c>
      <c r="U753" s="5" t="s">
        <v>97</v>
      </c>
      <c r="W753" s="5" t="s">
        <v>2468</v>
      </c>
      <c r="X753" s="5" t="s">
        <v>103</v>
      </c>
      <c r="Y753" s="5" t="s">
        <v>2476</v>
      </c>
      <c r="AA753" s="5" t="s">
        <v>86</v>
      </c>
      <c r="AD753" s="1090"/>
      <c r="AH753" s="1430" t="s">
        <v>86</v>
      </c>
      <c r="AY753" s="1430" t="s">
        <v>86</v>
      </c>
      <c r="BN753" s="1430" t="s">
        <v>86</v>
      </c>
      <c r="CF753" s="1442" t="str">
        <f>IF([1]!sommaire[[#This Row],[présence des personnes déplacés interne]]="Oui","1","0")</f>
        <v>0</v>
      </c>
      <c r="CG753" s="1442" t="str">
        <f>IF([1]!sommaire[[#This Row],[présence Réfugié hors camp]]="Oui","1","0")</f>
        <v>0</v>
      </c>
      <c r="CH753" s="1442" t="str">
        <f>IF([1]!sommaire[[#This Row],[présence personnes retournées]]="Oui","1","0")</f>
        <v>0</v>
      </c>
      <c r="CI753" s="1442">
        <f>[1]!sommaire[[#This Row],[Flag PDI]]+[1]!sommaire[[#This Row],[Flag REF]]+[1]!sommaire[[#This Row],[Flag RET]]</f>
        <v>0</v>
      </c>
    </row>
    <row r="754" spans="1:87" ht="14.55" customHeight="1" x14ac:dyDescent="0.3">
      <c r="A754" s="390">
        <v>2682470</v>
      </c>
      <c r="B754" s="5" t="s">
        <v>533</v>
      </c>
      <c r="C754" s="1430" t="s">
        <v>3449</v>
      </c>
      <c r="D754" s="1090" t="s">
        <v>534</v>
      </c>
      <c r="E754" s="5" t="s">
        <v>31</v>
      </c>
      <c r="F754" s="5" t="s">
        <v>31</v>
      </c>
      <c r="G754" s="5" t="s">
        <v>549</v>
      </c>
      <c r="H754" s="5" t="s">
        <v>173</v>
      </c>
      <c r="I754" s="5" t="str">
        <f>_xlfn.XLOOKUP(sommaire[[#This Row],[Arrondissement_code]],OCHA_GIS!$F:$F,OCHA_GIS!$E:$E,,)</f>
        <v>Zina</v>
      </c>
      <c r="J754" s="5" t="s">
        <v>556</v>
      </c>
      <c r="K754" t="s">
        <v>2263</v>
      </c>
      <c r="L754" s="5" t="s">
        <v>560</v>
      </c>
      <c r="N754" s="5" t="s">
        <v>3053</v>
      </c>
      <c r="O754" s="5" t="s">
        <v>2467</v>
      </c>
      <c r="P754" s="5" t="s">
        <v>85</v>
      </c>
      <c r="Q754" s="5" t="s">
        <v>86</v>
      </c>
      <c r="R754" s="5" t="s">
        <v>86</v>
      </c>
      <c r="T754" s="390">
        <v>3</v>
      </c>
      <c r="U754" s="5" t="s">
        <v>97</v>
      </c>
      <c r="W754" s="5" t="s">
        <v>2468</v>
      </c>
      <c r="X754" s="5" t="s">
        <v>103</v>
      </c>
      <c r="Y754" s="5" t="s">
        <v>2476</v>
      </c>
      <c r="AA754" s="5" t="s">
        <v>86</v>
      </c>
      <c r="AH754" s="1430" t="s">
        <v>86</v>
      </c>
      <c r="AY754" s="1430" t="s">
        <v>86</v>
      </c>
      <c r="BN754" s="1430" t="s">
        <v>86</v>
      </c>
      <c r="CF754" s="1442" t="str">
        <f>IF([1]!sommaire[[#This Row],[présence des personnes déplacés interne]]="Oui","1","0")</f>
        <v>0</v>
      </c>
      <c r="CG754" s="1442" t="str">
        <f>IF([1]!sommaire[[#This Row],[présence Réfugié hors camp]]="Oui","1","0")</f>
        <v>0</v>
      </c>
      <c r="CH754" s="1442" t="str">
        <f>IF([1]!sommaire[[#This Row],[présence personnes retournées]]="Oui","1","0")</f>
        <v>0</v>
      </c>
      <c r="CI754" s="1442">
        <f>[1]!sommaire[[#This Row],[Flag PDI]]+[1]!sommaire[[#This Row],[Flag REF]]+[1]!sommaire[[#This Row],[Flag RET]]</f>
        <v>0</v>
      </c>
    </row>
    <row r="755" spans="1:87" ht="14.55" customHeight="1" x14ac:dyDescent="0.3">
      <c r="A755" s="390">
        <v>2682468</v>
      </c>
      <c r="B755" s="5" t="s">
        <v>533</v>
      </c>
      <c r="C755" s="1430" t="s">
        <v>3449</v>
      </c>
      <c r="D755" s="1090" t="s">
        <v>534</v>
      </c>
      <c r="E755" s="5" t="s">
        <v>31</v>
      </c>
      <c r="F755" s="5" t="s">
        <v>31</v>
      </c>
      <c r="G755" s="5" t="s">
        <v>549</v>
      </c>
      <c r="H755" s="5" t="s">
        <v>173</v>
      </c>
      <c r="I755" s="5" t="str">
        <f>_xlfn.XLOOKUP(sommaire[[#This Row],[Arrondissement_code]],OCHA_GIS!$F:$F,OCHA_GIS!$E:$E,,)</f>
        <v>Zina</v>
      </c>
      <c r="J755" s="5" t="s">
        <v>556</v>
      </c>
      <c r="K755" t="s">
        <v>1434</v>
      </c>
      <c r="L755" s="5" t="s">
        <v>834</v>
      </c>
      <c r="N755" s="5" t="s">
        <v>3053</v>
      </c>
      <c r="O755" s="5" t="s">
        <v>2467</v>
      </c>
      <c r="P755" s="5" t="s">
        <v>86</v>
      </c>
      <c r="Q755" s="5" t="s">
        <v>85</v>
      </c>
      <c r="R755" s="5" t="s">
        <v>85</v>
      </c>
      <c r="S755" s="390">
        <v>7</v>
      </c>
      <c r="U755" s="5" t="s">
        <v>97</v>
      </c>
      <c r="W755" s="5" t="s">
        <v>2468</v>
      </c>
      <c r="X755" s="1090" t="s">
        <v>103</v>
      </c>
      <c r="Y755" s="5" t="s">
        <v>2476</v>
      </c>
      <c r="AA755" s="5" t="s">
        <v>86</v>
      </c>
      <c r="AH755" s="1430" t="s">
        <v>86</v>
      </c>
      <c r="AY755" s="1430" t="s">
        <v>86</v>
      </c>
      <c r="BN755" s="1430" t="s">
        <v>86</v>
      </c>
      <c r="CF755" s="1442" t="str">
        <f>IF([1]!sommaire[[#This Row],[présence des personnes déplacés interne]]="Oui","1","0")</f>
        <v>0</v>
      </c>
      <c r="CG755" s="1442" t="str">
        <f>IF([1]!sommaire[[#This Row],[présence Réfugié hors camp]]="Oui","1","0")</f>
        <v>0</v>
      </c>
      <c r="CH755" s="1442" t="str">
        <f>IF([1]!sommaire[[#This Row],[présence personnes retournées]]="Oui","1","0")</f>
        <v>0</v>
      </c>
      <c r="CI755" s="1442">
        <f>[1]!sommaire[[#This Row],[Flag PDI]]+[1]!sommaire[[#This Row],[Flag REF]]+[1]!sommaire[[#This Row],[Flag RET]]</f>
        <v>0</v>
      </c>
    </row>
    <row r="756" spans="1:87" ht="14.55" customHeight="1" x14ac:dyDescent="0.3">
      <c r="A756" s="390">
        <v>2682464</v>
      </c>
      <c r="B756" s="5" t="s">
        <v>533</v>
      </c>
      <c r="C756" s="1430" t="s">
        <v>3449</v>
      </c>
      <c r="D756" s="1090" t="s">
        <v>534</v>
      </c>
      <c r="E756" s="5" t="s">
        <v>31</v>
      </c>
      <c r="F756" s="5" t="s">
        <v>31</v>
      </c>
      <c r="G756" s="5" t="s">
        <v>549</v>
      </c>
      <c r="H756" s="5" t="s">
        <v>173</v>
      </c>
      <c r="I756" s="5" t="str">
        <f>_xlfn.XLOOKUP(sommaire[[#This Row],[Arrondissement_code]],OCHA_GIS!$F:$F,OCHA_GIS!$E:$E,,)</f>
        <v>Zina</v>
      </c>
      <c r="J756" s="5" t="s">
        <v>556</v>
      </c>
      <c r="K756" t="s">
        <v>831</v>
      </c>
      <c r="L756" s="5" t="s">
        <v>825</v>
      </c>
      <c r="N756" s="5" t="s">
        <v>3053</v>
      </c>
      <c r="O756" s="5" t="s">
        <v>2467</v>
      </c>
      <c r="P756" s="5" t="s">
        <v>85</v>
      </c>
      <c r="Q756" s="5" t="s">
        <v>86</v>
      </c>
      <c r="R756" s="5" t="s">
        <v>86</v>
      </c>
      <c r="T756" s="390">
        <v>3</v>
      </c>
      <c r="U756" s="5" t="s">
        <v>97</v>
      </c>
      <c r="W756" s="5" t="s">
        <v>2468</v>
      </c>
      <c r="X756" s="1090" t="s">
        <v>103</v>
      </c>
      <c r="Y756" s="5" t="s">
        <v>2476</v>
      </c>
      <c r="AA756" s="5" t="s">
        <v>86</v>
      </c>
      <c r="AH756" s="1430" t="s">
        <v>86</v>
      </c>
      <c r="AY756" s="1430" t="s">
        <v>86</v>
      </c>
      <c r="BN756" s="1430" t="s">
        <v>86</v>
      </c>
      <c r="CF756" s="1442" t="str">
        <f>IF([1]!sommaire[[#This Row],[présence des personnes déplacés interne]]="Oui","1","0")</f>
        <v>0</v>
      </c>
      <c r="CG756" s="1442" t="str">
        <f>IF([1]!sommaire[[#This Row],[présence Réfugié hors camp]]="Oui","1","0")</f>
        <v>0</v>
      </c>
      <c r="CH756" s="1442" t="str">
        <f>IF([1]!sommaire[[#This Row],[présence personnes retournées]]="Oui","1","0")</f>
        <v>0</v>
      </c>
      <c r="CI756" s="1442">
        <f>[1]!sommaire[[#This Row],[Flag PDI]]+[1]!sommaire[[#This Row],[Flag REF]]+[1]!sommaire[[#This Row],[Flag RET]]</f>
        <v>0</v>
      </c>
    </row>
    <row r="757" spans="1:87" ht="14.55" customHeight="1" x14ac:dyDescent="0.3">
      <c r="A757" s="390">
        <v>2682477</v>
      </c>
      <c r="B757" s="5" t="s">
        <v>533</v>
      </c>
      <c r="C757" s="1430" t="s">
        <v>3449</v>
      </c>
      <c r="D757" s="1090" t="s">
        <v>534</v>
      </c>
      <c r="E757" s="5" t="s">
        <v>31</v>
      </c>
      <c r="F757" s="5" t="s">
        <v>31</v>
      </c>
      <c r="G757" s="5" t="s">
        <v>549</v>
      </c>
      <c r="H757" s="5" t="s">
        <v>173</v>
      </c>
      <c r="I757" s="5" t="str">
        <f>_xlfn.XLOOKUP(sommaire[[#This Row],[Arrondissement_code]],OCHA_GIS!$F:$F,OCHA_GIS!$E:$E,,)</f>
        <v>Zina</v>
      </c>
      <c r="J757" s="5" t="s">
        <v>556</v>
      </c>
      <c r="K757" t="s">
        <v>559</v>
      </c>
      <c r="L757" s="5" t="s">
        <v>1442</v>
      </c>
      <c r="N757" s="5" t="s">
        <v>3053</v>
      </c>
      <c r="O757" s="5" t="s">
        <v>2467</v>
      </c>
      <c r="P757" s="5" t="s">
        <v>85</v>
      </c>
      <c r="Q757" s="5" t="s">
        <v>86</v>
      </c>
      <c r="R757" s="5" t="s">
        <v>86</v>
      </c>
      <c r="T757" s="390">
        <v>3</v>
      </c>
      <c r="U757" s="5" t="s">
        <v>99</v>
      </c>
      <c r="V757" s="5" t="s">
        <v>122</v>
      </c>
      <c r="W757" s="5" t="s">
        <v>2468</v>
      </c>
      <c r="X757" s="5" t="s">
        <v>103</v>
      </c>
      <c r="Y757" s="5" t="s">
        <v>2476</v>
      </c>
      <c r="AA757" s="5" t="s">
        <v>85</v>
      </c>
      <c r="AB757" s="5" t="s">
        <v>2469</v>
      </c>
      <c r="AC757" s="5" t="s">
        <v>2470</v>
      </c>
      <c r="AD757" s="5" t="s">
        <v>86</v>
      </c>
      <c r="AG757" s="5">
        <v>430</v>
      </c>
      <c r="AH757" s="5" t="s">
        <v>86</v>
      </c>
      <c r="AY757" s="5" t="s">
        <v>86</v>
      </c>
      <c r="BN757" s="5" t="s">
        <v>85</v>
      </c>
      <c r="BO757" s="5">
        <v>4</v>
      </c>
      <c r="BP757" s="5">
        <v>28</v>
      </c>
      <c r="BQ757" s="5">
        <v>13</v>
      </c>
      <c r="BR757" s="5">
        <v>15</v>
      </c>
      <c r="BS757" s="5" t="s">
        <v>2492</v>
      </c>
      <c r="BT757" s="5">
        <v>4</v>
      </c>
      <c r="BU757" s="5">
        <v>0</v>
      </c>
      <c r="BV757" s="5">
        <v>0</v>
      </c>
      <c r="BW757" s="5">
        <v>0</v>
      </c>
      <c r="BX757" s="5">
        <v>0</v>
      </c>
      <c r="BZ757" s="5">
        <v>0</v>
      </c>
      <c r="CA757" s="5">
        <v>0</v>
      </c>
      <c r="CC757" s="5">
        <v>0</v>
      </c>
      <c r="CD757" s="5">
        <v>0</v>
      </c>
      <c r="CF757" s="1442" t="str">
        <f>IF([1]!sommaire[[#This Row],[présence des personnes déplacés interne]]="Oui","1","0")</f>
        <v>0</v>
      </c>
      <c r="CG757" s="1442" t="str">
        <f>IF([1]!sommaire[[#This Row],[présence Réfugié hors camp]]="Oui","1","0")</f>
        <v>0</v>
      </c>
      <c r="CH757" s="1442" t="str">
        <f>IF([1]!sommaire[[#This Row],[présence personnes retournées]]="Oui","1","0")</f>
        <v>1</v>
      </c>
      <c r="CI757" s="1442">
        <f>[1]!sommaire[[#This Row],[Flag PDI]]+[1]!sommaire[[#This Row],[Flag REF]]+[1]!sommaire[[#This Row],[Flag RET]]</f>
        <v>1</v>
      </c>
    </row>
    <row r="758" spans="1:87" ht="14.55" customHeight="1" x14ac:dyDescent="0.3">
      <c r="A758" s="390">
        <v>2682466</v>
      </c>
      <c r="B758" s="5" t="s">
        <v>533</v>
      </c>
      <c r="C758" s="1430" t="s">
        <v>3449</v>
      </c>
      <c r="D758" s="1090" t="s">
        <v>534</v>
      </c>
      <c r="E758" s="5" t="s">
        <v>31</v>
      </c>
      <c r="F758" s="5" t="s">
        <v>31</v>
      </c>
      <c r="G758" s="5" t="s">
        <v>549</v>
      </c>
      <c r="H758" s="5" t="s">
        <v>173</v>
      </c>
      <c r="I758" s="5" t="str">
        <f>_xlfn.XLOOKUP(sommaire[[#This Row],[Arrondissement_code]],OCHA_GIS!$F:$F,OCHA_GIS!$E:$E,,)</f>
        <v>Zina</v>
      </c>
      <c r="J758" s="5" t="s">
        <v>556</v>
      </c>
      <c r="K758" t="s">
        <v>1441</v>
      </c>
      <c r="L758" s="5" t="s">
        <v>1590</v>
      </c>
      <c r="N758" s="5" t="s">
        <v>3053</v>
      </c>
      <c r="O758" s="5" t="s">
        <v>2467</v>
      </c>
      <c r="P758" s="5" t="s">
        <v>85</v>
      </c>
      <c r="Q758" s="5" t="s">
        <v>86</v>
      </c>
      <c r="R758" s="5" t="s">
        <v>86</v>
      </c>
      <c r="T758" s="390">
        <v>3</v>
      </c>
      <c r="U758" s="5" t="s">
        <v>97</v>
      </c>
      <c r="W758" s="5" t="s">
        <v>2468</v>
      </c>
      <c r="X758" s="5" t="s">
        <v>103</v>
      </c>
      <c r="Y758" s="5" t="s">
        <v>2476</v>
      </c>
      <c r="AA758" s="5" t="s">
        <v>85</v>
      </c>
      <c r="AB758" s="5" t="s">
        <v>2469</v>
      </c>
      <c r="AC758" s="5" t="s">
        <v>2470</v>
      </c>
      <c r="AD758" s="5" t="s">
        <v>86</v>
      </c>
      <c r="AF758" s="5">
        <v>4</v>
      </c>
      <c r="AG758" s="5">
        <v>3000</v>
      </c>
      <c r="AH758" s="5" t="s">
        <v>85</v>
      </c>
      <c r="AI758" s="5" t="s">
        <v>2471</v>
      </c>
      <c r="AJ758" s="5">
        <v>4</v>
      </c>
      <c r="AK758" s="5">
        <v>30</v>
      </c>
      <c r="AL758" s="5">
        <v>10</v>
      </c>
      <c r="AM758" s="5">
        <v>20</v>
      </c>
      <c r="AN758" s="5">
        <v>0</v>
      </c>
      <c r="AO758" s="5">
        <v>4</v>
      </c>
      <c r="AP758" s="5">
        <v>0</v>
      </c>
      <c r="AQ758" s="5">
        <v>0</v>
      </c>
      <c r="AT758" s="5">
        <v>0</v>
      </c>
      <c r="AU758" s="5">
        <v>0</v>
      </c>
      <c r="AX758" s="5">
        <v>0</v>
      </c>
      <c r="AY758" s="5" t="s">
        <v>86</v>
      </c>
      <c r="BN758" s="5" t="s">
        <v>86</v>
      </c>
      <c r="CD758" s="5">
        <v>0</v>
      </c>
      <c r="CF758" s="1442" t="str">
        <f>IF([1]!sommaire[[#This Row],[présence des personnes déplacés interne]]="Oui","1","0")</f>
        <v>1</v>
      </c>
      <c r="CG758" s="1442" t="str">
        <f>IF([1]!sommaire[[#This Row],[présence Réfugié hors camp]]="Oui","1","0")</f>
        <v>0</v>
      </c>
      <c r="CH758" s="1442" t="str">
        <f>IF([1]!sommaire[[#This Row],[présence personnes retournées]]="Oui","1","0")</f>
        <v>0</v>
      </c>
      <c r="CI758" s="1442">
        <f>[1]!sommaire[[#This Row],[Flag PDI]]+[1]!sommaire[[#This Row],[Flag REF]]+[1]!sommaire[[#This Row],[Flag RET]]</f>
        <v>1</v>
      </c>
    </row>
    <row r="759" spans="1:87" ht="14.55" customHeight="1" x14ac:dyDescent="0.3">
      <c r="A759" s="390">
        <v>2682472</v>
      </c>
      <c r="B759" s="5" t="s">
        <v>533</v>
      </c>
      <c r="C759" s="1430" t="s">
        <v>3449</v>
      </c>
      <c r="D759" s="1090" t="s">
        <v>534</v>
      </c>
      <c r="E759" s="5" t="s">
        <v>31</v>
      </c>
      <c r="F759" s="5" t="s">
        <v>31</v>
      </c>
      <c r="G759" s="5" t="s">
        <v>549</v>
      </c>
      <c r="H759" s="5" t="s">
        <v>173</v>
      </c>
      <c r="I759" s="5" t="str">
        <f>_xlfn.XLOOKUP(sommaire[[#This Row],[Arrondissement_code]],OCHA_GIS!$F:$F,OCHA_GIS!$E:$E,,)</f>
        <v>Zina</v>
      </c>
      <c r="J759" s="5" t="s">
        <v>556</v>
      </c>
      <c r="K759" t="s">
        <v>833</v>
      </c>
      <c r="L759" s="5" t="s">
        <v>1142</v>
      </c>
      <c r="N759" s="5" t="s">
        <v>3053</v>
      </c>
      <c r="O759" s="5" t="s">
        <v>2467</v>
      </c>
      <c r="P759" s="5" t="s">
        <v>85</v>
      </c>
      <c r="Q759" s="5" t="s">
        <v>86</v>
      </c>
      <c r="R759" s="5" t="s">
        <v>86</v>
      </c>
      <c r="T759" s="390">
        <v>3</v>
      </c>
      <c r="U759" s="5" t="s">
        <v>97</v>
      </c>
      <c r="W759" s="5" t="s">
        <v>2468</v>
      </c>
      <c r="X759" s="5" t="s">
        <v>103</v>
      </c>
      <c r="Y759" s="5" t="s">
        <v>2476</v>
      </c>
      <c r="AA759" s="5" t="s">
        <v>86</v>
      </c>
      <c r="AH759" s="1430" t="s">
        <v>86</v>
      </c>
      <c r="AY759" s="1430" t="s">
        <v>86</v>
      </c>
      <c r="BN759" s="1430" t="s">
        <v>86</v>
      </c>
      <c r="CF759" s="1442" t="str">
        <f>IF([1]!sommaire[[#This Row],[présence des personnes déplacés interne]]="Oui","1","0")</f>
        <v>0</v>
      </c>
      <c r="CG759" s="1442" t="str">
        <f>IF([1]!sommaire[[#This Row],[présence Réfugié hors camp]]="Oui","1","0")</f>
        <v>0</v>
      </c>
      <c r="CH759" s="1442" t="str">
        <f>IF([1]!sommaire[[#This Row],[présence personnes retournées]]="Oui","1","0")</f>
        <v>0</v>
      </c>
      <c r="CI759" s="1442">
        <f>[1]!sommaire[[#This Row],[Flag PDI]]+[1]!sommaire[[#This Row],[Flag REF]]+[1]!sommaire[[#This Row],[Flag RET]]</f>
        <v>0</v>
      </c>
    </row>
    <row r="760" spans="1:87" ht="14.55" customHeight="1" x14ac:dyDescent="0.3">
      <c r="A760" s="390">
        <v>2682469</v>
      </c>
      <c r="B760" s="5" t="s">
        <v>533</v>
      </c>
      <c r="C760" s="1430" t="s">
        <v>3449</v>
      </c>
      <c r="D760" s="1090" t="s">
        <v>534</v>
      </c>
      <c r="E760" s="5" t="s">
        <v>31</v>
      </c>
      <c r="F760" s="5" t="s">
        <v>31</v>
      </c>
      <c r="G760" s="5" t="s">
        <v>549</v>
      </c>
      <c r="H760" s="5" t="s">
        <v>173</v>
      </c>
      <c r="I760" s="5" t="str">
        <f>_xlfn.XLOOKUP(sommaire[[#This Row],[Arrondissement_code]],OCHA_GIS!$F:$F,OCHA_GIS!$E:$E,,)</f>
        <v>Zina</v>
      </c>
      <c r="J760" s="5" t="s">
        <v>556</v>
      </c>
      <c r="K760" t="s">
        <v>1105</v>
      </c>
      <c r="L760" s="5" t="s">
        <v>832</v>
      </c>
      <c r="N760" s="5" t="s">
        <v>3053</v>
      </c>
      <c r="O760" s="5" t="s">
        <v>2467</v>
      </c>
      <c r="P760" s="5" t="s">
        <v>86</v>
      </c>
      <c r="Q760" s="5" t="s">
        <v>86</v>
      </c>
      <c r="R760" s="5" t="s">
        <v>85</v>
      </c>
      <c r="U760" s="5" t="s">
        <v>97</v>
      </c>
      <c r="W760" s="5" t="s">
        <v>2468</v>
      </c>
      <c r="X760" s="5" t="s">
        <v>103</v>
      </c>
      <c r="Y760" s="5" t="s">
        <v>2476</v>
      </c>
      <c r="AA760" s="5" t="s">
        <v>85</v>
      </c>
      <c r="AB760" s="5" t="s">
        <v>2469</v>
      </c>
      <c r="AC760" s="5" t="s">
        <v>2470</v>
      </c>
      <c r="AD760" s="5" t="s">
        <v>86</v>
      </c>
      <c r="AG760" s="5">
        <v>1000</v>
      </c>
      <c r="AH760" s="5" t="s">
        <v>86</v>
      </c>
      <c r="AY760" s="5" t="s">
        <v>86</v>
      </c>
      <c r="BN760" s="5" t="s">
        <v>85</v>
      </c>
      <c r="BO760" s="5">
        <v>20</v>
      </c>
      <c r="BP760" s="5">
        <v>100</v>
      </c>
      <c r="BQ760" s="5">
        <v>40</v>
      </c>
      <c r="BR760" s="5">
        <v>60</v>
      </c>
      <c r="BS760" s="5" t="s">
        <v>2492</v>
      </c>
      <c r="BT760" s="5">
        <v>0</v>
      </c>
      <c r="BU760" s="5">
        <v>0</v>
      </c>
      <c r="BV760" s="5">
        <v>20</v>
      </c>
      <c r="BW760" s="5">
        <v>0</v>
      </c>
      <c r="BX760" s="5">
        <v>0</v>
      </c>
      <c r="BZ760" s="5">
        <v>0</v>
      </c>
      <c r="CA760" s="5">
        <v>0</v>
      </c>
      <c r="CC760" s="5">
        <v>0</v>
      </c>
      <c r="CD760" s="5">
        <v>0</v>
      </c>
      <c r="CF760" s="1442" t="str">
        <f>IF([1]!sommaire[[#This Row],[présence des personnes déplacés interne]]="Oui","1","0")</f>
        <v>0</v>
      </c>
      <c r="CG760" s="1442" t="str">
        <f>IF([1]!sommaire[[#This Row],[présence Réfugié hors camp]]="Oui","1","0")</f>
        <v>0</v>
      </c>
      <c r="CH760" s="1442" t="str">
        <f>IF([1]!sommaire[[#This Row],[présence personnes retournées]]="Oui","1","0")</f>
        <v>1</v>
      </c>
      <c r="CI760" s="1442">
        <f>[1]!sommaire[[#This Row],[Flag PDI]]+[1]!sommaire[[#This Row],[Flag REF]]+[1]!sommaire[[#This Row],[Flag RET]]</f>
        <v>1</v>
      </c>
    </row>
    <row r="761" spans="1:87" ht="14.55" customHeight="1" x14ac:dyDescent="0.3">
      <c r="A761" s="390">
        <v>2682475</v>
      </c>
      <c r="B761" s="5" t="s">
        <v>533</v>
      </c>
      <c r="C761" s="1430" t="s">
        <v>3449</v>
      </c>
      <c r="D761" s="1090" t="s">
        <v>534</v>
      </c>
      <c r="E761" s="5" t="s">
        <v>31</v>
      </c>
      <c r="F761" s="5" t="s">
        <v>31</v>
      </c>
      <c r="G761" s="5" t="s">
        <v>549</v>
      </c>
      <c r="H761" s="5" t="s">
        <v>173</v>
      </c>
      <c r="I761" s="5" t="str">
        <f>_xlfn.XLOOKUP(sommaire[[#This Row],[Arrondissement_code]],OCHA_GIS!$F:$F,OCHA_GIS!$E:$E,,)</f>
        <v>Zina</v>
      </c>
      <c r="J761" s="5" t="s">
        <v>556</v>
      </c>
      <c r="K761" t="s">
        <v>1141</v>
      </c>
      <c r="L761" s="5" t="s">
        <v>2712</v>
      </c>
      <c r="N761" s="5" t="s">
        <v>3053</v>
      </c>
      <c r="O761" s="5" t="s">
        <v>2467</v>
      </c>
      <c r="P761" s="5" t="s">
        <v>85</v>
      </c>
      <c r="Q761" s="5" t="s">
        <v>86</v>
      </c>
      <c r="R761" s="5" t="s">
        <v>86</v>
      </c>
      <c r="T761" s="390">
        <v>4</v>
      </c>
      <c r="U761" s="5" t="s">
        <v>97</v>
      </c>
      <c r="W761" s="5" t="s">
        <v>2468</v>
      </c>
      <c r="X761" s="5" t="s">
        <v>103</v>
      </c>
      <c r="Y761" s="5" t="s">
        <v>2476</v>
      </c>
      <c r="AA761" s="5" t="s">
        <v>86</v>
      </c>
      <c r="AH761" s="1430" t="s">
        <v>86</v>
      </c>
      <c r="AY761" s="1430" t="s">
        <v>86</v>
      </c>
      <c r="BN761" s="1430" t="s">
        <v>86</v>
      </c>
      <c r="CF761" s="1442" t="str">
        <f>IF([1]!sommaire[[#This Row],[présence des personnes déplacés interne]]="Oui","1","0")</f>
        <v>0</v>
      </c>
      <c r="CG761" s="1442" t="str">
        <f>IF([1]!sommaire[[#This Row],[présence Réfugié hors camp]]="Oui","1","0")</f>
        <v>0</v>
      </c>
      <c r="CH761" s="1442" t="str">
        <f>IF([1]!sommaire[[#This Row],[présence personnes retournées]]="Oui","1","0")</f>
        <v>0</v>
      </c>
      <c r="CI761" s="1442">
        <f>[1]!sommaire[[#This Row],[Flag PDI]]+[1]!sommaire[[#This Row],[Flag REF]]+[1]!sommaire[[#This Row],[Flag RET]]</f>
        <v>0</v>
      </c>
    </row>
    <row r="762" spans="1:87" ht="14.55" customHeight="1" x14ac:dyDescent="0.3">
      <c r="A762" s="390">
        <v>2604421</v>
      </c>
      <c r="B762" s="5" t="s">
        <v>533</v>
      </c>
      <c r="C762" s="1430" t="s">
        <v>3449</v>
      </c>
      <c r="D762" s="1090" t="s">
        <v>534</v>
      </c>
      <c r="E762" s="5" t="s">
        <v>31</v>
      </c>
      <c r="F762" s="5" t="s">
        <v>31</v>
      </c>
      <c r="G762" s="5" t="s">
        <v>549</v>
      </c>
      <c r="H762" s="5" t="s">
        <v>173</v>
      </c>
      <c r="I762" s="5" t="str">
        <f>_xlfn.XLOOKUP(sommaire[[#This Row],[Arrondissement_code]],OCHA_GIS!$F:$F,OCHA_GIS!$E:$E,,)</f>
        <v>Zina</v>
      </c>
      <c r="J762" s="5" t="s">
        <v>556</v>
      </c>
      <c r="K762" t="s">
        <v>2711</v>
      </c>
      <c r="L762" s="5" t="s">
        <v>1440</v>
      </c>
      <c r="N762" s="5" t="s">
        <v>3053</v>
      </c>
      <c r="O762" s="5" t="s">
        <v>2467</v>
      </c>
      <c r="P762" s="5" t="s">
        <v>85</v>
      </c>
      <c r="Q762" s="5" t="s">
        <v>86</v>
      </c>
      <c r="R762" s="5" t="s">
        <v>86</v>
      </c>
      <c r="T762" s="390">
        <v>3</v>
      </c>
      <c r="U762" s="5" t="s">
        <v>97</v>
      </c>
      <c r="W762" s="5" t="s">
        <v>2468</v>
      </c>
      <c r="X762" s="5" t="s">
        <v>103</v>
      </c>
      <c r="Y762" s="5" t="s">
        <v>2476</v>
      </c>
      <c r="AA762" s="5" t="s">
        <v>85</v>
      </c>
      <c r="AB762" s="5" t="s">
        <v>2469</v>
      </c>
      <c r="AC762" s="5" t="s">
        <v>2470</v>
      </c>
      <c r="AD762" s="5" t="s">
        <v>86</v>
      </c>
      <c r="AF762" s="5">
        <v>4</v>
      </c>
      <c r="AG762" s="5">
        <v>360</v>
      </c>
      <c r="AH762" s="5" t="s">
        <v>85</v>
      </c>
      <c r="AI762" s="5" t="s">
        <v>2471</v>
      </c>
      <c r="AJ762" s="5">
        <v>4</v>
      </c>
      <c r="AK762" s="5">
        <v>40</v>
      </c>
      <c r="AL762" s="5">
        <v>19</v>
      </c>
      <c r="AM762" s="5">
        <v>21</v>
      </c>
      <c r="AN762" s="5">
        <v>0</v>
      </c>
      <c r="AO762" s="5">
        <v>4</v>
      </c>
      <c r="AP762" s="5">
        <v>0</v>
      </c>
      <c r="AQ762" s="5">
        <v>0</v>
      </c>
      <c r="AT762" s="5">
        <v>0</v>
      </c>
      <c r="AU762" s="5">
        <v>0</v>
      </c>
      <c r="AX762" s="5">
        <v>0</v>
      </c>
      <c r="AY762" s="5" t="s">
        <v>86</v>
      </c>
      <c r="BN762" s="5" t="s">
        <v>86</v>
      </c>
      <c r="CD762" s="5">
        <v>0</v>
      </c>
      <c r="CF762" s="1442" t="str">
        <f>IF([1]!sommaire[[#This Row],[présence des personnes déplacés interne]]="Oui","1","0")</f>
        <v>1</v>
      </c>
      <c r="CG762" s="1442" t="str">
        <f>IF([1]!sommaire[[#This Row],[présence Réfugié hors camp]]="Oui","1","0")</f>
        <v>0</v>
      </c>
      <c r="CH762" s="1442" t="str">
        <f>IF([1]!sommaire[[#This Row],[présence personnes retournées]]="Oui","1","0")</f>
        <v>0</v>
      </c>
      <c r="CI762" s="1442">
        <f>[1]!sommaire[[#This Row],[Flag PDI]]+[1]!sommaire[[#This Row],[Flag REF]]+[1]!sommaire[[#This Row],[Flag RET]]</f>
        <v>1</v>
      </c>
    </row>
    <row r="763" spans="1:87" ht="14.55" customHeight="1" x14ac:dyDescent="0.3">
      <c r="A763" s="390">
        <v>2682476</v>
      </c>
      <c r="B763" s="5" t="s">
        <v>533</v>
      </c>
      <c r="C763" s="1430" t="s">
        <v>3449</v>
      </c>
      <c r="D763" s="1090" t="s">
        <v>534</v>
      </c>
      <c r="E763" s="5" t="s">
        <v>31</v>
      </c>
      <c r="F763" s="5" t="s">
        <v>31</v>
      </c>
      <c r="G763" s="5" t="s">
        <v>549</v>
      </c>
      <c r="H763" s="5" t="s">
        <v>173</v>
      </c>
      <c r="I763" s="5" t="str">
        <f>_xlfn.XLOOKUP(sommaire[[#This Row],[Arrondissement_code]],OCHA_GIS!$F:$F,OCHA_GIS!$E:$E,,)</f>
        <v>Zina</v>
      </c>
      <c r="J763" s="5" t="s">
        <v>556</v>
      </c>
      <c r="K763" t="s">
        <v>1439</v>
      </c>
      <c r="L763" s="5" t="s">
        <v>1144</v>
      </c>
      <c r="N763" s="5" t="s">
        <v>3053</v>
      </c>
      <c r="O763" s="5" t="s">
        <v>2467</v>
      </c>
      <c r="P763" s="5" t="s">
        <v>85</v>
      </c>
      <c r="Q763" s="5" t="s">
        <v>86</v>
      </c>
      <c r="R763" s="5" t="s">
        <v>86</v>
      </c>
      <c r="T763" s="390">
        <v>3</v>
      </c>
      <c r="U763" s="5" t="s">
        <v>99</v>
      </c>
      <c r="V763" s="5" t="s">
        <v>122</v>
      </c>
      <c r="W763" s="5" t="s">
        <v>2468</v>
      </c>
      <c r="X763" s="5" t="s">
        <v>103</v>
      </c>
      <c r="Y763" s="5" t="s">
        <v>2476</v>
      </c>
      <c r="AA763" s="5" t="s">
        <v>85</v>
      </c>
      <c r="AB763" s="5" t="s">
        <v>2469</v>
      </c>
      <c r="AC763" s="5" t="s">
        <v>2470</v>
      </c>
      <c r="AD763" s="5" t="s">
        <v>86</v>
      </c>
      <c r="AF763" s="5">
        <v>10</v>
      </c>
      <c r="AG763" s="5">
        <v>230</v>
      </c>
      <c r="AH763" s="5" t="s">
        <v>85</v>
      </c>
      <c r="AI763" s="5" t="s">
        <v>2485</v>
      </c>
      <c r="AJ763" s="5">
        <v>10</v>
      </c>
      <c r="AK763" s="5">
        <v>78</v>
      </c>
      <c r="AL763" s="5">
        <v>28</v>
      </c>
      <c r="AM763" s="5">
        <v>50</v>
      </c>
      <c r="AN763" s="5">
        <v>0</v>
      </c>
      <c r="AO763" s="5">
        <v>10</v>
      </c>
      <c r="AP763" s="5">
        <v>0</v>
      </c>
      <c r="AQ763" s="5">
        <v>0</v>
      </c>
      <c r="AT763" s="5">
        <v>0</v>
      </c>
      <c r="AU763" s="5">
        <v>0</v>
      </c>
      <c r="AX763" s="5">
        <v>0</v>
      </c>
      <c r="AY763" s="5" t="s">
        <v>86</v>
      </c>
      <c r="BN763" s="5" t="s">
        <v>86</v>
      </c>
      <c r="CD763" s="5">
        <v>0</v>
      </c>
      <c r="CF763" s="1442" t="str">
        <f>IF([1]!sommaire[[#This Row],[présence des personnes déplacés interne]]="Oui","1","0")</f>
        <v>1</v>
      </c>
      <c r="CG763" s="1442" t="str">
        <f>IF([1]!sommaire[[#This Row],[présence Réfugié hors camp]]="Oui","1","0")</f>
        <v>0</v>
      </c>
      <c r="CH763" s="1442" t="str">
        <f>IF([1]!sommaire[[#This Row],[présence personnes retournées]]="Oui","1","0")</f>
        <v>0</v>
      </c>
      <c r="CI763" s="1442">
        <f>[1]!sommaire[[#This Row],[Flag PDI]]+[1]!sommaire[[#This Row],[Flag REF]]+[1]!sommaire[[#This Row],[Flag RET]]</f>
        <v>1</v>
      </c>
    </row>
    <row r="764" spans="1:87" ht="14.55" customHeight="1" x14ac:dyDescent="0.3">
      <c r="A764" s="390">
        <v>2682460</v>
      </c>
      <c r="B764" s="5" t="s">
        <v>533</v>
      </c>
      <c r="C764" s="1430" t="s">
        <v>3449</v>
      </c>
      <c r="D764" s="1090" t="s">
        <v>534</v>
      </c>
      <c r="E764" s="5" t="s">
        <v>31</v>
      </c>
      <c r="F764" s="5" t="s">
        <v>31</v>
      </c>
      <c r="G764" s="5" t="s">
        <v>549</v>
      </c>
      <c r="H764" s="5" t="s">
        <v>173</v>
      </c>
      <c r="I764" s="5" t="str">
        <f>_xlfn.XLOOKUP(sommaire[[#This Row],[Arrondissement_code]],OCHA_GIS!$F:$F,OCHA_GIS!$E:$E,,)</f>
        <v>Zina</v>
      </c>
      <c r="J764" s="5" t="s">
        <v>556</v>
      </c>
      <c r="K764" t="s">
        <v>1143</v>
      </c>
      <c r="L764" s="5" t="s">
        <v>1605</v>
      </c>
      <c r="N764" s="5" t="s">
        <v>3053</v>
      </c>
      <c r="O764" s="5" t="s">
        <v>2467</v>
      </c>
      <c r="P764" s="5" t="s">
        <v>85</v>
      </c>
      <c r="Q764" s="5" t="s">
        <v>86</v>
      </c>
      <c r="R764" s="5" t="s">
        <v>86</v>
      </c>
      <c r="T764" s="390">
        <v>3</v>
      </c>
      <c r="U764" s="5" t="s">
        <v>97</v>
      </c>
      <c r="W764" s="5" t="s">
        <v>2468</v>
      </c>
      <c r="X764" s="1090" t="s">
        <v>103</v>
      </c>
      <c r="Y764" s="5" t="s">
        <v>2476</v>
      </c>
      <c r="AA764" s="5" t="s">
        <v>86</v>
      </c>
      <c r="AH764" s="1430" t="s">
        <v>86</v>
      </c>
      <c r="AY764" s="1430" t="s">
        <v>86</v>
      </c>
      <c r="BN764" s="1430" t="s">
        <v>86</v>
      </c>
      <c r="CF764" s="1442" t="str">
        <f>IF([1]!sommaire[[#This Row],[présence des personnes déplacés interne]]="Oui","1","0")</f>
        <v>0</v>
      </c>
      <c r="CG764" s="1442" t="str">
        <f>IF([1]!sommaire[[#This Row],[présence Réfugié hors camp]]="Oui","1","0")</f>
        <v>0</v>
      </c>
      <c r="CH764" s="1442" t="str">
        <f>IF([1]!sommaire[[#This Row],[présence personnes retournées]]="Oui","1","0")</f>
        <v>0</v>
      </c>
      <c r="CI764" s="1442">
        <f>[1]!sommaire[[#This Row],[Flag PDI]]+[1]!sommaire[[#This Row],[Flag REF]]+[1]!sommaire[[#This Row],[Flag RET]]</f>
        <v>0</v>
      </c>
    </row>
    <row r="765" spans="1:87" ht="14.55" customHeight="1" x14ac:dyDescent="0.3">
      <c r="A765" s="390">
        <v>2682465</v>
      </c>
      <c r="B765" s="5" t="s">
        <v>533</v>
      </c>
      <c r="C765" s="1430" t="s">
        <v>3449</v>
      </c>
      <c r="D765" s="1090" t="s">
        <v>534</v>
      </c>
      <c r="E765" s="5" t="s">
        <v>31</v>
      </c>
      <c r="F765" s="5" t="s">
        <v>31</v>
      </c>
      <c r="G765" s="5" t="s">
        <v>549</v>
      </c>
      <c r="H765" s="5" t="s">
        <v>173</v>
      </c>
      <c r="I765" s="5" t="str">
        <f>_xlfn.XLOOKUP(sommaire[[#This Row],[Arrondissement_code]],OCHA_GIS!$F:$F,OCHA_GIS!$E:$E,,)</f>
        <v>Zina</v>
      </c>
      <c r="J765" s="5" t="s">
        <v>556</v>
      </c>
      <c r="K765" t="s">
        <v>1604</v>
      </c>
      <c r="L765" s="5" t="s">
        <v>1112</v>
      </c>
      <c r="N765" s="5" t="s">
        <v>3053</v>
      </c>
      <c r="O765" s="5" t="s">
        <v>2467</v>
      </c>
      <c r="P765" s="5" t="s">
        <v>85</v>
      </c>
      <c r="Q765" s="5" t="s">
        <v>86</v>
      </c>
      <c r="R765" s="5" t="s">
        <v>86</v>
      </c>
      <c r="T765" s="390">
        <v>3</v>
      </c>
      <c r="U765" s="5" t="s">
        <v>97</v>
      </c>
      <c r="W765" s="5" t="s">
        <v>2468</v>
      </c>
      <c r="X765" s="5" t="s">
        <v>103</v>
      </c>
      <c r="Y765" s="5" t="s">
        <v>2476</v>
      </c>
      <c r="AA765" s="586" t="s">
        <v>85</v>
      </c>
      <c r="AB765" s="5" t="s">
        <v>2469</v>
      </c>
      <c r="AC765" s="5" t="s">
        <v>2470</v>
      </c>
      <c r="AD765" s="5" t="s">
        <v>86</v>
      </c>
      <c r="AG765" s="5">
        <v>470</v>
      </c>
      <c r="AH765" s="5" t="s">
        <v>86</v>
      </c>
      <c r="AY765" s="5" t="s">
        <v>86</v>
      </c>
      <c r="BN765" s="5" t="s">
        <v>85</v>
      </c>
      <c r="BO765" s="5">
        <v>5</v>
      </c>
      <c r="BP765" s="5">
        <v>52</v>
      </c>
      <c r="BQ765" s="5">
        <v>20</v>
      </c>
      <c r="BR765" s="5">
        <v>32</v>
      </c>
      <c r="BS765" s="5" t="s">
        <v>2492</v>
      </c>
      <c r="BT765" s="5">
        <v>5</v>
      </c>
      <c r="BU765" s="5">
        <v>0</v>
      </c>
      <c r="BV765" s="5">
        <v>0</v>
      </c>
      <c r="BW765" s="5">
        <v>0</v>
      </c>
      <c r="BX765" s="5">
        <v>0</v>
      </c>
      <c r="BZ765" s="5">
        <v>0</v>
      </c>
      <c r="CA765" s="5">
        <v>0</v>
      </c>
      <c r="CC765" s="5">
        <v>0</v>
      </c>
      <c r="CD765" s="5">
        <v>0</v>
      </c>
      <c r="CF765" s="1442" t="str">
        <f>IF([1]!sommaire[[#This Row],[présence des personnes déplacés interne]]="Oui","1","0")</f>
        <v>0</v>
      </c>
      <c r="CG765" s="1442" t="str">
        <f>IF([1]!sommaire[[#This Row],[présence Réfugié hors camp]]="Oui","1","0")</f>
        <v>0</v>
      </c>
      <c r="CH765" s="1442" t="str">
        <f>IF([1]!sommaire[[#This Row],[présence personnes retournées]]="Oui","1","0")</f>
        <v>1</v>
      </c>
      <c r="CI765" s="1442">
        <f>[1]!sommaire[[#This Row],[Flag PDI]]+[1]!sommaire[[#This Row],[Flag REF]]+[1]!sommaire[[#This Row],[Flag RET]]</f>
        <v>1</v>
      </c>
    </row>
    <row r="766" spans="1:87" ht="14.55" customHeight="1" x14ac:dyDescent="0.3">
      <c r="A766" s="390">
        <v>2604432</v>
      </c>
      <c r="B766" s="5" t="s">
        <v>533</v>
      </c>
      <c r="C766" s="1430" t="s">
        <v>3449</v>
      </c>
      <c r="D766" s="1090" t="s">
        <v>534</v>
      </c>
      <c r="E766" s="5" t="s">
        <v>31</v>
      </c>
      <c r="F766" s="5" t="s">
        <v>31</v>
      </c>
      <c r="G766" s="5" t="s">
        <v>549</v>
      </c>
      <c r="H766" s="5" t="s">
        <v>173</v>
      </c>
      <c r="I766" s="5" t="str">
        <f>_xlfn.XLOOKUP(sommaire[[#This Row],[Arrondissement_code]],OCHA_GIS!$F:$F,OCHA_GIS!$E:$E,,)</f>
        <v>Zina</v>
      </c>
      <c r="J766" s="5" t="s">
        <v>556</v>
      </c>
      <c r="K766" t="s">
        <v>1602</v>
      </c>
      <c r="L766" s="5" t="s">
        <v>1106</v>
      </c>
      <c r="N766" s="5" t="s">
        <v>3053</v>
      </c>
      <c r="O766" s="5" t="s">
        <v>2467</v>
      </c>
      <c r="P766" s="5" t="s">
        <v>85</v>
      </c>
      <c r="Q766" s="5" t="s">
        <v>86</v>
      </c>
      <c r="R766" s="5" t="s">
        <v>86</v>
      </c>
      <c r="T766" s="390">
        <v>3</v>
      </c>
      <c r="U766" s="5" t="s">
        <v>97</v>
      </c>
      <c r="W766" s="5" t="s">
        <v>2468</v>
      </c>
      <c r="X766" s="5" t="s">
        <v>103</v>
      </c>
      <c r="Y766" s="5" t="s">
        <v>2476</v>
      </c>
      <c r="AA766" s="5" t="s">
        <v>85</v>
      </c>
      <c r="AB766" s="5" t="s">
        <v>2469</v>
      </c>
      <c r="AC766" s="5" t="s">
        <v>2470</v>
      </c>
      <c r="AD766" s="5" t="s">
        <v>86</v>
      </c>
      <c r="AF766" s="5">
        <v>20</v>
      </c>
      <c r="AG766" s="5">
        <v>335</v>
      </c>
      <c r="AH766" s="5" t="s">
        <v>85</v>
      </c>
      <c r="AI766" s="5" t="s">
        <v>2695</v>
      </c>
      <c r="AJ766" s="5">
        <v>20</v>
      </c>
      <c r="AK766" s="5">
        <v>140</v>
      </c>
      <c r="AL766" s="5">
        <v>50</v>
      </c>
      <c r="AM766" s="5">
        <v>90</v>
      </c>
      <c r="AN766" s="5">
        <v>20</v>
      </c>
      <c r="AO766" s="5">
        <v>0</v>
      </c>
      <c r="AP766" s="5">
        <v>0</v>
      </c>
      <c r="AQ766" s="5">
        <v>0</v>
      </c>
      <c r="AT766" s="5">
        <v>0</v>
      </c>
      <c r="AU766" s="5">
        <v>0</v>
      </c>
      <c r="AX766" s="5">
        <v>0</v>
      </c>
      <c r="AY766" s="5" t="s">
        <v>86</v>
      </c>
      <c r="BN766" s="5" t="s">
        <v>86</v>
      </c>
      <c r="CD766" s="5">
        <v>0</v>
      </c>
      <c r="CF766" s="1442" t="str">
        <f>IF([1]!sommaire[[#This Row],[présence des personnes déplacés interne]]="Oui","1","0")</f>
        <v>1</v>
      </c>
      <c r="CG766" s="1442" t="str">
        <f>IF([1]!sommaire[[#This Row],[présence Réfugié hors camp]]="Oui","1","0")</f>
        <v>0</v>
      </c>
      <c r="CH766" s="1442" t="str">
        <f>IF([1]!sommaire[[#This Row],[présence personnes retournées]]="Oui","1","0")</f>
        <v>0</v>
      </c>
      <c r="CI766" s="1442">
        <f>[1]!sommaire[[#This Row],[Flag PDI]]+[1]!sommaire[[#This Row],[Flag REF]]+[1]!sommaire[[#This Row],[Flag RET]]</f>
        <v>1</v>
      </c>
    </row>
    <row r="767" spans="1:87" ht="14.55" customHeight="1" x14ac:dyDescent="0.3">
      <c r="A767" s="390">
        <v>2604516</v>
      </c>
      <c r="B767" s="5" t="s">
        <v>533</v>
      </c>
      <c r="C767" s="1430" t="s">
        <v>3449</v>
      </c>
      <c r="D767" s="1090" t="s">
        <v>534</v>
      </c>
      <c r="E767" s="5" t="s">
        <v>31</v>
      </c>
      <c r="F767" s="5" t="s">
        <v>31</v>
      </c>
      <c r="G767" s="5" t="s">
        <v>549</v>
      </c>
      <c r="H767" s="5" t="s">
        <v>173</v>
      </c>
      <c r="I767" s="5" t="str">
        <f>_xlfn.XLOOKUP(sommaire[[#This Row],[Arrondissement_code]],OCHA_GIS!$F:$F,OCHA_GIS!$E:$E,,)</f>
        <v>Zina</v>
      </c>
      <c r="J767" s="5" t="s">
        <v>556</v>
      </c>
      <c r="K767" t="s">
        <v>1589</v>
      </c>
      <c r="L767" s="5" t="s">
        <v>558</v>
      </c>
      <c r="N767" s="5" t="s">
        <v>3053</v>
      </c>
      <c r="O767" s="5" t="s">
        <v>2467</v>
      </c>
      <c r="P767" s="5" t="s">
        <v>85</v>
      </c>
      <c r="Q767" s="5" t="s">
        <v>86</v>
      </c>
      <c r="R767" s="5" t="s">
        <v>86</v>
      </c>
      <c r="T767" s="390">
        <v>3</v>
      </c>
      <c r="U767" s="5" t="s">
        <v>97</v>
      </c>
      <c r="W767" s="5" t="s">
        <v>2468</v>
      </c>
      <c r="X767" s="5" t="s">
        <v>103</v>
      </c>
      <c r="Y767" s="5" t="s">
        <v>2476</v>
      </c>
      <c r="AA767" s="5" t="s">
        <v>85</v>
      </c>
      <c r="AB767" s="5" t="s">
        <v>2469</v>
      </c>
      <c r="AC767" s="5" t="s">
        <v>2470</v>
      </c>
      <c r="AD767" s="5" t="s">
        <v>86</v>
      </c>
      <c r="AG767" s="5">
        <v>329</v>
      </c>
      <c r="AH767" s="5" t="s">
        <v>86</v>
      </c>
      <c r="AY767" s="5" t="s">
        <v>86</v>
      </c>
      <c r="BN767" s="5" t="s">
        <v>85</v>
      </c>
      <c r="BO767" s="5">
        <v>46</v>
      </c>
      <c r="BP767" s="5">
        <v>329</v>
      </c>
      <c r="BQ767" s="5">
        <v>150</v>
      </c>
      <c r="BR767" s="5">
        <v>179</v>
      </c>
      <c r="BS767" s="5" t="s">
        <v>2492</v>
      </c>
      <c r="BT767" s="5">
        <v>46</v>
      </c>
      <c r="BU767" s="5">
        <v>0</v>
      </c>
      <c r="BV767" s="5">
        <v>0</v>
      </c>
      <c r="BW767" s="5">
        <v>0</v>
      </c>
      <c r="BX767" s="5">
        <v>0</v>
      </c>
      <c r="BZ767" s="5">
        <v>0</v>
      </c>
      <c r="CA767" s="5">
        <v>0</v>
      </c>
      <c r="CC767" s="5">
        <v>0</v>
      </c>
      <c r="CD767" s="5">
        <v>0</v>
      </c>
      <c r="CF767" s="1442" t="str">
        <f>IF([1]!sommaire[[#This Row],[présence des personnes déplacés interne]]="Oui","1","0")</f>
        <v>0</v>
      </c>
      <c r="CG767" s="1442" t="str">
        <f>IF([1]!sommaire[[#This Row],[présence Réfugié hors camp]]="Oui","1","0")</f>
        <v>0</v>
      </c>
      <c r="CH767" s="1442" t="str">
        <f>IF([1]!sommaire[[#This Row],[présence personnes retournées]]="Oui","1","0")</f>
        <v>1</v>
      </c>
      <c r="CI767" s="1442">
        <f>[1]!sommaire[[#This Row],[Flag PDI]]+[1]!sommaire[[#This Row],[Flag REF]]+[1]!sommaire[[#This Row],[Flag RET]]</f>
        <v>1</v>
      </c>
    </row>
    <row r="768" spans="1:87" ht="14.55" customHeight="1" x14ac:dyDescent="0.3">
      <c r="A768" s="390">
        <v>2682462</v>
      </c>
      <c r="B768" s="5" t="s">
        <v>533</v>
      </c>
      <c r="C768" s="1430" t="s">
        <v>3449</v>
      </c>
      <c r="D768" s="5" t="s">
        <v>534</v>
      </c>
      <c r="E768" s="5" t="s">
        <v>31</v>
      </c>
      <c r="F768" s="5" t="s">
        <v>31</v>
      </c>
      <c r="G768" s="5" t="s">
        <v>549</v>
      </c>
      <c r="H768" s="5" t="s">
        <v>173</v>
      </c>
      <c r="I768" s="5" t="str">
        <f>_xlfn.XLOOKUP(sommaire[[#This Row],[Arrondissement_code]],OCHA_GIS!$F:$F,OCHA_GIS!$E:$E,,)</f>
        <v>Zina</v>
      </c>
      <c r="J768" s="5" t="s">
        <v>556</v>
      </c>
      <c r="K768" t="s">
        <v>557</v>
      </c>
      <c r="L768" s="5" t="s">
        <v>836</v>
      </c>
      <c r="N768" s="5" t="s">
        <v>3053</v>
      </c>
      <c r="O768" s="5" t="s">
        <v>2467</v>
      </c>
      <c r="P768" s="5" t="s">
        <v>85</v>
      </c>
      <c r="Q768" s="5" t="s">
        <v>86</v>
      </c>
      <c r="R768" s="5" t="s">
        <v>85</v>
      </c>
      <c r="T768" s="390">
        <v>4</v>
      </c>
      <c r="U768" s="5" t="s">
        <v>97</v>
      </c>
      <c r="W768" s="5" t="s">
        <v>2468</v>
      </c>
      <c r="X768" s="5" t="s">
        <v>103</v>
      </c>
      <c r="Y768" s="5" t="s">
        <v>2476</v>
      </c>
      <c r="AA768" s="5" t="s">
        <v>86</v>
      </c>
      <c r="AH768" s="1430" t="s">
        <v>86</v>
      </c>
      <c r="AY768" s="1430" t="s">
        <v>86</v>
      </c>
      <c r="BN768" s="1430" t="s">
        <v>86</v>
      </c>
      <c r="CF768" s="1442" t="str">
        <f>IF([1]!sommaire[[#This Row],[présence des personnes déplacés interne]]="Oui","1","0")</f>
        <v>0</v>
      </c>
      <c r="CG768" s="1442" t="str">
        <f>IF([1]!sommaire[[#This Row],[présence Réfugié hors camp]]="Oui","1","0")</f>
        <v>0</v>
      </c>
      <c r="CH768" s="1442" t="str">
        <f>IF([1]!sommaire[[#This Row],[présence personnes retournées]]="Oui","1","0")</f>
        <v>0</v>
      </c>
      <c r="CI768" s="1442">
        <f>[1]!sommaire[[#This Row],[Flag PDI]]+[1]!sommaire[[#This Row],[Flag REF]]+[1]!sommaire[[#This Row],[Flag RET]]</f>
        <v>0</v>
      </c>
    </row>
    <row r="769" spans="1:87" ht="14.55" customHeight="1" x14ac:dyDescent="0.3">
      <c r="A769" s="390">
        <v>2682463</v>
      </c>
      <c r="B769" s="5" t="s">
        <v>533</v>
      </c>
      <c r="C769" s="1430" t="s">
        <v>3449</v>
      </c>
      <c r="D769" s="5" t="s">
        <v>534</v>
      </c>
      <c r="E769" s="5" t="s">
        <v>31</v>
      </c>
      <c r="F769" s="5" t="s">
        <v>31</v>
      </c>
      <c r="G769" s="5" t="s">
        <v>549</v>
      </c>
      <c r="H769" s="5" t="s">
        <v>173</v>
      </c>
      <c r="I769" s="5" t="str">
        <f>_xlfn.XLOOKUP(sommaire[[#This Row],[Arrondissement_code]],OCHA_GIS!$F:$F,OCHA_GIS!$E:$E,,)</f>
        <v>Zina</v>
      </c>
      <c r="J769" s="5" t="s">
        <v>556</v>
      </c>
      <c r="K769" t="s">
        <v>835</v>
      </c>
      <c r="L769" s="5" t="s">
        <v>1433</v>
      </c>
      <c r="N769" s="5" t="s">
        <v>3053</v>
      </c>
      <c r="O769" s="5" t="s">
        <v>2467</v>
      </c>
      <c r="P769" s="5" t="s">
        <v>85</v>
      </c>
      <c r="Q769" s="5" t="s">
        <v>86</v>
      </c>
      <c r="R769" s="5" t="s">
        <v>86</v>
      </c>
      <c r="T769" s="390">
        <v>3</v>
      </c>
      <c r="U769" s="5" t="s">
        <v>97</v>
      </c>
      <c r="W769" s="5" t="s">
        <v>2468</v>
      </c>
      <c r="X769" s="5" t="s">
        <v>103</v>
      </c>
      <c r="Y769" s="5" t="s">
        <v>2476</v>
      </c>
      <c r="AA769" s="5" t="s">
        <v>85</v>
      </c>
      <c r="AB769" s="5" t="s">
        <v>2469</v>
      </c>
      <c r="AC769" s="5" t="s">
        <v>2470</v>
      </c>
      <c r="AD769" s="5" t="s">
        <v>86</v>
      </c>
      <c r="AF769" s="5">
        <v>10</v>
      </c>
      <c r="AG769" s="5">
        <v>500</v>
      </c>
      <c r="AH769" s="5" t="s">
        <v>85</v>
      </c>
      <c r="AI769" s="5" t="s">
        <v>2471</v>
      </c>
      <c r="AJ769" s="5">
        <v>10</v>
      </c>
      <c r="AK769" s="5">
        <v>50</v>
      </c>
      <c r="AL769" s="5">
        <v>20</v>
      </c>
      <c r="AM769" s="5">
        <v>30</v>
      </c>
      <c r="AN769" s="5">
        <v>0</v>
      </c>
      <c r="AO769" s="5">
        <v>10</v>
      </c>
      <c r="AP769" s="5">
        <v>0</v>
      </c>
      <c r="AQ769" s="5">
        <v>0</v>
      </c>
      <c r="AT769" s="5">
        <v>0</v>
      </c>
      <c r="AU769" s="5">
        <v>0</v>
      </c>
      <c r="AX769" s="5">
        <v>0</v>
      </c>
      <c r="AY769" s="5" t="s">
        <v>86</v>
      </c>
      <c r="BN769" s="5" t="s">
        <v>86</v>
      </c>
      <c r="CD769" s="5">
        <v>0</v>
      </c>
      <c r="CF769" s="1442" t="str">
        <f>IF([1]!sommaire[[#This Row],[présence des personnes déplacés interne]]="Oui","1","0")</f>
        <v>1</v>
      </c>
      <c r="CG769" s="1442" t="str">
        <f>IF([1]!sommaire[[#This Row],[présence Réfugié hors camp]]="Oui","1","0")</f>
        <v>0</v>
      </c>
      <c r="CH769" s="1442" t="str">
        <f>IF([1]!sommaire[[#This Row],[présence personnes retournées]]="Oui","1","0")</f>
        <v>0</v>
      </c>
      <c r="CI769" s="1442">
        <f>[1]!sommaire[[#This Row],[Flag PDI]]+[1]!sommaire[[#This Row],[Flag REF]]+[1]!sommaire[[#This Row],[Flag RET]]</f>
        <v>1</v>
      </c>
    </row>
    <row r="770" spans="1:87" ht="14.55" customHeight="1" x14ac:dyDescent="0.3">
      <c r="A770" s="390">
        <v>2682611</v>
      </c>
      <c r="B770" s="5" t="s">
        <v>533</v>
      </c>
      <c r="C770" s="1430" t="s">
        <v>3449</v>
      </c>
      <c r="D770" s="5" t="s">
        <v>534</v>
      </c>
      <c r="E770" s="5" t="s">
        <v>31</v>
      </c>
      <c r="F770" s="5" t="s">
        <v>31</v>
      </c>
      <c r="G770" s="5" t="s">
        <v>549</v>
      </c>
      <c r="H770" s="5" t="s">
        <v>173</v>
      </c>
      <c r="I770" s="5" t="str">
        <f>_xlfn.XLOOKUP(sommaire[[#This Row],[Arrondissement_code]],OCHA_GIS!$F:$F,OCHA_GIS!$E:$E,,)</f>
        <v>Zina</v>
      </c>
      <c r="J770" s="5" t="s">
        <v>556</v>
      </c>
      <c r="K770" t="s">
        <v>1111</v>
      </c>
      <c r="L770" s="5" t="s">
        <v>1603</v>
      </c>
      <c r="N770" s="5" t="s">
        <v>3053</v>
      </c>
      <c r="O770" s="5" t="s">
        <v>2467</v>
      </c>
      <c r="P770" s="5" t="s">
        <v>85</v>
      </c>
      <c r="Q770" s="5" t="s">
        <v>86</v>
      </c>
      <c r="R770" s="5" t="s">
        <v>86</v>
      </c>
      <c r="T770" s="390">
        <v>3</v>
      </c>
      <c r="U770" s="5" t="s">
        <v>97</v>
      </c>
      <c r="W770" s="5" t="s">
        <v>2468</v>
      </c>
      <c r="X770" s="5" t="s">
        <v>103</v>
      </c>
      <c r="Y770" s="5" t="s">
        <v>2476</v>
      </c>
      <c r="AA770" s="5" t="s">
        <v>85</v>
      </c>
      <c r="AB770" s="5" t="s">
        <v>2469</v>
      </c>
      <c r="AC770" s="5" t="s">
        <v>2470</v>
      </c>
      <c r="AD770" s="5" t="s">
        <v>86</v>
      </c>
      <c r="AF770" s="5">
        <v>6</v>
      </c>
      <c r="AG770" s="5">
        <v>350</v>
      </c>
      <c r="AH770" s="5" t="s">
        <v>85</v>
      </c>
      <c r="AI770" s="5" t="s">
        <v>2471</v>
      </c>
      <c r="AJ770" s="5">
        <v>6</v>
      </c>
      <c r="AK770" s="5">
        <v>48</v>
      </c>
      <c r="AL770" s="5">
        <v>20</v>
      </c>
      <c r="AM770" s="5">
        <v>28</v>
      </c>
      <c r="AN770" s="5">
        <v>0</v>
      </c>
      <c r="AO770" s="5">
        <v>6</v>
      </c>
      <c r="AP770" s="5">
        <v>0</v>
      </c>
      <c r="AQ770" s="5">
        <v>0</v>
      </c>
      <c r="AT770" s="5">
        <v>0</v>
      </c>
      <c r="AU770" s="5">
        <v>0</v>
      </c>
      <c r="AX770" s="5">
        <v>0</v>
      </c>
      <c r="AY770" s="5" t="s">
        <v>86</v>
      </c>
      <c r="BN770" s="5" t="s">
        <v>86</v>
      </c>
      <c r="CD770" s="5">
        <v>0</v>
      </c>
      <c r="CF770" s="1442" t="str">
        <f>IF([1]!sommaire[[#This Row],[présence des personnes déplacés interne]]="Oui","1","0")</f>
        <v>1</v>
      </c>
      <c r="CG770" s="1442" t="str">
        <f>IF([1]!sommaire[[#This Row],[présence Réfugié hors camp]]="Oui","1","0")</f>
        <v>0</v>
      </c>
      <c r="CH770" s="1442" t="str">
        <f>IF([1]!sommaire[[#This Row],[présence personnes retournées]]="Oui","1","0")</f>
        <v>0</v>
      </c>
      <c r="CI770" s="1442">
        <f>[1]!sommaire[[#This Row],[Flag PDI]]+[1]!sommaire[[#This Row],[Flag REF]]+[1]!sommaire[[#This Row],[Flag RET]]</f>
        <v>1</v>
      </c>
    </row>
    <row r="771" spans="1:87" ht="14.55" customHeight="1" x14ac:dyDescent="0.3">
      <c r="A771" s="390">
        <v>2715099</v>
      </c>
      <c r="B771" s="5" t="s">
        <v>533</v>
      </c>
      <c r="C771" s="1430" t="s">
        <v>3449</v>
      </c>
      <c r="D771" s="1090" t="s">
        <v>534</v>
      </c>
      <c r="E771" s="5" t="s">
        <v>32</v>
      </c>
      <c r="F771" s="5" t="s">
        <v>32</v>
      </c>
      <c r="G771" s="5" t="s">
        <v>542</v>
      </c>
      <c r="H771" s="5" t="s">
        <v>174</v>
      </c>
      <c r="I771" s="5" t="str">
        <f>_xlfn.XLOOKUP(sommaire[[#This Row],[Arrondissement_code]],OCHA_GIS!$F:$F,OCHA_GIS!$E:$E,,)</f>
        <v>Datchéka</v>
      </c>
      <c r="J771" s="5" t="s">
        <v>1658</v>
      </c>
      <c r="K771" t="s">
        <v>1659</v>
      </c>
      <c r="L771" s="5" t="s">
        <v>1660</v>
      </c>
      <c r="N771" s="5" t="s">
        <v>3053</v>
      </c>
      <c r="O771" s="5" t="s">
        <v>2467</v>
      </c>
      <c r="P771" s="5" t="s">
        <v>85</v>
      </c>
      <c r="Q771" s="5" t="s">
        <v>86</v>
      </c>
      <c r="R771" s="5" t="s">
        <v>86</v>
      </c>
      <c r="T771" s="390">
        <v>3</v>
      </c>
      <c r="U771" s="5" t="s">
        <v>97</v>
      </c>
      <c r="W771" s="5" t="s">
        <v>2468</v>
      </c>
      <c r="X771" s="5" t="s">
        <v>103</v>
      </c>
      <c r="Y771" s="5" t="s">
        <v>2476</v>
      </c>
      <c r="AA771" s="586" t="s">
        <v>85</v>
      </c>
      <c r="AB771" s="5" t="s">
        <v>2469</v>
      </c>
      <c r="AC771" s="5" t="s">
        <v>2470</v>
      </c>
      <c r="AD771" s="5" t="s">
        <v>86</v>
      </c>
      <c r="AF771" s="5">
        <v>92</v>
      </c>
      <c r="AG771" s="5">
        <v>6000</v>
      </c>
      <c r="AH771" s="5" t="s">
        <v>85</v>
      </c>
      <c r="AI771" s="5" t="s">
        <v>2471</v>
      </c>
      <c r="AJ771" s="5">
        <v>92</v>
      </c>
      <c r="AK771" s="5">
        <v>378</v>
      </c>
      <c r="AL771" s="5">
        <v>178</v>
      </c>
      <c r="AM771" s="5">
        <v>200</v>
      </c>
      <c r="AN771" s="5">
        <v>0</v>
      </c>
      <c r="AO771" s="5">
        <v>40</v>
      </c>
      <c r="AP771" s="5">
        <v>22</v>
      </c>
      <c r="AQ771" s="5">
        <v>30</v>
      </c>
      <c r="AR771" s="5" t="s">
        <v>2477</v>
      </c>
      <c r="AT771" s="5">
        <v>0</v>
      </c>
      <c r="AU771" s="5">
        <v>0</v>
      </c>
      <c r="AX771" s="5">
        <v>0</v>
      </c>
      <c r="AY771" s="5" t="s">
        <v>86</v>
      </c>
      <c r="BN771" s="5" t="s">
        <v>85</v>
      </c>
      <c r="BO771" s="5">
        <v>12</v>
      </c>
      <c r="BP771" s="5">
        <v>68</v>
      </c>
      <c r="BQ771" s="5">
        <v>25</v>
      </c>
      <c r="BR771" s="5">
        <v>43</v>
      </c>
      <c r="BS771" s="5" t="s">
        <v>2484</v>
      </c>
      <c r="BT771" s="5">
        <v>5</v>
      </c>
      <c r="BU771" s="5">
        <v>2</v>
      </c>
      <c r="BV771" s="5">
        <v>5</v>
      </c>
      <c r="BW771" s="5">
        <v>0</v>
      </c>
      <c r="BX771" s="5">
        <v>0</v>
      </c>
      <c r="BZ771" s="5">
        <v>0</v>
      </c>
      <c r="CA771" s="5">
        <v>0</v>
      </c>
      <c r="CC771" s="5">
        <v>0</v>
      </c>
      <c r="CD771" s="5">
        <v>0</v>
      </c>
      <c r="CF771" s="1442" t="str">
        <f>IF([1]!sommaire[[#This Row],[présence des personnes déplacés interne]]="Oui","1","0")</f>
        <v>1</v>
      </c>
      <c r="CG771" s="1442" t="str">
        <f>IF([1]!sommaire[[#This Row],[présence Réfugié hors camp]]="Oui","1","0")</f>
        <v>0</v>
      </c>
      <c r="CH771" s="1442" t="str">
        <f>IF([1]!sommaire[[#This Row],[présence personnes retournées]]="Oui","1","0")</f>
        <v>1</v>
      </c>
      <c r="CI771" s="1442">
        <f>[1]!sommaire[[#This Row],[Flag PDI]]+[1]!sommaire[[#This Row],[Flag REF]]+[1]!sommaire[[#This Row],[Flag RET]]</f>
        <v>2</v>
      </c>
    </row>
    <row r="772" spans="1:87" ht="14.55" customHeight="1" x14ac:dyDescent="0.3">
      <c r="A772" s="390">
        <v>2709174</v>
      </c>
      <c r="B772" s="5" t="s">
        <v>533</v>
      </c>
      <c r="C772" s="1430" t="s">
        <v>3449</v>
      </c>
      <c r="D772" s="1090" t="s">
        <v>534</v>
      </c>
      <c r="E772" s="5" t="s">
        <v>32</v>
      </c>
      <c r="F772" s="5" t="s">
        <v>32</v>
      </c>
      <c r="G772" s="5" t="s">
        <v>542</v>
      </c>
      <c r="H772" s="1144" t="s">
        <v>175</v>
      </c>
      <c r="I772" s="1144" t="str">
        <f>_xlfn.XLOOKUP(sommaire[[#This Row],[Arrondissement_code]],OCHA_GIS!$F:$F,OCHA_GIS!$E:$E,,)</f>
        <v>Gobo</v>
      </c>
      <c r="J772" s="5" t="s">
        <v>1136</v>
      </c>
      <c r="K772" t="s">
        <v>550</v>
      </c>
      <c r="L772" s="5" t="s">
        <v>3149</v>
      </c>
      <c r="M772" s="5" t="s">
        <v>3149</v>
      </c>
      <c r="N772" s="5" t="s">
        <v>3053</v>
      </c>
      <c r="O772" s="5" t="s">
        <v>2467</v>
      </c>
      <c r="P772" s="5" t="s">
        <v>85</v>
      </c>
      <c r="Q772" s="5" t="s">
        <v>86</v>
      </c>
      <c r="R772" s="5" t="s">
        <v>86</v>
      </c>
      <c r="T772" s="390">
        <v>3</v>
      </c>
      <c r="U772" s="5" t="s">
        <v>97</v>
      </c>
      <c r="W772" s="5" t="s">
        <v>2468</v>
      </c>
      <c r="X772" s="5" t="s">
        <v>103</v>
      </c>
      <c r="Y772" s="5" t="s">
        <v>2476</v>
      </c>
      <c r="AA772" s="5" t="s">
        <v>85</v>
      </c>
      <c r="AB772" s="5" t="s">
        <v>2469</v>
      </c>
      <c r="AC772" s="5" t="s">
        <v>2470</v>
      </c>
      <c r="AD772" s="5" t="s">
        <v>86</v>
      </c>
      <c r="AG772" s="5">
        <v>2500</v>
      </c>
      <c r="AH772" s="5" t="s">
        <v>86</v>
      </c>
      <c r="AY772" s="5" t="s">
        <v>86</v>
      </c>
      <c r="BN772" s="5" t="s">
        <v>85</v>
      </c>
      <c r="BO772" s="5">
        <v>50</v>
      </c>
      <c r="BP772" s="5">
        <v>311</v>
      </c>
      <c r="BQ772" s="5">
        <v>75</v>
      </c>
      <c r="BR772" s="5">
        <v>236</v>
      </c>
      <c r="BS772" s="5" t="s">
        <v>2484</v>
      </c>
      <c r="BT772" s="5">
        <v>0</v>
      </c>
      <c r="BU772" s="5">
        <v>50</v>
      </c>
      <c r="BV772" s="5">
        <v>0</v>
      </c>
      <c r="BW772" s="5">
        <v>0</v>
      </c>
      <c r="BX772" s="5">
        <v>0</v>
      </c>
      <c r="BZ772" s="5">
        <v>0</v>
      </c>
      <c r="CA772" s="5">
        <v>0</v>
      </c>
      <c r="CC772" s="5">
        <v>0</v>
      </c>
      <c r="CD772" s="5">
        <v>0</v>
      </c>
      <c r="CF772" s="1442" t="str">
        <f>IF([1]!sommaire[[#This Row],[présence des personnes déplacés interne]]="Oui","1","0")</f>
        <v>0</v>
      </c>
      <c r="CG772" s="1442" t="str">
        <f>IF([1]!sommaire[[#This Row],[présence Réfugié hors camp]]="Oui","1","0")</f>
        <v>0</v>
      </c>
      <c r="CH772" s="1442" t="str">
        <f>IF([1]!sommaire[[#This Row],[présence personnes retournées]]="Oui","1","0")</f>
        <v>1</v>
      </c>
      <c r="CI772" s="1442">
        <f>[1]!sommaire[[#This Row],[Flag PDI]]+[1]!sommaire[[#This Row],[Flag REF]]+[1]!sommaire[[#This Row],[Flag RET]]</f>
        <v>1</v>
      </c>
    </row>
    <row r="773" spans="1:87" ht="14.55" customHeight="1" x14ac:dyDescent="0.3">
      <c r="A773" s="390">
        <v>2720578</v>
      </c>
      <c r="B773" s="5" t="s">
        <v>533</v>
      </c>
      <c r="C773" s="1430" t="s">
        <v>3449</v>
      </c>
      <c r="D773" s="1090" t="s">
        <v>534</v>
      </c>
      <c r="E773" s="5" t="s">
        <v>32</v>
      </c>
      <c r="F773" s="5" t="s">
        <v>32</v>
      </c>
      <c r="G773" s="5" t="s">
        <v>542</v>
      </c>
      <c r="H773" s="5" t="s">
        <v>175</v>
      </c>
      <c r="I773" s="5" t="str">
        <f>_xlfn.XLOOKUP(sommaire[[#This Row],[Arrondissement_code]],OCHA_GIS!$F:$F,OCHA_GIS!$E:$E,,)</f>
        <v>Gobo</v>
      </c>
      <c r="J773" s="5" t="s">
        <v>1136</v>
      </c>
      <c r="K773" t="s">
        <v>550</v>
      </c>
      <c r="L773" s="5" t="s">
        <v>3161</v>
      </c>
      <c r="M773" s="5" t="s">
        <v>3161</v>
      </c>
      <c r="N773" s="5" t="s">
        <v>3053</v>
      </c>
      <c r="O773" s="5" t="s">
        <v>2467</v>
      </c>
      <c r="P773" s="5" t="s">
        <v>85</v>
      </c>
      <c r="Q773" s="5" t="s">
        <v>86</v>
      </c>
      <c r="R773" s="5" t="s">
        <v>86</v>
      </c>
      <c r="T773" s="390">
        <v>3</v>
      </c>
      <c r="U773" s="5" t="s">
        <v>97</v>
      </c>
      <c r="W773" s="5" t="s">
        <v>2468</v>
      </c>
      <c r="X773" s="5" t="s">
        <v>103</v>
      </c>
      <c r="Y773" s="5" t="s">
        <v>2476</v>
      </c>
      <c r="AA773" s="5" t="s">
        <v>85</v>
      </c>
      <c r="AB773" s="5" t="s">
        <v>2469</v>
      </c>
      <c r="AC773" s="5" t="s">
        <v>2470</v>
      </c>
      <c r="AD773" s="5" t="s">
        <v>86</v>
      </c>
      <c r="AG773" s="5">
        <v>3000</v>
      </c>
      <c r="AH773" s="5" t="s">
        <v>86</v>
      </c>
      <c r="AY773" s="5" t="s">
        <v>86</v>
      </c>
      <c r="BN773" s="5" t="s">
        <v>85</v>
      </c>
      <c r="BO773" s="5">
        <v>50</v>
      </c>
      <c r="BP773" s="5">
        <v>450</v>
      </c>
      <c r="BQ773" s="5">
        <v>100</v>
      </c>
      <c r="BR773" s="5">
        <v>350</v>
      </c>
      <c r="BS773" s="5" t="s">
        <v>2484</v>
      </c>
      <c r="BT773" s="5">
        <v>0</v>
      </c>
      <c r="BU773" s="5">
        <v>50</v>
      </c>
      <c r="BV773" s="5">
        <v>0</v>
      </c>
      <c r="BW773" s="5">
        <v>0</v>
      </c>
      <c r="BX773" s="5">
        <v>0</v>
      </c>
      <c r="BZ773" s="5">
        <v>0</v>
      </c>
      <c r="CA773" s="5">
        <v>0</v>
      </c>
      <c r="CC773" s="5">
        <v>0</v>
      </c>
      <c r="CD773" s="5">
        <v>0</v>
      </c>
      <c r="CF773" s="1442" t="str">
        <f>IF([1]!sommaire[[#This Row],[présence des personnes déplacés interne]]="Oui","1","0")</f>
        <v>0</v>
      </c>
      <c r="CG773" s="1442" t="str">
        <f>IF([1]!sommaire[[#This Row],[présence Réfugié hors camp]]="Oui","1","0")</f>
        <v>0</v>
      </c>
      <c r="CH773" s="1442" t="str">
        <f>IF([1]!sommaire[[#This Row],[présence personnes retournées]]="Oui","1","0")</f>
        <v>1</v>
      </c>
      <c r="CI773" s="1442">
        <f>[1]!sommaire[[#This Row],[Flag PDI]]+[1]!sommaire[[#This Row],[Flag REF]]+[1]!sommaire[[#This Row],[Flag RET]]</f>
        <v>1</v>
      </c>
    </row>
    <row r="774" spans="1:87" ht="14.55" customHeight="1" x14ac:dyDescent="0.3">
      <c r="A774" s="390">
        <v>2704940</v>
      </c>
      <c r="B774" s="5" t="s">
        <v>533</v>
      </c>
      <c r="C774" s="1430" t="s">
        <v>3449</v>
      </c>
      <c r="D774" s="1090" t="s">
        <v>534</v>
      </c>
      <c r="E774" s="5" t="s">
        <v>32</v>
      </c>
      <c r="F774" s="5" t="s">
        <v>32</v>
      </c>
      <c r="G774" s="5" t="s">
        <v>542</v>
      </c>
      <c r="H774" s="5" t="s">
        <v>175</v>
      </c>
      <c r="I774" s="5" t="str">
        <f>_xlfn.XLOOKUP(sommaire[[#This Row],[Arrondissement_code]],OCHA_GIS!$F:$F,OCHA_GIS!$E:$E,,)</f>
        <v>Gobo</v>
      </c>
      <c r="J774" s="5" t="s">
        <v>1136</v>
      </c>
      <c r="K774" t="s">
        <v>1758</v>
      </c>
      <c r="L774" s="5" t="s">
        <v>1759</v>
      </c>
      <c r="N774" s="5" t="s">
        <v>3053</v>
      </c>
      <c r="O774" s="5" t="s">
        <v>2467</v>
      </c>
      <c r="P774" s="5" t="s">
        <v>85</v>
      </c>
      <c r="Q774" s="5" t="s">
        <v>86</v>
      </c>
      <c r="R774" s="5" t="s">
        <v>86</v>
      </c>
      <c r="T774" s="390">
        <v>3</v>
      </c>
      <c r="U774" s="5" t="s">
        <v>97</v>
      </c>
      <c r="W774" s="5" t="s">
        <v>2468</v>
      </c>
      <c r="X774" s="5" t="s">
        <v>103</v>
      </c>
      <c r="Y774" s="5" t="s">
        <v>2476</v>
      </c>
      <c r="AA774" s="5" t="s">
        <v>85</v>
      </c>
      <c r="AB774" s="5" t="s">
        <v>2469</v>
      </c>
      <c r="AC774" s="5" t="s">
        <v>2470</v>
      </c>
      <c r="AD774" s="5" t="s">
        <v>86</v>
      </c>
      <c r="AF774" s="5">
        <v>40</v>
      </c>
      <c r="AG774" s="5">
        <v>2500</v>
      </c>
      <c r="AH774" s="5" t="s">
        <v>85</v>
      </c>
      <c r="AI774" s="5" t="s">
        <v>2485</v>
      </c>
      <c r="AJ774" s="5">
        <v>40</v>
      </c>
      <c r="AK774" s="5">
        <v>305</v>
      </c>
      <c r="AL774" s="5">
        <v>150</v>
      </c>
      <c r="AM774" s="5">
        <v>155</v>
      </c>
      <c r="AN774" s="5">
        <v>20</v>
      </c>
      <c r="AO774" s="5">
        <v>0</v>
      </c>
      <c r="AP774" s="5">
        <v>0</v>
      </c>
      <c r="AQ774" s="5">
        <v>0</v>
      </c>
      <c r="AT774" s="5">
        <v>0</v>
      </c>
      <c r="AU774" s="5">
        <v>20</v>
      </c>
      <c r="AV774" s="5" t="s">
        <v>2490</v>
      </c>
      <c r="AX774" s="5">
        <v>0</v>
      </c>
      <c r="AY774" s="5" t="s">
        <v>86</v>
      </c>
      <c r="BN774" s="5" t="s">
        <v>85</v>
      </c>
      <c r="BO774" s="5">
        <v>75</v>
      </c>
      <c r="BP774" s="5">
        <v>310</v>
      </c>
      <c r="BQ774" s="5">
        <v>135</v>
      </c>
      <c r="BR774" s="5">
        <v>175</v>
      </c>
      <c r="BS774" s="5" t="s">
        <v>2484</v>
      </c>
      <c r="BT774" s="5">
        <v>0</v>
      </c>
      <c r="BU774" s="5">
        <v>60</v>
      </c>
      <c r="BV774" s="5">
        <v>15</v>
      </c>
      <c r="BW774" s="5">
        <v>0</v>
      </c>
      <c r="BX774" s="5">
        <v>0</v>
      </c>
      <c r="BZ774" s="5">
        <v>0</v>
      </c>
      <c r="CA774" s="5">
        <v>0</v>
      </c>
      <c r="CC774" s="5">
        <v>0</v>
      </c>
      <c r="CD774" s="5">
        <v>0</v>
      </c>
      <c r="CF774" s="1442" t="str">
        <f>IF([1]!sommaire[[#This Row],[présence des personnes déplacés interne]]="Oui","1","0")</f>
        <v>1</v>
      </c>
      <c r="CG774" s="1442" t="str">
        <f>IF([1]!sommaire[[#This Row],[présence Réfugié hors camp]]="Oui","1","0")</f>
        <v>0</v>
      </c>
      <c r="CH774" s="1442" t="str">
        <f>IF([1]!sommaire[[#This Row],[présence personnes retournées]]="Oui","1","0")</f>
        <v>1</v>
      </c>
      <c r="CI774" s="1442">
        <f>[1]!sommaire[[#This Row],[Flag PDI]]+[1]!sommaire[[#This Row],[Flag REF]]+[1]!sommaire[[#This Row],[Flag RET]]</f>
        <v>2</v>
      </c>
    </row>
    <row r="775" spans="1:87" ht="14.55" customHeight="1" x14ac:dyDescent="0.3">
      <c r="A775" s="390">
        <v>2704939</v>
      </c>
      <c r="B775" s="5" t="s">
        <v>533</v>
      </c>
      <c r="C775" s="1430" t="s">
        <v>3449</v>
      </c>
      <c r="D775" s="1090" t="s">
        <v>534</v>
      </c>
      <c r="E775" s="5" t="s">
        <v>32</v>
      </c>
      <c r="F775" s="5" t="s">
        <v>32</v>
      </c>
      <c r="G775" s="5" t="s">
        <v>542</v>
      </c>
      <c r="H775" s="5" t="s">
        <v>175</v>
      </c>
      <c r="I775" s="5" t="str">
        <f>_xlfn.XLOOKUP(sommaire[[#This Row],[Arrondissement_code]],OCHA_GIS!$F:$F,OCHA_GIS!$E:$E,,)</f>
        <v>Gobo</v>
      </c>
      <c r="J775" s="5" t="s">
        <v>1136</v>
      </c>
      <c r="K775" t="s">
        <v>1137</v>
      </c>
      <c r="L775" s="5" t="s">
        <v>1138</v>
      </c>
      <c r="N775" s="5" t="s">
        <v>3052</v>
      </c>
      <c r="O775" s="5" t="s">
        <v>2467</v>
      </c>
      <c r="P775" s="5" t="s">
        <v>85</v>
      </c>
      <c r="Q775" s="5" t="s">
        <v>86</v>
      </c>
      <c r="R775" s="5" t="s">
        <v>86</v>
      </c>
      <c r="T775" s="390">
        <v>4</v>
      </c>
      <c r="U775" s="5" t="s">
        <v>97</v>
      </c>
      <c r="W775" s="5" t="s">
        <v>2468</v>
      </c>
      <c r="X775" s="5" t="s">
        <v>103</v>
      </c>
      <c r="Y775" s="5" t="s">
        <v>2476</v>
      </c>
      <c r="AA775" s="5" t="s">
        <v>85</v>
      </c>
      <c r="AB775" s="5" t="s">
        <v>2469</v>
      </c>
      <c r="AC775" s="5" t="s">
        <v>2470</v>
      </c>
      <c r="AD775" s="5" t="s">
        <v>86</v>
      </c>
      <c r="AF775" s="5">
        <v>38</v>
      </c>
      <c r="AG775" s="5">
        <v>4000</v>
      </c>
      <c r="AH775" s="5" t="s">
        <v>85</v>
      </c>
      <c r="AI775" s="5" t="s">
        <v>2485</v>
      </c>
      <c r="AJ775" s="5">
        <v>38</v>
      </c>
      <c r="AK775" s="5">
        <v>220</v>
      </c>
      <c r="AL775" s="5">
        <v>88</v>
      </c>
      <c r="AM775" s="5">
        <v>132</v>
      </c>
      <c r="AN775" s="5">
        <v>18</v>
      </c>
      <c r="AO775" s="5">
        <v>0</v>
      </c>
      <c r="AP775" s="5">
        <v>0</v>
      </c>
      <c r="AQ775" s="5">
        <v>0</v>
      </c>
      <c r="AT775" s="5">
        <v>0</v>
      </c>
      <c r="AU775" s="5">
        <v>20</v>
      </c>
      <c r="AV775" s="5" t="s">
        <v>2490</v>
      </c>
      <c r="AX775" s="5">
        <v>0</v>
      </c>
      <c r="AY775" s="5" t="s">
        <v>86</v>
      </c>
      <c r="BN775" s="5" t="s">
        <v>85</v>
      </c>
      <c r="BO775" s="5">
        <v>550</v>
      </c>
      <c r="BP775" s="5">
        <v>3200</v>
      </c>
      <c r="BQ775" s="5">
        <v>885</v>
      </c>
      <c r="BR775" s="5">
        <v>2315</v>
      </c>
      <c r="BS775" s="5" t="s">
        <v>2484</v>
      </c>
      <c r="BT775" s="5">
        <v>0</v>
      </c>
      <c r="BU775" s="5">
        <v>200</v>
      </c>
      <c r="BV775" s="5">
        <v>75</v>
      </c>
      <c r="BW775" s="5">
        <v>0</v>
      </c>
      <c r="BX775" s="5">
        <v>5</v>
      </c>
      <c r="BY775" s="5" t="s">
        <v>2472</v>
      </c>
      <c r="BZ775" s="5">
        <v>0</v>
      </c>
      <c r="CA775" s="5">
        <v>270</v>
      </c>
      <c r="CB775" s="5" t="s">
        <v>2478</v>
      </c>
      <c r="CC775" s="5">
        <v>0</v>
      </c>
      <c r="CD775" s="5">
        <v>0</v>
      </c>
      <c r="CF775" s="1442" t="str">
        <f>IF([1]!sommaire[[#This Row],[présence des personnes déplacés interne]]="Oui","1","0")</f>
        <v>1</v>
      </c>
      <c r="CG775" s="1442" t="str">
        <f>IF([1]!sommaire[[#This Row],[présence Réfugié hors camp]]="Oui","1","0")</f>
        <v>0</v>
      </c>
      <c r="CH775" s="1442" t="str">
        <f>IF([1]!sommaire[[#This Row],[présence personnes retournées]]="Oui","1","0")</f>
        <v>1</v>
      </c>
      <c r="CI775" s="1442">
        <f>[1]!sommaire[[#This Row],[Flag PDI]]+[1]!sommaire[[#This Row],[Flag REF]]+[1]!sommaire[[#This Row],[Flag RET]]</f>
        <v>2</v>
      </c>
    </row>
    <row r="776" spans="1:87" ht="14.55" customHeight="1" x14ac:dyDescent="0.3">
      <c r="A776" s="390">
        <v>2704944</v>
      </c>
      <c r="B776" s="5" t="s">
        <v>533</v>
      </c>
      <c r="C776" s="1430" t="s">
        <v>3449</v>
      </c>
      <c r="D776" s="1090" t="s">
        <v>534</v>
      </c>
      <c r="E776" s="5" t="s">
        <v>32</v>
      </c>
      <c r="F776" s="5" t="s">
        <v>32</v>
      </c>
      <c r="G776" s="5" t="s">
        <v>542</v>
      </c>
      <c r="H776" s="5" t="s">
        <v>175</v>
      </c>
      <c r="I776" s="5" t="str">
        <f>_xlfn.XLOOKUP(sommaire[[#This Row],[Arrondissement_code]],OCHA_GIS!$F:$F,OCHA_GIS!$E:$E,,)</f>
        <v>Gobo</v>
      </c>
      <c r="J776" s="5" t="s">
        <v>1136</v>
      </c>
      <c r="K776" t="s">
        <v>1760</v>
      </c>
      <c r="L776" s="5" t="s">
        <v>1761</v>
      </c>
      <c r="N776" s="5" t="s">
        <v>3053</v>
      </c>
      <c r="O776" s="5" t="s">
        <v>2467</v>
      </c>
      <c r="P776" s="5" t="s">
        <v>85</v>
      </c>
      <c r="Q776" s="5" t="s">
        <v>86</v>
      </c>
      <c r="R776" s="5" t="s">
        <v>86</v>
      </c>
      <c r="T776" s="1190">
        <v>3</v>
      </c>
      <c r="U776" s="5" t="s">
        <v>97</v>
      </c>
      <c r="W776" s="5" t="s">
        <v>2468</v>
      </c>
      <c r="X776" s="5" t="s">
        <v>102</v>
      </c>
      <c r="AA776" s="5" t="s">
        <v>85</v>
      </c>
      <c r="AB776" s="5" t="s">
        <v>2469</v>
      </c>
      <c r="AC776" s="5" t="s">
        <v>2470</v>
      </c>
      <c r="AD776" s="5" t="s">
        <v>86</v>
      </c>
      <c r="AF776" s="5">
        <v>22</v>
      </c>
      <c r="AG776" s="5">
        <v>3800</v>
      </c>
      <c r="AH776" s="5" t="s">
        <v>85</v>
      </c>
      <c r="AI776" s="5" t="s">
        <v>2486</v>
      </c>
      <c r="AJ776" s="5">
        <v>22</v>
      </c>
      <c r="AK776" s="5">
        <v>123</v>
      </c>
      <c r="AL776" s="5">
        <v>45</v>
      </c>
      <c r="AM776" s="5">
        <v>78</v>
      </c>
      <c r="AN776" s="5">
        <v>2</v>
      </c>
      <c r="AO776" s="5">
        <v>12</v>
      </c>
      <c r="AP776" s="5">
        <v>0</v>
      </c>
      <c r="AQ776" s="5">
        <v>0</v>
      </c>
      <c r="AT776" s="5">
        <v>0</v>
      </c>
      <c r="AU776" s="5">
        <v>8</v>
      </c>
      <c r="AV776" s="5" t="s">
        <v>2478</v>
      </c>
      <c r="AX776" s="5">
        <v>0</v>
      </c>
      <c r="AY776" s="5" t="s">
        <v>85</v>
      </c>
      <c r="AZ776" s="5">
        <v>3</v>
      </c>
      <c r="BA776" s="5">
        <v>13</v>
      </c>
      <c r="BB776" s="5">
        <v>6</v>
      </c>
      <c r="BC776" s="5">
        <v>7</v>
      </c>
      <c r="BD776" s="5">
        <v>3</v>
      </c>
      <c r="BE776" s="5">
        <v>0</v>
      </c>
      <c r="BF776" s="5">
        <v>0</v>
      </c>
      <c r="BH776" s="5">
        <v>0</v>
      </c>
      <c r="BI776" s="5">
        <v>0</v>
      </c>
      <c r="BL776" s="5">
        <v>0</v>
      </c>
      <c r="BM776" s="5">
        <v>0</v>
      </c>
      <c r="BN776" s="5" t="s">
        <v>86</v>
      </c>
      <c r="CD776" s="5">
        <v>0</v>
      </c>
      <c r="CF776" s="1442" t="str">
        <f>IF([1]!sommaire[[#This Row],[présence des personnes déplacés interne]]="Oui","1","0")</f>
        <v>1</v>
      </c>
      <c r="CG776" s="1442" t="str">
        <f>IF([1]!sommaire[[#This Row],[présence Réfugié hors camp]]="Oui","1","0")</f>
        <v>1</v>
      </c>
      <c r="CH776" s="1442" t="str">
        <f>IF([1]!sommaire[[#This Row],[présence personnes retournées]]="Oui","1","0")</f>
        <v>0</v>
      </c>
      <c r="CI776" s="1442">
        <f>[1]!sommaire[[#This Row],[Flag PDI]]+[1]!sommaire[[#This Row],[Flag REF]]+[1]!sommaire[[#This Row],[Flag RET]]</f>
        <v>2</v>
      </c>
    </row>
    <row r="777" spans="1:87" ht="14.55" customHeight="1" x14ac:dyDescent="0.3">
      <c r="A777" s="390">
        <v>2704943</v>
      </c>
      <c r="B777" s="5" t="s">
        <v>533</v>
      </c>
      <c r="C777" s="1430" t="s">
        <v>3449</v>
      </c>
      <c r="D777" s="1090" t="s">
        <v>534</v>
      </c>
      <c r="E777" s="5" t="s">
        <v>32</v>
      </c>
      <c r="F777" s="5" t="s">
        <v>32</v>
      </c>
      <c r="G777" s="5" t="s">
        <v>542</v>
      </c>
      <c r="H777" s="5" t="s">
        <v>175</v>
      </c>
      <c r="I777" s="5" t="str">
        <f>_xlfn.XLOOKUP(sommaire[[#This Row],[Arrondissement_code]],OCHA_GIS!$F:$F,OCHA_GIS!$E:$E,,)</f>
        <v>Gobo</v>
      </c>
      <c r="J777" s="5" t="s">
        <v>1136</v>
      </c>
      <c r="K777" t="s">
        <v>2231</v>
      </c>
      <c r="L777" s="5" t="s">
        <v>2232</v>
      </c>
      <c r="N777" s="5" t="s">
        <v>3052</v>
      </c>
      <c r="O777" s="5" t="s">
        <v>2467</v>
      </c>
      <c r="P777" s="5" t="s">
        <v>85</v>
      </c>
      <c r="Q777" s="5" t="s">
        <v>86</v>
      </c>
      <c r="R777" s="5" t="s">
        <v>86</v>
      </c>
      <c r="T777" s="390">
        <v>3</v>
      </c>
      <c r="U777" s="5" t="s">
        <v>97</v>
      </c>
      <c r="W777" s="5" t="s">
        <v>2468</v>
      </c>
      <c r="X777" s="5" t="s">
        <v>102</v>
      </c>
      <c r="AA777" s="5" t="s">
        <v>85</v>
      </c>
      <c r="AB777" s="5" t="s">
        <v>2469</v>
      </c>
      <c r="AC777" s="5" t="s">
        <v>2470</v>
      </c>
      <c r="AD777" s="5" t="s">
        <v>86</v>
      </c>
      <c r="AG777" s="5">
        <v>10240</v>
      </c>
      <c r="AH777" s="5" t="s">
        <v>86</v>
      </c>
      <c r="AY777" s="5" t="s">
        <v>85</v>
      </c>
      <c r="AZ777" s="5">
        <v>23</v>
      </c>
      <c r="BA777" s="5">
        <v>115</v>
      </c>
      <c r="BB777" s="5">
        <v>45</v>
      </c>
      <c r="BC777" s="5">
        <v>70</v>
      </c>
      <c r="BD777" s="5">
        <v>23</v>
      </c>
      <c r="BE777" s="5">
        <v>0</v>
      </c>
      <c r="BF777" s="5">
        <v>0</v>
      </c>
      <c r="BH777" s="5">
        <v>0</v>
      </c>
      <c r="BI777" s="5">
        <v>0</v>
      </c>
      <c r="BL777" s="5">
        <v>0</v>
      </c>
      <c r="BM777" s="5">
        <v>0</v>
      </c>
      <c r="BN777" s="5" t="s">
        <v>86</v>
      </c>
      <c r="CD777" s="5">
        <v>0</v>
      </c>
      <c r="CF777" s="1442" t="str">
        <f>IF([1]!sommaire[[#This Row],[présence des personnes déplacés interne]]="Oui","1","0")</f>
        <v>0</v>
      </c>
      <c r="CG777" s="1442" t="str">
        <f>IF([1]!sommaire[[#This Row],[présence Réfugié hors camp]]="Oui","1","0")</f>
        <v>1</v>
      </c>
      <c r="CH777" s="1442" t="str">
        <f>IF([1]!sommaire[[#This Row],[présence personnes retournées]]="Oui","1","0")</f>
        <v>0</v>
      </c>
      <c r="CI777" s="1442">
        <f>[1]!sommaire[[#This Row],[Flag PDI]]+[1]!sommaire[[#This Row],[Flag REF]]+[1]!sommaire[[#This Row],[Flag RET]]</f>
        <v>1</v>
      </c>
    </row>
    <row r="778" spans="1:87" ht="14.55" customHeight="1" x14ac:dyDescent="0.3">
      <c r="A778" s="390">
        <v>2704942</v>
      </c>
      <c r="B778" s="5" t="s">
        <v>533</v>
      </c>
      <c r="C778" s="1430" t="s">
        <v>3449</v>
      </c>
      <c r="D778" s="5" t="s">
        <v>534</v>
      </c>
      <c r="E778" s="5" t="s">
        <v>32</v>
      </c>
      <c r="F778" s="5" t="s">
        <v>32</v>
      </c>
      <c r="G778" s="5" t="s">
        <v>542</v>
      </c>
      <c r="H778" s="5" t="s">
        <v>175</v>
      </c>
      <c r="I778" s="5" t="str">
        <f>_xlfn.XLOOKUP(sommaire[[#This Row],[Arrondissement_code]],OCHA_GIS!$F:$F,OCHA_GIS!$E:$E,,)</f>
        <v>Gobo</v>
      </c>
      <c r="J778" s="5" t="s">
        <v>1136</v>
      </c>
      <c r="K778" t="s">
        <v>1769</v>
      </c>
      <c r="L778" s="5" t="s">
        <v>1770</v>
      </c>
      <c r="N778" s="5" t="s">
        <v>3053</v>
      </c>
      <c r="O778" s="5" t="s">
        <v>2467</v>
      </c>
      <c r="P778" s="5" t="s">
        <v>85</v>
      </c>
      <c r="Q778" s="5" t="s">
        <v>86</v>
      </c>
      <c r="R778" s="5" t="s">
        <v>86</v>
      </c>
      <c r="T778" s="390">
        <v>3</v>
      </c>
      <c r="U778" s="5" t="s">
        <v>97</v>
      </c>
      <c r="W778" s="5" t="s">
        <v>2468</v>
      </c>
      <c r="X778" s="5" t="s">
        <v>103</v>
      </c>
      <c r="Y778" s="5" t="s">
        <v>2476</v>
      </c>
      <c r="AA778" s="5" t="s">
        <v>85</v>
      </c>
      <c r="AB778" s="5" t="s">
        <v>2469</v>
      </c>
      <c r="AC778" s="5" t="s">
        <v>2470</v>
      </c>
      <c r="AD778" s="5" t="s">
        <v>86</v>
      </c>
      <c r="AF778" s="5">
        <v>30</v>
      </c>
      <c r="AG778" s="5">
        <v>3500</v>
      </c>
      <c r="AH778" s="5" t="s">
        <v>85</v>
      </c>
      <c r="AI778" s="5" t="s">
        <v>2485</v>
      </c>
      <c r="AJ778" s="5">
        <v>30</v>
      </c>
      <c r="AK778" s="5">
        <v>204</v>
      </c>
      <c r="AL778" s="5">
        <v>88</v>
      </c>
      <c r="AM778" s="5">
        <v>116</v>
      </c>
      <c r="AN778" s="5">
        <v>5</v>
      </c>
      <c r="AO778" s="5">
        <v>25</v>
      </c>
      <c r="AP778" s="5">
        <v>0</v>
      </c>
      <c r="AQ778" s="5">
        <v>0</v>
      </c>
      <c r="AT778" s="5">
        <v>0</v>
      </c>
      <c r="AU778" s="5">
        <v>0</v>
      </c>
      <c r="AX778" s="5">
        <v>0</v>
      </c>
      <c r="AY778" s="5" t="s">
        <v>85</v>
      </c>
      <c r="AZ778" s="5">
        <v>40</v>
      </c>
      <c r="BA778" s="5">
        <v>150</v>
      </c>
      <c r="BB778" s="5">
        <v>65</v>
      </c>
      <c r="BC778" s="5">
        <v>85</v>
      </c>
      <c r="BD778" s="5">
        <v>40</v>
      </c>
      <c r="BE778" s="5">
        <v>0</v>
      </c>
      <c r="BF778" s="5">
        <v>0</v>
      </c>
      <c r="BH778" s="5">
        <v>0</v>
      </c>
      <c r="BI778" s="5">
        <v>0</v>
      </c>
      <c r="BL778" s="5">
        <v>0</v>
      </c>
      <c r="BM778" s="5">
        <v>0</v>
      </c>
      <c r="BN778" s="5" t="s">
        <v>85</v>
      </c>
      <c r="BO778" s="5">
        <v>390</v>
      </c>
      <c r="BP778" s="5">
        <v>2800</v>
      </c>
      <c r="BQ778" s="5">
        <v>900</v>
      </c>
      <c r="BR778" s="5">
        <v>1900</v>
      </c>
      <c r="BS778" s="5" t="s">
        <v>2484</v>
      </c>
      <c r="BT778" s="5">
        <v>0</v>
      </c>
      <c r="BU778" s="5">
        <v>200</v>
      </c>
      <c r="BV778" s="5">
        <v>0</v>
      </c>
      <c r="BW778" s="5">
        <v>0</v>
      </c>
      <c r="BX778" s="5">
        <v>0</v>
      </c>
      <c r="BZ778" s="5">
        <v>0</v>
      </c>
      <c r="CA778" s="5">
        <v>190</v>
      </c>
      <c r="CB778" s="5" t="s">
        <v>2478</v>
      </c>
      <c r="CC778" s="5">
        <v>0</v>
      </c>
      <c r="CD778" s="5">
        <v>0</v>
      </c>
      <c r="CF778" s="1442" t="str">
        <f>IF([1]!sommaire[[#This Row],[présence des personnes déplacés interne]]="Oui","1","0")</f>
        <v>1</v>
      </c>
      <c r="CG778" s="1442" t="str">
        <f>IF([1]!sommaire[[#This Row],[présence Réfugié hors camp]]="Oui","1","0")</f>
        <v>1</v>
      </c>
      <c r="CH778" s="1442" t="str">
        <f>IF([1]!sommaire[[#This Row],[présence personnes retournées]]="Oui","1","0")</f>
        <v>1</v>
      </c>
      <c r="CI778" s="1442">
        <f>[1]!sommaire[[#This Row],[Flag PDI]]+[1]!sommaire[[#This Row],[Flag REF]]+[1]!sommaire[[#This Row],[Flag RET]]</f>
        <v>3</v>
      </c>
    </row>
    <row r="779" spans="1:87" ht="14.55" customHeight="1" x14ac:dyDescent="0.3">
      <c r="A779" s="390">
        <v>2704941</v>
      </c>
      <c r="B779" s="5" t="s">
        <v>533</v>
      </c>
      <c r="C779" s="1430" t="s">
        <v>3449</v>
      </c>
      <c r="D779" s="1090" t="s">
        <v>534</v>
      </c>
      <c r="E779" s="5" t="s">
        <v>32</v>
      </c>
      <c r="F779" s="5" t="s">
        <v>32</v>
      </c>
      <c r="G779" s="5" t="s">
        <v>542</v>
      </c>
      <c r="H779" s="5" t="s">
        <v>175</v>
      </c>
      <c r="I779" s="5" t="str">
        <f>_xlfn.XLOOKUP(sommaire[[#This Row],[Arrondissement_code]],OCHA_GIS!$F:$F,OCHA_GIS!$E:$E,,)</f>
        <v>Gobo</v>
      </c>
      <c r="J779" s="5" t="s">
        <v>1136</v>
      </c>
      <c r="K779" t="s">
        <v>1762</v>
      </c>
      <c r="L779" s="5" t="s">
        <v>1763</v>
      </c>
      <c r="N779" s="5" t="s">
        <v>3053</v>
      </c>
      <c r="O779" s="5" t="s">
        <v>2467</v>
      </c>
      <c r="P779" s="5" t="s">
        <v>85</v>
      </c>
      <c r="Q779" s="5" t="s">
        <v>86</v>
      </c>
      <c r="R779" s="5" t="s">
        <v>86</v>
      </c>
      <c r="T779" s="390">
        <v>3</v>
      </c>
      <c r="U779" s="5" t="s">
        <v>97</v>
      </c>
      <c r="W779" s="5" t="s">
        <v>2468</v>
      </c>
      <c r="X779" s="5" t="s">
        <v>103</v>
      </c>
      <c r="Y779" s="5" t="s">
        <v>2476</v>
      </c>
      <c r="AA779" s="5" t="s">
        <v>85</v>
      </c>
      <c r="AB779" s="5" t="s">
        <v>2469</v>
      </c>
      <c r="AC779" s="5" t="s">
        <v>2470</v>
      </c>
      <c r="AD779" s="5" t="s">
        <v>86</v>
      </c>
      <c r="AF779" s="5">
        <v>45</v>
      </c>
      <c r="AG779" s="5">
        <v>3000</v>
      </c>
      <c r="AH779" s="5" t="s">
        <v>85</v>
      </c>
      <c r="AI779" s="5" t="s">
        <v>2485</v>
      </c>
      <c r="AJ779" s="5">
        <v>45</v>
      </c>
      <c r="AK779" s="5">
        <v>270</v>
      </c>
      <c r="AL779" s="5">
        <v>90</v>
      </c>
      <c r="AM779" s="5">
        <v>180</v>
      </c>
      <c r="AN779" s="5">
        <v>22</v>
      </c>
      <c r="AO779" s="5">
        <v>10</v>
      </c>
      <c r="AP779" s="5">
        <v>0</v>
      </c>
      <c r="AQ779" s="5">
        <v>0</v>
      </c>
      <c r="AT779" s="5">
        <v>0</v>
      </c>
      <c r="AU779" s="5">
        <v>13</v>
      </c>
      <c r="AV779" s="5" t="s">
        <v>2478</v>
      </c>
      <c r="AX779" s="5">
        <v>0</v>
      </c>
      <c r="AY779" s="5" t="s">
        <v>86</v>
      </c>
      <c r="BN779" s="5" t="s">
        <v>85</v>
      </c>
      <c r="BO779" s="5">
        <v>360</v>
      </c>
      <c r="BP779" s="5">
        <v>1900</v>
      </c>
      <c r="BQ779" s="5">
        <v>632</v>
      </c>
      <c r="BR779" s="5">
        <v>1268</v>
      </c>
      <c r="BS779" s="5" t="s">
        <v>2484</v>
      </c>
      <c r="BT779" s="5">
        <v>0</v>
      </c>
      <c r="BU779" s="5">
        <v>200</v>
      </c>
      <c r="BV779" s="5">
        <v>60</v>
      </c>
      <c r="BW779" s="5">
        <v>0</v>
      </c>
      <c r="BX779" s="5">
        <v>0</v>
      </c>
      <c r="BZ779" s="5">
        <v>0</v>
      </c>
      <c r="CA779" s="5">
        <v>100</v>
      </c>
      <c r="CB779" s="5" t="s">
        <v>2490</v>
      </c>
      <c r="CC779" s="5">
        <v>0</v>
      </c>
      <c r="CD779" s="5">
        <v>0</v>
      </c>
      <c r="CF779" s="1442" t="str">
        <f>IF([1]!sommaire[[#This Row],[présence des personnes déplacés interne]]="Oui","1","0")</f>
        <v>1</v>
      </c>
      <c r="CG779" s="1442" t="str">
        <f>IF([1]!sommaire[[#This Row],[présence Réfugié hors camp]]="Oui","1","0")</f>
        <v>0</v>
      </c>
      <c r="CH779" s="1442" t="str">
        <f>IF([1]!sommaire[[#This Row],[présence personnes retournées]]="Oui","1","0")</f>
        <v>1</v>
      </c>
      <c r="CI779" s="1442">
        <f>[1]!sommaire[[#This Row],[Flag PDI]]+[1]!sommaire[[#This Row],[Flag REF]]+[1]!sommaire[[#This Row],[Flag RET]]</f>
        <v>2</v>
      </c>
    </row>
    <row r="780" spans="1:87" ht="14.55" customHeight="1" x14ac:dyDescent="0.3">
      <c r="A780" s="390">
        <v>2709173</v>
      </c>
      <c r="B780" s="5" t="s">
        <v>533</v>
      </c>
      <c r="C780" s="1430" t="s">
        <v>3449</v>
      </c>
      <c r="D780" s="1090" t="s">
        <v>534</v>
      </c>
      <c r="E780" s="5" t="s">
        <v>32</v>
      </c>
      <c r="F780" s="5" t="s">
        <v>32</v>
      </c>
      <c r="G780" s="5" t="s">
        <v>542</v>
      </c>
      <c r="H780" s="5" t="s">
        <v>175</v>
      </c>
      <c r="I780" s="5" t="str">
        <f>_xlfn.XLOOKUP(sommaire[[#This Row],[Arrondissement_code]],OCHA_GIS!$F:$F,OCHA_GIS!$E:$E,,)</f>
        <v>Gobo</v>
      </c>
      <c r="J780" s="5" t="s">
        <v>1136</v>
      </c>
      <c r="K780" t="s">
        <v>1476</v>
      </c>
      <c r="L780" s="5" t="s">
        <v>1477</v>
      </c>
      <c r="N780" s="5" t="s">
        <v>3053</v>
      </c>
      <c r="O780" s="5" t="s">
        <v>2467</v>
      </c>
      <c r="P780" s="5" t="s">
        <v>85</v>
      </c>
      <c r="Q780" s="5" t="s">
        <v>86</v>
      </c>
      <c r="R780" s="5" t="s">
        <v>86</v>
      </c>
      <c r="T780" s="390">
        <v>3</v>
      </c>
      <c r="U780" s="5" t="s">
        <v>97</v>
      </c>
      <c r="W780" s="5" t="s">
        <v>2468</v>
      </c>
      <c r="X780" s="5" t="s">
        <v>103</v>
      </c>
      <c r="Y780" s="5" t="s">
        <v>2476</v>
      </c>
      <c r="AA780" s="5" t="s">
        <v>85</v>
      </c>
      <c r="AB780" s="5" t="s">
        <v>2469</v>
      </c>
      <c r="AC780" s="5" t="s">
        <v>2470</v>
      </c>
      <c r="AD780" s="5" t="s">
        <v>86</v>
      </c>
      <c r="AF780" s="5">
        <v>21</v>
      </c>
      <c r="AG780" s="5">
        <v>4000</v>
      </c>
      <c r="AH780" s="5" t="s">
        <v>85</v>
      </c>
      <c r="AI780" s="5" t="s">
        <v>2485</v>
      </c>
      <c r="AJ780" s="5">
        <v>21</v>
      </c>
      <c r="AK780" s="5">
        <v>155</v>
      </c>
      <c r="AL780" s="5">
        <v>60</v>
      </c>
      <c r="AM780" s="5">
        <v>95</v>
      </c>
      <c r="AN780" s="5">
        <v>21</v>
      </c>
      <c r="AO780" s="5">
        <v>0</v>
      </c>
      <c r="AP780" s="5">
        <v>0</v>
      </c>
      <c r="AQ780" s="5">
        <v>0</v>
      </c>
      <c r="AT780" s="5">
        <v>0</v>
      </c>
      <c r="AU780" s="5">
        <v>0</v>
      </c>
      <c r="AX780" s="5">
        <v>0</v>
      </c>
      <c r="AY780" s="5" t="s">
        <v>86</v>
      </c>
      <c r="BN780" s="5" t="s">
        <v>85</v>
      </c>
      <c r="BO780" s="5">
        <v>90</v>
      </c>
      <c r="BP780" s="5">
        <v>600</v>
      </c>
      <c r="BQ780" s="5">
        <v>175</v>
      </c>
      <c r="BR780" s="5">
        <v>425</v>
      </c>
      <c r="BS780" s="5" t="s">
        <v>2484</v>
      </c>
      <c r="BT780" s="5">
        <v>0</v>
      </c>
      <c r="BU780" s="5">
        <v>90</v>
      </c>
      <c r="BV780" s="5">
        <v>0</v>
      </c>
      <c r="BW780" s="5">
        <v>0</v>
      </c>
      <c r="BX780" s="5">
        <v>0</v>
      </c>
      <c r="BZ780" s="5">
        <v>0</v>
      </c>
      <c r="CA780" s="5">
        <v>0</v>
      </c>
      <c r="CC780" s="5">
        <v>0</v>
      </c>
      <c r="CD780" s="5">
        <v>0</v>
      </c>
      <c r="CF780" s="1442" t="str">
        <f>IF([1]!sommaire[[#This Row],[présence des personnes déplacés interne]]="Oui","1","0")</f>
        <v>1</v>
      </c>
      <c r="CG780" s="1442" t="str">
        <f>IF([1]!sommaire[[#This Row],[présence Réfugié hors camp]]="Oui","1","0")</f>
        <v>0</v>
      </c>
      <c r="CH780" s="1442" t="str">
        <f>IF([1]!sommaire[[#This Row],[présence personnes retournées]]="Oui","1","0")</f>
        <v>1</v>
      </c>
      <c r="CI780" s="1442">
        <f>[1]!sommaire[[#This Row],[Flag PDI]]+[1]!sommaire[[#This Row],[Flag REF]]+[1]!sommaire[[#This Row],[Flag RET]]</f>
        <v>2</v>
      </c>
    </row>
    <row r="781" spans="1:87" ht="14.55" customHeight="1" x14ac:dyDescent="0.3">
      <c r="A781" s="390">
        <v>2709172</v>
      </c>
      <c r="B781" s="5" t="s">
        <v>533</v>
      </c>
      <c r="C781" s="1430" t="s">
        <v>3449</v>
      </c>
      <c r="D781" s="1090" t="s">
        <v>534</v>
      </c>
      <c r="E781" s="5" t="s">
        <v>32</v>
      </c>
      <c r="F781" s="5" t="s">
        <v>32</v>
      </c>
      <c r="G781" s="5" t="s">
        <v>542</v>
      </c>
      <c r="H781" s="5" t="s">
        <v>175</v>
      </c>
      <c r="I781" s="5" t="str">
        <f>_xlfn.XLOOKUP(sommaire[[#This Row],[Arrondissement_code]],OCHA_GIS!$F:$F,OCHA_GIS!$E:$E,,)</f>
        <v>Gobo</v>
      </c>
      <c r="J781" s="5" t="s">
        <v>1136</v>
      </c>
      <c r="K781" t="s">
        <v>1478</v>
      </c>
      <c r="L781" s="5" t="s">
        <v>1479</v>
      </c>
      <c r="N781" s="5" t="s">
        <v>3053</v>
      </c>
      <c r="O781" s="5" t="s">
        <v>2467</v>
      </c>
      <c r="P781" s="5" t="s">
        <v>85</v>
      </c>
      <c r="Q781" s="5" t="s">
        <v>86</v>
      </c>
      <c r="R781" s="5" t="s">
        <v>86</v>
      </c>
      <c r="T781" s="390">
        <v>3</v>
      </c>
      <c r="U781" s="5" t="s">
        <v>97</v>
      </c>
      <c r="W781" s="5" t="s">
        <v>2468</v>
      </c>
      <c r="X781" s="5" t="s">
        <v>103</v>
      </c>
      <c r="Y781" s="5" t="s">
        <v>2476</v>
      </c>
      <c r="AA781" s="5" t="s">
        <v>85</v>
      </c>
      <c r="AB781" s="5" t="s">
        <v>2469</v>
      </c>
      <c r="AC781" s="5" t="s">
        <v>2470</v>
      </c>
      <c r="AD781" s="5" t="s">
        <v>86</v>
      </c>
      <c r="AF781" s="5">
        <v>31</v>
      </c>
      <c r="AG781" s="5">
        <v>5000</v>
      </c>
      <c r="AH781" s="5" t="s">
        <v>85</v>
      </c>
      <c r="AI781" s="5" t="s">
        <v>2485</v>
      </c>
      <c r="AJ781" s="5">
        <v>31</v>
      </c>
      <c r="AK781" s="5">
        <v>195</v>
      </c>
      <c r="AL781" s="5">
        <v>74</v>
      </c>
      <c r="AM781" s="5">
        <v>121</v>
      </c>
      <c r="AN781" s="5">
        <v>31</v>
      </c>
      <c r="AO781" s="5">
        <v>0</v>
      </c>
      <c r="AP781" s="5">
        <v>0</v>
      </c>
      <c r="AQ781" s="5">
        <v>0</v>
      </c>
      <c r="AT781" s="5">
        <v>0</v>
      </c>
      <c r="AU781" s="5">
        <v>0</v>
      </c>
      <c r="AX781" s="5">
        <v>0</v>
      </c>
      <c r="AY781" s="5" t="s">
        <v>86</v>
      </c>
      <c r="BN781" s="5" t="s">
        <v>85</v>
      </c>
      <c r="BO781" s="5">
        <v>65</v>
      </c>
      <c r="BP781" s="5">
        <v>405</v>
      </c>
      <c r="BQ781" s="5">
        <v>145</v>
      </c>
      <c r="BR781" s="5">
        <v>260</v>
      </c>
      <c r="BS781" s="5" t="s">
        <v>2484</v>
      </c>
      <c r="BT781" s="5">
        <v>0</v>
      </c>
      <c r="BU781" s="5">
        <v>65</v>
      </c>
      <c r="BV781" s="5">
        <v>0</v>
      </c>
      <c r="BW781" s="5">
        <v>0</v>
      </c>
      <c r="BX781" s="5">
        <v>0</v>
      </c>
      <c r="BZ781" s="5">
        <v>0</v>
      </c>
      <c r="CA781" s="5">
        <v>0</v>
      </c>
      <c r="CC781" s="5">
        <v>0</v>
      </c>
      <c r="CD781" s="5">
        <v>0</v>
      </c>
      <c r="CF781" s="1442" t="str">
        <f>IF([1]!sommaire[[#This Row],[présence des personnes déplacés interne]]="Oui","1","0")</f>
        <v>1</v>
      </c>
      <c r="CG781" s="1442" t="str">
        <f>IF([1]!sommaire[[#This Row],[présence Réfugié hors camp]]="Oui","1","0")</f>
        <v>0</v>
      </c>
      <c r="CH781" s="1442" t="str">
        <f>IF([1]!sommaire[[#This Row],[présence personnes retournées]]="Oui","1","0")</f>
        <v>1</v>
      </c>
      <c r="CI781" s="1442">
        <f>[1]!sommaire[[#This Row],[Flag PDI]]+[1]!sommaire[[#This Row],[Flag REF]]+[1]!sommaire[[#This Row],[Flag RET]]</f>
        <v>2</v>
      </c>
    </row>
    <row r="782" spans="1:87" ht="14.55" customHeight="1" x14ac:dyDescent="0.3">
      <c r="A782" s="390">
        <v>2709175</v>
      </c>
      <c r="B782" s="5" t="s">
        <v>533</v>
      </c>
      <c r="C782" s="1430" t="s">
        <v>3449</v>
      </c>
      <c r="D782" s="1090" t="s">
        <v>534</v>
      </c>
      <c r="E782" s="5" t="s">
        <v>32</v>
      </c>
      <c r="F782" s="5" t="s">
        <v>32</v>
      </c>
      <c r="G782" s="5" t="s">
        <v>542</v>
      </c>
      <c r="H782" s="5" t="s">
        <v>175</v>
      </c>
      <c r="I782" s="5" t="str">
        <f>_xlfn.XLOOKUP(sommaire[[#This Row],[Arrondissement_code]],OCHA_GIS!$F:$F,OCHA_GIS!$E:$E,,)</f>
        <v>Gobo</v>
      </c>
      <c r="J782" s="5" t="s">
        <v>1136</v>
      </c>
      <c r="K782" t="s">
        <v>1771</v>
      </c>
      <c r="L782" s="5" t="s">
        <v>1772</v>
      </c>
      <c r="N782" s="5" t="s">
        <v>3053</v>
      </c>
      <c r="O782" s="5" t="s">
        <v>2467</v>
      </c>
      <c r="P782" s="5" t="s">
        <v>85</v>
      </c>
      <c r="Q782" s="5" t="s">
        <v>86</v>
      </c>
      <c r="R782" s="5" t="s">
        <v>86</v>
      </c>
      <c r="T782" s="390">
        <v>3</v>
      </c>
      <c r="U782" s="5" t="s">
        <v>97</v>
      </c>
      <c r="W782" s="5" t="s">
        <v>2468</v>
      </c>
      <c r="X782" s="5" t="s">
        <v>103</v>
      </c>
      <c r="Y782" s="5" t="s">
        <v>2476</v>
      </c>
      <c r="AA782" s="5" t="s">
        <v>85</v>
      </c>
      <c r="AB782" s="5" t="s">
        <v>2469</v>
      </c>
      <c r="AC782" s="5" t="s">
        <v>2470</v>
      </c>
      <c r="AD782" s="5" t="s">
        <v>86</v>
      </c>
      <c r="AF782" s="5">
        <v>20</v>
      </c>
      <c r="AG782" s="5">
        <v>4000</v>
      </c>
      <c r="AH782" s="5" t="s">
        <v>85</v>
      </c>
      <c r="AI782" s="5" t="s">
        <v>2485</v>
      </c>
      <c r="AJ782" s="5">
        <v>20</v>
      </c>
      <c r="AK782" s="5">
        <v>115</v>
      </c>
      <c r="AL782" s="5">
        <v>46</v>
      </c>
      <c r="AM782" s="5">
        <v>69</v>
      </c>
      <c r="AN782" s="5">
        <v>20</v>
      </c>
      <c r="AO782" s="5">
        <v>0</v>
      </c>
      <c r="AP782" s="5">
        <v>0</v>
      </c>
      <c r="AQ782" s="5">
        <v>0</v>
      </c>
      <c r="AT782" s="5">
        <v>0</v>
      </c>
      <c r="AU782" s="5">
        <v>0</v>
      </c>
      <c r="AX782" s="5">
        <v>0</v>
      </c>
      <c r="AY782" s="5" t="s">
        <v>86</v>
      </c>
      <c r="BN782" s="5" t="s">
        <v>85</v>
      </c>
      <c r="BO782" s="5">
        <v>121</v>
      </c>
      <c r="BP782" s="5">
        <v>1350</v>
      </c>
      <c r="BQ782" s="5">
        <v>250</v>
      </c>
      <c r="BR782" s="5">
        <v>1100</v>
      </c>
      <c r="BS782" s="5" t="s">
        <v>2484</v>
      </c>
      <c r="BT782" s="5">
        <v>0</v>
      </c>
      <c r="BU782" s="5">
        <v>121</v>
      </c>
      <c r="BV782" s="5">
        <v>0</v>
      </c>
      <c r="BW782" s="5">
        <v>0</v>
      </c>
      <c r="BX782" s="5">
        <v>0</v>
      </c>
      <c r="BZ782" s="5">
        <v>0</v>
      </c>
      <c r="CA782" s="5">
        <v>0</v>
      </c>
      <c r="CC782" s="5">
        <v>0</v>
      </c>
      <c r="CD782" s="5">
        <v>0</v>
      </c>
      <c r="CF782" s="1442" t="str">
        <f>IF([1]!sommaire[[#This Row],[présence des personnes déplacés interne]]="Oui","1","0")</f>
        <v>1</v>
      </c>
      <c r="CG782" s="1442" t="str">
        <f>IF([1]!sommaire[[#This Row],[présence Réfugié hors camp]]="Oui","1","0")</f>
        <v>0</v>
      </c>
      <c r="CH782" s="1442" t="str">
        <f>IF([1]!sommaire[[#This Row],[présence personnes retournées]]="Oui","1","0")</f>
        <v>1</v>
      </c>
      <c r="CI782" s="1442">
        <f>[1]!sommaire[[#This Row],[Flag PDI]]+[1]!sommaire[[#This Row],[Flag REF]]+[1]!sommaire[[#This Row],[Flag RET]]</f>
        <v>2</v>
      </c>
    </row>
    <row r="783" spans="1:87" ht="14.55" customHeight="1" x14ac:dyDescent="0.3">
      <c r="A783" s="390">
        <v>2671002</v>
      </c>
      <c r="B783" s="5" t="s">
        <v>533</v>
      </c>
      <c r="C783" s="1430" t="s">
        <v>3449</v>
      </c>
      <c r="D783" s="5" t="s">
        <v>534</v>
      </c>
      <c r="E783" s="5" t="s">
        <v>32</v>
      </c>
      <c r="F783" s="5" t="s">
        <v>32</v>
      </c>
      <c r="G783" s="5" t="s">
        <v>542</v>
      </c>
      <c r="H783" s="5" t="s">
        <v>177</v>
      </c>
      <c r="I783" s="5" t="str">
        <f>_xlfn.XLOOKUP(sommaire[[#This Row],[Arrondissement_code]],OCHA_GIS!$F:$F,OCHA_GIS!$E:$E,,)</f>
        <v>Guémé</v>
      </c>
      <c r="J783" s="5" t="s">
        <v>777</v>
      </c>
      <c r="K783" t="s">
        <v>778</v>
      </c>
      <c r="L783" s="5" t="s">
        <v>779</v>
      </c>
      <c r="N783" s="5" t="s">
        <v>3053</v>
      </c>
      <c r="O783" s="5" t="s">
        <v>2467</v>
      </c>
      <c r="P783" s="5" t="s">
        <v>85</v>
      </c>
      <c r="Q783" s="5" t="s">
        <v>86</v>
      </c>
      <c r="R783" s="5" t="s">
        <v>86</v>
      </c>
      <c r="T783" s="390">
        <v>3</v>
      </c>
      <c r="U783" s="5" t="s">
        <v>97</v>
      </c>
      <c r="W783" s="5" t="s">
        <v>2468</v>
      </c>
      <c r="X783" s="5" t="s">
        <v>103</v>
      </c>
      <c r="Y783" s="5" t="s">
        <v>2476</v>
      </c>
      <c r="AA783" s="5" t="s">
        <v>85</v>
      </c>
      <c r="AB783" s="5" t="s">
        <v>2469</v>
      </c>
      <c r="AC783" s="5" t="s">
        <v>2470</v>
      </c>
      <c r="AD783" s="5" t="s">
        <v>86</v>
      </c>
      <c r="AF783" s="5">
        <v>35</v>
      </c>
      <c r="AG783" s="5">
        <v>3000</v>
      </c>
      <c r="AH783" s="5" t="s">
        <v>85</v>
      </c>
      <c r="AI783" s="5" t="s">
        <v>2485</v>
      </c>
      <c r="AJ783" s="5">
        <v>35</v>
      </c>
      <c r="AK783" s="5">
        <v>285</v>
      </c>
      <c r="AL783" s="5">
        <v>100</v>
      </c>
      <c r="AM783" s="5">
        <v>185</v>
      </c>
      <c r="AN783" s="5">
        <v>35</v>
      </c>
      <c r="AO783" s="5">
        <v>0</v>
      </c>
      <c r="AP783" s="5">
        <v>0</v>
      </c>
      <c r="AQ783" s="5">
        <v>0</v>
      </c>
      <c r="AT783" s="5">
        <v>0</v>
      </c>
      <c r="AU783" s="5">
        <v>0</v>
      </c>
      <c r="AX783" s="5">
        <v>0</v>
      </c>
      <c r="AY783" s="5" t="s">
        <v>86</v>
      </c>
      <c r="BN783" s="5" t="s">
        <v>85</v>
      </c>
      <c r="BO783" s="5">
        <v>93</v>
      </c>
      <c r="BP783" s="5">
        <v>920</v>
      </c>
      <c r="BQ783" s="5">
        <v>320</v>
      </c>
      <c r="BR783" s="5">
        <v>600</v>
      </c>
      <c r="BS783" s="5" t="s">
        <v>2484</v>
      </c>
      <c r="BT783" s="5">
        <v>0</v>
      </c>
      <c r="BU783" s="5">
        <v>43</v>
      </c>
      <c r="BV783" s="5">
        <v>21</v>
      </c>
      <c r="BW783" s="5">
        <v>0</v>
      </c>
      <c r="BX783" s="5">
        <v>0</v>
      </c>
      <c r="BZ783" s="5">
        <v>0</v>
      </c>
      <c r="CA783" s="5">
        <v>29</v>
      </c>
      <c r="CB783" s="5" t="s">
        <v>2490</v>
      </c>
      <c r="CC783" s="5">
        <v>0</v>
      </c>
      <c r="CD783" s="5">
        <v>0</v>
      </c>
      <c r="CF783" s="1442" t="str">
        <f>IF([1]!sommaire[[#This Row],[présence des personnes déplacés interne]]="Oui","1","0")</f>
        <v>1</v>
      </c>
      <c r="CG783" s="1442" t="str">
        <f>IF([1]!sommaire[[#This Row],[présence Réfugié hors camp]]="Oui","1","0")</f>
        <v>0</v>
      </c>
      <c r="CH783" s="1442" t="str">
        <f>IF([1]!sommaire[[#This Row],[présence personnes retournées]]="Oui","1","0")</f>
        <v>1</v>
      </c>
      <c r="CI783" s="1442">
        <f>[1]!sommaire[[#This Row],[Flag PDI]]+[1]!sommaire[[#This Row],[Flag REF]]+[1]!sommaire[[#This Row],[Flag RET]]</f>
        <v>2</v>
      </c>
    </row>
    <row r="784" spans="1:87" ht="14.55" customHeight="1" x14ac:dyDescent="0.3">
      <c r="A784" s="390">
        <v>2675396</v>
      </c>
      <c r="B784" s="5" t="s">
        <v>533</v>
      </c>
      <c r="C784" s="1430" t="s">
        <v>3449</v>
      </c>
      <c r="D784" s="1090" t="s">
        <v>534</v>
      </c>
      <c r="E784" s="5" t="s">
        <v>32</v>
      </c>
      <c r="F784" s="5" t="s">
        <v>32</v>
      </c>
      <c r="G784" s="5" t="s">
        <v>542</v>
      </c>
      <c r="H784" s="5" t="s">
        <v>177</v>
      </c>
      <c r="I784" s="5" t="str">
        <f>_xlfn.XLOOKUP(sommaire[[#This Row],[Arrondissement_code]],OCHA_GIS!$F:$F,OCHA_GIS!$E:$E,,)</f>
        <v>Guémé</v>
      </c>
      <c r="J784" s="5" t="s">
        <v>777</v>
      </c>
      <c r="K784" t="s">
        <v>1040</v>
      </c>
      <c r="L784" s="5" t="s">
        <v>2287</v>
      </c>
      <c r="N784" s="5" t="s">
        <v>3052</v>
      </c>
      <c r="O784" s="5" t="s">
        <v>2467</v>
      </c>
      <c r="P784" s="5" t="s">
        <v>85</v>
      </c>
      <c r="Q784" s="5" t="s">
        <v>86</v>
      </c>
      <c r="R784" s="5" t="s">
        <v>86</v>
      </c>
      <c r="T784" s="390">
        <v>3</v>
      </c>
      <c r="U784" s="5" t="s">
        <v>97</v>
      </c>
      <c r="W784" s="5" t="s">
        <v>2468</v>
      </c>
      <c r="X784" s="1090" t="s">
        <v>102</v>
      </c>
      <c r="AA784" s="1090" t="s">
        <v>85</v>
      </c>
      <c r="AB784" s="5" t="s">
        <v>2469</v>
      </c>
      <c r="AC784" s="5" t="s">
        <v>2470</v>
      </c>
      <c r="AD784" s="5" t="s">
        <v>86</v>
      </c>
      <c r="AG784" s="5">
        <v>7000</v>
      </c>
      <c r="AH784" s="5" t="s">
        <v>86</v>
      </c>
      <c r="AY784" s="1090" t="s">
        <v>86</v>
      </c>
      <c r="BN784" s="1090" t="s">
        <v>85</v>
      </c>
      <c r="BO784" s="5">
        <v>59</v>
      </c>
      <c r="BP784" s="5">
        <v>185</v>
      </c>
      <c r="BQ784" s="5">
        <v>85</v>
      </c>
      <c r="BR784" s="5">
        <v>100</v>
      </c>
      <c r="BS784" s="5" t="s">
        <v>2492</v>
      </c>
      <c r="BT784" s="5">
        <v>0</v>
      </c>
      <c r="BU784" s="5">
        <v>30</v>
      </c>
      <c r="BV784" s="5">
        <v>11</v>
      </c>
      <c r="BW784" s="5">
        <v>0</v>
      </c>
      <c r="BX784" s="5">
        <v>0</v>
      </c>
      <c r="BZ784" s="5">
        <v>0</v>
      </c>
      <c r="CA784" s="5">
        <v>18</v>
      </c>
      <c r="CB784" s="5" t="s">
        <v>2478</v>
      </c>
      <c r="CC784" s="5">
        <v>0</v>
      </c>
      <c r="CD784" s="5">
        <v>0</v>
      </c>
      <c r="CF784" s="1442" t="str">
        <f>IF([1]!sommaire[[#This Row],[présence des personnes déplacés interne]]="Oui","1","0")</f>
        <v>0</v>
      </c>
      <c r="CG784" s="1442" t="str">
        <f>IF([1]!sommaire[[#This Row],[présence Réfugié hors camp]]="Oui","1","0")</f>
        <v>0</v>
      </c>
      <c r="CH784" s="1442" t="str">
        <f>IF([1]!sommaire[[#This Row],[présence personnes retournées]]="Oui","1","0")</f>
        <v>1</v>
      </c>
      <c r="CI784" s="1442">
        <f>[1]!sommaire[[#This Row],[Flag PDI]]+[1]!sommaire[[#This Row],[Flag REF]]+[1]!sommaire[[#This Row],[Flag RET]]</f>
        <v>1</v>
      </c>
    </row>
    <row r="785" spans="1:87" ht="14.55" customHeight="1" x14ac:dyDescent="0.3">
      <c r="A785" s="390">
        <v>2678390</v>
      </c>
      <c r="B785" s="5" t="s">
        <v>533</v>
      </c>
      <c r="C785" s="1430" t="s">
        <v>3449</v>
      </c>
      <c r="D785" s="1090" t="s">
        <v>534</v>
      </c>
      <c r="E785" s="5" t="s">
        <v>32</v>
      </c>
      <c r="F785" s="5" t="s">
        <v>32</v>
      </c>
      <c r="G785" s="5" t="s">
        <v>542</v>
      </c>
      <c r="H785" s="5" t="s">
        <v>177</v>
      </c>
      <c r="I785" s="5" t="str">
        <f>_xlfn.XLOOKUP(sommaire[[#This Row],[Arrondissement_code]],OCHA_GIS!$F:$F,OCHA_GIS!$E:$E,,)</f>
        <v>Guémé</v>
      </c>
      <c r="J785" s="5" t="s">
        <v>777</v>
      </c>
      <c r="K785" t="s">
        <v>2286</v>
      </c>
      <c r="L785" s="5" t="s">
        <v>1652</v>
      </c>
      <c r="N785" s="5" t="s">
        <v>3053</v>
      </c>
      <c r="O785" s="5" t="s">
        <v>2467</v>
      </c>
      <c r="P785" s="5" t="s">
        <v>85</v>
      </c>
      <c r="Q785" s="5" t="s">
        <v>86</v>
      </c>
      <c r="R785" s="5" t="s">
        <v>86</v>
      </c>
      <c r="T785" s="390">
        <v>3</v>
      </c>
      <c r="U785" s="5" t="s">
        <v>97</v>
      </c>
      <c r="W785" s="5" t="s">
        <v>2468</v>
      </c>
      <c r="X785" s="5" t="s">
        <v>102</v>
      </c>
      <c r="AA785" s="5" t="s">
        <v>85</v>
      </c>
      <c r="AB785" s="5" t="s">
        <v>2469</v>
      </c>
      <c r="AC785" s="5" t="s">
        <v>2470</v>
      </c>
      <c r="AD785" s="5" t="s">
        <v>86</v>
      </c>
      <c r="AF785" s="5">
        <v>159</v>
      </c>
      <c r="AG785" s="5">
        <v>4300</v>
      </c>
      <c r="AH785" s="5" t="s">
        <v>85</v>
      </c>
      <c r="AI785" s="5" t="s">
        <v>2471</v>
      </c>
      <c r="AJ785" s="5">
        <v>159</v>
      </c>
      <c r="AK785" s="5">
        <v>536</v>
      </c>
      <c r="AL785" s="5">
        <v>236</v>
      </c>
      <c r="AM785" s="5">
        <v>300</v>
      </c>
      <c r="AN785" s="5">
        <v>100</v>
      </c>
      <c r="AO785" s="5">
        <v>59</v>
      </c>
      <c r="AP785" s="5">
        <v>0</v>
      </c>
      <c r="AQ785" s="5">
        <v>0</v>
      </c>
      <c r="AT785" s="5">
        <v>0</v>
      </c>
      <c r="AU785" s="5">
        <v>0</v>
      </c>
      <c r="AX785" s="5">
        <v>0</v>
      </c>
      <c r="AY785" s="5" t="s">
        <v>86</v>
      </c>
      <c r="BN785" s="5" t="s">
        <v>86</v>
      </c>
      <c r="CD785" s="5">
        <v>0</v>
      </c>
      <c r="CF785" s="1442" t="str">
        <f>IF([1]!sommaire[[#This Row],[présence des personnes déplacés interne]]="Oui","1","0")</f>
        <v>1</v>
      </c>
      <c r="CG785" s="1442" t="str">
        <f>IF([1]!sommaire[[#This Row],[présence Réfugié hors camp]]="Oui","1","0")</f>
        <v>0</v>
      </c>
      <c r="CH785" s="1442" t="str">
        <f>IF([1]!sommaire[[#This Row],[présence personnes retournées]]="Oui","1","0")</f>
        <v>0</v>
      </c>
      <c r="CI785" s="1442">
        <f>[1]!sommaire[[#This Row],[Flag PDI]]+[1]!sommaire[[#This Row],[Flag REF]]+[1]!sommaire[[#This Row],[Flag RET]]</f>
        <v>1</v>
      </c>
    </row>
    <row r="786" spans="1:87" ht="14.55" customHeight="1" x14ac:dyDescent="0.3">
      <c r="A786" s="390">
        <v>2679635</v>
      </c>
      <c r="B786" s="5" t="s">
        <v>533</v>
      </c>
      <c r="C786" s="1430" t="s">
        <v>3449</v>
      </c>
      <c r="D786" s="1090" t="s">
        <v>534</v>
      </c>
      <c r="E786" s="5" t="s">
        <v>32</v>
      </c>
      <c r="F786" s="5" t="s">
        <v>32</v>
      </c>
      <c r="G786" s="5" t="s">
        <v>542</v>
      </c>
      <c r="H786" s="5" t="s">
        <v>177</v>
      </c>
      <c r="I786" s="5" t="str">
        <f>_xlfn.XLOOKUP(sommaire[[#This Row],[Arrondissement_code]],OCHA_GIS!$F:$F,OCHA_GIS!$E:$E,,)</f>
        <v>Guémé</v>
      </c>
      <c r="J786" s="5" t="s">
        <v>777</v>
      </c>
      <c r="K786" t="s">
        <v>1651</v>
      </c>
      <c r="L786" s="5" t="s">
        <v>1650</v>
      </c>
      <c r="N786" s="5" t="s">
        <v>3053</v>
      </c>
      <c r="O786" s="5" t="s">
        <v>2467</v>
      </c>
      <c r="P786" s="5" t="s">
        <v>85</v>
      </c>
      <c r="Q786" s="5" t="s">
        <v>86</v>
      </c>
      <c r="R786" s="5" t="s">
        <v>86</v>
      </c>
      <c r="T786" s="390">
        <v>3</v>
      </c>
      <c r="U786" s="5" t="s">
        <v>97</v>
      </c>
      <c r="W786" s="5" t="s">
        <v>2468</v>
      </c>
      <c r="X786" s="5" t="s">
        <v>102</v>
      </c>
      <c r="AA786" s="5" t="s">
        <v>85</v>
      </c>
      <c r="AB786" s="5" t="s">
        <v>2469</v>
      </c>
      <c r="AC786" s="5" t="s">
        <v>2470</v>
      </c>
      <c r="AD786" s="5" t="s">
        <v>86</v>
      </c>
      <c r="AF786" s="5">
        <v>160</v>
      </c>
      <c r="AG786" s="5">
        <v>3400</v>
      </c>
      <c r="AH786" s="5" t="s">
        <v>85</v>
      </c>
      <c r="AI786" s="5" t="s">
        <v>2471</v>
      </c>
      <c r="AJ786" s="5">
        <v>160</v>
      </c>
      <c r="AK786" s="5">
        <v>515</v>
      </c>
      <c r="AL786" s="5">
        <v>185</v>
      </c>
      <c r="AM786" s="5">
        <v>330</v>
      </c>
      <c r="AN786" s="5">
        <v>50</v>
      </c>
      <c r="AO786" s="5">
        <v>10</v>
      </c>
      <c r="AP786" s="5">
        <v>0</v>
      </c>
      <c r="AQ786" s="5">
        <v>0</v>
      </c>
      <c r="AT786" s="5">
        <v>0</v>
      </c>
      <c r="AU786" s="5">
        <v>100</v>
      </c>
      <c r="AV786" s="5" t="s">
        <v>2490</v>
      </c>
      <c r="AX786" s="5">
        <v>0</v>
      </c>
      <c r="AY786" s="5" t="s">
        <v>86</v>
      </c>
      <c r="BN786" s="5" t="s">
        <v>85</v>
      </c>
      <c r="BO786" s="5">
        <v>45</v>
      </c>
      <c r="BP786" s="5">
        <v>295</v>
      </c>
      <c r="BQ786" s="5">
        <v>105</v>
      </c>
      <c r="BR786" s="5">
        <v>190</v>
      </c>
      <c r="BS786" s="5" t="s">
        <v>2484</v>
      </c>
      <c r="BT786" s="5">
        <v>20</v>
      </c>
      <c r="BU786" s="5">
        <v>21</v>
      </c>
      <c r="BV786" s="5">
        <v>4</v>
      </c>
      <c r="BW786" s="5">
        <v>0</v>
      </c>
      <c r="BX786" s="5">
        <v>0</v>
      </c>
      <c r="BZ786" s="5">
        <v>0</v>
      </c>
      <c r="CA786" s="5">
        <v>0</v>
      </c>
      <c r="CC786" s="5">
        <v>0</v>
      </c>
      <c r="CD786" s="5">
        <v>0</v>
      </c>
      <c r="CF786" s="1442" t="str">
        <f>IF([1]!sommaire[[#This Row],[présence des personnes déplacés interne]]="Oui","1","0")</f>
        <v>1</v>
      </c>
      <c r="CG786" s="1442" t="str">
        <f>IF([1]!sommaire[[#This Row],[présence Réfugié hors camp]]="Oui","1","0")</f>
        <v>0</v>
      </c>
      <c r="CH786" s="1442" t="str">
        <f>IF([1]!sommaire[[#This Row],[présence personnes retournées]]="Oui","1","0")</f>
        <v>1</v>
      </c>
      <c r="CI786" s="1442">
        <f>[1]!sommaire[[#This Row],[Flag PDI]]+[1]!sommaire[[#This Row],[Flag REF]]+[1]!sommaire[[#This Row],[Flag RET]]</f>
        <v>2</v>
      </c>
    </row>
    <row r="787" spans="1:87" ht="14.55" customHeight="1" x14ac:dyDescent="0.3">
      <c r="A787" s="390">
        <v>2679839</v>
      </c>
      <c r="B787" s="5" t="s">
        <v>533</v>
      </c>
      <c r="C787" s="1430" t="s">
        <v>3449</v>
      </c>
      <c r="D787" s="1090" t="s">
        <v>534</v>
      </c>
      <c r="E787" s="5" t="s">
        <v>32</v>
      </c>
      <c r="F787" s="5" t="s">
        <v>32</v>
      </c>
      <c r="G787" s="5" t="s">
        <v>542</v>
      </c>
      <c r="H787" s="5" t="s">
        <v>177</v>
      </c>
      <c r="I787" s="5" t="str">
        <f>_xlfn.XLOOKUP(sommaire[[#This Row],[Arrondissement_code]],OCHA_GIS!$F:$F,OCHA_GIS!$E:$E,,)</f>
        <v>Guémé</v>
      </c>
      <c r="J787" s="5" t="s">
        <v>777</v>
      </c>
      <c r="K787" t="s">
        <v>2247</v>
      </c>
      <c r="L787" s="5" t="s">
        <v>2775</v>
      </c>
      <c r="N787" s="5" t="s">
        <v>3053</v>
      </c>
      <c r="O787" s="5" t="s">
        <v>2467</v>
      </c>
      <c r="P787" s="5" t="s">
        <v>85</v>
      </c>
      <c r="Q787" s="5" t="s">
        <v>86</v>
      </c>
      <c r="R787" s="5" t="s">
        <v>86</v>
      </c>
      <c r="T787" s="390">
        <v>3</v>
      </c>
      <c r="U787" s="5" t="s">
        <v>97</v>
      </c>
      <c r="W787" s="5" t="s">
        <v>2468</v>
      </c>
      <c r="X787" s="5" t="s">
        <v>103</v>
      </c>
      <c r="Y787" s="5" t="s">
        <v>2476</v>
      </c>
      <c r="AA787" s="5" t="s">
        <v>85</v>
      </c>
      <c r="AB787" s="5" t="s">
        <v>2576</v>
      </c>
      <c r="AC787" s="5" t="s">
        <v>2469</v>
      </c>
      <c r="AD787" s="5" t="s">
        <v>86</v>
      </c>
      <c r="AG787" s="5">
        <v>1800</v>
      </c>
      <c r="AH787" s="5" t="s">
        <v>86</v>
      </c>
      <c r="AY787" s="5" t="s">
        <v>86</v>
      </c>
      <c r="BN787" s="5" t="s">
        <v>85</v>
      </c>
      <c r="BO787" s="5">
        <v>180</v>
      </c>
      <c r="BP787" s="5">
        <v>961</v>
      </c>
      <c r="BQ787" s="5">
        <v>326</v>
      </c>
      <c r="BR787" s="5">
        <v>635</v>
      </c>
      <c r="BS787" s="5" t="s">
        <v>2484</v>
      </c>
      <c r="BT787" s="5">
        <v>0</v>
      </c>
      <c r="BU787" s="5">
        <v>0</v>
      </c>
      <c r="BV787" s="5">
        <v>60</v>
      </c>
      <c r="BW787" s="5">
        <v>0</v>
      </c>
      <c r="BX787" s="5">
        <v>0</v>
      </c>
      <c r="BZ787" s="5">
        <v>0</v>
      </c>
      <c r="CA787" s="5">
        <v>90</v>
      </c>
      <c r="CB787" s="5" t="s">
        <v>2490</v>
      </c>
      <c r="CC787" s="5">
        <v>30</v>
      </c>
      <c r="CF787" s="1442" t="str">
        <f>IF([1]!sommaire[[#This Row],[présence des personnes déplacés interne]]="Oui","1","0")</f>
        <v>0</v>
      </c>
      <c r="CG787" s="1442" t="str">
        <f>IF([1]!sommaire[[#This Row],[présence Réfugié hors camp]]="Oui","1","0")</f>
        <v>0</v>
      </c>
      <c r="CH787" s="1442" t="str">
        <f>IF([1]!sommaire[[#This Row],[présence personnes retournées]]="Oui","1","0")</f>
        <v>1</v>
      </c>
      <c r="CI787" s="1442">
        <f>[1]!sommaire[[#This Row],[Flag PDI]]+[1]!sommaire[[#This Row],[Flag REF]]+[1]!sommaire[[#This Row],[Flag RET]]</f>
        <v>1</v>
      </c>
    </row>
    <row r="788" spans="1:87" ht="14.55" customHeight="1" x14ac:dyDescent="0.3">
      <c r="A788" s="390">
        <v>2671601</v>
      </c>
      <c r="B788" s="5" t="s">
        <v>533</v>
      </c>
      <c r="C788" s="1430" t="s">
        <v>3449</v>
      </c>
      <c r="D788" s="1090" t="s">
        <v>534</v>
      </c>
      <c r="E788" s="5" t="s">
        <v>32</v>
      </c>
      <c r="F788" s="5" t="s">
        <v>32</v>
      </c>
      <c r="G788" s="5" t="s">
        <v>542</v>
      </c>
      <c r="H788" s="5" t="s">
        <v>177</v>
      </c>
      <c r="I788" s="5" t="str">
        <f>_xlfn.XLOOKUP(sommaire[[#This Row],[Arrondissement_code]],OCHA_GIS!$F:$F,OCHA_GIS!$E:$E,,)</f>
        <v>Guémé</v>
      </c>
      <c r="J788" s="5" t="s">
        <v>777</v>
      </c>
      <c r="K788" t="s">
        <v>3206</v>
      </c>
      <c r="L788" s="5" t="s">
        <v>1696</v>
      </c>
      <c r="N788" s="5" t="s">
        <v>3052</v>
      </c>
      <c r="O788" s="5" t="s">
        <v>2467</v>
      </c>
      <c r="P788" s="5" t="s">
        <v>85</v>
      </c>
      <c r="Q788" s="5" t="s">
        <v>86</v>
      </c>
      <c r="R788" s="5" t="s">
        <v>86</v>
      </c>
      <c r="T788" s="390">
        <v>3</v>
      </c>
      <c r="U788" s="5" t="s">
        <v>97</v>
      </c>
      <c r="W788" s="5" t="s">
        <v>2468</v>
      </c>
      <c r="X788" s="5" t="s">
        <v>103</v>
      </c>
      <c r="Y788" s="5" t="s">
        <v>2476</v>
      </c>
      <c r="AA788" s="5" t="s">
        <v>85</v>
      </c>
      <c r="AB788" s="5" t="s">
        <v>2469</v>
      </c>
      <c r="AC788" s="5" t="s">
        <v>2470</v>
      </c>
      <c r="AD788" s="5" t="s">
        <v>86</v>
      </c>
      <c r="AF788" s="5">
        <v>41</v>
      </c>
      <c r="AG788" s="5">
        <v>6000</v>
      </c>
      <c r="AH788" s="5" t="s">
        <v>85</v>
      </c>
      <c r="AI788" s="5" t="s">
        <v>2485</v>
      </c>
      <c r="AJ788" s="5">
        <v>41</v>
      </c>
      <c r="AK788" s="5">
        <v>454</v>
      </c>
      <c r="AL788" s="5">
        <v>212</v>
      </c>
      <c r="AM788" s="5">
        <v>242</v>
      </c>
      <c r="AN788" s="5">
        <v>31</v>
      </c>
      <c r="AO788" s="5">
        <v>10</v>
      </c>
      <c r="AP788" s="5">
        <v>0</v>
      </c>
      <c r="AQ788" s="5">
        <v>0</v>
      </c>
      <c r="AT788" s="5">
        <v>0</v>
      </c>
      <c r="AU788" s="5">
        <v>0</v>
      </c>
      <c r="AX788" s="5">
        <v>0</v>
      </c>
      <c r="AY788" s="5" t="s">
        <v>86</v>
      </c>
      <c r="BN788" s="5" t="s">
        <v>85</v>
      </c>
      <c r="BO788" s="5">
        <v>34</v>
      </c>
      <c r="BP788" s="5">
        <v>183</v>
      </c>
      <c r="BQ788" s="5">
        <v>83</v>
      </c>
      <c r="BR788" s="5">
        <v>100</v>
      </c>
      <c r="BS788" s="5" t="s">
        <v>2484</v>
      </c>
      <c r="BT788" s="5">
        <v>0</v>
      </c>
      <c r="BU788" s="5">
        <v>25</v>
      </c>
      <c r="BV788" s="5">
        <v>3</v>
      </c>
      <c r="BW788" s="5">
        <v>0</v>
      </c>
      <c r="BX788" s="5">
        <v>0</v>
      </c>
      <c r="BZ788" s="5">
        <v>0</v>
      </c>
      <c r="CA788" s="5">
        <v>6</v>
      </c>
      <c r="CB788" s="5" t="s">
        <v>2490</v>
      </c>
      <c r="CC788" s="5">
        <v>0</v>
      </c>
      <c r="CD788" s="5">
        <v>0</v>
      </c>
      <c r="CF788" s="1442" t="str">
        <f>IF([1]!sommaire[[#This Row],[présence des personnes déplacés interne]]="Oui","1","0")</f>
        <v>1</v>
      </c>
      <c r="CG788" s="1442" t="str">
        <f>IF([1]!sommaire[[#This Row],[présence Réfugié hors camp]]="Oui","1","0")</f>
        <v>0</v>
      </c>
      <c r="CH788" s="1442" t="str">
        <f>IF([1]!sommaire[[#This Row],[présence personnes retournées]]="Oui","1","0")</f>
        <v>1</v>
      </c>
      <c r="CI788" s="1442">
        <f>[1]!sommaire[[#This Row],[Flag PDI]]+[1]!sommaire[[#This Row],[Flag REF]]+[1]!sommaire[[#This Row],[Flag RET]]</f>
        <v>2</v>
      </c>
    </row>
    <row r="789" spans="1:87" ht="14.55" customHeight="1" x14ac:dyDescent="0.3">
      <c r="A789" s="390">
        <v>2673094</v>
      </c>
      <c r="B789" s="5" t="s">
        <v>533</v>
      </c>
      <c r="C789" s="1430" t="s">
        <v>3449</v>
      </c>
      <c r="D789" s="1090" t="s">
        <v>534</v>
      </c>
      <c r="E789" s="5" t="s">
        <v>32</v>
      </c>
      <c r="F789" s="5" t="s">
        <v>32</v>
      </c>
      <c r="G789" s="5" t="s">
        <v>542</v>
      </c>
      <c r="H789" s="5" t="s">
        <v>177</v>
      </c>
      <c r="I789" s="5" t="str">
        <f>_xlfn.XLOOKUP(sommaire[[#This Row],[Arrondissement_code]],OCHA_GIS!$F:$F,OCHA_GIS!$E:$E,,)</f>
        <v>Guémé</v>
      </c>
      <c r="J789" s="5" t="s">
        <v>777</v>
      </c>
      <c r="K789" t="s">
        <v>1695</v>
      </c>
      <c r="L789" s="5" t="s">
        <v>1259</v>
      </c>
      <c r="N789" s="5" t="s">
        <v>3052</v>
      </c>
      <c r="O789" s="5" t="s">
        <v>2467</v>
      </c>
      <c r="P789" s="5" t="s">
        <v>85</v>
      </c>
      <c r="Q789" s="5" t="s">
        <v>86</v>
      </c>
      <c r="R789" s="5" t="s">
        <v>86</v>
      </c>
      <c r="T789" s="390">
        <v>3</v>
      </c>
      <c r="U789" s="5" t="s">
        <v>97</v>
      </c>
      <c r="W789" s="5" t="s">
        <v>2468</v>
      </c>
      <c r="X789" s="5" t="s">
        <v>103</v>
      </c>
      <c r="Y789" s="5" t="s">
        <v>2476</v>
      </c>
      <c r="AA789" s="1175" t="s">
        <v>85</v>
      </c>
      <c r="AB789" s="5" t="s">
        <v>2469</v>
      </c>
      <c r="AC789" s="5" t="s">
        <v>2470</v>
      </c>
      <c r="AD789" s="5" t="s">
        <v>86</v>
      </c>
      <c r="AF789" s="5">
        <v>56</v>
      </c>
      <c r="AG789" s="5">
        <v>8000</v>
      </c>
      <c r="AH789" s="5" t="s">
        <v>85</v>
      </c>
      <c r="AI789" s="5" t="s">
        <v>2485</v>
      </c>
      <c r="AJ789" s="5">
        <v>56</v>
      </c>
      <c r="AK789" s="5">
        <v>380</v>
      </c>
      <c r="AL789" s="5">
        <v>180</v>
      </c>
      <c r="AM789" s="5">
        <v>200</v>
      </c>
      <c r="AN789" s="5">
        <v>21</v>
      </c>
      <c r="AO789" s="5">
        <v>15</v>
      </c>
      <c r="AP789" s="5">
        <v>0</v>
      </c>
      <c r="AQ789" s="5">
        <v>0</v>
      </c>
      <c r="AT789" s="5">
        <v>0</v>
      </c>
      <c r="AU789" s="5">
        <v>20</v>
      </c>
      <c r="AV789" s="5" t="s">
        <v>2490</v>
      </c>
      <c r="AX789" s="5">
        <v>0</v>
      </c>
      <c r="AY789" s="5" t="s">
        <v>86</v>
      </c>
      <c r="BN789" s="5" t="s">
        <v>85</v>
      </c>
      <c r="BO789" s="5">
        <v>62</v>
      </c>
      <c r="BP789" s="5">
        <v>646</v>
      </c>
      <c r="BQ789" s="5">
        <v>300</v>
      </c>
      <c r="BR789" s="5">
        <v>346</v>
      </c>
      <c r="BS789" s="5" t="s">
        <v>2484</v>
      </c>
      <c r="BT789" s="5">
        <v>25</v>
      </c>
      <c r="BU789" s="5">
        <v>22</v>
      </c>
      <c r="BV789" s="5">
        <v>0</v>
      </c>
      <c r="BW789" s="5">
        <v>0</v>
      </c>
      <c r="BX789" s="5">
        <v>0</v>
      </c>
      <c r="BZ789" s="5">
        <v>0</v>
      </c>
      <c r="CA789" s="5">
        <v>15</v>
      </c>
      <c r="CB789" s="5" t="s">
        <v>2478</v>
      </c>
      <c r="CC789" s="5">
        <v>0</v>
      </c>
      <c r="CD789" s="5">
        <v>0</v>
      </c>
      <c r="CF789" s="1442" t="str">
        <f>IF([1]!sommaire[[#This Row],[présence des personnes déplacés interne]]="Oui","1","0")</f>
        <v>1</v>
      </c>
      <c r="CG789" s="1442" t="str">
        <f>IF([1]!sommaire[[#This Row],[présence Réfugié hors camp]]="Oui","1","0")</f>
        <v>0</v>
      </c>
      <c r="CH789" s="1442" t="str">
        <f>IF([1]!sommaire[[#This Row],[présence personnes retournées]]="Oui","1","0")</f>
        <v>1</v>
      </c>
      <c r="CI789" s="1442">
        <f>[1]!sommaire[[#This Row],[Flag PDI]]+[1]!sommaire[[#This Row],[Flag REF]]+[1]!sommaire[[#This Row],[Flag RET]]</f>
        <v>2</v>
      </c>
    </row>
    <row r="790" spans="1:87" ht="14.55" customHeight="1" x14ac:dyDescent="0.3">
      <c r="A790" s="390">
        <v>2679686</v>
      </c>
      <c r="B790" s="5" t="s">
        <v>533</v>
      </c>
      <c r="C790" s="1430" t="s">
        <v>3449</v>
      </c>
      <c r="D790" s="1090" t="s">
        <v>534</v>
      </c>
      <c r="E790" s="5" t="s">
        <v>32</v>
      </c>
      <c r="F790" s="5" t="s">
        <v>32</v>
      </c>
      <c r="G790" s="5" t="s">
        <v>542</v>
      </c>
      <c r="H790" s="5" t="s">
        <v>177</v>
      </c>
      <c r="I790" s="5" t="str">
        <f>_xlfn.XLOOKUP(sommaire[[#This Row],[Arrondissement_code]],OCHA_GIS!$F:$F,OCHA_GIS!$E:$E,,)</f>
        <v>Guémé</v>
      </c>
      <c r="J790" s="5" t="s">
        <v>777</v>
      </c>
      <c r="K790" t="s">
        <v>1649</v>
      </c>
      <c r="L790" s="5" t="s">
        <v>2285</v>
      </c>
      <c r="N790" s="5" t="s">
        <v>3052</v>
      </c>
      <c r="O790" s="5" t="s">
        <v>2467</v>
      </c>
      <c r="P790" s="5" t="s">
        <v>85</v>
      </c>
      <c r="Q790" s="5" t="s">
        <v>86</v>
      </c>
      <c r="R790" s="5" t="s">
        <v>86</v>
      </c>
      <c r="T790" s="390">
        <v>3</v>
      </c>
      <c r="U790" s="5" t="s">
        <v>97</v>
      </c>
      <c r="W790" s="5" t="s">
        <v>2468</v>
      </c>
      <c r="X790" s="5" t="s">
        <v>103</v>
      </c>
      <c r="Y790" s="5" t="s">
        <v>2476</v>
      </c>
      <c r="AA790" s="5" t="s">
        <v>85</v>
      </c>
      <c r="AB790" s="5" t="s">
        <v>2469</v>
      </c>
      <c r="AC790" s="5" t="s">
        <v>2470</v>
      </c>
      <c r="AD790" s="5" t="s">
        <v>86</v>
      </c>
      <c r="AG790" s="5">
        <v>8000</v>
      </c>
      <c r="AH790" s="5" t="s">
        <v>86</v>
      </c>
      <c r="AY790" s="5" t="s">
        <v>86</v>
      </c>
      <c r="BN790" s="5" t="s">
        <v>85</v>
      </c>
      <c r="BO790" s="5">
        <v>122</v>
      </c>
      <c r="BP790" s="5">
        <v>642</v>
      </c>
      <c r="BQ790" s="5">
        <v>252</v>
      </c>
      <c r="BR790" s="5">
        <v>390</v>
      </c>
      <c r="BS790" s="5" t="s">
        <v>2484</v>
      </c>
      <c r="BT790" s="5">
        <v>90</v>
      </c>
      <c r="BU790" s="5">
        <v>32</v>
      </c>
      <c r="BV790" s="5">
        <v>0</v>
      </c>
      <c r="BW790" s="5">
        <v>0</v>
      </c>
      <c r="BX790" s="5">
        <v>0</v>
      </c>
      <c r="BZ790" s="5">
        <v>0</v>
      </c>
      <c r="CA790" s="5">
        <v>0</v>
      </c>
      <c r="CC790" s="5">
        <v>0</v>
      </c>
      <c r="CD790" s="5">
        <v>0</v>
      </c>
      <c r="CF790" s="1442" t="str">
        <f>IF([1]!sommaire[[#This Row],[présence des personnes déplacés interne]]="Oui","1","0")</f>
        <v>0</v>
      </c>
      <c r="CG790" s="1442" t="str">
        <f>IF([1]!sommaire[[#This Row],[présence Réfugié hors camp]]="Oui","1","0")</f>
        <v>0</v>
      </c>
      <c r="CH790" s="1442" t="str">
        <f>IF([1]!sommaire[[#This Row],[présence personnes retournées]]="Oui","1","0")</f>
        <v>1</v>
      </c>
      <c r="CI790" s="1442">
        <f>[1]!sommaire[[#This Row],[Flag PDI]]+[1]!sommaire[[#This Row],[Flag REF]]+[1]!sommaire[[#This Row],[Flag RET]]</f>
        <v>1</v>
      </c>
    </row>
    <row r="791" spans="1:87" ht="14.55" customHeight="1" x14ac:dyDescent="0.3">
      <c r="A791" s="390">
        <v>2673360</v>
      </c>
      <c r="B791" s="5" t="s">
        <v>533</v>
      </c>
      <c r="C791" s="1430" t="s">
        <v>3449</v>
      </c>
      <c r="D791" s="5" t="s">
        <v>534</v>
      </c>
      <c r="E791" s="5" t="s">
        <v>32</v>
      </c>
      <c r="F791" s="5" t="s">
        <v>32</v>
      </c>
      <c r="G791" s="5" t="s">
        <v>542</v>
      </c>
      <c r="H791" s="5" t="s">
        <v>177</v>
      </c>
      <c r="I791" s="5" t="str">
        <f>_xlfn.XLOOKUP(sommaire[[#This Row],[Arrondissement_code]],OCHA_GIS!$F:$F,OCHA_GIS!$E:$E,,)</f>
        <v>Guémé</v>
      </c>
      <c r="J791" s="5" t="s">
        <v>777</v>
      </c>
      <c r="K791" t="s">
        <v>1258</v>
      </c>
      <c r="L791" s="5" t="s">
        <v>887</v>
      </c>
      <c r="N791" s="5" t="s">
        <v>3052</v>
      </c>
      <c r="O791" s="5" t="s">
        <v>2467</v>
      </c>
      <c r="P791" s="5" t="s">
        <v>85</v>
      </c>
      <c r="Q791" s="5" t="s">
        <v>86</v>
      </c>
      <c r="R791" s="5" t="s">
        <v>86</v>
      </c>
      <c r="T791" s="390">
        <v>3</v>
      </c>
      <c r="U791" s="5" t="s">
        <v>97</v>
      </c>
      <c r="W791" s="5" t="s">
        <v>2468</v>
      </c>
      <c r="X791" s="5" t="s">
        <v>103</v>
      </c>
      <c r="Y791" s="5" t="s">
        <v>2476</v>
      </c>
      <c r="AA791" s="5" t="s">
        <v>85</v>
      </c>
      <c r="AB791" s="5" t="s">
        <v>2469</v>
      </c>
      <c r="AC791" s="5" t="s">
        <v>2470</v>
      </c>
      <c r="AD791" s="5" t="s">
        <v>86</v>
      </c>
      <c r="AF791" s="5">
        <v>100</v>
      </c>
      <c r="AG791" s="5">
        <v>9000</v>
      </c>
      <c r="AH791" s="5" t="s">
        <v>85</v>
      </c>
      <c r="AI791" s="5" t="s">
        <v>2485</v>
      </c>
      <c r="AJ791" s="5">
        <v>100</v>
      </c>
      <c r="AK791" s="5">
        <v>525</v>
      </c>
      <c r="AL791" s="5">
        <v>225</v>
      </c>
      <c r="AM791" s="5">
        <v>300</v>
      </c>
      <c r="AN791" s="5">
        <v>40</v>
      </c>
      <c r="AO791" s="5">
        <v>0</v>
      </c>
      <c r="AP791" s="5">
        <v>0</v>
      </c>
      <c r="AQ791" s="5">
        <v>0</v>
      </c>
      <c r="AT791" s="5">
        <v>0</v>
      </c>
      <c r="AU791" s="5">
        <v>60</v>
      </c>
      <c r="AV791" s="5" t="s">
        <v>2478</v>
      </c>
      <c r="AX791" s="5">
        <v>0</v>
      </c>
      <c r="AY791" s="5" t="s">
        <v>86</v>
      </c>
      <c r="BN791" s="5" t="s">
        <v>85</v>
      </c>
      <c r="BO791" s="5">
        <v>67</v>
      </c>
      <c r="BP791" s="5">
        <v>565</v>
      </c>
      <c r="BQ791" s="5">
        <v>265</v>
      </c>
      <c r="BR791" s="5">
        <v>300</v>
      </c>
      <c r="BS791" s="5" t="s">
        <v>2484</v>
      </c>
      <c r="BT791" s="5">
        <v>17</v>
      </c>
      <c r="BU791" s="5">
        <v>39</v>
      </c>
      <c r="BV791" s="5">
        <v>0</v>
      </c>
      <c r="BW791" s="5">
        <v>0</v>
      </c>
      <c r="BX791" s="5">
        <v>0</v>
      </c>
      <c r="BZ791" s="5">
        <v>0</v>
      </c>
      <c r="CA791" s="5">
        <v>11</v>
      </c>
      <c r="CB791" s="5" t="s">
        <v>2490</v>
      </c>
      <c r="CC791" s="5">
        <v>0</v>
      </c>
      <c r="CD791" s="5">
        <v>0</v>
      </c>
      <c r="CF791" s="1442" t="str">
        <f>IF([1]!sommaire[[#This Row],[présence des personnes déplacés interne]]="Oui","1","0")</f>
        <v>1</v>
      </c>
      <c r="CG791" s="1442" t="str">
        <f>IF([1]!sommaire[[#This Row],[présence Réfugié hors camp]]="Oui","1","0")</f>
        <v>0</v>
      </c>
      <c r="CH791" s="1442" t="str">
        <f>IF([1]!sommaire[[#This Row],[présence personnes retournées]]="Oui","1","0")</f>
        <v>1</v>
      </c>
      <c r="CI791" s="1442">
        <f>[1]!sommaire[[#This Row],[Flag PDI]]+[1]!sommaire[[#This Row],[Flag REF]]+[1]!sommaire[[#This Row],[Flag RET]]</f>
        <v>2</v>
      </c>
    </row>
    <row r="792" spans="1:87" ht="14.55" customHeight="1" x14ac:dyDescent="0.3">
      <c r="A792" s="390">
        <v>2674025</v>
      </c>
      <c r="B792" s="5" t="s">
        <v>533</v>
      </c>
      <c r="C792" s="1430" t="s">
        <v>3449</v>
      </c>
      <c r="D792" s="5" t="s">
        <v>534</v>
      </c>
      <c r="E792" s="5" t="s">
        <v>32</v>
      </c>
      <c r="F792" s="5" t="s">
        <v>32</v>
      </c>
      <c r="G792" s="5" t="s">
        <v>542</v>
      </c>
      <c r="H792" s="5" t="s">
        <v>177</v>
      </c>
      <c r="I792" s="5" t="str">
        <f>_xlfn.XLOOKUP(sommaire[[#This Row],[Arrondissement_code]],OCHA_GIS!$F:$F,OCHA_GIS!$E:$E,,)</f>
        <v>Guémé</v>
      </c>
      <c r="J792" s="5" t="s">
        <v>777</v>
      </c>
      <c r="K792" t="s">
        <v>886</v>
      </c>
      <c r="L792" s="5" t="s">
        <v>1041</v>
      </c>
      <c r="N792" s="5" t="s">
        <v>3052</v>
      </c>
      <c r="O792" s="5" t="s">
        <v>2467</v>
      </c>
      <c r="P792" s="5" t="s">
        <v>85</v>
      </c>
      <c r="Q792" s="5" t="s">
        <v>86</v>
      </c>
      <c r="R792" s="5" t="s">
        <v>86</v>
      </c>
      <c r="T792" s="390">
        <v>3</v>
      </c>
      <c r="U792" s="5" t="s">
        <v>97</v>
      </c>
      <c r="W792" s="5" t="s">
        <v>2468</v>
      </c>
      <c r="X792" s="5" t="s">
        <v>103</v>
      </c>
      <c r="Y792" s="5" t="s">
        <v>2476</v>
      </c>
      <c r="AA792" s="5" t="s">
        <v>85</v>
      </c>
      <c r="AB792" s="5" t="s">
        <v>2469</v>
      </c>
      <c r="AC792" s="5" t="s">
        <v>2470</v>
      </c>
      <c r="AD792" s="5" t="s">
        <v>86</v>
      </c>
      <c r="AF792" s="5">
        <v>5</v>
      </c>
      <c r="AG792" s="5">
        <v>9000</v>
      </c>
      <c r="AH792" s="5" t="s">
        <v>85</v>
      </c>
      <c r="AI792" s="5" t="s">
        <v>2485</v>
      </c>
      <c r="AJ792" s="5">
        <v>5</v>
      </c>
      <c r="AK792" s="5">
        <v>72</v>
      </c>
      <c r="AL792" s="5">
        <v>30</v>
      </c>
      <c r="AM792" s="5">
        <v>42</v>
      </c>
      <c r="AN792" s="5">
        <v>5</v>
      </c>
      <c r="AO792" s="5">
        <v>0</v>
      </c>
      <c r="AP792" s="5">
        <v>0</v>
      </c>
      <c r="AQ792" s="5">
        <v>0</v>
      </c>
      <c r="AT792" s="5">
        <v>0</v>
      </c>
      <c r="AU792" s="5">
        <v>0</v>
      </c>
      <c r="AX792" s="5">
        <v>0</v>
      </c>
      <c r="AY792" s="5" t="s">
        <v>86</v>
      </c>
      <c r="BN792" s="5" t="s">
        <v>85</v>
      </c>
      <c r="BO792" s="5">
        <v>75</v>
      </c>
      <c r="BP792" s="5">
        <v>900</v>
      </c>
      <c r="BQ792" s="5">
        <v>356</v>
      </c>
      <c r="BR792" s="5">
        <v>544</v>
      </c>
      <c r="BS792" s="5" t="s">
        <v>2484</v>
      </c>
      <c r="BT792" s="5">
        <v>0</v>
      </c>
      <c r="BU792" s="5">
        <v>26</v>
      </c>
      <c r="BV792" s="5">
        <v>20</v>
      </c>
      <c r="BW792" s="5">
        <v>0</v>
      </c>
      <c r="BX792" s="5">
        <v>0</v>
      </c>
      <c r="BZ792" s="5">
        <v>0</v>
      </c>
      <c r="CA792" s="5">
        <v>29</v>
      </c>
      <c r="CB792" s="5" t="s">
        <v>2478</v>
      </c>
      <c r="CC792" s="5">
        <v>0</v>
      </c>
      <c r="CD792" s="5">
        <v>0</v>
      </c>
      <c r="CF792" s="1442" t="str">
        <f>IF([1]!sommaire[[#This Row],[présence des personnes déplacés interne]]="Oui","1","0")</f>
        <v>1</v>
      </c>
      <c r="CG792" s="1442" t="str">
        <f>IF([1]!sommaire[[#This Row],[présence Réfugié hors camp]]="Oui","1","0")</f>
        <v>0</v>
      </c>
      <c r="CH792" s="1442" t="str">
        <f>IF([1]!sommaire[[#This Row],[présence personnes retournées]]="Oui","1","0")</f>
        <v>1</v>
      </c>
      <c r="CI792" s="1442">
        <f>[1]!sommaire[[#This Row],[Flag PDI]]+[1]!sommaire[[#This Row],[Flag REF]]+[1]!sommaire[[#This Row],[Flag RET]]</f>
        <v>2</v>
      </c>
    </row>
    <row r="793" spans="1:87" ht="14.55" customHeight="1" x14ac:dyDescent="0.3">
      <c r="A793" s="390">
        <v>2679790</v>
      </c>
      <c r="B793" s="5" t="s">
        <v>533</v>
      </c>
      <c r="C793" s="1430" t="s">
        <v>3449</v>
      </c>
      <c r="D793" s="5" t="s">
        <v>534</v>
      </c>
      <c r="E793" s="5" t="s">
        <v>32</v>
      </c>
      <c r="F793" s="5" t="s">
        <v>32</v>
      </c>
      <c r="G793" s="5" t="s">
        <v>542</v>
      </c>
      <c r="H793" s="5" t="s">
        <v>177</v>
      </c>
      <c r="I793" s="5" t="str">
        <f>_xlfn.XLOOKUP(sommaire[[#This Row],[Arrondissement_code]],OCHA_GIS!$F:$F,OCHA_GIS!$E:$E,,)</f>
        <v>Guémé</v>
      </c>
      <c r="J793" s="5" t="s">
        <v>777</v>
      </c>
      <c r="K793" t="s">
        <v>2284</v>
      </c>
      <c r="L793" s="5" t="s">
        <v>2248</v>
      </c>
      <c r="N793" s="5" t="s">
        <v>3053</v>
      </c>
      <c r="O793" s="5" t="s">
        <v>2467</v>
      </c>
      <c r="P793" s="5" t="s">
        <v>85</v>
      </c>
      <c r="Q793" s="5" t="s">
        <v>86</v>
      </c>
      <c r="R793" s="5" t="s">
        <v>86</v>
      </c>
      <c r="T793" s="390">
        <v>3</v>
      </c>
      <c r="U793" s="5" t="s">
        <v>97</v>
      </c>
      <c r="W793" s="5" t="s">
        <v>2468</v>
      </c>
      <c r="X793" s="5" t="s">
        <v>103</v>
      </c>
      <c r="Y793" s="5" t="s">
        <v>2476</v>
      </c>
      <c r="AA793" s="5" t="s">
        <v>85</v>
      </c>
      <c r="AB793" s="5" t="s">
        <v>2469</v>
      </c>
      <c r="AC793" s="5" t="s">
        <v>2470</v>
      </c>
      <c r="AD793" s="5" t="s">
        <v>86</v>
      </c>
      <c r="AG793" s="5">
        <v>2000</v>
      </c>
      <c r="AH793" s="5" t="s">
        <v>86</v>
      </c>
      <c r="AY793" s="5" t="s">
        <v>86</v>
      </c>
      <c r="BN793" s="5" t="s">
        <v>85</v>
      </c>
      <c r="BO793" s="5">
        <v>122</v>
      </c>
      <c r="BP793" s="5">
        <v>841</v>
      </c>
      <c r="BQ793" s="5">
        <v>309</v>
      </c>
      <c r="BR793" s="5">
        <v>532</v>
      </c>
      <c r="BS793" s="5" t="s">
        <v>2484</v>
      </c>
      <c r="BT793" s="5">
        <v>82</v>
      </c>
      <c r="BU793" s="5">
        <v>40</v>
      </c>
      <c r="BV793" s="5">
        <v>0</v>
      </c>
      <c r="BW793" s="5">
        <v>0</v>
      </c>
      <c r="BX793" s="5">
        <v>0</v>
      </c>
      <c r="BZ793" s="5">
        <v>0</v>
      </c>
      <c r="CA793" s="5">
        <v>0</v>
      </c>
      <c r="CC793" s="5">
        <v>0</v>
      </c>
      <c r="CD793" s="5">
        <v>0</v>
      </c>
      <c r="CF793" s="1442" t="str">
        <f>IF([1]!sommaire[[#This Row],[présence des personnes déplacés interne]]="Oui","1","0")</f>
        <v>0</v>
      </c>
      <c r="CG793" s="1442" t="str">
        <f>IF([1]!sommaire[[#This Row],[présence Réfugié hors camp]]="Oui","1","0")</f>
        <v>0</v>
      </c>
      <c r="CH793" s="1442" t="str">
        <f>IF([1]!sommaire[[#This Row],[présence personnes retournées]]="Oui","1","0")</f>
        <v>1</v>
      </c>
      <c r="CI793" s="1442">
        <f>[1]!sommaire[[#This Row],[Flag PDI]]+[1]!sommaire[[#This Row],[Flag REF]]+[1]!sommaire[[#This Row],[Flag RET]]</f>
        <v>1</v>
      </c>
    </row>
    <row r="794" spans="1:87" ht="14.55" customHeight="1" x14ac:dyDescent="0.3">
      <c r="A794" s="390">
        <v>2720581</v>
      </c>
      <c r="B794" s="5" t="s">
        <v>533</v>
      </c>
      <c r="C794" s="1430" t="s">
        <v>3449</v>
      </c>
      <c r="D794" s="1090" t="s">
        <v>534</v>
      </c>
      <c r="E794" s="5" t="s">
        <v>32</v>
      </c>
      <c r="F794" s="5" t="s">
        <v>32</v>
      </c>
      <c r="G794" s="5" t="s">
        <v>542</v>
      </c>
      <c r="H794" s="5" t="s">
        <v>179</v>
      </c>
      <c r="I794" s="5" t="str">
        <f>_xlfn.XLOOKUP(sommaire[[#This Row],[Arrondissement_code]],OCHA_GIS!$F:$F,OCHA_GIS!$E:$E,,)</f>
        <v>Guéré</v>
      </c>
      <c r="J794" s="5" t="s">
        <v>1666</v>
      </c>
      <c r="K794" t="s">
        <v>2316</v>
      </c>
      <c r="L794" s="5" t="s">
        <v>2317</v>
      </c>
      <c r="N794" s="5" t="s">
        <v>3053</v>
      </c>
      <c r="O794" s="5" t="s">
        <v>2467</v>
      </c>
      <c r="P794" s="5" t="s">
        <v>85</v>
      </c>
      <c r="Q794" s="5" t="s">
        <v>86</v>
      </c>
      <c r="R794" s="5" t="s">
        <v>86</v>
      </c>
      <c r="T794" s="390">
        <v>3</v>
      </c>
      <c r="U794" s="5" t="s">
        <v>97</v>
      </c>
      <c r="W794" s="5" t="s">
        <v>2468</v>
      </c>
      <c r="X794" s="5" t="s">
        <v>102</v>
      </c>
      <c r="AA794" s="5" t="s">
        <v>85</v>
      </c>
      <c r="AB794" s="5" t="s">
        <v>2469</v>
      </c>
      <c r="AC794" s="5" t="s">
        <v>2470</v>
      </c>
      <c r="AD794" s="5" t="s">
        <v>86</v>
      </c>
      <c r="AG794" s="5">
        <v>4500</v>
      </c>
      <c r="AH794" s="5" t="s">
        <v>86</v>
      </c>
      <c r="AY794" s="5" t="s">
        <v>86</v>
      </c>
      <c r="BN794" s="5" t="s">
        <v>85</v>
      </c>
      <c r="BO794" s="5">
        <v>50</v>
      </c>
      <c r="BP794" s="5">
        <v>260</v>
      </c>
      <c r="BQ794" s="5">
        <v>100</v>
      </c>
      <c r="BR794" s="5">
        <v>160</v>
      </c>
      <c r="BS794" s="5" t="s">
        <v>2535</v>
      </c>
      <c r="BT794" s="5">
        <v>20</v>
      </c>
      <c r="BU794" s="5">
        <v>30</v>
      </c>
      <c r="BV794" s="5">
        <v>0</v>
      </c>
      <c r="BW794" s="5">
        <v>0</v>
      </c>
      <c r="BX794" s="5">
        <v>0</v>
      </c>
      <c r="BZ794" s="5">
        <v>0</v>
      </c>
      <c r="CA794" s="5">
        <v>0</v>
      </c>
      <c r="CC794" s="5">
        <v>0</v>
      </c>
      <c r="CD794" s="5">
        <v>0</v>
      </c>
      <c r="CF794" s="1442" t="str">
        <f>IF([1]!sommaire[[#This Row],[présence des personnes déplacés interne]]="Oui","1","0")</f>
        <v>0</v>
      </c>
      <c r="CG794" s="1442" t="str">
        <f>IF([1]!sommaire[[#This Row],[présence Réfugié hors camp]]="Oui","1","0")</f>
        <v>0</v>
      </c>
      <c r="CH794" s="1442" t="str">
        <f>IF([1]!sommaire[[#This Row],[présence personnes retournées]]="Oui","1","0")</f>
        <v>1</v>
      </c>
      <c r="CI794" s="1442">
        <f>[1]!sommaire[[#This Row],[Flag PDI]]+[1]!sommaire[[#This Row],[Flag REF]]+[1]!sommaire[[#This Row],[Flag RET]]</f>
        <v>1</v>
      </c>
    </row>
    <row r="795" spans="1:87" ht="14.55" customHeight="1" x14ac:dyDescent="0.3">
      <c r="A795" s="390">
        <v>2720579</v>
      </c>
      <c r="B795" s="5" t="s">
        <v>533</v>
      </c>
      <c r="C795" s="1430" t="s">
        <v>3449</v>
      </c>
      <c r="D795" s="1090" t="s">
        <v>534</v>
      </c>
      <c r="E795" s="5" t="s">
        <v>32</v>
      </c>
      <c r="F795" s="5" t="s">
        <v>32</v>
      </c>
      <c r="G795" s="5" t="s">
        <v>542</v>
      </c>
      <c r="H795" s="5" t="s">
        <v>179</v>
      </c>
      <c r="I795" s="5" t="str">
        <f>_xlfn.XLOOKUP(sommaire[[#This Row],[Arrondissement_code]],OCHA_GIS!$F:$F,OCHA_GIS!$E:$E,,)</f>
        <v>Guéré</v>
      </c>
      <c r="J795" s="5" t="s">
        <v>1666</v>
      </c>
      <c r="K795" t="s">
        <v>2318</v>
      </c>
      <c r="L795" s="5" t="s">
        <v>2319</v>
      </c>
      <c r="N795" s="5" t="s">
        <v>3053</v>
      </c>
      <c r="O795" s="5" t="s">
        <v>2467</v>
      </c>
      <c r="P795" s="5" t="s">
        <v>85</v>
      </c>
      <c r="Q795" s="5" t="s">
        <v>86</v>
      </c>
      <c r="R795" s="5" t="s">
        <v>86</v>
      </c>
      <c r="T795" s="390">
        <v>3</v>
      </c>
      <c r="U795" s="5" t="s">
        <v>97</v>
      </c>
      <c r="W795" s="5" t="s">
        <v>2468</v>
      </c>
      <c r="X795" s="5" t="s">
        <v>103</v>
      </c>
      <c r="Y795" s="5" t="s">
        <v>2476</v>
      </c>
      <c r="AA795" s="5" t="s">
        <v>85</v>
      </c>
      <c r="AB795" s="5" t="s">
        <v>2469</v>
      </c>
      <c r="AC795" s="5" t="s">
        <v>2470</v>
      </c>
      <c r="AD795" s="5" t="s">
        <v>86</v>
      </c>
      <c r="AG795" s="5">
        <v>3400</v>
      </c>
      <c r="AH795" s="5" t="s">
        <v>86</v>
      </c>
      <c r="AY795" s="5" t="s">
        <v>86</v>
      </c>
      <c r="BN795" s="5" t="s">
        <v>85</v>
      </c>
      <c r="BO795" s="5">
        <v>15</v>
      </c>
      <c r="BP795" s="5">
        <v>102</v>
      </c>
      <c r="BQ795" s="5">
        <v>45</v>
      </c>
      <c r="BR795" s="5">
        <v>57</v>
      </c>
      <c r="BS795" s="5" t="s">
        <v>2535</v>
      </c>
      <c r="BT795" s="5">
        <v>5</v>
      </c>
      <c r="BU795" s="5">
        <v>10</v>
      </c>
      <c r="BV795" s="5">
        <v>0</v>
      </c>
      <c r="BW795" s="5">
        <v>0</v>
      </c>
      <c r="BX795" s="5">
        <v>0</v>
      </c>
      <c r="BZ795" s="5">
        <v>0</v>
      </c>
      <c r="CA795" s="5">
        <v>0</v>
      </c>
      <c r="CC795" s="5">
        <v>0</v>
      </c>
      <c r="CD795" s="5">
        <v>0</v>
      </c>
      <c r="CF795" s="1442" t="str">
        <f>IF([1]!sommaire[[#This Row],[présence des personnes déplacés interne]]="Oui","1","0")</f>
        <v>0</v>
      </c>
      <c r="CG795" s="1442" t="str">
        <f>IF([1]!sommaire[[#This Row],[présence Réfugié hors camp]]="Oui","1","0")</f>
        <v>0</v>
      </c>
      <c r="CH795" s="1442" t="str">
        <f>IF([1]!sommaire[[#This Row],[présence personnes retournées]]="Oui","1","0")</f>
        <v>1</v>
      </c>
      <c r="CI795" s="1442">
        <f>[1]!sommaire[[#This Row],[Flag PDI]]+[1]!sommaire[[#This Row],[Flag REF]]+[1]!sommaire[[#This Row],[Flag RET]]</f>
        <v>1</v>
      </c>
    </row>
    <row r="796" spans="1:87" ht="14.55" customHeight="1" x14ac:dyDescent="0.3">
      <c r="A796" s="390">
        <v>2720580</v>
      </c>
      <c r="B796" s="5" t="s">
        <v>533</v>
      </c>
      <c r="C796" s="1430" t="s">
        <v>3449</v>
      </c>
      <c r="D796" s="1090" t="s">
        <v>534</v>
      </c>
      <c r="E796" s="5" t="s">
        <v>32</v>
      </c>
      <c r="F796" s="5" t="s">
        <v>32</v>
      </c>
      <c r="G796" s="5" t="s">
        <v>542</v>
      </c>
      <c r="H796" s="5" t="s">
        <v>179</v>
      </c>
      <c r="I796" s="5" t="str">
        <f>_xlfn.XLOOKUP(sommaire[[#This Row],[Arrondissement_code]],OCHA_GIS!$F:$F,OCHA_GIS!$E:$E,,)</f>
        <v>Guéré</v>
      </c>
      <c r="J796" s="5" t="s">
        <v>1666</v>
      </c>
      <c r="K796" t="s">
        <v>2321</v>
      </c>
      <c r="L796" s="5" t="s">
        <v>2322</v>
      </c>
      <c r="N796" s="5" t="s">
        <v>3053</v>
      </c>
      <c r="O796" s="5" t="s">
        <v>2467</v>
      </c>
      <c r="P796" s="5" t="s">
        <v>85</v>
      </c>
      <c r="Q796" s="5" t="s">
        <v>86</v>
      </c>
      <c r="R796" s="5" t="s">
        <v>86</v>
      </c>
      <c r="T796" s="390">
        <v>3</v>
      </c>
      <c r="U796" s="5" t="s">
        <v>97</v>
      </c>
      <c r="W796" s="5" t="s">
        <v>2468</v>
      </c>
      <c r="X796" s="5" t="s">
        <v>103</v>
      </c>
      <c r="Y796" s="5" t="s">
        <v>2476</v>
      </c>
      <c r="AA796" s="5" t="s">
        <v>85</v>
      </c>
      <c r="AB796" s="5" t="s">
        <v>2469</v>
      </c>
      <c r="AC796" s="5" t="s">
        <v>2470</v>
      </c>
      <c r="AD796" s="5" t="s">
        <v>86</v>
      </c>
      <c r="AG796" s="5">
        <v>3000</v>
      </c>
      <c r="AH796" s="5" t="s">
        <v>86</v>
      </c>
      <c r="AY796" s="5" t="s">
        <v>86</v>
      </c>
      <c r="BN796" s="5" t="s">
        <v>85</v>
      </c>
      <c r="BO796" s="5">
        <v>76</v>
      </c>
      <c r="BP796" s="5">
        <v>480</v>
      </c>
      <c r="BQ796" s="5">
        <v>140</v>
      </c>
      <c r="BR796" s="5">
        <v>340</v>
      </c>
      <c r="BS796" s="5" t="s">
        <v>2484</v>
      </c>
      <c r="BT796" s="5">
        <v>0</v>
      </c>
      <c r="BU796" s="5">
        <v>76</v>
      </c>
      <c r="BV796" s="5">
        <v>0</v>
      </c>
      <c r="BW796" s="5">
        <v>0</v>
      </c>
      <c r="BX796" s="5">
        <v>0</v>
      </c>
      <c r="BZ796" s="5">
        <v>0</v>
      </c>
      <c r="CA796" s="5">
        <v>0</v>
      </c>
      <c r="CC796" s="5">
        <v>0</v>
      </c>
      <c r="CD796" s="5">
        <v>0</v>
      </c>
      <c r="CF796" s="1442" t="str">
        <f>IF([1]!sommaire[[#This Row],[présence des personnes déplacés interne]]="Oui","1","0")</f>
        <v>0</v>
      </c>
      <c r="CG796" s="1442" t="str">
        <f>IF([1]!sommaire[[#This Row],[présence Réfugié hors camp]]="Oui","1","0")</f>
        <v>0</v>
      </c>
      <c r="CH796" s="1442" t="str">
        <f>IF([1]!sommaire[[#This Row],[présence personnes retournées]]="Oui","1","0")</f>
        <v>1</v>
      </c>
      <c r="CI796" s="1442">
        <f>[1]!sommaire[[#This Row],[Flag PDI]]+[1]!sommaire[[#This Row],[Flag REF]]+[1]!sommaire[[#This Row],[Flag RET]]</f>
        <v>1</v>
      </c>
    </row>
    <row r="797" spans="1:87" ht="14.55" customHeight="1" x14ac:dyDescent="0.3">
      <c r="A797" s="390">
        <v>2722457</v>
      </c>
      <c r="B797" s="5" t="s">
        <v>533</v>
      </c>
      <c r="C797" s="1430" t="s">
        <v>3449</v>
      </c>
      <c r="D797" s="1090" t="s">
        <v>534</v>
      </c>
      <c r="E797" s="5" t="s">
        <v>32</v>
      </c>
      <c r="F797" s="5" t="s">
        <v>32</v>
      </c>
      <c r="G797" s="5" t="s">
        <v>542</v>
      </c>
      <c r="H797" s="5" t="s">
        <v>179</v>
      </c>
      <c r="I797" s="5" t="str">
        <f>_xlfn.XLOOKUP(sommaire[[#This Row],[Arrondissement_code]],OCHA_GIS!$F:$F,OCHA_GIS!$E:$E,,)</f>
        <v>Guéré</v>
      </c>
      <c r="J797" s="5" t="s">
        <v>1666</v>
      </c>
      <c r="K797" t="s">
        <v>2323</v>
      </c>
      <c r="L797" s="5" t="s">
        <v>2324</v>
      </c>
      <c r="N797" s="5" t="s">
        <v>3053</v>
      </c>
      <c r="O797" s="5" t="s">
        <v>2467</v>
      </c>
      <c r="P797" s="5" t="s">
        <v>85</v>
      </c>
      <c r="Q797" s="5" t="s">
        <v>86</v>
      </c>
      <c r="R797" s="5" t="s">
        <v>86</v>
      </c>
      <c r="T797" s="390">
        <v>3</v>
      </c>
      <c r="U797" s="5" t="s">
        <v>97</v>
      </c>
      <c r="W797" s="5" t="s">
        <v>2468</v>
      </c>
      <c r="X797" s="5" t="s">
        <v>103</v>
      </c>
      <c r="Y797" s="5" t="s">
        <v>2476</v>
      </c>
      <c r="AA797" s="5" t="s">
        <v>85</v>
      </c>
      <c r="AB797" s="5" t="s">
        <v>2469</v>
      </c>
      <c r="AC797" s="5" t="s">
        <v>2470</v>
      </c>
      <c r="AD797" s="5" t="s">
        <v>86</v>
      </c>
      <c r="AG797" s="5">
        <v>2000</v>
      </c>
      <c r="AH797" s="5" t="s">
        <v>86</v>
      </c>
      <c r="AY797" s="5" t="s">
        <v>86</v>
      </c>
      <c r="BN797" s="5" t="s">
        <v>85</v>
      </c>
      <c r="BO797" s="5">
        <v>50</v>
      </c>
      <c r="BP797" s="5">
        <v>475</v>
      </c>
      <c r="BQ797" s="5">
        <v>196</v>
      </c>
      <c r="BR797" s="5">
        <v>279</v>
      </c>
      <c r="BS797" s="5" t="s">
        <v>2484</v>
      </c>
      <c r="BT797" s="5">
        <v>10</v>
      </c>
      <c r="BU797" s="5">
        <v>40</v>
      </c>
      <c r="BV797" s="5">
        <v>0</v>
      </c>
      <c r="BW797" s="5">
        <v>0</v>
      </c>
      <c r="BX797" s="5">
        <v>0</v>
      </c>
      <c r="BZ797" s="5">
        <v>0</v>
      </c>
      <c r="CA797" s="5">
        <v>0</v>
      </c>
      <c r="CC797" s="5">
        <v>0</v>
      </c>
      <c r="CD797" s="5">
        <v>0</v>
      </c>
      <c r="CF797" s="1442" t="str">
        <f>IF([1]!sommaire[[#This Row],[présence des personnes déplacés interne]]="Oui","1","0")</f>
        <v>0</v>
      </c>
      <c r="CG797" s="1442" t="str">
        <f>IF([1]!sommaire[[#This Row],[présence Réfugié hors camp]]="Oui","1","0")</f>
        <v>0</v>
      </c>
      <c r="CH797" s="1442" t="str">
        <f>IF([1]!sommaire[[#This Row],[présence personnes retournées]]="Oui","1","0")</f>
        <v>1</v>
      </c>
      <c r="CI797" s="1442">
        <f>[1]!sommaire[[#This Row],[Flag PDI]]+[1]!sommaire[[#This Row],[Flag REF]]+[1]!sommaire[[#This Row],[Flag RET]]</f>
        <v>1</v>
      </c>
    </row>
    <row r="798" spans="1:87" ht="14.55" customHeight="1" x14ac:dyDescent="0.3">
      <c r="A798" s="390">
        <v>2722456</v>
      </c>
      <c r="B798" s="5" t="s">
        <v>533</v>
      </c>
      <c r="C798" s="1430" t="s">
        <v>3449</v>
      </c>
      <c r="D798" s="1090" t="s">
        <v>534</v>
      </c>
      <c r="E798" s="5" t="s">
        <v>32</v>
      </c>
      <c r="F798" s="5" t="s">
        <v>32</v>
      </c>
      <c r="G798" s="5" t="s">
        <v>542</v>
      </c>
      <c r="H798" s="5" t="s">
        <v>179</v>
      </c>
      <c r="I798" s="5" t="str">
        <f>_xlfn.XLOOKUP(sommaire[[#This Row],[Arrondissement_code]],OCHA_GIS!$F:$F,OCHA_GIS!$E:$E,,)</f>
        <v>Guéré</v>
      </c>
      <c r="J798" s="5" t="s">
        <v>1666</v>
      </c>
      <c r="K798" t="s">
        <v>1667</v>
      </c>
      <c r="L798" s="5" t="s">
        <v>1668</v>
      </c>
      <c r="N798" s="5" t="s">
        <v>3053</v>
      </c>
      <c r="O798" s="5" t="s">
        <v>2467</v>
      </c>
      <c r="P798" s="5" t="s">
        <v>85</v>
      </c>
      <c r="Q798" s="5" t="s">
        <v>86</v>
      </c>
      <c r="R798" s="5" t="s">
        <v>86</v>
      </c>
      <c r="T798" s="390">
        <v>3</v>
      </c>
      <c r="U798" s="5" t="s">
        <v>97</v>
      </c>
      <c r="W798" s="5" t="s">
        <v>2468</v>
      </c>
      <c r="X798" s="5" t="s">
        <v>103</v>
      </c>
      <c r="Y798" s="5" t="s">
        <v>2476</v>
      </c>
      <c r="AA798" s="5" t="s">
        <v>85</v>
      </c>
      <c r="AB798" s="5" t="s">
        <v>2469</v>
      </c>
      <c r="AC798" s="5" t="s">
        <v>2470</v>
      </c>
      <c r="AD798" s="5" t="s">
        <v>86</v>
      </c>
      <c r="AF798" s="5">
        <v>7</v>
      </c>
      <c r="AG798" s="5">
        <v>2500</v>
      </c>
      <c r="AH798" s="5" t="s">
        <v>85</v>
      </c>
      <c r="AI798" s="5" t="s">
        <v>2485</v>
      </c>
      <c r="AJ798" s="5">
        <v>7</v>
      </c>
      <c r="AK798" s="5">
        <v>49</v>
      </c>
      <c r="AL798" s="5">
        <v>19</v>
      </c>
      <c r="AM798" s="5">
        <v>30</v>
      </c>
      <c r="AN798" s="5">
        <v>7</v>
      </c>
      <c r="AO798" s="5">
        <v>0</v>
      </c>
      <c r="AP798" s="5">
        <v>0</v>
      </c>
      <c r="AQ798" s="5">
        <v>0</v>
      </c>
      <c r="AT798" s="5">
        <v>0</v>
      </c>
      <c r="AU798" s="5">
        <v>0</v>
      </c>
      <c r="AX798" s="5">
        <v>0</v>
      </c>
      <c r="AY798" s="5" t="s">
        <v>86</v>
      </c>
      <c r="BN798" s="5" t="s">
        <v>85</v>
      </c>
      <c r="BO798" s="5">
        <v>18</v>
      </c>
      <c r="BP798" s="5">
        <v>250</v>
      </c>
      <c r="BQ798" s="5">
        <v>100</v>
      </c>
      <c r="BR798" s="5">
        <v>150</v>
      </c>
      <c r="BS798" s="5" t="s">
        <v>2535</v>
      </c>
      <c r="BT798" s="5">
        <v>0</v>
      </c>
      <c r="BU798" s="5">
        <v>18</v>
      </c>
      <c r="BV798" s="5">
        <v>0</v>
      </c>
      <c r="BW798" s="5">
        <v>0</v>
      </c>
      <c r="BX798" s="5">
        <v>0</v>
      </c>
      <c r="BZ798" s="5">
        <v>0</v>
      </c>
      <c r="CA798" s="5">
        <v>0</v>
      </c>
      <c r="CC798" s="5">
        <v>0</v>
      </c>
      <c r="CD798" s="5">
        <v>0</v>
      </c>
      <c r="CF798" s="1442" t="str">
        <f>IF([1]!sommaire[[#This Row],[présence des personnes déplacés interne]]="Oui","1","0")</f>
        <v>1</v>
      </c>
      <c r="CG798" s="1442" t="str">
        <f>IF([1]!sommaire[[#This Row],[présence Réfugié hors camp]]="Oui","1","0")</f>
        <v>0</v>
      </c>
      <c r="CH798" s="1442" t="str">
        <f>IF([1]!sommaire[[#This Row],[présence personnes retournées]]="Oui","1","0")</f>
        <v>1</v>
      </c>
      <c r="CI798" s="1442">
        <f>[1]!sommaire[[#This Row],[Flag PDI]]+[1]!sommaire[[#This Row],[Flag REF]]+[1]!sommaire[[#This Row],[Flag RET]]</f>
        <v>2</v>
      </c>
    </row>
    <row r="799" spans="1:87" ht="14.55" customHeight="1" x14ac:dyDescent="0.3">
      <c r="A799" s="390">
        <v>2670356</v>
      </c>
      <c r="B799" s="5" t="s">
        <v>533</v>
      </c>
      <c r="C799" s="1430" t="s">
        <v>3449</v>
      </c>
      <c r="D799" s="1090" t="s">
        <v>534</v>
      </c>
      <c r="E799" s="5" t="s">
        <v>32</v>
      </c>
      <c r="F799" s="5" t="s">
        <v>32</v>
      </c>
      <c r="G799" s="5" t="s">
        <v>542</v>
      </c>
      <c r="H799" s="5" t="s">
        <v>176</v>
      </c>
      <c r="I799" s="5" t="str">
        <f>_xlfn.XLOOKUP(sommaire[[#This Row],[Arrondissement_code]],OCHA_GIS!$F:$F,OCHA_GIS!$E:$E,,)</f>
        <v>Kai-Kai</v>
      </c>
      <c r="J799" s="5" t="s">
        <v>772</v>
      </c>
      <c r="K799" t="s">
        <v>550</v>
      </c>
      <c r="L799" s="5" t="s">
        <v>3141</v>
      </c>
      <c r="M799" s="5" t="s">
        <v>3141</v>
      </c>
      <c r="N799" s="5" t="s">
        <v>3053</v>
      </c>
      <c r="O799" s="5" t="s">
        <v>2467</v>
      </c>
      <c r="P799" s="5" t="s">
        <v>85</v>
      </c>
      <c r="Q799" s="5" t="s">
        <v>86</v>
      </c>
      <c r="R799" s="5" t="s">
        <v>86</v>
      </c>
      <c r="T799" s="390">
        <v>3</v>
      </c>
      <c r="U799" s="5" t="s">
        <v>97</v>
      </c>
      <c r="W799" s="5" t="s">
        <v>2468</v>
      </c>
      <c r="X799" s="5" t="s">
        <v>103</v>
      </c>
      <c r="Y799" s="5" t="s">
        <v>2476</v>
      </c>
      <c r="AA799" s="5" t="s">
        <v>85</v>
      </c>
      <c r="AB799" s="5" t="s">
        <v>2469</v>
      </c>
      <c r="AC799" s="5" t="s">
        <v>2470</v>
      </c>
      <c r="AD799" s="5" t="s">
        <v>86</v>
      </c>
      <c r="AG799" s="5">
        <v>9800</v>
      </c>
      <c r="AH799" s="5" t="s">
        <v>86</v>
      </c>
      <c r="AY799" s="5" t="s">
        <v>86</v>
      </c>
      <c r="BN799" s="5" t="s">
        <v>85</v>
      </c>
      <c r="BO799" s="5">
        <v>937</v>
      </c>
      <c r="BP799" s="5">
        <v>8433</v>
      </c>
      <c r="BQ799" s="5">
        <v>3301</v>
      </c>
      <c r="BR799" s="5">
        <v>5132</v>
      </c>
      <c r="BS799" s="5" t="s">
        <v>2484</v>
      </c>
      <c r="BT799" s="5">
        <v>0</v>
      </c>
      <c r="BU799" s="5">
        <v>450</v>
      </c>
      <c r="BV799" s="5">
        <v>150</v>
      </c>
      <c r="BW799" s="5">
        <v>0</v>
      </c>
      <c r="BX799" s="5">
        <v>0</v>
      </c>
      <c r="BZ799" s="5">
        <v>0</v>
      </c>
      <c r="CA799" s="5">
        <v>337</v>
      </c>
      <c r="CB799" s="5" t="s">
        <v>2490</v>
      </c>
      <c r="CC799" s="5">
        <v>0</v>
      </c>
      <c r="CD799" s="5">
        <v>0</v>
      </c>
      <c r="CF799" s="1442" t="str">
        <f>IF([1]!sommaire[[#This Row],[présence des personnes déplacés interne]]="Oui","1","0")</f>
        <v>0</v>
      </c>
      <c r="CG799" s="1442" t="str">
        <f>IF([1]!sommaire[[#This Row],[présence Réfugié hors camp]]="Oui","1","0")</f>
        <v>0</v>
      </c>
      <c r="CH799" s="1442" t="str">
        <f>IF([1]!sommaire[[#This Row],[présence personnes retournées]]="Oui","1","0")</f>
        <v>1</v>
      </c>
      <c r="CI799" s="1442">
        <f>[1]!sommaire[[#This Row],[Flag PDI]]+[1]!sommaire[[#This Row],[Flag REF]]+[1]!sommaire[[#This Row],[Flag RET]]</f>
        <v>1</v>
      </c>
    </row>
    <row r="800" spans="1:87" ht="14.55" customHeight="1" x14ac:dyDescent="0.3">
      <c r="A800" s="390">
        <v>2709182</v>
      </c>
      <c r="B800" s="5" t="s">
        <v>533</v>
      </c>
      <c r="C800" s="1430" t="s">
        <v>3449</v>
      </c>
      <c r="D800" s="5" t="s">
        <v>534</v>
      </c>
      <c r="E800" s="5" t="s">
        <v>32</v>
      </c>
      <c r="F800" s="5" t="s">
        <v>32</v>
      </c>
      <c r="G800" s="5" t="s">
        <v>542</v>
      </c>
      <c r="H800" s="1144" t="s">
        <v>176</v>
      </c>
      <c r="I800" s="1144" t="str">
        <f>_xlfn.XLOOKUP(sommaire[[#This Row],[Arrondissement_code]],OCHA_GIS!$F:$F,OCHA_GIS!$E:$E,,)</f>
        <v>Kai-Kai</v>
      </c>
      <c r="J800" s="5" t="s">
        <v>772</v>
      </c>
      <c r="K800" t="s">
        <v>550</v>
      </c>
      <c r="L800" s="5" t="s">
        <v>3150</v>
      </c>
      <c r="M800" s="5" t="s">
        <v>3150</v>
      </c>
      <c r="N800" s="5" t="s">
        <v>3053</v>
      </c>
      <c r="O800" s="5" t="s">
        <v>2467</v>
      </c>
      <c r="P800" s="5" t="s">
        <v>85</v>
      </c>
      <c r="Q800" s="5" t="s">
        <v>86</v>
      </c>
      <c r="R800" s="5" t="s">
        <v>85</v>
      </c>
      <c r="T800" s="390">
        <v>3</v>
      </c>
      <c r="U800" s="5" t="s">
        <v>97</v>
      </c>
      <c r="W800" s="5" t="s">
        <v>2468</v>
      </c>
      <c r="X800" s="5" t="s">
        <v>103</v>
      </c>
      <c r="Y800" s="5" t="s">
        <v>2476</v>
      </c>
      <c r="AA800" s="5" t="s">
        <v>85</v>
      </c>
      <c r="AB800" s="5" t="s">
        <v>2469</v>
      </c>
      <c r="AC800" s="5" t="s">
        <v>2473</v>
      </c>
      <c r="AD800" s="5" t="s">
        <v>86</v>
      </c>
      <c r="AG800" s="5">
        <v>4500</v>
      </c>
      <c r="AH800" s="5" t="s">
        <v>86</v>
      </c>
      <c r="AY800" s="5" t="s">
        <v>86</v>
      </c>
      <c r="BN800" s="5" t="s">
        <v>85</v>
      </c>
      <c r="BO800" s="5">
        <v>40</v>
      </c>
      <c r="BP800" s="5">
        <v>415</v>
      </c>
      <c r="BQ800" s="5">
        <v>190</v>
      </c>
      <c r="BR800" s="5">
        <v>225</v>
      </c>
      <c r="BS800" s="5" t="s">
        <v>2492</v>
      </c>
      <c r="BT800" s="5">
        <v>20</v>
      </c>
      <c r="BU800" s="5">
        <v>11</v>
      </c>
      <c r="BV800" s="5">
        <v>9</v>
      </c>
      <c r="BW800" s="5">
        <v>0</v>
      </c>
      <c r="BX800" s="5">
        <v>0</v>
      </c>
      <c r="BZ800" s="5">
        <v>0</v>
      </c>
      <c r="CA800" s="5">
        <v>0</v>
      </c>
      <c r="CC800" s="5">
        <v>0</v>
      </c>
      <c r="CD800" s="5">
        <v>0</v>
      </c>
      <c r="CF800" s="1442" t="str">
        <f>IF([1]!sommaire[[#This Row],[présence des personnes déplacés interne]]="Oui","1","0")</f>
        <v>0</v>
      </c>
      <c r="CG800" s="1442" t="str">
        <f>IF([1]!sommaire[[#This Row],[présence Réfugié hors camp]]="Oui","1","0")</f>
        <v>0</v>
      </c>
      <c r="CH800" s="1442" t="str">
        <f>IF([1]!sommaire[[#This Row],[présence personnes retournées]]="Oui","1","0")</f>
        <v>1</v>
      </c>
      <c r="CI800" s="1442">
        <f>[1]!sommaire[[#This Row],[Flag PDI]]+[1]!sommaire[[#This Row],[Flag REF]]+[1]!sommaire[[#This Row],[Flag RET]]</f>
        <v>1</v>
      </c>
    </row>
    <row r="801" spans="1:87" ht="14.55" customHeight="1" x14ac:dyDescent="0.3">
      <c r="A801" s="390">
        <v>2709289</v>
      </c>
      <c r="B801" s="5" t="s">
        <v>533</v>
      </c>
      <c r="C801" s="1430" t="s">
        <v>3449</v>
      </c>
      <c r="D801" s="1090" t="s">
        <v>534</v>
      </c>
      <c r="E801" s="5" t="s">
        <v>32</v>
      </c>
      <c r="F801" s="5" t="s">
        <v>32</v>
      </c>
      <c r="G801" s="5" t="s">
        <v>542</v>
      </c>
      <c r="H801" s="5" t="s">
        <v>176</v>
      </c>
      <c r="I801" s="5" t="str">
        <f>_xlfn.XLOOKUP(sommaire[[#This Row],[Arrondissement_code]],OCHA_GIS!$F:$F,OCHA_GIS!$E:$E,,)</f>
        <v>Kai-Kai</v>
      </c>
      <c r="J801" s="5" t="s">
        <v>772</v>
      </c>
      <c r="K801" t="s">
        <v>550</v>
      </c>
      <c r="L801" s="5" t="s">
        <v>3152</v>
      </c>
      <c r="M801" s="5" t="s">
        <v>3152</v>
      </c>
      <c r="N801" s="5" t="s">
        <v>3053</v>
      </c>
      <c r="O801" s="5" t="s">
        <v>2467</v>
      </c>
      <c r="P801" s="5" t="s">
        <v>85</v>
      </c>
      <c r="Q801" s="5" t="s">
        <v>86</v>
      </c>
      <c r="R801" s="5" t="s">
        <v>85</v>
      </c>
      <c r="T801" s="390">
        <v>3</v>
      </c>
      <c r="U801" s="5" t="s">
        <v>97</v>
      </c>
      <c r="W801" s="5" t="s">
        <v>2468</v>
      </c>
      <c r="X801" s="5" t="s">
        <v>103</v>
      </c>
      <c r="Y801" s="5" t="s">
        <v>2476</v>
      </c>
      <c r="AA801" s="5" t="s">
        <v>85</v>
      </c>
      <c r="AB801" s="5" t="s">
        <v>2469</v>
      </c>
      <c r="AC801" s="5" t="s">
        <v>2473</v>
      </c>
      <c r="AD801" s="5" t="s">
        <v>86</v>
      </c>
      <c r="AG801" s="5">
        <v>4000</v>
      </c>
      <c r="AH801" s="5" t="s">
        <v>86</v>
      </c>
      <c r="AY801" s="5" t="s">
        <v>86</v>
      </c>
      <c r="BN801" s="5" t="s">
        <v>85</v>
      </c>
      <c r="BO801" s="5">
        <v>20</v>
      </c>
      <c r="BP801" s="5">
        <v>194</v>
      </c>
      <c r="BQ801" s="5">
        <v>94</v>
      </c>
      <c r="BR801" s="5">
        <v>100</v>
      </c>
      <c r="BS801" s="5" t="s">
        <v>2492</v>
      </c>
      <c r="BT801" s="5">
        <v>10</v>
      </c>
      <c r="BU801" s="5">
        <v>7</v>
      </c>
      <c r="BV801" s="5">
        <v>3</v>
      </c>
      <c r="BW801" s="5">
        <v>0</v>
      </c>
      <c r="BX801" s="5">
        <v>0</v>
      </c>
      <c r="BZ801" s="5">
        <v>0</v>
      </c>
      <c r="CA801" s="5">
        <v>0</v>
      </c>
      <c r="CC801" s="5">
        <v>0</v>
      </c>
      <c r="CD801" s="5">
        <v>0</v>
      </c>
      <c r="CF801" s="1442" t="str">
        <f>IF([1]!sommaire[[#This Row],[présence des personnes déplacés interne]]="Oui","1","0")</f>
        <v>0</v>
      </c>
      <c r="CG801" s="1442" t="str">
        <f>IF([1]!sommaire[[#This Row],[présence Réfugié hors camp]]="Oui","1","0")</f>
        <v>0</v>
      </c>
      <c r="CH801" s="1442" t="str">
        <f>IF([1]!sommaire[[#This Row],[présence personnes retournées]]="Oui","1","0")</f>
        <v>1</v>
      </c>
      <c r="CI801" s="1442">
        <f>[1]!sommaire[[#This Row],[Flag PDI]]+[1]!sommaire[[#This Row],[Flag REF]]+[1]!sommaire[[#This Row],[Flag RET]]</f>
        <v>1</v>
      </c>
    </row>
    <row r="802" spans="1:87" ht="14.55" customHeight="1" x14ac:dyDescent="0.3">
      <c r="A802" s="390">
        <v>2709800</v>
      </c>
      <c r="B802" s="5" t="s">
        <v>533</v>
      </c>
      <c r="C802" s="1430" t="s">
        <v>3449</v>
      </c>
      <c r="D802" s="1090" t="s">
        <v>534</v>
      </c>
      <c r="E802" s="5" t="s">
        <v>32</v>
      </c>
      <c r="F802" s="5" t="s">
        <v>32</v>
      </c>
      <c r="G802" s="5" t="s">
        <v>542</v>
      </c>
      <c r="H802" s="5" t="s">
        <v>176</v>
      </c>
      <c r="I802" s="5" t="str">
        <f>_xlfn.XLOOKUP(sommaire[[#This Row],[Arrondissement_code]],OCHA_GIS!$F:$F,OCHA_GIS!$E:$E,,)</f>
        <v>Kai-Kai</v>
      </c>
      <c r="J802" s="5" t="s">
        <v>772</v>
      </c>
      <c r="K802" t="s">
        <v>550</v>
      </c>
      <c r="L802" s="5" t="s">
        <v>3153</v>
      </c>
      <c r="M802" s="5" t="s">
        <v>3153</v>
      </c>
      <c r="N802" s="5" t="s">
        <v>3053</v>
      </c>
      <c r="O802" s="5" t="s">
        <v>2467</v>
      </c>
      <c r="P802" s="5" t="s">
        <v>85</v>
      </c>
      <c r="Q802" s="5" t="s">
        <v>86</v>
      </c>
      <c r="R802" s="5" t="s">
        <v>85</v>
      </c>
      <c r="T802" s="390">
        <v>3</v>
      </c>
      <c r="U802" s="5" t="s">
        <v>97</v>
      </c>
      <c r="W802" s="5" t="s">
        <v>2468</v>
      </c>
      <c r="X802" s="5" t="s">
        <v>103</v>
      </c>
      <c r="Y802" s="5" t="s">
        <v>2476</v>
      </c>
      <c r="AA802" s="5" t="s">
        <v>85</v>
      </c>
      <c r="AB802" s="5" t="s">
        <v>2469</v>
      </c>
      <c r="AC802" s="5" t="s">
        <v>2470</v>
      </c>
      <c r="AD802" s="5" t="s">
        <v>86</v>
      </c>
      <c r="AF802" s="5">
        <v>4</v>
      </c>
      <c r="AG802" s="5">
        <v>2000</v>
      </c>
      <c r="AH802" s="5" t="s">
        <v>85</v>
      </c>
      <c r="AI802" s="5" t="s">
        <v>2471</v>
      </c>
      <c r="AJ802" s="5">
        <v>4</v>
      </c>
      <c r="AK802" s="5">
        <v>37</v>
      </c>
      <c r="AL802" s="5">
        <v>15</v>
      </c>
      <c r="AM802" s="5">
        <v>22</v>
      </c>
      <c r="AN802" s="5">
        <v>4</v>
      </c>
      <c r="AO802" s="5">
        <v>0</v>
      </c>
      <c r="AP802" s="5">
        <v>0</v>
      </c>
      <c r="AQ802" s="5">
        <v>0</v>
      </c>
      <c r="AT802" s="5">
        <v>0</v>
      </c>
      <c r="AU802" s="5">
        <v>0</v>
      </c>
      <c r="AX802" s="5">
        <v>0</v>
      </c>
      <c r="AY802" s="5" t="s">
        <v>86</v>
      </c>
      <c r="BN802" s="5" t="s">
        <v>85</v>
      </c>
      <c r="BO802" s="5">
        <v>6</v>
      </c>
      <c r="BP802" s="5">
        <v>70</v>
      </c>
      <c r="BQ802" s="5">
        <v>30</v>
      </c>
      <c r="BR802" s="5">
        <v>40</v>
      </c>
      <c r="BS802" s="5" t="s">
        <v>2492</v>
      </c>
      <c r="BT802" s="5">
        <v>4</v>
      </c>
      <c r="BU802" s="5">
        <v>2</v>
      </c>
      <c r="BV802" s="5">
        <v>0</v>
      </c>
      <c r="BW802" s="5">
        <v>0</v>
      </c>
      <c r="BX802" s="5">
        <v>0</v>
      </c>
      <c r="BZ802" s="5">
        <v>0</v>
      </c>
      <c r="CA802" s="5">
        <v>0</v>
      </c>
      <c r="CC802" s="5">
        <v>0</v>
      </c>
      <c r="CD802" s="5">
        <v>0</v>
      </c>
      <c r="CF802" s="1442" t="str">
        <f>IF([1]!sommaire[[#This Row],[présence des personnes déplacés interne]]="Oui","1","0")</f>
        <v>1</v>
      </c>
      <c r="CG802" s="1442" t="str">
        <f>IF([1]!sommaire[[#This Row],[présence Réfugié hors camp]]="Oui","1","0")</f>
        <v>0</v>
      </c>
      <c r="CH802" s="1442" t="str">
        <f>IF([1]!sommaire[[#This Row],[présence personnes retournées]]="Oui","1","0")</f>
        <v>1</v>
      </c>
      <c r="CI802" s="1442">
        <f>[1]!sommaire[[#This Row],[Flag PDI]]+[1]!sommaire[[#This Row],[Flag REF]]+[1]!sommaire[[#This Row],[Flag RET]]</f>
        <v>2</v>
      </c>
    </row>
    <row r="803" spans="1:87" ht="14.55" customHeight="1" x14ac:dyDescent="0.3">
      <c r="A803" s="390">
        <v>2710336</v>
      </c>
      <c r="B803" s="5" t="s">
        <v>533</v>
      </c>
      <c r="C803" s="1430" t="s">
        <v>3449</v>
      </c>
      <c r="D803" s="1090" t="s">
        <v>534</v>
      </c>
      <c r="E803" s="5" t="s">
        <v>32</v>
      </c>
      <c r="F803" s="5" t="s">
        <v>32</v>
      </c>
      <c r="G803" s="5" t="s">
        <v>542</v>
      </c>
      <c r="H803" s="5" t="s">
        <v>176</v>
      </c>
      <c r="I803" s="5" t="str">
        <f>_xlfn.XLOOKUP(sommaire[[#This Row],[Arrondissement_code]],OCHA_GIS!$F:$F,OCHA_GIS!$E:$E,,)</f>
        <v>Kai-Kai</v>
      </c>
      <c r="J803" s="5" t="s">
        <v>772</v>
      </c>
      <c r="K803" t="s">
        <v>2233</v>
      </c>
      <c r="L803" s="5" t="s">
        <v>2234</v>
      </c>
      <c r="N803" s="5" t="s">
        <v>3053</v>
      </c>
      <c r="O803" s="5" t="s">
        <v>2467</v>
      </c>
      <c r="P803" s="5" t="s">
        <v>85</v>
      </c>
      <c r="Q803" s="5" t="s">
        <v>86</v>
      </c>
      <c r="R803" s="5" t="s">
        <v>85</v>
      </c>
      <c r="T803" s="390">
        <v>3</v>
      </c>
      <c r="U803" s="5" t="s">
        <v>97</v>
      </c>
      <c r="W803" s="5" t="s">
        <v>2468</v>
      </c>
      <c r="X803" s="5" t="s">
        <v>103</v>
      </c>
      <c r="Y803" s="5" t="s">
        <v>2476</v>
      </c>
      <c r="AA803" s="5" t="s">
        <v>85</v>
      </c>
      <c r="AB803" s="5" t="s">
        <v>2469</v>
      </c>
      <c r="AC803" s="5" t="s">
        <v>2470</v>
      </c>
      <c r="AD803" s="5" t="s">
        <v>85</v>
      </c>
      <c r="AE803" s="5">
        <v>1</v>
      </c>
      <c r="AG803" s="5">
        <v>3000</v>
      </c>
      <c r="AH803" s="5" t="s">
        <v>86</v>
      </c>
      <c r="AY803" s="1090" t="s">
        <v>86</v>
      </c>
      <c r="BN803" s="1090" t="s">
        <v>85</v>
      </c>
      <c r="BO803" s="5">
        <v>42</v>
      </c>
      <c r="BP803" s="5">
        <v>340</v>
      </c>
      <c r="BQ803" s="5">
        <v>160</v>
      </c>
      <c r="BR803" s="5">
        <v>180</v>
      </c>
      <c r="BS803" s="5" t="s">
        <v>2492</v>
      </c>
      <c r="BT803" s="5">
        <v>22</v>
      </c>
      <c r="BU803" s="5">
        <v>20</v>
      </c>
      <c r="BV803" s="5">
        <v>0</v>
      </c>
      <c r="BW803" s="5">
        <v>0</v>
      </c>
      <c r="BX803" s="5">
        <v>0</v>
      </c>
      <c r="BZ803" s="5">
        <v>0</v>
      </c>
      <c r="CA803" s="5">
        <v>0</v>
      </c>
      <c r="CC803" s="5">
        <v>0</v>
      </c>
      <c r="CD803" s="5">
        <v>0</v>
      </c>
      <c r="CF803" s="1442" t="str">
        <f>IF([1]!sommaire[[#This Row],[présence des personnes déplacés interne]]="Oui","1","0")</f>
        <v>0</v>
      </c>
      <c r="CG803" s="1442" t="str">
        <f>IF([1]!sommaire[[#This Row],[présence Réfugié hors camp]]="Oui","1","0")</f>
        <v>0</v>
      </c>
      <c r="CH803" s="1442" t="str">
        <f>IF([1]!sommaire[[#This Row],[présence personnes retournées]]="Oui","1","0")</f>
        <v>1</v>
      </c>
      <c r="CI803" s="1442">
        <f>[1]!sommaire[[#This Row],[Flag PDI]]+[1]!sommaire[[#This Row],[Flag REF]]+[1]!sommaire[[#This Row],[Flag RET]]</f>
        <v>1</v>
      </c>
    </row>
    <row r="804" spans="1:87" ht="14.55" customHeight="1" x14ac:dyDescent="0.3">
      <c r="A804" s="390">
        <v>2699351</v>
      </c>
      <c r="B804" s="5" t="s">
        <v>533</v>
      </c>
      <c r="C804" s="1430" t="s">
        <v>3449</v>
      </c>
      <c r="D804" s="1090" t="s">
        <v>534</v>
      </c>
      <c r="E804" s="5" t="s">
        <v>32</v>
      </c>
      <c r="F804" s="5" t="s">
        <v>32</v>
      </c>
      <c r="G804" s="5" t="s">
        <v>542</v>
      </c>
      <c r="H804" s="5" t="s">
        <v>176</v>
      </c>
      <c r="I804" s="5" t="str">
        <f>_xlfn.XLOOKUP(sommaire[[#This Row],[Arrondissement_code]],OCHA_GIS!$F:$F,OCHA_GIS!$E:$E,,)</f>
        <v>Kai-Kai</v>
      </c>
      <c r="J804" s="5" t="s">
        <v>772</v>
      </c>
      <c r="K804" t="s">
        <v>1060</v>
      </c>
      <c r="L804" s="5" t="s">
        <v>1061</v>
      </c>
      <c r="N804" s="5" t="s">
        <v>3053</v>
      </c>
      <c r="O804" s="5" t="s">
        <v>2467</v>
      </c>
      <c r="P804" s="5" t="s">
        <v>85</v>
      </c>
      <c r="Q804" s="5" t="s">
        <v>86</v>
      </c>
      <c r="R804" s="5" t="s">
        <v>85</v>
      </c>
      <c r="T804" s="390">
        <v>3</v>
      </c>
      <c r="U804" s="5" t="s">
        <v>97</v>
      </c>
      <c r="W804" s="5" t="s">
        <v>2468</v>
      </c>
      <c r="X804" s="5" t="s">
        <v>103</v>
      </c>
      <c r="Y804" s="5" t="s">
        <v>2476</v>
      </c>
      <c r="AA804" s="5" t="s">
        <v>85</v>
      </c>
      <c r="AB804" s="5" t="s">
        <v>2469</v>
      </c>
      <c r="AC804" s="5" t="s">
        <v>2473</v>
      </c>
      <c r="AD804" s="5" t="s">
        <v>86</v>
      </c>
      <c r="AF804" s="5">
        <v>33</v>
      </c>
      <c r="AG804" s="5">
        <v>5000</v>
      </c>
      <c r="AH804" s="5" t="s">
        <v>85</v>
      </c>
      <c r="AI804" s="5" t="s">
        <v>2485</v>
      </c>
      <c r="AJ804" s="5">
        <v>33</v>
      </c>
      <c r="AK804" s="5">
        <v>217</v>
      </c>
      <c r="AL804" s="5">
        <v>100</v>
      </c>
      <c r="AM804" s="5">
        <v>117</v>
      </c>
      <c r="AN804" s="5">
        <v>15</v>
      </c>
      <c r="AO804" s="5">
        <v>10</v>
      </c>
      <c r="AP804" s="5">
        <v>3</v>
      </c>
      <c r="AQ804" s="5">
        <v>0</v>
      </c>
      <c r="AT804" s="5">
        <v>0</v>
      </c>
      <c r="AU804" s="5">
        <v>5</v>
      </c>
      <c r="AV804" s="5" t="s">
        <v>2490</v>
      </c>
      <c r="AX804" s="5">
        <v>0</v>
      </c>
      <c r="AY804" s="1090" t="s">
        <v>86</v>
      </c>
      <c r="BN804" s="1090" t="s">
        <v>85</v>
      </c>
      <c r="BO804" s="5">
        <v>45</v>
      </c>
      <c r="BP804" s="5">
        <v>284</v>
      </c>
      <c r="BQ804" s="5">
        <v>130</v>
      </c>
      <c r="BR804" s="5">
        <v>154</v>
      </c>
      <c r="BS804" s="5" t="s">
        <v>2484</v>
      </c>
      <c r="BT804" s="5">
        <v>30</v>
      </c>
      <c r="BU804" s="5">
        <v>10</v>
      </c>
      <c r="BV804" s="5">
        <v>5</v>
      </c>
      <c r="BW804" s="5">
        <v>0</v>
      </c>
      <c r="BX804" s="5">
        <v>0</v>
      </c>
      <c r="BZ804" s="5">
        <v>0</v>
      </c>
      <c r="CA804" s="5">
        <v>0</v>
      </c>
      <c r="CC804" s="5">
        <v>0</v>
      </c>
      <c r="CD804" s="5">
        <v>0</v>
      </c>
      <c r="CF804" s="1442" t="str">
        <f>IF([1]!sommaire[[#This Row],[présence des personnes déplacés interne]]="Oui","1","0")</f>
        <v>1</v>
      </c>
      <c r="CG804" s="1442" t="str">
        <f>IF([1]!sommaire[[#This Row],[présence Réfugié hors camp]]="Oui","1","0")</f>
        <v>0</v>
      </c>
      <c r="CH804" s="1442" t="str">
        <f>IF([1]!sommaire[[#This Row],[présence personnes retournées]]="Oui","1","0")</f>
        <v>1</v>
      </c>
      <c r="CI804" s="1442">
        <f>[1]!sommaire[[#This Row],[Flag PDI]]+[1]!sommaire[[#This Row],[Flag REF]]+[1]!sommaire[[#This Row],[Flag RET]]</f>
        <v>2</v>
      </c>
    </row>
    <row r="805" spans="1:87" ht="14.55" customHeight="1" x14ac:dyDescent="0.3">
      <c r="A805" s="390">
        <v>2670358</v>
      </c>
      <c r="B805" s="5" t="s">
        <v>533</v>
      </c>
      <c r="C805" s="1430" t="s">
        <v>3449</v>
      </c>
      <c r="D805" s="1090" t="s">
        <v>534</v>
      </c>
      <c r="E805" s="5" t="s">
        <v>32</v>
      </c>
      <c r="F805" s="5" t="s">
        <v>32</v>
      </c>
      <c r="G805" s="5" t="s">
        <v>542</v>
      </c>
      <c r="H805" s="5" t="s">
        <v>176</v>
      </c>
      <c r="I805" s="5" t="str">
        <f>_xlfn.XLOOKUP(sommaire[[#This Row],[Arrondissement_code]],OCHA_GIS!$F:$F,OCHA_GIS!$E:$E,,)</f>
        <v>Kai-Kai</v>
      </c>
      <c r="J805" s="5" t="s">
        <v>772</v>
      </c>
      <c r="K805" t="s">
        <v>2336</v>
      </c>
      <c r="L805" s="5" t="s">
        <v>2337</v>
      </c>
      <c r="N805" s="5" t="s">
        <v>3053</v>
      </c>
      <c r="O805" s="5" t="s">
        <v>2467</v>
      </c>
      <c r="P805" s="5" t="s">
        <v>85</v>
      </c>
      <c r="Q805" s="5" t="s">
        <v>86</v>
      </c>
      <c r="R805" s="5" t="s">
        <v>86</v>
      </c>
      <c r="T805" s="390">
        <v>3</v>
      </c>
      <c r="U805" s="5" t="s">
        <v>97</v>
      </c>
      <c r="W805" s="5" t="s">
        <v>2468</v>
      </c>
      <c r="X805" s="5" t="s">
        <v>103</v>
      </c>
      <c r="Y805" s="5" t="s">
        <v>2476</v>
      </c>
      <c r="AA805" s="586" t="s">
        <v>85</v>
      </c>
      <c r="AB805" s="5" t="s">
        <v>2469</v>
      </c>
      <c r="AC805" s="5" t="s">
        <v>2470</v>
      </c>
      <c r="AD805" s="5" t="s">
        <v>86</v>
      </c>
      <c r="AG805" s="5">
        <v>9000</v>
      </c>
      <c r="AH805" s="5" t="s">
        <v>86</v>
      </c>
      <c r="AY805" s="5" t="s">
        <v>86</v>
      </c>
      <c r="BN805" s="5" t="s">
        <v>85</v>
      </c>
      <c r="BO805" s="5">
        <v>417</v>
      </c>
      <c r="BP805" s="5">
        <v>2140</v>
      </c>
      <c r="BQ805" s="5">
        <v>888</v>
      </c>
      <c r="BR805" s="5">
        <v>1252</v>
      </c>
      <c r="BS805" s="5" t="s">
        <v>2484</v>
      </c>
      <c r="BT805" s="5">
        <v>0</v>
      </c>
      <c r="BU805" s="5">
        <v>105</v>
      </c>
      <c r="BV805" s="5">
        <v>104</v>
      </c>
      <c r="BW805" s="5">
        <v>0</v>
      </c>
      <c r="BX805" s="5">
        <v>0</v>
      </c>
      <c r="BZ805" s="5">
        <v>0</v>
      </c>
      <c r="CA805" s="5">
        <v>208</v>
      </c>
      <c r="CB805" s="5" t="s">
        <v>2490</v>
      </c>
      <c r="CC805" s="5">
        <v>0</v>
      </c>
      <c r="CD805" s="5">
        <v>0</v>
      </c>
      <c r="CF805" s="1442" t="str">
        <f>IF([1]!sommaire[[#This Row],[présence des personnes déplacés interne]]="Oui","1","0")</f>
        <v>0</v>
      </c>
      <c r="CG805" s="1442" t="str">
        <f>IF([1]!sommaire[[#This Row],[présence Réfugié hors camp]]="Oui","1","0")</f>
        <v>0</v>
      </c>
      <c r="CH805" s="1442" t="str">
        <f>IF([1]!sommaire[[#This Row],[présence personnes retournées]]="Oui","1","0")</f>
        <v>1</v>
      </c>
      <c r="CI805" s="1442">
        <f>[1]!sommaire[[#This Row],[Flag PDI]]+[1]!sommaire[[#This Row],[Flag REF]]+[1]!sommaire[[#This Row],[Flag RET]]</f>
        <v>1</v>
      </c>
    </row>
    <row r="806" spans="1:87" ht="14.55" customHeight="1" x14ac:dyDescent="0.3">
      <c r="A806" s="390">
        <v>2799740</v>
      </c>
      <c r="B806" s="5" t="s">
        <v>533</v>
      </c>
      <c r="C806" s="1430" t="s">
        <v>3449</v>
      </c>
      <c r="D806" s="1090" t="s">
        <v>534</v>
      </c>
      <c r="E806" s="5" t="s">
        <v>32</v>
      </c>
      <c r="F806" s="5" t="s">
        <v>32</v>
      </c>
      <c r="G806" s="5" t="s">
        <v>542</v>
      </c>
      <c r="H806" s="5" t="s">
        <v>176</v>
      </c>
      <c r="I806" s="5" t="str">
        <f>_xlfn.XLOOKUP(sommaire[[#This Row],[Arrondissement_code]],OCHA_GIS!$F:$F,OCHA_GIS!$E:$E,,)</f>
        <v>Kai-Kai</v>
      </c>
      <c r="J806" s="5" t="s">
        <v>772</v>
      </c>
      <c r="K806" t="s">
        <v>3196</v>
      </c>
      <c r="L806" s="5" t="s">
        <v>2783</v>
      </c>
      <c r="N806" s="5" t="s">
        <v>3053</v>
      </c>
      <c r="O806" s="5" t="s">
        <v>2467</v>
      </c>
      <c r="P806" s="5" t="s">
        <v>85</v>
      </c>
      <c r="Q806" s="5" t="s">
        <v>86</v>
      </c>
      <c r="R806" s="5" t="s">
        <v>85</v>
      </c>
      <c r="T806" s="390">
        <v>3</v>
      </c>
      <c r="U806" s="5" t="s">
        <v>97</v>
      </c>
      <c r="W806" s="5" t="s">
        <v>2468</v>
      </c>
      <c r="X806" s="5" t="s">
        <v>103</v>
      </c>
      <c r="Y806" s="5" t="s">
        <v>2476</v>
      </c>
      <c r="AA806" s="5" t="s">
        <v>85</v>
      </c>
      <c r="AB806" s="5" t="s">
        <v>2469</v>
      </c>
      <c r="AC806" s="5" t="s">
        <v>2470</v>
      </c>
      <c r="AD806" s="5" t="s">
        <v>86</v>
      </c>
      <c r="AF806" s="5">
        <v>17</v>
      </c>
      <c r="AG806" s="5">
        <v>4000</v>
      </c>
      <c r="AH806" s="5" t="s">
        <v>85</v>
      </c>
      <c r="AI806" s="5" t="s">
        <v>2471</v>
      </c>
      <c r="AJ806" s="5">
        <v>17</v>
      </c>
      <c r="AK806" s="5">
        <v>56</v>
      </c>
      <c r="AL806" s="5">
        <v>25</v>
      </c>
      <c r="AM806" s="5">
        <v>31</v>
      </c>
      <c r="AN806" s="5">
        <v>13</v>
      </c>
      <c r="AO806" s="5">
        <v>4</v>
      </c>
      <c r="AP806" s="5">
        <v>0</v>
      </c>
      <c r="AQ806" s="5">
        <v>0</v>
      </c>
      <c r="AT806" s="5">
        <v>0</v>
      </c>
      <c r="AU806" s="5">
        <v>0</v>
      </c>
      <c r="AX806" s="5">
        <v>0</v>
      </c>
      <c r="AY806" s="5" t="s">
        <v>86</v>
      </c>
      <c r="BN806" s="5" t="s">
        <v>86</v>
      </c>
      <c r="CD806" s="5">
        <v>0</v>
      </c>
      <c r="CF806" s="1442" t="str">
        <f>IF([1]!sommaire[[#This Row],[présence des personnes déplacés interne]]="Oui","1","0")</f>
        <v>1</v>
      </c>
      <c r="CG806" s="1442" t="str">
        <f>IF([1]!sommaire[[#This Row],[présence Réfugié hors camp]]="Oui","1","0")</f>
        <v>0</v>
      </c>
      <c r="CH806" s="1442" t="str">
        <f>IF([1]!sommaire[[#This Row],[présence personnes retournées]]="Oui","1","0")</f>
        <v>0</v>
      </c>
      <c r="CI806" s="1442">
        <f>[1]!sommaire[[#This Row],[Flag PDI]]+[1]!sommaire[[#This Row],[Flag REF]]+[1]!sommaire[[#This Row],[Flag RET]]</f>
        <v>1</v>
      </c>
    </row>
    <row r="807" spans="1:87" ht="14.55" customHeight="1" x14ac:dyDescent="0.3">
      <c r="A807" s="390">
        <v>2699961</v>
      </c>
      <c r="B807" s="5" t="s">
        <v>533</v>
      </c>
      <c r="C807" s="1430" t="s">
        <v>3449</v>
      </c>
      <c r="D807" s="1090" t="s">
        <v>534</v>
      </c>
      <c r="E807" s="5" t="s">
        <v>32</v>
      </c>
      <c r="F807" s="5" t="s">
        <v>32</v>
      </c>
      <c r="G807" s="5" t="s">
        <v>542</v>
      </c>
      <c r="H807" s="5" t="s">
        <v>176</v>
      </c>
      <c r="I807" s="5" t="str">
        <f>_xlfn.XLOOKUP(sommaire[[#This Row],[Arrondissement_code]],OCHA_GIS!$F:$F,OCHA_GIS!$E:$E,,)</f>
        <v>Kai-Kai</v>
      </c>
      <c r="J807" s="5" t="s">
        <v>772</v>
      </c>
      <c r="K807" t="s">
        <v>2267</v>
      </c>
      <c r="L807" s="5" t="s">
        <v>2268</v>
      </c>
      <c r="N807" s="5" t="s">
        <v>3053</v>
      </c>
      <c r="O807" s="5" t="s">
        <v>2467</v>
      </c>
      <c r="P807" s="5" t="s">
        <v>85</v>
      </c>
      <c r="Q807" s="5" t="s">
        <v>86</v>
      </c>
      <c r="R807" s="5" t="s">
        <v>85</v>
      </c>
      <c r="T807" s="390">
        <v>3</v>
      </c>
      <c r="U807" s="5" t="s">
        <v>97</v>
      </c>
      <c r="W807" s="5" t="s">
        <v>2468</v>
      </c>
      <c r="X807" s="5" t="s">
        <v>103</v>
      </c>
      <c r="Y807" s="5" t="s">
        <v>2476</v>
      </c>
      <c r="AA807" s="5" t="s">
        <v>85</v>
      </c>
      <c r="AB807" s="5" t="s">
        <v>2473</v>
      </c>
      <c r="AC807" s="5" t="s">
        <v>2469</v>
      </c>
      <c r="AD807" s="5" t="s">
        <v>86</v>
      </c>
      <c r="AG807" s="5">
        <v>3500</v>
      </c>
      <c r="AH807" s="5" t="s">
        <v>86</v>
      </c>
      <c r="AY807" s="5" t="s">
        <v>86</v>
      </c>
      <c r="BN807" s="5" t="s">
        <v>85</v>
      </c>
      <c r="BO807" s="5">
        <v>9</v>
      </c>
      <c r="BP807" s="5">
        <v>97</v>
      </c>
      <c r="BQ807" s="5">
        <v>47</v>
      </c>
      <c r="BR807" s="5">
        <v>50</v>
      </c>
      <c r="BS807" s="5" t="s">
        <v>2492</v>
      </c>
      <c r="BT807" s="5">
        <v>5</v>
      </c>
      <c r="BU807" s="5">
        <v>3</v>
      </c>
      <c r="BV807" s="5">
        <v>1</v>
      </c>
      <c r="BW807" s="5">
        <v>0</v>
      </c>
      <c r="BX807" s="5">
        <v>0</v>
      </c>
      <c r="BZ807" s="5">
        <v>0</v>
      </c>
      <c r="CA807" s="5">
        <v>0</v>
      </c>
      <c r="CC807" s="5">
        <v>0</v>
      </c>
      <c r="CD807" s="5">
        <v>0</v>
      </c>
      <c r="CF807" s="1442" t="str">
        <f>IF([1]!sommaire[[#This Row],[présence des personnes déplacés interne]]="Oui","1","0")</f>
        <v>0</v>
      </c>
      <c r="CG807" s="1442" t="str">
        <f>IF([1]!sommaire[[#This Row],[présence Réfugié hors camp]]="Oui","1","0")</f>
        <v>0</v>
      </c>
      <c r="CH807" s="1442" t="str">
        <f>IF([1]!sommaire[[#This Row],[présence personnes retournées]]="Oui","1","0")</f>
        <v>1</v>
      </c>
      <c r="CI807" s="1442">
        <f>[1]!sommaire[[#This Row],[Flag PDI]]+[1]!sommaire[[#This Row],[Flag REF]]+[1]!sommaire[[#This Row],[Flag RET]]</f>
        <v>1</v>
      </c>
    </row>
    <row r="808" spans="1:87" ht="14.55" customHeight="1" x14ac:dyDescent="0.3">
      <c r="A808" s="390">
        <v>2699353</v>
      </c>
      <c r="B808" s="5" t="s">
        <v>533</v>
      </c>
      <c r="C808" s="1430" t="s">
        <v>3449</v>
      </c>
      <c r="D808" s="1090" t="s">
        <v>534</v>
      </c>
      <c r="E808" s="5" t="s">
        <v>32</v>
      </c>
      <c r="F808" s="5" t="s">
        <v>32</v>
      </c>
      <c r="G808" s="5" t="s">
        <v>542</v>
      </c>
      <c r="H808" s="5" t="s">
        <v>176</v>
      </c>
      <c r="I808" s="5" t="str">
        <f>_xlfn.XLOOKUP(sommaire[[#This Row],[Arrondissement_code]],OCHA_GIS!$F:$F,OCHA_GIS!$E:$E,,)</f>
        <v>Kai-Kai</v>
      </c>
      <c r="J808" s="5" t="s">
        <v>772</v>
      </c>
      <c r="K808" t="s">
        <v>1535</v>
      </c>
      <c r="L808" s="5" t="s">
        <v>1536</v>
      </c>
      <c r="N808" s="5" t="s">
        <v>3053</v>
      </c>
      <c r="O808" s="5" t="s">
        <v>2467</v>
      </c>
      <c r="P808" s="5" t="s">
        <v>85</v>
      </c>
      <c r="Q808" s="5" t="s">
        <v>86</v>
      </c>
      <c r="R808" s="5" t="s">
        <v>85</v>
      </c>
      <c r="T808" s="390">
        <v>3</v>
      </c>
      <c r="U808" s="5" t="s">
        <v>97</v>
      </c>
      <c r="W808" s="5" t="s">
        <v>2468</v>
      </c>
      <c r="X808" s="5" t="s">
        <v>103</v>
      </c>
      <c r="Y808" s="5" t="s">
        <v>2476</v>
      </c>
      <c r="AA808" s="5" t="s">
        <v>85</v>
      </c>
      <c r="AB808" s="5" t="s">
        <v>2469</v>
      </c>
      <c r="AC808" s="5" t="s">
        <v>2470</v>
      </c>
      <c r="AD808" s="5" t="s">
        <v>86</v>
      </c>
      <c r="AF808" s="5">
        <v>27</v>
      </c>
      <c r="AG808" s="5">
        <v>3000</v>
      </c>
      <c r="AH808" s="5" t="s">
        <v>85</v>
      </c>
      <c r="AI808" s="5" t="s">
        <v>2485</v>
      </c>
      <c r="AJ808" s="5">
        <v>27</v>
      </c>
      <c r="AK808" s="5">
        <v>210</v>
      </c>
      <c r="AL808" s="5">
        <v>100</v>
      </c>
      <c r="AM808" s="5">
        <v>110</v>
      </c>
      <c r="AN808" s="5">
        <v>20</v>
      </c>
      <c r="AO808" s="5">
        <v>7</v>
      </c>
      <c r="AP808" s="5">
        <v>0</v>
      </c>
      <c r="AQ808" s="5">
        <v>0</v>
      </c>
      <c r="AT808" s="5">
        <v>0</v>
      </c>
      <c r="AU808" s="5">
        <v>0</v>
      </c>
      <c r="AX808" s="5">
        <v>0</v>
      </c>
      <c r="AY808" s="5" t="s">
        <v>86</v>
      </c>
      <c r="BN808" s="5" t="s">
        <v>85</v>
      </c>
      <c r="BO808" s="5">
        <v>11</v>
      </c>
      <c r="BP808" s="5">
        <v>129</v>
      </c>
      <c r="BQ808" s="5">
        <v>60</v>
      </c>
      <c r="BR808" s="5">
        <v>69</v>
      </c>
      <c r="BS808" s="5" t="s">
        <v>2492</v>
      </c>
      <c r="BT808" s="5">
        <v>7</v>
      </c>
      <c r="BU808" s="5">
        <v>4</v>
      </c>
      <c r="BV808" s="5">
        <v>0</v>
      </c>
      <c r="BW808" s="5">
        <v>0</v>
      </c>
      <c r="BX808" s="5">
        <v>0</v>
      </c>
      <c r="BZ808" s="5">
        <v>0</v>
      </c>
      <c r="CA808" s="5">
        <v>0</v>
      </c>
      <c r="CC808" s="5">
        <v>0</v>
      </c>
      <c r="CD808" s="5">
        <v>0</v>
      </c>
      <c r="CF808" s="1442" t="str">
        <f>IF([1]!sommaire[[#This Row],[présence des personnes déplacés interne]]="Oui","1","0")</f>
        <v>1</v>
      </c>
      <c r="CG808" s="1442" t="str">
        <f>IF([1]!sommaire[[#This Row],[présence Réfugié hors camp]]="Oui","1","0")</f>
        <v>0</v>
      </c>
      <c r="CH808" s="1442" t="str">
        <f>IF([1]!sommaire[[#This Row],[présence personnes retournées]]="Oui","1","0")</f>
        <v>1</v>
      </c>
      <c r="CI808" s="1442">
        <f>[1]!sommaire[[#This Row],[Flag PDI]]+[1]!sommaire[[#This Row],[Flag REF]]+[1]!sommaire[[#This Row],[Flag RET]]</f>
        <v>2</v>
      </c>
    </row>
    <row r="809" spans="1:87" ht="14.55" customHeight="1" x14ac:dyDescent="0.3">
      <c r="A809" s="390">
        <v>2700356</v>
      </c>
      <c r="B809" s="5" t="s">
        <v>533</v>
      </c>
      <c r="C809" s="1430" t="s">
        <v>3449</v>
      </c>
      <c r="D809" s="1090" t="s">
        <v>534</v>
      </c>
      <c r="E809" s="5" t="s">
        <v>32</v>
      </c>
      <c r="F809" s="5" t="s">
        <v>32</v>
      </c>
      <c r="G809" s="5" t="s">
        <v>542</v>
      </c>
      <c r="H809" s="5" t="s">
        <v>176</v>
      </c>
      <c r="I809" s="5" t="str">
        <f>_xlfn.XLOOKUP(sommaire[[#This Row],[Arrondissement_code]],OCHA_GIS!$F:$F,OCHA_GIS!$E:$E,,)</f>
        <v>Kai-Kai</v>
      </c>
      <c r="J809" s="5" t="s">
        <v>772</v>
      </c>
      <c r="K809" t="s">
        <v>2308</v>
      </c>
      <c r="L809" s="5" t="s">
        <v>2309</v>
      </c>
      <c r="N809" s="5" t="s">
        <v>3053</v>
      </c>
      <c r="O809" s="5" t="s">
        <v>2467</v>
      </c>
      <c r="P809" s="5" t="s">
        <v>85</v>
      </c>
      <c r="Q809" s="5" t="s">
        <v>86</v>
      </c>
      <c r="R809" s="5" t="s">
        <v>85</v>
      </c>
      <c r="T809" s="390">
        <v>3</v>
      </c>
      <c r="U809" s="5" t="s">
        <v>97</v>
      </c>
      <c r="W809" s="5" t="s">
        <v>2468</v>
      </c>
      <c r="X809" s="5" t="s">
        <v>103</v>
      </c>
      <c r="Y809" s="5" t="s">
        <v>2476</v>
      </c>
      <c r="AA809" s="5" t="s">
        <v>85</v>
      </c>
      <c r="AB809" s="5" t="s">
        <v>2469</v>
      </c>
      <c r="AC809" s="5" t="s">
        <v>2473</v>
      </c>
      <c r="AD809" s="5" t="s">
        <v>86</v>
      </c>
      <c r="AG809" s="5">
        <v>3000</v>
      </c>
      <c r="AH809" s="5" t="s">
        <v>86</v>
      </c>
      <c r="AY809" s="5" t="s">
        <v>86</v>
      </c>
      <c r="BN809" s="5" t="s">
        <v>85</v>
      </c>
      <c r="BO809" s="5">
        <v>13</v>
      </c>
      <c r="BP809" s="5">
        <v>118</v>
      </c>
      <c r="BQ809" s="5">
        <v>50</v>
      </c>
      <c r="BR809" s="5">
        <v>68</v>
      </c>
      <c r="BS809" s="5" t="s">
        <v>2492</v>
      </c>
      <c r="BT809" s="5">
        <v>8</v>
      </c>
      <c r="BU809" s="5">
        <v>3</v>
      </c>
      <c r="BV809" s="5">
        <v>0</v>
      </c>
      <c r="BW809" s="5">
        <v>0</v>
      </c>
      <c r="BX809" s="5">
        <v>0</v>
      </c>
      <c r="BZ809" s="5">
        <v>0</v>
      </c>
      <c r="CA809" s="5">
        <v>2</v>
      </c>
      <c r="CB809" s="5" t="s">
        <v>2490</v>
      </c>
      <c r="CC809" s="5">
        <v>0</v>
      </c>
      <c r="CD809" s="5">
        <v>0</v>
      </c>
      <c r="CF809" s="1442" t="str">
        <f>IF([1]!sommaire[[#This Row],[présence des personnes déplacés interne]]="Oui","1","0")</f>
        <v>0</v>
      </c>
      <c r="CG809" s="1442" t="str">
        <f>IF([1]!sommaire[[#This Row],[présence Réfugié hors camp]]="Oui","1","0")</f>
        <v>0</v>
      </c>
      <c r="CH809" s="1442" t="str">
        <f>IF([1]!sommaire[[#This Row],[présence personnes retournées]]="Oui","1","0")</f>
        <v>1</v>
      </c>
      <c r="CI809" s="1442">
        <f>[1]!sommaire[[#This Row],[Flag PDI]]+[1]!sommaire[[#This Row],[Flag REF]]+[1]!sommaire[[#This Row],[Flag RET]]</f>
        <v>1</v>
      </c>
    </row>
    <row r="810" spans="1:87" ht="14.55" customHeight="1" x14ac:dyDescent="0.3">
      <c r="A810" s="390">
        <v>2710687</v>
      </c>
      <c r="B810" s="5" t="s">
        <v>533</v>
      </c>
      <c r="C810" s="1430" t="s">
        <v>3449</v>
      </c>
      <c r="D810" s="1090" t="s">
        <v>534</v>
      </c>
      <c r="E810" s="5" t="s">
        <v>32</v>
      </c>
      <c r="F810" s="5" t="s">
        <v>32</v>
      </c>
      <c r="G810" s="5" t="s">
        <v>542</v>
      </c>
      <c r="H810" s="5" t="s">
        <v>176</v>
      </c>
      <c r="I810" s="5" t="str">
        <f>_xlfn.XLOOKUP(sommaire[[#This Row],[Arrondissement_code]],OCHA_GIS!$F:$F,OCHA_GIS!$E:$E,,)</f>
        <v>Kai-Kai</v>
      </c>
      <c r="J810" s="5" t="s">
        <v>772</v>
      </c>
      <c r="K810" t="s">
        <v>1739</v>
      </c>
      <c r="L810" s="5" t="s">
        <v>1740</v>
      </c>
      <c r="N810" s="5" t="s">
        <v>3052</v>
      </c>
      <c r="O810" s="5" t="s">
        <v>2467</v>
      </c>
      <c r="P810" s="5" t="s">
        <v>85</v>
      </c>
      <c r="Q810" s="5" t="s">
        <v>86</v>
      </c>
      <c r="R810" s="5" t="s">
        <v>85</v>
      </c>
      <c r="T810" s="390">
        <v>3</v>
      </c>
      <c r="U810" s="5" t="s">
        <v>97</v>
      </c>
      <c r="W810" s="5" t="s">
        <v>2468</v>
      </c>
      <c r="X810" s="5" t="s">
        <v>103</v>
      </c>
      <c r="Y810" s="5" t="s">
        <v>2476</v>
      </c>
      <c r="AA810" s="5" t="s">
        <v>85</v>
      </c>
      <c r="AB810" s="5" t="s">
        <v>2469</v>
      </c>
      <c r="AC810" s="5" t="s">
        <v>2470</v>
      </c>
      <c r="AD810" s="5" t="s">
        <v>86</v>
      </c>
      <c r="AF810" s="5">
        <v>55</v>
      </c>
      <c r="AG810" s="5">
        <v>10000</v>
      </c>
      <c r="AH810" s="5" t="s">
        <v>85</v>
      </c>
      <c r="AI810" s="5" t="s">
        <v>2485</v>
      </c>
      <c r="AJ810" s="5">
        <v>55</v>
      </c>
      <c r="AK810" s="5">
        <v>349</v>
      </c>
      <c r="AL810" s="5">
        <v>169</v>
      </c>
      <c r="AM810" s="5">
        <v>180</v>
      </c>
      <c r="AN810" s="5">
        <v>50</v>
      </c>
      <c r="AO810" s="5">
        <v>5</v>
      </c>
      <c r="AP810" s="5">
        <v>0</v>
      </c>
      <c r="AQ810" s="5">
        <v>0</v>
      </c>
      <c r="AT810" s="5">
        <v>0</v>
      </c>
      <c r="AU810" s="5">
        <v>0</v>
      </c>
      <c r="AX810" s="5">
        <v>0</v>
      </c>
      <c r="AY810" s="5" t="s">
        <v>86</v>
      </c>
      <c r="BN810" s="5" t="s">
        <v>85</v>
      </c>
      <c r="BO810" s="5">
        <v>548</v>
      </c>
      <c r="BP810" s="5">
        <v>4338</v>
      </c>
      <c r="BQ810" s="5">
        <v>2000</v>
      </c>
      <c r="BR810" s="5">
        <v>2338</v>
      </c>
      <c r="BS810" s="5" t="s">
        <v>2492</v>
      </c>
      <c r="BT810" s="5">
        <v>100</v>
      </c>
      <c r="BU810" s="5">
        <v>400</v>
      </c>
      <c r="BV810" s="5">
        <v>48</v>
      </c>
      <c r="BW810" s="5">
        <v>0</v>
      </c>
      <c r="BX810" s="5">
        <v>0</v>
      </c>
      <c r="BZ810" s="5">
        <v>0</v>
      </c>
      <c r="CA810" s="5">
        <v>0</v>
      </c>
      <c r="CC810" s="5">
        <v>0</v>
      </c>
      <c r="CD810" s="5">
        <v>0</v>
      </c>
      <c r="CF810" s="1442" t="str">
        <f>IF([1]!sommaire[[#This Row],[présence des personnes déplacés interne]]="Oui","1","0")</f>
        <v>1</v>
      </c>
      <c r="CG810" s="1442" t="str">
        <f>IF([1]!sommaire[[#This Row],[présence Réfugié hors camp]]="Oui","1","0")</f>
        <v>0</v>
      </c>
      <c r="CH810" s="1442" t="str">
        <f>IF([1]!sommaire[[#This Row],[présence personnes retournées]]="Oui","1","0")</f>
        <v>1</v>
      </c>
      <c r="CI810" s="1442">
        <f>[1]!sommaire[[#This Row],[Flag PDI]]+[1]!sommaire[[#This Row],[Flag REF]]+[1]!sommaire[[#This Row],[Flag RET]]</f>
        <v>2</v>
      </c>
    </row>
    <row r="811" spans="1:87" ht="14.55" customHeight="1" x14ac:dyDescent="0.3">
      <c r="A811" s="390">
        <v>2700888</v>
      </c>
      <c r="B811" s="5" t="s">
        <v>533</v>
      </c>
      <c r="C811" s="1430" t="s">
        <v>3449</v>
      </c>
      <c r="D811" s="1090" t="s">
        <v>534</v>
      </c>
      <c r="E811" s="5" t="s">
        <v>32</v>
      </c>
      <c r="F811" s="5" t="s">
        <v>32</v>
      </c>
      <c r="G811" s="5" t="s">
        <v>542</v>
      </c>
      <c r="H811" s="5" t="s">
        <v>176</v>
      </c>
      <c r="I811" s="5" t="str">
        <f>_xlfn.XLOOKUP(sommaire[[#This Row],[Arrondissement_code]],OCHA_GIS!$F:$F,OCHA_GIS!$E:$E,,)</f>
        <v>Kai-Kai</v>
      </c>
      <c r="J811" s="5" t="s">
        <v>772</v>
      </c>
      <c r="K811" t="s">
        <v>2299</v>
      </c>
      <c r="L811" s="5" t="s">
        <v>2300</v>
      </c>
      <c r="N811" s="5" t="s">
        <v>3053</v>
      </c>
      <c r="O811" s="5" t="s">
        <v>2467</v>
      </c>
      <c r="P811" s="5" t="s">
        <v>85</v>
      </c>
      <c r="Q811" s="5" t="s">
        <v>86</v>
      </c>
      <c r="R811" s="5" t="s">
        <v>85</v>
      </c>
      <c r="T811" s="390">
        <v>3</v>
      </c>
      <c r="U811" s="5" t="s">
        <v>97</v>
      </c>
      <c r="W811" s="5" t="s">
        <v>2468</v>
      </c>
      <c r="X811" s="5" t="s">
        <v>103</v>
      </c>
      <c r="Y811" s="5" t="s">
        <v>2476</v>
      </c>
      <c r="AA811" s="5" t="s">
        <v>85</v>
      </c>
      <c r="AB811" s="5" t="s">
        <v>2469</v>
      </c>
      <c r="AC811" s="5" t="s">
        <v>2470</v>
      </c>
      <c r="AD811" s="5" t="s">
        <v>86</v>
      </c>
      <c r="AG811" s="5">
        <v>4000</v>
      </c>
      <c r="AH811" s="5" t="s">
        <v>86</v>
      </c>
      <c r="AY811" s="5" t="s">
        <v>86</v>
      </c>
      <c r="BN811" s="5" t="s">
        <v>85</v>
      </c>
      <c r="BO811" s="5">
        <v>33</v>
      </c>
      <c r="BP811" s="5">
        <v>257</v>
      </c>
      <c r="BQ811" s="5">
        <v>117</v>
      </c>
      <c r="BR811" s="5">
        <v>140</v>
      </c>
      <c r="BS811" s="5" t="s">
        <v>2492</v>
      </c>
      <c r="BT811" s="5">
        <v>20</v>
      </c>
      <c r="BU811" s="5">
        <v>10</v>
      </c>
      <c r="BV811" s="5">
        <v>3</v>
      </c>
      <c r="BW811" s="5">
        <v>0</v>
      </c>
      <c r="BX811" s="5">
        <v>0</v>
      </c>
      <c r="BZ811" s="5">
        <v>0</v>
      </c>
      <c r="CA811" s="5">
        <v>0</v>
      </c>
      <c r="CC811" s="5">
        <v>0</v>
      </c>
      <c r="CD811" s="5">
        <v>0</v>
      </c>
      <c r="CF811" s="1442" t="str">
        <f>IF([1]!sommaire[[#This Row],[présence des personnes déplacés interne]]="Oui","1","0")</f>
        <v>0</v>
      </c>
      <c r="CG811" s="1442" t="str">
        <f>IF([1]!sommaire[[#This Row],[présence Réfugié hors camp]]="Oui","1","0")</f>
        <v>0</v>
      </c>
      <c r="CH811" s="1442" t="str">
        <f>IF([1]!sommaire[[#This Row],[présence personnes retournées]]="Oui","1","0")</f>
        <v>1</v>
      </c>
      <c r="CI811" s="1442">
        <f>[1]!sommaire[[#This Row],[Flag PDI]]+[1]!sommaire[[#This Row],[Flag REF]]+[1]!sommaire[[#This Row],[Flag RET]]</f>
        <v>1</v>
      </c>
    </row>
    <row r="812" spans="1:87" ht="14.55" customHeight="1" x14ac:dyDescent="0.3">
      <c r="A812" s="390">
        <v>2700582</v>
      </c>
      <c r="B812" s="5" t="s">
        <v>533</v>
      </c>
      <c r="C812" s="1430" t="s">
        <v>3449</v>
      </c>
      <c r="D812" s="1090" t="s">
        <v>534</v>
      </c>
      <c r="E812" s="5" t="s">
        <v>32</v>
      </c>
      <c r="F812" s="5" t="s">
        <v>32</v>
      </c>
      <c r="G812" s="5" t="s">
        <v>542</v>
      </c>
      <c r="H812" s="5" t="s">
        <v>176</v>
      </c>
      <c r="I812" s="5" t="str">
        <f>_xlfn.XLOOKUP(sommaire[[#This Row],[Arrondissement_code]],OCHA_GIS!$F:$F,OCHA_GIS!$E:$E,,)</f>
        <v>Kai-Kai</v>
      </c>
      <c r="J812" s="5" t="s">
        <v>772</v>
      </c>
      <c r="K812" t="s">
        <v>2269</v>
      </c>
      <c r="L812" s="5" t="s">
        <v>2270</v>
      </c>
      <c r="N812" s="5" t="s">
        <v>3053</v>
      </c>
      <c r="O812" s="5" t="s">
        <v>2467</v>
      </c>
      <c r="P812" s="5" t="s">
        <v>85</v>
      </c>
      <c r="Q812" s="5" t="s">
        <v>86</v>
      </c>
      <c r="R812" s="5" t="s">
        <v>85</v>
      </c>
      <c r="T812" s="390">
        <v>3</v>
      </c>
      <c r="U812" s="5" t="s">
        <v>97</v>
      </c>
      <c r="W812" s="5" t="s">
        <v>2468</v>
      </c>
      <c r="X812" s="5" t="s">
        <v>103</v>
      </c>
      <c r="Y812" s="5" t="s">
        <v>2476</v>
      </c>
      <c r="AA812" s="5" t="s">
        <v>85</v>
      </c>
      <c r="AB812" s="5" t="s">
        <v>2469</v>
      </c>
      <c r="AC812" s="5" t="s">
        <v>2473</v>
      </c>
      <c r="AD812" s="5" t="s">
        <v>86</v>
      </c>
      <c r="AG812" s="5">
        <v>3000</v>
      </c>
      <c r="AH812" s="5" t="s">
        <v>86</v>
      </c>
      <c r="AY812" s="5" t="s">
        <v>86</v>
      </c>
      <c r="BN812" s="5" t="s">
        <v>85</v>
      </c>
      <c r="BO812" s="5">
        <v>45</v>
      </c>
      <c r="BP812" s="5">
        <v>278</v>
      </c>
      <c r="BQ812" s="5">
        <v>128</v>
      </c>
      <c r="BR812" s="5">
        <v>150</v>
      </c>
      <c r="BS812" s="5" t="s">
        <v>2492</v>
      </c>
      <c r="BT812" s="5">
        <v>25</v>
      </c>
      <c r="BU812" s="5">
        <v>10</v>
      </c>
      <c r="BV812" s="5">
        <v>5</v>
      </c>
      <c r="BW812" s="5">
        <v>0</v>
      </c>
      <c r="BX812" s="5">
        <v>0</v>
      </c>
      <c r="BZ812" s="5">
        <v>0</v>
      </c>
      <c r="CA812" s="5">
        <v>5</v>
      </c>
      <c r="CB812" s="5" t="s">
        <v>2490</v>
      </c>
      <c r="CC812" s="5">
        <v>0</v>
      </c>
      <c r="CD812" s="5">
        <v>0</v>
      </c>
      <c r="CF812" s="1442" t="str">
        <f>IF([1]!sommaire[[#This Row],[présence des personnes déplacés interne]]="Oui","1","0")</f>
        <v>0</v>
      </c>
      <c r="CG812" s="1442" t="str">
        <f>IF([1]!sommaire[[#This Row],[présence Réfugié hors camp]]="Oui","1","0")</f>
        <v>0</v>
      </c>
      <c r="CH812" s="1442" t="str">
        <f>IF([1]!sommaire[[#This Row],[présence personnes retournées]]="Oui","1","0")</f>
        <v>1</v>
      </c>
      <c r="CI812" s="1442">
        <f>[1]!sommaire[[#This Row],[Flag PDI]]+[1]!sommaire[[#This Row],[Flag REF]]+[1]!sommaire[[#This Row],[Flag RET]]</f>
        <v>1</v>
      </c>
    </row>
    <row r="813" spans="1:87" ht="14.55" customHeight="1" x14ac:dyDescent="0.3">
      <c r="A813" s="390">
        <v>2700802</v>
      </c>
      <c r="B813" s="5" t="s">
        <v>533</v>
      </c>
      <c r="C813" s="1430" t="s">
        <v>3449</v>
      </c>
      <c r="D813" s="1090" t="s">
        <v>534</v>
      </c>
      <c r="E813" s="5" t="s">
        <v>32</v>
      </c>
      <c r="F813" s="5" t="s">
        <v>32</v>
      </c>
      <c r="G813" s="5" t="s">
        <v>542</v>
      </c>
      <c r="H813" s="5" t="s">
        <v>176</v>
      </c>
      <c r="I813" s="5" t="str">
        <f>_xlfn.XLOOKUP(sommaire[[#This Row],[Arrondissement_code]],OCHA_GIS!$F:$F,OCHA_GIS!$E:$E,,)</f>
        <v>Kai-Kai</v>
      </c>
      <c r="J813" s="5" t="s">
        <v>772</v>
      </c>
      <c r="K813" t="s">
        <v>2310</v>
      </c>
      <c r="L813" s="5" t="s">
        <v>2311</v>
      </c>
      <c r="N813" s="5" t="s">
        <v>3053</v>
      </c>
      <c r="O813" s="5" t="s">
        <v>2467</v>
      </c>
      <c r="P813" s="5" t="s">
        <v>85</v>
      </c>
      <c r="Q813" s="5" t="s">
        <v>86</v>
      </c>
      <c r="R813" s="5" t="s">
        <v>85</v>
      </c>
      <c r="T813" s="390">
        <v>3</v>
      </c>
      <c r="U813" s="5" t="s">
        <v>97</v>
      </c>
      <c r="W813" s="5" t="s">
        <v>2468</v>
      </c>
      <c r="X813" s="5" t="s">
        <v>103</v>
      </c>
      <c r="Y813" s="5" t="s">
        <v>2476</v>
      </c>
      <c r="AA813" s="5" t="s">
        <v>85</v>
      </c>
      <c r="AB813" s="5" t="s">
        <v>2469</v>
      </c>
      <c r="AC813" s="5" t="s">
        <v>2470</v>
      </c>
      <c r="AD813" s="5" t="s">
        <v>86</v>
      </c>
      <c r="AG813" s="5">
        <v>4000</v>
      </c>
      <c r="AH813" s="5" t="s">
        <v>86</v>
      </c>
      <c r="AY813" s="5" t="s">
        <v>86</v>
      </c>
      <c r="BN813" s="5" t="s">
        <v>85</v>
      </c>
      <c r="BO813" s="5">
        <v>23</v>
      </c>
      <c r="BP813" s="5">
        <v>167</v>
      </c>
      <c r="BQ813" s="5">
        <v>70</v>
      </c>
      <c r="BR813" s="5">
        <v>97</v>
      </c>
      <c r="BS813" s="5" t="s">
        <v>2492</v>
      </c>
      <c r="BT813" s="5">
        <v>10</v>
      </c>
      <c r="BU813" s="5">
        <v>5</v>
      </c>
      <c r="BV813" s="5">
        <v>5</v>
      </c>
      <c r="BW813" s="5">
        <v>0</v>
      </c>
      <c r="BX813" s="5">
        <v>0</v>
      </c>
      <c r="BZ813" s="5">
        <v>0</v>
      </c>
      <c r="CA813" s="5">
        <v>3</v>
      </c>
      <c r="CB813" s="5" t="s">
        <v>2490</v>
      </c>
      <c r="CC813" s="5">
        <v>0</v>
      </c>
      <c r="CD813" s="5">
        <v>0</v>
      </c>
      <c r="CF813" s="1442" t="str">
        <f>IF([1]!sommaire[[#This Row],[présence des personnes déplacés interne]]="Oui","1","0")</f>
        <v>0</v>
      </c>
      <c r="CG813" s="1442" t="str">
        <f>IF([1]!sommaire[[#This Row],[présence Réfugié hors camp]]="Oui","1","0")</f>
        <v>0</v>
      </c>
      <c r="CH813" s="1442" t="str">
        <f>IF([1]!sommaire[[#This Row],[présence personnes retournées]]="Oui","1","0")</f>
        <v>1</v>
      </c>
      <c r="CI813" s="1442">
        <f>[1]!sommaire[[#This Row],[Flag PDI]]+[1]!sommaire[[#This Row],[Flag REF]]+[1]!sommaire[[#This Row],[Flag RET]]</f>
        <v>1</v>
      </c>
    </row>
    <row r="814" spans="1:87" ht="14.55" customHeight="1" x14ac:dyDescent="0.3">
      <c r="A814" s="390">
        <v>2711803</v>
      </c>
      <c r="B814" s="5" t="s">
        <v>533</v>
      </c>
      <c r="C814" s="1430" t="s">
        <v>3449</v>
      </c>
      <c r="D814" s="1090" t="s">
        <v>534</v>
      </c>
      <c r="E814" s="5" t="s">
        <v>32</v>
      </c>
      <c r="F814" s="5" t="s">
        <v>32</v>
      </c>
      <c r="G814" s="5" t="s">
        <v>542</v>
      </c>
      <c r="H814" s="1144" t="s">
        <v>176</v>
      </c>
      <c r="I814" s="1144" t="str">
        <f>_xlfn.XLOOKUP(sommaire[[#This Row],[Arrondissement_code]],OCHA_GIS!$F:$F,OCHA_GIS!$E:$E,,)</f>
        <v>Kai-Kai</v>
      </c>
      <c r="J814" s="5" t="s">
        <v>772</v>
      </c>
      <c r="K814" t="s">
        <v>773</v>
      </c>
      <c r="L814" s="5" t="s">
        <v>774</v>
      </c>
      <c r="N814" s="5" t="s">
        <v>3052</v>
      </c>
      <c r="O814" s="5" t="s">
        <v>2467</v>
      </c>
      <c r="P814" s="5" t="s">
        <v>85</v>
      </c>
      <c r="Q814" s="5" t="s">
        <v>86</v>
      </c>
      <c r="R814" s="5" t="s">
        <v>85</v>
      </c>
      <c r="T814" s="390">
        <v>3</v>
      </c>
      <c r="U814" s="5" t="s">
        <v>97</v>
      </c>
      <c r="W814" s="5" t="s">
        <v>2468</v>
      </c>
      <c r="X814" s="5" t="s">
        <v>103</v>
      </c>
      <c r="Y814" s="5" t="s">
        <v>2476</v>
      </c>
      <c r="AA814" s="5" t="s">
        <v>85</v>
      </c>
      <c r="AB814" s="5" t="s">
        <v>2469</v>
      </c>
      <c r="AC814" s="5" t="s">
        <v>2473</v>
      </c>
      <c r="AD814" s="5" t="s">
        <v>85</v>
      </c>
      <c r="AE814" s="5">
        <v>2</v>
      </c>
      <c r="AF814" s="5">
        <v>230</v>
      </c>
      <c r="AG814" s="5">
        <v>7000</v>
      </c>
      <c r="AH814" s="5" t="s">
        <v>85</v>
      </c>
      <c r="AI814" s="5" t="s">
        <v>2485</v>
      </c>
      <c r="AJ814" s="5">
        <v>230</v>
      </c>
      <c r="AK814" s="5">
        <v>2506</v>
      </c>
      <c r="AL814" s="5">
        <v>1206</v>
      </c>
      <c r="AM814" s="5">
        <v>1300</v>
      </c>
      <c r="AN814" s="5">
        <v>135</v>
      </c>
      <c r="AO814" s="5">
        <v>35</v>
      </c>
      <c r="AP814" s="5">
        <v>0</v>
      </c>
      <c r="AQ814" s="5">
        <v>10</v>
      </c>
      <c r="AR814" s="5" t="s">
        <v>2477</v>
      </c>
      <c r="AT814" s="5">
        <v>0</v>
      </c>
      <c r="AU814" s="5">
        <v>50</v>
      </c>
      <c r="AV814" s="5" t="s">
        <v>2490</v>
      </c>
      <c r="AX814" s="5">
        <v>0</v>
      </c>
      <c r="AY814" s="5" t="s">
        <v>85</v>
      </c>
      <c r="AZ814" s="5">
        <v>5</v>
      </c>
      <c r="BA814" s="5">
        <v>18</v>
      </c>
      <c r="BB814" s="5">
        <v>8</v>
      </c>
      <c r="BC814" s="5">
        <v>10</v>
      </c>
      <c r="BD814" s="5">
        <v>5</v>
      </c>
      <c r="BE814" s="5">
        <v>0</v>
      </c>
      <c r="BF814" s="5">
        <v>0</v>
      </c>
      <c r="BH814" s="5">
        <v>0</v>
      </c>
      <c r="BI814" s="5">
        <v>0</v>
      </c>
      <c r="BL814" s="5">
        <v>0</v>
      </c>
      <c r="BM814" s="5">
        <v>5</v>
      </c>
      <c r="BN814" s="5" t="s">
        <v>86</v>
      </c>
      <c r="CD814" s="5">
        <v>0</v>
      </c>
      <c r="CF814" s="1442" t="str">
        <f>IF([1]!sommaire[[#This Row],[présence des personnes déplacés interne]]="Oui","1","0")</f>
        <v>1</v>
      </c>
      <c r="CG814" s="1442" t="str">
        <f>IF([1]!sommaire[[#This Row],[présence Réfugié hors camp]]="Oui","1","0")</f>
        <v>1</v>
      </c>
      <c r="CH814" s="1442" t="str">
        <f>IF([1]!sommaire[[#This Row],[présence personnes retournées]]="Oui","1","0")</f>
        <v>0</v>
      </c>
      <c r="CI814" s="1442">
        <f>[1]!sommaire[[#This Row],[Flag PDI]]+[1]!sommaire[[#This Row],[Flag REF]]+[1]!sommaire[[#This Row],[Flag RET]]</f>
        <v>2</v>
      </c>
    </row>
    <row r="815" spans="1:87" ht="14.55" customHeight="1" x14ac:dyDescent="0.3">
      <c r="A815" s="390">
        <v>2699354</v>
      </c>
      <c r="B815" s="5" t="s">
        <v>533</v>
      </c>
      <c r="C815" s="1430" t="s">
        <v>3449</v>
      </c>
      <c r="D815" s="1090" t="s">
        <v>534</v>
      </c>
      <c r="E815" s="5" t="s">
        <v>32</v>
      </c>
      <c r="F815" s="5" t="s">
        <v>32</v>
      </c>
      <c r="G815" s="5" t="s">
        <v>542</v>
      </c>
      <c r="H815" s="1144" t="s">
        <v>176</v>
      </c>
      <c r="I815" s="1144" t="str">
        <f>_xlfn.XLOOKUP(sommaire[[#This Row],[Arrondissement_code]],OCHA_GIS!$F:$F,OCHA_GIS!$E:$E,,)</f>
        <v>Kai-Kai</v>
      </c>
      <c r="J815" s="5" t="s">
        <v>772</v>
      </c>
      <c r="K815" t="s">
        <v>2255</v>
      </c>
      <c r="L815" s="5" t="s">
        <v>2256</v>
      </c>
      <c r="N815" s="5" t="s">
        <v>3053</v>
      </c>
      <c r="O815" s="5" t="s">
        <v>2467</v>
      </c>
      <c r="P815" s="5" t="s">
        <v>85</v>
      </c>
      <c r="Q815" s="5" t="s">
        <v>86</v>
      </c>
      <c r="R815" s="5" t="s">
        <v>85</v>
      </c>
      <c r="T815" s="390">
        <v>3</v>
      </c>
      <c r="U815" s="5" t="s">
        <v>97</v>
      </c>
      <c r="W815" s="5" t="s">
        <v>2468</v>
      </c>
      <c r="X815" s="5" t="s">
        <v>103</v>
      </c>
      <c r="Y815" s="5" t="s">
        <v>2476</v>
      </c>
      <c r="AA815" s="5" t="s">
        <v>85</v>
      </c>
      <c r="AB815" s="5" t="s">
        <v>2469</v>
      </c>
      <c r="AC815" s="5" t="s">
        <v>2470</v>
      </c>
      <c r="AD815" s="5" t="s">
        <v>85</v>
      </c>
      <c r="AE815" s="5">
        <v>1</v>
      </c>
      <c r="AG815" s="5">
        <v>4000</v>
      </c>
      <c r="AH815" s="5" t="s">
        <v>86</v>
      </c>
      <c r="AY815" s="5" t="s">
        <v>86</v>
      </c>
      <c r="BN815" s="5" t="s">
        <v>85</v>
      </c>
      <c r="BO815" s="5">
        <v>45</v>
      </c>
      <c r="BP815" s="5">
        <v>306</v>
      </c>
      <c r="BQ815" s="5">
        <v>140</v>
      </c>
      <c r="BR815" s="5">
        <v>166</v>
      </c>
      <c r="BS815" s="5" t="s">
        <v>2492</v>
      </c>
      <c r="BT815" s="5">
        <v>30</v>
      </c>
      <c r="BU815" s="5">
        <v>10</v>
      </c>
      <c r="BV815" s="5">
        <v>5</v>
      </c>
      <c r="BW815" s="5">
        <v>0</v>
      </c>
      <c r="BX815" s="5">
        <v>0</v>
      </c>
      <c r="BZ815" s="5">
        <v>0</v>
      </c>
      <c r="CA815" s="5">
        <v>0</v>
      </c>
      <c r="CC815" s="5">
        <v>0</v>
      </c>
      <c r="CD815" s="5">
        <v>0</v>
      </c>
      <c r="CF815" s="1442" t="str">
        <f>IF([1]!sommaire[[#This Row],[présence des personnes déplacés interne]]="Oui","1","0")</f>
        <v>0</v>
      </c>
      <c r="CG815" s="1442" t="str">
        <f>IF([1]!sommaire[[#This Row],[présence Réfugié hors camp]]="Oui","1","0")</f>
        <v>0</v>
      </c>
      <c r="CH815" s="1442" t="str">
        <f>IF([1]!sommaire[[#This Row],[présence personnes retournées]]="Oui","1","0")</f>
        <v>1</v>
      </c>
      <c r="CI815" s="1442">
        <f>[1]!sommaire[[#This Row],[Flag PDI]]+[1]!sommaire[[#This Row],[Flag REF]]+[1]!sommaire[[#This Row],[Flag RET]]</f>
        <v>1</v>
      </c>
    </row>
    <row r="816" spans="1:87" ht="14.55" customHeight="1" x14ac:dyDescent="0.3">
      <c r="A816" s="390">
        <v>2699960</v>
      </c>
      <c r="B816" s="5" t="s">
        <v>533</v>
      </c>
      <c r="C816" s="1430" t="s">
        <v>3449</v>
      </c>
      <c r="D816" s="1090" t="s">
        <v>534</v>
      </c>
      <c r="E816" s="5" t="s">
        <v>32</v>
      </c>
      <c r="F816" s="5" t="s">
        <v>32</v>
      </c>
      <c r="G816" s="5" t="s">
        <v>542</v>
      </c>
      <c r="H816" s="5" t="s">
        <v>176</v>
      </c>
      <c r="I816" s="5" t="str">
        <f>_xlfn.XLOOKUP(sommaire[[#This Row],[Arrondissement_code]],OCHA_GIS!$F:$F,OCHA_GIS!$E:$E,,)</f>
        <v>Kai-Kai</v>
      </c>
      <c r="J816" s="5" t="s">
        <v>772</v>
      </c>
      <c r="K816" t="s">
        <v>1056</v>
      </c>
      <c r="L816" s="5" t="s">
        <v>1057</v>
      </c>
      <c r="N816" s="5" t="s">
        <v>3053</v>
      </c>
      <c r="O816" s="5" t="s">
        <v>2467</v>
      </c>
      <c r="P816" s="5" t="s">
        <v>85</v>
      </c>
      <c r="Q816" s="5" t="s">
        <v>86</v>
      </c>
      <c r="R816" s="5" t="s">
        <v>85</v>
      </c>
      <c r="T816" s="390">
        <v>3</v>
      </c>
      <c r="U816" s="5" t="s">
        <v>97</v>
      </c>
      <c r="W816" s="5" t="s">
        <v>2468</v>
      </c>
      <c r="X816" s="5" t="s">
        <v>103</v>
      </c>
      <c r="Y816" s="5" t="s">
        <v>2476</v>
      </c>
      <c r="AA816" s="5" t="s">
        <v>85</v>
      </c>
      <c r="AB816" s="5" t="s">
        <v>2469</v>
      </c>
      <c r="AC816" s="5" t="s">
        <v>2470</v>
      </c>
      <c r="AD816" s="5" t="s">
        <v>85</v>
      </c>
      <c r="AE816" s="5">
        <v>1</v>
      </c>
      <c r="AF816" s="5">
        <v>53</v>
      </c>
      <c r="AG816" s="5">
        <v>4000</v>
      </c>
      <c r="AH816" s="5" t="s">
        <v>85</v>
      </c>
      <c r="AI816" s="5" t="s">
        <v>2485</v>
      </c>
      <c r="AJ816" s="5">
        <v>53</v>
      </c>
      <c r="AK816" s="5">
        <v>379</v>
      </c>
      <c r="AL816" s="5">
        <v>179</v>
      </c>
      <c r="AM816" s="5">
        <v>200</v>
      </c>
      <c r="AN816" s="5">
        <v>33</v>
      </c>
      <c r="AO816" s="5">
        <v>20</v>
      </c>
      <c r="AP816" s="5">
        <v>0</v>
      </c>
      <c r="AQ816" s="5">
        <v>0</v>
      </c>
      <c r="AT816" s="5">
        <v>0</v>
      </c>
      <c r="AU816" s="5">
        <v>0</v>
      </c>
      <c r="AX816" s="5">
        <v>0</v>
      </c>
      <c r="AY816" s="5" t="s">
        <v>86</v>
      </c>
      <c r="BN816" s="5" t="s">
        <v>86</v>
      </c>
      <c r="CD816" s="5">
        <v>0</v>
      </c>
      <c r="CF816" s="1442" t="str">
        <f>IF([1]!sommaire[[#This Row],[présence des personnes déplacés interne]]="Oui","1","0")</f>
        <v>1</v>
      </c>
      <c r="CG816" s="1442" t="str">
        <f>IF([1]!sommaire[[#This Row],[présence Réfugié hors camp]]="Oui","1","0")</f>
        <v>0</v>
      </c>
      <c r="CH816" s="1442" t="str">
        <f>IF([1]!sommaire[[#This Row],[présence personnes retournées]]="Oui","1","0")</f>
        <v>0</v>
      </c>
      <c r="CI816" s="1442">
        <f>[1]!sommaire[[#This Row],[Flag PDI]]+[1]!sommaire[[#This Row],[Flag REF]]+[1]!sommaire[[#This Row],[Flag RET]]</f>
        <v>1</v>
      </c>
    </row>
    <row r="817" spans="1:87" ht="14.55" customHeight="1" x14ac:dyDescent="0.3">
      <c r="A817" s="390">
        <v>2699350</v>
      </c>
      <c r="B817" s="5" t="s">
        <v>533</v>
      </c>
      <c r="C817" s="1430" t="s">
        <v>3449</v>
      </c>
      <c r="D817" s="1090" t="s">
        <v>534</v>
      </c>
      <c r="E817" s="5" t="s">
        <v>32</v>
      </c>
      <c r="F817" s="5" t="s">
        <v>32</v>
      </c>
      <c r="G817" s="5" t="s">
        <v>542</v>
      </c>
      <c r="H817" s="5" t="s">
        <v>176</v>
      </c>
      <c r="I817" s="5" t="str">
        <f>_xlfn.XLOOKUP(sommaire[[#This Row],[Arrondissement_code]],OCHA_GIS!$F:$F,OCHA_GIS!$E:$E,,)</f>
        <v>Kai-Kai</v>
      </c>
      <c r="J817" s="5" t="s">
        <v>772</v>
      </c>
      <c r="K817" t="s">
        <v>1210</v>
      </c>
      <c r="L817" s="5" t="s">
        <v>1211</v>
      </c>
      <c r="N817" s="5" t="s">
        <v>3052</v>
      </c>
      <c r="O817" s="5" t="s">
        <v>2467</v>
      </c>
      <c r="P817" s="5" t="s">
        <v>85</v>
      </c>
      <c r="Q817" s="5" t="s">
        <v>86</v>
      </c>
      <c r="R817" s="5" t="s">
        <v>85</v>
      </c>
      <c r="T817" s="390">
        <v>3</v>
      </c>
      <c r="U817" s="5" t="s">
        <v>97</v>
      </c>
      <c r="W817" s="5" t="s">
        <v>2468</v>
      </c>
      <c r="X817" s="5" t="s">
        <v>102</v>
      </c>
      <c r="AA817" s="5" t="s">
        <v>85</v>
      </c>
      <c r="AB817" s="5" t="s">
        <v>2469</v>
      </c>
      <c r="AC817" s="5" t="s">
        <v>2470</v>
      </c>
      <c r="AD817" s="5" t="s">
        <v>86</v>
      </c>
      <c r="AF817" s="5">
        <v>6</v>
      </c>
      <c r="AG817" s="5">
        <v>4000</v>
      </c>
      <c r="AH817" s="5" t="s">
        <v>85</v>
      </c>
      <c r="AI817" s="5" t="s">
        <v>2485</v>
      </c>
      <c r="AJ817" s="5">
        <v>6</v>
      </c>
      <c r="AK817" s="5">
        <v>51</v>
      </c>
      <c r="AL817" s="5">
        <v>25</v>
      </c>
      <c r="AM817" s="5">
        <v>26</v>
      </c>
      <c r="AN817" s="5">
        <v>1</v>
      </c>
      <c r="AO817" s="5">
        <v>5</v>
      </c>
      <c r="AP817" s="5">
        <v>0</v>
      </c>
      <c r="AQ817" s="5">
        <v>0</v>
      </c>
      <c r="AT817" s="5">
        <v>0</v>
      </c>
      <c r="AU817" s="5">
        <v>0</v>
      </c>
      <c r="AX817" s="5">
        <v>0</v>
      </c>
      <c r="AY817" s="5" t="s">
        <v>86</v>
      </c>
      <c r="BN817" s="5" t="s">
        <v>85</v>
      </c>
      <c r="BO817" s="5">
        <v>16</v>
      </c>
      <c r="BP817" s="5">
        <v>128</v>
      </c>
      <c r="BQ817" s="5">
        <v>58</v>
      </c>
      <c r="BR817" s="5">
        <v>70</v>
      </c>
      <c r="BS817" s="5" t="s">
        <v>2492</v>
      </c>
      <c r="BT817" s="5">
        <v>10</v>
      </c>
      <c r="BU817" s="5">
        <v>0</v>
      </c>
      <c r="BV817" s="5">
        <v>6</v>
      </c>
      <c r="BW817" s="5">
        <v>0</v>
      </c>
      <c r="BX817" s="5">
        <v>0</v>
      </c>
      <c r="BZ817" s="5">
        <v>0</v>
      </c>
      <c r="CA817" s="5">
        <v>0</v>
      </c>
      <c r="CC817" s="5">
        <v>0</v>
      </c>
      <c r="CD817" s="5">
        <v>0</v>
      </c>
      <c r="CF817" s="1442" t="str">
        <f>IF([1]!sommaire[[#This Row],[présence des personnes déplacés interne]]="Oui","1","0")</f>
        <v>1</v>
      </c>
      <c r="CG817" s="1442" t="str">
        <f>IF([1]!sommaire[[#This Row],[présence Réfugié hors camp]]="Oui","1","0")</f>
        <v>0</v>
      </c>
      <c r="CH817" s="1442" t="str">
        <f>IF([1]!sommaire[[#This Row],[présence personnes retournées]]="Oui","1","0")</f>
        <v>1</v>
      </c>
      <c r="CI817" s="1442">
        <f>[1]!sommaire[[#This Row],[Flag PDI]]+[1]!sommaire[[#This Row],[Flag REF]]+[1]!sommaire[[#This Row],[Flag RET]]</f>
        <v>2</v>
      </c>
    </row>
    <row r="818" spans="1:87" ht="14.55" customHeight="1" x14ac:dyDescent="0.3">
      <c r="A818" s="390">
        <v>2709798</v>
      </c>
      <c r="B818" s="5" t="s">
        <v>533</v>
      </c>
      <c r="C818" s="1430" t="s">
        <v>3449</v>
      </c>
      <c r="D818" s="1090" t="s">
        <v>534</v>
      </c>
      <c r="E818" s="5" t="s">
        <v>32</v>
      </c>
      <c r="F818" s="5" t="s">
        <v>32</v>
      </c>
      <c r="G818" s="5" t="s">
        <v>542</v>
      </c>
      <c r="H818" s="5" t="s">
        <v>176</v>
      </c>
      <c r="I818" s="5" t="str">
        <f>_xlfn.XLOOKUP(sommaire[[#This Row],[Arrondissement_code]],OCHA_GIS!$F:$F,OCHA_GIS!$E:$E,,)</f>
        <v>Kai-Kai</v>
      </c>
      <c r="J818" s="5" t="s">
        <v>772</v>
      </c>
      <c r="K818" t="s">
        <v>1058</v>
      </c>
      <c r="L818" s="5" t="s">
        <v>1059</v>
      </c>
      <c r="N818" s="5" t="s">
        <v>3053</v>
      </c>
      <c r="O818" s="5" t="s">
        <v>2467</v>
      </c>
      <c r="P818" s="5" t="s">
        <v>85</v>
      </c>
      <c r="Q818" s="5" t="s">
        <v>86</v>
      </c>
      <c r="R818" s="5" t="s">
        <v>85</v>
      </c>
      <c r="T818" s="390">
        <v>3</v>
      </c>
      <c r="U818" s="5" t="s">
        <v>97</v>
      </c>
      <c r="W818" s="5" t="s">
        <v>2468</v>
      </c>
      <c r="X818" s="5" t="s">
        <v>103</v>
      </c>
      <c r="Y818" s="5" t="s">
        <v>2476</v>
      </c>
      <c r="AA818" s="5" t="s">
        <v>85</v>
      </c>
      <c r="AB818" s="5" t="s">
        <v>2469</v>
      </c>
      <c r="AC818" s="5" t="s">
        <v>2473</v>
      </c>
      <c r="AD818" s="5" t="s">
        <v>86</v>
      </c>
      <c r="AF818" s="5">
        <v>38</v>
      </c>
      <c r="AG818" s="5">
        <v>4500</v>
      </c>
      <c r="AH818" s="5" t="s">
        <v>85</v>
      </c>
      <c r="AI818" s="5" t="s">
        <v>2485</v>
      </c>
      <c r="AJ818" s="5">
        <v>38</v>
      </c>
      <c r="AK818" s="5">
        <v>319</v>
      </c>
      <c r="AL818" s="5">
        <v>150</v>
      </c>
      <c r="AM818" s="5">
        <v>169</v>
      </c>
      <c r="AN818" s="5">
        <v>25</v>
      </c>
      <c r="AO818" s="5">
        <v>5</v>
      </c>
      <c r="AP818" s="5">
        <v>0</v>
      </c>
      <c r="AQ818" s="5">
        <v>0</v>
      </c>
      <c r="AT818" s="5">
        <v>0</v>
      </c>
      <c r="AU818" s="5">
        <v>8</v>
      </c>
      <c r="AV818" s="5" t="s">
        <v>2490</v>
      </c>
      <c r="AX818" s="5">
        <v>0</v>
      </c>
      <c r="AY818" s="5" t="s">
        <v>86</v>
      </c>
      <c r="BN818" s="5" t="s">
        <v>86</v>
      </c>
      <c r="CD818" s="5">
        <v>0</v>
      </c>
      <c r="CF818" s="1442" t="str">
        <f>IF([1]!sommaire[[#This Row],[présence des personnes déplacés interne]]="Oui","1","0")</f>
        <v>1</v>
      </c>
      <c r="CG818" s="1442" t="str">
        <f>IF([1]!sommaire[[#This Row],[présence Réfugié hors camp]]="Oui","1","0")</f>
        <v>0</v>
      </c>
      <c r="CH818" s="1442" t="str">
        <f>IF([1]!sommaire[[#This Row],[présence personnes retournées]]="Oui","1","0")</f>
        <v>0</v>
      </c>
      <c r="CI818" s="1442">
        <f>[1]!sommaire[[#This Row],[Flag PDI]]+[1]!sommaire[[#This Row],[Flag REF]]+[1]!sommaire[[#This Row],[Flag RET]]</f>
        <v>1</v>
      </c>
    </row>
    <row r="819" spans="1:87" ht="14.55" customHeight="1" x14ac:dyDescent="0.3">
      <c r="A819" s="390">
        <v>2699963</v>
      </c>
      <c r="B819" s="5" t="s">
        <v>533</v>
      </c>
      <c r="C819" s="1430" t="s">
        <v>3449</v>
      </c>
      <c r="D819" s="5" t="s">
        <v>534</v>
      </c>
      <c r="E819" s="5" t="s">
        <v>32</v>
      </c>
      <c r="F819" s="5" t="s">
        <v>32</v>
      </c>
      <c r="G819" s="5" t="s">
        <v>542</v>
      </c>
      <c r="H819" s="5" t="s">
        <v>176</v>
      </c>
      <c r="I819" s="5" t="str">
        <f>_xlfn.XLOOKUP(sommaire[[#This Row],[Arrondissement_code]],OCHA_GIS!$F:$F,OCHA_GIS!$E:$E,,)</f>
        <v>Kai-Kai</v>
      </c>
      <c r="J819" s="5" t="s">
        <v>772</v>
      </c>
      <c r="K819" t="s">
        <v>1729</v>
      </c>
      <c r="L819" s="5" t="s">
        <v>1730</v>
      </c>
      <c r="N819" s="5" t="s">
        <v>3053</v>
      </c>
      <c r="O819" s="5" t="s">
        <v>2473</v>
      </c>
      <c r="P819" s="5" t="s">
        <v>85</v>
      </c>
      <c r="Q819" s="5" t="s">
        <v>86</v>
      </c>
      <c r="R819" s="5" t="s">
        <v>85</v>
      </c>
      <c r="T819" s="390">
        <v>3</v>
      </c>
      <c r="U819" s="5" t="s">
        <v>97</v>
      </c>
      <c r="W819" s="5" t="s">
        <v>2468</v>
      </c>
      <c r="X819" s="5" t="s">
        <v>103</v>
      </c>
      <c r="Y819" s="5" t="s">
        <v>2476</v>
      </c>
      <c r="AA819" s="5" t="s">
        <v>85</v>
      </c>
      <c r="AB819" s="5" t="s">
        <v>2473</v>
      </c>
      <c r="AC819" s="5" t="s">
        <v>2470</v>
      </c>
      <c r="AF819" s="5">
        <v>152</v>
      </c>
      <c r="AG819" s="5">
        <v>1500</v>
      </c>
      <c r="AH819" s="5" t="s">
        <v>85</v>
      </c>
      <c r="AI819" s="5" t="s">
        <v>2485</v>
      </c>
      <c r="AJ819" s="5">
        <v>152</v>
      </c>
      <c r="AK819" s="5">
        <v>1220</v>
      </c>
      <c r="AL819" s="5">
        <v>600</v>
      </c>
      <c r="AM819" s="5">
        <v>620</v>
      </c>
      <c r="AN819" s="5">
        <v>0</v>
      </c>
      <c r="AO819" s="5">
        <v>0</v>
      </c>
      <c r="AP819" s="5">
        <v>0</v>
      </c>
      <c r="AQ819" s="5">
        <v>0</v>
      </c>
      <c r="AT819" s="5">
        <v>0</v>
      </c>
      <c r="AU819" s="5">
        <v>152</v>
      </c>
      <c r="AV819" s="5" t="s">
        <v>2490</v>
      </c>
      <c r="AX819" s="5">
        <v>0</v>
      </c>
      <c r="AY819" s="5" t="s">
        <v>86</v>
      </c>
      <c r="BN819" s="5" t="s">
        <v>86</v>
      </c>
      <c r="CD819" s="5">
        <v>0</v>
      </c>
      <c r="CF819" s="1442" t="str">
        <f>IF([1]!sommaire[[#This Row],[présence des personnes déplacés interne]]="Oui","1","0")</f>
        <v>1</v>
      </c>
      <c r="CG819" s="1442" t="str">
        <f>IF([1]!sommaire[[#This Row],[présence Réfugié hors camp]]="Oui","1","0")</f>
        <v>0</v>
      </c>
      <c r="CH819" s="1442" t="str">
        <f>IF([1]!sommaire[[#This Row],[présence personnes retournées]]="Oui","1","0")</f>
        <v>0</v>
      </c>
      <c r="CI819" s="1442">
        <f>[1]!sommaire[[#This Row],[Flag PDI]]+[1]!sommaire[[#This Row],[Flag REF]]+[1]!sommaire[[#This Row],[Flag RET]]</f>
        <v>1</v>
      </c>
    </row>
    <row r="820" spans="1:87" ht="14.55" customHeight="1" x14ac:dyDescent="0.3">
      <c r="A820" s="390">
        <v>2711795</v>
      </c>
      <c r="B820" s="5" t="s">
        <v>533</v>
      </c>
      <c r="C820" s="1430" t="s">
        <v>3449</v>
      </c>
      <c r="D820" s="5" t="s">
        <v>534</v>
      </c>
      <c r="E820" s="5" t="s">
        <v>32</v>
      </c>
      <c r="F820" s="5" t="s">
        <v>32</v>
      </c>
      <c r="G820" s="5" t="s">
        <v>542</v>
      </c>
      <c r="H820" s="1144" t="s">
        <v>176</v>
      </c>
      <c r="I820" s="1144" t="str">
        <f>_xlfn.XLOOKUP(sommaire[[#This Row],[Arrondissement_code]],OCHA_GIS!$F:$F,OCHA_GIS!$E:$E,,)</f>
        <v>Kai-Kai</v>
      </c>
      <c r="J820" s="5" t="s">
        <v>772</v>
      </c>
      <c r="K820" t="s">
        <v>2542</v>
      </c>
      <c r="L820" s="5" t="s">
        <v>2543</v>
      </c>
      <c r="N820" s="5" t="s">
        <v>3053</v>
      </c>
      <c r="O820" s="5" t="s">
        <v>2473</v>
      </c>
      <c r="P820" s="5" t="s">
        <v>85</v>
      </c>
      <c r="Q820" s="5" t="s">
        <v>86</v>
      </c>
      <c r="R820" s="5" t="s">
        <v>85</v>
      </c>
      <c r="T820" s="390">
        <v>3</v>
      </c>
      <c r="U820" s="5" t="s">
        <v>97</v>
      </c>
      <c r="W820" s="5" t="s">
        <v>2468</v>
      </c>
      <c r="X820" s="5" t="s">
        <v>103</v>
      </c>
      <c r="Y820" s="5" t="s">
        <v>2476</v>
      </c>
      <c r="AA820" s="5" t="s">
        <v>85</v>
      </c>
      <c r="AB820" s="5" t="s">
        <v>2473</v>
      </c>
      <c r="AC820" s="5" t="s">
        <v>2469</v>
      </c>
      <c r="AF820" s="5">
        <v>30</v>
      </c>
      <c r="AG820" s="5">
        <v>7000</v>
      </c>
      <c r="AH820" s="5" t="s">
        <v>85</v>
      </c>
      <c r="AI820" s="5" t="s">
        <v>2471</v>
      </c>
      <c r="AJ820" s="5">
        <v>30</v>
      </c>
      <c r="AK820" s="5">
        <v>320</v>
      </c>
      <c r="AL820" s="5">
        <v>150</v>
      </c>
      <c r="AM820" s="5">
        <v>170</v>
      </c>
      <c r="AN820" s="5">
        <v>0</v>
      </c>
      <c r="AO820" s="5">
        <v>0</v>
      </c>
      <c r="AP820" s="5">
        <v>0</v>
      </c>
      <c r="AQ820" s="5">
        <v>0</v>
      </c>
      <c r="AT820" s="5">
        <v>0</v>
      </c>
      <c r="AU820" s="5">
        <v>30</v>
      </c>
      <c r="AV820" s="5" t="s">
        <v>2490</v>
      </c>
      <c r="AX820" s="5">
        <v>0</v>
      </c>
      <c r="AY820" s="5" t="s">
        <v>86</v>
      </c>
      <c r="BN820" s="5" t="s">
        <v>86</v>
      </c>
      <c r="CD820" s="5">
        <v>0</v>
      </c>
      <c r="CF820" s="1442" t="str">
        <f>IF([1]!sommaire[[#This Row],[présence des personnes déplacés interne]]="Oui","1","0")</f>
        <v>1</v>
      </c>
      <c r="CG820" s="1442" t="str">
        <f>IF([1]!sommaire[[#This Row],[présence Réfugié hors camp]]="Oui","1","0")</f>
        <v>0</v>
      </c>
      <c r="CH820" s="1442" t="str">
        <f>IF([1]!sommaire[[#This Row],[présence personnes retournées]]="Oui","1","0")</f>
        <v>0</v>
      </c>
      <c r="CI820" s="1442">
        <f>[1]!sommaire[[#This Row],[Flag PDI]]+[1]!sommaire[[#This Row],[Flag REF]]+[1]!sommaire[[#This Row],[Flag RET]]</f>
        <v>1</v>
      </c>
    </row>
    <row r="821" spans="1:87" ht="14.55" customHeight="1" x14ac:dyDescent="0.3">
      <c r="A821" s="390">
        <v>2711523</v>
      </c>
      <c r="B821" s="5" t="s">
        <v>533</v>
      </c>
      <c r="C821" s="1430" t="s">
        <v>3449</v>
      </c>
      <c r="D821" s="5" t="s">
        <v>534</v>
      </c>
      <c r="E821" s="5" t="s">
        <v>32</v>
      </c>
      <c r="F821" s="5" t="s">
        <v>32</v>
      </c>
      <c r="G821" s="5" t="s">
        <v>542</v>
      </c>
      <c r="H821" s="5" t="s">
        <v>176</v>
      </c>
      <c r="I821" s="5" t="str">
        <f>_xlfn.XLOOKUP(sommaire[[#This Row],[Arrondissement_code]],OCHA_GIS!$F:$F,OCHA_GIS!$E:$E,,)</f>
        <v>Kai-Kai</v>
      </c>
      <c r="J821" s="5" t="s">
        <v>772</v>
      </c>
      <c r="K821" t="s">
        <v>1737</v>
      </c>
      <c r="L821" s="5" t="s">
        <v>1738</v>
      </c>
      <c r="N821" s="5" t="s">
        <v>3052</v>
      </c>
      <c r="O821" s="5" t="s">
        <v>2473</v>
      </c>
      <c r="P821" s="5" t="s">
        <v>85</v>
      </c>
      <c r="Q821" s="5" t="s">
        <v>86</v>
      </c>
      <c r="R821" s="5" t="s">
        <v>85</v>
      </c>
      <c r="T821" s="390">
        <v>3</v>
      </c>
      <c r="U821" s="5" t="s">
        <v>97</v>
      </c>
      <c r="W821" s="5" t="s">
        <v>2468</v>
      </c>
      <c r="X821" s="5" t="s">
        <v>103</v>
      </c>
      <c r="Y821" s="5" t="s">
        <v>2476</v>
      </c>
      <c r="AA821" s="5" t="s">
        <v>85</v>
      </c>
      <c r="AB821" s="5" t="s">
        <v>2473</v>
      </c>
      <c r="AC821" s="5" t="s">
        <v>2469</v>
      </c>
      <c r="AF821" s="5">
        <v>410</v>
      </c>
      <c r="AG821" s="5">
        <v>7000</v>
      </c>
      <c r="AH821" s="5" t="s">
        <v>85</v>
      </c>
      <c r="AI821" s="5" t="s">
        <v>2471</v>
      </c>
      <c r="AJ821" s="5">
        <v>410</v>
      </c>
      <c r="AK821" s="5">
        <v>1880</v>
      </c>
      <c r="AL821" s="5">
        <v>880</v>
      </c>
      <c r="AM821" s="5">
        <v>1000</v>
      </c>
      <c r="AN821" s="5">
        <v>50</v>
      </c>
      <c r="AO821" s="5">
        <v>50</v>
      </c>
      <c r="AP821" s="5">
        <v>0</v>
      </c>
      <c r="AQ821" s="5">
        <v>0</v>
      </c>
      <c r="AT821" s="5">
        <v>0</v>
      </c>
      <c r="AU821" s="5">
        <v>310</v>
      </c>
      <c r="AV821" s="5" t="s">
        <v>2490</v>
      </c>
      <c r="AX821" s="5">
        <v>0</v>
      </c>
      <c r="AY821" s="5" t="s">
        <v>86</v>
      </c>
      <c r="BN821" s="5" t="s">
        <v>86</v>
      </c>
      <c r="CD821" s="5">
        <v>0</v>
      </c>
      <c r="CF821" s="1442" t="str">
        <f>IF([1]!sommaire[[#This Row],[présence des personnes déplacés interne]]="Oui","1","0")</f>
        <v>1</v>
      </c>
      <c r="CG821" s="1442" t="str">
        <f>IF([1]!sommaire[[#This Row],[présence Réfugié hors camp]]="Oui","1","0")</f>
        <v>0</v>
      </c>
      <c r="CH821" s="1442" t="str">
        <f>IF([1]!sommaire[[#This Row],[présence personnes retournées]]="Oui","1","0")</f>
        <v>0</v>
      </c>
      <c r="CI821" s="1442">
        <f>[1]!sommaire[[#This Row],[Flag PDI]]+[1]!sommaire[[#This Row],[Flag REF]]+[1]!sommaire[[#This Row],[Flag RET]]</f>
        <v>1</v>
      </c>
    </row>
    <row r="822" spans="1:87" ht="14.55" customHeight="1" x14ac:dyDescent="0.3">
      <c r="A822" s="390">
        <v>2709797</v>
      </c>
      <c r="B822" s="5" t="s">
        <v>533</v>
      </c>
      <c r="C822" s="1430" t="s">
        <v>3449</v>
      </c>
      <c r="D822" s="5" t="s">
        <v>534</v>
      </c>
      <c r="E822" s="5" t="s">
        <v>32</v>
      </c>
      <c r="F822" s="5" t="s">
        <v>32</v>
      </c>
      <c r="G822" s="5" t="s">
        <v>542</v>
      </c>
      <c r="H822" s="5" t="s">
        <v>176</v>
      </c>
      <c r="I822" s="5" t="str">
        <f>_xlfn.XLOOKUP(sommaire[[#This Row],[Arrondissement_code]],OCHA_GIS!$F:$F,OCHA_GIS!$E:$E,,)</f>
        <v>Kai-Kai</v>
      </c>
      <c r="J822" s="5" t="s">
        <v>772</v>
      </c>
      <c r="K822" t="s">
        <v>1359</v>
      </c>
      <c r="L822" s="5" t="s">
        <v>1360</v>
      </c>
      <c r="N822" s="5" t="s">
        <v>3053</v>
      </c>
      <c r="O822" s="5" t="s">
        <v>2473</v>
      </c>
      <c r="P822" s="5" t="s">
        <v>85</v>
      </c>
      <c r="Q822" s="5" t="s">
        <v>86</v>
      </c>
      <c r="R822" s="5" t="s">
        <v>85</v>
      </c>
      <c r="T822" s="390">
        <v>3</v>
      </c>
      <c r="U822" s="5" t="s">
        <v>97</v>
      </c>
      <c r="W822" s="5" t="s">
        <v>2468</v>
      </c>
      <c r="X822" s="5" t="s">
        <v>103</v>
      </c>
      <c r="Y822" s="5" t="s">
        <v>2476</v>
      </c>
      <c r="AA822" s="5" t="s">
        <v>85</v>
      </c>
      <c r="AB822" s="5" t="s">
        <v>2473</v>
      </c>
      <c r="AC822" s="5" t="s">
        <v>2470</v>
      </c>
      <c r="AF822" s="5">
        <v>45</v>
      </c>
      <c r="AG822" s="5">
        <v>2000</v>
      </c>
      <c r="AH822" s="5" t="s">
        <v>85</v>
      </c>
      <c r="AI822" s="5" t="s">
        <v>2485</v>
      </c>
      <c r="AJ822" s="5">
        <v>45</v>
      </c>
      <c r="AK822" s="5">
        <v>290</v>
      </c>
      <c r="AL822" s="5">
        <v>140</v>
      </c>
      <c r="AM822" s="5">
        <v>150</v>
      </c>
      <c r="AN822" s="5">
        <v>30</v>
      </c>
      <c r="AO822" s="5">
        <v>0</v>
      </c>
      <c r="AP822" s="5">
        <v>0</v>
      </c>
      <c r="AQ822" s="5">
        <v>0</v>
      </c>
      <c r="AT822" s="5">
        <v>0</v>
      </c>
      <c r="AU822" s="5">
        <v>15</v>
      </c>
      <c r="AV822" s="5" t="s">
        <v>2490</v>
      </c>
      <c r="AX822" s="5">
        <v>0</v>
      </c>
      <c r="AY822" s="5" t="s">
        <v>86</v>
      </c>
      <c r="BN822" s="5" t="s">
        <v>86</v>
      </c>
      <c r="CD822" s="5">
        <v>0</v>
      </c>
      <c r="CF822" s="1442" t="str">
        <f>IF([1]!sommaire[[#This Row],[présence des personnes déplacés interne]]="Oui","1","0")</f>
        <v>1</v>
      </c>
      <c r="CG822" s="1442" t="str">
        <f>IF([1]!sommaire[[#This Row],[présence Réfugié hors camp]]="Oui","1","0")</f>
        <v>0</v>
      </c>
      <c r="CH822" s="1442" t="str">
        <f>IF([1]!sommaire[[#This Row],[présence personnes retournées]]="Oui","1","0")</f>
        <v>0</v>
      </c>
      <c r="CI822" s="1442">
        <f>[1]!sommaire[[#This Row],[Flag PDI]]+[1]!sommaire[[#This Row],[Flag REF]]+[1]!sommaire[[#This Row],[Flag RET]]</f>
        <v>1</v>
      </c>
    </row>
    <row r="823" spans="1:87" ht="14.55" customHeight="1" x14ac:dyDescent="0.3">
      <c r="A823" s="390">
        <v>2710337</v>
      </c>
      <c r="B823" s="5" t="s">
        <v>533</v>
      </c>
      <c r="C823" s="1430" t="s">
        <v>3449</v>
      </c>
      <c r="D823" s="5" t="s">
        <v>534</v>
      </c>
      <c r="E823" s="5" t="s">
        <v>32</v>
      </c>
      <c r="F823" s="5" t="s">
        <v>32</v>
      </c>
      <c r="G823" s="5" t="s">
        <v>542</v>
      </c>
      <c r="H823" s="5" t="s">
        <v>176</v>
      </c>
      <c r="I823" s="5" t="str">
        <f>_xlfn.XLOOKUP(sommaire[[#This Row],[Arrondissement_code]],OCHA_GIS!$F:$F,OCHA_GIS!$E:$E,,)</f>
        <v>Kai-Kai</v>
      </c>
      <c r="J823" s="5" t="s">
        <v>772</v>
      </c>
      <c r="K823" t="s">
        <v>1208</v>
      </c>
      <c r="L823" s="5" t="s">
        <v>1209</v>
      </c>
      <c r="N823" s="5" t="s">
        <v>3053</v>
      </c>
      <c r="O823" s="5" t="s">
        <v>2473</v>
      </c>
      <c r="P823" s="5" t="s">
        <v>85</v>
      </c>
      <c r="Q823" s="5" t="s">
        <v>86</v>
      </c>
      <c r="R823" s="5" t="s">
        <v>85</v>
      </c>
      <c r="T823" s="390">
        <v>3</v>
      </c>
      <c r="U823" s="5" t="s">
        <v>97</v>
      </c>
      <c r="W823" s="5" t="s">
        <v>2468</v>
      </c>
      <c r="X823" s="5" t="s">
        <v>103</v>
      </c>
      <c r="Y823" s="5" t="s">
        <v>2476</v>
      </c>
      <c r="AA823" s="5" t="s">
        <v>85</v>
      </c>
      <c r="AB823" s="5" t="s">
        <v>2473</v>
      </c>
      <c r="AC823" s="5" t="s">
        <v>2470</v>
      </c>
      <c r="AF823" s="5">
        <v>252</v>
      </c>
      <c r="AG823" s="5">
        <v>4500</v>
      </c>
      <c r="AH823" s="5" t="s">
        <v>85</v>
      </c>
      <c r="AI823" s="5" t="s">
        <v>2485</v>
      </c>
      <c r="AJ823" s="5">
        <v>252</v>
      </c>
      <c r="AK823" s="5">
        <v>1740</v>
      </c>
      <c r="AL823" s="5">
        <v>740</v>
      </c>
      <c r="AM823" s="5">
        <v>1000</v>
      </c>
      <c r="AN823" s="5">
        <v>100</v>
      </c>
      <c r="AO823" s="5">
        <v>50</v>
      </c>
      <c r="AP823" s="5">
        <v>0</v>
      </c>
      <c r="AQ823" s="5">
        <v>0</v>
      </c>
      <c r="AT823" s="5">
        <v>0</v>
      </c>
      <c r="AU823" s="5">
        <v>102</v>
      </c>
      <c r="AV823" s="5" t="s">
        <v>2490</v>
      </c>
      <c r="AX823" s="5">
        <v>0</v>
      </c>
      <c r="AY823" s="5" t="s">
        <v>86</v>
      </c>
      <c r="BN823" s="5" t="s">
        <v>86</v>
      </c>
      <c r="CD823" s="5">
        <v>0</v>
      </c>
      <c r="CF823" s="1442" t="str">
        <f>IF([1]!sommaire[[#This Row],[présence des personnes déplacés interne]]="Oui","1","0")</f>
        <v>1</v>
      </c>
      <c r="CG823" s="1442" t="str">
        <f>IF([1]!sommaire[[#This Row],[présence Réfugié hors camp]]="Oui","1","0")</f>
        <v>0</v>
      </c>
      <c r="CH823" s="1442" t="str">
        <f>IF([1]!sommaire[[#This Row],[présence personnes retournées]]="Oui","1","0")</f>
        <v>0</v>
      </c>
      <c r="CI823" s="1442">
        <f>[1]!sommaire[[#This Row],[Flag PDI]]+[1]!sommaire[[#This Row],[Flag REF]]+[1]!sommaire[[#This Row],[Flag RET]]</f>
        <v>1</v>
      </c>
    </row>
    <row r="824" spans="1:87" ht="14.55" customHeight="1" x14ac:dyDescent="0.3">
      <c r="A824" s="390">
        <v>2710477</v>
      </c>
      <c r="B824" s="5" t="s">
        <v>533</v>
      </c>
      <c r="C824" s="1430" t="s">
        <v>3449</v>
      </c>
      <c r="D824" s="5" t="s">
        <v>534</v>
      </c>
      <c r="E824" s="5" t="s">
        <v>32</v>
      </c>
      <c r="F824" s="5" t="s">
        <v>32</v>
      </c>
      <c r="G824" s="5" t="s">
        <v>542</v>
      </c>
      <c r="H824" s="5" t="s">
        <v>176</v>
      </c>
      <c r="I824" s="5" t="str">
        <f>_xlfn.XLOOKUP(sommaire[[#This Row],[Arrondissement_code]],OCHA_GIS!$F:$F,OCHA_GIS!$E:$E,,)</f>
        <v>Kai-Kai</v>
      </c>
      <c r="J824" s="5" t="s">
        <v>772</v>
      </c>
      <c r="K824" t="s">
        <v>1062</v>
      </c>
      <c r="L824" s="5" t="s">
        <v>1063</v>
      </c>
      <c r="N824" s="5" t="s">
        <v>3053</v>
      </c>
      <c r="O824" s="5" t="s">
        <v>2473</v>
      </c>
      <c r="P824" s="5" t="s">
        <v>85</v>
      </c>
      <c r="Q824" s="5" t="s">
        <v>86</v>
      </c>
      <c r="R824" s="5" t="s">
        <v>85</v>
      </c>
      <c r="T824" s="390">
        <v>3</v>
      </c>
      <c r="U824" s="5" t="s">
        <v>97</v>
      </c>
      <c r="W824" s="5" t="s">
        <v>2468</v>
      </c>
      <c r="X824" s="5" t="s">
        <v>103</v>
      </c>
      <c r="Y824" s="5" t="s">
        <v>2476</v>
      </c>
      <c r="AA824" s="5" t="s">
        <v>85</v>
      </c>
      <c r="AB824" s="5" t="s">
        <v>2473</v>
      </c>
      <c r="AC824" s="5" t="s">
        <v>2470</v>
      </c>
      <c r="AF824" s="5">
        <v>152</v>
      </c>
      <c r="AG824" s="5">
        <v>4000</v>
      </c>
      <c r="AH824" s="5" t="s">
        <v>85</v>
      </c>
      <c r="AI824" s="5" t="s">
        <v>2485</v>
      </c>
      <c r="AJ824" s="5">
        <v>152</v>
      </c>
      <c r="AK824" s="5">
        <v>785</v>
      </c>
      <c r="AL824" s="5">
        <v>385</v>
      </c>
      <c r="AM824" s="5">
        <v>400</v>
      </c>
      <c r="AN824" s="5">
        <v>50</v>
      </c>
      <c r="AO824" s="5">
        <v>52</v>
      </c>
      <c r="AP824" s="5">
        <v>0</v>
      </c>
      <c r="AQ824" s="5">
        <v>0</v>
      </c>
      <c r="AT824" s="5">
        <v>0</v>
      </c>
      <c r="AU824" s="5">
        <v>50</v>
      </c>
      <c r="AV824" s="5" t="s">
        <v>2490</v>
      </c>
      <c r="AX824" s="5">
        <v>0</v>
      </c>
      <c r="AY824" s="5" t="s">
        <v>86</v>
      </c>
      <c r="BN824" s="5" t="s">
        <v>86</v>
      </c>
      <c r="CD824" s="5">
        <v>0</v>
      </c>
      <c r="CF824" s="1442" t="str">
        <f>IF([1]!sommaire[[#This Row],[présence des personnes déplacés interne]]="Oui","1","0")</f>
        <v>1</v>
      </c>
      <c r="CG824" s="1442" t="str">
        <f>IF([1]!sommaire[[#This Row],[présence Réfugié hors camp]]="Oui","1","0")</f>
        <v>0</v>
      </c>
      <c r="CH824" s="1442" t="str">
        <f>IF([1]!sommaire[[#This Row],[présence personnes retournées]]="Oui","1","0")</f>
        <v>0</v>
      </c>
      <c r="CI824" s="1442">
        <f>[1]!sommaire[[#This Row],[Flag PDI]]+[1]!sommaire[[#This Row],[Flag REF]]+[1]!sommaire[[#This Row],[Flag RET]]</f>
        <v>1</v>
      </c>
    </row>
    <row r="825" spans="1:87" ht="14.55" customHeight="1" x14ac:dyDescent="0.3">
      <c r="A825" s="390">
        <v>2709799</v>
      </c>
      <c r="B825" s="5" t="s">
        <v>533</v>
      </c>
      <c r="C825" s="1430" t="s">
        <v>3449</v>
      </c>
      <c r="D825" s="5" t="s">
        <v>534</v>
      </c>
      <c r="E825" s="5" t="s">
        <v>32</v>
      </c>
      <c r="F825" s="5" t="s">
        <v>32</v>
      </c>
      <c r="G825" s="5" t="s">
        <v>542</v>
      </c>
      <c r="H825" s="5" t="s">
        <v>176</v>
      </c>
      <c r="I825" s="5" t="str">
        <f>_xlfn.XLOOKUP(sommaire[[#This Row],[Arrondissement_code]],OCHA_GIS!$F:$F,OCHA_GIS!$E:$E,,)</f>
        <v>Kai-Kai</v>
      </c>
      <c r="J825" s="5" t="s">
        <v>772</v>
      </c>
      <c r="K825" t="s">
        <v>2265</v>
      </c>
      <c r="L825" s="5" t="s">
        <v>2266</v>
      </c>
      <c r="N825" s="5" t="s">
        <v>3053</v>
      </c>
      <c r="O825" s="5" t="s">
        <v>2467</v>
      </c>
      <c r="P825" s="5" t="s">
        <v>85</v>
      </c>
      <c r="Q825" s="5" t="s">
        <v>86</v>
      </c>
      <c r="R825" s="5" t="s">
        <v>85</v>
      </c>
      <c r="T825" s="390">
        <v>3</v>
      </c>
      <c r="U825" s="5" t="s">
        <v>97</v>
      </c>
      <c r="W825" s="5" t="s">
        <v>2468</v>
      </c>
      <c r="X825" s="5" t="s">
        <v>103</v>
      </c>
      <c r="Y825" s="5" t="s">
        <v>2476</v>
      </c>
      <c r="AA825" s="5" t="s">
        <v>85</v>
      </c>
      <c r="AB825" s="5" t="s">
        <v>2469</v>
      </c>
      <c r="AC825" s="5" t="s">
        <v>2470</v>
      </c>
      <c r="AD825" s="5" t="s">
        <v>86</v>
      </c>
      <c r="AG825" s="5">
        <v>2000</v>
      </c>
      <c r="AH825" s="5" t="s">
        <v>86</v>
      </c>
      <c r="AY825" s="5" t="s">
        <v>86</v>
      </c>
      <c r="BN825" s="5" t="s">
        <v>85</v>
      </c>
      <c r="BO825" s="5">
        <v>34</v>
      </c>
      <c r="BP825" s="5">
        <v>184</v>
      </c>
      <c r="BQ825" s="5">
        <v>84</v>
      </c>
      <c r="BR825" s="5">
        <v>100</v>
      </c>
      <c r="BS825" s="5" t="s">
        <v>2492</v>
      </c>
      <c r="BT825" s="5">
        <v>20</v>
      </c>
      <c r="BU825" s="5">
        <v>10</v>
      </c>
      <c r="BV825" s="5">
        <v>4</v>
      </c>
      <c r="BW825" s="5">
        <v>0</v>
      </c>
      <c r="BX825" s="5">
        <v>0</v>
      </c>
      <c r="BZ825" s="5">
        <v>0</v>
      </c>
      <c r="CA825" s="5">
        <v>0</v>
      </c>
      <c r="CC825" s="5">
        <v>0</v>
      </c>
      <c r="CD825" s="5">
        <v>0</v>
      </c>
      <c r="CF825" s="1442" t="str">
        <f>IF([1]!sommaire[[#This Row],[présence des personnes déplacés interne]]="Oui","1","0")</f>
        <v>0</v>
      </c>
      <c r="CG825" s="1442" t="str">
        <f>IF([1]!sommaire[[#This Row],[présence Réfugié hors camp]]="Oui","1","0")</f>
        <v>0</v>
      </c>
      <c r="CH825" s="1442" t="str">
        <f>IF([1]!sommaire[[#This Row],[présence personnes retournées]]="Oui","1","0")</f>
        <v>1</v>
      </c>
      <c r="CI825" s="1442">
        <f>[1]!sommaire[[#This Row],[Flag PDI]]+[1]!sommaire[[#This Row],[Flag REF]]+[1]!sommaire[[#This Row],[Flag RET]]</f>
        <v>1</v>
      </c>
    </row>
    <row r="826" spans="1:87" ht="14.55" customHeight="1" x14ac:dyDescent="0.3">
      <c r="A826" s="390">
        <v>2699352</v>
      </c>
      <c r="B826" s="5" t="s">
        <v>533</v>
      </c>
      <c r="C826" s="1430" t="s">
        <v>3449</v>
      </c>
      <c r="D826" s="5" t="s">
        <v>534</v>
      </c>
      <c r="E826" s="5" t="s">
        <v>32</v>
      </c>
      <c r="F826" s="5" t="s">
        <v>32</v>
      </c>
      <c r="G826" s="5" t="s">
        <v>542</v>
      </c>
      <c r="H826" s="5" t="s">
        <v>176</v>
      </c>
      <c r="I826" s="5" t="str">
        <f>_xlfn.XLOOKUP(sommaire[[#This Row],[Arrondissement_code]],OCHA_GIS!$F:$F,OCHA_GIS!$E:$E,,)</f>
        <v>Kai-Kai</v>
      </c>
      <c r="J826" s="5" t="s">
        <v>772</v>
      </c>
      <c r="K826" t="s">
        <v>2281</v>
      </c>
      <c r="L826" s="5" t="s">
        <v>2282</v>
      </c>
      <c r="N826" s="5" t="s">
        <v>3053</v>
      </c>
      <c r="O826" s="5" t="s">
        <v>2467</v>
      </c>
      <c r="P826" s="5" t="s">
        <v>85</v>
      </c>
      <c r="Q826" s="5" t="s">
        <v>86</v>
      </c>
      <c r="R826" s="5" t="s">
        <v>85</v>
      </c>
      <c r="T826" s="390">
        <v>4</v>
      </c>
      <c r="U826" s="5" t="s">
        <v>97</v>
      </c>
      <c r="W826" s="5" t="s">
        <v>2468</v>
      </c>
      <c r="X826" s="5" t="s">
        <v>103</v>
      </c>
      <c r="Y826" s="5" t="s">
        <v>2476</v>
      </c>
      <c r="AA826" s="5" t="s">
        <v>85</v>
      </c>
      <c r="AB826" s="5" t="s">
        <v>2469</v>
      </c>
      <c r="AC826" s="5" t="s">
        <v>2473</v>
      </c>
      <c r="AD826" s="5" t="s">
        <v>86</v>
      </c>
      <c r="AG826" s="5">
        <v>3000</v>
      </c>
      <c r="AH826" s="5" t="s">
        <v>86</v>
      </c>
      <c r="AY826" s="5" t="s">
        <v>86</v>
      </c>
      <c r="BN826" s="5" t="s">
        <v>85</v>
      </c>
      <c r="BO826" s="5">
        <v>13</v>
      </c>
      <c r="BP826" s="5">
        <v>111</v>
      </c>
      <c r="BQ826" s="5">
        <v>50</v>
      </c>
      <c r="BR826" s="5">
        <v>61</v>
      </c>
      <c r="BS826" s="5" t="s">
        <v>2492</v>
      </c>
      <c r="BT826" s="5">
        <v>10</v>
      </c>
      <c r="BU826" s="5">
        <v>0</v>
      </c>
      <c r="BV826" s="5">
        <v>3</v>
      </c>
      <c r="BW826" s="5">
        <v>0</v>
      </c>
      <c r="BX826" s="5">
        <v>0</v>
      </c>
      <c r="BZ826" s="5">
        <v>0</v>
      </c>
      <c r="CA826" s="5">
        <v>0</v>
      </c>
      <c r="CC826" s="5">
        <v>0</v>
      </c>
      <c r="CD826" s="5">
        <v>0</v>
      </c>
      <c r="CF826" s="1442" t="str">
        <f>IF([1]!sommaire[[#This Row],[présence des personnes déplacés interne]]="Oui","1","0")</f>
        <v>0</v>
      </c>
      <c r="CG826" s="1442" t="str">
        <f>IF([1]!sommaire[[#This Row],[présence Réfugié hors camp]]="Oui","1","0")</f>
        <v>0</v>
      </c>
      <c r="CH826" s="1442" t="str">
        <f>IF([1]!sommaire[[#This Row],[présence personnes retournées]]="Oui","1","0")</f>
        <v>1</v>
      </c>
      <c r="CI826" s="1442">
        <f>[1]!sommaire[[#This Row],[Flag PDI]]+[1]!sommaire[[#This Row],[Flag REF]]+[1]!sommaire[[#This Row],[Flag RET]]</f>
        <v>1</v>
      </c>
    </row>
    <row r="827" spans="1:87" ht="14.55" customHeight="1" x14ac:dyDescent="0.3">
      <c r="A827" s="390">
        <v>2683350</v>
      </c>
      <c r="B827" s="5" t="s">
        <v>533</v>
      </c>
      <c r="C827" s="1430" t="s">
        <v>3449</v>
      </c>
      <c r="D827" s="1090" t="s">
        <v>534</v>
      </c>
      <c r="E827" s="5" t="s">
        <v>32</v>
      </c>
      <c r="F827" s="5" t="s">
        <v>32</v>
      </c>
      <c r="G827" s="5" t="s">
        <v>542</v>
      </c>
      <c r="H827" s="5" t="s">
        <v>178</v>
      </c>
      <c r="I827" s="5" t="str">
        <f>_xlfn.XLOOKUP(sommaire[[#This Row],[Arrondissement_code]],OCHA_GIS!$F:$F,OCHA_GIS!$E:$E,,)</f>
        <v>Maga</v>
      </c>
      <c r="J827" s="5" t="s">
        <v>543</v>
      </c>
      <c r="K827" t="s">
        <v>550</v>
      </c>
      <c r="L827" s="5" t="s">
        <v>3145</v>
      </c>
      <c r="M827" s="5" t="s">
        <v>3145</v>
      </c>
      <c r="N827" s="5" t="s">
        <v>3053</v>
      </c>
      <c r="O827" s="5" t="s">
        <v>2467</v>
      </c>
      <c r="P827" s="5" t="s">
        <v>85</v>
      </c>
      <c r="Q827" s="5" t="s">
        <v>86</v>
      </c>
      <c r="R827" s="5" t="s">
        <v>85</v>
      </c>
      <c r="T827" s="390">
        <v>4</v>
      </c>
      <c r="U827" s="5" t="s">
        <v>97</v>
      </c>
      <c r="W827" s="5" t="s">
        <v>2468</v>
      </c>
      <c r="X827" s="5" t="s">
        <v>103</v>
      </c>
      <c r="Y827" s="5" t="s">
        <v>274</v>
      </c>
      <c r="AA827" s="5" t="s">
        <v>85</v>
      </c>
      <c r="AB827" s="5" t="s">
        <v>2469</v>
      </c>
      <c r="AC827" s="5" t="s">
        <v>2470</v>
      </c>
      <c r="AD827" s="5" t="s">
        <v>86</v>
      </c>
      <c r="AG827" s="5">
        <v>750</v>
      </c>
      <c r="AH827" s="5" t="s">
        <v>86</v>
      </c>
      <c r="AY827" s="5" t="s">
        <v>86</v>
      </c>
      <c r="BN827" s="5" t="s">
        <v>85</v>
      </c>
      <c r="BO827" s="5">
        <v>23</v>
      </c>
      <c r="BP827" s="5">
        <v>175</v>
      </c>
      <c r="BQ827" s="5">
        <v>80</v>
      </c>
      <c r="BR827" s="5">
        <v>95</v>
      </c>
      <c r="BS827" s="5" t="s">
        <v>2484</v>
      </c>
      <c r="BT827" s="5">
        <v>0</v>
      </c>
      <c r="BU827" s="5">
        <v>23</v>
      </c>
      <c r="BV827" s="5">
        <v>0</v>
      </c>
      <c r="BW827" s="5">
        <v>0</v>
      </c>
      <c r="BX827" s="5">
        <v>0</v>
      </c>
      <c r="BZ827" s="5">
        <v>0</v>
      </c>
      <c r="CA827" s="5">
        <v>0</v>
      </c>
      <c r="CC827" s="5">
        <v>0</v>
      </c>
      <c r="CD827" s="5">
        <v>0</v>
      </c>
      <c r="CF827" s="1442" t="str">
        <f>IF([1]!sommaire[[#This Row],[présence des personnes déplacés interne]]="Oui","1","0")</f>
        <v>0</v>
      </c>
      <c r="CG827" s="1442" t="str">
        <f>IF([1]!sommaire[[#This Row],[présence Réfugié hors camp]]="Oui","1","0")</f>
        <v>0</v>
      </c>
      <c r="CH827" s="1442" t="str">
        <f>IF([1]!sommaire[[#This Row],[présence personnes retournées]]="Oui","1","0")</f>
        <v>1</v>
      </c>
      <c r="CI827" s="1442">
        <f>[1]!sommaire[[#This Row],[Flag PDI]]+[1]!sommaire[[#This Row],[Flag REF]]+[1]!sommaire[[#This Row],[Flag RET]]</f>
        <v>1</v>
      </c>
    </row>
    <row r="828" spans="1:87" ht="14.55" customHeight="1" x14ac:dyDescent="0.3">
      <c r="A828" s="390">
        <v>2580212</v>
      </c>
      <c r="B828" s="5" t="s">
        <v>533</v>
      </c>
      <c r="C828" s="1430" t="s">
        <v>3449</v>
      </c>
      <c r="D828" s="1090" t="s">
        <v>534</v>
      </c>
      <c r="E828" s="5" t="s">
        <v>32</v>
      </c>
      <c r="F828" s="5" t="s">
        <v>32</v>
      </c>
      <c r="G828" s="5" t="s">
        <v>542</v>
      </c>
      <c r="H828" s="5" t="s">
        <v>178</v>
      </c>
      <c r="I828" s="5" t="str">
        <f>_xlfn.XLOOKUP(sommaire[[#This Row],[Arrondissement_code]],OCHA_GIS!$F:$F,OCHA_GIS!$E:$E,,)</f>
        <v>Maga</v>
      </c>
      <c r="J828" s="5" t="s">
        <v>543</v>
      </c>
      <c r="K828" t="s">
        <v>2251</v>
      </c>
      <c r="L828" s="5" t="s">
        <v>2252</v>
      </c>
      <c r="N828" s="5" t="s">
        <v>3053</v>
      </c>
      <c r="O828" s="5" t="s">
        <v>2467</v>
      </c>
      <c r="P828" s="5" t="s">
        <v>85</v>
      </c>
      <c r="Q828" s="5" t="s">
        <v>86</v>
      </c>
      <c r="R828" s="5" t="s">
        <v>85</v>
      </c>
      <c r="T828" s="390">
        <v>3</v>
      </c>
      <c r="U828" s="5" t="s">
        <v>97</v>
      </c>
      <c r="W828" s="5" t="s">
        <v>2468</v>
      </c>
      <c r="X828" s="5" t="s">
        <v>101</v>
      </c>
      <c r="Y828" s="5" t="s">
        <v>2476</v>
      </c>
      <c r="AA828" s="5" t="s">
        <v>85</v>
      </c>
      <c r="AB828" s="5" t="s">
        <v>2469</v>
      </c>
      <c r="AC828" s="5" t="s">
        <v>2470</v>
      </c>
      <c r="AD828" s="5" t="s">
        <v>86</v>
      </c>
      <c r="AG828" s="5">
        <v>3000</v>
      </c>
      <c r="AH828" s="5" t="s">
        <v>86</v>
      </c>
      <c r="AY828" s="5" t="s">
        <v>86</v>
      </c>
      <c r="BN828" s="5" t="s">
        <v>85</v>
      </c>
      <c r="BO828" s="5">
        <v>177</v>
      </c>
      <c r="BP828" s="5">
        <v>2569</v>
      </c>
      <c r="BQ828" s="5">
        <v>1226</v>
      </c>
      <c r="BR828" s="5">
        <v>1343</v>
      </c>
      <c r="BS828" s="5" t="s">
        <v>2535</v>
      </c>
      <c r="BT828" s="5">
        <v>177</v>
      </c>
      <c r="BU828" s="5">
        <v>0</v>
      </c>
      <c r="BV828" s="5">
        <v>0</v>
      </c>
      <c r="BW828" s="5">
        <v>0</v>
      </c>
      <c r="BX828" s="5">
        <v>0</v>
      </c>
      <c r="BZ828" s="5">
        <v>0</v>
      </c>
      <c r="CA828" s="5">
        <v>0</v>
      </c>
      <c r="CC828" s="5">
        <v>0</v>
      </c>
      <c r="CD828" s="5">
        <v>0</v>
      </c>
      <c r="CF828" s="1442" t="str">
        <f>IF([1]!sommaire[[#This Row],[présence des personnes déplacés interne]]="Oui","1","0")</f>
        <v>0</v>
      </c>
      <c r="CG828" s="1442" t="str">
        <f>IF([1]!sommaire[[#This Row],[présence Réfugié hors camp]]="Oui","1","0")</f>
        <v>0</v>
      </c>
      <c r="CH828" s="1442" t="str">
        <f>IF([1]!sommaire[[#This Row],[présence personnes retournées]]="Oui","1","0")</f>
        <v>1</v>
      </c>
      <c r="CI828" s="1442">
        <f>[1]!sommaire[[#This Row],[Flag PDI]]+[1]!sommaire[[#This Row],[Flag REF]]+[1]!sommaire[[#This Row],[Flag RET]]</f>
        <v>1</v>
      </c>
    </row>
    <row r="829" spans="1:87" ht="14.55" customHeight="1" x14ac:dyDescent="0.3">
      <c r="A829" s="390">
        <v>2672788</v>
      </c>
      <c r="B829" s="5" t="s">
        <v>533</v>
      </c>
      <c r="C829" s="1430" t="s">
        <v>3449</v>
      </c>
      <c r="D829" s="1090" t="s">
        <v>534</v>
      </c>
      <c r="E829" s="5" t="s">
        <v>32</v>
      </c>
      <c r="F829" s="5" t="s">
        <v>32</v>
      </c>
      <c r="G829" s="5" t="s">
        <v>542</v>
      </c>
      <c r="H829" s="5" t="s">
        <v>178</v>
      </c>
      <c r="I829" s="5" t="str">
        <f>_xlfn.XLOOKUP(sommaire[[#This Row],[Arrondissement_code]],OCHA_GIS!$F:$F,OCHA_GIS!$E:$E,,)</f>
        <v>Maga</v>
      </c>
      <c r="J829" s="5" t="s">
        <v>543</v>
      </c>
      <c r="K829" t="s">
        <v>1015</v>
      </c>
      <c r="L829" s="5" t="s">
        <v>1016</v>
      </c>
      <c r="N829" s="5" t="s">
        <v>3053</v>
      </c>
      <c r="O829" s="5" t="s">
        <v>2467</v>
      </c>
      <c r="P829" s="5" t="s">
        <v>85</v>
      </c>
      <c r="Q829" s="5" t="s">
        <v>86</v>
      </c>
      <c r="R829" s="5" t="s">
        <v>86</v>
      </c>
      <c r="T829" s="390">
        <v>4</v>
      </c>
      <c r="U829" s="5" t="s">
        <v>97</v>
      </c>
      <c r="W829" s="5" t="s">
        <v>2468</v>
      </c>
      <c r="X829" s="5" t="s">
        <v>103</v>
      </c>
      <c r="Y829" s="5" t="s">
        <v>2476</v>
      </c>
      <c r="AA829" s="5" t="s">
        <v>85</v>
      </c>
      <c r="AB829" s="5" t="s">
        <v>2469</v>
      </c>
      <c r="AC829" s="5" t="s">
        <v>2470</v>
      </c>
      <c r="AD829" s="5" t="s">
        <v>86</v>
      </c>
      <c r="AF829" s="5">
        <v>10</v>
      </c>
      <c r="AG829" s="5">
        <v>1500</v>
      </c>
      <c r="AH829" s="5" t="s">
        <v>85</v>
      </c>
      <c r="AI829" s="5" t="s">
        <v>2485</v>
      </c>
      <c r="AJ829" s="5">
        <v>10</v>
      </c>
      <c r="AK829" s="5">
        <v>56</v>
      </c>
      <c r="AL829" s="5">
        <v>23</v>
      </c>
      <c r="AM829" s="5">
        <v>33</v>
      </c>
      <c r="AN829" s="5">
        <v>10</v>
      </c>
      <c r="AO829" s="5">
        <v>0</v>
      </c>
      <c r="AP829" s="5">
        <v>0</v>
      </c>
      <c r="AQ829" s="5">
        <v>0</v>
      </c>
      <c r="AT829" s="5">
        <v>0</v>
      </c>
      <c r="AU829" s="5">
        <v>0</v>
      </c>
      <c r="AX829" s="5">
        <v>0</v>
      </c>
      <c r="AY829" s="5" t="s">
        <v>86</v>
      </c>
      <c r="BN829" s="5" t="s">
        <v>85</v>
      </c>
      <c r="BO829" s="5">
        <v>12</v>
      </c>
      <c r="BP829" s="5">
        <v>100</v>
      </c>
      <c r="BQ829" s="5">
        <v>40</v>
      </c>
      <c r="BR829" s="5">
        <v>60</v>
      </c>
      <c r="BS829" s="5" t="s">
        <v>2492</v>
      </c>
      <c r="BT829" s="5">
        <v>0</v>
      </c>
      <c r="BU829" s="5">
        <v>12</v>
      </c>
      <c r="BV829" s="5">
        <v>0</v>
      </c>
      <c r="BW829" s="5">
        <v>0</v>
      </c>
      <c r="BX829" s="5">
        <v>0</v>
      </c>
      <c r="BZ829" s="5">
        <v>0</v>
      </c>
      <c r="CA829" s="5">
        <v>0</v>
      </c>
      <c r="CC829" s="5">
        <v>0</v>
      </c>
      <c r="CD829" s="5">
        <v>0</v>
      </c>
      <c r="CF829" s="1442" t="str">
        <f>IF([1]!sommaire[[#This Row],[présence des personnes déplacés interne]]="Oui","1","0")</f>
        <v>1</v>
      </c>
      <c r="CG829" s="1442" t="str">
        <f>IF([1]!sommaire[[#This Row],[présence Réfugié hors camp]]="Oui","1","0")</f>
        <v>0</v>
      </c>
      <c r="CH829" s="1442" t="str">
        <f>IF([1]!sommaire[[#This Row],[présence personnes retournées]]="Oui","1","0")</f>
        <v>1</v>
      </c>
      <c r="CI829" s="1442">
        <f>[1]!sommaire[[#This Row],[Flag PDI]]+[1]!sommaire[[#This Row],[Flag REF]]+[1]!sommaire[[#This Row],[Flag RET]]</f>
        <v>2</v>
      </c>
    </row>
    <row r="830" spans="1:87" ht="14.55" customHeight="1" x14ac:dyDescent="0.3">
      <c r="A830" s="390">
        <v>2672809</v>
      </c>
      <c r="B830" s="5" t="s">
        <v>533</v>
      </c>
      <c r="C830" s="1430" t="s">
        <v>3449</v>
      </c>
      <c r="D830" s="1090" t="s">
        <v>534</v>
      </c>
      <c r="E830" s="5" t="s">
        <v>32</v>
      </c>
      <c r="F830" s="5" t="s">
        <v>32</v>
      </c>
      <c r="G830" s="5" t="s">
        <v>542</v>
      </c>
      <c r="H830" s="1090" t="s">
        <v>178</v>
      </c>
      <c r="I830" s="1090" t="str">
        <f>_xlfn.XLOOKUP(sommaire[[#This Row],[Arrondissement_code]],OCHA_GIS!$F:$F,OCHA_GIS!$E:$E,,)</f>
        <v>Maga</v>
      </c>
      <c r="J830" s="5" t="s">
        <v>543</v>
      </c>
      <c r="K830" t="s">
        <v>3194</v>
      </c>
      <c r="L830" s="5" t="s">
        <v>2792</v>
      </c>
      <c r="N830" s="5" t="s">
        <v>3053</v>
      </c>
      <c r="O830" s="5" t="s">
        <v>2467</v>
      </c>
      <c r="P830" s="5" t="s">
        <v>85</v>
      </c>
      <c r="Q830" s="5" t="s">
        <v>86</v>
      </c>
      <c r="R830" s="5" t="s">
        <v>85</v>
      </c>
      <c r="T830" s="390">
        <v>4</v>
      </c>
      <c r="U830" s="5" t="s">
        <v>97</v>
      </c>
      <c r="W830" s="5" t="s">
        <v>2468</v>
      </c>
      <c r="X830" s="5" t="s">
        <v>103</v>
      </c>
      <c r="Y830" s="5" t="s">
        <v>274</v>
      </c>
      <c r="AA830" s="5" t="s">
        <v>85</v>
      </c>
      <c r="AB830" s="5" t="s">
        <v>2469</v>
      </c>
      <c r="AC830" s="5" t="s">
        <v>2470</v>
      </c>
      <c r="AD830" s="5" t="s">
        <v>86</v>
      </c>
      <c r="AG830" s="5">
        <v>6000</v>
      </c>
      <c r="AH830" s="5" t="s">
        <v>86</v>
      </c>
      <c r="AY830" s="1090" t="s">
        <v>86</v>
      </c>
      <c r="BN830" s="1090" t="s">
        <v>85</v>
      </c>
      <c r="BO830" s="5">
        <v>160</v>
      </c>
      <c r="BP830" s="5">
        <v>1200</v>
      </c>
      <c r="BQ830" s="5">
        <v>503</v>
      </c>
      <c r="BR830" s="5">
        <v>697</v>
      </c>
      <c r="BS830" s="5" t="s">
        <v>2492</v>
      </c>
      <c r="BT830" s="5">
        <v>30</v>
      </c>
      <c r="BU830" s="5">
        <v>130</v>
      </c>
      <c r="BV830" s="5">
        <v>0</v>
      </c>
      <c r="BW830" s="5">
        <v>0</v>
      </c>
      <c r="BX830" s="5">
        <v>0</v>
      </c>
      <c r="BZ830" s="5">
        <v>0</v>
      </c>
      <c r="CA830" s="5">
        <v>0</v>
      </c>
      <c r="CC830" s="5">
        <v>0</v>
      </c>
      <c r="CD830" s="5">
        <v>0</v>
      </c>
      <c r="CF830" s="1442" t="str">
        <f>IF([1]!sommaire[[#This Row],[présence des personnes déplacés interne]]="Oui","1","0")</f>
        <v>0</v>
      </c>
      <c r="CG830" s="1442" t="str">
        <f>IF([1]!sommaire[[#This Row],[présence Réfugié hors camp]]="Oui","1","0")</f>
        <v>0</v>
      </c>
      <c r="CH830" s="1442" t="str">
        <f>IF([1]!sommaire[[#This Row],[présence personnes retournées]]="Oui","1","0")</f>
        <v>1</v>
      </c>
      <c r="CI830" s="1442">
        <f>[1]!sommaire[[#This Row],[Flag PDI]]+[1]!sommaire[[#This Row],[Flag REF]]+[1]!sommaire[[#This Row],[Flag RET]]</f>
        <v>1</v>
      </c>
    </row>
    <row r="831" spans="1:87" ht="14.55" customHeight="1" x14ac:dyDescent="0.3">
      <c r="A831" s="390">
        <v>2665644</v>
      </c>
      <c r="B831" s="5" t="s">
        <v>533</v>
      </c>
      <c r="C831" s="1430" t="s">
        <v>3449</v>
      </c>
      <c r="D831" s="1090" t="s">
        <v>534</v>
      </c>
      <c r="E831" s="5" t="s">
        <v>32</v>
      </c>
      <c r="F831" s="5" t="s">
        <v>32</v>
      </c>
      <c r="G831" s="5" t="s">
        <v>542</v>
      </c>
      <c r="H831" s="5" t="s">
        <v>178</v>
      </c>
      <c r="I831" s="5" t="str">
        <f>_xlfn.XLOOKUP(sommaire[[#This Row],[Arrondissement_code]],OCHA_GIS!$F:$F,OCHA_GIS!$E:$E,,)</f>
        <v>Maga</v>
      </c>
      <c r="J831" s="5" t="s">
        <v>543</v>
      </c>
      <c r="K831" t="s">
        <v>3197</v>
      </c>
      <c r="L831" s="5" t="s">
        <v>2784</v>
      </c>
      <c r="N831" s="5" t="s">
        <v>3053</v>
      </c>
      <c r="O831" s="5" t="s">
        <v>2467</v>
      </c>
      <c r="P831" s="5" t="s">
        <v>85</v>
      </c>
      <c r="Q831" s="5" t="s">
        <v>86</v>
      </c>
      <c r="R831" s="5" t="s">
        <v>85</v>
      </c>
      <c r="T831" s="390">
        <v>4</v>
      </c>
      <c r="U831" s="5" t="s">
        <v>97</v>
      </c>
      <c r="W831" s="5" t="s">
        <v>2468</v>
      </c>
      <c r="X831" s="5" t="s">
        <v>101</v>
      </c>
      <c r="Y831" s="5" t="s">
        <v>2476</v>
      </c>
      <c r="AA831" s="5" t="s">
        <v>85</v>
      </c>
      <c r="AB831" s="5" t="s">
        <v>2469</v>
      </c>
      <c r="AC831" s="5" t="s">
        <v>2470</v>
      </c>
      <c r="AD831" s="5" t="s">
        <v>86</v>
      </c>
      <c r="AG831" s="5">
        <v>240</v>
      </c>
      <c r="AH831" s="5" t="s">
        <v>86</v>
      </c>
      <c r="AY831" s="5" t="s">
        <v>86</v>
      </c>
      <c r="BN831" s="5" t="s">
        <v>85</v>
      </c>
      <c r="BO831" s="5">
        <v>45</v>
      </c>
      <c r="BP831" s="5">
        <v>240</v>
      </c>
      <c r="BQ831" s="5">
        <v>110</v>
      </c>
      <c r="BR831" s="5">
        <v>130</v>
      </c>
      <c r="BS831" s="5" t="s">
        <v>2492</v>
      </c>
      <c r="BT831" s="5">
        <v>0</v>
      </c>
      <c r="BU831" s="5">
        <v>45</v>
      </c>
      <c r="BV831" s="5">
        <v>0</v>
      </c>
      <c r="BW831" s="5">
        <v>0</v>
      </c>
      <c r="BX831" s="5">
        <v>0</v>
      </c>
      <c r="BZ831" s="5">
        <v>0</v>
      </c>
      <c r="CA831" s="5">
        <v>0</v>
      </c>
      <c r="CC831" s="5">
        <v>0</v>
      </c>
      <c r="CD831" s="5">
        <v>0</v>
      </c>
      <c r="CF831" s="1442" t="str">
        <f>IF([1]!sommaire[[#This Row],[présence des personnes déplacés interne]]="Oui","1","0")</f>
        <v>0</v>
      </c>
      <c r="CG831" s="1442" t="str">
        <f>IF([1]!sommaire[[#This Row],[présence Réfugié hors camp]]="Oui","1","0")</f>
        <v>0</v>
      </c>
      <c r="CH831" s="1442" t="str">
        <f>IF([1]!sommaire[[#This Row],[présence personnes retournées]]="Oui","1","0")</f>
        <v>1</v>
      </c>
      <c r="CI831" s="1442">
        <f>[1]!sommaire[[#This Row],[Flag PDI]]+[1]!sommaire[[#This Row],[Flag REF]]+[1]!sommaire[[#This Row],[Flag RET]]</f>
        <v>1</v>
      </c>
    </row>
    <row r="832" spans="1:87" ht="14.55" customHeight="1" x14ac:dyDescent="0.3">
      <c r="A832" s="390">
        <v>2627100</v>
      </c>
      <c r="B832" s="5" t="s">
        <v>533</v>
      </c>
      <c r="C832" s="1430" t="s">
        <v>3449</v>
      </c>
      <c r="D832" s="1090" t="s">
        <v>534</v>
      </c>
      <c r="E832" s="5" t="s">
        <v>32</v>
      </c>
      <c r="F832" s="5" t="s">
        <v>32</v>
      </c>
      <c r="G832" s="5" t="s">
        <v>542</v>
      </c>
      <c r="H832" s="5" t="s">
        <v>178</v>
      </c>
      <c r="I832" s="5" t="str">
        <f>_xlfn.XLOOKUP(sommaire[[#This Row],[Arrondissement_code]],OCHA_GIS!$F:$F,OCHA_GIS!$E:$E,,)</f>
        <v>Maga</v>
      </c>
      <c r="J832" s="5" t="s">
        <v>543</v>
      </c>
      <c r="K832" t="s">
        <v>2257</v>
      </c>
      <c r="L832" s="5" t="s">
        <v>2258</v>
      </c>
      <c r="N832" s="5" t="s">
        <v>3053</v>
      </c>
      <c r="O832" s="5" t="s">
        <v>2467</v>
      </c>
      <c r="P832" s="5" t="s">
        <v>85</v>
      </c>
      <c r="Q832" s="5" t="s">
        <v>86</v>
      </c>
      <c r="R832" s="5" t="s">
        <v>85</v>
      </c>
      <c r="T832" s="390">
        <v>3</v>
      </c>
      <c r="U832" s="5" t="s">
        <v>97</v>
      </c>
      <c r="W832" s="5" t="s">
        <v>2468</v>
      </c>
      <c r="X832" s="5" t="s">
        <v>101</v>
      </c>
      <c r="Y832" s="5" t="s">
        <v>2476</v>
      </c>
      <c r="AA832" s="5" t="s">
        <v>85</v>
      </c>
      <c r="AB832" s="5" t="s">
        <v>2469</v>
      </c>
      <c r="AC832" s="5" t="s">
        <v>2470</v>
      </c>
      <c r="AD832" s="5" t="s">
        <v>86</v>
      </c>
      <c r="AG832" s="5">
        <v>900</v>
      </c>
      <c r="AH832" s="5" t="s">
        <v>86</v>
      </c>
      <c r="AY832" s="5" t="s">
        <v>86</v>
      </c>
      <c r="BN832" s="5" t="s">
        <v>85</v>
      </c>
      <c r="BO832" s="5">
        <v>29</v>
      </c>
      <c r="BP832" s="5">
        <v>295</v>
      </c>
      <c r="BQ832" s="5">
        <v>140</v>
      </c>
      <c r="BR832" s="5">
        <v>155</v>
      </c>
      <c r="BS832" s="5" t="s">
        <v>2492</v>
      </c>
      <c r="BT832" s="5">
        <v>29</v>
      </c>
      <c r="BU832" s="5">
        <v>0</v>
      </c>
      <c r="BV832" s="5">
        <v>0</v>
      </c>
      <c r="BW832" s="5">
        <v>0</v>
      </c>
      <c r="BX832" s="5">
        <v>0</v>
      </c>
      <c r="BZ832" s="5">
        <v>0</v>
      </c>
      <c r="CA832" s="5">
        <v>0</v>
      </c>
      <c r="CC832" s="5">
        <v>0</v>
      </c>
      <c r="CD832" s="5">
        <v>0</v>
      </c>
      <c r="CF832" s="1442" t="str">
        <f>IF([1]!sommaire[[#This Row],[présence des personnes déplacés interne]]="Oui","1","0")</f>
        <v>0</v>
      </c>
      <c r="CG832" s="1442" t="str">
        <f>IF([1]!sommaire[[#This Row],[présence Réfugié hors camp]]="Oui","1","0")</f>
        <v>0</v>
      </c>
      <c r="CH832" s="1442" t="str">
        <f>IF([1]!sommaire[[#This Row],[présence personnes retournées]]="Oui","1","0")</f>
        <v>1</v>
      </c>
      <c r="CI832" s="1442">
        <f>[1]!sommaire[[#This Row],[Flag PDI]]+[1]!sommaire[[#This Row],[Flag REF]]+[1]!sommaire[[#This Row],[Flag RET]]</f>
        <v>1</v>
      </c>
    </row>
    <row r="833" spans="1:87" ht="14.55" customHeight="1" x14ac:dyDescent="0.3">
      <c r="A833" s="390">
        <v>2672795</v>
      </c>
      <c r="B833" s="5" t="s">
        <v>533</v>
      </c>
      <c r="C833" s="1430" t="s">
        <v>3449</v>
      </c>
      <c r="D833" s="1090" t="s">
        <v>534</v>
      </c>
      <c r="E833" s="5" t="s">
        <v>32</v>
      </c>
      <c r="F833" s="5" t="s">
        <v>32</v>
      </c>
      <c r="G833" s="5" t="s">
        <v>542</v>
      </c>
      <c r="H833" s="5" t="s">
        <v>178</v>
      </c>
      <c r="I833" s="5" t="str">
        <f>_xlfn.XLOOKUP(sommaire[[#This Row],[Arrondissement_code]],OCHA_GIS!$F:$F,OCHA_GIS!$E:$E,,)</f>
        <v>Maga</v>
      </c>
      <c r="J833" s="5" t="s">
        <v>543</v>
      </c>
      <c r="K833" t="s">
        <v>930</v>
      </c>
      <c r="L833" s="5" t="s">
        <v>931</v>
      </c>
      <c r="N833" s="5" t="s">
        <v>3053</v>
      </c>
      <c r="O833" s="5" t="s">
        <v>2467</v>
      </c>
      <c r="P833" s="5" t="s">
        <v>85</v>
      </c>
      <c r="Q833" s="5" t="s">
        <v>86</v>
      </c>
      <c r="R833" s="5" t="s">
        <v>86</v>
      </c>
      <c r="T833" s="390">
        <v>5</v>
      </c>
      <c r="U833" s="5" t="s">
        <v>97</v>
      </c>
      <c r="W833" s="5" t="s">
        <v>2468</v>
      </c>
      <c r="X833" s="1090" t="s">
        <v>103</v>
      </c>
      <c r="Y833" s="5" t="s">
        <v>2476</v>
      </c>
      <c r="AA833" s="1090" t="s">
        <v>85</v>
      </c>
      <c r="AB833" s="5" t="s">
        <v>2469</v>
      </c>
      <c r="AC833" s="5" t="s">
        <v>2470</v>
      </c>
      <c r="AD833" s="5" t="s">
        <v>86</v>
      </c>
      <c r="AF833" s="5">
        <v>49</v>
      </c>
      <c r="AG833" s="5">
        <v>324</v>
      </c>
      <c r="AH833" s="5" t="s">
        <v>85</v>
      </c>
      <c r="AI833" s="5" t="s">
        <v>2471</v>
      </c>
      <c r="AJ833" s="5">
        <v>49</v>
      </c>
      <c r="AK833" s="5">
        <v>324</v>
      </c>
      <c r="AL833" s="5">
        <v>156</v>
      </c>
      <c r="AM833" s="5">
        <v>168</v>
      </c>
      <c r="AN833" s="5">
        <v>49</v>
      </c>
      <c r="AO833" s="5">
        <v>0</v>
      </c>
      <c r="AP833" s="5">
        <v>0</v>
      </c>
      <c r="AQ833" s="5">
        <v>0</v>
      </c>
      <c r="AT833" s="5">
        <v>0</v>
      </c>
      <c r="AU833" s="5">
        <v>0</v>
      </c>
      <c r="AX833" s="5">
        <v>0</v>
      </c>
      <c r="AY833" s="1090" t="s">
        <v>86</v>
      </c>
      <c r="BN833" s="1090" t="s">
        <v>86</v>
      </c>
      <c r="CD833" s="5">
        <v>0</v>
      </c>
      <c r="CF833" s="1442" t="str">
        <f>IF([1]!sommaire[[#This Row],[présence des personnes déplacés interne]]="Oui","1","0")</f>
        <v>1</v>
      </c>
      <c r="CG833" s="1442" t="str">
        <f>IF([1]!sommaire[[#This Row],[présence Réfugié hors camp]]="Oui","1","0")</f>
        <v>0</v>
      </c>
      <c r="CH833" s="1442" t="str">
        <f>IF([1]!sommaire[[#This Row],[présence personnes retournées]]="Oui","1","0")</f>
        <v>0</v>
      </c>
      <c r="CI833" s="1442">
        <f>[1]!sommaire[[#This Row],[Flag PDI]]+[1]!sommaire[[#This Row],[Flag REF]]+[1]!sommaire[[#This Row],[Flag RET]]</f>
        <v>1</v>
      </c>
    </row>
    <row r="834" spans="1:87" ht="14.55" customHeight="1" x14ac:dyDescent="0.3">
      <c r="A834" s="390">
        <v>2665640</v>
      </c>
      <c r="B834" s="5" t="s">
        <v>533</v>
      </c>
      <c r="C834" s="1430" t="s">
        <v>3449</v>
      </c>
      <c r="D834" s="1090" t="s">
        <v>534</v>
      </c>
      <c r="E834" s="5" t="s">
        <v>32</v>
      </c>
      <c r="F834" s="5" t="s">
        <v>32</v>
      </c>
      <c r="G834" s="5" t="s">
        <v>542</v>
      </c>
      <c r="H834" s="5" t="s">
        <v>178</v>
      </c>
      <c r="I834" s="5" t="str">
        <f>_xlfn.XLOOKUP(sommaire[[#This Row],[Arrondissement_code]],OCHA_GIS!$F:$F,OCHA_GIS!$E:$E,,)</f>
        <v>Maga</v>
      </c>
      <c r="J834" s="5" t="s">
        <v>543</v>
      </c>
      <c r="K834" t="s">
        <v>1260</v>
      </c>
      <c r="L834" s="5" t="s">
        <v>1261</v>
      </c>
      <c r="N834" s="5" t="s">
        <v>3053</v>
      </c>
      <c r="O834" s="5" t="s">
        <v>2467</v>
      </c>
      <c r="P834" s="5" t="s">
        <v>85</v>
      </c>
      <c r="Q834" s="5" t="s">
        <v>86</v>
      </c>
      <c r="R834" s="5" t="s">
        <v>85</v>
      </c>
      <c r="T834" s="390">
        <v>3</v>
      </c>
      <c r="U834" s="5" t="s">
        <v>97</v>
      </c>
      <c r="W834" s="5" t="s">
        <v>2468</v>
      </c>
      <c r="X834" s="5" t="s">
        <v>103</v>
      </c>
      <c r="Y834" s="5" t="s">
        <v>2476</v>
      </c>
      <c r="AA834" s="5" t="s">
        <v>85</v>
      </c>
      <c r="AB834" s="5" t="s">
        <v>2469</v>
      </c>
      <c r="AC834" s="5" t="s">
        <v>2470</v>
      </c>
      <c r="AD834" s="5" t="s">
        <v>86</v>
      </c>
      <c r="AF834" s="5">
        <v>12</v>
      </c>
      <c r="AG834" s="5">
        <v>500</v>
      </c>
      <c r="AH834" s="5" t="s">
        <v>85</v>
      </c>
      <c r="AI834" s="5" t="s">
        <v>2471</v>
      </c>
      <c r="AJ834" s="5">
        <v>12</v>
      </c>
      <c r="AK834" s="5">
        <v>148</v>
      </c>
      <c r="AL834" s="5">
        <v>69</v>
      </c>
      <c r="AM834" s="5">
        <v>79</v>
      </c>
      <c r="AN834" s="5">
        <v>12</v>
      </c>
      <c r="AO834" s="5">
        <v>0</v>
      </c>
      <c r="AP834" s="5">
        <v>0</v>
      </c>
      <c r="AQ834" s="5">
        <v>0</v>
      </c>
      <c r="AT834" s="5">
        <v>0</v>
      </c>
      <c r="AU834" s="5">
        <v>0</v>
      </c>
      <c r="AX834" s="5">
        <v>0</v>
      </c>
      <c r="AY834" s="5" t="s">
        <v>86</v>
      </c>
      <c r="BN834" s="5" t="s">
        <v>86</v>
      </c>
      <c r="CD834" s="5">
        <v>0</v>
      </c>
      <c r="CF834" s="1442" t="str">
        <f>IF([1]!sommaire[[#This Row],[présence des personnes déplacés interne]]="Oui","1","0")</f>
        <v>1</v>
      </c>
      <c r="CG834" s="1442" t="str">
        <f>IF([1]!sommaire[[#This Row],[présence Réfugié hors camp]]="Oui","1","0")</f>
        <v>0</v>
      </c>
      <c r="CH834" s="1442" t="str">
        <f>IF([1]!sommaire[[#This Row],[présence personnes retournées]]="Oui","1","0")</f>
        <v>0</v>
      </c>
      <c r="CI834" s="1442">
        <f>[1]!sommaire[[#This Row],[Flag PDI]]+[1]!sommaire[[#This Row],[Flag REF]]+[1]!sommaire[[#This Row],[Flag RET]]</f>
        <v>1</v>
      </c>
    </row>
    <row r="835" spans="1:87" ht="14.55" customHeight="1" x14ac:dyDescent="0.3">
      <c r="A835" s="390">
        <v>2672806</v>
      </c>
      <c r="B835" s="5" t="s">
        <v>533</v>
      </c>
      <c r="C835" s="1430" t="s">
        <v>3449</v>
      </c>
      <c r="D835" s="1090" t="s">
        <v>534</v>
      </c>
      <c r="E835" s="5" t="s">
        <v>32</v>
      </c>
      <c r="F835" s="5" t="s">
        <v>32</v>
      </c>
      <c r="G835" s="5" t="s">
        <v>542</v>
      </c>
      <c r="H835" s="5" t="s">
        <v>178</v>
      </c>
      <c r="I835" s="5" t="str">
        <f>_xlfn.XLOOKUP(sommaire[[#This Row],[Arrondissement_code]],OCHA_GIS!$F:$F,OCHA_GIS!$E:$E,,)</f>
        <v>Maga</v>
      </c>
      <c r="J835" s="5" t="s">
        <v>543</v>
      </c>
      <c r="K835" t="s">
        <v>544</v>
      </c>
      <c r="L835" s="5" t="s">
        <v>545</v>
      </c>
      <c r="N835" s="5" t="s">
        <v>3053</v>
      </c>
      <c r="O835" s="5" t="s">
        <v>2467</v>
      </c>
      <c r="P835" s="5" t="s">
        <v>85</v>
      </c>
      <c r="Q835" s="5" t="s">
        <v>86</v>
      </c>
      <c r="R835" s="5" t="s">
        <v>86</v>
      </c>
      <c r="T835" s="390">
        <v>5</v>
      </c>
      <c r="U835" s="5" t="s">
        <v>97</v>
      </c>
      <c r="W835" s="5" t="s">
        <v>2468</v>
      </c>
      <c r="X835" s="1090" t="s">
        <v>103</v>
      </c>
      <c r="Y835" s="5" t="s">
        <v>2476</v>
      </c>
      <c r="AA835" s="1090" t="s">
        <v>85</v>
      </c>
      <c r="AB835" s="5" t="s">
        <v>2469</v>
      </c>
      <c r="AC835" s="5" t="s">
        <v>2470</v>
      </c>
      <c r="AD835" s="1090" t="s">
        <v>86</v>
      </c>
      <c r="AF835" s="5">
        <v>60</v>
      </c>
      <c r="AG835" s="5">
        <v>3000</v>
      </c>
      <c r="AH835" s="5" t="s">
        <v>85</v>
      </c>
      <c r="AI835" s="5" t="s">
        <v>2471</v>
      </c>
      <c r="AJ835" s="5">
        <v>60</v>
      </c>
      <c r="AK835" s="5">
        <v>560</v>
      </c>
      <c r="AL835" s="5">
        <v>138</v>
      </c>
      <c r="AM835" s="5">
        <v>422</v>
      </c>
      <c r="AN835" s="5">
        <v>50</v>
      </c>
      <c r="AO835" s="5">
        <v>10</v>
      </c>
      <c r="AP835" s="5">
        <v>0</v>
      </c>
      <c r="AQ835" s="5">
        <v>0</v>
      </c>
      <c r="AT835" s="5">
        <v>0</v>
      </c>
      <c r="AU835" s="5">
        <v>0</v>
      </c>
      <c r="AX835" s="5">
        <v>0</v>
      </c>
      <c r="AY835" s="1090" t="s">
        <v>86</v>
      </c>
      <c r="BN835" s="1090" t="s">
        <v>85</v>
      </c>
      <c r="BO835" s="5">
        <v>38</v>
      </c>
      <c r="BP835" s="5">
        <v>252</v>
      </c>
      <c r="BQ835" s="5">
        <v>125</v>
      </c>
      <c r="BR835" s="5">
        <v>127</v>
      </c>
      <c r="BS835" s="5" t="s">
        <v>2492</v>
      </c>
      <c r="BT835" s="5">
        <v>0</v>
      </c>
      <c r="BU835" s="5">
        <v>30</v>
      </c>
      <c r="BV835" s="5">
        <v>8</v>
      </c>
      <c r="BW835" s="5">
        <v>0</v>
      </c>
      <c r="BX835" s="5">
        <v>0</v>
      </c>
      <c r="BZ835" s="5">
        <v>0</v>
      </c>
      <c r="CA835" s="5">
        <v>0</v>
      </c>
      <c r="CC835" s="5">
        <v>0</v>
      </c>
      <c r="CD835" s="5">
        <v>0</v>
      </c>
      <c r="CF835" s="1442" t="str">
        <f>IF([1]!sommaire[[#This Row],[présence des personnes déplacés interne]]="Oui","1","0")</f>
        <v>1</v>
      </c>
      <c r="CG835" s="1442" t="str">
        <f>IF([1]!sommaire[[#This Row],[présence Réfugié hors camp]]="Oui","1","0")</f>
        <v>0</v>
      </c>
      <c r="CH835" s="1442" t="str">
        <f>IF([1]!sommaire[[#This Row],[présence personnes retournées]]="Oui","1","0")</f>
        <v>1</v>
      </c>
      <c r="CI835" s="1442">
        <f>[1]!sommaire[[#This Row],[Flag PDI]]+[1]!sommaire[[#This Row],[Flag REF]]+[1]!sommaire[[#This Row],[Flag RET]]</f>
        <v>2</v>
      </c>
    </row>
    <row r="836" spans="1:87" ht="14.55" customHeight="1" x14ac:dyDescent="0.3">
      <c r="A836" s="390">
        <v>2672800</v>
      </c>
      <c r="B836" s="5" t="s">
        <v>533</v>
      </c>
      <c r="C836" s="1430" t="s">
        <v>3449</v>
      </c>
      <c r="D836" s="1090" t="s">
        <v>534</v>
      </c>
      <c r="E836" s="5" t="s">
        <v>32</v>
      </c>
      <c r="F836" s="5" t="s">
        <v>32</v>
      </c>
      <c r="G836" s="5" t="s">
        <v>542</v>
      </c>
      <c r="H836" s="5" t="s">
        <v>178</v>
      </c>
      <c r="I836" s="5" t="str">
        <f>_xlfn.XLOOKUP(sommaire[[#This Row],[Arrondissement_code]],OCHA_GIS!$F:$F,OCHA_GIS!$E:$E,,)</f>
        <v>Maga</v>
      </c>
      <c r="J836" s="5" t="s">
        <v>543</v>
      </c>
      <c r="K836" t="s">
        <v>3214</v>
      </c>
      <c r="L836" s="1186" t="s">
        <v>2780</v>
      </c>
      <c r="N836" s="5" t="s">
        <v>3052</v>
      </c>
      <c r="O836" s="5" t="s">
        <v>2467</v>
      </c>
      <c r="P836" s="5" t="s">
        <v>85</v>
      </c>
      <c r="Q836" s="5" t="s">
        <v>86</v>
      </c>
      <c r="R836" s="5" t="s">
        <v>85</v>
      </c>
      <c r="T836" s="390">
        <v>3</v>
      </c>
      <c r="U836" s="5" t="s">
        <v>97</v>
      </c>
      <c r="W836" s="5" t="s">
        <v>2468</v>
      </c>
      <c r="X836" s="5" t="s">
        <v>103</v>
      </c>
      <c r="Y836" s="5" t="s">
        <v>274</v>
      </c>
      <c r="AA836" s="5" t="s">
        <v>85</v>
      </c>
      <c r="AB836" s="5" t="s">
        <v>2469</v>
      </c>
      <c r="AC836" s="5" t="s">
        <v>2470</v>
      </c>
      <c r="AD836" s="5" t="s">
        <v>86</v>
      </c>
      <c r="AG836" s="5">
        <v>8000</v>
      </c>
      <c r="AH836" s="5" t="s">
        <v>86</v>
      </c>
      <c r="AY836" s="5" t="s">
        <v>86</v>
      </c>
      <c r="BN836" s="5" t="s">
        <v>85</v>
      </c>
      <c r="BO836" s="5">
        <v>12</v>
      </c>
      <c r="BP836" s="5">
        <v>123</v>
      </c>
      <c r="BQ836" s="5">
        <v>50</v>
      </c>
      <c r="BR836" s="5">
        <v>73</v>
      </c>
      <c r="BS836" s="5" t="s">
        <v>2492</v>
      </c>
      <c r="BT836" s="5">
        <v>0</v>
      </c>
      <c r="BU836" s="5">
        <v>5</v>
      </c>
      <c r="BV836" s="5">
        <v>7</v>
      </c>
      <c r="BW836" s="5">
        <v>0</v>
      </c>
      <c r="BX836" s="5">
        <v>0</v>
      </c>
      <c r="BZ836" s="5">
        <v>0</v>
      </c>
      <c r="CA836" s="5">
        <v>0</v>
      </c>
      <c r="CC836" s="5">
        <v>0</v>
      </c>
      <c r="CD836" s="5">
        <v>0</v>
      </c>
      <c r="CF836" s="1442" t="str">
        <f>IF([1]!sommaire[[#This Row],[présence des personnes déplacés interne]]="Oui","1","0")</f>
        <v>0</v>
      </c>
      <c r="CG836" s="1442" t="str">
        <f>IF([1]!sommaire[[#This Row],[présence Réfugié hors camp]]="Oui","1","0")</f>
        <v>0</v>
      </c>
      <c r="CH836" s="1442" t="str">
        <f>IF([1]!sommaire[[#This Row],[présence personnes retournées]]="Oui","1","0")</f>
        <v>1</v>
      </c>
      <c r="CI836" s="1442">
        <f>[1]!sommaire[[#This Row],[Flag PDI]]+[1]!sommaire[[#This Row],[Flag REF]]+[1]!sommaire[[#This Row],[Flag RET]]</f>
        <v>1</v>
      </c>
    </row>
    <row r="837" spans="1:87" ht="14.55" customHeight="1" x14ac:dyDescent="0.3">
      <c r="A837" s="390">
        <v>2672811</v>
      </c>
      <c r="B837" s="5" t="s">
        <v>533</v>
      </c>
      <c r="C837" s="1430" t="s">
        <v>3449</v>
      </c>
      <c r="D837" s="1090" t="s">
        <v>534</v>
      </c>
      <c r="E837" s="5" t="s">
        <v>32</v>
      </c>
      <c r="F837" s="5" t="s">
        <v>32</v>
      </c>
      <c r="G837" s="5" t="s">
        <v>542</v>
      </c>
      <c r="H837" s="5" t="s">
        <v>178</v>
      </c>
      <c r="I837" s="5" t="str">
        <f>_xlfn.XLOOKUP(sommaire[[#This Row],[Arrondissement_code]],OCHA_GIS!$F:$F,OCHA_GIS!$E:$E,,)</f>
        <v>Maga</v>
      </c>
      <c r="J837" s="5" t="s">
        <v>543</v>
      </c>
      <c r="K837" t="s">
        <v>3215</v>
      </c>
      <c r="L837" s="5" t="s">
        <v>2785</v>
      </c>
      <c r="N837" s="5" t="s">
        <v>3053</v>
      </c>
      <c r="O837" s="5" t="s">
        <v>2467</v>
      </c>
      <c r="P837" s="5" t="s">
        <v>85</v>
      </c>
      <c r="Q837" s="5" t="s">
        <v>86</v>
      </c>
      <c r="R837" s="5" t="s">
        <v>85</v>
      </c>
      <c r="T837" s="390">
        <v>5</v>
      </c>
      <c r="U837" s="5" t="s">
        <v>97</v>
      </c>
      <c r="W837" s="5" t="s">
        <v>2468</v>
      </c>
      <c r="X837" s="5" t="s">
        <v>103</v>
      </c>
      <c r="Y837" s="5" t="s">
        <v>274</v>
      </c>
      <c r="AA837" s="5" t="s">
        <v>85</v>
      </c>
      <c r="AB837" s="5" t="s">
        <v>2469</v>
      </c>
      <c r="AC837" s="5" t="s">
        <v>2470</v>
      </c>
      <c r="AD837" s="5" t="s">
        <v>86</v>
      </c>
      <c r="AG837" s="5">
        <v>400</v>
      </c>
      <c r="AH837" s="5" t="s">
        <v>86</v>
      </c>
      <c r="AY837" s="5" t="s">
        <v>86</v>
      </c>
      <c r="BN837" s="5" t="s">
        <v>85</v>
      </c>
      <c r="BO837" s="5">
        <v>20</v>
      </c>
      <c r="BP837" s="5">
        <v>100</v>
      </c>
      <c r="BQ837" s="5">
        <v>45</v>
      </c>
      <c r="BR837" s="5">
        <v>55</v>
      </c>
      <c r="BS837" s="5" t="s">
        <v>2492</v>
      </c>
      <c r="BT837" s="5">
        <v>0</v>
      </c>
      <c r="BU837" s="5">
        <v>20</v>
      </c>
      <c r="BV837" s="5">
        <v>0</v>
      </c>
      <c r="BW837" s="5">
        <v>0</v>
      </c>
      <c r="BX837" s="5">
        <v>0</v>
      </c>
      <c r="BZ837" s="5">
        <v>0</v>
      </c>
      <c r="CA837" s="5">
        <v>0</v>
      </c>
      <c r="CC837" s="5">
        <v>0</v>
      </c>
      <c r="CD837" s="5">
        <v>5</v>
      </c>
      <c r="CF837" s="1442" t="str">
        <f>IF([1]!sommaire[[#This Row],[présence des personnes déplacés interne]]="Oui","1","0")</f>
        <v>0</v>
      </c>
      <c r="CG837" s="1442" t="str">
        <f>IF([1]!sommaire[[#This Row],[présence Réfugié hors camp]]="Oui","1","0")</f>
        <v>0</v>
      </c>
      <c r="CH837" s="1442" t="str">
        <f>IF([1]!sommaire[[#This Row],[présence personnes retournées]]="Oui","1","0")</f>
        <v>1</v>
      </c>
      <c r="CI837" s="1442">
        <f>[1]!sommaire[[#This Row],[Flag PDI]]+[1]!sommaire[[#This Row],[Flag REF]]+[1]!sommaire[[#This Row],[Flag RET]]</f>
        <v>1</v>
      </c>
    </row>
    <row r="838" spans="1:87" ht="14.55" customHeight="1" x14ac:dyDescent="0.3">
      <c r="A838" s="390">
        <v>2672805</v>
      </c>
      <c r="B838" s="5" t="s">
        <v>533</v>
      </c>
      <c r="C838" s="1430" t="s">
        <v>3449</v>
      </c>
      <c r="D838" s="1090" t="s">
        <v>534</v>
      </c>
      <c r="E838" s="5" t="s">
        <v>32</v>
      </c>
      <c r="F838" s="5" t="s">
        <v>32</v>
      </c>
      <c r="G838" s="5" t="s">
        <v>542</v>
      </c>
      <c r="H838" s="5" t="s">
        <v>178</v>
      </c>
      <c r="I838" s="5" t="str">
        <f>_xlfn.XLOOKUP(sommaire[[#This Row],[Arrondissement_code]],OCHA_GIS!$F:$F,OCHA_GIS!$E:$E,,)</f>
        <v>Maga</v>
      </c>
      <c r="J838" s="5" t="s">
        <v>543</v>
      </c>
      <c r="K838" t="s">
        <v>3216</v>
      </c>
      <c r="L838" s="5" t="s">
        <v>2776</v>
      </c>
      <c r="N838" s="5" t="s">
        <v>3053</v>
      </c>
      <c r="O838" s="5" t="s">
        <v>2467</v>
      </c>
      <c r="P838" s="5" t="s">
        <v>85</v>
      </c>
      <c r="Q838" s="5" t="s">
        <v>86</v>
      </c>
      <c r="R838" s="5" t="s">
        <v>85</v>
      </c>
      <c r="T838" s="390">
        <v>4</v>
      </c>
      <c r="U838" s="5" t="s">
        <v>97</v>
      </c>
      <c r="W838" s="5" t="s">
        <v>2468</v>
      </c>
      <c r="X838" s="5" t="s">
        <v>103</v>
      </c>
      <c r="Y838" s="5" t="s">
        <v>274</v>
      </c>
      <c r="AA838" s="5" t="s">
        <v>85</v>
      </c>
      <c r="AB838" s="5" t="s">
        <v>2469</v>
      </c>
      <c r="AC838" s="5" t="s">
        <v>2470</v>
      </c>
      <c r="AD838" s="5" t="s">
        <v>86</v>
      </c>
      <c r="AG838" s="5">
        <v>3500</v>
      </c>
      <c r="AH838" s="5" t="s">
        <v>86</v>
      </c>
      <c r="AY838" s="5" t="s">
        <v>86</v>
      </c>
      <c r="BN838" s="5" t="s">
        <v>85</v>
      </c>
      <c r="BO838" s="5">
        <v>3</v>
      </c>
      <c r="BP838" s="5">
        <v>18</v>
      </c>
      <c r="BQ838" s="5">
        <v>10</v>
      </c>
      <c r="BR838" s="5">
        <v>8</v>
      </c>
      <c r="BS838" s="5" t="s">
        <v>2492</v>
      </c>
      <c r="BT838" s="5">
        <v>0</v>
      </c>
      <c r="BU838" s="5">
        <v>0</v>
      </c>
      <c r="BV838" s="5">
        <v>3</v>
      </c>
      <c r="BW838" s="5">
        <v>0</v>
      </c>
      <c r="BX838" s="5">
        <v>0</v>
      </c>
      <c r="BZ838" s="5">
        <v>0</v>
      </c>
      <c r="CA838" s="5">
        <v>0</v>
      </c>
      <c r="CC838" s="5">
        <v>0</v>
      </c>
      <c r="CD838" s="5">
        <v>0</v>
      </c>
      <c r="CF838" s="1442" t="str">
        <f>IF([1]!sommaire[[#This Row],[présence des personnes déplacés interne]]="Oui","1","0")</f>
        <v>0</v>
      </c>
      <c r="CG838" s="1442" t="str">
        <f>IF([1]!sommaire[[#This Row],[présence Réfugié hors camp]]="Oui","1","0")</f>
        <v>0</v>
      </c>
      <c r="CH838" s="1442" t="str">
        <f>IF([1]!sommaire[[#This Row],[présence personnes retournées]]="Oui","1","0")</f>
        <v>1</v>
      </c>
      <c r="CI838" s="1442">
        <f>[1]!sommaire[[#This Row],[Flag PDI]]+[1]!sommaire[[#This Row],[Flag REF]]+[1]!sommaire[[#This Row],[Flag RET]]</f>
        <v>1</v>
      </c>
    </row>
    <row r="839" spans="1:87" ht="14.55" customHeight="1" x14ac:dyDescent="0.3">
      <c r="A839" s="390">
        <v>2672807</v>
      </c>
      <c r="B839" s="5" t="s">
        <v>533</v>
      </c>
      <c r="C839" s="1430" t="s">
        <v>3449</v>
      </c>
      <c r="D839" s="1090" t="s">
        <v>534</v>
      </c>
      <c r="E839" s="5" t="s">
        <v>32</v>
      </c>
      <c r="F839" s="5" t="s">
        <v>32</v>
      </c>
      <c r="G839" s="5" t="s">
        <v>542</v>
      </c>
      <c r="H839" s="5" t="s">
        <v>178</v>
      </c>
      <c r="I839" s="5" t="str">
        <f>_xlfn.XLOOKUP(sommaire[[#This Row],[Arrondissement_code]],OCHA_GIS!$F:$F,OCHA_GIS!$E:$E,,)</f>
        <v>Maga</v>
      </c>
      <c r="J839" s="5" t="s">
        <v>543</v>
      </c>
      <c r="K839" t="s">
        <v>3219</v>
      </c>
      <c r="L839" s="5" t="s">
        <v>2787</v>
      </c>
      <c r="N839" s="5" t="s">
        <v>3053</v>
      </c>
      <c r="O839" s="5" t="s">
        <v>2467</v>
      </c>
      <c r="P839" s="5" t="s">
        <v>85</v>
      </c>
      <c r="Q839" s="5" t="s">
        <v>86</v>
      </c>
      <c r="R839" s="5" t="s">
        <v>85</v>
      </c>
      <c r="T839" s="390">
        <v>3</v>
      </c>
      <c r="U839" s="5" t="s">
        <v>97</v>
      </c>
      <c r="W839" s="5" t="s">
        <v>2468</v>
      </c>
      <c r="X839" s="5" t="s">
        <v>103</v>
      </c>
      <c r="Y839" s="5" t="s">
        <v>274</v>
      </c>
      <c r="AA839" s="5" t="s">
        <v>85</v>
      </c>
      <c r="AB839" s="5" t="s">
        <v>2469</v>
      </c>
      <c r="AC839" s="5" t="s">
        <v>2473</v>
      </c>
      <c r="AD839" s="5" t="s">
        <v>86</v>
      </c>
      <c r="AG839" s="5">
        <v>500</v>
      </c>
      <c r="AH839" s="5" t="s">
        <v>86</v>
      </c>
      <c r="AY839" s="5" t="s">
        <v>86</v>
      </c>
      <c r="BN839" s="5" t="s">
        <v>85</v>
      </c>
      <c r="BO839" s="5">
        <v>42</v>
      </c>
      <c r="BP839" s="5">
        <v>130</v>
      </c>
      <c r="BQ839" s="5">
        <v>85</v>
      </c>
      <c r="BR839" s="5">
        <v>45</v>
      </c>
      <c r="BS839" s="5" t="s">
        <v>2492</v>
      </c>
      <c r="BT839" s="5">
        <v>10</v>
      </c>
      <c r="BU839" s="5">
        <v>32</v>
      </c>
      <c r="BV839" s="5">
        <v>0</v>
      </c>
      <c r="BW839" s="5">
        <v>0</v>
      </c>
      <c r="BX839" s="5">
        <v>0</v>
      </c>
      <c r="BZ839" s="5">
        <v>0</v>
      </c>
      <c r="CA839" s="5">
        <v>0</v>
      </c>
      <c r="CC839" s="5">
        <v>0</v>
      </c>
      <c r="CD839" s="5">
        <v>0</v>
      </c>
      <c r="CF839" s="1442" t="str">
        <f>IF([1]!sommaire[[#This Row],[présence des personnes déplacés interne]]="Oui","1","0")</f>
        <v>0</v>
      </c>
      <c r="CG839" s="1442" t="str">
        <f>IF([1]!sommaire[[#This Row],[présence Réfugié hors camp]]="Oui","1","0")</f>
        <v>0</v>
      </c>
      <c r="CH839" s="1442" t="str">
        <f>IF([1]!sommaire[[#This Row],[présence personnes retournées]]="Oui","1","0")</f>
        <v>1</v>
      </c>
      <c r="CI839" s="1442">
        <f>[1]!sommaire[[#This Row],[Flag PDI]]+[1]!sommaire[[#This Row],[Flag REF]]+[1]!sommaire[[#This Row],[Flag RET]]</f>
        <v>1</v>
      </c>
    </row>
    <row r="840" spans="1:87" ht="14.55" customHeight="1" x14ac:dyDescent="0.3">
      <c r="A840" s="390">
        <v>2735930</v>
      </c>
      <c r="B840" s="5" t="s">
        <v>533</v>
      </c>
      <c r="C840" s="1430" t="s">
        <v>3449</v>
      </c>
      <c r="D840" s="1090" t="s">
        <v>534</v>
      </c>
      <c r="E840" s="5" t="s">
        <v>32</v>
      </c>
      <c r="F840" s="5" t="s">
        <v>32</v>
      </c>
      <c r="G840" s="5" t="s">
        <v>542</v>
      </c>
      <c r="H840" s="5" t="s">
        <v>178</v>
      </c>
      <c r="I840" s="5" t="str">
        <f>_xlfn.XLOOKUP(sommaire[[#This Row],[Arrondissement_code]],OCHA_GIS!$F:$F,OCHA_GIS!$E:$E,,)</f>
        <v>Maga</v>
      </c>
      <c r="J840" s="5" t="s">
        <v>543</v>
      </c>
      <c r="K840" t="s">
        <v>3220</v>
      </c>
      <c r="L840" s="5" t="s">
        <v>2789</v>
      </c>
      <c r="N840" s="5" t="s">
        <v>3053</v>
      </c>
      <c r="O840" s="5" t="s">
        <v>2467</v>
      </c>
      <c r="P840" s="5" t="s">
        <v>85</v>
      </c>
      <c r="Q840" s="5" t="s">
        <v>86</v>
      </c>
      <c r="R840" s="5" t="s">
        <v>86</v>
      </c>
      <c r="T840" s="390">
        <v>3</v>
      </c>
      <c r="U840" s="5" t="s">
        <v>99</v>
      </c>
      <c r="V840" s="5" t="s">
        <v>121</v>
      </c>
      <c r="W840" s="5" t="s">
        <v>2468</v>
      </c>
      <c r="X840" s="5" t="s">
        <v>103</v>
      </c>
      <c r="Y840" s="5" t="s">
        <v>274</v>
      </c>
      <c r="AA840" s="5" t="s">
        <v>85</v>
      </c>
      <c r="AB840" s="5" t="s">
        <v>2469</v>
      </c>
      <c r="AC840" s="5" t="s">
        <v>2470</v>
      </c>
      <c r="AD840" s="5" t="s">
        <v>86</v>
      </c>
      <c r="AG840" s="5">
        <v>1500</v>
      </c>
      <c r="AH840" s="5" t="s">
        <v>86</v>
      </c>
      <c r="AY840" s="5" t="s">
        <v>86</v>
      </c>
      <c r="BN840" s="5" t="s">
        <v>85</v>
      </c>
      <c r="BO840" s="5">
        <v>160</v>
      </c>
      <c r="BP840" s="5">
        <v>1500</v>
      </c>
      <c r="BQ840" s="5">
        <v>700</v>
      </c>
      <c r="BR840" s="5">
        <v>800</v>
      </c>
      <c r="BS840" s="5" t="s">
        <v>2484</v>
      </c>
      <c r="BT840" s="5">
        <v>0</v>
      </c>
      <c r="BU840" s="5">
        <v>160</v>
      </c>
      <c r="BV840" s="5">
        <v>0</v>
      </c>
      <c r="BW840" s="5">
        <v>0</v>
      </c>
      <c r="BX840" s="5">
        <v>0</v>
      </c>
      <c r="BZ840" s="5">
        <v>0</v>
      </c>
      <c r="CA840" s="5">
        <v>0</v>
      </c>
      <c r="CC840" s="5">
        <v>0</v>
      </c>
      <c r="CD840" s="5">
        <v>0</v>
      </c>
      <c r="CF840" s="1442" t="str">
        <f>IF([1]!sommaire[[#This Row],[présence des personnes déplacés interne]]="Oui","1","0")</f>
        <v>0</v>
      </c>
      <c r="CG840" s="1442" t="str">
        <f>IF([1]!sommaire[[#This Row],[présence Réfugié hors camp]]="Oui","1","0")</f>
        <v>0</v>
      </c>
      <c r="CH840" s="1442" t="str">
        <f>IF([1]!sommaire[[#This Row],[présence personnes retournées]]="Oui","1","0")</f>
        <v>1</v>
      </c>
      <c r="CI840" s="1442">
        <f>[1]!sommaire[[#This Row],[Flag PDI]]+[1]!sommaire[[#This Row],[Flag REF]]+[1]!sommaire[[#This Row],[Flag RET]]</f>
        <v>1</v>
      </c>
    </row>
    <row r="841" spans="1:87" ht="14.55" customHeight="1" x14ac:dyDescent="0.3">
      <c r="A841" s="390">
        <v>2672803</v>
      </c>
      <c r="B841" s="5" t="s">
        <v>533</v>
      </c>
      <c r="C841" s="1430" t="s">
        <v>3449</v>
      </c>
      <c r="D841" s="1090" t="s">
        <v>534</v>
      </c>
      <c r="E841" s="5" t="s">
        <v>32</v>
      </c>
      <c r="F841" s="5" t="s">
        <v>32</v>
      </c>
      <c r="G841" s="5" t="s">
        <v>542</v>
      </c>
      <c r="H841" s="5" t="s">
        <v>178</v>
      </c>
      <c r="I841" s="5" t="str">
        <f>_xlfn.XLOOKUP(sommaire[[#This Row],[Arrondissement_code]],OCHA_GIS!$F:$F,OCHA_GIS!$E:$E,,)</f>
        <v>Maga</v>
      </c>
      <c r="J841" s="5" t="s">
        <v>543</v>
      </c>
      <c r="K841" t="s">
        <v>2578</v>
      </c>
      <c r="L841" s="5" t="s">
        <v>2579</v>
      </c>
      <c r="N841" s="5" t="s">
        <v>3053</v>
      </c>
      <c r="O841" s="5" t="s">
        <v>2467</v>
      </c>
      <c r="P841" s="5" t="s">
        <v>85</v>
      </c>
      <c r="Q841" s="5" t="s">
        <v>86</v>
      </c>
      <c r="R841" s="5" t="s">
        <v>85</v>
      </c>
      <c r="T841" s="390">
        <v>4</v>
      </c>
      <c r="U841" s="5" t="s">
        <v>97</v>
      </c>
      <c r="W841" s="5" t="s">
        <v>2482</v>
      </c>
      <c r="AA841" s="5" t="s">
        <v>86</v>
      </c>
      <c r="AH841" s="1430" t="s">
        <v>86</v>
      </c>
      <c r="AY841" s="1430" t="s">
        <v>86</v>
      </c>
      <c r="BN841" s="1430" t="s">
        <v>86</v>
      </c>
      <c r="CF841" s="1442" t="str">
        <f>IF([1]!sommaire[[#This Row],[présence des personnes déplacés interne]]="Oui","1","0")</f>
        <v>0</v>
      </c>
      <c r="CG841" s="1442" t="str">
        <f>IF([1]!sommaire[[#This Row],[présence Réfugié hors camp]]="Oui","1","0")</f>
        <v>0</v>
      </c>
      <c r="CH841" s="1442" t="str">
        <f>IF([1]!sommaire[[#This Row],[présence personnes retournées]]="Oui","1","0")</f>
        <v>0</v>
      </c>
      <c r="CI841" s="1442">
        <f>[1]!sommaire[[#This Row],[Flag PDI]]+[1]!sommaire[[#This Row],[Flag REF]]+[1]!sommaire[[#This Row],[Flag RET]]</f>
        <v>0</v>
      </c>
    </row>
    <row r="842" spans="1:87" ht="14.55" customHeight="1" x14ac:dyDescent="0.3">
      <c r="A842" s="390">
        <v>2672797</v>
      </c>
      <c r="B842" s="5" t="s">
        <v>533</v>
      </c>
      <c r="C842" s="1430" t="s">
        <v>3449</v>
      </c>
      <c r="D842" s="1090" t="s">
        <v>534</v>
      </c>
      <c r="E842" s="5" t="s">
        <v>32</v>
      </c>
      <c r="F842" s="5" t="s">
        <v>32</v>
      </c>
      <c r="G842" s="5" t="s">
        <v>542</v>
      </c>
      <c r="H842" s="5" t="s">
        <v>178</v>
      </c>
      <c r="I842" s="5" t="str">
        <f>_xlfn.XLOOKUP(sommaire[[#This Row],[Arrondissement_code]],OCHA_GIS!$F:$F,OCHA_GIS!$E:$E,,)</f>
        <v>Maga</v>
      </c>
      <c r="J842" s="5" t="s">
        <v>543</v>
      </c>
      <c r="K842" t="s">
        <v>2580</v>
      </c>
      <c r="L842" s="5" t="s">
        <v>2581</v>
      </c>
      <c r="N842" s="5" t="s">
        <v>3053</v>
      </c>
      <c r="O842" s="5" t="s">
        <v>2467</v>
      </c>
      <c r="P842" s="5" t="s">
        <v>85</v>
      </c>
      <c r="Q842" s="5" t="s">
        <v>86</v>
      </c>
      <c r="R842" s="5" t="s">
        <v>86</v>
      </c>
      <c r="T842" s="390">
        <v>3</v>
      </c>
      <c r="U842" s="5" t="s">
        <v>97</v>
      </c>
      <c r="W842" s="5" t="s">
        <v>2482</v>
      </c>
      <c r="AA842" s="5" t="s">
        <v>86</v>
      </c>
      <c r="AH842" s="1430" t="s">
        <v>86</v>
      </c>
      <c r="AY842" s="1430" t="s">
        <v>86</v>
      </c>
      <c r="BN842" s="1430" t="s">
        <v>86</v>
      </c>
      <c r="CF842" s="1442" t="str">
        <f>IF([1]!sommaire[[#This Row],[présence des personnes déplacés interne]]="Oui","1","0")</f>
        <v>0</v>
      </c>
      <c r="CG842" s="1442" t="str">
        <f>IF([1]!sommaire[[#This Row],[présence Réfugié hors camp]]="Oui","1","0")</f>
        <v>0</v>
      </c>
      <c r="CH842" s="1442" t="str">
        <f>IF([1]!sommaire[[#This Row],[présence personnes retournées]]="Oui","1","0")</f>
        <v>0</v>
      </c>
      <c r="CI842" s="1442">
        <f>[1]!sommaire[[#This Row],[Flag PDI]]+[1]!sommaire[[#This Row],[Flag REF]]+[1]!sommaire[[#This Row],[Flag RET]]</f>
        <v>0</v>
      </c>
    </row>
    <row r="843" spans="1:87" ht="14.55" customHeight="1" x14ac:dyDescent="0.3">
      <c r="A843" s="390">
        <v>2665643</v>
      </c>
      <c r="B843" s="5" t="s">
        <v>533</v>
      </c>
      <c r="C843" s="1430" t="s">
        <v>3449</v>
      </c>
      <c r="D843" s="1090" t="s">
        <v>534</v>
      </c>
      <c r="E843" s="5" t="s">
        <v>32</v>
      </c>
      <c r="F843" s="5" t="s">
        <v>32</v>
      </c>
      <c r="G843" s="5" t="s">
        <v>542</v>
      </c>
      <c r="H843" s="5" t="s">
        <v>178</v>
      </c>
      <c r="I843" s="5" t="str">
        <f>_xlfn.XLOOKUP(sommaire[[#This Row],[Arrondissement_code]],OCHA_GIS!$F:$F,OCHA_GIS!$E:$E,,)</f>
        <v>Maga</v>
      </c>
      <c r="J843" s="5" t="s">
        <v>543</v>
      </c>
      <c r="K843" t="s">
        <v>3224</v>
      </c>
      <c r="L843" s="5" t="s">
        <v>2779</v>
      </c>
      <c r="N843" s="5" t="s">
        <v>3053</v>
      </c>
      <c r="O843" s="5" t="s">
        <v>2467</v>
      </c>
      <c r="P843" s="5" t="s">
        <v>85</v>
      </c>
      <c r="Q843" s="5" t="s">
        <v>86</v>
      </c>
      <c r="R843" s="5" t="s">
        <v>85</v>
      </c>
      <c r="T843" s="390">
        <v>3</v>
      </c>
      <c r="U843" s="5" t="s">
        <v>97</v>
      </c>
      <c r="W843" s="5" t="s">
        <v>2468</v>
      </c>
      <c r="X843" s="5" t="s">
        <v>103</v>
      </c>
      <c r="Y843" s="5" t="s">
        <v>274</v>
      </c>
      <c r="AA843" s="5" t="s">
        <v>85</v>
      </c>
      <c r="AB843" s="5" t="s">
        <v>2469</v>
      </c>
      <c r="AC843" s="5" t="s">
        <v>2470</v>
      </c>
      <c r="AD843" s="5" t="s">
        <v>86</v>
      </c>
      <c r="AG843" s="5">
        <v>500</v>
      </c>
      <c r="AH843" s="5" t="s">
        <v>86</v>
      </c>
      <c r="AY843" s="5" t="s">
        <v>86</v>
      </c>
      <c r="BN843" s="5" t="s">
        <v>85</v>
      </c>
      <c r="BO843" s="5">
        <v>13</v>
      </c>
      <c r="BP843" s="5">
        <v>83</v>
      </c>
      <c r="BQ843" s="5">
        <v>36</v>
      </c>
      <c r="BR843" s="5">
        <v>47</v>
      </c>
      <c r="BS843" s="5" t="s">
        <v>2492</v>
      </c>
      <c r="BT843" s="5">
        <v>0</v>
      </c>
      <c r="BU843" s="5">
        <v>13</v>
      </c>
      <c r="BV843" s="5">
        <v>0</v>
      </c>
      <c r="BW843" s="5">
        <v>0</v>
      </c>
      <c r="BX843" s="5">
        <v>0</v>
      </c>
      <c r="BZ843" s="5">
        <v>0</v>
      </c>
      <c r="CA843" s="5">
        <v>0</v>
      </c>
      <c r="CC843" s="5">
        <v>0</v>
      </c>
      <c r="CD843" s="5">
        <v>0</v>
      </c>
      <c r="CF843" s="1442" t="str">
        <f>IF([1]!sommaire[[#This Row],[présence des personnes déplacés interne]]="Oui","1","0")</f>
        <v>0</v>
      </c>
      <c r="CG843" s="1442" t="str">
        <f>IF([1]!sommaire[[#This Row],[présence Réfugié hors camp]]="Oui","1","0")</f>
        <v>0</v>
      </c>
      <c r="CH843" s="1442" t="str">
        <f>IF([1]!sommaire[[#This Row],[présence personnes retournées]]="Oui","1","0")</f>
        <v>1</v>
      </c>
      <c r="CI843" s="1442">
        <f>[1]!sommaire[[#This Row],[Flag PDI]]+[1]!sommaire[[#This Row],[Flag REF]]+[1]!sommaire[[#This Row],[Flag RET]]</f>
        <v>1</v>
      </c>
    </row>
    <row r="844" spans="1:87" ht="14.55" customHeight="1" x14ac:dyDescent="0.3">
      <c r="A844" s="390">
        <v>2672812</v>
      </c>
      <c r="B844" s="5" t="s">
        <v>533</v>
      </c>
      <c r="C844" s="1430" t="s">
        <v>3449</v>
      </c>
      <c r="D844" s="1090" t="s">
        <v>534</v>
      </c>
      <c r="E844" s="5" t="s">
        <v>32</v>
      </c>
      <c r="F844" s="5" t="s">
        <v>32</v>
      </c>
      <c r="G844" s="5" t="s">
        <v>542</v>
      </c>
      <c r="H844" s="5" t="s">
        <v>178</v>
      </c>
      <c r="I844" s="5" t="str">
        <f>_xlfn.XLOOKUP(sommaire[[#This Row],[Arrondissement_code]],OCHA_GIS!$F:$F,OCHA_GIS!$E:$E,,)</f>
        <v>Maga</v>
      </c>
      <c r="J844" s="5" t="s">
        <v>543</v>
      </c>
      <c r="K844" t="s">
        <v>3228</v>
      </c>
      <c r="L844" s="5" t="s">
        <v>2777</v>
      </c>
      <c r="N844" s="5" t="s">
        <v>3053</v>
      </c>
      <c r="O844" s="5" t="s">
        <v>2467</v>
      </c>
      <c r="P844" s="5" t="s">
        <v>85</v>
      </c>
      <c r="Q844" s="5" t="s">
        <v>86</v>
      </c>
      <c r="R844" s="5" t="s">
        <v>85</v>
      </c>
      <c r="T844" s="390">
        <v>4</v>
      </c>
      <c r="U844" s="5" t="s">
        <v>97</v>
      </c>
      <c r="W844" s="5" t="s">
        <v>2468</v>
      </c>
      <c r="X844" s="5" t="s">
        <v>103</v>
      </c>
      <c r="Y844" s="5" t="s">
        <v>274</v>
      </c>
      <c r="AA844" s="5" t="s">
        <v>85</v>
      </c>
      <c r="AB844" s="5" t="s">
        <v>2469</v>
      </c>
      <c r="AC844" s="5" t="s">
        <v>2470</v>
      </c>
      <c r="AD844" s="5" t="s">
        <v>86</v>
      </c>
      <c r="AG844" s="5">
        <v>500</v>
      </c>
      <c r="AH844" s="5" t="s">
        <v>86</v>
      </c>
      <c r="AY844" s="5" t="s">
        <v>86</v>
      </c>
      <c r="BN844" s="5" t="s">
        <v>85</v>
      </c>
      <c r="BO844" s="5">
        <v>21</v>
      </c>
      <c r="BP844" s="5">
        <v>127</v>
      </c>
      <c r="BQ844" s="5">
        <v>57</v>
      </c>
      <c r="BR844" s="5">
        <v>70</v>
      </c>
      <c r="BS844" s="5" t="s">
        <v>2492</v>
      </c>
      <c r="BT844" s="5">
        <v>0</v>
      </c>
      <c r="BU844" s="5">
        <v>14</v>
      </c>
      <c r="BV844" s="5">
        <v>7</v>
      </c>
      <c r="BW844" s="5">
        <v>0</v>
      </c>
      <c r="BX844" s="5">
        <v>0</v>
      </c>
      <c r="BZ844" s="5">
        <v>0</v>
      </c>
      <c r="CA844" s="5">
        <v>0</v>
      </c>
      <c r="CC844" s="5">
        <v>0</v>
      </c>
      <c r="CD844" s="5">
        <v>0</v>
      </c>
      <c r="CF844" s="1442" t="str">
        <f>IF([1]!sommaire[[#This Row],[présence des personnes déplacés interne]]="Oui","1","0")</f>
        <v>0</v>
      </c>
      <c r="CG844" s="1442" t="str">
        <f>IF([1]!sommaire[[#This Row],[présence Réfugié hors camp]]="Oui","1","0")</f>
        <v>0</v>
      </c>
      <c r="CH844" s="1442" t="str">
        <f>IF([1]!sommaire[[#This Row],[présence personnes retournées]]="Oui","1","0")</f>
        <v>1</v>
      </c>
      <c r="CI844" s="1442">
        <f>[1]!sommaire[[#This Row],[Flag PDI]]+[1]!sommaire[[#This Row],[Flag REF]]+[1]!sommaire[[#This Row],[Flag RET]]</f>
        <v>1</v>
      </c>
    </row>
    <row r="845" spans="1:87" ht="14.55" customHeight="1" x14ac:dyDescent="0.3">
      <c r="A845" s="390">
        <v>2672813</v>
      </c>
      <c r="B845" s="5" t="s">
        <v>533</v>
      </c>
      <c r="C845" s="1430" t="s">
        <v>3449</v>
      </c>
      <c r="D845" s="1090" t="s">
        <v>534</v>
      </c>
      <c r="E845" s="5" t="s">
        <v>32</v>
      </c>
      <c r="F845" s="5" t="s">
        <v>32</v>
      </c>
      <c r="G845" s="5" t="s">
        <v>542</v>
      </c>
      <c r="H845" s="5" t="s">
        <v>178</v>
      </c>
      <c r="I845" s="5" t="str">
        <f>_xlfn.XLOOKUP(sommaire[[#This Row],[Arrondissement_code]],OCHA_GIS!$F:$F,OCHA_GIS!$E:$E,,)</f>
        <v>Maga</v>
      </c>
      <c r="J845" s="5" t="s">
        <v>543</v>
      </c>
      <c r="K845" t="s">
        <v>3229</v>
      </c>
      <c r="L845" s="5" t="s">
        <v>2781</v>
      </c>
      <c r="N845" s="5" t="s">
        <v>3053</v>
      </c>
      <c r="O845" s="5" t="s">
        <v>2467</v>
      </c>
      <c r="P845" s="5" t="s">
        <v>85</v>
      </c>
      <c r="Q845" s="5" t="s">
        <v>86</v>
      </c>
      <c r="R845" s="5" t="s">
        <v>85</v>
      </c>
      <c r="T845" s="390">
        <v>4</v>
      </c>
      <c r="U845" s="5" t="s">
        <v>97</v>
      </c>
      <c r="W845" s="5" t="s">
        <v>2468</v>
      </c>
      <c r="X845" s="5" t="s">
        <v>103</v>
      </c>
      <c r="Y845" s="5" t="s">
        <v>274</v>
      </c>
      <c r="AA845" s="5" t="s">
        <v>85</v>
      </c>
      <c r="AB845" s="5" t="s">
        <v>2469</v>
      </c>
      <c r="AC845" s="5" t="s">
        <v>2470</v>
      </c>
      <c r="AD845" s="5" t="s">
        <v>86</v>
      </c>
      <c r="AG845" s="5">
        <v>360</v>
      </c>
      <c r="AH845" s="5" t="s">
        <v>86</v>
      </c>
      <c r="AY845" s="5" t="s">
        <v>86</v>
      </c>
      <c r="BN845" s="5" t="s">
        <v>85</v>
      </c>
      <c r="BO845" s="5">
        <v>20</v>
      </c>
      <c r="BP845" s="5">
        <v>119</v>
      </c>
      <c r="BQ845" s="5">
        <v>50</v>
      </c>
      <c r="BR845" s="5">
        <v>69</v>
      </c>
      <c r="BS845" s="5" t="s">
        <v>2492</v>
      </c>
      <c r="BT845" s="5">
        <v>7</v>
      </c>
      <c r="BU845" s="5">
        <v>13</v>
      </c>
      <c r="BV845" s="5">
        <v>0</v>
      </c>
      <c r="BW845" s="5">
        <v>0</v>
      </c>
      <c r="BX845" s="5">
        <v>0</v>
      </c>
      <c r="BZ845" s="5">
        <v>0</v>
      </c>
      <c r="CA845" s="5">
        <v>0</v>
      </c>
      <c r="CC845" s="5">
        <v>0</v>
      </c>
      <c r="CD845" s="5">
        <v>0</v>
      </c>
      <c r="CF845" s="1442" t="str">
        <f>IF([1]!sommaire[[#This Row],[présence des personnes déplacés interne]]="Oui","1","0")</f>
        <v>0</v>
      </c>
      <c r="CG845" s="1442" t="str">
        <f>IF([1]!sommaire[[#This Row],[présence Réfugié hors camp]]="Oui","1","0")</f>
        <v>0</v>
      </c>
      <c r="CH845" s="1442" t="str">
        <f>IF([1]!sommaire[[#This Row],[présence personnes retournées]]="Oui","1","0")</f>
        <v>1</v>
      </c>
      <c r="CI845" s="1442">
        <f>[1]!sommaire[[#This Row],[Flag PDI]]+[1]!sommaire[[#This Row],[Flag REF]]+[1]!sommaire[[#This Row],[Flag RET]]</f>
        <v>1</v>
      </c>
    </row>
    <row r="846" spans="1:87" ht="14.55" customHeight="1" x14ac:dyDescent="0.3">
      <c r="A846" s="390">
        <v>2666038</v>
      </c>
      <c r="B846" s="5" t="s">
        <v>533</v>
      </c>
      <c r="C846" s="1430" t="s">
        <v>3449</v>
      </c>
      <c r="D846" s="1090" t="s">
        <v>534</v>
      </c>
      <c r="E846" s="5" t="s">
        <v>32</v>
      </c>
      <c r="F846" s="5" t="s">
        <v>32</v>
      </c>
      <c r="G846" s="5" t="s">
        <v>542</v>
      </c>
      <c r="H846" s="5" t="s">
        <v>178</v>
      </c>
      <c r="I846" s="5" t="str">
        <f>_xlfn.XLOOKUP(sommaire[[#This Row],[Arrondissement_code]],OCHA_GIS!$F:$F,OCHA_GIS!$E:$E,,)</f>
        <v>Maga</v>
      </c>
      <c r="J846" s="5" t="s">
        <v>543</v>
      </c>
      <c r="K846" t="s">
        <v>3230</v>
      </c>
      <c r="L846" s="5" t="s">
        <v>2790</v>
      </c>
      <c r="N846" s="5" t="s">
        <v>3053</v>
      </c>
      <c r="O846" s="5" t="s">
        <v>2467</v>
      </c>
      <c r="P846" s="5" t="s">
        <v>85</v>
      </c>
      <c r="Q846" s="5" t="s">
        <v>86</v>
      </c>
      <c r="R846" s="5" t="s">
        <v>85</v>
      </c>
      <c r="T846" s="390">
        <v>4</v>
      </c>
      <c r="U846" s="5" t="s">
        <v>97</v>
      </c>
      <c r="W846" s="5" t="s">
        <v>2468</v>
      </c>
      <c r="X846" s="5" t="s">
        <v>103</v>
      </c>
      <c r="Y846" s="5" t="s">
        <v>274</v>
      </c>
      <c r="AA846" s="5" t="s">
        <v>85</v>
      </c>
      <c r="AB846" s="5" t="s">
        <v>2469</v>
      </c>
      <c r="AC846" s="5" t="s">
        <v>2470</v>
      </c>
      <c r="AD846" s="5" t="s">
        <v>86</v>
      </c>
      <c r="AG846" s="5">
        <v>215</v>
      </c>
      <c r="AH846" s="5" t="s">
        <v>86</v>
      </c>
      <c r="AY846" s="5" t="s">
        <v>86</v>
      </c>
      <c r="BN846" s="5" t="s">
        <v>85</v>
      </c>
      <c r="BO846" s="5">
        <v>32</v>
      </c>
      <c r="BP846" s="5">
        <v>215</v>
      </c>
      <c r="BQ846" s="5">
        <v>115</v>
      </c>
      <c r="BR846" s="5">
        <v>100</v>
      </c>
      <c r="BS846" s="5" t="s">
        <v>2484</v>
      </c>
      <c r="BT846" s="5">
        <v>32</v>
      </c>
      <c r="BU846" s="5">
        <v>0</v>
      </c>
      <c r="BV846" s="5">
        <v>0</v>
      </c>
      <c r="BW846" s="5">
        <v>0</v>
      </c>
      <c r="BX846" s="5">
        <v>0</v>
      </c>
      <c r="BZ846" s="5">
        <v>0</v>
      </c>
      <c r="CA846" s="5">
        <v>0</v>
      </c>
      <c r="CC846" s="5">
        <v>0</v>
      </c>
      <c r="CD846" s="5">
        <v>0</v>
      </c>
      <c r="CF846" s="1442" t="str">
        <f>IF([1]!sommaire[[#This Row],[présence des personnes déplacés interne]]="Oui","1","0")</f>
        <v>0</v>
      </c>
      <c r="CG846" s="1442" t="str">
        <f>IF([1]!sommaire[[#This Row],[présence Réfugié hors camp]]="Oui","1","0")</f>
        <v>0</v>
      </c>
      <c r="CH846" s="1442" t="str">
        <f>IF([1]!sommaire[[#This Row],[présence personnes retournées]]="Oui","1","0")</f>
        <v>1</v>
      </c>
      <c r="CI846" s="1442">
        <f>[1]!sommaire[[#This Row],[Flag PDI]]+[1]!sommaire[[#This Row],[Flag REF]]+[1]!sommaire[[#This Row],[Flag RET]]</f>
        <v>1</v>
      </c>
    </row>
    <row r="847" spans="1:87" ht="14.55" customHeight="1" x14ac:dyDescent="0.3">
      <c r="A847" s="390">
        <v>2672792</v>
      </c>
      <c r="B847" s="5" t="s">
        <v>533</v>
      </c>
      <c r="C847" s="1430" t="s">
        <v>3449</v>
      </c>
      <c r="D847" s="1090" t="s">
        <v>534</v>
      </c>
      <c r="E847" s="5" t="s">
        <v>32</v>
      </c>
      <c r="F847" s="5" t="s">
        <v>32</v>
      </c>
      <c r="G847" s="5" t="s">
        <v>542</v>
      </c>
      <c r="H847" s="5" t="s">
        <v>178</v>
      </c>
      <c r="I847" s="5" t="str">
        <f>_xlfn.XLOOKUP(sommaire[[#This Row],[Arrondissement_code]],OCHA_GIS!$F:$F,OCHA_GIS!$E:$E,,)</f>
        <v>Maga</v>
      </c>
      <c r="J847" s="5" t="s">
        <v>543</v>
      </c>
      <c r="K847" t="s">
        <v>895</v>
      </c>
      <c r="L847" s="5" t="s">
        <v>896</v>
      </c>
      <c r="N847" s="5" t="s">
        <v>3053</v>
      </c>
      <c r="O847" s="5" t="s">
        <v>2467</v>
      </c>
      <c r="P847" s="5" t="s">
        <v>85</v>
      </c>
      <c r="Q847" s="5" t="s">
        <v>86</v>
      </c>
      <c r="R847" s="5" t="s">
        <v>86</v>
      </c>
      <c r="T847" s="390">
        <v>4</v>
      </c>
      <c r="U847" s="5" t="s">
        <v>97</v>
      </c>
      <c r="W847" s="5" t="s">
        <v>2468</v>
      </c>
      <c r="X847" s="5" t="s">
        <v>103</v>
      </c>
      <c r="Y847" s="5" t="s">
        <v>2476</v>
      </c>
      <c r="AA847" s="5" t="s">
        <v>85</v>
      </c>
      <c r="AB847" s="5" t="s">
        <v>2469</v>
      </c>
      <c r="AC847" s="5" t="s">
        <v>2470</v>
      </c>
      <c r="AD847" s="5" t="s">
        <v>86</v>
      </c>
      <c r="AF847" s="5">
        <v>30</v>
      </c>
      <c r="AG847" s="5">
        <v>2000</v>
      </c>
      <c r="AH847" s="5" t="s">
        <v>85</v>
      </c>
      <c r="AI847" s="5" t="s">
        <v>2471</v>
      </c>
      <c r="AJ847" s="5">
        <v>30</v>
      </c>
      <c r="AK847" s="5">
        <v>270</v>
      </c>
      <c r="AL847" s="5">
        <v>124</v>
      </c>
      <c r="AM847" s="5">
        <v>146</v>
      </c>
      <c r="AN847" s="5">
        <v>25</v>
      </c>
      <c r="AO847" s="5">
        <v>5</v>
      </c>
      <c r="AP847" s="5">
        <v>0</v>
      </c>
      <c r="AQ847" s="5">
        <v>0</v>
      </c>
      <c r="AT847" s="5">
        <v>0</v>
      </c>
      <c r="AU847" s="5">
        <v>0</v>
      </c>
      <c r="AX847" s="5">
        <v>0</v>
      </c>
      <c r="AY847" s="5" t="s">
        <v>86</v>
      </c>
      <c r="BN847" s="5" t="s">
        <v>86</v>
      </c>
      <c r="CD847" s="5">
        <v>0</v>
      </c>
      <c r="CF847" s="1442" t="str">
        <f>IF([1]!sommaire[[#This Row],[présence des personnes déplacés interne]]="Oui","1","0")</f>
        <v>1</v>
      </c>
      <c r="CG847" s="1442" t="str">
        <f>IF([1]!sommaire[[#This Row],[présence Réfugié hors camp]]="Oui","1","0")</f>
        <v>0</v>
      </c>
      <c r="CH847" s="1442" t="str">
        <f>IF([1]!sommaire[[#This Row],[présence personnes retournées]]="Oui","1","0")</f>
        <v>0</v>
      </c>
      <c r="CI847" s="1442">
        <f>[1]!sommaire[[#This Row],[Flag PDI]]+[1]!sommaire[[#This Row],[Flag REF]]+[1]!sommaire[[#This Row],[Flag RET]]</f>
        <v>1</v>
      </c>
    </row>
    <row r="848" spans="1:87" ht="14.55" customHeight="1" x14ac:dyDescent="0.3">
      <c r="A848" s="390">
        <v>2672814</v>
      </c>
      <c r="B848" s="5" t="s">
        <v>533</v>
      </c>
      <c r="C848" s="1430" t="s">
        <v>3449</v>
      </c>
      <c r="D848" s="1090" t="s">
        <v>534</v>
      </c>
      <c r="E848" s="5" t="s">
        <v>32</v>
      </c>
      <c r="F848" s="5" t="s">
        <v>32</v>
      </c>
      <c r="G848" s="5" t="s">
        <v>542</v>
      </c>
      <c r="H848" s="5" t="s">
        <v>178</v>
      </c>
      <c r="I848" s="5" t="str">
        <f>_xlfn.XLOOKUP(sommaire[[#This Row],[Arrondissement_code]],OCHA_GIS!$F:$F,OCHA_GIS!$E:$E,,)</f>
        <v>Maga</v>
      </c>
      <c r="J848" s="5" t="s">
        <v>543</v>
      </c>
      <c r="K848" t="s">
        <v>3231</v>
      </c>
      <c r="L848" s="5" t="s">
        <v>2778</v>
      </c>
      <c r="N848" s="5" t="s">
        <v>3053</v>
      </c>
      <c r="O848" s="5" t="s">
        <v>2467</v>
      </c>
      <c r="P848" s="5" t="s">
        <v>85</v>
      </c>
      <c r="Q848" s="5" t="s">
        <v>86</v>
      </c>
      <c r="R848" s="5" t="s">
        <v>85</v>
      </c>
      <c r="T848" s="390">
        <v>5</v>
      </c>
      <c r="U848" s="5" t="s">
        <v>97</v>
      </c>
      <c r="W848" s="5" t="s">
        <v>2468</v>
      </c>
      <c r="X848" s="5" t="s">
        <v>103</v>
      </c>
      <c r="Y848" s="5" t="s">
        <v>274</v>
      </c>
      <c r="AA848" s="586" t="s">
        <v>85</v>
      </c>
      <c r="AB848" s="5" t="s">
        <v>2469</v>
      </c>
      <c r="AC848" s="5" t="s">
        <v>2470</v>
      </c>
      <c r="AD848" s="5" t="s">
        <v>86</v>
      </c>
      <c r="AG848" s="5">
        <v>600</v>
      </c>
      <c r="AH848" s="5" t="s">
        <v>86</v>
      </c>
      <c r="AY848" s="5" t="s">
        <v>86</v>
      </c>
      <c r="BN848" s="5" t="s">
        <v>85</v>
      </c>
      <c r="BO848" s="5">
        <v>41</v>
      </c>
      <c r="BP848" s="5">
        <v>283</v>
      </c>
      <c r="BQ848" s="5">
        <v>130</v>
      </c>
      <c r="BR848" s="5">
        <v>153</v>
      </c>
      <c r="BS848" s="5" t="s">
        <v>2492</v>
      </c>
      <c r="BT848" s="5">
        <v>14</v>
      </c>
      <c r="BU848" s="5">
        <v>20</v>
      </c>
      <c r="BV848" s="5">
        <v>7</v>
      </c>
      <c r="BW848" s="5">
        <v>0</v>
      </c>
      <c r="BX848" s="5">
        <v>0</v>
      </c>
      <c r="BZ848" s="5">
        <v>0</v>
      </c>
      <c r="CA848" s="5">
        <v>0</v>
      </c>
      <c r="CC848" s="5">
        <v>0</v>
      </c>
      <c r="CD848" s="5">
        <v>0</v>
      </c>
      <c r="CF848" s="1442" t="str">
        <f>IF([1]!sommaire[[#This Row],[présence des personnes déplacés interne]]="Oui","1","0")</f>
        <v>0</v>
      </c>
      <c r="CG848" s="1442" t="str">
        <f>IF([1]!sommaire[[#This Row],[présence Réfugié hors camp]]="Oui","1","0")</f>
        <v>0</v>
      </c>
      <c r="CH848" s="1442" t="str">
        <f>IF([1]!sommaire[[#This Row],[présence personnes retournées]]="Oui","1","0")</f>
        <v>1</v>
      </c>
      <c r="CI848" s="1442">
        <f>[1]!sommaire[[#This Row],[Flag PDI]]+[1]!sommaire[[#This Row],[Flag REF]]+[1]!sommaire[[#This Row],[Flag RET]]</f>
        <v>1</v>
      </c>
    </row>
    <row r="849" spans="1:87" ht="14.55" customHeight="1" x14ac:dyDescent="0.3">
      <c r="A849" s="390">
        <v>2672785</v>
      </c>
      <c r="B849" s="5" t="s">
        <v>533</v>
      </c>
      <c r="C849" s="1430" t="s">
        <v>3449</v>
      </c>
      <c r="D849" s="1090" t="s">
        <v>534</v>
      </c>
      <c r="E849" s="5" t="s">
        <v>32</v>
      </c>
      <c r="F849" s="5" t="s">
        <v>32</v>
      </c>
      <c r="G849" s="5" t="s">
        <v>542</v>
      </c>
      <c r="H849" s="5" t="s">
        <v>178</v>
      </c>
      <c r="I849" s="5" t="str">
        <f>_xlfn.XLOOKUP(sommaire[[#This Row],[Arrondissement_code]],OCHA_GIS!$F:$F,OCHA_GIS!$E:$E,,)</f>
        <v>Maga</v>
      </c>
      <c r="J849" s="5" t="s">
        <v>543</v>
      </c>
      <c r="K849" t="s">
        <v>2582</v>
      </c>
      <c r="L849" s="5" t="s">
        <v>3237</v>
      </c>
      <c r="N849" s="5" t="s">
        <v>3053</v>
      </c>
      <c r="O849" s="5" t="s">
        <v>2473</v>
      </c>
      <c r="P849" s="5" t="s">
        <v>85</v>
      </c>
      <c r="Q849" s="5" t="s">
        <v>86</v>
      </c>
      <c r="R849" s="5" t="s">
        <v>86</v>
      </c>
      <c r="T849" s="390">
        <v>5</v>
      </c>
      <c r="U849" s="5" t="s">
        <v>97</v>
      </c>
      <c r="W849" s="5" t="s">
        <v>2482</v>
      </c>
      <c r="AA849" s="5" t="s">
        <v>86</v>
      </c>
      <c r="AH849" s="1430" t="s">
        <v>86</v>
      </c>
      <c r="AY849" s="1430" t="s">
        <v>86</v>
      </c>
      <c r="BN849" s="1430" t="s">
        <v>86</v>
      </c>
      <c r="CF849" s="1442" t="str">
        <f>IF([1]!sommaire[[#This Row],[présence des personnes déplacés interne]]="Oui","1","0")</f>
        <v>0</v>
      </c>
      <c r="CG849" s="1442" t="str">
        <f>IF([1]!sommaire[[#This Row],[présence Réfugié hors camp]]="Oui","1","0")</f>
        <v>0</v>
      </c>
      <c r="CH849" s="1442" t="str">
        <f>IF([1]!sommaire[[#This Row],[présence personnes retournées]]="Oui","1","0")</f>
        <v>0</v>
      </c>
      <c r="CI849" s="1442">
        <f>[1]!sommaire[[#This Row],[Flag PDI]]+[1]!sommaire[[#This Row],[Flag REF]]+[1]!sommaire[[#This Row],[Flag RET]]</f>
        <v>0</v>
      </c>
    </row>
    <row r="850" spans="1:87" ht="14.55" customHeight="1" x14ac:dyDescent="0.3">
      <c r="A850" s="390">
        <v>2665638</v>
      </c>
      <c r="B850" s="5" t="s">
        <v>533</v>
      </c>
      <c r="C850" s="1430" t="s">
        <v>3449</v>
      </c>
      <c r="D850" s="5" t="s">
        <v>534</v>
      </c>
      <c r="E850" s="5" t="s">
        <v>32</v>
      </c>
      <c r="F850" s="5" t="s">
        <v>32</v>
      </c>
      <c r="G850" s="5" t="s">
        <v>542</v>
      </c>
      <c r="H850" s="5" t="s">
        <v>178</v>
      </c>
      <c r="I850" s="5" t="str">
        <f>_xlfn.XLOOKUP(sommaire[[#This Row],[Arrondissement_code]],OCHA_GIS!$F:$F,OCHA_GIS!$E:$E,,)</f>
        <v>Maga</v>
      </c>
      <c r="J850" s="5" t="s">
        <v>543</v>
      </c>
      <c r="K850" t="s">
        <v>1718</v>
      </c>
      <c r="L850" s="5" t="s">
        <v>3254</v>
      </c>
      <c r="N850" s="5" t="s">
        <v>3053</v>
      </c>
      <c r="O850" s="5" t="s">
        <v>2473</v>
      </c>
      <c r="P850" s="5" t="s">
        <v>85</v>
      </c>
      <c r="Q850" s="5" t="s">
        <v>86</v>
      </c>
      <c r="R850" s="5" t="s">
        <v>85</v>
      </c>
      <c r="T850" s="390">
        <v>3</v>
      </c>
      <c r="U850" s="5" t="s">
        <v>97</v>
      </c>
      <c r="W850" s="5" t="s">
        <v>2468</v>
      </c>
      <c r="X850" s="5" t="s">
        <v>102</v>
      </c>
      <c r="AA850" s="5" t="s">
        <v>85</v>
      </c>
      <c r="AB850" s="5" t="s">
        <v>2473</v>
      </c>
      <c r="AC850" s="5" t="s">
        <v>2470</v>
      </c>
      <c r="AF850" s="5">
        <v>31</v>
      </c>
      <c r="AG850" s="5">
        <v>171</v>
      </c>
      <c r="AH850" s="5" t="s">
        <v>85</v>
      </c>
      <c r="AI850" s="5" t="s">
        <v>2471</v>
      </c>
      <c r="AJ850" s="5">
        <v>31</v>
      </c>
      <c r="AK850" s="5">
        <v>171</v>
      </c>
      <c r="AL850" s="5">
        <v>64</v>
      </c>
      <c r="AM850" s="5">
        <v>107</v>
      </c>
      <c r="AN850" s="5">
        <v>31</v>
      </c>
      <c r="AO850" s="5">
        <v>0</v>
      </c>
      <c r="AP850" s="5">
        <v>0</v>
      </c>
      <c r="AQ850" s="5">
        <v>0</v>
      </c>
      <c r="AT850" s="5">
        <v>0</v>
      </c>
      <c r="AU850" s="5">
        <v>0</v>
      </c>
      <c r="AX850" s="5">
        <v>0</v>
      </c>
      <c r="AY850" s="5" t="s">
        <v>86</v>
      </c>
      <c r="BN850" s="5" t="s">
        <v>86</v>
      </c>
      <c r="CD850" s="5">
        <v>0</v>
      </c>
      <c r="CF850" s="1442" t="str">
        <f>IF([1]!sommaire[[#This Row],[présence des personnes déplacés interne]]="Oui","1","0")</f>
        <v>1</v>
      </c>
      <c r="CG850" s="1442" t="str">
        <f>IF([1]!sommaire[[#This Row],[présence Réfugié hors camp]]="Oui","1","0")</f>
        <v>0</v>
      </c>
      <c r="CH850" s="1442" t="str">
        <f>IF([1]!sommaire[[#This Row],[présence personnes retournées]]="Oui","1","0")</f>
        <v>0</v>
      </c>
      <c r="CI850" s="1442">
        <f>[1]!sommaire[[#This Row],[Flag PDI]]+[1]!sommaire[[#This Row],[Flag REF]]+[1]!sommaire[[#This Row],[Flag RET]]</f>
        <v>1</v>
      </c>
    </row>
    <row r="851" spans="1:87" ht="14.55" customHeight="1" x14ac:dyDescent="0.3">
      <c r="A851" s="390">
        <v>2665637</v>
      </c>
      <c r="B851" s="5" t="s">
        <v>533</v>
      </c>
      <c r="C851" s="1430" t="s">
        <v>3449</v>
      </c>
      <c r="D851" s="5" t="s">
        <v>534</v>
      </c>
      <c r="E851" s="5" t="s">
        <v>32</v>
      </c>
      <c r="F851" s="5" t="s">
        <v>32</v>
      </c>
      <c r="G851" s="5" t="s">
        <v>542</v>
      </c>
      <c r="H851" s="5" t="s">
        <v>178</v>
      </c>
      <c r="I851" s="5" t="str">
        <f>_xlfn.XLOOKUP(sommaire[[#This Row],[Arrondissement_code]],OCHA_GIS!$F:$F,OCHA_GIS!$E:$E,,)</f>
        <v>Maga</v>
      </c>
      <c r="J851" s="5" t="s">
        <v>543</v>
      </c>
      <c r="K851" t="s">
        <v>761</v>
      </c>
      <c r="L851" s="5" t="s">
        <v>3255</v>
      </c>
      <c r="N851" s="5" t="s">
        <v>3053</v>
      </c>
      <c r="O851" s="5" t="s">
        <v>2473</v>
      </c>
      <c r="P851" s="5" t="s">
        <v>85</v>
      </c>
      <c r="Q851" s="5" t="s">
        <v>86</v>
      </c>
      <c r="R851" s="5" t="s">
        <v>85</v>
      </c>
      <c r="T851" s="390">
        <v>3</v>
      </c>
      <c r="U851" s="5" t="s">
        <v>97</v>
      </c>
      <c r="W851" s="5" t="s">
        <v>2468</v>
      </c>
      <c r="X851" s="5" t="s">
        <v>103</v>
      </c>
      <c r="Y851" s="5" t="s">
        <v>2476</v>
      </c>
      <c r="AA851" s="5" t="s">
        <v>85</v>
      </c>
      <c r="AB851" s="5" t="s">
        <v>2473</v>
      </c>
      <c r="AC851" s="5" t="s">
        <v>2470</v>
      </c>
      <c r="AF851" s="5">
        <v>102</v>
      </c>
      <c r="AG851" s="5">
        <v>1670</v>
      </c>
      <c r="AH851" s="5" t="s">
        <v>85</v>
      </c>
      <c r="AI851" s="5" t="s">
        <v>2471</v>
      </c>
      <c r="AJ851" s="5">
        <v>102</v>
      </c>
      <c r="AK851" s="5">
        <v>1670</v>
      </c>
      <c r="AL851" s="5">
        <v>735</v>
      </c>
      <c r="AM851" s="5">
        <v>935</v>
      </c>
      <c r="AN851" s="5">
        <v>102</v>
      </c>
      <c r="AO851" s="5">
        <v>0</v>
      </c>
      <c r="AP851" s="5">
        <v>0</v>
      </c>
      <c r="AQ851" s="5">
        <v>0</v>
      </c>
      <c r="AT851" s="5">
        <v>0</v>
      </c>
      <c r="AU851" s="5">
        <v>0</v>
      </c>
      <c r="AX851" s="5">
        <v>0</v>
      </c>
      <c r="AY851" s="5" t="s">
        <v>86</v>
      </c>
      <c r="BN851" s="5" t="s">
        <v>86</v>
      </c>
      <c r="CD851" s="5">
        <v>0</v>
      </c>
      <c r="CF851" s="1442" t="str">
        <f>IF([1]!sommaire[[#This Row],[présence des personnes déplacés interne]]="Oui","1","0")</f>
        <v>1</v>
      </c>
      <c r="CG851" s="1442" t="str">
        <f>IF([1]!sommaire[[#This Row],[présence Réfugié hors camp]]="Oui","1","0")</f>
        <v>0</v>
      </c>
      <c r="CH851" s="1442" t="str">
        <f>IF([1]!sommaire[[#This Row],[présence personnes retournées]]="Oui","1","0")</f>
        <v>0</v>
      </c>
      <c r="CI851" s="1442">
        <f>[1]!sommaire[[#This Row],[Flag PDI]]+[1]!sommaire[[#This Row],[Flag REF]]+[1]!sommaire[[#This Row],[Flag RET]]</f>
        <v>1</v>
      </c>
    </row>
    <row r="852" spans="1:87" ht="14.55" customHeight="1" x14ac:dyDescent="0.3">
      <c r="A852" s="390">
        <v>2627101</v>
      </c>
      <c r="B852" s="5" t="s">
        <v>533</v>
      </c>
      <c r="C852" s="1430" t="s">
        <v>3449</v>
      </c>
      <c r="D852" s="5" t="s">
        <v>534</v>
      </c>
      <c r="E852" s="5" t="s">
        <v>32</v>
      </c>
      <c r="F852" s="5" t="s">
        <v>32</v>
      </c>
      <c r="G852" s="5" t="s">
        <v>542</v>
      </c>
      <c r="H852" s="5" t="s">
        <v>178</v>
      </c>
      <c r="I852" s="5" t="str">
        <f>_xlfn.XLOOKUP(sommaire[[#This Row],[Arrondissement_code]],OCHA_GIS!$F:$F,OCHA_GIS!$E:$E,,)</f>
        <v>Maga</v>
      </c>
      <c r="J852" s="5" t="s">
        <v>543</v>
      </c>
      <c r="K852" t="s">
        <v>2584</v>
      </c>
      <c r="L852" s="5" t="s">
        <v>2585</v>
      </c>
      <c r="N852" s="5" t="s">
        <v>3053</v>
      </c>
      <c r="O852" s="5" t="s">
        <v>2473</v>
      </c>
      <c r="P852" s="5" t="s">
        <v>85</v>
      </c>
      <c r="Q852" s="5" t="s">
        <v>86</v>
      </c>
      <c r="R852" s="5" t="s">
        <v>85</v>
      </c>
      <c r="T852" s="390">
        <v>3</v>
      </c>
      <c r="U852" s="5" t="s">
        <v>97</v>
      </c>
      <c r="W852" s="5" t="s">
        <v>2482</v>
      </c>
      <c r="AA852" s="5" t="s">
        <v>86</v>
      </c>
      <c r="AH852" s="1430" t="s">
        <v>86</v>
      </c>
      <c r="AY852" s="1430" t="s">
        <v>86</v>
      </c>
      <c r="BN852" s="1430" t="s">
        <v>86</v>
      </c>
      <c r="CF852" s="1442" t="str">
        <f>IF([1]!sommaire[[#This Row],[présence des personnes déplacés interne]]="Oui","1","0")</f>
        <v>0</v>
      </c>
      <c r="CG852" s="1442" t="str">
        <f>IF([1]!sommaire[[#This Row],[présence Réfugié hors camp]]="Oui","1","0")</f>
        <v>0</v>
      </c>
      <c r="CH852" s="1442" t="str">
        <f>IF([1]!sommaire[[#This Row],[présence personnes retournées]]="Oui","1","0")</f>
        <v>0</v>
      </c>
      <c r="CI852" s="1442">
        <f>[1]!sommaire[[#This Row],[Flag PDI]]+[1]!sommaire[[#This Row],[Flag REF]]+[1]!sommaire[[#This Row],[Flag RET]]</f>
        <v>0</v>
      </c>
    </row>
    <row r="853" spans="1:87" ht="14.55" customHeight="1" x14ac:dyDescent="0.3">
      <c r="A853" s="390">
        <v>2677190</v>
      </c>
      <c r="B853" s="5" t="s">
        <v>533</v>
      </c>
      <c r="C853" s="1430" t="s">
        <v>3449</v>
      </c>
      <c r="D853" s="5" t="s">
        <v>534</v>
      </c>
      <c r="E853" s="5" t="s">
        <v>32</v>
      </c>
      <c r="F853" s="5" t="s">
        <v>32</v>
      </c>
      <c r="G853" s="5" t="s">
        <v>542</v>
      </c>
      <c r="H853" s="5" t="s">
        <v>178</v>
      </c>
      <c r="I853" s="5" t="str">
        <f>_xlfn.XLOOKUP(sommaire[[#This Row],[Arrondissement_code]],OCHA_GIS!$F:$F,OCHA_GIS!$E:$E,,)</f>
        <v>Maga</v>
      </c>
      <c r="J853" s="5" t="s">
        <v>543</v>
      </c>
      <c r="K853" t="s">
        <v>1735</v>
      </c>
      <c r="L853" s="5" t="s">
        <v>3280</v>
      </c>
      <c r="N853" s="5" t="s">
        <v>3053</v>
      </c>
      <c r="O853" s="5" t="s">
        <v>2473</v>
      </c>
      <c r="P853" s="5" t="s">
        <v>85</v>
      </c>
      <c r="Q853" s="5" t="s">
        <v>86</v>
      </c>
      <c r="R853" s="5" t="s">
        <v>85</v>
      </c>
      <c r="T853" s="390">
        <v>4</v>
      </c>
      <c r="U853" s="5" t="s">
        <v>97</v>
      </c>
      <c r="W853" s="5" t="s">
        <v>2468</v>
      </c>
      <c r="X853" s="5" t="s">
        <v>103</v>
      </c>
      <c r="Y853" s="5" t="s">
        <v>2476</v>
      </c>
      <c r="AA853" s="5" t="s">
        <v>85</v>
      </c>
      <c r="AB853" s="5" t="s">
        <v>2469</v>
      </c>
      <c r="AC853" s="5" t="s">
        <v>2470</v>
      </c>
      <c r="AF853" s="5">
        <v>46</v>
      </c>
      <c r="AG853" s="5">
        <v>680</v>
      </c>
      <c r="AH853" s="5" t="s">
        <v>85</v>
      </c>
      <c r="AI853" s="5" t="s">
        <v>2471</v>
      </c>
      <c r="AJ853" s="5">
        <v>46</v>
      </c>
      <c r="AK853" s="5">
        <v>351</v>
      </c>
      <c r="AL853" s="5">
        <v>173</v>
      </c>
      <c r="AM853" s="5">
        <v>178</v>
      </c>
      <c r="AN853" s="5">
        <v>46</v>
      </c>
      <c r="AO853" s="5">
        <v>0</v>
      </c>
      <c r="AP853" s="5">
        <v>0</v>
      </c>
      <c r="AQ853" s="5">
        <v>0</v>
      </c>
      <c r="AT853" s="5">
        <v>0</v>
      </c>
      <c r="AU853" s="5">
        <v>0</v>
      </c>
      <c r="AX853" s="5">
        <v>0</v>
      </c>
      <c r="AY853" s="5" t="s">
        <v>86</v>
      </c>
      <c r="BN853" s="5" t="s">
        <v>86</v>
      </c>
      <c r="CD853" s="5">
        <v>0</v>
      </c>
      <c r="CF853" s="1442" t="str">
        <f>IF([1]!sommaire[[#This Row],[présence des personnes déplacés interne]]="Oui","1","0")</f>
        <v>1</v>
      </c>
      <c r="CG853" s="1442" t="str">
        <f>IF([1]!sommaire[[#This Row],[présence Réfugié hors camp]]="Oui","1","0")</f>
        <v>0</v>
      </c>
      <c r="CH853" s="1442" t="str">
        <f>IF([1]!sommaire[[#This Row],[présence personnes retournées]]="Oui","1","0")</f>
        <v>0</v>
      </c>
      <c r="CI853" s="1442">
        <f>[1]!sommaire[[#This Row],[Flag PDI]]+[1]!sommaire[[#This Row],[Flag REF]]+[1]!sommaire[[#This Row],[Flag RET]]</f>
        <v>1</v>
      </c>
    </row>
    <row r="854" spans="1:87" ht="14.55" customHeight="1" x14ac:dyDescent="0.3">
      <c r="A854" s="390">
        <v>2580210</v>
      </c>
      <c r="B854" s="5" t="s">
        <v>533</v>
      </c>
      <c r="C854" s="1430" t="s">
        <v>3449</v>
      </c>
      <c r="D854" s="5" t="s">
        <v>534</v>
      </c>
      <c r="E854" s="5" t="s">
        <v>32</v>
      </c>
      <c r="F854" s="5" t="s">
        <v>32</v>
      </c>
      <c r="G854" s="5" t="s">
        <v>542</v>
      </c>
      <c r="H854" s="5" t="s">
        <v>178</v>
      </c>
      <c r="I854" s="5" t="str">
        <f>_xlfn.XLOOKUP(sommaire[[#This Row],[Arrondissement_code]],OCHA_GIS!$F:$F,OCHA_GIS!$E:$E,,)</f>
        <v>Maga</v>
      </c>
      <c r="J854" s="5" t="s">
        <v>543</v>
      </c>
      <c r="K854" t="s">
        <v>1017</v>
      </c>
      <c r="L854" s="5" t="s">
        <v>3301</v>
      </c>
      <c r="N854" s="5" t="s">
        <v>3053</v>
      </c>
      <c r="O854" s="5" t="s">
        <v>2473</v>
      </c>
      <c r="P854" s="5" t="s">
        <v>85</v>
      </c>
      <c r="Q854" s="5" t="s">
        <v>86</v>
      </c>
      <c r="R854" s="5" t="s">
        <v>85</v>
      </c>
      <c r="T854" s="390">
        <v>3</v>
      </c>
      <c r="U854" s="5" t="s">
        <v>97</v>
      </c>
      <c r="W854" s="5" t="s">
        <v>2468</v>
      </c>
      <c r="X854" s="5" t="s">
        <v>102</v>
      </c>
      <c r="AA854" s="5" t="s">
        <v>85</v>
      </c>
      <c r="AB854" s="5" t="s">
        <v>2473</v>
      </c>
      <c r="AC854" s="5" t="s">
        <v>2470</v>
      </c>
      <c r="AF854" s="5">
        <v>193</v>
      </c>
      <c r="AG854" s="5">
        <v>1640</v>
      </c>
      <c r="AH854" s="5" t="s">
        <v>85</v>
      </c>
      <c r="AI854" s="5" t="s">
        <v>2485</v>
      </c>
      <c r="AJ854" s="5">
        <v>193</v>
      </c>
      <c r="AK854" s="5">
        <v>1640</v>
      </c>
      <c r="AL854" s="5">
        <v>774</v>
      </c>
      <c r="AM854" s="5">
        <v>866</v>
      </c>
      <c r="AN854" s="5">
        <v>193</v>
      </c>
      <c r="AO854" s="5">
        <v>0</v>
      </c>
      <c r="AP854" s="5">
        <v>0</v>
      </c>
      <c r="AQ854" s="5">
        <v>0</v>
      </c>
      <c r="AT854" s="5">
        <v>0</v>
      </c>
      <c r="AU854" s="5">
        <v>0</v>
      </c>
      <c r="AX854" s="5">
        <v>0</v>
      </c>
      <c r="AY854" s="5" t="s">
        <v>86</v>
      </c>
      <c r="BN854" s="5" t="s">
        <v>86</v>
      </c>
      <c r="CD854" s="5">
        <v>0</v>
      </c>
      <c r="CF854" s="1442" t="str">
        <f>IF([1]!sommaire[[#This Row],[présence des personnes déplacés interne]]="Oui","1","0")</f>
        <v>1</v>
      </c>
      <c r="CG854" s="1442" t="str">
        <f>IF([1]!sommaire[[#This Row],[présence Réfugié hors camp]]="Oui","1","0")</f>
        <v>0</v>
      </c>
      <c r="CH854" s="1442" t="str">
        <f>IF([1]!sommaire[[#This Row],[présence personnes retournées]]="Oui","1","0")</f>
        <v>0</v>
      </c>
      <c r="CI854" s="1442">
        <f>[1]!sommaire[[#This Row],[Flag PDI]]+[1]!sommaire[[#This Row],[Flag REF]]+[1]!sommaire[[#This Row],[Flag RET]]</f>
        <v>1</v>
      </c>
    </row>
    <row r="855" spans="1:87" ht="14.55" customHeight="1" x14ac:dyDescent="0.3">
      <c r="A855" s="390">
        <v>2683349</v>
      </c>
      <c r="B855" s="5" t="s">
        <v>533</v>
      </c>
      <c r="C855" s="1430" t="s">
        <v>3449</v>
      </c>
      <c r="D855" s="5" t="s">
        <v>534</v>
      </c>
      <c r="E855" s="5" t="s">
        <v>32</v>
      </c>
      <c r="F855" s="5" t="s">
        <v>32</v>
      </c>
      <c r="G855" s="5" t="s">
        <v>542</v>
      </c>
      <c r="H855" s="5" t="s">
        <v>178</v>
      </c>
      <c r="I855" s="5" t="str">
        <f>_xlfn.XLOOKUP(sommaire[[#This Row],[Arrondissement_code]],OCHA_GIS!$F:$F,OCHA_GIS!$E:$E,,)</f>
        <v>Maga</v>
      </c>
      <c r="J855" s="5" t="s">
        <v>543</v>
      </c>
      <c r="K855" t="s">
        <v>963</v>
      </c>
      <c r="L855" s="5" t="s">
        <v>3304</v>
      </c>
      <c r="N855" s="5" t="s">
        <v>3053</v>
      </c>
      <c r="O855" s="5" t="s">
        <v>2473</v>
      </c>
      <c r="P855" s="5" t="s">
        <v>85</v>
      </c>
      <c r="Q855" s="5" t="s">
        <v>86</v>
      </c>
      <c r="R855" s="5" t="s">
        <v>85</v>
      </c>
      <c r="T855" s="390">
        <v>3</v>
      </c>
      <c r="U855" s="5" t="s">
        <v>97</v>
      </c>
      <c r="W855" s="5" t="s">
        <v>2468</v>
      </c>
      <c r="X855" s="5" t="s">
        <v>102</v>
      </c>
      <c r="AA855" s="5" t="s">
        <v>85</v>
      </c>
      <c r="AB855" s="5" t="s">
        <v>2473</v>
      </c>
      <c r="AC855" s="5" t="s">
        <v>2470</v>
      </c>
      <c r="AF855" s="5">
        <v>37</v>
      </c>
      <c r="AG855" s="5">
        <v>500</v>
      </c>
      <c r="AH855" s="5" t="s">
        <v>85</v>
      </c>
      <c r="AI855" s="5" t="s">
        <v>2471</v>
      </c>
      <c r="AJ855" s="5">
        <v>37</v>
      </c>
      <c r="AK855" s="5">
        <v>215</v>
      </c>
      <c r="AL855" s="5">
        <v>105</v>
      </c>
      <c r="AM855" s="5">
        <v>110</v>
      </c>
      <c r="AN855" s="5">
        <v>37</v>
      </c>
      <c r="AO855" s="5">
        <v>0</v>
      </c>
      <c r="AP855" s="5">
        <v>0</v>
      </c>
      <c r="AQ855" s="5">
        <v>0</v>
      </c>
      <c r="AT855" s="5">
        <v>0</v>
      </c>
      <c r="AU855" s="5">
        <v>0</v>
      </c>
      <c r="AX855" s="5">
        <v>0</v>
      </c>
      <c r="AY855" s="5" t="s">
        <v>86</v>
      </c>
      <c r="BN855" s="5" t="s">
        <v>85</v>
      </c>
      <c r="BO855" s="5">
        <v>29</v>
      </c>
      <c r="BP855" s="5">
        <v>233</v>
      </c>
      <c r="BQ855" s="5">
        <v>110</v>
      </c>
      <c r="BR855" s="5">
        <v>123</v>
      </c>
      <c r="BS855" s="5" t="s">
        <v>2535</v>
      </c>
      <c r="BT855" s="5">
        <v>29</v>
      </c>
      <c r="BU855" s="5">
        <v>0</v>
      </c>
      <c r="BV855" s="5">
        <v>0</v>
      </c>
      <c r="BW855" s="5">
        <v>0</v>
      </c>
      <c r="BX855" s="5">
        <v>0</v>
      </c>
      <c r="BZ855" s="5">
        <v>0</v>
      </c>
      <c r="CA855" s="5">
        <v>0</v>
      </c>
      <c r="CC855" s="5">
        <v>0</v>
      </c>
      <c r="CD855" s="5">
        <v>0</v>
      </c>
      <c r="CF855" s="1442" t="str">
        <f>IF([1]!sommaire[[#This Row],[présence des personnes déplacés interne]]="Oui","1","0")</f>
        <v>1</v>
      </c>
      <c r="CG855" s="1442" t="str">
        <f>IF([1]!sommaire[[#This Row],[présence Réfugié hors camp]]="Oui","1","0")</f>
        <v>0</v>
      </c>
      <c r="CH855" s="1442" t="str">
        <f>IF([1]!sommaire[[#This Row],[présence personnes retournées]]="Oui","1","0")</f>
        <v>1</v>
      </c>
      <c r="CI855" s="1442">
        <f>[1]!sommaire[[#This Row],[Flag PDI]]+[1]!sommaire[[#This Row],[Flag REF]]+[1]!sommaire[[#This Row],[Flag RET]]</f>
        <v>2</v>
      </c>
    </row>
    <row r="856" spans="1:87" ht="14.55" customHeight="1" x14ac:dyDescent="0.3">
      <c r="A856" s="390">
        <v>2580211</v>
      </c>
      <c r="B856" s="5" t="s">
        <v>533</v>
      </c>
      <c r="C856" s="1430" t="s">
        <v>3449</v>
      </c>
      <c r="D856" s="5" t="s">
        <v>534</v>
      </c>
      <c r="E856" s="5" t="s">
        <v>32</v>
      </c>
      <c r="F856" s="5" t="s">
        <v>32</v>
      </c>
      <c r="G856" s="5" t="s">
        <v>542</v>
      </c>
      <c r="H856" s="5" t="s">
        <v>178</v>
      </c>
      <c r="I856" s="5" t="str">
        <f>_xlfn.XLOOKUP(sommaire[[#This Row],[Arrondissement_code]],OCHA_GIS!$F:$F,OCHA_GIS!$E:$E,,)</f>
        <v>Maga</v>
      </c>
      <c r="J856" s="5" t="s">
        <v>543</v>
      </c>
      <c r="K856" t="s">
        <v>2586</v>
      </c>
      <c r="L856" s="5" t="s">
        <v>2587</v>
      </c>
      <c r="N856" s="5" t="s">
        <v>3053</v>
      </c>
      <c r="O856" s="5" t="s">
        <v>2473</v>
      </c>
      <c r="P856" s="5" t="s">
        <v>85</v>
      </c>
      <c r="Q856" s="5" t="s">
        <v>86</v>
      </c>
      <c r="R856" s="5" t="s">
        <v>85</v>
      </c>
      <c r="T856" s="390">
        <v>3</v>
      </c>
      <c r="U856" s="5" t="s">
        <v>97</v>
      </c>
      <c r="W856" s="5" t="s">
        <v>2482</v>
      </c>
      <c r="AA856" s="5" t="s">
        <v>86</v>
      </c>
      <c r="AH856" s="1430" t="s">
        <v>86</v>
      </c>
      <c r="AY856" s="1430" t="s">
        <v>86</v>
      </c>
      <c r="BN856" s="1430" t="s">
        <v>86</v>
      </c>
      <c r="CF856" s="1442" t="str">
        <f>IF([1]!sommaire[[#This Row],[présence des personnes déplacés interne]]="Oui","1","0")</f>
        <v>0</v>
      </c>
      <c r="CG856" s="1442" t="str">
        <f>IF([1]!sommaire[[#This Row],[présence Réfugié hors camp]]="Oui","1","0")</f>
        <v>0</v>
      </c>
      <c r="CH856" s="1442" t="str">
        <f>IF([1]!sommaire[[#This Row],[présence personnes retournées]]="Oui","1","0")</f>
        <v>0</v>
      </c>
      <c r="CI856" s="1442">
        <f>[1]!sommaire[[#This Row],[Flag PDI]]+[1]!sommaire[[#This Row],[Flag REF]]+[1]!sommaire[[#This Row],[Flag RET]]</f>
        <v>0</v>
      </c>
    </row>
    <row r="857" spans="1:87" ht="14.55" customHeight="1" x14ac:dyDescent="0.3">
      <c r="A857" s="390">
        <v>2672808</v>
      </c>
      <c r="B857" s="5" t="s">
        <v>533</v>
      </c>
      <c r="C857" s="1430" t="s">
        <v>3449</v>
      </c>
      <c r="D857" s="5" t="s">
        <v>534</v>
      </c>
      <c r="E857" s="5" t="s">
        <v>32</v>
      </c>
      <c r="F857" s="5" t="s">
        <v>32</v>
      </c>
      <c r="G857" s="5" t="s">
        <v>542</v>
      </c>
      <c r="H857" s="5" t="s">
        <v>178</v>
      </c>
      <c r="I857" s="5" t="str">
        <f>_xlfn.XLOOKUP(sommaire[[#This Row],[Arrondissement_code]],OCHA_GIS!$F:$F,OCHA_GIS!$E:$E,,)</f>
        <v>Maga</v>
      </c>
      <c r="J857" s="5" t="s">
        <v>543</v>
      </c>
      <c r="K857" t="s">
        <v>3316</v>
      </c>
      <c r="L857" s="5" t="s">
        <v>2782</v>
      </c>
      <c r="N857" s="5" t="s">
        <v>3053</v>
      </c>
      <c r="O857" s="5" t="s">
        <v>2467</v>
      </c>
      <c r="P857" s="5" t="s">
        <v>85</v>
      </c>
      <c r="Q857" s="5" t="s">
        <v>86</v>
      </c>
      <c r="R857" s="5" t="s">
        <v>85</v>
      </c>
      <c r="T857" s="1190">
        <v>4</v>
      </c>
      <c r="U857" s="5" t="s">
        <v>97</v>
      </c>
      <c r="W857" s="5" t="s">
        <v>2468</v>
      </c>
      <c r="X857" s="5" t="s">
        <v>103</v>
      </c>
      <c r="Y857" s="5" t="s">
        <v>274</v>
      </c>
      <c r="AA857" s="5" t="s">
        <v>85</v>
      </c>
      <c r="AB857" s="5" t="s">
        <v>2469</v>
      </c>
      <c r="AC857" s="5" t="s">
        <v>2576</v>
      </c>
      <c r="AD857" s="5" t="s">
        <v>86</v>
      </c>
      <c r="AG857" s="5">
        <v>3000</v>
      </c>
      <c r="AH857" s="5" t="s">
        <v>86</v>
      </c>
      <c r="AY857" s="5" t="s">
        <v>86</v>
      </c>
      <c r="BN857" s="5" t="s">
        <v>85</v>
      </c>
      <c r="BO857" s="5">
        <v>62</v>
      </c>
      <c r="BP857" s="5">
        <v>484</v>
      </c>
      <c r="BQ857" s="5">
        <v>224</v>
      </c>
      <c r="BR857" s="5">
        <v>260</v>
      </c>
      <c r="BS857" s="5" t="s">
        <v>2492</v>
      </c>
      <c r="BT857" s="5">
        <v>0</v>
      </c>
      <c r="BU857" s="5">
        <v>22</v>
      </c>
      <c r="BV857" s="5">
        <v>20</v>
      </c>
      <c r="BW857" s="5">
        <v>0</v>
      </c>
      <c r="BX857" s="5">
        <v>0</v>
      </c>
      <c r="BZ857" s="5">
        <v>0</v>
      </c>
      <c r="CA857" s="5">
        <v>20</v>
      </c>
      <c r="CB857" s="5" t="s">
        <v>2475</v>
      </c>
      <c r="CC857" s="5">
        <v>0</v>
      </c>
      <c r="CD857" s="5">
        <v>0</v>
      </c>
      <c r="CF857" s="1442" t="str">
        <f>IF([1]!sommaire[[#This Row],[présence des personnes déplacés interne]]="Oui","1","0")</f>
        <v>0</v>
      </c>
      <c r="CG857" s="1442" t="str">
        <f>IF([1]!sommaire[[#This Row],[présence Réfugié hors camp]]="Oui","1","0")</f>
        <v>0</v>
      </c>
      <c r="CH857" s="1442" t="str">
        <f>IF([1]!sommaire[[#This Row],[présence personnes retournées]]="Oui","1","0")</f>
        <v>1</v>
      </c>
      <c r="CI857" s="1442">
        <f>[1]!sommaire[[#This Row],[Flag PDI]]+[1]!sommaire[[#This Row],[Flag REF]]+[1]!sommaire[[#This Row],[Flag RET]]</f>
        <v>1</v>
      </c>
    </row>
    <row r="858" spans="1:87" ht="14.55" customHeight="1" x14ac:dyDescent="0.3">
      <c r="A858" s="390">
        <v>2672810</v>
      </c>
      <c r="B858" s="5" t="s">
        <v>533</v>
      </c>
      <c r="C858" s="1430" t="s">
        <v>3449</v>
      </c>
      <c r="D858" s="5" t="s">
        <v>534</v>
      </c>
      <c r="E858" s="5" t="s">
        <v>32</v>
      </c>
      <c r="F858" s="5" t="s">
        <v>32</v>
      </c>
      <c r="G858" s="5" t="s">
        <v>542</v>
      </c>
      <c r="H858" s="5" t="s">
        <v>178</v>
      </c>
      <c r="I858" s="5" t="str">
        <f>_xlfn.XLOOKUP(sommaire[[#This Row],[Arrondissement_code]],OCHA_GIS!$F:$F,OCHA_GIS!$E:$E,,)</f>
        <v>Maga</v>
      </c>
      <c r="J858" s="5" t="s">
        <v>543</v>
      </c>
      <c r="K858" t="s">
        <v>3317</v>
      </c>
      <c r="L858" s="5" t="s">
        <v>2788</v>
      </c>
      <c r="N858" s="5" t="s">
        <v>3053</v>
      </c>
      <c r="O858" s="5" t="s">
        <v>2467</v>
      </c>
      <c r="P858" s="5" t="s">
        <v>85</v>
      </c>
      <c r="Q858" s="5" t="s">
        <v>86</v>
      </c>
      <c r="R858" s="5" t="s">
        <v>85</v>
      </c>
      <c r="T858" s="390">
        <v>5</v>
      </c>
      <c r="U858" s="5" t="s">
        <v>97</v>
      </c>
      <c r="W858" s="5" t="s">
        <v>2468</v>
      </c>
      <c r="X858" s="5" t="s">
        <v>103</v>
      </c>
      <c r="Y858" s="5" t="s">
        <v>274</v>
      </c>
      <c r="AA858" s="5" t="s">
        <v>85</v>
      </c>
      <c r="AB858" s="5" t="s">
        <v>2469</v>
      </c>
      <c r="AC858" s="5" t="s">
        <v>2470</v>
      </c>
      <c r="AD858" s="5" t="s">
        <v>86</v>
      </c>
      <c r="AG858" s="5">
        <v>1800</v>
      </c>
      <c r="AH858" s="5" t="s">
        <v>86</v>
      </c>
      <c r="AY858" s="5" t="s">
        <v>86</v>
      </c>
      <c r="BN858" s="5" t="s">
        <v>85</v>
      </c>
      <c r="BO858" s="5">
        <v>7</v>
      </c>
      <c r="BP858" s="5">
        <v>47</v>
      </c>
      <c r="BQ858" s="5">
        <v>22</v>
      </c>
      <c r="BR858" s="5">
        <v>25</v>
      </c>
      <c r="BS858" s="5" t="s">
        <v>2492</v>
      </c>
      <c r="BT858" s="5">
        <v>0</v>
      </c>
      <c r="BU858" s="5">
        <v>5</v>
      </c>
      <c r="BV858" s="5">
        <v>2</v>
      </c>
      <c r="BW858" s="5">
        <v>0</v>
      </c>
      <c r="BX858" s="5">
        <v>0</v>
      </c>
      <c r="BZ858" s="5">
        <v>0</v>
      </c>
      <c r="CA858" s="5">
        <v>0</v>
      </c>
      <c r="CC858" s="5">
        <v>0</v>
      </c>
      <c r="CD858" s="5">
        <v>0</v>
      </c>
      <c r="CF858" s="1442" t="str">
        <f>IF([1]!sommaire[[#This Row],[présence des personnes déplacés interne]]="Oui","1","0")</f>
        <v>0</v>
      </c>
      <c r="CG858" s="1442" t="str">
        <f>IF([1]!sommaire[[#This Row],[présence Réfugié hors camp]]="Oui","1","0")</f>
        <v>0</v>
      </c>
      <c r="CH858" s="1442" t="str">
        <f>IF([1]!sommaire[[#This Row],[présence personnes retournées]]="Oui","1","0")</f>
        <v>1</v>
      </c>
      <c r="CI858" s="1442">
        <f>[1]!sommaire[[#This Row],[Flag PDI]]+[1]!sommaire[[#This Row],[Flag REF]]+[1]!sommaire[[#This Row],[Flag RET]]</f>
        <v>1</v>
      </c>
    </row>
    <row r="859" spans="1:87" ht="14.55" customHeight="1" x14ac:dyDescent="0.3">
      <c r="A859" s="390">
        <v>2665642</v>
      </c>
      <c r="B859" s="5" t="s">
        <v>533</v>
      </c>
      <c r="C859" s="1430" t="s">
        <v>3449</v>
      </c>
      <c r="D859" s="5" t="s">
        <v>534</v>
      </c>
      <c r="E859" s="5" t="s">
        <v>32</v>
      </c>
      <c r="F859" s="5" t="s">
        <v>32</v>
      </c>
      <c r="G859" s="5" t="s">
        <v>542</v>
      </c>
      <c r="H859" s="5" t="s">
        <v>178</v>
      </c>
      <c r="I859" s="5" t="str">
        <f>_xlfn.XLOOKUP(sommaire[[#This Row],[Arrondissement_code]],OCHA_GIS!$F:$F,OCHA_GIS!$E:$E,,)</f>
        <v>Maga</v>
      </c>
      <c r="J859" s="5" t="s">
        <v>543</v>
      </c>
      <c r="K859" t="s">
        <v>2294</v>
      </c>
      <c r="L859" s="5" t="s">
        <v>2295</v>
      </c>
      <c r="N859" s="5" t="s">
        <v>3053</v>
      </c>
      <c r="O859" s="5" t="s">
        <v>2467</v>
      </c>
      <c r="P859" s="5" t="s">
        <v>85</v>
      </c>
      <c r="Q859" s="5" t="s">
        <v>86</v>
      </c>
      <c r="R859" s="5" t="s">
        <v>85</v>
      </c>
      <c r="T859" s="390">
        <v>3</v>
      </c>
      <c r="U859" s="5" t="s">
        <v>97</v>
      </c>
      <c r="W859" s="5" t="s">
        <v>2468</v>
      </c>
      <c r="X859" s="5" t="s">
        <v>101</v>
      </c>
      <c r="Y859" s="5" t="s">
        <v>2476</v>
      </c>
      <c r="AA859" s="5" t="s">
        <v>85</v>
      </c>
      <c r="AB859" s="5" t="s">
        <v>2469</v>
      </c>
      <c r="AC859" s="5" t="s">
        <v>2470</v>
      </c>
      <c r="AD859" s="5" t="s">
        <v>86</v>
      </c>
      <c r="AG859" s="5">
        <v>700</v>
      </c>
      <c r="AH859" s="5" t="s">
        <v>86</v>
      </c>
      <c r="AY859" s="5" t="s">
        <v>86</v>
      </c>
      <c r="BN859" s="5" t="s">
        <v>85</v>
      </c>
      <c r="BO859" s="5">
        <v>19</v>
      </c>
      <c r="BP859" s="5">
        <v>210</v>
      </c>
      <c r="BQ859" s="5">
        <v>99</v>
      </c>
      <c r="BR859" s="5">
        <v>111</v>
      </c>
      <c r="BS859" s="5" t="s">
        <v>2535</v>
      </c>
      <c r="BT859" s="5">
        <v>19</v>
      </c>
      <c r="BU859" s="5">
        <v>0</v>
      </c>
      <c r="BV859" s="5">
        <v>0</v>
      </c>
      <c r="BW859" s="5">
        <v>0</v>
      </c>
      <c r="BX859" s="5">
        <v>0</v>
      </c>
      <c r="BZ859" s="5">
        <v>0</v>
      </c>
      <c r="CA859" s="5">
        <v>0</v>
      </c>
      <c r="CC859" s="5">
        <v>0</v>
      </c>
      <c r="CD859" s="5">
        <v>0</v>
      </c>
      <c r="CF859" s="1442" t="str">
        <f>IF([1]!sommaire[[#This Row],[présence des personnes déplacés interne]]="Oui","1","0")</f>
        <v>0</v>
      </c>
      <c r="CG859" s="1442" t="str">
        <f>IF([1]!sommaire[[#This Row],[présence Réfugié hors camp]]="Oui","1","0")</f>
        <v>0</v>
      </c>
      <c r="CH859" s="1442" t="str">
        <f>IF([1]!sommaire[[#This Row],[présence personnes retournées]]="Oui","1","0")</f>
        <v>1</v>
      </c>
      <c r="CI859" s="1442">
        <f>[1]!sommaire[[#This Row],[Flag PDI]]+[1]!sommaire[[#This Row],[Flag REF]]+[1]!sommaire[[#This Row],[Flag RET]]</f>
        <v>1</v>
      </c>
    </row>
    <row r="860" spans="1:87" ht="14.55" customHeight="1" x14ac:dyDescent="0.3">
      <c r="A860" s="390">
        <v>2715102</v>
      </c>
      <c r="B860" s="5" t="s">
        <v>533</v>
      </c>
      <c r="C860" s="1430" t="s">
        <v>3449</v>
      </c>
      <c r="D860" s="1090" t="s">
        <v>534</v>
      </c>
      <c r="E860" s="5" t="s">
        <v>32</v>
      </c>
      <c r="F860" s="5" t="s">
        <v>32</v>
      </c>
      <c r="G860" s="5" t="s">
        <v>542</v>
      </c>
      <c r="H860" s="5" t="s">
        <v>180</v>
      </c>
      <c r="I860" s="5" t="str">
        <f>_xlfn.XLOOKUP(sommaire[[#This Row],[Arrondissement_code]],OCHA_GIS!$F:$F,OCHA_GIS!$E:$E,,)</f>
        <v>Wina</v>
      </c>
      <c r="J860" s="5" t="s">
        <v>1653</v>
      </c>
      <c r="K860" t="s">
        <v>550</v>
      </c>
      <c r="L860" s="5" t="s">
        <v>3156</v>
      </c>
      <c r="M860" s="5" t="s">
        <v>3156</v>
      </c>
      <c r="N860" s="5" t="s">
        <v>3053</v>
      </c>
      <c r="O860" s="5" t="s">
        <v>2467</v>
      </c>
      <c r="P860" s="5" t="s">
        <v>85</v>
      </c>
      <c r="Q860" s="5" t="s">
        <v>86</v>
      </c>
      <c r="R860" s="5" t="s">
        <v>86</v>
      </c>
      <c r="T860" s="390">
        <v>3</v>
      </c>
      <c r="U860" s="5" t="s">
        <v>97</v>
      </c>
      <c r="W860" s="5" t="s">
        <v>2468</v>
      </c>
      <c r="X860" s="5" t="s">
        <v>103</v>
      </c>
      <c r="Y860" s="5" t="s">
        <v>2476</v>
      </c>
      <c r="AA860" s="586" t="s">
        <v>85</v>
      </c>
      <c r="AB860" s="5" t="s">
        <v>2473</v>
      </c>
      <c r="AC860" s="5" t="s">
        <v>2469</v>
      </c>
      <c r="AD860" s="5" t="s">
        <v>86</v>
      </c>
      <c r="AG860" s="5">
        <v>6208</v>
      </c>
      <c r="AH860" s="5" t="s">
        <v>86</v>
      </c>
      <c r="AY860" s="5" t="s">
        <v>86</v>
      </c>
      <c r="BN860" s="5" t="s">
        <v>85</v>
      </c>
      <c r="BO860" s="5">
        <v>776</v>
      </c>
      <c r="BP860" s="5">
        <v>6208</v>
      </c>
      <c r="BQ860" s="5">
        <v>3000</v>
      </c>
      <c r="BR860" s="5">
        <v>3208</v>
      </c>
      <c r="BS860" s="5" t="s">
        <v>2484</v>
      </c>
      <c r="BT860" s="5">
        <v>200</v>
      </c>
      <c r="BU860" s="5">
        <v>0</v>
      </c>
      <c r="BV860" s="5">
        <v>0</v>
      </c>
      <c r="BW860" s="5">
        <v>0</v>
      </c>
      <c r="BX860" s="5">
        <v>0</v>
      </c>
      <c r="BZ860" s="5">
        <v>0</v>
      </c>
      <c r="CA860" s="5">
        <v>576</v>
      </c>
      <c r="CB860" s="5" t="s">
        <v>2490</v>
      </c>
      <c r="CC860" s="5">
        <v>0</v>
      </c>
      <c r="CD860" s="5">
        <v>0</v>
      </c>
      <c r="CF860" s="1442" t="str">
        <f>IF([1]!sommaire[[#This Row],[présence des personnes déplacés interne]]="Oui","1","0")</f>
        <v>0</v>
      </c>
      <c r="CG860" s="1442" t="str">
        <f>IF([1]!sommaire[[#This Row],[présence Réfugié hors camp]]="Oui","1","0")</f>
        <v>0</v>
      </c>
      <c r="CH860" s="1442" t="str">
        <f>IF([1]!sommaire[[#This Row],[présence personnes retournées]]="Oui","1","0")</f>
        <v>1</v>
      </c>
      <c r="CI860" s="1442">
        <f>[1]!sommaire[[#This Row],[Flag PDI]]+[1]!sommaire[[#This Row],[Flag REF]]+[1]!sommaire[[#This Row],[Flag RET]]</f>
        <v>1</v>
      </c>
    </row>
    <row r="861" spans="1:87" ht="14.55" customHeight="1" x14ac:dyDescent="0.3">
      <c r="A861" s="390">
        <v>2715110</v>
      </c>
      <c r="B861" s="5" t="s">
        <v>533</v>
      </c>
      <c r="C861" s="1430" t="s">
        <v>3449</v>
      </c>
      <c r="D861" s="1090" t="s">
        <v>534</v>
      </c>
      <c r="E861" s="5" t="s">
        <v>32</v>
      </c>
      <c r="F861" s="5" t="s">
        <v>32</v>
      </c>
      <c r="G861" s="5" t="s">
        <v>542</v>
      </c>
      <c r="H861" s="5" t="s">
        <v>180</v>
      </c>
      <c r="I861" s="5" t="str">
        <f>_xlfn.XLOOKUP(sommaire[[#This Row],[Arrondissement_code]],OCHA_GIS!$F:$F,OCHA_GIS!$E:$E,,)</f>
        <v>Wina</v>
      </c>
      <c r="J861" s="5" t="s">
        <v>1653</v>
      </c>
      <c r="K861" t="s">
        <v>550</v>
      </c>
      <c r="L861" s="5" t="s">
        <v>3157</v>
      </c>
      <c r="M861" s="5" t="s">
        <v>3157</v>
      </c>
      <c r="N861" s="5" t="s">
        <v>3053</v>
      </c>
      <c r="O861" s="5" t="s">
        <v>2467</v>
      </c>
      <c r="P861" s="5" t="s">
        <v>85</v>
      </c>
      <c r="Q861" s="5" t="s">
        <v>86</v>
      </c>
      <c r="R861" s="5" t="s">
        <v>86</v>
      </c>
      <c r="T861" s="390">
        <v>3</v>
      </c>
      <c r="U861" s="5" t="s">
        <v>97</v>
      </c>
      <c r="W861" s="5" t="s">
        <v>2468</v>
      </c>
      <c r="X861" s="5" t="s">
        <v>103</v>
      </c>
      <c r="Y861" s="5" t="s">
        <v>2476</v>
      </c>
      <c r="AA861" s="5" t="s">
        <v>85</v>
      </c>
      <c r="AB861" s="5" t="s">
        <v>2576</v>
      </c>
      <c r="AC861" s="5" t="s">
        <v>2469</v>
      </c>
      <c r="AD861" s="5" t="s">
        <v>86</v>
      </c>
      <c r="AG861" s="5">
        <v>10000</v>
      </c>
      <c r="AH861" s="5" t="s">
        <v>86</v>
      </c>
      <c r="AY861" s="5" t="s">
        <v>86</v>
      </c>
      <c r="BN861" s="5" t="s">
        <v>85</v>
      </c>
      <c r="BO861" s="5">
        <v>1098</v>
      </c>
      <c r="BP861" s="5">
        <v>7686</v>
      </c>
      <c r="BQ861" s="5">
        <v>3000</v>
      </c>
      <c r="BR861" s="5">
        <v>4686</v>
      </c>
      <c r="BS861" s="5" t="s">
        <v>2484</v>
      </c>
      <c r="BT861" s="5">
        <v>86</v>
      </c>
      <c r="BU861" s="5">
        <v>500</v>
      </c>
      <c r="BV861" s="5">
        <v>200</v>
      </c>
      <c r="BW861" s="5">
        <v>0</v>
      </c>
      <c r="BX861" s="5">
        <v>0</v>
      </c>
      <c r="BZ861" s="5">
        <v>0</v>
      </c>
      <c r="CA861" s="5">
        <v>0</v>
      </c>
      <c r="CC861" s="5">
        <v>312</v>
      </c>
      <c r="CF861" s="1442" t="str">
        <f>IF([1]!sommaire[[#This Row],[présence des personnes déplacés interne]]="Oui","1","0")</f>
        <v>0</v>
      </c>
      <c r="CG861" s="1442" t="str">
        <f>IF([1]!sommaire[[#This Row],[présence Réfugié hors camp]]="Oui","1","0")</f>
        <v>0</v>
      </c>
      <c r="CH861" s="1442" t="str">
        <f>IF([1]!sommaire[[#This Row],[présence personnes retournées]]="Oui","1","0")</f>
        <v>1</v>
      </c>
      <c r="CI861" s="1442">
        <f>[1]!sommaire[[#This Row],[Flag PDI]]+[1]!sommaire[[#This Row],[Flag REF]]+[1]!sommaire[[#This Row],[Flag RET]]</f>
        <v>1</v>
      </c>
    </row>
    <row r="862" spans="1:87" ht="14.55" customHeight="1" x14ac:dyDescent="0.3">
      <c r="A862" s="390">
        <v>2715114</v>
      </c>
      <c r="B862" s="5" t="s">
        <v>533</v>
      </c>
      <c r="C862" s="1430" t="s">
        <v>3449</v>
      </c>
      <c r="D862" s="1090" t="s">
        <v>534</v>
      </c>
      <c r="E862" s="5" t="s">
        <v>32</v>
      </c>
      <c r="F862" s="5" t="s">
        <v>32</v>
      </c>
      <c r="G862" s="5" t="s">
        <v>542</v>
      </c>
      <c r="H862" s="5" t="s">
        <v>180</v>
      </c>
      <c r="I862" s="5" t="str">
        <f>_xlfn.XLOOKUP(sommaire[[#This Row],[Arrondissement_code]],OCHA_GIS!$F:$F,OCHA_GIS!$E:$E,,)</f>
        <v>Wina</v>
      </c>
      <c r="J862" s="5" t="s">
        <v>1653</v>
      </c>
      <c r="K862" t="s">
        <v>550</v>
      </c>
      <c r="L862" s="5" t="s">
        <v>3158</v>
      </c>
      <c r="M862" s="5" t="s">
        <v>3158</v>
      </c>
      <c r="N862" s="5" t="s">
        <v>3052</v>
      </c>
      <c r="O862" s="5" t="s">
        <v>2467</v>
      </c>
      <c r="P862" s="5" t="s">
        <v>85</v>
      </c>
      <c r="Q862" s="5" t="s">
        <v>86</v>
      </c>
      <c r="R862" s="5" t="s">
        <v>86</v>
      </c>
      <c r="T862" s="390">
        <v>3</v>
      </c>
      <c r="U862" s="5" t="s">
        <v>97</v>
      </c>
      <c r="W862" s="5" t="s">
        <v>2468</v>
      </c>
      <c r="X862" s="5" t="s">
        <v>103</v>
      </c>
      <c r="Y862" s="5" t="s">
        <v>2476</v>
      </c>
      <c r="AA862" s="5" t="s">
        <v>85</v>
      </c>
      <c r="AB862" s="5" t="s">
        <v>2469</v>
      </c>
      <c r="AC862" s="5" t="s">
        <v>2470</v>
      </c>
      <c r="AD862" s="5" t="s">
        <v>86</v>
      </c>
      <c r="AG862" s="5">
        <v>7000</v>
      </c>
      <c r="AH862" s="5" t="s">
        <v>86</v>
      </c>
      <c r="AY862" s="5" t="s">
        <v>86</v>
      </c>
      <c r="BN862" s="5" t="s">
        <v>85</v>
      </c>
      <c r="BO862" s="5">
        <v>441</v>
      </c>
      <c r="BP862" s="5">
        <v>5292</v>
      </c>
      <c r="BQ862" s="5">
        <v>2092</v>
      </c>
      <c r="BR862" s="5">
        <v>3200</v>
      </c>
      <c r="BS862" s="5" t="s">
        <v>2484</v>
      </c>
      <c r="BT862" s="5">
        <v>40</v>
      </c>
      <c r="BU862" s="5">
        <v>300</v>
      </c>
      <c r="BV862" s="5">
        <v>101</v>
      </c>
      <c r="BW862" s="5">
        <v>0</v>
      </c>
      <c r="BX862" s="5">
        <v>0</v>
      </c>
      <c r="BZ862" s="5">
        <v>0</v>
      </c>
      <c r="CA862" s="5">
        <v>0</v>
      </c>
      <c r="CC862" s="5">
        <v>0</v>
      </c>
      <c r="CD862" s="5">
        <v>0</v>
      </c>
      <c r="CF862" s="1442" t="str">
        <f>IF([1]!sommaire[[#This Row],[présence des personnes déplacés interne]]="Oui","1","0")</f>
        <v>0</v>
      </c>
      <c r="CG862" s="1442" t="str">
        <f>IF([1]!sommaire[[#This Row],[présence Réfugié hors camp]]="Oui","1","0")</f>
        <v>0</v>
      </c>
      <c r="CH862" s="1442" t="str">
        <f>IF([1]!sommaire[[#This Row],[présence personnes retournées]]="Oui","1","0")</f>
        <v>1</v>
      </c>
      <c r="CI862" s="1442">
        <f>[1]!sommaire[[#This Row],[Flag PDI]]+[1]!sommaire[[#This Row],[Flag REF]]+[1]!sommaire[[#This Row],[Flag RET]]</f>
        <v>1</v>
      </c>
    </row>
    <row r="863" spans="1:87" ht="14.55" customHeight="1" x14ac:dyDescent="0.3">
      <c r="A863" s="390">
        <v>2715118</v>
      </c>
      <c r="B863" s="5" t="s">
        <v>533</v>
      </c>
      <c r="C863" s="1430" t="s">
        <v>3449</v>
      </c>
      <c r="D863" s="1090" t="s">
        <v>534</v>
      </c>
      <c r="E863" s="5" t="s">
        <v>32</v>
      </c>
      <c r="F863" s="5" t="s">
        <v>32</v>
      </c>
      <c r="G863" s="5" t="s">
        <v>542</v>
      </c>
      <c r="H863" s="5" t="s">
        <v>180</v>
      </c>
      <c r="I863" s="5" t="str">
        <f>_xlfn.XLOOKUP(sommaire[[#This Row],[Arrondissement_code]],OCHA_GIS!$F:$F,OCHA_GIS!$E:$E,,)</f>
        <v>Wina</v>
      </c>
      <c r="J863" s="5" t="s">
        <v>1653</v>
      </c>
      <c r="K863" t="s">
        <v>550</v>
      </c>
      <c r="L863" s="5" t="s">
        <v>3159</v>
      </c>
      <c r="M863" s="5" t="s">
        <v>3159</v>
      </c>
      <c r="N863" s="5" t="s">
        <v>3052</v>
      </c>
      <c r="O863" s="5" t="s">
        <v>2467</v>
      </c>
      <c r="P863" s="5" t="s">
        <v>85</v>
      </c>
      <c r="Q863" s="5" t="s">
        <v>86</v>
      </c>
      <c r="R863" s="5" t="s">
        <v>86</v>
      </c>
      <c r="T863" s="390">
        <v>3</v>
      </c>
      <c r="U863" s="5" t="s">
        <v>97</v>
      </c>
      <c r="W863" s="5" t="s">
        <v>2468</v>
      </c>
      <c r="X863" s="5" t="s">
        <v>103</v>
      </c>
      <c r="Y863" s="5" t="s">
        <v>2476</v>
      </c>
      <c r="AA863" s="5" t="s">
        <v>85</v>
      </c>
      <c r="AB863" s="5" t="s">
        <v>2469</v>
      </c>
      <c r="AC863" s="5" t="s">
        <v>2470</v>
      </c>
      <c r="AD863" s="5" t="s">
        <v>86</v>
      </c>
      <c r="AG863" s="5">
        <v>8000</v>
      </c>
      <c r="AH863" s="5" t="s">
        <v>86</v>
      </c>
      <c r="AY863" s="5" t="s">
        <v>86</v>
      </c>
      <c r="BN863" s="5" t="s">
        <v>85</v>
      </c>
      <c r="BO863" s="5">
        <v>698</v>
      </c>
      <c r="BP863" s="5">
        <v>6980</v>
      </c>
      <c r="BQ863" s="5">
        <v>3000</v>
      </c>
      <c r="BR863" s="5">
        <v>3980</v>
      </c>
      <c r="BS863" s="5" t="s">
        <v>2484</v>
      </c>
      <c r="BT863" s="5">
        <v>8</v>
      </c>
      <c r="BU863" s="5">
        <v>300</v>
      </c>
      <c r="BV863" s="5">
        <v>390</v>
      </c>
      <c r="BW863" s="5">
        <v>0</v>
      </c>
      <c r="BX863" s="5">
        <v>0</v>
      </c>
      <c r="BZ863" s="5">
        <v>0</v>
      </c>
      <c r="CA863" s="5">
        <v>0</v>
      </c>
      <c r="CC863" s="5">
        <v>0</v>
      </c>
      <c r="CD863" s="5">
        <v>0</v>
      </c>
      <c r="CF863" s="1442" t="str">
        <f>IF([1]!sommaire[[#This Row],[présence des personnes déplacés interne]]="Oui","1","0")</f>
        <v>0</v>
      </c>
      <c r="CG863" s="1442" t="str">
        <f>IF([1]!sommaire[[#This Row],[présence Réfugié hors camp]]="Oui","1","0")</f>
        <v>0</v>
      </c>
      <c r="CH863" s="1442" t="str">
        <f>IF([1]!sommaire[[#This Row],[présence personnes retournées]]="Oui","1","0")</f>
        <v>1</v>
      </c>
      <c r="CI863" s="1442">
        <f>[1]!sommaire[[#This Row],[Flag PDI]]+[1]!sommaire[[#This Row],[Flag REF]]+[1]!sommaire[[#This Row],[Flag RET]]</f>
        <v>1</v>
      </c>
    </row>
    <row r="864" spans="1:87" ht="14.55" customHeight="1" x14ac:dyDescent="0.3">
      <c r="A864" s="390">
        <v>2715124</v>
      </c>
      <c r="B864" s="5" t="s">
        <v>533</v>
      </c>
      <c r="C864" s="1430" t="s">
        <v>3449</v>
      </c>
      <c r="D864" s="1090" t="s">
        <v>534</v>
      </c>
      <c r="E864" s="5" t="s">
        <v>32</v>
      </c>
      <c r="F864" s="5" t="s">
        <v>32</v>
      </c>
      <c r="G864" s="5" t="s">
        <v>542</v>
      </c>
      <c r="H864" s="5" t="s">
        <v>180</v>
      </c>
      <c r="I864" s="5" t="str">
        <f>_xlfn.XLOOKUP(sommaire[[#This Row],[Arrondissement_code]],OCHA_GIS!$F:$F,OCHA_GIS!$E:$E,,)</f>
        <v>Wina</v>
      </c>
      <c r="J864" s="5" t="s">
        <v>1653</v>
      </c>
      <c r="K864" t="s">
        <v>550</v>
      </c>
      <c r="L864" s="5" t="s">
        <v>3160</v>
      </c>
      <c r="M864" s="5" t="s">
        <v>3160</v>
      </c>
      <c r="N864" s="5" t="s">
        <v>3052</v>
      </c>
      <c r="O864" s="5" t="s">
        <v>2467</v>
      </c>
      <c r="P864" s="5" t="s">
        <v>85</v>
      </c>
      <c r="Q864" s="5" t="s">
        <v>86</v>
      </c>
      <c r="R864" s="5" t="s">
        <v>86</v>
      </c>
      <c r="T864" s="390">
        <v>4</v>
      </c>
      <c r="U864" s="5" t="s">
        <v>97</v>
      </c>
      <c r="W864" s="5" t="s">
        <v>2468</v>
      </c>
      <c r="X864" s="5" t="s">
        <v>103</v>
      </c>
      <c r="Y864" s="5" t="s">
        <v>2476</v>
      </c>
      <c r="AA864" s="5" t="s">
        <v>85</v>
      </c>
      <c r="AB864" s="5" t="s">
        <v>2469</v>
      </c>
      <c r="AC864" s="5" t="s">
        <v>2470</v>
      </c>
      <c r="AD864" s="5" t="s">
        <v>86</v>
      </c>
      <c r="AG864" s="5">
        <v>10000</v>
      </c>
      <c r="AH864" s="5" t="s">
        <v>86</v>
      </c>
      <c r="AY864" s="5" t="s">
        <v>86</v>
      </c>
      <c r="BN864" s="5" t="s">
        <v>85</v>
      </c>
      <c r="BO864" s="5">
        <v>1227</v>
      </c>
      <c r="BP864" s="5">
        <v>9816</v>
      </c>
      <c r="BQ864" s="5">
        <v>4200</v>
      </c>
      <c r="BR864" s="5">
        <v>5616</v>
      </c>
      <c r="BS864" s="5" t="s">
        <v>2484</v>
      </c>
      <c r="BT864" s="5">
        <v>200</v>
      </c>
      <c r="BU864" s="5">
        <v>700</v>
      </c>
      <c r="BV864" s="5">
        <v>327</v>
      </c>
      <c r="BW864" s="5">
        <v>0</v>
      </c>
      <c r="BX864" s="5">
        <v>0</v>
      </c>
      <c r="BZ864" s="5">
        <v>0</v>
      </c>
      <c r="CA864" s="5">
        <v>0</v>
      </c>
      <c r="CC864" s="5">
        <v>0</v>
      </c>
      <c r="CD864" s="5">
        <v>0</v>
      </c>
      <c r="CF864" s="1442" t="str">
        <f>IF([1]!sommaire[[#This Row],[présence des personnes déplacés interne]]="Oui","1","0")</f>
        <v>0</v>
      </c>
      <c r="CG864" s="1442" t="str">
        <f>IF([1]!sommaire[[#This Row],[présence Réfugié hors camp]]="Oui","1","0")</f>
        <v>0</v>
      </c>
      <c r="CH864" s="1442" t="str">
        <f>IF([1]!sommaire[[#This Row],[présence personnes retournées]]="Oui","1","0")</f>
        <v>1</v>
      </c>
      <c r="CI864" s="1442">
        <f>[1]!sommaire[[#This Row],[Flag PDI]]+[1]!sommaire[[#This Row],[Flag REF]]+[1]!sommaire[[#This Row],[Flag RET]]</f>
        <v>1</v>
      </c>
    </row>
    <row r="865" spans="1:87" ht="14.55" customHeight="1" x14ac:dyDescent="0.3">
      <c r="A865" s="390">
        <v>2715106</v>
      </c>
      <c r="B865" s="5" t="s">
        <v>533</v>
      </c>
      <c r="C865" s="1430" t="s">
        <v>3449</v>
      </c>
      <c r="D865" s="1090" t="s">
        <v>534</v>
      </c>
      <c r="E865" s="5" t="s">
        <v>32</v>
      </c>
      <c r="F865" s="5" t="s">
        <v>32</v>
      </c>
      <c r="G865" s="5" t="s">
        <v>542</v>
      </c>
      <c r="H865" s="5" t="s">
        <v>180</v>
      </c>
      <c r="I865" s="5" t="str">
        <f>_xlfn.XLOOKUP(sommaire[[#This Row],[Arrondissement_code]],OCHA_GIS!$F:$F,OCHA_GIS!$E:$E,,)</f>
        <v>Wina</v>
      </c>
      <c r="J865" s="5" t="s">
        <v>1653</v>
      </c>
      <c r="K865" t="s">
        <v>1656</v>
      </c>
      <c r="L865" s="5" t="s">
        <v>1657</v>
      </c>
      <c r="N865" s="5" t="s">
        <v>3053</v>
      </c>
      <c r="O865" s="5" t="s">
        <v>2467</v>
      </c>
      <c r="P865" s="5" t="s">
        <v>85</v>
      </c>
      <c r="Q865" s="5" t="s">
        <v>86</v>
      </c>
      <c r="R865" s="5" t="s">
        <v>86</v>
      </c>
      <c r="T865" s="390">
        <v>3</v>
      </c>
      <c r="U865" s="5" t="s">
        <v>97</v>
      </c>
      <c r="W865" s="5" t="s">
        <v>2468</v>
      </c>
      <c r="X865" s="5" t="s">
        <v>103</v>
      </c>
      <c r="Y865" s="5" t="s">
        <v>2476</v>
      </c>
      <c r="AA865" s="5" t="s">
        <v>85</v>
      </c>
      <c r="AB865" s="5" t="s">
        <v>2469</v>
      </c>
      <c r="AC865" s="5" t="s">
        <v>2473</v>
      </c>
      <c r="AD865" s="5" t="s">
        <v>86</v>
      </c>
      <c r="AF865" s="5">
        <v>48</v>
      </c>
      <c r="AG865" s="5">
        <v>4000</v>
      </c>
      <c r="AH865" s="5" t="s">
        <v>85</v>
      </c>
      <c r="AI865" s="5" t="s">
        <v>2485</v>
      </c>
      <c r="AJ865" s="5">
        <v>48</v>
      </c>
      <c r="AK865" s="5">
        <v>245</v>
      </c>
      <c r="AL865" s="5">
        <v>100</v>
      </c>
      <c r="AM865" s="5">
        <v>145</v>
      </c>
      <c r="AN865" s="5">
        <v>20</v>
      </c>
      <c r="AO865" s="5">
        <v>8</v>
      </c>
      <c r="AP865" s="5">
        <v>0</v>
      </c>
      <c r="AQ865" s="5">
        <v>20</v>
      </c>
      <c r="AR865" s="5" t="s">
        <v>2472</v>
      </c>
      <c r="AT865" s="5">
        <v>0</v>
      </c>
      <c r="AU865" s="5">
        <v>0</v>
      </c>
      <c r="AX865" s="5">
        <v>0</v>
      </c>
      <c r="AY865" s="1090" t="s">
        <v>86</v>
      </c>
      <c r="BN865" s="1090" t="s">
        <v>85</v>
      </c>
      <c r="BO865" s="5">
        <v>50</v>
      </c>
      <c r="BP865" s="5">
        <v>800</v>
      </c>
      <c r="BQ865" s="5">
        <v>300</v>
      </c>
      <c r="BR865" s="5">
        <v>500</v>
      </c>
      <c r="BS865" s="5" t="s">
        <v>2484</v>
      </c>
      <c r="BT865" s="5">
        <v>10</v>
      </c>
      <c r="BU865" s="5">
        <v>20</v>
      </c>
      <c r="BV865" s="5">
        <v>20</v>
      </c>
      <c r="BW865" s="5">
        <v>0</v>
      </c>
      <c r="BX865" s="5">
        <v>0</v>
      </c>
      <c r="BZ865" s="5">
        <v>0</v>
      </c>
      <c r="CA865" s="5">
        <v>0</v>
      </c>
      <c r="CC865" s="5">
        <v>0</v>
      </c>
      <c r="CD865" s="5">
        <v>0</v>
      </c>
      <c r="CF865" s="1442" t="str">
        <f>IF([1]!sommaire[[#This Row],[présence des personnes déplacés interne]]="Oui","1","0")</f>
        <v>1</v>
      </c>
      <c r="CG865" s="1442" t="str">
        <f>IF([1]!sommaire[[#This Row],[présence Réfugié hors camp]]="Oui","1","0")</f>
        <v>0</v>
      </c>
      <c r="CH865" s="1442" t="str">
        <f>IF([1]!sommaire[[#This Row],[présence personnes retournées]]="Oui","1","0")</f>
        <v>1</v>
      </c>
      <c r="CI865" s="1442">
        <f>[1]!sommaire[[#This Row],[Flag PDI]]+[1]!sommaire[[#This Row],[Flag REF]]+[1]!sommaire[[#This Row],[Flag RET]]</f>
        <v>2</v>
      </c>
    </row>
    <row r="866" spans="1:87" ht="14.55" customHeight="1" x14ac:dyDescent="0.3">
      <c r="A866" s="390">
        <v>2715097</v>
      </c>
      <c r="B866" s="5" t="s">
        <v>533</v>
      </c>
      <c r="C866" s="1430" t="s">
        <v>3449</v>
      </c>
      <c r="D866" s="1090" t="s">
        <v>534</v>
      </c>
      <c r="E866" s="5" t="s">
        <v>32</v>
      </c>
      <c r="F866" s="5" t="s">
        <v>32</v>
      </c>
      <c r="G866" s="5" t="s">
        <v>542</v>
      </c>
      <c r="H866" s="5" t="s">
        <v>180</v>
      </c>
      <c r="I866" s="5" t="str">
        <f>_xlfn.XLOOKUP(sommaire[[#This Row],[Arrondissement_code]],OCHA_GIS!$F:$F,OCHA_GIS!$E:$E,,)</f>
        <v>Wina</v>
      </c>
      <c r="J866" s="5" t="s">
        <v>1653</v>
      </c>
      <c r="K866" t="s">
        <v>1654</v>
      </c>
      <c r="L866" s="5" t="s">
        <v>1655</v>
      </c>
      <c r="N866" s="5" t="s">
        <v>3052</v>
      </c>
      <c r="O866" s="5" t="s">
        <v>2467</v>
      </c>
      <c r="P866" s="5" t="s">
        <v>85</v>
      </c>
      <c r="Q866" s="5" t="s">
        <v>86</v>
      </c>
      <c r="R866" s="5" t="s">
        <v>86</v>
      </c>
      <c r="T866" s="1190">
        <v>3</v>
      </c>
      <c r="U866" s="5" t="s">
        <v>97</v>
      </c>
      <c r="W866" s="5" t="s">
        <v>2468</v>
      </c>
      <c r="X866" s="5" t="s">
        <v>102</v>
      </c>
      <c r="AA866" s="586" t="s">
        <v>85</v>
      </c>
      <c r="AB866" s="5" t="s">
        <v>2469</v>
      </c>
      <c r="AC866" s="5" t="s">
        <v>2470</v>
      </c>
      <c r="AD866" s="5" t="s">
        <v>86</v>
      </c>
      <c r="AF866" s="5">
        <v>51</v>
      </c>
      <c r="AG866" s="5">
        <v>7000</v>
      </c>
      <c r="AH866" s="5" t="s">
        <v>85</v>
      </c>
      <c r="AI866" s="5" t="s">
        <v>2471</v>
      </c>
      <c r="AJ866" s="5">
        <v>51</v>
      </c>
      <c r="AK866" s="5">
        <v>307</v>
      </c>
      <c r="AL866" s="5">
        <v>130</v>
      </c>
      <c r="AM866" s="5">
        <v>177</v>
      </c>
      <c r="AN866" s="5">
        <v>0</v>
      </c>
      <c r="AO866" s="5">
        <v>20</v>
      </c>
      <c r="AP866" s="5">
        <v>10</v>
      </c>
      <c r="AQ866" s="5">
        <v>21</v>
      </c>
      <c r="AR866" s="5" t="s">
        <v>2472</v>
      </c>
      <c r="AT866" s="5">
        <v>0</v>
      </c>
      <c r="AU866" s="5">
        <v>0</v>
      </c>
      <c r="AX866" s="5">
        <v>0</v>
      </c>
      <c r="AY866" s="5" t="s">
        <v>86</v>
      </c>
      <c r="BN866" s="5" t="s">
        <v>86</v>
      </c>
      <c r="CD866" s="5">
        <v>0</v>
      </c>
      <c r="CF866" s="1442" t="str">
        <f>IF([1]!sommaire[[#This Row],[présence des personnes déplacés interne]]="Oui","1","0")</f>
        <v>1</v>
      </c>
      <c r="CG866" s="1442" t="str">
        <f>IF([1]!sommaire[[#This Row],[présence Réfugié hors camp]]="Oui","1","0")</f>
        <v>0</v>
      </c>
      <c r="CH866" s="1442" t="str">
        <f>IF([1]!sommaire[[#This Row],[présence personnes retournées]]="Oui","1","0")</f>
        <v>0</v>
      </c>
      <c r="CI866" s="1442">
        <f>[1]!sommaire[[#This Row],[Flag PDI]]+[1]!sommaire[[#This Row],[Flag REF]]+[1]!sommaire[[#This Row],[Flag RET]]</f>
        <v>1</v>
      </c>
    </row>
    <row r="867" spans="1:87" ht="14.55" customHeight="1" x14ac:dyDescent="0.3">
      <c r="A867" s="390">
        <v>2715080</v>
      </c>
      <c r="B867" s="5" t="s">
        <v>533</v>
      </c>
      <c r="C867" s="1430" t="s">
        <v>3449</v>
      </c>
      <c r="D867" s="1090" t="s">
        <v>534</v>
      </c>
      <c r="E867" s="5" t="s">
        <v>32</v>
      </c>
      <c r="F867" s="5" t="s">
        <v>32</v>
      </c>
      <c r="G867" s="5" t="s">
        <v>542</v>
      </c>
      <c r="H867" s="5" t="s">
        <v>181</v>
      </c>
      <c r="I867" s="5" t="str">
        <f>_xlfn.XLOOKUP(sommaire[[#This Row],[Arrondissement_code]],OCHA_GIS!$F:$F,OCHA_GIS!$E:$E,,)</f>
        <v>Yagoua</v>
      </c>
      <c r="J867" s="5" t="s">
        <v>1661</v>
      </c>
      <c r="K867" t="s">
        <v>550</v>
      </c>
      <c r="L867" s="5" t="s">
        <v>3154</v>
      </c>
      <c r="M867" s="5" t="s">
        <v>3154</v>
      </c>
      <c r="N867" s="5" t="s">
        <v>3052</v>
      </c>
      <c r="O867" s="5" t="s">
        <v>2467</v>
      </c>
      <c r="P867" s="5" t="s">
        <v>85</v>
      </c>
      <c r="Q867" s="5" t="s">
        <v>86</v>
      </c>
      <c r="R867" s="5" t="s">
        <v>86</v>
      </c>
      <c r="T867" s="390">
        <v>3</v>
      </c>
      <c r="U867" s="5" t="s">
        <v>97</v>
      </c>
      <c r="W867" s="5" t="s">
        <v>2468</v>
      </c>
      <c r="X867" s="5" t="s">
        <v>103</v>
      </c>
      <c r="Y867" s="5" t="s">
        <v>2476</v>
      </c>
      <c r="AA867" s="5" t="s">
        <v>86</v>
      </c>
      <c r="AG867" s="5">
        <v>1500</v>
      </c>
      <c r="AH867" s="1430" t="s">
        <v>86</v>
      </c>
      <c r="AY867" s="1430" t="s">
        <v>86</v>
      </c>
      <c r="BN867" s="1430" t="s">
        <v>86</v>
      </c>
      <c r="CF867" s="1442" t="str">
        <f>IF([1]!sommaire[[#This Row],[présence des personnes déplacés interne]]="Oui","1","0")</f>
        <v>0</v>
      </c>
      <c r="CG867" s="1442" t="str">
        <f>IF([1]!sommaire[[#This Row],[présence Réfugié hors camp]]="Oui","1","0")</f>
        <v>0</v>
      </c>
      <c r="CH867" s="1442" t="str">
        <f>IF([1]!sommaire[[#This Row],[présence personnes retournées]]="Oui","1","0")</f>
        <v>0</v>
      </c>
      <c r="CI867" s="1442">
        <f>[1]!sommaire[[#This Row],[Flag PDI]]+[1]!sommaire[[#This Row],[Flag REF]]+[1]!sommaire[[#This Row],[Flag RET]]</f>
        <v>0</v>
      </c>
    </row>
    <row r="868" spans="1:87" ht="14.55" customHeight="1" x14ac:dyDescent="0.3">
      <c r="A868" s="390">
        <v>2715093</v>
      </c>
      <c r="B868" s="5" t="s">
        <v>533</v>
      </c>
      <c r="C868" s="1430" t="s">
        <v>3449</v>
      </c>
      <c r="D868" s="1090" t="s">
        <v>534</v>
      </c>
      <c r="E868" s="5" t="s">
        <v>32</v>
      </c>
      <c r="F868" s="5" t="s">
        <v>32</v>
      </c>
      <c r="G868" s="5" t="s">
        <v>542</v>
      </c>
      <c r="H868" s="5" t="s">
        <v>181</v>
      </c>
      <c r="I868" s="5" t="str">
        <f>_xlfn.XLOOKUP(sommaire[[#This Row],[Arrondissement_code]],OCHA_GIS!$F:$F,OCHA_GIS!$E:$E,,)</f>
        <v>Yagoua</v>
      </c>
      <c r="J868" s="5" t="s">
        <v>1661</v>
      </c>
      <c r="K868" t="s">
        <v>550</v>
      </c>
      <c r="L868" s="5" t="s">
        <v>3155</v>
      </c>
      <c r="M868" s="5" t="s">
        <v>3155</v>
      </c>
      <c r="N868" s="5" t="s">
        <v>3053</v>
      </c>
      <c r="O868" s="5" t="s">
        <v>2467</v>
      </c>
      <c r="P868" s="5" t="s">
        <v>85</v>
      </c>
      <c r="Q868" s="5" t="s">
        <v>86</v>
      </c>
      <c r="R868" s="5" t="s">
        <v>86</v>
      </c>
      <c r="T868" s="390">
        <v>4</v>
      </c>
      <c r="U868" s="5" t="s">
        <v>97</v>
      </c>
      <c r="W868" s="5" t="s">
        <v>2468</v>
      </c>
      <c r="X868" s="5" t="s">
        <v>101</v>
      </c>
      <c r="Y868" s="5" t="s">
        <v>2476</v>
      </c>
      <c r="AA868" s="5" t="s">
        <v>85</v>
      </c>
      <c r="AB868" s="5" t="s">
        <v>2576</v>
      </c>
      <c r="AC868" s="5" t="s">
        <v>2470</v>
      </c>
      <c r="AD868" s="5" t="s">
        <v>86</v>
      </c>
      <c r="AG868" s="5">
        <v>2000</v>
      </c>
      <c r="AH868" s="5" t="s">
        <v>86</v>
      </c>
      <c r="AY868" s="5" t="s">
        <v>86</v>
      </c>
      <c r="BN868" s="5" t="s">
        <v>85</v>
      </c>
      <c r="BO868" s="5">
        <v>141</v>
      </c>
      <c r="BP868" s="5">
        <v>1742</v>
      </c>
      <c r="BQ868" s="5">
        <v>1000</v>
      </c>
      <c r="BR868" s="5">
        <v>742</v>
      </c>
      <c r="BS868" s="5" t="s">
        <v>2484</v>
      </c>
      <c r="BT868" s="5">
        <v>0</v>
      </c>
      <c r="BU868" s="5">
        <v>0</v>
      </c>
      <c r="BV868" s="5">
        <v>0</v>
      </c>
      <c r="BW868" s="5">
        <v>0</v>
      </c>
      <c r="BX868" s="5">
        <v>0</v>
      </c>
      <c r="BZ868" s="5">
        <v>0</v>
      </c>
      <c r="CA868" s="5">
        <v>0</v>
      </c>
      <c r="CC868" s="5">
        <v>141</v>
      </c>
      <c r="CF868" s="1442" t="str">
        <f>IF([1]!sommaire[[#This Row],[présence des personnes déplacés interne]]="Oui","1","0")</f>
        <v>0</v>
      </c>
      <c r="CG868" s="1442" t="str">
        <f>IF([1]!sommaire[[#This Row],[présence Réfugié hors camp]]="Oui","1","0")</f>
        <v>0</v>
      </c>
      <c r="CH868" s="1442" t="str">
        <f>IF([1]!sommaire[[#This Row],[présence personnes retournées]]="Oui","1","0")</f>
        <v>1</v>
      </c>
      <c r="CI868" s="1442">
        <f>[1]!sommaire[[#This Row],[Flag PDI]]+[1]!sommaire[[#This Row],[Flag REF]]+[1]!sommaire[[#This Row],[Flag RET]]</f>
        <v>1</v>
      </c>
    </row>
    <row r="869" spans="1:87" ht="14.55" customHeight="1" x14ac:dyDescent="0.3">
      <c r="A869" s="390">
        <v>2715077</v>
      </c>
      <c r="B869" s="5" t="s">
        <v>533</v>
      </c>
      <c r="C869" s="1430" t="s">
        <v>3449</v>
      </c>
      <c r="D869" s="1090" t="s">
        <v>534</v>
      </c>
      <c r="E869" s="5" t="s">
        <v>32</v>
      </c>
      <c r="F869" s="5" t="s">
        <v>32</v>
      </c>
      <c r="G869" s="5" t="s">
        <v>542</v>
      </c>
      <c r="H869" s="5" t="s">
        <v>181</v>
      </c>
      <c r="I869" s="5" t="str">
        <f>_xlfn.XLOOKUP(sommaire[[#This Row],[Arrondissement_code]],OCHA_GIS!$F:$F,OCHA_GIS!$E:$E,,)</f>
        <v>Yagoua</v>
      </c>
      <c r="J869" s="5" t="s">
        <v>1661</v>
      </c>
      <c r="K869" t="s">
        <v>550</v>
      </c>
      <c r="L869" s="5" t="s">
        <v>3184</v>
      </c>
      <c r="M869" s="5" t="s">
        <v>3184</v>
      </c>
      <c r="N869" s="5" t="s">
        <v>3053</v>
      </c>
      <c r="O869" s="5" t="s">
        <v>2473</v>
      </c>
      <c r="P869" s="5" t="s">
        <v>85</v>
      </c>
      <c r="Q869" s="5" t="s">
        <v>86</v>
      </c>
      <c r="R869" s="5" t="s">
        <v>86</v>
      </c>
      <c r="T869" s="390">
        <v>4</v>
      </c>
      <c r="U869" s="5" t="s">
        <v>97</v>
      </c>
      <c r="W869" s="5" t="s">
        <v>2468</v>
      </c>
      <c r="X869" s="5" t="s">
        <v>102</v>
      </c>
      <c r="AA869" s="5" t="s">
        <v>85</v>
      </c>
      <c r="AB869" s="5" t="s">
        <v>2473</v>
      </c>
      <c r="AC869" s="5" t="s">
        <v>2470</v>
      </c>
      <c r="AF869" s="5">
        <v>58</v>
      </c>
      <c r="AG869" s="5">
        <v>2000</v>
      </c>
      <c r="AH869" s="5" t="s">
        <v>85</v>
      </c>
      <c r="AI869" s="5" t="s">
        <v>2485</v>
      </c>
      <c r="AJ869" s="5">
        <v>58</v>
      </c>
      <c r="AK869" s="5">
        <v>375</v>
      </c>
      <c r="AL869" s="5">
        <v>150</v>
      </c>
      <c r="AM869" s="5">
        <v>225</v>
      </c>
      <c r="AN869" s="5">
        <v>0</v>
      </c>
      <c r="AO869" s="5">
        <v>0</v>
      </c>
      <c r="AP869" s="5">
        <v>0</v>
      </c>
      <c r="AQ869" s="5">
        <v>0</v>
      </c>
      <c r="AT869" s="5">
        <v>0</v>
      </c>
      <c r="AU869" s="5">
        <v>58</v>
      </c>
      <c r="AV869" s="5" t="s">
        <v>2474</v>
      </c>
      <c r="AX869" s="5">
        <v>0</v>
      </c>
      <c r="AY869" s="5" t="s">
        <v>86</v>
      </c>
      <c r="BN869" s="5" t="s">
        <v>86</v>
      </c>
      <c r="CD869" s="5">
        <v>0</v>
      </c>
      <c r="CF869" s="1442" t="str">
        <f>IF([1]!sommaire[[#This Row],[présence des personnes déplacés interne]]="Oui","1","0")</f>
        <v>1</v>
      </c>
      <c r="CG869" s="1442" t="str">
        <f>IF([1]!sommaire[[#This Row],[présence Réfugié hors camp]]="Oui","1","0")</f>
        <v>0</v>
      </c>
      <c r="CH869" s="1442" t="str">
        <f>IF([1]!sommaire[[#This Row],[présence personnes retournées]]="Oui","1","0")</f>
        <v>0</v>
      </c>
      <c r="CI869" s="1442">
        <f>[1]!sommaire[[#This Row],[Flag PDI]]+[1]!sommaire[[#This Row],[Flag REF]]+[1]!sommaire[[#This Row],[Flag RET]]</f>
        <v>1</v>
      </c>
    </row>
    <row r="870" spans="1:87" ht="14.55" customHeight="1" x14ac:dyDescent="0.3">
      <c r="A870" s="390">
        <v>2715086</v>
      </c>
      <c r="B870" s="5" t="s">
        <v>533</v>
      </c>
      <c r="C870" s="1430" t="s">
        <v>3449</v>
      </c>
      <c r="D870" s="1090" t="s">
        <v>534</v>
      </c>
      <c r="E870" s="5" t="s">
        <v>32</v>
      </c>
      <c r="F870" s="5" t="s">
        <v>32</v>
      </c>
      <c r="G870" s="5" t="s">
        <v>542</v>
      </c>
      <c r="H870" s="5" t="s">
        <v>181</v>
      </c>
      <c r="I870" s="5" t="str">
        <f>_xlfn.XLOOKUP(sommaire[[#This Row],[Arrondissement_code]],OCHA_GIS!$F:$F,OCHA_GIS!$E:$E,,)</f>
        <v>Yagoua</v>
      </c>
      <c r="J870" s="5" t="s">
        <v>1661</v>
      </c>
      <c r="K870" t="s">
        <v>2320</v>
      </c>
      <c r="L870" s="5" t="s">
        <v>821</v>
      </c>
      <c r="N870" s="5" t="s">
        <v>3052</v>
      </c>
      <c r="O870" s="5" t="s">
        <v>2467</v>
      </c>
      <c r="P870" s="5" t="s">
        <v>85</v>
      </c>
      <c r="Q870" s="5" t="s">
        <v>86</v>
      </c>
      <c r="R870" s="5" t="s">
        <v>86</v>
      </c>
      <c r="T870" s="390">
        <v>3</v>
      </c>
      <c r="U870" s="5" t="s">
        <v>97</v>
      </c>
      <c r="W870" s="5" t="s">
        <v>2468</v>
      </c>
      <c r="X870" s="5" t="s">
        <v>102</v>
      </c>
      <c r="AA870" s="5" t="s">
        <v>85</v>
      </c>
      <c r="AB870" s="5" t="s">
        <v>2469</v>
      </c>
      <c r="AC870" s="5" t="s">
        <v>2470</v>
      </c>
      <c r="AD870" s="5" t="s">
        <v>86</v>
      </c>
      <c r="AG870" s="5">
        <v>6500</v>
      </c>
      <c r="AH870" s="5" t="s">
        <v>86</v>
      </c>
      <c r="AY870" s="5" t="s">
        <v>86</v>
      </c>
      <c r="BN870" s="5" t="s">
        <v>85</v>
      </c>
      <c r="BO870" s="5">
        <v>5</v>
      </c>
      <c r="BP870" s="5">
        <v>29</v>
      </c>
      <c r="BQ870" s="5">
        <v>19</v>
      </c>
      <c r="BR870" s="5">
        <v>10</v>
      </c>
      <c r="BS870" s="5" t="s">
        <v>2484</v>
      </c>
      <c r="BT870" s="5">
        <v>0</v>
      </c>
      <c r="BU870" s="5">
        <v>0</v>
      </c>
      <c r="BV870" s="5">
        <v>3</v>
      </c>
      <c r="BW870" s="5">
        <v>2</v>
      </c>
      <c r="BX870" s="5">
        <v>0</v>
      </c>
      <c r="BZ870" s="5">
        <v>0</v>
      </c>
      <c r="CA870" s="5">
        <v>0</v>
      </c>
      <c r="CC870" s="5">
        <v>0</v>
      </c>
      <c r="CD870" s="5">
        <v>0</v>
      </c>
      <c r="CF870" s="1442" t="str">
        <f>IF([1]!sommaire[[#This Row],[présence des personnes déplacés interne]]="Oui","1","0")</f>
        <v>0</v>
      </c>
      <c r="CG870" s="1442" t="str">
        <f>IF([1]!sommaire[[#This Row],[présence Réfugié hors camp]]="Oui","1","0")</f>
        <v>0</v>
      </c>
      <c r="CH870" s="1442" t="str">
        <f>IF([1]!sommaire[[#This Row],[présence personnes retournées]]="Oui","1","0")</f>
        <v>1</v>
      </c>
      <c r="CI870" s="1442">
        <f>[1]!sommaire[[#This Row],[Flag PDI]]+[1]!sommaire[[#This Row],[Flag REF]]+[1]!sommaire[[#This Row],[Flag RET]]</f>
        <v>1</v>
      </c>
    </row>
    <row r="871" spans="1:87" ht="14.55" customHeight="1" x14ac:dyDescent="0.3">
      <c r="A871" s="390">
        <v>2715089</v>
      </c>
      <c r="B871" s="5" t="s">
        <v>533</v>
      </c>
      <c r="C871" s="1430" t="s">
        <v>3449</v>
      </c>
      <c r="D871" s="1090" t="s">
        <v>534</v>
      </c>
      <c r="E871" s="5" t="s">
        <v>32</v>
      </c>
      <c r="F871" s="5" t="s">
        <v>32</v>
      </c>
      <c r="G871" s="5" t="s">
        <v>542</v>
      </c>
      <c r="H871" s="5" t="s">
        <v>181</v>
      </c>
      <c r="I871" s="5" t="str">
        <f>_xlfn.XLOOKUP(sommaire[[#This Row],[Arrondissement_code]],OCHA_GIS!$F:$F,OCHA_GIS!$E:$E,,)</f>
        <v>Yagoua</v>
      </c>
      <c r="J871" s="5" t="s">
        <v>1661</v>
      </c>
      <c r="K871" t="s">
        <v>1662</v>
      </c>
      <c r="L871" s="5" t="s">
        <v>1663</v>
      </c>
      <c r="N871" s="5" t="s">
        <v>3053</v>
      </c>
      <c r="O871" s="5" t="s">
        <v>2467</v>
      </c>
      <c r="P871" s="5" t="s">
        <v>85</v>
      </c>
      <c r="Q871" s="5" t="s">
        <v>86</v>
      </c>
      <c r="R871" s="5" t="s">
        <v>86</v>
      </c>
      <c r="T871" s="390">
        <v>3</v>
      </c>
      <c r="U871" s="5" t="s">
        <v>97</v>
      </c>
      <c r="W871" s="5" t="s">
        <v>2468</v>
      </c>
      <c r="X871" s="5" t="s">
        <v>102</v>
      </c>
      <c r="AA871" s="5" t="s">
        <v>85</v>
      </c>
      <c r="AB871" s="5" t="s">
        <v>2576</v>
      </c>
      <c r="AC871" s="5" t="s">
        <v>2473</v>
      </c>
      <c r="AD871" s="5" t="s">
        <v>85</v>
      </c>
      <c r="AE871" s="5">
        <v>1</v>
      </c>
      <c r="AF871" s="5">
        <v>18</v>
      </c>
      <c r="AG871" s="5">
        <v>4000</v>
      </c>
      <c r="AH871" s="5" t="s">
        <v>85</v>
      </c>
      <c r="AI871" s="5" t="s">
        <v>2485</v>
      </c>
      <c r="AJ871" s="5">
        <v>18</v>
      </c>
      <c r="AK871" s="5">
        <v>131</v>
      </c>
      <c r="AL871" s="5">
        <v>75</v>
      </c>
      <c r="AM871" s="5">
        <v>56</v>
      </c>
      <c r="AN871" s="5">
        <v>18</v>
      </c>
      <c r="AO871" s="5">
        <v>0</v>
      </c>
      <c r="AP871" s="5">
        <v>0</v>
      </c>
      <c r="AQ871" s="5">
        <v>0</v>
      </c>
      <c r="AT871" s="5">
        <v>0</v>
      </c>
      <c r="AU871" s="5">
        <v>0</v>
      </c>
      <c r="AX871" s="5">
        <v>0</v>
      </c>
      <c r="AY871" s="5" t="s">
        <v>86</v>
      </c>
      <c r="BN871" s="5" t="s">
        <v>86</v>
      </c>
      <c r="CF871" s="1442" t="str">
        <f>IF([1]!sommaire[[#This Row],[présence des personnes déplacés interne]]="Oui","1","0")</f>
        <v>1</v>
      </c>
      <c r="CG871" s="1442" t="str">
        <f>IF([1]!sommaire[[#This Row],[présence Réfugié hors camp]]="Oui","1","0")</f>
        <v>0</v>
      </c>
      <c r="CH871" s="1442" t="str">
        <f>IF([1]!sommaire[[#This Row],[présence personnes retournées]]="Oui","1","0")</f>
        <v>0</v>
      </c>
      <c r="CI871" s="1442">
        <f>[1]!sommaire[[#This Row],[Flag PDI]]+[1]!sommaire[[#This Row],[Flag REF]]+[1]!sommaire[[#This Row],[Flag RET]]</f>
        <v>1</v>
      </c>
    </row>
    <row r="872" spans="1:87" ht="14.55" customHeight="1" x14ac:dyDescent="0.3">
      <c r="A872" s="390">
        <v>2715083</v>
      </c>
      <c r="B872" s="5" t="s">
        <v>533</v>
      </c>
      <c r="C872" s="1430" t="s">
        <v>3449</v>
      </c>
      <c r="D872" s="1090" t="s">
        <v>534</v>
      </c>
      <c r="E872" s="5" t="s">
        <v>32</v>
      </c>
      <c r="F872" s="5" t="s">
        <v>32</v>
      </c>
      <c r="G872" s="5" t="s">
        <v>542</v>
      </c>
      <c r="H872" s="5" t="s">
        <v>181</v>
      </c>
      <c r="I872" s="5" t="str">
        <f>_xlfn.XLOOKUP(sommaire[[#This Row],[Arrondissement_code]],OCHA_GIS!$F:$F,OCHA_GIS!$E:$E,,)</f>
        <v>Yagoua</v>
      </c>
      <c r="J872" s="5" t="s">
        <v>1661</v>
      </c>
      <c r="K872" t="s">
        <v>1664</v>
      </c>
      <c r="L872" s="5" t="s">
        <v>1665</v>
      </c>
      <c r="N872" s="5" t="s">
        <v>3052</v>
      </c>
      <c r="O872" s="5" t="s">
        <v>2467</v>
      </c>
      <c r="P872" s="5" t="s">
        <v>85</v>
      </c>
      <c r="Q872" s="5" t="s">
        <v>86</v>
      </c>
      <c r="R872" s="5" t="s">
        <v>86</v>
      </c>
      <c r="T872" s="390">
        <v>3</v>
      </c>
      <c r="U872" s="5" t="s">
        <v>97</v>
      </c>
      <c r="W872" s="5" t="s">
        <v>2468</v>
      </c>
      <c r="X872" s="5" t="s">
        <v>103</v>
      </c>
      <c r="Y872" s="5" t="s">
        <v>2476</v>
      </c>
      <c r="AA872" s="5" t="s">
        <v>85</v>
      </c>
      <c r="AB872" s="5" t="s">
        <v>2469</v>
      </c>
      <c r="AC872" s="5" t="s">
        <v>312</v>
      </c>
      <c r="AD872" s="5" t="s">
        <v>86</v>
      </c>
      <c r="AF872" s="5">
        <v>66</v>
      </c>
      <c r="AG872" s="5">
        <v>6000</v>
      </c>
      <c r="AH872" s="5" t="s">
        <v>85</v>
      </c>
      <c r="AI872" s="5" t="s">
        <v>2471</v>
      </c>
      <c r="AJ872" s="5">
        <v>66</v>
      </c>
      <c r="AK872" s="5">
        <v>412</v>
      </c>
      <c r="AL872" s="5">
        <v>112</v>
      </c>
      <c r="AM872" s="5">
        <v>300</v>
      </c>
      <c r="AN872" s="5">
        <v>0</v>
      </c>
      <c r="AO872" s="5">
        <v>6</v>
      </c>
      <c r="AP872" s="5">
        <v>20</v>
      </c>
      <c r="AQ872" s="5">
        <v>40</v>
      </c>
      <c r="AR872" s="5" t="s">
        <v>2477</v>
      </c>
      <c r="AT872" s="5">
        <v>0</v>
      </c>
      <c r="AU872" s="5">
        <v>0</v>
      </c>
      <c r="AX872" s="5">
        <v>0</v>
      </c>
      <c r="AY872" s="5" t="s">
        <v>86</v>
      </c>
      <c r="BN872" s="5" t="s">
        <v>85</v>
      </c>
      <c r="BO872" s="5">
        <v>172</v>
      </c>
      <c r="BP872" s="5">
        <v>860</v>
      </c>
      <c r="BQ872" s="5">
        <v>360</v>
      </c>
      <c r="BR872" s="5">
        <v>500</v>
      </c>
      <c r="BS872" s="5" t="s">
        <v>2484</v>
      </c>
      <c r="BT872" s="5">
        <v>0</v>
      </c>
      <c r="BU872" s="5">
        <v>72</v>
      </c>
      <c r="BV872" s="5">
        <v>50</v>
      </c>
      <c r="BW872" s="5">
        <v>50</v>
      </c>
      <c r="BX872" s="5">
        <v>0</v>
      </c>
      <c r="BZ872" s="5">
        <v>0</v>
      </c>
      <c r="CA872" s="5">
        <v>0</v>
      </c>
      <c r="CC872" s="5">
        <v>0</v>
      </c>
      <c r="CD872" s="5">
        <v>0</v>
      </c>
      <c r="CF872" s="1442" t="str">
        <f>IF([1]!sommaire[[#This Row],[présence des personnes déplacés interne]]="Oui","1","0")</f>
        <v>1</v>
      </c>
      <c r="CG872" s="1442" t="str">
        <f>IF([1]!sommaire[[#This Row],[présence Réfugié hors camp]]="Oui","1","0")</f>
        <v>0</v>
      </c>
      <c r="CH872" s="1442" t="str">
        <f>IF([1]!sommaire[[#This Row],[présence personnes retournées]]="Oui","1","0")</f>
        <v>1</v>
      </c>
      <c r="CI872" s="1442">
        <f>[1]!sommaire[[#This Row],[Flag PDI]]+[1]!sommaire[[#This Row],[Flag REF]]+[1]!sommaire[[#This Row],[Flag RET]]</f>
        <v>2</v>
      </c>
    </row>
    <row r="873" spans="1:87" ht="14.55" customHeight="1" x14ac:dyDescent="0.3">
      <c r="A873" s="390">
        <v>2715129</v>
      </c>
      <c r="B873" s="5" t="s">
        <v>533</v>
      </c>
      <c r="C873" s="1430" t="s">
        <v>3449</v>
      </c>
      <c r="D873" s="1090" t="s">
        <v>534</v>
      </c>
      <c r="E873" s="1090" t="s">
        <v>32</v>
      </c>
      <c r="F873" s="1090" t="s">
        <v>32</v>
      </c>
      <c r="G873" s="1090" t="s">
        <v>542</v>
      </c>
      <c r="H873" s="5" t="s">
        <v>181</v>
      </c>
      <c r="I873" s="5" t="str">
        <f>_xlfn.XLOOKUP(sommaire[[#This Row],[Arrondissement_code]],OCHA_GIS!$F:$F,OCHA_GIS!$E:$E,,)</f>
        <v>Yagoua</v>
      </c>
      <c r="J873" s="5" t="s">
        <v>1661</v>
      </c>
      <c r="K873" t="s">
        <v>1669</v>
      </c>
      <c r="L873" s="5" t="s">
        <v>1670</v>
      </c>
      <c r="N873" s="5" t="s">
        <v>3053</v>
      </c>
      <c r="O873" s="5" t="s">
        <v>2467</v>
      </c>
      <c r="P873" s="5" t="s">
        <v>85</v>
      </c>
      <c r="Q873" s="5" t="s">
        <v>86</v>
      </c>
      <c r="R873" s="5" t="s">
        <v>86</v>
      </c>
      <c r="T873" s="390">
        <v>3</v>
      </c>
      <c r="U873" s="5" t="s">
        <v>97</v>
      </c>
      <c r="W873" s="1090" t="s">
        <v>2468</v>
      </c>
      <c r="X873" s="5" t="s">
        <v>103</v>
      </c>
      <c r="Y873" s="5" t="s">
        <v>2476</v>
      </c>
      <c r="AA873" s="5" t="s">
        <v>85</v>
      </c>
      <c r="AB873" s="5" t="s">
        <v>2469</v>
      </c>
      <c r="AC873" s="5" t="s">
        <v>2470</v>
      </c>
      <c r="AD873" s="5" t="s">
        <v>86</v>
      </c>
      <c r="AF873" s="5">
        <v>32</v>
      </c>
      <c r="AG873" s="5">
        <v>4000</v>
      </c>
      <c r="AH873" s="5" t="s">
        <v>85</v>
      </c>
      <c r="AI873" s="5" t="s">
        <v>2471</v>
      </c>
      <c r="AJ873" s="5">
        <v>32</v>
      </c>
      <c r="AK873" s="5">
        <v>165</v>
      </c>
      <c r="AL873" s="5">
        <v>70</v>
      </c>
      <c r="AM873" s="5">
        <v>95</v>
      </c>
      <c r="AN873" s="5">
        <v>12</v>
      </c>
      <c r="AO873" s="5">
        <v>20</v>
      </c>
      <c r="AP873" s="5">
        <v>0</v>
      </c>
      <c r="AQ873" s="5">
        <v>0</v>
      </c>
      <c r="AT873" s="5">
        <v>0</v>
      </c>
      <c r="AU873" s="5">
        <v>0</v>
      </c>
      <c r="AX873" s="5">
        <v>0</v>
      </c>
      <c r="AY873" s="5" t="s">
        <v>86</v>
      </c>
      <c r="BN873" s="5" t="s">
        <v>85</v>
      </c>
      <c r="BO873" s="5">
        <v>94</v>
      </c>
      <c r="BP873" s="5">
        <v>465</v>
      </c>
      <c r="BQ873" s="5">
        <v>165</v>
      </c>
      <c r="BR873" s="5">
        <v>300</v>
      </c>
      <c r="BS873" s="5" t="s">
        <v>2484</v>
      </c>
      <c r="BT873" s="5">
        <v>40</v>
      </c>
      <c r="BU873" s="5">
        <v>10</v>
      </c>
      <c r="BV873" s="5">
        <v>30</v>
      </c>
      <c r="BW873" s="5">
        <v>14</v>
      </c>
      <c r="BX873" s="5">
        <v>0</v>
      </c>
      <c r="BZ873" s="5">
        <v>0</v>
      </c>
      <c r="CA873" s="5">
        <v>0</v>
      </c>
      <c r="CC873" s="5">
        <v>0</v>
      </c>
      <c r="CD873" s="5">
        <v>0</v>
      </c>
      <c r="CF873" s="1442" t="str">
        <f>IF([1]!sommaire[[#This Row],[présence des personnes déplacés interne]]="Oui","1","0")</f>
        <v>1</v>
      </c>
      <c r="CG873" s="1442" t="str">
        <f>IF([1]!sommaire[[#This Row],[présence Réfugié hors camp]]="Oui","1","0")</f>
        <v>0</v>
      </c>
      <c r="CH873" s="1442" t="str">
        <f>IF([1]!sommaire[[#This Row],[présence personnes retournées]]="Oui","1","0")</f>
        <v>1</v>
      </c>
      <c r="CI873" s="1442">
        <f>[1]!sommaire[[#This Row],[Flag PDI]]+[1]!sommaire[[#This Row],[Flag REF]]+[1]!sommaire[[#This Row],[Flag RET]]</f>
        <v>2</v>
      </c>
    </row>
    <row r="874" spans="1:87" ht="14.55" customHeight="1" x14ac:dyDescent="0.3">
      <c r="A874" s="390">
        <v>2715132</v>
      </c>
      <c r="B874" s="5" t="s">
        <v>533</v>
      </c>
      <c r="C874" s="1430" t="s">
        <v>3449</v>
      </c>
      <c r="D874" s="1090" t="s">
        <v>534</v>
      </c>
      <c r="E874" s="5" t="s">
        <v>32</v>
      </c>
      <c r="F874" s="5" t="s">
        <v>32</v>
      </c>
      <c r="G874" s="5" t="s">
        <v>542</v>
      </c>
      <c r="H874" s="5" t="s">
        <v>181</v>
      </c>
      <c r="I874" s="5" t="str">
        <f>_xlfn.XLOOKUP(sommaire[[#This Row],[Arrondissement_code]],OCHA_GIS!$F:$F,OCHA_GIS!$E:$E,,)</f>
        <v>Yagoua</v>
      </c>
      <c r="J874" s="5" t="s">
        <v>1661</v>
      </c>
      <c r="K874" t="s">
        <v>1671</v>
      </c>
      <c r="L874" s="5" t="s">
        <v>1672</v>
      </c>
      <c r="N874" s="5" t="s">
        <v>3053</v>
      </c>
      <c r="O874" s="5" t="s">
        <v>2467</v>
      </c>
      <c r="P874" s="5" t="s">
        <v>85</v>
      </c>
      <c r="Q874" s="5" t="s">
        <v>86</v>
      </c>
      <c r="R874" s="5" t="s">
        <v>86</v>
      </c>
      <c r="T874" s="390">
        <v>3</v>
      </c>
      <c r="U874" s="5" t="s">
        <v>97</v>
      </c>
      <c r="W874" s="5" t="s">
        <v>2468</v>
      </c>
      <c r="X874" s="5" t="s">
        <v>103</v>
      </c>
      <c r="Y874" s="5" t="s">
        <v>2476</v>
      </c>
      <c r="AA874" s="1175" t="s">
        <v>85</v>
      </c>
      <c r="AB874" s="5" t="s">
        <v>2469</v>
      </c>
      <c r="AC874" s="5" t="s">
        <v>2470</v>
      </c>
      <c r="AD874" s="5" t="s">
        <v>86</v>
      </c>
      <c r="AF874" s="5">
        <v>15</v>
      </c>
      <c r="AG874" s="5">
        <v>4000</v>
      </c>
      <c r="AH874" s="5" t="s">
        <v>85</v>
      </c>
      <c r="AI874" s="5" t="s">
        <v>2471</v>
      </c>
      <c r="AJ874" s="5">
        <v>15</v>
      </c>
      <c r="AK874" s="5">
        <v>83</v>
      </c>
      <c r="AL874" s="5">
        <v>33</v>
      </c>
      <c r="AM874" s="5">
        <v>50</v>
      </c>
      <c r="AN874" s="5">
        <v>2</v>
      </c>
      <c r="AO874" s="5">
        <v>5</v>
      </c>
      <c r="AP874" s="5">
        <v>8</v>
      </c>
      <c r="AQ874" s="5">
        <v>0</v>
      </c>
      <c r="AT874" s="5">
        <v>0</v>
      </c>
      <c r="AU874" s="5">
        <v>0</v>
      </c>
      <c r="AX874" s="5">
        <v>0</v>
      </c>
      <c r="AY874" s="5" t="s">
        <v>86</v>
      </c>
      <c r="BN874" s="5" t="s">
        <v>85</v>
      </c>
      <c r="BO874" s="5">
        <v>72</v>
      </c>
      <c r="BP874" s="5">
        <v>364</v>
      </c>
      <c r="BQ874" s="5">
        <v>164</v>
      </c>
      <c r="BR874" s="5">
        <v>200</v>
      </c>
      <c r="BS874" s="5" t="s">
        <v>2484</v>
      </c>
      <c r="BT874" s="5">
        <v>0</v>
      </c>
      <c r="BU874" s="5">
        <v>25</v>
      </c>
      <c r="BV874" s="5">
        <v>40</v>
      </c>
      <c r="BW874" s="5">
        <v>7</v>
      </c>
      <c r="BX874" s="5">
        <v>0</v>
      </c>
      <c r="BZ874" s="5">
        <v>0</v>
      </c>
      <c r="CA874" s="5">
        <v>0</v>
      </c>
      <c r="CC874" s="5">
        <v>0</v>
      </c>
      <c r="CD874" s="5">
        <v>0</v>
      </c>
      <c r="CF874" s="1442" t="str">
        <f>IF([1]!sommaire[[#This Row],[présence des personnes déplacés interne]]="Oui","1","0")</f>
        <v>1</v>
      </c>
      <c r="CG874" s="1442" t="str">
        <f>IF([1]!sommaire[[#This Row],[présence Réfugié hors camp]]="Oui","1","0")</f>
        <v>0</v>
      </c>
      <c r="CH874" s="1442" t="str">
        <f>IF([1]!sommaire[[#This Row],[présence personnes retournées]]="Oui","1","0")</f>
        <v>1</v>
      </c>
      <c r="CI874" s="1442">
        <f>[1]!sommaire[[#This Row],[Flag PDI]]+[1]!sommaire[[#This Row],[Flag REF]]+[1]!sommaire[[#This Row],[Flag RET]]</f>
        <v>2</v>
      </c>
    </row>
    <row r="875" spans="1:87" ht="14.55" customHeight="1" x14ac:dyDescent="0.3">
      <c r="A875" s="390">
        <v>2715073</v>
      </c>
      <c r="B875" s="5" t="s">
        <v>533</v>
      </c>
      <c r="C875" s="1430" t="s">
        <v>3449</v>
      </c>
      <c r="D875" s="5" t="s">
        <v>534</v>
      </c>
      <c r="E875" s="5" t="s">
        <v>32</v>
      </c>
      <c r="F875" s="5" t="s">
        <v>32</v>
      </c>
      <c r="G875" s="5" t="s">
        <v>542</v>
      </c>
      <c r="H875" s="5" t="s">
        <v>181</v>
      </c>
      <c r="I875" s="5" t="str">
        <f>_xlfn.XLOOKUP(sommaire[[#This Row],[Arrondissement_code]],OCHA_GIS!$F:$F,OCHA_GIS!$E:$E,,)</f>
        <v>Yagoua</v>
      </c>
      <c r="J875" s="5" t="s">
        <v>1661</v>
      </c>
      <c r="K875" t="s">
        <v>2143</v>
      </c>
      <c r="L875" s="5" t="s">
        <v>3303</v>
      </c>
      <c r="N875" s="5" t="s">
        <v>3053</v>
      </c>
      <c r="O875" s="5" t="s">
        <v>2473</v>
      </c>
      <c r="P875" s="5" t="s">
        <v>85</v>
      </c>
      <c r="Q875" s="5" t="s">
        <v>86</v>
      </c>
      <c r="R875" s="1186" t="s">
        <v>86</v>
      </c>
      <c r="T875" s="390">
        <v>3</v>
      </c>
      <c r="U875" s="5" t="s">
        <v>97</v>
      </c>
      <c r="W875" s="5" t="s">
        <v>2468</v>
      </c>
      <c r="X875" s="5" t="s">
        <v>102</v>
      </c>
      <c r="AA875" s="5" t="s">
        <v>85</v>
      </c>
      <c r="AB875" s="5" t="s">
        <v>2473</v>
      </c>
      <c r="AC875" s="5" t="s">
        <v>2470</v>
      </c>
      <c r="AF875" s="5">
        <v>32</v>
      </c>
      <c r="AG875" s="5">
        <v>2500</v>
      </c>
      <c r="AH875" s="5" t="s">
        <v>85</v>
      </c>
      <c r="AI875" s="5" t="s">
        <v>2485</v>
      </c>
      <c r="AJ875" s="5">
        <v>32</v>
      </c>
      <c r="AK875" s="5">
        <v>281</v>
      </c>
      <c r="AL875" s="5">
        <v>180</v>
      </c>
      <c r="AM875" s="5">
        <v>101</v>
      </c>
      <c r="AN875" s="5">
        <v>32</v>
      </c>
      <c r="AO875" s="5">
        <v>0</v>
      </c>
      <c r="AP875" s="5">
        <v>0</v>
      </c>
      <c r="AQ875" s="5">
        <v>0</v>
      </c>
      <c r="AT875" s="5">
        <v>0</v>
      </c>
      <c r="AU875" s="5">
        <v>0</v>
      </c>
      <c r="AX875" s="5">
        <v>0</v>
      </c>
      <c r="AY875" s="5" t="s">
        <v>86</v>
      </c>
      <c r="BN875" s="5" t="s">
        <v>86</v>
      </c>
      <c r="CD875" s="5">
        <v>0</v>
      </c>
      <c r="CF875" s="1442" t="str">
        <f>IF([1]!sommaire[[#This Row],[présence des personnes déplacés interne]]="Oui","1","0")</f>
        <v>1</v>
      </c>
      <c r="CG875" s="1442" t="str">
        <f>IF([1]!sommaire[[#This Row],[présence Réfugié hors camp]]="Oui","1","0")</f>
        <v>0</v>
      </c>
      <c r="CH875" s="1442" t="str">
        <f>IF([1]!sommaire[[#This Row],[présence personnes retournées]]="Oui","1","0")</f>
        <v>0</v>
      </c>
      <c r="CI875" s="1442">
        <f>[1]!sommaire[[#This Row],[Flag PDI]]+[1]!sommaire[[#This Row],[Flag REF]]+[1]!sommaire[[#This Row],[Flag RET]]</f>
        <v>1</v>
      </c>
    </row>
    <row r="876" spans="1:87" ht="14.55" customHeight="1" x14ac:dyDescent="0.3">
      <c r="A876" s="390">
        <v>2597206</v>
      </c>
      <c r="B876" s="5" t="s">
        <v>533</v>
      </c>
      <c r="C876" s="1430" t="s">
        <v>3449</v>
      </c>
      <c r="D876" s="1090" t="s">
        <v>534</v>
      </c>
      <c r="E876" s="5" t="s">
        <v>33</v>
      </c>
      <c r="F876" s="5" t="s">
        <v>33</v>
      </c>
      <c r="G876" s="5" t="s">
        <v>561</v>
      </c>
      <c r="H876" s="5" t="s">
        <v>182</v>
      </c>
      <c r="I876" s="5" t="str">
        <f>_xlfn.XLOOKUP(sommaire[[#This Row],[Arrondissement_code]],OCHA_GIS!$F:$F,OCHA_GIS!$E:$E,,)</f>
        <v>Guidiguis</v>
      </c>
      <c r="J876" s="5" t="s">
        <v>647</v>
      </c>
      <c r="K876" t="s">
        <v>648</v>
      </c>
      <c r="L876" s="5" t="s">
        <v>649</v>
      </c>
      <c r="N876" s="5" t="s">
        <v>3052</v>
      </c>
      <c r="O876" s="5" t="s">
        <v>2467</v>
      </c>
      <c r="P876" s="5" t="s">
        <v>85</v>
      </c>
      <c r="Q876" s="5" t="s">
        <v>86</v>
      </c>
      <c r="R876" s="5" t="s">
        <v>86</v>
      </c>
      <c r="T876" s="390">
        <v>3</v>
      </c>
      <c r="U876" s="5" t="s">
        <v>97</v>
      </c>
      <c r="W876" s="5" t="s">
        <v>2468</v>
      </c>
      <c r="X876" s="5" t="s">
        <v>102</v>
      </c>
      <c r="AA876" s="5" t="s">
        <v>85</v>
      </c>
      <c r="AB876" s="5" t="s">
        <v>2469</v>
      </c>
      <c r="AC876" s="5" t="s">
        <v>2470</v>
      </c>
      <c r="AD876" s="5" t="s">
        <v>86</v>
      </c>
      <c r="AF876" s="5">
        <v>1</v>
      </c>
      <c r="AG876" s="5">
        <v>1000</v>
      </c>
      <c r="AH876" s="5" t="s">
        <v>85</v>
      </c>
      <c r="AI876" s="5" t="s">
        <v>2471</v>
      </c>
      <c r="AJ876" s="5">
        <v>1</v>
      </c>
      <c r="AK876" s="5">
        <v>4</v>
      </c>
      <c r="AL876" s="5">
        <v>2</v>
      </c>
      <c r="AM876" s="5">
        <v>2</v>
      </c>
      <c r="AN876" s="5">
        <v>0</v>
      </c>
      <c r="AO876" s="5">
        <v>0</v>
      </c>
      <c r="AP876" s="5">
        <v>0</v>
      </c>
      <c r="AQ876" s="5">
        <v>1</v>
      </c>
      <c r="AR876" s="5" t="s">
        <v>2477</v>
      </c>
      <c r="AT876" s="5">
        <v>0</v>
      </c>
      <c r="AU876" s="5">
        <v>0</v>
      </c>
      <c r="AX876" s="5">
        <v>0</v>
      </c>
      <c r="AY876" s="5" t="s">
        <v>86</v>
      </c>
      <c r="BN876" s="5" t="s">
        <v>85</v>
      </c>
      <c r="BO876" s="5">
        <v>2</v>
      </c>
      <c r="BP876" s="5">
        <v>6</v>
      </c>
      <c r="BQ876" s="5">
        <v>2</v>
      </c>
      <c r="BR876" s="5">
        <v>4</v>
      </c>
      <c r="BS876" s="5" t="s">
        <v>2492</v>
      </c>
      <c r="BT876" s="5">
        <v>0</v>
      </c>
      <c r="BU876" s="5">
        <v>0</v>
      </c>
      <c r="BV876" s="5">
        <v>2</v>
      </c>
      <c r="BW876" s="5">
        <v>0</v>
      </c>
      <c r="BX876" s="5">
        <v>0</v>
      </c>
      <c r="BZ876" s="5">
        <v>0</v>
      </c>
      <c r="CA876" s="5">
        <v>0</v>
      </c>
      <c r="CC876" s="5">
        <v>0</v>
      </c>
      <c r="CD876" s="5">
        <v>0</v>
      </c>
      <c r="CF876" s="1442" t="str">
        <f>IF([1]!sommaire[[#This Row],[présence des personnes déplacés interne]]="Oui","1","0")</f>
        <v>1</v>
      </c>
      <c r="CG876" s="1442" t="str">
        <f>IF([1]!sommaire[[#This Row],[présence Réfugié hors camp]]="Oui","1","0")</f>
        <v>0</v>
      </c>
      <c r="CH876" s="1442" t="str">
        <f>IF([1]!sommaire[[#This Row],[présence personnes retournées]]="Oui","1","0")</f>
        <v>1</v>
      </c>
      <c r="CI876" s="1442">
        <f>[1]!sommaire[[#This Row],[Flag PDI]]+[1]!sommaire[[#This Row],[Flag REF]]+[1]!sommaire[[#This Row],[Flag RET]]</f>
        <v>2</v>
      </c>
    </row>
    <row r="877" spans="1:87" ht="14.55" customHeight="1" x14ac:dyDescent="0.3">
      <c r="A877" s="390">
        <v>2657745</v>
      </c>
      <c r="B877" s="5" t="s">
        <v>533</v>
      </c>
      <c r="C877" s="1430" t="s">
        <v>3449</v>
      </c>
      <c r="D877" s="1090" t="s">
        <v>534</v>
      </c>
      <c r="E877" s="5" t="s">
        <v>33</v>
      </c>
      <c r="F877" s="5" t="s">
        <v>33</v>
      </c>
      <c r="G877" s="5" t="s">
        <v>561</v>
      </c>
      <c r="H877" s="5" t="s">
        <v>182</v>
      </c>
      <c r="I877" s="5" t="str">
        <f>_xlfn.XLOOKUP(sommaire[[#This Row],[Arrondissement_code]],OCHA_GIS!$F:$F,OCHA_GIS!$E:$E,,)</f>
        <v>Guidiguis</v>
      </c>
      <c r="J877" s="5" t="s">
        <v>647</v>
      </c>
      <c r="K877" t="s">
        <v>2292</v>
      </c>
      <c r="L877" s="5" t="s">
        <v>2293</v>
      </c>
      <c r="N877" s="5" t="s">
        <v>3052</v>
      </c>
      <c r="O877" s="5" t="s">
        <v>2467</v>
      </c>
      <c r="P877" s="5" t="s">
        <v>85</v>
      </c>
      <c r="Q877" s="5" t="s">
        <v>86</v>
      </c>
      <c r="R877" s="5" t="s">
        <v>85</v>
      </c>
      <c r="T877" s="390">
        <v>3</v>
      </c>
      <c r="U877" s="5" t="s">
        <v>97</v>
      </c>
      <c r="W877" s="5" t="s">
        <v>2468</v>
      </c>
      <c r="X877" s="1090" t="s">
        <v>102</v>
      </c>
      <c r="AA877" s="5" t="s">
        <v>86</v>
      </c>
      <c r="AH877" s="1430" t="s">
        <v>86</v>
      </c>
      <c r="AY877" s="1430" t="s">
        <v>86</v>
      </c>
      <c r="BN877" s="1430" t="s">
        <v>86</v>
      </c>
      <c r="CF877" s="1442" t="str">
        <f>IF([1]!sommaire[[#This Row],[présence des personnes déplacés interne]]="Oui","1","0")</f>
        <v>0</v>
      </c>
      <c r="CG877" s="1442" t="str">
        <f>IF([1]!sommaire[[#This Row],[présence Réfugié hors camp]]="Oui","1","0")</f>
        <v>0</v>
      </c>
      <c r="CH877" s="1442" t="str">
        <f>IF([1]!sommaire[[#This Row],[présence personnes retournées]]="Oui","1","0")</f>
        <v>0</v>
      </c>
      <c r="CI877" s="1442">
        <f>[1]!sommaire[[#This Row],[Flag PDI]]+[1]!sommaire[[#This Row],[Flag REF]]+[1]!sommaire[[#This Row],[Flag RET]]</f>
        <v>0</v>
      </c>
    </row>
    <row r="878" spans="1:87" ht="14.55" customHeight="1" x14ac:dyDescent="0.3">
      <c r="A878" s="390">
        <v>2657744</v>
      </c>
      <c r="B878" s="5" t="s">
        <v>533</v>
      </c>
      <c r="C878" s="1430" t="s">
        <v>3449</v>
      </c>
      <c r="D878" s="1090" t="s">
        <v>534</v>
      </c>
      <c r="E878" s="5" t="s">
        <v>33</v>
      </c>
      <c r="F878" s="5" t="s">
        <v>33</v>
      </c>
      <c r="G878" s="5" t="s">
        <v>561</v>
      </c>
      <c r="H878" s="5" t="s">
        <v>182</v>
      </c>
      <c r="I878" s="5" t="str">
        <f>_xlfn.XLOOKUP(sommaire[[#This Row],[Arrondissement_code]],OCHA_GIS!$F:$F,OCHA_GIS!$E:$E,,)</f>
        <v>Guidiguis</v>
      </c>
      <c r="J878" s="5" t="s">
        <v>647</v>
      </c>
      <c r="K878" t="s">
        <v>2290</v>
      </c>
      <c r="L878" s="5" t="s">
        <v>2291</v>
      </c>
      <c r="N878" s="5" t="s">
        <v>3052</v>
      </c>
      <c r="O878" s="5" t="s">
        <v>2467</v>
      </c>
      <c r="P878" s="5" t="s">
        <v>85</v>
      </c>
      <c r="Q878" s="5" t="s">
        <v>86</v>
      </c>
      <c r="R878" s="5" t="s">
        <v>85</v>
      </c>
      <c r="T878" s="390">
        <v>3</v>
      </c>
      <c r="U878" s="5" t="s">
        <v>97</v>
      </c>
      <c r="W878" s="5" t="s">
        <v>2468</v>
      </c>
      <c r="X878" s="5" t="s">
        <v>102</v>
      </c>
      <c r="AA878" s="586" t="s">
        <v>85</v>
      </c>
      <c r="AB878" s="5" t="s">
        <v>2473</v>
      </c>
      <c r="AC878" s="5" t="s">
        <v>2470</v>
      </c>
      <c r="AD878" s="5" t="s">
        <v>86</v>
      </c>
      <c r="AG878" s="5">
        <v>6000</v>
      </c>
      <c r="AH878" s="5" t="s">
        <v>86</v>
      </c>
      <c r="AY878" s="5" t="s">
        <v>85</v>
      </c>
      <c r="AZ878" s="5">
        <v>2</v>
      </c>
      <c r="BA878" s="5">
        <v>30</v>
      </c>
      <c r="BB878" s="5">
        <v>13</v>
      </c>
      <c r="BC878" s="5">
        <v>17</v>
      </c>
      <c r="BD878" s="5">
        <v>0</v>
      </c>
      <c r="BE878" s="5">
        <v>0</v>
      </c>
      <c r="BF878" s="5">
        <v>0</v>
      </c>
      <c r="BH878" s="5">
        <v>0</v>
      </c>
      <c r="BI878" s="5">
        <v>2</v>
      </c>
      <c r="BJ878" s="5" t="s">
        <v>2710</v>
      </c>
      <c r="BL878" s="5">
        <v>0</v>
      </c>
      <c r="BM878" s="5">
        <v>0</v>
      </c>
      <c r="BN878" s="5" t="s">
        <v>86</v>
      </c>
      <c r="CD878" s="5">
        <v>0</v>
      </c>
      <c r="CF878" s="1442" t="str">
        <f>IF([1]!sommaire[[#This Row],[présence des personnes déplacés interne]]="Oui","1","0")</f>
        <v>0</v>
      </c>
      <c r="CG878" s="1442" t="str">
        <f>IF([1]!sommaire[[#This Row],[présence Réfugié hors camp]]="Oui","1","0")</f>
        <v>1</v>
      </c>
      <c r="CH878" s="1442" t="str">
        <f>IF([1]!sommaire[[#This Row],[présence personnes retournées]]="Oui","1","0")</f>
        <v>0</v>
      </c>
      <c r="CI878" s="1442">
        <f>[1]!sommaire[[#This Row],[Flag PDI]]+[1]!sommaire[[#This Row],[Flag REF]]+[1]!sommaire[[#This Row],[Flag RET]]</f>
        <v>1</v>
      </c>
    </row>
    <row r="879" spans="1:87" ht="14.55" customHeight="1" x14ac:dyDescent="0.3">
      <c r="A879" s="390">
        <v>2597216</v>
      </c>
      <c r="B879" s="5" t="s">
        <v>533</v>
      </c>
      <c r="C879" s="1430" t="s">
        <v>3449</v>
      </c>
      <c r="D879" s="1090" t="s">
        <v>534</v>
      </c>
      <c r="E879" s="5" t="s">
        <v>33</v>
      </c>
      <c r="F879" s="5" t="s">
        <v>33</v>
      </c>
      <c r="G879" s="5" t="s">
        <v>561</v>
      </c>
      <c r="H879" s="5" t="s">
        <v>182</v>
      </c>
      <c r="I879" s="5" t="str">
        <f>_xlfn.XLOOKUP(sommaire[[#This Row],[Arrondissement_code]],OCHA_GIS!$F:$F,OCHA_GIS!$E:$E,,)</f>
        <v>Guidiguis</v>
      </c>
      <c r="J879" s="5" t="s">
        <v>647</v>
      </c>
      <c r="K879" t="s">
        <v>2288</v>
      </c>
      <c r="L879" s="5" t="s">
        <v>2289</v>
      </c>
      <c r="N879" s="5" t="s">
        <v>3052</v>
      </c>
      <c r="O879" s="5" t="s">
        <v>2467</v>
      </c>
      <c r="P879" s="5" t="s">
        <v>85</v>
      </c>
      <c r="Q879" s="5" t="s">
        <v>86</v>
      </c>
      <c r="R879" s="5" t="s">
        <v>86</v>
      </c>
      <c r="T879" s="390">
        <v>3</v>
      </c>
      <c r="U879" s="5" t="s">
        <v>97</v>
      </c>
      <c r="W879" s="5" t="s">
        <v>2468</v>
      </c>
      <c r="X879" s="5" t="s">
        <v>102</v>
      </c>
      <c r="AA879" s="586" t="s">
        <v>85</v>
      </c>
      <c r="AB879" s="5" t="s">
        <v>2469</v>
      </c>
      <c r="AC879" s="5" t="s">
        <v>2470</v>
      </c>
      <c r="AD879" s="5" t="s">
        <v>86</v>
      </c>
      <c r="AG879" s="5">
        <v>420</v>
      </c>
      <c r="AH879" s="5" t="s">
        <v>86</v>
      </c>
      <c r="AY879" s="5" t="s">
        <v>86</v>
      </c>
      <c r="BN879" s="5" t="s">
        <v>85</v>
      </c>
      <c r="BO879" s="5">
        <v>1</v>
      </c>
      <c r="BP879" s="5">
        <v>6</v>
      </c>
      <c r="BQ879" s="5">
        <v>4</v>
      </c>
      <c r="BR879" s="5">
        <v>2</v>
      </c>
      <c r="BS879" s="5" t="s">
        <v>2535</v>
      </c>
      <c r="BT879" s="5">
        <v>1</v>
      </c>
      <c r="BU879" s="5">
        <v>0</v>
      </c>
      <c r="BV879" s="5">
        <v>0</v>
      </c>
      <c r="BW879" s="5">
        <v>0</v>
      </c>
      <c r="BX879" s="5">
        <v>0</v>
      </c>
      <c r="BZ879" s="5">
        <v>0</v>
      </c>
      <c r="CA879" s="5">
        <v>0</v>
      </c>
      <c r="CC879" s="5">
        <v>0</v>
      </c>
      <c r="CD879" s="5">
        <v>0</v>
      </c>
      <c r="CF879" s="1442" t="str">
        <f>IF([1]!sommaire[[#This Row],[présence des personnes déplacés interne]]="Oui","1","0")</f>
        <v>0</v>
      </c>
      <c r="CG879" s="1442" t="str">
        <f>IF([1]!sommaire[[#This Row],[présence Réfugié hors camp]]="Oui","1","0")</f>
        <v>0</v>
      </c>
      <c r="CH879" s="1442" t="str">
        <f>IF([1]!sommaire[[#This Row],[présence personnes retournées]]="Oui","1","0")</f>
        <v>1</v>
      </c>
      <c r="CI879" s="1442">
        <f>[1]!sommaire[[#This Row],[Flag PDI]]+[1]!sommaire[[#This Row],[Flag REF]]+[1]!sommaire[[#This Row],[Flag RET]]</f>
        <v>1</v>
      </c>
    </row>
    <row r="880" spans="1:87" ht="14.55" customHeight="1" x14ac:dyDescent="0.3">
      <c r="A880" s="390">
        <v>2597212</v>
      </c>
      <c r="B880" s="5" t="s">
        <v>533</v>
      </c>
      <c r="C880" s="1430" t="s">
        <v>3449</v>
      </c>
      <c r="D880" s="1090" t="s">
        <v>534</v>
      </c>
      <c r="E880" s="5" t="s">
        <v>33</v>
      </c>
      <c r="F880" s="5" t="s">
        <v>33</v>
      </c>
      <c r="G880" s="5" t="s">
        <v>561</v>
      </c>
      <c r="H880" s="5" t="s">
        <v>182</v>
      </c>
      <c r="I880" s="5" t="str">
        <f>_xlfn.XLOOKUP(sommaire[[#This Row],[Arrondissement_code]],OCHA_GIS!$F:$F,OCHA_GIS!$E:$E,,)</f>
        <v>Guidiguis</v>
      </c>
      <c r="J880" s="5" t="s">
        <v>647</v>
      </c>
      <c r="K880" t="s">
        <v>2301</v>
      </c>
      <c r="L880" s="5" t="s">
        <v>2302</v>
      </c>
      <c r="N880" s="5" t="s">
        <v>3052</v>
      </c>
      <c r="O880" s="5" t="s">
        <v>2467</v>
      </c>
      <c r="P880" s="5" t="s">
        <v>85</v>
      </c>
      <c r="Q880" s="5" t="s">
        <v>86</v>
      </c>
      <c r="R880" s="5" t="s">
        <v>86</v>
      </c>
      <c r="T880" s="390">
        <v>3</v>
      </c>
      <c r="U880" s="5" t="s">
        <v>97</v>
      </c>
      <c r="W880" s="5" t="s">
        <v>2468</v>
      </c>
      <c r="X880" s="5" t="s">
        <v>102</v>
      </c>
      <c r="AA880" s="5" t="s">
        <v>85</v>
      </c>
      <c r="AB880" s="5" t="s">
        <v>2469</v>
      </c>
      <c r="AC880" s="5" t="s">
        <v>2470</v>
      </c>
      <c r="AD880" s="5" t="s">
        <v>86</v>
      </c>
      <c r="AG880" s="5">
        <v>200</v>
      </c>
      <c r="AH880" s="5" t="s">
        <v>86</v>
      </c>
      <c r="AY880" s="1090" t="s">
        <v>86</v>
      </c>
      <c r="BN880" s="1090" t="s">
        <v>85</v>
      </c>
      <c r="BO880" s="5">
        <v>3</v>
      </c>
      <c r="BP880" s="5">
        <v>15</v>
      </c>
      <c r="BQ880" s="5">
        <v>7</v>
      </c>
      <c r="BR880" s="5">
        <v>8</v>
      </c>
      <c r="BS880" s="5" t="s">
        <v>2492</v>
      </c>
      <c r="BT880" s="5">
        <v>2</v>
      </c>
      <c r="BU880" s="5">
        <v>0</v>
      </c>
      <c r="BV880" s="5">
        <v>1</v>
      </c>
      <c r="BW880" s="5">
        <v>0</v>
      </c>
      <c r="BX880" s="5">
        <v>0</v>
      </c>
      <c r="BZ880" s="5">
        <v>0</v>
      </c>
      <c r="CA880" s="5">
        <v>0</v>
      </c>
      <c r="CC880" s="5">
        <v>0</v>
      </c>
      <c r="CD880" s="5">
        <v>0</v>
      </c>
      <c r="CF880" s="1442" t="str">
        <f>IF([1]!sommaire[[#This Row],[présence des personnes déplacés interne]]="Oui","1","0")</f>
        <v>0</v>
      </c>
      <c r="CG880" s="1442" t="str">
        <f>IF([1]!sommaire[[#This Row],[présence Réfugié hors camp]]="Oui","1","0")</f>
        <v>0</v>
      </c>
      <c r="CH880" s="1442" t="str">
        <f>IF([1]!sommaire[[#This Row],[présence personnes retournées]]="Oui","1","0")</f>
        <v>1</v>
      </c>
      <c r="CI880" s="1442">
        <f>[1]!sommaire[[#This Row],[Flag PDI]]+[1]!sommaire[[#This Row],[Flag REF]]+[1]!sommaire[[#This Row],[Flag RET]]</f>
        <v>1</v>
      </c>
    </row>
    <row r="881" spans="1:87" ht="14.55" customHeight="1" x14ac:dyDescent="0.3">
      <c r="A881" s="390">
        <v>2635178</v>
      </c>
      <c r="B881" s="5" t="s">
        <v>533</v>
      </c>
      <c r="C881" s="1430" t="s">
        <v>3449</v>
      </c>
      <c r="D881" s="1090" t="s">
        <v>534</v>
      </c>
      <c r="E881" s="5" t="s">
        <v>33</v>
      </c>
      <c r="F881" s="5" t="s">
        <v>33</v>
      </c>
      <c r="G881" s="5" t="s">
        <v>561</v>
      </c>
      <c r="H881" s="5" t="s">
        <v>183</v>
      </c>
      <c r="I881" s="5" t="str">
        <f>_xlfn.XLOOKUP(sommaire[[#This Row],[Arrondissement_code]],OCHA_GIS!$F:$F,OCHA_GIS!$E:$E,,)</f>
        <v>Kaélé</v>
      </c>
      <c r="J881" s="5" t="s">
        <v>562</v>
      </c>
      <c r="K881" t="s">
        <v>550</v>
      </c>
      <c r="L881" s="5" t="s">
        <v>3126</v>
      </c>
      <c r="M881" s="5" t="s">
        <v>3126</v>
      </c>
      <c r="N881" s="5" t="s">
        <v>3053</v>
      </c>
      <c r="O881" s="5" t="s">
        <v>2467</v>
      </c>
      <c r="P881" s="5" t="s">
        <v>85</v>
      </c>
      <c r="Q881" s="5" t="s">
        <v>86</v>
      </c>
      <c r="R881" s="5" t="s">
        <v>85</v>
      </c>
      <c r="T881" s="390">
        <v>3</v>
      </c>
      <c r="U881" s="5" t="s">
        <v>97</v>
      </c>
      <c r="W881" s="5" t="s">
        <v>2468</v>
      </c>
      <c r="X881" s="5" t="s">
        <v>102</v>
      </c>
      <c r="AA881" s="5" t="s">
        <v>85</v>
      </c>
      <c r="AB881" s="5" t="s">
        <v>2469</v>
      </c>
      <c r="AC881" s="5" t="s">
        <v>2470</v>
      </c>
      <c r="AD881" s="5" t="s">
        <v>86</v>
      </c>
      <c r="AF881" s="5">
        <v>4</v>
      </c>
      <c r="AG881" s="5">
        <v>5000</v>
      </c>
      <c r="AH881" s="5" t="s">
        <v>85</v>
      </c>
      <c r="AI881" s="5" t="s">
        <v>2471</v>
      </c>
      <c r="AJ881" s="5">
        <v>4</v>
      </c>
      <c r="AK881" s="5">
        <v>26</v>
      </c>
      <c r="AL881" s="5">
        <v>15</v>
      </c>
      <c r="AM881" s="5">
        <v>11</v>
      </c>
      <c r="AN881" s="5">
        <v>0</v>
      </c>
      <c r="AO881" s="5">
        <v>4</v>
      </c>
      <c r="AP881" s="5">
        <v>0</v>
      </c>
      <c r="AQ881" s="5">
        <v>0</v>
      </c>
      <c r="AT881" s="5">
        <v>0</v>
      </c>
      <c r="AU881" s="5">
        <v>0</v>
      </c>
      <c r="AX881" s="5">
        <v>0</v>
      </c>
      <c r="AY881" s="5" t="s">
        <v>86</v>
      </c>
      <c r="BN881" s="5" t="s">
        <v>86</v>
      </c>
      <c r="CD881" s="5">
        <v>6</v>
      </c>
      <c r="CF881" s="1442" t="str">
        <f>IF([1]!sommaire[[#This Row],[présence des personnes déplacés interne]]="Oui","1","0")</f>
        <v>1</v>
      </c>
      <c r="CG881" s="1442" t="str">
        <f>IF([1]!sommaire[[#This Row],[présence Réfugié hors camp]]="Oui","1","0")</f>
        <v>0</v>
      </c>
      <c r="CH881" s="1442" t="str">
        <f>IF([1]!sommaire[[#This Row],[présence personnes retournées]]="Oui","1","0")</f>
        <v>0</v>
      </c>
      <c r="CI881" s="1442">
        <f>[1]!sommaire[[#This Row],[Flag PDI]]+[1]!sommaire[[#This Row],[Flag REF]]+[1]!sommaire[[#This Row],[Flag RET]]</f>
        <v>1</v>
      </c>
    </row>
    <row r="882" spans="1:87" ht="14.55" customHeight="1" x14ac:dyDescent="0.3">
      <c r="A882" s="390">
        <v>2635180</v>
      </c>
      <c r="B882" s="5" t="s">
        <v>533</v>
      </c>
      <c r="C882" s="1430" t="s">
        <v>3449</v>
      </c>
      <c r="D882" s="1090" t="s">
        <v>534</v>
      </c>
      <c r="E882" s="5" t="s">
        <v>33</v>
      </c>
      <c r="F882" s="5" t="s">
        <v>33</v>
      </c>
      <c r="G882" s="5" t="s">
        <v>561</v>
      </c>
      <c r="H882" s="5" t="s">
        <v>183</v>
      </c>
      <c r="I882" s="5" t="str">
        <f>_xlfn.XLOOKUP(sommaire[[#This Row],[Arrondissement_code]],OCHA_GIS!$F:$F,OCHA_GIS!$E:$E,,)</f>
        <v>Kaélé</v>
      </c>
      <c r="J882" s="5" t="s">
        <v>562</v>
      </c>
      <c r="K882" t="s">
        <v>550</v>
      </c>
      <c r="L882" s="5" t="s">
        <v>3127</v>
      </c>
      <c r="M882" s="5" t="s">
        <v>3127</v>
      </c>
      <c r="N882" s="5" t="s">
        <v>3053</v>
      </c>
      <c r="O882" s="5" t="s">
        <v>2467</v>
      </c>
      <c r="P882" s="5" t="s">
        <v>85</v>
      </c>
      <c r="Q882" s="5" t="s">
        <v>86</v>
      </c>
      <c r="R882" s="5" t="s">
        <v>85</v>
      </c>
      <c r="T882" s="390">
        <v>4</v>
      </c>
      <c r="U882" s="5" t="s">
        <v>97</v>
      </c>
      <c r="W882" s="5" t="s">
        <v>2468</v>
      </c>
      <c r="X882" s="5" t="s">
        <v>102</v>
      </c>
      <c r="AA882" s="5" t="s">
        <v>85</v>
      </c>
      <c r="AB882" s="5" t="s">
        <v>2469</v>
      </c>
      <c r="AC882" s="5" t="s">
        <v>2470</v>
      </c>
      <c r="AD882" s="1090" t="s">
        <v>86</v>
      </c>
      <c r="AF882" s="5">
        <v>15</v>
      </c>
      <c r="AG882" s="5">
        <v>2500</v>
      </c>
      <c r="AH882" s="5" t="s">
        <v>85</v>
      </c>
      <c r="AI882" s="5" t="s">
        <v>2471</v>
      </c>
      <c r="AJ882" s="5">
        <v>15</v>
      </c>
      <c r="AK882" s="5">
        <v>100</v>
      </c>
      <c r="AL882" s="5">
        <v>34</v>
      </c>
      <c r="AM882" s="5">
        <v>66</v>
      </c>
      <c r="AN882" s="5">
        <v>0</v>
      </c>
      <c r="AO882" s="5">
        <v>0</v>
      </c>
      <c r="AP882" s="5">
        <v>0</v>
      </c>
      <c r="AQ882" s="5">
        <v>0</v>
      </c>
      <c r="AT882" s="5">
        <v>0</v>
      </c>
      <c r="AU882" s="5">
        <v>15</v>
      </c>
      <c r="AV882" s="5" t="s">
        <v>2478</v>
      </c>
      <c r="AX882" s="5">
        <v>0</v>
      </c>
      <c r="AY882" s="5" t="s">
        <v>86</v>
      </c>
      <c r="BN882" s="5" t="s">
        <v>86</v>
      </c>
      <c r="CD882" s="5">
        <v>0</v>
      </c>
      <c r="CF882" s="1442" t="str">
        <f>IF([1]!sommaire[[#This Row],[présence des personnes déplacés interne]]="Oui","1","0")</f>
        <v>1</v>
      </c>
      <c r="CG882" s="1442" t="str">
        <f>IF([1]!sommaire[[#This Row],[présence Réfugié hors camp]]="Oui","1","0")</f>
        <v>0</v>
      </c>
      <c r="CH882" s="1442" t="str">
        <f>IF([1]!sommaire[[#This Row],[présence personnes retournées]]="Oui","1","0")</f>
        <v>0</v>
      </c>
      <c r="CI882" s="1442">
        <f>[1]!sommaire[[#This Row],[Flag PDI]]+[1]!sommaire[[#This Row],[Flag REF]]+[1]!sommaire[[#This Row],[Flag RET]]</f>
        <v>1</v>
      </c>
    </row>
    <row r="883" spans="1:87" ht="14.55" customHeight="1" x14ac:dyDescent="0.3">
      <c r="A883" s="390">
        <v>2603637</v>
      </c>
      <c r="B883" s="5" t="s">
        <v>533</v>
      </c>
      <c r="C883" s="1430" t="s">
        <v>3449</v>
      </c>
      <c r="D883" s="1090" t="s">
        <v>534</v>
      </c>
      <c r="E883" s="5" t="s">
        <v>33</v>
      </c>
      <c r="F883" s="5" t="s">
        <v>33</v>
      </c>
      <c r="G883" s="5" t="s">
        <v>561</v>
      </c>
      <c r="H883" s="5" t="s">
        <v>183</v>
      </c>
      <c r="I883" s="5" t="str">
        <f>_xlfn.XLOOKUP(sommaire[[#This Row],[Arrondissement_code]],OCHA_GIS!$F:$F,OCHA_GIS!$E:$E,,)</f>
        <v>Kaélé</v>
      </c>
      <c r="J883" s="5" t="s">
        <v>562</v>
      </c>
      <c r="K883" t="s">
        <v>2271</v>
      </c>
      <c r="L883" s="5" t="s">
        <v>2272</v>
      </c>
      <c r="N883" s="5" t="s">
        <v>3053</v>
      </c>
      <c r="O883" s="5" t="s">
        <v>2467</v>
      </c>
      <c r="P883" s="5" t="s">
        <v>85</v>
      </c>
      <c r="Q883" s="5" t="s">
        <v>86</v>
      </c>
      <c r="R883" s="5" t="s">
        <v>85</v>
      </c>
      <c r="T883" s="390">
        <v>3</v>
      </c>
      <c r="U883" s="5" t="s">
        <v>97</v>
      </c>
      <c r="W883" s="5" t="s">
        <v>2468</v>
      </c>
      <c r="X883" s="5" t="s">
        <v>102</v>
      </c>
      <c r="AA883" s="5" t="s">
        <v>85</v>
      </c>
      <c r="AB883" s="5" t="s">
        <v>2469</v>
      </c>
      <c r="AC883" s="5" t="s">
        <v>2470</v>
      </c>
      <c r="AD883" s="5" t="s">
        <v>86</v>
      </c>
      <c r="AF883" s="5">
        <v>4</v>
      </c>
      <c r="AG883" s="5">
        <v>1450</v>
      </c>
      <c r="AH883" s="5" t="s">
        <v>85</v>
      </c>
      <c r="AI883" s="5" t="s">
        <v>2485</v>
      </c>
      <c r="AJ883" s="5">
        <v>4</v>
      </c>
      <c r="AK883" s="5">
        <v>30</v>
      </c>
      <c r="AL883" s="5">
        <v>14</v>
      </c>
      <c r="AM883" s="5">
        <v>16</v>
      </c>
      <c r="AN883" s="5">
        <v>1</v>
      </c>
      <c r="AO883" s="5">
        <v>3</v>
      </c>
      <c r="AP883" s="5">
        <v>0</v>
      </c>
      <c r="AQ883" s="5">
        <v>0</v>
      </c>
      <c r="AT883" s="5">
        <v>0</v>
      </c>
      <c r="AU883" s="5">
        <v>0</v>
      </c>
      <c r="AX883" s="5">
        <v>0</v>
      </c>
      <c r="AY883" s="5" t="s">
        <v>86</v>
      </c>
      <c r="BN883" s="5" t="s">
        <v>85</v>
      </c>
      <c r="BO883" s="5">
        <v>2</v>
      </c>
      <c r="BP883" s="5">
        <v>11</v>
      </c>
      <c r="BQ883" s="5">
        <v>5</v>
      </c>
      <c r="BR883" s="5">
        <v>6</v>
      </c>
      <c r="BS883" s="5" t="s">
        <v>2535</v>
      </c>
      <c r="BT883" s="5">
        <v>0</v>
      </c>
      <c r="BU883" s="5">
        <v>2</v>
      </c>
      <c r="BV883" s="5">
        <v>0</v>
      </c>
      <c r="BW883" s="5">
        <v>0</v>
      </c>
      <c r="BX883" s="5">
        <v>0</v>
      </c>
      <c r="BZ883" s="5">
        <v>0</v>
      </c>
      <c r="CA883" s="5">
        <v>0</v>
      </c>
      <c r="CC883" s="5">
        <v>0</v>
      </c>
      <c r="CD883" s="5">
        <v>0</v>
      </c>
      <c r="CF883" s="1442" t="str">
        <f>IF([1]!sommaire[[#This Row],[présence des personnes déplacés interne]]="Oui","1","0")</f>
        <v>1</v>
      </c>
      <c r="CG883" s="1442" t="str">
        <f>IF([1]!sommaire[[#This Row],[présence Réfugié hors camp]]="Oui","1","0")</f>
        <v>0</v>
      </c>
      <c r="CH883" s="1442" t="str">
        <f>IF([1]!sommaire[[#This Row],[présence personnes retournées]]="Oui","1","0")</f>
        <v>1</v>
      </c>
      <c r="CI883" s="1442">
        <f>[1]!sommaire[[#This Row],[Flag PDI]]+[1]!sommaire[[#This Row],[Flag REF]]+[1]!sommaire[[#This Row],[Flag RET]]</f>
        <v>2</v>
      </c>
    </row>
    <row r="884" spans="1:87" ht="14.55" customHeight="1" x14ac:dyDescent="0.3">
      <c r="A884" s="390">
        <v>2597449</v>
      </c>
      <c r="B884" s="5" t="s">
        <v>533</v>
      </c>
      <c r="C884" s="1430" t="s">
        <v>3449</v>
      </c>
      <c r="D884" s="1090" t="s">
        <v>534</v>
      </c>
      <c r="E884" s="5" t="s">
        <v>33</v>
      </c>
      <c r="F884" s="5" t="s">
        <v>33</v>
      </c>
      <c r="G884" s="5" t="s">
        <v>561</v>
      </c>
      <c r="H884" s="5" t="s">
        <v>183</v>
      </c>
      <c r="I884" s="5" t="str">
        <f>_xlfn.XLOOKUP(sommaire[[#This Row],[Arrondissement_code]],OCHA_GIS!$F:$F,OCHA_GIS!$E:$E,,)</f>
        <v>Kaélé</v>
      </c>
      <c r="J884" s="5" t="s">
        <v>562</v>
      </c>
      <c r="K884" t="s">
        <v>563</v>
      </c>
      <c r="L884" s="5" t="s">
        <v>564</v>
      </c>
      <c r="N884" s="5" t="s">
        <v>3052</v>
      </c>
      <c r="O884" s="5" t="s">
        <v>2467</v>
      </c>
      <c r="P884" s="5" t="s">
        <v>85</v>
      </c>
      <c r="Q884" s="5" t="s">
        <v>86</v>
      </c>
      <c r="R884" s="5" t="s">
        <v>86</v>
      </c>
      <c r="T884" s="1190">
        <v>3</v>
      </c>
      <c r="U884" s="5" t="s">
        <v>97</v>
      </c>
      <c r="W884" s="5" t="s">
        <v>2468</v>
      </c>
      <c r="X884" s="5" t="s">
        <v>102</v>
      </c>
      <c r="AA884" s="5" t="s">
        <v>85</v>
      </c>
      <c r="AB884" s="5" t="s">
        <v>2469</v>
      </c>
      <c r="AC884" s="5" t="s">
        <v>2470</v>
      </c>
      <c r="AD884" s="5" t="s">
        <v>86</v>
      </c>
      <c r="AG884" s="5">
        <v>14000</v>
      </c>
      <c r="AH884" s="5" t="s">
        <v>86</v>
      </c>
      <c r="AY884" s="5" t="s">
        <v>86</v>
      </c>
      <c r="BN884" s="5" t="s">
        <v>85</v>
      </c>
      <c r="BO884" s="5">
        <v>3</v>
      </c>
      <c r="BP884" s="5">
        <v>21</v>
      </c>
      <c r="BQ884" s="5">
        <v>12</v>
      </c>
      <c r="BR884" s="5">
        <v>9</v>
      </c>
      <c r="BS884" s="5" t="s">
        <v>2535</v>
      </c>
      <c r="BT884" s="5">
        <v>1</v>
      </c>
      <c r="BU884" s="5">
        <v>2</v>
      </c>
      <c r="BV884" s="5">
        <v>0</v>
      </c>
      <c r="BW884" s="5">
        <v>0</v>
      </c>
      <c r="BX884" s="5">
        <v>0</v>
      </c>
      <c r="BZ884" s="5">
        <v>0</v>
      </c>
      <c r="CA884" s="5">
        <v>0</v>
      </c>
      <c r="CC884" s="5">
        <v>0</v>
      </c>
      <c r="CD884" s="5">
        <v>0</v>
      </c>
      <c r="CF884" s="1442" t="str">
        <f>IF([1]!sommaire[[#This Row],[présence des personnes déplacés interne]]="Oui","1","0")</f>
        <v>0</v>
      </c>
      <c r="CG884" s="1442" t="str">
        <f>IF([1]!sommaire[[#This Row],[présence Réfugié hors camp]]="Oui","1","0")</f>
        <v>0</v>
      </c>
      <c r="CH884" s="1442" t="str">
        <f>IF([1]!sommaire[[#This Row],[présence personnes retournées]]="Oui","1","0")</f>
        <v>1</v>
      </c>
      <c r="CI884" s="1442">
        <f>[1]!sommaire[[#This Row],[Flag PDI]]+[1]!sommaire[[#This Row],[Flag REF]]+[1]!sommaire[[#This Row],[Flag RET]]</f>
        <v>1</v>
      </c>
    </row>
    <row r="885" spans="1:87" ht="14.55" customHeight="1" x14ac:dyDescent="0.3">
      <c r="A885" s="390">
        <v>2690364</v>
      </c>
      <c r="B885" s="5" t="s">
        <v>533</v>
      </c>
      <c r="C885" s="1430" t="s">
        <v>3449</v>
      </c>
      <c r="D885" s="1090" t="s">
        <v>534</v>
      </c>
      <c r="E885" s="5" t="s">
        <v>33</v>
      </c>
      <c r="F885" s="5" t="s">
        <v>33</v>
      </c>
      <c r="G885" s="5" t="s">
        <v>561</v>
      </c>
      <c r="H885" s="5" t="s">
        <v>183</v>
      </c>
      <c r="I885" s="5" t="str">
        <f>_xlfn.XLOOKUP(sommaire[[#This Row],[Arrondissement_code]],OCHA_GIS!$F:$F,OCHA_GIS!$E:$E,,)</f>
        <v>Kaélé</v>
      </c>
      <c r="J885" s="5" t="s">
        <v>562</v>
      </c>
      <c r="K885" t="s">
        <v>726</v>
      </c>
      <c r="L885" s="5" t="s">
        <v>727</v>
      </c>
      <c r="N885" s="5" t="s">
        <v>3052</v>
      </c>
      <c r="O885" s="5" t="s">
        <v>2467</v>
      </c>
      <c r="P885" s="5" t="s">
        <v>85</v>
      </c>
      <c r="Q885" s="5" t="s">
        <v>86</v>
      </c>
      <c r="R885" s="5" t="s">
        <v>86</v>
      </c>
      <c r="T885" s="390">
        <v>3</v>
      </c>
      <c r="U885" s="5" t="s">
        <v>97</v>
      </c>
      <c r="W885" s="5" t="s">
        <v>2468</v>
      </c>
      <c r="X885" s="5" t="s">
        <v>102</v>
      </c>
      <c r="AA885" s="5" t="s">
        <v>85</v>
      </c>
      <c r="AB885" s="5" t="s">
        <v>2469</v>
      </c>
      <c r="AC885" s="5" t="s">
        <v>2470</v>
      </c>
      <c r="AD885" s="5" t="s">
        <v>86</v>
      </c>
      <c r="AF885" s="5">
        <v>17</v>
      </c>
      <c r="AG885" s="5">
        <v>4658</v>
      </c>
      <c r="AH885" s="5" t="s">
        <v>85</v>
      </c>
      <c r="AI885" s="5" t="s">
        <v>2471</v>
      </c>
      <c r="AJ885" s="5">
        <v>17</v>
      </c>
      <c r="AK885" s="5">
        <v>119</v>
      </c>
      <c r="AL885" s="5">
        <v>50</v>
      </c>
      <c r="AM885" s="5">
        <v>69</v>
      </c>
      <c r="AN885" s="5">
        <v>0</v>
      </c>
      <c r="AO885" s="5">
        <v>10</v>
      </c>
      <c r="AP885" s="5">
        <v>0</v>
      </c>
      <c r="AQ885" s="5">
        <v>7</v>
      </c>
      <c r="AR885" s="5" t="s">
        <v>2477</v>
      </c>
      <c r="AT885" s="5">
        <v>0</v>
      </c>
      <c r="AU885" s="5">
        <v>0</v>
      </c>
      <c r="AX885" s="5">
        <v>0</v>
      </c>
      <c r="AY885" s="5" t="s">
        <v>85</v>
      </c>
      <c r="AZ885" s="5">
        <v>35</v>
      </c>
      <c r="BA885" s="5">
        <v>163</v>
      </c>
      <c r="BB885" s="5">
        <v>83</v>
      </c>
      <c r="BC885" s="5">
        <v>80</v>
      </c>
      <c r="BD885" s="5">
        <v>5</v>
      </c>
      <c r="BE885" s="5">
        <v>30</v>
      </c>
      <c r="BF885" s="5">
        <v>0</v>
      </c>
      <c r="BH885" s="5">
        <v>0</v>
      </c>
      <c r="BI885" s="5">
        <v>0</v>
      </c>
      <c r="BL885" s="5">
        <v>0</v>
      </c>
      <c r="BM885" s="5">
        <v>0</v>
      </c>
      <c r="BN885" s="5" t="s">
        <v>85</v>
      </c>
      <c r="BO885" s="5">
        <v>2</v>
      </c>
      <c r="BP885" s="5">
        <v>9</v>
      </c>
      <c r="BQ885" s="5">
        <v>5</v>
      </c>
      <c r="BR885" s="5">
        <v>4</v>
      </c>
      <c r="BS885" s="5" t="s">
        <v>2535</v>
      </c>
      <c r="BT885" s="5">
        <v>1</v>
      </c>
      <c r="BU885" s="5">
        <v>0</v>
      </c>
      <c r="BV885" s="5">
        <v>1</v>
      </c>
      <c r="BW885" s="5">
        <v>0</v>
      </c>
      <c r="BX885" s="5">
        <v>0</v>
      </c>
      <c r="BZ885" s="5">
        <v>0</v>
      </c>
      <c r="CA885" s="5">
        <v>0</v>
      </c>
      <c r="CC885" s="5">
        <v>0</v>
      </c>
      <c r="CD885" s="5">
        <v>0</v>
      </c>
      <c r="CF885" s="1442" t="str">
        <f>IF([1]!sommaire[[#This Row],[présence des personnes déplacés interne]]="Oui","1","0")</f>
        <v>1</v>
      </c>
      <c r="CG885" s="1442" t="str">
        <f>IF([1]!sommaire[[#This Row],[présence Réfugié hors camp]]="Oui","1","0")</f>
        <v>1</v>
      </c>
      <c r="CH885" s="1442" t="str">
        <f>IF([1]!sommaire[[#This Row],[présence personnes retournées]]="Oui","1","0")</f>
        <v>1</v>
      </c>
      <c r="CI885" s="1442">
        <f>[1]!sommaire[[#This Row],[Flag PDI]]+[1]!sommaire[[#This Row],[Flag REF]]+[1]!sommaire[[#This Row],[Flag RET]]</f>
        <v>3</v>
      </c>
    </row>
    <row r="886" spans="1:87" ht="14.55" customHeight="1" x14ac:dyDescent="0.3">
      <c r="A886" s="390">
        <v>2635183</v>
      </c>
      <c r="B886" s="5" t="s">
        <v>533</v>
      </c>
      <c r="C886" s="1430" t="s">
        <v>3449</v>
      </c>
      <c r="D886" s="1090" t="s">
        <v>534</v>
      </c>
      <c r="E886" s="5" t="s">
        <v>33</v>
      </c>
      <c r="F886" s="5" t="s">
        <v>33</v>
      </c>
      <c r="G886" s="5" t="s">
        <v>561</v>
      </c>
      <c r="H886" s="5" t="s">
        <v>183</v>
      </c>
      <c r="I886" s="5" t="str">
        <f>_xlfn.XLOOKUP(sommaire[[#This Row],[Arrondissement_code]],OCHA_GIS!$F:$F,OCHA_GIS!$E:$E,,)</f>
        <v>Kaélé</v>
      </c>
      <c r="J886" s="5" t="s">
        <v>562</v>
      </c>
      <c r="K886" t="s">
        <v>2194</v>
      </c>
      <c r="L886" s="5" t="s">
        <v>2195</v>
      </c>
      <c r="N886" s="5" t="s">
        <v>3052</v>
      </c>
      <c r="O886" s="5" t="s">
        <v>2467</v>
      </c>
      <c r="P886" s="5" t="s">
        <v>85</v>
      </c>
      <c r="Q886" s="5" t="s">
        <v>86</v>
      </c>
      <c r="R886" s="5" t="s">
        <v>85</v>
      </c>
      <c r="T886" s="390">
        <v>3</v>
      </c>
      <c r="U886" s="5" t="s">
        <v>97</v>
      </c>
      <c r="W886" s="5" t="s">
        <v>2468</v>
      </c>
      <c r="X886" s="1090" t="s">
        <v>102</v>
      </c>
      <c r="AA886" s="1090" t="s">
        <v>85</v>
      </c>
      <c r="AB886" s="5" t="s">
        <v>2469</v>
      </c>
      <c r="AC886" s="5" t="s">
        <v>2470</v>
      </c>
      <c r="AD886" s="5" t="s">
        <v>86</v>
      </c>
      <c r="AG886" s="5">
        <v>4500</v>
      </c>
      <c r="AH886" s="5" t="s">
        <v>86</v>
      </c>
      <c r="AY886" s="1090" t="s">
        <v>86</v>
      </c>
      <c r="BN886" s="1090" t="s">
        <v>85</v>
      </c>
      <c r="BO886" s="5">
        <v>2</v>
      </c>
      <c r="BP886" s="5">
        <v>27</v>
      </c>
      <c r="BQ886" s="5">
        <v>10</v>
      </c>
      <c r="BR886" s="5">
        <v>17</v>
      </c>
      <c r="BS886" s="5" t="s">
        <v>2483</v>
      </c>
      <c r="BT886" s="5">
        <v>2</v>
      </c>
      <c r="BU886" s="5">
        <v>0</v>
      </c>
      <c r="BV886" s="5">
        <v>0</v>
      </c>
      <c r="BW886" s="5">
        <v>0</v>
      </c>
      <c r="BX886" s="5">
        <v>0</v>
      </c>
      <c r="BZ886" s="5">
        <v>0</v>
      </c>
      <c r="CA886" s="5">
        <v>0</v>
      </c>
      <c r="CC886" s="5">
        <v>0</v>
      </c>
      <c r="CD886" s="5">
        <v>0</v>
      </c>
      <c r="CF886" s="1442" t="str">
        <f>IF([1]!sommaire[[#This Row],[présence des personnes déplacés interne]]="Oui","1","0")</f>
        <v>0</v>
      </c>
      <c r="CG886" s="1442" t="str">
        <f>IF([1]!sommaire[[#This Row],[présence Réfugié hors camp]]="Oui","1","0")</f>
        <v>0</v>
      </c>
      <c r="CH886" s="1442" t="str">
        <f>IF([1]!sommaire[[#This Row],[présence personnes retournées]]="Oui","1","0")</f>
        <v>1</v>
      </c>
      <c r="CI886" s="1442">
        <f>[1]!sommaire[[#This Row],[Flag PDI]]+[1]!sommaire[[#This Row],[Flag REF]]+[1]!sommaire[[#This Row],[Flag RET]]</f>
        <v>1</v>
      </c>
    </row>
    <row r="887" spans="1:87" ht="14.55" customHeight="1" x14ac:dyDescent="0.3">
      <c r="A887" s="390">
        <v>2603643</v>
      </c>
      <c r="B887" s="5" t="s">
        <v>533</v>
      </c>
      <c r="C887" s="1430" t="s">
        <v>3449</v>
      </c>
      <c r="D887" s="1090" t="s">
        <v>534</v>
      </c>
      <c r="E887" s="5" t="s">
        <v>33</v>
      </c>
      <c r="F887" s="5" t="s">
        <v>33</v>
      </c>
      <c r="G887" s="5" t="s">
        <v>561</v>
      </c>
      <c r="H887" s="5" t="s">
        <v>183</v>
      </c>
      <c r="I887" s="5" t="str">
        <f>_xlfn.XLOOKUP(sommaire[[#This Row],[Arrondissement_code]],OCHA_GIS!$F:$F,OCHA_GIS!$E:$E,,)</f>
        <v>Kaélé</v>
      </c>
      <c r="J887" s="5" t="s">
        <v>562</v>
      </c>
      <c r="K887" t="s">
        <v>664</v>
      </c>
      <c r="L887" s="5" t="s">
        <v>665</v>
      </c>
      <c r="N887" s="5" t="s">
        <v>3053</v>
      </c>
      <c r="O887" s="5" t="s">
        <v>2467</v>
      </c>
      <c r="P887" s="5" t="s">
        <v>85</v>
      </c>
      <c r="Q887" s="5" t="s">
        <v>86</v>
      </c>
      <c r="R887" s="5" t="s">
        <v>85</v>
      </c>
      <c r="T887" s="390">
        <v>3</v>
      </c>
      <c r="U887" s="5" t="s">
        <v>97</v>
      </c>
      <c r="W887" s="5" t="s">
        <v>2468</v>
      </c>
      <c r="X887" s="5" t="s">
        <v>102</v>
      </c>
      <c r="AA887" s="5" t="s">
        <v>85</v>
      </c>
      <c r="AB887" s="5" t="s">
        <v>2469</v>
      </c>
      <c r="AC887" s="5" t="s">
        <v>2470</v>
      </c>
      <c r="AD887" s="5" t="s">
        <v>86</v>
      </c>
      <c r="AF887" s="5">
        <v>3</v>
      </c>
      <c r="AG887" s="5">
        <v>1313</v>
      </c>
      <c r="AH887" s="5" t="s">
        <v>85</v>
      </c>
      <c r="AI887" s="5" t="s">
        <v>2471</v>
      </c>
      <c r="AJ887" s="5">
        <v>3</v>
      </c>
      <c r="AK887" s="5">
        <v>8</v>
      </c>
      <c r="AL887" s="5">
        <v>5</v>
      </c>
      <c r="AM887" s="5">
        <v>3</v>
      </c>
      <c r="AN887" s="5">
        <v>0</v>
      </c>
      <c r="AO887" s="5">
        <v>3</v>
      </c>
      <c r="AP887" s="5">
        <v>0</v>
      </c>
      <c r="AQ887" s="5">
        <v>0</v>
      </c>
      <c r="AT887" s="5">
        <v>0</v>
      </c>
      <c r="AU887" s="5">
        <v>0</v>
      </c>
      <c r="AX887" s="5">
        <v>0</v>
      </c>
      <c r="AY887" s="5" t="s">
        <v>86</v>
      </c>
      <c r="BN887" s="5" t="s">
        <v>86</v>
      </c>
      <c r="CD887" s="5">
        <v>3</v>
      </c>
      <c r="CF887" s="1442" t="str">
        <f>IF([1]!sommaire[[#This Row],[présence des personnes déplacés interne]]="Oui","1","0")</f>
        <v>1</v>
      </c>
      <c r="CG887" s="1442" t="str">
        <f>IF([1]!sommaire[[#This Row],[présence Réfugié hors camp]]="Oui","1","0")</f>
        <v>0</v>
      </c>
      <c r="CH887" s="1442" t="str">
        <f>IF([1]!sommaire[[#This Row],[présence personnes retournées]]="Oui","1","0")</f>
        <v>0</v>
      </c>
      <c r="CI887" s="1442">
        <f>[1]!sommaire[[#This Row],[Flag PDI]]+[1]!sommaire[[#This Row],[Flag REF]]+[1]!sommaire[[#This Row],[Flag RET]]</f>
        <v>1</v>
      </c>
    </row>
    <row r="888" spans="1:87" ht="14.55" customHeight="1" x14ac:dyDescent="0.3">
      <c r="A888" s="390">
        <v>2696654</v>
      </c>
      <c r="B888" s="5" t="s">
        <v>533</v>
      </c>
      <c r="C888" s="1430" t="s">
        <v>3449</v>
      </c>
      <c r="D888" s="1090" t="s">
        <v>534</v>
      </c>
      <c r="E888" s="5" t="s">
        <v>33</v>
      </c>
      <c r="F888" s="5" t="s">
        <v>33</v>
      </c>
      <c r="G888" s="5" t="s">
        <v>561</v>
      </c>
      <c r="H888" s="5" t="s">
        <v>183</v>
      </c>
      <c r="I888" s="5" t="str">
        <f>_xlfn.XLOOKUP(sommaire[[#This Row],[Arrondissement_code]],OCHA_GIS!$F:$F,OCHA_GIS!$E:$E,,)</f>
        <v>Kaélé</v>
      </c>
      <c r="J888" s="5" t="s">
        <v>562</v>
      </c>
      <c r="K888" t="s">
        <v>724</v>
      </c>
      <c r="L888" s="5" t="s">
        <v>725</v>
      </c>
      <c r="N888" s="5" t="s">
        <v>3052</v>
      </c>
      <c r="O888" s="5" t="s">
        <v>2467</v>
      </c>
      <c r="P888" s="5" t="s">
        <v>85</v>
      </c>
      <c r="Q888" s="5" t="s">
        <v>86</v>
      </c>
      <c r="R888" s="5" t="s">
        <v>86</v>
      </c>
      <c r="T888" s="390">
        <v>3</v>
      </c>
      <c r="U888" s="5" t="s">
        <v>97</v>
      </c>
      <c r="W888" s="5" t="s">
        <v>2468</v>
      </c>
      <c r="X888" s="5" t="s">
        <v>102</v>
      </c>
      <c r="AA888" s="5" t="s">
        <v>85</v>
      </c>
      <c r="AB888" s="5" t="s">
        <v>2469</v>
      </c>
      <c r="AC888" s="5" t="s">
        <v>2470</v>
      </c>
      <c r="AD888" s="5" t="s">
        <v>86</v>
      </c>
      <c r="AF888" s="5">
        <v>6</v>
      </c>
      <c r="AG888" s="5">
        <v>800</v>
      </c>
      <c r="AH888" s="5" t="s">
        <v>85</v>
      </c>
      <c r="AI888" s="5" t="s">
        <v>2471</v>
      </c>
      <c r="AJ888" s="5">
        <v>6</v>
      </c>
      <c r="AK888" s="5">
        <v>42</v>
      </c>
      <c r="AL888" s="5">
        <v>17</v>
      </c>
      <c r="AM888" s="5">
        <v>25</v>
      </c>
      <c r="AN888" s="5">
        <v>0</v>
      </c>
      <c r="AO888" s="5">
        <v>4</v>
      </c>
      <c r="AP888" s="5">
        <v>0</v>
      </c>
      <c r="AQ888" s="5">
        <v>2</v>
      </c>
      <c r="AR888" s="5" t="s">
        <v>2477</v>
      </c>
      <c r="AT888" s="5">
        <v>0</v>
      </c>
      <c r="AU888" s="5">
        <v>0</v>
      </c>
      <c r="AX888" s="5">
        <v>0</v>
      </c>
      <c r="AY888" s="5" t="s">
        <v>85</v>
      </c>
      <c r="AZ888" s="5">
        <v>4</v>
      </c>
      <c r="BA888" s="5">
        <v>28</v>
      </c>
      <c r="BB888" s="5">
        <v>11</v>
      </c>
      <c r="BC888" s="5">
        <v>17</v>
      </c>
      <c r="BD888" s="5">
        <v>1</v>
      </c>
      <c r="BE888" s="5">
        <v>3</v>
      </c>
      <c r="BF888" s="5">
        <v>0</v>
      </c>
      <c r="BH888" s="5">
        <v>0</v>
      </c>
      <c r="BI888" s="5">
        <v>0</v>
      </c>
      <c r="BL888" s="5">
        <v>0</v>
      </c>
      <c r="BM888" s="5">
        <v>0</v>
      </c>
      <c r="BN888" s="5" t="s">
        <v>86</v>
      </c>
      <c r="CD888" s="5">
        <v>0</v>
      </c>
      <c r="CF888" s="1442" t="str">
        <f>IF([1]!sommaire[[#This Row],[présence des personnes déplacés interne]]="Oui","1","0")</f>
        <v>1</v>
      </c>
      <c r="CG888" s="1442" t="str">
        <f>IF([1]!sommaire[[#This Row],[présence Réfugié hors camp]]="Oui","1","0")</f>
        <v>1</v>
      </c>
      <c r="CH888" s="1442" t="str">
        <f>IF([1]!sommaire[[#This Row],[présence personnes retournées]]="Oui","1","0")</f>
        <v>0</v>
      </c>
      <c r="CI888" s="1442">
        <f>[1]!sommaire[[#This Row],[Flag PDI]]+[1]!sommaire[[#This Row],[Flag REF]]+[1]!sommaire[[#This Row],[Flag RET]]</f>
        <v>2</v>
      </c>
    </row>
    <row r="889" spans="1:87" ht="14.55" customHeight="1" x14ac:dyDescent="0.3">
      <c r="A889" s="390">
        <v>2603631</v>
      </c>
      <c r="B889" s="5" t="s">
        <v>533</v>
      </c>
      <c r="C889" s="1430" t="s">
        <v>3449</v>
      </c>
      <c r="D889" s="1090" t="s">
        <v>534</v>
      </c>
      <c r="E889" s="5" t="s">
        <v>33</v>
      </c>
      <c r="F889" s="5" t="s">
        <v>33</v>
      </c>
      <c r="G889" s="5" t="s">
        <v>561</v>
      </c>
      <c r="H889" s="5" t="s">
        <v>183</v>
      </c>
      <c r="I889" s="5" t="str">
        <f>_xlfn.XLOOKUP(sommaire[[#This Row],[Arrondissement_code]],OCHA_GIS!$F:$F,OCHA_GIS!$E:$E,,)</f>
        <v>Kaélé</v>
      </c>
      <c r="J889" s="5" t="s">
        <v>562</v>
      </c>
      <c r="K889" t="s">
        <v>565</v>
      </c>
      <c r="L889" s="5" t="s">
        <v>566</v>
      </c>
      <c r="N889" s="5" t="s">
        <v>3052</v>
      </c>
      <c r="O889" s="5" t="s">
        <v>2467</v>
      </c>
      <c r="P889" s="5" t="s">
        <v>85</v>
      </c>
      <c r="Q889" s="5" t="s">
        <v>86</v>
      </c>
      <c r="R889" s="5" t="s">
        <v>85</v>
      </c>
      <c r="T889" s="390">
        <v>3</v>
      </c>
      <c r="U889" s="5" t="s">
        <v>97</v>
      </c>
      <c r="W889" s="5" t="s">
        <v>2468</v>
      </c>
      <c r="X889" s="5" t="s">
        <v>102</v>
      </c>
      <c r="AA889" s="5" t="s">
        <v>85</v>
      </c>
      <c r="AB889" s="5" t="s">
        <v>2469</v>
      </c>
      <c r="AC889" s="5" t="s">
        <v>2470</v>
      </c>
      <c r="AD889" s="5" t="s">
        <v>86</v>
      </c>
      <c r="AF889" s="5">
        <v>2</v>
      </c>
      <c r="AG889" s="5">
        <v>1700</v>
      </c>
      <c r="AH889" s="5" t="s">
        <v>85</v>
      </c>
      <c r="AI889" s="5" t="s">
        <v>2471</v>
      </c>
      <c r="AJ889" s="5">
        <v>2</v>
      </c>
      <c r="AK889" s="5">
        <v>9</v>
      </c>
      <c r="AL889" s="5">
        <v>5</v>
      </c>
      <c r="AM889" s="5">
        <v>4</v>
      </c>
      <c r="AN889" s="5">
        <v>0</v>
      </c>
      <c r="AO889" s="5">
        <v>2</v>
      </c>
      <c r="AP889" s="5">
        <v>0</v>
      </c>
      <c r="AQ889" s="5">
        <v>0</v>
      </c>
      <c r="AT889" s="5">
        <v>0</v>
      </c>
      <c r="AU889" s="5">
        <v>0</v>
      </c>
      <c r="AX889" s="5">
        <v>0</v>
      </c>
      <c r="AY889" s="5" t="s">
        <v>86</v>
      </c>
      <c r="BN889" s="5" t="s">
        <v>86</v>
      </c>
      <c r="CD889" s="5">
        <v>0</v>
      </c>
      <c r="CF889" s="1442" t="str">
        <f>IF([1]!sommaire[[#This Row],[présence des personnes déplacés interne]]="Oui","1","0")</f>
        <v>1</v>
      </c>
      <c r="CG889" s="1442" t="str">
        <f>IF([1]!sommaire[[#This Row],[présence Réfugié hors camp]]="Oui","1","0")</f>
        <v>0</v>
      </c>
      <c r="CH889" s="1442" t="str">
        <f>IF([1]!sommaire[[#This Row],[présence personnes retournées]]="Oui","1","0")</f>
        <v>0</v>
      </c>
      <c r="CI889" s="1442">
        <f>[1]!sommaire[[#This Row],[Flag PDI]]+[1]!sommaire[[#This Row],[Flag REF]]+[1]!sommaire[[#This Row],[Flag RET]]</f>
        <v>1</v>
      </c>
    </row>
    <row r="890" spans="1:87" ht="14.55" customHeight="1" x14ac:dyDescent="0.3">
      <c r="A890" s="390">
        <v>2620624</v>
      </c>
      <c r="B890" s="5" t="s">
        <v>533</v>
      </c>
      <c r="C890" s="1430" t="s">
        <v>3449</v>
      </c>
      <c r="D890" s="1090" t="s">
        <v>534</v>
      </c>
      <c r="E890" s="5" t="s">
        <v>33</v>
      </c>
      <c r="F890" s="5" t="s">
        <v>33</v>
      </c>
      <c r="G890" s="5" t="s">
        <v>561</v>
      </c>
      <c r="H890" s="5" t="s">
        <v>183</v>
      </c>
      <c r="I890" s="5" t="str">
        <f>_xlfn.XLOOKUP(sommaire[[#This Row],[Arrondissement_code]],OCHA_GIS!$F:$F,OCHA_GIS!$E:$E,,)</f>
        <v>Kaélé</v>
      </c>
      <c r="J890" s="5" t="s">
        <v>562</v>
      </c>
      <c r="K890" t="s">
        <v>2196</v>
      </c>
      <c r="L890" s="5" t="s">
        <v>2197</v>
      </c>
      <c r="N890" s="5" t="s">
        <v>3053</v>
      </c>
      <c r="O890" s="5" t="s">
        <v>2467</v>
      </c>
      <c r="P890" s="5" t="s">
        <v>85</v>
      </c>
      <c r="Q890" s="5" t="s">
        <v>86</v>
      </c>
      <c r="R890" s="5" t="s">
        <v>85</v>
      </c>
      <c r="T890" s="390">
        <v>3</v>
      </c>
      <c r="U890" s="5" t="s">
        <v>97</v>
      </c>
      <c r="W890" s="5" t="s">
        <v>2468</v>
      </c>
      <c r="X890" s="5" t="s">
        <v>102</v>
      </c>
      <c r="AA890" s="5" t="s">
        <v>85</v>
      </c>
      <c r="AB890" s="5" t="s">
        <v>2473</v>
      </c>
      <c r="AC890" s="5" t="s">
        <v>2470</v>
      </c>
      <c r="AD890" s="5" t="s">
        <v>86</v>
      </c>
      <c r="AF890" s="5">
        <v>40</v>
      </c>
      <c r="AG890" s="5">
        <v>1800</v>
      </c>
      <c r="AH890" s="5" t="s">
        <v>85</v>
      </c>
      <c r="AI890" s="5" t="s">
        <v>2471</v>
      </c>
      <c r="AJ890" s="5">
        <v>40</v>
      </c>
      <c r="AK890" s="5">
        <v>98</v>
      </c>
      <c r="AL890" s="5">
        <v>63</v>
      </c>
      <c r="AM890" s="5">
        <v>35</v>
      </c>
      <c r="AN890" s="5">
        <v>0</v>
      </c>
      <c r="AO890" s="5">
        <v>0</v>
      </c>
      <c r="AP890" s="5">
        <v>5</v>
      </c>
      <c r="AQ890" s="5">
        <v>0</v>
      </c>
      <c r="AT890" s="5">
        <v>0</v>
      </c>
      <c r="AU890" s="5">
        <v>35</v>
      </c>
      <c r="AV890" s="5" t="s">
        <v>2490</v>
      </c>
      <c r="AX890" s="5">
        <v>0</v>
      </c>
      <c r="AY890" s="5" t="s">
        <v>86</v>
      </c>
      <c r="BN890" s="5" t="s">
        <v>86</v>
      </c>
      <c r="CD890" s="5">
        <v>7</v>
      </c>
      <c r="CF890" s="1442" t="str">
        <f>IF([1]!sommaire[[#This Row],[présence des personnes déplacés interne]]="Oui","1","0")</f>
        <v>1</v>
      </c>
      <c r="CG890" s="1442" t="str">
        <f>IF([1]!sommaire[[#This Row],[présence Réfugié hors camp]]="Oui","1","0")</f>
        <v>0</v>
      </c>
      <c r="CH890" s="1442" t="str">
        <f>IF([1]!sommaire[[#This Row],[présence personnes retournées]]="Oui","1","0")</f>
        <v>0</v>
      </c>
      <c r="CI890" s="1442">
        <f>[1]!sommaire[[#This Row],[Flag PDI]]+[1]!sommaire[[#This Row],[Flag REF]]+[1]!sommaire[[#This Row],[Flag RET]]</f>
        <v>1</v>
      </c>
    </row>
    <row r="891" spans="1:87" ht="14.55" customHeight="1" x14ac:dyDescent="0.3">
      <c r="A891" s="390">
        <v>2696655</v>
      </c>
      <c r="B891" s="5" t="s">
        <v>533</v>
      </c>
      <c r="C891" s="1430" t="s">
        <v>3449</v>
      </c>
      <c r="D891" s="1090" t="s">
        <v>534</v>
      </c>
      <c r="E891" s="5" t="s">
        <v>33</v>
      </c>
      <c r="F891" s="5" t="s">
        <v>33</v>
      </c>
      <c r="G891" s="5" t="s">
        <v>561</v>
      </c>
      <c r="H891" s="5" t="s">
        <v>183</v>
      </c>
      <c r="I891" s="5" t="str">
        <f>_xlfn.XLOOKUP(sommaire[[#This Row],[Arrondissement_code]],OCHA_GIS!$F:$F,OCHA_GIS!$E:$E,,)</f>
        <v>Kaélé</v>
      </c>
      <c r="J891" s="5" t="s">
        <v>562</v>
      </c>
      <c r="K891" t="s">
        <v>624</v>
      </c>
      <c r="L891" s="5" t="s">
        <v>625</v>
      </c>
      <c r="N891" s="5" t="s">
        <v>3052</v>
      </c>
      <c r="O891" s="5" t="s">
        <v>2467</v>
      </c>
      <c r="P891" s="5" t="s">
        <v>85</v>
      </c>
      <c r="Q891" s="5" t="s">
        <v>86</v>
      </c>
      <c r="R891" s="5" t="s">
        <v>86</v>
      </c>
      <c r="T891" s="390">
        <v>3</v>
      </c>
      <c r="U891" s="5" t="s">
        <v>97</v>
      </c>
      <c r="W891" s="5" t="s">
        <v>2468</v>
      </c>
      <c r="X891" s="5" t="s">
        <v>102</v>
      </c>
      <c r="AA891" s="5" t="s">
        <v>85</v>
      </c>
      <c r="AB891" s="5" t="s">
        <v>2469</v>
      </c>
      <c r="AC891" s="5" t="s">
        <v>2470</v>
      </c>
      <c r="AD891" s="5" t="s">
        <v>86</v>
      </c>
      <c r="AF891" s="5">
        <v>15</v>
      </c>
      <c r="AG891" s="5">
        <v>2500</v>
      </c>
      <c r="AH891" s="5" t="s">
        <v>85</v>
      </c>
      <c r="AI891" s="5" t="s">
        <v>2471</v>
      </c>
      <c r="AJ891" s="5">
        <v>15</v>
      </c>
      <c r="AK891" s="5">
        <v>129</v>
      </c>
      <c r="AL891" s="5">
        <v>54</v>
      </c>
      <c r="AM891" s="5">
        <v>75</v>
      </c>
      <c r="AN891" s="5">
        <v>0</v>
      </c>
      <c r="AO891" s="5">
        <v>5</v>
      </c>
      <c r="AP891" s="5">
        <v>0</v>
      </c>
      <c r="AQ891" s="5">
        <v>10</v>
      </c>
      <c r="AR891" s="5" t="s">
        <v>2477</v>
      </c>
      <c r="AT891" s="5">
        <v>0</v>
      </c>
      <c r="AU891" s="5">
        <v>0</v>
      </c>
      <c r="AX891" s="5">
        <v>0</v>
      </c>
      <c r="AY891" s="5" t="s">
        <v>85</v>
      </c>
      <c r="AZ891" s="5">
        <v>1</v>
      </c>
      <c r="BA891" s="5">
        <v>12</v>
      </c>
      <c r="BB891" s="5">
        <v>5</v>
      </c>
      <c r="BC891" s="5">
        <v>7</v>
      </c>
      <c r="BD891" s="5">
        <v>1</v>
      </c>
      <c r="BE891" s="5">
        <v>0</v>
      </c>
      <c r="BF891" s="5">
        <v>0</v>
      </c>
      <c r="BH891" s="5">
        <v>0</v>
      </c>
      <c r="BI891" s="5">
        <v>0</v>
      </c>
      <c r="BL891" s="5">
        <v>0</v>
      </c>
      <c r="BM891" s="5">
        <v>0</v>
      </c>
      <c r="BN891" s="5" t="s">
        <v>86</v>
      </c>
      <c r="CD891" s="5">
        <v>0</v>
      </c>
      <c r="CF891" s="1442" t="str">
        <f>IF([1]!sommaire[[#This Row],[présence des personnes déplacés interne]]="Oui","1","0")</f>
        <v>1</v>
      </c>
      <c r="CG891" s="1442" t="str">
        <f>IF([1]!sommaire[[#This Row],[présence Réfugié hors camp]]="Oui","1","0")</f>
        <v>1</v>
      </c>
      <c r="CH891" s="1442" t="str">
        <f>IF([1]!sommaire[[#This Row],[présence personnes retournées]]="Oui","1","0")</f>
        <v>0</v>
      </c>
      <c r="CI891" s="1442">
        <f>[1]!sommaire[[#This Row],[Flag PDI]]+[1]!sommaire[[#This Row],[Flag REF]]+[1]!sommaire[[#This Row],[Flag RET]]</f>
        <v>2</v>
      </c>
    </row>
    <row r="892" spans="1:87" ht="14.55" customHeight="1" x14ac:dyDescent="0.3">
      <c r="A892" s="390">
        <v>2631062</v>
      </c>
      <c r="B892" s="5" t="s">
        <v>533</v>
      </c>
      <c r="C892" s="1430" t="s">
        <v>3449</v>
      </c>
      <c r="D892" s="1090" t="s">
        <v>534</v>
      </c>
      <c r="E892" s="5" t="s">
        <v>33</v>
      </c>
      <c r="F892" s="5" t="s">
        <v>33</v>
      </c>
      <c r="G892" s="5" t="s">
        <v>561</v>
      </c>
      <c r="H892" s="5" t="s">
        <v>183</v>
      </c>
      <c r="I892" s="5" t="str">
        <f>_xlfn.XLOOKUP(sommaire[[#This Row],[Arrondissement_code]],OCHA_GIS!$F:$F,OCHA_GIS!$E:$E,,)</f>
        <v>Kaélé</v>
      </c>
      <c r="J892" s="5" t="s">
        <v>562</v>
      </c>
      <c r="K892" t="s">
        <v>598</v>
      </c>
      <c r="L892" s="5" t="s">
        <v>599</v>
      </c>
      <c r="N892" s="5" t="s">
        <v>3053</v>
      </c>
      <c r="O892" s="5" t="s">
        <v>2467</v>
      </c>
      <c r="P892" s="5" t="s">
        <v>85</v>
      </c>
      <c r="Q892" s="5" t="s">
        <v>86</v>
      </c>
      <c r="R892" s="5" t="s">
        <v>85</v>
      </c>
      <c r="T892" s="390">
        <v>4</v>
      </c>
      <c r="U892" s="5" t="s">
        <v>97</v>
      </c>
      <c r="W892" s="5" t="s">
        <v>2468</v>
      </c>
      <c r="X892" s="5" t="s">
        <v>102</v>
      </c>
      <c r="AA892" s="586" t="s">
        <v>85</v>
      </c>
      <c r="AB892" s="5" t="s">
        <v>2469</v>
      </c>
      <c r="AC892" s="5" t="s">
        <v>2470</v>
      </c>
      <c r="AD892" s="5" t="s">
        <v>86</v>
      </c>
      <c r="AF892" s="5">
        <v>4</v>
      </c>
      <c r="AG892" s="5">
        <v>12000</v>
      </c>
      <c r="AH892" s="5" t="s">
        <v>85</v>
      </c>
      <c r="AI892" s="5" t="s">
        <v>2471</v>
      </c>
      <c r="AJ892" s="5">
        <v>4</v>
      </c>
      <c r="AK892" s="5">
        <v>26</v>
      </c>
      <c r="AL892" s="5">
        <v>12</v>
      </c>
      <c r="AM892" s="5">
        <v>14</v>
      </c>
      <c r="AN892" s="5">
        <v>0</v>
      </c>
      <c r="AO892" s="5">
        <v>4</v>
      </c>
      <c r="AP892" s="5">
        <v>0</v>
      </c>
      <c r="AQ892" s="5">
        <v>0</v>
      </c>
      <c r="AT892" s="5">
        <v>0</v>
      </c>
      <c r="AU892" s="5">
        <v>0</v>
      </c>
      <c r="AX892" s="5">
        <v>0</v>
      </c>
      <c r="AY892" s="5" t="s">
        <v>86</v>
      </c>
      <c r="BN892" s="5" t="s">
        <v>86</v>
      </c>
      <c r="CD892" s="5">
        <v>7</v>
      </c>
      <c r="CF892" s="1442" t="str">
        <f>IF([1]!sommaire[[#This Row],[présence des personnes déplacés interne]]="Oui","1","0")</f>
        <v>1</v>
      </c>
      <c r="CG892" s="1442" t="str">
        <f>IF([1]!sommaire[[#This Row],[présence Réfugié hors camp]]="Oui","1","0")</f>
        <v>0</v>
      </c>
      <c r="CH892" s="1442" t="str">
        <f>IF([1]!sommaire[[#This Row],[présence personnes retournées]]="Oui","1","0")</f>
        <v>0</v>
      </c>
      <c r="CI892" s="1442">
        <f>[1]!sommaire[[#This Row],[Flag PDI]]+[1]!sommaire[[#This Row],[Flag REF]]+[1]!sommaire[[#This Row],[Flag RET]]</f>
        <v>1</v>
      </c>
    </row>
    <row r="893" spans="1:87" ht="14.55" customHeight="1" x14ac:dyDescent="0.3">
      <c r="A893" s="390">
        <v>2621493</v>
      </c>
      <c r="B893" s="5" t="s">
        <v>533</v>
      </c>
      <c r="C893" s="1430" t="s">
        <v>3449</v>
      </c>
      <c r="D893" s="1090" t="s">
        <v>534</v>
      </c>
      <c r="E893" s="5" t="s">
        <v>33</v>
      </c>
      <c r="F893" s="5" t="s">
        <v>33</v>
      </c>
      <c r="G893" s="5" t="s">
        <v>561</v>
      </c>
      <c r="H893" s="5" t="s">
        <v>183</v>
      </c>
      <c r="I893" s="5" t="str">
        <f>_xlfn.XLOOKUP(sommaire[[#This Row],[Arrondissement_code]],OCHA_GIS!$F:$F,OCHA_GIS!$E:$E,,)</f>
        <v>Kaélé</v>
      </c>
      <c r="J893" s="5" t="s">
        <v>562</v>
      </c>
      <c r="K893" t="s">
        <v>744</v>
      </c>
      <c r="L893" s="5" t="s">
        <v>745</v>
      </c>
      <c r="N893" s="5" t="s">
        <v>3052</v>
      </c>
      <c r="O893" s="5" t="s">
        <v>2467</v>
      </c>
      <c r="P893" s="5" t="s">
        <v>85</v>
      </c>
      <c r="Q893" s="5" t="s">
        <v>86</v>
      </c>
      <c r="R893" s="5" t="s">
        <v>86</v>
      </c>
      <c r="T893" s="390">
        <v>3</v>
      </c>
      <c r="U893" s="5" t="s">
        <v>97</v>
      </c>
      <c r="W893" s="5" t="s">
        <v>2468</v>
      </c>
      <c r="X893" s="5" t="s">
        <v>102</v>
      </c>
      <c r="AA893" s="5" t="s">
        <v>85</v>
      </c>
      <c r="AB893" s="5" t="s">
        <v>2473</v>
      </c>
      <c r="AC893" s="5" t="s">
        <v>2470</v>
      </c>
      <c r="AD893" s="5" t="s">
        <v>86</v>
      </c>
      <c r="AF893" s="5">
        <v>82</v>
      </c>
      <c r="AG893" s="5">
        <v>712</v>
      </c>
      <c r="AH893" s="5" t="s">
        <v>85</v>
      </c>
      <c r="AI893" s="5" t="s">
        <v>2471</v>
      </c>
      <c r="AJ893" s="5">
        <v>82</v>
      </c>
      <c r="AK893" s="5">
        <v>637</v>
      </c>
      <c r="AL893" s="5">
        <v>310</v>
      </c>
      <c r="AM893" s="5">
        <v>327</v>
      </c>
      <c r="AN893" s="5">
        <v>0</v>
      </c>
      <c r="AO893" s="5">
        <v>0</v>
      </c>
      <c r="AP893" s="5">
        <v>0</v>
      </c>
      <c r="AQ893" s="5">
        <v>0</v>
      </c>
      <c r="AT893" s="5">
        <v>0</v>
      </c>
      <c r="AU893" s="5">
        <v>82</v>
      </c>
      <c r="AV893" s="5" t="s">
        <v>2490</v>
      </c>
      <c r="AX893" s="5">
        <v>0</v>
      </c>
      <c r="AY893" s="5" t="s">
        <v>85</v>
      </c>
      <c r="AZ893" s="5">
        <v>12</v>
      </c>
      <c r="BA893" s="5">
        <v>75</v>
      </c>
      <c r="BB893" s="5">
        <v>32</v>
      </c>
      <c r="BC893" s="5">
        <v>43</v>
      </c>
      <c r="BD893" s="5">
        <v>0</v>
      </c>
      <c r="BE893" s="5">
        <v>0</v>
      </c>
      <c r="BF893" s="5">
        <v>0</v>
      </c>
      <c r="BH893" s="5">
        <v>0</v>
      </c>
      <c r="BI893" s="5">
        <v>12</v>
      </c>
      <c r="BJ893" s="5" t="s">
        <v>2490</v>
      </c>
      <c r="BL893" s="5">
        <v>0</v>
      </c>
      <c r="BM893" s="5">
        <v>0</v>
      </c>
      <c r="BN893" s="5" t="s">
        <v>86</v>
      </c>
      <c r="CD893" s="5">
        <v>0</v>
      </c>
      <c r="CF893" s="1442" t="str">
        <f>IF([1]!sommaire[[#This Row],[présence des personnes déplacés interne]]="Oui","1","0")</f>
        <v>1</v>
      </c>
      <c r="CG893" s="1442" t="str">
        <f>IF([1]!sommaire[[#This Row],[présence Réfugié hors camp]]="Oui","1","0")</f>
        <v>1</v>
      </c>
      <c r="CH893" s="1442" t="str">
        <f>IF([1]!sommaire[[#This Row],[présence personnes retournées]]="Oui","1","0")</f>
        <v>0</v>
      </c>
      <c r="CI893" s="1442">
        <f>[1]!sommaire[[#This Row],[Flag PDI]]+[1]!sommaire[[#This Row],[Flag REF]]+[1]!sommaire[[#This Row],[Flag RET]]</f>
        <v>2</v>
      </c>
    </row>
    <row r="894" spans="1:87" ht="14.55" customHeight="1" x14ac:dyDescent="0.3">
      <c r="A894" s="390">
        <v>2690366</v>
      </c>
      <c r="B894" s="5" t="s">
        <v>533</v>
      </c>
      <c r="C894" s="1430" t="s">
        <v>3449</v>
      </c>
      <c r="D894" s="1090" t="s">
        <v>534</v>
      </c>
      <c r="E894" s="5" t="s">
        <v>33</v>
      </c>
      <c r="F894" s="5" t="s">
        <v>33</v>
      </c>
      <c r="G894" s="5" t="s">
        <v>561</v>
      </c>
      <c r="H894" s="5" t="s">
        <v>183</v>
      </c>
      <c r="I894" s="5" t="str">
        <f>_xlfn.XLOOKUP(sommaire[[#This Row],[Arrondissement_code]],OCHA_GIS!$F:$F,OCHA_GIS!$E:$E,,)</f>
        <v>Kaélé</v>
      </c>
      <c r="J894" s="5" t="s">
        <v>562</v>
      </c>
      <c r="K894" t="s">
        <v>2071</v>
      </c>
      <c r="L894" s="5" t="s">
        <v>2072</v>
      </c>
      <c r="N894" s="5" t="s">
        <v>3052</v>
      </c>
      <c r="O894" s="5" t="s">
        <v>2467</v>
      </c>
      <c r="P894" s="5" t="s">
        <v>85</v>
      </c>
      <c r="Q894" s="5" t="s">
        <v>86</v>
      </c>
      <c r="R894" s="5" t="s">
        <v>86</v>
      </c>
      <c r="T894" s="390">
        <v>3</v>
      </c>
      <c r="U894" s="5" t="s">
        <v>97</v>
      </c>
      <c r="W894" s="5" t="s">
        <v>2468</v>
      </c>
      <c r="X894" s="5" t="s">
        <v>102</v>
      </c>
      <c r="AA894" s="586" t="s">
        <v>85</v>
      </c>
      <c r="AB894" s="5" t="s">
        <v>2469</v>
      </c>
      <c r="AC894" s="5" t="s">
        <v>2470</v>
      </c>
      <c r="AD894" s="5" t="s">
        <v>86</v>
      </c>
      <c r="AF894" s="5">
        <v>2</v>
      </c>
      <c r="AG894" s="5">
        <v>315</v>
      </c>
      <c r="AH894" s="5" t="s">
        <v>85</v>
      </c>
      <c r="AI894" s="5" t="s">
        <v>2471</v>
      </c>
      <c r="AJ894" s="5">
        <v>2</v>
      </c>
      <c r="AK894" s="5">
        <v>10</v>
      </c>
      <c r="AL894" s="5">
        <v>6</v>
      </c>
      <c r="AM894" s="5">
        <v>4</v>
      </c>
      <c r="AN894" s="5">
        <v>0</v>
      </c>
      <c r="AO894" s="5">
        <v>2</v>
      </c>
      <c r="AP894" s="5">
        <v>0</v>
      </c>
      <c r="AQ894" s="5">
        <v>0</v>
      </c>
      <c r="AT894" s="5">
        <v>0</v>
      </c>
      <c r="AU894" s="5">
        <v>0</v>
      </c>
      <c r="AX894" s="5">
        <v>0</v>
      </c>
      <c r="AY894" s="5" t="s">
        <v>85</v>
      </c>
      <c r="AZ894" s="5">
        <v>1</v>
      </c>
      <c r="BA894" s="5">
        <v>6</v>
      </c>
      <c r="BB894" s="5">
        <v>2</v>
      </c>
      <c r="BC894" s="5">
        <v>4</v>
      </c>
      <c r="BD894" s="5">
        <v>0</v>
      </c>
      <c r="BE894" s="5">
        <v>1</v>
      </c>
      <c r="BF894" s="5">
        <v>0</v>
      </c>
      <c r="BH894" s="5">
        <v>0</v>
      </c>
      <c r="BI894" s="5">
        <v>0</v>
      </c>
      <c r="BL894" s="5">
        <v>0</v>
      </c>
      <c r="BM894" s="5">
        <v>0</v>
      </c>
      <c r="BN894" s="5" t="s">
        <v>86</v>
      </c>
      <c r="CD894" s="5">
        <v>0</v>
      </c>
      <c r="CF894" s="1442" t="str">
        <f>IF([1]!sommaire[[#This Row],[présence des personnes déplacés interne]]="Oui","1","0")</f>
        <v>1</v>
      </c>
      <c r="CG894" s="1442" t="str">
        <f>IF([1]!sommaire[[#This Row],[présence Réfugié hors camp]]="Oui","1","0")</f>
        <v>1</v>
      </c>
      <c r="CH894" s="1442" t="str">
        <f>IF([1]!sommaire[[#This Row],[présence personnes retournées]]="Oui","1","0")</f>
        <v>0</v>
      </c>
      <c r="CI894" s="1442">
        <f>[1]!sommaire[[#This Row],[Flag PDI]]+[1]!sommaire[[#This Row],[Flag REF]]+[1]!sommaire[[#This Row],[Flag RET]]</f>
        <v>2</v>
      </c>
    </row>
    <row r="895" spans="1:87" ht="14.55" customHeight="1" x14ac:dyDescent="0.3">
      <c r="A895" s="390">
        <v>2690367</v>
      </c>
      <c r="B895" s="5" t="s">
        <v>533</v>
      </c>
      <c r="C895" s="1430" t="s">
        <v>3449</v>
      </c>
      <c r="D895" s="1090" t="s">
        <v>534</v>
      </c>
      <c r="E895" s="5" t="s">
        <v>33</v>
      </c>
      <c r="F895" s="5" t="s">
        <v>33</v>
      </c>
      <c r="G895" s="5" t="s">
        <v>561</v>
      </c>
      <c r="H895" s="5" t="s">
        <v>183</v>
      </c>
      <c r="I895" s="5" t="str">
        <f>_xlfn.XLOOKUP(sommaire[[#This Row],[Arrondissement_code]],OCHA_GIS!$F:$F,OCHA_GIS!$E:$E,,)</f>
        <v>Kaélé</v>
      </c>
      <c r="J895" s="5" t="s">
        <v>562</v>
      </c>
      <c r="K895" t="s">
        <v>1712</v>
      </c>
      <c r="L895" s="5" t="s">
        <v>1713</v>
      </c>
      <c r="N895" s="5" t="s">
        <v>3052</v>
      </c>
      <c r="O895" s="5" t="s">
        <v>2467</v>
      </c>
      <c r="P895" s="5" t="s">
        <v>85</v>
      </c>
      <c r="Q895" s="5" t="s">
        <v>86</v>
      </c>
      <c r="R895" s="5" t="s">
        <v>86</v>
      </c>
      <c r="T895" s="390">
        <v>3</v>
      </c>
      <c r="U895" s="5" t="s">
        <v>97</v>
      </c>
      <c r="W895" s="5" t="s">
        <v>2468</v>
      </c>
      <c r="X895" s="1090" t="s">
        <v>102</v>
      </c>
      <c r="AA895" s="1090" t="s">
        <v>85</v>
      </c>
      <c r="AB895" s="5" t="s">
        <v>2469</v>
      </c>
      <c r="AC895" s="5" t="s">
        <v>2470</v>
      </c>
      <c r="AD895" s="5" t="s">
        <v>86</v>
      </c>
      <c r="AF895" s="5">
        <v>16</v>
      </c>
      <c r="AG895" s="5">
        <v>700</v>
      </c>
      <c r="AH895" s="5" t="s">
        <v>85</v>
      </c>
      <c r="AI895" s="5" t="s">
        <v>2471</v>
      </c>
      <c r="AJ895" s="5">
        <v>16</v>
      </c>
      <c r="AK895" s="5">
        <v>140</v>
      </c>
      <c r="AL895" s="5">
        <v>80</v>
      </c>
      <c r="AM895" s="5">
        <v>60</v>
      </c>
      <c r="AN895" s="5">
        <v>4</v>
      </c>
      <c r="AO895" s="5">
        <v>10</v>
      </c>
      <c r="AP895" s="5">
        <v>0</v>
      </c>
      <c r="AQ895" s="5">
        <v>2</v>
      </c>
      <c r="AR895" s="5" t="s">
        <v>2477</v>
      </c>
      <c r="AT895" s="5">
        <v>0</v>
      </c>
      <c r="AU895" s="5">
        <v>0</v>
      </c>
      <c r="AX895" s="5">
        <v>0</v>
      </c>
      <c r="AY895" s="1090" t="s">
        <v>86</v>
      </c>
      <c r="BN895" s="1090" t="s">
        <v>86</v>
      </c>
      <c r="CD895" s="5">
        <v>0</v>
      </c>
      <c r="CF895" s="1442" t="str">
        <f>IF([1]!sommaire[[#This Row],[présence des personnes déplacés interne]]="Oui","1","0")</f>
        <v>1</v>
      </c>
      <c r="CG895" s="1442" t="str">
        <f>IF([1]!sommaire[[#This Row],[présence Réfugié hors camp]]="Oui","1","0")</f>
        <v>0</v>
      </c>
      <c r="CH895" s="1442" t="str">
        <f>IF([1]!sommaire[[#This Row],[présence personnes retournées]]="Oui","1","0")</f>
        <v>0</v>
      </c>
      <c r="CI895" s="1442">
        <f>[1]!sommaire[[#This Row],[Flag PDI]]+[1]!sommaire[[#This Row],[Flag REF]]+[1]!sommaire[[#This Row],[Flag RET]]</f>
        <v>1</v>
      </c>
    </row>
    <row r="896" spans="1:87" ht="14.55" customHeight="1" x14ac:dyDescent="0.3">
      <c r="A896" s="390">
        <v>2690365</v>
      </c>
      <c r="B896" s="5" t="s">
        <v>533</v>
      </c>
      <c r="C896" s="1430" t="s">
        <v>3449</v>
      </c>
      <c r="D896" s="5" t="s">
        <v>534</v>
      </c>
      <c r="E896" s="5" t="s">
        <v>33</v>
      </c>
      <c r="F896" s="5" t="s">
        <v>33</v>
      </c>
      <c r="G896" s="5" t="s">
        <v>561</v>
      </c>
      <c r="H896" s="5" t="s">
        <v>183</v>
      </c>
      <c r="I896" s="5" t="str">
        <f>_xlfn.XLOOKUP(sommaire[[#This Row],[Arrondissement_code]],OCHA_GIS!$F:$F,OCHA_GIS!$E:$E,,)</f>
        <v>Kaélé</v>
      </c>
      <c r="J896" s="5" t="s">
        <v>562</v>
      </c>
      <c r="K896" t="s">
        <v>680</v>
      </c>
      <c r="L896" s="5" t="s">
        <v>681</v>
      </c>
      <c r="N896" s="5" t="s">
        <v>3052</v>
      </c>
      <c r="O896" s="5" t="s">
        <v>2467</v>
      </c>
      <c r="P896" s="5" t="s">
        <v>85</v>
      </c>
      <c r="Q896" s="5" t="s">
        <v>86</v>
      </c>
      <c r="R896" s="5" t="s">
        <v>86</v>
      </c>
      <c r="T896" s="390">
        <v>3</v>
      </c>
      <c r="U896" s="5" t="s">
        <v>97</v>
      </c>
      <c r="W896" s="5" t="s">
        <v>2468</v>
      </c>
      <c r="X896" s="5" t="s">
        <v>102</v>
      </c>
      <c r="AA896" s="5" t="s">
        <v>85</v>
      </c>
      <c r="AB896" s="5" t="s">
        <v>2469</v>
      </c>
      <c r="AC896" s="5" t="s">
        <v>2470</v>
      </c>
      <c r="AD896" s="5" t="s">
        <v>86</v>
      </c>
      <c r="AF896" s="5">
        <v>19</v>
      </c>
      <c r="AG896" s="5">
        <v>1000</v>
      </c>
      <c r="AH896" s="5" t="s">
        <v>85</v>
      </c>
      <c r="AI896" s="5" t="s">
        <v>2471</v>
      </c>
      <c r="AJ896" s="5">
        <v>19</v>
      </c>
      <c r="AK896" s="5">
        <v>180</v>
      </c>
      <c r="AL896" s="5">
        <v>88</v>
      </c>
      <c r="AM896" s="5">
        <v>92</v>
      </c>
      <c r="AN896" s="5">
        <v>2</v>
      </c>
      <c r="AO896" s="5">
        <v>15</v>
      </c>
      <c r="AP896" s="5">
        <v>2</v>
      </c>
      <c r="AQ896" s="5">
        <v>0</v>
      </c>
      <c r="AT896" s="5">
        <v>0</v>
      </c>
      <c r="AU896" s="5">
        <v>0</v>
      </c>
      <c r="AX896" s="5">
        <v>0</v>
      </c>
      <c r="AY896" s="5" t="s">
        <v>85</v>
      </c>
      <c r="AZ896" s="5">
        <v>11</v>
      </c>
      <c r="BA896" s="5">
        <v>89</v>
      </c>
      <c r="BB896" s="5">
        <v>56</v>
      </c>
      <c r="BC896" s="5">
        <v>33</v>
      </c>
      <c r="BD896" s="5">
        <v>2</v>
      </c>
      <c r="BE896" s="5">
        <v>9</v>
      </c>
      <c r="BF896" s="5">
        <v>0</v>
      </c>
      <c r="BH896" s="5">
        <v>0</v>
      </c>
      <c r="BI896" s="5">
        <v>0</v>
      </c>
      <c r="BL896" s="5">
        <v>0</v>
      </c>
      <c r="BM896" s="5">
        <v>0</v>
      </c>
      <c r="BN896" s="5" t="s">
        <v>86</v>
      </c>
      <c r="CD896" s="5">
        <v>0</v>
      </c>
      <c r="CF896" s="1442" t="str">
        <f>IF([1]!sommaire[[#This Row],[présence des personnes déplacés interne]]="Oui","1","0")</f>
        <v>1</v>
      </c>
      <c r="CG896" s="1442" t="str">
        <f>IF([1]!sommaire[[#This Row],[présence Réfugié hors camp]]="Oui","1","0")</f>
        <v>1</v>
      </c>
      <c r="CH896" s="1442" t="str">
        <f>IF([1]!sommaire[[#This Row],[présence personnes retournées]]="Oui","1","0")</f>
        <v>0</v>
      </c>
      <c r="CI896" s="1442">
        <f>[1]!sommaire[[#This Row],[Flag PDI]]+[1]!sommaire[[#This Row],[Flag REF]]+[1]!sommaire[[#This Row],[Flag RET]]</f>
        <v>2</v>
      </c>
    </row>
    <row r="897" spans="1:87" ht="14.55" customHeight="1" x14ac:dyDescent="0.3">
      <c r="A897" s="390">
        <v>2597450</v>
      </c>
      <c r="B897" s="5" t="s">
        <v>533</v>
      </c>
      <c r="C897" s="1430" t="s">
        <v>3449</v>
      </c>
      <c r="D897" s="5" t="s">
        <v>534</v>
      </c>
      <c r="E897" s="5" t="s">
        <v>33</v>
      </c>
      <c r="F897" s="5" t="s">
        <v>33</v>
      </c>
      <c r="G897" s="5" t="s">
        <v>561</v>
      </c>
      <c r="H897" s="5" t="s">
        <v>183</v>
      </c>
      <c r="I897" s="5" t="str">
        <f>_xlfn.XLOOKUP(sommaire[[#This Row],[Arrondissement_code]],OCHA_GIS!$F:$F,OCHA_GIS!$E:$E,,)</f>
        <v>Kaélé</v>
      </c>
      <c r="J897" s="5" t="s">
        <v>562</v>
      </c>
      <c r="K897" t="s">
        <v>1710</v>
      </c>
      <c r="L897" s="5" t="s">
        <v>1711</v>
      </c>
      <c r="N897" s="5" t="s">
        <v>3052</v>
      </c>
      <c r="O897" s="5" t="s">
        <v>2467</v>
      </c>
      <c r="P897" s="5" t="s">
        <v>85</v>
      </c>
      <c r="Q897" s="5" t="s">
        <v>86</v>
      </c>
      <c r="R897" s="5" t="s">
        <v>86</v>
      </c>
      <c r="T897" s="390">
        <v>3</v>
      </c>
      <c r="U897" s="5" t="s">
        <v>97</v>
      </c>
      <c r="W897" s="5" t="s">
        <v>2468</v>
      </c>
      <c r="X897" s="5" t="s">
        <v>102</v>
      </c>
      <c r="AA897" s="5" t="s">
        <v>85</v>
      </c>
      <c r="AB897" s="5" t="s">
        <v>2469</v>
      </c>
      <c r="AC897" s="5" t="s">
        <v>2470</v>
      </c>
      <c r="AD897" s="5" t="s">
        <v>86</v>
      </c>
      <c r="AG897" s="5">
        <v>2100</v>
      </c>
      <c r="AH897" s="5" t="s">
        <v>86</v>
      </c>
      <c r="AY897" s="5" t="s">
        <v>85</v>
      </c>
      <c r="AZ897" s="5">
        <v>6</v>
      </c>
      <c r="BA897" s="5">
        <v>45</v>
      </c>
      <c r="BB897" s="5">
        <v>21</v>
      </c>
      <c r="BC897" s="5">
        <v>24</v>
      </c>
      <c r="BD897" s="5">
        <v>2</v>
      </c>
      <c r="BE897" s="5">
        <v>2</v>
      </c>
      <c r="BF897" s="5">
        <v>2</v>
      </c>
      <c r="BG897" s="5" t="s">
        <v>2477</v>
      </c>
      <c r="BH897" s="5">
        <v>0</v>
      </c>
      <c r="BI897" s="5">
        <v>0</v>
      </c>
      <c r="BL897" s="5">
        <v>0</v>
      </c>
      <c r="BM897" s="5">
        <v>0</v>
      </c>
      <c r="BN897" s="5" t="s">
        <v>86</v>
      </c>
      <c r="CD897" s="5">
        <v>0</v>
      </c>
      <c r="CF897" s="1442" t="str">
        <f>IF([1]!sommaire[[#This Row],[présence des personnes déplacés interne]]="Oui","1","0")</f>
        <v>0</v>
      </c>
      <c r="CG897" s="1442" t="str">
        <f>IF([1]!sommaire[[#This Row],[présence Réfugié hors camp]]="Oui","1","0")</f>
        <v>1</v>
      </c>
      <c r="CH897" s="1442" t="str">
        <f>IF([1]!sommaire[[#This Row],[présence personnes retournées]]="Oui","1","0")</f>
        <v>0</v>
      </c>
      <c r="CI897" s="1442">
        <f>[1]!sommaire[[#This Row],[Flag PDI]]+[1]!sommaire[[#This Row],[Flag REF]]+[1]!sommaire[[#This Row],[Flag RET]]</f>
        <v>1</v>
      </c>
    </row>
    <row r="898" spans="1:87" ht="14.55" customHeight="1" x14ac:dyDescent="0.3">
      <c r="A898" s="390">
        <v>2601559</v>
      </c>
      <c r="B898" s="5" t="s">
        <v>533</v>
      </c>
      <c r="C898" s="1430" t="s">
        <v>3449</v>
      </c>
      <c r="D898" s="5" t="s">
        <v>534</v>
      </c>
      <c r="E898" s="5" t="s">
        <v>33</v>
      </c>
      <c r="F898" s="5" t="s">
        <v>33</v>
      </c>
      <c r="G898" s="5" t="s">
        <v>561</v>
      </c>
      <c r="H898" s="5" t="s">
        <v>183</v>
      </c>
      <c r="I898" s="5" t="str">
        <f>_xlfn.XLOOKUP(sommaire[[#This Row],[Arrondissement_code]],OCHA_GIS!$F:$F,OCHA_GIS!$E:$E,,)</f>
        <v>Kaélé</v>
      </c>
      <c r="J898" s="5" t="s">
        <v>562</v>
      </c>
      <c r="K898" t="s">
        <v>1722</v>
      </c>
      <c r="L898" s="5" t="s">
        <v>1723</v>
      </c>
      <c r="N898" s="5" t="s">
        <v>3052</v>
      </c>
      <c r="O898" s="5" t="s">
        <v>2467</v>
      </c>
      <c r="P898" s="5" t="s">
        <v>85</v>
      </c>
      <c r="Q898" s="5" t="s">
        <v>86</v>
      </c>
      <c r="R898" s="5" t="s">
        <v>86</v>
      </c>
      <c r="T898" s="390">
        <v>3</v>
      </c>
      <c r="U898" s="5" t="s">
        <v>97</v>
      </c>
      <c r="W898" s="5" t="s">
        <v>2468</v>
      </c>
      <c r="X898" s="5" t="s">
        <v>102</v>
      </c>
      <c r="AA898" s="5" t="s">
        <v>85</v>
      </c>
      <c r="AB898" s="5" t="s">
        <v>2469</v>
      </c>
      <c r="AC898" s="5" t="s">
        <v>2470</v>
      </c>
      <c r="AD898" s="5" t="s">
        <v>86</v>
      </c>
      <c r="AF898" s="5">
        <v>18</v>
      </c>
      <c r="AG898" s="5">
        <v>1200</v>
      </c>
      <c r="AH898" s="5" t="s">
        <v>85</v>
      </c>
      <c r="AI898" s="5" t="s">
        <v>2471</v>
      </c>
      <c r="AJ898" s="5">
        <v>18</v>
      </c>
      <c r="AK898" s="5">
        <v>87</v>
      </c>
      <c r="AL898" s="5">
        <v>39</v>
      </c>
      <c r="AM898" s="5">
        <v>48</v>
      </c>
      <c r="AN898" s="5">
        <v>0</v>
      </c>
      <c r="AO898" s="5">
        <v>8</v>
      </c>
      <c r="AP898" s="5">
        <v>10</v>
      </c>
      <c r="AQ898" s="5">
        <v>0</v>
      </c>
      <c r="AT898" s="5">
        <v>0</v>
      </c>
      <c r="AU898" s="5">
        <v>0</v>
      </c>
      <c r="AX898" s="5">
        <v>0</v>
      </c>
      <c r="AY898" s="5" t="s">
        <v>85</v>
      </c>
      <c r="AZ898" s="5">
        <v>7</v>
      </c>
      <c r="BA898" s="5">
        <v>37</v>
      </c>
      <c r="BB898" s="5">
        <v>15</v>
      </c>
      <c r="BC898" s="5">
        <v>22</v>
      </c>
      <c r="BD898" s="5">
        <v>2</v>
      </c>
      <c r="BE898" s="5">
        <v>5</v>
      </c>
      <c r="BF898" s="5">
        <v>0</v>
      </c>
      <c r="BH898" s="5">
        <v>0</v>
      </c>
      <c r="BI898" s="5">
        <v>0</v>
      </c>
      <c r="BL898" s="5">
        <v>0</v>
      </c>
      <c r="BM898" s="5">
        <v>0</v>
      </c>
      <c r="BN898" s="5" t="s">
        <v>86</v>
      </c>
      <c r="CD898" s="5">
        <v>0</v>
      </c>
      <c r="CF898" s="1442" t="str">
        <f>IF([1]!sommaire[[#This Row],[présence des personnes déplacés interne]]="Oui","1","0")</f>
        <v>1</v>
      </c>
      <c r="CG898" s="1442" t="str">
        <f>IF([1]!sommaire[[#This Row],[présence Réfugié hors camp]]="Oui","1","0")</f>
        <v>1</v>
      </c>
      <c r="CH898" s="1442" t="str">
        <f>IF([1]!sommaire[[#This Row],[présence personnes retournées]]="Oui","1","0")</f>
        <v>0</v>
      </c>
      <c r="CI898" s="1442">
        <f>[1]!sommaire[[#This Row],[Flag PDI]]+[1]!sommaire[[#This Row],[Flag REF]]+[1]!sommaire[[#This Row],[Flag RET]]</f>
        <v>2</v>
      </c>
    </row>
    <row r="899" spans="1:87" ht="14.55" customHeight="1" x14ac:dyDescent="0.3">
      <c r="A899" s="390">
        <v>2635181</v>
      </c>
      <c r="B899" s="5" t="s">
        <v>533</v>
      </c>
      <c r="C899" s="1430" t="s">
        <v>3449</v>
      </c>
      <c r="D899" s="5" t="s">
        <v>534</v>
      </c>
      <c r="E899" s="5" t="s">
        <v>33</v>
      </c>
      <c r="F899" s="5" t="s">
        <v>33</v>
      </c>
      <c r="G899" s="5" t="s">
        <v>561</v>
      </c>
      <c r="H899" s="5" t="s">
        <v>183</v>
      </c>
      <c r="I899" s="5" t="str">
        <f>_xlfn.XLOOKUP(sommaire[[#This Row],[Arrondissement_code]],OCHA_GIS!$F:$F,OCHA_GIS!$E:$E,,)</f>
        <v>Kaélé</v>
      </c>
      <c r="J899" s="5" t="s">
        <v>562</v>
      </c>
      <c r="K899" t="s">
        <v>620</v>
      </c>
      <c r="L899" s="5" t="s">
        <v>621</v>
      </c>
      <c r="N899" s="5" t="s">
        <v>3053</v>
      </c>
      <c r="O899" s="5" t="s">
        <v>2467</v>
      </c>
      <c r="P899" s="5" t="s">
        <v>85</v>
      </c>
      <c r="Q899" s="5" t="s">
        <v>86</v>
      </c>
      <c r="R899" s="5" t="s">
        <v>85</v>
      </c>
      <c r="T899" s="390">
        <v>3</v>
      </c>
      <c r="U899" s="5" t="s">
        <v>97</v>
      </c>
      <c r="W899" s="5" t="s">
        <v>2468</v>
      </c>
      <c r="X899" s="5" t="s">
        <v>102</v>
      </c>
      <c r="AA899" s="5" t="s">
        <v>85</v>
      </c>
      <c r="AB899" s="5" t="s">
        <v>2469</v>
      </c>
      <c r="AC899" s="5" t="s">
        <v>2470</v>
      </c>
      <c r="AD899" s="5" t="s">
        <v>86</v>
      </c>
      <c r="AG899" s="5">
        <v>700</v>
      </c>
      <c r="AH899" s="5" t="s">
        <v>86</v>
      </c>
      <c r="AY899" s="5" t="s">
        <v>86</v>
      </c>
      <c r="BN899" s="5" t="s">
        <v>85</v>
      </c>
      <c r="BO899" s="5">
        <v>2</v>
      </c>
      <c r="BP899" s="5">
        <v>12</v>
      </c>
      <c r="BQ899" s="5">
        <v>6</v>
      </c>
      <c r="BR899" s="5">
        <v>6</v>
      </c>
      <c r="BS899" s="5" t="s">
        <v>2483</v>
      </c>
      <c r="BT899" s="5">
        <v>0</v>
      </c>
      <c r="BU899" s="5">
        <v>2</v>
      </c>
      <c r="BV899" s="5">
        <v>0</v>
      </c>
      <c r="BW899" s="5">
        <v>0</v>
      </c>
      <c r="BX899" s="5">
        <v>0</v>
      </c>
      <c r="BZ899" s="5">
        <v>0</v>
      </c>
      <c r="CA899" s="5">
        <v>0</v>
      </c>
      <c r="CC899" s="5">
        <v>0</v>
      </c>
      <c r="CD899" s="5">
        <v>0</v>
      </c>
      <c r="CF899" s="1442" t="str">
        <f>IF([1]!sommaire[[#This Row],[présence des personnes déplacés interne]]="Oui","1","0")</f>
        <v>0</v>
      </c>
      <c r="CG899" s="1442" t="str">
        <f>IF([1]!sommaire[[#This Row],[présence Réfugié hors camp]]="Oui","1","0")</f>
        <v>0</v>
      </c>
      <c r="CH899" s="1442" t="str">
        <f>IF([1]!sommaire[[#This Row],[présence personnes retournées]]="Oui","1","0")</f>
        <v>1</v>
      </c>
      <c r="CI899" s="1442">
        <f>[1]!sommaire[[#This Row],[Flag PDI]]+[1]!sommaire[[#This Row],[Flag REF]]+[1]!sommaire[[#This Row],[Flag RET]]</f>
        <v>1</v>
      </c>
    </row>
    <row r="900" spans="1:87" ht="14.55" customHeight="1" x14ac:dyDescent="0.3">
      <c r="A900" s="390">
        <v>2688768</v>
      </c>
      <c r="B900" s="5" t="s">
        <v>533</v>
      </c>
      <c r="C900" s="1430" t="s">
        <v>3449</v>
      </c>
      <c r="D900" s="5" t="s">
        <v>534</v>
      </c>
      <c r="E900" s="5" t="s">
        <v>33</v>
      </c>
      <c r="F900" s="5" t="s">
        <v>33</v>
      </c>
      <c r="G900" s="5" t="s">
        <v>561</v>
      </c>
      <c r="H900" s="5" t="s">
        <v>183</v>
      </c>
      <c r="I900" s="5" t="str">
        <f>_xlfn.XLOOKUP(sommaire[[#This Row],[Arrondissement_code]],OCHA_GIS!$F:$F,OCHA_GIS!$E:$E,,)</f>
        <v>Kaélé</v>
      </c>
      <c r="J900" s="5" t="s">
        <v>562</v>
      </c>
      <c r="K900" t="s">
        <v>622</v>
      </c>
      <c r="L900" s="5" t="s">
        <v>623</v>
      </c>
      <c r="N900" s="5" t="s">
        <v>3053</v>
      </c>
      <c r="O900" s="5" t="s">
        <v>2467</v>
      </c>
      <c r="P900" s="5" t="s">
        <v>85</v>
      </c>
      <c r="Q900" s="5" t="s">
        <v>86</v>
      </c>
      <c r="R900" s="5" t="s">
        <v>85</v>
      </c>
      <c r="T900" s="390">
        <v>3</v>
      </c>
      <c r="U900" s="5" t="s">
        <v>97</v>
      </c>
      <c r="W900" s="5" t="s">
        <v>2468</v>
      </c>
      <c r="X900" s="5" t="s">
        <v>102</v>
      </c>
      <c r="AA900" s="5" t="s">
        <v>85</v>
      </c>
      <c r="AB900" s="5" t="s">
        <v>2469</v>
      </c>
      <c r="AC900" s="5" t="s">
        <v>2470</v>
      </c>
      <c r="AD900" s="5" t="s">
        <v>86</v>
      </c>
      <c r="AF900" s="5">
        <v>2</v>
      </c>
      <c r="AG900" s="5">
        <v>700</v>
      </c>
      <c r="AH900" s="5" t="s">
        <v>85</v>
      </c>
      <c r="AI900" s="5" t="s">
        <v>2471</v>
      </c>
      <c r="AJ900" s="5">
        <v>2</v>
      </c>
      <c r="AK900" s="5">
        <v>9</v>
      </c>
      <c r="AL900" s="5">
        <v>5</v>
      </c>
      <c r="AM900" s="5">
        <v>4</v>
      </c>
      <c r="AN900" s="5">
        <v>0</v>
      </c>
      <c r="AO900" s="5">
        <v>2</v>
      </c>
      <c r="AP900" s="5">
        <v>0</v>
      </c>
      <c r="AQ900" s="5">
        <v>0</v>
      </c>
      <c r="AT900" s="5">
        <v>0</v>
      </c>
      <c r="AU900" s="5">
        <v>0</v>
      </c>
      <c r="AX900" s="5">
        <v>0</v>
      </c>
      <c r="AY900" s="5" t="s">
        <v>86</v>
      </c>
      <c r="BN900" s="5" t="s">
        <v>86</v>
      </c>
      <c r="CD900" s="5">
        <v>0</v>
      </c>
      <c r="CF900" s="1442" t="str">
        <f>IF([1]!sommaire[[#This Row],[présence des personnes déplacés interne]]="Oui","1","0")</f>
        <v>1</v>
      </c>
      <c r="CG900" s="1442" t="str">
        <f>IF([1]!sommaire[[#This Row],[présence Réfugié hors camp]]="Oui","1","0")</f>
        <v>0</v>
      </c>
      <c r="CH900" s="1442" t="str">
        <f>IF([1]!sommaire[[#This Row],[présence personnes retournées]]="Oui","1","0")</f>
        <v>0</v>
      </c>
      <c r="CI900" s="1442">
        <f>[1]!sommaire[[#This Row],[Flag PDI]]+[1]!sommaire[[#This Row],[Flag REF]]+[1]!sommaire[[#This Row],[Flag RET]]</f>
        <v>1</v>
      </c>
    </row>
    <row r="901" spans="1:87" ht="14.55" customHeight="1" x14ac:dyDescent="0.3">
      <c r="A901" s="390">
        <v>2601560</v>
      </c>
      <c r="B901" s="5" t="s">
        <v>533</v>
      </c>
      <c r="C901" s="1430" t="s">
        <v>3449</v>
      </c>
      <c r="D901" s="1090" t="s">
        <v>534</v>
      </c>
      <c r="E901" s="5" t="s">
        <v>33</v>
      </c>
      <c r="F901" s="5" t="s">
        <v>33</v>
      </c>
      <c r="G901" s="5" t="s">
        <v>561</v>
      </c>
      <c r="H901" s="5" t="s">
        <v>184</v>
      </c>
      <c r="I901" s="5" t="str">
        <f>_xlfn.XLOOKUP(sommaire[[#This Row],[Arrondissement_code]],OCHA_GIS!$F:$F,OCHA_GIS!$E:$E,,)</f>
        <v>Mindif</v>
      </c>
      <c r="J901" s="5" t="s">
        <v>2225</v>
      </c>
      <c r="K901" t="s">
        <v>2961</v>
      </c>
      <c r="L901" s="5" t="s">
        <v>2226</v>
      </c>
      <c r="N901" s="5" t="s">
        <v>3052</v>
      </c>
      <c r="O901" s="5" t="s">
        <v>2467</v>
      </c>
      <c r="P901" s="5" t="s">
        <v>85</v>
      </c>
      <c r="Q901" s="5" t="s">
        <v>86</v>
      </c>
      <c r="R901" s="5" t="s">
        <v>86</v>
      </c>
      <c r="T901" s="390">
        <v>3</v>
      </c>
      <c r="U901" s="5" t="s">
        <v>97</v>
      </c>
      <c r="W901" s="5" t="s">
        <v>2468</v>
      </c>
      <c r="X901" s="5" t="s">
        <v>102</v>
      </c>
      <c r="AA901" s="5" t="s">
        <v>85</v>
      </c>
      <c r="AB901" s="5" t="s">
        <v>2469</v>
      </c>
      <c r="AC901" s="5" t="s">
        <v>2470</v>
      </c>
      <c r="AD901" s="5" t="s">
        <v>86</v>
      </c>
      <c r="AF901" s="5">
        <v>11</v>
      </c>
      <c r="AG901" s="5">
        <v>12500</v>
      </c>
      <c r="AH901" s="5" t="s">
        <v>85</v>
      </c>
      <c r="AI901" s="5" t="s">
        <v>2471</v>
      </c>
      <c r="AJ901" s="5">
        <v>11</v>
      </c>
      <c r="AK901" s="5">
        <v>48</v>
      </c>
      <c r="AL901" s="5">
        <v>22</v>
      </c>
      <c r="AM901" s="5">
        <v>26</v>
      </c>
      <c r="AN901" s="5">
        <v>0</v>
      </c>
      <c r="AO901" s="5">
        <v>0</v>
      </c>
      <c r="AP901" s="5">
        <v>0</v>
      </c>
      <c r="AQ901" s="5">
        <v>11</v>
      </c>
      <c r="AR901" s="5" t="s">
        <v>2477</v>
      </c>
      <c r="AT901" s="5">
        <v>0</v>
      </c>
      <c r="AU901" s="5">
        <v>0</v>
      </c>
      <c r="AX901" s="5">
        <v>0</v>
      </c>
      <c r="AY901" s="5" t="s">
        <v>86</v>
      </c>
      <c r="BN901" s="5" t="s">
        <v>86</v>
      </c>
      <c r="CD901" s="5">
        <v>0</v>
      </c>
      <c r="CF901" s="1442" t="str">
        <f>IF([1]!sommaire[[#This Row],[présence des personnes déplacés interne]]="Oui","1","0")</f>
        <v>1</v>
      </c>
      <c r="CG901" s="1442" t="str">
        <f>IF([1]!sommaire[[#This Row],[présence Réfugié hors camp]]="Oui","1","0")</f>
        <v>0</v>
      </c>
      <c r="CH901" s="1442" t="str">
        <f>IF([1]!sommaire[[#This Row],[présence personnes retournées]]="Oui","1","0")</f>
        <v>0</v>
      </c>
      <c r="CI901" s="1442">
        <f>[1]!sommaire[[#This Row],[Flag PDI]]+[1]!sommaire[[#This Row],[Flag REF]]+[1]!sommaire[[#This Row],[Flag RET]]</f>
        <v>1</v>
      </c>
    </row>
    <row r="902" spans="1:87" ht="14.55" customHeight="1" x14ac:dyDescent="0.3">
      <c r="A902" s="390">
        <v>2601561</v>
      </c>
      <c r="B902" s="5" t="s">
        <v>533</v>
      </c>
      <c r="C902" s="1430" t="s">
        <v>3449</v>
      </c>
      <c r="D902" s="1090" t="s">
        <v>534</v>
      </c>
      <c r="E902" s="5" t="s">
        <v>33</v>
      </c>
      <c r="F902" s="5" t="s">
        <v>33</v>
      </c>
      <c r="G902" s="5" t="s">
        <v>561</v>
      </c>
      <c r="H902" s="5" t="s">
        <v>184</v>
      </c>
      <c r="I902" s="5" t="str">
        <f>_xlfn.XLOOKUP(sommaire[[#This Row],[Arrondissement_code]],OCHA_GIS!$F:$F,OCHA_GIS!$E:$E,,)</f>
        <v>Mindif</v>
      </c>
      <c r="J902" s="5" t="s">
        <v>2225</v>
      </c>
      <c r="K902" t="s">
        <v>2963</v>
      </c>
      <c r="L902" s="5" t="s">
        <v>2228</v>
      </c>
      <c r="N902" s="5" t="s">
        <v>3052</v>
      </c>
      <c r="O902" s="5" t="s">
        <v>2467</v>
      </c>
      <c r="P902" s="5" t="s">
        <v>85</v>
      </c>
      <c r="Q902" s="5" t="s">
        <v>86</v>
      </c>
      <c r="R902" s="5" t="s">
        <v>86</v>
      </c>
      <c r="T902" s="390">
        <v>3</v>
      </c>
      <c r="U902" s="5" t="s">
        <v>97</v>
      </c>
      <c r="W902" s="5" t="s">
        <v>2468</v>
      </c>
      <c r="X902" s="5" t="s">
        <v>102</v>
      </c>
      <c r="AA902" s="5" t="s">
        <v>85</v>
      </c>
      <c r="AB902" s="5" t="s">
        <v>2469</v>
      </c>
      <c r="AC902" s="5" t="s">
        <v>2470</v>
      </c>
      <c r="AD902" s="5" t="s">
        <v>86</v>
      </c>
      <c r="AG902" s="5">
        <v>13000</v>
      </c>
      <c r="AH902" s="5" t="s">
        <v>86</v>
      </c>
      <c r="AY902" s="5" t="s">
        <v>85</v>
      </c>
      <c r="AZ902" s="5">
        <v>3</v>
      </c>
      <c r="BA902" s="5">
        <v>9</v>
      </c>
      <c r="BB902" s="5">
        <v>4</v>
      </c>
      <c r="BC902" s="5">
        <v>5</v>
      </c>
      <c r="BD902" s="5">
        <v>3</v>
      </c>
      <c r="BE902" s="5">
        <v>0</v>
      </c>
      <c r="BF902" s="5">
        <v>0</v>
      </c>
      <c r="BH902" s="5">
        <v>0</v>
      </c>
      <c r="BI902" s="5">
        <v>0</v>
      </c>
      <c r="BL902" s="5">
        <v>0</v>
      </c>
      <c r="BM902" s="5">
        <v>0</v>
      </c>
      <c r="BN902" s="5" t="s">
        <v>85</v>
      </c>
      <c r="BO902" s="5">
        <v>3</v>
      </c>
      <c r="BP902" s="5">
        <v>6</v>
      </c>
      <c r="BQ902" s="5">
        <v>3</v>
      </c>
      <c r="BR902" s="5">
        <v>3</v>
      </c>
      <c r="BS902" s="5" t="s">
        <v>2479</v>
      </c>
      <c r="BT902" s="5">
        <v>2</v>
      </c>
      <c r="BU902" s="5">
        <v>0</v>
      </c>
      <c r="BV902" s="5">
        <v>1</v>
      </c>
      <c r="BW902" s="5">
        <v>0</v>
      </c>
      <c r="BX902" s="5">
        <v>0</v>
      </c>
      <c r="BZ902" s="5">
        <v>0</v>
      </c>
      <c r="CA902" s="5">
        <v>0</v>
      </c>
      <c r="CC902" s="5">
        <v>0</v>
      </c>
      <c r="CD902" s="5">
        <v>0</v>
      </c>
      <c r="CF902" s="1442" t="str">
        <f>IF([1]!sommaire[[#This Row],[présence des personnes déplacés interne]]="Oui","1","0")</f>
        <v>0</v>
      </c>
      <c r="CG902" s="1442" t="str">
        <f>IF([1]!sommaire[[#This Row],[présence Réfugié hors camp]]="Oui","1","0")</f>
        <v>1</v>
      </c>
      <c r="CH902" s="1442" t="str">
        <f>IF([1]!sommaire[[#This Row],[présence personnes retournées]]="Oui","1","0")</f>
        <v>1</v>
      </c>
      <c r="CI902" s="1442">
        <f>[1]!sommaire[[#This Row],[Flag PDI]]+[1]!sommaire[[#This Row],[Flag REF]]+[1]!sommaire[[#This Row],[Flag RET]]</f>
        <v>2</v>
      </c>
    </row>
    <row r="903" spans="1:87" ht="14.55" customHeight="1" x14ac:dyDescent="0.3">
      <c r="A903" s="390">
        <v>2621492</v>
      </c>
      <c r="B903" s="5" t="s">
        <v>533</v>
      </c>
      <c r="C903" s="1430" t="s">
        <v>3449</v>
      </c>
      <c r="D903" s="5" t="s">
        <v>534</v>
      </c>
      <c r="E903" s="5" t="s">
        <v>33</v>
      </c>
      <c r="F903" s="5" t="s">
        <v>33</v>
      </c>
      <c r="G903" s="5" t="s">
        <v>561</v>
      </c>
      <c r="H903" s="5" t="s">
        <v>184</v>
      </c>
      <c r="I903" s="5" t="str">
        <f>_xlfn.XLOOKUP(sommaire[[#This Row],[Arrondissement_code]],OCHA_GIS!$F:$F,OCHA_GIS!$E:$E,,)</f>
        <v>Mindif</v>
      </c>
      <c r="J903" s="5" t="s">
        <v>2225</v>
      </c>
      <c r="K903" t="s">
        <v>2227</v>
      </c>
      <c r="L903" s="5" t="s">
        <v>2639</v>
      </c>
      <c r="N903" s="5" t="s">
        <v>3052</v>
      </c>
      <c r="O903" s="5" t="s">
        <v>2467</v>
      </c>
      <c r="P903" s="5" t="s">
        <v>85</v>
      </c>
      <c r="Q903" s="5" t="s">
        <v>86</v>
      </c>
      <c r="R903" s="5" t="s">
        <v>86</v>
      </c>
      <c r="T903" s="390">
        <v>3</v>
      </c>
      <c r="U903" s="5" t="s">
        <v>97</v>
      </c>
      <c r="W903" s="5" t="s">
        <v>2468</v>
      </c>
      <c r="X903" s="5" t="s">
        <v>102</v>
      </c>
      <c r="AA903" s="5" t="s">
        <v>85</v>
      </c>
      <c r="AB903" s="5" t="s">
        <v>2469</v>
      </c>
      <c r="AC903" s="5" t="s">
        <v>2470</v>
      </c>
      <c r="AD903" s="5" t="s">
        <v>86</v>
      </c>
      <c r="AG903" s="5">
        <v>1275</v>
      </c>
      <c r="AH903" s="5" t="s">
        <v>86</v>
      </c>
      <c r="AY903" s="5" t="s">
        <v>85</v>
      </c>
      <c r="AZ903" s="5">
        <v>4</v>
      </c>
      <c r="BA903" s="5">
        <v>24</v>
      </c>
      <c r="BB903" s="5">
        <v>11</v>
      </c>
      <c r="BC903" s="5">
        <v>13</v>
      </c>
      <c r="BD903" s="5">
        <v>4</v>
      </c>
      <c r="BE903" s="5">
        <v>0</v>
      </c>
      <c r="BF903" s="5">
        <v>0</v>
      </c>
      <c r="BH903" s="5">
        <v>0</v>
      </c>
      <c r="BI903" s="5">
        <v>0</v>
      </c>
      <c r="BL903" s="5">
        <v>0</v>
      </c>
      <c r="BM903" s="5">
        <v>0</v>
      </c>
      <c r="BN903" s="5" t="s">
        <v>85</v>
      </c>
      <c r="BO903" s="5">
        <v>8</v>
      </c>
      <c r="BP903" s="5">
        <v>45</v>
      </c>
      <c r="BQ903" s="5">
        <v>18</v>
      </c>
      <c r="BR903" s="5">
        <v>27</v>
      </c>
      <c r="BS903" s="5" t="s">
        <v>2535</v>
      </c>
      <c r="BT903" s="5">
        <v>5</v>
      </c>
      <c r="BU903" s="5">
        <v>1</v>
      </c>
      <c r="BV903" s="5">
        <v>2</v>
      </c>
      <c r="BW903" s="5">
        <v>0</v>
      </c>
      <c r="BX903" s="5">
        <v>0</v>
      </c>
      <c r="BZ903" s="5">
        <v>0</v>
      </c>
      <c r="CA903" s="5">
        <v>0</v>
      </c>
      <c r="CC903" s="5">
        <v>0</v>
      </c>
      <c r="CD903" s="5">
        <v>0</v>
      </c>
      <c r="CF903" s="1442" t="str">
        <f>IF([1]!sommaire[[#This Row],[présence des personnes déplacés interne]]="Oui","1","0")</f>
        <v>0</v>
      </c>
      <c r="CG903" s="1442" t="str">
        <f>IF([1]!sommaire[[#This Row],[présence Réfugié hors camp]]="Oui","1","0")</f>
        <v>1</v>
      </c>
      <c r="CH903" s="1442" t="str">
        <f>IF([1]!sommaire[[#This Row],[présence personnes retournées]]="Oui","1","0")</f>
        <v>1</v>
      </c>
      <c r="CI903" s="1442">
        <f>[1]!sommaire[[#This Row],[Flag PDI]]+[1]!sommaire[[#This Row],[Flag REF]]+[1]!sommaire[[#This Row],[Flag RET]]</f>
        <v>2</v>
      </c>
    </row>
    <row r="904" spans="1:87" ht="14.55" customHeight="1" x14ac:dyDescent="0.3">
      <c r="A904" s="390">
        <v>2657743</v>
      </c>
      <c r="B904" s="5" t="s">
        <v>533</v>
      </c>
      <c r="C904" s="1430" t="s">
        <v>3449</v>
      </c>
      <c r="D904" s="1090" t="s">
        <v>534</v>
      </c>
      <c r="E904" s="5" t="s">
        <v>33</v>
      </c>
      <c r="F904" s="5" t="s">
        <v>33</v>
      </c>
      <c r="G904" s="5" t="s">
        <v>561</v>
      </c>
      <c r="H904" s="5" t="s">
        <v>185</v>
      </c>
      <c r="I904" s="5" t="str">
        <f>_xlfn.XLOOKUP(sommaire[[#This Row],[Arrondissement_code]],OCHA_GIS!$F:$F,OCHA_GIS!$E:$E,,)</f>
        <v>Moulvoudaye</v>
      </c>
      <c r="J904" s="5" t="s">
        <v>656</v>
      </c>
      <c r="K904" t="s">
        <v>550</v>
      </c>
      <c r="L904" s="5" t="s">
        <v>3133</v>
      </c>
      <c r="M904" s="5" t="s">
        <v>3133</v>
      </c>
      <c r="N904" s="5" t="s">
        <v>3053</v>
      </c>
      <c r="O904" s="5" t="s">
        <v>2467</v>
      </c>
      <c r="P904" s="5" t="s">
        <v>85</v>
      </c>
      <c r="Q904" s="5" t="s">
        <v>86</v>
      </c>
      <c r="R904" s="5" t="s">
        <v>85</v>
      </c>
      <c r="T904" s="390">
        <v>4</v>
      </c>
      <c r="U904" s="5" t="s">
        <v>97</v>
      </c>
      <c r="W904" s="5" t="s">
        <v>2468</v>
      </c>
      <c r="X904" s="5" t="s">
        <v>102</v>
      </c>
      <c r="AA904" s="1175" t="s">
        <v>85</v>
      </c>
      <c r="AB904" s="5" t="s">
        <v>2473</v>
      </c>
      <c r="AC904" s="5" t="s">
        <v>2470</v>
      </c>
      <c r="AD904" s="5" t="s">
        <v>86</v>
      </c>
      <c r="AF904" s="5">
        <v>28</v>
      </c>
      <c r="AG904" s="5">
        <v>1944</v>
      </c>
      <c r="AH904" s="5" t="s">
        <v>85</v>
      </c>
      <c r="AI904" s="5" t="s">
        <v>2471</v>
      </c>
      <c r="AJ904" s="5">
        <v>28</v>
      </c>
      <c r="AK904" s="5">
        <v>206</v>
      </c>
      <c r="AL904" s="5">
        <v>80</v>
      </c>
      <c r="AM904" s="5">
        <v>126</v>
      </c>
      <c r="AN904" s="5">
        <v>28</v>
      </c>
      <c r="AO904" s="5">
        <v>0</v>
      </c>
      <c r="AP904" s="5">
        <v>0</v>
      </c>
      <c r="AQ904" s="5">
        <v>0</v>
      </c>
      <c r="AT904" s="5">
        <v>0</v>
      </c>
      <c r="AU904" s="5">
        <v>0</v>
      </c>
      <c r="AX904" s="5">
        <v>0</v>
      </c>
      <c r="AY904" s="5" t="s">
        <v>86</v>
      </c>
      <c r="BN904" s="5" t="s">
        <v>86</v>
      </c>
      <c r="CD904" s="5">
        <v>0</v>
      </c>
      <c r="CF904" s="1442" t="str">
        <f>IF([1]!sommaire[[#This Row],[présence des personnes déplacés interne]]="Oui","1","0")</f>
        <v>1</v>
      </c>
      <c r="CG904" s="1442" t="str">
        <f>IF([1]!sommaire[[#This Row],[présence Réfugié hors camp]]="Oui","1","0")</f>
        <v>0</v>
      </c>
      <c r="CH904" s="1442" t="str">
        <f>IF([1]!sommaire[[#This Row],[présence personnes retournées]]="Oui","1","0")</f>
        <v>0</v>
      </c>
      <c r="CI904" s="1442">
        <f>[1]!sommaire[[#This Row],[Flag PDI]]+[1]!sommaire[[#This Row],[Flag REF]]+[1]!sommaire[[#This Row],[Flag RET]]</f>
        <v>1</v>
      </c>
    </row>
    <row r="905" spans="1:87" ht="14.55" customHeight="1" x14ac:dyDescent="0.3">
      <c r="A905" s="390">
        <v>2607974</v>
      </c>
      <c r="B905" s="5" t="s">
        <v>533</v>
      </c>
      <c r="C905" s="1430" t="s">
        <v>3449</v>
      </c>
      <c r="D905" s="1090" t="s">
        <v>534</v>
      </c>
      <c r="E905" s="5" t="s">
        <v>33</v>
      </c>
      <c r="F905" s="5" t="s">
        <v>33</v>
      </c>
      <c r="G905" s="5" t="s">
        <v>561</v>
      </c>
      <c r="H905" s="5" t="s">
        <v>185</v>
      </c>
      <c r="I905" s="5" t="str">
        <f>_xlfn.XLOOKUP(sommaire[[#This Row],[Arrondissement_code]],OCHA_GIS!$F:$F,OCHA_GIS!$E:$E,,)</f>
        <v>Moulvoudaye</v>
      </c>
      <c r="J905" s="5" t="s">
        <v>656</v>
      </c>
      <c r="K905" t="s">
        <v>2370</v>
      </c>
      <c r="L905" s="5" t="s">
        <v>2371</v>
      </c>
      <c r="N905" s="5" t="s">
        <v>3053</v>
      </c>
      <c r="O905" s="5" t="s">
        <v>2467</v>
      </c>
      <c r="P905" s="5" t="s">
        <v>85</v>
      </c>
      <c r="Q905" s="5" t="s">
        <v>86</v>
      </c>
      <c r="R905" s="5" t="s">
        <v>85</v>
      </c>
      <c r="T905" s="390">
        <v>3</v>
      </c>
      <c r="U905" s="5" t="s">
        <v>97</v>
      </c>
      <c r="W905" s="5" t="s">
        <v>2468</v>
      </c>
      <c r="X905" s="5" t="s">
        <v>102</v>
      </c>
      <c r="AA905" s="5" t="s">
        <v>86</v>
      </c>
      <c r="AH905" s="1430" t="s">
        <v>86</v>
      </c>
      <c r="AY905" s="1430" t="s">
        <v>86</v>
      </c>
      <c r="BN905" s="1430" t="s">
        <v>86</v>
      </c>
      <c r="CF905" s="1442" t="str">
        <f>IF([1]!sommaire[[#This Row],[présence des personnes déplacés interne]]="Oui","1","0")</f>
        <v>0</v>
      </c>
      <c r="CG905" s="1442" t="str">
        <f>IF([1]!sommaire[[#This Row],[présence Réfugié hors camp]]="Oui","1","0")</f>
        <v>0</v>
      </c>
      <c r="CH905" s="1442" t="str">
        <f>IF([1]!sommaire[[#This Row],[présence personnes retournées]]="Oui","1","0")</f>
        <v>0</v>
      </c>
      <c r="CI905" s="1442">
        <f>[1]!sommaire[[#This Row],[Flag PDI]]+[1]!sommaire[[#This Row],[Flag REF]]+[1]!sommaire[[#This Row],[Flag RET]]</f>
        <v>0</v>
      </c>
    </row>
    <row r="906" spans="1:87" ht="14.55" customHeight="1" x14ac:dyDescent="0.3">
      <c r="A906" s="390">
        <v>2607970</v>
      </c>
      <c r="B906" s="5" t="s">
        <v>533</v>
      </c>
      <c r="C906" s="1430" t="s">
        <v>3449</v>
      </c>
      <c r="D906" s="5" t="s">
        <v>534</v>
      </c>
      <c r="E906" s="5" t="s">
        <v>33</v>
      </c>
      <c r="F906" s="5" t="s">
        <v>33</v>
      </c>
      <c r="G906" s="5" t="s">
        <v>561</v>
      </c>
      <c r="H906" s="5" t="s">
        <v>185</v>
      </c>
      <c r="I906" s="5" t="str">
        <f>_xlfn.XLOOKUP(sommaire[[#This Row],[Arrondissement_code]],OCHA_GIS!$F:$F,OCHA_GIS!$E:$E,,)</f>
        <v>Moulvoudaye</v>
      </c>
      <c r="J906" s="5" t="s">
        <v>656</v>
      </c>
      <c r="K906" t="s">
        <v>1773</v>
      </c>
      <c r="L906" s="5" t="s">
        <v>1774</v>
      </c>
      <c r="N906" s="5" t="s">
        <v>3053</v>
      </c>
      <c r="O906" s="5" t="s">
        <v>2467</v>
      </c>
      <c r="P906" s="5" t="s">
        <v>85</v>
      </c>
      <c r="Q906" s="5" t="s">
        <v>86</v>
      </c>
      <c r="R906" s="5" t="s">
        <v>85</v>
      </c>
      <c r="T906" s="390">
        <v>4</v>
      </c>
      <c r="U906" s="5" t="s">
        <v>97</v>
      </c>
      <c r="W906" s="5" t="s">
        <v>2468</v>
      </c>
      <c r="X906" s="5" t="s">
        <v>103</v>
      </c>
      <c r="Y906" s="5" t="s">
        <v>2476</v>
      </c>
      <c r="AA906" s="5" t="s">
        <v>86</v>
      </c>
      <c r="AH906" s="1430" t="s">
        <v>86</v>
      </c>
      <c r="AY906" s="1430" t="s">
        <v>86</v>
      </c>
      <c r="BN906" s="1430" t="s">
        <v>86</v>
      </c>
      <c r="CF906" s="1442" t="str">
        <f>IF([1]!sommaire[[#This Row],[présence des personnes déplacés interne]]="Oui","1","0")</f>
        <v>0</v>
      </c>
      <c r="CG906" s="1442" t="str">
        <f>IF([1]!sommaire[[#This Row],[présence Réfugié hors camp]]="Oui","1","0")</f>
        <v>0</v>
      </c>
      <c r="CH906" s="1442" t="str">
        <f>IF([1]!sommaire[[#This Row],[présence personnes retournées]]="Oui","1","0")</f>
        <v>0</v>
      </c>
      <c r="CI906" s="1442">
        <f>[1]!sommaire[[#This Row],[Flag PDI]]+[1]!sommaire[[#This Row],[Flag REF]]+[1]!sommaire[[#This Row],[Flag RET]]</f>
        <v>0</v>
      </c>
    </row>
    <row r="907" spans="1:87" ht="14.55" customHeight="1" x14ac:dyDescent="0.3">
      <c r="A907" s="390">
        <v>2607971</v>
      </c>
      <c r="B907" s="5" t="s">
        <v>533</v>
      </c>
      <c r="C907" s="1430" t="s">
        <v>3449</v>
      </c>
      <c r="D907" s="1090" t="s">
        <v>534</v>
      </c>
      <c r="E907" s="5" t="s">
        <v>33</v>
      </c>
      <c r="F907" s="5" t="s">
        <v>33</v>
      </c>
      <c r="G907" s="5" t="s">
        <v>561</v>
      </c>
      <c r="H907" s="5" t="s">
        <v>185</v>
      </c>
      <c r="I907" s="5" t="str">
        <f>_xlfn.XLOOKUP(sommaire[[#This Row],[Arrondissement_code]],OCHA_GIS!$F:$F,OCHA_GIS!$E:$E,,)</f>
        <v>Moulvoudaye</v>
      </c>
      <c r="J907" s="5" t="s">
        <v>656</v>
      </c>
      <c r="K907" t="s">
        <v>1097</v>
      </c>
      <c r="L907" s="5" t="s">
        <v>1098</v>
      </c>
      <c r="N907" s="5" t="s">
        <v>3053</v>
      </c>
      <c r="O907" s="5" t="s">
        <v>2467</v>
      </c>
      <c r="P907" s="5" t="s">
        <v>85</v>
      </c>
      <c r="Q907" s="5" t="s">
        <v>86</v>
      </c>
      <c r="R907" s="5" t="s">
        <v>85</v>
      </c>
      <c r="T907" s="390">
        <v>4</v>
      </c>
      <c r="U907" s="5" t="s">
        <v>97</v>
      </c>
      <c r="W907" s="5" t="s">
        <v>2468</v>
      </c>
      <c r="X907" s="5" t="s">
        <v>101</v>
      </c>
      <c r="Y907" s="5" t="s">
        <v>2476</v>
      </c>
      <c r="AA907" s="5" t="s">
        <v>86</v>
      </c>
      <c r="AH907" s="1430" t="s">
        <v>86</v>
      </c>
      <c r="AY907" s="1430" t="s">
        <v>86</v>
      </c>
      <c r="BN907" s="1430" t="s">
        <v>86</v>
      </c>
      <c r="CF907" s="1442" t="str">
        <f>IF([1]!sommaire[[#This Row],[présence des personnes déplacés interne]]="Oui","1","0")</f>
        <v>0</v>
      </c>
      <c r="CG907" s="1442" t="str">
        <f>IF([1]!sommaire[[#This Row],[présence Réfugié hors camp]]="Oui","1","0")</f>
        <v>0</v>
      </c>
      <c r="CH907" s="1442" t="str">
        <f>IF([1]!sommaire[[#This Row],[présence personnes retournées]]="Oui","1","0")</f>
        <v>0</v>
      </c>
      <c r="CI907" s="1442">
        <f>[1]!sommaire[[#This Row],[Flag PDI]]+[1]!sommaire[[#This Row],[Flag REF]]+[1]!sommaire[[#This Row],[Flag RET]]</f>
        <v>0</v>
      </c>
    </row>
    <row r="908" spans="1:87" ht="14.55" customHeight="1" x14ac:dyDescent="0.3">
      <c r="A908" s="390">
        <v>2607963</v>
      </c>
      <c r="B908" s="5" t="s">
        <v>533</v>
      </c>
      <c r="C908" s="1430" t="s">
        <v>3449</v>
      </c>
      <c r="D908" s="1090" t="s">
        <v>534</v>
      </c>
      <c r="E908" s="5" t="s">
        <v>33</v>
      </c>
      <c r="F908" s="5" t="s">
        <v>33</v>
      </c>
      <c r="G908" s="5" t="s">
        <v>561</v>
      </c>
      <c r="H908" s="5" t="s">
        <v>185</v>
      </c>
      <c r="I908" s="5" t="str">
        <f>_xlfn.XLOOKUP(sommaire[[#This Row],[Arrondissement_code]],OCHA_GIS!$F:$F,OCHA_GIS!$E:$E,,)</f>
        <v>Moulvoudaye</v>
      </c>
      <c r="J908" s="5" t="s">
        <v>656</v>
      </c>
      <c r="K908" t="s">
        <v>2924</v>
      </c>
      <c r="L908" s="5" t="s">
        <v>736</v>
      </c>
      <c r="N908" s="5" t="s">
        <v>3053</v>
      </c>
      <c r="O908" s="5" t="s">
        <v>2467</v>
      </c>
      <c r="P908" s="5" t="s">
        <v>85</v>
      </c>
      <c r="Q908" s="5" t="s">
        <v>86</v>
      </c>
      <c r="R908" s="5" t="s">
        <v>85</v>
      </c>
      <c r="T908" s="390">
        <v>4</v>
      </c>
      <c r="U908" s="5" t="s">
        <v>97</v>
      </c>
      <c r="W908" s="5" t="s">
        <v>2468</v>
      </c>
      <c r="X908" s="5" t="s">
        <v>102</v>
      </c>
      <c r="AA908" s="5" t="s">
        <v>85</v>
      </c>
      <c r="AB908" s="5" t="s">
        <v>2469</v>
      </c>
      <c r="AC908" s="5" t="s">
        <v>2470</v>
      </c>
      <c r="AD908" s="5" t="s">
        <v>86</v>
      </c>
      <c r="AF908" s="5">
        <v>1</v>
      </c>
      <c r="AG908" s="5">
        <v>500</v>
      </c>
      <c r="AH908" s="5" t="s">
        <v>85</v>
      </c>
      <c r="AI908" s="5" t="s">
        <v>2471</v>
      </c>
      <c r="AJ908" s="5">
        <v>1</v>
      </c>
      <c r="AK908" s="5">
        <v>11</v>
      </c>
      <c r="AL908" s="5">
        <v>6</v>
      </c>
      <c r="AM908" s="5">
        <v>5</v>
      </c>
      <c r="AN908" s="5">
        <v>0</v>
      </c>
      <c r="AO908" s="5">
        <v>1</v>
      </c>
      <c r="AP908" s="5">
        <v>0</v>
      </c>
      <c r="AQ908" s="5">
        <v>0</v>
      </c>
      <c r="AT908" s="5">
        <v>0</v>
      </c>
      <c r="AU908" s="5">
        <v>0</v>
      </c>
      <c r="AX908" s="5">
        <v>0</v>
      </c>
      <c r="AY908" s="5" t="s">
        <v>86</v>
      </c>
      <c r="BN908" s="5" t="s">
        <v>85</v>
      </c>
      <c r="BO908" s="5">
        <v>4</v>
      </c>
      <c r="BP908" s="5">
        <v>20</v>
      </c>
      <c r="BQ908" s="5">
        <v>11</v>
      </c>
      <c r="BR908" s="5">
        <v>9</v>
      </c>
      <c r="BS908" s="5" t="s">
        <v>2492</v>
      </c>
      <c r="BT908" s="5">
        <v>4</v>
      </c>
      <c r="BU908" s="5">
        <v>0</v>
      </c>
      <c r="BV908" s="5">
        <v>0</v>
      </c>
      <c r="BW908" s="5">
        <v>0</v>
      </c>
      <c r="BX908" s="5">
        <v>0</v>
      </c>
      <c r="BZ908" s="5">
        <v>0</v>
      </c>
      <c r="CA908" s="5">
        <v>0</v>
      </c>
      <c r="CC908" s="5">
        <v>0</v>
      </c>
      <c r="CD908" s="5">
        <v>0</v>
      </c>
      <c r="CF908" s="1442" t="str">
        <f>IF([1]!sommaire[[#This Row],[présence des personnes déplacés interne]]="Oui","1","0")</f>
        <v>1</v>
      </c>
      <c r="CG908" s="1442" t="str">
        <f>IF([1]!sommaire[[#This Row],[présence Réfugié hors camp]]="Oui","1","0")</f>
        <v>0</v>
      </c>
      <c r="CH908" s="1442" t="str">
        <f>IF([1]!sommaire[[#This Row],[présence personnes retournées]]="Oui","1","0")</f>
        <v>1</v>
      </c>
      <c r="CI908" s="1442">
        <f>[1]!sommaire[[#This Row],[Flag PDI]]+[1]!sommaire[[#This Row],[Flag REF]]+[1]!sommaire[[#This Row],[Flag RET]]</f>
        <v>2</v>
      </c>
    </row>
    <row r="909" spans="1:87" ht="14.55" customHeight="1" x14ac:dyDescent="0.3">
      <c r="A909" s="390">
        <v>2607969</v>
      </c>
      <c r="B909" s="5" t="s">
        <v>533</v>
      </c>
      <c r="C909" s="1430" t="s">
        <v>3449</v>
      </c>
      <c r="D909" s="1090" t="s">
        <v>534</v>
      </c>
      <c r="E909" s="5" t="s">
        <v>33</v>
      </c>
      <c r="F909" s="5" t="s">
        <v>33</v>
      </c>
      <c r="G909" s="5" t="s">
        <v>561</v>
      </c>
      <c r="H909" s="5" t="s">
        <v>185</v>
      </c>
      <c r="I909" s="5" t="str">
        <f>_xlfn.XLOOKUP(sommaire[[#This Row],[Arrondissement_code]],OCHA_GIS!$F:$F,OCHA_GIS!$E:$E,,)</f>
        <v>Moulvoudaye</v>
      </c>
      <c r="J909" s="5" t="s">
        <v>656</v>
      </c>
      <c r="K909" t="s">
        <v>1274</v>
      </c>
      <c r="L909" s="5" t="s">
        <v>1275</v>
      </c>
      <c r="N909" s="5" t="s">
        <v>3053</v>
      </c>
      <c r="O909" s="5" t="s">
        <v>2467</v>
      </c>
      <c r="P909" s="5" t="s">
        <v>85</v>
      </c>
      <c r="Q909" s="5" t="s">
        <v>86</v>
      </c>
      <c r="R909" s="5" t="s">
        <v>85</v>
      </c>
      <c r="T909" s="390">
        <v>4</v>
      </c>
      <c r="U909" s="5" t="s">
        <v>97</v>
      </c>
      <c r="W909" s="5" t="s">
        <v>2468</v>
      </c>
      <c r="X909" s="5" t="s">
        <v>102</v>
      </c>
      <c r="AA909" s="5" t="s">
        <v>86</v>
      </c>
      <c r="AH909" s="1430" t="s">
        <v>86</v>
      </c>
      <c r="AY909" s="1430" t="s">
        <v>86</v>
      </c>
      <c r="BN909" s="1430" t="s">
        <v>86</v>
      </c>
      <c r="CF909" s="1442" t="str">
        <f>IF([1]!sommaire[[#This Row],[présence des personnes déplacés interne]]="Oui","1","0")</f>
        <v>0</v>
      </c>
      <c r="CG909" s="1442" t="str">
        <f>IF([1]!sommaire[[#This Row],[présence Réfugié hors camp]]="Oui","1","0")</f>
        <v>0</v>
      </c>
      <c r="CH909" s="1442" t="str">
        <f>IF([1]!sommaire[[#This Row],[présence personnes retournées]]="Oui","1","0")</f>
        <v>0</v>
      </c>
      <c r="CI909" s="1442">
        <f>[1]!sommaire[[#This Row],[Flag PDI]]+[1]!sommaire[[#This Row],[Flag REF]]+[1]!sommaire[[#This Row],[Flag RET]]</f>
        <v>0</v>
      </c>
    </row>
    <row r="910" spans="1:87" ht="14.55" customHeight="1" x14ac:dyDescent="0.3">
      <c r="A910" s="390">
        <v>2607966</v>
      </c>
      <c r="B910" s="5" t="s">
        <v>533</v>
      </c>
      <c r="C910" s="1430" t="s">
        <v>3449</v>
      </c>
      <c r="D910" s="1090" t="s">
        <v>534</v>
      </c>
      <c r="E910" s="5" t="s">
        <v>33</v>
      </c>
      <c r="F910" s="5" t="s">
        <v>33</v>
      </c>
      <c r="G910" s="5" t="s">
        <v>561</v>
      </c>
      <c r="H910" s="5" t="s">
        <v>185</v>
      </c>
      <c r="I910" s="5" t="str">
        <f>_xlfn.XLOOKUP(sommaire[[#This Row],[Arrondissement_code]],OCHA_GIS!$F:$F,OCHA_GIS!$E:$E,,)</f>
        <v>Moulvoudaye</v>
      </c>
      <c r="J910" s="5" t="s">
        <v>656</v>
      </c>
      <c r="K910" t="s">
        <v>739</v>
      </c>
      <c r="L910" s="5" t="s">
        <v>740</v>
      </c>
      <c r="N910" s="5" t="s">
        <v>3053</v>
      </c>
      <c r="O910" s="5" t="s">
        <v>2467</v>
      </c>
      <c r="P910" s="5" t="s">
        <v>85</v>
      </c>
      <c r="Q910" s="5" t="s">
        <v>86</v>
      </c>
      <c r="R910" s="5" t="s">
        <v>85</v>
      </c>
      <c r="T910" s="390">
        <v>3</v>
      </c>
      <c r="U910" s="5" t="s">
        <v>97</v>
      </c>
      <c r="W910" s="5" t="s">
        <v>2468</v>
      </c>
      <c r="X910" s="5" t="s">
        <v>102</v>
      </c>
      <c r="AA910" s="5" t="s">
        <v>86</v>
      </c>
      <c r="AD910" s="1090"/>
      <c r="AH910" s="1430" t="s">
        <v>86</v>
      </c>
      <c r="AY910" s="1430" t="s">
        <v>86</v>
      </c>
      <c r="BN910" s="1430" t="s">
        <v>86</v>
      </c>
      <c r="CF910" s="1442" t="str">
        <f>IF([1]!sommaire[[#This Row],[présence des personnes déplacés interne]]="Oui","1","0")</f>
        <v>0</v>
      </c>
      <c r="CG910" s="1442" t="str">
        <f>IF([1]!sommaire[[#This Row],[présence Réfugié hors camp]]="Oui","1","0")</f>
        <v>0</v>
      </c>
      <c r="CH910" s="1442" t="str">
        <f>IF([1]!sommaire[[#This Row],[présence personnes retournées]]="Oui","1","0")</f>
        <v>0</v>
      </c>
      <c r="CI910" s="1442">
        <f>[1]!sommaire[[#This Row],[Flag PDI]]+[1]!sommaire[[#This Row],[Flag REF]]+[1]!sommaire[[#This Row],[Flag RET]]</f>
        <v>0</v>
      </c>
    </row>
    <row r="911" spans="1:87" ht="14.55" customHeight="1" x14ac:dyDescent="0.3">
      <c r="A911" s="390">
        <v>2607961</v>
      </c>
      <c r="B911" s="5" t="s">
        <v>533</v>
      </c>
      <c r="C911" s="1430" t="s">
        <v>3449</v>
      </c>
      <c r="D911" s="1090" t="s">
        <v>534</v>
      </c>
      <c r="E911" s="5" t="s">
        <v>33</v>
      </c>
      <c r="F911" s="5" t="s">
        <v>33</v>
      </c>
      <c r="G911" s="5" t="s">
        <v>561</v>
      </c>
      <c r="H911" s="5" t="s">
        <v>185</v>
      </c>
      <c r="I911" s="5" t="str">
        <f>_xlfn.XLOOKUP(sommaire[[#This Row],[Arrondissement_code]],OCHA_GIS!$F:$F,OCHA_GIS!$E:$E,,)</f>
        <v>Moulvoudaye</v>
      </c>
      <c r="J911" s="5" t="s">
        <v>656</v>
      </c>
      <c r="K911" t="s">
        <v>2652</v>
      </c>
      <c r="L911" s="5" t="s">
        <v>2653</v>
      </c>
      <c r="N911" s="5" t="s">
        <v>3053</v>
      </c>
      <c r="O911" s="5" t="s">
        <v>2467</v>
      </c>
      <c r="P911" s="5" t="s">
        <v>85</v>
      </c>
      <c r="Q911" s="5" t="s">
        <v>86</v>
      </c>
      <c r="R911" s="5" t="s">
        <v>85</v>
      </c>
      <c r="T911" s="390">
        <v>3</v>
      </c>
      <c r="U911" s="5" t="s">
        <v>97</v>
      </c>
      <c r="V911" s="1090"/>
      <c r="W911" s="5" t="s">
        <v>2468</v>
      </c>
      <c r="X911" s="5" t="s">
        <v>102</v>
      </c>
      <c r="AA911" s="5" t="s">
        <v>86</v>
      </c>
      <c r="AH911" s="1430" t="s">
        <v>86</v>
      </c>
      <c r="AY911" s="1430" t="s">
        <v>86</v>
      </c>
      <c r="BN911" s="1430" t="s">
        <v>86</v>
      </c>
      <c r="CF911" s="1442" t="str">
        <f>IF([1]!sommaire[[#This Row],[présence des personnes déplacés interne]]="Oui","1","0")</f>
        <v>0</v>
      </c>
      <c r="CG911" s="1442" t="str">
        <f>IF([1]!sommaire[[#This Row],[présence Réfugié hors camp]]="Oui","1","0")</f>
        <v>0</v>
      </c>
      <c r="CH911" s="1442" t="str">
        <f>IF([1]!sommaire[[#This Row],[présence personnes retournées]]="Oui","1","0")</f>
        <v>0</v>
      </c>
      <c r="CI911" s="1442">
        <f>[1]!sommaire[[#This Row],[Flag PDI]]+[1]!sommaire[[#This Row],[Flag REF]]+[1]!sommaire[[#This Row],[Flag RET]]</f>
        <v>0</v>
      </c>
    </row>
    <row r="912" spans="1:87" ht="14.55" customHeight="1" x14ac:dyDescent="0.3">
      <c r="A912" s="390">
        <v>2684819</v>
      </c>
      <c r="B912" s="5" t="s">
        <v>533</v>
      </c>
      <c r="C912" s="1430" t="s">
        <v>3449</v>
      </c>
      <c r="D912" s="1090" t="s">
        <v>534</v>
      </c>
      <c r="E912" s="5" t="s">
        <v>33</v>
      </c>
      <c r="F912" s="5" t="s">
        <v>33</v>
      </c>
      <c r="G912" s="5" t="s">
        <v>561</v>
      </c>
      <c r="H912" s="5" t="s">
        <v>185</v>
      </c>
      <c r="I912" s="5" t="str">
        <f>_xlfn.XLOOKUP(sommaire[[#This Row],[Arrondissement_code]],OCHA_GIS!$F:$F,OCHA_GIS!$E:$E,,)</f>
        <v>Moulvoudaye</v>
      </c>
      <c r="J912" s="5" t="s">
        <v>656</v>
      </c>
      <c r="K912" t="s">
        <v>2654</v>
      </c>
      <c r="L912" s="5" t="s">
        <v>2655</v>
      </c>
      <c r="N912" s="5" t="s">
        <v>3053</v>
      </c>
      <c r="O912" s="5" t="s">
        <v>2467</v>
      </c>
      <c r="P912" s="5" t="s">
        <v>85</v>
      </c>
      <c r="Q912" s="5" t="s">
        <v>86</v>
      </c>
      <c r="R912" s="5" t="s">
        <v>85</v>
      </c>
      <c r="T912" s="390">
        <v>4</v>
      </c>
      <c r="U912" s="5" t="s">
        <v>97</v>
      </c>
      <c r="W912" s="5" t="s">
        <v>2468</v>
      </c>
      <c r="X912" s="5" t="s">
        <v>102</v>
      </c>
      <c r="AA912" s="5" t="s">
        <v>86</v>
      </c>
      <c r="AH912" s="1430" t="s">
        <v>86</v>
      </c>
      <c r="AY912" s="1430" t="s">
        <v>86</v>
      </c>
      <c r="BN912" s="1430" t="s">
        <v>86</v>
      </c>
      <c r="CF912" s="1442" t="str">
        <f>IF([1]!sommaire[[#This Row],[présence des personnes déplacés interne]]="Oui","1","0")</f>
        <v>0</v>
      </c>
      <c r="CG912" s="1442" t="str">
        <f>IF([1]!sommaire[[#This Row],[présence Réfugié hors camp]]="Oui","1","0")</f>
        <v>0</v>
      </c>
      <c r="CH912" s="1442" t="str">
        <f>IF([1]!sommaire[[#This Row],[présence personnes retournées]]="Oui","1","0")</f>
        <v>0</v>
      </c>
      <c r="CI912" s="1442">
        <f>[1]!sommaire[[#This Row],[Flag PDI]]+[1]!sommaire[[#This Row],[Flag REF]]+[1]!sommaire[[#This Row],[Flag RET]]</f>
        <v>0</v>
      </c>
    </row>
    <row r="913" spans="1:87" ht="14.55" customHeight="1" x14ac:dyDescent="0.3">
      <c r="A913" s="390">
        <v>2657741</v>
      </c>
      <c r="B913" s="5" t="s">
        <v>533</v>
      </c>
      <c r="C913" s="1430" t="s">
        <v>3449</v>
      </c>
      <c r="D913" s="5" t="s">
        <v>534</v>
      </c>
      <c r="E913" s="5" t="s">
        <v>33</v>
      </c>
      <c r="F913" s="5" t="s">
        <v>33</v>
      </c>
      <c r="G913" s="5" t="s">
        <v>561</v>
      </c>
      <c r="H913" s="5" t="s">
        <v>185</v>
      </c>
      <c r="I913" s="5" t="str">
        <f>_xlfn.XLOOKUP(sommaire[[#This Row],[Arrondissement_code]],OCHA_GIS!$F:$F,OCHA_GIS!$E:$E,,)</f>
        <v>Moulvoudaye</v>
      </c>
      <c r="J913" s="5" t="s">
        <v>656</v>
      </c>
      <c r="K913" t="s">
        <v>657</v>
      </c>
      <c r="L913" s="5" t="s">
        <v>658</v>
      </c>
      <c r="N913" s="5" t="s">
        <v>3053</v>
      </c>
      <c r="O913" s="5" t="s">
        <v>2473</v>
      </c>
      <c r="P913" s="5" t="s">
        <v>85</v>
      </c>
      <c r="Q913" s="5" t="s">
        <v>86</v>
      </c>
      <c r="R913" s="5" t="s">
        <v>85</v>
      </c>
      <c r="T913" s="1190">
        <v>4</v>
      </c>
      <c r="U913" s="5" t="s">
        <v>97</v>
      </c>
      <c r="W913" s="5" t="s">
        <v>2468</v>
      </c>
      <c r="X913" s="5" t="s">
        <v>102</v>
      </c>
      <c r="AA913" s="5" t="s">
        <v>85</v>
      </c>
      <c r="AB913" s="5" t="s">
        <v>2473</v>
      </c>
      <c r="AC913" s="5" t="s">
        <v>2470</v>
      </c>
      <c r="AF913" s="5">
        <v>94</v>
      </c>
      <c r="AG913" s="5">
        <v>3000</v>
      </c>
      <c r="AH913" s="5" t="s">
        <v>85</v>
      </c>
      <c r="AI913" s="5" t="s">
        <v>2471</v>
      </c>
      <c r="AJ913" s="5">
        <v>94</v>
      </c>
      <c r="AK913" s="5">
        <v>2328</v>
      </c>
      <c r="AL913" s="5">
        <v>1000</v>
      </c>
      <c r="AM913" s="5">
        <v>1328</v>
      </c>
      <c r="AN913" s="5">
        <v>0</v>
      </c>
      <c r="AO913" s="5">
        <v>0</v>
      </c>
      <c r="AP913" s="5">
        <v>0</v>
      </c>
      <c r="AQ913" s="5">
        <v>0</v>
      </c>
      <c r="AT913" s="5">
        <v>0</v>
      </c>
      <c r="AU913" s="5">
        <v>94</v>
      </c>
      <c r="AV913" s="5" t="s">
        <v>2490</v>
      </c>
      <c r="AX913" s="5">
        <v>0</v>
      </c>
      <c r="AY913" s="5" t="s">
        <v>86</v>
      </c>
      <c r="BN913" s="5" t="s">
        <v>86</v>
      </c>
      <c r="CD913" s="5">
        <v>0</v>
      </c>
      <c r="CF913" s="1442" t="str">
        <f>IF([1]!sommaire[[#This Row],[présence des personnes déplacés interne]]="Oui","1","0")</f>
        <v>1</v>
      </c>
      <c r="CG913" s="1442" t="str">
        <f>IF([1]!sommaire[[#This Row],[présence Réfugié hors camp]]="Oui","1","0")</f>
        <v>0</v>
      </c>
      <c r="CH913" s="1442" t="str">
        <f>IF([1]!sommaire[[#This Row],[présence personnes retournées]]="Oui","1","0")</f>
        <v>0</v>
      </c>
      <c r="CI913" s="1442">
        <f>[1]!sommaire[[#This Row],[Flag PDI]]+[1]!sommaire[[#This Row],[Flag REF]]+[1]!sommaire[[#This Row],[Flag RET]]</f>
        <v>1</v>
      </c>
    </row>
    <row r="914" spans="1:87" ht="14.55" customHeight="1" x14ac:dyDescent="0.3">
      <c r="A914" s="390">
        <v>2607972</v>
      </c>
      <c r="B914" s="5" t="s">
        <v>533</v>
      </c>
      <c r="C914" s="1430" t="s">
        <v>3449</v>
      </c>
      <c r="D914" s="5" t="s">
        <v>534</v>
      </c>
      <c r="E914" s="5" t="s">
        <v>33</v>
      </c>
      <c r="F914" s="5" t="s">
        <v>33</v>
      </c>
      <c r="G914" s="5" t="s">
        <v>561</v>
      </c>
      <c r="H914" s="5" t="s">
        <v>185</v>
      </c>
      <c r="I914" s="5" t="str">
        <f>_xlfn.XLOOKUP(sommaire[[#This Row],[Arrondissement_code]],OCHA_GIS!$F:$F,OCHA_GIS!$E:$E,,)</f>
        <v>Moulvoudaye</v>
      </c>
      <c r="J914" s="5" t="s">
        <v>656</v>
      </c>
      <c r="K914" t="s">
        <v>2368</v>
      </c>
      <c r="L914" s="5" t="s">
        <v>2369</v>
      </c>
      <c r="N914" s="5" t="s">
        <v>3053</v>
      </c>
      <c r="O914" s="5" t="s">
        <v>2467</v>
      </c>
      <c r="P914" s="5" t="s">
        <v>85</v>
      </c>
      <c r="Q914" s="5" t="s">
        <v>86</v>
      </c>
      <c r="R914" s="5" t="s">
        <v>85</v>
      </c>
      <c r="T914" s="390">
        <v>4</v>
      </c>
      <c r="U914" s="5" t="s">
        <v>97</v>
      </c>
      <c r="W914" s="5" t="s">
        <v>2468</v>
      </c>
      <c r="X914" s="5" t="s">
        <v>102</v>
      </c>
      <c r="AA914" s="5" t="s">
        <v>86</v>
      </c>
      <c r="AH914" s="1430" t="s">
        <v>86</v>
      </c>
      <c r="AY914" s="1430" t="s">
        <v>86</v>
      </c>
      <c r="BN914" s="1430" t="s">
        <v>86</v>
      </c>
      <c r="CF914" s="1442" t="str">
        <f>IF([1]!sommaire[[#This Row],[présence des personnes déplacés interne]]="Oui","1","0")</f>
        <v>0</v>
      </c>
      <c r="CG914" s="1442" t="str">
        <f>IF([1]!sommaire[[#This Row],[présence Réfugié hors camp]]="Oui","1","0")</f>
        <v>0</v>
      </c>
      <c r="CH914" s="1442" t="str">
        <f>IF([1]!sommaire[[#This Row],[présence personnes retournées]]="Oui","1","0")</f>
        <v>0</v>
      </c>
      <c r="CI914" s="1442">
        <f>[1]!sommaire[[#This Row],[Flag PDI]]+[1]!sommaire[[#This Row],[Flag REF]]+[1]!sommaire[[#This Row],[Flag RET]]</f>
        <v>0</v>
      </c>
    </row>
    <row r="915" spans="1:87" ht="14.55" customHeight="1" x14ac:dyDescent="0.3">
      <c r="A915" s="390">
        <v>2607968</v>
      </c>
      <c r="B915" s="5" t="s">
        <v>533</v>
      </c>
      <c r="C915" s="1430" t="s">
        <v>3449</v>
      </c>
      <c r="D915" s="5" t="s">
        <v>534</v>
      </c>
      <c r="E915" s="5" t="s">
        <v>33</v>
      </c>
      <c r="F915" s="5" t="s">
        <v>33</v>
      </c>
      <c r="G915" s="5" t="s">
        <v>561</v>
      </c>
      <c r="H915" s="5" t="s">
        <v>185</v>
      </c>
      <c r="I915" s="5" t="str">
        <f>_xlfn.XLOOKUP(sommaire[[#This Row],[Arrondissement_code]],OCHA_GIS!$F:$F,OCHA_GIS!$E:$E,,)</f>
        <v>Moulvoudaye</v>
      </c>
      <c r="J915" s="5" t="s">
        <v>656</v>
      </c>
      <c r="K915" t="s">
        <v>746</v>
      </c>
      <c r="L915" s="5" t="s">
        <v>747</v>
      </c>
      <c r="N915" s="5" t="s">
        <v>3053</v>
      </c>
      <c r="O915" s="5" t="s">
        <v>2467</v>
      </c>
      <c r="P915" s="5" t="s">
        <v>85</v>
      </c>
      <c r="Q915" s="5" t="s">
        <v>86</v>
      </c>
      <c r="R915" s="5" t="s">
        <v>85</v>
      </c>
      <c r="T915" s="390">
        <v>4</v>
      </c>
      <c r="U915" s="5" t="s">
        <v>97</v>
      </c>
      <c r="W915" s="5" t="s">
        <v>2468</v>
      </c>
      <c r="X915" s="5" t="s">
        <v>102</v>
      </c>
      <c r="AA915" s="5" t="s">
        <v>85</v>
      </c>
      <c r="AB915" s="5" t="s">
        <v>2473</v>
      </c>
      <c r="AC915" s="5" t="s">
        <v>2470</v>
      </c>
      <c r="AD915" s="5" t="s">
        <v>86</v>
      </c>
      <c r="AF915" s="5">
        <v>17</v>
      </c>
      <c r="AG915" s="5">
        <v>285</v>
      </c>
      <c r="AH915" s="5" t="s">
        <v>85</v>
      </c>
      <c r="AI915" s="5" t="s">
        <v>2471</v>
      </c>
      <c r="AJ915" s="5">
        <v>17</v>
      </c>
      <c r="AK915" s="5">
        <v>240</v>
      </c>
      <c r="AL915" s="5">
        <v>152</v>
      </c>
      <c r="AM915" s="5">
        <v>88</v>
      </c>
      <c r="AN915" s="5">
        <v>17</v>
      </c>
      <c r="AO915" s="5">
        <v>0</v>
      </c>
      <c r="AP915" s="5">
        <v>0</v>
      </c>
      <c r="AQ915" s="5">
        <v>0</v>
      </c>
      <c r="AT915" s="5">
        <v>0</v>
      </c>
      <c r="AU915" s="5">
        <v>0</v>
      </c>
      <c r="AX915" s="5">
        <v>0</v>
      </c>
      <c r="AY915" s="5" t="s">
        <v>86</v>
      </c>
      <c r="BN915" s="5" t="s">
        <v>86</v>
      </c>
      <c r="CD915" s="5">
        <v>0</v>
      </c>
      <c r="CF915" s="1442" t="str">
        <f>IF([1]!sommaire[[#This Row],[présence des personnes déplacés interne]]="Oui","1","0")</f>
        <v>1</v>
      </c>
      <c r="CG915" s="1442" t="str">
        <f>IF([1]!sommaire[[#This Row],[présence Réfugié hors camp]]="Oui","1","0")</f>
        <v>0</v>
      </c>
      <c r="CH915" s="1442" t="str">
        <f>IF([1]!sommaire[[#This Row],[présence personnes retournées]]="Oui","1","0")</f>
        <v>0</v>
      </c>
      <c r="CI915" s="1442">
        <f>[1]!sommaire[[#This Row],[Flag PDI]]+[1]!sommaire[[#This Row],[Flag REF]]+[1]!sommaire[[#This Row],[Flag RET]]</f>
        <v>1</v>
      </c>
    </row>
    <row r="916" spans="1:87" ht="14.55" customHeight="1" x14ac:dyDescent="0.3">
      <c r="A916" s="390">
        <v>2607967</v>
      </c>
      <c r="B916" s="5" t="s">
        <v>533</v>
      </c>
      <c r="C916" s="1430" t="s">
        <v>3449</v>
      </c>
      <c r="D916" s="5" t="s">
        <v>534</v>
      </c>
      <c r="E916" s="5" t="s">
        <v>33</v>
      </c>
      <c r="F916" s="5" t="s">
        <v>33</v>
      </c>
      <c r="G916" s="5" t="s">
        <v>561</v>
      </c>
      <c r="H916" s="5" t="s">
        <v>185</v>
      </c>
      <c r="I916" s="5" t="str">
        <f>_xlfn.XLOOKUP(sommaire[[#This Row],[Arrondissement_code]],OCHA_GIS!$F:$F,OCHA_GIS!$E:$E,,)</f>
        <v>Moulvoudaye</v>
      </c>
      <c r="J916" s="5" t="s">
        <v>656</v>
      </c>
      <c r="K916" t="s">
        <v>837</v>
      </c>
      <c r="L916" s="5" t="s">
        <v>838</v>
      </c>
      <c r="N916" s="5" t="s">
        <v>3053</v>
      </c>
      <c r="O916" s="5" t="s">
        <v>2467</v>
      </c>
      <c r="P916" s="5" t="s">
        <v>85</v>
      </c>
      <c r="Q916" s="5" t="s">
        <v>86</v>
      </c>
      <c r="R916" s="5" t="s">
        <v>85</v>
      </c>
      <c r="T916" s="390">
        <v>3</v>
      </c>
      <c r="U916" s="5" t="s">
        <v>97</v>
      </c>
      <c r="W916" s="5" t="s">
        <v>2468</v>
      </c>
      <c r="X916" s="5" t="s">
        <v>102</v>
      </c>
      <c r="AA916" s="5" t="s">
        <v>85</v>
      </c>
      <c r="AB916" s="5" t="s">
        <v>2473</v>
      </c>
      <c r="AC916" s="5" t="s">
        <v>2470</v>
      </c>
      <c r="AD916" s="5" t="s">
        <v>86</v>
      </c>
      <c r="AF916" s="5">
        <v>23</v>
      </c>
      <c r="AG916" s="5">
        <v>173</v>
      </c>
      <c r="AH916" s="5" t="s">
        <v>85</v>
      </c>
      <c r="AI916" s="5" t="s">
        <v>2471</v>
      </c>
      <c r="AJ916" s="5">
        <v>23</v>
      </c>
      <c r="AK916" s="5">
        <v>173</v>
      </c>
      <c r="AL916" s="5">
        <v>78</v>
      </c>
      <c r="AM916" s="5">
        <v>95</v>
      </c>
      <c r="AN916" s="5">
        <v>23</v>
      </c>
      <c r="AO916" s="5">
        <v>0</v>
      </c>
      <c r="AP916" s="5">
        <v>0</v>
      </c>
      <c r="AQ916" s="5">
        <v>0</v>
      </c>
      <c r="AT916" s="5">
        <v>0</v>
      </c>
      <c r="AU916" s="5">
        <v>0</v>
      </c>
      <c r="AX916" s="5">
        <v>0</v>
      </c>
      <c r="AY916" s="5" t="s">
        <v>86</v>
      </c>
      <c r="BN916" s="5" t="s">
        <v>86</v>
      </c>
      <c r="CD916" s="5">
        <v>0</v>
      </c>
      <c r="CF916" s="1442" t="str">
        <f>IF([1]!sommaire[[#This Row],[présence des personnes déplacés interne]]="Oui","1","0")</f>
        <v>1</v>
      </c>
      <c r="CG916" s="1442" t="str">
        <f>IF([1]!sommaire[[#This Row],[présence Réfugié hors camp]]="Oui","1","0")</f>
        <v>0</v>
      </c>
      <c r="CH916" s="1442" t="str">
        <f>IF([1]!sommaire[[#This Row],[présence personnes retournées]]="Oui","1","0")</f>
        <v>0</v>
      </c>
      <c r="CI916" s="1442">
        <f>[1]!sommaire[[#This Row],[Flag PDI]]+[1]!sommaire[[#This Row],[Flag REF]]+[1]!sommaire[[#This Row],[Flag RET]]</f>
        <v>1</v>
      </c>
    </row>
    <row r="917" spans="1:87" ht="14.55" customHeight="1" x14ac:dyDescent="0.3">
      <c r="A917" s="390">
        <v>2603658</v>
      </c>
      <c r="B917" s="5" t="s">
        <v>533</v>
      </c>
      <c r="C917" s="1430" t="s">
        <v>3449</v>
      </c>
      <c r="D917" s="1090" t="s">
        <v>534</v>
      </c>
      <c r="E917" s="5" t="s">
        <v>33</v>
      </c>
      <c r="F917" s="5" t="s">
        <v>33</v>
      </c>
      <c r="G917" s="5" t="s">
        <v>561</v>
      </c>
      <c r="H917" s="5" t="s">
        <v>186</v>
      </c>
      <c r="I917" s="5" t="str">
        <f>_xlfn.XLOOKUP(sommaire[[#This Row],[Arrondissement_code]],OCHA_GIS!$F:$F,OCHA_GIS!$E:$E,,)</f>
        <v>Moutourwa</v>
      </c>
      <c r="J917" s="5" t="s">
        <v>682</v>
      </c>
      <c r="K917" t="s">
        <v>711</v>
      </c>
      <c r="L917" s="5" t="s">
        <v>712</v>
      </c>
      <c r="N917" s="5" t="s">
        <v>3053</v>
      </c>
      <c r="O917" s="5" t="s">
        <v>2467</v>
      </c>
      <c r="P917" s="5" t="s">
        <v>85</v>
      </c>
      <c r="Q917" s="5" t="s">
        <v>86</v>
      </c>
      <c r="R917" s="5" t="s">
        <v>85</v>
      </c>
      <c r="T917" s="390">
        <v>4</v>
      </c>
      <c r="U917" s="5" t="s">
        <v>97</v>
      </c>
      <c r="W917" s="5" t="s">
        <v>2468</v>
      </c>
      <c r="X917" s="5" t="s">
        <v>102</v>
      </c>
      <c r="AA917" s="5" t="s">
        <v>85</v>
      </c>
      <c r="AB917" s="5" t="s">
        <v>2469</v>
      </c>
      <c r="AC917" s="5" t="s">
        <v>2470</v>
      </c>
      <c r="AD917" s="5" t="s">
        <v>86</v>
      </c>
      <c r="AF917" s="5">
        <v>3</v>
      </c>
      <c r="AG917" s="5">
        <v>1700</v>
      </c>
      <c r="AH917" s="5" t="s">
        <v>85</v>
      </c>
      <c r="AI917" s="5" t="s">
        <v>2471</v>
      </c>
      <c r="AJ917" s="5">
        <v>3</v>
      </c>
      <c r="AK917" s="5">
        <v>18</v>
      </c>
      <c r="AL917" s="5">
        <v>9</v>
      </c>
      <c r="AM917" s="5">
        <v>9</v>
      </c>
      <c r="AN917" s="5">
        <v>1</v>
      </c>
      <c r="AO917" s="5">
        <v>2</v>
      </c>
      <c r="AP917" s="5">
        <v>0</v>
      </c>
      <c r="AQ917" s="5">
        <v>0</v>
      </c>
      <c r="AT917" s="5">
        <v>0</v>
      </c>
      <c r="AU917" s="5">
        <v>0</v>
      </c>
      <c r="AX917" s="5">
        <v>0</v>
      </c>
      <c r="AY917" s="5" t="s">
        <v>86</v>
      </c>
      <c r="BN917" s="5" t="s">
        <v>86</v>
      </c>
      <c r="CD917" s="5">
        <v>3</v>
      </c>
      <c r="CF917" s="1442" t="str">
        <f>IF([1]!sommaire[[#This Row],[présence des personnes déplacés interne]]="Oui","1","0")</f>
        <v>1</v>
      </c>
      <c r="CG917" s="1442" t="str">
        <f>IF([1]!sommaire[[#This Row],[présence Réfugié hors camp]]="Oui","1","0")</f>
        <v>0</v>
      </c>
      <c r="CH917" s="1442" t="str">
        <f>IF([1]!sommaire[[#This Row],[présence personnes retournées]]="Oui","1","0")</f>
        <v>0</v>
      </c>
      <c r="CI917" s="1442">
        <f>[1]!sommaire[[#This Row],[Flag PDI]]+[1]!sommaire[[#This Row],[Flag REF]]+[1]!sommaire[[#This Row],[Flag RET]]</f>
        <v>1</v>
      </c>
    </row>
    <row r="918" spans="1:87" ht="14.55" customHeight="1" x14ac:dyDescent="0.3">
      <c r="A918" s="390">
        <v>2603649</v>
      </c>
      <c r="B918" s="5" t="s">
        <v>533</v>
      </c>
      <c r="C918" s="1430" t="s">
        <v>3449</v>
      </c>
      <c r="D918" s="1090" t="s">
        <v>534</v>
      </c>
      <c r="E918" s="5" t="s">
        <v>33</v>
      </c>
      <c r="F918" s="5" t="s">
        <v>33</v>
      </c>
      <c r="G918" s="5" t="s">
        <v>561</v>
      </c>
      <c r="H918" s="5" t="s">
        <v>186</v>
      </c>
      <c r="I918" s="5" t="str">
        <f>_xlfn.XLOOKUP(sommaire[[#This Row],[Arrondissement_code]],OCHA_GIS!$F:$F,OCHA_GIS!$E:$E,,)</f>
        <v>Moutourwa</v>
      </c>
      <c r="J918" s="5" t="s">
        <v>682</v>
      </c>
      <c r="K918" t="s">
        <v>709</v>
      </c>
      <c r="L918" s="5" t="s">
        <v>710</v>
      </c>
      <c r="N918" s="5" t="s">
        <v>3053</v>
      </c>
      <c r="O918" s="5" t="s">
        <v>2467</v>
      </c>
      <c r="P918" s="5" t="s">
        <v>85</v>
      </c>
      <c r="Q918" s="5" t="s">
        <v>86</v>
      </c>
      <c r="R918" s="5" t="s">
        <v>85</v>
      </c>
      <c r="T918" s="390">
        <v>6</v>
      </c>
      <c r="U918" s="5" t="s">
        <v>97</v>
      </c>
      <c r="W918" s="5" t="s">
        <v>2468</v>
      </c>
      <c r="X918" s="5" t="s">
        <v>102</v>
      </c>
      <c r="AA918" s="5" t="s">
        <v>85</v>
      </c>
      <c r="AB918" s="5" t="s">
        <v>2469</v>
      </c>
      <c r="AC918" s="5" t="s">
        <v>2470</v>
      </c>
      <c r="AD918" s="5" t="s">
        <v>86</v>
      </c>
      <c r="AF918" s="5">
        <v>13</v>
      </c>
      <c r="AG918" s="5">
        <v>6950</v>
      </c>
      <c r="AH918" s="5" t="s">
        <v>85</v>
      </c>
      <c r="AI918" s="5" t="s">
        <v>2485</v>
      </c>
      <c r="AJ918" s="5">
        <v>13</v>
      </c>
      <c r="AK918" s="5">
        <v>67</v>
      </c>
      <c r="AL918" s="5">
        <v>31</v>
      </c>
      <c r="AM918" s="5">
        <v>36</v>
      </c>
      <c r="AN918" s="5">
        <v>3</v>
      </c>
      <c r="AO918" s="5">
        <v>6</v>
      </c>
      <c r="AP918" s="5">
        <v>4</v>
      </c>
      <c r="AQ918" s="5">
        <v>0</v>
      </c>
      <c r="AT918" s="5">
        <v>0</v>
      </c>
      <c r="AU918" s="5">
        <v>0</v>
      </c>
      <c r="AX918" s="5">
        <v>0</v>
      </c>
      <c r="AY918" s="5" t="s">
        <v>86</v>
      </c>
      <c r="BN918" s="5" t="s">
        <v>86</v>
      </c>
      <c r="CD918" s="5">
        <v>7</v>
      </c>
      <c r="CF918" s="1442" t="str">
        <f>IF([1]!sommaire[[#This Row],[présence des personnes déplacés interne]]="Oui","1","0")</f>
        <v>1</v>
      </c>
      <c r="CG918" s="1442" t="str">
        <f>IF([1]!sommaire[[#This Row],[présence Réfugié hors camp]]="Oui","1","0")</f>
        <v>0</v>
      </c>
      <c r="CH918" s="1442" t="str">
        <f>IF([1]!sommaire[[#This Row],[présence personnes retournées]]="Oui","1","0")</f>
        <v>0</v>
      </c>
      <c r="CI918" s="1442">
        <f>[1]!sommaire[[#This Row],[Flag PDI]]+[1]!sommaire[[#This Row],[Flag REF]]+[1]!sommaire[[#This Row],[Flag RET]]</f>
        <v>1</v>
      </c>
    </row>
    <row r="919" spans="1:87" ht="14.55" customHeight="1" x14ac:dyDescent="0.3">
      <c r="A919" s="390">
        <v>2603655</v>
      </c>
      <c r="B919" s="5" t="s">
        <v>533</v>
      </c>
      <c r="C919" s="1430" t="s">
        <v>3449</v>
      </c>
      <c r="D919" s="1090" t="s">
        <v>534</v>
      </c>
      <c r="E919" s="5" t="s">
        <v>33</v>
      </c>
      <c r="F919" s="5" t="s">
        <v>33</v>
      </c>
      <c r="G919" s="5" t="s">
        <v>561</v>
      </c>
      <c r="H919" s="5" t="s">
        <v>186</v>
      </c>
      <c r="I919" s="5" t="str">
        <f>_xlfn.XLOOKUP(sommaire[[#This Row],[Arrondissement_code]],OCHA_GIS!$F:$F,OCHA_GIS!$E:$E,,)</f>
        <v>Moutourwa</v>
      </c>
      <c r="J919" s="5" t="s">
        <v>682</v>
      </c>
      <c r="K919" t="s">
        <v>683</v>
      </c>
      <c r="L919" s="5" t="s">
        <v>684</v>
      </c>
      <c r="N919" s="5" t="s">
        <v>3053</v>
      </c>
      <c r="O919" s="5" t="s">
        <v>2467</v>
      </c>
      <c r="P919" s="5" t="s">
        <v>85</v>
      </c>
      <c r="Q919" s="5" t="s">
        <v>86</v>
      </c>
      <c r="R919" s="5" t="s">
        <v>85</v>
      </c>
      <c r="T919" s="390">
        <v>5</v>
      </c>
      <c r="U919" s="5" t="s">
        <v>97</v>
      </c>
      <c r="W919" s="5" t="s">
        <v>2468</v>
      </c>
      <c r="X919" s="5" t="s">
        <v>102</v>
      </c>
      <c r="AA919" s="5" t="s">
        <v>85</v>
      </c>
      <c r="AB919" s="5" t="s">
        <v>2469</v>
      </c>
      <c r="AC919" s="5" t="s">
        <v>2470</v>
      </c>
      <c r="AD919" s="5" t="s">
        <v>86</v>
      </c>
      <c r="AF919" s="5">
        <v>7</v>
      </c>
      <c r="AG919" s="5">
        <v>3000</v>
      </c>
      <c r="AH919" s="5" t="s">
        <v>85</v>
      </c>
      <c r="AI919" s="5" t="s">
        <v>2471</v>
      </c>
      <c r="AJ919" s="5">
        <v>7</v>
      </c>
      <c r="AK919" s="5">
        <v>47</v>
      </c>
      <c r="AL919" s="5">
        <v>26</v>
      </c>
      <c r="AM919" s="5">
        <v>21</v>
      </c>
      <c r="AN919" s="5">
        <v>0</v>
      </c>
      <c r="AO919" s="5">
        <v>4</v>
      </c>
      <c r="AP919" s="5">
        <v>3</v>
      </c>
      <c r="AQ919" s="5">
        <v>0</v>
      </c>
      <c r="AT919" s="5">
        <v>0</v>
      </c>
      <c r="AU919" s="5">
        <v>0</v>
      </c>
      <c r="AX919" s="5">
        <v>0</v>
      </c>
      <c r="AY919" s="5" t="s">
        <v>86</v>
      </c>
      <c r="BN919" s="5" t="s">
        <v>86</v>
      </c>
      <c r="CD919" s="5">
        <v>5</v>
      </c>
      <c r="CF919" s="1442" t="str">
        <f>IF([1]!sommaire[[#This Row],[présence des personnes déplacés interne]]="Oui","1","0")</f>
        <v>1</v>
      </c>
      <c r="CG919" s="1442" t="str">
        <f>IF([1]!sommaire[[#This Row],[présence Réfugié hors camp]]="Oui","1","0")</f>
        <v>0</v>
      </c>
      <c r="CH919" s="1442" t="str">
        <f>IF([1]!sommaire[[#This Row],[présence personnes retournées]]="Oui","1","0")</f>
        <v>0</v>
      </c>
      <c r="CI919" s="1442">
        <f>[1]!sommaire[[#This Row],[Flag PDI]]+[1]!sommaire[[#This Row],[Flag REF]]+[1]!sommaire[[#This Row],[Flag RET]]</f>
        <v>1</v>
      </c>
    </row>
    <row r="920" spans="1:87" ht="14.55" customHeight="1" x14ac:dyDescent="0.3">
      <c r="A920" s="390">
        <v>2603661</v>
      </c>
      <c r="B920" s="5" t="s">
        <v>533</v>
      </c>
      <c r="C920" s="1430" t="s">
        <v>3449</v>
      </c>
      <c r="D920" s="5" t="s">
        <v>534</v>
      </c>
      <c r="E920" s="5" t="s">
        <v>33</v>
      </c>
      <c r="F920" s="5" t="s">
        <v>33</v>
      </c>
      <c r="G920" s="5" t="s">
        <v>561</v>
      </c>
      <c r="H920" s="5" t="s">
        <v>186</v>
      </c>
      <c r="I920" s="5" t="str">
        <f>_xlfn.XLOOKUP(sommaire[[#This Row],[Arrondissement_code]],OCHA_GIS!$F:$F,OCHA_GIS!$E:$E,,)</f>
        <v>Moutourwa</v>
      </c>
      <c r="J920" s="5" t="s">
        <v>682</v>
      </c>
      <c r="K920" t="s">
        <v>685</v>
      </c>
      <c r="L920" s="5" t="s">
        <v>686</v>
      </c>
      <c r="N920" s="5" t="s">
        <v>3053</v>
      </c>
      <c r="O920" s="5" t="s">
        <v>2467</v>
      </c>
      <c r="P920" s="5" t="s">
        <v>85</v>
      </c>
      <c r="Q920" s="5" t="s">
        <v>86</v>
      </c>
      <c r="R920" s="5" t="s">
        <v>85</v>
      </c>
      <c r="T920" s="390">
        <v>3</v>
      </c>
      <c r="U920" s="5" t="s">
        <v>97</v>
      </c>
      <c r="W920" s="5" t="s">
        <v>2468</v>
      </c>
      <c r="X920" s="5" t="s">
        <v>102</v>
      </c>
      <c r="AA920" s="5" t="s">
        <v>85</v>
      </c>
      <c r="AB920" s="5" t="s">
        <v>2469</v>
      </c>
      <c r="AC920" s="5" t="s">
        <v>2470</v>
      </c>
      <c r="AD920" s="5" t="s">
        <v>86</v>
      </c>
      <c r="AF920" s="5">
        <v>5</v>
      </c>
      <c r="AG920" s="5">
        <v>1940</v>
      </c>
      <c r="AH920" s="5" t="s">
        <v>85</v>
      </c>
      <c r="AI920" s="5" t="s">
        <v>2471</v>
      </c>
      <c r="AJ920" s="5">
        <v>5</v>
      </c>
      <c r="AK920" s="5">
        <v>28</v>
      </c>
      <c r="AL920" s="5">
        <v>13</v>
      </c>
      <c r="AM920" s="5">
        <v>15</v>
      </c>
      <c r="AN920" s="5">
        <v>0</v>
      </c>
      <c r="AO920" s="5">
        <v>2</v>
      </c>
      <c r="AP920" s="5">
        <v>3</v>
      </c>
      <c r="AQ920" s="5">
        <v>0</v>
      </c>
      <c r="AT920" s="5">
        <v>0</v>
      </c>
      <c r="AU920" s="5">
        <v>0</v>
      </c>
      <c r="AX920" s="5">
        <v>0</v>
      </c>
      <c r="AY920" s="5" t="s">
        <v>86</v>
      </c>
      <c r="BN920" s="5" t="s">
        <v>85</v>
      </c>
      <c r="BO920" s="5">
        <v>2</v>
      </c>
      <c r="BP920" s="5">
        <v>9</v>
      </c>
      <c r="BQ920" s="5">
        <v>4</v>
      </c>
      <c r="BR920" s="5">
        <v>5</v>
      </c>
      <c r="BS920" s="5" t="s">
        <v>2535</v>
      </c>
      <c r="BT920" s="5">
        <v>0</v>
      </c>
      <c r="BU920" s="5">
        <v>1</v>
      </c>
      <c r="BV920" s="5">
        <v>1</v>
      </c>
      <c r="BW920" s="5">
        <v>0</v>
      </c>
      <c r="BX920" s="5">
        <v>0</v>
      </c>
      <c r="BZ920" s="5">
        <v>0</v>
      </c>
      <c r="CA920" s="5">
        <v>0</v>
      </c>
      <c r="CC920" s="5">
        <v>0</v>
      </c>
      <c r="CD920" s="5">
        <v>0</v>
      </c>
      <c r="CF920" s="1442" t="str">
        <f>IF([1]!sommaire[[#This Row],[présence des personnes déplacés interne]]="Oui","1","0")</f>
        <v>1</v>
      </c>
      <c r="CG920" s="1442" t="str">
        <f>IF([1]!sommaire[[#This Row],[présence Réfugié hors camp]]="Oui","1","0")</f>
        <v>0</v>
      </c>
      <c r="CH920" s="1442" t="str">
        <f>IF([1]!sommaire[[#This Row],[présence personnes retournées]]="Oui","1","0")</f>
        <v>1</v>
      </c>
      <c r="CI920" s="1442">
        <f>[1]!sommaire[[#This Row],[Flag PDI]]+[1]!sommaire[[#This Row],[Flag REF]]+[1]!sommaire[[#This Row],[Flag RET]]</f>
        <v>2</v>
      </c>
    </row>
    <row r="921" spans="1:87" ht="14.55" customHeight="1" x14ac:dyDescent="0.3">
      <c r="A921" s="390">
        <v>2603664</v>
      </c>
      <c r="B921" s="5" t="s">
        <v>533</v>
      </c>
      <c r="C921" s="1430" t="s">
        <v>3449</v>
      </c>
      <c r="D921" s="5" t="s">
        <v>534</v>
      </c>
      <c r="E921" s="5" t="s">
        <v>33</v>
      </c>
      <c r="F921" s="5" t="s">
        <v>33</v>
      </c>
      <c r="G921" s="5" t="s">
        <v>561</v>
      </c>
      <c r="H921" s="5" t="s">
        <v>186</v>
      </c>
      <c r="I921" s="5" t="str">
        <f>_xlfn.XLOOKUP(sommaire[[#This Row],[Arrondissement_code]],OCHA_GIS!$F:$F,OCHA_GIS!$E:$E,,)</f>
        <v>Moutourwa</v>
      </c>
      <c r="J921" s="5" t="s">
        <v>682</v>
      </c>
      <c r="K921" t="s">
        <v>2217</v>
      </c>
      <c r="L921" s="5" t="s">
        <v>3315</v>
      </c>
      <c r="N921" s="5" t="s">
        <v>3053</v>
      </c>
      <c r="O921" s="5" t="s">
        <v>2473</v>
      </c>
      <c r="P921" s="5" t="s">
        <v>85</v>
      </c>
      <c r="Q921" s="5" t="s">
        <v>86</v>
      </c>
      <c r="R921" s="5" t="s">
        <v>85</v>
      </c>
      <c r="T921" s="390">
        <v>6</v>
      </c>
      <c r="U921" s="5" t="s">
        <v>97</v>
      </c>
      <c r="W921" s="5" t="s">
        <v>2468</v>
      </c>
      <c r="X921" s="5" t="s">
        <v>102</v>
      </c>
      <c r="AA921" s="5" t="s">
        <v>85</v>
      </c>
      <c r="AB921" s="5" t="s">
        <v>2473</v>
      </c>
      <c r="AC921" s="5" t="s">
        <v>2470</v>
      </c>
      <c r="AF921" s="5">
        <v>16</v>
      </c>
      <c r="AG921" s="5">
        <v>400</v>
      </c>
      <c r="AH921" s="5" t="s">
        <v>85</v>
      </c>
      <c r="AI921" s="5" t="s">
        <v>2471</v>
      </c>
      <c r="AJ921" s="5">
        <v>16</v>
      </c>
      <c r="AK921" s="5">
        <v>86</v>
      </c>
      <c r="AL921" s="5">
        <v>46</v>
      </c>
      <c r="AM921" s="5">
        <v>40</v>
      </c>
      <c r="AN921" s="5">
        <v>0</v>
      </c>
      <c r="AO921" s="5">
        <v>0</v>
      </c>
      <c r="AP921" s="5">
        <v>0</v>
      </c>
      <c r="AQ921" s="5">
        <v>0</v>
      </c>
      <c r="AT921" s="5">
        <v>0</v>
      </c>
      <c r="AU921" s="5">
        <v>16</v>
      </c>
      <c r="AV921" s="5" t="s">
        <v>2478</v>
      </c>
      <c r="AX921" s="5">
        <v>0</v>
      </c>
      <c r="AY921" s="5" t="s">
        <v>85</v>
      </c>
      <c r="AZ921" s="5">
        <v>15</v>
      </c>
      <c r="BA921" s="5">
        <v>150</v>
      </c>
      <c r="BB921" s="5">
        <v>80</v>
      </c>
      <c r="BC921" s="5">
        <v>70</v>
      </c>
      <c r="BD921" s="5">
        <v>0</v>
      </c>
      <c r="BE921" s="5">
        <v>0</v>
      </c>
      <c r="BF921" s="5">
        <v>0</v>
      </c>
      <c r="BH921" s="5">
        <v>0</v>
      </c>
      <c r="BI921" s="5">
        <v>15</v>
      </c>
      <c r="BJ921" s="5" t="s">
        <v>2478</v>
      </c>
      <c r="BL921" s="5">
        <v>0</v>
      </c>
      <c r="BM921" s="5">
        <v>15</v>
      </c>
      <c r="BN921" s="5" t="s">
        <v>86</v>
      </c>
      <c r="CD921" s="5">
        <v>20</v>
      </c>
      <c r="CF921" s="1442" t="str">
        <f>IF([1]!sommaire[[#This Row],[présence des personnes déplacés interne]]="Oui","1","0")</f>
        <v>1</v>
      </c>
      <c r="CG921" s="1442" t="str">
        <f>IF([1]!sommaire[[#This Row],[présence Réfugié hors camp]]="Oui","1","0")</f>
        <v>1</v>
      </c>
      <c r="CH921" s="1442" t="str">
        <f>IF([1]!sommaire[[#This Row],[présence personnes retournées]]="Oui","1","0")</f>
        <v>0</v>
      </c>
      <c r="CI921" s="1442">
        <f>[1]!sommaire[[#This Row],[Flag PDI]]+[1]!sommaire[[#This Row],[Flag REF]]+[1]!sommaire[[#This Row],[Flag RET]]</f>
        <v>2</v>
      </c>
    </row>
    <row r="922" spans="1:87" ht="14.55" customHeight="1" x14ac:dyDescent="0.3">
      <c r="A922" s="390">
        <v>2672283</v>
      </c>
      <c r="B922" s="5" t="s">
        <v>533</v>
      </c>
      <c r="C922" s="1430" t="s">
        <v>3449</v>
      </c>
      <c r="D922" s="1090" t="s">
        <v>534</v>
      </c>
      <c r="E922" s="5" t="s">
        <v>34</v>
      </c>
      <c r="F922" s="5" t="s">
        <v>34</v>
      </c>
      <c r="G922" s="5" t="s">
        <v>539</v>
      </c>
      <c r="H922" s="5" t="s">
        <v>187</v>
      </c>
      <c r="I922" s="5" t="str">
        <f>_xlfn.XLOOKUP(sommaire[[#This Row],[Arrondissement_code]],OCHA_GIS!$F:$F,OCHA_GIS!$E:$E,,)</f>
        <v>Kolofata</v>
      </c>
      <c r="J922" s="5" t="s">
        <v>951</v>
      </c>
      <c r="K922" t="s">
        <v>550</v>
      </c>
      <c r="L922" s="5" t="s">
        <v>3175</v>
      </c>
      <c r="M922" s="5" t="s">
        <v>3175</v>
      </c>
      <c r="N922" s="5" t="s">
        <v>3053</v>
      </c>
      <c r="O922" s="5" t="s">
        <v>2473</v>
      </c>
      <c r="P922" s="5" t="s">
        <v>85</v>
      </c>
      <c r="Q922" s="5" t="s">
        <v>86</v>
      </c>
      <c r="R922" s="5" t="s">
        <v>85</v>
      </c>
      <c r="T922" s="390">
        <v>4</v>
      </c>
      <c r="U922" s="5" t="s">
        <v>97</v>
      </c>
      <c r="W922" s="5" t="s">
        <v>2468</v>
      </c>
      <c r="X922" s="5" t="s">
        <v>102</v>
      </c>
      <c r="AA922" s="5" t="s">
        <v>85</v>
      </c>
      <c r="AB922" s="5" t="s">
        <v>2473</v>
      </c>
      <c r="AC922" s="5" t="s">
        <v>2469</v>
      </c>
      <c r="AF922" s="5">
        <v>200</v>
      </c>
      <c r="AG922" s="5">
        <v>600</v>
      </c>
      <c r="AH922" s="5" t="s">
        <v>85</v>
      </c>
      <c r="AI922" s="5" t="s">
        <v>2485</v>
      </c>
      <c r="AJ922" s="5">
        <v>200</v>
      </c>
      <c r="AK922" s="5">
        <v>600</v>
      </c>
      <c r="AL922" s="5">
        <v>180</v>
      </c>
      <c r="AM922" s="5">
        <v>420</v>
      </c>
      <c r="AN922" s="5">
        <v>0</v>
      </c>
      <c r="AO922" s="5">
        <v>0</v>
      </c>
      <c r="AP922" s="5">
        <v>0</v>
      </c>
      <c r="AQ922" s="5">
        <v>0</v>
      </c>
      <c r="AT922" s="5">
        <v>0</v>
      </c>
      <c r="AU922" s="5">
        <v>200</v>
      </c>
      <c r="AV922" s="5" t="s">
        <v>2475</v>
      </c>
      <c r="AX922" s="5">
        <v>0</v>
      </c>
      <c r="AY922" s="5" t="s">
        <v>86</v>
      </c>
      <c r="BN922" s="5" t="s">
        <v>86</v>
      </c>
      <c r="CD922" s="5">
        <v>0</v>
      </c>
      <c r="CF922" s="1442" t="str">
        <f>IF([1]!sommaire[[#This Row],[présence des personnes déplacés interne]]="Oui","1","0")</f>
        <v>1</v>
      </c>
      <c r="CG922" s="1442" t="str">
        <f>IF([1]!sommaire[[#This Row],[présence Réfugié hors camp]]="Oui","1","0")</f>
        <v>0</v>
      </c>
      <c r="CH922" s="1442" t="str">
        <f>IF([1]!sommaire[[#This Row],[présence personnes retournées]]="Oui","1","0")</f>
        <v>0</v>
      </c>
      <c r="CI922" s="1442">
        <f>[1]!sommaire[[#This Row],[Flag PDI]]+[1]!sommaire[[#This Row],[Flag REF]]+[1]!sommaire[[#This Row],[Flag RET]]</f>
        <v>1</v>
      </c>
    </row>
    <row r="923" spans="1:87" ht="14.55" customHeight="1" x14ac:dyDescent="0.3">
      <c r="A923" s="390">
        <v>2659471</v>
      </c>
      <c r="B923" s="5" t="s">
        <v>533</v>
      </c>
      <c r="C923" s="1430" t="s">
        <v>3449</v>
      </c>
      <c r="D923" s="1090" t="s">
        <v>534</v>
      </c>
      <c r="E923" s="5" t="s">
        <v>34</v>
      </c>
      <c r="F923" s="5" t="s">
        <v>34</v>
      </c>
      <c r="G923" s="5" t="s">
        <v>539</v>
      </c>
      <c r="H923" s="5" t="s">
        <v>187</v>
      </c>
      <c r="I923" s="5" t="str">
        <f>_xlfn.XLOOKUP(sommaire[[#This Row],[Arrondissement_code]],OCHA_GIS!$F:$F,OCHA_GIS!$E:$E,,)</f>
        <v>Kolofata</v>
      </c>
      <c r="J923" s="5" t="s">
        <v>951</v>
      </c>
      <c r="K923" t="s">
        <v>2800</v>
      </c>
      <c r="L923" s="5" t="s">
        <v>2557</v>
      </c>
      <c r="N923" s="5" t="s">
        <v>3053</v>
      </c>
      <c r="O923" s="5" t="s">
        <v>2467</v>
      </c>
      <c r="P923" s="5" t="s">
        <v>86</v>
      </c>
      <c r="Q923" s="5" t="s">
        <v>86</v>
      </c>
      <c r="R923" s="5" t="s">
        <v>85</v>
      </c>
      <c r="U923" s="5" t="s">
        <v>97</v>
      </c>
      <c r="W923" s="1144" t="s">
        <v>2482</v>
      </c>
      <c r="AA923" s="5" t="s">
        <v>86</v>
      </c>
      <c r="AH923" s="1430" t="s">
        <v>86</v>
      </c>
      <c r="AY923" s="1430" t="s">
        <v>86</v>
      </c>
      <c r="BN923" s="1430" t="s">
        <v>86</v>
      </c>
      <c r="CF923" s="1442" t="str">
        <f>IF([1]!sommaire[[#This Row],[présence des personnes déplacés interne]]="Oui","1","0")</f>
        <v>0</v>
      </c>
      <c r="CG923" s="1442" t="str">
        <f>IF([1]!sommaire[[#This Row],[présence Réfugié hors camp]]="Oui","1","0")</f>
        <v>0</v>
      </c>
      <c r="CH923" s="1442" t="str">
        <f>IF([1]!sommaire[[#This Row],[présence personnes retournées]]="Oui","1","0")</f>
        <v>0</v>
      </c>
      <c r="CI923" s="1442">
        <f>[1]!sommaire[[#This Row],[Flag PDI]]+[1]!sommaire[[#This Row],[Flag REF]]+[1]!sommaire[[#This Row],[Flag RET]]</f>
        <v>0</v>
      </c>
    </row>
    <row r="924" spans="1:87" ht="14.55" customHeight="1" x14ac:dyDescent="0.3">
      <c r="A924" s="390">
        <v>2672285</v>
      </c>
      <c r="B924" s="5" t="s">
        <v>533</v>
      </c>
      <c r="C924" s="1430" t="s">
        <v>3449</v>
      </c>
      <c r="D924" s="1090" t="s">
        <v>534</v>
      </c>
      <c r="E924" s="5" t="s">
        <v>34</v>
      </c>
      <c r="F924" s="5" t="s">
        <v>34</v>
      </c>
      <c r="G924" s="5" t="s">
        <v>539</v>
      </c>
      <c r="H924" s="5" t="s">
        <v>187</v>
      </c>
      <c r="I924" s="5" t="str">
        <f>_xlfn.XLOOKUP(sommaire[[#This Row],[Arrondissement_code]],OCHA_GIS!$F:$F,OCHA_GIS!$E:$E,,)</f>
        <v>Kolofata</v>
      </c>
      <c r="J924" s="5" t="s">
        <v>951</v>
      </c>
      <c r="K924" t="s">
        <v>1240</v>
      </c>
      <c r="L924" s="5" t="s">
        <v>1241</v>
      </c>
      <c r="N924" s="5" t="s">
        <v>3052</v>
      </c>
      <c r="O924" s="5" t="s">
        <v>2467</v>
      </c>
      <c r="P924" s="5" t="s">
        <v>85</v>
      </c>
      <c r="Q924" s="5" t="s">
        <v>86</v>
      </c>
      <c r="R924" s="5" t="s">
        <v>85</v>
      </c>
      <c r="T924" s="390">
        <v>4</v>
      </c>
      <c r="U924" s="5" t="s">
        <v>97</v>
      </c>
      <c r="W924" s="5" t="s">
        <v>2468</v>
      </c>
      <c r="X924" s="5" t="s">
        <v>102</v>
      </c>
      <c r="AA924" s="5" t="s">
        <v>85</v>
      </c>
      <c r="AB924" s="5" t="s">
        <v>2469</v>
      </c>
      <c r="AC924" s="5" t="s">
        <v>2470</v>
      </c>
      <c r="AD924" s="5" t="s">
        <v>86</v>
      </c>
      <c r="AF924" s="5">
        <v>744</v>
      </c>
      <c r="AG924" s="5">
        <v>35334</v>
      </c>
      <c r="AH924" s="5" t="s">
        <v>85</v>
      </c>
      <c r="AI924" s="5" t="s">
        <v>2471</v>
      </c>
      <c r="AJ924" s="5">
        <v>744</v>
      </c>
      <c r="AK924" s="5">
        <v>5458</v>
      </c>
      <c r="AL924" s="5">
        <v>2270</v>
      </c>
      <c r="AM924" s="5">
        <v>3188</v>
      </c>
      <c r="AN924" s="5">
        <v>77</v>
      </c>
      <c r="AO924" s="5">
        <v>667</v>
      </c>
      <c r="AP924" s="5">
        <v>0</v>
      </c>
      <c r="AQ924" s="5">
        <v>0</v>
      </c>
      <c r="AT924" s="5">
        <v>0</v>
      </c>
      <c r="AU924" s="5">
        <v>0</v>
      </c>
      <c r="AX924" s="5">
        <v>0</v>
      </c>
      <c r="AY924" s="5" t="s">
        <v>86</v>
      </c>
      <c r="BN924" s="5" t="s">
        <v>85</v>
      </c>
      <c r="BO924" s="5">
        <v>1724</v>
      </c>
      <c r="BP924" s="5">
        <v>12606</v>
      </c>
      <c r="BQ924" s="5">
        <v>6040</v>
      </c>
      <c r="BR924" s="5">
        <v>6566</v>
      </c>
      <c r="BS924" s="5" t="s">
        <v>2535</v>
      </c>
      <c r="BT924" s="5">
        <v>0</v>
      </c>
      <c r="BU924" s="5">
        <v>1724</v>
      </c>
      <c r="BV924" s="5">
        <v>0</v>
      </c>
      <c r="BW924" s="5">
        <v>0</v>
      </c>
      <c r="BX924" s="5">
        <v>0</v>
      </c>
      <c r="BZ924" s="5">
        <v>0</v>
      </c>
      <c r="CA924" s="5">
        <v>0</v>
      </c>
      <c r="CC924" s="5">
        <v>0</v>
      </c>
      <c r="CD924" s="5">
        <v>0</v>
      </c>
      <c r="CF924" s="1442" t="str">
        <f>IF([1]!sommaire[[#This Row],[présence des personnes déplacés interne]]="Oui","1","0")</f>
        <v>1</v>
      </c>
      <c r="CG924" s="1442" t="str">
        <f>IF([1]!sommaire[[#This Row],[présence Réfugié hors camp]]="Oui","1","0")</f>
        <v>0</v>
      </c>
      <c r="CH924" s="1442" t="str">
        <f>IF([1]!sommaire[[#This Row],[présence personnes retournées]]="Oui","1","0")</f>
        <v>1</v>
      </c>
      <c r="CI924" s="1442">
        <f>[1]!sommaire[[#This Row],[Flag PDI]]+[1]!sommaire[[#This Row],[Flag REF]]+[1]!sommaire[[#This Row],[Flag RET]]</f>
        <v>2</v>
      </c>
    </row>
    <row r="925" spans="1:87" ht="14.55" customHeight="1" x14ac:dyDescent="0.3">
      <c r="A925" s="390">
        <v>2620207</v>
      </c>
      <c r="B925" s="5" t="s">
        <v>533</v>
      </c>
      <c r="C925" s="1430" t="s">
        <v>3449</v>
      </c>
      <c r="D925" s="1090" t="s">
        <v>534</v>
      </c>
      <c r="E925" s="5" t="s">
        <v>34</v>
      </c>
      <c r="F925" s="5" t="s">
        <v>34</v>
      </c>
      <c r="G925" s="5" t="s">
        <v>539</v>
      </c>
      <c r="H925" s="5" t="s">
        <v>187</v>
      </c>
      <c r="I925" s="5" t="str">
        <f>_xlfn.XLOOKUP(sommaire[[#This Row],[Arrondissement_code]],OCHA_GIS!$F:$F,OCHA_GIS!$E:$E,,)</f>
        <v>Kolofata</v>
      </c>
      <c r="J925" s="5" t="s">
        <v>951</v>
      </c>
      <c r="K925" t="s">
        <v>2544</v>
      </c>
      <c r="L925" s="5" t="s">
        <v>2545</v>
      </c>
      <c r="N925" s="5" t="s">
        <v>3053</v>
      </c>
      <c r="O925" s="5" t="s">
        <v>2467</v>
      </c>
      <c r="P925" s="5" t="s">
        <v>86</v>
      </c>
      <c r="Q925" s="5" t="s">
        <v>86</v>
      </c>
      <c r="R925" s="5" t="s">
        <v>85</v>
      </c>
      <c r="U925" s="5" t="s">
        <v>97</v>
      </c>
      <c r="W925" s="5" t="s">
        <v>2482</v>
      </c>
      <c r="AA925" s="5" t="s">
        <v>86</v>
      </c>
      <c r="AH925" s="1430" t="s">
        <v>86</v>
      </c>
      <c r="AY925" s="1430" t="s">
        <v>86</v>
      </c>
      <c r="BN925" s="1430" t="s">
        <v>86</v>
      </c>
      <c r="CF925" s="1442" t="str">
        <f>IF([1]!sommaire[[#This Row],[présence des personnes déplacés interne]]="Oui","1","0")</f>
        <v>0</v>
      </c>
      <c r="CG925" s="1442" t="str">
        <f>IF([1]!sommaire[[#This Row],[présence Réfugié hors camp]]="Oui","1","0")</f>
        <v>0</v>
      </c>
      <c r="CH925" s="1442" t="str">
        <f>IF([1]!sommaire[[#This Row],[présence personnes retournées]]="Oui","1","0")</f>
        <v>0</v>
      </c>
      <c r="CI925" s="1442">
        <f>[1]!sommaire[[#This Row],[Flag PDI]]+[1]!sommaire[[#This Row],[Flag REF]]+[1]!sommaire[[#This Row],[Flag RET]]</f>
        <v>0</v>
      </c>
    </row>
    <row r="926" spans="1:87" ht="14.55" customHeight="1" x14ac:dyDescent="0.3">
      <c r="A926" s="390">
        <v>2631441</v>
      </c>
      <c r="B926" s="5" t="s">
        <v>533</v>
      </c>
      <c r="C926" s="1430" t="s">
        <v>3449</v>
      </c>
      <c r="D926" s="1090" t="s">
        <v>534</v>
      </c>
      <c r="E926" s="5" t="s">
        <v>34</v>
      </c>
      <c r="F926" s="5" t="s">
        <v>34</v>
      </c>
      <c r="G926" s="5" t="s">
        <v>539</v>
      </c>
      <c r="H926" s="5" t="s">
        <v>187</v>
      </c>
      <c r="I926" s="5" t="str">
        <f>_xlfn.XLOOKUP(sommaire[[#This Row],[Arrondissement_code]],OCHA_GIS!$F:$F,OCHA_GIS!$E:$E,,)</f>
        <v>Kolofata</v>
      </c>
      <c r="J926" s="5" t="s">
        <v>951</v>
      </c>
      <c r="K926" t="s">
        <v>2819</v>
      </c>
      <c r="L926" s="5" t="s">
        <v>2562</v>
      </c>
      <c r="N926" s="5" t="s">
        <v>3053</v>
      </c>
      <c r="O926" s="5" t="s">
        <v>2467</v>
      </c>
      <c r="P926" s="5" t="s">
        <v>86</v>
      </c>
      <c r="Q926" s="5" t="s">
        <v>86</v>
      </c>
      <c r="R926" s="5" t="s">
        <v>85</v>
      </c>
      <c r="U926" s="5" t="s">
        <v>97</v>
      </c>
      <c r="W926" s="5" t="s">
        <v>2482</v>
      </c>
      <c r="AA926" s="5" t="s">
        <v>86</v>
      </c>
      <c r="AH926" s="1430" t="s">
        <v>86</v>
      </c>
      <c r="AY926" s="1430" t="s">
        <v>86</v>
      </c>
      <c r="BN926" s="1430" t="s">
        <v>86</v>
      </c>
      <c r="CF926" s="1442" t="str">
        <f>IF([1]!sommaire[[#This Row],[présence des personnes déplacés interne]]="Oui","1","0")</f>
        <v>0</v>
      </c>
      <c r="CG926" s="1442" t="str">
        <f>IF([1]!sommaire[[#This Row],[présence Réfugié hors camp]]="Oui","1","0")</f>
        <v>0</v>
      </c>
      <c r="CH926" s="1442" t="str">
        <f>IF([1]!sommaire[[#This Row],[présence personnes retournées]]="Oui","1","0")</f>
        <v>0</v>
      </c>
      <c r="CI926" s="1442">
        <f>[1]!sommaire[[#This Row],[Flag PDI]]+[1]!sommaire[[#This Row],[Flag REF]]+[1]!sommaire[[#This Row],[Flag RET]]</f>
        <v>0</v>
      </c>
    </row>
    <row r="927" spans="1:87" ht="14.55" customHeight="1" x14ac:dyDescent="0.3">
      <c r="A927" s="390">
        <v>2548335</v>
      </c>
      <c r="B927" s="5" t="s">
        <v>533</v>
      </c>
      <c r="C927" s="1430" t="s">
        <v>3449</v>
      </c>
      <c r="D927" s="1090" t="s">
        <v>534</v>
      </c>
      <c r="E927" s="5" t="s">
        <v>34</v>
      </c>
      <c r="F927" s="5" t="s">
        <v>34</v>
      </c>
      <c r="G927" s="5" t="s">
        <v>539</v>
      </c>
      <c r="H927" s="5" t="s">
        <v>187</v>
      </c>
      <c r="I927" s="5" t="str">
        <f>_xlfn.XLOOKUP(sommaire[[#This Row],[Arrondissement_code]],OCHA_GIS!$F:$F,OCHA_GIS!$E:$E,,)</f>
        <v>Kolofata</v>
      </c>
      <c r="J927" s="5" t="s">
        <v>951</v>
      </c>
      <c r="K927" t="s">
        <v>2830</v>
      </c>
      <c r="L927" s="5" t="s">
        <v>2555</v>
      </c>
      <c r="N927" s="5" t="s">
        <v>3053</v>
      </c>
      <c r="O927" s="5" t="s">
        <v>2467</v>
      </c>
      <c r="P927" s="5" t="s">
        <v>86</v>
      </c>
      <c r="Q927" s="5" t="s">
        <v>86</v>
      </c>
      <c r="R927" s="5" t="s">
        <v>85</v>
      </c>
      <c r="U927" s="5" t="s">
        <v>97</v>
      </c>
      <c r="W927" s="5" t="s">
        <v>2482</v>
      </c>
      <c r="AA927" s="5" t="s">
        <v>86</v>
      </c>
      <c r="AH927" s="1430" t="s">
        <v>86</v>
      </c>
      <c r="AY927" s="1430" t="s">
        <v>86</v>
      </c>
      <c r="BN927" s="1430" t="s">
        <v>86</v>
      </c>
      <c r="CF927" s="1442" t="str">
        <f>IF([1]!sommaire[[#This Row],[présence des personnes déplacés interne]]="Oui","1","0")</f>
        <v>0</v>
      </c>
      <c r="CG927" s="1442" t="str">
        <f>IF([1]!sommaire[[#This Row],[présence Réfugié hors camp]]="Oui","1","0")</f>
        <v>0</v>
      </c>
      <c r="CH927" s="1442" t="str">
        <f>IF([1]!sommaire[[#This Row],[présence personnes retournées]]="Oui","1","0")</f>
        <v>0</v>
      </c>
      <c r="CI927" s="1442">
        <f>[1]!sommaire[[#This Row],[Flag PDI]]+[1]!sommaire[[#This Row],[Flag REF]]+[1]!sommaire[[#This Row],[Flag RET]]</f>
        <v>0</v>
      </c>
    </row>
    <row r="928" spans="1:87" ht="14.55" customHeight="1" x14ac:dyDescent="0.3">
      <c r="A928" s="390">
        <v>2617519</v>
      </c>
      <c r="B928" s="5" t="s">
        <v>533</v>
      </c>
      <c r="C928" s="1430" t="s">
        <v>3449</v>
      </c>
      <c r="D928" s="1090" t="s">
        <v>534</v>
      </c>
      <c r="E928" s="5" t="s">
        <v>34</v>
      </c>
      <c r="F928" s="5" t="s">
        <v>34</v>
      </c>
      <c r="G928" s="5" t="s">
        <v>539</v>
      </c>
      <c r="H928" s="5" t="s">
        <v>187</v>
      </c>
      <c r="I928" s="5" t="str">
        <f>_xlfn.XLOOKUP(sommaire[[#This Row],[Arrondissement_code]],OCHA_GIS!$F:$F,OCHA_GIS!$E:$E,,)</f>
        <v>Kolofata</v>
      </c>
      <c r="J928" s="5" t="s">
        <v>951</v>
      </c>
      <c r="K928" t="s">
        <v>2834</v>
      </c>
      <c r="L928" s="5" t="s">
        <v>2235</v>
      </c>
      <c r="N928" s="5" t="s">
        <v>3053</v>
      </c>
      <c r="O928" s="5" t="s">
        <v>2467</v>
      </c>
      <c r="P928" s="5" t="s">
        <v>86</v>
      </c>
      <c r="Q928" s="5" t="s">
        <v>86</v>
      </c>
      <c r="R928" s="5" t="s">
        <v>85</v>
      </c>
      <c r="U928" s="5" t="s">
        <v>97</v>
      </c>
      <c r="W928" s="5" t="s">
        <v>2482</v>
      </c>
      <c r="AA928" s="5" t="s">
        <v>86</v>
      </c>
      <c r="AH928" s="1430" t="s">
        <v>86</v>
      </c>
      <c r="AY928" s="1430" t="s">
        <v>86</v>
      </c>
      <c r="BN928" s="1430" t="s">
        <v>86</v>
      </c>
      <c r="CF928" s="1442" t="str">
        <f>IF([1]!sommaire[[#This Row],[présence des personnes déplacés interne]]="Oui","1","0")</f>
        <v>0</v>
      </c>
      <c r="CG928" s="1442" t="str">
        <f>IF([1]!sommaire[[#This Row],[présence Réfugié hors camp]]="Oui","1","0")</f>
        <v>0</v>
      </c>
      <c r="CH928" s="1442" t="str">
        <f>IF([1]!sommaire[[#This Row],[présence personnes retournées]]="Oui","1","0")</f>
        <v>0</v>
      </c>
      <c r="CI928" s="1442">
        <f>[1]!sommaire[[#This Row],[Flag PDI]]+[1]!sommaire[[#This Row],[Flag REF]]+[1]!sommaire[[#This Row],[Flag RET]]</f>
        <v>0</v>
      </c>
    </row>
    <row r="929" spans="1:87" ht="14.55" customHeight="1" x14ac:dyDescent="0.3">
      <c r="A929" s="390">
        <v>2683034</v>
      </c>
      <c r="B929" s="5" t="s">
        <v>533</v>
      </c>
      <c r="C929" s="1430" t="s">
        <v>3449</v>
      </c>
      <c r="D929" s="1090" t="s">
        <v>534</v>
      </c>
      <c r="E929" s="5" t="s">
        <v>34</v>
      </c>
      <c r="F929" s="5" t="s">
        <v>34</v>
      </c>
      <c r="G929" s="5" t="s">
        <v>539</v>
      </c>
      <c r="H929" s="5" t="s">
        <v>187</v>
      </c>
      <c r="I929" s="5" t="str">
        <f>_xlfn.XLOOKUP(sommaire[[#This Row],[Arrondissement_code]],OCHA_GIS!$F:$F,OCHA_GIS!$E:$E,,)</f>
        <v>Kolofata</v>
      </c>
      <c r="J929" s="5" t="s">
        <v>951</v>
      </c>
      <c r="K929" t="s">
        <v>2863</v>
      </c>
      <c r="L929" s="5" t="s">
        <v>2560</v>
      </c>
      <c r="N929" s="5" t="s">
        <v>3053</v>
      </c>
      <c r="O929" s="5" t="s">
        <v>2467</v>
      </c>
      <c r="P929" s="5" t="s">
        <v>86</v>
      </c>
      <c r="Q929" s="5" t="s">
        <v>86</v>
      </c>
      <c r="R929" s="5" t="s">
        <v>85</v>
      </c>
      <c r="U929" s="5" t="s">
        <v>97</v>
      </c>
      <c r="W929" s="5" t="s">
        <v>2482</v>
      </c>
      <c r="X929" s="1090"/>
      <c r="AA929" s="5" t="s">
        <v>86</v>
      </c>
      <c r="AH929" s="1430" t="s">
        <v>86</v>
      </c>
      <c r="AY929" s="1430" t="s">
        <v>86</v>
      </c>
      <c r="BN929" s="1430" t="s">
        <v>86</v>
      </c>
      <c r="CF929" s="1442" t="str">
        <f>IF([1]!sommaire[[#This Row],[présence des personnes déplacés interne]]="Oui","1","0")</f>
        <v>0</v>
      </c>
      <c r="CG929" s="1442" t="str">
        <f>IF([1]!sommaire[[#This Row],[présence Réfugié hors camp]]="Oui","1","0")</f>
        <v>0</v>
      </c>
      <c r="CH929" s="1442" t="str">
        <f>IF([1]!sommaire[[#This Row],[présence personnes retournées]]="Oui","1","0")</f>
        <v>0</v>
      </c>
      <c r="CI929" s="1442">
        <f>[1]!sommaire[[#This Row],[Flag PDI]]+[1]!sommaire[[#This Row],[Flag REF]]+[1]!sommaire[[#This Row],[Flag RET]]</f>
        <v>0</v>
      </c>
    </row>
    <row r="930" spans="1:87" ht="14.55" customHeight="1" x14ac:dyDescent="0.3">
      <c r="A930" s="390">
        <v>2631449</v>
      </c>
      <c r="B930" s="5" t="s">
        <v>533</v>
      </c>
      <c r="C930" s="1430" t="s">
        <v>3449</v>
      </c>
      <c r="D930" s="1090" t="s">
        <v>534</v>
      </c>
      <c r="E930" s="5" t="s">
        <v>34</v>
      </c>
      <c r="F930" s="5" t="s">
        <v>34</v>
      </c>
      <c r="G930" s="5" t="s">
        <v>539</v>
      </c>
      <c r="H930" s="5" t="s">
        <v>187</v>
      </c>
      <c r="I930" s="5" t="str">
        <f>_xlfn.XLOOKUP(sommaire[[#This Row],[Arrondissement_code]],OCHA_GIS!$F:$F,OCHA_GIS!$E:$E,,)</f>
        <v>Kolofata</v>
      </c>
      <c r="J930" s="5" t="s">
        <v>951</v>
      </c>
      <c r="K930" t="s">
        <v>2871</v>
      </c>
      <c r="L930" s="5" t="s">
        <v>2283</v>
      </c>
      <c r="N930" s="5" t="s">
        <v>3053</v>
      </c>
      <c r="O930" s="5" t="s">
        <v>2467</v>
      </c>
      <c r="P930" s="5" t="s">
        <v>86</v>
      </c>
      <c r="Q930" s="5" t="s">
        <v>86</v>
      </c>
      <c r="R930" s="5" t="s">
        <v>85</v>
      </c>
      <c r="U930" s="5" t="s">
        <v>97</v>
      </c>
      <c r="W930" s="5" t="s">
        <v>2482</v>
      </c>
      <c r="X930" s="1090"/>
      <c r="AA930" s="5" t="s">
        <v>86</v>
      </c>
      <c r="AH930" s="1430" t="s">
        <v>86</v>
      </c>
      <c r="AY930" s="1430" t="s">
        <v>86</v>
      </c>
      <c r="BN930" s="1430" t="s">
        <v>86</v>
      </c>
      <c r="CF930" s="1442" t="str">
        <f>IF([1]!sommaire[[#This Row],[présence des personnes déplacés interne]]="Oui","1","0")</f>
        <v>0</v>
      </c>
      <c r="CG930" s="1442" t="str">
        <f>IF([1]!sommaire[[#This Row],[présence Réfugié hors camp]]="Oui","1","0")</f>
        <v>0</v>
      </c>
      <c r="CH930" s="1442" t="str">
        <f>IF([1]!sommaire[[#This Row],[présence personnes retournées]]="Oui","1","0")</f>
        <v>0</v>
      </c>
      <c r="CI930" s="1442">
        <f>[1]!sommaire[[#This Row],[Flag PDI]]+[1]!sommaire[[#This Row],[Flag REF]]+[1]!sommaire[[#This Row],[Flag RET]]</f>
        <v>0</v>
      </c>
    </row>
    <row r="931" spans="1:87" ht="14.55" customHeight="1" x14ac:dyDescent="0.3">
      <c r="A931" s="390">
        <v>2656949</v>
      </c>
      <c r="B931" s="5" t="s">
        <v>533</v>
      </c>
      <c r="C931" s="1430" t="s">
        <v>3449</v>
      </c>
      <c r="D931" s="1090" t="s">
        <v>534</v>
      </c>
      <c r="E931" s="5" t="s">
        <v>34</v>
      </c>
      <c r="F931" s="5" t="s">
        <v>34</v>
      </c>
      <c r="G931" s="5" t="s">
        <v>539</v>
      </c>
      <c r="H931" s="5" t="s">
        <v>187</v>
      </c>
      <c r="I931" s="5" t="str">
        <f>_xlfn.XLOOKUP(sommaire[[#This Row],[Arrondissement_code]],OCHA_GIS!$F:$F,OCHA_GIS!$E:$E,,)</f>
        <v>Kolofata</v>
      </c>
      <c r="J931" s="5" t="s">
        <v>951</v>
      </c>
      <c r="K931" t="s">
        <v>2548</v>
      </c>
      <c r="L931" s="5" t="s">
        <v>953</v>
      </c>
      <c r="N931" s="5" t="s">
        <v>3053</v>
      </c>
      <c r="O931" s="5" t="s">
        <v>2467</v>
      </c>
      <c r="P931" s="5" t="s">
        <v>85</v>
      </c>
      <c r="Q931" s="5" t="s">
        <v>86</v>
      </c>
      <c r="R931" s="5" t="s">
        <v>86</v>
      </c>
      <c r="T931" s="390">
        <v>3</v>
      </c>
      <c r="U931" s="5" t="s">
        <v>97</v>
      </c>
      <c r="W931" s="5" t="s">
        <v>2468</v>
      </c>
      <c r="X931" s="5" t="s">
        <v>102</v>
      </c>
      <c r="AA931" s="5" t="s">
        <v>85</v>
      </c>
      <c r="AB931" s="5" t="s">
        <v>2473</v>
      </c>
      <c r="AC931" s="5" t="s">
        <v>2469</v>
      </c>
      <c r="AD931" s="5" t="s">
        <v>86</v>
      </c>
      <c r="AF931" s="5">
        <v>1952</v>
      </c>
      <c r="AG931" s="5">
        <v>13299</v>
      </c>
      <c r="AH931" s="5" t="s">
        <v>85</v>
      </c>
      <c r="AI931" s="5" t="s">
        <v>2471</v>
      </c>
      <c r="AJ931" s="5">
        <v>1952</v>
      </c>
      <c r="AK931" s="5">
        <v>12466</v>
      </c>
      <c r="AL931" s="5">
        <v>5500</v>
      </c>
      <c r="AM931" s="5">
        <v>6966</v>
      </c>
      <c r="AN931" s="5">
        <v>96</v>
      </c>
      <c r="AO931" s="5">
        <v>107</v>
      </c>
      <c r="AP931" s="5">
        <v>0</v>
      </c>
      <c r="AQ931" s="5">
        <v>0</v>
      </c>
      <c r="AT931" s="5">
        <v>0</v>
      </c>
      <c r="AU931" s="5">
        <v>1749</v>
      </c>
      <c r="AV931" s="5" t="s">
        <v>2490</v>
      </c>
      <c r="AX931" s="5">
        <v>0</v>
      </c>
      <c r="AY931" s="5" t="s">
        <v>86</v>
      </c>
      <c r="BN931" s="5" t="s">
        <v>85</v>
      </c>
      <c r="BO931" s="5">
        <v>8</v>
      </c>
      <c r="BP931" s="5">
        <v>99</v>
      </c>
      <c r="BQ931" s="5">
        <v>25</v>
      </c>
      <c r="BR931" s="5">
        <v>74</v>
      </c>
      <c r="BS931" s="5" t="s">
        <v>2535</v>
      </c>
      <c r="BT931" s="5">
        <v>0</v>
      </c>
      <c r="BU931" s="5">
        <v>8</v>
      </c>
      <c r="BV931" s="5">
        <v>0</v>
      </c>
      <c r="BW931" s="5">
        <v>0</v>
      </c>
      <c r="BX931" s="5">
        <v>0</v>
      </c>
      <c r="BZ931" s="5">
        <v>0</v>
      </c>
      <c r="CA931" s="5">
        <v>0</v>
      </c>
      <c r="CC931" s="5">
        <v>0</v>
      </c>
      <c r="CD931" s="5">
        <v>3</v>
      </c>
      <c r="CF931" s="1442" t="str">
        <f>IF([1]!sommaire[[#This Row],[présence des personnes déplacés interne]]="Oui","1","0")</f>
        <v>1</v>
      </c>
      <c r="CG931" s="1442" t="str">
        <f>IF([1]!sommaire[[#This Row],[présence Réfugié hors camp]]="Oui","1","0")</f>
        <v>0</v>
      </c>
      <c r="CH931" s="1442" t="str">
        <f>IF([1]!sommaire[[#This Row],[présence personnes retournées]]="Oui","1","0")</f>
        <v>1</v>
      </c>
      <c r="CI931" s="1442">
        <f>[1]!sommaire[[#This Row],[Flag PDI]]+[1]!sommaire[[#This Row],[Flag REF]]+[1]!sommaire[[#This Row],[Flag RET]]</f>
        <v>2</v>
      </c>
    </row>
    <row r="932" spans="1:87" ht="14.55" customHeight="1" x14ac:dyDescent="0.3">
      <c r="A932" s="390">
        <v>2578101</v>
      </c>
      <c r="B932" s="5" t="s">
        <v>533</v>
      </c>
      <c r="C932" s="1430" t="s">
        <v>3449</v>
      </c>
      <c r="D932" s="1090" t="s">
        <v>534</v>
      </c>
      <c r="E932" s="5" t="s">
        <v>34</v>
      </c>
      <c r="F932" s="5" t="s">
        <v>34</v>
      </c>
      <c r="G932" s="5" t="s">
        <v>539</v>
      </c>
      <c r="H932" s="5" t="s">
        <v>187</v>
      </c>
      <c r="I932" s="5" t="str">
        <f>_xlfn.XLOOKUP(sommaire[[#This Row],[Arrondissement_code]],OCHA_GIS!$F:$F,OCHA_GIS!$E:$E,,)</f>
        <v>Kolofata</v>
      </c>
      <c r="J932" s="5" t="s">
        <v>951</v>
      </c>
      <c r="K932" t="s">
        <v>2874</v>
      </c>
      <c r="L932" s="5" t="s">
        <v>2553</v>
      </c>
      <c r="N932" s="5" t="s">
        <v>3053</v>
      </c>
      <c r="O932" s="5" t="s">
        <v>2467</v>
      </c>
      <c r="P932" s="5" t="s">
        <v>86</v>
      </c>
      <c r="Q932" s="5" t="s">
        <v>86</v>
      </c>
      <c r="R932" s="5" t="s">
        <v>85</v>
      </c>
      <c r="U932" s="5" t="s">
        <v>97</v>
      </c>
      <c r="W932" s="5" t="s">
        <v>2482</v>
      </c>
      <c r="AA932" s="5" t="s">
        <v>86</v>
      </c>
      <c r="AH932" s="1430" t="s">
        <v>86</v>
      </c>
      <c r="AY932" s="1430" t="s">
        <v>86</v>
      </c>
      <c r="BN932" s="1430" t="s">
        <v>86</v>
      </c>
      <c r="CF932" s="1442" t="str">
        <f>IF([1]!sommaire[[#This Row],[présence des personnes déplacés interne]]="Oui","1","0")</f>
        <v>0</v>
      </c>
      <c r="CG932" s="1442" t="str">
        <f>IF([1]!sommaire[[#This Row],[présence Réfugié hors camp]]="Oui","1","0")</f>
        <v>0</v>
      </c>
      <c r="CH932" s="1442" t="str">
        <f>IF([1]!sommaire[[#This Row],[présence personnes retournées]]="Oui","1","0")</f>
        <v>0</v>
      </c>
      <c r="CI932" s="1442">
        <f>[1]!sommaire[[#This Row],[Flag PDI]]+[1]!sommaire[[#This Row],[Flag REF]]+[1]!sommaire[[#This Row],[Flag RET]]</f>
        <v>0</v>
      </c>
    </row>
    <row r="933" spans="1:87" ht="14.55" customHeight="1" x14ac:dyDescent="0.3">
      <c r="A933" s="390">
        <v>2659467</v>
      </c>
      <c r="B933" s="5" t="s">
        <v>533</v>
      </c>
      <c r="C933" s="1430" t="s">
        <v>3449</v>
      </c>
      <c r="D933" s="1090" t="s">
        <v>534</v>
      </c>
      <c r="E933" s="5" t="s">
        <v>34</v>
      </c>
      <c r="F933" s="5" t="s">
        <v>34</v>
      </c>
      <c r="G933" s="5" t="s">
        <v>539</v>
      </c>
      <c r="H933" s="1144" t="s">
        <v>187</v>
      </c>
      <c r="I933" s="1144" t="str">
        <f>_xlfn.XLOOKUP(sommaire[[#This Row],[Arrondissement_code]],OCHA_GIS!$F:$F,OCHA_GIS!$E:$E,,)</f>
        <v>Kolofata</v>
      </c>
      <c r="J933" s="5" t="s">
        <v>951</v>
      </c>
      <c r="K933" t="s">
        <v>2550</v>
      </c>
      <c r="L933" s="5" t="s">
        <v>1596</v>
      </c>
      <c r="N933" s="5" t="s">
        <v>3053</v>
      </c>
      <c r="O933" s="5" t="s">
        <v>2467</v>
      </c>
      <c r="P933" s="5" t="s">
        <v>85</v>
      </c>
      <c r="Q933" s="5" t="s">
        <v>86</v>
      </c>
      <c r="R933" s="5" t="s">
        <v>86</v>
      </c>
      <c r="T933" s="390">
        <v>3</v>
      </c>
      <c r="U933" s="5" t="s">
        <v>97</v>
      </c>
      <c r="W933" s="5" t="s">
        <v>2468</v>
      </c>
      <c r="X933" s="5" t="s">
        <v>103</v>
      </c>
      <c r="Y933" s="5" t="s">
        <v>2511</v>
      </c>
      <c r="AA933" s="5" t="s">
        <v>85</v>
      </c>
      <c r="AB933" s="5" t="s">
        <v>2469</v>
      </c>
      <c r="AC933" s="5" t="s">
        <v>2521</v>
      </c>
      <c r="AD933" s="5" t="s">
        <v>86</v>
      </c>
      <c r="AF933" s="5">
        <v>50</v>
      </c>
      <c r="AG933" s="5">
        <v>2586</v>
      </c>
      <c r="AH933" s="5" t="s">
        <v>85</v>
      </c>
      <c r="AI933" s="5" t="s">
        <v>2471</v>
      </c>
      <c r="AJ933" s="5">
        <v>50</v>
      </c>
      <c r="AK933" s="5">
        <v>513</v>
      </c>
      <c r="AL933" s="5">
        <v>127</v>
      </c>
      <c r="AM933" s="5">
        <v>386</v>
      </c>
      <c r="AN933" s="5">
        <v>0</v>
      </c>
      <c r="AO933" s="5">
        <v>50</v>
      </c>
      <c r="AP933" s="5">
        <v>0</v>
      </c>
      <c r="AQ933" s="5">
        <v>0</v>
      </c>
      <c r="AT933" s="5">
        <v>0</v>
      </c>
      <c r="AU933" s="5">
        <v>0</v>
      </c>
      <c r="AX933" s="5">
        <v>0</v>
      </c>
      <c r="AY933" s="5" t="s">
        <v>86</v>
      </c>
      <c r="BN933" s="5" t="s">
        <v>86</v>
      </c>
      <c r="CD933" s="5">
        <v>0</v>
      </c>
      <c r="CF933" s="1442" t="str">
        <f>IF([1]!sommaire[[#This Row],[présence des personnes déplacés interne]]="Oui","1","0")</f>
        <v>1</v>
      </c>
      <c r="CG933" s="1442" t="str">
        <f>IF([1]!sommaire[[#This Row],[présence Réfugié hors camp]]="Oui","1","0")</f>
        <v>0</v>
      </c>
      <c r="CH933" s="1442" t="str">
        <f>IF([1]!sommaire[[#This Row],[présence personnes retournées]]="Oui","1","0")</f>
        <v>0</v>
      </c>
      <c r="CI933" s="1442">
        <f>[1]!sommaire[[#This Row],[Flag PDI]]+[1]!sommaire[[#This Row],[Flag REF]]+[1]!sommaire[[#This Row],[Flag RET]]</f>
        <v>1</v>
      </c>
    </row>
    <row r="934" spans="1:87" ht="14.55" customHeight="1" x14ac:dyDescent="0.3">
      <c r="A934" s="390">
        <v>2631451</v>
      </c>
      <c r="B934" s="5" t="s">
        <v>533</v>
      </c>
      <c r="C934" s="1430" t="s">
        <v>3449</v>
      </c>
      <c r="D934" s="1090" t="s">
        <v>534</v>
      </c>
      <c r="E934" s="5" t="s">
        <v>34</v>
      </c>
      <c r="F934" s="5" t="s">
        <v>34</v>
      </c>
      <c r="G934" s="5" t="s">
        <v>539</v>
      </c>
      <c r="H934" s="5" t="s">
        <v>187</v>
      </c>
      <c r="I934" s="5" t="str">
        <f>_xlfn.XLOOKUP(sommaire[[#This Row],[Arrondissement_code]],OCHA_GIS!$F:$F,OCHA_GIS!$E:$E,,)</f>
        <v>Kolofata</v>
      </c>
      <c r="J934" s="5" t="s">
        <v>951</v>
      </c>
      <c r="K934" t="s">
        <v>2889</v>
      </c>
      <c r="L934" s="5" t="s">
        <v>2563</v>
      </c>
      <c r="N934" s="5" t="s">
        <v>3053</v>
      </c>
      <c r="O934" s="5" t="s">
        <v>2467</v>
      </c>
      <c r="P934" s="5" t="s">
        <v>86</v>
      </c>
      <c r="Q934" s="5" t="s">
        <v>86</v>
      </c>
      <c r="R934" s="5" t="s">
        <v>85</v>
      </c>
      <c r="U934" s="5" t="s">
        <v>97</v>
      </c>
      <c r="W934" s="5" t="s">
        <v>2482</v>
      </c>
      <c r="AA934" s="5" t="s">
        <v>86</v>
      </c>
      <c r="AH934" s="1430" t="s">
        <v>86</v>
      </c>
      <c r="AY934" s="1430" t="s">
        <v>86</v>
      </c>
      <c r="BN934" s="1430" t="s">
        <v>86</v>
      </c>
      <c r="CF934" s="1442" t="str">
        <f>IF([1]!sommaire[[#This Row],[présence des personnes déplacés interne]]="Oui","1","0")</f>
        <v>0</v>
      </c>
      <c r="CG934" s="1442" t="str">
        <f>IF([1]!sommaire[[#This Row],[présence Réfugié hors camp]]="Oui","1","0")</f>
        <v>0</v>
      </c>
      <c r="CH934" s="1442" t="str">
        <f>IF([1]!sommaire[[#This Row],[présence personnes retournées]]="Oui","1","0")</f>
        <v>0</v>
      </c>
      <c r="CI934" s="1442">
        <f>[1]!sommaire[[#This Row],[Flag PDI]]+[1]!sommaire[[#This Row],[Flag REF]]+[1]!sommaire[[#This Row],[Flag RET]]</f>
        <v>0</v>
      </c>
    </row>
    <row r="935" spans="1:87" ht="14.55" customHeight="1" x14ac:dyDescent="0.3">
      <c r="A935" s="390">
        <v>2631880</v>
      </c>
      <c r="B935" s="5" t="s">
        <v>533</v>
      </c>
      <c r="C935" s="1430" t="s">
        <v>3449</v>
      </c>
      <c r="D935" s="1090" t="s">
        <v>534</v>
      </c>
      <c r="E935" s="5" t="s">
        <v>34</v>
      </c>
      <c r="F935" s="5" t="s">
        <v>34</v>
      </c>
      <c r="G935" s="5" t="s">
        <v>539</v>
      </c>
      <c r="H935" s="5" t="s">
        <v>187</v>
      </c>
      <c r="I935" s="5" t="str">
        <f>_xlfn.XLOOKUP(sommaire[[#This Row],[Arrondissement_code]],OCHA_GIS!$F:$F,OCHA_GIS!$E:$E,,)</f>
        <v>Kolofata</v>
      </c>
      <c r="J935" s="5" t="s">
        <v>951</v>
      </c>
      <c r="K935" t="s">
        <v>2546</v>
      </c>
      <c r="L935" s="5" t="s">
        <v>1594</v>
      </c>
      <c r="N935" s="5" t="s">
        <v>3053</v>
      </c>
      <c r="O935" s="5" t="s">
        <v>2467</v>
      </c>
      <c r="P935" s="5" t="s">
        <v>85</v>
      </c>
      <c r="Q935" s="5" t="s">
        <v>86</v>
      </c>
      <c r="R935" s="5" t="s">
        <v>85</v>
      </c>
      <c r="T935" s="390">
        <v>5</v>
      </c>
      <c r="U935" s="5" t="s">
        <v>97</v>
      </c>
      <c r="W935" s="5" t="s">
        <v>2468</v>
      </c>
      <c r="X935" s="5" t="s">
        <v>102</v>
      </c>
      <c r="AA935" s="586" t="s">
        <v>85</v>
      </c>
      <c r="AB935" s="5" t="s">
        <v>2469</v>
      </c>
      <c r="AC935" s="5" t="s">
        <v>312</v>
      </c>
      <c r="AD935" s="5" t="s">
        <v>86</v>
      </c>
      <c r="AF935" s="5">
        <v>803</v>
      </c>
      <c r="AG935" s="5">
        <v>18000</v>
      </c>
      <c r="AH935" s="5" t="s">
        <v>85</v>
      </c>
      <c r="AI935" s="5" t="s">
        <v>2471</v>
      </c>
      <c r="AJ935" s="5">
        <v>803</v>
      </c>
      <c r="AK935" s="5">
        <v>6046</v>
      </c>
      <c r="AL935" s="5">
        <v>2202</v>
      </c>
      <c r="AM935" s="5">
        <v>3844</v>
      </c>
      <c r="AN935" s="5">
        <v>0</v>
      </c>
      <c r="AO935" s="5">
        <v>783</v>
      </c>
      <c r="AP935" s="5">
        <v>15</v>
      </c>
      <c r="AQ935" s="5">
        <v>5</v>
      </c>
      <c r="AR935" s="5" t="s">
        <v>2477</v>
      </c>
      <c r="AT935" s="5">
        <v>0</v>
      </c>
      <c r="AU935" s="5">
        <v>0</v>
      </c>
      <c r="AX935" s="5">
        <v>0</v>
      </c>
      <c r="AY935" s="5" t="s">
        <v>86</v>
      </c>
      <c r="BN935" s="5" t="s">
        <v>86</v>
      </c>
      <c r="CD935" s="5">
        <v>0</v>
      </c>
      <c r="CF935" s="1442" t="str">
        <f>IF([1]!sommaire[[#This Row],[présence des personnes déplacés interne]]="Oui","1","0")</f>
        <v>1</v>
      </c>
      <c r="CG935" s="1442" t="str">
        <f>IF([1]!sommaire[[#This Row],[présence Réfugié hors camp]]="Oui","1","0")</f>
        <v>0</v>
      </c>
      <c r="CH935" s="1442" t="str">
        <f>IF([1]!sommaire[[#This Row],[présence personnes retournées]]="Oui","1","0")</f>
        <v>0</v>
      </c>
      <c r="CI935" s="1442">
        <f>[1]!sommaire[[#This Row],[Flag PDI]]+[1]!sommaire[[#This Row],[Flag REF]]+[1]!sommaire[[#This Row],[Flag RET]]</f>
        <v>1</v>
      </c>
    </row>
    <row r="936" spans="1:87" ht="14.55" customHeight="1" x14ac:dyDescent="0.3">
      <c r="A936" s="390">
        <v>2661506</v>
      </c>
      <c r="B936" s="5" t="s">
        <v>533</v>
      </c>
      <c r="C936" s="1430" t="s">
        <v>3449</v>
      </c>
      <c r="D936" s="1090" t="s">
        <v>534</v>
      </c>
      <c r="E936" s="5" t="s">
        <v>34</v>
      </c>
      <c r="F936" s="5" t="s">
        <v>34</v>
      </c>
      <c r="G936" s="5" t="s">
        <v>539</v>
      </c>
      <c r="H936" s="5" t="s">
        <v>187</v>
      </c>
      <c r="I936" s="5" t="str">
        <f>_xlfn.XLOOKUP(sommaire[[#This Row],[Arrondissement_code]],OCHA_GIS!$F:$F,OCHA_GIS!$E:$E,,)</f>
        <v>Kolofata</v>
      </c>
      <c r="J936" s="5" t="s">
        <v>951</v>
      </c>
      <c r="K936" t="s">
        <v>2914</v>
      </c>
      <c r="L936" s="5" t="s">
        <v>1618</v>
      </c>
      <c r="N936" s="5" t="s">
        <v>3053</v>
      </c>
      <c r="O936" s="5" t="s">
        <v>2467</v>
      </c>
      <c r="P936" s="5" t="s">
        <v>85</v>
      </c>
      <c r="Q936" s="5" t="s">
        <v>86</v>
      </c>
      <c r="R936" s="5" t="s">
        <v>86</v>
      </c>
      <c r="T936" s="390">
        <v>3</v>
      </c>
      <c r="U936" s="5" t="s">
        <v>97</v>
      </c>
      <c r="W936" s="5" t="s">
        <v>2468</v>
      </c>
      <c r="X936" s="5" t="s">
        <v>102</v>
      </c>
      <c r="AA936" s="5" t="s">
        <v>85</v>
      </c>
      <c r="AB936" s="5" t="s">
        <v>2469</v>
      </c>
      <c r="AC936" s="5" t="s">
        <v>2521</v>
      </c>
      <c r="AD936" s="5" t="s">
        <v>86</v>
      </c>
      <c r="AF936" s="5">
        <v>363</v>
      </c>
      <c r="AG936" s="5">
        <v>10137</v>
      </c>
      <c r="AH936" s="5" t="s">
        <v>85</v>
      </c>
      <c r="AI936" s="5" t="s">
        <v>2471</v>
      </c>
      <c r="AJ936" s="5">
        <v>363</v>
      </c>
      <c r="AK936" s="5">
        <v>2002</v>
      </c>
      <c r="AL936" s="5">
        <v>752</v>
      </c>
      <c r="AM936" s="5">
        <v>1250</v>
      </c>
      <c r="AN936" s="5">
        <v>0</v>
      </c>
      <c r="AO936" s="5">
        <v>363</v>
      </c>
      <c r="AP936" s="5">
        <v>0</v>
      </c>
      <c r="AQ936" s="5">
        <v>0</v>
      </c>
      <c r="AT936" s="5">
        <v>0</v>
      </c>
      <c r="AU936" s="5">
        <v>0</v>
      </c>
      <c r="AX936" s="5">
        <v>0</v>
      </c>
      <c r="AY936" s="5" t="s">
        <v>86</v>
      </c>
      <c r="BN936" s="5" t="s">
        <v>85</v>
      </c>
      <c r="BO936" s="5">
        <v>239</v>
      </c>
      <c r="BP936" s="5">
        <v>1223</v>
      </c>
      <c r="BQ936" s="5">
        <v>346</v>
      </c>
      <c r="BR936" s="5">
        <v>877</v>
      </c>
      <c r="BS936" s="5" t="s">
        <v>2535</v>
      </c>
      <c r="BT936" s="5">
        <v>0</v>
      </c>
      <c r="BU936" s="5">
        <v>239</v>
      </c>
      <c r="BV936" s="5">
        <v>0</v>
      </c>
      <c r="BW936" s="5">
        <v>0</v>
      </c>
      <c r="BX936" s="5">
        <v>0</v>
      </c>
      <c r="BZ936" s="5">
        <v>0</v>
      </c>
      <c r="CA936" s="5">
        <v>0</v>
      </c>
      <c r="CC936" s="5">
        <v>0</v>
      </c>
      <c r="CD936" s="5">
        <v>0</v>
      </c>
      <c r="CF936" s="1442" t="str">
        <f>IF([1]!sommaire[[#This Row],[présence des personnes déplacés interne]]="Oui","1","0")</f>
        <v>1</v>
      </c>
      <c r="CG936" s="1442" t="str">
        <f>IF([1]!sommaire[[#This Row],[présence Réfugié hors camp]]="Oui","1","0")</f>
        <v>0</v>
      </c>
      <c r="CH936" s="1442" t="str">
        <f>IF([1]!sommaire[[#This Row],[présence personnes retournées]]="Oui","1","0")</f>
        <v>1</v>
      </c>
      <c r="CI936" s="1442">
        <f>[1]!sommaire[[#This Row],[Flag PDI]]+[1]!sommaire[[#This Row],[Flag REF]]+[1]!sommaire[[#This Row],[Flag RET]]</f>
        <v>2</v>
      </c>
    </row>
    <row r="937" spans="1:87" ht="14.55" customHeight="1" x14ac:dyDescent="0.3">
      <c r="A937" s="390">
        <v>2631470</v>
      </c>
      <c r="B937" s="5" t="s">
        <v>533</v>
      </c>
      <c r="C937" s="1430" t="s">
        <v>3449</v>
      </c>
      <c r="D937" s="1090" t="s">
        <v>534</v>
      </c>
      <c r="E937" s="5" t="s">
        <v>34</v>
      </c>
      <c r="F937" s="5" t="s">
        <v>34</v>
      </c>
      <c r="G937" s="5" t="s">
        <v>539</v>
      </c>
      <c r="H937" s="5" t="s">
        <v>187</v>
      </c>
      <c r="I937" s="5" t="str">
        <f>_xlfn.XLOOKUP(sommaire[[#This Row],[Arrondissement_code]],OCHA_GIS!$F:$F,OCHA_GIS!$E:$E,,)</f>
        <v>Kolofata</v>
      </c>
      <c r="J937" s="5" t="s">
        <v>951</v>
      </c>
      <c r="K937" t="s">
        <v>2915</v>
      </c>
      <c r="L937" s="5" t="s">
        <v>2561</v>
      </c>
      <c r="N937" s="5" t="s">
        <v>3053</v>
      </c>
      <c r="O937" s="5" t="s">
        <v>2467</v>
      </c>
      <c r="P937" s="5" t="s">
        <v>86</v>
      </c>
      <c r="Q937" s="5" t="s">
        <v>86</v>
      </c>
      <c r="R937" s="5" t="s">
        <v>85</v>
      </c>
      <c r="U937" s="5" t="s">
        <v>97</v>
      </c>
      <c r="W937" s="5" t="s">
        <v>2482</v>
      </c>
      <c r="AA937" s="5" t="s">
        <v>86</v>
      </c>
      <c r="AH937" s="1430" t="s">
        <v>86</v>
      </c>
      <c r="AY937" s="1430" t="s">
        <v>86</v>
      </c>
      <c r="BN937" s="1430" t="s">
        <v>86</v>
      </c>
      <c r="CF937" s="1442" t="str">
        <f>IF([1]!sommaire[[#This Row],[présence des personnes déplacés interne]]="Oui","1","0")</f>
        <v>0</v>
      </c>
      <c r="CG937" s="1442" t="str">
        <f>IF([1]!sommaire[[#This Row],[présence Réfugié hors camp]]="Oui","1","0")</f>
        <v>0</v>
      </c>
      <c r="CH937" s="1442" t="str">
        <f>IF([1]!sommaire[[#This Row],[présence personnes retournées]]="Oui","1","0")</f>
        <v>0</v>
      </c>
      <c r="CI937" s="1442">
        <f>[1]!sommaire[[#This Row],[Flag PDI]]+[1]!sommaire[[#This Row],[Flag REF]]+[1]!sommaire[[#This Row],[Flag RET]]</f>
        <v>0</v>
      </c>
    </row>
    <row r="938" spans="1:87" ht="14.55" customHeight="1" x14ac:dyDescent="0.3">
      <c r="A938" s="390">
        <v>2656948</v>
      </c>
      <c r="B938" s="5" t="s">
        <v>533</v>
      </c>
      <c r="C938" s="1430" t="s">
        <v>3449</v>
      </c>
      <c r="D938" s="1090" t="s">
        <v>534</v>
      </c>
      <c r="E938" s="5" t="s">
        <v>34</v>
      </c>
      <c r="F938" s="5" t="s">
        <v>34</v>
      </c>
      <c r="G938" s="5" t="s">
        <v>539</v>
      </c>
      <c r="H938" s="5" t="s">
        <v>187</v>
      </c>
      <c r="I938" s="5" t="str">
        <f>_xlfn.XLOOKUP(sommaire[[#This Row],[Arrondissement_code]],OCHA_GIS!$F:$F,OCHA_GIS!$E:$E,,)</f>
        <v>Kolofata</v>
      </c>
      <c r="J938" s="5" t="s">
        <v>951</v>
      </c>
      <c r="K938" t="s">
        <v>2554</v>
      </c>
      <c r="L938" s="5" t="s">
        <v>1724</v>
      </c>
      <c r="N938" s="5" t="s">
        <v>3053</v>
      </c>
      <c r="O938" s="5" t="s">
        <v>2467</v>
      </c>
      <c r="P938" s="5" t="s">
        <v>85</v>
      </c>
      <c r="Q938" s="5" t="s">
        <v>86</v>
      </c>
      <c r="R938" s="5" t="s">
        <v>86</v>
      </c>
      <c r="T938" s="390">
        <v>3</v>
      </c>
      <c r="U938" s="5" t="s">
        <v>97</v>
      </c>
      <c r="W938" s="5" t="s">
        <v>2468</v>
      </c>
      <c r="X938" s="5" t="s">
        <v>102</v>
      </c>
      <c r="AA938" s="5" t="s">
        <v>86</v>
      </c>
      <c r="AG938" s="5">
        <v>5890</v>
      </c>
      <c r="AH938" s="1430" t="s">
        <v>86</v>
      </c>
      <c r="AY938" s="1430" t="s">
        <v>86</v>
      </c>
      <c r="BN938" s="1430" t="s">
        <v>86</v>
      </c>
      <c r="CF938" s="1442" t="str">
        <f>IF([1]!sommaire[[#This Row],[présence des personnes déplacés interne]]="Oui","1","0")</f>
        <v>0</v>
      </c>
      <c r="CG938" s="1442" t="str">
        <f>IF([1]!sommaire[[#This Row],[présence Réfugié hors camp]]="Oui","1","0")</f>
        <v>0</v>
      </c>
      <c r="CH938" s="1442" t="str">
        <f>IF([1]!sommaire[[#This Row],[présence personnes retournées]]="Oui","1","0")</f>
        <v>0</v>
      </c>
      <c r="CI938" s="1442">
        <f>[1]!sommaire[[#This Row],[Flag PDI]]+[1]!sommaire[[#This Row],[Flag REF]]+[1]!sommaire[[#This Row],[Flag RET]]</f>
        <v>0</v>
      </c>
    </row>
    <row r="939" spans="1:87" ht="14.55" customHeight="1" x14ac:dyDescent="0.3">
      <c r="A939" s="390">
        <v>2674303</v>
      </c>
      <c r="B939" s="5" t="s">
        <v>533</v>
      </c>
      <c r="C939" s="1430" t="s">
        <v>3449</v>
      </c>
      <c r="D939" s="1090" t="s">
        <v>534</v>
      </c>
      <c r="E939" s="5" t="s">
        <v>34</v>
      </c>
      <c r="F939" s="5" t="s">
        <v>34</v>
      </c>
      <c r="G939" s="5" t="s">
        <v>539</v>
      </c>
      <c r="H939" s="5" t="s">
        <v>187</v>
      </c>
      <c r="I939" s="5" t="str">
        <f>_xlfn.XLOOKUP(sommaire[[#This Row],[Arrondissement_code]],OCHA_GIS!$F:$F,OCHA_GIS!$E:$E,,)</f>
        <v>Kolofata</v>
      </c>
      <c r="J939" s="5" t="s">
        <v>951</v>
      </c>
      <c r="K939" t="s">
        <v>2916</v>
      </c>
      <c r="L939" s="5" t="s">
        <v>2564</v>
      </c>
      <c r="N939" s="5" t="s">
        <v>3053</v>
      </c>
      <c r="O939" s="5" t="s">
        <v>2467</v>
      </c>
      <c r="P939" s="5" t="s">
        <v>86</v>
      </c>
      <c r="Q939" s="5" t="s">
        <v>86</v>
      </c>
      <c r="R939" s="5" t="s">
        <v>85</v>
      </c>
      <c r="U939" s="5" t="s">
        <v>100</v>
      </c>
      <c r="W939" s="5" t="s">
        <v>2482</v>
      </c>
      <c r="AA939" s="5" t="s">
        <v>86</v>
      </c>
      <c r="AH939" s="1430" t="s">
        <v>86</v>
      </c>
      <c r="AY939" s="1430" t="s">
        <v>86</v>
      </c>
      <c r="BN939" s="1430" t="s">
        <v>86</v>
      </c>
      <c r="CF939" s="1442" t="str">
        <f>IF([1]!sommaire[[#This Row],[présence des personnes déplacés interne]]="Oui","1","0")</f>
        <v>0</v>
      </c>
      <c r="CG939" s="1442" t="str">
        <f>IF([1]!sommaire[[#This Row],[présence Réfugié hors camp]]="Oui","1","0")</f>
        <v>0</v>
      </c>
      <c r="CH939" s="1442" t="str">
        <f>IF([1]!sommaire[[#This Row],[présence personnes retournées]]="Oui","1","0")</f>
        <v>0</v>
      </c>
      <c r="CI939" s="1442">
        <f>[1]!sommaire[[#This Row],[Flag PDI]]+[1]!sommaire[[#This Row],[Flag REF]]+[1]!sommaire[[#This Row],[Flag RET]]</f>
        <v>0</v>
      </c>
    </row>
    <row r="940" spans="1:87" ht="14.55" customHeight="1" x14ac:dyDescent="0.3">
      <c r="A940" s="390">
        <v>2617517</v>
      </c>
      <c r="B940" s="5" t="s">
        <v>533</v>
      </c>
      <c r="C940" s="1430" t="s">
        <v>3449</v>
      </c>
      <c r="D940" s="1090" t="s">
        <v>534</v>
      </c>
      <c r="E940" s="5" t="s">
        <v>34</v>
      </c>
      <c r="F940" s="5" t="s">
        <v>34</v>
      </c>
      <c r="G940" s="5" t="s">
        <v>539</v>
      </c>
      <c r="H940" s="5" t="s">
        <v>187</v>
      </c>
      <c r="I940" s="5" t="str">
        <f>_xlfn.XLOOKUP(sommaire[[#This Row],[Arrondissement_code]],OCHA_GIS!$F:$F,OCHA_GIS!$E:$E,,)</f>
        <v>Kolofata</v>
      </c>
      <c r="J940" s="5" t="s">
        <v>951</v>
      </c>
      <c r="K940" t="s">
        <v>2919</v>
      </c>
      <c r="L940" s="5" t="s">
        <v>1575</v>
      </c>
      <c r="N940" s="5" t="s">
        <v>3053</v>
      </c>
      <c r="O940" s="5" t="s">
        <v>2467</v>
      </c>
      <c r="P940" s="5" t="s">
        <v>85</v>
      </c>
      <c r="Q940" s="5" t="s">
        <v>86</v>
      </c>
      <c r="R940" s="5" t="s">
        <v>85</v>
      </c>
      <c r="T940" s="390">
        <v>5</v>
      </c>
      <c r="U940" s="5" t="s">
        <v>97</v>
      </c>
      <c r="W940" s="5" t="s">
        <v>2468</v>
      </c>
      <c r="X940" s="5" t="s">
        <v>103</v>
      </c>
      <c r="Y940" s="5" t="s">
        <v>2511</v>
      </c>
      <c r="AA940" s="1175" t="s">
        <v>85</v>
      </c>
      <c r="AB940" s="5" t="s">
        <v>2469</v>
      </c>
      <c r="AC940" s="5" t="s">
        <v>2473</v>
      </c>
      <c r="AD940" s="5" t="s">
        <v>86</v>
      </c>
      <c r="AF940" s="5">
        <v>832</v>
      </c>
      <c r="AG940" s="5">
        <v>9975</v>
      </c>
      <c r="AH940" s="5" t="s">
        <v>85</v>
      </c>
      <c r="AI940" s="5" t="s">
        <v>2485</v>
      </c>
      <c r="AJ940" s="5">
        <v>832</v>
      </c>
      <c r="AK940" s="5">
        <v>6588</v>
      </c>
      <c r="AL940" s="5">
        <v>2900</v>
      </c>
      <c r="AM940" s="5">
        <v>3688</v>
      </c>
      <c r="AN940" s="5">
        <v>0</v>
      </c>
      <c r="AO940" s="5">
        <v>424</v>
      </c>
      <c r="AP940" s="5">
        <v>0</v>
      </c>
      <c r="AQ940" s="5">
        <v>0</v>
      </c>
      <c r="AT940" s="5">
        <v>0</v>
      </c>
      <c r="AU940" s="5">
        <v>408</v>
      </c>
      <c r="AV940" s="5" t="s">
        <v>2490</v>
      </c>
      <c r="AX940" s="5">
        <v>0</v>
      </c>
      <c r="AY940" s="5" t="s">
        <v>86</v>
      </c>
      <c r="BN940" s="5" t="s">
        <v>85</v>
      </c>
      <c r="BO940" s="5">
        <v>52</v>
      </c>
      <c r="BP940" s="5">
        <v>375</v>
      </c>
      <c r="BQ940" s="5">
        <v>167</v>
      </c>
      <c r="BR940" s="5">
        <v>208</v>
      </c>
      <c r="BS940" s="5" t="s">
        <v>2535</v>
      </c>
      <c r="BT940" s="5">
        <v>0</v>
      </c>
      <c r="BU940" s="5">
        <v>52</v>
      </c>
      <c r="BV940" s="5">
        <v>0</v>
      </c>
      <c r="BW940" s="5">
        <v>0</v>
      </c>
      <c r="BX940" s="5">
        <v>0</v>
      </c>
      <c r="BZ940" s="5">
        <v>0</v>
      </c>
      <c r="CA940" s="5">
        <v>0</v>
      </c>
      <c r="CC940" s="5">
        <v>0</v>
      </c>
      <c r="CD940" s="5">
        <v>0</v>
      </c>
      <c r="CF940" s="1442" t="str">
        <f>IF([1]!sommaire[[#This Row],[présence des personnes déplacés interne]]="Oui","1","0")</f>
        <v>1</v>
      </c>
      <c r="CG940" s="1442" t="str">
        <f>IF([1]!sommaire[[#This Row],[présence Réfugié hors camp]]="Oui","1","0")</f>
        <v>0</v>
      </c>
      <c r="CH940" s="1442" t="str">
        <f>IF([1]!sommaire[[#This Row],[présence personnes retournées]]="Oui","1","0")</f>
        <v>1</v>
      </c>
      <c r="CI940" s="1442">
        <f>[1]!sommaire[[#This Row],[Flag PDI]]+[1]!sommaire[[#This Row],[Flag REF]]+[1]!sommaire[[#This Row],[Flag RET]]</f>
        <v>2</v>
      </c>
    </row>
    <row r="941" spans="1:87" ht="14.55" customHeight="1" x14ac:dyDescent="0.3">
      <c r="A941" s="390">
        <v>2617518</v>
      </c>
      <c r="B941" s="5" t="s">
        <v>533</v>
      </c>
      <c r="C941" s="1430" t="s">
        <v>3449</v>
      </c>
      <c r="D941" s="1090" t="s">
        <v>534</v>
      </c>
      <c r="E941" s="5" t="s">
        <v>34</v>
      </c>
      <c r="F941" s="5" t="s">
        <v>34</v>
      </c>
      <c r="G941" s="5" t="s">
        <v>539</v>
      </c>
      <c r="H941" s="5" t="s">
        <v>187</v>
      </c>
      <c r="I941" s="5" t="str">
        <f>_xlfn.XLOOKUP(sommaire[[#This Row],[Arrondissement_code]],OCHA_GIS!$F:$F,OCHA_GIS!$E:$E,,)</f>
        <v>Kolofata</v>
      </c>
      <c r="J941" s="5" t="s">
        <v>951</v>
      </c>
      <c r="K941" t="s">
        <v>2934</v>
      </c>
      <c r="L941" s="5" t="s">
        <v>2565</v>
      </c>
      <c r="N941" s="5" t="s">
        <v>3053</v>
      </c>
      <c r="O941" s="5" t="s">
        <v>2467</v>
      </c>
      <c r="P941" s="5" t="s">
        <v>86</v>
      </c>
      <c r="Q941" s="5" t="s">
        <v>86</v>
      </c>
      <c r="R941" s="5" t="s">
        <v>85</v>
      </c>
      <c r="U941" s="5" t="s">
        <v>97</v>
      </c>
      <c r="W941" s="5" t="s">
        <v>2482</v>
      </c>
      <c r="AA941" s="5" t="s">
        <v>86</v>
      </c>
      <c r="AH941" s="1430" t="s">
        <v>86</v>
      </c>
      <c r="AY941" s="1430" t="s">
        <v>86</v>
      </c>
      <c r="BN941" s="1430" t="s">
        <v>86</v>
      </c>
      <c r="CF941" s="1442" t="str">
        <f>IF([1]!sommaire[[#This Row],[présence des personnes déplacés interne]]="Oui","1","0")</f>
        <v>0</v>
      </c>
      <c r="CG941" s="1442" t="str">
        <f>IF([1]!sommaire[[#This Row],[présence Réfugié hors camp]]="Oui","1","0")</f>
        <v>0</v>
      </c>
      <c r="CH941" s="1442" t="str">
        <f>IF([1]!sommaire[[#This Row],[présence personnes retournées]]="Oui","1","0")</f>
        <v>0</v>
      </c>
      <c r="CI941" s="1442">
        <f>[1]!sommaire[[#This Row],[Flag PDI]]+[1]!sommaire[[#This Row],[Flag REF]]+[1]!sommaire[[#This Row],[Flag RET]]</f>
        <v>0</v>
      </c>
    </row>
    <row r="942" spans="1:87" ht="14.55" customHeight="1" x14ac:dyDescent="0.3">
      <c r="A942" s="390">
        <v>2672396</v>
      </c>
      <c r="B942" s="5" t="s">
        <v>533</v>
      </c>
      <c r="C942" s="1430" t="s">
        <v>3449</v>
      </c>
      <c r="D942" s="1090" t="s">
        <v>534</v>
      </c>
      <c r="E942" s="5" t="s">
        <v>34</v>
      </c>
      <c r="F942" s="5" t="s">
        <v>34</v>
      </c>
      <c r="G942" s="5" t="s">
        <v>539</v>
      </c>
      <c r="H942" s="5" t="s">
        <v>187</v>
      </c>
      <c r="I942" s="5" t="str">
        <f>_xlfn.XLOOKUP(sommaire[[#This Row],[Arrondissement_code]],OCHA_GIS!$F:$F,OCHA_GIS!$E:$E,,)</f>
        <v>Kolofata</v>
      </c>
      <c r="J942" s="5" t="s">
        <v>951</v>
      </c>
      <c r="K942" t="s">
        <v>2552</v>
      </c>
      <c r="L942" s="5" t="s">
        <v>2559</v>
      </c>
      <c r="N942" s="5" t="s">
        <v>3053</v>
      </c>
      <c r="O942" s="5" t="s">
        <v>2467</v>
      </c>
      <c r="P942" s="5" t="s">
        <v>86</v>
      </c>
      <c r="Q942" s="5" t="s">
        <v>86</v>
      </c>
      <c r="R942" s="5" t="s">
        <v>85</v>
      </c>
      <c r="U942" s="5" t="s">
        <v>97</v>
      </c>
      <c r="W942" s="5" t="s">
        <v>2482</v>
      </c>
      <c r="AA942" s="5" t="s">
        <v>86</v>
      </c>
      <c r="AH942" s="1430" t="s">
        <v>86</v>
      </c>
      <c r="AY942" s="1430" t="s">
        <v>86</v>
      </c>
      <c r="BN942" s="1430" t="s">
        <v>86</v>
      </c>
      <c r="CF942" s="1442" t="str">
        <f>IF([1]!sommaire[[#This Row],[présence des personnes déplacés interne]]="Oui","1","0")</f>
        <v>0</v>
      </c>
      <c r="CG942" s="1442" t="str">
        <f>IF([1]!sommaire[[#This Row],[présence Réfugié hors camp]]="Oui","1","0")</f>
        <v>0</v>
      </c>
      <c r="CH942" s="1442" t="str">
        <f>IF([1]!sommaire[[#This Row],[présence personnes retournées]]="Oui","1","0")</f>
        <v>0</v>
      </c>
      <c r="CI942" s="1442">
        <f>[1]!sommaire[[#This Row],[Flag PDI]]+[1]!sommaire[[#This Row],[Flag REF]]+[1]!sommaire[[#This Row],[Flag RET]]</f>
        <v>0</v>
      </c>
    </row>
    <row r="943" spans="1:87" ht="14.55" customHeight="1" x14ac:dyDescent="0.3">
      <c r="A943" s="390">
        <v>2656085</v>
      </c>
      <c r="B943" s="5" t="s">
        <v>533</v>
      </c>
      <c r="C943" s="1430" t="s">
        <v>3449</v>
      </c>
      <c r="D943" s="1090" t="s">
        <v>534</v>
      </c>
      <c r="E943" s="5" t="s">
        <v>34</v>
      </c>
      <c r="F943" s="5" t="s">
        <v>34</v>
      </c>
      <c r="G943" s="5" t="s">
        <v>539</v>
      </c>
      <c r="H943" s="5" t="s">
        <v>187</v>
      </c>
      <c r="I943" s="5" t="str">
        <f>_xlfn.XLOOKUP(sommaire[[#This Row],[Arrondissement_code]],OCHA_GIS!$F:$F,OCHA_GIS!$E:$E,,)</f>
        <v>Kolofata</v>
      </c>
      <c r="J943" s="5" t="s">
        <v>951</v>
      </c>
      <c r="K943" t="s">
        <v>3004</v>
      </c>
      <c r="L943" s="5" t="s">
        <v>1379</v>
      </c>
      <c r="N943" s="5" t="s">
        <v>3053</v>
      </c>
      <c r="O943" s="5" t="s">
        <v>2467</v>
      </c>
      <c r="P943" s="5" t="s">
        <v>85</v>
      </c>
      <c r="Q943" s="5" t="s">
        <v>86</v>
      </c>
      <c r="R943" s="5" t="s">
        <v>85</v>
      </c>
      <c r="T943" s="390">
        <v>4</v>
      </c>
      <c r="U943" s="5" t="s">
        <v>97</v>
      </c>
      <c r="W943" s="5" t="s">
        <v>2468</v>
      </c>
      <c r="X943" s="5" t="s">
        <v>103</v>
      </c>
      <c r="Y943" s="5" t="s">
        <v>2511</v>
      </c>
      <c r="AA943" s="586" t="s">
        <v>85</v>
      </c>
      <c r="AB943" s="5" t="s">
        <v>2469</v>
      </c>
      <c r="AC943" s="5" t="s">
        <v>2470</v>
      </c>
      <c r="AD943" s="5" t="s">
        <v>86</v>
      </c>
      <c r="AF943" s="5">
        <v>103</v>
      </c>
      <c r="AG943" s="5">
        <v>2277</v>
      </c>
      <c r="AH943" s="5" t="s">
        <v>85</v>
      </c>
      <c r="AI943" s="5" t="s">
        <v>2485</v>
      </c>
      <c r="AJ943" s="5">
        <v>103</v>
      </c>
      <c r="AK943" s="5">
        <v>471</v>
      </c>
      <c r="AL943" s="5">
        <v>198</v>
      </c>
      <c r="AM943" s="5">
        <v>273</v>
      </c>
      <c r="AN943" s="5">
        <v>0</v>
      </c>
      <c r="AO943" s="5">
        <v>103</v>
      </c>
      <c r="AP943" s="5">
        <v>0</v>
      </c>
      <c r="AQ943" s="5">
        <v>0</v>
      </c>
      <c r="AT943" s="5">
        <v>0</v>
      </c>
      <c r="AU943" s="5">
        <v>0</v>
      </c>
      <c r="AX943" s="5">
        <v>0</v>
      </c>
      <c r="AY943" s="5" t="s">
        <v>86</v>
      </c>
      <c r="BN943" s="5" t="s">
        <v>85</v>
      </c>
      <c r="BO943" s="5">
        <v>83</v>
      </c>
      <c r="BP943" s="5">
        <v>556</v>
      </c>
      <c r="BQ943" s="5">
        <v>240</v>
      </c>
      <c r="BR943" s="5">
        <v>316</v>
      </c>
      <c r="BS943" s="5" t="s">
        <v>2535</v>
      </c>
      <c r="BT943" s="5">
        <v>0</v>
      </c>
      <c r="BU943" s="5">
        <v>83</v>
      </c>
      <c r="BV943" s="5">
        <v>0</v>
      </c>
      <c r="BW943" s="5">
        <v>0</v>
      </c>
      <c r="BX943" s="5">
        <v>0</v>
      </c>
      <c r="BZ943" s="5">
        <v>0</v>
      </c>
      <c r="CA943" s="5">
        <v>0</v>
      </c>
      <c r="CC943" s="5">
        <v>0</v>
      </c>
      <c r="CD943" s="5">
        <v>0</v>
      </c>
      <c r="CF943" s="1442" t="str">
        <f>IF([1]!sommaire[[#This Row],[présence des personnes déplacés interne]]="Oui","1","0")</f>
        <v>1</v>
      </c>
      <c r="CG943" s="1442" t="str">
        <f>IF([1]!sommaire[[#This Row],[présence Réfugié hors camp]]="Oui","1","0")</f>
        <v>0</v>
      </c>
      <c r="CH943" s="1442" t="str">
        <f>IF([1]!sommaire[[#This Row],[présence personnes retournées]]="Oui","1","0")</f>
        <v>1</v>
      </c>
      <c r="CI943" s="1442">
        <f>[1]!sommaire[[#This Row],[Flag PDI]]+[1]!sommaire[[#This Row],[Flag REF]]+[1]!sommaire[[#This Row],[Flag RET]]</f>
        <v>2</v>
      </c>
    </row>
    <row r="944" spans="1:87" ht="14.55" customHeight="1" x14ac:dyDescent="0.3">
      <c r="A944" s="390">
        <v>2631885</v>
      </c>
      <c r="B944" s="5" t="s">
        <v>533</v>
      </c>
      <c r="C944" s="1430" t="s">
        <v>3449</v>
      </c>
      <c r="D944" s="1090" t="s">
        <v>534</v>
      </c>
      <c r="E944" s="5" t="s">
        <v>34</v>
      </c>
      <c r="F944" s="5" t="s">
        <v>34</v>
      </c>
      <c r="G944" s="5" t="s">
        <v>539</v>
      </c>
      <c r="H944" s="5" t="s">
        <v>187</v>
      </c>
      <c r="I944" s="5" t="str">
        <f>_xlfn.XLOOKUP(sommaire[[#This Row],[Arrondissement_code]],OCHA_GIS!$F:$F,OCHA_GIS!$E:$E,,)</f>
        <v>Kolofata</v>
      </c>
      <c r="J944" s="5" t="s">
        <v>951</v>
      </c>
      <c r="K944" t="s">
        <v>1617</v>
      </c>
      <c r="L944" s="5" t="s">
        <v>2551</v>
      </c>
      <c r="N944" s="5" t="s">
        <v>3053</v>
      </c>
      <c r="O944" s="5" t="s">
        <v>2467</v>
      </c>
      <c r="P944" s="5" t="s">
        <v>86</v>
      </c>
      <c r="Q944" s="5" t="s">
        <v>86</v>
      </c>
      <c r="R944" s="5" t="s">
        <v>85</v>
      </c>
      <c r="U944" s="5" t="s">
        <v>100</v>
      </c>
      <c r="W944" s="5" t="s">
        <v>2482</v>
      </c>
      <c r="AA944" s="5" t="s">
        <v>86</v>
      </c>
      <c r="AH944" s="1430" t="s">
        <v>86</v>
      </c>
      <c r="AY944" s="1430" t="s">
        <v>86</v>
      </c>
      <c r="BN944" s="1430" t="s">
        <v>86</v>
      </c>
      <c r="CF944" s="1442" t="str">
        <f>IF([1]!sommaire[[#This Row],[présence des personnes déplacés interne]]="Oui","1","0")</f>
        <v>0</v>
      </c>
      <c r="CG944" s="1442" t="str">
        <f>IF([1]!sommaire[[#This Row],[présence Réfugié hors camp]]="Oui","1","0")</f>
        <v>0</v>
      </c>
      <c r="CH944" s="1442" t="str">
        <f>IF([1]!sommaire[[#This Row],[présence personnes retournées]]="Oui","1","0")</f>
        <v>0</v>
      </c>
      <c r="CI944" s="1442">
        <f>[1]!sommaire[[#This Row],[Flag PDI]]+[1]!sommaire[[#This Row],[Flag REF]]+[1]!sommaire[[#This Row],[Flag RET]]</f>
        <v>0</v>
      </c>
    </row>
    <row r="945" spans="1:87" ht="14.55" customHeight="1" x14ac:dyDescent="0.3">
      <c r="A945" s="390">
        <v>2679097</v>
      </c>
      <c r="B945" s="5" t="s">
        <v>533</v>
      </c>
      <c r="C945" s="1430" t="s">
        <v>3449</v>
      </c>
      <c r="D945" s="1090" t="s">
        <v>534</v>
      </c>
      <c r="E945" s="5" t="s">
        <v>34</v>
      </c>
      <c r="F945" s="5" t="s">
        <v>34</v>
      </c>
      <c r="G945" s="5" t="s">
        <v>539</v>
      </c>
      <c r="H945" s="5" t="s">
        <v>187</v>
      </c>
      <c r="I945" s="5" t="str">
        <f>_xlfn.XLOOKUP(sommaire[[#This Row],[Arrondissement_code]],OCHA_GIS!$F:$F,OCHA_GIS!$E:$E,,)</f>
        <v>Kolofata</v>
      </c>
      <c r="J945" s="5" t="s">
        <v>951</v>
      </c>
      <c r="K945" t="s">
        <v>3005</v>
      </c>
      <c r="L945" s="5" t="s">
        <v>1612</v>
      </c>
      <c r="N945" s="5" t="s">
        <v>3053</v>
      </c>
      <c r="O945" s="5" t="s">
        <v>2467</v>
      </c>
      <c r="P945" s="5" t="s">
        <v>85</v>
      </c>
      <c r="Q945" s="5" t="s">
        <v>86</v>
      </c>
      <c r="R945" s="5" t="s">
        <v>85</v>
      </c>
      <c r="T945" s="390">
        <v>3</v>
      </c>
      <c r="U945" s="5" t="s">
        <v>97</v>
      </c>
      <c r="W945" s="5" t="s">
        <v>2468</v>
      </c>
      <c r="X945" s="5" t="s">
        <v>102</v>
      </c>
      <c r="AA945" s="5" t="s">
        <v>85</v>
      </c>
      <c r="AB945" s="5" t="s">
        <v>2469</v>
      </c>
      <c r="AC945" s="5" t="s">
        <v>312</v>
      </c>
      <c r="AD945" s="5" t="s">
        <v>86</v>
      </c>
      <c r="AF945" s="5">
        <v>90</v>
      </c>
      <c r="AG945" s="5">
        <v>3092</v>
      </c>
      <c r="AH945" s="5" t="s">
        <v>85</v>
      </c>
      <c r="AI945" s="5" t="s">
        <v>2471</v>
      </c>
      <c r="AJ945" s="5">
        <v>90</v>
      </c>
      <c r="AK945" s="5">
        <v>551</v>
      </c>
      <c r="AL945" s="5">
        <v>226</v>
      </c>
      <c r="AM945" s="5">
        <v>325</v>
      </c>
      <c r="AN945" s="5">
        <v>0</v>
      </c>
      <c r="AO945" s="5">
        <v>90</v>
      </c>
      <c r="AP945" s="5">
        <v>0</v>
      </c>
      <c r="AQ945" s="5">
        <v>0</v>
      </c>
      <c r="AT945" s="5">
        <v>0</v>
      </c>
      <c r="AU945" s="5">
        <v>0</v>
      </c>
      <c r="AX945" s="5">
        <v>0</v>
      </c>
      <c r="AY945" s="5" t="s">
        <v>86</v>
      </c>
      <c r="BN945" s="5" t="s">
        <v>85</v>
      </c>
      <c r="BO945" s="5">
        <v>40</v>
      </c>
      <c r="BP945" s="5">
        <v>314</v>
      </c>
      <c r="BQ945" s="5">
        <v>134</v>
      </c>
      <c r="BR945" s="5">
        <v>180</v>
      </c>
      <c r="BS945" s="5" t="s">
        <v>2535</v>
      </c>
      <c r="BT945" s="5">
        <v>0</v>
      </c>
      <c r="BU945" s="5">
        <v>40</v>
      </c>
      <c r="BV945" s="5">
        <v>0</v>
      </c>
      <c r="BW945" s="5">
        <v>0</v>
      </c>
      <c r="BX945" s="5">
        <v>0</v>
      </c>
      <c r="BZ945" s="5">
        <v>0</v>
      </c>
      <c r="CA945" s="5">
        <v>0</v>
      </c>
      <c r="CC945" s="5">
        <v>0</v>
      </c>
      <c r="CD945" s="5">
        <v>0</v>
      </c>
      <c r="CF945" s="1442" t="str">
        <f>IF([1]!sommaire[[#This Row],[présence des personnes déplacés interne]]="Oui","1","0")</f>
        <v>1</v>
      </c>
      <c r="CG945" s="1442" t="str">
        <f>IF([1]!sommaire[[#This Row],[présence Réfugié hors camp]]="Oui","1","0")</f>
        <v>0</v>
      </c>
      <c r="CH945" s="1442" t="str">
        <f>IF([1]!sommaire[[#This Row],[présence personnes retournées]]="Oui","1","0")</f>
        <v>1</v>
      </c>
      <c r="CI945" s="1442">
        <f>[1]!sommaire[[#This Row],[Flag PDI]]+[1]!sommaire[[#This Row],[Flag REF]]+[1]!sommaire[[#This Row],[Flag RET]]</f>
        <v>2</v>
      </c>
    </row>
    <row r="946" spans="1:87" ht="14.55" customHeight="1" x14ac:dyDescent="0.3">
      <c r="A946" s="390">
        <v>2656946</v>
      </c>
      <c r="B946" s="5" t="s">
        <v>533</v>
      </c>
      <c r="C946" s="1430" t="s">
        <v>3449</v>
      </c>
      <c r="D946" s="1090" t="s">
        <v>534</v>
      </c>
      <c r="E946" s="5" t="s">
        <v>34</v>
      </c>
      <c r="F946" s="5" t="s">
        <v>34</v>
      </c>
      <c r="G946" s="5" t="s">
        <v>539</v>
      </c>
      <c r="H946" s="5" t="s">
        <v>187</v>
      </c>
      <c r="I946" s="5" t="str">
        <f>_xlfn.XLOOKUP(sommaire[[#This Row],[Arrondissement_code]],OCHA_GIS!$F:$F,OCHA_GIS!$E:$E,,)</f>
        <v>Kolofata</v>
      </c>
      <c r="J946" s="5" t="s">
        <v>951</v>
      </c>
      <c r="K946" t="s">
        <v>1595</v>
      </c>
      <c r="L946" s="5" t="s">
        <v>1467</v>
      </c>
      <c r="N946" s="5" t="s">
        <v>3053</v>
      </c>
      <c r="O946" s="5" t="s">
        <v>2473</v>
      </c>
      <c r="P946" s="5" t="s">
        <v>85</v>
      </c>
      <c r="Q946" s="5" t="s">
        <v>86</v>
      </c>
      <c r="R946" s="5" t="s">
        <v>86</v>
      </c>
      <c r="T946" s="390">
        <v>4</v>
      </c>
      <c r="U946" s="5" t="s">
        <v>97</v>
      </c>
      <c r="W946" s="5" t="s">
        <v>2468</v>
      </c>
      <c r="X946" s="5" t="s">
        <v>103</v>
      </c>
      <c r="Y946" s="5" t="s">
        <v>2511</v>
      </c>
      <c r="AA946" s="5" t="s">
        <v>85</v>
      </c>
      <c r="AB946" s="5" t="s">
        <v>2473</v>
      </c>
      <c r="AC946" s="5" t="s">
        <v>2469</v>
      </c>
      <c r="AF946" s="5">
        <v>63</v>
      </c>
      <c r="AG946" s="5">
        <v>385</v>
      </c>
      <c r="AH946" s="5" t="s">
        <v>85</v>
      </c>
      <c r="AI946" s="5" t="s">
        <v>2471</v>
      </c>
      <c r="AJ946" s="5">
        <v>63</v>
      </c>
      <c r="AK946" s="5">
        <v>385</v>
      </c>
      <c r="AL946" s="5">
        <v>120</v>
      </c>
      <c r="AM946" s="5">
        <v>265</v>
      </c>
      <c r="AN946" s="5">
        <v>0</v>
      </c>
      <c r="AO946" s="5">
        <v>0</v>
      </c>
      <c r="AP946" s="5">
        <v>0</v>
      </c>
      <c r="AQ946" s="5">
        <v>0</v>
      </c>
      <c r="AT946" s="5">
        <v>0</v>
      </c>
      <c r="AU946" s="5">
        <v>63</v>
      </c>
      <c r="AV946" s="5" t="s">
        <v>2490</v>
      </c>
      <c r="AX946" s="5">
        <v>0</v>
      </c>
      <c r="AY946" s="5" t="s">
        <v>86</v>
      </c>
      <c r="BN946" s="5" t="s">
        <v>86</v>
      </c>
      <c r="CD946" s="5">
        <v>0</v>
      </c>
      <c r="CF946" s="1442" t="str">
        <f>IF([1]!sommaire[[#This Row],[présence des personnes déplacés interne]]="Oui","1","0")</f>
        <v>1</v>
      </c>
      <c r="CG946" s="1442" t="str">
        <f>IF([1]!sommaire[[#This Row],[présence Réfugié hors camp]]="Oui","1","0")</f>
        <v>0</v>
      </c>
      <c r="CH946" s="1442" t="str">
        <f>IF([1]!sommaire[[#This Row],[présence personnes retournées]]="Oui","1","0")</f>
        <v>0</v>
      </c>
      <c r="CI946" s="1442">
        <f>[1]!sommaire[[#This Row],[Flag PDI]]+[1]!sommaire[[#This Row],[Flag REF]]+[1]!sommaire[[#This Row],[Flag RET]]</f>
        <v>1</v>
      </c>
    </row>
    <row r="947" spans="1:87" ht="14.55" customHeight="1" x14ac:dyDescent="0.3">
      <c r="A947" s="390">
        <v>2655871</v>
      </c>
      <c r="B947" s="5" t="s">
        <v>533</v>
      </c>
      <c r="C947" s="1430" t="s">
        <v>3449</v>
      </c>
      <c r="D947" s="5" t="s">
        <v>534</v>
      </c>
      <c r="E947" s="5" t="s">
        <v>34</v>
      </c>
      <c r="F947" s="5" t="s">
        <v>34</v>
      </c>
      <c r="G947" s="5" t="s">
        <v>539</v>
      </c>
      <c r="H947" s="5" t="s">
        <v>187</v>
      </c>
      <c r="I947" s="5" t="str">
        <f>_xlfn.XLOOKUP(sommaire[[#This Row],[Arrondissement_code]],OCHA_GIS!$F:$F,OCHA_GIS!$E:$E,,)</f>
        <v>Kolofata</v>
      </c>
      <c r="J947" s="5" t="s">
        <v>951</v>
      </c>
      <c r="K947" t="s">
        <v>3006</v>
      </c>
      <c r="L947" s="5" t="s">
        <v>1466</v>
      </c>
      <c r="N947" s="5" t="s">
        <v>3053</v>
      </c>
      <c r="O947" s="5" t="s">
        <v>2473</v>
      </c>
      <c r="P947" s="5" t="s">
        <v>85</v>
      </c>
      <c r="Q947" s="5" t="s">
        <v>86</v>
      </c>
      <c r="R947" s="5" t="s">
        <v>85</v>
      </c>
      <c r="T947" s="390">
        <v>4</v>
      </c>
      <c r="U947" s="5" t="s">
        <v>97</v>
      </c>
      <c r="W947" s="5" t="s">
        <v>2468</v>
      </c>
      <c r="X947" s="5" t="s">
        <v>103</v>
      </c>
      <c r="Y947" s="5" t="s">
        <v>2511</v>
      </c>
      <c r="AA947" s="5" t="s">
        <v>85</v>
      </c>
      <c r="AB947" s="5" t="s">
        <v>2473</v>
      </c>
      <c r="AC947" s="5" t="s">
        <v>2469</v>
      </c>
      <c r="AF947" s="5">
        <v>354</v>
      </c>
      <c r="AG947" s="5">
        <v>2677</v>
      </c>
      <c r="AH947" s="5" t="s">
        <v>85</v>
      </c>
      <c r="AI947" s="5" t="s">
        <v>2471</v>
      </c>
      <c r="AJ947" s="5">
        <v>354</v>
      </c>
      <c r="AK947" s="5">
        <v>2677</v>
      </c>
      <c r="AL947" s="5">
        <v>1049</v>
      </c>
      <c r="AM947" s="5">
        <v>1628</v>
      </c>
      <c r="AN947" s="5">
        <v>0</v>
      </c>
      <c r="AO947" s="5">
        <v>10</v>
      </c>
      <c r="AP947" s="5">
        <v>0</v>
      </c>
      <c r="AQ947" s="5">
        <v>0</v>
      </c>
      <c r="AT947" s="5">
        <v>0</v>
      </c>
      <c r="AU947" s="5">
        <v>344</v>
      </c>
      <c r="AV947" s="5" t="s">
        <v>2490</v>
      </c>
      <c r="AX947" s="5">
        <v>0</v>
      </c>
      <c r="AY947" s="5" t="s">
        <v>86</v>
      </c>
      <c r="BN947" s="5" t="s">
        <v>86</v>
      </c>
      <c r="CD947" s="5">
        <v>0</v>
      </c>
      <c r="CF947" s="1442" t="str">
        <f>IF([1]!sommaire[[#This Row],[présence des personnes déplacés interne]]="Oui","1","0")</f>
        <v>1</v>
      </c>
      <c r="CG947" s="1442" t="str">
        <f>IF([1]!sommaire[[#This Row],[présence Réfugié hors camp]]="Oui","1","0")</f>
        <v>0</v>
      </c>
      <c r="CH947" s="1442" t="str">
        <f>IF([1]!sommaire[[#This Row],[présence personnes retournées]]="Oui","1","0")</f>
        <v>0</v>
      </c>
      <c r="CI947" s="1442">
        <f>[1]!sommaire[[#This Row],[Flag PDI]]+[1]!sommaire[[#This Row],[Flag REF]]+[1]!sommaire[[#This Row],[Flag RET]]</f>
        <v>1</v>
      </c>
    </row>
    <row r="948" spans="1:87" ht="14.55" customHeight="1" x14ac:dyDescent="0.3">
      <c r="A948" s="390">
        <v>2598548</v>
      </c>
      <c r="B948" s="5" t="s">
        <v>533</v>
      </c>
      <c r="C948" s="1430" t="s">
        <v>3449</v>
      </c>
      <c r="D948" s="5" t="s">
        <v>534</v>
      </c>
      <c r="E948" s="5" t="s">
        <v>34</v>
      </c>
      <c r="F948" s="5" t="s">
        <v>34</v>
      </c>
      <c r="G948" s="5" t="s">
        <v>539</v>
      </c>
      <c r="H948" s="5" t="s">
        <v>187</v>
      </c>
      <c r="I948" s="5" t="str">
        <f>_xlfn.XLOOKUP(sommaire[[#This Row],[Arrondissement_code]],OCHA_GIS!$F:$F,OCHA_GIS!$E:$E,,)</f>
        <v>Kolofata</v>
      </c>
      <c r="J948" s="5" t="s">
        <v>951</v>
      </c>
      <c r="K948" t="s">
        <v>3007</v>
      </c>
      <c r="L948" s="5" t="s">
        <v>1609</v>
      </c>
      <c r="N948" s="5" t="s">
        <v>3053</v>
      </c>
      <c r="O948" s="5" t="s">
        <v>2473</v>
      </c>
      <c r="P948" s="5" t="s">
        <v>85</v>
      </c>
      <c r="Q948" s="5" t="s">
        <v>86</v>
      </c>
      <c r="R948" s="5" t="s">
        <v>85</v>
      </c>
      <c r="T948" s="390">
        <v>3</v>
      </c>
      <c r="U948" s="5" t="s">
        <v>97</v>
      </c>
      <c r="W948" s="5" t="s">
        <v>2468</v>
      </c>
      <c r="X948" s="5" t="s">
        <v>103</v>
      </c>
      <c r="Y948" s="5" t="s">
        <v>2511</v>
      </c>
      <c r="AA948" s="5" t="s">
        <v>85</v>
      </c>
      <c r="AB948" s="5" t="s">
        <v>2473</v>
      </c>
      <c r="AC948" s="5" t="s">
        <v>2470</v>
      </c>
      <c r="AF948" s="5">
        <v>173</v>
      </c>
      <c r="AG948" s="5">
        <v>2235</v>
      </c>
      <c r="AH948" s="5" t="s">
        <v>85</v>
      </c>
      <c r="AI948" s="5" t="s">
        <v>2485</v>
      </c>
      <c r="AJ948" s="5">
        <v>173</v>
      </c>
      <c r="AK948" s="5">
        <v>1298</v>
      </c>
      <c r="AL948" s="5">
        <v>550</v>
      </c>
      <c r="AM948" s="5">
        <v>748</v>
      </c>
      <c r="AN948" s="5">
        <v>0</v>
      </c>
      <c r="AO948" s="5">
        <v>0</v>
      </c>
      <c r="AP948" s="5">
        <v>0</v>
      </c>
      <c r="AQ948" s="5">
        <v>0</v>
      </c>
      <c r="AT948" s="5">
        <v>0</v>
      </c>
      <c r="AU948" s="5">
        <v>173</v>
      </c>
      <c r="AV948" s="5" t="s">
        <v>2490</v>
      </c>
      <c r="AX948" s="5">
        <v>0</v>
      </c>
      <c r="AY948" s="5" t="s">
        <v>86</v>
      </c>
      <c r="BN948" s="5" t="s">
        <v>85</v>
      </c>
      <c r="BO948" s="5">
        <v>209</v>
      </c>
      <c r="BP948" s="5">
        <v>937</v>
      </c>
      <c r="BQ948" s="5">
        <v>334</v>
      </c>
      <c r="BR948" s="5">
        <v>603</v>
      </c>
      <c r="BS948" s="5" t="s">
        <v>2535</v>
      </c>
      <c r="BT948" s="5">
        <v>0</v>
      </c>
      <c r="BU948" s="5">
        <v>0</v>
      </c>
      <c r="BV948" s="5">
        <v>0</v>
      </c>
      <c r="BW948" s="5">
        <v>0</v>
      </c>
      <c r="BX948" s="5">
        <v>0</v>
      </c>
      <c r="BZ948" s="5">
        <v>0</v>
      </c>
      <c r="CA948" s="5">
        <v>209</v>
      </c>
      <c r="CB948" s="5" t="s">
        <v>2490</v>
      </c>
      <c r="CC948" s="5">
        <v>0</v>
      </c>
      <c r="CD948" s="5">
        <v>0</v>
      </c>
      <c r="CF948" s="1442" t="str">
        <f>IF([1]!sommaire[[#This Row],[présence des personnes déplacés interne]]="Oui","1","0")</f>
        <v>1</v>
      </c>
      <c r="CG948" s="1442" t="str">
        <f>IF([1]!sommaire[[#This Row],[présence Réfugié hors camp]]="Oui","1","0")</f>
        <v>0</v>
      </c>
      <c r="CH948" s="1442" t="str">
        <f>IF([1]!sommaire[[#This Row],[présence personnes retournées]]="Oui","1","0")</f>
        <v>1</v>
      </c>
      <c r="CI948" s="1442">
        <f>[1]!sommaire[[#This Row],[Flag PDI]]+[1]!sommaire[[#This Row],[Flag REF]]+[1]!sommaire[[#This Row],[Flag RET]]</f>
        <v>2</v>
      </c>
    </row>
    <row r="949" spans="1:87" ht="14.55" customHeight="1" x14ac:dyDescent="0.3">
      <c r="A949" s="390">
        <v>2674268</v>
      </c>
      <c r="B949" s="5" t="s">
        <v>533</v>
      </c>
      <c r="C949" s="1430" t="s">
        <v>3449</v>
      </c>
      <c r="D949" s="5" t="s">
        <v>534</v>
      </c>
      <c r="E949" s="5" t="s">
        <v>34</v>
      </c>
      <c r="F949" s="5" t="s">
        <v>34</v>
      </c>
      <c r="G949" s="5" t="s">
        <v>539</v>
      </c>
      <c r="H949" s="5" t="s">
        <v>187</v>
      </c>
      <c r="I949" s="5" t="str">
        <f>_xlfn.XLOOKUP(sommaire[[#This Row],[Arrondissement_code]],OCHA_GIS!$F:$F,OCHA_GIS!$E:$E,,)</f>
        <v>Kolofata</v>
      </c>
      <c r="J949" s="5" t="s">
        <v>951</v>
      </c>
      <c r="K949" t="s">
        <v>2558</v>
      </c>
      <c r="L949" s="5" t="s">
        <v>3265</v>
      </c>
      <c r="N949" s="5" t="s">
        <v>3053</v>
      </c>
      <c r="O949" s="5" t="s">
        <v>2473</v>
      </c>
      <c r="P949" s="5" t="s">
        <v>86</v>
      </c>
      <c r="Q949" s="5" t="s">
        <v>86</v>
      </c>
      <c r="R949" s="5" t="s">
        <v>85</v>
      </c>
      <c r="U949" s="5" t="s">
        <v>100</v>
      </c>
      <c r="W949" s="5" t="s">
        <v>2482</v>
      </c>
      <c r="AA949" s="5" t="s">
        <v>86</v>
      </c>
      <c r="AH949" s="1430" t="s">
        <v>86</v>
      </c>
      <c r="AY949" s="1430" t="s">
        <v>86</v>
      </c>
      <c r="BN949" s="1430" t="s">
        <v>86</v>
      </c>
      <c r="CF949" s="1442" t="str">
        <f>IF([1]!sommaire[[#This Row],[présence des personnes déplacés interne]]="Oui","1","0")</f>
        <v>0</v>
      </c>
      <c r="CG949" s="1442" t="str">
        <f>IF([1]!sommaire[[#This Row],[présence Réfugié hors camp]]="Oui","1","0")</f>
        <v>0</v>
      </c>
      <c r="CH949" s="1442" t="str">
        <f>IF([1]!sommaire[[#This Row],[présence personnes retournées]]="Oui","1","0")</f>
        <v>0</v>
      </c>
      <c r="CI949" s="1442">
        <f>[1]!sommaire[[#This Row],[Flag PDI]]+[1]!sommaire[[#This Row],[Flag REF]]+[1]!sommaire[[#This Row],[Flag RET]]</f>
        <v>0</v>
      </c>
    </row>
    <row r="950" spans="1:87" ht="14.55" customHeight="1" x14ac:dyDescent="0.3">
      <c r="A950" s="390">
        <v>2601902</v>
      </c>
      <c r="B950" s="5" t="s">
        <v>533</v>
      </c>
      <c r="C950" s="1430" t="s">
        <v>3449</v>
      </c>
      <c r="D950" s="5" t="s">
        <v>534</v>
      </c>
      <c r="E950" s="5" t="s">
        <v>34</v>
      </c>
      <c r="F950" s="5" t="s">
        <v>34</v>
      </c>
      <c r="G950" s="5" t="s">
        <v>539</v>
      </c>
      <c r="H950" s="5" t="s">
        <v>187</v>
      </c>
      <c r="I950" s="5" t="str">
        <f>_xlfn.XLOOKUP(sommaire[[#This Row],[Arrondissement_code]],OCHA_GIS!$F:$F,OCHA_GIS!$E:$E,,)</f>
        <v>Kolofata</v>
      </c>
      <c r="J950" s="5" t="s">
        <v>951</v>
      </c>
      <c r="K950" t="s">
        <v>2556</v>
      </c>
      <c r="L950" s="5" t="s">
        <v>3266</v>
      </c>
      <c r="N950" s="5" t="s">
        <v>3053</v>
      </c>
      <c r="O950" s="5" t="s">
        <v>2473</v>
      </c>
      <c r="P950" s="5" t="s">
        <v>85</v>
      </c>
      <c r="Q950" s="5" t="s">
        <v>86</v>
      </c>
      <c r="R950" s="5" t="s">
        <v>85</v>
      </c>
      <c r="T950" s="390">
        <v>5</v>
      </c>
      <c r="U950" s="5" t="s">
        <v>97</v>
      </c>
      <c r="W950" s="5" t="s">
        <v>2468</v>
      </c>
      <c r="X950" s="5" t="s">
        <v>103</v>
      </c>
      <c r="Y950" s="5" t="s">
        <v>2511</v>
      </c>
      <c r="AA950" s="1175" t="s">
        <v>85</v>
      </c>
      <c r="AB950" s="5" t="s">
        <v>2473</v>
      </c>
      <c r="AC950" s="5" t="s">
        <v>2470</v>
      </c>
      <c r="AF950" s="5">
        <v>315</v>
      </c>
      <c r="AG950" s="5">
        <v>2608</v>
      </c>
      <c r="AH950" s="5" t="s">
        <v>85</v>
      </c>
      <c r="AI950" s="5" t="s">
        <v>2485</v>
      </c>
      <c r="AJ950" s="5">
        <v>315</v>
      </c>
      <c r="AK950" s="5">
        <v>2608</v>
      </c>
      <c r="AL950" s="5">
        <v>1250</v>
      </c>
      <c r="AM950" s="5">
        <v>1358</v>
      </c>
      <c r="AN950" s="5">
        <v>0</v>
      </c>
      <c r="AO950" s="5">
        <v>0</v>
      </c>
      <c r="AP950" s="5">
        <v>0</v>
      </c>
      <c r="AQ950" s="5">
        <v>0</v>
      </c>
      <c r="AT950" s="5">
        <v>0</v>
      </c>
      <c r="AU950" s="5">
        <v>315</v>
      </c>
      <c r="AV950" s="5" t="s">
        <v>2490</v>
      </c>
      <c r="AX950" s="5">
        <v>0</v>
      </c>
      <c r="AY950" s="5" t="s">
        <v>86</v>
      </c>
      <c r="BN950" s="5" t="s">
        <v>86</v>
      </c>
      <c r="CD950" s="5">
        <v>0</v>
      </c>
      <c r="CF950" s="1442" t="str">
        <f>IF([1]!sommaire[[#This Row],[présence des personnes déplacés interne]]="Oui","1","0")</f>
        <v>1</v>
      </c>
      <c r="CG950" s="1442" t="str">
        <f>IF([1]!sommaire[[#This Row],[présence Réfugié hors camp]]="Oui","1","0")</f>
        <v>0</v>
      </c>
      <c r="CH950" s="1442" t="str">
        <f>IF([1]!sommaire[[#This Row],[présence personnes retournées]]="Oui","1","0")</f>
        <v>0</v>
      </c>
      <c r="CI950" s="1442">
        <f>[1]!sommaire[[#This Row],[Flag PDI]]+[1]!sommaire[[#This Row],[Flag REF]]+[1]!sommaire[[#This Row],[Flag RET]]</f>
        <v>1</v>
      </c>
    </row>
    <row r="951" spans="1:87" ht="14.55" customHeight="1" x14ac:dyDescent="0.3">
      <c r="A951" s="390">
        <v>2618352</v>
      </c>
      <c r="B951" s="5" t="s">
        <v>533</v>
      </c>
      <c r="C951" s="1430" t="s">
        <v>3449</v>
      </c>
      <c r="D951" s="5" t="s">
        <v>534</v>
      </c>
      <c r="E951" s="5" t="s">
        <v>34</v>
      </c>
      <c r="F951" s="5" t="s">
        <v>34</v>
      </c>
      <c r="G951" s="5" t="s">
        <v>539</v>
      </c>
      <c r="H951" s="1144" t="s">
        <v>187</v>
      </c>
      <c r="I951" s="1144" t="str">
        <f>_xlfn.XLOOKUP(sommaire[[#This Row],[Arrondissement_code]],OCHA_GIS!$F:$F,OCHA_GIS!$E:$E,,)</f>
        <v>Kolofata</v>
      </c>
      <c r="J951" s="5" t="s">
        <v>951</v>
      </c>
      <c r="K951" t="s">
        <v>1593</v>
      </c>
      <c r="L951" s="5" t="s">
        <v>3267</v>
      </c>
      <c r="N951" s="5" t="s">
        <v>3052</v>
      </c>
      <c r="O951" s="5" t="s">
        <v>2473</v>
      </c>
      <c r="P951" s="5" t="s">
        <v>85</v>
      </c>
      <c r="Q951" s="5" t="s">
        <v>86</v>
      </c>
      <c r="R951" s="5" t="s">
        <v>85</v>
      </c>
      <c r="T951" s="390">
        <v>4</v>
      </c>
      <c r="U951" s="5" t="s">
        <v>97</v>
      </c>
      <c r="W951" s="5" t="s">
        <v>2468</v>
      </c>
      <c r="X951" s="5" t="s">
        <v>103</v>
      </c>
      <c r="Y951" s="5" t="s">
        <v>2511</v>
      </c>
      <c r="AA951" s="5" t="s">
        <v>85</v>
      </c>
      <c r="AB951" s="5" t="s">
        <v>2473</v>
      </c>
      <c r="AC951" s="5" t="s">
        <v>2470</v>
      </c>
      <c r="AF951" s="5">
        <v>693</v>
      </c>
      <c r="AG951" s="5">
        <v>5709</v>
      </c>
      <c r="AH951" s="5" t="s">
        <v>85</v>
      </c>
      <c r="AI951" s="5" t="s">
        <v>2485</v>
      </c>
      <c r="AJ951" s="5">
        <v>693</v>
      </c>
      <c r="AK951" s="5">
        <v>5709</v>
      </c>
      <c r="AL951" s="5">
        <v>2509</v>
      </c>
      <c r="AM951" s="5">
        <v>3200</v>
      </c>
      <c r="AN951" s="5">
        <v>0</v>
      </c>
      <c r="AO951" s="5">
        <v>0</v>
      </c>
      <c r="AP951" s="5">
        <v>0</v>
      </c>
      <c r="AQ951" s="5">
        <v>0</v>
      </c>
      <c r="AT951" s="5">
        <v>0</v>
      </c>
      <c r="AU951" s="5">
        <v>693</v>
      </c>
      <c r="AV951" s="5" t="s">
        <v>2490</v>
      </c>
      <c r="AX951" s="5">
        <v>0</v>
      </c>
      <c r="AY951" s="5" t="s">
        <v>86</v>
      </c>
      <c r="BN951" s="5" t="s">
        <v>86</v>
      </c>
      <c r="CD951" s="5">
        <v>0</v>
      </c>
      <c r="CF951" s="1442" t="str">
        <f>IF([1]!sommaire[[#This Row],[présence des personnes déplacés interne]]="Oui","1","0")</f>
        <v>1</v>
      </c>
      <c r="CG951" s="1442" t="str">
        <f>IF([1]!sommaire[[#This Row],[présence Réfugié hors camp]]="Oui","1","0")</f>
        <v>0</v>
      </c>
      <c r="CH951" s="1442" t="str">
        <f>IF([1]!sommaire[[#This Row],[présence personnes retournées]]="Oui","1","0")</f>
        <v>0</v>
      </c>
      <c r="CI951" s="1442">
        <f>[1]!sommaire[[#This Row],[Flag PDI]]+[1]!sommaire[[#This Row],[Flag REF]]+[1]!sommaire[[#This Row],[Flag RET]]</f>
        <v>1</v>
      </c>
    </row>
    <row r="952" spans="1:87" ht="14.55" customHeight="1" x14ac:dyDescent="0.3">
      <c r="A952" s="390">
        <v>2679607</v>
      </c>
      <c r="B952" s="5" t="s">
        <v>533</v>
      </c>
      <c r="C952" s="1430" t="s">
        <v>3449</v>
      </c>
      <c r="D952" s="5" t="s">
        <v>534</v>
      </c>
      <c r="E952" s="5" t="s">
        <v>34</v>
      </c>
      <c r="F952" s="5" t="s">
        <v>34</v>
      </c>
      <c r="G952" s="5" t="s">
        <v>539</v>
      </c>
      <c r="H952" s="5" t="s">
        <v>187</v>
      </c>
      <c r="I952" s="5" t="str">
        <f>_xlfn.XLOOKUP(sommaire[[#This Row],[Arrondissement_code]],OCHA_GIS!$F:$F,OCHA_GIS!$E:$E,,)</f>
        <v>Kolofata</v>
      </c>
      <c r="J952" s="5" t="s">
        <v>951</v>
      </c>
      <c r="K952" t="s">
        <v>3017</v>
      </c>
      <c r="L952" s="5" t="s">
        <v>1616</v>
      </c>
      <c r="N952" s="5" t="s">
        <v>3053</v>
      </c>
      <c r="O952" s="5" t="s">
        <v>2467</v>
      </c>
      <c r="P952" s="5" t="s">
        <v>85</v>
      </c>
      <c r="Q952" s="5" t="s">
        <v>86</v>
      </c>
      <c r="R952" s="5" t="s">
        <v>85</v>
      </c>
      <c r="T952" s="390">
        <v>3</v>
      </c>
      <c r="U952" s="5" t="s">
        <v>97</v>
      </c>
      <c r="W952" s="5" t="s">
        <v>2468</v>
      </c>
      <c r="X952" s="5" t="s">
        <v>102</v>
      </c>
      <c r="AA952" s="5" t="s">
        <v>85</v>
      </c>
      <c r="AB952" s="5" t="s">
        <v>2469</v>
      </c>
      <c r="AC952" s="5" t="s">
        <v>2470</v>
      </c>
      <c r="AD952" s="5" t="s">
        <v>86</v>
      </c>
      <c r="AF952" s="5">
        <v>595</v>
      </c>
      <c r="AG952" s="5">
        <v>6448</v>
      </c>
      <c r="AH952" s="5" t="s">
        <v>85</v>
      </c>
      <c r="AI952" s="5" t="s">
        <v>2485</v>
      </c>
      <c r="AJ952" s="5">
        <v>595</v>
      </c>
      <c r="AK952" s="5">
        <v>4043</v>
      </c>
      <c r="AL952" s="5">
        <v>1888</v>
      </c>
      <c r="AM952" s="5">
        <v>2155</v>
      </c>
      <c r="AN952" s="5">
        <v>0</v>
      </c>
      <c r="AO952" s="5">
        <v>595</v>
      </c>
      <c r="AP952" s="5">
        <v>0</v>
      </c>
      <c r="AQ952" s="5">
        <v>0</v>
      </c>
      <c r="AT952" s="5">
        <v>0</v>
      </c>
      <c r="AU952" s="5">
        <v>0</v>
      </c>
      <c r="AX952" s="5">
        <v>0</v>
      </c>
      <c r="AY952" s="5" t="s">
        <v>86</v>
      </c>
      <c r="BN952" s="5" t="s">
        <v>85</v>
      </c>
      <c r="BO952" s="5">
        <v>75</v>
      </c>
      <c r="BP952" s="5">
        <v>452</v>
      </c>
      <c r="BQ952" s="5">
        <v>191</v>
      </c>
      <c r="BR952" s="5">
        <v>261</v>
      </c>
      <c r="BS952" s="5" t="s">
        <v>2492</v>
      </c>
      <c r="BT952" s="5">
        <v>0</v>
      </c>
      <c r="BU952" s="5">
        <v>75</v>
      </c>
      <c r="BV952" s="5">
        <v>0</v>
      </c>
      <c r="BW952" s="5">
        <v>0</v>
      </c>
      <c r="BX952" s="5">
        <v>0</v>
      </c>
      <c r="BZ952" s="5">
        <v>0</v>
      </c>
      <c r="CA952" s="5">
        <v>0</v>
      </c>
      <c r="CC952" s="5">
        <v>0</v>
      </c>
      <c r="CD952" s="5">
        <v>0</v>
      </c>
      <c r="CF952" s="1442" t="str">
        <f>IF([1]!sommaire[[#This Row],[présence des personnes déplacés interne]]="Oui","1","0")</f>
        <v>1</v>
      </c>
      <c r="CG952" s="1442" t="str">
        <f>IF([1]!sommaire[[#This Row],[présence Réfugié hors camp]]="Oui","1","0")</f>
        <v>0</v>
      </c>
      <c r="CH952" s="1442" t="str">
        <f>IF([1]!sommaire[[#This Row],[présence personnes retournées]]="Oui","1","0")</f>
        <v>1</v>
      </c>
      <c r="CI952" s="1442">
        <f>[1]!sommaire[[#This Row],[Flag PDI]]+[1]!sommaire[[#This Row],[Flag REF]]+[1]!sommaire[[#This Row],[Flag RET]]</f>
        <v>2</v>
      </c>
    </row>
    <row r="953" spans="1:87" ht="14.55" customHeight="1" x14ac:dyDescent="0.3">
      <c r="A953" s="390">
        <v>2578087</v>
      </c>
      <c r="B953" s="5" t="s">
        <v>533</v>
      </c>
      <c r="C953" s="1430" t="s">
        <v>3449</v>
      </c>
      <c r="D953" s="5" t="s">
        <v>534</v>
      </c>
      <c r="E953" s="5" t="s">
        <v>34</v>
      </c>
      <c r="F953" s="5" t="s">
        <v>34</v>
      </c>
      <c r="G953" s="5" t="s">
        <v>539</v>
      </c>
      <c r="H953" s="5" t="s">
        <v>187</v>
      </c>
      <c r="I953" s="5" t="str">
        <f>_xlfn.XLOOKUP(sommaire[[#This Row],[Arrondissement_code]],OCHA_GIS!$F:$F,OCHA_GIS!$E:$E,,)</f>
        <v>Kolofata</v>
      </c>
      <c r="J953" s="5" t="s">
        <v>951</v>
      </c>
      <c r="K953" t="s">
        <v>3021</v>
      </c>
      <c r="L953" s="5" t="s">
        <v>2549</v>
      </c>
      <c r="N953" s="5" t="s">
        <v>3053</v>
      </c>
      <c r="O953" s="5" t="s">
        <v>2467</v>
      </c>
      <c r="P953" s="5" t="s">
        <v>86</v>
      </c>
      <c r="Q953" s="5" t="s">
        <v>86</v>
      </c>
      <c r="R953" s="5" t="s">
        <v>85</v>
      </c>
      <c r="U953" s="5" t="s">
        <v>97</v>
      </c>
      <c r="W953" s="5" t="s">
        <v>2482</v>
      </c>
      <c r="AA953" s="5" t="s">
        <v>86</v>
      </c>
      <c r="AH953" s="1430" t="s">
        <v>86</v>
      </c>
      <c r="AY953" s="1430" t="s">
        <v>86</v>
      </c>
      <c r="BN953" s="1430" t="s">
        <v>86</v>
      </c>
      <c r="CF953" s="1442" t="str">
        <f>IF([1]!sommaire[[#This Row],[présence des personnes déplacés interne]]="Oui","1","0")</f>
        <v>0</v>
      </c>
      <c r="CG953" s="1442" t="str">
        <f>IF([1]!sommaire[[#This Row],[présence Réfugié hors camp]]="Oui","1","0")</f>
        <v>0</v>
      </c>
      <c r="CH953" s="1442" t="str">
        <f>IF([1]!sommaire[[#This Row],[présence personnes retournées]]="Oui","1","0")</f>
        <v>0</v>
      </c>
      <c r="CI953" s="1442">
        <f>[1]!sommaire[[#This Row],[Flag PDI]]+[1]!sommaire[[#This Row],[Flag REF]]+[1]!sommaire[[#This Row],[Flag RET]]</f>
        <v>0</v>
      </c>
    </row>
    <row r="954" spans="1:87" ht="14.55" customHeight="1" x14ac:dyDescent="0.3">
      <c r="A954" s="390">
        <v>2751255</v>
      </c>
      <c r="B954" s="5" t="s">
        <v>533</v>
      </c>
      <c r="C954" s="1430" t="s">
        <v>3449</v>
      </c>
      <c r="D954" s="5" t="s">
        <v>534</v>
      </c>
      <c r="E954" s="5" t="s">
        <v>34</v>
      </c>
      <c r="F954" s="5" t="s">
        <v>34</v>
      </c>
      <c r="G954" s="5" t="s">
        <v>539</v>
      </c>
      <c r="H954" s="5" t="s">
        <v>187</v>
      </c>
      <c r="I954" s="5" t="str">
        <f>_xlfn.XLOOKUP(sommaire[[#This Row],[Arrondissement_code]],OCHA_GIS!$F:$F,OCHA_GIS!$E:$E,,)</f>
        <v>Kolofata</v>
      </c>
      <c r="J954" s="5" t="s">
        <v>951</v>
      </c>
      <c r="K954" t="s">
        <v>952</v>
      </c>
      <c r="L954" s="5" t="s">
        <v>1239</v>
      </c>
      <c r="N954" s="5" t="s">
        <v>3053</v>
      </c>
      <c r="O954" s="5" t="s">
        <v>2467</v>
      </c>
      <c r="P954" s="5" t="s">
        <v>85</v>
      </c>
      <c r="Q954" s="5" t="s">
        <v>86</v>
      </c>
      <c r="R954" s="5" t="s">
        <v>86</v>
      </c>
      <c r="T954" s="390">
        <v>3</v>
      </c>
      <c r="U954" s="5" t="s">
        <v>97</v>
      </c>
      <c r="W954" s="5" t="s">
        <v>2468</v>
      </c>
      <c r="X954" s="5" t="s">
        <v>102</v>
      </c>
      <c r="AA954" s="5" t="s">
        <v>85</v>
      </c>
      <c r="AB954" s="5" t="s">
        <v>2469</v>
      </c>
      <c r="AC954" s="5" t="s">
        <v>2521</v>
      </c>
      <c r="AD954" s="5" t="s">
        <v>86</v>
      </c>
      <c r="AF954" s="5">
        <v>9</v>
      </c>
      <c r="AG954" s="5">
        <v>3545</v>
      </c>
      <c r="AH954" s="5" t="s">
        <v>85</v>
      </c>
      <c r="AI954" s="5" t="s">
        <v>2471</v>
      </c>
      <c r="AJ954" s="5">
        <v>9</v>
      </c>
      <c r="AK954" s="5">
        <v>100</v>
      </c>
      <c r="AL954" s="5">
        <v>35</v>
      </c>
      <c r="AM954" s="5">
        <v>65</v>
      </c>
      <c r="AN954" s="5">
        <v>0</v>
      </c>
      <c r="AO954" s="5">
        <v>9</v>
      </c>
      <c r="AP954" s="5">
        <v>0</v>
      </c>
      <c r="AQ954" s="5">
        <v>0</v>
      </c>
      <c r="AT954" s="5">
        <v>0</v>
      </c>
      <c r="AU954" s="5">
        <v>0</v>
      </c>
      <c r="AX954" s="5">
        <v>0</v>
      </c>
      <c r="AY954" s="5" t="s">
        <v>86</v>
      </c>
      <c r="BN954" s="5" t="s">
        <v>85</v>
      </c>
      <c r="BO954" s="5">
        <v>15</v>
      </c>
      <c r="BP954" s="5">
        <v>94</v>
      </c>
      <c r="BQ954" s="5">
        <v>37</v>
      </c>
      <c r="BR954" s="5">
        <v>57</v>
      </c>
      <c r="BS954" s="5" t="s">
        <v>2535</v>
      </c>
      <c r="BT954" s="5">
        <v>0</v>
      </c>
      <c r="BU954" s="5">
        <v>15</v>
      </c>
      <c r="BV954" s="5">
        <v>0</v>
      </c>
      <c r="BW954" s="5">
        <v>0</v>
      </c>
      <c r="BX954" s="5">
        <v>0</v>
      </c>
      <c r="BZ954" s="5">
        <v>0</v>
      </c>
      <c r="CA954" s="5">
        <v>0</v>
      </c>
      <c r="CC954" s="5">
        <v>0</v>
      </c>
      <c r="CD954" s="5">
        <v>0</v>
      </c>
      <c r="CF954" s="1442" t="str">
        <f>IF([1]!sommaire[[#This Row],[présence des personnes déplacés interne]]="Oui","1","0")</f>
        <v>1</v>
      </c>
      <c r="CG954" s="1442" t="str">
        <f>IF([1]!sommaire[[#This Row],[présence Réfugié hors camp]]="Oui","1","0")</f>
        <v>0</v>
      </c>
      <c r="CH954" s="1442" t="str">
        <f>IF([1]!sommaire[[#This Row],[présence personnes retournées]]="Oui","1","0")</f>
        <v>1</v>
      </c>
      <c r="CI954" s="1442">
        <f>[1]!sommaire[[#This Row],[Flag PDI]]+[1]!sommaire[[#This Row],[Flag REF]]+[1]!sommaire[[#This Row],[Flag RET]]</f>
        <v>2</v>
      </c>
    </row>
    <row r="955" spans="1:87" ht="14.55" customHeight="1" x14ac:dyDescent="0.3">
      <c r="A955" s="390">
        <v>2618353</v>
      </c>
      <c r="B955" s="5" t="s">
        <v>533</v>
      </c>
      <c r="C955" s="1430" t="s">
        <v>3449</v>
      </c>
      <c r="D955" s="5" t="s">
        <v>534</v>
      </c>
      <c r="E955" s="5" t="s">
        <v>34</v>
      </c>
      <c r="F955" s="5" t="s">
        <v>34</v>
      </c>
      <c r="G955" s="5" t="s">
        <v>539</v>
      </c>
      <c r="H955" s="5" t="s">
        <v>187</v>
      </c>
      <c r="I955" s="5" t="str">
        <f>_xlfn.XLOOKUP(sommaire[[#This Row],[Arrondissement_code]],OCHA_GIS!$F:$F,OCHA_GIS!$E:$E,,)</f>
        <v>Kolofata</v>
      </c>
      <c r="J955" s="5" t="s">
        <v>951</v>
      </c>
      <c r="K955" t="s">
        <v>3032</v>
      </c>
      <c r="L955" s="5" t="s">
        <v>2547</v>
      </c>
      <c r="N955" s="5" t="s">
        <v>3053</v>
      </c>
      <c r="O955" s="5" t="s">
        <v>2467</v>
      </c>
      <c r="P955" s="5" t="s">
        <v>86</v>
      </c>
      <c r="Q955" s="5" t="s">
        <v>86</v>
      </c>
      <c r="R955" s="5" t="s">
        <v>85</v>
      </c>
      <c r="U955" s="5" t="s">
        <v>97</v>
      </c>
      <c r="W955" s="5" t="s">
        <v>2482</v>
      </c>
      <c r="AA955" s="5" t="s">
        <v>86</v>
      </c>
      <c r="AH955" s="1430" t="s">
        <v>86</v>
      </c>
      <c r="AY955" s="1430" t="s">
        <v>86</v>
      </c>
      <c r="BN955" s="1430" t="s">
        <v>86</v>
      </c>
      <c r="CF955" s="1442" t="str">
        <f>IF([1]!sommaire[[#This Row],[présence des personnes déplacés interne]]="Oui","1","0")</f>
        <v>0</v>
      </c>
      <c r="CG955" s="1442" t="str">
        <f>IF([1]!sommaire[[#This Row],[présence Réfugié hors camp]]="Oui","1","0")</f>
        <v>0</v>
      </c>
      <c r="CH955" s="1442" t="str">
        <f>IF([1]!sommaire[[#This Row],[présence personnes retournées]]="Oui","1","0")</f>
        <v>0</v>
      </c>
      <c r="CI955" s="1442">
        <f>[1]!sommaire[[#This Row],[Flag PDI]]+[1]!sommaire[[#This Row],[Flag REF]]+[1]!sommaire[[#This Row],[Flag RET]]</f>
        <v>0</v>
      </c>
    </row>
    <row r="956" spans="1:87" ht="14.55" customHeight="1" x14ac:dyDescent="0.3">
      <c r="A956" s="390">
        <v>2623463</v>
      </c>
      <c r="B956" s="5" t="s">
        <v>533</v>
      </c>
      <c r="C956" s="1430" t="s">
        <v>3449</v>
      </c>
      <c r="D956" s="1090" t="s">
        <v>534</v>
      </c>
      <c r="E956" s="5" t="s">
        <v>34</v>
      </c>
      <c r="F956" s="5" t="s">
        <v>34</v>
      </c>
      <c r="G956" s="5" t="s">
        <v>539</v>
      </c>
      <c r="H956" s="5" t="s">
        <v>188</v>
      </c>
      <c r="I956" s="5" t="str">
        <f>_xlfn.XLOOKUP(sommaire[[#This Row],[Arrondissement_code]],OCHA_GIS!$F:$F,OCHA_GIS!$E:$E,,)</f>
        <v>Mora</v>
      </c>
      <c r="J956" s="5" t="s">
        <v>546</v>
      </c>
      <c r="K956" t="s">
        <v>3192</v>
      </c>
      <c r="L956" s="5" t="s">
        <v>3193</v>
      </c>
      <c r="N956" s="5" t="s">
        <v>3053</v>
      </c>
      <c r="O956" s="5" t="s">
        <v>2467</v>
      </c>
      <c r="P956" s="5" t="s">
        <v>85</v>
      </c>
      <c r="Q956" s="5" t="s">
        <v>86</v>
      </c>
      <c r="R956" s="5" t="s">
        <v>85</v>
      </c>
      <c r="T956" s="390">
        <v>3</v>
      </c>
      <c r="U956" s="5" t="s">
        <v>97</v>
      </c>
      <c r="W956" s="5" t="s">
        <v>2468</v>
      </c>
      <c r="X956" s="5" t="s">
        <v>103</v>
      </c>
      <c r="Y956" s="5" t="s">
        <v>2511</v>
      </c>
      <c r="AA956" s="5" t="s">
        <v>85</v>
      </c>
      <c r="AB956" s="5" t="s">
        <v>2469</v>
      </c>
      <c r="AC956" s="5" t="s">
        <v>2470</v>
      </c>
      <c r="AD956" s="5" t="s">
        <v>86</v>
      </c>
      <c r="AG956" s="5">
        <v>229</v>
      </c>
      <c r="AH956" s="5" t="s">
        <v>86</v>
      </c>
      <c r="AY956" s="5" t="s">
        <v>86</v>
      </c>
      <c r="BN956" s="5" t="s">
        <v>85</v>
      </c>
      <c r="BO956" s="5">
        <v>31</v>
      </c>
      <c r="BP956" s="5">
        <v>229</v>
      </c>
      <c r="BQ956" s="5">
        <v>99</v>
      </c>
      <c r="BR956" s="5">
        <v>130</v>
      </c>
      <c r="BS956" s="5" t="s">
        <v>2535</v>
      </c>
      <c r="BT956" s="5">
        <v>0</v>
      </c>
      <c r="BU956" s="5">
        <v>31</v>
      </c>
      <c r="BV956" s="5">
        <v>0</v>
      </c>
      <c r="BW956" s="5">
        <v>0</v>
      </c>
      <c r="BX956" s="5">
        <v>0</v>
      </c>
      <c r="BZ956" s="5">
        <v>0</v>
      </c>
      <c r="CA956" s="5">
        <v>0</v>
      </c>
      <c r="CC956" s="5">
        <v>0</v>
      </c>
      <c r="CD956" s="5">
        <v>0</v>
      </c>
      <c r="CF956" s="1442" t="str">
        <f>IF([1]!sommaire[[#This Row],[présence des personnes déplacés interne]]="Oui","1","0")</f>
        <v>0</v>
      </c>
      <c r="CG956" s="1442" t="str">
        <f>IF([1]!sommaire[[#This Row],[présence Réfugié hors camp]]="Oui","1","0")</f>
        <v>0</v>
      </c>
      <c r="CH956" s="1442" t="str">
        <f>IF([1]!sommaire[[#This Row],[présence personnes retournées]]="Oui","1","0")</f>
        <v>1</v>
      </c>
      <c r="CI956" s="1442">
        <f>[1]!sommaire[[#This Row],[Flag PDI]]+[1]!sommaire[[#This Row],[Flag REF]]+[1]!sommaire[[#This Row],[Flag RET]]</f>
        <v>1</v>
      </c>
    </row>
    <row r="957" spans="1:87" ht="14.55" customHeight="1" x14ac:dyDescent="0.3">
      <c r="A957" s="390">
        <v>2627332</v>
      </c>
      <c r="B957" s="5" t="s">
        <v>533</v>
      </c>
      <c r="C957" s="1430" t="s">
        <v>3449</v>
      </c>
      <c r="D957" s="1090" t="s">
        <v>534</v>
      </c>
      <c r="E957" s="5" t="s">
        <v>34</v>
      </c>
      <c r="F957" s="5" t="s">
        <v>34</v>
      </c>
      <c r="G957" s="5" t="s">
        <v>539</v>
      </c>
      <c r="H957" s="5" t="s">
        <v>188</v>
      </c>
      <c r="I957" s="5" t="str">
        <f>_xlfn.XLOOKUP(sommaire[[#This Row],[Arrondissement_code]],OCHA_GIS!$F:$F,OCHA_GIS!$E:$E,,)</f>
        <v>Mora</v>
      </c>
      <c r="J957" s="5" t="s">
        <v>546</v>
      </c>
      <c r="K957" t="s">
        <v>1264</v>
      </c>
      <c r="L957" s="5" t="s">
        <v>1043</v>
      </c>
      <c r="N957" s="5" t="s">
        <v>3052</v>
      </c>
      <c r="O957" s="5" t="s">
        <v>2467</v>
      </c>
      <c r="P957" s="5" t="s">
        <v>85</v>
      </c>
      <c r="Q957" s="5" t="s">
        <v>86</v>
      </c>
      <c r="R957" s="5" t="s">
        <v>85</v>
      </c>
      <c r="T957" s="390">
        <v>5</v>
      </c>
      <c r="U957" s="5" t="s">
        <v>97</v>
      </c>
      <c r="W957" s="5" t="s">
        <v>2468</v>
      </c>
      <c r="X957" s="5" t="s">
        <v>102</v>
      </c>
      <c r="AA957" s="586" t="s">
        <v>85</v>
      </c>
      <c r="AB957" s="5" t="s">
        <v>2469</v>
      </c>
      <c r="AC957" s="5" t="s">
        <v>2473</v>
      </c>
      <c r="AD957" s="5" t="s">
        <v>86</v>
      </c>
      <c r="AF957" s="5">
        <v>77</v>
      </c>
      <c r="AG957" s="5">
        <v>9911</v>
      </c>
      <c r="AH957" s="5" t="s">
        <v>85</v>
      </c>
      <c r="AI957" s="5" t="s">
        <v>2471</v>
      </c>
      <c r="AJ957" s="5">
        <v>77</v>
      </c>
      <c r="AK957" s="5">
        <v>589</v>
      </c>
      <c r="AL957" s="5">
        <v>219</v>
      </c>
      <c r="AM957" s="5">
        <v>370</v>
      </c>
      <c r="AN957" s="5">
        <v>0</v>
      </c>
      <c r="AO957" s="5">
        <v>69</v>
      </c>
      <c r="AP957" s="5">
        <v>0</v>
      </c>
      <c r="AQ957" s="5">
        <v>0</v>
      </c>
      <c r="AT957" s="5">
        <v>0</v>
      </c>
      <c r="AU957" s="5">
        <v>8</v>
      </c>
      <c r="AV957" s="5" t="s">
        <v>2490</v>
      </c>
      <c r="AX957" s="5">
        <v>0</v>
      </c>
      <c r="AY957" s="5" t="s">
        <v>86</v>
      </c>
      <c r="BN957" s="5" t="s">
        <v>85</v>
      </c>
      <c r="BO957" s="5">
        <v>104</v>
      </c>
      <c r="BP957" s="5">
        <v>677</v>
      </c>
      <c r="BQ957" s="5">
        <v>223</v>
      </c>
      <c r="BR957" s="5">
        <v>454</v>
      </c>
      <c r="BS957" s="5" t="s">
        <v>2535</v>
      </c>
      <c r="BT957" s="5">
        <v>0</v>
      </c>
      <c r="BU957" s="5">
        <v>0</v>
      </c>
      <c r="BV957" s="5">
        <v>0</v>
      </c>
      <c r="BW957" s="5">
        <v>84</v>
      </c>
      <c r="BX957" s="5">
        <v>20</v>
      </c>
      <c r="BY957" s="5" t="s">
        <v>2477</v>
      </c>
      <c r="BZ957" s="5">
        <v>0</v>
      </c>
      <c r="CA957" s="5">
        <v>0</v>
      </c>
      <c r="CC957" s="5">
        <v>0</v>
      </c>
      <c r="CD957" s="5">
        <v>3</v>
      </c>
      <c r="CF957" s="1442" t="str">
        <f>IF([1]!sommaire[[#This Row],[présence des personnes déplacés interne]]="Oui","1","0")</f>
        <v>1</v>
      </c>
      <c r="CG957" s="1442" t="str">
        <f>IF([1]!sommaire[[#This Row],[présence Réfugié hors camp]]="Oui","1","0")</f>
        <v>0</v>
      </c>
      <c r="CH957" s="1442" t="str">
        <f>IF([1]!sommaire[[#This Row],[présence personnes retournées]]="Oui","1","0")</f>
        <v>1</v>
      </c>
      <c r="CI957" s="1442">
        <f>[1]!sommaire[[#This Row],[Flag PDI]]+[1]!sommaire[[#This Row],[Flag REF]]+[1]!sommaire[[#This Row],[Flag RET]]</f>
        <v>2</v>
      </c>
    </row>
    <row r="958" spans="1:87" ht="14.55" customHeight="1" x14ac:dyDescent="0.3">
      <c r="A958" s="390">
        <v>2657283</v>
      </c>
      <c r="B958" s="5" t="s">
        <v>533</v>
      </c>
      <c r="C958" s="1430" t="s">
        <v>3449</v>
      </c>
      <c r="D958" s="1090" t="s">
        <v>534</v>
      </c>
      <c r="E958" s="5" t="s">
        <v>34</v>
      </c>
      <c r="F958" s="5" t="s">
        <v>34</v>
      </c>
      <c r="G958" s="5" t="s">
        <v>539</v>
      </c>
      <c r="H958" s="5" t="s">
        <v>188</v>
      </c>
      <c r="I958" s="5" t="str">
        <f>_xlfn.XLOOKUP(sommaire[[#This Row],[Arrondissement_code]],OCHA_GIS!$F:$F,OCHA_GIS!$E:$E,,)</f>
        <v>Mora</v>
      </c>
      <c r="J958" s="5" t="s">
        <v>546</v>
      </c>
      <c r="K958" t="s">
        <v>1683</v>
      </c>
      <c r="L958" s="5" t="s">
        <v>1684</v>
      </c>
      <c r="N958" s="5" t="s">
        <v>3053</v>
      </c>
      <c r="O958" s="5" t="s">
        <v>2467</v>
      </c>
      <c r="P958" s="5" t="s">
        <v>85</v>
      </c>
      <c r="Q958" s="5" t="s">
        <v>86</v>
      </c>
      <c r="R958" s="5" t="s">
        <v>85</v>
      </c>
      <c r="T958" s="390">
        <v>4</v>
      </c>
      <c r="U958" s="5" t="s">
        <v>97</v>
      </c>
      <c r="W958" s="5" t="s">
        <v>2468</v>
      </c>
      <c r="X958" s="5" t="s">
        <v>102</v>
      </c>
      <c r="AA958" s="5" t="s">
        <v>85</v>
      </c>
      <c r="AB958" s="5" t="s">
        <v>2469</v>
      </c>
      <c r="AC958" s="5" t="s">
        <v>2470</v>
      </c>
      <c r="AD958" s="5" t="s">
        <v>86</v>
      </c>
      <c r="AF958" s="5">
        <v>285</v>
      </c>
      <c r="AG958" s="5">
        <v>2041</v>
      </c>
      <c r="AH958" s="5" t="s">
        <v>85</v>
      </c>
      <c r="AI958" s="5" t="s">
        <v>2471</v>
      </c>
      <c r="AJ958" s="5">
        <v>285</v>
      </c>
      <c r="AK958" s="5">
        <v>1444</v>
      </c>
      <c r="AL958" s="5">
        <v>272</v>
      </c>
      <c r="AM958" s="5">
        <v>1172</v>
      </c>
      <c r="AN958" s="5">
        <v>0</v>
      </c>
      <c r="AO958" s="5">
        <v>265</v>
      </c>
      <c r="AP958" s="5">
        <v>0</v>
      </c>
      <c r="AQ958" s="5">
        <v>10</v>
      </c>
      <c r="AR958" s="5" t="s">
        <v>2477</v>
      </c>
      <c r="AT958" s="5">
        <v>0</v>
      </c>
      <c r="AU958" s="5">
        <v>10</v>
      </c>
      <c r="AV958" s="5" t="s">
        <v>2490</v>
      </c>
      <c r="AX958" s="5">
        <v>0</v>
      </c>
      <c r="AY958" s="5" t="s">
        <v>86</v>
      </c>
      <c r="BN958" s="5" t="s">
        <v>86</v>
      </c>
      <c r="CD958" s="5">
        <v>0</v>
      </c>
      <c r="CF958" s="1442" t="str">
        <f>IF([1]!sommaire[[#This Row],[présence des personnes déplacés interne]]="Oui","1","0")</f>
        <v>1</v>
      </c>
      <c r="CG958" s="1442" t="str">
        <f>IF([1]!sommaire[[#This Row],[présence Réfugié hors camp]]="Oui","1","0")</f>
        <v>0</v>
      </c>
      <c r="CH958" s="1442" t="str">
        <f>IF([1]!sommaire[[#This Row],[présence personnes retournées]]="Oui","1","0")</f>
        <v>0</v>
      </c>
      <c r="CI958" s="1442">
        <f>[1]!sommaire[[#This Row],[Flag PDI]]+[1]!sommaire[[#This Row],[Flag REF]]+[1]!sommaire[[#This Row],[Flag RET]]</f>
        <v>1</v>
      </c>
    </row>
    <row r="959" spans="1:87" ht="14.55" customHeight="1" x14ac:dyDescent="0.3">
      <c r="A959" s="390">
        <v>2615771</v>
      </c>
      <c r="B959" s="5" t="s">
        <v>533</v>
      </c>
      <c r="C959" s="1430" t="s">
        <v>3449</v>
      </c>
      <c r="D959" s="1090" t="s">
        <v>534</v>
      </c>
      <c r="E959" s="5" t="s">
        <v>34</v>
      </c>
      <c r="F959" s="5" t="s">
        <v>34</v>
      </c>
      <c r="G959" s="5" t="s">
        <v>539</v>
      </c>
      <c r="H959" s="5" t="s">
        <v>188</v>
      </c>
      <c r="I959" s="5" t="str">
        <f>_xlfn.XLOOKUP(sommaire[[#This Row],[Arrondissement_code]],OCHA_GIS!$F:$F,OCHA_GIS!$E:$E,,)</f>
        <v>Mora</v>
      </c>
      <c r="J959" s="5" t="s">
        <v>546</v>
      </c>
      <c r="K959" t="s">
        <v>1626</v>
      </c>
      <c r="L959" s="5" t="s">
        <v>2117</v>
      </c>
      <c r="N959" s="5" t="s">
        <v>3053</v>
      </c>
      <c r="O959" s="5" t="s">
        <v>2467</v>
      </c>
      <c r="P959" s="5" t="s">
        <v>85</v>
      </c>
      <c r="Q959" s="5" t="s">
        <v>86</v>
      </c>
      <c r="R959" s="5" t="s">
        <v>85</v>
      </c>
      <c r="T959" s="390">
        <v>5</v>
      </c>
      <c r="U959" s="5" t="s">
        <v>97</v>
      </c>
      <c r="W959" s="5" t="s">
        <v>2468</v>
      </c>
      <c r="X959" s="5" t="s">
        <v>102</v>
      </c>
      <c r="AA959" s="5" t="s">
        <v>85</v>
      </c>
      <c r="AB959" s="5" t="s">
        <v>2469</v>
      </c>
      <c r="AC959" s="5" t="s">
        <v>2470</v>
      </c>
      <c r="AD959" s="5" t="s">
        <v>86</v>
      </c>
      <c r="AF959" s="5">
        <v>44</v>
      </c>
      <c r="AG959" s="5">
        <v>585</v>
      </c>
      <c r="AH959" s="5" t="s">
        <v>85</v>
      </c>
      <c r="AI959" s="5" t="s">
        <v>2485</v>
      </c>
      <c r="AJ959" s="5">
        <v>44</v>
      </c>
      <c r="AK959" s="5">
        <v>205</v>
      </c>
      <c r="AL959" s="5">
        <v>76</v>
      </c>
      <c r="AM959" s="5">
        <v>129</v>
      </c>
      <c r="AN959" s="5">
        <v>0</v>
      </c>
      <c r="AO959" s="5">
        <v>44</v>
      </c>
      <c r="AP959" s="5">
        <v>0</v>
      </c>
      <c r="AQ959" s="5">
        <v>0</v>
      </c>
      <c r="AT959" s="5">
        <v>0</v>
      </c>
      <c r="AU959" s="5">
        <v>0</v>
      </c>
      <c r="AX959" s="5">
        <v>0</v>
      </c>
      <c r="AY959" s="5" t="s">
        <v>86</v>
      </c>
      <c r="BN959" s="5" t="s">
        <v>86</v>
      </c>
      <c r="CD959" s="5">
        <v>0</v>
      </c>
      <c r="CF959" s="1442" t="str">
        <f>IF([1]!sommaire[[#This Row],[présence des personnes déplacés interne]]="Oui","1","0")</f>
        <v>1</v>
      </c>
      <c r="CG959" s="1442" t="str">
        <f>IF([1]!sommaire[[#This Row],[présence Réfugié hors camp]]="Oui","1","0")</f>
        <v>0</v>
      </c>
      <c r="CH959" s="1442" t="str">
        <f>IF([1]!sommaire[[#This Row],[présence personnes retournées]]="Oui","1","0")</f>
        <v>0</v>
      </c>
      <c r="CI959" s="1442">
        <f>[1]!sommaire[[#This Row],[Flag PDI]]+[1]!sommaire[[#This Row],[Flag REF]]+[1]!sommaire[[#This Row],[Flag RET]]</f>
        <v>1</v>
      </c>
    </row>
    <row r="960" spans="1:87" ht="14.55" customHeight="1" x14ac:dyDescent="0.3">
      <c r="A960" s="390">
        <v>2658466</v>
      </c>
      <c r="B960" s="5" t="s">
        <v>533</v>
      </c>
      <c r="C960" s="1430" t="s">
        <v>3449</v>
      </c>
      <c r="D960" s="1090" t="s">
        <v>534</v>
      </c>
      <c r="E960" s="5" t="s">
        <v>34</v>
      </c>
      <c r="F960" s="5" t="s">
        <v>34</v>
      </c>
      <c r="G960" s="5" t="s">
        <v>539</v>
      </c>
      <c r="H960" s="5" t="s">
        <v>188</v>
      </c>
      <c r="I960" s="5" t="str">
        <f>_xlfn.XLOOKUP(sommaire[[#This Row],[Arrondissement_code]],OCHA_GIS!$F:$F,OCHA_GIS!$E:$E,,)</f>
        <v>Mora</v>
      </c>
      <c r="J960" s="5" t="s">
        <v>546</v>
      </c>
      <c r="K960" t="s">
        <v>1233</v>
      </c>
      <c r="L960" s="5" t="s">
        <v>1234</v>
      </c>
      <c r="N960" s="5" t="s">
        <v>3053</v>
      </c>
      <c r="O960" s="5" t="s">
        <v>2467</v>
      </c>
      <c r="P960" s="5" t="s">
        <v>85</v>
      </c>
      <c r="Q960" s="5" t="s">
        <v>86</v>
      </c>
      <c r="R960" s="5" t="s">
        <v>86</v>
      </c>
      <c r="T960" s="390">
        <v>3</v>
      </c>
      <c r="U960" s="5" t="s">
        <v>97</v>
      </c>
      <c r="W960" s="5" t="s">
        <v>2468</v>
      </c>
      <c r="X960" s="5" t="s">
        <v>102</v>
      </c>
      <c r="AA960" s="5" t="s">
        <v>85</v>
      </c>
      <c r="AB960" s="5" t="s">
        <v>2469</v>
      </c>
      <c r="AC960" s="5" t="s">
        <v>2470</v>
      </c>
      <c r="AD960" s="5" t="s">
        <v>86</v>
      </c>
      <c r="AF960" s="5">
        <v>70</v>
      </c>
      <c r="AG960" s="5">
        <v>3821</v>
      </c>
      <c r="AH960" s="5" t="s">
        <v>85</v>
      </c>
      <c r="AI960" s="5" t="s">
        <v>2471</v>
      </c>
      <c r="AJ960" s="5">
        <v>70</v>
      </c>
      <c r="AK960" s="5">
        <v>368</v>
      </c>
      <c r="AL960" s="5">
        <v>139</v>
      </c>
      <c r="AM960" s="5">
        <v>229</v>
      </c>
      <c r="AN960" s="5">
        <v>0</v>
      </c>
      <c r="AO960" s="5">
        <v>70</v>
      </c>
      <c r="AP960" s="5">
        <v>0</v>
      </c>
      <c r="AQ960" s="5">
        <v>0</v>
      </c>
      <c r="AT960" s="5">
        <v>0</v>
      </c>
      <c r="AU960" s="5">
        <v>0</v>
      </c>
      <c r="AX960" s="5">
        <v>0</v>
      </c>
      <c r="AY960" s="5" t="s">
        <v>86</v>
      </c>
      <c r="BN960" s="5" t="s">
        <v>86</v>
      </c>
      <c r="CD960" s="5">
        <v>0</v>
      </c>
      <c r="CF960" s="1442" t="str">
        <f>IF([1]!sommaire[[#This Row],[présence des personnes déplacés interne]]="Oui","1","0")</f>
        <v>1</v>
      </c>
      <c r="CG960" s="1442" t="str">
        <f>IF([1]!sommaire[[#This Row],[présence Réfugié hors camp]]="Oui","1","0")</f>
        <v>0</v>
      </c>
      <c r="CH960" s="1442" t="str">
        <f>IF([1]!sommaire[[#This Row],[présence personnes retournées]]="Oui","1","0")</f>
        <v>0</v>
      </c>
      <c r="CI960" s="1442">
        <f>[1]!sommaire[[#This Row],[Flag PDI]]+[1]!sommaire[[#This Row],[Flag REF]]+[1]!sommaire[[#This Row],[Flag RET]]</f>
        <v>1</v>
      </c>
    </row>
    <row r="961" spans="1:87" ht="14.55" customHeight="1" x14ac:dyDescent="0.3">
      <c r="A961" s="390">
        <v>2615770</v>
      </c>
      <c r="B961" s="5" t="s">
        <v>533</v>
      </c>
      <c r="C961" s="1430" t="s">
        <v>3449</v>
      </c>
      <c r="D961" s="1090" t="s">
        <v>534</v>
      </c>
      <c r="E961" s="5" t="s">
        <v>34</v>
      </c>
      <c r="F961" s="5" t="s">
        <v>34</v>
      </c>
      <c r="G961" s="5" t="s">
        <v>539</v>
      </c>
      <c r="H961" s="1090" t="s">
        <v>188</v>
      </c>
      <c r="I961" s="1090" t="str">
        <f>_xlfn.XLOOKUP(sommaire[[#This Row],[Arrondissement_code]],OCHA_GIS!$F:$F,OCHA_GIS!$E:$E,,)</f>
        <v>Mora</v>
      </c>
      <c r="J961" s="5" t="s">
        <v>546</v>
      </c>
      <c r="K961" t="s">
        <v>1310</v>
      </c>
      <c r="L961" s="5" t="s">
        <v>1355</v>
      </c>
      <c r="N961" s="5" t="s">
        <v>3053</v>
      </c>
      <c r="O961" s="5" t="s">
        <v>2467</v>
      </c>
      <c r="P961" s="5" t="s">
        <v>85</v>
      </c>
      <c r="Q961" s="5" t="s">
        <v>86</v>
      </c>
      <c r="R961" s="5" t="s">
        <v>85</v>
      </c>
      <c r="T961" s="390">
        <v>4</v>
      </c>
      <c r="U961" s="5" t="s">
        <v>97</v>
      </c>
      <c r="W961" s="5" t="s">
        <v>2468</v>
      </c>
      <c r="X961" s="5" t="s">
        <v>102</v>
      </c>
      <c r="AA961" s="5" t="s">
        <v>85</v>
      </c>
      <c r="AB961" s="5" t="s">
        <v>2469</v>
      </c>
      <c r="AC961" s="5" t="s">
        <v>312</v>
      </c>
      <c r="AD961" s="5" t="s">
        <v>86</v>
      </c>
      <c r="AF961" s="5">
        <v>100</v>
      </c>
      <c r="AG961" s="5">
        <v>1283</v>
      </c>
      <c r="AH961" s="5" t="s">
        <v>85</v>
      </c>
      <c r="AI961" s="5" t="s">
        <v>2471</v>
      </c>
      <c r="AJ961" s="5">
        <v>100</v>
      </c>
      <c r="AK961" s="5">
        <v>725</v>
      </c>
      <c r="AL961" s="5">
        <v>253</v>
      </c>
      <c r="AM961" s="5">
        <v>472</v>
      </c>
      <c r="AN961" s="5">
        <v>0</v>
      </c>
      <c r="AO961" s="5">
        <v>41</v>
      </c>
      <c r="AP961" s="5">
        <v>0</v>
      </c>
      <c r="AQ961" s="5">
        <v>59</v>
      </c>
      <c r="AR961" s="5" t="s">
        <v>2477</v>
      </c>
      <c r="AT961" s="5">
        <v>0</v>
      </c>
      <c r="AU961" s="5">
        <v>0</v>
      </c>
      <c r="AX961" s="5">
        <v>0</v>
      </c>
      <c r="AY961" s="5" t="s">
        <v>86</v>
      </c>
      <c r="BN961" s="5" t="s">
        <v>86</v>
      </c>
      <c r="CD961" s="5">
        <v>0</v>
      </c>
      <c r="CF961" s="1442" t="str">
        <f>IF([1]!sommaire[[#This Row],[présence des personnes déplacés interne]]="Oui","1","0")</f>
        <v>1</v>
      </c>
      <c r="CG961" s="1442" t="str">
        <f>IF([1]!sommaire[[#This Row],[présence Réfugié hors camp]]="Oui","1","0")</f>
        <v>0</v>
      </c>
      <c r="CH961" s="1442" t="str">
        <f>IF([1]!sommaire[[#This Row],[présence personnes retournées]]="Oui","1","0")</f>
        <v>0</v>
      </c>
      <c r="CI961" s="1442">
        <f>[1]!sommaire[[#This Row],[Flag PDI]]+[1]!sommaire[[#This Row],[Flag REF]]+[1]!sommaire[[#This Row],[Flag RET]]</f>
        <v>1</v>
      </c>
    </row>
    <row r="962" spans="1:87" ht="14.55" customHeight="1" x14ac:dyDescent="0.3">
      <c r="A962" s="390">
        <v>2636427</v>
      </c>
      <c r="B962" s="5" t="s">
        <v>533</v>
      </c>
      <c r="C962" s="1430" t="s">
        <v>3449</v>
      </c>
      <c r="D962" s="1090" t="s">
        <v>534</v>
      </c>
      <c r="E962" s="5" t="s">
        <v>34</v>
      </c>
      <c r="F962" s="5" t="s">
        <v>34</v>
      </c>
      <c r="G962" s="5" t="s">
        <v>539</v>
      </c>
      <c r="H962" s="1090" t="s">
        <v>188</v>
      </c>
      <c r="I962" s="1090" t="str">
        <f>_xlfn.XLOOKUP(sommaire[[#This Row],[Arrondissement_code]],OCHA_GIS!$F:$F,OCHA_GIS!$E:$E,,)</f>
        <v>Mora</v>
      </c>
      <c r="J962" s="5" t="s">
        <v>546</v>
      </c>
      <c r="K962" t="s">
        <v>1145</v>
      </c>
      <c r="L962" s="5" t="s">
        <v>2667</v>
      </c>
      <c r="N962" s="5" t="s">
        <v>3053</v>
      </c>
      <c r="O962" s="5" t="s">
        <v>2467</v>
      </c>
      <c r="P962" s="5" t="s">
        <v>86</v>
      </c>
      <c r="Q962" s="5" t="s">
        <v>86</v>
      </c>
      <c r="R962" s="5" t="s">
        <v>85</v>
      </c>
      <c r="U962" s="5" t="s">
        <v>97</v>
      </c>
      <c r="W962" s="5" t="s">
        <v>2482</v>
      </c>
      <c r="AA962" s="5" t="s">
        <v>86</v>
      </c>
      <c r="AH962" s="1430" t="s">
        <v>86</v>
      </c>
      <c r="AY962" s="1430" t="s">
        <v>86</v>
      </c>
      <c r="BN962" s="1430" t="s">
        <v>86</v>
      </c>
      <c r="CF962" s="1442" t="str">
        <f>IF([1]!sommaire[[#This Row],[présence des personnes déplacés interne]]="Oui","1","0")</f>
        <v>0</v>
      </c>
      <c r="CG962" s="1442" t="str">
        <f>IF([1]!sommaire[[#This Row],[présence Réfugié hors camp]]="Oui","1","0")</f>
        <v>0</v>
      </c>
      <c r="CH962" s="1442" t="str">
        <f>IF([1]!sommaire[[#This Row],[présence personnes retournées]]="Oui","1","0")</f>
        <v>0</v>
      </c>
      <c r="CI962" s="1442">
        <f>[1]!sommaire[[#This Row],[Flag PDI]]+[1]!sommaire[[#This Row],[Flag REF]]+[1]!sommaire[[#This Row],[Flag RET]]</f>
        <v>0</v>
      </c>
    </row>
    <row r="963" spans="1:87" ht="14.55" customHeight="1" x14ac:dyDescent="0.3">
      <c r="A963" s="390">
        <v>2598230</v>
      </c>
      <c r="B963" s="5" t="s">
        <v>533</v>
      </c>
      <c r="C963" s="1430" t="s">
        <v>3449</v>
      </c>
      <c r="D963" s="1090" t="s">
        <v>534</v>
      </c>
      <c r="E963" s="5" t="s">
        <v>34</v>
      </c>
      <c r="F963" s="5" t="s">
        <v>34</v>
      </c>
      <c r="G963" s="5" t="s">
        <v>539</v>
      </c>
      <c r="H963" s="5" t="s">
        <v>188</v>
      </c>
      <c r="I963" s="5" t="str">
        <f>_xlfn.XLOOKUP(sommaire[[#This Row],[Arrondissement_code]],OCHA_GIS!$F:$F,OCHA_GIS!$E:$E,,)</f>
        <v>Mora</v>
      </c>
      <c r="J963" s="5" t="s">
        <v>546</v>
      </c>
      <c r="K963" t="s">
        <v>1495</v>
      </c>
      <c r="L963" s="5" t="s">
        <v>548</v>
      </c>
      <c r="N963" s="5" t="s">
        <v>3053</v>
      </c>
      <c r="O963" s="5" t="s">
        <v>2467</v>
      </c>
      <c r="P963" s="5" t="s">
        <v>85</v>
      </c>
      <c r="Q963" s="5" t="s">
        <v>86</v>
      </c>
      <c r="R963" s="5" t="s">
        <v>85</v>
      </c>
      <c r="T963" s="390">
        <v>4</v>
      </c>
      <c r="U963" s="5" t="s">
        <v>97</v>
      </c>
      <c r="W963" s="5" t="s">
        <v>2468</v>
      </c>
      <c r="X963" s="5" t="s">
        <v>102</v>
      </c>
      <c r="AA963" s="586" t="s">
        <v>85</v>
      </c>
      <c r="AB963" s="5" t="s">
        <v>2469</v>
      </c>
      <c r="AC963" s="5" t="s">
        <v>2473</v>
      </c>
      <c r="AD963" s="5" t="s">
        <v>86</v>
      </c>
      <c r="AF963" s="5">
        <v>39</v>
      </c>
      <c r="AG963" s="5">
        <v>1971</v>
      </c>
      <c r="AH963" s="5" t="s">
        <v>85</v>
      </c>
      <c r="AI963" s="5" t="s">
        <v>2471</v>
      </c>
      <c r="AJ963" s="5">
        <v>39</v>
      </c>
      <c r="AK963" s="5">
        <v>296</v>
      </c>
      <c r="AL963" s="5">
        <v>124</v>
      </c>
      <c r="AM963" s="5">
        <v>172</v>
      </c>
      <c r="AN963" s="5">
        <v>13</v>
      </c>
      <c r="AO963" s="5">
        <v>17</v>
      </c>
      <c r="AP963" s="5">
        <v>0</v>
      </c>
      <c r="AQ963" s="5">
        <v>0</v>
      </c>
      <c r="AT963" s="5">
        <v>0</v>
      </c>
      <c r="AU963" s="5">
        <v>9</v>
      </c>
      <c r="AV963" s="5" t="s">
        <v>2475</v>
      </c>
      <c r="AX963" s="5">
        <v>0</v>
      </c>
      <c r="AY963" s="5" t="s">
        <v>86</v>
      </c>
      <c r="BN963" s="5" t="s">
        <v>86</v>
      </c>
      <c r="CD963" s="5">
        <v>0</v>
      </c>
      <c r="CF963" s="1442" t="str">
        <f>IF([1]!sommaire[[#This Row],[présence des personnes déplacés interne]]="Oui","1","0")</f>
        <v>1</v>
      </c>
      <c r="CG963" s="1442" t="str">
        <f>IF([1]!sommaire[[#This Row],[présence Réfugié hors camp]]="Oui","1","0")</f>
        <v>0</v>
      </c>
      <c r="CH963" s="1442" t="str">
        <f>IF([1]!sommaire[[#This Row],[présence personnes retournées]]="Oui","1","0")</f>
        <v>0</v>
      </c>
      <c r="CI963" s="1442">
        <f>[1]!sommaire[[#This Row],[Flag PDI]]+[1]!sommaire[[#This Row],[Flag REF]]+[1]!sommaire[[#This Row],[Flag RET]]</f>
        <v>1</v>
      </c>
    </row>
    <row r="964" spans="1:87" ht="14.55" customHeight="1" x14ac:dyDescent="0.3">
      <c r="A964" s="390">
        <v>2658464</v>
      </c>
      <c r="B964" s="5" t="s">
        <v>533</v>
      </c>
      <c r="C964" s="1430" t="s">
        <v>3449</v>
      </c>
      <c r="D964" s="1090" t="s">
        <v>534</v>
      </c>
      <c r="E964" s="5" t="s">
        <v>34</v>
      </c>
      <c r="F964" s="5" t="s">
        <v>34</v>
      </c>
      <c r="G964" s="5" t="s">
        <v>539</v>
      </c>
      <c r="H964" s="5" t="s">
        <v>188</v>
      </c>
      <c r="I964" s="5" t="str">
        <f>_xlfn.XLOOKUP(sommaire[[#This Row],[Arrondissement_code]],OCHA_GIS!$F:$F,OCHA_GIS!$E:$E,,)</f>
        <v>Mora</v>
      </c>
      <c r="J964" s="5" t="s">
        <v>546</v>
      </c>
      <c r="K964" t="s">
        <v>2829</v>
      </c>
      <c r="L964" s="5" t="s">
        <v>1354</v>
      </c>
      <c r="N964" s="5" t="s">
        <v>3053</v>
      </c>
      <c r="O964" s="5" t="s">
        <v>2467</v>
      </c>
      <c r="P964" s="5" t="s">
        <v>85</v>
      </c>
      <c r="Q964" s="5" t="s">
        <v>86</v>
      </c>
      <c r="R964" s="5" t="s">
        <v>86</v>
      </c>
      <c r="T964" s="390">
        <v>4</v>
      </c>
      <c r="U964" s="5" t="s">
        <v>97</v>
      </c>
      <c r="W964" s="1090" t="s">
        <v>2468</v>
      </c>
      <c r="X964" s="5" t="s">
        <v>102</v>
      </c>
      <c r="AA964" s="5" t="s">
        <v>85</v>
      </c>
      <c r="AB964" s="5" t="s">
        <v>2469</v>
      </c>
      <c r="AC964" s="5" t="s">
        <v>2470</v>
      </c>
      <c r="AD964" s="5" t="s">
        <v>86</v>
      </c>
      <c r="AF964" s="5">
        <v>3</v>
      </c>
      <c r="AG964" s="5">
        <v>1160</v>
      </c>
      <c r="AH964" s="5" t="s">
        <v>85</v>
      </c>
      <c r="AI964" s="5" t="s">
        <v>2471</v>
      </c>
      <c r="AJ964" s="5">
        <v>3</v>
      </c>
      <c r="AK964" s="5">
        <v>21</v>
      </c>
      <c r="AL964" s="5">
        <v>5</v>
      </c>
      <c r="AM964" s="5">
        <v>16</v>
      </c>
      <c r="AN964" s="5">
        <v>0</v>
      </c>
      <c r="AO964" s="5">
        <v>3</v>
      </c>
      <c r="AP964" s="5">
        <v>0</v>
      </c>
      <c r="AQ964" s="5">
        <v>0</v>
      </c>
      <c r="AT964" s="5">
        <v>0</v>
      </c>
      <c r="AU964" s="5">
        <v>0</v>
      </c>
      <c r="AX964" s="5">
        <v>0</v>
      </c>
      <c r="AY964" s="5" t="s">
        <v>86</v>
      </c>
      <c r="BN964" s="5" t="s">
        <v>85</v>
      </c>
      <c r="BO964" s="5">
        <v>127</v>
      </c>
      <c r="BP964" s="5">
        <v>849</v>
      </c>
      <c r="BQ964" s="5">
        <v>266</v>
      </c>
      <c r="BR964" s="5">
        <v>583</v>
      </c>
      <c r="BS964" s="5" t="s">
        <v>2535</v>
      </c>
      <c r="BT964" s="5">
        <v>14</v>
      </c>
      <c r="BU964" s="5">
        <v>113</v>
      </c>
      <c r="BV964" s="5">
        <v>0</v>
      </c>
      <c r="BW964" s="5">
        <v>0</v>
      </c>
      <c r="BX964" s="5">
        <v>0</v>
      </c>
      <c r="BZ964" s="5">
        <v>0</v>
      </c>
      <c r="CA964" s="5">
        <v>0</v>
      </c>
      <c r="CC964" s="5">
        <v>0</v>
      </c>
      <c r="CD964" s="5">
        <v>0</v>
      </c>
      <c r="CF964" s="1442" t="str">
        <f>IF([1]!sommaire[[#This Row],[présence des personnes déplacés interne]]="Oui","1","0")</f>
        <v>1</v>
      </c>
      <c r="CG964" s="1442" t="str">
        <f>IF([1]!sommaire[[#This Row],[présence Réfugié hors camp]]="Oui","1","0")</f>
        <v>0</v>
      </c>
      <c r="CH964" s="1442" t="str">
        <f>IF([1]!sommaire[[#This Row],[présence personnes retournées]]="Oui","1","0")</f>
        <v>1</v>
      </c>
      <c r="CI964" s="1442">
        <f>[1]!sommaire[[#This Row],[Flag PDI]]+[1]!sommaire[[#This Row],[Flag REF]]+[1]!sommaire[[#This Row],[Flag RET]]</f>
        <v>2</v>
      </c>
    </row>
    <row r="965" spans="1:87" ht="14.55" customHeight="1" x14ac:dyDescent="0.3">
      <c r="A965" s="390">
        <v>2623462</v>
      </c>
      <c r="B965" s="5" t="s">
        <v>533</v>
      </c>
      <c r="C965" s="1430" t="s">
        <v>3449</v>
      </c>
      <c r="D965" s="1090" t="s">
        <v>534</v>
      </c>
      <c r="E965" s="5" t="s">
        <v>34</v>
      </c>
      <c r="F965" s="5" t="s">
        <v>34</v>
      </c>
      <c r="G965" s="5" t="s">
        <v>539</v>
      </c>
      <c r="H965" s="5" t="s">
        <v>188</v>
      </c>
      <c r="I965" s="5" t="str">
        <f>_xlfn.XLOOKUP(sommaire[[#This Row],[Arrondissement_code]],OCHA_GIS!$F:$F,OCHA_GIS!$E:$E,,)</f>
        <v>Mora</v>
      </c>
      <c r="J965" s="5" t="s">
        <v>546</v>
      </c>
      <c r="K965" t="s">
        <v>2849</v>
      </c>
      <c r="L965" s="5" t="s">
        <v>1498</v>
      </c>
      <c r="N965" s="5" t="s">
        <v>3052</v>
      </c>
      <c r="O965" s="5" t="s">
        <v>2467</v>
      </c>
      <c r="P965" s="5" t="s">
        <v>85</v>
      </c>
      <c r="Q965" s="5" t="s">
        <v>86</v>
      </c>
      <c r="R965" s="5" t="s">
        <v>85</v>
      </c>
      <c r="T965" s="390">
        <v>4</v>
      </c>
      <c r="U965" s="5" t="s">
        <v>97</v>
      </c>
      <c r="W965" s="5" t="s">
        <v>2468</v>
      </c>
      <c r="X965" s="5" t="s">
        <v>103</v>
      </c>
      <c r="Y965" s="5" t="s">
        <v>2511</v>
      </c>
      <c r="AA965" s="5" t="s">
        <v>85</v>
      </c>
      <c r="AB965" s="5" t="s">
        <v>2469</v>
      </c>
      <c r="AC965" s="5" t="s">
        <v>2470</v>
      </c>
      <c r="AD965" s="5" t="s">
        <v>86</v>
      </c>
      <c r="AF965" s="5">
        <v>136</v>
      </c>
      <c r="AG965" s="5">
        <v>6175</v>
      </c>
      <c r="AH965" s="5" t="s">
        <v>85</v>
      </c>
      <c r="AI965" s="5" t="s">
        <v>2471</v>
      </c>
      <c r="AJ965" s="5">
        <v>136</v>
      </c>
      <c r="AK965" s="5">
        <v>680</v>
      </c>
      <c r="AL965" s="5">
        <v>350</v>
      </c>
      <c r="AM965" s="5">
        <v>330</v>
      </c>
      <c r="AN965" s="5">
        <v>0</v>
      </c>
      <c r="AO965" s="5">
        <v>97</v>
      </c>
      <c r="AP965" s="5">
        <v>0</v>
      </c>
      <c r="AQ965" s="5">
        <v>39</v>
      </c>
      <c r="AR965" s="5" t="s">
        <v>2477</v>
      </c>
      <c r="AT965" s="5">
        <v>0</v>
      </c>
      <c r="AU965" s="5">
        <v>0</v>
      </c>
      <c r="AX965" s="5">
        <v>0</v>
      </c>
      <c r="AY965" s="5" t="s">
        <v>85</v>
      </c>
      <c r="AZ965" s="5">
        <v>1</v>
      </c>
      <c r="BA965" s="5">
        <v>10</v>
      </c>
      <c r="BB965" s="5">
        <v>3</v>
      </c>
      <c r="BC965" s="5">
        <v>7</v>
      </c>
      <c r="BD965" s="5">
        <v>1</v>
      </c>
      <c r="BE965" s="5">
        <v>0</v>
      </c>
      <c r="BF965" s="5">
        <v>0</v>
      </c>
      <c r="BH965" s="5">
        <v>0</v>
      </c>
      <c r="BI965" s="5">
        <v>0</v>
      </c>
      <c r="BL965" s="5">
        <v>0</v>
      </c>
      <c r="BM965" s="5">
        <v>0</v>
      </c>
      <c r="BN965" s="5" t="s">
        <v>85</v>
      </c>
      <c r="BO965" s="5">
        <v>473</v>
      </c>
      <c r="BP965" s="5">
        <v>2863</v>
      </c>
      <c r="BQ965" s="5">
        <v>1227</v>
      </c>
      <c r="BR965" s="5">
        <v>1636</v>
      </c>
      <c r="BS965" s="5" t="s">
        <v>2479</v>
      </c>
      <c r="BT965" s="5">
        <v>400</v>
      </c>
      <c r="BU965" s="5">
        <v>0</v>
      </c>
      <c r="BV965" s="5">
        <v>73</v>
      </c>
      <c r="BW965" s="5">
        <v>0</v>
      </c>
      <c r="BX965" s="5">
        <v>0</v>
      </c>
      <c r="BZ965" s="5">
        <v>0</v>
      </c>
      <c r="CA965" s="5">
        <v>0</v>
      </c>
      <c r="CC965" s="5">
        <v>0</v>
      </c>
      <c r="CD965" s="5">
        <v>0</v>
      </c>
      <c r="CF965" s="1442" t="str">
        <f>IF([1]!sommaire[[#This Row],[présence des personnes déplacés interne]]="Oui","1","0")</f>
        <v>1</v>
      </c>
      <c r="CG965" s="1442" t="str">
        <f>IF([1]!sommaire[[#This Row],[présence Réfugié hors camp]]="Oui","1","0")</f>
        <v>1</v>
      </c>
      <c r="CH965" s="1442" t="str">
        <f>IF([1]!sommaire[[#This Row],[présence personnes retournées]]="Oui","1","0")</f>
        <v>1</v>
      </c>
      <c r="CI965" s="1442">
        <f>[1]!sommaire[[#This Row],[Flag PDI]]+[1]!sommaire[[#This Row],[Flag REF]]+[1]!sommaire[[#This Row],[Flag RET]]</f>
        <v>3</v>
      </c>
    </row>
    <row r="966" spans="1:87" ht="14.55" customHeight="1" x14ac:dyDescent="0.3">
      <c r="A966" s="390">
        <v>2649831</v>
      </c>
      <c r="B966" s="5" t="s">
        <v>533</v>
      </c>
      <c r="C966" s="1430" t="s">
        <v>3449</v>
      </c>
      <c r="D966" s="1090" t="s">
        <v>534</v>
      </c>
      <c r="E966" s="5" t="s">
        <v>34</v>
      </c>
      <c r="F966" s="5" t="s">
        <v>34</v>
      </c>
      <c r="G966" s="5" t="s">
        <v>539</v>
      </c>
      <c r="H966" s="5" t="s">
        <v>188</v>
      </c>
      <c r="I966" s="5" t="str">
        <f>_xlfn.XLOOKUP(sommaire[[#This Row],[Arrondissement_code]],OCHA_GIS!$F:$F,OCHA_GIS!$E:$E,,)</f>
        <v>Mora</v>
      </c>
      <c r="J966" s="5" t="s">
        <v>546</v>
      </c>
      <c r="K966" t="s">
        <v>1329</v>
      </c>
      <c r="L966" s="5" t="s">
        <v>1555</v>
      </c>
      <c r="N966" s="5" t="s">
        <v>3053</v>
      </c>
      <c r="O966" s="5" t="s">
        <v>2467</v>
      </c>
      <c r="P966" s="5" t="s">
        <v>85</v>
      </c>
      <c r="Q966" s="5" t="s">
        <v>86</v>
      </c>
      <c r="R966" s="5" t="s">
        <v>85</v>
      </c>
      <c r="T966" s="390">
        <v>4</v>
      </c>
      <c r="U966" s="5" t="s">
        <v>97</v>
      </c>
      <c r="W966" s="5" t="s">
        <v>2468</v>
      </c>
      <c r="X966" s="5" t="s">
        <v>102</v>
      </c>
      <c r="AA966" s="586" t="s">
        <v>85</v>
      </c>
      <c r="AB966" s="5" t="s">
        <v>2473</v>
      </c>
      <c r="AC966" s="5" t="s">
        <v>2470</v>
      </c>
      <c r="AD966" s="1090" t="s">
        <v>86</v>
      </c>
      <c r="AF966" s="5">
        <v>11</v>
      </c>
      <c r="AG966" s="5">
        <v>338</v>
      </c>
      <c r="AH966" s="5" t="s">
        <v>85</v>
      </c>
      <c r="AI966" s="5" t="s">
        <v>2471</v>
      </c>
      <c r="AJ966" s="5">
        <v>11</v>
      </c>
      <c r="AK966" s="5">
        <v>70</v>
      </c>
      <c r="AL966" s="5">
        <v>29</v>
      </c>
      <c r="AM966" s="5">
        <v>41</v>
      </c>
      <c r="AN966" s="5">
        <v>0</v>
      </c>
      <c r="AO966" s="5">
        <v>0</v>
      </c>
      <c r="AP966" s="5">
        <v>0</v>
      </c>
      <c r="AQ966" s="5">
        <v>0</v>
      </c>
      <c r="AT966" s="5">
        <v>0</v>
      </c>
      <c r="AU966" s="5">
        <v>11</v>
      </c>
      <c r="AV966" s="5" t="s">
        <v>2490</v>
      </c>
      <c r="AX966" s="5">
        <v>0</v>
      </c>
      <c r="AY966" s="5" t="s">
        <v>85</v>
      </c>
      <c r="AZ966" s="5">
        <v>87</v>
      </c>
      <c r="BA966" s="5">
        <v>254</v>
      </c>
      <c r="BB966" s="5">
        <v>96</v>
      </c>
      <c r="BC966" s="5">
        <v>158</v>
      </c>
      <c r="BD966" s="5">
        <v>0</v>
      </c>
      <c r="BE966" s="5">
        <v>0</v>
      </c>
      <c r="BF966" s="5">
        <v>0</v>
      </c>
      <c r="BH966" s="5">
        <v>0</v>
      </c>
      <c r="BI966" s="5">
        <v>87</v>
      </c>
      <c r="BJ966" s="5" t="s">
        <v>2490</v>
      </c>
      <c r="BL966" s="5">
        <v>0</v>
      </c>
      <c r="BM966" s="5">
        <v>87</v>
      </c>
      <c r="BN966" s="5" t="s">
        <v>85</v>
      </c>
      <c r="BO966" s="5">
        <v>3</v>
      </c>
      <c r="BP966" s="5">
        <v>14</v>
      </c>
      <c r="BQ966" s="5">
        <v>5</v>
      </c>
      <c r="BR966" s="5">
        <v>9</v>
      </c>
      <c r="BS966" s="5" t="s">
        <v>2492</v>
      </c>
      <c r="BT966" s="5">
        <v>0</v>
      </c>
      <c r="BU966" s="5">
        <v>3</v>
      </c>
      <c r="BV966" s="5">
        <v>0</v>
      </c>
      <c r="BW966" s="5">
        <v>0</v>
      </c>
      <c r="BX966" s="5">
        <v>0</v>
      </c>
      <c r="BZ966" s="5">
        <v>0</v>
      </c>
      <c r="CA966" s="5">
        <v>0</v>
      </c>
      <c r="CC966" s="5">
        <v>0</v>
      </c>
      <c r="CD966" s="5">
        <v>0</v>
      </c>
      <c r="CF966" s="1442" t="str">
        <f>IF([1]!sommaire[[#This Row],[présence des personnes déplacés interne]]="Oui","1","0")</f>
        <v>1</v>
      </c>
      <c r="CG966" s="1442" t="str">
        <f>IF([1]!sommaire[[#This Row],[présence Réfugié hors camp]]="Oui","1","0")</f>
        <v>1</v>
      </c>
      <c r="CH966" s="1442" t="str">
        <f>IF([1]!sommaire[[#This Row],[présence personnes retournées]]="Oui","1","0")</f>
        <v>1</v>
      </c>
      <c r="CI966" s="1442">
        <f>[1]!sommaire[[#This Row],[Flag PDI]]+[1]!sommaire[[#This Row],[Flag REF]]+[1]!sommaire[[#This Row],[Flag RET]]</f>
        <v>3</v>
      </c>
    </row>
    <row r="967" spans="1:87" ht="14.55" customHeight="1" x14ac:dyDescent="0.3">
      <c r="A967" s="390">
        <v>2630610</v>
      </c>
      <c r="B967" s="5" t="s">
        <v>533</v>
      </c>
      <c r="C967" s="1430" t="s">
        <v>3449</v>
      </c>
      <c r="D967" s="1090" t="s">
        <v>534</v>
      </c>
      <c r="E967" s="5" t="s">
        <v>34</v>
      </c>
      <c r="F967" s="5" t="s">
        <v>34</v>
      </c>
      <c r="G967" s="5" t="s">
        <v>539</v>
      </c>
      <c r="H967" s="5" t="s">
        <v>188</v>
      </c>
      <c r="I967" s="5" t="str">
        <f>_xlfn.XLOOKUP(sommaire[[#This Row],[Arrondissement_code]],OCHA_GIS!$F:$F,OCHA_GIS!$E:$E,,)</f>
        <v>Mora</v>
      </c>
      <c r="J967" s="5" t="s">
        <v>546</v>
      </c>
      <c r="K967" t="s">
        <v>763</v>
      </c>
      <c r="L967" s="5" t="s">
        <v>1382</v>
      </c>
      <c r="N967" s="5" t="s">
        <v>3053</v>
      </c>
      <c r="O967" s="5" t="s">
        <v>2467</v>
      </c>
      <c r="P967" s="5" t="s">
        <v>85</v>
      </c>
      <c r="Q967" s="5" t="s">
        <v>86</v>
      </c>
      <c r="R967" s="5" t="s">
        <v>85</v>
      </c>
      <c r="T967" s="390">
        <v>5</v>
      </c>
      <c r="U967" s="5" t="s">
        <v>97</v>
      </c>
      <c r="W967" s="5" t="s">
        <v>2468</v>
      </c>
      <c r="X967" s="5" t="s">
        <v>102</v>
      </c>
      <c r="AA967" s="5" t="s">
        <v>85</v>
      </c>
      <c r="AB967" s="5" t="s">
        <v>2469</v>
      </c>
      <c r="AC967" s="5" t="s">
        <v>2473</v>
      </c>
      <c r="AD967" s="5" t="s">
        <v>86</v>
      </c>
      <c r="AF967" s="5">
        <v>59</v>
      </c>
      <c r="AG967" s="5">
        <v>536</v>
      </c>
      <c r="AH967" s="5" t="s">
        <v>85</v>
      </c>
      <c r="AI967" s="5" t="s">
        <v>2471</v>
      </c>
      <c r="AJ967" s="5">
        <v>59</v>
      </c>
      <c r="AK967" s="5">
        <v>293</v>
      </c>
      <c r="AL967" s="5">
        <v>118</v>
      </c>
      <c r="AM967" s="5">
        <v>175</v>
      </c>
      <c r="AN967" s="5">
        <v>0</v>
      </c>
      <c r="AO967" s="5">
        <v>59</v>
      </c>
      <c r="AP967" s="5">
        <v>0</v>
      </c>
      <c r="AQ967" s="5">
        <v>0</v>
      </c>
      <c r="AT967" s="5">
        <v>0</v>
      </c>
      <c r="AU967" s="5">
        <v>0</v>
      </c>
      <c r="AX967" s="5">
        <v>0</v>
      </c>
      <c r="AY967" s="5" t="s">
        <v>85</v>
      </c>
      <c r="AZ967" s="5">
        <v>15</v>
      </c>
      <c r="BA967" s="5">
        <v>63</v>
      </c>
      <c r="BB967" s="5">
        <v>21</v>
      </c>
      <c r="BC967" s="5">
        <v>42</v>
      </c>
      <c r="BD967" s="5">
        <v>0</v>
      </c>
      <c r="BE967" s="5">
        <v>0</v>
      </c>
      <c r="BF967" s="5">
        <v>0</v>
      </c>
      <c r="BH967" s="5">
        <v>0</v>
      </c>
      <c r="BI967" s="5">
        <v>15</v>
      </c>
      <c r="BJ967" s="5" t="s">
        <v>2474</v>
      </c>
      <c r="BL967" s="5">
        <v>0</v>
      </c>
      <c r="BM967" s="5">
        <v>0</v>
      </c>
      <c r="BN967" s="5" t="s">
        <v>86</v>
      </c>
      <c r="CD967" s="5">
        <v>0</v>
      </c>
      <c r="CF967" s="1442" t="str">
        <f>IF([1]!sommaire[[#This Row],[présence des personnes déplacés interne]]="Oui","1","0")</f>
        <v>1</v>
      </c>
      <c r="CG967" s="1442" t="str">
        <f>IF([1]!sommaire[[#This Row],[présence Réfugié hors camp]]="Oui","1","0")</f>
        <v>1</v>
      </c>
      <c r="CH967" s="1442" t="str">
        <f>IF([1]!sommaire[[#This Row],[présence personnes retournées]]="Oui","1","0")</f>
        <v>0</v>
      </c>
      <c r="CI967" s="1442">
        <f>[1]!sommaire[[#This Row],[Flag PDI]]+[1]!sommaire[[#This Row],[Flag REF]]+[1]!sommaire[[#This Row],[Flag RET]]</f>
        <v>2</v>
      </c>
    </row>
    <row r="968" spans="1:87" ht="14.55" customHeight="1" x14ac:dyDescent="0.3">
      <c r="A968" s="390">
        <v>2622784</v>
      </c>
      <c r="B968" s="5" t="s">
        <v>533</v>
      </c>
      <c r="C968" s="1430" t="s">
        <v>3449</v>
      </c>
      <c r="D968" s="1090" t="s">
        <v>534</v>
      </c>
      <c r="E968" s="5" t="s">
        <v>34</v>
      </c>
      <c r="F968" s="5" t="s">
        <v>34</v>
      </c>
      <c r="G968" s="5" t="s">
        <v>539</v>
      </c>
      <c r="H968" s="5" t="s">
        <v>188</v>
      </c>
      <c r="I968" s="5" t="str">
        <f>_xlfn.XLOOKUP(sommaire[[#This Row],[Arrondissement_code]],OCHA_GIS!$F:$F,OCHA_GIS!$E:$E,,)</f>
        <v>Mora</v>
      </c>
      <c r="J968" s="5" t="s">
        <v>546</v>
      </c>
      <c r="K968" t="s">
        <v>2852</v>
      </c>
      <c r="L968" s="5" t="s">
        <v>1489</v>
      </c>
      <c r="N968" s="5" t="s">
        <v>3053</v>
      </c>
      <c r="O968" s="5" t="s">
        <v>2467</v>
      </c>
      <c r="P968" s="5" t="s">
        <v>85</v>
      </c>
      <c r="Q968" s="5" t="s">
        <v>86</v>
      </c>
      <c r="R968" s="5" t="s">
        <v>85</v>
      </c>
      <c r="T968" s="390">
        <v>4</v>
      </c>
      <c r="U968" s="5" t="s">
        <v>97</v>
      </c>
      <c r="W968" s="5" t="s">
        <v>2468</v>
      </c>
      <c r="X968" s="5" t="s">
        <v>102</v>
      </c>
      <c r="AA968" s="5" t="s">
        <v>85</v>
      </c>
      <c r="AB968" s="5" t="s">
        <v>2469</v>
      </c>
      <c r="AC968" s="5" t="s">
        <v>2470</v>
      </c>
      <c r="AD968" s="5" t="s">
        <v>86</v>
      </c>
      <c r="AF968" s="5">
        <v>98</v>
      </c>
      <c r="AG968" s="5">
        <v>2795</v>
      </c>
      <c r="AH968" s="5" t="s">
        <v>85</v>
      </c>
      <c r="AI968" s="5" t="s">
        <v>2471</v>
      </c>
      <c r="AJ968" s="5">
        <v>98</v>
      </c>
      <c r="AK968" s="5">
        <v>794</v>
      </c>
      <c r="AL968" s="5">
        <v>231</v>
      </c>
      <c r="AM968" s="5">
        <v>563</v>
      </c>
      <c r="AN968" s="5">
        <v>0</v>
      </c>
      <c r="AO968" s="5">
        <v>94</v>
      </c>
      <c r="AP968" s="5">
        <v>0</v>
      </c>
      <c r="AQ968" s="5">
        <v>4</v>
      </c>
      <c r="AR968" s="5" t="s">
        <v>2477</v>
      </c>
      <c r="AT968" s="5">
        <v>0</v>
      </c>
      <c r="AU968" s="5">
        <v>0</v>
      </c>
      <c r="AX968" s="5">
        <v>0</v>
      </c>
      <c r="AY968" s="5" t="s">
        <v>86</v>
      </c>
      <c r="BN968" s="5" t="s">
        <v>86</v>
      </c>
      <c r="CD968" s="5">
        <v>0</v>
      </c>
      <c r="CF968" s="1442" t="str">
        <f>IF([1]!sommaire[[#This Row],[présence des personnes déplacés interne]]="Oui","1","0")</f>
        <v>1</v>
      </c>
      <c r="CG968" s="1442" t="str">
        <f>IF([1]!sommaire[[#This Row],[présence Réfugié hors camp]]="Oui","1","0")</f>
        <v>0</v>
      </c>
      <c r="CH968" s="1442" t="str">
        <f>IF([1]!sommaire[[#This Row],[présence personnes retournées]]="Oui","1","0")</f>
        <v>0</v>
      </c>
      <c r="CI968" s="1442">
        <f>[1]!sommaire[[#This Row],[Flag PDI]]+[1]!sommaire[[#This Row],[Flag REF]]+[1]!sommaire[[#This Row],[Flag RET]]</f>
        <v>1</v>
      </c>
    </row>
    <row r="969" spans="1:87" ht="14.55" customHeight="1" x14ac:dyDescent="0.3">
      <c r="A969" s="390">
        <v>2657282</v>
      </c>
      <c r="B969" s="5" t="s">
        <v>533</v>
      </c>
      <c r="C969" s="1430" t="s">
        <v>3449</v>
      </c>
      <c r="D969" s="1090" t="s">
        <v>534</v>
      </c>
      <c r="E969" s="5" t="s">
        <v>34</v>
      </c>
      <c r="F969" s="5" t="s">
        <v>34</v>
      </c>
      <c r="G969" s="5" t="s">
        <v>539</v>
      </c>
      <c r="H969" s="5" t="s">
        <v>188</v>
      </c>
      <c r="I969" s="5" t="str">
        <f>_xlfn.XLOOKUP(sommaire[[#This Row],[Arrondissement_code]],OCHA_GIS!$F:$F,OCHA_GIS!$E:$E,,)</f>
        <v>Mora</v>
      </c>
      <c r="J969" s="5" t="s">
        <v>546</v>
      </c>
      <c r="K969" t="s">
        <v>2857</v>
      </c>
      <c r="L969" s="5" t="s">
        <v>1530</v>
      </c>
      <c r="N969" s="5" t="s">
        <v>3053</v>
      </c>
      <c r="O969" s="5" t="s">
        <v>2467</v>
      </c>
      <c r="P969" s="5" t="s">
        <v>86</v>
      </c>
      <c r="Q969" s="5" t="s">
        <v>85</v>
      </c>
      <c r="R969" s="5" t="s">
        <v>85</v>
      </c>
      <c r="S969" s="390">
        <v>6</v>
      </c>
      <c r="U969" s="5" t="s">
        <v>97</v>
      </c>
      <c r="W969" s="5" t="s">
        <v>2468</v>
      </c>
      <c r="X969" s="5" t="s">
        <v>102</v>
      </c>
      <c r="AA969" s="5" t="s">
        <v>85</v>
      </c>
      <c r="AB969" s="5" t="s">
        <v>2469</v>
      </c>
      <c r="AC969" s="5" t="s">
        <v>312</v>
      </c>
      <c r="AD969" s="5" t="s">
        <v>86</v>
      </c>
      <c r="AF969" s="5">
        <v>444</v>
      </c>
      <c r="AG969" s="5">
        <v>3000</v>
      </c>
      <c r="AH969" s="5" t="s">
        <v>85</v>
      </c>
      <c r="AI969" s="5" t="s">
        <v>2471</v>
      </c>
      <c r="AJ969" s="5">
        <v>444</v>
      </c>
      <c r="AK969" s="5">
        <v>1181</v>
      </c>
      <c r="AL969" s="5">
        <v>530</v>
      </c>
      <c r="AM969" s="5">
        <v>651</v>
      </c>
      <c r="AN969" s="5">
        <v>0</v>
      </c>
      <c r="AO969" s="5">
        <v>363</v>
      </c>
      <c r="AP969" s="5">
        <v>50</v>
      </c>
      <c r="AQ969" s="5">
        <v>10</v>
      </c>
      <c r="AR969" s="5" t="s">
        <v>2477</v>
      </c>
      <c r="AT969" s="5">
        <v>0</v>
      </c>
      <c r="AU969" s="5">
        <v>21</v>
      </c>
      <c r="AV969" s="5" t="s">
        <v>2490</v>
      </c>
      <c r="AX969" s="5">
        <v>0</v>
      </c>
      <c r="AY969" s="5" t="s">
        <v>85</v>
      </c>
      <c r="AZ969" s="5">
        <v>6</v>
      </c>
      <c r="BA969" s="5">
        <v>62</v>
      </c>
      <c r="BB969" s="5">
        <v>27</v>
      </c>
      <c r="BC969" s="5">
        <v>35</v>
      </c>
      <c r="BD969" s="5">
        <v>0</v>
      </c>
      <c r="BE969" s="5">
        <v>0</v>
      </c>
      <c r="BF969" s="5">
        <v>0</v>
      </c>
      <c r="BH969" s="5">
        <v>0</v>
      </c>
      <c r="BI969" s="5">
        <v>6</v>
      </c>
      <c r="BJ969" s="5" t="s">
        <v>2490</v>
      </c>
      <c r="BL969" s="5">
        <v>0</v>
      </c>
      <c r="BM969" s="5">
        <v>0</v>
      </c>
      <c r="BN969" s="5" t="s">
        <v>86</v>
      </c>
      <c r="CD969" s="5">
        <v>0</v>
      </c>
      <c r="CF969" s="1442" t="str">
        <f>IF([1]!sommaire[[#This Row],[présence des personnes déplacés interne]]="Oui","1","0")</f>
        <v>1</v>
      </c>
      <c r="CG969" s="1442" t="str">
        <f>IF([1]!sommaire[[#This Row],[présence Réfugié hors camp]]="Oui","1","0")</f>
        <v>1</v>
      </c>
      <c r="CH969" s="1442" t="str">
        <f>IF([1]!sommaire[[#This Row],[présence personnes retournées]]="Oui","1","0")</f>
        <v>0</v>
      </c>
      <c r="CI969" s="1442">
        <f>[1]!sommaire[[#This Row],[Flag PDI]]+[1]!sommaire[[#This Row],[Flag REF]]+[1]!sommaire[[#This Row],[Flag RET]]</f>
        <v>2</v>
      </c>
    </row>
    <row r="970" spans="1:87" ht="14.55" customHeight="1" x14ac:dyDescent="0.3">
      <c r="A970" s="390">
        <v>2610960</v>
      </c>
      <c r="B970" s="5" t="s">
        <v>533</v>
      </c>
      <c r="C970" s="1430" t="s">
        <v>3449</v>
      </c>
      <c r="D970" s="1090" t="s">
        <v>534</v>
      </c>
      <c r="E970" s="5" t="s">
        <v>34</v>
      </c>
      <c r="F970" s="5" t="s">
        <v>34</v>
      </c>
      <c r="G970" s="5" t="s">
        <v>539</v>
      </c>
      <c r="H970" s="5" t="s">
        <v>188</v>
      </c>
      <c r="I970" s="5" t="str">
        <f>_xlfn.XLOOKUP(sommaire[[#This Row],[Arrondissement_code]],OCHA_GIS!$F:$F,OCHA_GIS!$E:$E,,)</f>
        <v>Mora</v>
      </c>
      <c r="J970" s="5" t="s">
        <v>546</v>
      </c>
      <c r="K970" t="s">
        <v>1497</v>
      </c>
      <c r="L970" s="5" t="s">
        <v>1508</v>
      </c>
      <c r="N970" s="5" t="s">
        <v>3053</v>
      </c>
      <c r="O970" s="5" t="s">
        <v>2467</v>
      </c>
      <c r="P970" s="5" t="s">
        <v>85</v>
      </c>
      <c r="Q970" s="5" t="s">
        <v>86</v>
      </c>
      <c r="R970" s="5" t="s">
        <v>85</v>
      </c>
      <c r="T970" s="390">
        <v>3</v>
      </c>
      <c r="U970" s="5" t="s">
        <v>97</v>
      </c>
      <c r="W970" s="5" t="s">
        <v>2468</v>
      </c>
      <c r="X970" s="1090" t="s">
        <v>102</v>
      </c>
      <c r="AA970" s="1090" t="s">
        <v>85</v>
      </c>
      <c r="AB970" s="5" t="s">
        <v>2469</v>
      </c>
      <c r="AC970" s="5" t="s">
        <v>2473</v>
      </c>
      <c r="AD970" s="5" t="s">
        <v>86</v>
      </c>
      <c r="AF970" s="5">
        <v>302</v>
      </c>
      <c r="AG970" s="5">
        <v>4009</v>
      </c>
      <c r="AH970" s="5" t="s">
        <v>85</v>
      </c>
      <c r="AI970" s="5" t="s">
        <v>2471</v>
      </c>
      <c r="AJ970" s="5">
        <v>302</v>
      </c>
      <c r="AK970" s="5">
        <v>1799</v>
      </c>
      <c r="AL970" s="5">
        <v>795</v>
      </c>
      <c r="AM970" s="5">
        <v>1004</v>
      </c>
      <c r="AN970" s="5">
        <v>0</v>
      </c>
      <c r="AO970" s="5">
        <v>118</v>
      </c>
      <c r="AP970" s="5">
        <v>46</v>
      </c>
      <c r="AQ970" s="5">
        <v>20</v>
      </c>
      <c r="AR970" s="5" t="s">
        <v>2472</v>
      </c>
      <c r="AT970" s="5">
        <v>0</v>
      </c>
      <c r="AU970" s="5">
        <v>118</v>
      </c>
      <c r="AV970" s="5" t="s">
        <v>2490</v>
      </c>
      <c r="AX970" s="5">
        <v>0</v>
      </c>
      <c r="AY970" s="1090" t="s">
        <v>86</v>
      </c>
      <c r="BN970" s="1090" t="s">
        <v>85</v>
      </c>
      <c r="BO970" s="5">
        <v>113</v>
      </c>
      <c r="BP970" s="5">
        <v>995</v>
      </c>
      <c r="BQ970" s="5">
        <v>415</v>
      </c>
      <c r="BR970" s="5">
        <v>580</v>
      </c>
      <c r="BS970" s="5" t="s">
        <v>2535</v>
      </c>
      <c r="BT970" s="5">
        <v>0</v>
      </c>
      <c r="BU970" s="5">
        <v>0</v>
      </c>
      <c r="BV970" s="5">
        <v>113</v>
      </c>
      <c r="BW970" s="5">
        <v>0</v>
      </c>
      <c r="BX970" s="5">
        <v>0</v>
      </c>
      <c r="BZ970" s="5">
        <v>0</v>
      </c>
      <c r="CA970" s="5">
        <v>0</v>
      </c>
      <c r="CC970" s="5">
        <v>0</v>
      </c>
      <c r="CD970" s="5">
        <v>0</v>
      </c>
      <c r="CF970" s="1442" t="str">
        <f>IF([1]!sommaire[[#This Row],[présence des personnes déplacés interne]]="Oui","1","0")</f>
        <v>1</v>
      </c>
      <c r="CG970" s="1442" t="str">
        <f>IF([1]!sommaire[[#This Row],[présence Réfugié hors camp]]="Oui","1","0")</f>
        <v>0</v>
      </c>
      <c r="CH970" s="1442" t="str">
        <f>IF([1]!sommaire[[#This Row],[présence personnes retournées]]="Oui","1","0")</f>
        <v>1</v>
      </c>
      <c r="CI970" s="1442">
        <f>[1]!sommaire[[#This Row],[Flag PDI]]+[1]!sommaire[[#This Row],[Flag REF]]+[1]!sommaire[[#This Row],[Flag RET]]</f>
        <v>2</v>
      </c>
    </row>
    <row r="971" spans="1:87" ht="14.55" customHeight="1" x14ac:dyDescent="0.3">
      <c r="A971" s="390">
        <v>2623580</v>
      </c>
      <c r="B971" s="5" t="s">
        <v>533</v>
      </c>
      <c r="C971" s="1430" t="s">
        <v>3449</v>
      </c>
      <c r="D971" s="1090" t="s">
        <v>534</v>
      </c>
      <c r="E971" s="5" t="s">
        <v>34</v>
      </c>
      <c r="F971" s="5" t="s">
        <v>34</v>
      </c>
      <c r="G971" s="5" t="s">
        <v>539</v>
      </c>
      <c r="H971" s="5" t="s">
        <v>188</v>
      </c>
      <c r="I971" s="5" t="str">
        <f>_xlfn.XLOOKUP(sommaire[[#This Row],[Arrondissement_code]],OCHA_GIS!$F:$F,OCHA_GIS!$E:$E,,)</f>
        <v>Mora</v>
      </c>
      <c r="J971" s="5" t="s">
        <v>546</v>
      </c>
      <c r="K971" t="s">
        <v>1529</v>
      </c>
      <c r="L971" s="5" t="s">
        <v>1182</v>
      </c>
      <c r="N971" s="5" t="s">
        <v>3052</v>
      </c>
      <c r="O971" s="5" t="s">
        <v>2467</v>
      </c>
      <c r="P971" s="5" t="s">
        <v>85</v>
      </c>
      <c r="Q971" s="5" t="s">
        <v>86</v>
      </c>
      <c r="R971" s="5" t="s">
        <v>85</v>
      </c>
      <c r="T971" s="390">
        <v>3</v>
      </c>
      <c r="U971" s="5" t="s">
        <v>97</v>
      </c>
      <c r="W971" s="5" t="s">
        <v>2468</v>
      </c>
      <c r="X971" s="5" t="s">
        <v>102</v>
      </c>
      <c r="AA971" s="5" t="s">
        <v>85</v>
      </c>
      <c r="AB971" s="5" t="s">
        <v>2469</v>
      </c>
      <c r="AC971" s="5" t="s">
        <v>2473</v>
      </c>
      <c r="AD971" s="5" t="s">
        <v>86</v>
      </c>
      <c r="AF971" s="5">
        <v>539</v>
      </c>
      <c r="AG971" s="5">
        <v>6886</v>
      </c>
      <c r="AH971" s="5" t="s">
        <v>85</v>
      </c>
      <c r="AI971" s="5" t="s">
        <v>2471</v>
      </c>
      <c r="AJ971" s="5">
        <v>539</v>
      </c>
      <c r="AK971" s="5">
        <v>2465</v>
      </c>
      <c r="AL971" s="5">
        <v>1032</v>
      </c>
      <c r="AM971" s="5">
        <v>1433</v>
      </c>
      <c r="AN971" s="5">
        <v>0</v>
      </c>
      <c r="AO971" s="5">
        <v>30</v>
      </c>
      <c r="AP971" s="5">
        <v>123</v>
      </c>
      <c r="AQ971" s="5">
        <v>59</v>
      </c>
      <c r="AR971" s="5" t="s">
        <v>2477</v>
      </c>
      <c r="AT971" s="5">
        <v>0</v>
      </c>
      <c r="AU971" s="5">
        <v>327</v>
      </c>
      <c r="AV971" s="5" t="s">
        <v>2490</v>
      </c>
      <c r="AX971" s="5">
        <v>0</v>
      </c>
      <c r="AY971" s="5" t="s">
        <v>85</v>
      </c>
      <c r="AZ971" s="5">
        <v>1</v>
      </c>
      <c r="BA971" s="5">
        <v>3</v>
      </c>
      <c r="BB971" s="5">
        <v>2</v>
      </c>
      <c r="BC971" s="5">
        <v>1</v>
      </c>
      <c r="BD971" s="5">
        <v>1</v>
      </c>
      <c r="BE971" s="5">
        <v>0</v>
      </c>
      <c r="BF971" s="5">
        <v>0</v>
      </c>
      <c r="BH971" s="5">
        <v>0</v>
      </c>
      <c r="BI971" s="5">
        <v>0</v>
      </c>
      <c r="BL971" s="5">
        <v>0</v>
      </c>
      <c r="BM971" s="5">
        <v>1</v>
      </c>
      <c r="BN971" s="5" t="s">
        <v>85</v>
      </c>
      <c r="BO971" s="5">
        <v>466</v>
      </c>
      <c r="BP971" s="5">
        <v>2758</v>
      </c>
      <c r="BQ971" s="5">
        <v>1149</v>
      </c>
      <c r="BR971" s="5">
        <v>1609</v>
      </c>
      <c r="BS971" s="5" t="s">
        <v>2535</v>
      </c>
      <c r="BT971" s="5">
        <v>380</v>
      </c>
      <c r="BU971" s="5">
        <v>35</v>
      </c>
      <c r="BV971" s="5">
        <v>40</v>
      </c>
      <c r="BW971" s="5">
        <v>0</v>
      </c>
      <c r="BX971" s="5">
        <v>0</v>
      </c>
      <c r="BZ971" s="5">
        <v>0</v>
      </c>
      <c r="CA971" s="5">
        <v>11</v>
      </c>
      <c r="CB971" s="5" t="s">
        <v>2475</v>
      </c>
      <c r="CC971" s="5">
        <v>0</v>
      </c>
      <c r="CD971" s="5">
        <v>0</v>
      </c>
      <c r="CF971" s="1442" t="str">
        <f>IF([1]!sommaire[[#This Row],[présence des personnes déplacés interne]]="Oui","1","0")</f>
        <v>1</v>
      </c>
      <c r="CG971" s="1442" t="str">
        <f>IF([1]!sommaire[[#This Row],[présence Réfugié hors camp]]="Oui","1","0")</f>
        <v>1</v>
      </c>
      <c r="CH971" s="1442" t="str">
        <f>IF([1]!sommaire[[#This Row],[présence personnes retournées]]="Oui","1","0")</f>
        <v>1</v>
      </c>
      <c r="CI971" s="1442">
        <f>[1]!sommaire[[#This Row],[Flag PDI]]+[1]!sommaire[[#This Row],[Flag REF]]+[1]!sommaire[[#This Row],[Flag RET]]</f>
        <v>3</v>
      </c>
    </row>
    <row r="972" spans="1:87" ht="14.55" customHeight="1" x14ac:dyDescent="0.3">
      <c r="A972" s="390">
        <v>2653680</v>
      </c>
      <c r="B972" s="5" t="s">
        <v>533</v>
      </c>
      <c r="C972" s="1430" t="s">
        <v>3449</v>
      </c>
      <c r="D972" s="1090" t="s">
        <v>534</v>
      </c>
      <c r="E972" s="5" t="s">
        <v>34</v>
      </c>
      <c r="F972" s="5" t="s">
        <v>34</v>
      </c>
      <c r="G972" s="5" t="s">
        <v>539</v>
      </c>
      <c r="H972" s="5" t="s">
        <v>188</v>
      </c>
      <c r="I972" s="5" t="str">
        <f>_xlfn.XLOOKUP(sommaire[[#This Row],[Arrondissement_code]],OCHA_GIS!$F:$F,OCHA_GIS!$E:$E,,)</f>
        <v>Mora</v>
      </c>
      <c r="J972" s="5" t="s">
        <v>546</v>
      </c>
      <c r="K972" t="s">
        <v>1181</v>
      </c>
      <c r="L972" s="5" t="s">
        <v>758</v>
      </c>
      <c r="N972" s="5" t="s">
        <v>3053</v>
      </c>
      <c r="O972" s="5" t="s">
        <v>2467</v>
      </c>
      <c r="P972" s="5" t="s">
        <v>86</v>
      </c>
      <c r="Q972" s="5" t="s">
        <v>85</v>
      </c>
      <c r="R972" s="5" t="s">
        <v>85</v>
      </c>
      <c r="S972" s="390">
        <v>6</v>
      </c>
      <c r="U972" s="5" t="s">
        <v>97</v>
      </c>
      <c r="W972" s="5" t="s">
        <v>2468</v>
      </c>
      <c r="X972" s="5" t="s">
        <v>102</v>
      </c>
      <c r="AA972" s="5" t="s">
        <v>85</v>
      </c>
      <c r="AB972" s="5" t="s">
        <v>2469</v>
      </c>
      <c r="AC972" s="5" t="s">
        <v>2470</v>
      </c>
      <c r="AD972" s="5" t="s">
        <v>86</v>
      </c>
      <c r="AF972" s="5">
        <v>247</v>
      </c>
      <c r="AG972" s="5">
        <v>2827</v>
      </c>
      <c r="AH972" s="5" t="s">
        <v>85</v>
      </c>
      <c r="AI972" s="5" t="s">
        <v>2471</v>
      </c>
      <c r="AJ972" s="5">
        <v>247</v>
      </c>
      <c r="AK972" s="5">
        <v>1257</v>
      </c>
      <c r="AL972" s="5">
        <v>619</v>
      </c>
      <c r="AM972" s="5">
        <v>638</v>
      </c>
      <c r="AN972" s="5">
        <v>0</v>
      </c>
      <c r="AO972" s="5">
        <v>247</v>
      </c>
      <c r="AP972" s="5">
        <v>0</v>
      </c>
      <c r="AQ972" s="5">
        <v>0</v>
      </c>
      <c r="AT972" s="5">
        <v>0</v>
      </c>
      <c r="AU972" s="5">
        <v>0</v>
      </c>
      <c r="AX972" s="5">
        <v>0</v>
      </c>
      <c r="AY972" s="5" t="s">
        <v>86</v>
      </c>
      <c r="BN972" s="5" t="s">
        <v>85</v>
      </c>
      <c r="BO972" s="5">
        <v>5</v>
      </c>
      <c r="BP972" s="5">
        <v>20</v>
      </c>
      <c r="BQ972" s="5">
        <v>9</v>
      </c>
      <c r="BR972" s="5">
        <v>11</v>
      </c>
      <c r="BS972" s="5" t="s">
        <v>2535</v>
      </c>
      <c r="BT972" s="5">
        <v>0</v>
      </c>
      <c r="BU972" s="5">
        <v>5</v>
      </c>
      <c r="BV972" s="5">
        <v>0</v>
      </c>
      <c r="BW972" s="5">
        <v>0</v>
      </c>
      <c r="BX972" s="5">
        <v>0</v>
      </c>
      <c r="BZ972" s="5">
        <v>0</v>
      </c>
      <c r="CA972" s="5">
        <v>0</v>
      </c>
      <c r="CC972" s="5">
        <v>0</v>
      </c>
      <c r="CD972" s="5">
        <v>0</v>
      </c>
      <c r="CF972" s="1442" t="str">
        <f>IF([1]!sommaire[[#This Row],[présence des personnes déplacés interne]]="Oui","1","0")</f>
        <v>1</v>
      </c>
      <c r="CG972" s="1442" t="str">
        <f>IF([1]!sommaire[[#This Row],[présence Réfugié hors camp]]="Oui","1","0")</f>
        <v>0</v>
      </c>
      <c r="CH972" s="1442" t="str">
        <f>IF([1]!sommaire[[#This Row],[présence personnes retournées]]="Oui","1","0")</f>
        <v>1</v>
      </c>
      <c r="CI972" s="1442">
        <f>[1]!sommaire[[#This Row],[Flag PDI]]+[1]!sommaire[[#This Row],[Flag REF]]+[1]!sommaire[[#This Row],[Flag RET]]</f>
        <v>2</v>
      </c>
    </row>
    <row r="973" spans="1:87" ht="14.55" customHeight="1" x14ac:dyDescent="0.3">
      <c r="A973" s="390">
        <v>2627333</v>
      </c>
      <c r="B973" s="5" t="s">
        <v>533</v>
      </c>
      <c r="C973" s="1430" t="s">
        <v>3449</v>
      </c>
      <c r="D973" s="1090" t="s">
        <v>534</v>
      </c>
      <c r="E973" s="5" t="s">
        <v>34</v>
      </c>
      <c r="F973" s="5" t="s">
        <v>34</v>
      </c>
      <c r="G973" s="5" t="s">
        <v>539</v>
      </c>
      <c r="H973" s="5" t="s">
        <v>188</v>
      </c>
      <c r="I973" s="5" t="str">
        <f>_xlfn.XLOOKUP(sommaire[[#This Row],[Arrondissement_code]],OCHA_GIS!$F:$F,OCHA_GIS!$E:$E,,)</f>
        <v>Mora</v>
      </c>
      <c r="J973" s="5" t="s">
        <v>546</v>
      </c>
      <c r="K973" t="s">
        <v>757</v>
      </c>
      <c r="L973" s="5" t="s">
        <v>805</v>
      </c>
      <c r="N973" s="5" t="s">
        <v>3053</v>
      </c>
      <c r="O973" s="5" t="s">
        <v>2467</v>
      </c>
      <c r="P973" s="5" t="s">
        <v>85</v>
      </c>
      <c r="Q973" s="5" t="s">
        <v>86</v>
      </c>
      <c r="R973" s="5" t="s">
        <v>85</v>
      </c>
      <c r="T973" s="390">
        <v>8</v>
      </c>
      <c r="U973" s="5" t="s">
        <v>97</v>
      </c>
      <c r="W973" s="5" t="s">
        <v>2468</v>
      </c>
      <c r="X973" s="5" t="s">
        <v>102</v>
      </c>
      <c r="AA973" s="5" t="s">
        <v>85</v>
      </c>
      <c r="AB973" s="5" t="s">
        <v>2469</v>
      </c>
      <c r="AC973" s="5" t="s">
        <v>312</v>
      </c>
      <c r="AD973" s="5" t="s">
        <v>86</v>
      </c>
      <c r="AF973" s="5">
        <v>160</v>
      </c>
      <c r="AG973" s="5">
        <v>2200</v>
      </c>
      <c r="AH973" s="5" t="s">
        <v>85</v>
      </c>
      <c r="AI973" s="5" t="s">
        <v>2471</v>
      </c>
      <c r="AJ973" s="5">
        <v>160</v>
      </c>
      <c r="AK973" s="5">
        <v>732</v>
      </c>
      <c r="AL973" s="5">
        <v>331</v>
      </c>
      <c r="AM973" s="5">
        <v>401</v>
      </c>
      <c r="AN973" s="5">
        <v>0</v>
      </c>
      <c r="AO973" s="5">
        <v>0</v>
      </c>
      <c r="AP973" s="5">
        <v>0</v>
      </c>
      <c r="AQ973" s="5">
        <v>160</v>
      </c>
      <c r="AR973" s="5" t="s">
        <v>2477</v>
      </c>
      <c r="AT973" s="5">
        <v>0</v>
      </c>
      <c r="AU973" s="5">
        <v>0</v>
      </c>
      <c r="AX973" s="5">
        <v>0</v>
      </c>
      <c r="AY973" s="5" t="s">
        <v>86</v>
      </c>
      <c r="BN973" s="5" t="s">
        <v>86</v>
      </c>
      <c r="CD973" s="5">
        <v>2</v>
      </c>
      <c r="CF973" s="1442" t="str">
        <f>IF([1]!sommaire[[#This Row],[présence des personnes déplacés interne]]="Oui","1","0")</f>
        <v>1</v>
      </c>
      <c r="CG973" s="1442" t="str">
        <f>IF([1]!sommaire[[#This Row],[présence Réfugié hors camp]]="Oui","1","0")</f>
        <v>0</v>
      </c>
      <c r="CH973" s="1442" t="str">
        <f>IF([1]!sommaire[[#This Row],[présence personnes retournées]]="Oui","1","0")</f>
        <v>0</v>
      </c>
      <c r="CI973" s="1442">
        <f>[1]!sommaire[[#This Row],[Flag PDI]]+[1]!sommaire[[#This Row],[Flag REF]]+[1]!sommaire[[#This Row],[Flag RET]]</f>
        <v>1</v>
      </c>
    </row>
    <row r="974" spans="1:87" ht="14.55" customHeight="1" x14ac:dyDescent="0.3">
      <c r="A974" s="390">
        <v>2658467</v>
      </c>
      <c r="B974" s="5" t="s">
        <v>533</v>
      </c>
      <c r="C974" s="1430" t="s">
        <v>3449</v>
      </c>
      <c r="D974" s="1090" t="s">
        <v>534</v>
      </c>
      <c r="E974" s="5" t="s">
        <v>34</v>
      </c>
      <c r="F974" s="5" t="s">
        <v>34</v>
      </c>
      <c r="G974" s="5" t="s">
        <v>539</v>
      </c>
      <c r="H974" s="5" t="s">
        <v>188</v>
      </c>
      <c r="I974" s="5" t="str">
        <f>_xlfn.XLOOKUP(sommaire[[#This Row],[Arrondissement_code]],OCHA_GIS!$F:$F,OCHA_GIS!$E:$E,,)</f>
        <v>Mora</v>
      </c>
      <c r="J974" s="5" t="s">
        <v>546</v>
      </c>
      <c r="K974" t="s">
        <v>804</v>
      </c>
      <c r="L974" s="5" t="s">
        <v>1236</v>
      </c>
      <c r="N974" s="5" t="s">
        <v>3052</v>
      </c>
      <c r="O974" s="5" t="s">
        <v>2467</v>
      </c>
      <c r="P974" s="5" t="s">
        <v>85</v>
      </c>
      <c r="Q974" s="5" t="s">
        <v>86</v>
      </c>
      <c r="R974" s="5" t="s">
        <v>86</v>
      </c>
      <c r="T974" s="390">
        <v>4</v>
      </c>
      <c r="U974" s="5" t="s">
        <v>97</v>
      </c>
      <c r="W974" s="5" t="s">
        <v>2468</v>
      </c>
      <c r="X974" s="5" t="s">
        <v>102</v>
      </c>
      <c r="AA974" s="5" t="s">
        <v>85</v>
      </c>
      <c r="AB974" s="5" t="s">
        <v>2469</v>
      </c>
      <c r="AC974" s="5" t="s">
        <v>2470</v>
      </c>
      <c r="AD974" s="5" t="s">
        <v>86</v>
      </c>
      <c r="AF974" s="5">
        <v>164</v>
      </c>
      <c r="AG974" s="5">
        <v>7841</v>
      </c>
      <c r="AH974" s="5" t="s">
        <v>85</v>
      </c>
      <c r="AI974" s="5" t="s">
        <v>2471</v>
      </c>
      <c r="AJ974" s="5">
        <v>164</v>
      </c>
      <c r="AK974" s="5">
        <v>843</v>
      </c>
      <c r="AL974" s="5">
        <v>328</v>
      </c>
      <c r="AM974" s="5">
        <v>515</v>
      </c>
      <c r="AN974" s="5">
        <v>0</v>
      </c>
      <c r="AO974" s="5">
        <v>164</v>
      </c>
      <c r="AP974" s="5">
        <v>0</v>
      </c>
      <c r="AQ974" s="5">
        <v>0</v>
      </c>
      <c r="AT974" s="5">
        <v>0</v>
      </c>
      <c r="AU974" s="5">
        <v>0</v>
      </c>
      <c r="AX974" s="5">
        <v>0</v>
      </c>
      <c r="AY974" s="5" t="s">
        <v>86</v>
      </c>
      <c r="BN974" s="5" t="s">
        <v>86</v>
      </c>
      <c r="CD974" s="5">
        <v>0</v>
      </c>
      <c r="CF974" s="1442" t="str">
        <f>IF([1]!sommaire[[#This Row],[présence des personnes déplacés interne]]="Oui","1","0")</f>
        <v>1</v>
      </c>
      <c r="CG974" s="1442" t="str">
        <f>IF([1]!sommaire[[#This Row],[présence Réfugié hors camp]]="Oui","1","0")</f>
        <v>0</v>
      </c>
      <c r="CH974" s="1442" t="str">
        <f>IF([1]!sommaire[[#This Row],[présence personnes retournées]]="Oui","1","0")</f>
        <v>0</v>
      </c>
      <c r="CI974" s="1442">
        <f>[1]!sommaire[[#This Row],[Flag PDI]]+[1]!sommaire[[#This Row],[Flag REF]]+[1]!sommaire[[#This Row],[Flag RET]]</f>
        <v>1</v>
      </c>
    </row>
    <row r="975" spans="1:87" ht="14.55" customHeight="1" x14ac:dyDescent="0.3">
      <c r="A975" s="390">
        <v>2648208</v>
      </c>
      <c r="B975" s="5" t="s">
        <v>533</v>
      </c>
      <c r="C975" s="1430" t="s">
        <v>3449</v>
      </c>
      <c r="D975" s="1090" t="s">
        <v>534</v>
      </c>
      <c r="E975" s="5" t="s">
        <v>34</v>
      </c>
      <c r="F975" s="5" t="s">
        <v>34</v>
      </c>
      <c r="G975" s="5" t="s">
        <v>539</v>
      </c>
      <c r="H975" s="5" t="s">
        <v>188</v>
      </c>
      <c r="I975" s="5" t="str">
        <f>_xlfn.XLOOKUP(sommaire[[#This Row],[Arrondissement_code]],OCHA_GIS!$F:$F,OCHA_GIS!$E:$E,,)</f>
        <v>Mora</v>
      </c>
      <c r="J975" s="5" t="s">
        <v>546</v>
      </c>
      <c r="K975" t="s">
        <v>1162</v>
      </c>
      <c r="L975" s="5" t="s">
        <v>2665</v>
      </c>
      <c r="N975" s="5" t="s">
        <v>3053</v>
      </c>
      <c r="O975" s="5" t="s">
        <v>2467</v>
      </c>
      <c r="P975" s="5" t="s">
        <v>86</v>
      </c>
      <c r="Q975" s="5" t="s">
        <v>86</v>
      </c>
      <c r="R975" s="5" t="s">
        <v>85</v>
      </c>
      <c r="U975" s="5" t="s">
        <v>97</v>
      </c>
      <c r="W975" s="5" t="s">
        <v>2482</v>
      </c>
      <c r="X975" s="1090"/>
      <c r="AA975" s="5" t="s">
        <v>86</v>
      </c>
      <c r="AH975" s="1430" t="s">
        <v>86</v>
      </c>
      <c r="AY975" s="1430" t="s">
        <v>86</v>
      </c>
      <c r="BN975" s="1430" t="s">
        <v>86</v>
      </c>
      <c r="CF975" s="1442" t="str">
        <f>IF([1]!sommaire[[#This Row],[présence des personnes déplacés interne]]="Oui","1","0")</f>
        <v>0</v>
      </c>
      <c r="CG975" s="1442" t="str">
        <f>IF([1]!sommaire[[#This Row],[présence Réfugié hors camp]]="Oui","1","0")</f>
        <v>0</v>
      </c>
      <c r="CH975" s="1442" t="str">
        <f>IF([1]!sommaire[[#This Row],[présence personnes retournées]]="Oui","1","0")</f>
        <v>0</v>
      </c>
      <c r="CI975" s="1442">
        <f>[1]!sommaire[[#This Row],[Flag PDI]]+[1]!sommaire[[#This Row],[Flag REF]]+[1]!sommaire[[#This Row],[Flag RET]]</f>
        <v>0</v>
      </c>
    </row>
    <row r="976" spans="1:87" ht="14.55" customHeight="1" x14ac:dyDescent="0.3">
      <c r="A976" s="390">
        <v>2615775</v>
      </c>
      <c r="B976" s="5" t="s">
        <v>533</v>
      </c>
      <c r="C976" s="1430" t="s">
        <v>3449</v>
      </c>
      <c r="D976" s="1090" t="s">
        <v>534</v>
      </c>
      <c r="E976" s="5" t="s">
        <v>34</v>
      </c>
      <c r="F976" s="5" t="s">
        <v>34</v>
      </c>
      <c r="G976" s="5" t="s">
        <v>539</v>
      </c>
      <c r="H976" s="5" t="s">
        <v>188</v>
      </c>
      <c r="I976" s="5" t="str">
        <f>_xlfn.XLOOKUP(sommaire[[#This Row],[Arrondissement_code]],OCHA_GIS!$F:$F,OCHA_GIS!$E:$E,,)</f>
        <v>Mora</v>
      </c>
      <c r="J976" s="5" t="s">
        <v>546</v>
      </c>
      <c r="K976" t="s">
        <v>1488</v>
      </c>
      <c r="L976" s="5" t="s">
        <v>1514</v>
      </c>
      <c r="N976" s="5" t="s">
        <v>3052</v>
      </c>
      <c r="O976" s="5" t="s">
        <v>2467</v>
      </c>
      <c r="P976" s="5" t="s">
        <v>85</v>
      </c>
      <c r="Q976" s="5" t="s">
        <v>86</v>
      </c>
      <c r="R976" s="5" t="s">
        <v>85</v>
      </c>
      <c r="T976" s="390">
        <v>4</v>
      </c>
      <c r="U976" s="5" t="s">
        <v>97</v>
      </c>
      <c r="W976" s="5" t="s">
        <v>2468</v>
      </c>
      <c r="X976" s="5" t="s">
        <v>102</v>
      </c>
      <c r="AA976" s="5" t="s">
        <v>85</v>
      </c>
      <c r="AB976" s="5" t="s">
        <v>2469</v>
      </c>
      <c r="AC976" s="5" t="s">
        <v>312</v>
      </c>
      <c r="AD976" s="5" t="s">
        <v>86</v>
      </c>
      <c r="AF976" s="5">
        <v>74</v>
      </c>
      <c r="AG976" s="5">
        <v>7312</v>
      </c>
      <c r="AH976" s="5" t="s">
        <v>85</v>
      </c>
      <c r="AI976" s="5" t="s">
        <v>2471</v>
      </c>
      <c r="AJ976" s="5">
        <v>74</v>
      </c>
      <c r="AK976" s="5">
        <v>366</v>
      </c>
      <c r="AL976" s="5">
        <v>161</v>
      </c>
      <c r="AM976" s="5">
        <v>205</v>
      </c>
      <c r="AN976" s="5">
        <v>10</v>
      </c>
      <c r="AO976" s="5">
        <v>59</v>
      </c>
      <c r="AP976" s="5">
        <v>0</v>
      </c>
      <c r="AQ976" s="5">
        <v>5</v>
      </c>
      <c r="AR976" s="5" t="s">
        <v>2477</v>
      </c>
      <c r="AT976" s="5">
        <v>0</v>
      </c>
      <c r="AU976" s="5">
        <v>0</v>
      </c>
      <c r="AX976" s="5">
        <v>0</v>
      </c>
      <c r="AY976" s="5" t="s">
        <v>85</v>
      </c>
      <c r="AZ976" s="5">
        <v>3</v>
      </c>
      <c r="BA976" s="5">
        <v>12</v>
      </c>
      <c r="BB976" s="5">
        <v>5</v>
      </c>
      <c r="BC976" s="5">
        <v>7</v>
      </c>
      <c r="BD976" s="5">
        <v>3</v>
      </c>
      <c r="BE976" s="5">
        <v>0</v>
      </c>
      <c r="BF976" s="5">
        <v>0</v>
      </c>
      <c r="BH976" s="5">
        <v>0</v>
      </c>
      <c r="BI976" s="5">
        <v>0</v>
      </c>
      <c r="BL976" s="5">
        <v>0</v>
      </c>
      <c r="BM976" s="5">
        <v>0</v>
      </c>
      <c r="BN976" s="5" t="s">
        <v>85</v>
      </c>
      <c r="BO976" s="5">
        <v>35</v>
      </c>
      <c r="BP976" s="5">
        <v>153</v>
      </c>
      <c r="BQ976" s="5">
        <v>52</v>
      </c>
      <c r="BR976" s="5">
        <v>101</v>
      </c>
      <c r="BS976" s="5" t="s">
        <v>2535</v>
      </c>
      <c r="BT976" s="5">
        <v>20</v>
      </c>
      <c r="BU976" s="5">
        <v>0</v>
      </c>
      <c r="BV976" s="5">
        <v>15</v>
      </c>
      <c r="BW976" s="5">
        <v>0</v>
      </c>
      <c r="BX976" s="5">
        <v>0</v>
      </c>
      <c r="BZ976" s="5">
        <v>0</v>
      </c>
      <c r="CA976" s="5">
        <v>0</v>
      </c>
      <c r="CC976" s="5">
        <v>0</v>
      </c>
      <c r="CD976" s="5">
        <v>0</v>
      </c>
      <c r="CF976" s="1442" t="str">
        <f>IF([1]!sommaire[[#This Row],[présence des personnes déplacés interne]]="Oui","1","0")</f>
        <v>1</v>
      </c>
      <c r="CG976" s="1442" t="str">
        <f>IF([1]!sommaire[[#This Row],[présence Réfugié hors camp]]="Oui","1","0")</f>
        <v>1</v>
      </c>
      <c r="CH976" s="1442" t="str">
        <f>IF([1]!sommaire[[#This Row],[présence personnes retournées]]="Oui","1","0")</f>
        <v>1</v>
      </c>
      <c r="CI976" s="1442">
        <f>[1]!sommaire[[#This Row],[Flag PDI]]+[1]!sommaire[[#This Row],[Flag REF]]+[1]!sommaire[[#This Row],[Flag RET]]</f>
        <v>3</v>
      </c>
    </row>
    <row r="977" spans="1:87" ht="14.55" customHeight="1" x14ac:dyDescent="0.3">
      <c r="A977" s="390">
        <v>2611343</v>
      </c>
      <c r="B977" s="5" t="s">
        <v>533</v>
      </c>
      <c r="C977" s="1430" t="s">
        <v>3449</v>
      </c>
      <c r="D977" s="1090" t="s">
        <v>534</v>
      </c>
      <c r="E977" s="5" t="s">
        <v>34</v>
      </c>
      <c r="F977" s="5" t="s">
        <v>34</v>
      </c>
      <c r="G977" s="5" t="s">
        <v>539</v>
      </c>
      <c r="H977" s="5" t="s">
        <v>188</v>
      </c>
      <c r="I977" s="5" t="str">
        <f>_xlfn.XLOOKUP(sommaire[[#This Row],[Arrondissement_code]],OCHA_GIS!$F:$F,OCHA_GIS!$E:$E,,)</f>
        <v>Mora</v>
      </c>
      <c r="J977" s="5" t="s">
        <v>546</v>
      </c>
      <c r="K977" t="s">
        <v>3207</v>
      </c>
      <c r="L977" s="5" t="s">
        <v>2774</v>
      </c>
      <c r="N977" s="5" t="s">
        <v>3053</v>
      </c>
      <c r="O977" s="5" t="s">
        <v>2467</v>
      </c>
      <c r="P977" s="5" t="s">
        <v>85</v>
      </c>
      <c r="Q977" s="5" t="s">
        <v>86</v>
      </c>
      <c r="R977" s="5" t="s">
        <v>85</v>
      </c>
      <c r="T977" s="390">
        <v>3</v>
      </c>
      <c r="U977" s="5" t="s">
        <v>97</v>
      </c>
      <c r="W977" s="5" t="s">
        <v>2468</v>
      </c>
      <c r="X977" s="5" t="s">
        <v>103</v>
      </c>
      <c r="Y977" s="5" t="s">
        <v>2511</v>
      </c>
      <c r="AA977" s="5" t="s">
        <v>85</v>
      </c>
      <c r="AB977" s="5" t="s">
        <v>2469</v>
      </c>
      <c r="AC977" s="5" t="s">
        <v>2470</v>
      </c>
      <c r="AD977" s="5" t="s">
        <v>86</v>
      </c>
      <c r="AG977" s="5">
        <v>241</v>
      </c>
      <c r="AH977" s="5" t="s">
        <v>86</v>
      </c>
      <c r="AY977" s="5" t="s">
        <v>86</v>
      </c>
      <c r="BN977" s="5" t="s">
        <v>85</v>
      </c>
      <c r="BO977" s="5">
        <v>35</v>
      </c>
      <c r="BP977" s="5">
        <v>241</v>
      </c>
      <c r="BQ977" s="5">
        <v>117</v>
      </c>
      <c r="BR977" s="5">
        <v>124</v>
      </c>
      <c r="BS977" s="5" t="s">
        <v>2535</v>
      </c>
      <c r="BT977" s="5">
        <v>21</v>
      </c>
      <c r="BU977" s="5">
        <v>14</v>
      </c>
      <c r="BV977" s="5">
        <v>0</v>
      </c>
      <c r="BW977" s="5">
        <v>0</v>
      </c>
      <c r="BX977" s="5">
        <v>0</v>
      </c>
      <c r="BZ977" s="5">
        <v>0</v>
      </c>
      <c r="CA977" s="5">
        <v>0</v>
      </c>
      <c r="CC977" s="5">
        <v>0</v>
      </c>
      <c r="CD977" s="5">
        <v>0</v>
      </c>
      <c r="CF977" s="1442" t="str">
        <f>IF([1]!sommaire[[#This Row],[présence des personnes déplacés interne]]="Oui","1","0")</f>
        <v>0</v>
      </c>
      <c r="CG977" s="1442" t="str">
        <f>IF([1]!sommaire[[#This Row],[présence Réfugié hors camp]]="Oui","1","0")</f>
        <v>0</v>
      </c>
      <c r="CH977" s="1442" t="str">
        <f>IF([1]!sommaire[[#This Row],[présence personnes retournées]]="Oui","1","0")</f>
        <v>1</v>
      </c>
      <c r="CI977" s="1442">
        <f>[1]!sommaire[[#This Row],[Flag PDI]]+[1]!sommaire[[#This Row],[Flag REF]]+[1]!sommaire[[#This Row],[Flag RET]]</f>
        <v>1</v>
      </c>
    </row>
    <row r="978" spans="1:87" ht="14.55" customHeight="1" x14ac:dyDescent="0.3">
      <c r="A978" s="390">
        <v>2612458</v>
      </c>
      <c r="B978" s="5" t="s">
        <v>533</v>
      </c>
      <c r="C978" s="1430" t="s">
        <v>3449</v>
      </c>
      <c r="D978" s="1090" t="s">
        <v>534</v>
      </c>
      <c r="E978" s="5" t="s">
        <v>34</v>
      </c>
      <c r="F978" s="5" t="s">
        <v>34</v>
      </c>
      <c r="G978" s="5" t="s">
        <v>539</v>
      </c>
      <c r="H978" s="5" t="s">
        <v>188</v>
      </c>
      <c r="I978" s="5" t="str">
        <f>_xlfn.XLOOKUP(sommaire[[#This Row],[Arrondissement_code]],OCHA_GIS!$F:$F,OCHA_GIS!$E:$E,,)</f>
        <v>Mora</v>
      </c>
      <c r="J978" s="5" t="s">
        <v>546</v>
      </c>
      <c r="K978" t="s">
        <v>798</v>
      </c>
      <c r="L978" s="5" t="s">
        <v>1686</v>
      </c>
      <c r="N978" s="5" t="s">
        <v>3053</v>
      </c>
      <c r="O978" s="5" t="s">
        <v>2467</v>
      </c>
      <c r="P978" s="5" t="s">
        <v>85</v>
      </c>
      <c r="Q978" s="5" t="s">
        <v>86</v>
      </c>
      <c r="R978" s="5" t="s">
        <v>85</v>
      </c>
      <c r="T978" s="390">
        <v>3</v>
      </c>
      <c r="U978" s="5" t="s">
        <v>97</v>
      </c>
      <c r="W978" s="5" t="s">
        <v>2468</v>
      </c>
      <c r="X978" s="1090" t="s">
        <v>102</v>
      </c>
      <c r="AA978" s="1090" t="s">
        <v>85</v>
      </c>
      <c r="AB978" s="5" t="s">
        <v>2469</v>
      </c>
      <c r="AC978" s="5" t="s">
        <v>312</v>
      </c>
      <c r="AD978" s="5" t="s">
        <v>86</v>
      </c>
      <c r="AF978" s="5">
        <v>215</v>
      </c>
      <c r="AG978" s="5">
        <v>2125</v>
      </c>
      <c r="AH978" s="5" t="s">
        <v>85</v>
      </c>
      <c r="AI978" s="5" t="s">
        <v>2471</v>
      </c>
      <c r="AJ978" s="5">
        <v>215</v>
      </c>
      <c r="AK978" s="5">
        <v>1035</v>
      </c>
      <c r="AL978" s="5">
        <v>386</v>
      </c>
      <c r="AM978" s="5">
        <v>649</v>
      </c>
      <c r="AN978" s="5">
        <v>0</v>
      </c>
      <c r="AO978" s="5">
        <v>205</v>
      </c>
      <c r="AP978" s="5">
        <v>0</v>
      </c>
      <c r="AQ978" s="5">
        <v>10</v>
      </c>
      <c r="AR978" s="5" t="s">
        <v>2477</v>
      </c>
      <c r="AT978" s="5">
        <v>0</v>
      </c>
      <c r="AU978" s="5">
        <v>0</v>
      </c>
      <c r="AX978" s="5">
        <v>0</v>
      </c>
      <c r="AY978" s="1090" t="s">
        <v>86</v>
      </c>
      <c r="BN978" s="1090" t="s">
        <v>86</v>
      </c>
      <c r="CD978" s="5">
        <v>0</v>
      </c>
      <c r="CF978" s="1442" t="str">
        <f>IF([1]!sommaire[[#This Row],[présence des personnes déplacés interne]]="Oui","1","0")</f>
        <v>1</v>
      </c>
      <c r="CG978" s="1442" t="str">
        <f>IF([1]!sommaire[[#This Row],[présence Réfugié hors camp]]="Oui","1","0")</f>
        <v>0</v>
      </c>
      <c r="CH978" s="1442" t="str">
        <f>IF([1]!sommaire[[#This Row],[présence personnes retournées]]="Oui","1","0")</f>
        <v>0</v>
      </c>
      <c r="CI978" s="1442">
        <f>[1]!sommaire[[#This Row],[Flag PDI]]+[1]!sommaire[[#This Row],[Flag REF]]+[1]!sommaire[[#This Row],[Flag RET]]</f>
        <v>1</v>
      </c>
    </row>
    <row r="979" spans="1:87" ht="14.55" customHeight="1" x14ac:dyDescent="0.3">
      <c r="A979" s="390">
        <v>2596747</v>
      </c>
      <c r="B979" s="5" t="s">
        <v>533</v>
      </c>
      <c r="C979" s="1430" t="s">
        <v>3449</v>
      </c>
      <c r="D979" s="1090" t="s">
        <v>534</v>
      </c>
      <c r="E979" s="5" t="s">
        <v>34</v>
      </c>
      <c r="F979" s="5" t="s">
        <v>34</v>
      </c>
      <c r="G979" s="5" t="s">
        <v>539</v>
      </c>
      <c r="H979" s="5" t="s">
        <v>188</v>
      </c>
      <c r="I979" s="5" t="str">
        <f>_xlfn.XLOOKUP(sommaire[[#This Row],[Arrondissement_code]],OCHA_GIS!$F:$F,OCHA_GIS!$E:$E,,)</f>
        <v>Mora</v>
      </c>
      <c r="J979" s="5" t="s">
        <v>546</v>
      </c>
      <c r="K979" t="s">
        <v>1235</v>
      </c>
      <c r="L979" s="5" t="s">
        <v>799</v>
      </c>
      <c r="N979" s="5" t="s">
        <v>3053</v>
      </c>
      <c r="O979" s="5" t="s">
        <v>2467</v>
      </c>
      <c r="P979" s="5" t="s">
        <v>85</v>
      </c>
      <c r="Q979" s="5" t="s">
        <v>86</v>
      </c>
      <c r="R979" s="5" t="s">
        <v>85</v>
      </c>
      <c r="T979" s="390">
        <v>3</v>
      </c>
      <c r="U979" s="5" t="s">
        <v>97</v>
      </c>
      <c r="W979" s="5" t="s">
        <v>2468</v>
      </c>
      <c r="X979" s="5" t="s">
        <v>102</v>
      </c>
      <c r="AA979" s="5" t="s">
        <v>85</v>
      </c>
      <c r="AB979" s="5" t="s">
        <v>2469</v>
      </c>
      <c r="AC979" s="5" t="s">
        <v>312</v>
      </c>
      <c r="AD979" s="5" t="s">
        <v>86</v>
      </c>
      <c r="AF979" s="5">
        <v>102</v>
      </c>
      <c r="AG979" s="5">
        <v>2333</v>
      </c>
      <c r="AH979" s="5" t="s">
        <v>85</v>
      </c>
      <c r="AI979" s="5" t="s">
        <v>2485</v>
      </c>
      <c r="AJ979" s="5">
        <v>102</v>
      </c>
      <c r="AK979" s="5">
        <v>526</v>
      </c>
      <c r="AL979" s="5">
        <v>197</v>
      </c>
      <c r="AM979" s="5">
        <v>329</v>
      </c>
      <c r="AN979" s="5">
        <v>0</v>
      </c>
      <c r="AO979" s="5">
        <v>99</v>
      </c>
      <c r="AP979" s="5">
        <v>0</v>
      </c>
      <c r="AQ979" s="5">
        <v>3</v>
      </c>
      <c r="AR979" s="5" t="s">
        <v>2477</v>
      </c>
      <c r="AT979" s="5">
        <v>0</v>
      </c>
      <c r="AU979" s="5">
        <v>0</v>
      </c>
      <c r="AX979" s="5">
        <v>0</v>
      </c>
      <c r="AY979" s="5" t="s">
        <v>86</v>
      </c>
      <c r="BN979" s="5" t="s">
        <v>86</v>
      </c>
      <c r="CD979" s="5">
        <v>0</v>
      </c>
      <c r="CF979" s="1442" t="str">
        <f>IF([1]!sommaire[[#This Row],[présence des personnes déplacés interne]]="Oui","1","0")</f>
        <v>1</v>
      </c>
      <c r="CG979" s="1442" t="str">
        <f>IF([1]!sommaire[[#This Row],[présence Réfugié hors camp]]="Oui","1","0")</f>
        <v>0</v>
      </c>
      <c r="CH979" s="1442" t="str">
        <f>IF([1]!sommaire[[#This Row],[présence personnes retournées]]="Oui","1","0")</f>
        <v>0</v>
      </c>
      <c r="CI979" s="1442">
        <f>[1]!sommaire[[#This Row],[Flag PDI]]+[1]!sommaire[[#This Row],[Flag REF]]+[1]!sommaire[[#This Row],[Flag RET]]</f>
        <v>1</v>
      </c>
    </row>
    <row r="980" spans="1:87" ht="14.55" customHeight="1" x14ac:dyDescent="0.3">
      <c r="A980" s="390">
        <v>2615772</v>
      </c>
      <c r="B980" s="5" t="s">
        <v>533</v>
      </c>
      <c r="C980" s="1430" t="s">
        <v>3449</v>
      </c>
      <c r="D980" s="1090" t="s">
        <v>534</v>
      </c>
      <c r="E980" s="5" t="s">
        <v>34</v>
      </c>
      <c r="F980" s="5" t="s">
        <v>34</v>
      </c>
      <c r="G980" s="5" t="s">
        <v>539</v>
      </c>
      <c r="H980" s="5" t="s">
        <v>188</v>
      </c>
      <c r="I980" s="5" t="str">
        <f>_xlfn.XLOOKUP(sommaire[[#This Row],[Arrondissement_code]],OCHA_GIS!$F:$F,OCHA_GIS!$E:$E,,)</f>
        <v>Mora</v>
      </c>
      <c r="J980" s="5" t="s">
        <v>546</v>
      </c>
      <c r="K980" t="s">
        <v>1353</v>
      </c>
      <c r="L980" s="5" t="s">
        <v>2657</v>
      </c>
      <c r="N980" s="5" t="s">
        <v>3053</v>
      </c>
      <c r="O980" s="5" t="s">
        <v>2467</v>
      </c>
      <c r="P980" s="5" t="s">
        <v>86</v>
      </c>
      <c r="Q980" s="5" t="s">
        <v>86</v>
      </c>
      <c r="R980" s="5" t="s">
        <v>85</v>
      </c>
      <c r="U980" s="5" t="s">
        <v>97</v>
      </c>
      <c r="W980" s="5" t="s">
        <v>2482</v>
      </c>
      <c r="AA980" s="5" t="s">
        <v>86</v>
      </c>
      <c r="AH980" s="1430" t="s">
        <v>86</v>
      </c>
      <c r="AY980" s="1430" t="s">
        <v>86</v>
      </c>
      <c r="BN980" s="1430" t="s">
        <v>86</v>
      </c>
      <c r="CF980" s="1442" t="str">
        <f>IF([1]!sommaire[[#This Row],[présence des personnes déplacés interne]]="Oui","1","0")</f>
        <v>0</v>
      </c>
      <c r="CG980" s="1442" t="str">
        <f>IF([1]!sommaire[[#This Row],[présence Réfugié hors camp]]="Oui","1","0")</f>
        <v>0</v>
      </c>
      <c r="CH980" s="1442" t="str">
        <f>IF([1]!sommaire[[#This Row],[présence personnes retournées]]="Oui","1","0")</f>
        <v>0</v>
      </c>
      <c r="CI980" s="1442">
        <f>[1]!sommaire[[#This Row],[Flag PDI]]+[1]!sommaire[[#This Row],[Flag REF]]+[1]!sommaire[[#This Row],[Flag RET]]</f>
        <v>0</v>
      </c>
    </row>
    <row r="981" spans="1:87" ht="14.55" customHeight="1" x14ac:dyDescent="0.3">
      <c r="A981" s="390">
        <v>2658468</v>
      </c>
      <c r="B981" s="5" t="s">
        <v>533</v>
      </c>
      <c r="C981" s="1430" t="s">
        <v>3449</v>
      </c>
      <c r="D981" s="1090" t="s">
        <v>534</v>
      </c>
      <c r="E981" s="5" t="s">
        <v>34</v>
      </c>
      <c r="F981" s="5" t="s">
        <v>34</v>
      </c>
      <c r="G981" s="5" t="s">
        <v>539</v>
      </c>
      <c r="H981" s="5" t="s">
        <v>188</v>
      </c>
      <c r="I981" s="5" t="str">
        <f>_xlfn.XLOOKUP(sommaire[[#This Row],[Arrondissement_code]],OCHA_GIS!$F:$F,OCHA_GIS!$E:$E,,)</f>
        <v>Mora</v>
      </c>
      <c r="J981" s="5" t="s">
        <v>546</v>
      </c>
      <c r="K981" t="s">
        <v>753</v>
      </c>
      <c r="L981" s="5" t="s">
        <v>1682</v>
      </c>
      <c r="N981" s="5" t="s">
        <v>3053</v>
      </c>
      <c r="O981" s="5" t="s">
        <v>2467</v>
      </c>
      <c r="P981" s="5" t="s">
        <v>85</v>
      </c>
      <c r="Q981" s="5" t="s">
        <v>86</v>
      </c>
      <c r="R981" s="5" t="s">
        <v>86</v>
      </c>
      <c r="T981" s="390">
        <v>3</v>
      </c>
      <c r="U981" s="5" t="s">
        <v>97</v>
      </c>
      <c r="W981" s="5" t="s">
        <v>2468</v>
      </c>
      <c r="X981" s="5" t="s">
        <v>102</v>
      </c>
      <c r="AA981" s="5" t="s">
        <v>85</v>
      </c>
      <c r="AB981" s="5" t="s">
        <v>2469</v>
      </c>
      <c r="AC981" s="5" t="s">
        <v>2470</v>
      </c>
      <c r="AD981" s="5" t="s">
        <v>86</v>
      </c>
      <c r="AF981" s="5">
        <v>308</v>
      </c>
      <c r="AG981" s="5">
        <v>4154</v>
      </c>
      <c r="AH981" s="5" t="s">
        <v>85</v>
      </c>
      <c r="AI981" s="5" t="s">
        <v>2471</v>
      </c>
      <c r="AJ981" s="5">
        <v>308</v>
      </c>
      <c r="AK981" s="5">
        <v>696</v>
      </c>
      <c r="AL981" s="5">
        <v>140</v>
      </c>
      <c r="AM981" s="5">
        <v>556</v>
      </c>
      <c r="AN981" s="5">
        <v>0</v>
      </c>
      <c r="AO981" s="5">
        <v>53</v>
      </c>
      <c r="AP981" s="5">
        <v>0</v>
      </c>
      <c r="AQ981" s="5">
        <v>255</v>
      </c>
      <c r="AR981" s="5" t="s">
        <v>2477</v>
      </c>
      <c r="AT981" s="5">
        <v>0</v>
      </c>
      <c r="AU981" s="5">
        <v>0</v>
      </c>
      <c r="AX981" s="5">
        <v>0</v>
      </c>
      <c r="AY981" s="5" t="s">
        <v>86</v>
      </c>
      <c r="BN981" s="5" t="s">
        <v>86</v>
      </c>
      <c r="CD981" s="5">
        <v>0</v>
      </c>
      <c r="CF981" s="1442" t="str">
        <f>IF([1]!sommaire[[#This Row],[présence des personnes déplacés interne]]="Oui","1","0")</f>
        <v>1</v>
      </c>
      <c r="CG981" s="1442" t="str">
        <f>IF([1]!sommaire[[#This Row],[présence Réfugié hors camp]]="Oui","1","0")</f>
        <v>0</v>
      </c>
      <c r="CH981" s="1442" t="str">
        <f>IF([1]!sommaire[[#This Row],[présence personnes retournées]]="Oui","1","0")</f>
        <v>0</v>
      </c>
      <c r="CI981" s="1442">
        <f>[1]!sommaire[[#This Row],[Flag PDI]]+[1]!sommaire[[#This Row],[Flag REF]]+[1]!sommaire[[#This Row],[Flag RET]]</f>
        <v>1</v>
      </c>
    </row>
    <row r="982" spans="1:87" ht="14.55" customHeight="1" x14ac:dyDescent="0.3">
      <c r="A982" s="390">
        <v>2658465</v>
      </c>
      <c r="B982" s="5" t="s">
        <v>533</v>
      </c>
      <c r="C982" s="1430" t="s">
        <v>3449</v>
      </c>
      <c r="D982" s="1090" t="s">
        <v>534</v>
      </c>
      <c r="E982" s="5" t="s">
        <v>34</v>
      </c>
      <c r="F982" s="5" t="s">
        <v>34</v>
      </c>
      <c r="G982" s="5" t="s">
        <v>539</v>
      </c>
      <c r="H982" s="5" t="s">
        <v>188</v>
      </c>
      <c r="I982" s="5" t="str">
        <f>_xlfn.XLOOKUP(sommaire[[#This Row],[Arrondissement_code]],OCHA_GIS!$F:$F,OCHA_GIS!$E:$E,,)</f>
        <v>Mora</v>
      </c>
      <c r="J982" s="5" t="s">
        <v>546</v>
      </c>
      <c r="K982" t="s">
        <v>982</v>
      </c>
      <c r="L982" s="5" t="s">
        <v>1422</v>
      </c>
      <c r="N982" s="5" t="s">
        <v>3053</v>
      </c>
      <c r="O982" s="5" t="s">
        <v>2467</v>
      </c>
      <c r="P982" s="5" t="s">
        <v>85</v>
      </c>
      <c r="Q982" s="5" t="s">
        <v>86</v>
      </c>
      <c r="R982" s="5" t="s">
        <v>85</v>
      </c>
      <c r="T982" s="390">
        <v>3</v>
      </c>
      <c r="U982" s="5" t="s">
        <v>97</v>
      </c>
      <c r="W982" s="5" t="s">
        <v>2468</v>
      </c>
      <c r="X982" s="5" t="s">
        <v>102</v>
      </c>
      <c r="AA982" s="5" t="s">
        <v>85</v>
      </c>
      <c r="AB982" s="5" t="s">
        <v>2469</v>
      </c>
      <c r="AC982" s="5" t="s">
        <v>2470</v>
      </c>
      <c r="AD982" s="5" t="s">
        <v>86</v>
      </c>
      <c r="AF982" s="5">
        <v>8</v>
      </c>
      <c r="AG982" s="5">
        <v>4032</v>
      </c>
      <c r="AH982" s="5" t="s">
        <v>85</v>
      </c>
      <c r="AI982" s="5" t="s">
        <v>2471</v>
      </c>
      <c r="AJ982" s="5">
        <v>8</v>
      </c>
      <c r="AK982" s="5">
        <v>109</v>
      </c>
      <c r="AL982" s="5">
        <v>40</v>
      </c>
      <c r="AM982" s="5">
        <v>69</v>
      </c>
      <c r="AN982" s="5">
        <v>0</v>
      </c>
      <c r="AO982" s="5">
        <v>6</v>
      </c>
      <c r="AP982" s="5">
        <v>2</v>
      </c>
      <c r="AQ982" s="5">
        <v>0</v>
      </c>
      <c r="AT982" s="5">
        <v>0</v>
      </c>
      <c r="AU982" s="5">
        <v>0</v>
      </c>
      <c r="AX982" s="5">
        <v>0</v>
      </c>
      <c r="AY982" s="5" t="s">
        <v>86</v>
      </c>
      <c r="BN982" s="5" t="s">
        <v>86</v>
      </c>
      <c r="CD982" s="5">
        <v>0</v>
      </c>
      <c r="CF982" s="1442" t="str">
        <f>IF([1]!sommaire[[#This Row],[présence des personnes déplacés interne]]="Oui","1","0")</f>
        <v>1</v>
      </c>
      <c r="CG982" s="1442" t="str">
        <f>IF([1]!sommaire[[#This Row],[présence Réfugié hors camp]]="Oui","1","0")</f>
        <v>0</v>
      </c>
      <c r="CH982" s="1442" t="str">
        <f>IF([1]!sommaire[[#This Row],[présence personnes retournées]]="Oui","1","0")</f>
        <v>0</v>
      </c>
      <c r="CI982" s="1442">
        <f>[1]!sommaire[[#This Row],[Flag PDI]]+[1]!sommaire[[#This Row],[Flag REF]]+[1]!sommaire[[#This Row],[Flag RET]]</f>
        <v>1</v>
      </c>
    </row>
    <row r="983" spans="1:87" ht="14.55" customHeight="1" x14ac:dyDescent="0.3">
      <c r="A983" s="390">
        <v>2636431</v>
      </c>
      <c r="B983" s="5" t="s">
        <v>533</v>
      </c>
      <c r="C983" s="1430" t="s">
        <v>3449</v>
      </c>
      <c r="D983" s="1090" t="s">
        <v>534</v>
      </c>
      <c r="E983" s="5" t="s">
        <v>34</v>
      </c>
      <c r="F983" s="5" t="s">
        <v>34</v>
      </c>
      <c r="G983" s="5" t="s">
        <v>539</v>
      </c>
      <c r="H983" s="5" t="s">
        <v>188</v>
      </c>
      <c r="I983" s="5" t="str">
        <f>_xlfn.XLOOKUP(sommaire[[#This Row],[Arrondissement_code]],OCHA_GIS!$F:$F,OCHA_GIS!$E:$E,,)</f>
        <v>Mora</v>
      </c>
      <c r="J983" s="5" t="s">
        <v>546</v>
      </c>
      <c r="K983" t="s">
        <v>1513</v>
      </c>
      <c r="L983" s="5" t="s">
        <v>1074</v>
      </c>
      <c r="N983" s="5" t="s">
        <v>3053</v>
      </c>
      <c r="O983" s="5" t="s">
        <v>2467</v>
      </c>
      <c r="P983" s="5" t="s">
        <v>85</v>
      </c>
      <c r="Q983" s="5" t="s">
        <v>86</v>
      </c>
      <c r="R983" s="5" t="s">
        <v>85</v>
      </c>
      <c r="T983" s="390">
        <v>4</v>
      </c>
      <c r="U983" s="5" t="s">
        <v>97</v>
      </c>
      <c r="W983" s="5" t="s">
        <v>2468</v>
      </c>
      <c r="X983" s="5" t="s">
        <v>102</v>
      </c>
      <c r="AA983" s="5" t="s">
        <v>85</v>
      </c>
      <c r="AB983" s="5" t="s">
        <v>2473</v>
      </c>
      <c r="AC983" s="5" t="s">
        <v>2470</v>
      </c>
      <c r="AD983" s="5" t="s">
        <v>86</v>
      </c>
      <c r="AF983" s="5">
        <v>15</v>
      </c>
      <c r="AG983" s="5">
        <v>323</v>
      </c>
      <c r="AH983" s="5" t="s">
        <v>85</v>
      </c>
      <c r="AI983" s="5" t="s">
        <v>2471</v>
      </c>
      <c r="AJ983" s="5">
        <v>15</v>
      </c>
      <c r="AK983" s="5">
        <v>93</v>
      </c>
      <c r="AL983" s="5">
        <v>49</v>
      </c>
      <c r="AM983" s="5">
        <v>44</v>
      </c>
      <c r="AN983" s="5">
        <v>0</v>
      </c>
      <c r="AO983" s="5">
        <v>0</v>
      </c>
      <c r="AP983" s="5">
        <v>0</v>
      </c>
      <c r="AQ983" s="5">
        <v>0</v>
      </c>
      <c r="AT983" s="5">
        <v>0</v>
      </c>
      <c r="AU983" s="5">
        <v>15</v>
      </c>
      <c r="AV983" s="5" t="s">
        <v>2490</v>
      </c>
      <c r="AX983" s="5">
        <v>0</v>
      </c>
      <c r="AY983" s="5" t="s">
        <v>85</v>
      </c>
      <c r="AZ983" s="5">
        <v>31</v>
      </c>
      <c r="BA983" s="5">
        <v>222</v>
      </c>
      <c r="BB983" s="5">
        <v>94</v>
      </c>
      <c r="BC983" s="5">
        <v>128</v>
      </c>
      <c r="BD983" s="5">
        <v>0</v>
      </c>
      <c r="BE983" s="5">
        <v>0</v>
      </c>
      <c r="BF983" s="5">
        <v>0</v>
      </c>
      <c r="BH983" s="5">
        <v>0</v>
      </c>
      <c r="BI983" s="5">
        <v>31</v>
      </c>
      <c r="BJ983" s="5" t="s">
        <v>2490</v>
      </c>
      <c r="BL983" s="5">
        <v>0</v>
      </c>
      <c r="BM983" s="5">
        <v>31</v>
      </c>
      <c r="BN983" s="5" t="s">
        <v>85</v>
      </c>
      <c r="BO983" s="5">
        <v>2</v>
      </c>
      <c r="BP983" s="5">
        <v>8</v>
      </c>
      <c r="BQ983" s="5">
        <v>3</v>
      </c>
      <c r="BR983" s="5">
        <v>5</v>
      </c>
      <c r="BS983" s="5" t="s">
        <v>2492</v>
      </c>
      <c r="BT983" s="5">
        <v>0</v>
      </c>
      <c r="BU983" s="5">
        <v>2</v>
      </c>
      <c r="BV983" s="5">
        <v>0</v>
      </c>
      <c r="BW983" s="5">
        <v>0</v>
      </c>
      <c r="BX983" s="5">
        <v>0</v>
      </c>
      <c r="BZ983" s="5">
        <v>0</v>
      </c>
      <c r="CA983" s="5">
        <v>0</v>
      </c>
      <c r="CC983" s="5">
        <v>0</v>
      </c>
      <c r="CD983" s="5">
        <v>0</v>
      </c>
      <c r="CF983" s="1442" t="str">
        <f>IF([1]!sommaire[[#This Row],[présence des personnes déplacés interne]]="Oui","1","0")</f>
        <v>1</v>
      </c>
      <c r="CG983" s="1442" t="str">
        <f>IF([1]!sommaire[[#This Row],[présence Réfugié hors camp]]="Oui","1","0")</f>
        <v>1</v>
      </c>
      <c r="CH983" s="1442" t="str">
        <f>IF([1]!sommaire[[#This Row],[présence personnes retournées]]="Oui","1","0")</f>
        <v>1</v>
      </c>
      <c r="CI983" s="1442">
        <f>[1]!sommaire[[#This Row],[Flag PDI]]+[1]!sommaire[[#This Row],[Flag REF]]+[1]!sommaire[[#This Row],[Flag RET]]</f>
        <v>3</v>
      </c>
    </row>
    <row r="984" spans="1:87" ht="14.55" customHeight="1" x14ac:dyDescent="0.3">
      <c r="A984" s="390">
        <v>2649834</v>
      </c>
      <c r="B984" s="5" t="s">
        <v>533</v>
      </c>
      <c r="C984" s="1430" t="s">
        <v>3449</v>
      </c>
      <c r="D984" s="1090" t="s">
        <v>534</v>
      </c>
      <c r="E984" s="5" t="s">
        <v>34</v>
      </c>
      <c r="F984" s="5" t="s">
        <v>34</v>
      </c>
      <c r="G984" s="5" t="s">
        <v>539</v>
      </c>
      <c r="H984" s="5" t="s">
        <v>188</v>
      </c>
      <c r="I984" s="5" t="str">
        <f>_xlfn.XLOOKUP(sommaire[[#This Row],[Arrondissement_code]],OCHA_GIS!$F:$F,OCHA_GIS!$E:$E,,)</f>
        <v>Mora</v>
      </c>
      <c r="J984" s="5" t="s">
        <v>546</v>
      </c>
      <c r="K984" t="s">
        <v>2907</v>
      </c>
      <c r="L984" s="5" t="s">
        <v>985</v>
      </c>
      <c r="N984" s="5" t="s">
        <v>3053</v>
      </c>
      <c r="O984" s="5" t="s">
        <v>2467</v>
      </c>
      <c r="P984" s="5" t="s">
        <v>85</v>
      </c>
      <c r="Q984" s="5" t="s">
        <v>86</v>
      </c>
      <c r="R984" s="5" t="s">
        <v>85</v>
      </c>
      <c r="T984" s="390">
        <v>3</v>
      </c>
      <c r="U984" s="5" t="s">
        <v>97</v>
      </c>
      <c r="W984" s="5" t="s">
        <v>2468</v>
      </c>
      <c r="X984" s="5" t="s">
        <v>102</v>
      </c>
      <c r="AA984" s="5" t="s">
        <v>85</v>
      </c>
      <c r="AB984" s="5" t="s">
        <v>2473</v>
      </c>
      <c r="AC984" s="5" t="s">
        <v>2469</v>
      </c>
      <c r="AD984" s="5" t="s">
        <v>86</v>
      </c>
      <c r="AF984" s="5">
        <v>43</v>
      </c>
      <c r="AG984" s="5">
        <v>1803</v>
      </c>
      <c r="AH984" s="5" t="s">
        <v>85</v>
      </c>
      <c r="AI984" s="5" t="s">
        <v>2471</v>
      </c>
      <c r="AJ984" s="5">
        <v>43</v>
      </c>
      <c r="AK984" s="5">
        <v>287</v>
      </c>
      <c r="AL984" s="5">
        <v>106</v>
      </c>
      <c r="AM984" s="5">
        <v>181</v>
      </c>
      <c r="AN984" s="5">
        <v>0</v>
      </c>
      <c r="AO984" s="5">
        <v>6</v>
      </c>
      <c r="AP984" s="5">
        <v>8</v>
      </c>
      <c r="AQ984" s="5">
        <v>0</v>
      </c>
      <c r="AT984" s="5">
        <v>0</v>
      </c>
      <c r="AU984" s="5">
        <v>29</v>
      </c>
      <c r="AV984" s="5" t="s">
        <v>2490</v>
      </c>
      <c r="AX984" s="5">
        <v>0</v>
      </c>
      <c r="AY984" s="5" t="s">
        <v>86</v>
      </c>
      <c r="BN984" s="5" t="s">
        <v>86</v>
      </c>
      <c r="CD984" s="5">
        <v>4</v>
      </c>
      <c r="CF984" s="1442" t="str">
        <f>IF([1]!sommaire[[#This Row],[présence des personnes déplacés interne]]="Oui","1","0")</f>
        <v>1</v>
      </c>
      <c r="CG984" s="1442" t="str">
        <f>IF([1]!sommaire[[#This Row],[présence Réfugié hors camp]]="Oui","1","0")</f>
        <v>0</v>
      </c>
      <c r="CH984" s="1442" t="str">
        <f>IF([1]!sommaire[[#This Row],[présence personnes retournées]]="Oui","1","0")</f>
        <v>0</v>
      </c>
      <c r="CI984" s="1442">
        <f>[1]!sommaire[[#This Row],[Flag PDI]]+[1]!sommaire[[#This Row],[Flag REF]]+[1]!sommaire[[#This Row],[Flag RET]]</f>
        <v>1</v>
      </c>
    </row>
    <row r="985" spans="1:87" ht="14.55" customHeight="1" x14ac:dyDescent="0.3">
      <c r="A985" s="390">
        <v>2636429</v>
      </c>
      <c r="B985" s="5" t="s">
        <v>533</v>
      </c>
      <c r="C985" s="1430" t="s">
        <v>3449</v>
      </c>
      <c r="D985" s="1090" t="s">
        <v>534</v>
      </c>
      <c r="E985" s="5" t="s">
        <v>34</v>
      </c>
      <c r="F985" s="5" t="s">
        <v>34</v>
      </c>
      <c r="G985" s="5" t="s">
        <v>539</v>
      </c>
      <c r="H985" s="5" t="s">
        <v>188</v>
      </c>
      <c r="I985" s="5" t="str">
        <f>_xlfn.XLOOKUP(sommaire[[#This Row],[Arrondissement_code]],OCHA_GIS!$F:$F,OCHA_GIS!$E:$E,,)</f>
        <v>Mora</v>
      </c>
      <c r="J985" s="5" t="s">
        <v>546</v>
      </c>
      <c r="K985" t="s">
        <v>2911</v>
      </c>
      <c r="L985" s="5" t="s">
        <v>1267</v>
      </c>
      <c r="N985" s="5" t="s">
        <v>3053</v>
      </c>
      <c r="O985" s="5" t="s">
        <v>2467</v>
      </c>
      <c r="P985" s="5" t="s">
        <v>85</v>
      </c>
      <c r="Q985" s="5" t="s">
        <v>86</v>
      </c>
      <c r="R985" s="5" t="s">
        <v>85</v>
      </c>
      <c r="T985" s="390">
        <v>4</v>
      </c>
      <c r="U985" s="5" t="s">
        <v>97</v>
      </c>
      <c r="W985" s="5" t="s">
        <v>2468</v>
      </c>
      <c r="X985" s="5" t="s">
        <v>102</v>
      </c>
      <c r="AA985" s="5" t="s">
        <v>85</v>
      </c>
      <c r="AB985" s="5" t="s">
        <v>2473</v>
      </c>
      <c r="AC985" s="5" t="s">
        <v>2470</v>
      </c>
      <c r="AD985" s="5" t="s">
        <v>86</v>
      </c>
      <c r="AF985" s="5">
        <v>3</v>
      </c>
      <c r="AG985" s="5">
        <v>216</v>
      </c>
      <c r="AH985" s="5" t="s">
        <v>85</v>
      </c>
      <c r="AI985" s="5" t="s">
        <v>2471</v>
      </c>
      <c r="AJ985" s="5">
        <v>3</v>
      </c>
      <c r="AK985" s="5">
        <v>31</v>
      </c>
      <c r="AL985" s="5">
        <v>13</v>
      </c>
      <c r="AM985" s="5">
        <v>18</v>
      </c>
      <c r="AN985" s="5">
        <v>0</v>
      </c>
      <c r="AO985" s="5">
        <v>0</v>
      </c>
      <c r="AP985" s="5">
        <v>0</v>
      </c>
      <c r="AQ985" s="5">
        <v>0</v>
      </c>
      <c r="AT985" s="5">
        <v>0</v>
      </c>
      <c r="AU985" s="5">
        <v>3</v>
      </c>
      <c r="AV985" s="5" t="s">
        <v>2490</v>
      </c>
      <c r="AX985" s="5">
        <v>0</v>
      </c>
      <c r="AY985" s="5" t="s">
        <v>85</v>
      </c>
      <c r="AZ985" s="5">
        <v>30</v>
      </c>
      <c r="BA985" s="5">
        <v>150</v>
      </c>
      <c r="BB985" s="5">
        <v>50</v>
      </c>
      <c r="BC985" s="5">
        <v>100</v>
      </c>
      <c r="BD985" s="5">
        <v>0</v>
      </c>
      <c r="BE985" s="5">
        <v>0</v>
      </c>
      <c r="BF985" s="5">
        <v>0</v>
      </c>
      <c r="BH985" s="5">
        <v>0</v>
      </c>
      <c r="BI985" s="5">
        <v>30</v>
      </c>
      <c r="BJ985" s="5" t="s">
        <v>2490</v>
      </c>
      <c r="BL985" s="5">
        <v>0</v>
      </c>
      <c r="BM985" s="5">
        <v>0</v>
      </c>
      <c r="BN985" s="5" t="s">
        <v>85</v>
      </c>
      <c r="BO985" s="5">
        <v>5</v>
      </c>
      <c r="BP985" s="5">
        <v>35</v>
      </c>
      <c r="BQ985" s="5">
        <v>13</v>
      </c>
      <c r="BR985" s="5">
        <v>22</v>
      </c>
      <c r="BS985" s="5" t="s">
        <v>2492</v>
      </c>
      <c r="BT985" s="5">
        <v>0</v>
      </c>
      <c r="BU985" s="5">
        <v>5</v>
      </c>
      <c r="BV985" s="5">
        <v>0</v>
      </c>
      <c r="BW985" s="5">
        <v>0</v>
      </c>
      <c r="BX985" s="5">
        <v>0</v>
      </c>
      <c r="BZ985" s="5">
        <v>0</v>
      </c>
      <c r="CA985" s="5">
        <v>0</v>
      </c>
      <c r="CC985" s="5">
        <v>0</v>
      </c>
      <c r="CD985" s="5">
        <v>0</v>
      </c>
      <c r="CF985" s="1442" t="str">
        <f>IF([1]!sommaire[[#This Row],[présence des personnes déplacés interne]]="Oui","1","0")</f>
        <v>1</v>
      </c>
      <c r="CG985" s="1442" t="str">
        <f>IF([1]!sommaire[[#This Row],[présence Réfugié hors camp]]="Oui","1","0")</f>
        <v>1</v>
      </c>
      <c r="CH985" s="1442" t="str">
        <f>IF([1]!sommaire[[#This Row],[présence personnes retournées]]="Oui","1","0")</f>
        <v>1</v>
      </c>
      <c r="CI985" s="1442">
        <f>[1]!sommaire[[#This Row],[Flag PDI]]+[1]!sommaire[[#This Row],[Flag REF]]+[1]!sommaire[[#This Row],[Flag RET]]</f>
        <v>3</v>
      </c>
    </row>
    <row r="986" spans="1:87" ht="14.55" customHeight="1" x14ac:dyDescent="0.3">
      <c r="A986" s="390">
        <v>2657857</v>
      </c>
      <c r="B986" s="5" t="s">
        <v>533</v>
      </c>
      <c r="C986" s="1430" t="s">
        <v>3449</v>
      </c>
      <c r="D986" s="1090" t="s">
        <v>534</v>
      </c>
      <c r="E986" s="5" t="s">
        <v>34</v>
      </c>
      <c r="F986" s="5" t="s">
        <v>34</v>
      </c>
      <c r="G986" s="5" t="s">
        <v>539</v>
      </c>
      <c r="H986" s="5" t="s">
        <v>188</v>
      </c>
      <c r="I986" s="5" t="str">
        <f>_xlfn.XLOOKUP(sommaire[[#This Row],[Arrondissement_code]],OCHA_GIS!$F:$F,OCHA_GIS!$E:$E,,)</f>
        <v>Mora</v>
      </c>
      <c r="J986" s="5" t="s">
        <v>546</v>
      </c>
      <c r="K986" t="s">
        <v>1681</v>
      </c>
      <c r="L986" s="5" t="s">
        <v>1792</v>
      </c>
      <c r="N986" s="5" t="s">
        <v>3053</v>
      </c>
      <c r="O986" s="5" t="s">
        <v>2467</v>
      </c>
      <c r="P986" s="5" t="s">
        <v>85</v>
      </c>
      <c r="Q986" s="5" t="s">
        <v>86</v>
      </c>
      <c r="R986" s="5" t="s">
        <v>85</v>
      </c>
      <c r="T986" s="390">
        <v>4</v>
      </c>
      <c r="U986" s="5" t="s">
        <v>97</v>
      </c>
      <c r="W986" s="5" t="s">
        <v>2468</v>
      </c>
      <c r="X986" s="5" t="s">
        <v>102</v>
      </c>
      <c r="AA986" s="586" t="s">
        <v>85</v>
      </c>
      <c r="AB986" s="5" t="s">
        <v>2473</v>
      </c>
      <c r="AC986" s="5" t="s">
        <v>2470</v>
      </c>
      <c r="AD986" s="5" t="s">
        <v>86</v>
      </c>
      <c r="AF986" s="5">
        <v>612</v>
      </c>
      <c r="AG986" s="5">
        <v>7337</v>
      </c>
      <c r="AH986" s="5" t="s">
        <v>85</v>
      </c>
      <c r="AI986" s="5" t="s">
        <v>2471</v>
      </c>
      <c r="AJ986" s="5">
        <v>612</v>
      </c>
      <c r="AK986" s="5">
        <v>2937</v>
      </c>
      <c r="AL986" s="5">
        <v>1407</v>
      </c>
      <c r="AM986" s="5">
        <v>1530</v>
      </c>
      <c r="AN986" s="5">
        <v>0</v>
      </c>
      <c r="AO986" s="5">
        <v>0</v>
      </c>
      <c r="AP986" s="5">
        <v>0</v>
      </c>
      <c r="AQ986" s="5">
        <v>0</v>
      </c>
      <c r="AT986" s="5">
        <v>0</v>
      </c>
      <c r="AU986" s="5">
        <v>612</v>
      </c>
      <c r="AV986" s="5" t="s">
        <v>2490</v>
      </c>
      <c r="AX986" s="5">
        <v>0</v>
      </c>
      <c r="AY986" s="5" t="s">
        <v>85</v>
      </c>
      <c r="AZ986" s="5">
        <v>608</v>
      </c>
      <c r="BA986" s="5">
        <v>3096</v>
      </c>
      <c r="BB986" s="5">
        <v>1211</v>
      </c>
      <c r="BC986" s="5">
        <v>1885</v>
      </c>
      <c r="BD986" s="5">
        <v>0</v>
      </c>
      <c r="BE986" s="5">
        <v>0</v>
      </c>
      <c r="BF986" s="5">
        <v>0</v>
      </c>
      <c r="BH986" s="5">
        <v>0</v>
      </c>
      <c r="BI986" s="5">
        <v>608</v>
      </c>
      <c r="BJ986" s="5" t="s">
        <v>2490</v>
      </c>
      <c r="BL986" s="5">
        <v>0</v>
      </c>
      <c r="BM986" s="5">
        <v>0</v>
      </c>
      <c r="BN986" s="5" t="s">
        <v>85</v>
      </c>
      <c r="BO986" s="5">
        <v>180</v>
      </c>
      <c r="BP986" s="5">
        <v>1304</v>
      </c>
      <c r="BQ986" s="5">
        <v>595</v>
      </c>
      <c r="BR986" s="5">
        <v>709</v>
      </c>
      <c r="BS986" s="5" t="s">
        <v>2492</v>
      </c>
      <c r="BT986" s="5">
        <v>0</v>
      </c>
      <c r="BU986" s="5">
        <v>180</v>
      </c>
      <c r="BV986" s="5">
        <v>0</v>
      </c>
      <c r="BW986" s="5">
        <v>0</v>
      </c>
      <c r="BX986" s="5">
        <v>0</v>
      </c>
      <c r="BZ986" s="5">
        <v>0</v>
      </c>
      <c r="CA986" s="5">
        <v>0</v>
      </c>
      <c r="CC986" s="5">
        <v>0</v>
      </c>
      <c r="CD986" s="5">
        <v>4</v>
      </c>
      <c r="CF986" s="1442" t="str">
        <f>IF([1]!sommaire[[#This Row],[présence des personnes déplacés interne]]="Oui","1","0")</f>
        <v>1</v>
      </c>
      <c r="CG986" s="1442" t="str">
        <f>IF([1]!sommaire[[#This Row],[présence Réfugié hors camp]]="Oui","1","0")</f>
        <v>1</v>
      </c>
      <c r="CH986" s="1442" t="str">
        <f>IF([1]!sommaire[[#This Row],[présence personnes retournées]]="Oui","1","0")</f>
        <v>1</v>
      </c>
      <c r="CI986" s="1442">
        <f>[1]!sommaire[[#This Row],[Flag PDI]]+[1]!sommaire[[#This Row],[Flag REF]]+[1]!sommaire[[#This Row],[Flag RET]]</f>
        <v>3</v>
      </c>
    </row>
    <row r="987" spans="1:87" ht="14.55" customHeight="1" x14ac:dyDescent="0.3">
      <c r="A987" s="390">
        <v>2643412</v>
      </c>
      <c r="B987" s="5" t="s">
        <v>533</v>
      </c>
      <c r="C987" s="1430" t="s">
        <v>3449</v>
      </c>
      <c r="D987" s="1090" t="s">
        <v>534</v>
      </c>
      <c r="E987" s="5" t="s">
        <v>34</v>
      </c>
      <c r="F987" s="5" t="s">
        <v>34</v>
      </c>
      <c r="G987" s="5" t="s">
        <v>539</v>
      </c>
      <c r="H987" s="5" t="s">
        <v>188</v>
      </c>
      <c r="I987" s="5" t="str">
        <f>_xlfn.XLOOKUP(sommaire[[#This Row],[Arrondissement_code]],OCHA_GIS!$F:$F,OCHA_GIS!$E:$E,,)</f>
        <v>Mora</v>
      </c>
      <c r="J987" s="5" t="s">
        <v>546</v>
      </c>
      <c r="K987" t="s">
        <v>1042</v>
      </c>
      <c r="L987" s="5" t="s">
        <v>1627</v>
      </c>
      <c r="N987" s="5" t="s">
        <v>3053</v>
      </c>
      <c r="O987" s="5" t="s">
        <v>2467</v>
      </c>
      <c r="P987" s="5" t="s">
        <v>85</v>
      </c>
      <c r="Q987" s="5" t="s">
        <v>86</v>
      </c>
      <c r="R987" s="5" t="s">
        <v>85</v>
      </c>
      <c r="T987" s="390">
        <v>4</v>
      </c>
      <c r="U987" s="5" t="s">
        <v>97</v>
      </c>
      <c r="W987" s="5" t="s">
        <v>2468</v>
      </c>
      <c r="X987" s="5" t="s">
        <v>102</v>
      </c>
      <c r="AA987" s="5" t="s">
        <v>85</v>
      </c>
      <c r="AB987" s="5" t="s">
        <v>2469</v>
      </c>
      <c r="AC987" s="5" t="s">
        <v>2470</v>
      </c>
      <c r="AD987" s="5" t="s">
        <v>86</v>
      </c>
      <c r="AF987" s="5">
        <v>44</v>
      </c>
      <c r="AG987" s="5">
        <v>4542</v>
      </c>
      <c r="AH987" s="5" t="s">
        <v>85</v>
      </c>
      <c r="AI987" s="5" t="s">
        <v>2471</v>
      </c>
      <c r="AJ987" s="5">
        <v>44</v>
      </c>
      <c r="AK987" s="5">
        <v>252</v>
      </c>
      <c r="AL987" s="5">
        <v>108</v>
      </c>
      <c r="AM987" s="5">
        <v>144</v>
      </c>
      <c r="AN987" s="5">
        <v>0</v>
      </c>
      <c r="AO987" s="5">
        <v>36</v>
      </c>
      <c r="AP987" s="5">
        <v>0</v>
      </c>
      <c r="AQ987" s="5">
        <v>8</v>
      </c>
      <c r="AR987" s="5" t="s">
        <v>2477</v>
      </c>
      <c r="AT987" s="5">
        <v>0</v>
      </c>
      <c r="AU987" s="5">
        <v>0</v>
      </c>
      <c r="AX987" s="5">
        <v>0</v>
      </c>
      <c r="AY987" s="5" t="s">
        <v>85</v>
      </c>
      <c r="AZ987" s="5">
        <v>3</v>
      </c>
      <c r="BA987" s="5">
        <v>19</v>
      </c>
      <c r="BB987" s="5">
        <v>9</v>
      </c>
      <c r="BC987" s="5">
        <v>10</v>
      </c>
      <c r="BD987" s="5">
        <v>3</v>
      </c>
      <c r="BE987" s="5">
        <v>0</v>
      </c>
      <c r="BF987" s="5">
        <v>0</v>
      </c>
      <c r="BH987" s="5">
        <v>0</v>
      </c>
      <c r="BI987" s="5">
        <v>0</v>
      </c>
      <c r="BL987" s="5">
        <v>0</v>
      </c>
      <c r="BM987" s="5">
        <v>0</v>
      </c>
      <c r="BN987" s="5" t="s">
        <v>85</v>
      </c>
      <c r="BO987" s="5">
        <v>5</v>
      </c>
      <c r="BP987" s="5">
        <v>36</v>
      </c>
      <c r="BQ987" s="5">
        <v>20</v>
      </c>
      <c r="BR987" s="5">
        <v>16</v>
      </c>
      <c r="BS987" s="5" t="s">
        <v>2535</v>
      </c>
      <c r="BT987" s="5">
        <v>0</v>
      </c>
      <c r="BU987" s="5">
        <v>5</v>
      </c>
      <c r="BV987" s="5">
        <v>0</v>
      </c>
      <c r="BW987" s="5">
        <v>0</v>
      </c>
      <c r="BX987" s="5">
        <v>0</v>
      </c>
      <c r="BZ987" s="5">
        <v>0</v>
      </c>
      <c r="CA987" s="5">
        <v>0</v>
      </c>
      <c r="CC987" s="5">
        <v>0</v>
      </c>
      <c r="CD987" s="5">
        <v>0</v>
      </c>
      <c r="CF987" s="1442" t="str">
        <f>IF([1]!sommaire[[#This Row],[présence des personnes déplacés interne]]="Oui","1","0")</f>
        <v>1</v>
      </c>
      <c r="CG987" s="1442" t="str">
        <f>IF([1]!sommaire[[#This Row],[présence Réfugié hors camp]]="Oui","1","0")</f>
        <v>1</v>
      </c>
      <c r="CH987" s="1442" t="str">
        <f>IF([1]!sommaire[[#This Row],[présence personnes retournées]]="Oui","1","0")</f>
        <v>1</v>
      </c>
      <c r="CI987" s="1442">
        <f>[1]!sommaire[[#This Row],[Flag PDI]]+[1]!sommaire[[#This Row],[Flag REF]]+[1]!sommaire[[#This Row],[Flag RET]]</f>
        <v>3</v>
      </c>
    </row>
    <row r="988" spans="1:87" ht="14.55" customHeight="1" x14ac:dyDescent="0.3">
      <c r="A988" s="390">
        <v>2658462</v>
      </c>
      <c r="B988" s="5" t="s">
        <v>533</v>
      </c>
      <c r="C988" s="1430" t="s">
        <v>3449</v>
      </c>
      <c r="D988" s="1090" t="s">
        <v>534</v>
      </c>
      <c r="E988" s="5" t="s">
        <v>34</v>
      </c>
      <c r="F988" s="5" t="s">
        <v>34</v>
      </c>
      <c r="G988" s="5" t="s">
        <v>539</v>
      </c>
      <c r="H988" s="5" t="s">
        <v>188</v>
      </c>
      <c r="I988" s="5" t="str">
        <f>_xlfn.XLOOKUP(sommaire[[#This Row],[Arrondissement_code]],OCHA_GIS!$F:$F,OCHA_GIS!$E:$E,,)</f>
        <v>Mora</v>
      </c>
      <c r="J988" s="5" t="s">
        <v>546</v>
      </c>
      <c r="K988" t="s">
        <v>1685</v>
      </c>
      <c r="L988" s="5" t="s">
        <v>1071</v>
      </c>
      <c r="N988" s="5" t="s">
        <v>3052</v>
      </c>
      <c r="O988" s="5" t="s">
        <v>2467</v>
      </c>
      <c r="P988" s="5" t="s">
        <v>85</v>
      </c>
      <c r="Q988" s="5" t="s">
        <v>86</v>
      </c>
      <c r="R988" s="5" t="s">
        <v>86</v>
      </c>
      <c r="T988" s="390">
        <v>3</v>
      </c>
      <c r="U988" s="5" t="s">
        <v>97</v>
      </c>
      <c r="W988" s="5" t="s">
        <v>2468</v>
      </c>
      <c r="X988" s="5" t="s">
        <v>102</v>
      </c>
      <c r="AA988" s="5" t="s">
        <v>85</v>
      </c>
      <c r="AB988" s="5" t="s">
        <v>2469</v>
      </c>
      <c r="AC988" s="5" t="s">
        <v>2470</v>
      </c>
      <c r="AD988" s="5" t="s">
        <v>86</v>
      </c>
      <c r="AF988" s="5">
        <v>639</v>
      </c>
      <c r="AG988" s="5">
        <v>8177</v>
      </c>
      <c r="AH988" s="5" t="s">
        <v>85</v>
      </c>
      <c r="AI988" s="5" t="s">
        <v>2471</v>
      </c>
      <c r="AJ988" s="5">
        <v>639</v>
      </c>
      <c r="AK988" s="5">
        <v>3481</v>
      </c>
      <c r="AL988" s="5">
        <v>1620</v>
      </c>
      <c r="AM988" s="5">
        <v>1861</v>
      </c>
      <c r="AN988" s="5">
        <v>15</v>
      </c>
      <c r="AO988" s="5">
        <v>571</v>
      </c>
      <c r="AP988" s="5">
        <v>0</v>
      </c>
      <c r="AQ988" s="5">
        <v>0</v>
      </c>
      <c r="AT988" s="5">
        <v>0</v>
      </c>
      <c r="AU988" s="5">
        <v>53</v>
      </c>
      <c r="AV988" s="5" t="s">
        <v>2475</v>
      </c>
      <c r="AX988" s="5">
        <v>0</v>
      </c>
      <c r="AY988" s="5" t="s">
        <v>86</v>
      </c>
      <c r="BN988" s="5" t="s">
        <v>86</v>
      </c>
      <c r="CD988" s="5">
        <v>0</v>
      </c>
      <c r="CF988" s="1442" t="str">
        <f>IF([1]!sommaire[[#This Row],[présence des personnes déplacés interne]]="Oui","1","0")</f>
        <v>1</v>
      </c>
      <c r="CG988" s="1442" t="str">
        <f>IF([1]!sommaire[[#This Row],[présence Réfugié hors camp]]="Oui","1","0")</f>
        <v>0</v>
      </c>
      <c r="CH988" s="1442" t="str">
        <f>IF([1]!sommaire[[#This Row],[présence personnes retournées]]="Oui","1","0")</f>
        <v>0</v>
      </c>
      <c r="CI988" s="1442">
        <f>[1]!sommaire[[#This Row],[Flag PDI]]+[1]!sommaire[[#This Row],[Flag REF]]+[1]!sommaire[[#This Row],[Flag RET]]</f>
        <v>1</v>
      </c>
    </row>
    <row r="989" spans="1:87" ht="14.55" customHeight="1" x14ac:dyDescent="0.3">
      <c r="A989" s="390">
        <v>2611342</v>
      </c>
      <c r="B989" s="5" t="s">
        <v>533</v>
      </c>
      <c r="C989" s="1430" t="s">
        <v>3449</v>
      </c>
      <c r="D989" s="1090" t="s">
        <v>534</v>
      </c>
      <c r="E989" s="5" t="s">
        <v>34</v>
      </c>
      <c r="F989" s="5" t="s">
        <v>34</v>
      </c>
      <c r="G989" s="5" t="s">
        <v>539</v>
      </c>
      <c r="H989" s="5" t="s">
        <v>188</v>
      </c>
      <c r="I989" s="5" t="str">
        <f>_xlfn.XLOOKUP(sommaire[[#This Row],[Arrondissement_code]],OCHA_GIS!$F:$F,OCHA_GIS!$E:$E,,)</f>
        <v>Mora</v>
      </c>
      <c r="J989" s="5" t="s">
        <v>546</v>
      </c>
      <c r="K989" t="s">
        <v>1675</v>
      </c>
      <c r="L989" s="5" t="s">
        <v>1500</v>
      </c>
      <c r="N989" s="5" t="s">
        <v>3053</v>
      </c>
      <c r="O989" s="5" t="s">
        <v>2467</v>
      </c>
      <c r="P989" s="5" t="s">
        <v>85</v>
      </c>
      <c r="Q989" s="5" t="s">
        <v>86</v>
      </c>
      <c r="R989" s="5" t="s">
        <v>85</v>
      </c>
      <c r="T989" s="390">
        <v>4</v>
      </c>
      <c r="U989" s="5" t="s">
        <v>97</v>
      </c>
      <c r="W989" s="5" t="s">
        <v>2468</v>
      </c>
      <c r="X989" s="1090" t="s">
        <v>103</v>
      </c>
      <c r="Y989" s="5" t="s">
        <v>2511</v>
      </c>
      <c r="AA989" s="1090" t="s">
        <v>85</v>
      </c>
      <c r="AB989" s="5" t="s">
        <v>2469</v>
      </c>
      <c r="AC989" s="5" t="s">
        <v>2470</v>
      </c>
      <c r="AD989" s="5" t="s">
        <v>86</v>
      </c>
      <c r="AF989" s="5">
        <v>62</v>
      </c>
      <c r="AG989" s="5">
        <v>4527</v>
      </c>
      <c r="AH989" s="5" t="s">
        <v>85</v>
      </c>
      <c r="AI989" s="5" t="s">
        <v>2471</v>
      </c>
      <c r="AJ989" s="5">
        <v>62</v>
      </c>
      <c r="AK989" s="5">
        <v>377</v>
      </c>
      <c r="AL989" s="5">
        <v>178</v>
      </c>
      <c r="AM989" s="5">
        <v>199</v>
      </c>
      <c r="AN989" s="5">
        <v>0</v>
      </c>
      <c r="AO989" s="5">
        <v>62</v>
      </c>
      <c r="AP989" s="5">
        <v>0</v>
      </c>
      <c r="AQ989" s="5">
        <v>0</v>
      </c>
      <c r="AT989" s="5">
        <v>0</v>
      </c>
      <c r="AU989" s="5">
        <v>0</v>
      </c>
      <c r="AX989" s="5">
        <v>0</v>
      </c>
      <c r="AY989" s="1090" t="s">
        <v>85</v>
      </c>
      <c r="AZ989" s="5">
        <v>2</v>
      </c>
      <c r="BA989" s="5">
        <v>9</v>
      </c>
      <c r="BB989" s="5">
        <v>2</v>
      </c>
      <c r="BC989" s="5">
        <v>7</v>
      </c>
      <c r="BD989" s="5">
        <v>2</v>
      </c>
      <c r="BE989" s="5">
        <v>0</v>
      </c>
      <c r="BF989" s="5">
        <v>0</v>
      </c>
      <c r="BH989" s="5">
        <v>0</v>
      </c>
      <c r="BI989" s="5">
        <v>0</v>
      </c>
      <c r="BL989" s="5">
        <v>0</v>
      </c>
      <c r="BM989" s="5">
        <v>0</v>
      </c>
      <c r="BN989" s="1090" t="s">
        <v>85</v>
      </c>
      <c r="BO989" s="5">
        <v>425</v>
      </c>
      <c r="BP989" s="5">
        <v>2669</v>
      </c>
      <c r="BQ989" s="5">
        <v>1188</v>
      </c>
      <c r="BR989" s="5">
        <v>1481</v>
      </c>
      <c r="BS989" s="5" t="s">
        <v>2535</v>
      </c>
      <c r="BT989" s="5">
        <v>400</v>
      </c>
      <c r="BU989" s="5">
        <v>0</v>
      </c>
      <c r="BV989" s="5">
        <v>25</v>
      </c>
      <c r="BW989" s="5">
        <v>0</v>
      </c>
      <c r="BX989" s="5">
        <v>0</v>
      </c>
      <c r="BZ989" s="5">
        <v>0</v>
      </c>
      <c r="CA989" s="5">
        <v>0</v>
      </c>
      <c r="CC989" s="5">
        <v>0</v>
      </c>
      <c r="CD989" s="5">
        <v>0</v>
      </c>
      <c r="CF989" s="1442" t="str">
        <f>IF([1]!sommaire[[#This Row],[présence des personnes déplacés interne]]="Oui","1","0")</f>
        <v>1</v>
      </c>
      <c r="CG989" s="1442" t="str">
        <f>IF([1]!sommaire[[#This Row],[présence Réfugié hors camp]]="Oui","1","0")</f>
        <v>1</v>
      </c>
      <c r="CH989" s="1442" t="str">
        <f>IF([1]!sommaire[[#This Row],[présence personnes retournées]]="Oui","1","0")</f>
        <v>1</v>
      </c>
      <c r="CI989" s="1442">
        <f>[1]!sommaire[[#This Row],[Flag PDI]]+[1]!sommaire[[#This Row],[Flag REF]]+[1]!sommaire[[#This Row],[Flag RET]]</f>
        <v>3</v>
      </c>
    </row>
    <row r="990" spans="1:87" ht="14.55" customHeight="1" x14ac:dyDescent="0.3">
      <c r="A990" s="390">
        <v>2649830</v>
      </c>
      <c r="B990" s="5" t="s">
        <v>533</v>
      </c>
      <c r="C990" s="1430" t="s">
        <v>3449</v>
      </c>
      <c r="D990" s="1090" t="s">
        <v>534</v>
      </c>
      <c r="E990" s="5" t="s">
        <v>34</v>
      </c>
      <c r="F990" s="5" t="s">
        <v>34</v>
      </c>
      <c r="G990" s="5" t="s">
        <v>539</v>
      </c>
      <c r="H990" s="5" t="s">
        <v>188</v>
      </c>
      <c r="I990" s="5" t="str">
        <f>_xlfn.XLOOKUP(sommaire[[#This Row],[Arrondissement_code]],OCHA_GIS!$F:$F,OCHA_GIS!$E:$E,,)</f>
        <v>Mora</v>
      </c>
      <c r="J990" s="5" t="s">
        <v>546</v>
      </c>
      <c r="K990" t="s">
        <v>1499</v>
      </c>
      <c r="L990" s="5" t="s">
        <v>1076</v>
      </c>
      <c r="N990" s="5" t="s">
        <v>3053</v>
      </c>
      <c r="O990" s="5" t="s">
        <v>2467</v>
      </c>
      <c r="P990" s="5" t="s">
        <v>85</v>
      </c>
      <c r="Q990" s="5" t="s">
        <v>86</v>
      </c>
      <c r="R990" s="5" t="s">
        <v>85</v>
      </c>
      <c r="T990" s="390">
        <v>3</v>
      </c>
      <c r="U990" s="5" t="s">
        <v>97</v>
      </c>
      <c r="W990" s="5" t="s">
        <v>2468</v>
      </c>
      <c r="X990" s="5" t="s">
        <v>102</v>
      </c>
      <c r="AA990" s="5" t="s">
        <v>85</v>
      </c>
      <c r="AB990" s="5" t="s">
        <v>2473</v>
      </c>
      <c r="AC990" s="5" t="s">
        <v>2470</v>
      </c>
      <c r="AD990" s="5" t="s">
        <v>86</v>
      </c>
      <c r="AF990" s="5">
        <v>56</v>
      </c>
      <c r="AG990" s="5">
        <v>454</v>
      </c>
      <c r="AH990" s="5" t="s">
        <v>85</v>
      </c>
      <c r="AI990" s="5" t="s">
        <v>2471</v>
      </c>
      <c r="AJ990" s="5">
        <v>56</v>
      </c>
      <c r="AK990" s="5">
        <v>244</v>
      </c>
      <c r="AL990" s="5">
        <v>107</v>
      </c>
      <c r="AM990" s="5">
        <v>137</v>
      </c>
      <c r="AN990" s="5">
        <v>0</v>
      </c>
      <c r="AO990" s="5">
        <v>0</v>
      </c>
      <c r="AP990" s="5">
        <v>0</v>
      </c>
      <c r="AQ990" s="5">
        <v>0</v>
      </c>
      <c r="AT990" s="5">
        <v>0</v>
      </c>
      <c r="AU990" s="5">
        <v>56</v>
      </c>
      <c r="AV990" s="5" t="s">
        <v>2478</v>
      </c>
      <c r="AX990" s="5">
        <v>0</v>
      </c>
      <c r="AY990" s="5" t="s">
        <v>85</v>
      </c>
      <c r="AZ990" s="5">
        <v>35</v>
      </c>
      <c r="BA990" s="5">
        <v>152</v>
      </c>
      <c r="BB990" s="5">
        <v>66</v>
      </c>
      <c r="BC990" s="5">
        <v>86</v>
      </c>
      <c r="BD990" s="5">
        <v>0</v>
      </c>
      <c r="BE990" s="5">
        <v>0</v>
      </c>
      <c r="BF990" s="5">
        <v>0</v>
      </c>
      <c r="BH990" s="5">
        <v>0</v>
      </c>
      <c r="BI990" s="5">
        <v>35</v>
      </c>
      <c r="BJ990" s="5" t="s">
        <v>2490</v>
      </c>
      <c r="BL990" s="5">
        <v>0</v>
      </c>
      <c r="BM990" s="5">
        <v>32</v>
      </c>
      <c r="BN990" s="5" t="s">
        <v>85</v>
      </c>
      <c r="BO990" s="5">
        <v>8</v>
      </c>
      <c r="BP990" s="5">
        <v>58</v>
      </c>
      <c r="BQ990" s="5">
        <v>24</v>
      </c>
      <c r="BR990" s="5">
        <v>34</v>
      </c>
      <c r="BS990" s="5" t="s">
        <v>2492</v>
      </c>
      <c r="BT990" s="5">
        <v>0</v>
      </c>
      <c r="BU990" s="5">
        <v>8</v>
      </c>
      <c r="BV990" s="5">
        <v>0</v>
      </c>
      <c r="BW990" s="5">
        <v>0</v>
      </c>
      <c r="BX990" s="5">
        <v>0</v>
      </c>
      <c r="BZ990" s="5">
        <v>0</v>
      </c>
      <c r="CA990" s="5">
        <v>0</v>
      </c>
      <c r="CC990" s="5">
        <v>0</v>
      </c>
      <c r="CD990" s="5">
        <v>3</v>
      </c>
      <c r="CF990" s="1442" t="str">
        <f>IF([1]!sommaire[[#This Row],[présence des personnes déplacés interne]]="Oui","1","0")</f>
        <v>1</v>
      </c>
      <c r="CG990" s="1442" t="str">
        <f>IF([1]!sommaire[[#This Row],[présence Réfugié hors camp]]="Oui","1","0")</f>
        <v>1</v>
      </c>
      <c r="CH990" s="1442" t="str">
        <f>IF([1]!sommaire[[#This Row],[présence personnes retournées]]="Oui","1","0")</f>
        <v>1</v>
      </c>
      <c r="CI990" s="1442">
        <f>[1]!sommaire[[#This Row],[Flag PDI]]+[1]!sommaire[[#This Row],[Flag REF]]+[1]!sommaire[[#This Row],[Flag RET]]</f>
        <v>3</v>
      </c>
    </row>
    <row r="991" spans="1:87" ht="14.55" customHeight="1" x14ac:dyDescent="0.3">
      <c r="A991" s="390">
        <v>2587638</v>
      </c>
      <c r="B991" s="5" t="s">
        <v>533</v>
      </c>
      <c r="C991" s="1430" t="s">
        <v>3449</v>
      </c>
      <c r="D991" s="1090" t="s">
        <v>534</v>
      </c>
      <c r="E991" s="5" t="s">
        <v>34</v>
      </c>
      <c r="F991" s="5" t="s">
        <v>34</v>
      </c>
      <c r="G991" s="5" t="s">
        <v>539</v>
      </c>
      <c r="H991" s="5" t="s">
        <v>188</v>
      </c>
      <c r="I991" s="5" t="str">
        <f>_xlfn.XLOOKUP(sommaire[[#This Row],[Arrondissement_code]],OCHA_GIS!$F:$F,OCHA_GIS!$E:$E,,)</f>
        <v>Mora</v>
      </c>
      <c r="J991" s="5" t="s">
        <v>546</v>
      </c>
      <c r="K991" t="s">
        <v>1073</v>
      </c>
      <c r="L991" s="5" t="s">
        <v>2659</v>
      </c>
      <c r="N991" s="5" t="s">
        <v>3053</v>
      </c>
      <c r="O991" s="5" t="s">
        <v>2467</v>
      </c>
      <c r="P991" s="5" t="s">
        <v>86</v>
      </c>
      <c r="Q991" s="5" t="s">
        <v>86</v>
      </c>
      <c r="R991" s="5" t="s">
        <v>85</v>
      </c>
      <c r="U991" s="5" t="s">
        <v>97</v>
      </c>
      <c r="W991" s="5" t="s">
        <v>2482</v>
      </c>
      <c r="AA991" s="5" t="s">
        <v>86</v>
      </c>
      <c r="AH991" s="1430" t="s">
        <v>86</v>
      </c>
      <c r="AY991" s="1430" t="s">
        <v>86</v>
      </c>
      <c r="BN991" s="1430" t="s">
        <v>86</v>
      </c>
      <c r="CF991" s="1442" t="str">
        <f>IF([1]!sommaire[[#This Row],[présence des personnes déplacés interne]]="Oui","1","0")</f>
        <v>0</v>
      </c>
      <c r="CG991" s="1442" t="str">
        <f>IF([1]!sommaire[[#This Row],[présence Réfugié hors camp]]="Oui","1","0")</f>
        <v>0</v>
      </c>
      <c r="CH991" s="1442" t="str">
        <f>IF([1]!sommaire[[#This Row],[présence personnes retournées]]="Oui","1","0")</f>
        <v>0</v>
      </c>
      <c r="CI991" s="1442">
        <f>[1]!sommaire[[#This Row],[Flag PDI]]+[1]!sommaire[[#This Row],[Flag REF]]+[1]!sommaire[[#This Row],[Flag RET]]</f>
        <v>0</v>
      </c>
    </row>
    <row r="992" spans="1:87" ht="14.55" customHeight="1" x14ac:dyDescent="0.3">
      <c r="A992" s="390">
        <v>2636433</v>
      </c>
      <c r="B992" s="5" t="s">
        <v>533</v>
      </c>
      <c r="C992" s="1430" t="s">
        <v>3449</v>
      </c>
      <c r="D992" s="1090" t="s">
        <v>534</v>
      </c>
      <c r="E992" s="5" t="s">
        <v>34</v>
      </c>
      <c r="F992" s="5" t="s">
        <v>34</v>
      </c>
      <c r="G992" s="5" t="s">
        <v>539</v>
      </c>
      <c r="H992" s="5" t="s">
        <v>188</v>
      </c>
      <c r="I992" s="5" t="str">
        <f>_xlfn.XLOOKUP(sommaire[[#This Row],[Arrondissement_code]],OCHA_GIS!$F:$F,OCHA_GIS!$E:$E,,)</f>
        <v>Mora</v>
      </c>
      <c r="J992" s="5" t="s">
        <v>546</v>
      </c>
      <c r="K992" t="s">
        <v>2930</v>
      </c>
      <c r="L992" s="5" t="s">
        <v>1330</v>
      </c>
      <c r="N992" s="5" t="s">
        <v>3053</v>
      </c>
      <c r="O992" s="5" t="s">
        <v>2467</v>
      </c>
      <c r="P992" s="5" t="s">
        <v>85</v>
      </c>
      <c r="Q992" s="5" t="s">
        <v>86</v>
      </c>
      <c r="R992" s="5" t="s">
        <v>85</v>
      </c>
      <c r="T992" s="390">
        <v>3</v>
      </c>
      <c r="U992" s="5" t="s">
        <v>97</v>
      </c>
      <c r="W992" s="5" t="s">
        <v>2468</v>
      </c>
      <c r="X992" s="5" t="s">
        <v>102</v>
      </c>
      <c r="AA992" s="5" t="s">
        <v>85</v>
      </c>
      <c r="AB992" s="5" t="s">
        <v>2473</v>
      </c>
      <c r="AC992" s="5" t="s">
        <v>2469</v>
      </c>
      <c r="AD992" s="5" t="s">
        <v>86</v>
      </c>
      <c r="AF992" s="5">
        <v>151</v>
      </c>
      <c r="AG992" s="5">
        <v>2516</v>
      </c>
      <c r="AH992" s="5" t="s">
        <v>85</v>
      </c>
      <c r="AI992" s="5" t="s">
        <v>2471</v>
      </c>
      <c r="AJ992" s="5">
        <v>151</v>
      </c>
      <c r="AK992" s="5">
        <v>745</v>
      </c>
      <c r="AL992" s="5">
        <v>321</v>
      </c>
      <c r="AM992" s="5">
        <v>424</v>
      </c>
      <c r="AN992" s="5">
        <v>0</v>
      </c>
      <c r="AO992" s="5">
        <v>32</v>
      </c>
      <c r="AP992" s="5">
        <v>0</v>
      </c>
      <c r="AQ992" s="5">
        <v>0</v>
      </c>
      <c r="AT992" s="5">
        <v>0</v>
      </c>
      <c r="AU992" s="5">
        <v>119</v>
      </c>
      <c r="AV992" s="5" t="s">
        <v>2490</v>
      </c>
      <c r="AX992" s="5">
        <v>0</v>
      </c>
      <c r="AY992" s="5" t="s">
        <v>86</v>
      </c>
      <c r="BN992" s="5" t="s">
        <v>86</v>
      </c>
      <c r="CD992" s="5">
        <v>5</v>
      </c>
      <c r="CF992" s="1442" t="str">
        <f>IF([1]!sommaire[[#This Row],[présence des personnes déplacés interne]]="Oui","1","0")</f>
        <v>1</v>
      </c>
      <c r="CG992" s="1442" t="str">
        <f>IF([1]!sommaire[[#This Row],[présence Réfugié hors camp]]="Oui","1","0")</f>
        <v>0</v>
      </c>
      <c r="CH992" s="1442" t="str">
        <f>IF([1]!sommaire[[#This Row],[présence personnes retournées]]="Oui","1","0")</f>
        <v>0</v>
      </c>
      <c r="CI992" s="1442">
        <f>[1]!sommaire[[#This Row],[Flag PDI]]+[1]!sommaire[[#This Row],[Flag REF]]+[1]!sommaire[[#This Row],[Flag RET]]</f>
        <v>1</v>
      </c>
    </row>
    <row r="993" spans="1:87" ht="14.55" customHeight="1" x14ac:dyDescent="0.3">
      <c r="A993" s="390">
        <v>2630607</v>
      </c>
      <c r="B993" s="5" t="s">
        <v>533</v>
      </c>
      <c r="C993" s="1430" t="s">
        <v>3449</v>
      </c>
      <c r="D993" s="1090" t="s">
        <v>534</v>
      </c>
      <c r="E993" s="5" t="s">
        <v>34</v>
      </c>
      <c r="F993" s="5" t="s">
        <v>34</v>
      </c>
      <c r="G993" s="5" t="s">
        <v>539</v>
      </c>
      <c r="H993" s="5" t="s">
        <v>188</v>
      </c>
      <c r="I993" s="5" t="str">
        <f>_xlfn.XLOOKUP(sommaire[[#This Row],[Arrondissement_code]],OCHA_GIS!$F:$F,OCHA_GIS!$E:$E,,)</f>
        <v>Mora</v>
      </c>
      <c r="J993" s="5" t="s">
        <v>546</v>
      </c>
      <c r="K993" t="s">
        <v>1070</v>
      </c>
      <c r="L993" s="5" t="s">
        <v>1178</v>
      </c>
      <c r="N993" s="5" t="s">
        <v>3053</v>
      </c>
      <c r="O993" s="5" t="s">
        <v>2467</v>
      </c>
      <c r="P993" s="5" t="s">
        <v>85</v>
      </c>
      <c r="Q993" s="5" t="s">
        <v>86</v>
      </c>
      <c r="R993" s="5" t="s">
        <v>85</v>
      </c>
      <c r="T993" s="390">
        <v>4</v>
      </c>
      <c r="U993" s="5" t="s">
        <v>97</v>
      </c>
      <c r="W993" s="5" t="s">
        <v>2468</v>
      </c>
      <c r="X993" s="5" t="s">
        <v>102</v>
      </c>
      <c r="AA993" s="5" t="s">
        <v>85</v>
      </c>
      <c r="AB993" s="5" t="s">
        <v>2469</v>
      </c>
      <c r="AC993" s="5" t="s">
        <v>2470</v>
      </c>
      <c r="AD993" s="5" t="s">
        <v>86</v>
      </c>
      <c r="AF993" s="5">
        <v>83</v>
      </c>
      <c r="AG993" s="5">
        <v>1279</v>
      </c>
      <c r="AH993" s="5" t="s">
        <v>85</v>
      </c>
      <c r="AI993" s="5" t="s">
        <v>2471</v>
      </c>
      <c r="AJ993" s="5">
        <v>83</v>
      </c>
      <c r="AK993" s="5">
        <v>476</v>
      </c>
      <c r="AL993" s="5">
        <v>217</v>
      </c>
      <c r="AM993" s="5">
        <v>259</v>
      </c>
      <c r="AN993" s="5">
        <v>0</v>
      </c>
      <c r="AO993" s="5">
        <v>83</v>
      </c>
      <c r="AP993" s="5">
        <v>0</v>
      </c>
      <c r="AQ993" s="5">
        <v>0</v>
      </c>
      <c r="AT993" s="5">
        <v>0</v>
      </c>
      <c r="AU993" s="5">
        <v>0</v>
      </c>
      <c r="AX993" s="5">
        <v>0</v>
      </c>
      <c r="AY993" s="5" t="s">
        <v>86</v>
      </c>
      <c r="BN993" s="5" t="s">
        <v>85</v>
      </c>
      <c r="BO993" s="5">
        <v>8</v>
      </c>
      <c r="BP993" s="5">
        <v>73</v>
      </c>
      <c r="BQ993" s="5">
        <v>35</v>
      </c>
      <c r="BR993" s="5">
        <v>38</v>
      </c>
      <c r="BS993" s="5" t="s">
        <v>2535</v>
      </c>
      <c r="BT993" s="5">
        <v>0</v>
      </c>
      <c r="BU993" s="5">
        <v>0</v>
      </c>
      <c r="BV993" s="5">
        <v>0</v>
      </c>
      <c r="BW993" s="5">
        <v>8</v>
      </c>
      <c r="BX993" s="5">
        <v>0</v>
      </c>
      <c r="BZ993" s="5">
        <v>0</v>
      </c>
      <c r="CA993" s="5">
        <v>0</v>
      </c>
      <c r="CC993" s="5">
        <v>0</v>
      </c>
      <c r="CD993" s="5">
        <v>0</v>
      </c>
      <c r="CF993" s="1442" t="str">
        <f>IF([1]!sommaire[[#This Row],[présence des personnes déplacés interne]]="Oui","1","0")</f>
        <v>1</v>
      </c>
      <c r="CG993" s="1442" t="str">
        <f>IF([1]!sommaire[[#This Row],[présence Réfugié hors camp]]="Oui","1","0")</f>
        <v>0</v>
      </c>
      <c r="CH993" s="1442" t="str">
        <f>IF([1]!sommaire[[#This Row],[présence personnes retournées]]="Oui","1","0")</f>
        <v>1</v>
      </c>
      <c r="CI993" s="1442">
        <f>[1]!sommaire[[#This Row],[Flag PDI]]+[1]!sommaire[[#This Row],[Flag REF]]+[1]!sommaire[[#This Row],[Flag RET]]</f>
        <v>2</v>
      </c>
    </row>
    <row r="994" spans="1:87" ht="14.55" customHeight="1" x14ac:dyDescent="0.3">
      <c r="A994" s="390">
        <v>2631069</v>
      </c>
      <c r="B994" s="5" t="s">
        <v>533</v>
      </c>
      <c r="C994" s="1430" t="s">
        <v>3449</v>
      </c>
      <c r="D994" s="1090" t="s">
        <v>534</v>
      </c>
      <c r="E994" s="5" t="s">
        <v>34</v>
      </c>
      <c r="F994" s="5" t="s">
        <v>34</v>
      </c>
      <c r="G994" s="5" t="s">
        <v>539</v>
      </c>
      <c r="H994" s="5" t="s">
        <v>188</v>
      </c>
      <c r="I994" s="5" t="str">
        <f>_xlfn.XLOOKUP(sommaire[[#This Row],[Arrondissement_code]],OCHA_GIS!$F:$F,OCHA_GIS!$E:$E,,)</f>
        <v>Mora</v>
      </c>
      <c r="J994" s="5" t="s">
        <v>546</v>
      </c>
      <c r="K994" t="s">
        <v>2658</v>
      </c>
      <c r="L994" s="5" t="s">
        <v>1510</v>
      </c>
      <c r="N994" s="5" t="s">
        <v>3053</v>
      </c>
      <c r="O994" s="5" t="s">
        <v>2467</v>
      </c>
      <c r="P994" s="5" t="s">
        <v>85</v>
      </c>
      <c r="Q994" s="5" t="s">
        <v>86</v>
      </c>
      <c r="R994" s="5" t="s">
        <v>85</v>
      </c>
      <c r="T994" s="390">
        <v>5</v>
      </c>
      <c r="U994" s="5" t="s">
        <v>97</v>
      </c>
      <c r="W994" s="5" t="s">
        <v>2468</v>
      </c>
      <c r="X994" s="5" t="s">
        <v>102</v>
      </c>
      <c r="AA994" s="5" t="s">
        <v>85</v>
      </c>
      <c r="AB994" s="5" t="s">
        <v>2469</v>
      </c>
      <c r="AC994" s="5" t="s">
        <v>2473</v>
      </c>
      <c r="AD994" s="5" t="s">
        <v>86</v>
      </c>
      <c r="AF994" s="5">
        <v>56</v>
      </c>
      <c r="AG994" s="5">
        <v>1471</v>
      </c>
      <c r="AH994" s="5" t="s">
        <v>85</v>
      </c>
      <c r="AI994" s="5" t="s">
        <v>2471</v>
      </c>
      <c r="AJ994" s="5">
        <v>56</v>
      </c>
      <c r="AK994" s="5">
        <v>354</v>
      </c>
      <c r="AL994" s="5">
        <v>164</v>
      </c>
      <c r="AM994" s="5">
        <v>190</v>
      </c>
      <c r="AN994" s="5">
        <v>0</v>
      </c>
      <c r="AO994" s="5">
        <v>45</v>
      </c>
      <c r="AP994" s="5">
        <v>0</v>
      </c>
      <c r="AQ994" s="5">
        <v>0</v>
      </c>
      <c r="AT994" s="5">
        <v>0</v>
      </c>
      <c r="AU994" s="5">
        <v>11</v>
      </c>
      <c r="AV994" s="5" t="s">
        <v>2475</v>
      </c>
      <c r="AX994" s="5">
        <v>0</v>
      </c>
      <c r="AY994" s="5" t="s">
        <v>86</v>
      </c>
      <c r="BN994" s="5" t="s">
        <v>86</v>
      </c>
      <c r="CD994" s="5">
        <v>0</v>
      </c>
      <c r="CF994" s="1442" t="str">
        <f>IF([1]!sommaire[[#This Row],[présence des personnes déplacés interne]]="Oui","1","0")</f>
        <v>1</v>
      </c>
      <c r="CG994" s="1442" t="str">
        <f>IF([1]!sommaire[[#This Row],[présence Réfugié hors camp]]="Oui","1","0")</f>
        <v>0</v>
      </c>
      <c r="CH994" s="1442" t="str">
        <f>IF([1]!sommaire[[#This Row],[présence personnes retournées]]="Oui","1","0")</f>
        <v>0</v>
      </c>
      <c r="CI994" s="1442">
        <f>[1]!sommaire[[#This Row],[Flag PDI]]+[1]!sommaire[[#This Row],[Flag REF]]+[1]!sommaire[[#This Row],[Flag RET]]</f>
        <v>1</v>
      </c>
    </row>
    <row r="995" spans="1:87" ht="14.55" customHeight="1" x14ac:dyDescent="0.3">
      <c r="A995" s="390">
        <v>2615776</v>
      </c>
      <c r="B995" s="5" t="s">
        <v>533</v>
      </c>
      <c r="C995" s="1430" t="s">
        <v>3449</v>
      </c>
      <c r="D995" s="1090" t="s">
        <v>534</v>
      </c>
      <c r="E995" s="5" t="s">
        <v>34</v>
      </c>
      <c r="F995" s="5" t="s">
        <v>34</v>
      </c>
      <c r="G995" s="5" t="s">
        <v>539</v>
      </c>
      <c r="H995" s="5" t="s">
        <v>188</v>
      </c>
      <c r="I995" s="5" t="str">
        <f>_xlfn.XLOOKUP(sommaire[[#This Row],[Arrondissement_code]],OCHA_GIS!$F:$F,OCHA_GIS!$E:$E,,)</f>
        <v>Mora</v>
      </c>
      <c r="J995" s="5" t="s">
        <v>546</v>
      </c>
      <c r="K995" t="s">
        <v>984</v>
      </c>
      <c r="L995" s="5" t="s">
        <v>1311</v>
      </c>
      <c r="N995" s="5" t="s">
        <v>3053</v>
      </c>
      <c r="O995" s="5" t="s">
        <v>2467</v>
      </c>
      <c r="P995" s="5" t="s">
        <v>85</v>
      </c>
      <c r="Q995" s="5" t="s">
        <v>86</v>
      </c>
      <c r="R995" s="5" t="s">
        <v>85</v>
      </c>
      <c r="T995" s="390">
        <v>3</v>
      </c>
      <c r="U995" s="5" t="s">
        <v>97</v>
      </c>
      <c r="W995" s="5" t="s">
        <v>2468</v>
      </c>
      <c r="X995" s="5" t="s">
        <v>102</v>
      </c>
      <c r="AA995" s="5" t="s">
        <v>85</v>
      </c>
      <c r="AB995" s="5" t="s">
        <v>2469</v>
      </c>
      <c r="AC995" s="5" t="s">
        <v>2470</v>
      </c>
      <c r="AD995" s="5" t="s">
        <v>86</v>
      </c>
      <c r="AF995" s="5">
        <v>36</v>
      </c>
      <c r="AG995" s="5">
        <v>906</v>
      </c>
      <c r="AH995" s="5" t="s">
        <v>85</v>
      </c>
      <c r="AI995" s="5" t="s">
        <v>2471</v>
      </c>
      <c r="AJ995" s="5">
        <v>36</v>
      </c>
      <c r="AK995" s="5">
        <v>164</v>
      </c>
      <c r="AL995" s="5">
        <v>78</v>
      </c>
      <c r="AM995" s="5">
        <v>86</v>
      </c>
      <c r="AN995" s="5">
        <v>0</v>
      </c>
      <c r="AO995" s="5">
        <v>36</v>
      </c>
      <c r="AP995" s="5">
        <v>0</v>
      </c>
      <c r="AQ995" s="5">
        <v>0</v>
      </c>
      <c r="AT995" s="5">
        <v>0</v>
      </c>
      <c r="AU995" s="5">
        <v>0</v>
      </c>
      <c r="AX995" s="5">
        <v>0</v>
      </c>
      <c r="AY995" s="5" t="s">
        <v>85</v>
      </c>
      <c r="AZ995" s="5">
        <v>2</v>
      </c>
      <c r="BA995" s="5">
        <v>12</v>
      </c>
      <c r="BB995" s="5">
        <v>5</v>
      </c>
      <c r="BC995" s="5">
        <v>7</v>
      </c>
      <c r="BD995" s="5">
        <v>2</v>
      </c>
      <c r="BE995" s="5">
        <v>0</v>
      </c>
      <c r="BF995" s="5">
        <v>0</v>
      </c>
      <c r="BH995" s="5">
        <v>0</v>
      </c>
      <c r="BI995" s="5">
        <v>0</v>
      </c>
      <c r="BL995" s="5">
        <v>0</v>
      </c>
      <c r="BM995" s="5">
        <v>0</v>
      </c>
      <c r="BN995" s="5" t="s">
        <v>86</v>
      </c>
      <c r="CD995" s="5">
        <v>0</v>
      </c>
      <c r="CF995" s="1442" t="str">
        <f>IF([1]!sommaire[[#This Row],[présence des personnes déplacés interne]]="Oui","1","0")</f>
        <v>1</v>
      </c>
      <c r="CG995" s="1442" t="str">
        <f>IF([1]!sommaire[[#This Row],[présence Réfugié hors camp]]="Oui","1","0")</f>
        <v>1</v>
      </c>
      <c r="CH995" s="1442" t="str">
        <f>IF([1]!sommaire[[#This Row],[présence personnes retournées]]="Oui","1","0")</f>
        <v>0</v>
      </c>
      <c r="CI995" s="1442">
        <f>[1]!sommaire[[#This Row],[Flag PDI]]+[1]!sommaire[[#This Row],[Flag REF]]+[1]!sommaire[[#This Row],[Flag RET]]</f>
        <v>2</v>
      </c>
    </row>
    <row r="996" spans="1:87" ht="14.55" customHeight="1" x14ac:dyDescent="0.3">
      <c r="A996" s="390">
        <v>2622787</v>
      </c>
      <c r="B996" s="5" t="s">
        <v>533</v>
      </c>
      <c r="C996" s="1430" t="s">
        <v>3449</v>
      </c>
      <c r="D996" s="1090" t="s">
        <v>534</v>
      </c>
      <c r="E996" s="5" t="s">
        <v>34</v>
      </c>
      <c r="F996" s="5" t="s">
        <v>34</v>
      </c>
      <c r="G996" s="5" t="s">
        <v>539</v>
      </c>
      <c r="H996" s="5" t="s">
        <v>188</v>
      </c>
      <c r="I996" s="5" t="str">
        <f>_xlfn.XLOOKUP(sommaire[[#This Row],[Arrondissement_code]],OCHA_GIS!$F:$F,OCHA_GIS!$E:$E,,)</f>
        <v>Mora</v>
      </c>
      <c r="J996" s="5" t="s">
        <v>546</v>
      </c>
      <c r="K996" t="s">
        <v>1266</v>
      </c>
      <c r="L996" s="5" t="s">
        <v>977</v>
      </c>
      <c r="N996" s="5" t="s">
        <v>3053</v>
      </c>
      <c r="O996" s="5" t="s">
        <v>2467</v>
      </c>
      <c r="P996" s="5" t="s">
        <v>85</v>
      </c>
      <c r="Q996" s="5" t="s">
        <v>86</v>
      </c>
      <c r="R996" s="5" t="s">
        <v>85</v>
      </c>
      <c r="T996" s="390">
        <v>3</v>
      </c>
      <c r="U996" s="5" t="s">
        <v>97</v>
      </c>
      <c r="W996" s="5" t="s">
        <v>2468</v>
      </c>
      <c r="X996" s="5" t="s">
        <v>102</v>
      </c>
      <c r="AA996" s="5" t="s">
        <v>85</v>
      </c>
      <c r="AB996" s="5" t="s">
        <v>2469</v>
      </c>
      <c r="AC996" s="5" t="s">
        <v>312</v>
      </c>
      <c r="AD996" s="5" t="s">
        <v>86</v>
      </c>
      <c r="AF996" s="5">
        <v>41</v>
      </c>
      <c r="AG996" s="5">
        <v>664</v>
      </c>
      <c r="AH996" s="5" t="s">
        <v>85</v>
      </c>
      <c r="AI996" s="5" t="s">
        <v>2471</v>
      </c>
      <c r="AJ996" s="5">
        <v>41</v>
      </c>
      <c r="AK996" s="5">
        <v>363</v>
      </c>
      <c r="AL996" s="5">
        <v>156</v>
      </c>
      <c r="AM996" s="5">
        <v>207</v>
      </c>
      <c r="AN996" s="5">
        <v>0</v>
      </c>
      <c r="AO996" s="5">
        <v>19</v>
      </c>
      <c r="AP996" s="5">
        <v>0</v>
      </c>
      <c r="AQ996" s="5">
        <v>22</v>
      </c>
      <c r="AR996" s="5" t="s">
        <v>2477</v>
      </c>
      <c r="AT996" s="5">
        <v>0</v>
      </c>
      <c r="AU996" s="5">
        <v>0</v>
      </c>
      <c r="AX996" s="5">
        <v>0</v>
      </c>
      <c r="AY996" s="5" t="s">
        <v>86</v>
      </c>
      <c r="BN996" s="5" t="s">
        <v>86</v>
      </c>
      <c r="CD996" s="5">
        <v>0</v>
      </c>
      <c r="CF996" s="1442" t="str">
        <f>IF([1]!sommaire[[#This Row],[présence des personnes déplacés interne]]="Oui","1","0")</f>
        <v>1</v>
      </c>
      <c r="CG996" s="1442" t="str">
        <f>IF([1]!sommaire[[#This Row],[présence Réfugié hors camp]]="Oui","1","0")</f>
        <v>0</v>
      </c>
      <c r="CH996" s="1442" t="str">
        <f>IF([1]!sommaire[[#This Row],[présence personnes retournées]]="Oui","1","0")</f>
        <v>0</v>
      </c>
      <c r="CI996" s="1442">
        <f>[1]!sommaire[[#This Row],[Flag PDI]]+[1]!sommaire[[#This Row],[Flag REF]]+[1]!sommaire[[#This Row],[Flag RET]]</f>
        <v>1</v>
      </c>
    </row>
    <row r="997" spans="1:87" ht="14.55" customHeight="1" x14ac:dyDescent="0.3">
      <c r="A997" s="390">
        <v>2612473</v>
      </c>
      <c r="B997" s="5" t="s">
        <v>533</v>
      </c>
      <c r="C997" s="1430" t="s">
        <v>3449</v>
      </c>
      <c r="D997" s="1090" t="s">
        <v>534</v>
      </c>
      <c r="E997" s="5" t="s">
        <v>34</v>
      </c>
      <c r="F997" s="5" t="s">
        <v>34</v>
      </c>
      <c r="G997" s="5" t="s">
        <v>539</v>
      </c>
      <c r="H997" s="5" t="s">
        <v>188</v>
      </c>
      <c r="I997" s="5" t="str">
        <f>_xlfn.XLOOKUP(sommaire[[#This Row],[Arrondissement_code]],OCHA_GIS!$F:$F,OCHA_GIS!$E:$E,,)</f>
        <v>Mora</v>
      </c>
      <c r="J997" s="5" t="s">
        <v>546</v>
      </c>
      <c r="K997" t="s">
        <v>2656</v>
      </c>
      <c r="L997" s="5" t="s">
        <v>979</v>
      </c>
      <c r="N997" s="5" t="s">
        <v>3053</v>
      </c>
      <c r="O997" s="5" t="s">
        <v>2467</v>
      </c>
      <c r="P997" s="5" t="s">
        <v>85</v>
      </c>
      <c r="Q997" s="5" t="s">
        <v>86</v>
      </c>
      <c r="R997" s="5" t="s">
        <v>85</v>
      </c>
      <c r="T997" s="390">
        <v>4</v>
      </c>
      <c r="U997" s="5" t="s">
        <v>97</v>
      </c>
      <c r="W997" s="5" t="s">
        <v>2468</v>
      </c>
      <c r="X997" s="5" t="s">
        <v>102</v>
      </c>
      <c r="AA997" s="5" t="s">
        <v>85</v>
      </c>
      <c r="AB997" s="5" t="s">
        <v>2469</v>
      </c>
      <c r="AC997" s="5" t="s">
        <v>2470</v>
      </c>
      <c r="AD997" s="5" t="s">
        <v>86</v>
      </c>
      <c r="AF997" s="5">
        <v>45</v>
      </c>
      <c r="AG997" s="5">
        <v>829</v>
      </c>
      <c r="AH997" s="5" t="s">
        <v>85</v>
      </c>
      <c r="AI997" s="5" t="s">
        <v>2485</v>
      </c>
      <c r="AJ997" s="5">
        <v>45</v>
      </c>
      <c r="AK997" s="5">
        <v>216</v>
      </c>
      <c r="AL997" s="5">
        <v>58</v>
      </c>
      <c r="AM997" s="5">
        <v>158</v>
      </c>
      <c r="AN997" s="5">
        <v>0</v>
      </c>
      <c r="AO997" s="5">
        <v>45</v>
      </c>
      <c r="AP997" s="5">
        <v>0</v>
      </c>
      <c r="AQ997" s="5">
        <v>0</v>
      </c>
      <c r="AT997" s="5">
        <v>0</v>
      </c>
      <c r="AU997" s="5">
        <v>0</v>
      </c>
      <c r="AX997" s="5">
        <v>0</v>
      </c>
      <c r="AY997" s="5" t="s">
        <v>86</v>
      </c>
      <c r="BN997" s="5" t="s">
        <v>86</v>
      </c>
      <c r="CD997" s="5">
        <v>0</v>
      </c>
      <c r="CF997" s="1442" t="str">
        <f>IF([1]!sommaire[[#This Row],[présence des personnes déplacés interne]]="Oui","1","0")</f>
        <v>1</v>
      </c>
      <c r="CG997" s="1442" t="str">
        <f>IF([1]!sommaire[[#This Row],[présence Réfugié hors camp]]="Oui","1","0")</f>
        <v>0</v>
      </c>
      <c r="CH997" s="1442" t="str">
        <f>IF([1]!sommaire[[#This Row],[présence personnes retournées]]="Oui","1","0")</f>
        <v>0</v>
      </c>
      <c r="CI997" s="1442">
        <f>[1]!sommaire[[#This Row],[Flag PDI]]+[1]!sommaire[[#This Row],[Flag REF]]+[1]!sommaire[[#This Row],[Flag RET]]</f>
        <v>1</v>
      </c>
    </row>
    <row r="998" spans="1:87" ht="14.55" customHeight="1" x14ac:dyDescent="0.3">
      <c r="A998" s="390">
        <v>2612461</v>
      </c>
      <c r="B998" s="5" t="s">
        <v>533</v>
      </c>
      <c r="C998" s="1430" t="s">
        <v>3449</v>
      </c>
      <c r="D998" s="1090" t="s">
        <v>534</v>
      </c>
      <c r="E998" s="5" t="s">
        <v>34</v>
      </c>
      <c r="F998" s="5" t="s">
        <v>34</v>
      </c>
      <c r="G998" s="5" t="s">
        <v>539</v>
      </c>
      <c r="H998" s="5" t="s">
        <v>188</v>
      </c>
      <c r="I998" s="5" t="str">
        <f>_xlfn.XLOOKUP(sommaire[[#This Row],[Arrondissement_code]],OCHA_GIS!$F:$F,OCHA_GIS!$E:$E,,)</f>
        <v>Mora</v>
      </c>
      <c r="J998" s="5" t="s">
        <v>546</v>
      </c>
      <c r="K998" t="s">
        <v>1177</v>
      </c>
      <c r="L998" s="5" t="s">
        <v>1487</v>
      </c>
      <c r="N998" s="5" t="s">
        <v>3053</v>
      </c>
      <c r="O998" s="5" t="s">
        <v>2467</v>
      </c>
      <c r="P998" s="5" t="s">
        <v>85</v>
      </c>
      <c r="Q998" s="5" t="s">
        <v>86</v>
      </c>
      <c r="R998" s="5" t="s">
        <v>85</v>
      </c>
      <c r="T998" s="390">
        <v>4</v>
      </c>
      <c r="U998" s="5" t="s">
        <v>97</v>
      </c>
      <c r="W998" s="5" t="s">
        <v>2468</v>
      </c>
      <c r="X998" s="5" t="s">
        <v>102</v>
      </c>
      <c r="AA998" s="5" t="s">
        <v>85</v>
      </c>
      <c r="AB998" s="5" t="s">
        <v>2469</v>
      </c>
      <c r="AC998" s="5" t="s">
        <v>2470</v>
      </c>
      <c r="AD998" s="5" t="s">
        <v>86</v>
      </c>
      <c r="AF998" s="5">
        <v>159</v>
      </c>
      <c r="AG998" s="5">
        <v>3094</v>
      </c>
      <c r="AH998" s="5" t="s">
        <v>85</v>
      </c>
      <c r="AI998" s="5" t="s">
        <v>2471</v>
      </c>
      <c r="AJ998" s="5">
        <v>159</v>
      </c>
      <c r="AK998" s="5">
        <v>626</v>
      </c>
      <c r="AL998" s="5">
        <v>251</v>
      </c>
      <c r="AM998" s="5">
        <v>375</v>
      </c>
      <c r="AN998" s="5">
        <v>0</v>
      </c>
      <c r="AO998" s="5">
        <v>159</v>
      </c>
      <c r="AP998" s="5">
        <v>0</v>
      </c>
      <c r="AQ998" s="5">
        <v>0</v>
      </c>
      <c r="AT998" s="5">
        <v>0</v>
      </c>
      <c r="AU998" s="5">
        <v>0</v>
      </c>
      <c r="AX998" s="5">
        <v>0</v>
      </c>
      <c r="AY998" s="5" t="s">
        <v>86</v>
      </c>
      <c r="BN998" s="5" t="s">
        <v>86</v>
      </c>
      <c r="CD998" s="5">
        <v>0</v>
      </c>
      <c r="CF998" s="1442" t="str">
        <f>IF([1]!sommaire[[#This Row],[présence des personnes déplacés interne]]="Oui","1","0")</f>
        <v>1</v>
      </c>
      <c r="CG998" s="1442" t="str">
        <f>IF([1]!sommaire[[#This Row],[présence Réfugié hors camp]]="Oui","1","0")</f>
        <v>0</v>
      </c>
      <c r="CH998" s="1442" t="str">
        <f>IF([1]!sommaire[[#This Row],[présence personnes retournées]]="Oui","1","0")</f>
        <v>0</v>
      </c>
      <c r="CI998" s="1442">
        <f>[1]!sommaire[[#This Row],[Flag PDI]]+[1]!sommaire[[#This Row],[Flag REF]]+[1]!sommaire[[#This Row],[Flag RET]]</f>
        <v>1</v>
      </c>
    </row>
    <row r="999" spans="1:87" ht="14.55" customHeight="1" x14ac:dyDescent="0.3">
      <c r="A999" s="390">
        <v>2598526</v>
      </c>
      <c r="B999" s="5" t="s">
        <v>533</v>
      </c>
      <c r="C999" s="1430" t="s">
        <v>3449</v>
      </c>
      <c r="D999" s="1090" t="s">
        <v>534</v>
      </c>
      <c r="E999" s="5" t="s">
        <v>34</v>
      </c>
      <c r="F999" s="5" t="s">
        <v>34</v>
      </c>
      <c r="G999" s="5" t="s">
        <v>539</v>
      </c>
      <c r="H999" s="5" t="s">
        <v>188</v>
      </c>
      <c r="I999" s="5" t="str">
        <f>_xlfn.XLOOKUP(sommaire[[#This Row],[Arrondissement_code]],OCHA_GIS!$F:$F,OCHA_GIS!$E:$E,,)</f>
        <v>Mora</v>
      </c>
      <c r="J999" s="5" t="s">
        <v>546</v>
      </c>
      <c r="K999" t="s">
        <v>1677</v>
      </c>
      <c r="L999" s="5" t="s">
        <v>1496</v>
      </c>
      <c r="N999" s="5" t="s">
        <v>3053</v>
      </c>
      <c r="O999" s="5" t="s">
        <v>2467</v>
      </c>
      <c r="P999" s="5" t="s">
        <v>85</v>
      </c>
      <c r="Q999" s="5" t="s">
        <v>86</v>
      </c>
      <c r="R999" s="5" t="s">
        <v>85</v>
      </c>
      <c r="T999" s="390">
        <v>3</v>
      </c>
      <c r="U999" s="5" t="s">
        <v>97</v>
      </c>
      <c r="W999" s="5" t="s">
        <v>2468</v>
      </c>
      <c r="X999" s="5" t="s">
        <v>102</v>
      </c>
      <c r="AA999" s="5" t="s">
        <v>85</v>
      </c>
      <c r="AB999" s="5" t="s">
        <v>2469</v>
      </c>
      <c r="AC999" s="5" t="s">
        <v>312</v>
      </c>
      <c r="AD999" s="5" t="s">
        <v>86</v>
      </c>
      <c r="AF999" s="5">
        <v>197</v>
      </c>
      <c r="AG999" s="5">
        <v>2062</v>
      </c>
      <c r="AH999" s="5" t="s">
        <v>85</v>
      </c>
      <c r="AI999" s="5" t="s">
        <v>2471</v>
      </c>
      <c r="AJ999" s="5">
        <v>197</v>
      </c>
      <c r="AK999" s="5">
        <v>740</v>
      </c>
      <c r="AL999" s="5">
        <v>281</v>
      </c>
      <c r="AM999" s="5">
        <v>459</v>
      </c>
      <c r="AN999" s="5">
        <v>0</v>
      </c>
      <c r="AO999" s="5">
        <v>28</v>
      </c>
      <c r="AP999" s="5">
        <v>0</v>
      </c>
      <c r="AQ999" s="5">
        <v>164</v>
      </c>
      <c r="AR999" s="5" t="s">
        <v>2477</v>
      </c>
      <c r="AT999" s="5">
        <v>0</v>
      </c>
      <c r="AU999" s="5">
        <v>5</v>
      </c>
      <c r="AV999" s="5" t="s">
        <v>2478</v>
      </c>
      <c r="AX999" s="5">
        <v>0</v>
      </c>
      <c r="AY999" s="5" t="s">
        <v>86</v>
      </c>
      <c r="BN999" s="5" t="s">
        <v>86</v>
      </c>
      <c r="CD999" s="5">
        <v>0</v>
      </c>
      <c r="CF999" s="1442" t="str">
        <f>IF([1]!sommaire[[#This Row],[présence des personnes déplacés interne]]="Oui","1","0")</f>
        <v>1</v>
      </c>
      <c r="CG999" s="1442" t="str">
        <f>IF([1]!sommaire[[#This Row],[présence Réfugié hors camp]]="Oui","1","0")</f>
        <v>0</v>
      </c>
      <c r="CH999" s="1442" t="str">
        <f>IF([1]!sommaire[[#This Row],[présence personnes retournées]]="Oui","1","0")</f>
        <v>0</v>
      </c>
      <c r="CI999" s="1442">
        <f>[1]!sommaire[[#This Row],[Flag PDI]]+[1]!sommaire[[#This Row],[Flag REF]]+[1]!sommaire[[#This Row],[Flag RET]]</f>
        <v>1</v>
      </c>
    </row>
    <row r="1000" spans="1:87" ht="14.55" customHeight="1" x14ac:dyDescent="0.3">
      <c r="A1000" s="390">
        <v>2630131</v>
      </c>
      <c r="B1000" s="5" t="s">
        <v>533</v>
      </c>
      <c r="C1000" s="1430" t="s">
        <v>3449</v>
      </c>
      <c r="D1000" s="1090" t="s">
        <v>534</v>
      </c>
      <c r="E1000" s="5" t="s">
        <v>34</v>
      </c>
      <c r="F1000" s="5" t="s">
        <v>34</v>
      </c>
      <c r="G1000" s="5" t="s">
        <v>539</v>
      </c>
      <c r="H1000" s="5" t="s">
        <v>188</v>
      </c>
      <c r="I1000" s="5" t="str">
        <f>_xlfn.XLOOKUP(sommaire[[#This Row],[Arrondissement_code]],OCHA_GIS!$F:$F,OCHA_GIS!$E:$E,,)</f>
        <v>Mora</v>
      </c>
      <c r="J1000" s="5" t="s">
        <v>546</v>
      </c>
      <c r="K1000" t="s">
        <v>2949</v>
      </c>
      <c r="L1000" s="5" t="s">
        <v>1384</v>
      </c>
      <c r="N1000" s="5" t="s">
        <v>3052</v>
      </c>
      <c r="O1000" s="5" t="s">
        <v>2467</v>
      </c>
      <c r="P1000" s="5" t="s">
        <v>85</v>
      </c>
      <c r="Q1000" s="5" t="s">
        <v>86</v>
      </c>
      <c r="R1000" s="5" t="s">
        <v>85</v>
      </c>
      <c r="T1000" s="390">
        <v>3</v>
      </c>
      <c r="U1000" s="5" t="s">
        <v>97</v>
      </c>
      <c r="W1000" s="5" t="s">
        <v>2468</v>
      </c>
      <c r="X1000" s="5" t="s">
        <v>102</v>
      </c>
      <c r="AA1000" s="5" t="s">
        <v>85</v>
      </c>
      <c r="AB1000" s="5" t="s">
        <v>2469</v>
      </c>
      <c r="AC1000" s="5" t="s">
        <v>312</v>
      </c>
      <c r="AD1000" s="5" t="s">
        <v>86</v>
      </c>
      <c r="AF1000" s="5">
        <v>86</v>
      </c>
      <c r="AG1000" s="5">
        <v>2178</v>
      </c>
      <c r="AH1000" s="5" t="s">
        <v>85</v>
      </c>
      <c r="AI1000" s="5" t="s">
        <v>2471</v>
      </c>
      <c r="AJ1000" s="5">
        <v>86</v>
      </c>
      <c r="AK1000" s="5">
        <v>403</v>
      </c>
      <c r="AL1000" s="5">
        <v>327</v>
      </c>
      <c r="AM1000" s="5">
        <v>76</v>
      </c>
      <c r="AN1000" s="5">
        <v>0</v>
      </c>
      <c r="AO1000" s="5">
        <v>52</v>
      </c>
      <c r="AP1000" s="5">
        <v>0</v>
      </c>
      <c r="AQ1000" s="5">
        <v>34</v>
      </c>
      <c r="AR1000" s="5" t="s">
        <v>2477</v>
      </c>
      <c r="AT1000" s="5">
        <v>0</v>
      </c>
      <c r="AU1000" s="5">
        <v>0</v>
      </c>
      <c r="AX1000" s="5">
        <v>0</v>
      </c>
      <c r="AY1000" s="5" t="s">
        <v>86</v>
      </c>
      <c r="BN1000" s="5" t="s">
        <v>86</v>
      </c>
      <c r="CD1000" s="5">
        <v>0</v>
      </c>
      <c r="CF1000" s="1442" t="str">
        <f>IF([1]!sommaire[[#This Row],[présence des personnes déplacés interne]]="Oui","1","0")</f>
        <v>1</v>
      </c>
      <c r="CG1000" s="1442" t="str">
        <f>IF([1]!sommaire[[#This Row],[présence Réfugié hors camp]]="Oui","1","0")</f>
        <v>0</v>
      </c>
      <c r="CH1000" s="1442" t="str">
        <f>IF([1]!sommaire[[#This Row],[présence personnes retournées]]="Oui","1","0")</f>
        <v>0</v>
      </c>
      <c r="CI1000" s="1442">
        <f>[1]!sommaire[[#This Row],[Flag PDI]]+[1]!sommaire[[#This Row],[Flag REF]]+[1]!sommaire[[#This Row],[Flag RET]]</f>
        <v>1</v>
      </c>
    </row>
    <row r="1001" spans="1:87" ht="14.55" customHeight="1" x14ac:dyDescent="0.3">
      <c r="A1001" s="390">
        <v>2631068</v>
      </c>
      <c r="B1001" s="5" t="s">
        <v>533</v>
      </c>
      <c r="C1001" s="1430" t="s">
        <v>3449</v>
      </c>
      <c r="D1001" s="1090" t="s">
        <v>534</v>
      </c>
      <c r="E1001" s="5" t="s">
        <v>34</v>
      </c>
      <c r="F1001" s="5" t="s">
        <v>34</v>
      </c>
      <c r="G1001" s="5" t="s">
        <v>539</v>
      </c>
      <c r="H1001" s="5" t="s">
        <v>188</v>
      </c>
      <c r="I1001" s="5" t="str">
        <f>_xlfn.XLOOKUP(sommaire[[#This Row],[Arrondissement_code]],OCHA_GIS!$F:$F,OCHA_GIS!$E:$E,,)</f>
        <v>Mora</v>
      </c>
      <c r="J1001" s="5" t="s">
        <v>546</v>
      </c>
      <c r="K1001" t="s">
        <v>976</v>
      </c>
      <c r="L1001" s="5" t="s">
        <v>1045</v>
      </c>
      <c r="N1001" s="5" t="s">
        <v>3053</v>
      </c>
      <c r="O1001" s="5" t="s">
        <v>2467</v>
      </c>
      <c r="P1001" s="5" t="s">
        <v>85</v>
      </c>
      <c r="Q1001" s="5" t="s">
        <v>86</v>
      </c>
      <c r="R1001" s="5" t="s">
        <v>85</v>
      </c>
      <c r="T1001" s="390">
        <v>5</v>
      </c>
      <c r="U1001" s="5" t="s">
        <v>97</v>
      </c>
      <c r="W1001" s="5" t="s">
        <v>2468</v>
      </c>
      <c r="X1001" s="5" t="s">
        <v>102</v>
      </c>
      <c r="AA1001" s="5" t="s">
        <v>85</v>
      </c>
      <c r="AB1001" s="5" t="s">
        <v>2469</v>
      </c>
      <c r="AC1001" s="5" t="s">
        <v>2473</v>
      </c>
      <c r="AD1001" s="5" t="s">
        <v>86</v>
      </c>
      <c r="AF1001" s="5">
        <v>109</v>
      </c>
      <c r="AG1001" s="5">
        <v>680</v>
      </c>
      <c r="AH1001" s="5" t="s">
        <v>85</v>
      </c>
      <c r="AI1001" s="5" t="s">
        <v>2485</v>
      </c>
      <c r="AJ1001" s="5">
        <v>109</v>
      </c>
      <c r="AK1001" s="5">
        <v>494</v>
      </c>
      <c r="AL1001" s="5">
        <v>213</v>
      </c>
      <c r="AM1001" s="5">
        <v>281</v>
      </c>
      <c r="AN1001" s="5">
        <v>0</v>
      </c>
      <c r="AO1001" s="5">
        <v>45</v>
      </c>
      <c r="AP1001" s="5">
        <v>0</v>
      </c>
      <c r="AQ1001" s="5">
        <v>9</v>
      </c>
      <c r="AR1001" s="5" t="s">
        <v>2477</v>
      </c>
      <c r="AT1001" s="5">
        <v>0</v>
      </c>
      <c r="AU1001" s="5">
        <v>55</v>
      </c>
      <c r="AV1001" s="5" t="s">
        <v>2478</v>
      </c>
      <c r="AX1001" s="5">
        <v>0</v>
      </c>
      <c r="AY1001" s="5" t="s">
        <v>86</v>
      </c>
      <c r="BN1001" s="5" t="s">
        <v>86</v>
      </c>
      <c r="CD1001" s="5">
        <v>3</v>
      </c>
      <c r="CF1001" s="1442" t="str">
        <f>IF([1]!sommaire[[#This Row],[présence des personnes déplacés interne]]="Oui","1","0")</f>
        <v>1</v>
      </c>
      <c r="CG1001" s="1442" t="str">
        <f>IF([1]!sommaire[[#This Row],[présence Réfugié hors camp]]="Oui","1","0")</f>
        <v>0</v>
      </c>
      <c r="CH1001" s="1442" t="str">
        <f>IF([1]!sommaire[[#This Row],[présence personnes retournées]]="Oui","1","0")</f>
        <v>0</v>
      </c>
      <c r="CI1001" s="1442">
        <f>[1]!sommaire[[#This Row],[Flag PDI]]+[1]!sommaire[[#This Row],[Flag REF]]+[1]!sommaire[[#This Row],[Flag RET]]</f>
        <v>1</v>
      </c>
    </row>
    <row r="1002" spans="1:87" ht="14.55" customHeight="1" x14ac:dyDescent="0.3">
      <c r="A1002" s="390">
        <v>2639913</v>
      </c>
      <c r="B1002" s="5" t="s">
        <v>533</v>
      </c>
      <c r="C1002" s="1430" t="s">
        <v>3449</v>
      </c>
      <c r="D1002" s="1090" t="s">
        <v>534</v>
      </c>
      <c r="E1002" s="5" t="s">
        <v>34</v>
      </c>
      <c r="F1002" s="5" t="s">
        <v>34</v>
      </c>
      <c r="G1002" s="5" t="s">
        <v>539</v>
      </c>
      <c r="H1002" s="5" t="s">
        <v>188</v>
      </c>
      <c r="I1002" s="5" t="str">
        <f>_xlfn.XLOOKUP(sommaire[[#This Row],[Arrondissement_code]],OCHA_GIS!$F:$F,OCHA_GIS!$E:$E,,)</f>
        <v>Mora</v>
      </c>
      <c r="J1002" s="5" t="s">
        <v>546</v>
      </c>
      <c r="K1002" t="s">
        <v>1486</v>
      </c>
      <c r="L1002" s="5" t="s">
        <v>1184</v>
      </c>
      <c r="N1002" s="5" t="s">
        <v>3052</v>
      </c>
      <c r="O1002" s="5" t="s">
        <v>2467</v>
      </c>
      <c r="P1002" s="5" t="s">
        <v>85</v>
      </c>
      <c r="Q1002" s="5" t="s">
        <v>86</v>
      </c>
      <c r="R1002" s="5" t="s">
        <v>85</v>
      </c>
      <c r="T1002" s="390">
        <v>5</v>
      </c>
      <c r="U1002" s="5" t="s">
        <v>97</v>
      </c>
      <c r="W1002" s="5" t="s">
        <v>2468</v>
      </c>
      <c r="X1002" s="5" t="s">
        <v>102</v>
      </c>
      <c r="AA1002" s="5" t="s">
        <v>85</v>
      </c>
      <c r="AB1002" s="5" t="s">
        <v>2469</v>
      </c>
      <c r="AC1002" s="5" t="s">
        <v>312</v>
      </c>
      <c r="AD1002" s="5" t="s">
        <v>86</v>
      </c>
      <c r="AF1002" s="5">
        <v>920</v>
      </c>
      <c r="AG1002" s="5">
        <v>57147</v>
      </c>
      <c r="AH1002" s="5" t="s">
        <v>85</v>
      </c>
      <c r="AI1002" s="5" t="s">
        <v>2471</v>
      </c>
      <c r="AJ1002" s="5">
        <v>920</v>
      </c>
      <c r="AK1002" s="5">
        <v>11394</v>
      </c>
      <c r="AL1002" s="5">
        <v>4231</v>
      </c>
      <c r="AM1002" s="5">
        <v>7163</v>
      </c>
      <c r="AN1002" s="5">
        <v>889</v>
      </c>
      <c r="AO1002" s="5">
        <v>0</v>
      </c>
      <c r="AP1002" s="5">
        <v>0</v>
      </c>
      <c r="AQ1002" s="5">
        <v>31</v>
      </c>
      <c r="AR1002" s="5" t="s">
        <v>2472</v>
      </c>
      <c r="AT1002" s="5">
        <v>0</v>
      </c>
      <c r="AU1002" s="5">
        <v>0</v>
      </c>
      <c r="AX1002" s="5">
        <v>0</v>
      </c>
      <c r="AY1002" s="5" t="s">
        <v>86</v>
      </c>
      <c r="BN1002" s="5" t="s">
        <v>86</v>
      </c>
      <c r="CD1002" s="5">
        <v>11</v>
      </c>
      <c r="CF1002" s="1442" t="str">
        <f>IF([1]!sommaire[[#This Row],[présence des personnes déplacés interne]]="Oui","1","0")</f>
        <v>1</v>
      </c>
      <c r="CG1002" s="1442" t="str">
        <f>IF([1]!sommaire[[#This Row],[présence Réfugié hors camp]]="Oui","1","0")</f>
        <v>0</v>
      </c>
      <c r="CH1002" s="1442" t="str">
        <f>IF([1]!sommaire[[#This Row],[présence personnes retournées]]="Oui","1","0")</f>
        <v>0</v>
      </c>
      <c r="CI1002" s="1442">
        <f>[1]!sommaire[[#This Row],[Flag PDI]]+[1]!sommaire[[#This Row],[Flag REF]]+[1]!sommaire[[#This Row],[Flag RET]]</f>
        <v>1</v>
      </c>
    </row>
    <row r="1003" spans="1:87" ht="14.55" customHeight="1" x14ac:dyDescent="0.3">
      <c r="A1003" s="390">
        <v>2622792</v>
      </c>
      <c r="B1003" s="5" t="s">
        <v>533</v>
      </c>
      <c r="C1003" s="1430" t="s">
        <v>3449</v>
      </c>
      <c r="D1003" s="1090" t="s">
        <v>534</v>
      </c>
      <c r="E1003" s="5" t="s">
        <v>34</v>
      </c>
      <c r="F1003" s="5" t="s">
        <v>34</v>
      </c>
      <c r="G1003" s="5" t="s">
        <v>539</v>
      </c>
      <c r="H1003" s="5" t="s">
        <v>188</v>
      </c>
      <c r="I1003" s="5" t="str">
        <f>_xlfn.XLOOKUP(sommaire[[#This Row],[Arrondissement_code]],OCHA_GIS!$F:$F,OCHA_GIS!$E:$E,,)</f>
        <v>Mora</v>
      </c>
      <c r="J1003" s="5" t="s">
        <v>546</v>
      </c>
      <c r="K1003" t="s">
        <v>1006</v>
      </c>
      <c r="L1003" s="5" t="s">
        <v>781</v>
      </c>
      <c r="N1003" s="5" t="s">
        <v>3053</v>
      </c>
      <c r="O1003" s="5" t="s">
        <v>2467</v>
      </c>
      <c r="P1003" s="5" t="s">
        <v>85</v>
      </c>
      <c r="Q1003" s="5" t="s">
        <v>86</v>
      </c>
      <c r="R1003" s="5" t="s">
        <v>85</v>
      </c>
      <c r="T1003" s="390">
        <v>3</v>
      </c>
      <c r="U1003" s="5" t="s">
        <v>97</v>
      </c>
      <c r="W1003" s="5" t="s">
        <v>2468</v>
      </c>
      <c r="X1003" s="5" t="s">
        <v>102</v>
      </c>
      <c r="AA1003" s="586" t="s">
        <v>85</v>
      </c>
      <c r="AB1003" s="5" t="s">
        <v>2469</v>
      </c>
      <c r="AC1003" s="5" t="s">
        <v>2470</v>
      </c>
      <c r="AD1003" s="5" t="s">
        <v>86</v>
      </c>
      <c r="AF1003" s="5">
        <v>49</v>
      </c>
      <c r="AG1003" s="5">
        <v>549</v>
      </c>
      <c r="AH1003" s="5" t="s">
        <v>85</v>
      </c>
      <c r="AI1003" s="5" t="s">
        <v>2471</v>
      </c>
      <c r="AJ1003" s="5">
        <v>49</v>
      </c>
      <c r="AK1003" s="5">
        <v>315</v>
      </c>
      <c r="AL1003" s="5">
        <v>117</v>
      </c>
      <c r="AM1003" s="5">
        <v>198</v>
      </c>
      <c r="AN1003" s="5">
        <v>0</v>
      </c>
      <c r="AO1003" s="5">
        <v>49</v>
      </c>
      <c r="AP1003" s="5">
        <v>0</v>
      </c>
      <c r="AQ1003" s="5">
        <v>0</v>
      </c>
      <c r="AT1003" s="5">
        <v>0</v>
      </c>
      <c r="AU1003" s="5">
        <v>0</v>
      </c>
      <c r="AX1003" s="5">
        <v>0</v>
      </c>
      <c r="AY1003" s="5" t="s">
        <v>86</v>
      </c>
      <c r="BN1003" s="5" t="s">
        <v>86</v>
      </c>
      <c r="CD1003" s="5">
        <v>0</v>
      </c>
      <c r="CF1003" s="1442" t="str">
        <f>IF([1]!sommaire[[#This Row],[présence des personnes déplacés interne]]="Oui","1","0")</f>
        <v>1</v>
      </c>
      <c r="CG1003" s="1442" t="str">
        <f>IF([1]!sommaire[[#This Row],[présence Réfugié hors camp]]="Oui","1","0")</f>
        <v>0</v>
      </c>
      <c r="CH1003" s="1442" t="str">
        <f>IF([1]!sommaire[[#This Row],[présence personnes retournées]]="Oui","1","0")</f>
        <v>0</v>
      </c>
      <c r="CI1003" s="1442">
        <f>[1]!sommaire[[#This Row],[Flag PDI]]+[1]!sommaire[[#This Row],[Flag REF]]+[1]!sommaire[[#This Row],[Flag RET]]</f>
        <v>1</v>
      </c>
    </row>
    <row r="1004" spans="1:87" ht="14.55" customHeight="1" x14ac:dyDescent="0.3">
      <c r="A1004" s="390">
        <v>2610961</v>
      </c>
      <c r="B1004" s="5" t="s">
        <v>533</v>
      </c>
      <c r="C1004" s="1430" t="s">
        <v>3449</v>
      </c>
      <c r="D1004" s="1090" t="s">
        <v>534</v>
      </c>
      <c r="E1004" s="5" t="s">
        <v>34</v>
      </c>
      <c r="F1004" s="5" t="s">
        <v>34</v>
      </c>
      <c r="G1004" s="5" t="s">
        <v>539</v>
      </c>
      <c r="H1004" s="5" t="s">
        <v>188</v>
      </c>
      <c r="I1004" s="5" t="str">
        <f>_xlfn.XLOOKUP(sommaire[[#This Row],[Arrondissement_code]],OCHA_GIS!$F:$F,OCHA_GIS!$E:$E,,)</f>
        <v>Mora</v>
      </c>
      <c r="J1004" s="5" t="s">
        <v>546</v>
      </c>
      <c r="K1004" t="s">
        <v>1383</v>
      </c>
      <c r="L1004" s="5" t="s">
        <v>1688</v>
      </c>
      <c r="N1004" s="5" t="s">
        <v>3053</v>
      </c>
      <c r="O1004" s="5" t="s">
        <v>2467</v>
      </c>
      <c r="P1004" s="5" t="s">
        <v>85</v>
      </c>
      <c r="Q1004" s="5" t="s">
        <v>86</v>
      </c>
      <c r="R1004" s="5" t="s">
        <v>85</v>
      </c>
      <c r="T1004" s="390">
        <v>3</v>
      </c>
      <c r="U1004" s="5" t="s">
        <v>97</v>
      </c>
      <c r="W1004" s="5" t="s">
        <v>2468</v>
      </c>
      <c r="X1004" s="5" t="s">
        <v>102</v>
      </c>
      <c r="AA1004" s="5" t="s">
        <v>85</v>
      </c>
      <c r="AB1004" s="5" t="s">
        <v>2469</v>
      </c>
      <c r="AC1004" s="5" t="s">
        <v>312</v>
      </c>
      <c r="AD1004" s="5" t="s">
        <v>86</v>
      </c>
      <c r="AF1004" s="5">
        <v>125</v>
      </c>
      <c r="AG1004" s="5">
        <v>2959</v>
      </c>
      <c r="AH1004" s="5" t="s">
        <v>85</v>
      </c>
      <c r="AI1004" s="5" t="s">
        <v>2471</v>
      </c>
      <c r="AJ1004" s="5">
        <v>125</v>
      </c>
      <c r="AK1004" s="5">
        <v>648</v>
      </c>
      <c r="AL1004" s="5">
        <v>296</v>
      </c>
      <c r="AM1004" s="5">
        <v>352</v>
      </c>
      <c r="AN1004" s="5">
        <v>0</v>
      </c>
      <c r="AO1004" s="5">
        <v>74</v>
      </c>
      <c r="AP1004" s="5">
        <v>0</v>
      </c>
      <c r="AQ1004" s="5">
        <v>51</v>
      </c>
      <c r="AR1004" s="5" t="s">
        <v>2477</v>
      </c>
      <c r="AT1004" s="5">
        <v>0</v>
      </c>
      <c r="AU1004" s="5">
        <v>0</v>
      </c>
      <c r="AX1004" s="5">
        <v>0</v>
      </c>
      <c r="AY1004" s="5" t="s">
        <v>86</v>
      </c>
      <c r="BN1004" s="5" t="s">
        <v>86</v>
      </c>
      <c r="CD1004" s="5">
        <v>0</v>
      </c>
      <c r="CF1004" s="1442" t="str">
        <f>IF([1]!sommaire[[#This Row],[présence des personnes déplacés interne]]="Oui","1","0")</f>
        <v>1</v>
      </c>
      <c r="CG1004" s="1442" t="str">
        <f>IF([1]!sommaire[[#This Row],[présence Réfugié hors camp]]="Oui","1","0")</f>
        <v>0</v>
      </c>
      <c r="CH1004" s="1442" t="str">
        <f>IF([1]!sommaire[[#This Row],[présence personnes retournées]]="Oui","1","0")</f>
        <v>0</v>
      </c>
      <c r="CI1004" s="1442">
        <f>[1]!sommaire[[#This Row],[Flag PDI]]+[1]!sommaire[[#This Row],[Flag REF]]+[1]!sommaire[[#This Row],[Flag RET]]</f>
        <v>1</v>
      </c>
    </row>
    <row r="1005" spans="1:87" ht="14.55" customHeight="1" x14ac:dyDescent="0.3">
      <c r="A1005" s="390">
        <v>2596051</v>
      </c>
      <c r="B1005" s="5" t="s">
        <v>533</v>
      </c>
      <c r="C1005" s="1430" t="s">
        <v>3449</v>
      </c>
      <c r="D1005" s="1090" t="s">
        <v>534</v>
      </c>
      <c r="E1005" s="5" t="s">
        <v>34</v>
      </c>
      <c r="F1005" s="5" t="s">
        <v>34</v>
      </c>
      <c r="G1005" s="5" t="s">
        <v>539</v>
      </c>
      <c r="H1005" s="5" t="s">
        <v>188</v>
      </c>
      <c r="I1005" s="5" t="str">
        <f>_xlfn.XLOOKUP(sommaire[[#This Row],[Arrondissement_code]],OCHA_GIS!$F:$F,OCHA_GIS!$E:$E,,)</f>
        <v>Mora</v>
      </c>
      <c r="J1005" s="5" t="s">
        <v>546</v>
      </c>
      <c r="K1005" t="s">
        <v>667</v>
      </c>
      <c r="L1005" s="5" t="s">
        <v>2661</v>
      </c>
      <c r="N1005" s="5" t="s">
        <v>3053</v>
      </c>
      <c r="O1005" s="5" t="s">
        <v>2467</v>
      </c>
      <c r="P1005" s="5" t="s">
        <v>86</v>
      </c>
      <c r="Q1005" s="5" t="s">
        <v>86</v>
      </c>
      <c r="R1005" s="5" t="s">
        <v>85</v>
      </c>
      <c r="U1005" s="5" t="s">
        <v>97</v>
      </c>
      <c r="W1005" s="5" t="s">
        <v>2482</v>
      </c>
      <c r="AA1005" s="5" t="s">
        <v>86</v>
      </c>
      <c r="AH1005" s="1430" t="s">
        <v>86</v>
      </c>
      <c r="AY1005" s="1430" t="s">
        <v>86</v>
      </c>
      <c r="BN1005" s="1430" t="s">
        <v>86</v>
      </c>
      <c r="CF1005" s="1442" t="str">
        <f>IF([1]!sommaire[[#This Row],[présence des personnes déplacés interne]]="Oui","1","0")</f>
        <v>0</v>
      </c>
      <c r="CG1005" s="1442" t="str">
        <f>IF([1]!sommaire[[#This Row],[présence Réfugié hors camp]]="Oui","1","0")</f>
        <v>0</v>
      </c>
      <c r="CH1005" s="1442" t="str">
        <f>IF([1]!sommaire[[#This Row],[présence personnes retournées]]="Oui","1","0")</f>
        <v>0</v>
      </c>
      <c r="CI1005" s="1442">
        <f>[1]!sommaire[[#This Row],[Flag PDI]]+[1]!sommaire[[#This Row],[Flag REF]]+[1]!sommaire[[#This Row],[Flag RET]]</f>
        <v>0</v>
      </c>
    </row>
    <row r="1006" spans="1:87" ht="14.55" customHeight="1" x14ac:dyDescent="0.3">
      <c r="A1006" s="390">
        <v>2612484</v>
      </c>
      <c r="B1006" s="5" t="s">
        <v>533</v>
      </c>
      <c r="C1006" s="1430" t="s">
        <v>3449</v>
      </c>
      <c r="D1006" s="1090" t="s">
        <v>534</v>
      </c>
      <c r="E1006" s="5" t="s">
        <v>34</v>
      </c>
      <c r="F1006" s="5" t="s">
        <v>34</v>
      </c>
      <c r="G1006" s="5" t="s">
        <v>539</v>
      </c>
      <c r="H1006" s="5" t="s">
        <v>188</v>
      </c>
      <c r="I1006" s="5" t="str">
        <f>_xlfn.XLOOKUP(sommaire[[#This Row],[Arrondissement_code]],OCHA_GIS!$F:$F,OCHA_GIS!$E:$E,,)</f>
        <v>Mora</v>
      </c>
      <c r="J1006" s="5" t="s">
        <v>546</v>
      </c>
      <c r="K1006" t="s">
        <v>1183</v>
      </c>
      <c r="L1006" s="5" t="s">
        <v>1512</v>
      </c>
      <c r="N1006" s="5" t="s">
        <v>3053</v>
      </c>
      <c r="O1006" s="5" t="s">
        <v>2467</v>
      </c>
      <c r="P1006" s="5" t="s">
        <v>85</v>
      </c>
      <c r="Q1006" s="5" t="s">
        <v>86</v>
      </c>
      <c r="R1006" s="5" t="s">
        <v>85</v>
      </c>
      <c r="T1006" s="390">
        <v>3</v>
      </c>
      <c r="U1006" s="5" t="s">
        <v>97</v>
      </c>
      <c r="W1006" s="5" t="s">
        <v>2468</v>
      </c>
      <c r="X1006" s="5" t="s">
        <v>102</v>
      </c>
      <c r="AA1006" s="5" t="s">
        <v>85</v>
      </c>
      <c r="AB1006" s="5" t="s">
        <v>2469</v>
      </c>
      <c r="AC1006" s="5" t="s">
        <v>312</v>
      </c>
      <c r="AD1006" s="5" t="s">
        <v>86</v>
      </c>
      <c r="AF1006" s="5">
        <v>135</v>
      </c>
      <c r="AG1006" s="5">
        <v>4988</v>
      </c>
      <c r="AH1006" s="5" t="s">
        <v>85</v>
      </c>
      <c r="AI1006" s="5" t="s">
        <v>2471</v>
      </c>
      <c r="AJ1006" s="5">
        <v>135</v>
      </c>
      <c r="AK1006" s="5">
        <v>682</v>
      </c>
      <c r="AL1006" s="5">
        <v>308</v>
      </c>
      <c r="AM1006" s="5">
        <v>374</v>
      </c>
      <c r="AN1006" s="5">
        <v>0</v>
      </c>
      <c r="AO1006" s="5">
        <v>112</v>
      </c>
      <c r="AP1006" s="5">
        <v>0</v>
      </c>
      <c r="AQ1006" s="5">
        <v>23</v>
      </c>
      <c r="AR1006" s="5" t="s">
        <v>2477</v>
      </c>
      <c r="AT1006" s="5">
        <v>0</v>
      </c>
      <c r="AU1006" s="5">
        <v>0</v>
      </c>
      <c r="AX1006" s="5">
        <v>0</v>
      </c>
      <c r="AY1006" s="5" t="s">
        <v>86</v>
      </c>
      <c r="BN1006" s="5" t="s">
        <v>85</v>
      </c>
      <c r="BO1006" s="5">
        <v>90</v>
      </c>
      <c r="BP1006" s="5">
        <v>377</v>
      </c>
      <c r="BQ1006" s="5">
        <v>146</v>
      </c>
      <c r="BR1006" s="5">
        <v>231</v>
      </c>
      <c r="BS1006" s="5" t="s">
        <v>2535</v>
      </c>
      <c r="BT1006" s="5">
        <v>0</v>
      </c>
      <c r="BU1006" s="5">
        <v>30</v>
      </c>
      <c r="BV1006" s="5">
        <v>60</v>
      </c>
      <c r="BW1006" s="5">
        <v>0</v>
      </c>
      <c r="BX1006" s="5">
        <v>0</v>
      </c>
      <c r="BZ1006" s="5">
        <v>0</v>
      </c>
      <c r="CA1006" s="5">
        <v>0</v>
      </c>
      <c r="CC1006" s="5">
        <v>0</v>
      </c>
      <c r="CD1006" s="5">
        <v>0</v>
      </c>
      <c r="CF1006" s="1442" t="str">
        <f>IF([1]!sommaire[[#This Row],[présence des personnes déplacés interne]]="Oui","1","0")</f>
        <v>1</v>
      </c>
      <c r="CG1006" s="1442" t="str">
        <f>IF([1]!sommaire[[#This Row],[présence Réfugié hors camp]]="Oui","1","0")</f>
        <v>0</v>
      </c>
      <c r="CH1006" s="1442" t="str">
        <f>IF([1]!sommaire[[#This Row],[présence personnes retournées]]="Oui","1","0")</f>
        <v>1</v>
      </c>
      <c r="CI1006" s="1442">
        <f>[1]!sommaire[[#This Row],[Flag PDI]]+[1]!sommaire[[#This Row],[Flag REF]]+[1]!sommaire[[#This Row],[Flag RET]]</f>
        <v>2</v>
      </c>
    </row>
    <row r="1007" spans="1:87" ht="14.55" customHeight="1" x14ac:dyDescent="0.3">
      <c r="A1007" s="390">
        <v>2598232</v>
      </c>
      <c r="B1007" s="5" t="s">
        <v>533</v>
      </c>
      <c r="C1007" s="1430" t="s">
        <v>3449</v>
      </c>
      <c r="D1007" s="1090" t="s">
        <v>534</v>
      </c>
      <c r="E1007" s="5" t="s">
        <v>34</v>
      </c>
      <c r="F1007" s="5" t="s">
        <v>34</v>
      </c>
      <c r="G1007" s="5" t="s">
        <v>539</v>
      </c>
      <c r="H1007" s="5" t="s">
        <v>188</v>
      </c>
      <c r="I1007" s="5" t="str">
        <f>_xlfn.XLOOKUP(sommaire[[#This Row],[Arrondissement_code]],OCHA_GIS!$F:$F,OCHA_GIS!$E:$E,,)</f>
        <v>Mora</v>
      </c>
      <c r="J1007" s="5" t="s">
        <v>546</v>
      </c>
      <c r="K1007" t="s">
        <v>2664</v>
      </c>
      <c r="L1007" s="5" t="s">
        <v>999</v>
      </c>
      <c r="N1007" s="5" t="s">
        <v>3053</v>
      </c>
      <c r="O1007" s="5" t="s">
        <v>2467</v>
      </c>
      <c r="P1007" s="5" t="s">
        <v>85</v>
      </c>
      <c r="Q1007" s="5" t="s">
        <v>86</v>
      </c>
      <c r="R1007" s="5" t="s">
        <v>85</v>
      </c>
      <c r="T1007" s="390">
        <v>4</v>
      </c>
      <c r="U1007" s="5" t="s">
        <v>97</v>
      </c>
      <c r="W1007" s="5" t="s">
        <v>2468</v>
      </c>
      <c r="X1007" s="5" t="s">
        <v>102</v>
      </c>
      <c r="AA1007" s="5" t="s">
        <v>85</v>
      </c>
      <c r="AB1007" s="5" t="s">
        <v>2469</v>
      </c>
      <c r="AC1007" s="5" t="s">
        <v>2473</v>
      </c>
      <c r="AD1007" s="5" t="s">
        <v>86</v>
      </c>
      <c r="AF1007" s="5">
        <v>197</v>
      </c>
      <c r="AG1007" s="5">
        <v>2536</v>
      </c>
      <c r="AH1007" s="5" t="s">
        <v>85</v>
      </c>
      <c r="AI1007" s="5" t="s">
        <v>2471</v>
      </c>
      <c r="AJ1007" s="5">
        <v>197</v>
      </c>
      <c r="AK1007" s="5">
        <v>1306</v>
      </c>
      <c r="AL1007" s="5">
        <v>457</v>
      </c>
      <c r="AM1007" s="5">
        <v>849</v>
      </c>
      <c r="AN1007" s="5">
        <v>0</v>
      </c>
      <c r="AO1007" s="5">
        <v>100</v>
      </c>
      <c r="AP1007" s="5">
        <v>0</v>
      </c>
      <c r="AQ1007" s="5">
        <v>0</v>
      </c>
      <c r="AT1007" s="5">
        <v>0</v>
      </c>
      <c r="AU1007" s="5">
        <v>97</v>
      </c>
      <c r="AV1007" s="5" t="s">
        <v>2475</v>
      </c>
      <c r="AX1007" s="5">
        <v>0</v>
      </c>
      <c r="AY1007" s="5" t="s">
        <v>86</v>
      </c>
      <c r="BN1007" s="5" t="s">
        <v>86</v>
      </c>
      <c r="CD1007" s="5">
        <v>0</v>
      </c>
      <c r="CF1007" s="1442" t="str">
        <f>IF([1]!sommaire[[#This Row],[présence des personnes déplacés interne]]="Oui","1","0")</f>
        <v>1</v>
      </c>
      <c r="CG1007" s="1442" t="str">
        <f>IF([1]!sommaire[[#This Row],[présence Réfugié hors camp]]="Oui","1","0")</f>
        <v>0</v>
      </c>
      <c r="CH1007" s="1442" t="str">
        <f>IF([1]!sommaire[[#This Row],[présence personnes retournées]]="Oui","1","0")</f>
        <v>0</v>
      </c>
      <c r="CI1007" s="1442">
        <f>[1]!sommaire[[#This Row],[Flag PDI]]+[1]!sommaire[[#This Row],[Flag REF]]+[1]!sommaire[[#This Row],[Flag RET]]</f>
        <v>1</v>
      </c>
    </row>
    <row r="1008" spans="1:87" ht="14.55" customHeight="1" x14ac:dyDescent="0.3">
      <c r="A1008" s="390">
        <v>2657280</v>
      </c>
      <c r="B1008" s="5" t="s">
        <v>533</v>
      </c>
      <c r="C1008" s="1430" t="s">
        <v>3449</v>
      </c>
      <c r="D1008" s="1090" t="s">
        <v>534</v>
      </c>
      <c r="E1008" s="5" t="s">
        <v>34</v>
      </c>
      <c r="F1008" s="5" t="s">
        <v>34</v>
      </c>
      <c r="G1008" s="5" t="s">
        <v>539</v>
      </c>
      <c r="H1008" s="5" t="s">
        <v>188</v>
      </c>
      <c r="I1008" s="5" t="str">
        <f>_xlfn.XLOOKUP(sommaire[[#This Row],[Arrondissement_code]],OCHA_GIS!$F:$F,OCHA_GIS!$E:$E,,)</f>
        <v>Mora</v>
      </c>
      <c r="J1008" s="5" t="s">
        <v>546</v>
      </c>
      <c r="K1008" t="s">
        <v>998</v>
      </c>
      <c r="L1008" s="5" t="s">
        <v>2118</v>
      </c>
      <c r="N1008" s="5" t="s">
        <v>3053</v>
      </c>
      <c r="O1008" s="5" t="s">
        <v>2467</v>
      </c>
      <c r="P1008" s="5" t="s">
        <v>85</v>
      </c>
      <c r="Q1008" s="5" t="s">
        <v>86</v>
      </c>
      <c r="R1008" s="5" t="s">
        <v>85</v>
      </c>
      <c r="T1008" s="390">
        <v>4</v>
      </c>
      <c r="U1008" s="5" t="s">
        <v>97</v>
      </c>
      <c r="W1008" s="5" t="s">
        <v>2468</v>
      </c>
      <c r="X1008" s="5" t="s">
        <v>102</v>
      </c>
      <c r="AA1008" s="5" t="s">
        <v>85</v>
      </c>
      <c r="AB1008" s="5" t="s">
        <v>2469</v>
      </c>
      <c r="AC1008" s="5" t="s">
        <v>2470</v>
      </c>
      <c r="AD1008" s="5" t="s">
        <v>86</v>
      </c>
      <c r="AF1008" s="5">
        <v>42</v>
      </c>
      <c r="AG1008" s="5">
        <v>597</v>
      </c>
      <c r="AH1008" s="5" t="s">
        <v>85</v>
      </c>
      <c r="AI1008" s="5" t="s">
        <v>2471</v>
      </c>
      <c r="AJ1008" s="5">
        <v>42</v>
      </c>
      <c r="AK1008" s="5">
        <v>227</v>
      </c>
      <c r="AL1008" s="5">
        <v>101</v>
      </c>
      <c r="AM1008" s="5">
        <v>126</v>
      </c>
      <c r="AN1008" s="5">
        <v>0</v>
      </c>
      <c r="AO1008" s="5">
        <v>0</v>
      </c>
      <c r="AP1008" s="5">
        <v>42</v>
      </c>
      <c r="AQ1008" s="5">
        <v>0</v>
      </c>
      <c r="AT1008" s="5">
        <v>0</v>
      </c>
      <c r="AU1008" s="5">
        <v>0</v>
      </c>
      <c r="AX1008" s="5">
        <v>0</v>
      </c>
      <c r="AY1008" s="5" t="s">
        <v>86</v>
      </c>
      <c r="BN1008" s="5" t="s">
        <v>86</v>
      </c>
      <c r="CD1008" s="5">
        <v>0</v>
      </c>
      <c r="CF1008" s="1442" t="str">
        <f>IF([1]!sommaire[[#This Row],[présence des personnes déplacés interne]]="Oui","1","0")</f>
        <v>1</v>
      </c>
      <c r="CG1008" s="1442" t="str">
        <f>IF([1]!sommaire[[#This Row],[présence Réfugié hors camp]]="Oui","1","0")</f>
        <v>0</v>
      </c>
      <c r="CH1008" s="1442" t="str">
        <f>IF([1]!sommaire[[#This Row],[présence personnes retournées]]="Oui","1","0")</f>
        <v>0</v>
      </c>
      <c r="CI1008" s="1442">
        <f>[1]!sommaire[[#This Row],[Flag PDI]]+[1]!sommaire[[#This Row],[Flag REF]]+[1]!sommaire[[#This Row],[Flag RET]]</f>
        <v>1</v>
      </c>
    </row>
    <row r="1009" spans="1:87" ht="14.55" customHeight="1" x14ac:dyDescent="0.3">
      <c r="A1009" s="390">
        <v>2612002</v>
      </c>
      <c r="B1009" s="5" t="s">
        <v>533</v>
      </c>
      <c r="C1009" s="1430" t="s">
        <v>3449</v>
      </c>
      <c r="D1009" s="1090" t="s">
        <v>534</v>
      </c>
      <c r="E1009" s="5" t="s">
        <v>34</v>
      </c>
      <c r="F1009" s="5" t="s">
        <v>34</v>
      </c>
      <c r="G1009" s="5" t="s">
        <v>539</v>
      </c>
      <c r="H1009" s="5" t="s">
        <v>188</v>
      </c>
      <c r="I1009" s="5" t="str">
        <f>_xlfn.XLOOKUP(sommaire[[#This Row],[Arrondissement_code]],OCHA_GIS!$F:$F,OCHA_GIS!$E:$E,,)</f>
        <v>Mora</v>
      </c>
      <c r="J1009" s="5" t="s">
        <v>546</v>
      </c>
      <c r="K1009" t="s">
        <v>1075</v>
      </c>
      <c r="L1009" s="5" t="s">
        <v>1352</v>
      </c>
      <c r="N1009" s="5" t="s">
        <v>3053</v>
      </c>
      <c r="O1009" s="5" t="s">
        <v>2467</v>
      </c>
      <c r="P1009" s="5" t="s">
        <v>85</v>
      </c>
      <c r="Q1009" s="5" t="s">
        <v>86</v>
      </c>
      <c r="R1009" s="5" t="s">
        <v>85</v>
      </c>
      <c r="T1009" s="390">
        <v>4</v>
      </c>
      <c r="U1009" s="5" t="s">
        <v>97</v>
      </c>
      <c r="W1009" s="5" t="s">
        <v>2520</v>
      </c>
      <c r="X1009" s="5" t="s">
        <v>103</v>
      </c>
      <c r="Y1009" s="5" t="s">
        <v>2511</v>
      </c>
      <c r="AA1009" s="5" t="s">
        <v>85</v>
      </c>
      <c r="AB1009" s="5" t="s">
        <v>2469</v>
      </c>
      <c r="AC1009" s="5" t="s">
        <v>2470</v>
      </c>
      <c r="AD1009" s="5" t="s">
        <v>86</v>
      </c>
      <c r="AF1009" s="5">
        <v>47</v>
      </c>
      <c r="AG1009" s="5">
        <v>1043</v>
      </c>
      <c r="AH1009" s="5" t="s">
        <v>85</v>
      </c>
      <c r="AI1009" s="5" t="s">
        <v>2471</v>
      </c>
      <c r="AJ1009" s="5">
        <v>47</v>
      </c>
      <c r="AK1009" s="5">
        <v>156</v>
      </c>
      <c r="AL1009" s="5">
        <v>57</v>
      </c>
      <c r="AM1009" s="5">
        <v>99</v>
      </c>
      <c r="AN1009" s="5">
        <v>0</v>
      </c>
      <c r="AO1009" s="5">
        <v>47</v>
      </c>
      <c r="AP1009" s="5">
        <v>0</v>
      </c>
      <c r="AQ1009" s="5">
        <v>0</v>
      </c>
      <c r="AT1009" s="5">
        <v>0</v>
      </c>
      <c r="AU1009" s="5">
        <v>0</v>
      </c>
      <c r="AX1009" s="5">
        <v>0</v>
      </c>
      <c r="AY1009" s="5" t="s">
        <v>86</v>
      </c>
      <c r="BN1009" s="5" t="s">
        <v>85</v>
      </c>
      <c r="BO1009" s="5">
        <v>5</v>
      </c>
      <c r="BP1009" s="5">
        <v>25</v>
      </c>
      <c r="BQ1009" s="5">
        <v>12</v>
      </c>
      <c r="BR1009" s="5">
        <v>13</v>
      </c>
      <c r="BS1009" s="5" t="s">
        <v>2535</v>
      </c>
      <c r="BT1009" s="5">
        <v>0</v>
      </c>
      <c r="BU1009" s="5">
        <v>0</v>
      </c>
      <c r="BV1009" s="5">
        <v>5</v>
      </c>
      <c r="BW1009" s="5">
        <v>0</v>
      </c>
      <c r="BX1009" s="5">
        <v>0</v>
      </c>
      <c r="BZ1009" s="5">
        <v>0</v>
      </c>
      <c r="CA1009" s="5">
        <v>0</v>
      </c>
      <c r="CC1009" s="5">
        <v>0</v>
      </c>
      <c r="CD1009" s="5">
        <v>0</v>
      </c>
      <c r="CF1009" s="1442" t="str">
        <f>IF([1]!sommaire[[#This Row],[présence des personnes déplacés interne]]="Oui","1","0")</f>
        <v>1</v>
      </c>
      <c r="CG1009" s="1442" t="str">
        <f>IF([1]!sommaire[[#This Row],[présence Réfugié hors camp]]="Oui","1","0")</f>
        <v>0</v>
      </c>
      <c r="CH1009" s="1442" t="str">
        <f>IF([1]!sommaire[[#This Row],[présence personnes retournées]]="Oui","1","0")</f>
        <v>1</v>
      </c>
      <c r="CI1009" s="1442">
        <f>[1]!sommaire[[#This Row],[Flag PDI]]+[1]!sommaire[[#This Row],[Flag REF]]+[1]!sommaire[[#This Row],[Flag RET]]</f>
        <v>2</v>
      </c>
    </row>
    <row r="1010" spans="1:87" ht="14.55" customHeight="1" x14ac:dyDescent="0.3">
      <c r="A1010" s="390">
        <v>2658461</v>
      </c>
      <c r="B1010" s="5" t="s">
        <v>533</v>
      </c>
      <c r="C1010" s="1430" t="s">
        <v>3449</v>
      </c>
      <c r="D1010" s="1090" t="s">
        <v>534</v>
      </c>
      <c r="E1010" s="5" t="s">
        <v>34</v>
      </c>
      <c r="F1010" s="5" t="s">
        <v>34</v>
      </c>
      <c r="G1010" s="5" t="s">
        <v>539</v>
      </c>
      <c r="H1010" s="5" t="s">
        <v>188</v>
      </c>
      <c r="I1010" s="5" t="str">
        <f>_xlfn.XLOOKUP(sommaire[[#This Row],[Arrondissement_code]],OCHA_GIS!$F:$F,OCHA_GIS!$E:$E,,)</f>
        <v>Mora</v>
      </c>
      <c r="J1010" s="5" t="s">
        <v>546</v>
      </c>
      <c r="K1010" t="s">
        <v>1554</v>
      </c>
      <c r="L1010" s="5" t="s">
        <v>2663</v>
      </c>
      <c r="N1010" s="5" t="s">
        <v>3053</v>
      </c>
      <c r="O1010" s="5" t="s">
        <v>2467</v>
      </c>
      <c r="P1010" s="5" t="s">
        <v>86</v>
      </c>
      <c r="Q1010" s="5" t="s">
        <v>86</v>
      </c>
      <c r="R1010" s="5" t="s">
        <v>85</v>
      </c>
      <c r="U1010" s="5" t="s">
        <v>97</v>
      </c>
      <c r="W1010" s="5" t="s">
        <v>2482</v>
      </c>
      <c r="AA1010" s="5" t="s">
        <v>86</v>
      </c>
      <c r="AH1010" s="1430" t="s">
        <v>86</v>
      </c>
      <c r="AY1010" s="1430" t="s">
        <v>86</v>
      </c>
      <c r="BN1010" s="1430" t="s">
        <v>86</v>
      </c>
      <c r="CF1010" s="1442" t="str">
        <f>IF([1]!sommaire[[#This Row],[présence des personnes déplacés interne]]="Oui","1","0")</f>
        <v>0</v>
      </c>
      <c r="CG1010" s="1442" t="str">
        <f>IF([1]!sommaire[[#This Row],[présence Réfugié hors camp]]="Oui","1","0")</f>
        <v>0</v>
      </c>
      <c r="CH1010" s="1442" t="str">
        <f>IF([1]!sommaire[[#This Row],[présence personnes retournées]]="Oui","1","0")</f>
        <v>0</v>
      </c>
      <c r="CI1010" s="1442">
        <f>[1]!sommaire[[#This Row],[Flag PDI]]+[1]!sommaire[[#This Row],[Flag REF]]+[1]!sommaire[[#This Row],[Flag RET]]</f>
        <v>0</v>
      </c>
    </row>
    <row r="1011" spans="1:87" ht="14.55" customHeight="1" x14ac:dyDescent="0.3">
      <c r="A1011" s="582">
        <v>2636931</v>
      </c>
      <c r="B1011" s="5" t="s">
        <v>533</v>
      </c>
      <c r="C1011" s="1430" t="s">
        <v>3449</v>
      </c>
      <c r="D1011" s="1090" t="s">
        <v>534</v>
      </c>
      <c r="E1011" s="5" t="s">
        <v>34</v>
      </c>
      <c r="F1011" s="5" t="s">
        <v>34</v>
      </c>
      <c r="G1011" s="5" t="s">
        <v>539</v>
      </c>
      <c r="H1011" s="5" t="s">
        <v>188</v>
      </c>
      <c r="I1011" s="5" t="str">
        <f>_xlfn.XLOOKUP(sommaire[[#This Row],[Arrondissement_code]],OCHA_GIS!$F:$F,OCHA_GIS!$E:$E,,)</f>
        <v>Mora</v>
      </c>
      <c r="J1011" s="5" t="s">
        <v>546</v>
      </c>
      <c r="K1011" t="s">
        <v>1687</v>
      </c>
      <c r="L1011" s="5" t="s">
        <v>1492</v>
      </c>
      <c r="N1011" s="5" t="s">
        <v>3053</v>
      </c>
      <c r="O1011" s="5" t="s">
        <v>2467</v>
      </c>
      <c r="P1011" s="5" t="s">
        <v>85</v>
      </c>
      <c r="Q1011" s="5" t="s">
        <v>86</v>
      </c>
      <c r="R1011" s="5" t="s">
        <v>85</v>
      </c>
      <c r="T1011" s="390">
        <v>3</v>
      </c>
      <c r="U1011" s="5" t="s">
        <v>97</v>
      </c>
      <c r="W1011" s="5" t="s">
        <v>2468</v>
      </c>
      <c r="X1011" s="5" t="s">
        <v>102</v>
      </c>
      <c r="AA1011" s="5" t="s">
        <v>85</v>
      </c>
      <c r="AB1011" s="5" t="s">
        <v>2469</v>
      </c>
      <c r="AC1011" s="5" t="s">
        <v>312</v>
      </c>
      <c r="AD1011" s="5" t="s">
        <v>86</v>
      </c>
      <c r="AF1011" s="5">
        <v>109</v>
      </c>
      <c r="AG1011" s="5">
        <v>2073</v>
      </c>
      <c r="AH1011" s="5" t="s">
        <v>85</v>
      </c>
      <c r="AI1011" s="5" t="s">
        <v>2471</v>
      </c>
      <c r="AJ1011" s="5">
        <v>109</v>
      </c>
      <c r="AK1011" s="5">
        <v>856</v>
      </c>
      <c r="AL1011" s="5">
        <v>238</v>
      </c>
      <c r="AM1011" s="5">
        <v>618</v>
      </c>
      <c r="AN1011" s="5">
        <v>0</v>
      </c>
      <c r="AO1011" s="5">
        <v>60</v>
      </c>
      <c r="AP1011" s="5">
        <v>0</v>
      </c>
      <c r="AQ1011" s="5">
        <v>49</v>
      </c>
      <c r="AR1011" s="5" t="s">
        <v>2477</v>
      </c>
      <c r="AT1011" s="5">
        <v>0</v>
      </c>
      <c r="AU1011" s="5">
        <v>0</v>
      </c>
      <c r="AX1011" s="5">
        <v>0</v>
      </c>
      <c r="AY1011" s="5" t="s">
        <v>86</v>
      </c>
      <c r="BN1011" s="5" t="s">
        <v>85</v>
      </c>
      <c r="BO1011" s="5">
        <v>15</v>
      </c>
      <c r="BP1011" s="5">
        <v>78</v>
      </c>
      <c r="BQ1011" s="5">
        <v>28</v>
      </c>
      <c r="BR1011" s="5">
        <v>50</v>
      </c>
      <c r="BS1011" s="5" t="s">
        <v>2492</v>
      </c>
      <c r="BT1011" s="5">
        <v>0</v>
      </c>
      <c r="BU1011" s="5">
        <v>0</v>
      </c>
      <c r="BV1011" s="5">
        <v>15</v>
      </c>
      <c r="BW1011" s="5">
        <v>0</v>
      </c>
      <c r="BX1011" s="5">
        <v>0</v>
      </c>
      <c r="BZ1011" s="5">
        <v>0</v>
      </c>
      <c r="CA1011" s="5">
        <v>0</v>
      </c>
      <c r="CC1011" s="5">
        <v>0</v>
      </c>
      <c r="CD1011" s="5">
        <v>0</v>
      </c>
      <c r="CF1011" s="1442" t="str">
        <f>IF([1]!sommaire[[#This Row],[présence des personnes déplacés interne]]="Oui","1","0")</f>
        <v>1</v>
      </c>
      <c r="CG1011" s="1442" t="str">
        <f>IF([1]!sommaire[[#This Row],[présence Réfugié hors camp]]="Oui","1","0")</f>
        <v>0</v>
      </c>
      <c r="CH1011" s="1442" t="str">
        <f>IF([1]!sommaire[[#This Row],[présence personnes retournées]]="Oui","1","0")</f>
        <v>1</v>
      </c>
      <c r="CI1011" s="1442">
        <f>[1]!sommaire[[#This Row],[Flag PDI]]+[1]!sommaire[[#This Row],[Flag REF]]+[1]!sommaire[[#This Row],[Flag RET]]</f>
        <v>2</v>
      </c>
    </row>
    <row r="1012" spans="1:87" ht="14.55" customHeight="1" x14ac:dyDescent="0.3">
      <c r="A1012" s="582">
        <v>2615774</v>
      </c>
      <c r="B1012" s="5" t="s">
        <v>533</v>
      </c>
      <c r="C1012" s="1430" t="s">
        <v>3449</v>
      </c>
      <c r="D1012" s="1090" t="s">
        <v>534</v>
      </c>
      <c r="E1012" s="5" t="s">
        <v>34</v>
      </c>
      <c r="F1012" s="5" t="s">
        <v>34</v>
      </c>
      <c r="G1012" s="5" t="s">
        <v>539</v>
      </c>
      <c r="H1012" s="5" t="s">
        <v>188</v>
      </c>
      <c r="I1012" s="5" t="str">
        <f>_xlfn.XLOOKUP(sommaire[[#This Row],[Arrondissement_code]],OCHA_GIS!$F:$F,OCHA_GIS!$E:$E,,)</f>
        <v>Mora</v>
      </c>
      <c r="J1012" s="5" t="s">
        <v>546</v>
      </c>
      <c r="K1012" t="s">
        <v>1511</v>
      </c>
      <c r="L1012" s="5" t="s">
        <v>988</v>
      </c>
      <c r="N1012" s="5" t="s">
        <v>3053</v>
      </c>
      <c r="O1012" s="5" t="s">
        <v>2467</v>
      </c>
      <c r="P1012" s="5" t="s">
        <v>85</v>
      </c>
      <c r="Q1012" s="5" t="s">
        <v>86</v>
      </c>
      <c r="R1012" s="5" t="s">
        <v>85</v>
      </c>
      <c r="T1012" s="390">
        <v>3</v>
      </c>
      <c r="U1012" s="5" t="s">
        <v>97</v>
      </c>
      <c r="W1012" s="5" t="s">
        <v>2468</v>
      </c>
      <c r="X1012" s="5" t="s">
        <v>102</v>
      </c>
      <c r="AA1012" s="5" t="s">
        <v>85</v>
      </c>
      <c r="AB1012" s="5" t="s">
        <v>2469</v>
      </c>
      <c r="AC1012" s="5" t="s">
        <v>312</v>
      </c>
      <c r="AD1012" s="5" t="s">
        <v>86</v>
      </c>
      <c r="AF1012" s="5">
        <v>153</v>
      </c>
      <c r="AG1012" s="5">
        <v>2135</v>
      </c>
      <c r="AH1012" s="5" t="s">
        <v>85</v>
      </c>
      <c r="AI1012" s="5" t="s">
        <v>2471</v>
      </c>
      <c r="AJ1012" s="5">
        <v>153</v>
      </c>
      <c r="AK1012" s="5">
        <v>880</v>
      </c>
      <c r="AL1012" s="5">
        <v>547</v>
      </c>
      <c r="AM1012" s="5">
        <v>333</v>
      </c>
      <c r="AN1012" s="5">
        <v>0</v>
      </c>
      <c r="AO1012" s="5">
        <v>149</v>
      </c>
      <c r="AP1012" s="5">
        <v>0</v>
      </c>
      <c r="AQ1012" s="5">
        <v>4</v>
      </c>
      <c r="AR1012" s="5" t="s">
        <v>2477</v>
      </c>
      <c r="AT1012" s="5">
        <v>0</v>
      </c>
      <c r="AU1012" s="5">
        <v>0</v>
      </c>
      <c r="AX1012" s="5">
        <v>0</v>
      </c>
      <c r="AY1012" s="5" t="s">
        <v>86</v>
      </c>
      <c r="BN1012" s="5" t="s">
        <v>86</v>
      </c>
      <c r="CD1012" s="5">
        <v>0</v>
      </c>
      <c r="CF1012" s="1442" t="str">
        <f>IF([1]!sommaire[[#This Row],[présence des personnes déplacés interne]]="Oui","1","0")</f>
        <v>1</v>
      </c>
      <c r="CG1012" s="1442" t="str">
        <f>IF([1]!sommaire[[#This Row],[présence Réfugié hors camp]]="Oui","1","0")</f>
        <v>0</v>
      </c>
      <c r="CH1012" s="1442" t="str">
        <f>IF([1]!sommaire[[#This Row],[présence personnes retournées]]="Oui","1","0")</f>
        <v>0</v>
      </c>
      <c r="CI1012" s="1442">
        <f>[1]!sommaire[[#This Row],[Flag PDI]]+[1]!sommaire[[#This Row],[Flag REF]]+[1]!sommaire[[#This Row],[Flag RET]]</f>
        <v>1</v>
      </c>
    </row>
    <row r="1013" spans="1:87" ht="14.55" customHeight="1" x14ac:dyDescent="0.3">
      <c r="A1013" s="582">
        <v>2612454</v>
      </c>
      <c r="B1013" s="5" t="s">
        <v>533</v>
      </c>
      <c r="C1013" s="1430" t="s">
        <v>3449</v>
      </c>
      <c r="D1013" s="1090" t="s">
        <v>534</v>
      </c>
      <c r="E1013" s="5" t="s">
        <v>34</v>
      </c>
      <c r="F1013" s="5" t="s">
        <v>34</v>
      </c>
      <c r="G1013" s="5" t="s">
        <v>539</v>
      </c>
      <c r="H1013" s="5" t="s">
        <v>188</v>
      </c>
      <c r="I1013" s="5" t="str">
        <f>_xlfn.XLOOKUP(sommaire[[#This Row],[Arrondissement_code]],OCHA_GIS!$F:$F,OCHA_GIS!$E:$E,,)</f>
        <v>Mora</v>
      </c>
      <c r="J1013" s="5" t="s">
        <v>546</v>
      </c>
      <c r="K1013" t="s">
        <v>3003</v>
      </c>
      <c r="L1013" s="5" t="s">
        <v>1678</v>
      </c>
      <c r="N1013" s="5" t="s">
        <v>3053</v>
      </c>
      <c r="O1013" s="5" t="s">
        <v>2467</v>
      </c>
      <c r="P1013" s="5" t="s">
        <v>85</v>
      </c>
      <c r="Q1013" s="5" t="s">
        <v>86</v>
      </c>
      <c r="R1013" s="5" t="s">
        <v>85</v>
      </c>
      <c r="T1013" s="390">
        <v>4</v>
      </c>
      <c r="U1013" s="5" t="s">
        <v>97</v>
      </c>
      <c r="W1013" s="5" t="s">
        <v>2468</v>
      </c>
      <c r="X1013" s="5" t="s">
        <v>102</v>
      </c>
      <c r="AA1013" s="5" t="s">
        <v>85</v>
      </c>
      <c r="AB1013" s="5" t="s">
        <v>2469</v>
      </c>
      <c r="AC1013" s="5" t="s">
        <v>312</v>
      </c>
      <c r="AD1013" s="5" t="s">
        <v>86</v>
      </c>
      <c r="AF1013" s="5">
        <v>281</v>
      </c>
      <c r="AG1013" s="5">
        <v>3066</v>
      </c>
      <c r="AH1013" s="5" t="s">
        <v>85</v>
      </c>
      <c r="AI1013" s="5" t="s">
        <v>2485</v>
      </c>
      <c r="AJ1013" s="5">
        <v>281</v>
      </c>
      <c r="AK1013" s="5">
        <v>1168</v>
      </c>
      <c r="AL1013" s="5">
        <v>228</v>
      </c>
      <c r="AM1013" s="5">
        <v>940</v>
      </c>
      <c r="AN1013" s="5">
        <v>0</v>
      </c>
      <c r="AO1013" s="5">
        <v>131</v>
      </c>
      <c r="AP1013" s="5">
        <v>0</v>
      </c>
      <c r="AQ1013" s="5">
        <v>150</v>
      </c>
      <c r="AR1013" s="5" t="s">
        <v>2477</v>
      </c>
      <c r="AT1013" s="5">
        <v>0</v>
      </c>
      <c r="AU1013" s="5">
        <v>0</v>
      </c>
      <c r="AX1013" s="5">
        <v>0</v>
      </c>
      <c r="AY1013" s="5" t="s">
        <v>86</v>
      </c>
      <c r="BN1013" s="5" t="s">
        <v>86</v>
      </c>
      <c r="CD1013" s="5">
        <v>0</v>
      </c>
      <c r="CF1013" s="1442" t="str">
        <f>IF([1]!sommaire[[#This Row],[présence des personnes déplacés interne]]="Oui","1","0")</f>
        <v>1</v>
      </c>
      <c r="CG1013" s="1442" t="str">
        <f>IF([1]!sommaire[[#This Row],[présence Réfugié hors camp]]="Oui","1","0")</f>
        <v>0</v>
      </c>
      <c r="CH1013" s="1442" t="str">
        <f>IF([1]!sommaire[[#This Row],[présence personnes retournées]]="Oui","1","0")</f>
        <v>0</v>
      </c>
      <c r="CI1013" s="1442">
        <f>[1]!sommaire[[#This Row],[Flag PDI]]+[1]!sommaire[[#This Row],[Flag REF]]+[1]!sommaire[[#This Row],[Flag RET]]</f>
        <v>1</v>
      </c>
    </row>
    <row r="1014" spans="1:87" ht="14.55" customHeight="1" x14ac:dyDescent="0.3">
      <c r="A1014" s="582">
        <v>2630608</v>
      </c>
      <c r="B1014" s="5" t="s">
        <v>533</v>
      </c>
      <c r="C1014" s="1430" t="s">
        <v>3449</v>
      </c>
      <c r="D1014" s="1090" t="s">
        <v>534</v>
      </c>
      <c r="E1014" s="5" t="s">
        <v>34</v>
      </c>
      <c r="F1014" s="5" t="s">
        <v>34</v>
      </c>
      <c r="G1014" s="5" t="s">
        <v>539</v>
      </c>
      <c r="H1014" s="5" t="s">
        <v>188</v>
      </c>
      <c r="I1014" s="5" t="str">
        <f>_xlfn.XLOOKUP(sommaire[[#This Row],[Arrondissement_code]],OCHA_GIS!$F:$F,OCHA_GIS!$E:$E,,)</f>
        <v>Mora</v>
      </c>
      <c r="J1014" s="5" t="s">
        <v>546</v>
      </c>
      <c r="K1014" t="s">
        <v>2660</v>
      </c>
      <c r="L1014" s="5" t="s">
        <v>1431</v>
      </c>
      <c r="N1014" s="5" t="s">
        <v>3053</v>
      </c>
      <c r="O1014" s="5" t="s">
        <v>2467</v>
      </c>
      <c r="P1014" s="5" t="s">
        <v>85</v>
      </c>
      <c r="Q1014" s="5" t="s">
        <v>86</v>
      </c>
      <c r="R1014" s="5" t="s">
        <v>85</v>
      </c>
      <c r="T1014" s="390">
        <v>5</v>
      </c>
      <c r="U1014" s="5" t="s">
        <v>97</v>
      </c>
      <c r="W1014" s="5" t="s">
        <v>2468</v>
      </c>
      <c r="X1014" s="5" t="s">
        <v>102</v>
      </c>
      <c r="AA1014" s="586" t="s">
        <v>85</v>
      </c>
      <c r="AB1014" s="5" t="s">
        <v>2469</v>
      </c>
      <c r="AC1014" s="5" t="s">
        <v>312</v>
      </c>
      <c r="AD1014" s="5" t="s">
        <v>86</v>
      </c>
      <c r="AF1014" s="5">
        <v>61</v>
      </c>
      <c r="AG1014" s="5">
        <v>3156</v>
      </c>
      <c r="AH1014" s="5" t="s">
        <v>85</v>
      </c>
      <c r="AI1014" s="5" t="s">
        <v>2471</v>
      </c>
      <c r="AJ1014" s="5">
        <v>61</v>
      </c>
      <c r="AK1014" s="5">
        <v>453</v>
      </c>
      <c r="AL1014" s="5">
        <v>113</v>
      </c>
      <c r="AM1014" s="5">
        <v>340</v>
      </c>
      <c r="AN1014" s="5">
        <v>0</v>
      </c>
      <c r="AO1014" s="5">
        <v>40</v>
      </c>
      <c r="AP1014" s="5">
        <v>9</v>
      </c>
      <c r="AQ1014" s="5">
        <v>10</v>
      </c>
      <c r="AR1014" s="5" t="s">
        <v>2472</v>
      </c>
      <c r="AT1014" s="5">
        <v>0</v>
      </c>
      <c r="AU1014" s="5">
        <v>2</v>
      </c>
      <c r="AV1014" s="5" t="s">
        <v>3168</v>
      </c>
      <c r="AX1014" s="5">
        <v>0</v>
      </c>
      <c r="AY1014" s="5" t="s">
        <v>85</v>
      </c>
      <c r="AZ1014" s="5">
        <v>3</v>
      </c>
      <c r="BA1014" s="5">
        <v>20</v>
      </c>
      <c r="BB1014" s="5">
        <v>9</v>
      </c>
      <c r="BC1014" s="5">
        <v>11</v>
      </c>
      <c r="BD1014" s="5">
        <v>3</v>
      </c>
      <c r="BE1014" s="5">
        <v>0</v>
      </c>
      <c r="BF1014" s="5">
        <v>0</v>
      </c>
      <c r="BH1014" s="5">
        <v>0</v>
      </c>
      <c r="BI1014" s="5">
        <v>0</v>
      </c>
      <c r="BL1014" s="5">
        <v>0</v>
      </c>
      <c r="BM1014" s="5">
        <v>0</v>
      </c>
      <c r="BN1014" s="5" t="s">
        <v>86</v>
      </c>
      <c r="CD1014" s="5">
        <v>0</v>
      </c>
      <c r="CF1014" s="1442" t="str">
        <f>IF([1]!sommaire[[#This Row],[présence des personnes déplacés interne]]="Oui","1","0")</f>
        <v>1</v>
      </c>
      <c r="CG1014" s="1442" t="str">
        <f>IF([1]!sommaire[[#This Row],[présence Réfugié hors camp]]="Oui","1","0")</f>
        <v>1</v>
      </c>
      <c r="CH1014" s="1442" t="str">
        <f>IF([1]!sommaire[[#This Row],[présence personnes retournées]]="Oui","1","0")</f>
        <v>0</v>
      </c>
      <c r="CI1014" s="1442">
        <f>[1]!sommaire[[#This Row],[Flag PDI]]+[1]!sommaire[[#This Row],[Flag REF]]+[1]!sommaire[[#This Row],[Flag RET]]</f>
        <v>2</v>
      </c>
    </row>
    <row r="1015" spans="1:87" ht="14.55" customHeight="1" x14ac:dyDescent="0.3">
      <c r="A1015" s="582">
        <v>2598373</v>
      </c>
      <c r="B1015" s="5" t="s">
        <v>533</v>
      </c>
      <c r="C1015" s="1430" t="s">
        <v>3449</v>
      </c>
      <c r="D1015" s="1090" t="s">
        <v>534</v>
      </c>
      <c r="E1015" s="5" t="s">
        <v>34</v>
      </c>
      <c r="F1015" s="5" t="s">
        <v>34</v>
      </c>
      <c r="G1015" s="5" t="s">
        <v>539</v>
      </c>
      <c r="H1015" s="5" t="s">
        <v>188</v>
      </c>
      <c r="I1015" s="5" t="str">
        <f>_xlfn.XLOOKUP(sommaire[[#This Row],[Arrondissement_code]],OCHA_GIS!$F:$F,OCHA_GIS!$E:$E,,)</f>
        <v>Mora</v>
      </c>
      <c r="J1015" s="5" t="s">
        <v>546</v>
      </c>
      <c r="K1015" t="s">
        <v>978</v>
      </c>
      <c r="L1015" s="5" t="s">
        <v>3236</v>
      </c>
      <c r="N1015" s="5" t="s">
        <v>3053</v>
      </c>
      <c r="O1015" s="5" t="s">
        <v>2473</v>
      </c>
      <c r="P1015" s="5" t="s">
        <v>85</v>
      </c>
      <c r="Q1015" s="5" t="s">
        <v>86</v>
      </c>
      <c r="R1015" s="5" t="s">
        <v>85</v>
      </c>
      <c r="T1015" s="390">
        <v>3</v>
      </c>
      <c r="U1015" s="5" t="s">
        <v>97</v>
      </c>
      <c r="W1015" s="5" t="s">
        <v>2468</v>
      </c>
      <c r="X1015" s="5" t="s">
        <v>102</v>
      </c>
      <c r="AA1015" s="5" t="s">
        <v>85</v>
      </c>
      <c r="AB1015" s="5" t="s">
        <v>2473</v>
      </c>
      <c r="AC1015" s="5" t="s">
        <v>2470</v>
      </c>
      <c r="AF1015" s="5">
        <v>74</v>
      </c>
      <c r="AG1015" s="5">
        <v>504</v>
      </c>
      <c r="AH1015" s="5" t="s">
        <v>85</v>
      </c>
      <c r="AI1015" s="5" t="s">
        <v>2471</v>
      </c>
      <c r="AJ1015" s="5">
        <v>74</v>
      </c>
      <c r="AK1015" s="5">
        <v>504</v>
      </c>
      <c r="AL1015" s="5">
        <v>236</v>
      </c>
      <c r="AM1015" s="5">
        <v>268</v>
      </c>
      <c r="AN1015" s="5">
        <v>0</v>
      </c>
      <c r="AO1015" s="5">
        <v>0</v>
      </c>
      <c r="AP1015" s="5">
        <v>0</v>
      </c>
      <c r="AQ1015" s="5">
        <v>0</v>
      </c>
      <c r="AT1015" s="5">
        <v>0</v>
      </c>
      <c r="AU1015" s="5">
        <v>74</v>
      </c>
      <c r="AV1015" s="5" t="s">
        <v>2475</v>
      </c>
      <c r="AX1015" s="5">
        <v>0</v>
      </c>
      <c r="AY1015" s="5" t="s">
        <v>86</v>
      </c>
      <c r="BN1015" s="5" t="s">
        <v>86</v>
      </c>
      <c r="CD1015" s="5">
        <v>0</v>
      </c>
      <c r="CF1015" s="1442" t="str">
        <f>IF([1]!sommaire[[#This Row],[présence des personnes déplacés interne]]="Oui","1","0")</f>
        <v>1</v>
      </c>
      <c r="CG1015" s="1442" t="str">
        <f>IF([1]!sommaire[[#This Row],[présence Réfugié hors camp]]="Oui","1","0")</f>
        <v>0</v>
      </c>
      <c r="CH1015" s="1442" t="str">
        <f>IF([1]!sommaire[[#This Row],[présence personnes retournées]]="Oui","1","0")</f>
        <v>0</v>
      </c>
      <c r="CI1015" s="1442">
        <f>[1]!sommaire[[#This Row],[Flag PDI]]+[1]!sommaire[[#This Row],[Flag REF]]+[1]!sommaire[[#This Row],[Flag RET]]</f>
        <v>1</v>
      </c>
    </row>
    <row r="1016" spans="1:87" ht="14.55" customHeight="1" x14ac:dyDescent="0.3">
      <c r="A1016" s="390">
        <v>2620195</v>
      </c>
      <c r="B1016" s="5" t="s">
        <v>533</v>
      </c>
      <c r="C1016" s="1430" t="s">
        <v>3449</v>
      </c>
      <c r="D1016" s="5" t="s">
        <v>534</v>
      </c>
      <c r="E1016" s="5" t="s">
        <v>34</v>
      </c>
      <c r="F1016" s="5" t="s">
        <v>34</v>
      </c>
      <c r="G1016" s="5" t="s">
        <v>539</v>
      </c>
      <c r="H1016" s="5" t="s">
        <v>188</v>
      </c>
      <c r="I1016" s="5" t="str">
        <f>_xlfn.XLOOKUP(sommaire[[#This Row],[Arrondissement_code]],OCHA_GIS!$F:$F,OCHA_GIS!$E:$E,,)</f>
        <v>Mora</v>
      </c>
      <c r="J1016" s="5" t="s">
        <v>546</v>
      </c>
      <c r="K1016" t="s">
        <v>1509</v>
      </c>
      <c r="L1016" s="5" t="s">
        <v>2670</v>
      </c>
      <c r="N1016" s="5" t="s">
        <v>3053</v>
      </c>
      <c r="O1016" s="5" t="s">
        <v>2473</v>
      </c>
      <c r="P1016" s="5" t="s">
        <v>86</v>
      </c>
      <c r="Q1016" s="5" t="s">
        <v>86</v>
      </c>
      <c r="R1016" s="5" t="s">
        <v>85</v>
      </c>
      <c r="U1016" s="5" t="s">
        <v>97</v>
      </c>
      <c r="W1016" s="5" t="s">
        <v>2482</v>
      </c>
      <c r="AA1016" s="5" t="s">
        <v>86</v>
      </c>
      <c r="AH1016" s="1430" t="s">
        <v>86</v>
      </c>
      <c r="AY1016" s="1430" t="s">
        <v>86</v>
      </c>
      <c r="BN1016" s="1430" t="s">
        <v>86</v>
      </c>
      <c r="CF1016" s="1442" t="str">
        <f>IF([1]!sommaire[[#This Row],[présence des personnes déplacés interne]]="Oui","1","0")</f>
        <v>0</v>
      </c>
      <c r="CG1016" s="1442" t="str">
        <f>IF([1]!sommaire[[#This Row],[présence Réfugié hors camp]]="Oui","1","0")</f>
        <v>0</v>
      </c>
      <c r="CH1016" s="1442" t="str">
        <f>IF([1]!sommaire[[#This Row],[présence personnes retournées]]="Oui","1","0")</f>
        <v>0</v>
      </c>
      <c r="CI1016" s="1442">
        <f>[1]!sommaire[[#This Row],[Flag PDI]]+[1]!sommaire[[#This Row],[Flag REF]]+[1]!sommaire[[#This Row],[Flag RET]]</f>
        <v>0</v>
      </c>
    </row>
    <row r="1017" spans="1:87" ht="14.55" customHeight="1" x14ac:dyDescent="0.3">
      <c r="A1017" s="390">
        <v>2636435</v>
      </c>
      <c r="B1017" s="5" t="s">
        <v>533</v>
      </c>
      <c r="C1017" s="1430" t="s">
        <v>3449</v>
      </c>
      <c r="D1017" s="5" t="s">
        <v>534</v>
      </c>
      <c r="E1017" s="5" t="s">
        <v>34</v>
      </c>
      <c r="F1017" s="5" t="s">
        <v>34</v>
      </c>
      <c r="G1017" s="5" t="s">
        <v>539</v>
      </c>
      <c r="H1017" s="5" t="s">
        <v>188</v>
      </c>
      <c r="I1017" s="5" t="str">
        <f>_xlfn.XLOOKUP(sommaire[[#This Row],[Arrondissement_code]],OCHA_GIS!$F:$F,OCHA_GIS!$E:$E,,)</f>
        <v>Mora</v>
      </c>
      <c r="J1017" s="5" t="s">
        <v>546</v>
      </c>
      <c r="K1017" t="s">
        <v>2843</v>
      </c>
      <c r="L1017" s="5" t="s">
        <v>3247</v>
      </c>
      <c r="N1017" s="5" t="s">
        <v>3053</v>
      </c>
      <c r="O1017" s="5" t="s">
        <v>2473</v>
      </c>
      <c r="P1017" s="5" t="s">
        <v>85</v>
      </c>
      <c r="Q1017" s="5" t="s">
        <v>86</v>
      </c>
      <c r="R1017" s="5" t="s">
        <v>85</v>
      </c>
      <c r="T1017" s="390">
        <v>4</v>
      </c>
      <c r="U1017" s="5" t="s">
        <v>97</v>
      </c>
      <c r="W1017" s="5" t="s">
        <v>2468</v>
      </c>
      <c r="X1017" s="5" t="s">
        <v>102</v>
      </c>
      <c r="AA1017" s="5" t="s">
        <v>85</v>
      </c>
      <c r="AB1017" s="5" t="s">
        <v>2473</v>
      </c>
      <c r="AC1017" s="5" t="s">
        <v>2470</v>
      </c>
      <c r="AG1017" s="5">
        <v>443</v>
      </c>
      <c r="AH1017" s="5" t="s">
        <v>86</v>
      </c>
      <c r="AY1017" s="5" t="s">
        <v>85</v>
      </c>
      <c r="AZ1017" s="5">
        <v>107</v>
      </c>
      <c r="BA1017" s="5">
        <v>443</v>
      </c>
      <c r="BB1017" s="5">
        <v>211</v>
      </c>
      <c r="BC1017" s="5">
        <v>232</v>
      </c>
      <c r="BD1017" s="5">
        <v>0</v>
      </c>
      <c r="BE1017" s="5">
        <v>0</v>
      </c>
      <c r="BF1017" s="5">
        <v>0</v>
      </c>
      <c r="BH1017" s="5">
        <v>0</v>
      </c>
      <c r="BI1017" s="5">
        <v>107</v>
      </c>
      <c r="BJ1017" s="5" t="s">
        <v>2490</v>
      </c>
      <c r="BL1017" s="5">
        <v>0</v>
      </c>
      <c r="BM1017" s="5">
        <v>105</v>
      </c>
      <c r="BN1017" s="5" t="s">
        <v>86</v>
      </c>
      <c r="CD1017" s="5">
        <v>0</v>
      </c>
      <c r="CF1017" s="1442" t="str">
        <f>IF([1]!sommaire[[#This Row],[présence des personnes déplacés interne]]="Oui","1","0")</f>
        <v>0</v>
      </c>
      <c r="CG1017" s="1442" t="str">
        <f>IF([1]!sommaire[[#This Row],[présence Réfugié hors camp]]="Oui","1","0")</f>
        <v>1</v>
      </c>
      <c r="CH1017" s="1442" t="str">
        <f>IF([1]!sommaire[[#This Row],[présence personnes retournées]]="Oui","1","0")</f>
        <v>0</v>
      </c>
      <c r="CI1017" s="1442">
        <f>[1]!sommaire[[#This Row],[Flag PDI]]+[1]!sommaire[[#This Row],[Flag REF]]+[1]!sommaire[[#This Row],[Flag RET]]</f>
        <v>1</v>
      </c>
    </row>
    <row r="1018" spans="1:87" ht="14.55" customHeight="1" x14ac:dyDescent="0.3">
      <c r="A1018" s="390">
        <v>2612477</v>
      </c>
      <c r="B1018" s="5" t="s">
        <v>533</v>
      </c>
      <c r="C1018" s="1430" t="s">
        <v>3449</v>
      </c>
      <c r="D1018" s="5" t="s">
        <v>534</v>
      </c>
      <c r="E1018" s="5" t="s">
        <v>34</v>
      </c>
      <c r="F1018" s="5" t="s">
        <v>34</v>
      </c>
      <c r="G1018" s="5" t="s">
        <v>539</v>
      </c>
      <c r="H1018" s="5" t="s">
        <v>188</v>
      </c>
      <c r="I1018" s="5" t="str">
        <f>_xlfn.XLOOKUP(sommaire[[#This Row],[Arrondissement_code]],OCHA_GIS!$F:$F,OCHA_GIS!$E:$E,,)</f>
        <v>Mora</v>
      </c>
      <c r="J1018" s="5" t="s">
        <v>546</v>
      </c>
      <c r="K1018" t="s">
        <v>1351</v>
      </c>
      <c r="L1018" s="5" t="s">
        <v>2669</v>
      </c>
      <c r="N1018" s="5" t="s">
        <v>3053</v>
      </c>
      <c r="O1018" s="5" t="s">
        <v>2473</v>
      </c>
      <c r="P1018" s="5" t="s">
        <v>86</v>
      </c>
      <c r="Q1018" s="5" t="s">
        <v>86</v>
      </c>
      <c r="R1018" s="5" t="s">
        <v>85</v>
      </c>
      <c r="U1018" s="5" t="s">
        <v>97</v>
      </c>
      <c r="W1018" s="5" t="s">
        <v>2482</v>
      </c>
      <c r="AA1018" s="5" t="s">
        <v>86</v>
      </c>
      <c r="AH1018" s="1430" t="s">
        <v>86</v>
      </c>
      <c r="AY1018" s="1430" t="s">
        <v>86</v>
      </c>
      <c r="BN1018" s="1430" t="s">
        <v>86</v>
      </c>
      <c r="CF1018" s="1442" t="str">
        <f>IF([1]!sommaire[[#This Row],[présence des personnes déplacés interne]]="Oui","1","0")</f>
        <v>0</v>
      </c>
      <c r="CG1018" s="1442" t="str">
        <f>IF([1]!sommaire[[#This Row],[présence Réfugié hors camp]]="Oui","1","0")</f>
        <v>0</v>
      </c>
      <c r="CH1018" s="1442" t="str">
        <f>IF([1]!sommaire[[#This Row],[présence personnes retournées]]="Oui","1","0")</f>
        <v>0</v>
      </c>
      <c r="CI1018" s="1442">
        <f>[1]!sommaire[[#This Row],[Flag PDI]]+[1]!sommaire[[#This Row],[Flag REF]]+[1]!sommaire[[#This Row],[Flag RET]]</f>
        <v>0</v>
      </c>
    </row>
    <row r="1019" spans="1:87" ht="14.55" customHeight="1" x14ac:dyDescent="0.3">
      <c r="A1019" s="390">
        <v>2598374</v>
      </c>
      <c r="B1019" s="5" t="s">
        <v>533</v>
      </c>
      <c r="C1019" s="1430" t="s">
        <v>3449</v>
      </c>
      <c r="D1019" s="5" t="s">
        <v>534</v>
      </c>
      <c r="E1019" s="5" t="s">
        <v>34</v>
      </c>
      <c r="F1019" s="5" t="s">
        <v>34</v>
      </c>
      <c r="G1019" s="5" t="s">
        <v>539</v>
      </c>
      <c r="H1019" s="5" t="s">
        <v>188</v>
      </c>
      <c r="I1019" s="5" t="str">
        <f>_xlfn.XLOOKUP(sommaire[[#This Row],[Arrondissement_code]],OCHA_GIS!$F:$F,OCHA_GIS!$E:$E,,)</f>
        <v>Mora</v>
      </c>
      <c r="J1019" s="5" t="s">
        <v>546</v>
      </c>
      <c r="K1019" t="s">
        <v>759</v>
      </c>
      <c r="L1019" s="5" t="s">
        <v>3251</v>
      </c>
      <c r="N1019" s="5" t="s">
        <v>3053</v>
      </c>
      <c r="O1019" s="5" t="s">
        <v>2473</v>
      </c>
      <c r="P1019" s="5" t="s">
        <v>85</v>
      </c>
      <c r="Q1019" s="5" t="s">
        <v>86</v>
      </c>
      <c r="R1019" s="5" t="s">
        <v>85</v>
      </c>
      <c r="T1019" s="390">
        <v>4</v>
      </c>
      <c r="U1019" s="5" t="s">
        <v>97</v>
      </c>
      <c r="W1019" s="5" t="s">
        <v>2468</v>
      </c>
      <c r="X1019" s="5" t="s">
        <v>102</v>
      </c>
      <c r="AA1019" s="5" t="s">
        <v>85</v>
      </c>
      <c r="AB1019" s="5" t="s">
        <v>2473</v>
      </c>
      <c r="AC1019" s="5" t="s">
        <v>2470</v>
      </c>
      <c r="AF1019" s="5">
        <v>256</v>
      </c>
      <c r="AG1019" s="5">
        <v>1761</v>
      </c>
      <c r="AH1019" s="5" t="s">
        <v>85</v>
      </c>
      <c r="AI1019" s="5" t="s">
        <v>2471</v>
      </c>
      <c r="AJ1019" s="5">
        <v>256</v>
      </c>
      <c r="AK1019" s="5">
        <v>1761</v>
      </c>
      <c r="AL1019" s="5">
        <v>749</v>
      </c>
      <c r="AM1019" s="5">
        <v>1012</v>
      </c>
      <c r="AN1019" s="5">
        <v>0</v>
      </c>
      <c r="AO1019" s="5">
        <v>0</v>
      </c>
      <c r="AP1019" s="5">
        <v>0</v>
      </c>
      <c r="AQ1019" s="5">
        <v>0</v>
      </c>
      <c r="AT1019" s="5">
        <v>0</v>
      </c>
      <c r="AU1019" s="5">
        <v>256</v>
      </c>
      <c r="AV1019" s="5" t="s">
        <v>2475</v>
      </c>
      <c r="AX1019" s="5">
        <v>0</v>
      </c>
      <c r="AY1019" s="5" t="s">
        <v>86</v>
      </c>
      <c r="BN1019" s="5" t="s">
        <v>86</v>
      </c>
      <c r="CD1019" s="5">
        <v>0</v>
      </c>
      <c r="CF1019" s="1442" t="str">
        <f>IF([1]!sommaire[[#This Row],[présence des personnes déplacés interne]]="Oui","1","0")</f>
        <v>1</v>
      </c>
      <c r="CG1019" s="1442" t="str">
        <f>IF([1]!sommaire[[#This Row],[présence Réfugié hors camp]]="Oui","1","0")</f>
        <v>0</v>
      </c>
      <c r="CH1019" s="1442" t="str">
        <f>IF([1]!sommaire[[#This Row],[présence personnes retournées]]="Oui","1","0")</f>
        <v>0</v>
      </c>
      <c r="CI1019" s="1442">
        <f>[1]!sommaire[[#This Row],[Flag PDI]]+[1]!sommaire[[#This Row],[Flag REF]]+[1]!sommaire[[#This Row],[Flag RET]]</f>
        <v>1</v>
      </c>
    </row>
    <row r="1020" spans="1:87" ht="14.55" customHeight="1" x14ac:dyDescent="0.3">
      <c r="A1020" s="390">
        <v>2615773</v>
      </c>
      <c r="B1020" s="5" t="s">
        <v>533</v>
      </c>
      <c r="C1020" s="1430" t="s">
        <v>3449</v>
      </c>
      <c r="D1020" s="5" t="s">
        <v>534</v>
      </c>
      <c r="E1020" s="5" t="s">
        <v>34</v>
      </c>
      <c r="F1020" s="5" t="s">
        <v>34</v>
      </c>
      <c r="G1020" s="5" t="s">
        <v>539</v>
      </c>
      <c r="H1020" s="5" t="s">
        <v>188</v>
      </c>
      <c r="I1020" s="5" t="str">
        <f>_xlfn.XLOOKUP(sommaire[[#This Row],[Arrondissement_code]],OCHA_GIS!$F:$F,OCHA_GIS!$E:$E,,)</f>
        <v>Mora</v>
      </c>
      <c r="J1020" s="5" t="s">
        <v>546</v>
      </c>
      <c r="K1020" t="s">
        <v>2666</v>
      </c>
      <c r="L1020" s="5" t="s">
        <v>3256</v>
      </c>
      <c r="N1020" s="5" t="s">
        <v>3053</v>
      </c>
      <c r="O1020" s="5" t="s">
        <v>2473</v>
      </c>
      <c r="P1020" s="5" t="s">
        <v>85</v>
      </c>
      <c r="Q1020" s="5" t="s">
        <v>86</v>
      </c>
      <c r="R1020" s="5" t="s">
        <v>85</v>
      </c>
      <c r="T1020" s="390">
        <v>4</v>
      </c>
      <c r="U1020" s="5" t="s">
        <v>97</v>
      </c>
      <c r="W1020" s="5" t="s">
        <v>2520</v>
      </c>
      <c r="X1020" s="5" t="s">
        <v>102</v>
      </c>
      <c r="AA1020" s="5" t="s">
        <v>85</v>
      </c>
      <c r="AB1020" s="5" t="s">
        <v>2473</v>
      </c>
      <c r="AC1020" s="5" t="s">
        <v>2470</v>
      </c>
      <c r="AF1020" s="5">
        <v>31</v>
      </c>
      <c r="AG1020" s="5">
        <v>329</v>
      </c>
      <c r="AH1020" s="5" t="s">
        <v>85</v>
      </c>
      <c r="AI1020" s="5" t="s">
        <v>2471</v>
      </c>
      <c r="AJ1020" s="5">
        <v>31</v>
      </c>
      <c r="AK1020" s="5">
        <v>324</v>
      </c>
      <c r="AL1020" s="5">
        <v>127</v>
      </c>
      <c r="AM1020" s="5">
        <v>197</v>
      </c>
      <c r="AN1020" s="5">
        <v>0</v>
      </c>
      <c r="AO1020" s="5">
        <v>0</v>
      </c>
      <c r="AP1020" s="5">
        <v>0</v>
      </c>
      <c r="AQ1020" s="5">
        <v>0</v>
      </c>
      <c r="AT1020" s="5">
        <v>0</v>
      </c>
      <c r="AU1020" s="5">
        <v>31</v>
      </c>
      <c r="AV1020" s="5" t="s">
        <v>2490</v>
      </c>
      <c r="AX1020" s="5">
        <v>0</v>
      </c>
      <c r="AY1020" s="5" t="s">
        <v>86</v>
      </c>
      <c r="BN1020" s="5" t="s">
        <v>86</v>
      </c>
      <c r="CD1020" s="5">
        <v>0</v>
      </c>
      <c r="CF1020" s="1442" t="str">
        <f>IF([1]!sommaire[[#This Row],[présence des personnes déplacés interne]]="Oui","1","0")</f>
        <v>1</v>
      </c>
      <c r="CG1020" s="1442" t="str">
        <f>IF([1]!sommaire[[#This Row],[présence Réfugié hors camp]]="Oui","1","0")</f>
        <v>0</v>
      </c>
      <c r="CH1020" s="1442" t="str">
        <f>IF([1]!sommaire[[#This Row],[présence personnes retournées]]="Oui","1","0")</f>
        <v>0</v>
      </c>
      <c r="CI1020" s="1442">
        <f>[1]!sommaire[[#This Row],[Flag PDI]]+[1]!sommaire[[#This Row],[Flag REF]]+[1]!sommaire[[#This Row],[Flag RET]]</f>
        <v>1</v>
      </c>
    </row>
    <row r="1021" spans="1:87" ht="14.55" customHeight="1" x14ac:dyDescent="0.3">
      <c r="A1021" s="390">
        <v>2649833</v>
      </c>
      <c r="B1021" s="5" t="s">
        <v>533</v>
      </c>
      <c r="C1021" s="1430" t="s">
        <v>3449</v>
      </c>
      <c r="D1021" s="5" t="s">
        <v>534</v>
      </c>
      <c r="E1021" s="5" t="s">
        <v>34</v>
      </c>
      <c r="F1021" s="5" t="s">
        <v>34</v>
      </c>
      <c r="G1021" s="5" t="s">
        <v>539</v>
      </c>
      <c r="H1021" s="5" t="s">
        <v>188</v>
      </c>
      <c r="I1021" s="5" t="str">
        <f>_xlfn.XLOOKUP(sommaire[[#This Row],[Arrondissement_code]],OCHA_GIS!$F:$F,OCHA_GIS!$E:$E,,)</f>
        <v>Mora</v>
      </c>
      <c r="J1021" s="5" t="s">
        <v>546</v>
      </c>
      <c r="K1021" t="s">
        <v>1044</v>
      </c>
      <c r="L1021" s="5" t="s">
        <v>1172</v>
      </c>
      <c r="N1021" s="5" t="s">
        <v>3053</v>
      </c>
      <c r="O1021" s="5" t="s">
        <v>2473</v>
      </c>
      <c r="P1021" s="5" t="s">
        <v>85</v>
      </c>
      <c r="Q1021" s="5" t="s">
        <v>86</v>
      </c>
      <c r="R1021" s="5" t="s">
        <v>85</v>
      </c>
      <c r="T1021" s="390">
        <v>5</v>
      </c>
      <c r="U1021" s="5" t="s">
        <v>97</v>
      </c>
      <c r="W1021" s="5" t="s">
        <v>2468</v>
      </c>
      <c r="X1021" s="5" t="s">
        <v>103</v>
      </c>
      <c r="Y1021" s="5" t="s">
        <v>2511</v>
      </c>
      <c r="AA1021" s="5" t="s">
        <v>85</v>
      </c>
      <c r="AB1021" s="5" t="s">
        <v>2473</v>
      </c>
      <c r="AC1021" s="5" t="s">
        <v>2470</v>
      </c>
      <c r="AF1021" s="5">
        <v>120</v>
      </c>
      <c r="AG1021" s="5">
        <v>863</v>
      </c>
      <c r="AH1021" s="5" t="s">
        <v>85</v>
      </c>
      <c r="AI1021" s="5" t="s">
        <v>2471</v>
      </c>
      <c r="AJ1021" s="5">
        <v>120</v>
      </c>
      <c r="AK1021" s="5">
        <v>863</v>
      </c>
      <c r="AL1021" s="5">
        <v>351</v>
      </c>
      <c r="AM1021" s="5">
        <v>512</v>
      </c>
      <c r="AN1021" s="5">
        <v>0</v>
      </c>
      <c r="AO1021" s="5">
        <v>0</v>
      </c>
      <c r="AP1021" s="5">
        <v>0</v>
      </c>
      <c r="AQ1021" s="5">
        <v>0</v>
      </c>
      <c r="AT1021" s="5">
        <v>0</v>
      </c>
      <c r="AU1021" s="5">
        <v>120</v>
      </c>
      <c r="AV1021" s="5" t="s">
        <v>2490</v>
      </c>
      <c r="AX1021" s="5">
        <v>0</v>
      </c>
      <c r="AY1021" s="5" t="s">
        <v>86</v>
      </c>
      <c r="BN1021" s="5" t="s">
        <v>86</v>
      </c>
      <c r="CD1021" s="5">
        <v>0</v>
      </c>
      <c r="CF1021" s="1442" t="str">
        <f>IF([1]!sommaire[[#This Row],[présence des personnes déplacés interne]]="Oui","1","0")</f>
        <v>1</v>
      </c>
      <c r="CG1021" s="1442" t="str">
        <f>IF([1]!sommaire[[#This Row],[présence Réfugié hors camp]]="Oui","1","0")</f>
        <v>0</v>
      </c>
      <c r="CH1021" s="1442" t="str">
        <f>IF([1]!sommaire[[#This Row],[présence personnes retournées]]="Oui","1","0")</f>
        <v>0</v>
      </c>
      <c r="CI1021" s="1442">
        <f>[1]!sommaire[[#This Row],[Flag PDI]]+[1]!sommaire[[#This Row],[Flag REF]]+[1]!sommaire[[#This Row],[Flag RET]]</f>
        <v>1</v>
      </c>
    </row>
    <row r="1022" spans="1:87" ht="14.55" customHeight="1" x14ac:dyDescent="0.3">
      <c r="A1022" s="390">
        <v>2649832</v>
      </c>
      <c r="B1022" s="5" t="s">
        <v>533</v>
      </c>
      <c r="C1022" s="1430" t="s">
        <v>3449</v>
      </c>
      <c r="D1022" s="5" t="s">
        <v>534</v>
      </c>
      <c r="E1022" s="5" t="s">
        <v>34</v>
      </c>
      <c r="F1022" s="5" t="s">
        <v>34</v>
      </c>
      <c r="G1022" s="5" t="s">
        <v>539</v>
      </c>
      <c r="H1022" s="1090" t="s">
        <v>188</v>
      </c>
      <c r="I1022" s="1090" t="str">
        <f>_xlfn.XLOOKUP(sommaire[[#This Row],[Arrondissement_code]],OCHA_GIS!$F:$F,OCHA_GIS!$E:$E,,)</f>
        <v>Mora</v>
      </c>
      <c r="J1022" s="5" t="s">
        <v>546</v>
      </c>
      <c r="K1022" t="s">
        <v>1679</v>
      </c>
      <c r="L1022" s="5" t="s">
        <v>3271</v>
      </c>
      <c r="N1022" s="5" t="s">
        <v>3053</v>
      </c>
      <c r="O1022" s="5" t="s">
        <v>2473</v>
      </c>
      <c r="P1022" s="5" t="s">
        <v>85</v>
      </c>
      <c r="Q1022" s="5" t="s">
        <v>86</v>
      </c>
      <c r="R1022" s="5" t="s">
        <v>85</v>
      </c>
      <c r="T1022" s="390">
        <v>3</v>
      </c>
      <c r="U1022" s="5" t="s">
        <v>97</v>
      </c>
      <c r="W1022" s="5" t="s">
        <v>2468</v>
      </c>
      <c r="X1022" s="5" t="s">
        <v>102</v>
      </c>
      <c r="AA1022" s="5" t="s">
        <v>85</v>
      </c>
      <c r="AB1022" s="5" t="s">
        <v>2473</v>
      </c>
      <c r="AC1022" s="5" t="s">
        <v>2470</v>
      </c>
      <c r="AF1022" s="5">
        <v>82</v>
      </c>
      <c r="AG1022" s="5">
        <v>588</v>
      </c>
      <c r="AH1022" s="5" t="s">
        <v>85</v>
      </c>
      <c r="AI1022" s="5" t="s">
        <v>2471</v>
      </c>
      <c r="AJ1022" s="5">
        <v>82</v>
      </c>
      <c r="AK1022" s="5">
        <v>588</v>
      </c>
      <c r="AL1022" s="5">
        <v>267</v>
      </c>
      <c r="AM1022" s="5">
        <v>321</v>
      </c>
      <c r="AN1022" s="5">
        <v>0</v>
      </c>
      <c r="AO1022" s="5">
        <v>0</v>
      </c>
      <c r="AP1022" s="5">
        <v>0</v>
      </c>
      <c r="AQ1022" s="5">
        <v>0</v>
      </c>
      <c r="AT1022" s="5">
        <v>0</v>
      </c>
      <c r="AU1022" s="5">
        <v>82</v>
      </c>
      <c r="AV1022" s="5" t="s">
        <v>2490</v>
      </c>
      <c r="AX1022" s="5">
        <v>0</v>
      </c>
      <c r="AY1022" s="5" t="s">
        <v>86</v>
      </c>
      <c r="BN1022" s="5" t="s">
        <v>86</v>
      </c>
      <c r="CD1022" s="5">
        <v>2</v>
      </c>
      <c r="CF1022" s="1442" t="str">
        <f>IF([1]!sommaire[[#This Row],[présence des personnes déplacés interne]]="Oui","1","0")</f>
        <v>1</v>
      </c>
      <c r="CG1022" s="1442" t="str">
        <f>IF([1]!sommaire[[#This Row],[présence Réfugié hors camp]]="Oui","1","0")</f>
        <v>0</v>
      </c>
      <c r="CH1022" s="1442" t="str">
        <f>IF([1]!sommaire[[#This Row],[présence personnes retournées]]="Oui","1","0")</f>
        <v>0</v>
      </c>
      <c r="CI1022" s="1442">
        <f>[1]!sommaire[[#This Row],[Flag PDI]]+[1]!sommaire[[#This Row],[Flag REF]]+[1]!sommaire[[#This Row],[Flag RET]]</f>
        <v>1</v>
      </c>
    </row>
    <row r="1023" spans="1:87" ht="14.55" customHeight="1" x14ac:dyDescent="0.3">
      <c r="A1023" s="390">
        <v>2643409</v>
      </c>
      <c r="B1023" s="5" t="s">
        <v>533</v>
      </c>
      <c r="C1023" s="1430" t="s">
        <v>3449</v>
      </c>
      <c r="D1023" s="5" t="s">
        <v>534</v>
      </c>
      <c r="E1023" s="5" t="s">
        <v>34</v>
      </c>
      <c r="F1023" s="5" t="s">
        <v>34</v>
      </c>
      <c r="G1023" s="5" t="s">
        <v>539</v>
      </c>
      <c r="H1023" s="5" t="s">
        <v>188</v>
      </c>
      <c r="I1023" s="5" t="str">
        <f>_xlfn.XLOOKUP(sommaire[[#This Row],[Arrondissement_code]],OCHA_GIS!$F:$F,OCHA_GIS!$E:$E,,)</f>
        <v>Mora</v>
      </c>
      <c r="J1023" s="5" t="s">
        <v>546</v>
      </c>
      <c r="K1023" t="s">
        <v>1173</v>
      </c>
      <c r="L1023" s="5" t="s">
        <v>3274</v>
      </c>
      <c r="N1023" s="5" t="s">
        <v>3053</v>
      </c>
      <c r="O1023" s="5" t="s">
        <v>2473</v>
      </c>
      <c r="P1023" s="5" t="s">
        <v>85</v>
      </c>
      <c r="Q1023" s="5" t="s">
        <v>86</v>
      </c>
      <c r="R1023" s="5" t="s">
        <v>85</v>
      </c>
      <c r="T1023" s="390">
        <v>5</v>
      </c>
      <c r="U1023" s="5" t="s">
        <v>97</v>
      </c>
      <c r="W1023" s="5" t="s">
        <v>2468</v>
      </c>
      <c r="X1023" s="5" t="s">
        <v>102</v>
      </c>
      <c r="AA1023" s="5" t="s">
        <v>85</v>
      </c>
      <c r="AB1023" s="5" t="s">
        <v>2473</v>
      </c>
      <c r="AC1023" s="5" t="s">
        <v>2470</v>
      </c>
      <c r="AF1023" s="5">
        <v>90</v>
      </c>
      <c r="AG1023" s="5">
        <v>487</v>
      </c>
      <c r="AH1023" s="5" t="s">
        <v>85</v>
      </c>
      <c r="AI1023" s="5" t="s">
        <v>2485</v>
      </c>
      <c r="AJ1023" s="5">
        <v>90</v>
      </c>
      <c r="AK1023" s="5">
        <v>487</v>
      </c>
      <c r="AL1023" s="5">
        <v>172</v>
      </c>
      <c r="AM1023" s="5">
        <v>315</v>
      </c>
      <c r="AN1023" s="5">
        <v>0</v>
      </c>
      <c r="AO1023" s="5">
        <v>0</v>
      </c>
      <c r="AP1023" s="5">
        <v>0</v>
      </c>
      <c r="AQ1023" s="5">
        <v>0</v>
      </c>
      <c r="AT1023" s="5">
        <v>0</v>
      </c>
      <c r="AU1023" s="5">
        <v>90</v>
      </c>
      <c r="AV1023" s="5" t="s">
        <v>2490</v>
      </c>
      <c r="AX1023" s="5">
        <v>0</v>
      </c>
      <c r="AY1023" s="5" t="s">
        <v>86</v>
      </c>
      <c r="BN1023" s="5" t="s">
        <v>86</v>
      </c>
      <c r="CD1023" s="5">
        <v>0</v>
      </c>
      <c r="CF1023" s="1442" t="str">
        <f>IF([1]!sommaire[[#This Row],[présence des personnes déplacés interne]]="Oui","1","0")</f>
        <v>1</v>
      </c>
      <c r="CG1023" s="1442" t="str">
        <f>IF([1]!sommaire[[#This Row],[présence Réfugié hors camp]]="Oui","1","0")</f>
        <v>0</v>
      </c>
      <c r="CH1023" s="1442" t="str">
        <f>IF([1]!sommaire[[#This Row],[présence personnes retournées]]="Oui","1","0")</f>
        <v>0</v>
      </c>
      <c r="CI1023" s="1442">
        <f>[1]!sommaire[[#This Row],[Flag PDI]]+[1]!sommaire[[#This Row],[Flag REF]]+[1]!sommaire[[#This Row],[Flag RET]]</f>
        <v>1</v>
      </c>
    </row>
    <row r="1024" spans="1:87" ht="14.55" customHeight="1" x14ac:dyDescent="0.3">
      <c r="A1024" s="390">
        <v>2643406</v>
      </c>
      <c r="B1024" s="5" t="s">
        <v>533</v>
      </c>
      <c r="C1024" s="1430" t="s">
        <v>3449</v>
      </c>
      <c r="D1024" s="5" t="s">
        <v>534</v>
      </c>
      <c r="E1024" s="5" t="s">
        <v>34</v>
      </c>
      <c r="F1024" s="5" t="s">
        <v>34</v>
      </c>
      <c r="G1024" s="5" t="s">
        <v>539</v>
      </c>
      <c r="H1024" s="5" t="s">
        <v>188</v>
      </c>
      <c r="I1024" s="5" t="str">
        <f>_xlfn.XLOOKUP(sommaire[[#This Row],[Arrondissement_code]],OCHA_GIS!$F:$F,OCHA_GIS!$E:$E,,)</f>
        <v>Mora</v>
      </c>
      <c r="J1024" s="5" t="s">
        <v>546</v>
      </c>
      <c r="K1024" t="s">
        <v>1381</v>
      </c>
      <c r="L1024" s="5" t="s">
        <v>3275</v>
      </c>
      <c r="N1024" s="5" t="s">
        <v>3053</v>
      </c>
      <c r="O1024" s="5" t="s">
        <v>2473</v>
      </c>
      <c r="P1024" s="5" t="s">
        <v>85</v>
      </c>
      <c r="Q1024" s="5" t="s">
        <v>86</v>
      </c>
      <c r="R1024" s="5" t="s">
        <v>85</v>
      </c>
      <c r="T1024" s="390">
        <v>4</v>
      </c>
      <c r="U1024" s="5" t="s">
        <v>97</v>
      </c>
      <c r="W1024" s="5" t="s">
        <v>2468</v>
      </c>
      <c r="X1024" s="5" t="s">
        <v>102</v>
      </c>
      <c r="AA1024" s="5" t="s">
        <v>85</v>
      </c>
      <c r="AB1024" s="5" t="s">
        <v>2473</v>
      </c>
      <c r="AC1024" s="5" t="s">
        <v>2470</v>
      </c>
      <c r="AF1024" s="5">
        <v>115</v>
      </c>
      <c r="AG1024" s="5">
        <v>579</v>
      </c>
      <c r="AH1024" s="5" t="s">
        <v>85</v>
      </c>
      <c r="AI1024" s="5" t="s">
        <v>2471</v>
      </c>
      <c r="AJ1024" s="5">
        <v>115</v>
      </c>
      <c r="AK1024" s="5">
        <v>579</v>
      </c>
      <c r="AL1024" s="5">
        <v>227</v>
      </c>
      <c r="AM1024" s="5">
        <v>352</v>
      </c>
      <c r="AN1024" s="5">
        <v>0</v>
      </c>
      <c r="AO1024" s="5">
        <v>0</v>
      </c>
      <c r="AP1024" s="5">
        <v>0</v>
      </c>
      <c r="AQ1024" s="5">
        <v>0</v>
      </c>
      <c r="AT1024" s="5">
        <v>0</v>
      </c>
      <c r="AU1024" s="5">
        <v>115</v>
      </c>
      <c r="AV1024" s="5" t="s">
        <v>2490</v>
      </c>
      <c r="AX1024" s="5">
        <v>0</v>
      </c>
      <c r="AY1024" s="5" t="s">
        <v>86</v>
      </c>
      <c r="BN1024" s="5" t="s">
        <v>86</v>
      </c>
      <c r="CD1024" s="5">
        <v>0</v>
      </c>
      <c r="CF1024" s="1442" t="str">
        <f>IF([1]!sommaire[[#This Row],[présence des personnes déplacés interne]]="Oui","1","0")</f>
        <v>1</v>
      </c>
      <c r="CG1024" s="1442" t="str">
        <f>IF([1]!sommaire[[#This Row],[présence Réfugié hors camp]]="Oui","1","0")</f>
        <v>0</v>
      </c>
      <c r="CH1024" s="1442" t="str">
        <f>IF([1]!sommaire[[#This Row],[présence personnes retournées]]="Oui","1","0")</f>
        <v>0</v>
      </c>
      <c r="CI1024" s="1442">
        <f>[1]!sommaire[[#This Row],[Flag PDI]]+[1]!sommaire[[#This Row],[Flag REF]]+[1]!sommaire[[#This Row],[Flag RET]]</f>
        <v>1</v>
      </c>
    </row>
    <row r="1025" spans="1:87" ht="14.55" customHeight="1" x14ac:dyDescent="0.3">
      <c r="A1025" s="390">
        <v>2598371</v>
      </c>
      <c r="B1025" s="5" t="s">
        <v>533</v>
      </c>
      <c r="C1025" s="1430" t="s">
        <v>3449</v>
      </c>
      <c r="D1025" s="5" t="s">
        <v>534</v>
      </c>
      <c r="E1025" s="5" t="s">
        <v>34</v>
      </c>
      <c r="F1025" s="5" t="s">
        <v>34</v>
      </c>
      <c r="G1025" s="5" t="s">
        <v>539</v>
      </c>
      <c r="H1025" s="5" t="s">
        <v>188</v>
      </c>
      <c r="I1025" s="5" t="str">
        <f>_xlfn.XLOOKUP(sommaire[[#This Row],[Arrondissement_code]],OCHA_GIS!$F:$F,OCHA_GIS!$E:$E,,)</f>
        <v>Mora</v>
      </c>
      <c r="J1025" s="5" t="s">
        <v>546</v>
      </c>
      <c r="K1025" t="s">
        <v>780</v>
      </c>
      <c r="L1025" s="1186" t="s">
        <v>1380</v>
      </c>
      <c r="N1025" s="5" t="s">
        <v>3053</v>
      </c>
      <c r="O1025" s="5" t="s">
        <v>2473</v>
      </c>
      <c r="P1025" s="5" t="s">
        <v>85</v>
      </c>
      <c r="Q1025" s="5" t="s">
        <v>86</v>
      </c>
      <c r="R1025" s="1186" t="s">
        <v>85</v>
      </c>
      <c r="T1025" s="390">
        <v>5</v>
      </c>
      <c r="U1025" s="5" t="s">
        <v>97</v>
      </c>
      <c r="W1025" s="5" t="s">
        <v>2468</v>
      </c>
      <c r="X1025" s="5" t="s">
        <v>102</v>
      </c>
      <c r="AA1025" s="5" t="s">
        <v>85</v>
      </c>
      <c r="AB1025" s="5" t="s">
        <v>2473</v>
      </c>
      <c r="AC1025" s="5" t="s">
        <v>2470</v>
      </c>
      <c r="AF1025" s="5">
        <v>140</v>
      </c>
      <c r="AG1025" s="5">
        <v>1447</v>
      </c>
      <c r="AH1025" s="5" t="s">
        <v>85</v>
      </c>
      <c r="AI1025" s="5" t="s">
        <v>2471</v>
      </c>
      <c r="AJ1025" s="5">
        <v>140</v>
      </c>
      <c r="AK1025" s="5">
        <v>1447</v>
      </c>
      <c r="AL1025" s="5">
        <v>537</v>
      </c>
      <c r="AM1025" s="5">
        <v>910</v>
      </c>
      <c r="AN1025" s="5">
        <v>0</v>
      </c>
      <c r="AO1025" s="5">
        <v>0</v>
      </c>
      <c r="AP1025" s="5">
        <v>0</v>
      </c>
      <c r="AQ1025" s="5">
        <v>0</v>
      </c>
      <c r="AT1025" s="5">
        <v>0</v>
      </c>
      <c r="AU1025" s="5">
        <v>140</v>
      </c>
      <c r="AV1025" s="5" t="s">
        <v>2475</v>
      </c>
      <c r="AX1025" s="5">
        <v>0</v>
      </c>
      <c r="AY1025" s="5" t="s">
        <v>86</v>
      </c>
      <c r="BN1025" s="5" t="s">
        <v>86</v>
      </c>
      <c r="CD1025" s="5">
        <v>0</v>
      </c>
      <c r="CF1025" s="1442" t="str">
        <f>IF([1]!sommaire[[#This Row],[présence des personnes déplacés interne]]="Oui","1","0")</f>
        <v>1</v>
      </c>
      <c r="CG1025" s="1442" t="str">
        <f>IF([1]!sommaire[[#This Row],[présence Réfugié hors camp]]="Oui","1","0")</f>
        <v>0</v>
      </c>
      <c r="CH1025" s="1442" t="str">
        <f>IF([1]!sommaire[[#This Row],[présence personnes retournées]]="Oui","1","0")</f>
        <v>0</v>
      </c>
      <c r="CI1025" s="1442">
        <f>[1]!sommaire[[#This Row],[Flag PDI]]+[1]!sommaire[[#This Row],[Flag REF]]+[1]!sommaire[[#This Row],[Flag RET]]</f>
        <v>1</v>
      </c>
    </row>
    <row r="1026" spans="1:87" ht="14.55" customHeight="1" x14ac:dyDescent="0.3">
      <c r="A1026" s="390">
        <v>2596985</v>
      </c>
      <c r="B1026" s="5" t="s">
        <v>533</v>
      </c>
      <c r="C1026" s="1430" t="s">
        <v>3449</v>
      </c>
      <c r="D1026" s="5" t="s">
        <v>534</v>
      </c>
      <c r="E1026" s="5" t="s">
        <v>34</v>
      </c>
      <c r="F1026" s="5" t="s">
        <v>34</v>
      </c>
      <c r="G1026" s="5" t="s">
        <v>539</v>
      </c>
      <c r="H1026" s="5" t="s">
        <v>188</v>
      </c>
      <c r="I1026" s="5" t="str">
        <f>_xlfn.XLOOKUP(sommaire[[#This Row],[Arrondissement_code]],OCHA_GIS!$F:$F,OCHA_GIS!$E:$E,,)</f>
        <v>Mora</v>
      </c>
      <c r="J1026" s="5" t="s">
        <v>546</v>
      </c>
      <c r="K1026" t="s">
        <v>1185</v>
      </c>
      <c r="L1026" s="5" t="s">
        <v>3283</v>
      </c>
      <c r="N1026" s="5" t="s">
        <v>3053</v>
      </c>
      <c r="O1026" s="5" t="s">
        <v>2473</v>
      </c>
      <c r="P1026" s="5" t="s">
        <v>85</v>
      </c>
      <c r="Q1026" s="5" t="s">
        <v>86</v>
      </c>
      <c r="R1026" s="5" t="s">
        <v>85</v>
      </c>
      <c r="T1026" s="390">
        <v>4</v>
      </c>
      <c r="U1026" s="5" t="s">
        <v>97</v>
      </c>
      <c r="W1026" s="5" t="s">
        <v>2468</v>
      </c>
      <c r="X1026" s="5" t="s">
        <v>103</v>
      </c>
      <c r="Y1026" s="5" t="s">
        <v>2511</v>
      </c>
      <c r="AA1026" s="5" t="s">
        <v>85</v>
      </c>
      <c r="AB1026" s="5" t="s">
        <v>2473</v>
      </c>
      <c r="AC1026" s="5" t="s">
        <v>2470</v>
      </c>
      <c r="AF1026" s="5">
        <v>125</v>
      </c>
      <c r="AG1026" s="5">
        <v>511</v>
      </c>
      <c r="AH1026" s="5" t="s">
        <v>85</v>
      </c>
      <c r="AI1026" s="5" t="s">
        <v>2485</v>
      </c>
      <c r="AJ1026" s="5">
        <v>125</v>
      </c>
      <c r="AK1026" s="5">
        <v>511</v>
      </c>
      <c r="AL1026" s="5">
        <v>208</v>
      </c>
      <c r="AM1026" s="5">
        <v>303</v>
      </c>
      <c r="AN1026" s="5">
        <v>0</v>
      </c>
      <c r="AO1026" s="5">
        <v>0</v>
      </c>
      <c r="AP1026" s="5">
        <v>0</v>
      </c>
      <c r="AQ1026" s="5">
        <v>0</v>
      </c>
      <c r="AT1026" s="5">
        <v>0</v>
      </c>
      <c r="AU1026" s="5">
        <v>125</v>
      </c>
      <c r="AV1026" s="5" t="s">
        <v>2490</v>
      </c>
      <c r="AX1026" s="5">
        <v>0</v>
      </c>
      <c r="AY1026" s="5" t="s">
        <v>86</v>
      </c>
      <c r="BN1026" s="5" t="s">
        <v>86</v>
      </c>
      <c r="CD1026" s="5">
        <v>0</v>
      </c>
      <c r="CF1026" s="1442" t="str">
        <f>IF([1]!sommaire[[#This Row],[présence des personnes déplacés interne]]="Oui","1","0")</f>
        <v>1</v>
      </c>
      <c r="CG1026" s="1442" t="str">
        <f>IF([1]!sommaire[[#This Row],[présence Réfugié hors camp]]="Oui","1","0")</f>
        <v>0</v>
      </c>
      <c r="CH1026" s="1442" t="str">
        <f>IF([1]!sommaire[[#This Row],[présence personnes retournées]]="Oui","1","0")</f>
        <v>0</v>
      </c>
      <c r="CI1026" s="1442">
        <f>[1]!sommaire[[#This Row],[Flag PDI]]+[1]!sommaire[[#This Row],[Flag REF]]+[1]!sommaire[[#This Row],[Flag RET]]</f>
        <v>1</v>
      </c>
    </row>
    <row r="1027" spans="1:87" ht="14.55" customHeight="1" x14ac:dyDescent="0.3">
      <c r="A1027" s="390">
        <v>2598377</v>
      </c>
      <c r="B1027" s="5" t="s">
        <v>533</v>
      </c>
      <c r="C1027" s="1430" t="s">
        <v>3449</v>
      </c>
      <c r="D1027" s="5" t="s">
        <v>534</v>
      </c>
      <c r="E1027" s="5" t="s">
        <v>34</v>
      </c>
      <c r="F1027" s="5" t="s">
        <v>34</v>
      </c>
      <c r="G1027" s="5" t="s">
        <v>539</v>
      </c>
      <c r="H1027" s="5" t="s">
        <v>188</v>
      </c>
      <c r="I1027" s="5" t="str">
        <f>_xlfn.XLOOKUP(sommaire[[#This Row],[Arrondissement_code]],OCHA_GIS!$F:$F,OCHA_GIS!$E:$E,,)</f>
        <v>Mora</v>
      </c>
      <c r="J1027" s="5" t="s">
        <v>546</v>
      </c>
      <c r="K1027" t="s">
        <v>1331</v>
      </c>
      <c r="L1027" s="5" t="s">
        <v>3284</v>
      </c>
      <c r="N1027" s="5" t="s">
        <v>3053</v>
      </c>
      <c r="O1027" s="5" t="s">
        <v>2473</v>
      </c>
      <c r="P1027" s="5" t="s">
        <v>85</v>
      </c>
      <c r="Q1027" s="5" t="s">
        <v>86</v>
      </c>
      <c r="R1027" s="5" t="s">
        <v>85</v>
      </c>
      <c r="T1027" s="390">
        <v>3</v>
      </c>
      <c r="U1027" s="5" t="s">
        <v>97</v>
      </c>
      <c r="W1027" s="5" t="s">
        <v>2468</v>
      </c>
      <c r="X1027" s="5" t="s">
        <v>102</v>
      </c>
      <c r="AA1027" s="5" t="s">
        <v>85</v>
      </c>
      <c r="AB1027" s="5" t="s">
        <v>2473</v>
      </c>
      <c r="AC1027" s="5" t="s">
        <v>2470</v>
      </c>
      <c r="AF1027" s="5">
        <v>41</v>
      </c>
      <c r="AG1027" s="5">
        <v>273</v>
      </c>
      <c r="AH1027" s="5" t="s">
        <v>85</v>
      </c>
      <c r="AI1027" s="5" t="s">
        <v>2485</v>
      </c>
      <c r="AJ1027" s="5">
        <v>41</v>
      </c>
      <c r="AK1027" s="5">
        <v>273</v>
      </c>
      <c r="AL1027" s="5">
        <v>120</v>
      </c>
      <c r="AM1027" s="5">
        <v>153</v>
      </c>
      <c r="AN1027" s="5">
        <v>0</v>
      </c>
      <c r="AO1027" s="5">
        <v>0</v>
      </c>
      <c r="AP1027" s="5">
        <v>0</v>
      </c>
      <c r="AQ1027" s="5">
        <v>0</v>
      </c>
      <c r="AT1027" s="5">
        <v>0</v>
      </c>
      <c r="AU1027" s="5">
        <v>41</v>
      </c>
      <c r="AV1027" s="5" t="s">
        <v>2490</v>
      </c>
      <c r="AX1027" s="5">
        <v>0</v>
      </c>
      <c r="AY1027" s="5" t="s">
        <v>86</v>
      </c>
      <c r="BN1027" s="5" t="s">
        <v>86</v>
      </c>
      <c r="CD1027" s="5">
        <v>0</v>
      </c>
      <c r="CF1027" s="1442" t="str">
        <f>IF([1]!sommaire[[#This Row],[présence des personnes déplacés interne]]="Oui","1","0")</f>
        <v>1</v>
      </c>
      <c r="CG1027" s="1442" t="str">
        <f>IF([1]!sommaire[[#This Row],[présence Réfugié hors camp]]="Oui","1","0")</f>
        <v>0</v>
      </c>
      <c r="CH1027" s="1442" t="str">
        <f>IF([1]!sommaire[[#This Row],[présence personnes retournées]]="Oui","1","0")</f>
        <v>0</v>
      </c>
      <c r="CI1027" s="1442">
        <f>[1]!sommaire[[#This Row],[Flag PDI]]+[1]!sommaire[[#This Row],[Flag REF]]+[1]!sommaire[[#This Row],[Flag RET]]</f>
        <v>1</v>
      </c>
    </row>
    <row r="1028" spans="1:87" ht="14.55" customHeight="1" x14ac:dyDescent="0.3">
      <c r="A1028" s="390">
        <v>2598375</v>
      </c>
      <c r="B1028" s="5" t="s">
        <v>533</v>
      </c>
      <c r="C1028" s="1430" t="s">
        <v>3449</v>
      </c>
      <c r="D1028" s="5" t="s">
        <v>534</v>
      </c>
      <c r="E1028" s="5" t="s">
        <v>34</v>
      </c>
      <c r="F1028" s="5" t="s">
        <v>34</v>
      </c>
      <c r="G1028" s="5" t="s">
        <v>539</v>
      </c>
      <c r="H1028" s="5" t="s">
        <v>188</v>
      </c>
      <c r="I1028" s="5" t="str">
        <f>_xlfn.XLOOKUP(sommaire[[#This Row],[Arrondissement_code]],OCHA_GIS!$F:$F,OCHA_GIS!$E:$E,,)</f>
        <v>Mora</v>
      </c>
      <c r="J1028" s="5" t="s">
        <v>546</v>
      </c>
      <c r="K1028" t="s">
        <v>2955</v>
      </c>
      <c r="L1028" s="5" t="s">
        <v>3285</v>
      </c>
      <c r="N1028" s="5" t="s">
        <v>3053</v>
      </c>
      <c r="O1028" s="5" t="s">
        <v>2473</v>
      </c>
      <c r="P1028" s="5" t="s">
        <v>85</v>
      </c>
      <c r="Q1028" s="5" t="s">
        <v>86</v>
      </c>
      <c r="R1028" s="5" t="s">
        <v>85</v>
      </c>
      <c r="T1028" s="390">
        <v>3</v>
      </c>
      <c r="U1028" s="5" t="s">
        <v>97</v>
      </c>
      <c r="W1028" s="5" t="s">
        <v>2468</v>
      </c>
      <c r="X1028" s="5" t="s">
        <v>103</v>
      </c>
      <c r="Y1028" s="5" t="s">
        <v>2511</v>
      </c>
      <c r="AA1028" s="5" t="s">
        <v>85</v>
      </c>
      <c r="AB1028" s="5" t="s">
        <v>2473</v>
      </c>
      <c r="AC1028" s="5" t="s">
        <v>2470</v>
      </c>
      <c r="AF1028" s="5">
        <v>94</v>
      </c>
      <c r="AG1028" s="5">
        <v>335</v>
      </c>
      <c r="AH1028" s="5" t="s">
        <v>85</v>
      </c>
      <c r="AI1028" s="5" t="s">
        <v>2485</v>
      </c>
      <c r="AJ1028" s="5">
        <v>94</v>
      </c>
      <c r="AK1028" s="5">
        <v>335</v>
      </c>
      <c r="AL1028" s="5">
        <v>137</v>
      </c>
      <c r="AM1028" s="5">
        <v>198</v>
      </c>
      <c r="AN1028" s="5">
        <v>0</v>
      </c>
      <c r="AO1028" s="5">
        <v>0</v>
      </c>
      <c r="AP1028" s="5">
        <v>0</v>
      </c>
      <c r="AQ1028" s="5">
        <v>0</v>
      </c>
      <c r="AT1028" s="5">
        <v>0</v>
      </c>
      <c r="AU1028" s="5">
        <v>94</v>
      </c>
      <c r="AV1028" s="5" t="s">
        <v>2490</v>
      </c>
      <c r="AX1028" s="5">
        <v>0</v>
      </c>
      <c r="AY1028" s="5" t="s">
        <v>86</v>
      </c>
      <c r="BN1028" s="5" t="s">
        <v>86</v>
      </c>
      <c r="CD1028" s="5">
        <v>0</v>
      </c>
      <c r="CF1028" s="1442" t="str">
        <f>IF([1]!sommaire[[#This Row],[présence des personnes déplacés interne]]="Oui","1","0")</f>
        <v>1</v>
      </c>
      <c r="CG1028" s="1442" t="str">
        <f>IF([1]!sommaire[[#This Row],[présence Réfugié hors camp]]="Oui","1","0")</f>
        <v>0</v>
      </c>
      <c r="CH1028" s="1442" t="str">
        <f>IF([1]!sommaire[[#This Row],[présence personnes retournées]]="Oui","1","0")</f>
        <v>0</v>
      </c>
      <c r="CI1028" s="1442">
        <f>[1]!sommaire[[#This Row],[Flag PDI]]+[1]!sommaire[[#This Row],[Flag REF]]+[1]!sommaire[[#This Row],[Flag RET]]</f>
        <v>1</v>
      </c>
    </row>
    <row r="1029" spans="1:87" ht="14.55" customHeight="1" x14ac:dyDescent="0.3">
      <c r="A1029" s="390">
        <v>2636925</v>
      </c>
      <c r="B1029" s="5" t="s">
        <v>533</v>
      </c>
      <c r="C1029" s="1430" t="s">
        <v>3449</v>
      </c>
      <c r="D1029" s="5" t="s">
        <v>534</v>
      </c>
      <c r="E1029" s="5" t="s">
        <v>34</v>
      </c>
      <c r="F1029" s="5" t="s">
        <v>34</v>
      </c>
      <c r="G1029" s="5" t="s">
        <v>539</v>
      </c>
      <c r="H1029" s="5" t="s">
        <v>188</v>
      </c>
      <c r="I1029" s="5" t="str">
        <f>_xlfn.XLOOKUP(sommaire[[#This Row],[Arrondissement_code]],OCHA_GIS!$F:$F,OCHA_GIS!$E:$E,,)</f>
        <v>Mora</v>
      </c>
      <c r="J1029" s="5" t="s">
        <v>546</v>
      </c>
      <c r="K1029" t="s">
        <v>2956</v>
      </c>
      <c r="L1029" s="5" t="s">
        <v>3286</v>
      </c>
      <c r="N1029" s="5" t="s">
        <v>3052</v>
      </c>
      <c r="O1029" s="5" t="s">
        <v>2473</v>
      </c>
      <c r="P1029" s="5" t="s">
        <v>85</v>
      </c>
      <c r="Q1029" s="5" t="s">
        <v>86</v>
      </c>
      <c r="R1029" s="5" t="s">
        <v>85</v>
      </c>
      <c r="T1029" s="390">
        <v>5</v>
      </c>
      <c r="U1029" s="5" t="s">
        <v>97</v>
      </c>
      <c r="W1029" s="5" t="s">
        <v>2468</v>
      </c>
      <c r="X1029" s="5" t="s">
        <v>102</v>
      </c>
      <c r="AA1029" s="5" t="s">
        <v>85</v>
      </c>
      <c r="AB1029" s="5" t="s">
        <v>2473</v>
      </c>
      <c r="AC1029" s="5" t="s">
        <v>2470</v>
      </c>
      <c r="AF1029" s="5">
        <v>1088</v>
      </c>
      <c r="AG1029" s="5">
        <v>5505</v>
      </c>
      <c r="AH1029" s="5" t="s">
        <v>85</v>
      </c>
      <c r="AI1029" s="5" t="s">
        <v>2471</v>
      </c>
      <c r="AJ1029" s="5">
        <v>1088</v>
      </c>
      <c r="AK1029" s="5">
        <v>5505</v>
      </c>
      <c r="AL1029" s="5">
        <v>2531</v>
      </c>
      <c r="AM1029" s="5">
        <v>2974</v>
      </c>
      <c r="AN1029" s="5">
        <v>0</v>
      </c>
      <c r="AO1029" s="5">
        <v>0</v>
      </c>
      <c r="AP1029" s="5">
        <v>0</v>
      </c>
      <c r="AQ1029" s="5">
        <v>0</v>
      </c>
      <c r="AT1029" s="5">
        <v>0</v>
      </c>
      <c r="AU1029" s="5">
        <v>1088</v>
      </c>
      <c r="AV1029" s="5" t="s">
        <v>2474</v>
      </c>
      <c r="AX1029" s="5">
        <v>0</v>
      </c>
      <c r="AY1029" s="5" t="s">
        <v>86</v>
      </c>
      <c r="BN1029" s="5" t="s">
        <v>86</v>
      </c>
      <c r="CD1029" s="5">
        <v>7</v>
      </c>
      <c r="CF1029" s="1442" t="str">
        <f>IF([1]!sommaire[[#This Row],[présence des personnes déplacés interne]]="Oui","1","0")</f>
        <v>1</v>
      </c>
      <c r="CG1029" s="1442" t="str">
        <f>IF([1]!sommaire[[#This Row],[présence Réfugié hors camp]]="Oui","1","0")</f>
        <v>0</v>
      </c>
      <c r="CH1029" s="1442" t="str">
        <f>IF([1]!sommaire[[#This Row],[présence personnes retournées]]="Oui","1","0")</f>
        <v>0</v>
      </c>
      <c r="CI1029" s="1442">
        <f>[1]!sommaire[[#This Row],[Flag PDI]]+[1]!sommaire[[#This Row],[Flag REF]]+[1]!sommaire[[#This Row],[Flag RET]]</f>
        <v>1</v>
      </c>
    </row>
    <row r="1030" spans="1:87" ht="14.55" customHeight="1" x14ac:dyDescent="0.3">
      <c r="A1030" s="390">
        <v>2598376</v>
      </c>
      <c r="B1030" s="5" t="s">
        <v>533</v>
      </c>
      <c r="C1030" s="1430" t="s">
        <v>3449</v>
      </c>
      <c r="D1030" s="5" t="s">
        <v>534</v>
      </c>
      <c r="E1030" s="5" t="s">
        <v>34</v>
      </c>
      <c r="F1030" s="5" t="s">
        <v>34</v>
      </c>
      <c r="G1030" s="5" t="s">
        <v>539</v>
      </c>
      <c r="H1030" s="5" t="s">
        <v>188</v>
      </c>
      <c r="I1030" s="5" t="str">
        <f>_xlfn.XLOOKUP(sommaire[[#This Row],[Arrondissement_code]],OCHA_GIS!$F:$F,OCHA_GIS!$E:$E,,)</f>
        <v>Mora</v>
      </c>
      <c r="J1030" s="5" t="s">
        <v>546</v>
      </c>
      <c r="K1030" t="s">
        <v>645</v>
      </c>
      <c r="L1030" s="5" t="s">
        <v>3287</v>
      </c>
      <c r="N1030" s="5" t="s">
        <v>3053</v>
      </c>
      <c r="O1030" s="5" t="s">
        <v>2473</v>
      </c>
      <c r="P1030" s="5" t="s">
        <v>85</v>
      </c>
      <c r="Q1030" s="5" t="s">
        <v>86</v>
      </c>
      <c r="R1030" s="5" t="s">
        <v>85</v>
      </c>
      <c r="T1030" s="390">
        <v>4</v>
      </c>
      <c r="U1030" s="5" t="s">
        <v>97</v>
      </c>
      <c r="W1030" s="5" t="s">
        <v>2468</v>
      </c>
      <c r="X1030" s="5" t="s">
        <v>102</v>
      </c>
      <c r="AA1030" s="5" t="s">
        <v>85</v>
      </c>
      <c r="AB1030" s="5" t="s">
        <v>2473</v>
      </c>
      <c r="AC1030" s="5" t="s">
        <v>2470</v>
      </c>
      <c r="AF1030" s="5">
        <v>133</v>
      </c>
      <c r="AG1030" s="5">
        <v>604</v>
      </c>
      <c r="AH1030" s="5" t="s">
        <v>85</v>
      </c>
      <c r="AI1030" s="5" t="s">
        <v>2485</v>
      </c>
      <c r="AJ1030" s="5">
        <v>133</v>
      </c>
      <c r="AK1030" s="5">
        <v>604</v>
      </c>
      <c r="AL1030" s="5">
        <v>242</v>
      </c>
      <c r="AM1030" s="5">
        <v>362</v>
      </c>
      <c r="AN1030" s="5">
        <v>0</v>
      </c>
      <c r="AO1030" s="5">
        <v>0</v>
      </c>
      <c r="AP1030" s="5">
        <v>0</v>
      </c>
      <c r="AQ1030" s="5">
        <v>0</v>
      </c>
      <c r="AT1030" s="5">
        <v>0</v>
      </c>
      <c r="AU1030" s="5">
        <v>133</v>
      </c>
      <c r="AV1030" s="5" t="s">
        <v>2490</v>
      </c>
      <c r="AX1030" s="5">
        <v>0</v>
      </c>
      <c r="AY1030" s="5" t="s">
        <v>86</v>
      </c>
      <c r="BN1030" s="5" t="s">
        <v>86</v>
      </c>
      <c r="CD1030" s="5">
        <v>0</v>
      </c>
      <c r="CF1030" s="1442" t="str">
        <f>IF([1]!sommaire[[#This Row],[présence des personnes déplacés interne]]="Oui","1","0")</f>
        <v>1</v>
      </c>
      <c r="CG1030" s="1442" t="str">
        <f>IF([1]!sommaire[[#This Row],[présence Réfugié hors camp]]="Oui","1","0")</f>
        <v>0</v>
      </c>
      <c r="CH1030" s="1442" t="str">
        <f>IF([1]!sommaire[[#This Row],[présence personnes retournées]]="Oui","1","0")</f>
        <v>0</v>
      </c>
      <c r="CI1030" s="1442">
        <f>[1]!sommaire[[#This Row],[Flag PDI]]+[1]!sommaire[[#This Row],[Flag REF]]+[1]!sommaire[[#This Row],[Flag RET]]</f>
        <v>1</v>
      </c>
    </row>
    <row r="1031" spans="1:87" ht="14.55" customHeight="1" x14ac:dyDescent="0.3">
      <c r="A1031" s="390">
        <v>2636926</v>
      </c>
      <c r="B1031" s="5" t="s">
        <v>533</v>
      </c>
      <c r="C1031" s="1430" t="s">
        <v>3449</v>
      </c>
      <c r="D1031" s="5" t="s">
        <v>534</v>
      </c>
      <c r="E1031" s="5" t="s">
        <v>34</v>
      </c>
      <c r="F1031" s="5" t="s">
        <v>34</v>
      </c>
      <c r="G1031" s="5" t="s">
        <v>539</v>
      </c>
      <c r="H1031" s="5" t="s">
        <v>188</v>
      </c>
      <c r="I1031" s="5" t="str">
        <f>_xlfn.XLOOKUP(sommaire[[#This Row],[Arrondissement_code]],OCHA_GIS!$F:$F,OCHA_GIS!$E:$E,,)</f>
        <v>Mora</v>
      </c>
      <c r="J1031" s="5" t="s">
        <v>546</v>
      </c>
      <c r="K1031" t="s">
        <v>1507</v>
      </c>
      <c r="L1031" s="5" t="s">
        <v>3288</v>
      </c>
      <c r="N1031" s="5" t="s">
        <v>3053</v>
      </c>
      <c r="O1031" s="5" t="s">
        <v>2473</v>
      </c>
      <c r="P1031" s="5" t="s">
        <v>85</v>
      </c>
      <c r="Q1031" s="5" t="s">
        <v>86</v>
      </c>
      <c r="R1031" s="5" t="s">
        <v>85</v>
      </c>
      <c r="T1031" s="390">
        <v>5</v>
      </c>
      <c r="U1031" s="5" t="s">
        <v>97</v>
      </c>
      <c r="W1031" s="5" t="s">
        <v>2468</v>
      </c>
      <c r="X1031" s="5" t="s">
        <v>102</v>
      </c>
      <c r="AA1031" s="5" t="s">
        <v>85</v>
      </c>
      <c r="AB1031" s="5" t="s">
        <v>2473</v>
      </c>
      <c r="AC1031" s="5" t="s">
        <v>2470</v>
      </c>
      <c r="AF1031" s="5">
        <v>17</v>
      </c>
      <c r="AG1031" s="5">
        <v>121</v>
      </c>
      <c r="AH1031" s="5" t="s">
        <v>85</v>
      </c>
      <c r="AI1031" s="5" t="s">
        <v>2471</v>
      </c>
      <c r="AJ1031" s="5">
        <v>17</v>
      </c>
      <c r="AK1031" s="5">
        <v>121</v>
      </c>
      <c r="AL1031" s="5">
        <v>51</v>
      </c>
      <c r="AM1031" s="5">
        <v>70</v>
      </c>
      <c r="AN1031" s="5">
        <v>0</v>
      </c>
      <c r="AO1031" s="5">
        <v>0</v>
      </c>
      <c r="AP1031" s="5">
        <v>0</v>
      </c>
      <c r="AQ1031" s="5">
        <v>0</v>
      </c>
      <c r="AT1031" s="5">
        <v>0</v>
      </c>
      <c r="AU1031" s="5">
        <v>17</v>
      </c>
      <c r="AV1031" s="5" t="s">
        <v>2490</v>
      </c>
      <c r="AX1031" s="5">
        <v>0</v>
      </c>
      <c r="AY1031" s="5" t="s">
        <v>86</v>
      </c>
      <c r="BN1031" s="5" t="s">
        <v>86</v>
      </c>
      <c r="CD1031" s="5">
        <v>0</v>
      </c>
      <c r="CF1031" s="1442" t="str">
        <f>IF([1]!sommaire[[#This Row],[présence des personnes déplacés interne]]="Oui","1","0")</f>
        <v>1</v>
      </c>
      <c r="CG1031" s="1442" t="str">
        <f>IF([1]!sommaire[[#This Row],[présence Réfugié hors camp]]="Oui","1","0")</f>
        <v>0</v>
      </c>
      <c r="CH1031" s="1442" t="str">
        <f>IF([1]!sommaire[[#This Row],[présence personnes retournées]]="Oui","1","0")</f>
        <v>0</v>
      </c>
      <c r="CI1031" s="1442">
        <f>[1]!sommaire[[#This Row],[Flag PDI]]+[1]!sommaire[[#This Row],[Flag REF]]+[1]!sommaire[[#This Row],[Flag RET]]</f>
        <v>1</v>
      </c>
    </row>
    <row r="1032" spans="1:87" ht="14.55" customHeight="1" x14ac:dyDescent="0.3">
      <c r="A1032" s="390">
        <v>2649829</v>
      </c>
      <c r="B1032" s="5" t="s">
        <v>533</v>
      </c>
      <c r="C1032" s="1430" t="s">
        <v>3449</v>
      </c>
      <c r="D1032" s="5" t="s">
        <v>534</v>
      </c>
      <c r="E1032" s="5" t="s">
        <v>34</v>
      </c>
      <c r="F1032" s="5" t="s">
        <v>34</v>
      </c>
      <c r="G1032" s="5" t="s">
        <v>539</v>
      </c>
      <c r="H1032" s="5" t="s">
        <v>188</v>
      </c>
      <c r="I1032" s="5" t="str">
        <f>_xlfn.XLOOKUP(sommaire[[#This Row],[Arrondissement_code]],OCHA_GIS!$F:$F,OCHA_GIS!$E:$E,,)</f>
        <v>Mora</v>
      </c>
      <c r="J1032" s="5" t="s">
        <v>546</v>
      </c>
      <c r="K1032" t="s">
        <v>3028</v>
      </c>
      <c r="L1032" s="5" t="s">
        <v>3310</v>
      </c>
      <c r="N1032" s="5" t="s">
        <v>3053</v>
      </c>
      <c r="O1032" s="5" t="s">
        <v>2473</v>
      </c>
      <c r="P1032" s="5" t="s">
        <v>85</v>
      </c>
      <c r="Q1032" s="5" t="s">
        <v>86</v>
      </c>
      <c r="R1032" s="5" t="s">
        <v>85</v>
      </c>
      <c r="T1032" s="390">
        <v>3</v>
      </c>
      <c r="U1032" s="5" t="s">
        <v>97</v>
      </c>
      <c r="W1032" s="5" t="s">
        <v>2468</v>
      </c>
      <c r="X1032" s="5" t="s">
        <v>102</v>
      </c>
      <c r="AA1032" s="5" t="s">
        <v>85</v>
      </c>
      <c r="AB1032" s="5" t="s">
        <v>2473</v>
      </c>
      <c r="AC1032" s="5" t="s">
        <v>2470</v>
      </c>
      <c r="AF1032" s="5">
        <v>2</v>
      </c>
      <c r="AG1032" s="5">
        <v>2448</v>
      </c>
      <c r="AH1032" s="5" t="s">
        <v>85</v>
      </c>
      <c r="AI1032" s="5" t="s">
        <v>2471</v>
      </c>
      <c r="AJ1032" s="5">
        <v>2</v>
      </c>
      <c r="AK1032" s="5">
        <v>16</v>
      </c>
      <c r="AL1032" s="5">
        <v>9</v>
      </c>
      <c r="AM1032" s="5">
        <v>7</v>
      </c>
      <c r="AN1032" s="5">
        <v>0</v>
      </c>
      <c r="AO1032" s="5">
        <v>0</v>
      </c>
      <c r="AP1032" s="5">
        <v>0</v>
      </c>
      <c r="AQ1032" s="5">
        <v>0</v>
      </c>
      <c r="AT1032" s="5">
        <v>0</v>
      </c>
      <c r="AU1032" s="5">
        <v>2</v>
      </c>
      <c r="AV1032" s="5" t="s">
        <v>2490</v>
      </c>
      <c r="AX1032" s="5">
        <v>0</v>
      </c>
      <c r="AY1032" s="5" t="s">
        <v>85</v>
      </c>
      <c r="AZ1032" s="5">
        <v>306</v>
      </c>
      <c r="BA1032" s="5">
        <v>2432</v>
      </c>
      <c r="BB1032" s="5">
        <v>1032</v>
      </c>
      <c r="BC1032" s="5">
        <v>1400</v>
      </c>
      <c r="BD1032" s="5">
        <v>0</v>
      </c>
      <c r="BE1032" s="5">
        <v>0</v>
      </c>
      <c r="BF1032" s="5">
        <v>0</v>
      </c>
      <c r="BH1032" s="5">
        <v>0</v>
      </c>
      <c r="BI1032" s="5">
        <v>306</v>
      </c>
      <c r="BJ1032" s="5" t="s">
        <v>2490</v>
      </c>
      <c r="BL1032" s="5">
        <v>0</v>
      </c>
      <c r="BM1032" s="5">
        <v>0</v>
      </c>
      <c r="BN1032" s="5" t="s">
        <v>86</v>
      </c>
      <c r="CD1032" s="5">
        <v>0</v>
      </c>
      <c r="CF1032" s="1442" t="str">
        <f>IF([1]!sommaire[[#This Row],[présence des personnes déplacés interne]]="Oui","1","0")</f>
        <v>1</v>
      </c>
      <c r="CG1032" s="1442" t="str">
        <f>IF([1]!sommaire[[#This Row],[présence Réfugié hors camp]]="Oui","1","0")</f>
        <v>1</v>
      </c>
      <c r="CH1032" s="1442" t="str">
        <f>IF([1]!sommaire[[#This Row],[présence personnes retournées]]="Oui","1","0")</f>
        <v>0</v>
      </c>
      <c r="CI1032" s="1442">
        <f>[1]!sommaire[[#This Row],[Flag PDI]]+[1]!sommaire[[#This Row],[Flag REF]]+[1]!sommaire[[#This Row],[Flag RET]]</f>
        <v>2</v>
      </c>
    </row>
    <row r="1033" spans="1:87" ht="14.55" customHeight="1" x14ac:dyDescent="0.3">
      <c r="A1033" s="390">
        <v>2648206</v>
      </c>
      <c r="B1033" s="5" t="s">
        <v>533</v>
      </c>
      <c r="C1033" s="1430" t="s">
        <v>3449</v>
      </c>
      <c r="D1033" s="5" t="s">
        <v>534</v>
      </c>
      <c r="E1033" s="5" t="s">
        <v>34</v>
      </c>
      <c r="F1033" s="5" t="s">
        <v>34</v>
      </c>
      <c r="G1033" s="5" t="s">
        <v>539</v>
      </c>
      <c r="H1033" s="5" t="s">
        <v>188</v>
      </c>
      <c r="I1033" s="5" t="str">
        <f>_xlfn.XLOOKUP(sommaire[[#This Row],[Arrondissement_code]],OCHA_GIS!$F:$F,OCHA_GIS!$E:$E,,)</f>
        <v>Mora</v>
      </c>
      <c r="J1033" s="5" t="s">
        <v>546</v>
      </c>
      <c r="K1033" t="s">
        <v>1791</v>
      </c>
      <c r="L1033" s="5" t="s">
        <v>668</v>
      </c>
      <c r="N1033" s="5" t="s">
        <v>3053</v>
      </c>
      <c r="O1033" s="5" t="s">
        <v>2467</v>
      </c>
      <c r="P1033" s="5" t="s">
        <v>85</v>
      </c>
      <c r="Q1033" s="5" t="s">
        <v>86</v>
      </c>
      <c r="R1033" s="5" t="s">
        <v>85</v>
      </c>
      <c r="T1033" s="390">
        <v>3</v>
      </c>
      <c r="U1033" s="5" t="s">
        <v>97</v>
      </c>
      <c r="W1033" s="5" t="s">
        <v>2468</v>
      </c>
      <c r="X1033" s="5" t="s">
        <v>102</v>
      </c>
      <c r="AA1033" s="5" t="s">
        <v>85</v>
      </c>
      <c r="AB1033" s="5" t="s">
        <v>2469</v>
      </c>
      <c r="AC1033" s="5" t="s">
        <v>2470</v>
      </c>
      <c r="AD1033" s="5" t="s">
        <v>86</v>
      </c>
      <c r="AF1033" s="5">
        <v>41</v>
      </c>
      <c r="AG1033" s="5">
        <v>1958</v>
      </c>
      <c r="AH1033" s="5" t="s">
        <v>85</v>
      </c>
      <c r="AI1033" s="5" t="s">
        <v>2471</v>
      </c>
      <c r="AJ1033" s="5">
        <v>41</v>
      </c>
      <c r="AK1033" s="5">
        <v>212</v>
      </c>
      <c r="AL1033" s="5">
        <v>81</v>
      </c>
      <c r="AM1033" s="5">
        <v>131</v>
      </c>
      <c r="AN1033" s="5">
        <v>4</v>
      </c>
      <c r="AO1033" s="5">
        <v>37</v>
      </c>
      <c r="AP1033" s="5">
        <v>0</v>
      </c>
      <c r="AQ1033" s="5">
        <v>0</v>
      </c>
      <c r="AT1033" s="5">
        <v>0</v>
      </c>
      <c r="AU1033" s="5">
        <v>0</v>
      </c>
      <c r="AX1033" s="5">
        <v>0</v>
      </c>
      <c r="AY1033" s="5" t="s">
        <v>86</v>
      </c>
      <c r="BN1033" s="5" t="s">
        <v>85</v>
      </c>
      <c r="BO1033" s="5">
        <v>2</v>
      </c>
      <c r="BP1033" s="5">
        <v>9</v>
      </c>
      <c r="BQ1033" s="5">
        <v>3</v>
      </c>
      <c r="BR1033" s="5">
        <v>6</v>
      </c>
      <c r="BS1033" s="5" t="s">
        <v>2535</v>
      </c>
      <c r="BT1033" s="5">
        <v>2</v>
      </c>
      <c r="BU1033" s="5">
        <v>0</v>
      </c>
      <c r="BV1033" s="5">
        <v>0</v>
      </c>
      <c r="BW1033" s="5">
        <v>0</v>
      </c>
      <c r="BX1033" s="5">
        <v>0</v>
      </c>
      <c r="BZ1033" s="5">
        <v>0</v>
      </c>
      <c r="CA1033" s="5">
        <v>0</v>
      </c>
      <c r="CC1033" s="5">
        <v>0</v>
      </c>
      <c r="CD1033" s="5">
        <v>0</v>
      </c>
      <c r="CF1033" s="1442" t="str">
        <f>IF([1]!sommaire[[#This Row],[présence des personnes déplacés interne]]="Oui","1","0")</f>
        <v>1</v>
      </c>
      <c r="CG1033" s="1442" t="str">
        <f>IF([1]!sommaire[[#This Row],[présence Réfugié hors camp]]="Oui","1","0")</f>
        <v>0</v>
      </c>
      <c r="CH1033" s="1442" t="str">
        <f>IF([1]!sommaire[[#This Row],[présence personnes retournées]]="Oui","1","0")</f>
        <v>1</v>
      </c>
      <c r="CI1033" s="1442">
        <f>[1]!sommaire[[#This Row],[Flag PDI]]+[1]!sommaire[[#This Row],[Flag REF]]+[1]!sommaire[[#This Row],[Flag RET]]</f>
        <v>2</v>
      </c>
    </row>
    <row r="1034" spans="1:87" ht="14.55" customHeight="1" x14ac:dyDescent="0.3">
      <c r="A1034" s="390">
        <v>2648207</v>
      </c>
      <c r="B1034" s="5" t="s">
        <v>533</v>
      </c>
      <c r="C1034" s="1430" t="s">
        <v>3449</v>
      </c>
      <c r="D1034" s="5" t="s">
        <v>534</v>
      </c>
      <c r="E1034" s="5" t="s">
        <v>34</v>
      </c>
      <c r="F1034" s="5" t="s">
        <v>34</v>
      </c>
      <c r="G1034" s="5" t="s">
        <v>539</v>
      </c>
      <c r="H1034" s="5" t="s">
        <v>188</v>
      </c>
      <c r="I1034" s="5" t="str">
        <f>_xlfn.XLOOKUP(sommaire[[#This Row],[Arrondissement_code]],OCHA_GIS!$F:$F,OCHA_GIS!$E:$E,,)</f>
        <v>Mora</v>
      </c>
      <c r="J1034" s="5" t="s">
        <v>546</v>
      </c>
      <c r="K1034" t="s">
        <v>1430</v>
      </c>
      <c r="L1034" s="5" t="s">
        <v>666</v>
      </c>
      <c r="N1034" s="5" t="s">
        <v>3053</v>
      </c>
      <c r="O1034" s="5" t="s">
        <v>2467</v>
      </c>
      <c r="P1034" s="5" t="s">
        <v>86</v>
      </c>
      <c r="Q1034" s="5" t="s">
        <v>86</v>
      </c>
      <c r="R1034" s="5" t="s">
        <v>85</v>
      </c>
      <c r="U1034" s="5" t="s">
        <v>97</v>
      </c>
      <c r="W1034" s="5" t="s">
        <v>2468</v>
      </c>
      <c r="X1034" s="5" t="s">
        <v>102</v>
      </c>
      <c r="AA1034" s="5" t="s">
        <v>85</v>
      </c>
      <c r="AB1034" s="5" t="s">
        <v>2469</v>
      </c>
      <c r="AC1034" s="5" t="s">
        <v>2470</v>
      </c>
      <c r="AD1034" s="5" t="s">
        <v>86</v>
      </c>
      <c r="AF1034" s="5">
        <v>20</v>
      </c>
      <c r="AG1034" s="5">
        <v>640</v>
      </c>
      <c r="AH1034" s="5" t="s">
        <v>85</v>
      </c>
      <c r="AI1034" s="5" t="s">
        <v>2471</v>
      </c>
      <c r="AJ1034" s="5">
        <v>20</v>
      </c>
      <c r="AK1034" s="5">
        <v>110</v>
      </c>
      <c r="AL1034" s="5">
        <v>34</v>
      </c>
      <c r="AM1034" s="5">
        <v>76</v>
      </c>
      <c r="AN1034" s="5">
        <v>2</v>
      </c>
      <c r="AO1034" s="5">
        <v>18</v>
      </c>
      <c r="AP1034" s="5">
        <v>0</v>
      </c>
      <c r="AQ1034" s="5">
        <v>0</v>
      </c>
      <c r="AT1034" s="5">
        <v>0</v>
      </c>
      <c r="AU1034" s="5">
        <v>0</v>
      </c>
      <c r="AX1034" s="5">
        <v>0</v>
      </c>
      <c r="AY1034" s="5" t="s">
        <v>86</v>
      </c>
      <c r="BN1034" s="5" t="s">
        <v>86</v>
      </c>
      <c r="CD1034" s="5">
        <v>0</v>
      </c>
      <c r="CF1034" s="1442" t="str">
        <f>IF([1]!sommaire[[#This Row],[présence des personnes déplacés interne]]="Oui","1","0")</f>
        <v>1</v>
      </c>
      <c r="CG1034" s="1442" t="str">
        <f>IF([1]!sommaire[[#This Row],[présence Réfugié hors camp]]="Oui","1","0")</f>
        <v>0</v>
      </c>
      <c r="CH1034" s="1442" t="str">
        <f>IF([1]!sommaire[[#This Row],[présence personnes retournées]]="Oui","1","0")</f>
        <v>0</v>
      </c>
      <c r="CI1034" s="1442">
        <f>[1]!sommaire[[#This Row],[Flag PDI]]+[1]!sommaire[[#This Row],[Flag REF]]+[1]!sommaire[[#This Row],[Flag RET]]</f>
        <v>1</v>
      </c>
    </row>
    <row r="1035" spans="1:87" ht="14.55" customHeight="1" x14ac:dyDescent="0.3">
      <c r="A1035" s="390">
        <v>2598233</v>
      </c>
      <c r="B1035" s="5" t="s">
        <v>533</v>
      </c>
      <c r="C1035" s="1430" t="s">
        <v>3449</v>
      </c>
      <c r="D1035" s="5" t="s">
        <v>534</v>
      </c>
      <c r="E1035" s="5" t="s">
        <v>34</v>
      </c>
      <c r="F1035" s="5" t="s">
        <v>34</v>
      </c>
      <c r="G1035" s="5" t="s">
        <v>539</v>
      </c>
      <c r="H1035" s="5" t="s">
        <v>188</v>
      </c>
      <c r="I1035" s="5" t="str">
        <f>_xlfn.XLOOKUP(sommaire[[#This Row],[Arrondissement_code]],OCHA_GIS!$F:$F,OCHA_GIS!$E:$E,,)</f>
        <v>Mora</v>
      </c>
      <c r="J1035" s="5" t="s">
        <v>546</v>
      </c>
      <c r="K1035" t="s">
        <v>2668</v>
      </c>
      <c r="L1035" s="5" t="s">
        <v>669</v>
      </c>
      <c r="N1035" s="5" t="s">
        <v>3053</v>
      </c>
      <c r="O1035" s="5" t="s">
        <v>2467</v>
      </c>
      <c r="P1035" s="5" t="s">
        <v>85</v>
      </c>
      <c r="Q1035" s="5" t="s">
        <v>86</v>
      </c>
      <c r="R1035" s="5" t="s">
        <v>85</v>
      </c>
      <c r="T1035" s="390">
        <v>3</v>
      </c>
      <c r="U1035" s="5" t="s">
        <v>97</v>
      </c>
      <c r="W1035" s="5" t="s">
        <v>2468</v>
      </c>
      <c r="X1035" s="5" t="s">
        <v>102</v>
      </c>
      <c r="AA1035" s="5" t="s">
        <v>85</v>
      </c>
      <c r="AB1035" s="5" t="s">
        <v>2469</v>
      </c>
      <c r="AC1035" s="5" t="s">
        <v>2470</v>
      </c>
      <c r="AD1035" s="5" t="s">
        <v>86</v>
      </c>
      <c r="AF1035" s="5">
        <v>15</v>
      </c>
      <c r="AG1035" s="5">
        <v>699</v>
      </c>
      <c r="AH1035" s="5" t="s">
        <v>85</v>
      </c>
      <c r="AI1035" s="5" t="s">
        <v>2471</v>
      </c>
      <c r="AJ1035" s="5">
        <v>15</v>
      </c>
      <c r="AK1035" s="5">
        <v>117</v>
      </c>
      <c r="AL1035" s="5">
        <v>44</v>
      </c>
      <c r="AM1035" s="5">
        <v>73</v>
      </c>
      <c r="AN1035" s="5">
        <v>0</v>
      </c>
      <c r="AO1035" s="5">
        <v>15</v>
      </c>
      <c r="AP1035" s="5">
        <v>0</v>
      </c>
      <c r="AQ1035" s="5">
        <v>0</v>
      </c>
      <c r="AT1035" s="5">
        <v>0</v>
      </c>
      <c r="AU1035" s="5">
        <v>0</v>
      </c>
      <c r="AX1035" s="5">
        <v>0</v>
      </c>
      <c r="AY1035" s="5" t="s">
        <v>85</v>
      </c>
      <c r="AZ1035" s="5">
        <v>12</v>
      </c>
      <c r="BA1035" s="5">
        <v>58</v>
      </c>
      <c r="BB1035" s="5">
        <v>24</v>
      </c>
      <c r="BC1035" s="5">
        <v>34</v>
      </c>
      <c r="BD1035" s="5">
        <v>12</v>
      </c>
      <c r="BE1035" s="5">
        <v>0</v>
      </c>
      <c r="BF1035" s="5">
        <v>0</v>
      </c>
      <c r="BH1035" s="5">
        <v>0</v>
      </c>
      <c r="BI1035" s="5">
        <v>0</v>
      </c>
      <c r="BL1035" s="5">
        <v>0</v>
      </c>
      <c r="BM1035" s="5">
        <v>12</v>
      </c>
      <c r="BN1035" s="5" t="s">
        <v>86</v>
      </c>
      <c r="CD1035" s="5">
        <v>0</v>
      </c>
      <c r="CF1035" s="1442" t="str">
        <f>IF([1]!sommaire[[#This Row],[présence des personnes déplacés interne]]="Oui","1","0")</f>
        <v>1</v>
      </c>
      <c r="CG1035" s="1442" t="str">
        <f>IF([1]!sommaire[[#This Row],[présence Réfugié hors camp]]="Oui","1","0")</f>
        <v>1</v>
      </c>
      <c r="CH1035" s="1442" t="str">
        <f>IF([1]!sommaire[[#This Row],[présence personnes retournées]]="Oui","1","0")</f>
        <v>0</v>
      </c>
      <c r="CI1035" s="1442">
        <f>[1]!sommaire[[#This Row],[Flag PDI]]+[1]!sommaire[[#This Row],[Flag REF]]+[1]!sommaire[[#This Row],[Flag RET]]</f>
        <v>2</v>
      </c>
    </row>
    <row r="1036" spans="1:87" ht="14.55" customHeight="1" x14ac:dyDescent="0.3">
      <c r="A1036" s="390">
        <v>2598372</v>
      </c>
      <c r="B1036" s="5" t="s">
        <v>533</v>
      </c>
      <c r="C1036" s="1430" t="s">
        <v>3449</v>
      </c>
      <c r="D1036" s="5" t="s">
        <v>534</v>
      </c>
      <c r="E1036" s="5" t="s">
        <v>34</v>
      </c>
      <c r="F1036" s="5" t="s">
        <v>34</v>
      </c>
      <c r="G1036" s="5" t="s">
        <v>539</v>
      </c>
      <c r="H1036" s="5" t="s">
        <v>188</v>
      </c>
      <c r="I1036" s="5" t="str">
        <f>_xlfn.XLOOKUP(sommaire[[#This Row],[Arrondissement_code]],OCHA_GIS!$F:$F,OCHA_GIS!$E:$E,,)</f>
        <v>Mora</v>
      </c>
      <c r="J1036" s="5" t="s">
        <v>546</v>
      </c>
      <c r="K1036" t="s">
        <v>1414</v>
      </c>
      <c r="L1036" s="5" t="s">
        <v>670</v>
      </c>
      <c r="N1036" s="5" t="s">
        <v>3053</v>
      </c>
      <c r="O1036" s="5" t="s">
        <v>2467</v>
      </c>
      <c r="P1036" s="5" t="s">
        <v>85</v>
      </c>
      <c r="Q1036" s="5" t="s">
        <v>86</v>
      </c>
      <c r="R1036" s="5" t="s">
        <v>85</v>
      </c>
      <c r="T1036" s="390">
        <v>4</v>
      </c>
      <c r="U1036" s="5" t="s">
        <v>97</v>
      </c>
      <c r="W1036" s="5" t="s">
        <v>2468</v>
      </c>
      <c r="X1036" s="5" t="s">
        <v>102</v>
      </c>
      <c r="AA1036" s="5" t="s">
        <v>85</v>
      </c>
      <c r="AB1036" s="5" t="s">
        <v>2469</v>
      </c>
      <c r="AC1036" s="5" t="s">
        <v>2470</v>
      </c>
      <c r="AD1036" s="5" t="s">
        <v>86</v>
      </c>
      <c r="AF1036" s="5">
        <v>9</v>
      </c>
      <c r="AG1036" s="5">
        <v>620</v>
      </c>
      <c r="AH1036" s="5" t="s">
        <v>85</v>
      </c>
      <c r="AI1036" s="5" t="s">
        <v>2471</v>
      </c>
      <c r="AJ1036" s="5">
        <v>9</v>
      </c>
      <c r="AK1036" s="5">
        <v>51</v>
      </c>
      <c r="AL1036" s="5">
        <v>28</v>
      </c>
      <c r="AM1036" s="5">
        <v>23</v>
      </c>
      <c r="AN1036" s="5">
        <v>2</v>
      </c>
      <c r="AO1036" s="5">
        <v>7</v>
      </c>
      <c r="AP1036" s="5">
        <v>0</v>
      </c>
      <c r="AQ1036" s="5">
        <v>0</v>
      </c>
      <c r="AT1036" s="5">
        <v>0</v>
      </c>
      <c r="AU1036" s="5">
        <v>0</v>
      </c>
      <c r="AX1036" s="5">
        <v>0</v>
      </c>
      <c r="AY1036" s="5" t="s">
        <v>85</v>
      </c>
      <c r="AZ1036" s="5">
        <v>10</v>
      </c>
      <c r="BA1036" s="5">
        <v>40</v>
      </c>
      <c r="BB1036" s="5">
        <v>27</v>
      </c>
      <c r="BC1036" s="5">
        <v>13</v>
      </c>
      <c r="BD1036" s="5">
        <v>10</v>
      </c>
      <c r="BE1036" s="5">
        <v>0</v>
      </c>
      <c r="BF1036" s="5">
        <v>0</v>
      </c>
      <c r="BH1036" s="5">
        <v>0</v>
      </c>
      <c r="BI1036" s="5">
        <v>0</v>
      </c>
      <c r="BL1036" s="5">
        <v>0</v>
      </c>
      <c r="BM1036" s="5">
        <v>10</v>
      </c>
      <c r="BN1036" s="5" t="s">
        <v>86</v>
      </c>
      <c r="CD1036" s="5">
        <v>0</v>
      </c>
      <c r="CF1036" s="1442" t="str">
        <f>IF([1]!sommaire[[#This Row],[présence des personnes déplacés interne]]="Oui","1","0")</f>
        <v>1</v>
      </c>
      <c r="CG1036" s="1442" t="str">
        <f>IF([1]!sommaire[[#This Row],[présence Réfugié hors camp]]="Oui","1","0")</f>
        <v>1</v>
      </c>
      <c r="CH1036" s="1442" t="str">
        <f>IF([1]!sommaire[[#This Row],[présence personnes retournées]]="Oui","1","0")</f>
        <v>0</v>
      </c>
      <c r="CI1036" s="1442">
        <f>[1]!sommaire[[#This Row],[Flag PDI]]+[1]!sommaire[[#This Row],[Flag REF]]+[1]!sommaire[[#This Row],[Flag RET]]</f>
        <v>2</v>
      </c>
    </row>
    <row r="1037" spans="1:87" ht="14.55" customHeight="1" x14ac:dyDescent="0.3">
      <c r="A1037" s="390">
        <v>2630609</v>
      </c>
      <c r="B1037" s="5" t="s">
        <v>533</v>
      </c>
      <c r="C1037" s="1430" t="s">
        <v>3449</v>
      </c>
      <c r="D1037" s="5" t="s">
        <v>534</v>
      </c>
      <c r="E1037" s="5" t="s">
        <v>34</v>
      </c>
      <c r="F1037" s="5" t="s">
        <v>34</v>
      </c>
      <c r="G1037" s="5" t="s">
        <v>539</v>
      </c>
      <c r="H1037" s="5" t="s">
        <v>188</v>
      </c>
      <c r="I1037" s="5" t="str">
        <f>_xlfn.XLOOKUP(sommaire[[#This Row],[Arrondissement_code]],OCHA_GIS!$F:$F,OCHA_GIS!$E:$E,,)</f>
        <v>Mora</v>
      </c>
      <c r="J1037" s="5" t="s">
        <v>546</v>
      </c>
      <c r="K1037" t="s">
        <v>1421</v>
      </c>
      <c r="L1037" s="5" t="s">
        <v>1632</v>
      </c>
      <c r="N1037" s="5" t="s">
        <v>3053</v>
      </c>
      <c r="O1037" s="5" t="s">
        <v>2467</v>
      </c>
      <c r="P1037" s="5" t="s">
        <v>85</v>
      </c>
      <c r="Q1037" s="5" t="s">
        <v>86</v>
      </c>
      <c r="R1037" s="5" t="s">
        <v>85</v>
      </c>
      <c r="T1037" s="390">
        <v>5</v>
      </c>
      <c r="U1037" s="5" t="s">
        <v>97</v>
      </c>
      <c r="W1037" s="5" t="s">
        <v>2468</v>
      </c>
      <c r="X1037" s="5" t="s">
        <v>102</v>
      </c>
      <c r="AA1037" s="5" t="s">
        <v>85</v>
      </c>
      <c r="AB1037" s="5" t="s">
        <v>2469</v>
      </c>
      <c r="AC1037" s="5" t="s">
        <v>2470</v>
      </c>
      <c r="AD1037" s="5" t="s">
        <v>86</v>
      </c>
      <c r="AF1037" s="5">
        <v>23</v>
      </c>
      <c r="AG1037" s="5">
        <v>2620</v>
      </c>
      <c r="AH1037" s="5" t="s">
        <v>85</v>
      </c>
      <c r="AI1037" s="5" t="s">
        <v>2485</v>
      </c>
      <c r="AJ1037" s="5">
        <v>23</v>
      </c>
      <c r="AK1037" s="5">
        <v>160</v>
      </c>
      <c r="AL1037" s="5">
        <v>74</v>
      </c>
      <c r="AM1037" s="5">
        <v>86</v>
      </c>
      <c r="AN1037" s="5">
        <v>0</v>
      </c>
      <c r="AO1037" s="5">
        <v>23</v>
      </c>
      <c r="AP1037" s="5">
        <v>0</v>
      </c>
      <c r="AQ1037" s="5">
        <v>0</v>
      </c>
      <c r="AT1037" s="5">
        <v>0</v>
      </c>
      <c r="AU1037" s="5">
        <v>0</v>
      </c>
      <c r="AX1037" s="5">
        <v>0</v>
      </c>
      <c r="AY1037" s="5" t="s">
        <v>85</v>
      </c>
      <c r="AZ1037" s="5">
        <v>7</v>
      </c>
      <c r="BA1037" s="5">
        <v>85</v>
      </c>
      <c r="BB1037" s="5">
        <v>39</v>
      </c>
      <c r="BC1037" s="5">
        <v>46</v>
      </c>
      <c r="BD1037" s="5">
        <v>0</v>
      </c>
      <c r="BE1037" s="5">
        <v>0</v>
      </c>
      <c r="BF1037" s="5">
        <v>7</v>
      </c>
      <c r="BG1037" s="5" t="s">
        <v>2472</v>
      </c>
      <c r="BH1037" s="5">
        <v>0</v>
      </c>
      <c r="BI1037" s="5">
        <v>0</v>
      </c>
      <c r="BL1037" s="5">
        <v>0</v>
      </c>
      <c r="BM1037" s="5">
        <v>0</v>
      </c>
      <c r="BN1037" s="5" t="s">
        <v>86</v>
      </c>
      <c r="CD1037" s="5">
        <v>0</v>
      </c>
      <c r="CF1037" s="1442" t="str">
        <f>IF([1]!sommaire[[#This Row],[présence des personnes déplacés interne]]="Oui","1","0")</f>
        <v>1</v>
      </c>
      <c r="CG1037" s="1442" t="str">
        <f>IF([1]!sommaire[[#This Row],[présence Réfugié hors camp]]="Oui","1","0")</f>
        <v>1</v>
      </c>
      <c r="CH1037" s="1442" t="str">
        <f>IF([1]!sommaire[[#This Row],[présence personnes retournées]]="Oui","1","0")</f>
        <v>0</v>
      </c>
      <c r="CI1037" s="1442">
        <f>[1]!sommaire[[#This Row],[Flag PDI]]+[1]!sommaire[[#This Row],[Flag REF]]+[1]!sommaire[[#This Row],[Flag RET]]</f>
        <v>2</v>
      </c>
    </row>
    <row r="1038" spans="1:87" ht="14.55" customHeight="1" x14ac:dyDescent="0.3">
      <c r="A1038" s="390">
        <v>2653681</v>
      </c>
      <c r="B1038" s="5" t="s">
        <v>533</v>
      </c>
      <c r="C1038" s="1430" t="s">
        <v>3449</v>
      </c>
      <c r="D1038" s="5" t="s">
        <v>534</v>
      </c>
      <c r="E1038" s="5" t="s">
        <v>34</v>
      </c>
      <c r="F1038" s="5" t="s">
        <v>34</v>
      </c>
      <c r="G1038" s="5" t="s">
        <v>539</v>
      </c>
      <c r="H1038" s="5" t="s">
        <v>188</v>
      </c>
      <c r="I1038" s="5" t="str">
        <f>_xlfn.XLOOKUP(sommaire[[#This Row],[Arrondissement_code]],OCHA_GIS!$F:$F,OCHA_GIS!$E:$E,,)</f>
        <v>Mora</v>
      </c>
      <c r="J1038" s="5" t="s">
        <v>546</v>
      </c>
      <c r="K1038" t="s">
        <v>3014</v>
      </c>
      <c r="L1038" s="5" t="s">
        <v>1186</v>
      </c>
      <c r="N1038" s="5" t="s">
        <v>3053</v>
      </c>
      <c r="O1038" s="5" t="s">
        <v>2467</v>
      </c>
      <c r="P1038" s="5" t="s">
        <v>85</v>
      </c>
      <c r="Q1038" s="5" t="s">
        <v>86</v>
      </c>
      <c r="R1038" s="5" t="s">
        <v>85</v>
      </c>
      <c r="T1038" s="390">
        <v>3</v>
      </c>
      <c r="U1038" s="5" t="s">
        <v>97</v>
      </c>
      <c r="W1038" s="5" t="s">
        <v>2468</v>
      </c>
      <c r="X1038" s="5" t="s">
        <v>102</v>
      </c>
      <c r="AA1038" s="5" t="s">
        <v>85</v>
      </c>
      <c r="AB1038" s="5" t="s">
        <v>2469</v>
      </c>
      <c r="AC1038" s="5" t="s">
        <v>2470</v>
      </c>
      <c r="AD1038" s="5" t="s">
        <v>86</v>
      </c>
      <c r="AF1038" s="5">
        <v>188</v>
      </c>
      <c r="AG1038" s="5">
        <v>2448</v>
      </c>
      <c r="AH1038" s="5" t="s">
        <v>85</v>
      </c>
      <c r="AI1038" s="5" t="s">
        <v>2471</v>
      </c>
      <c r="AJ1038" s="5">
        <v>188</v>
      </c>
      <c r="AK1038" s="5">
        <v>895</v>
      </c>
      <c r="AL1038" s="5">
        <v>289</v>
      </c>
      <c r="AM1038" s="5">
        <v>606</v>
      </c>
      <c r="AN1038" s="5">
        <v>75</v>
      </c>
      <c r="AO1038" s="5">
        <v>98</v>
      </c>
      <c r="AP1038" s="5">
        <v>0</v>
      </c>
      <c r="AQ1038" s="5">
        <v>0</v>
      </c>
      <c r="AT1038" s="5">
        <v>0</v>
      </c>
      <c r="AU1038" s="5">
        <v>15</v>
      </c>
      <c r="AV1038" s="5" t="s">
        <v>3168</v>
      </c>
      <c r="AX1038" s="5">
        <v>0</v>
      </c>
      <c r="AY1038" s="5" t="s">
        <v>85</v>
      </c>
      <c r="AZ1038" s="5">
        <v>10</v>
      </c>
      <c r="BA1038" s="5">
        <v>47</v>
      </c>
      <c r="BB1038" s="5">
        <v>17</v>
      </c>
      <c r="BC1038" s="5">
        <v>30</v>
      </c>
      <c r="BD1038" s="5">
        <v>7</v>
      </c>
      <c r="BE1038" s="5">
        <v>0</v>
      </c>
      <c r="BF1038" s="5">
        <v>0</v>
      </c>
      <c r="BH1038" s="5">
        <v>0</v>
      </c>
      <c r="BI1038" s="5">
        <v>3</v>
      </c>
      <c r="BJ1038" s="5" t="s">
        <v>2478</v>
      </c>
      <c r="BL1038" s="5">
        <v>0</v>
      </c>
      <c r="BM1038" s="5">
        <v>0</v>
      </c>
      <c r="BN1038" s="5" t="s">
        <v>85</v>
      </c>
      <c r="BO1038" s="5">
        <v>140</v>
      </c>
      <c r="BP1038" s="5">
        <v>851</v>
      </c>
      <c r="BQ1038" s="5">
        <v>350</v>
      </c>
      <c r="BR1038" s="5">
        <v>501</v>
      </c>
      <c r="BS1038" s="5" t="s">
        <v>2535</v>
      </c>
      <c r="BT1038" s="5">
        <v>120</v>
      </c>
      <c r="BU1038" s="5">
        <v>0</v>
      </c>
      <c r="BV1038" s="5">
        <v>20</v>
      </c>
      <c r="BW1038" s="5">
        <v>0</v>
      </c>
      <c r="BX1038" s="5">
        <v>0</v>
      </c>
      <c r="BZ1038" s="5">
        <v>0</v>
      </c>
      <c r="CA1038" s="5">
        <v>0</v>
      </c>
      <c r="CC1038" s="5">
        <v>0</v>
      </c>
      <c r="CD1038" s="5">
        <v>0</v>
      </c>
      <c r="CF1038" s="1442" t="str">
        <f>IF([1]!sommaire[[#This Row],[présence des personnes déplacés interne]]="Oui","1","0")</f>
        <v>1</v>
      </c>
      <c r="CG1038" s="1442" t="str">
        <f>IF([1]!sommaire[[#This Row],[présence Réfugié hors camp]]="Oui","1","0")</f>
        <v>1</v>
      </c>
      <c r="CH1038" s="1442" t="str">
        <f>IF([1]!sommaire[[#This Row],[présence personnes retournées]]="Oui","1","0")</f>
        <v>1</v>
      </c>
      <c r="CI1038" s="1442">
        <f>[1]!sommaire[[#This Row],[Flag PDI]]+[1]!sommaire[[#This Row],[Flag REF]]+[1]!sommaire[[#This Row],[Flag RET]]</f>
        <v>3</v>
      </c>
    </row>
    <row r="1039" spans="1:87" ht="14.55" customHeight="1" x14ac:dyDescent="0.3">
      <c r="A1039" s="390">
        <v>2648209</v>
      </c>
      <c r="B1039" s="5" t="s">
        <v>533</v>
      </c>
      <c r="C1039" s="1430" t="s">
        <v>3449</v>
      </c>
      <c r="D1039" s="5" t="s">
        <v>534</v>
      </c>
      <c r="E1039" s="5" t="s">
        <v>34</v>
      </c>
      <c r="F1039" s="5" t="s">
        <v>34</v>
      </c>
      <c r="G1039" s="5" t="s">
        <v>539</v>
      </c>
      <c r="H1039" s="5" t="s">
        <v>188</v>
      </c>
      <c r="I1039" s="5" t="str">
        <f>_xlfn.XLOOKUP(sommaire[[#This Row],[Arrondissement_code]],OCHA_GIS!$F:$F,OCHA_GIS!$E:$E,,)</f>
        <v>Mora</v>
      </c>
      <c r="J1039" s="5" t="s">
        <v>546</v>
      </c>
      <c r="K1039" t="s">
        <v>2796</v>
      </c>
      <c r="L1039" s="5" t="s">
        <v>646</v>
      </c>
      <c r="N1039" s="5" t="s">
        <v>3053</v>
      </c>
      <c r="O1039" s="5" t="s">
        <v>2467</v>
      </c>
      <c r="P1039" s="5" t="s">
        <v>85</v>
      </c>
      <c r="Q1039" s="5" t="s">
        <v>86</v>
      </c>
      <c r="R1039" s="5" t="s">
        <v>85</v>
      </c>
      <c r="T1039" s="390">
        <v>4</v>
      </c>
      <c r="U1039" s="5" t="s">
        <v>97</v>
      </c>
      <c r="W1039" s="5" t="s">
        <v>2468</v>
      </c>
      <c r="X1039" s="5" t="s">
        <v>102</v>
      </c>
      <c r="AA1039" s="5" t="s">
        <v>85</v>
      </c>
      <c r="AB1039" s="5" t="s">
        <v>2469</v>
      </c>
      <c r="AC1039" s="5" t="s">
        <v>2470</v>
      </c>
      <c r="AD1039" s="5" t="s">
        <v>86</v>
      </c>
      <c r="AF1039" s="5">
        <v>470</v>
      </c>
      <c r="AG1039" s="5">
        <v>3470</v>
      </c>
      <c r="AH1039" s="5" t="s">
        <v>85</v>
      </c>
      <c r="AI1039" s="5" t="s">
        <v>2471</v>
      </c>
      <c r="AJ1039" s="5">
        <v>470</v>
      </c>
      <c r="AK1039" s="5">
        <v>1733</v>
      </c>
      <c r="AL1039" s="5">
        <v>604</v>
      </c>
      <c r="AM1039" s="5">
        <v>1129</v>
      </c>
      <c r="AN1039" s="5">
        <v>25</v>
      </c>
      <c r="AO1039" s="5">
        <v>125</v>
      </c>
      <c r="AP1039" s="5">
        <v>0</v>
      </c>
      <c r="AQ1039" s="5">
        <v>87</v>
      </c>
      <c r="AR1039" s="5" t="s">
        <v>2477</v>
      </c>
      <c r="AT1039" s="5">
        <v>0</v>
      </c>
      <c r="AU1039" s="5">
        <v>233</v>
      </c>
      <c r="AV1039" s="5" t="s">
        <v>2474</v>
      </c>
      <c r="AX1039" s="5">
        <v>0</v>
      </c>
      <c r="AY1039" s="5" t="s">
        <v>86</v>
      </c>
      <c r="BN1039" s="5" t="s">
        <v>85</v>
      </c>
      <c r="BO1039" s="5">
        <v>157</v>
      </c>
      <c r="BP1039" s="5">
        <v>670</v>
      </c>
      <c r="BQ1039" s="5">
        <v>238</v>
      </c>
      <c r="BR1039" s="5">
        <v>432</v>
      </c>
      <c r="BS1039" s="5" t="s">
        <v>2535</v>
      </c>
      <c r="BT1039" s="5">
        <v>57</v>
      </c>
      <c r="BU1039" s="5">
        <v>0</v>
      </c>
      <c r="BV1039" s="5">
        <v>100</v>
      </c>
      <c r="BW1039" s="5">
        <v>0</v>
      </c>
      <c r="BX1039" s="5">
        <v>0</v>
      </c>
      <c r="BZ1039" s="5">
        <v>0</v>
      </c>
      <c r="CA1039" s="5">
        <v>0</v>
      </c>
      <c r="CC1039" s="5">
        <v>0</v>
      </c>
      <c r="CD1039" s="5">
        <v>0</v>
      </c>
      <c r="CF1039" s="1442" t="str">
        <f>IF([1]!sommaire[[#This Row],[présence des personnes déplacés interne]]="Oui","1","0")</f>
        <v>1</v>
      </c>
      <c r="CG1039" s="1442" t="str">
        <f>IF([1]!sommaire[[#This Row],[présence Réfugié hors camp]]="Oui","1","0")</f>
        <v>0</v>
      </c>
      <c r="CH1039" s="1442" t="str">
        <f>IF([1]!sommaire[[#This Row],[présence personnes retournées]]="Oui","1","0")</f>
        <v>1</v>
      </c>
      <c r="CI1039" s="1442">
        <f>[1]!sommaire[[#This Row],[Flag PDI]]+[1]!sommaire[[#This Row],[Flag REF]]+[1]!sommaire[[#This Row],[Flag RET]]</f>
        <v>2</v>
      </c>
    </row>
    <row r="1040" spans="1:87" ht="14.55" customHeight="1" x14ac:dyDescent="0.3">
      <c r="A1040" s="390">
        <v>2598231</v>
      </c>
      <c r="B1040" s="5" t="s">
        <v>533</v>
      </c>
      <c r="C1040" s="1430" t="s">
        <v>3449</v>
      </c>
      <c r="D1040" s="5" t="s">
        <v>534</v>
      </c>
      <c r="E1040" s="5" t="s">
        <v>34</v>
      </c>
      <c r="F1040" s="5" t="s">
        <v>34</v>
      </c>
      <c r="G1040" s="5" t="s">
        <v>539</v>
      </c>
      <c r="H1040" s="5" t="s">
        <v>188</v>
      </c>
      <c r="I1040" s="5" t="str">
        <f>_xlfn.XLOOKUP(sommaire[[#This Row],[Arrondissement_code]],OCHA_GIS!$F:$F,OCHA_GIS!$E:$E,,)</f>
        <v>Mora</v>
      </c>
      <c r="J1040" s="5" t="s">
        <v>546</v>
      </c>
      <c r="K1040" t="s">
        <v>1437</v>
      </c>
      <c r="L1040" s="5" t="s">
        <v>554</v>
      </c>
      <c r="N1040" s="5" t="s">
        <v>3053</v>
      </c>
      <c r="O1040" s="5" t="s">
        <v>2467</v>
      </c>
      <c r="P1040" s="5" t="s">
        <v>85</v>
      </c>
      <c r="Q1040" s="5" t="s">
        <v>86</v>
      </c>
      <c r="R1040" s="5" t="s">
        <v>85</v>
      </c>
      <c r="T1040" s="390">
        <v>4</v>
      </c>
      <c r="U1040" s="5" t="s">
        <v>97</v>
      </c>
      <c r="W1040" s="5" t="s">
        <v>2468</v>
      </c>
      <c r="X1040" s="5" t="s">
        <v>102</v>
      </c>
      <c r="AA1040" s="5" t="s">
        <v>85</v>
      </c>
      <c r="AB1040" s="5" t="s">
        <v>2469</v>
      </c>
      <c r="AC1040" s="5" t="s">
        <v>2473</v>
      </c>
      <c r="AD1040" s="5" t="s">
        <v>86</v>
      </c>
      <c r="AF1040" s="5">
        <v>7</v>
      </c>
      <c r="AG1040" s="5">
        <v>2392</v>
      </c>
      <c r="AH1040" s="5" t="s">
        <v>85</v>
      </c>
      <c r="AI1040" s="5" t="s">
        <v>2471</v>
      </c>
      <c r="AJ1040" s="5">
        <v>7</v>
      </c>
      <c r="AK1040" s="5">
        <v>41</v>
      </c>
      <c r="AL1040" s="5">
        <v>14</v>
      </c>
      <c r="AM1040" s="5">
        <v>27</v>
      </c>
      <c r="AN1040" s="5">
        <v>0</v>
      </c>
      <c r="AO1040" s="5">
        <v>0</v>
      </c>
      <c r="AP1040" s="5">
        <v>0</v>
      </c>
      <c r="AQ1040" s="5">
        <v>0</v>
      </c>
      <c r="AT1040" s="5">
        <v>0</v>
      </c>
      <c r="AU1040" s="5">
        <v>7</v>
      </c>
      <c r="AV1040" s="5" t="s">
        <v>2490</v>
      </c>
      <c r="AX1040" s="5">
        <v>0</v>
      </c>
      <c r="AY1040" s="5" t="s">
        <v>85</v>
      </c>
      <c r="AZ1040" s="5">
        <v>42</v>
      </c>
      <c r="BA1040" s="5">
        <v>363</v>
      </c>
      <c r="BB1040" s="5">
        <v>178</v>
      </c>
      <c r="BC1040" s="5">
        <v>185</v>
      </c>
      <c r="BD1040" s="5">
        <v>0</v>
      </c>
      <c r="BE1040" s="5">
        <v>0</v>
      </c>
      <c r="BF1040" s="5">
        <v>0</v>
      </c>
      <c r="BH1040" s="5">
        <v>0</v>
      </c>
      <c r="BI1040" s="5">
        <v>42</v>
      </c>
      <c r="BJ1040" s="5" t="s">
        <v>2475</v>
      </c>
      <c r="BL1040" s="5">
        <v>0</v>
      </c>
      <c r="BM1040" s="5">
        <v>42</v>
      </c>
      <c r="BN1040" s="5" t="s">
        <v>86</v>
      </c>
      <c r="CD1040" s="5">
        <v>0</v>
      </c>
      <c r="CF1040" s="1442" t="str">
        <f>IF([1]!sommaire[[#This Row],[présence des personnes déplacés interne]]="Oui","1","0")</f>
        <v>1</v>
      </c>
      <c r="CG1040" s="1442" t="str">
        <f>IF([1]!sommaire[[#This Row],[présence Réfugié hors camp]]="Oui","1","0")</f>
        <v>1</v>
      </c>
      <c r="CH1040" s="1442" t="str">
        <f>IF([1]!sommaire[[#This Row],[présence personnes retournées]]="Oui","1","0")</f>
        <v>0</v>
      </c>
      <c r="CI1040" s="1442">
        <f>[1]!sommaire[[#This Row],[Flag PDI]]+[1]!sommaire[[#This Row],[Flag REF]]+[1]!sommaire[[#This Row],[Flag RET]]</f>
        <v>2</v>
      </c>
    </row>
    <row r="1041" spans="1:87" ht="14.55" customHeight="1" x14ac:dyDescent="0.3">
      <c r="A1041" s="390">
        <v>2596748</v>
      </c>
      <c r="B1041" s="5" t="s">
        <v>533</v>
      </c>
      <c r="C1041" s="1430" t="s">
        <v>3449</v>
      </c>
      <c r="D1041" s="5" t="s">
        <v>534</v>
      </c>
      <c r="E1041" s="5" t="s">
        <v>34</v>
      </c>
      <c r="F1041" s="5" t="s">
        <v>34</v>
      </c>
      <c r="G1041" s="5" t="s">
        <v>539</v>
      </c>
      <c r="H1041" s="5" t="s">
        <v>188</v>
      </c>
      <c r="I1041" s="5" t="str">
        <f>_xlfn.XLOOKUP(sommaire[[#This Row],[Arrondissement_code]],OCHA_GIS!$F:$F,OCHA_GIS!$E:$E,,)</f>
        <v>Mora</v>
      </c>
      <c r="J1041" s="5" t="s">
        <v>546</v>
      </c>
      <c r="K1041" t="s">
        <v>610</v>
      </c>
      <c r="L1041" s="5" t="s">
        <v>1676</v>
      </c>
      <c r="N1041" s="5" t="s">
        <v>3053</v>
      </c>
      <c r="O1041" s="5" t="s">
        <v>2467</v>
      </c>
      <c r="P1041" s="5" t="s">
        <v>85</v>
      </c>
      <c r="Q1041" s="5" t="s">
        <v>86</v>
      </c>
      <c r="R1041" s="5" t="s">
        <v>85</v>
      </c>
      <c r="T1041" s="390">
        <v>4</v>
      </c>
      <c r="U1041" s="5" t="s">
        <v>97</v>
      </c>
      <c r="W1041" s="5" t="s">
        <v>2468</v>
      </c>
      <c r="X1041" s="5" t="s">
        <v>102</v>
      </c>
      <c r="AA1041" s="5" t="s">
        <v>85</v>
      </c>
      <c r="AB1041" s="5" t="s">
        <v>2469</v>
      </c>
      <c r="AC1041" s="5" t="s">
        <v>312</v>
      </c>
      <c r="AD1041" s="5" t="s">
        <v>86</v>
      </c>
      <c r="AF1041" s="5">
        <v>62</v>
      </c>
      <c r="AG1041" s="5">
        <v>2257</v>
      </c>
      <c r="AH1041" s="5" t="s">
        <v>85</v>
      </c>
      <c r="AI1041" s="5" t="s">
        <v>2471</v>
      </c>
      <c r="AJ1041" s="5">
        <v>62</v>
      </c>
      <c r="AK1041" s="5">
        <v>422</v>
      </c>
      <c r="AL1041" s="5">
        <v>164</v>
      </c>
      <c r="AM1041" s="5">
        <v>258</v>
      </c>
      <c r="AN1041" s="5">
        <v>0</v>
      </c>
      <c r="AO1041" s="5">
        <v>37</v>
      </c>
      <c r="AP1041" s="5">
        <v>0</v>
      </c>
      <c r="AQ1041" s="5">
        <v>25</v>
      </c>
      <c r="AR1041" s="5" t="s">
        <v>2472</v>
      </c>
      <c r="AT1041" s="5">
        <v>0</v>
      </c>
      <c r="AU1041" s="5">
        <v>0</v>
      </c>
      <c r="AX1041" s="5">
        <v>0</v>
      </c>
      <c r="AY1041" s="5" t="s">
        <v>86</v>
      </c>
      <c r="BN1041" s="5" t="s">
        <v>86</v>
      </c>
      <c r="CD1041" s="5">
        <v>0</v>
      </c>
      <c r="CF1041" s="1442" t="str">
        <f>IF([1]!sommaire[[#This Row],[présence des personnes déplacés interne]]="Oui","1","0")</f>
        <v>1</v>
      </c>
      <c r="CG1041" s="1442" t="str">
        <f>IF([1]!sommaire[[#This Row],[présence Réfugié hors camp]]="Oui","1","0")</f>
        <v>0</v>
      </c>
      <c r="CH1041" s="1442" t="str">
        <f>IF([1]!sommaire[[#This Row],[présence personnes retournées]]="Oui","1","0")</f>
        <v>0</v>
      </c>
      <c r="CI1041" s="1442">
        <f>[1]!sommaire[[#This Row],[Flag PDI]]+[1]!sommaire[[#This Row],[Flag REF]]+[1]!sommaire[[#This Row],[Flag RET]]</f>
        <v>1</v>
      </c>
    </row>
    <row r="1042" spans="1:87" ht="14.55" customHeight="1" x14ac:dyDescent="0.3">
      <c r="A1042" s="390">
        <v>2658463</v>
      </c>
      <c r="B1042" s="5" t="s">
        <v>533</v>
      </c>
      <c r="C1042" s="1430" t="s">
        <v>3449</v>
      </c>
      <c r="D1042" s="5" t="s">
        <v>534</v>
      </c>
      <c r="E1042" s="5" t="s">
        <v>34</v>
      </c>
      <c r="F1042" s="5" t="s">
        <v>34</v>
      </c>
      <c r="G1042" s="5" t="s">
        <v>539</v>
      </c>
      <c r="H1042" s="5" t="s">
        <v>188</v>
      </c>
      <c r="I1042" s="5" t="str">
        <f>_xlfn.XLOOKUP(sommaire[[#This Row],[Arrondissement_code]],OCHA_GIS!$F:$F,OCHA_GIS!$E:$E,,)</f>
        <v>Mora</v>
      </c>
      <c r="J1042" s="5" t="s">
        <v>546</v>
      </c>
      <c r="K1042" t="s">
        <v>1491</v>
      </c>
      <c r="L1042" s="5" t="s">
        <v>754</v>
      </c>
      <c r="N1042" s="5" t="s">
        <v>3053</v>
      </c>
      <c r="O1042" s="5" t="s">
        <v>2467</v>
      </c>
      <c r="P1042" s="5" t="s">
        <v>85</v>
      </c>
      <c r="Q1042" s="5" t="s">
        <v>86</v>
      </c>
      <c r="R1042" s="5" t="s">
        <v>86</v>
      </c>
      <c r="T1042" s="390">
        <v>4</v>
      </c>
      <c r="U1042" s="5" t="s">
        <v>97</v>
      </c>
      <c r="W1042" s="5" t="s">
        <v>2468</v>
      </c>
      <c r="X1042" s="5" t="s">
        <v>102</v>
      </c>
      <c r="AA1042" s="5" t="s">
        <v>85</v>
      </c>
      <c r="AB1042" s="5" t="s">
        <v>2469</v>
      </c>
      <c r="AC1042" s="5" t="s">
        <v>2470</v>
      </c>
      <c r="AD1042" s="5" t="s">
        <v>86</v>
      </c>
      <c r="AF1042" s="5">
        <v>122</v>
      </c>
      <c r="AG1042" s="5">
        <v>2548</v>
      </c>
      <c r="AH1042" s="5" t="s">
        <v>85</v>
      </c>
      <c r="AI1042" s="5" t="s">
        <v>2471</v>
      </c>
      <c r="AJ1042" s="5">
        <v>122</v>
      </c>
      <c r="AK1042" s="5">
        <v>776</v>
      </c>
      <c r="AL1042" s="5">
        <v>310</v>
      </c>
      <c r="AM1042" s="5">
        <v>466</v>
      </c>
      <c r="AN1042" s="5">
        <v>2</v>
      </c>
      <c r="AO1042" s="5">
        <v>35</v>
      </c>
      <c r="AP1042" s="5">
        <v>75</v>
      </c>
      <c r="AQ1042" s="5">
        <v>10</v>
      </c>
      <c r="AR1042" s="5" t="s">
        <v>2477</v>
      </c>
      <c r="AT1042" s="5">
        <v>0</v>
      </c>
      <c r="AU1042" s="5">
        <v>0</v>
      </c>
      <c r="AX1042" s="5">
        <v>0</v>
      </c>
      <c r="AY1042" s="5" t="s">
        <v>86</v>
      </c>
      <c r="BN1042" s="5" t="s">
        <v>86</v>
      </c>
      <c r="CD1042" s="5">
        <v>0</v>
      </c>
      <c r="CF1042" s="1442" t="str">
        <f>IF([1]!sommaire[[#This Row],[présence des personnes déplacés interne]]="Oui","1","0")</f>
        <v>1</v>
      </c>
      <c r="CG1042" s="1442" t="str">
        <f>IF([1]!sommaire[[#This Row],[présence Réfugié hors camp]]="Oui","1","0")</f>
        <v>0</v>
      </c>
      <c r="CH1042" s="1442" t="str">
        <f>IF([1]!sommaire[[#This Row],[présence personnes retournées]]="Oui","1","0")</f>
        <v>0</v>
      </c>
      <c r="CI1042" s="1442">
        <f>[1]!sommaire[[#This Row],[Flag PDI]]+[1]!sommaire[[#This Row],[Flag REF]]+[1]!sommaire[[#This Row],[Flag RET]]</f>
        <v>1</v>
      </c>
    </row>
    <row r="1043" spans="1:87" ht="14.55" customHeight="1" x14ac:dyDescent="0.3">
      <c r="A1043" s="390">
        <v>2620194</v>
      </c>
      <c r="B1043" s="5" t="s">
        <v>533</v>
      </c>
      <c r="C1043" s="1430" t="s">
        <v>3449</v>
      </c>
      <c r="D1043" s="5" t="s">
        <v>534</v>
      </c>
      <c r="E1043" s="5" t="s">
        <v>34</v>
      </c>
      <c r="F1043" s="5" t="s">
        <v>34</v>
      </c>
      <c r="G1043" s="5" t="s">
        <v>539</v>
      </c>
      <c r="H1043" s="5" t="s">
        <v>188</v>
      </c>
      <c r="I1043" s="5" t="str">
        <f>_xlfn.XLOOKUP(sommaire[[#This Row],[Arrondissement_code]],OCHA_GIS!$F:$F,OCHA_GIS!$E:$E,,)</f>
        <v>Mora</v>
      </c>
      <c r="J1043" s="5" t="s">
        <v>546</v>
      </c>
      <c r="K1043" t="s">
        <v>987</v>
      </c>
      <c r="L1043" s="5" t="s">
        <v>611</v>
      </c>
      <c r="N1043" s="5" t="s">
        <v>3053</v>
      </c>
      <c r="O1043" s="5" t="s">
        <v>2467</v>
      </c>
      <c r="P1043" s="5" t="s">
        <v>85</v>
      </c>
      <c r="Q1043" s="5" t="s">
        <v>86</v>
      </c>
      <c r="R1043" s="5" t="s">
        <v>85</v>
      </c>
      <c r="T1043" s="390">
        <v>4</v>
      </c>
      <c r="U1043" s="5" t="s">
        <v>97</v>
      </c>
      <c r="W1043" s="5" t="s">
        <v>2468</v>
      </c>
      <c r="X1043" s="5" t="s">
        <v>102</v>
      </c>
      <c r="AA1043" s="5" t="s">
        <v>85</v>
      </c>
      <c r="AB1043" s="5" t="s">
        <v>2469</v>
      </c>
      <c r="AC1043" s="5" t="s">
        <v>2470</v>
      </c>
      <c r="AD1043" s="5" t="s">
        <v>86</v>
      </c>
      <c r="AF1043" s="5">
        <v>374</v>
      </c>
      <c r="AG1043" s="5">
        <v>3679</v>
      </c>
      <c r="AH1043" s="5" t="s">
        <v>85</v>
      </c>
      <c r="AI1043" s="5" t="s">
        <v>2471</v>
      </c>
      <c r="AJ1043" s="5">
        <v>374</v>
      </c>
      <c r="AK1043" s="5">
        <v>2199</v>
      </c>
      <c r="AL1043" s="5">
        <v>707</v>
      </c>
      <c r="AM1043" s="5">
        <v>1492</v>
      </c>
      <c r="AN1043" s="5">
        <v>0</v>
      </c>
      <c r="AO1043" s="5">
        <v>355</v>
      </c>
      <c r="AP1043" s="5">
        <v>10</v>
      </c>
      <c r="AQ1043" s="5">
        <v>9</v>
      </c>
      <c r="AR1043" s="5" t="s">
        <v>2477</v>
      </c>
      <c r="AT1043" s="5">
        <v>0</v>
      </c>
      <c r="AU1043" s="5">
        <v>0</v>
      </c>
      <c r="AX1043" s="5">
        <v>0</v>
      </c>
      <c r="AY1043" s="5" t="s">
        <v>86</v>
      </c>
      <c r="BN1043" s="5" t="s">
        <v>86</v>
      </c>
      <c r="CD1043" s="5">
        <v>0</v>
      </c>
      <c r="CF1043" s="1442" t="str">
        <f>IF([1]!sommaire[[#This Row],[présence des personnes déplacés interne]]="Oui","1","0")</f>
        <v>1</v>
      </c>
      <c r="CG1043" s="1442" t="str">
        <f>IF([1]!sommaire[[#This Row],[présence Réfugié hors camp]]="Oui","1","0")</f>
        <v>0</v>
      </c>
      <c r="CH1043" s="1442" t="str">
        <f>IF([1]!sommaire[[#This Row],[présence personnes retournées]]="Oui","1","0")</f>
        <v>0</v>
      </c>
      <c r="CI1043" s="1442">
        <f>[1]!sommaire[[#This Row],[Flag PDI]]+[1]!sommaire[[#This Row],[Flag REF]]+[1]!sommaire[[#This Row],[Flag RET]]</f>
        <v>1</v>
      </c>
    </row>
    <row r="1044" spans="1:87" ht="14.55" customHeight="1" x14ac:dyDescent="0.3">
      <c r="A1044" s="390">
        <v>2656673</v>
      </c>
      <c r="B1044" s="5" t="s">
        <v>533</v>
      </c>
      <c r="C1044" s="1430" t="s">
        <v>3449</v>
      </c>
      <c r="D1044" s="5" t="s">
        <v>534</v>
      </c>
      <c r="E1044" s="5" t="s">
        <v>34</v>
      </c>
      <c r="F1044" s="5" t="s">
        <v>34</v>
      </c>
      <c r="G1044" s="5" t="s">
        <v>539</v>
      </c>
      <c r="H1044" s="5" t="s">
        <v>188</v>
      </c>
      <c r="I1044" s="5" t="str">
        <f>_xlfn.XLOOKUP(sommaire[[#This Row],[Arrondissement_code]],OCHA_GIS!$F:$F,OCHA_GIS!$E:$E,,)</f>
        <v>Mora</v>
      </c>
      <c r="J1044" s="5" t="s">
        <v>546</v>
      </c>
      <c r="K1044" t="s">
        <v>547</v>
      </c>
      <c r="L1044" s="5" t="s">
        <v>1332</v>
      </c>
      <c r="N1044" s="5" t="s">
        <v>3053</v>
      </c>
      <c r="O1044" s="5" t="s">
        <v>2467</v>
      </c>
      <c r="P1044" s="5" t="s">
        <v>85</v>
      </c>
      <c r="Q1044" s="5" t="s">
        <v>86</v>
      </c>
      <c r="R1044" s="5" t="s">
        <v>85</v>
      </c>
      <c r="T1044" s="390">
        <v>3</v>
      </c>
      <c r="U1044" s="5" t="s">
        <v>97</v>
      </c>
      <c r="W1044" s="5" t="s">
        <v>2468</v>
      </c>
      <c r="X1044" s="5" t="s">
        <v>103</v>
      </c>
      <c r="Y1044" s="5" t="s">
        <v>2511</v>
      </c>
      <c r="AA1044" s="5" t="s">
        <v>85</v>
      </c>
      <c r="AB1044" s="5" t="s">
        <v>2469</v>
      </c>
      <c r="AC1044" s="5" t="s">
        <v>2470</v>
      </c>
      <c r="AD1044" s="5" t="s">
        <v>86</v>
      </c>
      <c r="AF1044" s="5">
        <v>10</v>
      </c>
      <c r="AG1044" s="5">
        <v>2284</v>
      </c>
      <c r="AH1044" s="5" t="s">
        <v>85</v>
      </c>
      <c r="AI1044" s="5" t="s">
        <v>2485</v>
      </c>
      <c r="AJ1044" s="5">
        <v>10</v>
      </c>
      <c r="AK1044" s="5">
        <v>78</v>
      </c>
      <c r="AL1044" s="5">
        <v>30</v>
      </c>
      <c r="AM1044" s="5">
        <v>48</v>
      </c>
      <c r="AN1044" s="5">
        <v>0</v>
      </c>
      <c r="AO1044" s="5">
        <v>10</v>
      </c>
      <c r="AP1044" s="5">
        <v>0</v>
      </c>
      <c r="AQ1044" s="5">
        <v>0</v>
      </c>
      <c r="AT1044" s="5">
        <v>0</v>
      </c>
      <c r="AU1044" s="5">
        <v>0</v>
      </c>
      <c r="AX1044" s="5">
        <v>0</v>
      </c>
      <c r="AY1044" s="5" t="s">
        <v>86</v>
      </c>
      <c r="BN1044" s="5" t="s">
        <v>85</v>
      </c>
      <c r="BO1044" s="5">
        <v>195</v>
      </c>
      <c r="BP1044" s="5">
        <v>1222</v>
      </c>
      <c r="BQ1044" s="5">
        <v>495</v>
      </c>
      <c r="BR1044" s="5">
        <v>727</v>
      </c>
      <c r="BS1044" s="5" t="s">
        <v>2535</v>
      </c>
      <c r="BT1044" s="5">
        <v>195</v>
      </c>
      <c r="BU1044" s="5">
        <v>0</v>
      </c>
      <c r="BV1044" s="5">
        <v>0</v>
      </c>
      <c r="BW1044" s="5">
        <v>0</v>
      </c>
      <c r="BX1044" s="5">
        <v>0</v>
      </c>
      <c r="BZ1044" s="5">
        <v>0</v>
      </c>
      <c r="CA1044" s="5">
        <v>0</v>
      </c>
      <c r="CC1044" s="5">
        <v>0</v>
      </c>
      <c r="CD1044" s="5">
        <v>0</v>
      </c>
      <c r="CF1044" s="1442" t="str">
        <f>IF([1]!sommaire[[#This Row],[présence des personnes déplacés interne]]="Oui","1","0")</f>
        <v>1</v>
      </c>
      <c r="CG1044" s="1442" t="str">
        <f>IF([1]!sommaire[[#This Row],[présence Réfugié hors camp]]="Oui","1","0")</f>
        <v>0</v>
      </c>
      <c r="CH1044" s="1442" t="str">
        <f>IF([1]!sommaire[[#This Row],[présence personnes retournées]]="Oui","1","0")</f>
        <v>1</v>
      </c>
      <c r="CI1044" s="1442">
        <f>[1]!sommaire[[#This Row],[Flag PDI]]+[1]!sommaire[[#This Row],[Flag REF]]+[1]!sommaire[[#This Row],[Flag RET]]</f>
        <v>2</v>
      </c>
    </row>
    <row r="1045" spans="1:87" ht="14.55" customHeight="1" x14ac:dyDescent="0.3">
      <c r="A1045" s="390">
        <v>2658460</v>
      </c>
      <c r="B1045" s="5" t="s">
        <v>533</v>
      </c>
      <c r="C1045" s="1430" t="s">
        <v>3449</v>
      </c>
      <c r="D1045" s="5" t="s">
        <v>534</v>
      </c>
      <c r="E1045" s="5" t="s">
        <v>34</v>
      </c>
      <c r="F1045" s="5" t="s">
        <v>34</v>
      </c>
      <c r="G1045" s="5" t="s">
        <v>539</v>
      </c>
      <c r="H1045" s="5" t="s">
        <v>188</v>
      </c>
      <c r="I1045" s="5" t="str">
        <f>_xlfn.XLOOKUP(sommaire[[#This Row],[Arrondissement_code]],OCHA_GIS!$F:$F,OCHA_GIS!$E:$E,,)</f>
        <v>Mora</v>
      </c>
      <c r="J1045" s="5" t="s">
        <v>546</v>
      </c>
      <c r="K1045" t="s">
        <v>2662</v>
      </c>
      <c r="L1045" s="5" t="s">
        <v>1415</v>
      </c>
      <c r="N1045" s="5" t="s">
        <v>3052</v>
      </c>
      <c r="O1045" s="5" t="s">
        <v>2467</v>
      </c>
      <c r="P1045" s="5" t="s">
        <v>85</v>
      </c>
      <c r="Q1045" s="5" t="s">
        <v>86</v>
      </c>
      <c r="R1045" s="5" t="s">
        <v>86</v>
      </c>
      <c r="T1045" s="390">
        <v>3</v>
      </c>
      <c r="U1045" s="5" t="s">
        <v>97</v>
      </c>
      <c r="W1045" s="5" t="s">
        <v>2468</v>
      </c>
      <c r="X1045" s="5" t="s">
        <v>102</v>
      </c>
      <c r="AA1045" s="5" t="s">
        <v>85</v>
      </c>
      <c r="AB1045" s="5" t="s">
        <v>2469</v>
      </c>
      <c r="AC1045" s="5" t="s">
        <v>2470</v>
      </c>
      <c r="AD1045" s="5" t="s">
        <v>86</v>
      </c>
      <c r="AF1045" s="5">
        <v>42</v>
      </c>
      <c r="AG1045" s="5">
        <v>9727</v>
      </c>
      <c r="AH1045" s="5" t="s">
        <v>85</v>
      </c>
      <c r="AI1045" s="5" t="s">
        <v>2471</v>
      </c>
      <c r="AJ1045" s="5">
        <v>42</v>
      </c>
      <c r="AK1045" s="5">
        <v>486</v>
      </c>
      <c r="AL1045" s="5">
        <v>258</v>
      </c>
      <c r="AM1045" s="5">
        <v>228</v>
      </c>
      <c r="AN1045" s="5">
        <v>0</v>
      </c>
      <c r="AO1045" s="5">
        <v>35</v>
      </c>
      <c r="AP1045" s="5">
        <v>4</v>
      </c>
      <c r="AQ1045" s="5">
        <v>3</v>
      </c>
      <c r="AR1045" s="5" t="s">
        <v>2477</v>
      </c>
      <c r="AT1045" s="5">
        <v>0</v>
      </c>
      <c r="AU1045" s="5">
        <v>0</v>
      </c>
      <c r="AX1045" s="5">
        <v>0</v>
      </c>
      <c r="AY1045" s="5" t="s">
        <v>86</v>
      </c>
      <c r="BN1045" s="5" t="s">
        <v>86</v>
      </c>
      <c r="CD1045" s="5">
        <v>0</v>
      </c>
      <c r="CF1045" s="1442" t="str">
        <f>IF([1]!sommaire[[#This Row],[présence des personnes déplacés interne]]="Oui","1","0")</f>
        <v>1</v>
      </c>
      <c r="CG1045" s="1442" t="str">
        <f>IF([1]!sommaire[[#This Row],[présence Réfugié hors camp]]="Oui","1","0")</f>
        <v>0</v>
      </c>
      <c r="CH1045" s="1442" t="str">
        <f>IF([1]!sommaire[[#This Row],[présence personnes retournées]]="Oui","1","0")</f>
        <v>0</v>
      </c>
      <c r="CI1045" s="1442">
        <f>[1]!sommaire[[#This Row],[Flag PDI]]+[1]!sommaire[[#This Row],[Flag REF]]+[1]!sommaire[[#This Row],[Flag RET]]</f>
        <v>1</v>
      </c>
    </row>
    <row r="1046" spans="1:87" ht="14.55" customHeight="1" x14ac:dyDescent="0.3">
      <c r="A1046" s="390">
        <v>2612466</v>
      </c>
      <c r="B1046" s="5" t="s">
        <v>533</v>
      </c>
      <c r="C1046" s="1430" t="s">
        <v>3449</v>
      </c>
      <c r="D1046" s="5" t="s">
        <v>534</v>
      </c>
      <c r="E1046" s="5" t="s">
        <v>34</v>
      </c>
      <c r="F1046" s="5" t="s">
        <v>34</v>
      </c>
      <c r="G1046" s="5" t="s">
        <v>539</v>
      </c>
      <c r="H1046" s="5" t="s">
        <v>188</v>
      </c>
      <c r="I1046" s="5" t="str">
        <f>_xlfn.XLOOKUP(sommaire[[#This Row],[Arrondissement_code]],OCHA_GIS!$F:$F,OCHA_GIS!$E:$E,,)</f>
        <v>Mora</v>
      </c>
      <c r="J1046" s="5" t="s">
        <v>546</v>
      </c>
      <c r="K1046" t="s">
        <v>2155</v>
      </c>
      <c r="L1046" s="5" t="s">
        <v>1007</v>
      </c>
      <c r="N1046" s="5" t="s">
        <v>3053</v>
      </c>
      <c r="O1046" s="5" t="s">
        <v>2467</v>
      </c>
      <c r="P1046" s="5" t="s">
        <v>85</v>
      </c>
      <c r="Q1046" s="5" t="s">
        <v>86</v>
      </c>
      <c r="R1046" s="5" t="s">
        <v>85</v>
      </c>
      <c r="T1046" s="390">
        <v>3</v>
      </c>
      <c r="U1046" s="5" t="s">
        <v>97</v>
      </c>
      <c r="W1046" s="5" t="s">
        <v>2468</v>
      </c>
      <c r="X1046" s="5" t="s">
        <v>102</v>
      </c>
      <c r="AA1046" s="5" t="s">
        <v>85</v>
      </c>
      <c r="AB1046" s="5" t="s">
        <v>2469</v>
      </c>
      <c r="AC1046" s="5" t="s">
        <v>2470</v>
      </c>
      <c r="AD1046" s="5" t="s">
        <v>86</v>
      </c>
      <c r="AF1046" s="5">
        <v>114</v>
      </c>
      <c r="AG1046" s="5">
        <v>2050</v>
      </c>
      <c r="AH1046" s="5" t="s">
        <v>85</v>
      </c>
      <c r="AI1046" s="5" t="s">
        <v>2485</v>
      </c>
      <c r="AJ1046" s="5">
        <v>114</v>
      </c>
      <c r="AK1046" s="5">
        <v>515</v>
      </c>
      <c r="AL1046" s="5">
        <v>157</v>
      </c>
      <c r="AM1046" s="5">
        <v>358</v>
      </c>
      <c r="AN1046" s="5">
        <v>10</v>
      </c>
      <c r="AO1046" s="5">
        <v>104</v>
      </c>
      <c r="AP1046" s="5">
        <v>0</v>
      </c>
      <c r="AQ1046" s="5">
        <v>0</v>
      </c>
      <c r="AT1046" s="5">
        <v>0</v>
      </c>
      <c r="AU1046" s="5">
        <v>0</v>
      </c>
      <c r="AX1046" s="5">
        <v>0</v>
      </c>
      <c r="AY1046" s="5" t="s">
        <v>86</v>
      </c>
      <c r="BN1046" s="5" t="s">
        <v>86</v>
      </c>
      <c r="CD1046" s="5">
        <v>0</v>
      </c>
      <c r="CF1046" s="1442" t="str">
        <f>IF([1]!sommaire[[#This Row],[présence des personnes déplacés interne]]="Oui","1","0")</f>
        <v>1</v>
      </c>
      <c r="CG1046" s="1442" t="str">
        <f>IF([1]!sommaire[[#This Row],[présence Réfugié hors camp]]="Oui","1","0")</f>
        <v>0</v>
      </c>
      <c r="CH1046" s="1442" t="str">
        <f>IF([1]!sommaire[[#This Row],[présence personnes retournées]]="Oui","1","0")</f>
        <v>0</v>
      </c>
      <c r="CI1046" s="1442">
        <f>[1]!sommaire[[#This Row],[Flag PDI]]+[1]!sommaire[[#This Row],[Flag REF]]+[1]!sommaire[[#This Row],[Flag RET]]</f>
        <v>1</v>
      </c>
    </row>
    <row r="1047" spans="1:87" ht="14.55" customHeight="1" x14ac:dyDescent="0.3">
      <c r="A1047" s="390">
        <v>2672288</v>
      </c>
      <c r="B1047" s="5" t="s">
        <v>533</v>
      </c>
      <c r="C1047" s="1430" t="s">
        <v>3449</v>
      </c>
      <c r="D1047" s="1090" t="s">
        <v>534</v>
      </c>
      <c r="E1047" s="5" t="s">
        <v>34</v>
      </c>
      <c r="F1047" s="5" t="s">
        <v>34</v>
      </c>
      <c r="G1047" s="5" t="s">
        <v>539</v>
      </c>
      <c r="H1047" s="5" t="s">
        <v>189</v>
      </c>
      <c r="I1047" s="5" t="str">
        <f>_xlfn.XLOOKUP(sommaire[[#This Row],[Arrondissement_code]],OCHA_GIS!$F:$F,OCHA_GIS!$E:$E,,)</f>
        <v>Tokombéré</v>
      </c>
      <c r="J1047" s="5" t="s">
        <v>590</v>
      </c>
      <c r="K1047" t="s">
        <v>1204</v>
      </c>
      <c r="L1047" s="5" t="s">
        <v>1205</v>
      </c>
      <c r="N1047" s="5" t="s">
        <v>3053</v>
      </c>
      <c r="O1047" s="5" t="s">
        <v>2467</v>
      </c>
      <c r="P1047" s="5" t="s">
        <v>85</v>
      </c>
      <c r="Q1047" s="5" t="s">
        <v>86</v>
      </c>
      <c r="R1047" s="5" t="s">
        <v>85</v>
      </c>
      <c r="T1047" s="390">
        <v>3</v>
      </c>
      <c r="U1047" s="5" t="s">
        <v>97</v>
      </c>
      <c r="W1047" s="5" t="s">
        <v>2468</v>
      </c>
      <c r="X1047" s="5" t="s">
        <v>102</v>
      </c>
      <c r="AA1047" s="5" t="s">
        <v>85</v>
      </c>
      <c r="AB1047" s="5" t="s">
        <v>2469</v>
      </c>
      <c r="AC1047" s="5" t="s">
        <v>312</v>
      </c>
      <c r="AD1047" s="5" t="s">
        <v>86</v>
      </c>
      <c r="AF1047" s="5">
        <v>4</v>
      </c>
      <c r="AG1047" s="5">
        <v>3607</v>
      </c>
      <c r="AH1047" s="5" t="s">
        <v>85</v>
      </c>
      <c r="AI1047" s="5" t="s">
        <v>2471</v>
      </c>
      <c r="AJ1047" s="5">
        <v>4</v>
      </c>
      <c r="AK1047" s="5">
        <v>50</v>
      </c>
      <c r="AL1047" s="5">
        <v>16</v>
      </c>
      <c r="AM1047" s="5">
        <v>34</v>
      </c>
      <c r="AN1047" s="5">
        <v>0</v>
      </c>
      <c r="AO1047" s="5">
        <v>4</v>
      </c>
      <c r="AP1047" s="5">
        <v>0</v>
      </c>
      <c r="AQ1047" s="5">
        <v>0</v>
      </c>
      <c r="AT1047" s="5">
        <v>0</v>
      </c>
      <c r="AU1047" s="5">
        <v>0</v>
      </c>
      <c r="AX1047" s="5">
        <v>0</v>
      </c>
      <c r="AY1047" s="5" t="s">
        <v>86</v>
      </c>
      <c r="BN1047" s="5" t="s">
        <v>86</v>
      </c>
      <c r="CD1047" s="5">
        <v>0</v>
      </c>
      <c r="CF1047" s="1442" t="str">
        <f>IF([1]!sommaire[[#This Row],[présence des personnes déplacés interne]]="Oui","1","0")</f>
        <v>1</v>
      </c>
      <c r="CG1047" s="1442" t="str">
        <f>IF([1]!sommaire[[#This Row],[présence Réfugié hors camp]]="Oui","1","0")</f>
        <v>0</v>
      </c>
      <c r="CH1047" s="1442" t="str">
        <f>IF([1]!sommaire[[#This Row],[présence personnes retournées]]="Oui","1","0")</f>
        <v>0</v>
      </c>
      <c r="CI1047" s="1442">
        <f>[1]!sommaire[[#This Row],[Flag PDI]]+[1]!sommaire[[#This Row],[Flag REF]]+[1]!sommaire[[#This Row],[Flag RET]]</f>
        <v>1</v>
      </c>
    </row>
    <row r="1048" spans="1:87" ht="14.55" customHeight="1" x14ac:dyDescent="0.3">
      <c r="A1048" s="390">
        <v>2672287</v>
      </c>
      <c r="B1048" s="5" t="s">
        <v>533</v>
      </c>
      <c r="C1048" s="1430" t="s">
        <v>3449</v>
      </c>
      <c r="D1048" s="1090" t="s">
        <v>534</v>
      </c>
      <c r="E1048" s="5" t="s">
        <v>34</v>
      </c>
      <c r="F1048" s="5" t="s">
        <v>34</v>
      </c>
      <c r="G1048" s="5" t="s">
        <v>539</v>
      </c>
      <c r="H1048" s="5" t="s">
        <v>189</v>
      </c>
      <c r="I1048" s="5" t="str">
        <f>_xlfn.XLOOKUP(sommaire[[#This Row],[Arrondissement_code]],OCHA_GIS!$F:$F,OCHA_GIS!$E:$E,,)</f>
        <v>Tokombéré</v>
      </c>
      <c r="J1048" s="5" t="s">
        <v>590</v>
      </c>
      <c r="K1048" t="s">
        <v>1206</v>
      </c>
      <c r="L1048" s="5" t="s">
        <v>1207</v>
      </c>
      <c r="N1048" s="5" t="s">
        <v>3053</v>
      </c>
      <c r="O1048" s="5" t="s">
        <v>2467</v>
      </c>
      <c r="P1048" s="5" t="s">
        <v>85</v>
      </c>
      <c r="Q1048" s="5" t="s">
        <v>86</v>
      </c>
      <c r="R1048" s="5" t="s">
        <v>85</v>
      </c>
      <c r="T1048" s="390">
        <v>4</v>
      </c>
      <c r="U1048" s="5" t="s">
        <v>97</v>
      </c>
      <c r="W1048" s="5" t="s">
        <v>2468</v>
      </c>
      <c r="X1048" s="5" t="s">
        <v>102</v>
      </c>
      <c r="AA1048" s="5" t="s">
        <v>85</v>
      </c>
      <c r="AB1048" s="5" t="s">
        <v>2469</v>
      </c>
      <c r="AC1048" s="5" t="s">
        <v>2576</v>
      </c>
      <c r="AD1048" s="5" t="s">
        <v>86</v>
      </c>
      <c r="AF1048" s="5">
        <v>1</v>
      </c>
      <c r="AG1048" s="5">
        <v>2165</v>
      </c>
      <c r="AH1048" s="5" t="s">
        <v>85</v>
      </c>
      <c r="AI1048" s="5" t="s">
        <v>2471</v>
      </c>
      <c r="AJ1048" s="5">
        <v>1</v>
      </c>
      <c r="AK1048" s="5">
        <v>61</v>
      </c>
      <c r="AL1048" s="5">
        <v>23</v>
      </c>
      <c r="AM1048" s="5">
        <v>38</v>
      </c>
      <c r="AN1048" s="5">
        <v>0</v>
      </c>
      <c r="AO1048" s="5">
        <v>1</v>
      </c>
      <c r="AP1048" s="5">
        <v>0</v>
      </c>
      <c r="AQ1048" s="5">
        <v>0</v>
      </c>
      <c r="AT1048" s="5">
        <v>0</v>
      </c>
      <c r="AU1048" s="5">
        <v>0</v>
      </c>
      <c r="AX1048" s="5">
        <v>0</v>
      </c>
      <c r="AY1048" s="5" t="s">
        <v>86</v>
      </c>
      <c r="BN1048" s="5" t="s">
        <v>86</v>
      </c>
      <c r="CD1048" s="5">
        <v>0</v>
      </c>
      <c r="CF1048" s="1442" t="str">
        <f>IF([1]!sommaire[[#This Row],[présence des personnes déplacés interne]]="Oui","1","0")</f>
        <v>1</v>
      </c>
      <c r="CG1048" s="1442" t="str">
        <f>IF([1]!sommaire[[#This Row],[présence Réfugié hors camp]]="Oui","1","0")</f>
        <v>0</v>
      </c>
      <c r="CH1048" s="1442" t="str">
        <f>IF([1]!sommaire[[#This Row],[présence personnes retournées]]="Oui","1","0")</f>
        <v>0</v>
      </c>
      <c r="CI1048" s="1442">
        <f>[1]!sommaire[[#This Row],[Flag PDI]]+[1]!sommaire[[#This Row],[Flag REF]]+[1]!sommaire[[#This Row],[Flag RET]]</f>
        <v>1</v>
      </c>
    </row>
    <row r="1049" spans="1:87" ht="14.55" customHeight="1" x14ac:dyDescent="0.3">
      <c r="A1049" s="390">
        <v>2640440</v>
      </c>
      <c r="B1049" s="5" t="s">
        <v>533</v>
      </c>
      <c r="C1049" s="1430" t="s">
        <v>3449</v>
      </c>
      <c r="D1049" s="1090" t="s">
        <v>534</v>
      </c>
      <c r="E1049" s="5" t="s">
        <v>34</v>
      </c>
      <c r="F1049" s="5" t="s">
        <v>34</v>
      </c>
      <c r="G1049" s="5" t="s">
        <v>539</v>
      </c>
      <c r="H1049" s="5" t="s">
        <v>189</v>
      </c>
      <c r="I1049" s="5" t="str">
        <f>_xlfn.XLOOKUP(sommaire[[#This Row],[Arrondissement_code]],OCHA_GIS!$F:$F,OCHA_GIS!$E:$E,,)</f>
        <v>Tokombéré</v>
      </c>
      <c r="J1049" s="5" t="s">
        <v>590</v>
      </c>
      <c r="K1049" t="s">
        <v>2691</v>
      </c>
      <c r="L1049" s="5" t="s">
        <v>2692</v>
      </c>
      <c r="N1049" s="5" t="s">
        <v>3053</v>
      </c>
      <c r="O1049" s="5" t="s">
        <v>2467</v>
      </c>
      <c r="P1049" s="5" t="s">
        <v>85</v>
      </c>
      <c r="Q1049" s="5" t="s">
        <v>86</v>
      </c>
      <c r="R1049" s="5" t="s">
        <v>85</v>
      </c>
      <c r="T1049" s="1190">
        <v>4</v>
      </c>
      <c r="U1049" s="5" t="s">
        <v>97</v>
      </c>
      <c r="W1049" s="5" t="s">
        <v>2482</v>
      </c>
      <c r="AA1049" s="5" t="s">
        <v>86</v>
      </c>
      <c r="AH1049" s="1430" t="s">
        <v>86</v>
      </c>
      <c r="AY1049" s="1430" t="s">
        <v>86</v>
      </c>
      <c r="BN1049" s="1430" t="s">
        <v>86</v>
      </c>
      <c r="CF1049" s="1442" t="str">
        <f>IF([1]!sommaire[[#This Row],[présence des personnes déplacés interne]]="Oui","1","0")</f>
        <v>0</v>
      </c>
      <c r="CG1049" s="1442" t="str">
        <f>IF([1]!sommaire[[#This Row],[présence Réfugié hors camp]]="Oui","1","0")</f>
        <v>0</v>
      </c>
      <c r="CH1049" s="1442" t="str">
        <f>IF([1]!sommaire[[#This Row],[présence personnes retournées]]="Oui","1","0")</f>
        <v>0</v>
      </c>
      <c r="CI1049" s="1442">
        <f>[1]!sommaire[[#This Row],[Flag PDI]]+[1]!sommaire[[#This Row],[Flag REF]]+[1]!sommaire[[#This Row],[Flag RET]]</f>
        <v>0</v>
      </c>
    </row>
    <row r="1050" spans="1:87" ht="14.55" customHeight="1" x14ac:dyDescent="0.3">
      <c r="A1050" s="390">
        <v>2640442</v>
      </c>
      <c r="B1050" s="5" t="s">
        <v>533</v>
      </c>
      <c r="C1050" s="1430" t="s">
        <v>3449</v>
      </c>
      <c r="D1050" s="1090" t="s">
        <v>534</v>
      </c>
      <c r="E1050" s="5" t="s">
        <v>34</v>
      </c>
      <c r="F1050" s="5" t="s">
        <v>34</v>
      </c>
      <c r="G1050" s="5" t="s">
        <v>539</v>
      </c>
      <c r="H1050" s="5" t="s">
        <v>189</v>
      </c>
      <c r="I1050" s="5" t="str">
        <f>_xlfn.XLOOKUP(sommaire[[#This Row],[Arrondissement_code]],OCHA_GIS!$F:$F,OCHA_GIS!$E:$E,,)</f>
        <v>Tokombéré</v>
      </c>
      <c r="J1050" s="5" t="s">
        <v>590</v>
      </c>
      <c r="K1050" t="s">
        <v>2693</v>
      </c>
      <c r="L1050" s="5" t="s">
        <v>2694</v>
      </c>
      <c r="N1050" s="5" t="s">
        <v>3053</v>
      </c>
      <c r="O1050" s="5" t="s">
        <v>2467</v>
      </c>
      <c r="P1050" s="5" t="s">
        <v>85</v>
      </c>
      <c r="Q1050" s="5" t="s">
        <v>86</v>
      </c>
      <c r="R1050" s="5" t="s">
        <v>85</v>
      </c>
      <c r="T1050" s="390">
        <v>3</v>
      </c>
      <c r="U1050" s="5" t="s">
        <v>97</v>
      </c>
      <c r="W1050" s="5" t="s">
        <v>2482</v>
      </c>
      <c r="AA1050" s="5" t="s">
        <v>86</v>
      </c>
      <c r="AH1050" s="1430" t="s">
        <v>86</v>
      </c>
      <c r="AY1050" s="1430" t="s">
        <v>86</v>
      </c>
      <c r="BN1050" s="1430" t="s">
        <v>86</v>
      </c>
      <c r="CF1050" s="1442" t="str">
        <f>IF([1]!sommaire[[#This Row],[présence des personnes déplacés interne]]="Oui","1","0")</f>
        <v>0</v>
      </c>
      <c r="CG1050" s="1442" t="str">
        <f>IF([1]!sommaire[[#This Row],[présence Réfugié hors camp]]="Oui","1","0")</f>
        <v>0</v>
      </c>
      <c r="CH1050" s="1442" t="str">
        <f>IF([1]!sommaire[[#This Row],[présence personnes retournées]]="Oui","1","0")</f>
        <v>0</v>
      </c>
      <c r="CI1050" s="1442">
        <f>[1]!sommaire[[#This Row],[Flag PDI]]+[1]!sommaire[[#This Row],[Flag REF]]+[1]!sommaire[[#This Row],[Flag RET]]</f>
        <v>0</v>
      </c>
    </row>
    <row r="1051" spans="1:87" ht="14.55" customHeight="1" x14ac:dyDescent="0.3">
      <c r="A1051" s="390">
        <v>2630165</v>
      </c>
      <c r="B1051" s="5" t="s">
        <v>533</v>
      </c>
      <c r="C1051" s="1430" t="s">
        <v>3449</v>
      </c>
      <c r="D1051" s="1090" t="s">
        <v>534</v>
      </c>
      <c r="E1051" s="5" t="s">
        <v>34</v>
      </c>
      <c r="F1051" s="5" t="s">
        <v>34</v>
      </c>
      <c r="G1051" s="5" t="s">
        <v>539</v>
      </c>
      <c r="H1051" s="5" t="s">
        <v>189</v>
      </c>
      <c r="I1051" s="5" t="str">
        <f>_xlfn.XLOOKUP(sommaire[[#This Row],[Arrondissement_code]],OCHA_GIS!$F:$F,OCHA_GIS!$E:$E,,)</f>
        <v>Tokombéré</v>
      </c>
      <c r="J1051" s="5" t="s">
        <v>590</v>
      </c>
      <c r="K1051" t="s">
        <v>1377</v>
      </c>
      <c r="L1051" s="5" t="s">
        <v>1378</v>
      </c>
      <c r="N1051" s="5" t="s">
        <v>3053</v>
      </c>
      <c r="O1051" s="5" t="s">
        <v>2467</v>
      </c>
      <c r="P1051" s="5" t="s">
        <v>85</v>
      </c>
      <c r="Q1051" s="5" t="s">
        <v>86</v>
      </c>
      <c r="R1051" s="5" t="s">
        <v>85</v>
      </c>
      <c r="T1051" s="390">
        <v>5</v>
      </c>
      <c r="U1051" s="5" t="s">
        <v>97</v>
      </c>
      <c r="W1051" s="5" t="s">
        <v>2468</v>
      </c>
      <c r="X1051" s="5" t="s">
        <v>102</v>
      </c>
      <c r="AA1051" s="5" t="s">
        <v>85</v>
      </c>
      <c r="AB1051" s="5" t="s">
        <v>2469</v>
      </c>
      <c r="AC1051" s="5" t="s">
        <v>2470</v>
      </c>
      <c r="AD1051" s="5" t="s">
        <v>86</v>
      </c>
      <c r="AF1051" s="5">
        <v>27</v>
      </c>
      <c r="AG1051" s="5">
        <v>3315</v>
      </c>
      <c r="AH1051" s="5" t="s">
        <v>85</v>
      </c>
      <c r="AI1051" s="5" t="s">
        <v>2471</v>
      </c>
      <c r="AJ1051" s="5">
        <v>27</v>
      </c>
      <c r="AK1051" s="5">
        <v>250</v>
      </c>
      <c r="AL1051" s="5">
        <v>109</v>
      </c>
      <c r="AM1051" s="5">
        <v>141</v>
      </c>
      <c r="AN1051" s="5">
        <v>0</v>
      </c>
      <c r="AO1051" s="5">
        <v>27</v>
      </c>
      <c r="AP1051" s="5">
        <v>0</v>
      </c>
      <c r="AQ1051" s="5">
        <v>0</v>
      </c>
      <c r="AT1051" s="5">
        <v>0</v>
      </c>
      <c r="AU1051" s="5">
        <v>0</v>
      </c>
      <c r="AX1051" s="5">
        <v>0</v>
      </c>
      <c r="AY1051" s="5" t="s">
        <v>86</v>
      </c>
      <c r="BN1051" s="5" t="s">
        <v>86</v>
      </c>
      <c r="CD1051" s="5">
        <v>0</v>
      </c>
      <c r="CF1051" s="1442" t="str">
        <f>IF([1]!sommaire[[#This Row],[présence des personnes déplacés interne]]="Oui","1","0")</f>
        <v>1</v>
      </c>
      <c r="CG1051" s="1442" t="str">
        <f>IF([1]!sommaire[[#This Row],[présence Réfugié hors camp]]="Oui","1","0")</f>
        <v>0</v>
      </c>
      <c r="CH1051" s="1442" t="str">
        <f>IF([1]!sommaire[[#This Row],[présence personnes retournées]]="Oui","1","0")</f>
        <v>0</v>
      </c>
      <c r="CI1051" s="1442">
        <f>[1]!sommaire[[#This Row],[Flag PDI]]+[1]!sommaire[[#This Row],[Flag REF]]+[1]!sommaire[[#This Row],[Flag RET]]</f>
        <v>1</v>
      </c>
    </row>
    <row r="1052" spans="1:87" ht="14.55" customHeight="1" x14ac:dyDescent="0.3">
      <c r="A1052" s="390">
        <v>2629379</v>
      </c>
      <c r="B1052" s="5" t="s">
        <v>533</v>
      </c>
      <c r="C1052" s="1430" t="s">
        <v>3449</v>
      </c>
      <c r="D1052" s="1090" t="s">
        <v>534</v>
      </c>
      <c r="E1052" s="5" t="s">
        <v>34</v>
      </c>
      <c r="F1052" s="5" t="s">
        <v>34</v>
      </c>
      <c r="G1052" s="5" t="s">
        <v>539</v>
      </c>
      <c r="H1052" s="5" t="s">
        <v>189</v>
      </c>
      <c r="I1052" s="5" t="str">
        <f>_xlfn.XLOOKUP(sommaire[[#This Row],[Arrondissement_code]],OCHA_GIS!$F:$F,OCHA_GIS!$E:$E,,)</f>
        <v>Tokombéré</v>
      </c>
      <c r="J1052" s="5" t="s">
        <v>590</v>
      </c>
      <c r="K1052" t="s">
        <v>755</v>
      </c>
      <c r="L1052" s="5" t="s">
        <v>756</v>
      </c>
      <c r="N1052" s="5" t="s">
        <v>3053</v>
      </c>
      <c r="O1052" s="5" t="s">
        <v>2467</v>
      </c>
      <c r="P1052" s="5" t="s">
        <v>85</v>
      </c>
      <c r="Q1052" s="5" t="s">
        <v>86</v>
      </c>
      <c r="R1052" s="5" t="s">
        <v>85</v>
      </c>
      <c r="T1052" s="390">
        <v>5</v>
      </c>
      <c r="U1052" s="5" t="s">
        <v>97</v>
      </c>
      <c r="W1052" s="5" t="s">
        <v>2468</v>
      </c>
      <c r="X1052" s="5" t="s">
        <v>102</v>
      </c>
      <c r="AA1052" s="5" t="s">
        <v>85</v>
      </c>
      <c r="AB1052" s="5" t="s">
        <v>2469</v>
      </c>
      <c r="AC1052" s="5" t="s">
        <v>2470</v>
      </c>
      <c r="AD1052" s="1090" t="s">
        <v>86</v>
      </c>
      <c r="AF1052" s="5">
        <v>10</v>
      </c>
      <c r="AG1052" s="5">
        <v>3730</v>
      </c>
      <c r="AH1052" s="5" t="s">
        <v>85</v>
      </c>
      <c r="AI1052" s="5" t="s">
        <v>2471</v>
      </c>
      <c r="AJ1052" s="5">
        <v>10</v>
      </c>
      <c r="AK1052" s="5">
        <v>144</v>
      </c>
      <c r="AL1052" s="5">
        <v>59</v>
      </c>
      <c r="AM1052" s="5">
        <v>85</v>
      </c>
      <c r="AN1052" s="5">
        <v>0</v>
      </c>
      <c r="AO1052" s="5">
        <v>6</v>
      </c>
      <c r="AP1052" s="5">
        <v>0</v>
      </c>
      <c r="AQ1052" s="5">
        <v>4</v>
      </c>
      <c r="AR1052" s="5" t="s">
        <v>2477</v>
      </c>
      <c r="AT1052" s="5">
        <v>0</v>
      </c>
      <c r="AU1052" s="5">
        <v>0</v>
      </c>
      <c r="AX1052" s="5">
        <v>0</v>
      </c>
      <c r="AY1052" s="5" t="s">
        <v>85</v>
      </c>
      <c r="AZ1052" s="5">
        <v>2</v>
      </c>
      <c r="BA1052" s="5">
        <v>45</v>
      </c>
      <c r="BB1052" s="5">
        <v>22</v>
      </c>
      <c r="BC1052" s="5">
        <v>23</v>
      </c>
      <c r="BD1052" s="5">
        <v>1</v>
      </c>
      <c r="BE1052" s="5">
        <v>0</v>
      </c>
      <c r="BF1052" s="5">
        <v>1</v>
      </c>
      <c r="BG1052" s="5" t="s">
        <v>2477</v>
      </c>
      <c r="BH1052" s="5">
        <v>0</v>
      </c>
      <c r="BI1052" s="5">
        <v>0</v>
      </c>
      <c r="BL1052" s="5">
        <v>0</v>
      </c>
      <c r="BM1052" s="5">
        <v>0</v>
      </c>
      <c r="BN1052" s="5" t="s">
        <v>86</v>
      </c>
      <c r="CD1052" s="5">
        <v>0</v>
      </c>
      <c r="CF1052" s="1442" t="str">
        <f>IF([1]!sommaire[[#This Row],[présence des personnes déplacés interne]]="Oui","1","0")</f>
        <v>1</v>
      </c>
      <c r="CG1052" s="1442" t="str">
        <f>IF([1]!sommaire[[#This Row],[présence Réfugié hors camp]]="Oui","1","0")</f>
        <v>1</v>
      </c>
      <c r="CH1052" s="1442" t="str">
        <f>IF([1]!sommaire[[#This Row],[présence personnes retournées]]="Oui","1","0")</f>
        <v>0</v>
      </c>
      <c r="CI1052" s="1442">
        <f>[1]!sommaire[[#This Row],[Flag PDI]]+[1]!sommaire[[#This Row],[Flag REF]]+[1]!sommaire[[#This Row],[Flag RET]]</f>
        <v>2</v>
      </c>
    </row>
    <row r="1053" spans="1:87" ht="14.55" customHeight="1" x14ac:dyDescent="0.3">
      <c r="A1053" s="390">
        <v>2630688</v>
      </c>
      <c r="B1053" s="5" t="s">
        <v>533</v>
      </c>
      <c r="C1053" s="1430" t="s">
        <v>3449</v>
      </c>
      <c r="D1053" s="1090" t="s">
        <v>534</v>
      </c>
      <c r="E1053" s="5" t="s">
        <v>34</v>
      </c>
      <c r="F1053" s="5" t="s">
        <v>34</v>
      </c>
      <c r="G1053" s="5" t="s">
        <v>539</v>
      </c>
      <c r="H1053" s="5" t="s">
        <v>189</v>
      </c>
      <c r="I1053" s="5" t="str">
        <f>_xlfn.XLOOKUP(sommaire[[#This Row],[Arrondissement_code]],OCHA_GIS!$F:$F,OCHA_GIS!$E:$E,,)</f>
        <v>Tokombéré</v>
      </c>
      <c r="J1053" s="5" t="s">
        <v>590</v>
      </c>
      <c r="K1053" t="s">
        <v>1324</v>
      </c>
      <c r="L1053" s="5" t="s">
        <v>1325</v>
      </c>
      <c r="N1053" s="5" t="s">
        <v>3052</v>
      </c>
      <c r="O1053" s="5" t="s">
        <v>2467</v>
      </c>
      <c r="P1053" s="5" t="s">
        <v>85</v>
      </c>
      <c r="Q1053" s="5" t="s">
        <v>86</v>
      </c>
      <c r="R1053" s="5" t="s">
        <v>85</v>
      </c>
      <c r="T1053" s="390">
        <v>4</v>
      </c>
      <c r="U1053" s="5" t="s">
        <v>97</v>
      </c>
      <c r="W1053" s="5" t="s">
        <v>2468</v>
      </c>
      <c r="X1053" s="5" t="s">
        <v>102</v>
      </c>
      <c r="AA1053" s="5" t="s">
        <v>85</v>
      </c>
      <c r="AB1053" s="5" t="s">
        <v>2469</v>
      </c>
      <c r="AC1053" s="5" t="s">
        <v>2470</v>
      </c>
      <c r="AD1053" s="5" t="s">
        <v>86</v>
      </c>
      <c r="AF1053" s="5">
        <v>138</v>
      </c>
      <c r="AG1053" s="5">
        <v>8723</v>
      </c>
      <c r="AH1053" s="5" t="s">
        <v>85</v>
      </c>
      <c r="AI1053" s="5" t="s">
        <v>2471</v>
      </c>
      <c r="AJ1053" s="5">
        <v>138</v>
      </c>
      <c r="AK1053" s="5">
        <v>374</v>
      </c>
      <c r="AL1053" s="5">
        <v>170</v>
      </c>
      <c r="AM1053" s="5">
        <v>204</v>
      </c>
      <c r="AN1053" s="5">
        <v>0</v>
      </c>
      <c r="AO1053" s="5">
        <v>85</v>
      </c>
      <c r="AP1053" s="5">
        <v>0</v>
      </c>
      <c r="AQ1053" s="5">
        <v>53</v>
      </c>
      <c r="AR1053" s="5" t="s">
        <v>2477</v>
      </c>
      <c r="AT1053" s="5">
        <v>0</v>
      </c>
      <c r="AU1053" s="5">
        <v>0</v>
      </c>
      <c r="AX1053" s="5">
        <v>0</v>
      </c>
      <c r="AY1053" s="5" t="s">
        <v>86</v>
      </c>
      <c r="BN1053" s="5" t="s">
        <v>86</v>
      </c>
      <c r="CD1053" s="5">
        <v>0</v>
      </c>
      <c r="CF1053" s="1442" t="str">
        <f>IF([1]!sommaire[[#This Row],[présence des personnes déplacés interne]]="Oui","1","0")</f>
        <v>1</v>
      </c>
      <c r="CG1053" s="1442" t="str">
        <f>IF([1]!sommaire[[#This Row],[présence Réfugié hors camp]]="Oui","1","0")</f>
        <v>0</v>
      </c>
      <c r="CH1053" s="1442" t="str">
        <f>IF([1]!sommaire[[#This Row],[présence personnes retournées]]="Oui","1","0")</f>
        <v>0</v>
      </c>
      <c r="CI1053" s="1442">
        <f>[1]!sommaire[[#This Row],[Flag PDI]]+[1]!sommaire[[#This Row],[Flag REF]]+[1]!sommaire[[#This Row],[Flag RET]]</f>
        <v>1</v>
      </c>
    </row>
    <row r="1054" spans="1:87" ht="14.55" customHeight="1" x14ac:dyDescent="0.3">
      <c r="A1054" s="390">
        <v>2639916</v>
      </c>
      <c r="B1054" s="5" t="s">
        <v>533</v>
      </c>
      <c r="C1054" s="1430" t="s">
        <v>3449</v>
      </c>
      <c r="D1054" s="1090" t="s">
        <v>534</v>
      </c>
      <c r="E1054" s="5" t="s">
        <v>34</v>
      </c>
      <c r="F1054" s="5" t="s">
        <v>34</v>
      </c>
      <c r="G1054" s="5" t="s">
        <v>539</v>
      </c>
      <c r="H1054" s="5" t="s">
        <v>189</v>
      </c>
      <c r="I1054" s="5" t="str">
        <f>_xlfn.XLOOKUP(sommaire[[#This Row],[Arrondissement_code]],OCHA_GIS!$F:$F,OCHA_GIS!$E:$E,,)</f>
        <v>Tokombéré</v>
      </c>
      <c r="J1054" s="5" t="s">
        <v>590</v>
      </c>
      <c r="K1054" t="s">
        <v>1002</v>
      </c>
      <c r="L1054" s="5" t="s">
        <v>1003</v>
      </c>
      <c r="N1054" s="5" t="s">
        <v>3053</v>
      </c>
      <c r="O1054" s="5" t="s">
        <v>2467</v>
      </c>
      <c r="P1054" s="5" t="s">
        <v>85</v>
      </c>
      <c r="Q1054" s="5" t="s">
        <v>86</v>
      </c>
      <c r="R1054" s="5" t="s">
        <v>85</v>
      </c>
      <c r="T1054" s="390">
        <v>5</v>
      </c>
      <c r="U1054" s="5" t="s">
        <v>97</v>
      </c>
      <c r="W1054" s="5" t="s">
        <v>2468</v>
      </c>
      <c r="X1054" s="5" t="s">
        <v>102</v>
      </c>
      <c r="AA1054" s="5" t="s">
        <v>85</v>
      </c>
      <c r="AB1054" s="5" t="s">
        <v>2469</v>
      </c>
      <c r="AC1054" s="5" t="s">
        <v>312</v>
      </c>
      <c r="AD1054" s="5" t="s">
        <v>86</v>
      </c>
      <c r="AF1054" s="5">
        <v>41</v>
      </c>
      <c r="AG1054" s="5">
        <v>4315</v>
      </c>
      <c r="AH1054" s="5" t="s">
        <v>85</v>
      </c>
      <c r="AI1054" s="5" t="s">
        <v>2471</v>
      </c>
      <c r="AJ1054" s="5">
        <v>41</v>
      </c>
      <c r="AK1054" s="5">
        <v>589</v>
      </c>
      <c r="AL1054" s="5">
        <v>297</v>
      </c>
      <c r="AM1054" s="5">
        <v>292</v>
      </c>
      <c r="AN1054" s="5">
        <v>0</v>
      </c>
      <c r="AO1054" s="5">
        <v>31</v>
      </c>
      <c r="AP1054" s="5">
        <v>0</v>
      </c>
      <c r="AQ1054" s="5">
        <v>10</v>
      </c>
      <c r="AR1054" s="5" t="s">
        <v>2472</v>
      </c>
      <c r="AT1054" s="5">
        <v>0</v>
      </c>
      <c r="AU1054" s="5">
        <v>0</v>
      </c>
      <c r="AX1054" s="5">
        <v>0</v>
      </c>
      <c r="AY1054" s="5" t="s">
        <v>86</v>
      </c>
      <c r="BN1054" s="5" t="s">
        <v>86</v>
      </c>
      <c r="CD1054" s="5">
        <v>0</v>
      </c>
      <c r="CF1054" s="1442" t="str">
        <f>IF([1]!sommaire[[#This Row],[présence des personnes déplacés interne]]="Oui","1","0")</f>
        <v>1</v>
      </c>
      <c r="CG1054" s="1442" t="str">
        <f>IF([1]!sommaire[[#This Row],[présence Réfugié hors camp]]="Oui","1","0")</f>
        <v>0</v>
      </c>
      <c r="CH1054" s="1442" t="str">
        <f>IF([1]!sommaire[[#This Row],[présence personnes retournées]]="Oui","1","0")</f>
        <v>0</v>
      </c>
      <c r="CI1054" s="1442">
        <f>[1]!sommaire[[#This Row],[Flag PDI]]+[1]!sommaire[[#This Row],[Flag REF]]+[1]!sommaire[[#This Row],[Flag RET]]</f>
        <v>1</v>
      </c>
    </row>
    <row r="1055" spans="1:87" ht="14.55" customHeight="1" x14ac:dyDescent="0.3">
      <c r="A1055" s="390">
        <v>2630230</v>
      </c>
      <c r="B1055" s="5" t="s">
        <v>533</v>
      </c>
      <c r="C1055" s="1430" t="s">
        <v>3449</v>
      </c>
      <c r="D1055" s="1090" t="s">
        <v>534</v>
      </c>
      <c r="E1055" s="5" t="s">
        <v>34</v>
      </c>
      <c r="F1055" s="5" t="s">
        <v>34</v>
      </c>
      <c r="G1055" s="5" t="s">
        <v>539</v>
      </c>
      <c r="H1055" s="5" t="s">
        <v>189</v>
      </c>
      <c r="I1055" s="5" t="str">
        <f>_xlfn.XLOOKUP(sommaire[[#This Row],[Arrondissement_code]],OCHA_GIS!$F:$F,OCHA_GIS!$E:$E,,)</f>
        <v>Tokombéré</v>
      </c>
      <c r="J1055" s="5" t="s">
        <v>590</v>
      </c>
      <c r="K1055" t="s">
        <v>1050</v>
      </c>
      <c r="L1055" s="5" t="s">
        <v>1051</v>
      </c>
      <c r="N1055" s="5" t="s">
        <v>3052</v>
      </c>
      <c r="O1055" s="5" t="s">
        <v>2467</v>
      </c>
      <c r="P1055" s="5" t="s">
        <v>85</v>
      </c>
      <c r="Q1055" s="5" t="s">
        <v>86</v>
      </c>
      <c r="R1055" s="5" t="s">
        <v>85</v>
      </c>
      <c r="T1055" s="390">
        <v>5</v>
      </c>
      <c r="U1055" s="5" t="s">
        <v>97</v>
      </c>
      <c r="W1055" s="5" t="s">
        <v>2468</v>
      </c>
      <c r="X1055" s="1090" t="s">
        <v>102</v>
      </c>
      <c r="AA1055" s="1090" t="s">
        <v>85</v>
      </c>
      <c r="AB1055" s="5" t="s">
        <v>2469</v>
      </c>
      <c r="AC1055" s="5" t="s">
        <v>2470</v>
      </c>
      <c r="AD1055" s="5" t="s">
        <v>86</v>
      </c>
      <c r="AF1055" s="5">
        <v>10</v>
      </c>
      <c r="AG1055" s="5">
        <v>9903</v>
      </c>
      <c r="AH1055" s="5" t="s">
        <v>85</v>
      </c>
      <c r="AI1055" s="5" t="s">
        <v>2471</v>
      </c>
      <c r="AJ1055" s="5">
        <v>10</v>
      </c>
      <c r="AK1055" s="5">
        <v>203</v>
      </c>
      <c r="AL1055" s="5">
        <v>115</v>
      </c>
      <c r="AM1055" s="5">
        <v>88</v>
      </c>
      <c r="AN1055" s="5">
        <v>6</v>
      </c>
      <c r="AO1055" s="5">
        <v>1</v>
      </c>
      <c r="AP1055" s="5">
        <v>3</v>
      </c>
      <c r="AQ1055" s="5">
        <v>0</v>
      </c>
      <c r="AT1055" s="5">
        <v>0</v>
      </c>
      <c r="AU1055" s="5">
        <v>0</v>
      </c>
      <c r="AX1055" s="5">
        <v>0</v>
      </c>
      <c r="AY1055" s="1090" t="s">
        <v>86</v>
      </c>
      <c r="BN1055" s="1090" t="s">
        <v>86</v>
      </c>
      <c r="CD1055" s="5">
        <v>0</v>
      </c>
      <c r="CF1055" s="1442" t="str">
        <f>IF([1]!sommaire[[#This Row],[présence des personnes déplacés interne]]="Oui","1","0")</f>
        <v>1</v>
      </c>
      <c r="CG1055" s="1442" t="str">
        <f>IF([1]!sommaire[[#This Row],[présence Réfugié hors camp]]="Oui","1","0")</f>
        <v>0</v>
      </c>
      <c r="CH1055" s="1442" t="str">
        <f>IF([1]!sommaire[[#This Row],[présence personnes retournées]]="Oui","1","0")</f>
        <v>0</v>
      </c>
      <c r="CI1055" s="1442">
        <f>[1]!sommaire[[#This Row],[Flag PDI]]+[1]!sommaire[[#This Row],[Flag REF]]+[1]!sommaire[[#This Row],[Flag RET]]</f>
        <v>1</v>
      </c>
    </row>
    <row r="1056" spans="1:87" ht="14.55" customHeight="1" x14ac:dyDescent="0.3">
      <c r="A1056" s="390">
        <v>2640441</v>
      </c>
      <c r="B1056" s="5" t="s">
        <v>533</v>
      </c>
      <c r="C1056" s="1430" t="s">
        <v>3449</v>
      </c>
      <c r="D1056" s="1090" t="s">
        <v>534</v>
      </c>
      <c r="E1056" s="5" t="s">
        <v>34</v>
      </c>
      <c r="F1056" s="5" t="s">
        <v>34</v>
      </c>
      <c r="G1056" s="5" t="s">
        <v>539</v>
      </c>
      <c r="H1056" s="5" t="s">
        <v>189</v>
      </c>
      <c r="I1056" s="5" t="str">
        <f>_xlfn.XLOOKUP(sommaire[[#This Row],[Arrondissement_code]],OCHA_GIS!$F:$F,OCHA_GIS!$E:$E,,)</f>
        <v>Tokombéré</v>
      </c>
      <c r="J1056" s="5" t="s">
        <v>590</v>
      </c>
      <c r="K1056" t="s">
        <v>1202</v>
      </c>
      <c r="L1056" s="5" t="s">
        <v>1203</v>
      </c>
      <c r="N1056" s="5" t="s">
        <v>3053</v>
      </c>
      <c r="O1056" s="5" t="s">
        <v>2467</v>
      </c>
      <c r="P1056" s="5" t="s">
        <v>86</v>
      </c>
      <c r="Q1056" s="5" t="s">
        <v>85</v>
      </c>
      <c r="R1056" s="5" t="s">
        <v>85</v>
      </c>
      <c r="S1056" s="390">
        <v>7</v>
      </c>
      <c r="U1056" s="5" t="s">
        <v>97</v>
      </c>
      <c r="W1056" s="5" t="s">
        <v>2468</v>
      </c>
      <c r="X1056" s="5" t="s">
        <v>102</v>
      </c>
      <c r="AA1056" s="5" t="s">
        <v>85</v>
      </c>
      <c r="AB1056" s="5" t="s">
        <v>2469</v>
      </c>
      <c r="AC1056" s="5" t="s">
        <v>2470</v>
      </c>
      <c r="AD1056" s="5" t="s">
        <v>86</v>
      </c>
      <c r="AF1056" s="5">
        <v>37</v>
      </c>
      <c r="AG1056" s="5">
        <v>6509</v>
      </c>
      <c r="AH1056" s="5" t="s">
        <v>85</v>
      </c>
      <c r="AI1056" s="5" t="s">
        <v>2471</v>
      </c>
      <c r="AJ1056" s="5">
        <v>37</v>
      </c>
      <c r="AK1056" s="5">
        <v>318</v>
      </c>
      <c r="AL1056" s="5">
        <v>126</v>
      </c>
      <c r="AM1056" s="5">
        <v>192</v>
      </c>
      <c r="AN1056" s="5">
        <v>0</v>
      </c>
      <c r="AO1056" s="5">
        <v>37</v>
      </c>
      <c r="AP1056" s="5">
        <v>0</v>
      </c>
      <c r="AQ1056" s="5">
        <v>0</v>
      </c>
      <c r="AT1056" s="5">
        <v>0</v>
      </c>
      <c r="AU1056" s="5">
        <v>0</v>
      </c>
      <c r="AX1056" s="5">
        <v>0</v>
      </c>
      <c r="AY1056" s="5" t="s">
        <v>86</v>
      </c>
      <c r="BN1056" s="5" t="s">
        <v>86</v>
      </c>
      <c r="CD1056" s="5">
        <v>0</v>
      </c>
      <c r="CF1056" s="1442" t="str">
        <f>IF([1]!sommaire[[#This Row],[présence des personnes déplacés interne]]="Oui","1","0")</f>
        <v>1</v>
      </c>
      <c r="CG1056" s="1442" t="str">
        <f>IF([1]!sommaire[[#This Row],[présence Réfugié hors camp]]="Oui","1","0")</f>
        <v>0</v>
      </c>
      <c r="CH1056" s="1442" t="str">
        <f>IF([1]!sommaire[[#This Row],[présence personnes retournées]]="Oui","1","0")</f>
        <v>0</v>
      </c>
      <c r="CI1056" s="1442">
        <f>[1]!sommaire[[#This Row],[Flag PDI]]+[1]!sommaire[[#This Row],[Flag REF]]+[1]!sommaire[[#This Row],[Flag RET]]</f>
        <v>1</v>
      </c>
    </row>
    <row r="1057" spans="1:87" ht="14.55" customHeight="1" x14ac:dyDescent="0.3">
      <c r="A1057" s="390">
        <v>2672286</v>
      </c>
      <c r="B1057" s="5" t="s">
        <v>533</v>
      </c>
      <c r="C1057" s="1430" t="s">
        <v>3449</v>
      </c>
      <c r="D1057" s="1090" t="s">
        <v>534</v>
      </c>
      <c r="E1057" s="5" t="s">
        <v>34</v>
      </c>
      <c r="F1057" s="5" t="s">
        <v>34</v>
      </c>
      <c r="G1057" s="5" t="s">
        <v>539</v>
      </c>
      <c r="H1057" s="5" t="s">
        <v>189</v>
      </c>
      <c r="I1057" s="5" t="str">
        <f>_xlfn.XLOOKUP(sommaire[[#This Row],[Arrondissement_code]],OCHA_GIS!$F:$F,OCHA_GIS!$E:$E,,)</f>
        <v>Tokombéré</v>
      </c>
      <c r="J1057" s="5" t="s">
        <v>590</v>
      </c>
      <c r="K1057" t="s">
        <v>1326</v>
      </c>
      <c r="L1057" s="5" t="s">
        <v>1327</v>
      </c>
      <c r="N1057" s="5" t="s">
        <v>3053</v>
      </c>
      <c r="O1057" s="5" t="s">
        <v>2467</v>
      </c>
      <c r="P1057" s="5" t="s">
        <v>85</v>
      </c>
      <c r="Q1057" s="5" t="s">
        <v>86</v>
      </c>
      <c r="R1057" s="5" t="s">
        <v>85</v>
      </c>
      <c r="T1057" s="390">
        <v>4</v>
      </c>
      <c r="U1057" s="5" t="s">
        <v>97</v>
      </c>
      <c r="W1057" s="5" t="s">
        <v>2468</v>
      </c>
      <c r="X1057" s="5" t="s">
        <v>102</v>
      </c>
      <c r="AA1057" s="5" t="s">
        <v>85</v>
      </c>
      <c r="AB1057" s="5" t="s">
        <v>2469</v>
      </c>
      <c r="AC1057" s="5" t="s">
        <v>312</v>
      </c>
      <c r="AD1057" s="5" t="s">
        <v>86</v>
      </c>
      <c r="AF1057" s="5">
        <v>14</v>
      </c>
      <c r="AG1057" s="5">
        <v>2889</v>
      </c>
      <c r="AH1057" s="5" t="s">
        <v>85</v>
      </c>
      <c r="AI1057" s="5" t="s">
        <v>2471</v>
      </c>
      <c r="AJ1057" s="5">
        <v>14</v>
      </c>
      <c r="AK1057" s="5">
        <v>232</v>
      </c>
      <c r="AL1057" s="5">
        <v>114</v>
      </c>
      <c r="AM1057" s="5">
        <v>118</v>
      </c>
      <c r="AN1057" s="5">
        <v>0</v>
      </c>
      <c r="AO1057" s="5">
        <v>14</v>
      </c>
      <c r="AP1057" s="5">
        <v>0</v>
      </c>
      <c r="AQ1057" s="5">
        <v>0</v>
      </c>
      <c r="AT1057" s="5">
        <v>0</v>
      </c>
      <c r="AU1057" s="5">
        <v>0</v>
      </c>
      <c r="AX1057" s="5">
        <v>0</v>
      </c>
      <c r="AY1057" s="5" t="s">
        <v>86</v>
      </c>
      <c r="BN1057" s="5" t="s">
        <v>86</v>
      </c>
      <c r="CD1057" s="5">
        <v>0</v>
      </c>
      <c r="CF1057" s="1442" t="str">
        <f>IF([1]!sommaire[[#This Row],[présence des personnes déplacés interne]]="Oui","1","0")</f>
        <v>1</v>
      </c>
      <c r="CG1057" s="1442" t="str">
        <f>IF([1]!sommaire[[#This Row],[présence Réfugié hors camp]]="Oui","1","0")</f>
        <v>0</v>
      </c>
      <c r="CH1057" s="1442" t="str">
        <f>IF([1]!sommaire[[#This Row],[présence personnes retournées]]="Oui","1","0")</f>
        <v>0</v>
      </c>
      <c r="CI1057" s="1442">
        <f>[1]!sommaire[[#This Row],[Flag PDI]]+[1]!sommaire[[#This Row],[Flag REF]]+[1]!sommaire[[#This Row],[Flag RET]]</f>
        <v>1</v>
      </c>
    </row>
    <row r="1058" spans="1:87" ht="14.55" customHeight="1" x14ac:dyDescent="0.3">
      <c r="A1058" s="390">
        <v>2630805</v>
      </c>
      <c r="B1058" s="5" t="s">
        <v>533</v>
      </c>
      <c r="C1058" s="1430" t="s">
        <v>3449</v>
      </c>
      <c r="D1058" s="1090" t="s">
        <v>534</v>
      </c>
      <c r="E1058" s="5" t="s">
        <v>34</v>
      </c>
      <c r="F1058" s="5" t="s">
        <v>34</v>
      </c>
      <c r="G1058" s="5" t="s">
        <v>539</v>
      </c>
      <c r="H1058" s="5" t="s">
        <v>189</v>
      </c>
      <c r="I1058" s="5" t="str">
        <f>_xlfn.XLOOKUP(sommaire[[#This Row],[Arrondissement_code]],OCHA_GIS!$F:$F,OCHA_GIS!$E:$E,,)</f>
        <v>Tokombéré</v>
      </c>
      <c r="J1058" s="5" t="s">
        <v>590</v>
      </c>
      <c r="K1058" t="s">
        <v>1493</v>
      </c>
      <c r="L1058" s="5" t="s">
        <v>1494</v>
      </c>
      <c r="N1058" s="5" t="s">
        <v>3053</v>
      </c>
      <c r="O1058" s="5" t="s">
        <v>2467</v>
      </c>
      <c r="P1058" s="5" t="s">
        <v>86</v>
      </c>
      <c r="Q1058" s="5" t="s">
        <v>85</v>
      </c>
      <c r="R1058" s="5" t="s">
        <v>85</v>
      </c>
      <c r="S1058" s="390">
        <v>7</v>
      </c>
      <c r="U1058" s="5" t="s">
        <v>97</v>
      </c>
      <c r="W1058" s="5" t="s">
        <v>2468</v>
      </c>
      <c r="X1058" s="5" t="s">
        <v>102</v>
      </c>
      <c r="AA1058" s="5" t="s">
        <v>85</v>
      </c>
      <c r="AB1058" s="5" t="s">
        <v>2469</v>
      </c>
      <c r="AC1058" s="5" t="s">
        <v>2470</v>
      </c>
      <c r="AD1058" s="5" t="s">
        <v>86</v>
      </c>
      <c r="AF1058" s="5">
        <v>12</v>
      </c>
      <c r="AG1058" s="5">
        <v>3979</v>
      </c>
      <c r="AH1058" s="5" t="s">
        <v>85</v>
      </c>
      <c r="AI1058" s="5" t="s">
        <v>2471</v>
      </c>
      <c r="AJ1058" s="5">
        <v>12</v>
      </c>
      <c r="AK1058" s="5">
        <v>133</v>
      </c>
      <c r="AL1058" s="5">
        <v>57</v>
      </c>
      <c r="AM1058" s="5">
        <v>76</v>
      </c>
      <c r="AN1058" s="5">
        <v>0</v>
      </c>
      <c r="AO1058" s="5">
        <v>12</v>
      </c>
      <c r="AP1058" s="5">
        <v>0</v>
      </c>
      <c r="AQ1058" s="5">
        <v>0</v>
      </c>
      <c r="AT1058" s="5">
        <v>0</v>
      </c>
      <c r="AU1058" s="5">
        <v>0</v>
      </c>
      <c r="AX1058" s="5">
        <v>0</v>
      </c>
      <c r="AY1058" s="5" t="s">
        <v>86</v>
      </c>
      <c r="BN1058" s="5" t="s">
        <v>86</v>
      </c>
      <c r="CD1058" s="5">
        <v>0</v>
      </c>
      <c r="CF1058" s="1442" t="str">
        <f>IF([1]!sommaire[[#This Row],[présence des personnes déplacés interne]]="Oui","1","0")</f>
        <v>1</v>
      </c>
      <c r="CG1058" s="1442" t="str">
        <f>IF([1]!sommaire[[#This Row],[présence Réfugié hors camp]]="Oui","1","0")</f>
        <v>0</v>
      </c>
      <c r="CH1058" s="1442" t="str">
        <f>IF([1]!sommaire[[#This Row],[présence personnes retournées]]="Oui","1","0")</f>
        <v>0</v>
      </c>
      <c r="CI1058" s="1442">
        <f>[1]!sommaire[[#This Row],[Flag PDI]]+[1]!sommaire[[#This Row],[Flag REF]]+[1]!sommaire[[#This Row],[Flag RET]]</f>
        <v>1</v>
      </c>
    </row>
    <row r="1059" spans="1:87" ht="14.55" customHeight="1" x14ac:dyDescent="0.3">
      <c r="A1059" s="390">
        <v>2630825</v>
      </c>
      <c r="B1059" s="5" t="s">
        <v>533</v>
      </c>
      <c r="C1059" s="1430" t="s">
        <v>3449</v>
      </c>
      <c r="D1059" s="1090" t="s">
        <v>534</v>
      </c>
      <c r="E1059" s="5" t="s">
        <v>34</v>
      </c>
      <c r="F1059" s="5" t="s">
        <v>34</v>
      </c>
      <c r="G1059" s="5" t="s">
        <v>539</v>
      </c>
      <c r="H1059" s="5" t="s">
        <v>189</v>
      </c>
      <c r="I1059" s="5" t="str">
        <f>_xlfn.XLOOKUP(sommaire[[#This Row],[Arrondissement_code]],OCHA_GIS!$F:$F,OCHA_GIS!$E:$E,,)</f>
        <v>Tokombéré</v>
      </c>
      <c r="J1059" s="5" t="s">
        <v>590</v>
      </c>
      <c r="K1059" t="s">
        <v>765</v>
      </c>
      <c r="L1059" s="5" t="s">
        <v>766</v>
      </c>
      <c r="N1059" s="5" t="s">
        <v>3053</v>
      </c>
      <c r="O1059" s="5" t="s">
        <v>2467</v>
      </c>
      <c r="P1059" s="5" t="s">
        <v>85</v>
      </c>
      <c r="Q1059" s="5" t="s">
        <v>86</v>
      </c>
      <c r="R1059" s="5" t="s">
        <v>85</v>
      </c>
      <c r="T1059" s="390">
        <v>4</v>
      </c>
      <c r="U1059" s="5" t="s">
        <v>97</v>
      </c>
      <c r="W1059" s="5" t="s">
        <v>2468</v>
      </c>
      <c r="X1059" s="5" t="s">
        <v>102</v>
      </c>
      <c r="AA1059" s="5" t="s">
        <v>85</v>
      </c>
      <c r="AB1059" s="5" t="s">
        <v>2469</v>
      </c>
      <c r="AC1059" s="5" t="s">
        <v>2470</v>
      </c>
      <c r="AD1059" s="5" t="s">
        <v>86</v>
      </c>
      <c r="AF1059" s="5">
        <v>18</v>
      </c>
      <c r="AG1059" s="5">
        <v>3665</v>
      </c>
      <c r="AH1059" s="5" t="s">
        <v>85</v>
      </c>
      <c r="AI1059" s="5" t="s">
        <v>2471</v>
      </c>
      <c r="AJ1059" s="5">
        <v>18</v>
      </c>
      <c r="AK1059" s="5">
        <v>158</v>
      </c>
      <c r="AL1059" s="5">
        <v>54</v>
      </c>
      <c r="AM1059" s="5">
        <v>104</v>
      </c>
      <c r="AN1059" s="5">
        <v>0</v>
      </c>
      <c r="AO1059" s="5">
        <v>10</v>
      </c>
      <c r="AP1059" s="5">
        <v>8</v>
      </c>
      <c r="AQ1059" s="5">
        <v>0</v>
      </c>
      <c r="AT1059" s="5">
        <v>0</v>
      </c>
      <c r="AU1059" s="5">
        <v>0</v>
      </c>
      <c r="AX1059" s="5">
        <v>0</v>
      </c>
      <c r="AY1059" s="5" t="s">
        <v>86</v>
      </c>
      <c r="BN1059" s="5" t="s">
        <v>86</v>
      </c>
      <c r="CD1059" s="5">
        <v>0</v>
      </c>
      <c r="CF1059" s="1442" t="str">
        <f>IF([1]!sommaire[[#This Row],[présence des personnes déplacés interne]]="Oui","1","0")</f>
        <v>1</v>
      </c>
      <c r="CG1059" s="1442" t="str">
        <f>IF([1]!sommaire[[#This Row],[présence Réfugié hors camp]]="Oui","1","0")</f>
        <v>0</v>
      </c>
      <c r="CH1059" s="1442" t="str">
        <f>IF([1]!sommaire[[#This Row],[présence personnes retournées]]="Oui","1","0")</f>
        <v>0</v>
      </c>
      <c r="CI1059" s="1442">
        <f>[1]!sommaire[[#This Row],[Flag PDI]]+[1]!sommaire[[#This Row],[Flag REF]]+[1]!sommaire[[#This Row],[Flag RET]]</f>
        <v>1</v>
      </c>
    </row>
    <row r="1060" spans="1:87" ht="14.55" customHeight="1" x14ac:dyDescent="0.3">
      <c r="A1060" s="390">
        <v>2630072</v>
      </c>
      <c r="B1060" s="5" t="s">
        <v>533</v>
      </c>
      <c r="C1060" s="1430" t="s">
        <v>3449</v>
      </c>
      <c r="D1060" s="1090" t="s">
        <v>534</v>
      </c>
      <c r="E1060" s="5" t="s">
        <v>34</v>
      </c>
      <c r="F1060" s="5" t="s">
        <v>34</v>
      </c>
      <c r="G1060" s="5" t="s">
        <v>539</v>
      </c>
      <c r="H1060" s="5" t="s">
        <v>189</v>
      </c>
      <c r="I1060" s="5" t="str">
        <f>_xlfn.XLOOKUP(sommaire[[#This Row],[Arrondissement_code]],OCHA_GIS!$F:$F,OCHA_GIS!$E:$E,,)</f>
        <v>Tokombéré</v>
      </c>
      <c r="J1060" s="5" t="s">
        <v>590</v>
      </c>
      <c r="K1060" t="s">
        <v>1375</v>
      </c>
      <c r="L1060" s="5" t="s">
        <v>1376</v>
      </c>
      <c r="N1060" s="5" t="s">
        <v>3053</v>
      </c>
      <c r="O1060" s="5" t="s">
        <v>2467</v>
      </c>
      <c r="P1060" s="5" t="s">
        <v>85</v>
      </c>
      <c r="Q1060" s="5" t="s">
        <v>86</v>
      </c>
      <c r="R1060" s="5" t="s">
        <v>85</v>
      </c>
      <c r="T1060" s="390">
        <v>5</v>
      </c>
      <c r="U1060" s="5" t="s">
        <v>97</v>
      </c>
      <c r="W1060" s="5" t="s">
        <v>2468</v>
      </c>
      <c r="X1060" s="5" t="s">
        <v>102</v>
      </c>
      <c r="AA1060" s="5" t="s">
        <v>85</v>
      </c>
      <c r="AB1060" s="5" t="s">
        <v>2469</v>
      </c>
      <c r="AC1060" s="5" t="s">
        <v>2470</v>
      </c>
      <c r="AD1060" s="5" t="s">
        <v>86</v>
      </c>
      <c r="AF1060" s="5">
        <v>36</v>
      </c>
      <c r="AG1060" s="5">
        <v>3093</v>
      </c>
      <c r="AH1060" s="5" t="s">
        <v>85</v>
      </c>
      <c r="AI1060" s="5" t="s">
        <v>2471</v>
      </c>
      <c r="AJ1060" s="5">
        <v>36</v>
      </c>
      <c r="AK1060" s="5">
        <v>182</v>
      </c>
      <c r="AL1060" s="5">
        <v>75</v>
      </c>
      <c r="AM1060" s="5">
        <v>107</v>
      </c>
      <c r="AN1060" s="5">
        <v>0</v>
      </c>
      <c r="AO1060" s="5">
        <v>27</v>
      </c>
      <c r="AP1060" s="5">
        <v>0</v>
      </c>
      <c r="AQ1060" s="5">
        <v>9</v>
      </c>
      <c r="AR1060" s="5" t="s">
        <v>2477</v>
      </c>
      <c r="AT1060" s="5">
        <v>0</v>
      </c>
      <c r="AU1060" s="5">
        <v>0</v>
      </c>
      <c r="AX1060" s="5">
        <v>0</v>
      </c>
      <c r="AY1060" s="5" t="s">
        <v>86</v>
      </c>
      <c r="BN1060" s="5" t="s">
        <v>86</v>
      </c>
      <c r="CD1060" s="5">
        <v>0</v>
      </c>
      <c r="CF1060" s="1442" t="str">
        <f>IF([1]!sommaire[[#This Row],[présence des personnes déplacés interne]]="Oui","1","0")</f>
        <v>1</v>
      </c>
      <c r="CG1060" s="1442" t="str">
        <f>IF([1]!sommaire[[#This Row],[présence Réfugié hors camp]]="Oui","1","0")</f>
        <v>0</v>
      </c>
      <c r="CH1060" s="1442" t="str">
        <f>IF([1]!sommaire[[#This Row],[présence personnes retournées]]="Oui","1","0")</f>
        <v>0</v>
      </c>
      <c r="CI1060" s="1442">
        <f>[1]!sommaire[[#This Row],[Flag PDI]]+[1]!sommaire[[#This Row],[Flag REF]]+[1]!sommaire[[#This Row],[Flag RET]]</f>
        <v>1</v>
      </c>
    </row>
    <row r="1061" spans="1:87" ht="14.55" customHeight="1" x14ac:dyDescent="0.3">
      <c r="A1061" s="390">
        <v>2630139</v>
      </c>
      <c r="B1061" s="5" t="s">
        <v>533</v>
      </c>
      <c r="C1061" s="1430" t="s">
        <v>3449</v>
      </c>
      <c r="D1061" s="5" t="s">
        <v>534</v>
      </c>
      <c r="E1061" s="5" t="s">
        <v>34</v>
      </c>
      <c r="F1061" s="5" t="s">
        <v>34</v>
      </c>
      <c r="G1061" s="5" t="s">
        <v>539</v>
      </c>
      <c r="H1061" s="5" t="s">
        <v>189</v>
      </c>
      <c r="I1061" s="5" t="str">
        <f>_xlfn.XLOOKUP(sommaire[[#This Row],[Arrondissement_code]],OCHA_GIS!$F:$F,OCHA_GIS!$E:$E,,)</f>
        <v>Tokombéré</v>
      </c>
      <c r="J1061" s="5" t="s">
        <v>590</v>
      </c>
      <c r="K1061" t="s">
        <v>1052</v>
      </c>
      <c r="L1061" s="5" t="s">
        <v>3258</v>
      </c>
      <c r="N1061" s="5" t="s">
        <v>3053</v>
      </c>
      <c r="O1061" s="5" t="s">
        <v>2473</v>
      </c>
      <c r="P1061" s="5" t="s">
        <v>86</v>
      </c>
      <c r="Q1061" s="5" t="s">
        <v>85</v>
      </c>
      <c r="R1061" s="5" t="s">
        <v>85</v>
      </c>
      <c r="S1061" s="390">
        <v>8</v>
      </c>
      <c r="U1061" s="5" t="s">
        <v>97</v>
      </c>
      <c r="W1061" s="5" t="s">
        <v>2468</v>
      </c>
      <c r="X1061" s="5" t="s">
        <v>102</v>
      </c>
      <c r="AA1061" s="5" t="s">
        <v>85</v>
      </c>
      <c r="AB1061" s="5" t="s">
        <v>2473</v>
      </c>
      <c r="AC1061" s="5" t="s">
        <v>2470</v>
      </c>
      <c r="AF1061" s="5">
        <v>157</v>
      </c>
      <c r="AG1061" s="5">
        <v>1276</v>
      </c>
      <c r="AH1061" s="5" t="s">
        <v>85</v>
      </c>
      <c r="AI1061" s="5" t="s">
        <v>2485</v>
      </c>
      <c r="AJ1061" s="5">
        <v>157</v>
      </c>
      <c r="AK1061" s="5">
        <v>1276</v>
      </c>
      <c r="AL1061" s="5">
        <v>545</v>
      </c>
      <c r="AM1061" s="5">
        <v>731</v>
      </c>
      <c r="AN1061" s="5">
        <v>0</v>
      </c>
      <c r="AO1061" s="5">
        <v>0</v>
      </c>
      <c r="AP1061" s="5">
        <v>0</v>
      </c>
      <c r="AQ1061" s="5">
        <v>0</v>
      </c>
      <c r="AT1061" s="5">
        <v>0</v>
      </c>
      <c r="AU1061" s="5">
        <v>157</v>
      </c>
      <c r="AV1061" s="5" t="s">
        <v>2490</v>
      </c>
      <c r="AX1061" s="5">
        <v>0</v>
      </c>
      <c r="AY1061" s="5" t="s">
        <v>86</v>
      </c>
      <c r="BN1061" s="5" t="s">
        <v>86</v>
      </c>
      <c r="CD1061" s="5">
        <v>0</v>
      </c>
      <c r="CF1061" s="1442" t="str">
        <f>IF([1]!sommaire[[#This Row],[présence des personnes déplacés interne]]="Oui","1","0")</f>
        <v>1</v>
      </c>
      <c r="CG1061" s="1442" t="str">
        <f>IF([1]!sommaire[[#This Row],[présence Réfugié hors camp]]="Oui","1","0")</f>
        <v>0</v>
      </c>
      <c r="CH1061" s="1442" t="str">
        <f>IF([1]!sommaire[[#This Row],[présence personnes retournées]]="Oui","1","0")</f>
        <v>0</v>
      </c>
      <c r="CI1061" s="1442">
        <f>[1]!sommaire[[#This Row],[Flag PDI]]+[1]!sommaire[[#This Row],[Flag REF]]+[1]!sommaire[[#This Row],[Flag RET]]</f>
        <v>1</v>
      </c>
    </row>
    <row r="1062" spans="1:87" ht="14.55" customHeight="1" x14ac:dyDescent="0.3">
      <c r="A1062" s="390">
        <v>2640438</v>
      </c>
      <c r="B1062" s="5" t="s">
        <v>533</v>
      </c>
      <c r="C1062" s="1430" t="s">
        <v>3449</v>
      </c>
      <c r="D1062" s="5" t="s">
        <v>534</v>
      </c>
      <c r="E1062" s="5" t="s">
        <v>34</v>
      </c>
      <c r="F1062" s="5" t="s">
        <v>34</v>
      </c>
      <c r="G1062" s="5" t="s">
        <v>539</v>
      </c>
      <c r="H1062" s="5" t="s">
        <v>189</v>
      </c>
      <c r="I1062" s="5" t="str">
        <f>_xlfn.XLOOKUP(sommaire[[#This Row],[Arrondissement_code]],OCHA_GIS!$F:$F,OCHA_GIS!$E:$E,,)</f>
        <v>Tokombéré</v>
      </c>
      <c r="J1062" s="5" t="s">
        <v>590</v>
      </c>
      <c r="K1062" t="s">
        <v>3010</v>
      </c>
      <c r="L1062" s="5" t="s">
        <v>591</v>
      </c>
      <c r="N1062" s="5" t="s">
        <v>3053</v>
      </c>
      <c r="O1062" s="5" t="s">
        <v>2473</v>
      </c>
      <c r="P1062" s="5" t="s">
        <v>85</v>
      </c>
      <c r="Q1062" s="5" t="s">
        <v>86</v>
      </c>
      <c r="R1062" s="5" t="s">
        <v>85</v>
      </c>
      <c r="T1062" s="390">
        <v>5</v>
      </c>
      <c r="U1062" s="5" t="s">
        <v>97</v>
      </c>
      <c r="W1062" s="5" t="s">
        <v>2468</v>
      </c>
      <c r="X1062" s="5" t="s">
        <v>102</v>
      </c>
      <c r="AA1062" s="5" t="s">
        <v>85</v>
      </c>
      <c r="AB1062" s="5" t="s">
        <v>2469</v>
      </c>
      <c r="AC1062" s="5" t="s">
        <v>2470</v>
      </c>
      <c r="AF1062" s="5">
        <v>30</v>
      </c>
      <c r="AG1062" s="5">
        <v>243</v>
      </c>
      <c r="AH1062" s="5" t="s">
        <v>85</v>
      </c>
      <c r="AI1062" s="5" t="s">
        <v>2471</v>
      </c>
      <c r="AJ1062" s="5">
        <v>30</v>
      </c>
      <c r="AK1062" s="5">
        <v>243</v>
      </c>
      <c r="AL1062" s="5">
        <v>102</v>
      </c>
      <c r="AM1062" s="5">
        <v>141</v>
      </c>
      <c r="AN1062" s="5">
        <v>0</v>
      </c>
      <c r="AO1062" s="5">
        <v>0</v>
      </c>
      <c r="AP1062" s="5">
        <v>0</v>
      </c>
      <c r="AQ1062" s="5">
        <v>0</v>
      </c>
      <c r="AT1062" s="5">
        <v>0</v>
      </c>
      <c r="AU1062" s="5">
        <v>30</v>
      </c>
      <c r="AV1062" s="5" t="s">
        <v>2490</v>
      </c>
      <c r="AX1062" s="5">
        <v>0</v>
      </c>
      <c r="AY1062" s="5" t="s">
        <v>86</v>
      </c>
      <c r="BN1062" s="5" t="s">
        <v>86</v>
      </c>
      <c r="CD1062" s="5">
        <v>0</v>
      </c>
      <c r="CF1062" s="1442" t="str">
        <f>IF([1]!sommaire[[#This Row],[présence des personnes déplacés interne]]="Oui","1","0")</f>
        <v>1</v>
      </c>
      <c r="CG1062" s="1442" t="str">
        <f>IF([1]!sommaire[[#This Row],[présence Réfugié hors camp]]="Oui","1","0")</f>
        <v>0</v>
      </c>
      <c r="CH1062" s="1442" t="str">
        <f>IF([1]!sommaire[[#This Row],[présence personnes retournées]]="Oui","1","0")</f>
        <v>0</v>
      </c>
      <c r="CI1062" s="1442">
        <f>[1]!sommaire[[#This Row],[Flag PDI]]+[1]!sommaire[[#This Row],[Flag REF]]+[1]!sommaire[[#This Row],[Flag RET]]</f>
        <v>1</v>
      </c>
    </row>
    <row r="1063" spans="1:87" ht="14.55" customHeight="1" x14ac:dyDescent="0.3">
      <c r="A1063" s="390">
        <v>2630196</v>
      </c>
      <c r="B1063" s="5" t="s">
        <v>533</v>
      </c>
      <c r="C1063" s="1430" t="s">
        <v>3449</v>
      </c>
      <c r="D1063" s="5" t="s">
        <v>534</v>
      </c>
      <c r="E1063" s="5" t="s">
        <v>34</v>
      </c>
      <c r="F1063" s="5" t="s">
        <v>34</v>
      </c>
      <c r="G1063" s="5" t="s">
        <v>539</v>
      </c>
      <c r="H1063" s="5" t="s">
        <v>189</v>
      </c>
      <c r="I1063" s="5" t="str">
        <f>_xlfn.XLOOKUP(sommaire[[#This Row],[Arrondissement_code]],OCHA_GIS!$F:$F,OCHA_GIS!$E:$E,,)</f>
        <v>Tokombéré</v>
      </c>
      <c r="J1063" s="5" t="s">
        <v>590</v>
      </c>
      <c r="K1063" t="s">
        <v>1371</v>
      </c>
      <c r="L1063" s="5" t="s">
        <v>1372</v>
      </c>
      <c r="N1063" s="5" t="s">
        <v>3053</v>
      </c>
      <c r="O1063" s="5" t="s">
        <v>2467</v>
      </c>
      <c r="P1063" s="5" t="s">
        <v>85</v>
      </c>
      <c r="Q1063" s="5" t="s">
        <v>86</v>
      </c>
      <c r="R1063" s="5" t="s">
        <v>85</v>
      </c>
      <c r="T1063" s="390">
        <v>5</v>
      </c>
      <c r="U1063" s="5" t="s">
        <v>97</v>
      </c>
      <c r="W1063" s="5" t="s">
        <v>2468</v>
      </c>
      <c r="X1063" s="5" t="s">
        <v>102</v>
      </c>
      <c r="AA1063" s="5" t="s">
        <v>85</v>
      </c>
      <c r="AB1063" s="5" t="s">
        <v>2469</v>
      </c>
      <c r="AC1063" s="5" t="s">
        <v>2470</v>
      </c>
      <c r="AD1063" s="5" t="s">
        <v>86</v>
      </c>
      <c r="AF1063" s="5">
        <v>10</v>
      </c>
      <c r="AG1063" s="5">
        <v>3078</v>
      </c>
      <c r="AH1063" s="5" t="s">
        <v>85</v>
      </c>
      <c r="AI1063" s="5" t="s">
        <v>2471</v>
      </c>
      <c r="AJ1063" s="5">
        <v>10</v>
      </c>
      <c r="AK1063" s="5">
        <v>124</v>
      </c>
      <c r="AL1063" s="5">
        <v>51</v>
      </c>
      <c r="AM1063" s="5">
        <v>73</v>
      </c>
      <c r="AN1063" s="5">
        <v>0</v>
      </c>
      <c r="AO1063" s="5">
        <v>7</v>
      </c>
      <c r="AP1063" s="5">
        <v>0</v>
      </c>
      <c r="AQ1063" s="5">
        <v>3</v>
      </c>
      <c r="AR1063" s="5" t="s">
        <v>2477</v>
      </c>
      <c r="AT1063" s="5">
        <v>0</v>
      </c>
      <c r="AU1063" s="5">
        <v>0</v>
      </c>
      <c r="AX1063" s="5">
        <v>0</v>
      </c>
      <c r="AY1063" s="5" t="s">
        <v>86</v>
      </c>
      <c r="BN1063" s="5" t="s">
        <v>86</v>
      </c>
      <c r="CD1063" s="5">
        <v>0</v>
      </c>
      <c r="CF1063" s="1442" t="str">
        <f>IF([1]!sommaire[[#This Row],[présence des personnes déplacés interne]]="Oui","1","0")</f>
        <v>1</v>
      </c>
      <c r="CG1063" s="1442" t="str">
        <f>IF([1]!sommaire[[#This Row],[présence Réfugié hors camp]]="Oui","1","0")</f>
        <v>0</v>
      </c>
      <c r="CH1063" s="1442" t="str">
        <f>IF([1]!sommaire[[#This Row],[présence personnes retournées]]="Oui","1","0")</f>
        <v>0</v>
      </c>
      <c r="CI1063" s="1442">
        <f>[1]!sommaire[[#This Row],[Flag PDI]]+[1]!sommaire[[#This Row],[Flag REF]]+[1]!sommaire[[#This Row],[Flag RET]]</f>
        <v>1</v>
      </c>
    </row>
    <row r="1064" spans="1:87" ht="14.55" customHeight="1" x14ac:dyDescent="0.3">
      <c r="A1064" s="390">
        <v>2630248</v>
      </c>
      <c r="B1064" s="5" t="s">
        <v>533</v>
      </c>
      <c r="C1064" s="1430" t="s">
        <v>3449</v>
      </c>
      <c r="D1064" s="5" t="s">
        <v>534</v>
      </c>
      <c r="E1064" s="5" t="s">
        <v>34</v>
      </c>
      <c r="F1064" s="5" t="s">
        <v>34</v>
      </c>
      <c r="G1064" s="5" t="s">
        <v>539</v>
      </c>
      <c r="H1064" s="5" t="s">
        <v>189</v>
      </c>
      <c r="I1064" s="5" t="str">
        <f>_xlfn.XLOOKUP(sommaire[[#This Row],[Arrondissement_code]],OCHA_GIS!$F:$F,OCHA_GIS!$E:$E,,)</f>
        <v>Tokombéré</v>
      </c>
      <c r="J1064" s="5" t="s">
        <v>590</v>
      </c>
      <c r="K1064" t="s">
        <v>1054</v>
      </c>
      <c r="L1064" s="5" t="s">
        <v>1055</v>
      </c>
      <c r="N1064" s="5" t="s">
        <v>3053</v>
      </c>
      <c r="O1064" s="5" t="s">
        <v>2467</v>
      </c>
      <c r="P1064" s="5" t="s">
        <v>85</v>
      </c>
      <c r="Q1064" s="5" t="s">
        <v>86</v>
      </c>
      <c r="R1064" s="5" t="s">
        <v>85</v>
      </c>
      <c r="T1064" s="390">
        <v>5</v>
      </c>
      <c r="U1064" s="5" t="s">
        <v>97</v>
      </c>
      <c r="W1064" s="5" t="s">
        <v>2468</v>
      </c>
      <c r="X1064" s="5" t="s">
        <v>102</v>
      </c>
      <c r="AA1064" s="5" t="s">
        <v>85</v>
      </c>
      <c r="AB1064" s="5" t="s">
        <v>2469</v>
      </c>
      <c r="AC1064" s="5" t="s">
        <v>2470</v>
      </c>
      <c r="AD1064" s="5" t="s">
        <v>86</v>
      </c>
      <c r="AF1064" s="5">
        <v>30</v>
      </c>
      <c r="AG1064" s="5">
        <v>3255</v>
      </c>
      <c r="AH1064" s="5" t="s">
        <v>85</v>
      </c>
      <c r="AI1064" s="5" t="s">
        <v>2471</v>
      </c>
      <c r="AJ1064" s="5">
        <v>30</v>
      </c>
      <c r="AK1064" s="5">
        <v>299</v>
      </c>
      <c r="AL1064" s="5">
        <v>113</v>
      </c>
      <c r="AM1064" s="5">
        <v>186</v>
      </c>
      <c r="AN1064" s="5">
        <v>4</v>
      </c>
      <c r="AO1064" s="5">
        <v>23</v>
      </c>
      <c r="AP1064" s="5">
        <v>3</v>
      </c>
      <c r="AQ1064" s="5">
        <v>0</v>
      </c>
      <c r="AT1064" s="5">
        <v>0</v>
      </c>
      <c r="AU1064" s="5">
        <v>0</v>
      </c>
      <c r="AX1064" s="5">
        <v>0</v>
      </c>
      <c r="AY1064" s="5" t="s">
        <v>86</v>
      </c>
      <c r="BN1064" s="5" t="s">
        <v>86</v>
      </c>
      <c r="CD1064" s="5">
        <v>0</v>
      </c>
      <c r="CF1064" s="1442" t="str">
        <f>IF([1]!sommaire[[#This Row],[présence des personnes déplacés interne]]="Oui","1","0")</f>
        <v>1</v>
      </c>
      <c r="CG1064" s="1442" t="str">
        <f>IF([1]!sommaire[[#This Row],[présence Réfugié hors camp]]="Oui","1","0")</f>
        <v>0</v>
      </c>
      <c r="CH1064" s="1442" t="str">
        <f>IF([1]!sommaire[[#This Row],[présence personnes retournées]]="Oui","1","0")</f>
        <v>0</v>
      </c>
      <c r="CI1064" s="1442">
        <f>[1]!sommaire[[#This Row],[Flag PDI]]+[1]!sommaire[[#This Row],[Flag REF]]+[1]!sommaire[[#This Row],[Flag RET]]</f>
        <v>1</v>
      </c>
    </row>
    <row r="1065" spans="1:87" ht="14.55" customHeight="1" x14ac:dyDescent="0.3">
      <c r="A1065" s="390">
        <v>2630058</v>
      </c>
      <c r="B1065" s="5" t="s">
        <v>533</v>
      </c>
      <c r="C1065" s="1430" t="s">
        <v>3449</v>
      </c>
      <c r="D1065" s="5" t="s">
        <v>534</v>
      </c>
      <c r="E1065" s="5" t="s">
        <v>34</v>
      </c>
      <c r="F1065" s="5" t="s">
        <v>34</v>
      </c>
      <c r="G1065" s="5" t="s">
        <v>539</v>
      </c>
      <c r="H1065" s="5" t="s">
        <v>189</v>
      </c>
      <c r="I1065" s="5" t="str">
        <f>_xlfn.XLOOKUP(sommaire[[#This Row],[Arrondissement_code]],OCHA_GIS!$F:$F,OCHA_GIS!$E:$E,,)</f>
        <v>Tokombéré</v>
      </c>
      <c r="J1065" s="5" t="s">
        <v>590</v>
      </c>
      <c r="K1065" t="s">
        <v>1373</v>
      </c>
      <c r="L1065" s="5" t="s">
        <v>1374</v>
      </c>
      <c r="N1065" s="5" t="s">
        <v>3052</v>
      </c>
      <c r="O1065" s="5" t="s">
        <v>2467</v>
      </c>
      <c r="P1065" s="5" t="s">
        <v>85</v>
      </c>
      <c r="Q1065" s="5" t="s">
        <v>86</v>
      </c>
      <c r="R1065" s="5" t="s">
        <v>85</v>
      </c>
      <c r="T1065" s="390">
        <v>5</v>
      </c>
      <c r="U1065" s="5" t="s">
        <v>97</v>
      </c>
      <c r="W1065" s="5" t="s">
        <v>2468</v>
      </c>
      <c r="X1065" s="5" t="s">
        <v>102</v>
      </c>
      <c r="AA1065" s="5" t="s">
        <v>85</v>
      </c>
      <c r="AB1065" s="5" t="s">
        <v>2469</v>
      </c>
      <c r="AC1065" s="5" t="s">
        <v>2470</v>
      </c>
      <c r="AD1065" s="5" t="s">
        <v>86</v>
      </c>
      <c r="AF1065" s="5">
        <v>38</v>
      </c>
      <c r="AG1065" s="5">
        <v>9212</v>
      </c>
      <c r="AH1065" s="5" t="s">
        <v>85</v>
      </c>
      <c r="AI1065" s="5" t="s">
        <v>2471</v>
      </c>
      <c r="AJ1065" s="5">
        <v>38</v>
      </c>
      <c r="AK1065" s="5">
        <v>319</v>
      </c>
      <c r="AL1065" s="5">
        <v>81</v>
      </c>
      <c r="AM1065" s="5">
        <v>238</v>
      </c>
      <c r="AN1065" s="5">
        <v>18</v>
      </c>
      <c r="AO1065" s="5">
        <v>20</v>
      </c>
      <c r="AP1065" s="5">
        <v>0</v>
      </c>
      <c r="AQ1065" s="5">
        <v>0</v>
      </c>
      <c r="AT1065" s="5">
        <v>0</v>
      </c>
      <c r="AU1065" s="5">
        <v>0</v>
      </c>
      <c r="AX1065" s="5">
        <v>0</v>
      </c>
      <c r="AY1065" s="5" t="s">
        <v>86</v>
      </c>
      <c r="BN1065" s="5" t="s">
        <v>86</v>
      </c>
      <c r="CD1065" s="5">
        <v>0</v>
      </c>
      <c r="CF1065" s="1442" t="str">
        <f>IF([1]!sommaire[[#This Row],[présence des personnes déplacés interne]]="Oui","1","0")</f>
        <v>1</v>
      </c>
      <c r="CG1065" s="1442" t="str">
        <f>IF([1]!sommaire[[#This Row],[présence Réfugié hors camp]]="Oui","1","0")</f>
        <v>0</v>
      </c>
      <c r="CH1065" s="1442" t="str">
        <f>IF([1]!sommaire[[#This Row],[présence personnes retournées]]="Oui","1","0")</f>
        <v>0</v>
      </c>
      <c r="CI1065" s="1442">
        <f>[1]!sommaire[[#This Row],[Flag PDI]]+[1]!sommaire[[#This Row],[Flag REF]]+[1]!sommaire[[#This Row],[Flag RET]]</f>
        <v>1</v>
      </c>
    </row>
    <row r="1066" spans="1:87" ht="14.55" customHeight="1" x14ac:dyDescent="0.3">
      <c r="A1066" s="390">
        <v>2611068</v>
      </c>
      <c r="B1066" s="5" t="s">
        <v>533</v>
      </c>
      <c r="C1066" s="1430" t="s">
        <v>3449</v>
      </c>
      <c r="D1066" s="1090" t="s">
        <v>534</v>
      </c>
      <c r="E1066" s="5" t="s">
        <v>35</v>
      </c>
      <c r="F1066" s="5" t="s">
        <v>35</v>
      </c>
      <c r="G1066" s="5" t="s">
        <v>567</v>
      </c>
      <c r="H1066" s="5" t="s">
        <v>190</v>
      </c>
      <c r="I1066" s="5" t="str">
        <f>_xlfn.XLOOKUP(sommaire[[#This Row],[Arrondissement_code]],OCHA_GIS!$F:$F,OCHA_GIS!$E:$E,,)</f>
        <v>Bourha</v>
      </c>
      <c r="J1066" s="5" t="s">
        <v>800</v>
      </c>
      <c r="K1066" t="s">
        <v>1810</v>
      </c>
      <c r="L1066" s="5" t="s">
        <v>1811</v>
      </c>
      <c r="N1066" s="5" t="s">
        <v>3053</v>
      </c>
      <c r="O1066" s="5" t="s">
        <v>2467</v>
      </c>
      <c r="P1066" s="5" t="s">
        <v>85</v>
      </c>
      <c r="Q1066" s="5" t="s">
        <v>86</v>
      </c>
      <c r="R1066" s="5" t="s">
        <v>86</v>
      </c>
      <c r="T1066" s="390">
        <v>3</v>
      </c>
      <c r="U1066" s="5" t="s">
        <v>97</v>
      </c>
      <c r="W1066" s="5" t="s">
        <v>2468</v>
      </c>
      <c r="X1066" s="5" t="s">
        <v>102</v>
      </c>
      <c r="AA1066" s="5" t="s">
        <v>85</v>
      </c>
      <c r="AB1066" s="5" t="s">
        <v>2469</v>
      </c>
      <c r="AC1066" s="5" t="s">
        <v>2521</v>
      </c>
      <c r="AD1066" s="5" t="s">
        <v>86</v>
      </c>
      <c r="AF1066" s="5">
        <v>10</v>
      </c>
      <c r="AG1066" s="5">
        <v>20000</v>
      </c>
      <c r="AH1066" s="5" t="s">
        <v>85</v>
      </c>
      <c r="AI1066" s="5" t="s">
        <v>2487</v>
      </c>
      <c r="AJ1066" s="5">
        <v>10</v>
      </c>
      <c r="AK1066" s="5">
        <v>105</v>
      </c>
      <c r="AL1066" s="5">
        <v>44</v>
      </c>
      <c r="AM1066" s="5">
        <v>61</v>
      </c>
      <c r="AN1066" s="5">
        <v>2</v>
      </c>
      <c r="AO1066" s="5">
        <v>5</v>
      </c>
      <c r="AP1066" s="5">
        <v>3</v>
      </c>
      <c r="AQ1066" s="5">
        <v>0</v>
      </c>
      <c r="AT1066" s="5">
        <v>0</v>
      </c>
      <c r="AU1066" s="5">
        <v>0</v>
      </c>
      <c r="AX1066" s="5">
        <v>0</v>
      </c>
      <c r="AY1066" s="5" t="s">
        <v>86</v>
      </c>
      <c r="BN1066" s="5" t="s">
        <v>85</v>
      </c>
      <c r="BO1066" s="5">
        <v>17</v>
      </c>
      <c r="BP1066" s="5">
        <v>111</v>
      </c>
      <c r="BQ1066" s="5">
        <v>44</v>
      </c>
      <c r="BR1066" s="5">
        <v>67</v>
      </c>
      <c r="BS1066" s="5" t="s">
        <v>2484</v>
      </c>
      <c r="BT1066" s="5">
        <v>10</v>
      </c>
      <c r="BU1066" s="5">
        <v>2</v>
      </c>
      <c r="BV1066" s="5">
        <v>2</v>
      </c>
      <c r="BW1066" s="5">
        <v>3</v>
      </c>
      <c r="BX1066" s="5">
        <v>0</v>
      </c>
      <c r="BZ1066" s="5">
        <v>0</v>
      </c>
      <c r="CA1066" s="5">
        <v>0</v>
      </c>
      <c r="CC1066" s="5">
        <v>0</v>
      </c>
      <c r="CD1066" s="5">
        <v>0</v>
      </c>
      <c r="CF1066" s="1442" t="str">
        <f>IF([1]!sommaire[[#This Row],[présence des personnes déplacés interne]]="Oui","1","0")</f>
        <v>1</v>
      </c>
      <c r="CG1066" s="1442" t="str">
        <f>IF([1]!sommaire[[#This Row],[présence Réfugié hors camp]]="Oui","1","0")</f>
        <v>0</v>
      </c>
      <c r="CH1066" s="1442" t="str">
        <f>IF([1]!sommaire[[#This Row],[présence personnes retournées]]="Oui","1","0")</f>
        <v>1</v>
      </c>
      <c r="CI1066" s="1442">
        <f>[1]!sommaire[[#This Row],[Flag PDI]]+[1]!sommaire[[#This Row],[Flag REF]]+[1]!sommaire[[#This Row],[Flag RET]]</f>
        <v>2</v>
      </c>
    </row>
    <row r="1067" spans="1:87" ht="14.55" customHeight="1" x14ac:dyDescent="0.3">
      <c r="A1067" s="390">
        <v>2591158</v>
      </c>
      <c r="B1067" s="5" t="s">
        <v>533</v>
      </c>
      <c r="C1067" s="1430" t="s">
        <v>3449</v>
      </c>
      <c r="D1067" s="1090" t="s">
        <v>534</v>
      </c>
      <c r="E1067" s="5" t="s">
        <v>35</v>
      </c>
      <c r="F1067" s="5" t="s">
        <v>35</v>
      </c>
      <c r="G1067" s="5" t="s">
        <v>567</v>
      </c>
      <c r="H1067" s="5" t="s">
        <v>190</v>
      </c>
      <c r="I1067" s="5" t="str">
        <f>_xlfn.XLOOKUP(sommaire[[#This Row],[Arrondissement_code]],OCHA_GIS!$F:$F,OCHA_GIS!$E:$E,,)</f>
        <v>Bourha</v>
      </c>
      <c r="J1067" s="5" t="s">
        <v>800</v>
      </c>
      <c r="K1067" t="s">
        <v>851</v>
      </c>
      <c r="L1067" s="5" t="s">
        <v>852</v>
      </c>
      <c r="N1067" s="5" t="s">
        <v>3053</v>
      </c>
      <c r="O1067" s="5" t="s">
        <v>2467</v>
      </c>
      <c r="P1067" s="5" t="s">
        <v>85</v>
      </c>
      <c r="Q1067" s="5" t="s">
        <v>86</v>
      </c>
      <c r="R1067" s="5" t="s">
        <v>86</v>
      </c>
      <c r="T1067" s="390">
        <v>4</v>
      </c>
      <c r="U1067" s="5" t="s">
        <v>97</v>
      </c>
      <c r="W1067" s="5" t="s">
        <v>2468</v>
      </c>
      <c r="X1067" s="5" t="s">
        <v>102</v>
      </c>
      <c r="AA1067" s="5" t="s">
        <v>85</v>
      </c>
      <c r="AB1067" s="5" t="s">
        <v>2469</v>
      </c>
      <c r="AC1067" s="5" t="s">
        <v>312</v>
      </c>
      <c r="AD1067" s="5" t="s">
        <v>86</v>
      </c>
      <c r="AF1067" s="5">
        <v>23</v>
      </c>
      <c r="AG1067" s="5">
        <v>15000</v>
      </c>
      <c r="AH1067" s="5" t="s">
        <v>85</v>
      </c>
      <c r="AI1067" s="5" t="s">
        <v>2486</v>
      </c>
      <c r="AJ1067" s="5">
        <v>23</v>
      </c>
      <c r="AK1067" s="5">
        <v>140</v>
      </c>
      <c r="AL1067" s="5">
        <v>65</v>
      </c>
      <c r="AM1067" s="5">
        <v>75</v>
      </c>
      <c r="AN1067" s="5">
        <v>4</v>
      </c>
      <c r="AO1067" s="5">
        <v>8</v>
      </c>
      <c r="AP1067" s="5">
        <v>8</v>
      </c>
      <c r="AQ1067" s="5">
        <v>3</v>
      </c>
      <c r="AR1067" s="5" t="s">
        <v>2477</v>
      </c>
      <c r="AT1067" s="5">
        <v>0</v>
      </c>
      <c r="AU1067" s="5">
        <v>0</v>
      </c>
      <c r="AX1067" s="5">
        <v>0</v>
      </c>
      <c r="AY1067" s="5" t="s">
        <v>85</v>
      </c>
      <c r="AZ1067" s="5">
        <v>23</v>
      </c>
      <c r="BA1067" s="5">
        <v>136</v>
      </c>
      <c r="BB1067" s="5">
        <v>58</v>
      </c>
      <c r="BC1067" s="5">
        <v>78</v>
      </c>
      <c r="BD1067" s="5">
        <v>7</v>
      </c>
      <c r="BE1067" s="5">
        <v>13</v>
      </c>
      <c r="BF1067" s="5">
        <v>3</v>
      </c>
      <c r="BG1067" s="5" t="s">
        <v>2477</v>
      </c>
      <c r="BH1067" s="5">
        <v>0</v>
      </c>
      <c r="BI1067" s="5">
        <v>0</v>
      </c>
      <c r="BL1067" s="5">
        <v>0</v>
      </c>
      <c r="BM1067" s="5">
        <v>0</v>
      </c>
      <c r="BN1067" s="5" t="s">
        <v>86</v>
      </c>
      <c r="CD1067" s="5">
        <v>0</v>
      </c>
      <c r="CF1067" s="1442" t="str">
        <f>IF([1]!sommaire[[#This Row],[présence des personnes déplacés interne]]="Oui","1","0")</f>
        <v>1</v>
      </c>
      <c r="CG1067" s="1442" t="str">
        <f>IF([1]!sommaire[[#This Row],[présence Réfugié hors camp]]="Oui","1","0")</f>
        <v>1</v>
      </c>
      <c r="CH1067" s="1442" t="str">
        <f>IF([1]!sommaire[[#This Row],[présence personnes retournées]]="Oui","1","0")</f>
        <v>0</v>
      </c>
      <c r="CI1067" s="1442">
        <f>[1]!sommaire[[#This Row],[Flag PDI]]+[1]!sommaire[[#This Row],[Flag REF]]+[1]!sommaire[[#This Row],[Flag RET]]</f>
        <v>2</v>
      </c>
    </row>
    <row r="1068" spans="1:87" ht="14.55" customHeight="1" x14ac:dyDescent="0.3">
      <c r="A1068" s="390">
        <v>2606078</v>
      </c>
      <c r="B1068" s="5" t="s">
        <v>533</v>
      </c>
      <c r="C1068" s="1430" t="s">
        <v>3449</v>
      </c>
      <c r="D1068" s="1090" t="s">
        <v>534</v>
      </c>
      <c r="E1068" s="5" t="s">
        <v>35</v>
      </c>
      <c r="F1068" s="5" t="s">
        <v>35</v>
      </c>
      <c r="G1068" s="5" t="s">
        <v>567</v>
      </c>
      <c r="H1068" s="5" t="s">
        <v>190</v>
      </c>
      <c r="I1068" s="5" t="str">
        <f>_xlfn.XLOOKUP(sommaire[[#This Row],[Arrondissement_code]],OCHA_GIS!$F:$F,OCHA_GIS!$E:$E,,)</f>
        <v>Bourha</v>
      </c>
      <c r="J1068" s="5" t="s">
        <v>800</v>
      </c>
      <c r="K1068" t="s">
        <v>2853</v>
      </c>
      <c r="L1068" s="5" t="s">
        <v>801</v>
      </c>
      <c r="N1068" s="5" t="s">
        <v>3053</v>
      </c>
      <c r="O1068" s="5" t="s">
        <v>2467</v>
      </c>
      <c r="P1068" s="5" t="s">
        <v>85</v>
      </c>
      <c r="Q1068" s="5" t="s">
        <v>86</v>
      </c>
      <c r="R1068" s="5" t="s">
        <v>86</v>
      </c>
      <c r="T1068" s="390">
        <v>3</v>
      </c>
      <c r="U1068" s="5" t="s">
        <v>97</v>
      </c>
      <c r="W1068" s="5" t="s">
        <v>2468</v>
      </c>
      <c r="X1068" s="5" t="s">
        <v>102</v>
      </c>
      <c r="AA1068" s="5" t="s">
        <v>85</v>
      </c>
      <c r="AB1068" s="5" t="s">
        <v>2469</v>
      </c>
      <c r="AC1068" s="5" t="s">
        <v>2521</v>
      </c>
      <c r="AD1068" s="5" t="s">
        <v>86</v>
      </c>
      <c r="AF1068" s="5">
        <v>26</v>
      </c>
      <c r="AG1068" s="5">
        <v>15000</v>
      </c>
      <c r="AH1068" s="5" t="s">
        <v>85</v>
      </c>
      <c r="AI1068" s="5" t="s">
        <v>2487</v>
      </c>
      <c r="AJ1068" s="5">
        <v>26</v>
      </c>
      <c r="AK1068" s="5">
        <v>158</v>
      </c>
      <c r="AL1068" s="5">
        <v>89</v>
      </c>
      <c r="AM1068" s="5">
        <v>69</v>
      </c>
      <c r="AN1068" s="5">
        <v>5</v>
      </c>
      <c r="AO1068" s="5">
        <v>9</v>
      </c>
      <c r="AP1068" s="5">
        <v>6</v>
      </c>
      <c r="AQ1068" s="5">
        <v>3</v>
      </c>
      <c r="AR1068" s="5" t="s">
        <v>2477</v>
      </c>
      <c r="AT1068" s="5">
        <v>3</v>
      </c>
      <c r="AU1068" s="5">
        <v>0</v>
      </c>
      <c r="AX1068" s="5">
        <v>0</v>
      </c>
      <c r="AY1068" s="5" t="s">
        <v>85</v>
      </c>
      <c r="AZ1068" s="5">
        <v>1</v>
      </c>
      <c r="BA1068" s="5">
        <v>39</v>
      </c>
      <c r="BB1068" s="5">
        <v>16</v>
      </c>
      <c r="BC1068" s="5">
        <v>23</v>
      </c>
      <c r="BD1068" s="5">
        <v>1</v>
      </c>
      <c r="BE1068" s="5">
        <v>0</v>
      </c>
      <c r="BF1068" s="5">
        <v>0</v>
      </c>
      <c r="BH1068" s="5">
        <v>0</v>
      </c>
      <c r="BI1068" s="5">
        <v>0</v>
      </c>
      <c r="BL1068" s="5">
        <v>0</v>
      </c>
      <c r="BM1068" s="5">
        <v>0</v>
      </c>
      <c r="BN1068" s="5" t="s">
        <v>85</v>
      </c>
      <c r="BO1068" s="5">
        <v>2</v>
      </c>
      <c r="BP1068" s="5">
        <v>8</v>
      </c>
      <c r="BQ1068" s="5">
        <v>4</v>
      </c>
      <c r="BR1068" s="5">
        <v>4</v>
      </c>
      <c r="BS1068" s="5" t="s">
        <v>2492</v>
      </c>
      <c r="BT1068" s="5">
        <v>2</v>
      </c>
      <c r="BU1068" s="5">
        <v>0</v>
      </c>
      <c r="BV1068" s="5">
        <v>0</v>
      </c>
      <c r="BW1068" s="5">
        <v>0</v>
      </c>
      <c r="BX1068" s="5">
        <v>0</v>
      </c>
      <c r="BZ1068" s="5">
        <v>0</v>
      </c>
      <c r="CA1068" s="5">
        <v>0</v>
      </c>
      <c r="CC1068" s="5">
        <v>0</v>
      </c>
      <c r="CD1068" s="5">
        <v>0</v>
      </c>
      <c r="CF1068" s="1442" t="str">
        <f>IF([1]!sommaire[[#This Row],[présence des personnes déplacés interne]]="Oui","1","0")</f>
        <v>1</v>
      </c>
      <c r="CG1068" s="1442" t="str">
        <f>IF([1]!sommaire[[#This Row],[présence Réfugié hors camp]]="Oui","1","0")</f>
        <v>1</v>
      </c>
      <c r="CH1068" s="1442" t="str">
        <f>IF([1]!sommaire[[#This Row],[présence personnes retournées]]="Oui","1","0")</f>
        <v>1</v>
      </c>
      <c r="CI1068" s="1442">
        <f>[1]!sommaire[[#This Row],[Flag PDI]]+[1]!sommaire[[#This Row],[Flag REF]]+[1]!sommaire[[#This Row],[Flag RET]]</f>
        <v>3</v>
      </c>
    </row>
    <row r="1069" spans="1:87" ht="14.55" customHeight="1" x14ac:dyDescent="0.3">
      <c r="A1069" s="390">
        <v>2619930</v>
      </c>
      <c r="B1069" s="5" t="s">
        <v>533</v>
      </c>
      <c r="C1069" s="1430" t="s">
        <v>3449</v>
      </c>
      <c r="D1069" s="1090" t="s">
        <v>534</v>
      </c>
      <c r="E1069" s="5" t="s">
        <v>35</v>
      </c>
      <c r="F1069" s="5" t="s">
        <v>35</v>
      </c>
      <c r="G1069" s="5" t="s">
        <v>567</v>
      </c>
      <c r="H1069" s="5" t="s">
        <v>190</v>
      </c>
      <c r="I1069" s="5" t="str">
        <f>_xlfn.XLOOKUP(sommaire[[#This Row],[Arrondissement_code]],OCHA_GIS!$F:$F,OCHA_GIS!$E:$E,,)</f>
        <v>Bourha</v>
      </c>
      <c r="J1069" s="5" t="s">
        <v>800</v>
      </c>
      <c r="K1069" t="s">
        <v>2181</v>
      </c>
      <c r="L1069" s="5" t="s">
        <v>2182</v>
      </c>
      <c r="N1069" s="5" t="s">
        <v>3053</v>
      </c>
      <c r="O1069" s="5" t="s">
        <v>2467</v>
      </c>
      <c r="P1069" s="5" t="s">
        <v>85</v>
      </c>
      <c r="Q1069" s="5" t="s">
        <v>86</v>
      </c>
      <c r="R1069" s="5" t="s">
        <v>86</v>
      </c>
      <c r="T1069" s="1190">
        <v>3</v>
      </c>
      <c r="U1069" s="5" t="s">
        <v>97</v>
      </c>
      <c r="W1069" s="5" t="s">
        <v>2468</v>
      </c>
      <c r="X1069" s="5" t="s">
        <v>102</v>
      </c>
      <c r="AA1069" s="5" t="s">
        <v>85</v>
      </c>
      <c r="AB1069" s="5" t="s">
        <v>2469</v>
      </c>
      <c r="AC1069" s="5" t="s">
        <v>2521</v>
      </c>
      <c r="AD1069" s="5" t="s">
        <v>86</v>
      </c>
      <c r="AG1069" s="5">
        <v>15000</v>
      </c>
      <c r="AH1069" s="5" t="s">
        <v>86</v>
      </c>
      <c r="AY1069" s="1090" t="s">
        <v>85</v>
      </c>
      <c r="AZ1069" s="5">
        <v>5</v>
      </c>
      <c r="BA1069" s="5">
        <v>24</v>
      </c>
      <c r="BB1069" s="5">
        <v>9</v>
      </c>
      <c r="BC1069" s="5">
        <v>15</v>
      </c>
      <c r="BD1069" s="5">
        <v>2</v>
      </c>
      <c r="BE1069" s="5">
        <v>3</v>
      </c>
      <c r="BF1069" s="5">
        <v>0</v>
      </c>
      <c r="BH1069" s="5">
        <v>0</v>
      </c>
      <c r="BI1069" s="5">
        <v>0</v>
      </c>
      <c r="BL1069" s="5">
        <v>0</v>
      </c>
      <c r="BM1069" s="5">
        <v>0</v>
      </c>
      <c r="BN1069" s="1090" t="s">
        <v>85</v>
      </c>
      <c r="BO1069" s="5">
        <v>6</v>
      </c>
      <c r="BP1069" s="5">
        <v>25</v>
      </c>
      <c r="BQ1069" s="5">
        <v>10</v>
      </c>
      <c r="BR1069" s="5">
        <v>15</v>
      </c>
      <c r="BS1069" s="5" t="s">
        <v>2484</v>
      </c>
      <c r="BT1069" s="5">
        <v>2</v>
      </c>
      <c r="BU1069" s="5">
        <v>2</v>
      </c>
      <c r="BV1069" s="5">
        <v>2</v>
      </c>
      <c r="BW1069" s="5">
        <v>0</v>
      </c>
      <c r="BX1069" s="5">
        <v>0</v>
      </c>
      <c r="BZ1069" s="5">
        <v>0</v>
      </c>
      <c r="CA1069" s="5">
        <v>0</v>
      </c>
      <c r="CC1069" s="5">
        <v>0</v>
      </c>
      <c r="CD1069" s="5">
        <v>0</v>
      </c>
      <c r="CF1069" s="1442" t="str">
        <f>IF([1]!sommaire[[#This Row],[présence des personnes déplacés interne]]="Oui","1","0")</f>
        <v>0</v>
      </c>
      <c r="CG1069" s="1442" t="str">
        <f>IF([1]!sommaire[[#This Row],[présence Réfugié hors camp]]="Oui","1","0")</f>
        <v>1</v>
      </c>
      <c r="CH1069" s="1442" t="str">
        <f>IF([1]!sommaire[[#This Row],[présence personnes retournées]]="Oui","1","0")</f>
        <v>1</v>
      </c>
      <c r="CI1069" s="1442">
        <f>[1]!sommaire[[#This Row],[Flag PDI]]+[1]!sommaire[[#This Row],[Flag REF]]+[1]!sommaire[[#This Row],[Flag RET]]</f>
        <v>2</v>
      </c>
    </row>
    <row r="1070" spans="1:87" ht="14.55" customHeight="1" x14ac:dyDescent="0.3">
      <c r="A1070" s="390">
        <v>2613545</v>
      </c>
      <c r="B1070" s="5" t="s">
        <v>533</v>
      </c>
      <c r="C1070" s="1430" t="s">
        <v>3449</v>
      </c>
      <c r="D1070" s="1090" t="s">
        <v>534</v>
      </c>
      <c r="E1070" s="5" t="s">
        <v>35</v>
      </c>
      <c r="F1070" s="5" t="s">
        <v>35</v>
      </c>
      <c r="G1070" s="5" t="s">
        <v>567</v>
      </c>
      <c r="H1070" s="5" t="s">
        <v>190</v>
      </c>
      <c r="I1070" s="5" t="str">
        <f>_xlfn.XLOOKUP(sommaire[[#This Row],[Arrondissement_code]],OCHA_GIS!$F:$F,OCHA_GIS!$E:$E,,)</f>
        <v>Bourha</v>
      </c>
      <c r="J1070" s="5" t="s">
        <v>800</v>
      </c>
      <c r="K1070" t="s">
        <v>2183</v>
      </c>
      <c r="L1070" s="5" t="s">
        <v>2184</v>
      </c>
      <c r="N1070" s="5" t="s">
        <v>3053</v>
      </c>
      <c r="O1070" s="5" t="s">
        <v>2467</v>
      </c>
      <c r="P1070" s="5" t="s">
        <v>85</v>
      </c>
      <c r="Q1070" s="5" t="s">
        <v>86</v>
      </c>
      <c r="R1070" s="5" t="s">
        <v>86</v>
      </c>
      <c r="T1070" s="390">
        <v>5</v>
      </c>
      <c r="U1070" s="5" t="s">
        <v>97</v>
      </c>
      <c r="W1070" s="5" t="s">
        <v>2468</v>
      </c>
      <c r="X1070" s="5" t="s">
        <v>102</v>
      </c>
      <c r="AA1070" s="5" t="s">
        <v>85</v>
      </c>
      <c r="AB1070" s="5" t="s">
        <v>2469</v>
      </c>
      <c r="AC1070" s="5" t="s">
        <v>2521</v>
      </c>
      <c r="AD1070" s="5" t="s">
        <v>86</v>
      </c>
      <c r="AF1070" s="5">
        <v>2</v>
      </c>
      <c r="AG1070" s="5">
        <v>10000</v>
      </c>
      <c r="AH1070" s="5" t="s">
        <v>85</v>
      </c>
      <c r="AI1070" s="5" t="s">
        <v>2486</v>
      </c>
      <c r="AJ1070" s="5">
        <v>2</v>
      </c>
      <c r="AK1070" s="5">
        <v>7</v>
      </c>
      <c r="AL1070" s="5">
        <v>4</v>
      </c>
      <c r="AM1070" s="5">
        <v>3</v>
      </c>
      <c r="AN1070" s="5">
        <v>0</v>
      </c>
      <c r="AO1070" s="5">
        <v>2</v>
      </c>
      <c r="AP1070" s="5">
        <v>0</v>
      </c>
      <c r="AQ1070" s="5">
        <v>0</v>
      </c>
      <c r="AT1070" s="5">
        <v>0</v>
      </c>
      <c r="AU1070" s="5">
        <v>0</v>
      </c>
      <c r="AX1070" s="5">
        <v>0</v>
      </c>
      <c r="AY1070" s="5" t="s">
        <v>85</v>
      </c>
      <c r="AZ1070" s="5">
        <v>14</v>
      </c>
      <c r="BA1070" s="5">
        <v>51</v>
      </c>
      <c r="BB1070" s="5">
        <v>22</v>
      </c>
      <c r="BC1070" s="5">
        <v>29</v>
      </c>
      <c r="BD1070" s="5">
        <v>7</v>
      </c>
      <c r="BE1070" s="5">
        <v>3</v>
      </c>
      <c r="BF1070" s="5">
        <v>4</v>
      </c>
      <c r="BG1070" s="5" t="s">
        <v>2477</v>
      </c>
      <c r="BH1070" s="5">
        <v>0</v>
      </c>
      <c r="BI1070" s="5">
        <v>0</v>
      </c>
      <c r="BL1070" s="5">
        <v>0</v>
      </c>
      <c r="BM1070" s="5">
        <v>0</v>
      </c>
      <c r="BN1070" s="5" t="s">
        <v>85</v>
      </c>
      <c r="BO1070" s="5">
        <v>6</v>
      </c>
      <c r="BP1070" s="5">
        <v>20</v>
      </c>
      <c r="BQ1070" s="5">
        <v>12</v>
      </c>
      <c r="BR1070" s="5">
        <v>8</v>
      </c>
      <c r="BS1070" s="5" t="s">
        <v>2484</v>
      </c>
      <c r="BT1070" s="5">
        <v>4</v>
      </c>
      <c r="BU1070" s="5">
        <v>1</v>
      </c>
      <c r="BV1070" s="5">
        <v>1</v>
      </c>
      <c r="BW1070" s="5">
        <v>0</v>
      </c>
      <c r="BX1070" s="5">
        <v>0</v>
      </c>
      <c r="BZ1070" s="5">
        <v>0</v>
      </c>
      <c r="CA1070" s="5">
        <v>0</v>
      </c>
      <c r="CC1070" s="5">
        <v>0</v>
      </c>
      <c r="CD1070" s="5">
        <v>0</v>
      </c>
      <c r="CF1070" s="1442" t="str">
        <f>IF([1]!sommaire[[#This Row],[présence des personnes déplacés interne]]="Oui","1","0")</f>
        <v>1</v>
      </c>
      <c r="CG1070" s="1442" t="str">
        <f>IF([1]!sommaire[[#This Row],[présence Réfugié hors camp]]="Oui","1","0")</f>
        <v>1</v>
      </c>
      <c r="CH1070" s="1442" t="str">
        <f>IF([1]!sommaire[[#This Row],[présence personnes retournées]]="Oui","1","0")</f>
        <v>1</v>
      </c>
      <c r="CI1070" s="1442">
        <f>[1]!sommaire[[#This Row],[Flag PDI]]+[1]!sommaire[[#This Row],[Flag REF]]+[1]!sommaire[[#This Row],[Flag RET]]</f>
        <v>3</v>
      </c>
    </row>
    <row r="1071" spans="1:87" ht="14.55" customHeight="1" x14ac:dyDescent="0.3">
      <c r="A1071" s="390">
        <v>2619931</v>
      </c>
      <c r="B1071" s="5" t="s">
        <v>533</v>
      </c>
      <c r="C1071" s="1430" t="s">
        <v>3449</v>
      </c>
      <c r="D1071" s="1090" t="s">
        <v>534</v>
      </c>
      <c r="E1071" s="5" t="s">
        <v>35</v>
      </c>
      <c r="F1071" s="5" t="s">
        <v>35</v>
      </c>
      <c r="G1071" s="5" t="s">
        <v>567</v>
      </c>
      <c r="H1071" s="5" t="s">
        <v>190</v>
      </c>
      <c r="I1071" s="5" t="str">
        <f>_xlfn.XLOOKUP(sommaire[[#This Row],[Arrondissement_code]],OCHA_GIS!$F:$F,OCHA_GIS!$E:$E,,)</f>
        <v>Bourha</v>
      </c>
      <c r="J1071" s="5" t="s">
        <v>800</v>
      </c>
      <c r="K1071" t="s">
        <v>2273</v>
      </c>
      <c r="L1071" s="5" t="s">
        <v>2274</v>
      </c>
      <c r="N1071" s="5" t="s">
        <v>3053</v>
      </c>
      <c r="O1071" s="5" t="s">
        <v>2467</v>
      </c>
      <c r="P1071" s="5" t="s">
        <v>85</v>
      </c>
      <c r="Q1071" s="5" t="s">
        <v>86</v>
      </c>
      <c r="R1071" s="5" t="s">
        <v>86</v>
      </c>
      <c r="T1071" s="390">
        <v>4</v>
      </c>
      <c r="U1071" s="5" t="s">
        <v>97</v>
      </c>
      <c r="W1071" s="5" t="s">
        <v>2468</v>
      </c>
      <c r="X1071" s="5" t="s">
        <v>102</v>
      </c>
      <c r="AA1071" s="5" t="s">
        <v>85</v>
      </c>
      <c r="AB1071" s="5" t="s">
        <v>2469</v>
      </c>
      <c r="AC1071" s="5" t="s">
        <v>2521</v>
      </c>
      <c r="AD1071" s="5" t="s">
        <v>86</v>
      </c>
      <c r="AG1071" s="5">
        <v>30000</v>
      </c>
      <c r="AH1071" s="5" t="s">
        <v>86</v>
      </c>
      <c r="AY1071" s="5" t="s">
        <v>86</v>
      </c>
      <c r="BN1071" s="5" t="s">
        <v>85</v>
      </c>
      <c r="BO1071" s="5">
        <v>153</v>
      </c>
      <c r="BP1071" s="5">
        <v>832</v>
      </c>
      <c r="BQ1071" s="5">
        <v>435</v>
      </c>
      <c r="BR1071" s="5">
        <v>397</v>
      </c>
      <c r="BS1071" s="5" t="s">
        <v>2484</v>
      </c>
      <c r="BT1071" s="5">
        <v>97</v>
      </c>
      <c r="BU1071" s="5">
        <v>19</v>
      </c>
      <c r="BV1071" s="5">
        <v>24</v>
      </c>
      <c r="BW1071" s="5">
        <v>13</v>
      </c>
      <c r="BX1071" s="5">
        <v>0</v>
      </c>
      <c r="BZ1071" s="5">
        <v>0</v>
      </c>
      <c r="CA1071" s="5">
        <v>0</v>
      </c>
      <c r="CC1071" s="5">
        <v>0</v>
      </c>
      <c r="CD1071" s="5">
        <v>0</v>
      </c>
      <c r="CF1071" s="1442" t="str">
        <f>IF([1]!sommaire[[#This Row],[présence des personnes déplacés interne]]="Oui","1","0")</f>
        <v>0</v>
      </c>
      <c r="CG1071" s="1442" t="str">
        <f>IF([1]!sommaire[[#This Row],[présence Réfugié hors camp]]="Oui","1","0")</f>
        <v>0</v>
      </c>
      <c r="CH1071" s="1442" t="str">
        <f>IF([1]!sommaire[[#This Row],[présence personnes retournées]]="Oui","1","0")</f>
        <v>1</v>
      </c>
      <c r="CI1071" s="1442">
        <f>[1]!sommaire[[#This Row],[Flag PDI]]+[1]!sommaire[[#This Row],[Flag REF]]+[1]!sommaire[[#This Row],[Flag RET]]</f>
        <v>1</v>
      </c>
    </row>
    <row r="1072" spans="1:87" ht="14.55" customHeight="1" x14ac:dyDescent="0.3">
      <c r="A1072" s="390">
        <v>2660064</v>
      </c>
      <c r="B1072" s="5" t="s">
        <v>533</v>
      </c>
      <c r="C1072" s="1430" t="s">
        <v>3449</v>
      </c>
      <c r="D1072" s="5" t="s">
        <v>534</v>
      </c>
      <c r="E1072" s="5" t="s">
        <v>35</v>
      </c>
      <c r="F1072" s="5" t="s">
        <v>35</v>
      </c>
      <c r="G1072" s="5" t="s">
        <v>567</v>
      </c>
      <c r="H1072" s="5" t="s">
        <v>190</v>
      </c>
      <c r="I1072" s="5" t="str">
        <f>_xlfn.XLOOKUP(sommaire[[#This Row],[Arrondissement_code]],OCHA_GIS!$F:$F,OCHA_GIS!$E:$E,,)</f>
        <v>Bourha</v>
      </c>
      <c r="J1072" s="5" t="s">
        <v>800</v>
      </c>
      <c r="K1072" t="s">
        <v>2157</v>
      </c>
      <c r="L1072" s="5" t="s">
        <v>2158</v>
      </c>
      <c r="N1072" s="5" t="s">
        <v>3053</v>
      </c>
      <c r="O1072" s="5" t="s">
        <v>2467</v>
      </c>
      <c r="P1072" s="5" t="s">
        <v>85</v>
      </c>
      <c r="Q1072" s="5" t="s">
        <v>86</v>
      </c>
      <c r="R1072" s="5" t="s">
        <v>86</v>
      </c>
      <c r="T1072" s="390">
        <v>4</v>
      </c>
      <c r="U1072" s="5" t="s">
        <v>97</v>
      </c>
      <c r="W1072" s="5" t="s">
        <v>2468</v>
      </c>
      <c r="X1072" s="5" t="s">
        <v>102</v>
      </c>
      <c r="AA1072" s="5" t="s">
        <v>85</v>
      </c>
      <c r="AB1072" s="5" t="s">
        <v>2469</v>
      </c>
      <c r="AC1072" s="5" t="s">
        <v>2470</v>
      </c>
      <c r="AD1072" s="5" t="s">
        <v>86</v>
      </c>
      <c r="AG1072" s="5">
        <v>18000</v>
      </c>
      <c r="AH1072" s="5" t="s">
        <v>86</v>
      </c>
      <c r="AY1072" s="5" t="s">
        <v>85</v>
      </c>
      <c r="AZ1072" s="5">
        <v>19</v>
      </c>
      <c r="BA1072" s="5">
        <v>136</v>
      </c>
      <c r="BB1072" s="5">
        <v>55</v>
      </c>
      <c r="BC1072" s="5">
        <v>81</v>
      </c>
      <c r="BD1072" s="5">
        <v>13</v>
      </c>
      <c r="BE1072" s="5">
        <v>6</v>
      </c>
      <c r="BF1072" s="5">
        <v>0</v>
      </c>
      <c r="BH1072" s="5">
        <v>0</v>
      </c>
      <c r="BI1072" s="5">
        <v>0</v>
      </c>
      <c r="BL1072" s="5">
        <v>0</v>
      </c>
      <c r="BM1072" s="5">
        <v>0</v>
      </c>
      <c r="BN1072" s="5" t="s">
        <v>85</v>
      </c>
      <c r="BO1072" s="5">
        <v>20</v>
      </c>
      <c r="BP1072" s="5">
        <v>101</v>
      </c>
      <c r="BQ1072" s="5">
        <v>42</v>
      </c>
      <c r="BR1072" s="5">
        <v>59</v>
      </c>
      <c r="BS1072" s="5" t="s">
        <v>2484</v>
      </c>
      <c r="BT1072" s="5">
        <v>10</v>
      </c>
      <c r="BU1072" s="5">
        <v>5</v>
      </c>
      <c r="BV1072" s="5">
        <v>5</v>
      </c>
      <c r="BW1072" s="5">
        <v>0</v>
      </c>
      <c r="BX1072" s="5">
        <v>0</v>
      </c>
      <c r="BZ1072" s="5">
        <v>0</v>
      </c>
      <c r="CA1072" s="5">
        <v>0</v>
      </c>
      <c r="CC1072" s="5">
        <v>0</v>
      </c>
      <c r="CD1072" s="5">
        <v>0</v>
      </c>
      <c r="CF1072" s="1442" t="str">
        <f>IF([1]!sommaire[[#This Row],[présence des personnes déplacés interne]]="Oui","1","0")</f>
        <v>0</v>
      </c>
      <c r="CG1072" s="1442" t="str">
        <f>IF([1]!sommaire[[#This Row],[présence Réfugié hors camp]]="Oui","1","0")</f>
        <v>1</v>
      </c>
      <c r="CH1072" s="1442" t="str">
        <f>IF([1]!sommaire[[#This Row],[présence personnes retournées]]="Oui","1","0")</f>
        <v>1</v>
      </c>
      <c r="CI1072" s="1442">
        <f>[1]!sommaire[[#This Row],[Flag PDI]]+[1]!sommaire[[#This Row],[Flag REF]]+[1]!sommaire[[#This Row],[Flag RET]]</f>
        <v>2</v>
      </c>
    </row>
    <row r="1073" spans="1:87" ht="14.55" customHeight="1" x14ac:dyDescent="0.3">
      <c r="A1073" s="390">
        <v>2626280</v>
      </c>
      <c r="B1073" s="5" t="s">
        <v>533</v>
      </c>
      <c r="C1073" s="1430" t="s">
        <v>3449</v>
      </c>
      <c r="D1073" s="1090" t="s">
        <v>534</v>
      </c>
      <c r="E1073" s="5" t="s">
        <v>35</v>
      </c>
      <c r="F1073" s="5" t="s">
        <v>35</v>
      </c>
      <c r="G1073" s="5" t="s">
        <v>567</v>
      </c>
      <c r="H1073" s="5" t="s">
        <v>191</v>
      </c>
      <c r="I1073" s="5" t="str">
        <f>_xlfn.XLOOKUP(sommaire[[#This Row],[Arrondissement_code]],OCHA_GIS!$F:$F,OCHA_GIS!$E:$E,,)</f>
        <v>Hina</v>
      </c>
      <c r="J1073" s="5" t="s">
        <v>659</v>
      </c>
      <c r="K1073" t="s">
        <v>1462</v>
      </c>
      <c r="L1073" s="5" t="s">
        <v>1463</v>
      </c>
      <c r="N1073" s="5" t="s">
        <v>3053</v>
      </c>
      <c r="O1073" s="5" t="s">
        <v>2467</v>
      </c>
      <c r="P1073" s="5" t="s">
        <v>85</v>
      </c>
      <c r="Q1073" s="5" t="s">
        <v>86</v>
      </c>
      <c r="R1073" s="5" t="s">
        <v>85</v>
      </c>
      <c r="T1073" s="390">
        <v>3</v>
      </c>
      <c r="U1073" s="5" t="s">
        <v>97</v>
      </c>
      <c r="W1073" s="5" t="s">
        <v>2468</v>
      </c>
      <c r="X1073" s="5" t="s">
        <v>102</v>
      </c>
      <c r="AA1073" s="5" t="s">
        <v>85</v>
      </c>
      <c r="AB1073" s="5" t="s">
        <v>2469</v>
      </c>
      <c r="AC1073" s="5" t="s">
        <v>2470</v>
      </c>
      <c r="AD1073" s="5" t="s">
        <v>86</v>
      </c>
      <c r="AF1073" s="5">
        <v>15</v>
      </c>
      <c r="AG1073" s="5">
        <v>2583</v>
      </c>
      <c r="AH1073" s="5" t="s">
        <v>85</v>
      </c>
      <c r="AI1073" s="5" t="s">
        <v>2471</v>
      </c>
      <c r="AJ1073" s="5">
        <v>15</v>
      </c>
      <c r="AK1073" s="5">
        <v>68</v>
      </c>
      <c r="AL1073" s="5">
        <v>33</v>
      </c>
      <c r="AM1073" s="5">
        <v>35</v>
      </c>
      <c r="AN1073" s="5">
        <v>9</v>
      </c>
      <c r="AO1073" s="5">
        <v>6</v>
      </c>
      <c r="AP1073" s="5">
        <v>0</v>
      </c>
      <c r="AQ1073" s="5">
        <v>0</v>
      </c>
      <c r="AT1073" s="5">
        <v>0</v>
      </c>
      <c r="AU1073" s="5">
        <v>0</v>
      </c>
      <c r="AX1073" s="5">
        <v>0</v>
      </c>
      <c r="AY1073" s="5" t="s">
        <v>86</v>
      </c>
      <c r="BN1073" s="5" t="s">
        <v>85</v>
      </c>
      <c r="BO1073" s="5">
        <v>2</v>
      </c>
      <c r="BP1073" s="5">
        <v>12</v>
      </c>
      <c r="BQ1073" s="5">
        <v>5</v>
      </c>
      <c r="BR1073" s="5">
        <v>7</v>
      </c>
      <c r="BS1073" s="5" t="s">
        <v>2479</v>
      </c>
      <c r="BT1073" s="5">
        <v>2</v>
      </c>
      <c r="BU1073" s="5">
        <v>0</v>
      </c>
      <c r="BV1073" s="5">
        <v>0</v>
      </c>
      <c r="BW1073" s="5">
        <v>0</v>
      </c>
      <c r="BX1073" s="5">
        <v>0</v>
      </c>
      <c r="BZ1073" s="5">
        <v>0</v>
      </c>
      <c r="CA1073" s="5">
        <v>0</v>
      </c>
      <c r="CC1073" s="5">
        <v>0</v>
      </c>
      <c r="CD1073" s="5">
        <v>1</v>
      </c>
      <c r="CF1073" s="1442" t="str">
        <f>IF([1]!sommaire[[#This Row],[présence des personnes déplacés interne]]="Oui","1","0")</f>
        <v>1</v>
      </c>
      <c r="CG1073" s="1442" t="str">
        <f>IF([1]!sommaire[[#This Row],[présence Réfugié hors camp]]="Oui","1","0")</f>
        <v>0</v>
      </c>
      <c r="CH1073" s="1442" t="str">
        <f>IF([1]!sommaire[[#This Row],[présence personnes retournées]]="Oui","1","0")</f>
        <v>1</v>
      </c>
      <c r="CI1073" s="1442">
        <f>[1]!sommaire[[#This Row],[Flag PDI]]+[1]!sommaire[[#This Row],[Flag REF]]+[1]!sommaire[[#This Row],[Flag RET]]</f>
        <v>2</v>
      </c>
    </row>
    <row r="1074" spans="1:87" ht="14.55" customHeight="1" x14ac:dyDescent="0.3">
      <c r="A1074" s="390">
        <v>2626279</v>
      </c>
      <c r="B1074" s="5" t="s">
        <v>533</v>
      </c>
      <c r="C1074" s="1430" t="s">
        <v>3449</v>
      </c>
      <c r="D1074" s="1090" t="s">
        <v>534</v>
      </c>
      <c r="E1074" s="5" t="s">
        <v>35</v>
      </c>
      <c r="F1074" s="5" t="s">
        <v>35</v>
      </c>
      <c r="G1074" s="5" t="s">
        <v>567</v>
      </c>
      <c r="H1074" s="5" t="s">
        <v>191</v>
      </c>
      <c r="I1074" s="5" t="str">
        <f>_xlfn.XLOOKUP(sommaire[[#This Row],[Arrondissement_code]],OCHA_GIS!$F:$F,OCHA_GIS!$E:$E,,)</f>
        <v>Hina</v>
      </c>
      <c r="J1074" s="5" t="s">
        <v>659</v>
      </c>
      <c r="K1074" t="s">
        <v>2067</v>
      </c>
      <c r="L1074" s="5" t="s">
        <v>2068</v>
      </c>
      <c r="N1074" s="5" t="s">
        <v>3053</v>
      </c>
      <c r="O1074" s="5" t="s">
        <v>2467</v>
      </c>
      <c r="P1074" s="5" t="s">
        <v>85</v>
      </c>
      <c r="Q1074" s="5" t="s">
        <v>86</v>
      </c>
      <c r="R1074" s="5" t="s">
        <v>85</v>
      </c>
      <c r="T1074" s="390">
        <v>3</v>
      </c>
      <c r="U1074" s="5" t="s">
        <v>97</v>
      </c>
      <c r="W1074" s="5" t="s">
        <v>2468</v>
      </c>
      <c r="X1074" s="5" t="s">
        <v>102</v>
      </c>
      <c r="AA1074" s="5" t="s">
        <v>85</v>
      </c>
      <c r="AB1074" s="5" t="s">
        <v>2469</v>
      </c>
      <c r="AC1074" s="5" t="s">
        <v>2470</v>
      </c>
      <c r="AD1074" s="5" t="s">
        <v>86</v>
      </c>
      <c r="AF1074" s="5">
        <v>20</v>
      </c>
      <c r="AG1074" s="5">
        <v>2015</v>
      </c>
      <c r="AH1074" s="5" t="s">
        <v>85</v>
      </c>
      <c r="AI1074" s="5" t="s">
        <v>2471</v>
      </c>
      <c r="AJ1074" s="5">
        <v>20</v>
      </c>
      <c r="AK1074" s="5">
        <v>141</v>
      </c>
      <c r="AL1074" s="5">
        <v>67</v>
      </c>
      <c r="AM1074" s="5">
        <v>74</v>
      </c>
      <c r="AN1074" s="5">
        <v>14</v>
      </c>
      <c r="AO1074" s="5">
        <v>6</v>
      </c>
      <c r="AP1074" s="5">
        <v>0</v>
      </c>
      <c r="AQ1074" s="5">
        <v>0</v>
      </c>
      <c r="AT1074" s="5">
        <v>0</v>
      </c>
      <c r="AU1074" s="5">
        <v>0</v>
      </c>
      <c r="AX1074" s="5">
        <v>0</v>
      </c>
      <c r="AY1074" s="5" t="s">
        <v>86</v>
      </c>
      <c r="BN1074" s="5" t="s">
        <v>85</v>
      </c>
      <c r="BO1074" s="5">
        <v>2</v>
      </c>
      <c r="BP1074" s="5">
        <v>31</v>
      </c>
      <c r="BQ1074" s="5">
        <v>14</v>
      </c>
      <c r="BR1074" s="5">
        <v>17</v>
      </c>
      <c r="BS1074" s="5" t="s">
        <v>2479</v>
      </c>
      <c r="BT1074" s="5">
        <v>2</v>
      </c>
      <c r="BU1074" s="5">
        <v>0</v>
      </c>
      <c r="BV1074" s="5">
        <v>0</v>
      </c>
      <c r="BW1074" s="5">
        <v>0</v>
      </c>
      <c r="BX1074" s="5">
        <v>0</v>
      </c>
      <c r="BZ1074" s="5">
        <v>0</v>
      </c>
      <c r="CA1074" s="5">
        <v>0</v>
      </c>
      <c r="CC1074" s="5">
        <v>0</v>
      </c>
      <c r="CD1074" s="5">
        <v>1</v>
      </c>
      <c r="CF1074" s="1442" t="str">
        <f>IF([1]!sommaire[[#This Row],[présence des personnes déplacés interne]]="Oui","1","0")</f>
        <v>1</v>
      </c>
      <c r="CG1074" s="1442" t="str">
        <f>IF([1]!sommaire[[#This Row],[présence Réfugié hors camp]]="Oui","1","0")</f>
        <v>0</v>
      </c>
      <c r="CH1074" s="1442" t="str">
        <f>IF([1]!sommaire[[#This Row],[présence personnes retournées]]="Oui","1","0")</f>
        <v>1</v>
      </c>
      <c r="CI1074" s="1442">
        <f>[1]!sommaire[[#This Row],[Flag PDI]]+[1]!sommaire[[#This Row],[Flag REF]]+[1]!sommaire[[#This Row],[Flag RET]]</f>
        <v>2</v>
      </c>
    </row>
    <row r="1075" spans="1:87" ht="14.55" customHeight="1" x14ac:dyDescent="0.3">
      <c r="A1075" s="390">
        <v>2626275</v>
      </c>
      <c r="B1075" s="5" t="s">
        <v>533</v>
      </c>
      <c r="C1075" s="1430" t="s">
        <v>3449</v>
      </c>
      <c r="D1075" s="1090" t="s">
        <v>534</v>
      </c>
      <c r="E1075" s="5" t="s">
        <v>35</v>
      </c>
      <c r="F1075" s="5" t="s">
        <v>35</v>
      </c>
      <c r="G1075" s="5" t="s">
        <v>567</v>
      </c>
      <c r="H1075" s="5" t="s">
        <v>191</v>
      </c>
      <c r="I1075" s="5" t="str">
        <f>_xlfn.XLOOKUP(sommaire[[#This Row],[Arrondissement_code]],OCHA_GIS!$F:$F,OCHA_GIS!$E:$E,,)</f>
        <v>Hina</v>
      </c>
      <c r="J1075" s="5" t="s">
        <v>659</v>
      </c>
      <c r="K1075" t="s">
        <v>1814</v>
      </c>
      <c r="L1075" s="5" t="s">
        <v>1815</v>
      </c>
      <c r="N1075" s="5" t="s">
        <v>3053</v>
      </c>
      <c r="O1075" s="5" t="s">
        <v>2467</v>
      </c>
      <c r="P1075" s="5" t="s">
        <v>85</v>
      </c>
      <c r="Q1075" s="5" t="s">
        <v>86</v>
      </c>
      <c r="R1075" s="5" t="s">
        <v>85</v>
      </c>
      <c r="T1075" s="390">
        <v>3</v>
      </c>
      <c r="U1075" s="5" t="s">
        <v>97</v>
      </c>
      <c r="W1075" s="5" t="s">
        <v>2468</v>
      </c>
      <c r="X1075" s="5" t="s">
        <v>102</v>
      </c>
      <c r="AA1075" s="5" t="s">
        <v>85</v>
      </c>
      <c r="AB1075" s="5" t="s">
        <v>2469</v>
      </c>
      <c r="AC1075" s="5" t="s">
        <v>2470</v>
      </c>
      <c r="AD1075" s="5" t="s">
        <v>86</v>
      </c>
      <c r="AF1075" s="5">
        <v>28</v>
      </c>
      <c r="AG1075" s="5">
        <v>2031</v>
      </c>
      <c r="AH1075" s="5" t="s">
        <v>85</v>
      </c>
      <c r="AI1075" s="5" t="s">
        <v>2471</v>
      </c>
      <c r="AJ1075" s="5">
        <v>28</v>
      </c>
      <c r="AK1075" s="5">
        <v>122</v>
      </c>
      <c r="AL1075" s="5">
        <v>58</v>
      </c>
      <c r="AM1075" s="5">
        <v>64</v>
      </c>
      <c r="AN1075" s="5">
        <v>2</v>
      </c>
      <c r="AO1075" s="5">
        <v>26</v>
      </c>
      <c r="AP1075" s="5">
        <v>0</v>
      </c>
      <c r="AQ1075" s="5">
        <v>0</v>
      </c>
      <c r="AT1075" s="5">
        <v>0</v>
      </c>
      <c r="AU1075" s="5">
        <v>0</v>
      </c>
      <c r="AX1075" s="5">
        <v>0</v>
      </c>
      <c r="AY1075" s="5" t="s">
        <v>86</v>
      </c>
      <c r="BN1075" s="5" t="s">
        <v>85</v>
      </c>
      <c r="BO1075" s="5">
        <v>3</v>
      </c>
      <c r="BP1075" s="5">
        <v>24</v>
      </c>
      <c r="BQ1075" s="5">
        <v>10</v>
      </c>
      <c r="BR1075" s="5">
        <v>14</v>
      </c>
      <c r="BS1075" s="5" t="s">
        <v>2479</v>
      </c>
      <c r="BT1075" s="5">
        <v>0</v>
      </c>
      <c r="BU1075" s="5">
        <v>3</v>
      </c>
      <c r="BV1075" s="5">
        <v>0</v>
      </c>
      <c r="BW1075" s="5">
        <v>0</v>
      </c>
      <c r="BX1075" s="5">
        <v>0</v>
      </c>
      <c r="BZ1075" s="5">
        <v>0</v>
      </c>
      <c r="CA1075" s="5">
        <v>0</v>
      </c>
      <c r="CC1075" s="5">
        <v>0</v>
      </c>
      <c r="CD1075" s="5">
        <v>7</v>
      </c>
      <c r="CF1075" s="1442" t="str">
        <f>IF([1]!sommaire[[#This Row],[présence des personnes déplacés interne]]="Oui","1","0")</f>
        <v>1</v>
      </c>
      <c r="CG1075" s="1442" t="str">
        <f>IF([1]!sommaire[[#This Row],[présence Réfugié hors camp]]="Oui","1","0")</f>
        <v>0</v>
      </c>
      <c r="CH1075" s="1442" t="str">
        <f>IF([1]!sommaire[[#This Row],[présence personnes retournées]]="Oui","1","0")</f>
        <v>1</v>
      </c>
      <c r="CI1075" s="1442">
        <f>[1]!sommaire[[#This Row],[Flag PDI]]+[1]!sommaire[[#This Row],[Flag REF]]+[1]!sommaire[[#This Row],[Flag RET]]</f>
        <v>2</v>
      </c>
    </row>
    <row r="1076" spans="1:87" ht="14.55" customHeight="1" x14ac:dyDescent="0.3">
      <c r="A1076" s="390">
        <v>2626281</v>
      </c>
      <c r="B1076" s="5" t="s">
        <v>533</v>
      </c>
      <c r="C1076" s="1430" t="s">
        <v>3449</v>
      </c>
      <c r="D1076" s="1090" t="s">
        <v>534</v>
      </c>
      <c r="E1076" s="5" t="s">
        <v>35</v>
      </c>
      <c r="F1076" s="5" t="s">
        <v>35</v>
      </c>
      <c r="G1076" s="5" t="s">
        <v>567</v>
      </c>
      <c r="H1076" s="5" t="s">
        <v>191</v>
      </c>
      <c r="I1076" s="5" t="str">
        <f>_xlfn.XLOOKUP(sommaire[[#This Row],[Arrondissement_code]],OCHA_GIS!$F:$F,OCHA_GIS!$E:$E,,)</f>
        <v>Hina</v>
      </c>
      <c r="J1076" s="5" t="s">
        <v>659</v>
      </c>
      <c r="K1076" t="s">
        <v>741</v>
      </c>
      <c r="L1076" s="5" t="s">
        <v>742</v>
      </c>
      <c r="N1076" s="5" t="s">
        <v>3053</v>
      </c>
      <c r="O1076" s="5" t="s">
        <v>2467</v>
      </c>
      <c r="P1076" s="5" t="s">
        <v>85</v>
      </c>
      <c r="Q1076" s="5" t="s">
        <v>86</v>
      </c>
      <c r="R1076" s="5" t="s">
        <v>85</v>
      </c>
      <c r="T1076" s="390">
        <v>3</v>
      </c>
      <c r="U1076" s="5" t="s">
        <v>97</v>
      </c>
      <c r="W1076" s="5" t="s">
        <v>2468</v>
      </c>
      <c r="X1076" s="1090" t="s">
        <v>102</v>
      </c>
      <c r="AA1076" s="1090" t="s">
        <v>85</v>
      </c>
      <c r="AB1076" s="5" t="s">
        <v>2469</v>
      </c>
      <c r="AC1076" s="5" t="s">
        <v>2470</v>
      </c>
      <c r="AD1076" s="5" t="s">
        <v>86</v>
      </c>
      <c r="AF1076" s="5">
        <v>2</v>
      </c>
      <c r="AG1076" s="5">
        <v>1361</v>
      </c>
      <c r="AH1076" s="5" t="s">
        <v>85</v>
      </c>
      <c r="AI1076" s="5" t="s">
        <v>2471</v>
      </c>
      <c r="AJ1076" s="5">
        <v>2</v>
      </c>
      <c r="AK1076" s="5">
        <v>25</v>
      </c>
      <c r="AL1076" s="5">
        <v>11</v>
      </c>
      <c r="AM1076" s="5">
        <v>14</v>
      </c>
      <c r="AN1076" s="5">
        <v>0</v>
      </c>
      <c r="AO1076" s="5">
        <v>2</v>
      </c>
      <c r="AP1076" s="5">
        <v>0</v>
      </c>
      <c r="AQ1076" s="5">
        <v>0</v>
      </c>
      <c r="AT1076" s="5">
        <v>0</v>
      </c>
      <c r="AU1076" s="5">
        <v>0</v>
      </c>
      <c r="AX1076" s="5">
        <v>0</v>
      </c>
      <c r="AY1076" s="1090" t="s">
        <v>85</v>
      </c>
      <c r="AZ1076" s="5">
        <v>4</v>
      </c>
      <c r="BA1076" s="5">
        <v>22</v>
      </c>
      <c r="BB1076" s="5">
        <v>10</v>
      </c>
      <c r="BC1076" s="5">
        <v>12</v>
      </c>
      <c r="BD1076" s="5">
        <v>2</v>
      </c>
      <c r="BE1076" s="5">
        <v>2</v>
      </c>
      <c r="BF1076" s="5">
        <v>0</v>
      </c>
      <c r="BH1076" s="5">
        <v>0</v>
      </c>
      <c r="BI1076" s="5">
        <v>0</v>
      </c>
      <c r="BL1076" s="5">
        <v>0</v>
      </c>
      <c r="BM1076" s="5">
        <v>0</v>
      </c>
      <c r="BN1076" s="1090" t="s">
        <v>85</v>
      </c>
      <c r="BO1076" s="5">
        <v>2</v>
      </c>
      <c r="BP1076" s="5">
        <v>14</v>
      </c>
      <c r="BQ1076" s="5">
        <v>6</v>
      </c>
      <c r="BR1076" s="5">
        <v>8</v>
      </c>
      <c r="BS1076" s="5" t="s">
        <v>2479</v>
      </c>
      <c r="BT1076" s="5">
        <v>2</v>
      </c>
      <c r="BU1076" s="5">
        <v>0</v>
      </c>
      <c r="BV1076" s="5">
        <v>0</v>
      </c>
      <c r="BW1076" s="5">
        <v>0</v>
      </c>
      <c r="BX1076" s="5">
        <v>0</v>
      </c>
      <c r="BZ1076" s="5">
        <v>0</v>
      </c>
      <c r="CA1076" s="5">
        <v>0</v>
      </c>
      <c r="CC1076" s="5">
        <v>0</v>
      </c>
      <c r="CD1076" s="5">
        <v>2</v>
      </c>
      <c r="CF1076" s="1442" t="str">
        <f>IF([1]!sommaire[[#This Row],[présence des personnes déplacés interne]]="Oui","1","0")</f>
        <v>1</v>
      </c>
      <c r="CG1076" s="1442" t="str">
        <f>IF([1]!sommaire[[#This Row],[présence Réfugié hors camp]]="Oui","1","0")</f>
        <v>1</v>
      </c>
      <c r="CH1076" s="1442" t="str">
        <f>IF([1]!sommaire[[#This Row],[présence personnes retournées]]="Oui","1","0")</f>
        <v>1</v>
      </c>
      <c r="CI1076" s="1442">
        <f>[1]!sommaire[[#This Row],[Flag PDI]]+[1]!sommaire[[#This Row],[Flag REF]]+[1]!sommaire[[#This Row],[Flag RET]]</f>
        <v>3</v>
      </c>
    </row>
    <row r="1077" spans="1:87" ht="14.55" customHeight="1" x14ac:dyDescent="0.3">
      <c r="A1077" s="390">
        <v>2626276</v>
      </c>
      <c r="B1077" s="5" t="s">
        <v>533</v>
      </c>
      <c r="C1077" s="1430" t="s">
        <v>3449</v>
      </c>
      <c r="D1077" s="1090" t="s">
        <v>534</v>
      </c>
      <c r="E1077" s="5" t="s">
        <v>35</v>
      </c>
      <c r="F1077" s="5" t="s">
        <v>35</v>
      </c>
      <c r="G1077" s="5" t="s">
        <v>567</v>
      </c>
      <c r="H1077" s="5" t="s">
        <v>191</v>
      </c>
      <c r="I1077" s="5" t="str">
        <f>_xlfn.XLOOKUP(sommaire[[#This Row],[Arrondissement_code]],OCHA_GIS!$F:$F,OCHA_GIS!$E:$E,,)</f>
        <v>Hina</v>
      </c>
      <c r="J1077" s="5" t="s">
        <v>659</v>
      </c>
      <c r="K1077" t="s">
        <v>660</v>
      </c>
      <c r="L1077" s="5" t="s">
        <v>661</v>
      </c>
      <c r="N1077" s="5" t="s">
        <v>3053</v>
      </c>
      <c r="O1077" s="5" t="s">
        <v>2467</v>
      </c>
      <c r="P1077" s="5" t="s">
        <v>85</v>
      </c>
      <c r="Q1077" s="5" t="s">
        <v>86</v>
      </c>
      <c r="R1077" s="5" t="s">
        <v>85</v>
      </c>
      <c r="T1077" s="390">
        <v>3</v>
      </c>
      <c r="U1077" s="5" t="s">
        <v>97</v>
      </c>
      <c r="W1077" s="5" t="s">
        <v>2468</v>
      </c>
      <c r="X1077" s="1090" t="s">
        <v>102</v>
      </c>
      <c r="AA1077" s="1090" t="s">
        <v>85</v>
      </c>
      <c r="AB1077" s="5" t="s">
        <v>2469</v>
      </c>
      <c r="AC1077" s="5" t="s">
        <v>2470</v>
      </c>
      <c r="AD1077" s="5" t="s">
        <v>86</v>
      </c>
      <c r="AF1077" s="5">
        <v>43</v>
      </c>
      <c r="AG1077" s="5">
        <v>3085</v>
      </c>
      <c r="AH1077" s="5" t="s">
        <v>85</v>
      </c>
      <c r="AI1077" s="5" t="s">
        <v>2471</v>
      </c>
      <c r="AJ1077" s="5">
        <v>43</v>
      </c>
      <c r="AK1077" s="5">
        <v>264</v>
      </c>
      <c r="AL1077" s="5">
        <v>133</v>
      </c>
      <c r="AM1077" s="5">
        <v>131</v>
      </c>
      <c r="AN1077" s="5">
        <v>25</v>
      </c>
      <c r="AO1077" s="5">
        <v>18</v>
      </c>
      <c r="AP1077" s="5">
        <v>0</v>
      </c>
      <c r="AQ1077" s="5">
        <v>0</v>
      </c>
      <c r="AT1077" s="5">
        <v>0</v>
      </c>
      <c r="AU1077" s="5">
        <v>0</v>
      </c>
      <c r="AX1077" s="5">
        <v>0</v>
      </c>
      <c r="AY1077" s="1090" t="s">
        <v>86</v>
      </c>
      <c r="BN1077" s="1090" t="s">
        <v>85</v>
      </c>
      <c r="BO1077" s="5">
        <v>4</v>
      </c>
      <c r="BP1077" s="5">
        <v>33</v>
      </c>
      <c r="BQ1077" s="5">
        <v>15</v>
      </c>
      <c r="BR1077" s="5">
        <v>18</v>
      </c>
      <c r="BS1077" s="5" t="s">
        <v>2479</v>
      </c>
      <c r="BT1077" s="5">
        <v>0</v>
      </c>
      <c r="BU1077" s="5">
        <v>4</v>
      </c>
      <c r="BV1077" s="5">
        <v>0</v>
      </c>
      <c r="BW1077" s="5">
        <v>0</v>
      </c>
      <c r="BX1077" s="5">
        <v>0</v>
      </c>
      <c r="BZ1077" s="5">
        <v>0</v>
      </c>
      <c r="CA1077" s="5">
        <v>0</v>
      </c>
      <c r="CC1077" s="5">
        <v>0</v>
      </c>
      <c r="CD1077" s="5">
        <v>5</v>
      </c>
      <c r="CF1077" s="1442" t="str">
        <f>IF([1]!sommaire[[#This Row],[présence des personnes déplacés interne]]="Oui","1","0")</f>
        <v>1</v>
      </c>
      <c r="CG1077" s="1442" t="str">
        <f>IF([1]!sommaire[[#This Row],[présence Réfugié hors camp]]="Oui","1","0")</f>
        <v>0</v>
      </c>
      <c r="CH1077" s="1442" t="str">
        <f>IF([1]!sommaire[[#This Row],[présence personnes retournées]]="Oui","1","0")</f>
        <v>1</v>
      </c>
      <c r="CI1077" s="1442">
        <f>[1]!sommaire[[#This Row],[Flag PDI]]+[1]!sommaire[[#This Row],[Flag REF]]+[1]!sommaire[[#This Row],[Flag RET]]</f>
        <v>2</v>
      </c>
    </row>
    <row r="1078" spans="1:87" ht="14.55" customHeight="1" x14ac:dyDescent="0.3">
      <c r="A1078" s="390">
        <v>2626277</v>
      </c>
      <c r="B1078" s="5" t="s">
        <v>533</v>
      </c>
      <c r="C1078" s="1430" t="s">
        <v>3449</v>
      </c>
      <c r="D1078" s="1090" t="s">
        <v>534</v>
      </c>
      <c r="E1078" s="5" t="s">
        <v>35</v>
      </c>
      <c r="F1078" s="5" t="s">
        <v>35</v>
      </c>
      <c r="G1078" s="5" t="s">
        <v>567</v>
      </c>
      <c r="H1078" s="5" t="s">
        <v>191</v>
      </c>
      <c r="I1078" s="5" t="str">
        <f>_xlfn.XLOOKUP(sommaire[[#This Row],[Arrondissement_code]],OCHA_GIS!$F:$F,OCHA_GIS!$E:$E,,)</f>
        <v>Hina</v>
      </c>
      <c r="J1078" s="5" t="s">
        <v>659</v>
      </c>
      <c r="K1078" t="s">
        <v>2101</v>
      </c>
      <c r="L1078" s="5" t="s">
        <v>2102</v>
      </c>
      <c r="N1078" s="5" t="s">
        <v>3053</v>
      </c>
      <c r="O1078" s="5" t="s">
        <v>2467</v>
      </c>
      <c r="P1078" s="5" t="s">
        <v>85</v>
      </c>
      <c r="Q1078" s="5" t="s">
        <v>86</v>
      </c>
      <c r="R1078" s="5" t="s">
        <v>85</v>
      </c>
      <c r="T1078" s="390">
        <v>3</v>
      </c>
      <c r="U1078" s="5" t="s">
        <v>97</v>
      </c>
      <c r="W1078" s="5" t="s">
        <v>2468</v>
      </c>
      <c r="X1078" s="5" t="s">
        <v>102</v>
      </c>
      <c r="AA1078" s="5" t="s">
        <v>85</v>
      </c>
      <c r="AB1078" s="5" t="s">
        <v>2469</v>
      </c>
      <c r="AC1078" s="5" t="s">
        <v>2470</v>
      </c>
      <c r="AD1078" s="5" t="s">
        <v>86</v>
      </c>
      <c r="AF1078" s="5">
        <v>16</v>
      </c>
      <c r="AG1078" s="5">
        <v>735</v>
      </c>
      <c r="AH1078" s="5" t="s">
        <v>85</v>
      </c>
      <c r="AI1078" s="5" t="s">
        <v>2471</v>
      </c>
      <c r="AJ1078" s="5">
        <v>16</v>
      </c>
      <c r="AK1078" s="5">
        <v>46</v>
      </c>
      <c r="AL1078" s="5">
        <v>22</v>
      </c>
      <c r="AM1078" s="5">
        <v>24</v>
      </c>
      <c r="AN1078" s="5">
        <v>0</v>
      </c>
      <c r="AO1078" s="5">
        <v>16</v>
      </c>
      <c r="AP1078" s="5">
        <v>0</v>
      </c>
      <c r="AQ1078" s="5">
        <v>0</v>
      </c>
      <c r="AT1078" s="5">
        <v>0</v>
      </c>
      <c r="AU1078" s="5">
        <v>0</v>
      </c>
      <c r="AX1078" s="5">
        <v>0</v>
      </c>
      <c r="AY1078" s="5" t="s">
        <v>86</v>
      </c>
      <c r="BN1078" s="5" t="s">
        <v>85</v>
      </c>
      <c r="BO1078" s="5">
        <v>3</v>
      </c>
      <c r="BP1078" s="5">
        <v>29</v>
      </c>
      <c r="BQ1078" s="5">
        <v>11</v>
      </c>
      <c r="BR1078" s="5">
        <v>18</v>
      </c>
      <c r="BS1078" s="5" t="s">
        <v>2479</v>
      </c>
      <c r="BT1078" s="5">
        <v>2</v>
      </c>
      <c r="BU1078" s="5">
        <v>1</v>
      </c>
      <c r="BV1078" s="5">
        <v>0</v>
      </c>
      <c r="BW1078" s="5">
        <v>0</v>
      </c>
      <c r="BX1078" s="5">
        <v>0</v>
      </c>
      <c r="BZ1078" s="5">
        <v>0</v>
      </c>
      <c r="CA1078" s="5">
        <v>0</v>
      </c>
      <c r="CC1078" s="5">
        <v>0</v>
      </c>
      <c r="CD1078" s="5">
        <v>2</v>
      </c>
      <c r="CF1078" s="1442" t="str">
        <f>IF([1]!sommaire[[#This Row],[présence des personnes déplacés interne]]="Oui","1","0")</f>
        <v>1</v>
      </c>
      <c r="CG1078" s="1442" t="str">
        <f>IF([1]!sommaire[[#This Row],[présence Réfugié hors camp]]="Oui","1","0")</f>
        <v>0</v>
      </c>
      <c r="CH1078" s="1442" t="str">
        <f>IF([1]!sommaire[[#This Row],[présence personnes retournées]]="Oui","1","0")</f>
        <v>1</v>
      </c>
      <c r="CI1078" s="1442">
        <f>[1]!sommaire[[#This Row],[Flag PDI]]+[1]!sommaire[[#This Row],[Flag REF]]+[1]!sommaire[[#This Row],[Flag RET]]</f>
        <v>2</v>
      </c>
    </row>
    <row r="1079" spans="1:87" ht="14.55" customHeight="1" x14ac:dyDescent="0.3">
      <c r="A1079" s="390">
        <v>2626282</v>
      </c>
      <c r="B1079" s="5" t="s">
        <v>533</v>
      </c>
      <c r="C1079" s="1430" t="s">
        <v>3449</v>
      </c>
      <c r="D1079" s="1090" t="s">
        <v>534</v>
      </c>
      <c r="E1079" s="5" t="s">
        <v>35</v>
      </c>
      <c r="F1079" s="5" t="s">
        <v>35</v>
      </c>
      <c r="G1079" s="5" t="s">
        <v>567</v>
      </c>
      <c r="H1079" s="5" t="s">
        <v>191</v>
      </c>
      <c r="I1079" s="5" t="str">
        <f>_xlfn.XLOOKUP(sommaire[[#This Row],[Arrondissement_code]],OCHA_GIS!$F:$F,OCHA_GIS!$E:$E,,)</f>
        <v>Hina</v>
      </c>
      <c r="J1079" s="5" t="s">
        <v>659</v>
      </c>
      <c r="K1079" t="s">
        <v>662</v>
      </c>
      <c r="L1079" s="5" t="s">
        <v>663</v>
      </c>
      <c r="N1079" s="5" t="s">
        <v>3053</v>
      </c>
      <c r="O1079" s="5" t="s">
        <v>2467</v>
      </c>
      <c r="P1079" s="5" t="s">
        <v>85</v>
      </c>
      <c r="Q1079" s="5" t="s">
        <v>86</v>
      </c>
      <c r="R1079" s="5" t="s">
        <v>85</v>
      </c>
      <c r="T1079" s="390">
        <v>3</v>
      </c>
      <c r="U1079" s="5" t="s">
        <v>97</v>
      </c>
      <c r="W1079" s="5" t="s">
        <v>2468</v>
      </c>
      <c r="X1079" s="5" t="s">
        <v>102</v>
      </c>
      <c r="AA1079" s="5" t="s">
        <v>85</v>
      </c>
      <c r="AB1079" s="5" t="s">
        <v>2469</v>
      </c>
      <c r="AC1079" s="5" t="s">
        <v>2470</v>
      </c>
      <c r="AD1079" s="5" t="s">
        <v>86</v>
      </c>
      <c r="AF1079" s="5">
        <v>12</v>
      </c>
      <c r="AG1079" s="5">
        <v>321</v>
      </c>
      <c r="AH1079" s="5" t="s">
        <v>85</v>
      </c>
      <c r="AI1079" s="5" t="s">
        <v>2471</v>
      </c>
      <c r="AJ1079" s="5">
        <v>12</v>
      </c>
      <c r="AK1079" s="5">
        <v>83</v>
      </c>
      <c r="AL1079" s="5">
        <v>35</v>
      </c>
      <c r="AM1079" s="5">
        <v>48</v>
      </c>
      <c r="AN1079" s="5">
        <v>8</v>
      </c>
      <c r="AO1079" s="5">
        <v>4</v>
      </c>
      <c r="AP1079" s="5">
        <v>0</v>
      </c>
      <c r="AQ1079" s="5">
        <v>0</v>
      </c>
      <c r="AT1079" s="5">
        <v>0</v>
      </c>
      <c r="AU1079" s="5">
        <v>0</v>
      </c>
      <c r="AX1079" s="5">
        <v>0</v>
      </c>
      <c r="AY1079" s="5" t="s">
        <v>85</v>
      </c>
      <c r="AZ1079" s="5">
        <v>2</v>
      </c>
      <c r="BA1079" s="5">
        <v>13</v>
      </c>
      <c r="BB1079" s="5">
        <v>6</v>
      </c>
      <c r="BC1079" s="5">
        <v>7</v>
      </c>
      <c r="BD1079" s="5">
        <v>2</v>
      </c>
      <c r="BE1079" s="5">
        <v>0</v>
      </c>
      <c r="BF1079" s="5">
        <v>0</v>
      </c>
      <c r="BH1079" s="5">
        <v>0</v>
      </c>
      <c r="BI1079" s="5">
        <v>0</v>
      </c>
      <c r="BL1079" s="5">
        <v>0</v>
      </c>
      <c r="BM1079" s="5">
        <v>1</v>
      </c>
      <c r="BN1079" s="5" t="s">
        <v>85</v>
      </c>
      <c r="BO1079" s="5">
        <v>3</v>
      </c>
      <c r="BP1079" s="5">
        <v>34</v>
      </c>
      <c r="BQ1079" s="5">
        <v>14</v>
      </c>
      <c r="BR1079" s="5">
        <v>20</v>
      </c>
      <c r="BS1079" s="5" t="s">
        <v>2479</v>
      </c>
      <c r="BT1079" s="5">
        <v>3</v>
      </c>
      <c r="BU1079" s="5">
        <v>0</v>
      </c>
      <c r="BV1079" s="5">
        <v>0</v>
      </c>
      <c r="BW1079" s="5">
        <v>0</v>
      </c>
      <c r="BX1079" s="5">
        <v>0</v>
      </c>
      <c r="BZ1079" s="5">
        <v>0</v>
      </c>
      <c r="CA1079" s="5">
        <v>0</v>
      </c>
      <c r="CC1079" s="5">
        <v>0</v>
      </c>
      <c r="CD1079" s="5">
        <v>12</v>
      </c>
      <c r="CF1079" s="1442" t="str">
        <f>IF([1]!sommaire[[#This Row],[présence des personnes déplacés interne]]="Oui","1","0")</f>
        <v>1</v>
      </c>
      <c r="CG1079" s="1442" t="str">
        <f>IF([1]!sommaire[[#This Row],[présence Réfugié hors camp]]="Oui","1","0")</f>
        <v>1</v>
      </c>
      <c r="CH1079" s="1442" t="str">
        <f>IF([1]!sommaire[[#This Row],[présence personnes retournées]]="Oui","1","0")</f>
        <v>1</v>
      </c>
      <c r="CI1079" s="1442">
        <f>[1]!sommaire[[#This Row],[Flag PDI]]+[1]!sommaire[[#This Row],[Flag REF]]+[1]!sommaire[[#This Row],[Flag RET]]</f>
        <v>3</v>
      </c>
    </row>
    <row r="1080" spans="1:87" ht="14.55" customHeight="1" x14ac:dyDescent="0.3">
      <c r="A1080" s="390">
        <v>2626278</v>
      </c>
      <c r="B1080" s="5" t="s">
        <v>533</v>
      </c>
      <c r="C1080" s="1430" t="s">
        <v>3449</v>
      </c>
      <c r="D1080" s="5" t="s">
        <v>534</v>
      </c>
      <c r="E1080" s="5" t="s">
        <v>35</v>
      </c>
      <c r="F1080" s="5" t="s">
        <v>35</v>
      </c>
      <c r="G1080" s="5" t="s">
        <v>567</v>
      </c>
      <c r="H1080" s="5" t="s">
        <v>191</v>
      </c>
      <c r="I1080" s="5" t="str">
        <f>_xlfn.XLOOKUP(sommaire[[#This Row],[Arrondissement_code]],OCHA_GIS!$F:$F,OCHA_GIS!$E:$E,,)</f>
        <v>Hina</v>
      </c>
      <c r="J1080" s="5" t="s">
        <v>659</v>
      </c>
      <c r="K1080" t="s">
        <v>2306</v>
      </c>
      <c r="L1080" s="5" t="s">
        <v>2307</v>
      </c>
      <c r="N1080" s="5" t="s">
        <v>3053</v>
      </c>
      <c r="O1080" s="5" t="s">
        <v>2467</v>
      </c>
      <c r="P1080" s="5" t="s">
        <v>85</v>
      </c>
      <c r="Q1080" s="5" t="s">
        <v>86</v>
      </c>
      <c r="R1080" s="5" t="s">
        <v>85</v>
      </c>
      <c r="T1080" s="390">
        <v>3</v>
      </c>
      <c r="U1080" s="5" t="s">
        <v>97</v>
      </c>
      <c r="W1080" s="5" t="s">
        <v>2468</v>
      </c>
      <c r="X1080" s="5" t="s">
        <v>102</v>
      </c>
      <c r="AA1080" s="5" t="s">
        <v>85</v>
      </c>
      <c r="AB1080" s="5" t="s">
        <v>2469</v>
      </c>
      <c r="AC1080" s="5" t="s">
        <v>2470</v>
      </c>
      <c r="AD1080" s="5" t="s">
        <v>86</v>
      </c>
      <c r="AF1080" s="5">
        <v>1</v>
      </c>
      <c r="AG1080" s="5">
        <v>1500</v>
      </c>
      <c r="AH1080" s="5" t="s">
        <v>85</v>
      </c>
      <c r="AI1080" s="5" t="s">
        <v>2471</v>
      </c>
      <c r="AJ1080" s="5">
        <v>1</v>
      </c>
      <c r="AK1080" s="5">
        <v>6</v>
      </c>
      <c r="AL1080" s="5">
        <v>3</v>
      </c>
      <c r="AM1080" s="5">
        <v>3</v>
      </c>
      <c r="AN1080" s="5">
        <v>0</v>
      </c>
      <c r="AO1080" s="5">
        <v>1</v>
      </c>
      <c r="AP1080" s="5">
        <v>0</v>
      </c>
      <c r="AQ1080" s="5">
        <v>0</v>
      </c>
      <c r="AT1080" s="5">
        <v>0</v>
      </c>
      <c r="AU1080" s="5">
        <v>0</v>
      </c>
      <c r="AX1080" s="5">
        <v>0</v>
      </c>
      <c r="AY1080" s="5" t="s">
        <v>86</v>
      </c>
      <c r="BN1080" s="5" t="s">
        <v>85</v>
      </c>
      <c r="BO1080" s="5">
        <v>1</v>
      </c>
      <c r="BP1080" s="5">
        <v>7</v>
      </c>
      <c r="BQ1080" s="5">
        <v>3</v>
      </c>
      <c r="BR1080" s="5">
        <v>4</v>
      </c>
      <c r="BS1080" s="5" t="s">
        <v>2479</v>
      </c>
      <c r="BT1080" s="5">
        <v>1</v>
      </c>
      <c r="BU1080" s="5">
        <v>0</v>
      </c>
      <c r="BV1080" s="5">
        <v>0</v>
      </c>
      <c r="BW1080" s="5">
        <v>0</v>
      </c>
      <c r="BX1080" s="5">
        <v>0</v>
      </c>
      <c r="BZ1080" s="5">
        <v>0</v>
      </c>
      <c r="CA1080" s="5">
        <v>0</v>
      </c>
      <c r="CC1080" s="5">
        <v>0</v>
      </c>
      <c r="CD1080" s="5">
        <v>2</v>
      </c>
      <c r="CF1080" s="1442" t="str">
        <f>IF([1]!sommaire[[#This Row],[présence des personnes déplacés interne]]="Oui","1","0")</f>
        <v>1</v>
      </c>
      <c r="CG1080" s="1442" t="str">
        <f>IF([1]!sommaire[[#This Row],[présence Réfugié hors camp]]="Oui","1","0")</f>
        <v>0</v>
      </c>
      <c r="CH1080" s="1442" t="str">
        <f>IF([1]!sommaire[[#This Row],[présence personnes retournées]]="Oui","1","0")</f>
        <v>1</v>
      </c>
      <c r="CI1080" s="1442">
        <f>[1]!sommaire[[#This Row],[Flag PDI]]+[1]!sommaire[[#This Row],[Flag REF]]+[1]!sommaire[[#This Row],[Flag RET]]</f>
        <v>2</v>
      </c>
    </row>
    <row r="1081" spans="1:87" ht="14.55" customHeight="1" x14ac:dyDescent="0.3">
      <c r="A1081" s="390">
        <v>2618242</v>
      </c>
      <c r="B1081" s="5" t="s">
        <v>533</v>
      </c>
      <c r="C1081" s="1430" t="s">
        <v>3449</v>
      </c>
      <c r="D1081" s="1090" t="s">
        <v>534</v>
      </c>
      <c r="E1081" s="5" t="s">
        <v>35</v>
      </c>
      <c r="F1081" s="5" t="s">
        <v>35</v>
      </c>
      <c r="G1081" s="5" t="s">
        <v>567</v>
      </c>
      <c r="H1081" s="5" t="s">
        <v>192</v>
      </c>
      <c r="I1081" s="5" t="str">
        <f>_xlfn.XLOOKUP(sommaire[[#This Row],[Arrondissement_code]],OCHA_GIS!$F:$F,OCHA_GIS!$E:$E,,)</f>
        <v>Koza</v>
      </c>
      <c r="J1081" s="5" t="s">
        <v>853</v>
      </c>
      <c r="K1081" t="s">
        <v>550</v>
      </c>
      <c r="L1081" s="5" t="s">
        <v>3121</v>
      </c>
      <c r="M1081" s="5" t="s">
        <v>3121</v>
      </c>
      <c r="N1081" s="5" t="s">
        <v>3053</v>
      </c>
      <c r="O1081" s="5" t="s">
        <v>2467</v>
      </c>
      <c r="P1081" s="5" t="s">
        <v>85</v>
      </c>
      <c r="Q1081" s="5" t="s">
        <v>86</v>
      </c>
      <c r="R1081" s="5" t="s">
        <v>85</v>
      </c>
      <c r="T1081" s="390">
        <v>3</v>
      </c>
      <c r="U1081" s="5" t="s">
        <v>97</v>
      </c>
      <c r="W1081" s="5" t="s">
        <v>2468</v>
      </c>
      <c r="X1081" s="5" t="s">
        <v>102</v>
      </c>
      <c r="AA1081" s="5" t="s">
        <v>85</v>
      </c>
      <c r="AB1081" s="5" t="s">
        <v>2469</v>
      </c>
      <c r="AC1081" s="5" t="s">
        <v>312</v>
      </c>
      <c r="AD1081" s="5" t="s">
        <v>86</v>
      </c>
      <c r="AF1081" s="5">
        <v>60</v>
      </c>
      <c r="AG1081" s="5">
        <v>1500</v>
      </c>
      <c r="AH1081" s="5" t="s">
        <v>85</v>
      </c>
      <c r="AI1081" s="5" t="s">
        <v>2471</v>
      </c>
      <c r="AJ1081" s="5">
        <v>60</v>
      </c>
      <c r="AK1081" s="5">
        <v>300</v>
      </c>
      <c r="AL1081" s="5">
        <v>139</v>
      </c>
      <c r="AM1081" s="5">
        <v>161</v>
      </c>
      <c r="AN1081" s="5">
        <v>0</v>
      </c>
      <c r="AO1081" s="5">
        <v>43</v>
      </c>
      <c r="AP1081" s="5">
        <v>0</v>
      </c>
      <c r="AQ1081" s="5">
        <v>17</v>
      </c>
      <c r="AR1081" s="5" t="s">
        <v>2477</v>
      </c>
      <c r="AT1081" s="5">
        <v>0</v>
      </c>
      <c r="AU1081" s="5">
        <v>0</v>
      </c>
      <c r="AX1081" s="5">
        <v>0</v>
      </c>
      <c r="AY1081" s="5" t="s">
        <v>86</v>
      </c>
      <c r="BN1081" s="5" t="s">
        <v>85</v>
      </c>
      <c r="BO1081" s="5">
        <v>30</v>
      </c>
      <c r="BP1081" s="5">
        <v>160</v>
      </c>
      <c r="BQ1081" s="5">
        <v>82</v>
      </c>
      <c r="BR1081" s="5">
        <v>78</v>
      </c>
      <c r="BS1081" s="5" t="s">
        <v>2492</v>
      </c>
      <c r="BT1081" s="5">
        <v>13</v>
      </c>
      <c r="BU1081" s="5">
        <v>0</v>
      </c>
      <c r="BV1081" s="5">
        <v>5</v>
      </c>
      <c r="BW1081" s="5">
        <v>0</v>
      </c>
      <c r="BX1081" s="5">
        <v>12</v>
      </c>
      <c r="BY1081" s="5" t="s">
        <v>2472</v>
      </c>
      <c r="BZ1081" s="5">
        <v>0</v>
      </c>
      <c r="CA1081" s="5">
        <v>0</v>
      </c>
      <c r="CC1081" s="5">
        <v>0</v>
      </c>
      <c r="CD1081" s="5">
        <v>0</v>
      </c>
      <c r="CF1081" s="1442" t="str">
        <f>IF([1]!sommaire[[#This Row],[présence des personnes déplacés interne]]="Oui","1","0")</f>
        <v>1</v>
      </c>
      <c r="CG1081" s="1442" t="str">
        <f>IF([1]!sommaire[[#This Row],[présence Réfugié hors camp]]="Oui","1","0")</f>
        <v>0</v>
      </c>
      <c r="CH1081" s="1442" t="str">
        <f>IF([1]!sommaire[[#This Row],[présence personnes retournées]]="Oui","1","0")</f>
        <v>1</v>
      </c>
      <c r="CI1081" s="1442">
        <f>[1]!sommaire[[#This Row],[Flag PDI]]+[1]!sommaire[[#This Row],[Flag REF]]+[1]!sommaire[[#This Row],[Flag RET]]</f>
        <v>2</v>
      </c>
    </row>
    <row r="1082" spans="1:87" ht="14.55" customHeight="1" x14ac:dyDescent="0.3">
      <c r="A1082" s="390">
        <v>2631065</v>
      </c>
      <c r="B1082" s="5" t="s">
        <v>533</v>
      </c>
      <c r="C1082" s="1430" t="s">
        <v>3449</v>
      </c>
      <c r="D1082" s="1090" t="s">
        <v>534</v>
      </c>
      <c r="E1082" s="5" t="s">
        <v>35</v>
      </c>
      <c r="F1082" s="5" t="s">
        <v>35</v>
      </c>
      <c r="G1082" s="5" t="s">
        <v>567</v>
      </c>
      <c r="H1082" s="5" t="s">
        <v>192</v>
      </c>
      <c r="I1082" s="5" t="str">
        <f>_xlfn.XLOOKUP(sommaire[[#This Row],[Arrondissement_code]],OCHA_GIS!$F:$F,OCHA_GIS!$E:$E,,)</f>
        <v>Koza</v>
      </c>
      <c r="J1082" s="5" t="s">
        <v>853</v>
      </c>
      <c r="K1082" t="s">
        <v>550</v>
      </c>
      <c r="L1082" s="5" t="s">
        <v>3125</v>
      </c>
      <c r="M1082" s="5" t="s">
        <v>3125</v>
      </c>
      <c r="N1082" s="5" t="s">
        <v>3053</v>
      </c>
      <c r="O1082" s="5" t="s">
        <v>2467</v>
      </c>
      <c r="P1082" s="5" t="s">
        <v>85</v>
      </c>
      <c r="Q1082" s="5" t="s">
        <v>86</v>
      </c>
      <c r="R1082" s="5" t="s">
        <v>86</v>
      </c>
      <c r="T1082" s="390">
        <v>3</v>
      </c>
      <c r="U1082" s="5" t="s">
        <v>97</v>
      </c>
      <c r="W1082" s="5" t="s">
        <v>2468</v>
      </c>
      <c r="X1082" s="5" t="s">
        <v>102</v>
      </c>
      <c r="AA1082" s="5" t="s">
        <v>85</v>
      </c>
      <c r="AB1082" s="5" t="s">
        <v>2469</v>
      </c>
      <c r="AC1082" s="5" t="s">
        <v>312</v>
      </c>
      <c r="AD1082" s="5" t="s">
        <v>86</v>
      </c>
      <c r="AF1082" s="5">
        <v>34</v>
      </c>
      <c r="AG1082" s="5">
        <v>714</v>
      </c>
      <c r="AH1082" s="5" t="s">
        <v>85</v>
      </c>
      <c r="AI1082" s="5" t="s">
        <v>2471</v>
      </c>
      <c r="AJ1082" s="5">
        <v>34</v>
      </c>
      <c r="AK1082" s="5">
        <v>79</v>
      </c>
      <c r="AL1082" s="5">
        <v>30</v>
      </c>
      <c r="AM1082" s="5">
        <v>49</v>
      </c>
      <c r="AN1082" s="5">
        <v>6</v>
      </c>
      <c r="AO1082" s="5">
        <v>25</v>
      </c>
      <c r="AP1082" s="5">
        <v>0</v>
      </c>
      <c r="AQ1082" s="5">
        <v>3</v>
      </c>
      <c r="AR1082" s="5" t="s">
        <v>2477</v>
      </c>
      <c r="AT1082" s="5">
        <v>0</v>
      </c>
      <c r="AU1082" s="5">
        <v>0</v>
      </c>
      <c r="AX1082" s="5">
        <v>0</v>
      </c>
      <c r="AY1082" s="5" t="s">
        <v>86</v>
      </c>
      <c r="BN1082" s="5" t="s">
        <v>86</v>
      </c>
      <c r="CD1082" s="5">
        <v>0</v>
      </c>
      <c r="CF1082" s="1442" t="str">
        <f>IF([1]!sommaire[[#This Row],[présence des personnes déplacés interne]]="Oui","1","0")</f>
        <v>1</v>
      </c>
      <c r="CG1082" s="1442" t="str">
        <f>IF([1]!sommaire[[#This Row],[présence Réfugié hors camp]]="Oui","1","0")</f>
        <v>0</v>
      </c>
      <c r="CH1082" s="1442" t="str">
        <f>IF([1]!sommaire[[#This Row],[présence personnes retournées]]="Oui","1","0")</f>
        <v>0</v>
      </c>
      <c r="CI1082" s="1442">
        <f>[1]!sommaire[[#This Row],[Flag PDI]]+[1]!sommaire[[#This Row],[Flag REF]]+[1]!sommaire[[#This Row],[Flag RET]]</f>
        <v>1</v>
      </c>
    </row>
    <row r="1083" spans="1:87" ht="14.55" customHeight="1" x14ac:dyDescent="0.3">
      <c r="A1083" s="390">
        <v>2646935</v>
      </c>
      <c r="B1083" s="5" t="s">
        <v>533</v>
      </c>
      <c r="C1083" s="1430" t="s">
        <v>3449</v>
      </c>
      <c r="D1083" s="1090" t="s">
        <v>534</v>
      </c>
      <c r="E1083" s="5" t="s">
        <v>35</v>
      </c>
      <c r="F1083" s="5" t="s">
        <v>35</v>
      </c>
      <c r="G1083" s="5" t="s">
        <v>567</v>
      </c>
      <c r="H1083" s="5" t="s">
        <v>192</v>
      </c>
      <c r="I1083" s="5" t="str">
        <f>_xlfn.XLOOKUP(sommaire[[#This Row],[Arrondissement_code]],OCHA_GIS!$F:$F,OCHA_GIS!$E:$E,,)</f>
        <v>Koza</v>
      </c>
      <c r="J1083" s="5" t="s">
        <v>853</v>
      </c>
      <c r="K1083" t="s">
        <v>550</v>
      </c>
      <c r="L1083" s="5" t="s">
        <v>3129</v>
      </c>
      <c r="M1083" s="5" t="s">
        <v>3129</v>
      </c>
      <c r="N1083" s="5" t="s">
        <v>3053</v>
      </c>
      <c r="O1083" s="5" t="s">
        <v>2467</v>
      </c>
      <c r="P1083" s="5" t="s">
        <v>85</v>
      </c>
      <c r="Q1083" s="5" t="s">
        <v>86</v>
      </c>
      <c r="R1083" s="5" t="s">
        <v>86</v>
      </c>
      <c r="T1083" s="390">
        <v>3</v>
      </c>
      <c r="U1083" s="5" t="s">
        <v>97</v>
      </c>
      <c r="W1083" s="5" t="s">
        <v>2468</v>
      </c>
      <c r="X1083" s="5" t="s">
        <v>102</v>
      </c>
      <c r="AA1083" s="586" t="s">
        <v>85</v>
      </c>
      <c r="AB1083" s="5" t="s">
        <v>2469</v>
      </c>
      <c r="AC1083" s="5" t="s">
        <v>2470</v>
      </c>
      <c r="AD1083" s="5" t="s">
        <v>86</v>
      </c>
      <c r="AF1083" s="5">
        <v>40</v>
      </c>
      <c r="AG1083" s="5">
        <v>1521</v>
      </c>
      <c r="AH1083" s="5" t="s">
        <v>85</v>
      </c>
      <c r="AI1083" s="5" t="s">
        <v>2471</v>
      </c>
      <c r="AJ1083" s="5">
        <v>40</v>
      </c>
      <c r="AK1083" s="5">
        <v>150</v>
      </c>
      <c r="AL1083" s="5">
        <v>60</v>
      </c>
      <c r="AM1083" s="5">
        <v>90</v>
      </c>
      <c r="AN1083" s="5">
        <v>15</v>
      </c>
      <c r="AO1083" s="5">
        <v>20</v>
      </c>
      <c r="AP1083" s="5">
        <v>0</v>
      </c>
      <c r="AQ1083" s="5">
        <v>5</v>
      </c>
      <c r="AR1083" s="5" t="s">
        <v>2477</v>
      </c>
      <c r="AT1083" s="5">
        <v>0</v>
      </c>
      <c r="AU1083" s="5">
        <v>0</v>
      </c>
      <c r="AX1083" s="5">
        <v>0</v>
      </c>
      <c r="AY1083" s="5" t="s">
        <v>86</v>
      </c>
      <c r="BN1083" s="5" t="s">
        <v>86</v>
      </c>
      <c r="CD1083" s="5">
        <v>0</v>
      </c>
      <c r="CF1083" s="1442" t="str">
        <f>IF([1]!sommaire[[#This Row],[présence des personnes déplacés interne]]="Oui","1","0")</f>
        <v>1</v>
      </c>
      <c r="CG1083" s="1442" t="str">
        <f>IF([1]!sommaire[[#This Row],[présence Réfugié hors camp]]="Oui","1","0")</f>
        <v>0</v>
      </c>
      <c r="CH1083" s="1442" t="str">
        <f>IF([1]!sommaire[[#This Row],[présence personnes retournées]]="Oui","1","0")</f>
        <v>0</v>
      </c>
      <c r="CI1083" s="1442">
        <f>[1]!sommaire[[#This Row],[Flag PDI]]+[1]!sommaire[[#This Row],[Flag REF]]+[1]!sommaire[[#This Row],[Flag RET]]</f>
        <v>1</v>
      </c>
    </row>
    <row r="1084" spans="1:87" ht="14.55" customHeight="1" x14ac:dyDescent="0.3">
      <c r="A1084" s="390">
        <v>2622380</v>
      </c>
      <c r="B1084" s="5" t="s">
        <v>533</v>
      </c>
      <c r="C1084" s="1430" t="s">
        <v>3449</v>
      </c>
      <c r="D1084" s="1090" t="s">
        <v>534</v>
      </c>
      <c r="E1084" s="5" t="s">
        <v>35</v>
      </c>
      <c r="F1084" s="5" t="s">
        <v>35</v>
      </c>
      <c r="G1084" s="5" t="s">
        <v>567</v>
      </c>
      <c r="H1084" s="5" t="s">
        <v>192</v>
      </c>
      <c r="I1084" s="5" t="str">
        <f>_xlfn.XLOOKUP(sommaire[[#This Row],[Arrondissement_code]],OCHA_GIS!$F:$F,OCHA_GIS!$E:$E,,)</f>
        <v>Koza</v>
      </c>
      <c r="J1084" s="5" t="s">
        <v>853</v>
      </c>
      <c r="K1084" t="s">
        <v>1316</v>
      </c>
      <c r="L1084" s="5" t="s">
        <v>901</v>
      </c>
      <c r="N1084" s="5" t="s">
        <v>3053</v>
      </c>
      <c r="O1084" s="5" t="s">
        <v>2467</v>
      </c>
      <c r="P1084" s="5" t="s">
        <v>85</v>
      </c>
      <c r="Q1084" s="5" t="s">
        <v>86</v>
      </c>
      <c r="R1084" s="5" t="s">
        <v>86</v>
      </c>
      <c r="T1084" s="390">
        <v>3</v>
      </c>
      <c r="U1084" s="5" t="s">
        <v>97</v>
      </c>
      <c r="W1084" s="5" t="s">
        <v>2468</v>
      </c>
      <c r="X1084" s="5" t="s">
        <v>102</v>
      </c>
      <c r="AA1084" s="586" t="s">
        <v>85</v>
      </c>
      <c r="AB1084" s="5" t="s">
        <v>2469</v>
      </c>
      <c r="AC1084" s="5" t="s">
        <v>312</v>
      </c>
      <c r="AD1084" s="5" t="s">
        <v>86</v>
      </c>
      <c r="AF1084" s="5">
        <v>30</v>
      </c>
      <c r="AG1084" s="5">
        <v>1536</v>
      </c>
      <c r="AH1084" s="5" t="s">
        <v>85</v>
      </c>
      <c r="AI1084" s="5" t="s">
        <v>2485</v>
      </c>
      <c r="AJ1084" s="5">
        <v>30</v>
      </c>
      <c r="AK1084" s="5">
        <v>113</v>
      </c>
      <c r="AL1084" s="5">
        <v>45</v>
      </c>
      <c r="AM1084" s="5">
        <v>68</v>
      </c>
      <c r="AN1084" s="5">
        <v>3</v>
      </c>
      <c r="AO1084" s="5">
        <v>24</v>
      </c>
      <c r="AP1084" s="5">
        <v>0</v>
      </c>
      <c r="AQ1084" s="5">
        <v>3</v>
      </c>
      <c r="AR1084" s="5" t="s">
        <v>2477</v>
      </c>
      <c r="AT1084" s="5">
        <v>0</v>
      </c>
      <c r="AU1084" s="5">
        <v>0</v>
      </c>
      <c r="AX1084" s="5">
        <v>0</v>
      </c>
      <c r="AY1084" s="5" t="s">
        <v>86</v>
      </c>
      <c r="BN1084" s="5" t="s">
        <v>85</v>
      </c>
      <c r="BO1084" s="5">
        <v>7</v>
      </c>
      <c r="BP1084" s="5">
        <v>37</v>
      </c>
      <c r="BQ1084" s="5">
        <v>14</v>
      </c>
      <c r="BR1084" s="5">
        <v>23</v>
      </c>
      <c r="BS1084" s="5" t="s">
        <v>2492</v>
      </c>
      <c r="BT1084" s="5">
        <v>5</v>
      </c>
      <c r="BU1084" s="5">
        <v>0</v>
      </c>
      <c r="BV1084" s="5">
        <v>2</v>
      </c>
      <c r="BW1084" s="5">
        <v>0</v>
      </c>
      <c r="BX1084" s="5">
        <v>0</v>
      </c>
      <c r="BZ1084" s="5">
        <v>0</v>
      </c>
      <c r="CA1084" s="5">
        <v>0</v>
      </c>
      <c r="CC1084" s="5">
        <v>0</v>
      </c>
      <c r="CD1084" s="5">
        <v>0</v>
      </c>
      <c r="CF1084" s="1442" t="str">
        <f>IF([1]!sommaire[[#This Row],[présence des personnes déplacés interne]]="Oui","1","0")</f>
        <v>1</v>
      </c>
      <c r="CG1084" s="1442" t="str">
        <f>IF([1]!sommaire[[#This Row],[présence Réfugié hors camp]]="Oui","1","0")</f>
        <v>0</v>
      </c>
      <c r="CH1084" s="1442" t="str">
        <f>IF([1]!sommaire[[#This Row],[présence personnes retournées]]="Oui","1","0")</f>
        <v>1</v>
      </c>
      <c r="CI1084" s="1442">
        <f>[1]!sommaire[[#This Row],[Flag PDI]]+[1]!sommaire[[#This Row],[Flag REF]]+[1]!sommaire[[#This Row],[Flag RET]]</f>
        <v>2</v>
      </c>
    </row>
    <row r="1085" spans="1:87" ht="14.55" customHeight="1" x14ac:dyDescent="0.3">
      <c r="A1085" s="390">
        <v>2646934</v>
      </c>
      <c r="B1085" s="5" t="s">
        <v>533</v>
      </c>
      <c r="C1085" s="1430" t="s">
        <v>3449</v>
      </c>
      <c r="D1085" s="1090" t="s">
        <v>534</v>
      </c>
      <c r="E1085" s="5" t="s">
        <v>35</v>
      </c>
      <c r="F1085" s="5" t="s">
        <v>35</v>
      </c>
      <c r="G1085" s="5" t="s">
        <v>567</v>
      </c>
      <c r="H1085" s="5" t="s">
        <v>192</v>
      </c>
      <c r="I1085" s="5" t="str">
        <f>_xlfn.XLOOKUP(sommaire[[#This Row],[Arrondissement_code]],OCHA_GIS!$F:$F,OCHA_GIS!$E:$E,,)</f>
        <v>Koza</v>
      </c>
      <c r="J1085" s="5" t="s">
        <v>853</v>
      </c>
      <c r="K1085" t="s">
        <v>2854</v>
      </c>
      <c r="L1085" s="5" t="s">
        <v>1399</v>
      </c>
      <c r="N1085" s="5" t="s">
        <v>3053</v>
      </c>
      <c r="O1085" s="5" t="s">
        <v>2467</v>
      </c>
      <c r="P1085" s="5" t="s">
        <v>85</v>
      </c>
      <c r="Q1085" s="5" t="s">
        <v>86</v>
      </c>
      <c r="R1085" s="5" t="s">
        <v>86</v>
      </c>
      <c r="T1085" s="1190">
        <v>3</v>
      </c>
      <c r="U1085" s="5" t="s">
        <v>97</v>
      </c>
      <c r="W1085" s="5" t="s">
        <v>2468</v>
      </c>
      <c r="X1085" s="5" t="s">
        <v>102</v>
      </c>
      <c r="AA1085" s="5" t="s">
        <v>85</v>
      </c>
      <c r="AB1085" s="5" t="s">
        <v>2469</v>
      </c>
      <c r="AC1085" s="5" t="s">
        <v>2470</v>
      </c>
      <c r="AD1085" s="5" t="s">
        <v>86</v>
      </c>
      <c r="AF1085" s="5">
        <v>56</v>
      </c>
      <c r="AG1085" s="5">
        <v>1900</v>
      </c>
      <c r="AH1085" s="5" t="s">
        <v>85</v>
      </c>
      <c r="AI1085" s="5" t="s">
        <v>2471</v>
      </c>
      <c r="AJ1085" s="5">
        <v>56</v>
      </c>
      <c r="AK1085" s="5">
        <v>299</v>
      </c>
      <c r="AL1085" s="5">
        <v>106</v>
      </c>
      <c r="AM1085" s="5">
        <v>193</v>
      </c>
      <c r="AN1085" s="5">
        <v>16</v>
      </c>
      <c r="AO1085" s="5">
        <v>39</v>
      </c>
      <c r="AP1085" s="5">
        <v>1</v>
      </c>
      <c r="AQ1085" s="5">
        <v>0</v>
      </c>
      <c r="AT1085" s="5">
        <v>0</v>
      </c>
      <c r="AU1085" s="5">
        <v>0</v>
      </c>
      <c r="AX1085" s="5">
        <v>0</v>
      </c>
      <c r="AY1085" s="5" t="s">
        <v>86</v>
      </c>
      <c r="BN1085" s="5" t="s">
        <v>86</v>
      </c>
      <c r="CD1085" s="5">
        <v>0</v>
      </c>
      <c r="CF1085" s="1442" t="str">
        <f>IF([1]!sommaire[[#This Row],[présence des personnes déplacés interne]]="Oui","1","0")</f>
        <v>1</v>
      </c>
      <c r="CG1085" s="1442" t="str">
        <f>IF([1]!sommaire[[#This Row],[présence Réfugié hors camp]]="Oui","1","0")</f>
        <v>0</v>
      </c>
      <c r="CH1085" s="1442" t="str">
        <f>IF([1]!sommaire[[#This Row],[présence personnes retournées]]="Oui","1","0")</f>
        <v>0</v>
      </c>
      <c r="CI1085" s="1442">
        <f>[1]!sommaire[[#This Row],[Flag PDI]]+[1]!sommaire[[#This Row],[Flag REF]]+[1]!sommaire[[#This Row],[Flag RET]]</f>
        <v>1</v>
      </c>
    </row>
    <row r="1086" spans="1:87" ht="14.55" customHeight="1" x14ac:dyDescent="0.3">
      <c r="A1086" s="390">
        <v>2618244</v>
      </c>
      <c r="B1086" s="5" t="s">
        <v>533</v>
      </c>
      <c r="C1086" s="1430" t="s">
        <v>3449</v>
      </c>
      <c r="D1086" s="1090" t="s">
        <v>534</v>
      </c>
      <c r="E1086" s="5" t="s">
        <v>35</v>
      </c>
      <c r="F1086" s="5" t="s">
        <v>35</v>
      </c>
      <c r="G1086" s="5" t="s">
        <v>567</v>
      </c>
      <c r="H1086" s="5" t="s">
        <v>192</v>
      </c>
      <c r="I1086" s="5" t="str">
        <f>_xlfn.XLOOKUP(sommaire[[#This Row],[Arrondissement_code]],OCHA_GIS!$F:$F,OCHA_GIS!$E:$E,,)</f>
        <v>Koza</v>
      </c>
      <c r="J1086" s="5" t="s">
        <v>853</v>
      </c>
      <c r="K1086" t="s">
        <v>1398</v>
      </c>
      <c r="L1086" s="5" t="s">
        <v>1506</v>
      </c>
      <c r="N1086" s="5" t="s">
        <v>3052</v>
      </c>
      <c r="O1086" s="5" t="s">
        <v>2467</v>
      </c>
      <c r="P1086" s="5" t="s">
        <v>85</v>
      </c>
      <c r="Q1086" s="5" t="s">
        <v>86</v>
      </c>
      <c r="R1086" s="5" t="s">
        <v>85</v>
      </c>
      <c r="T1086" s="1190">
        <v>3</v>
      </c>
      <c r="U1086" s="5" t="s">
        <v>97</v>
      </c>
      <c r="W1086" s="5" t="s">
        <v>2468</v>
      </c>
      <c r="X1086" s="5" t="s">
        <v>102</v>
      </c>
      <c r="AA1086" s="586" t="s">
        <v>85</v>
      </c>
      <c r="AB1086" s="5" t="s">
        <v>2469</v>
      </c>
      <c r="AC1086" s="5" t="s">
        <v>312</v>
      </c>
      <c r="AD1086" s="5" t="s">
        <v>86</v>
      </c>
      <c r="AF1086" s="5">
        <v>344</v>
      </c>
      <c r="AG1086" s="5">
        <v>6300</v>
      </c>
      <c r="AH1086" s="5" t="s">
        <v>85</v>
      </c>
      <c r="AI1086" s="5" t="s">
        <v>2485</v>
      </c>
      <c r="AJ1086" s="5">
        <v>344</v>
      </c>
      <c r="AK1086" s="5">
        <v>1904</v>
      </c>
      <c r="AL1086" s="5">
        <v>846</v>
      </c>
      <c r="AM1086" s="5">
        <v>1058</v>
      </c>
      <c r="AN1086" s="5">
        <v>56</v>
      </c>
      <c r="AO1086" s="5">
        <v>209</v>
      </c>
      <c r="AP1086" s="5">
        <v>0</v>
      </c>
      <c r="AQ1086" s="5">
        <v>79</v>
      </c>
      <c r="AR1086" s="5" t="s">
        <v>2472</v>
      </c>
      <c r="AT1086" s="5">
        <v>0</v>
      </c>
      <c r="AU1086" s="5">
        <v>0</v>
      </c>
      <c r="AX1086" s="5">
        <v>0</v>
      </c>
      <c r="AY1086" s="5" t="s">
        <v>86</v>
      </c>
      <c r="BN1086" s="5" t="s">
        <v>85</v>
      </c>
      <c r="BO1086" s="5">
        <v>27</v>
      </c>
      <c r="BP1086" s="5">
        <v>158</v>
      </c>
      <c r="BQ1086" s="5">
        <v>58</v>
      </c>
      <c r="BR1086" s="5">
        <v>100</v>
      </c>
      <c r="BS1086" s="5" t="s">
        <v>2479</v>
      </c>
      <c r="BT1086" s="5">
        <v>6</v>
      </c>
      <c r="BU1086" s="5">
        <v>6</v>
      </c>
      <c r="BV1086" s="5">
        <v>5</v>
      </c>
      <c r="BW1086" s="5">
        <v>0</v>
      </c>
      <c r="BX1086" s="5">
        <v>10</v>
      </c>
      <c r="BY1086" s="5" t="s">
        <v>2472</v>
      </c>
      <c r="BZ1086" s="5">
        <v>0</v>
      </c>
      <c r="CA1086" s="5">
        <v>0</v>
      </c>
      <c r="CC1086" s="5">
        <v>0</v>
      </c>
      <c r="CD1086" s="5">
        <v>0</v>
      </c>
      <c r="CF1086" s="1442" t="str">
        <f>IF([1]!sommaire[[#This Row],[présence des personnes déplacés interne]]="Oui","1","0")</f>
        <v>1</v>
      </c>
      <c r="CG1086" s="1442" t="str">
        <f>IF([1]!sommaire[[#This Row],[présence Réfugié hors camp]]="Oui","1","0")</f>
        <v>0</v>
      </c>
      <c r="CH1086" s="1442" t="str">
        <f>IF([1]!sommaire[[#This Row],[présence personnes retournées]]="Oui","1","0")</f>
        <v>1</v>
      </c>
      <c r="CI1086" s="1442">
        <f>[1]!sommaire[[#This Row],[Flag PDI]]+[1]!sommaire[[#This Row],[Flag REF]]+[1]!sommaire[[#This Row],[Flag RET]]</f>
        <v>2</v>
      </c>
    </row>
    <row r="1087" spans="1:87" ht="14.55" customHeight="1" x14ac:dyDescent="0.3">
      <c r="A1087" s="390">
        <v>2627047</v>
      </c>
      <c r="B1087" s="5" t="s">
        <v>533</v>
      </c>
      <c r="C1087" s="1430" t="s">
        <v>3449</v>
      </c>
      <c r="D1087" s="1090" t="s">
        <v>534</v>
      </c>
      <c r="E1087" s="5" t="s">
        <v>35</v>
      </c>
      <c r="F1087" s="5" t="s">
        <v>35</v>
      </c>
      <c r="G1087" s="5" t="s">
        <v>567</v>
      </c>
      <c r="H1087" s="5" t="s">
        <v>192</v>
      </c>
      <c r="I1087" s="5" t="str">
        <f>_xlfn.XLOOKUP(sommaire[[#This Row],[Arrondissement_code]],OCHA_GIS!$F:$F,OCHA_GIS!$E:$E,,)</f>
        <v>Koza</v>
      </c>
      <c r="J1087" s="5" t="s">
        <v>853</v>
      </c>
      <c r="K1087" t="s">
        <v>1505</v>
      </c>
      <c r="L1087" s="5" t="s">
        <v>1169</v>
      </c>
      <c r="N1087" s="5" t="s">
        <v>3053</v>
      </c>
      <c r="O1087" s="5" t="s">
        <v>2467</v>
      </c>
      <c r="P1087" s="5" t="s">
        <v>85</v>
      </c>
      <c r="Q1087" s="5" t="s">
        <v>86</v>
      </c>
      <c r="R1087" s="5" t="s">
        <v>85</v>
      </c>
      <c r="T1087" s="1190">
        <v>6</v>
      </c>
      <c r="U1087" s="5" t="s">
        <v>97</v>
      </c>
      <c r="W1087" s="5" t="s">
        <v>2468</v>
      </c>
      <c r="X1087" s="5" t="s">
        <v>102</v>
      </c>
      <c r="AA1087" s="5" t="s">
        <v>85</v>
      </c>
      <c r="AB1087" s="5" t="s">
        <v>2469</v>
      </c>
      <c r="AC1087" s="5" t="s">
        <v>312</v>
      </c>
      <c r="AD1087" s="5" t="s">
        <v>86</v>
      </c>
      <c r="AF1087" s="5">
        <v>49</v>
      </c>
      <c r="AG1087" s="5">
        <v>3700</v>
      </c>
      <c r="AH1087" s="5" t="s">
        <v>85</v>
      </c>
      <c r="AI1087" s="5" t="s">
        <v>2485</v>
      </c>
      <c r="AJ1087" s="5">
        <v>49</v>
      </c>
      <c r="AK1087" s="5">
        <v>350</v>
      </c>
      <c r="AL1087" s="5">
        <v>165</v>
      </c>
      <c r="AM1087" s="5">
        <v>185</v>
      </c>
      <c r="AN1087" s="5">
        <v>16</v>
      </c>
      <c r="AO1087" s="5">
        <v>33</v>
      </c>
      <c r="AP1087" s="5">
        <v>0</v>
      </c>
      <c r="AQ1087" s="5">
        <v>0</v>
      </c>
      <c r="AT1087" s="5">
        <v>0</v>
      </c>
      <c r="AU1087" s="5">
        <v>0</v>
      </c>
      <c r="AX1087" s="5">
        <v>0</v>
      </c>
      <c r="AY1087" s="5" t="s">
        <v>86</v>
      </c>
      <c r="BN1087" s="5" t="s">
        <v>85</v>
      </c>
      <c r="BO1087" s="5">
        <v>11</v>
      </c>
      <c r="BP1087" s="5">
        <v>87</v>
      </c>
      <c r="BQ1087" s="5">
        <v>27</v>
      </c>
      <c r="BR1087" s="5">
        <v>60</v>
      </c>
      <c r="BS1087" s="5" t="s">
        <v>2479</v>
      </c>
      <c r="BT1087" s="5">
        <v>7</v>
      </c>
      <c r="BU1087" s="5">
        <v>4</v>
      </c>
      <c r="BV1087" s="5">
        <v>0</v>
      </c>
      <c r="BW1087" s="5">
        <v>0</v>
      </c>
      <c r="BX1087" s="5">
        <v>0</v>
      </c>
      <c r="BZ1087" s="5">
        <v>0</v>
      </c>
      <c r="CA1087" s="5">
        <v>0</v>
      </c>
      <c r="CC1087" s="5">
        <v>0</v>
      </c>
      <c r="CD1087" s="5">
        <v>0</v>
      </c>
      <c r="CF1087" s="1442" t="str">
        <f>IF([1]!sommaire[[#This Row],[présence des personnes déplacés interne]]="Oui","1","0")</f>
        <v>1</v>
      </c>
      <c r="CG1087" s="1442" t="str">
        <f>IF([1]!sommaire[[#This Row],[présence Réfugié hors camp]]="Oui","1","0")</f>
        <v>0</v>
      </c>
      <c r="CH1087" s="1442" t="str">
        <f>IF([1]!sommaire[[#This Row],[présence personnes retournées]]="Oui","1","0")</f>
        <v>1</v>
      </c>
      <c r="CI1087" s="1442">
        <f>[1]!sommaire[[#This Row],[Flag PDI]]+[1]!sommaire[[#This Row],[Flag REF]]+[1]!sommaire[[#This Row],[Flag RET]]</f>
        <v>2</v>
      </c>
    </row>
    <row r="1088" spans="1:87" ht="14.55" customHeight="1" x14ac:dyDescent="0.3">
      <c r="A1088" s="390">
        <v>2620181</v>
      </c>
      <c r="B1088" s="5" t="s">
        <v>533</v>
      </c>
      <c r="C1088" s="1430" t="s">
        <v>3449</v>
      </c>
      <c r="D1088" s="1090" t="s">
        <v>534</v>
      </c>
      <c r="E1088" s="5" t="s">
        <v>35</v>
      </c>
      <c r="F1088" s="5" t="s">
        <v>35</v>
      </c>
      <c r="G1088" s="5" t="s">
        <v>567</v>
      </c>
      <c r="H1088" s="5" t="s">
        <v>192</v>
      </c>
      <c r="I1088" s="5" t="str">
        <f>_xlfn.XLOOKUP(sommaire[[#This Row],[Arrondissement_code]],OCHA_GIS!$F:$F,OCHA_GIS!$E:$E,,)</f>
        <v>Koza</v>
      </c>
      <c r="J1088" s="5" t="s">
        <v>853</v>
      </c>
      <c r="K1088" t="s">
        <v>1168</v>
      </c>
      <c r="L1088" s="5" t="s">
        <v>1413</v>
      </c>
      <c r="N1088" s="5" t="s">
        <v>3053</v>
      </c>
      <c r="O1088" s="5" t="s">
        <v>2467</v>
      </c>
      <c r="P1088" s="5" t="s">
        <v>85</v>
      </c>
      <c r="Q1088" s="5" t="s">
        <v>86</v>
      </c>
      <c r="R1088" s="5" t="s">
        <v>85</v>
      </c>
      <c r="T1088" s="390">
        <v>3</v>
      </c>
      <c r="U1088" s="5" t="s">
        <v>97</v>
      </c>
      <c r="W1088" s="5" t="s">
        <v>2468</v>
      </c>
      <c r="X1088" s="5" t="s">
        <v>102</v>
      </c>
      <c r="AA1088" s="5" t="s">
        <v>85</v>
      </c>
      <c r="AB1088" s="5" t="s">
        <v>2469</v>
      </c>
      <c r="AC1088" s="5" t="s">
        <v>2470</v>
      </c>
      <c r="AD1088" s="5" t="s">
        <v>86</v>
      </c>
      <c r="AF1088" s="5">
        <v>168</v>
      </c>
      <c r="AG1088" s="5">
        <v>1092</v>
      </c>
      <c r="AH1088" s="5" t="s">
        <v>85</v>
      </c>
      <c r="AI1088" s="5" t="s">
        <v>2485</v>
      </c>
      <c r="AJ1088" s="5">
        <v>168</v>
      </c>
      <c r="AK1088" s="5">
        <v>715</v>
      </c>
      <c r="AL1088" s="5">
        <v>312</v>
      </c>
      <c r="AM1088" s="5">
        <v>403</v>
      </c>
      <c r="AN1088" s="5">
        <v>14</v>
      </c>
      <c r="AO1088" s="5">
        <v>53</v>
      </c>
      <c r="AP1088" s="5">
        <v>92</v>
      </c>
      <c r="AQ1088" s="5">
        <v>9</v>
      </c>
      <c r="AR1088" s="5" t="s">
        <v>2477</v>
      </c>
      <c r="AT1088" s="5">
        <v>0</v>
      </c>
      <c r="AU1088" s="5">
        <v>0</v>
      </c>
      <c r="AX1088" s="5">
        <v>0</v>
      </c>
      <c r="AY1088" s="5" t="s">
        <v>86</v>
      </c>
      <c r="BN1088" s="5" t="s">
        <v>85</v>
      </c>
      <c r="BO1088" s="5">
        <v>2</v>
      </c>
      <c r="BP1088" s="5">
        <v>19</v>
      </c>
      <c r="BQ1088" s="5">
        <v>7</v>
      </c>
      <c r="BR1088" s="5">
        <v>12</v>
      </c>
      <c r="BS1088" s="5" t="s">
        <v>2479</v>
      </c>
      <c r="BT1088" s="5">
        <v>0</v>
      </c>
      <c r="BU1088" s="5">
        <v>1</v>
      </c>
      <c r="BV1088" s="5">
        <v>1</v>
      </c>
      <c r="BW1088" s="5">
        <v>0</v>
      </c>
      <c r="BX1088" s="5">
        <v>0</v>
      </c>
      <c r="BZ1088" s="5">
        <v>0</v>
      </c>
      <c r="CA1088" s="5">
        <v>0</v>
      </c>
      <c r="CC1088" s="5">
        <v>0</v>
      </c>
      <c r="CD1088" s="5">
        <v>0</v>
      </c>
      <c r="CF1088" s="1442" t="str">
        <f>IF([1]!sommaire[[#This Row],[présence des personnes déplacés interne]]="Oui","1","0")</f>
        <v>1</v>
      </c>
      <c r="CG1088" s="1442" t="str">
        <f>IF([1]!sommaire[[#This Row],[présence Réfugié hors camp]]="Oui","1","0")</f>
        <v>0</v>
      </c>
      <c r="CH1088" s="1442" t="str">
        <f>IF([1]!sommaire[[#This Row],[présence personnes retournées]]="Oui","1","0")</f>
        <v>1</v>
      </c>
      <c r="CI1088" s="1442">
        <f>[1]!sommaire[[#This Row],[Flag PDI]]+[1]!sommaire[[#This Row],[Flag REF]]+[1]!sommaire[[#This Row],[Flag RET]]</f>
        <v>2</v>
      </c>
    </row>
    <row r="1089" spans="1:87" ht="14.55" customHeight="1" x14ac:dyDescent="0.3">
      <c r="A1089" s="390">
        <v>2620177</v>
      </c>
      <c r="B1089" s="5" t="s">
        <v>533</v>
      </c>
      <c r="C1089" s="1430" t="s">
        <v>3449</v>
      </c>
      <c r="D1089" s="1090" t="s">
        <v>534</v>
      </c>
      <c r="E1089" s="5" t="s">
        <v>35</v>
      </c>
      <c r="F1089" s="5" t="s">
        <v>35</v>
      </c>
      <c r="G1089" s="5" t="s">
        <v>567</v>
      </c>
      <c r="H1089" s="5" t="s">
        <v>192</v>
      </c>
      <c r="I1089" s="5" t="str">
        <f>_xlfn.XLOOKUP(sommaire[[#This Row],[Arrondissement_code]],OCHA_GIS!$F:$F,OCHA_GIS!$E:$E,,)</f>
        <v>Koza</v>
      </c>
      <c r="J1089" s="5" t="s">
        <v>853</v>
      </c>
      <c r="K1089" t="s">
        <v>1412</v>
      </c>
      <c r="L1089" s="5" t="s">
        <v>1411</v>
      </c>
      <c r="N1089" s="5" t="s">
        <v>3053</v>
      </c>
      <c r="O1089" s="5" t="s">
        <v>2467</v>
      </c>
      <c r="P1089" s="5" t="s">
        <v>85</v>
      </c>
      <c r="Q1089" s="5" t="s">
        <v>86</v>
      </c>
      <c r="R1089" s="5" t="s">
        <v>85</v>
      </c>
      <c r="T1089" s="390">
        <v>3</v>
      </c>
      <c r="U1089" s="5" t="s">
        <v>97</v>
      </c>
      <c r="W1089" s="5" t="s">
        <v>2468</v>
      </c>
      <c r="X1089" s="5" t="s">
        <v>102</v>
      </c>
      <c r="AA1089" s="5" t="s">
        <v>85</v>
      </c>
      <c r="AB1089" s="5" t="s">
        <v>2469</v>
      </c>
      <c r="AC1089" s="5" t="s">
        <v>2470</v>
      </c>
      <c r="AD1089" s="5" t="s">
        <v>86</v>
      </c>
      <c r="AF1089" s="5">
        <v>127</v>
      </c>
      <c r="AG1089" s="5">
        <v>3426</v>
      </c>
      <c r="AH1089" s="5" t="s">
        <v>85</v>
      </c>
      <c r="AI1089" s="5" t="s">
        <v>2485</v>
      </c>
      <c r="AJ1089" s="5">
        <v>127</v>
      </c>
      <c r="AK1089" s="5">
        <v>455</v>
      </c>
      <c r="AL1089" s="5">
        <v>189</v>
      </c>
      <c r="AM1089" s="5">
        <v>266</v>
      </c>
      <c r="AN1089" s="5">
        <v>14</v>
      </c>
      <c r="AO1089" s="5">
        <v>37</v>
      </c>
      <c r="AP1089" s="5">
        <v>64</v>
      </c>
      <c r="AQ1089" s="5">
        <v>12</v>
      </c>
      <c r="AR1089" s="5" t="s">
        <v>2477</v>
      </c>
      <c r="AT1089" s="5">
        <v>0</v>
      </c>
      <c r="AU1089" s="5">
        <v>0</v>
      </c>
      <c r="AX1089" s="5">
        <v>0</v>
      </c>
      <c r="AY1089" s="5" t="s">
        <v>86</v>
      </c>
      <c r="BN1089" s="5" t="s">
        <v>86</v>
      </c>
      <c r="CD1089" s="5">
        <v>0</v>
      </c>
      <c r="CF1089" s="1442" t="str">
        <f>IF([1]!sommaire[[#This Row],[présence des personnes déplacés interne]]="Oui","1","0")</f>
        <v>1</v>
      </c>
      <c r="CG1089" s="1442" t="str">
        <f>IF([1]!sommaire[[#This Row],[présence Réfugié hors camp]]="Oui","1","0")</f>
        <v>0</v>
      </c>
      <c r="CH1089" s="1442" t="str">
        <f>IF([1]!sommaire[[#This Row],[présence personnes retournées]]="Oui","1","0")</f>
        <v>0</v>
      </c>
      <c r="CI1089" s="1442">
        <f>[1]!sommaire[[#This Row],[Flag PDI]]+[1]!sommaire[[#This Row],[Flag REF]]+[1]!sommaire[[#This Row],[Flag RET]]</f>
        <v>1</v>
      </c>
    </row>
    <row r="1090" spans="1:87" ht="14.55" customHeight="1" x14ac:dyDescent="0.3">
      <c r="A1090" s="390">
        <v>2629505</v>
      </c>
      <c r="B1090" s="5" t="s">
        <v>533</v>
      </c>
      <c r="C1090" s="1430" t="s">
        <v>3449</v>
      </c>
      <c r="D1090" s="1090" t="s">
        <v>534</v>
      </c>
      <c r="E1090" s="5" t="s">
        <v>35</v>
      </c>
      <c r="F1090" s="5" t="s">
        <v>35</v>
      </c>
      <c r="G1090" s="5" t="s">
        <v>567</v>
      </c>
      <c r="H1090" s="5" t="s">
        <v>192</v>
      </c>
      <c r="I1090" s="5" t="str">
        <f>_xlfn.XLOOKUP(sommaire[[#This Row],[Arrondissement_code]],OCHA_GIS!$F:$F,OCHA_GIS!$E:$E,,)</f>
        <v>Koza</v>
      </c>
      <c r="J1090" s="5" t="s">
        <v>853</v>
      </c>
      <c r="K1090" t="s">
        <v>1410</v>
      </c>
      <c r="L1090" s="5" t="s">
        <v>1407</v>
      </c>
      <c r="N1090" s="5" t="s">
        <v>3053</v>
      </c>
      <c r="O1090" s="5" t="s">
        <v>2467</v>
      </c>
      <c r="P1090" s="5" t="s">
        <v>85</v>
      </c>
      <c r="Q1090" s="5" t="s">
        <v>86</v>
      </c>
      <c r="R1090" s="5" t="s">
        <v>86</v>
      </c>
      <c r="T1090" s="390">
        <v>3</v>
      </c>
      <c r="U1090" s="5" t="s">
        <v>97</v>
      </c>
      <c r="W1090" s="5" t="s">
        <v>2520</v>
      </c>
      <c r="X1090" s="5" t="s">
        <v>103</v>
      </c>
      <c r="Y1090" s="5" t="s">
        <v>2511</v>
      </c>
      <c r="AA1090" s="5" t="s">
        <v>85</v>
      </c>
      <c r="AB1090" s="5" t="s">
        <v>2469</v>
      </c>
      <c r="AC1090" s="5" t="s">
        <v>2470</v>
      </c>
      <c r="AD1090" s="5" t="s">
        <v>86</v>
      </c>
      <c r="AF1090" s="5">
        <v>92</v>
      </c>
      <c r="AG1090" s="5">
        <v>3535</v>
      </c>
      <c r="AH1090" s="5" t="s">
        <v>85</v>
      </c>
      <c r="AI1090" s="5" t="s">
        <v>2485</v>
      </c>
      <c r="AJ1090" s="5">
        <v>92</v>
      </c>
      <c r="AK1090" s="5">
        <v>645</v>
      </c>
      <c r="AL1090" s="5">
        <v>251</v>
      </c>
      <c r="AM1090" s="5">
        <v>394</v>
      </c>
      <c r="AN1090" s="5">
        <v>12</v>
      </c>
      <c r="AO1090" s="5">
        <v>80</v>
      </c>
      <c r="AP1090" s="5">
        <v>0</v>
      </c>
      <c r="AQ1090" s="5">
        <v>0</v>
      </c>
      <c r="AT1090" s="5">
        <v>0</v>
      </c>
      <c r="AU1090" s="5">
        <v>0</v>
      </c>
      <c r="AX1090" s="5">
        <v>0</v>
      </c>
      <c r="AY1090" s="5" t="s">
        <v>86</v>
      </c>
      <c r="BN1090" s="5" t="s">
        <v>86</v>
      </c>
      <c r="CD1090" s="5">
        <v>0</v>
      </c>
      <c r="CF1090" s="1442" t="str">
        <f>IF([1]!sommaire[[#This Row],[présence des personnes déplacés interne]]="Oui","1","0")</f>
        <v>1</v>
      </c>
      <c r="CG1090" s="1442" t="str">
        <f>IF([1]!sommaire[[#This Row],[présence Réfugié hors camp]]="Oui","1","0")</f>
        <v>0</v>
      </c>
      <c r="CH1090" s="1442" t="str">
        <f>IF([1]!sommaire[[#This Row],[présence personnes retournées]]="Oui","1","0")</f>
        <v>0</v>
      </c>
      <c r="CI1090" s="1442">
        <f>[1]!sommaire[[#This Row],[Flag PDI]]+[1]!sommaire[[#This Row],[Flag REF]]+[1]!sommaire[[#This Row],[Flag RET]]</f>
        <v>1</v>
      </c>
    </row>
    <row r="1091" spans="1:87" ht="14.55" customHeight="1" x14ac:dyDescent="0.3">
      <c r="A1091" s="390">
        <v>2629508</v>
      </c>
      <c r="B1091" s="5" t="s">
        <v>533</v>
      </c>
      <c r="C1091" s="1430" t="s">
        <v>3449</v>
      </c>
      <c r="D1091" s="1090" t="s">
        <v>534</v>
      </c>
      <c r="E1091" s="5" t="s">
        <v>35</v>
      </c>
      <c r="F1091" s="5" t="s">
        <v>35</v>
      </c>
      <c r="G1091" s="5" t="s">
        <v>567</v>
      </c>
      <c r="H1091" s="5" t="s">
        <v>192</v>
      </c>
      <c r="I1091" s="5" t="str">
        <f>_xlfn.XLOOKUP(sommaire[[#This Row],[Arrondissement_code]],OCHA_GIS!$F:$F,OCHA_GIS!$E:$E,,)</f>
        <v>Koza</v>
      </c>
      <c r="J1091" s="5" t="s">
        <v>853</v>
      </c>
      <c r="K1091" t="s">
        <v>1406</v>
      </c>
      <c r="L1091" s="5" t="s">
        <v>1401</v>
      </c>
      <c r="N1091" s="5" t="s">
        <v>3053</v>
      </c>
      <c r="O1091" s="5" t="s">
        <v>2467</v>
      </c>
      <c r="P1091" s="5" t="s">
        <v>85</v>
      </c>
      <c r="Q1091" s="5" t="s">
        <v>86</v>
      </c>
      <c r="R1091" s="5" t="s">
        <v>86</v>
      </c>
      <c r="T1091" s="390">
        <v>3</v>
      </c>
      <c r="U1091" s="5" t="s">
        <v>97</v>
      </c>
      <c r="W1091" s="5" t="s">
        <v>2468</v>
      </c>
      <c r="X1091" s="5" t="s">
        <v>102</v>
      </c>
      <c r="AA1091" s="5" t="s">
        <v>85</v>
      </c>
      <c r="AB1091" s="5" t="s">
        <v>2469</v>
      </c>
      <c r="AC1091" s="5" t="s">
        <v>2470</v>
      </c>
      <c r="AD1091" s="5" t="s">
        <v>86</v>
      </c>
      <c r="AF1091" s="5">
        <v>272</v>
      </c>
      <c r="AG1091" s="5">
        <v>2795</v>
      </c>
      <c r="AH1091" s="5" t="s">
        <v>85</v>
      </c>
      <c r="AI1091" s="5" t="s">
        <v>2471</v>
      </c>
      <c r="AJ1091" s="5">
        <v>272</v>
      </c>
      <c r="AK1091" s="5">
        <v>1547</v>
      </c>
      <c r="AL1091" s="5">
        <v>576</v>
      </c>
      <c r="AM1091" s="5">
        <v>971</v>
      </c>
      <c r="AN1091" s="5">
        <v>20</v>
      </c>
      <c r="AO1091" s="5">
        <v>226</v>
      </c>
      <c r="AP1091" s="5">
        <v>0</v>
      </c>
      <c r="AQ1091" s="5">
        <v>26</v>
      </c>
      <c r="AR1091" s="5" t="s">
        <v>2472</v>
      </c>
      <c r="AT1091" s="5">
        <v>0</v>
      </c>
      <c r="AU1091" s="5">
        <v>0</v>
      </c>
      <c r="AX1091" s="5">
        <v>0</v>
      </c>
      <c r="AY1091" s="5" t="s">
        <v>86</v>
      </c>
      <c r="BN1091" s="5" t="s">
        <v>86</v>
      </c>
      <c r="CD1091" s="5">
        <v>0</v>
      </c>
      <c r="CF1091" s="1442" t="str">
        <f>IF([1]!sommaire[[#This Row],[présence des personnes déplacés interne]]="Oui","1","0")</f>
        <v>1</v>
      </c>
      <c r="CG1091" s="1442" t="str">
        <f>IF([1]!sommaire[[#This Row],[présence Réfugié hors camp]]="Oui","1","0")</f>
        <v>0</v>
      </c>
      <c r="CH1091" s="1442" t="str">
        <f>IF([1]!sommaire[[#This Row],[présence personnes retournées]]="Oui","1","0")</f>
        <v>0</v>
      </c>
      <c r="CI1091" s="1442">
        <f>[1]!sommaire[[#This Row],[Flag PDI]]+[1]!sommaire[[#This Row],[Flag REF]]+[1]!sommaire[[#This Row],[Flag RET]]</f>
        <v>1</v>
      </c>
    </row>
    <row r="1092" spans="1:87" ht="14.55" customHeight="1" x14ac:dyDescent="0.3">
      <c r="A1092" s="390">
        <v>2629503</v>
      </c>
      <c r="B1092" s="5" t="s">
        <v>533</v>
      </c>
      <c r="C1092" s="1430" t="s">
        <v>3449</v>
      </c>
      <c r="D1092" s="1090" t="s">
        <v>534</v>
      </c>
      <c r="E1092" s="5" t="s">
        <v>35</v>
      </c>
      <c r="F1092" s="5" t="s">
        <v>35</v>
      </c>
      <c r="G1092" s="5" t="s">
        <v>567</v>
      </c>
      <c r="H1092" s="5" t="s">
        <v>192</v>
      </c>
      <c r="I1092" s="5" t="str">
        <f>_xlfn.XLOOKUP(sommaire[[#This Row],[Arrondissement_code]],OCHA_GIS!$F:$F,OCHA_GIS!$E:$E,,)</f>
        <v>Koza</v>
      </c>
      <c r="J1092" s="5" t="s">
        <v>853</v>
      </c>
      <c r="K1092" t="s">
        <v>2867</v>
      </c>
      <c r="L1092" s="5" t="s">
        <v>944</v>
      </c>
      <c r="N1092" s="5" t="s">
        <v>3053</v>
      </c>
      <c r="O1092" s="5" t="s">
        <v>2467</v>
      </c>
      <c r="P1092" s="5" t="s">
        <v>85</v>
      </c>
      <c r="Q1092" s="5" t="s">
        <v>86</v>
      </c>
      <c r="R1092" s="5" t="s">
        <v>86</v>
      </c>
      <c r="T1092" s="390">
        <v>3</v>
      </c>
      <c r="U1092" s="5" t="s">
        <v>97</v>
      </c>
      <c r="W1092" s="5" t="s">
        <v>2468</v>
      </c>
      <c r="X1092" s="5" t="s">
        <v>103</v>
      </c>
      <c r="Y1092" s="5" t="s">
        <v>2511</v>
      </c>
      <c r="AA1092" s="5" t="s">
        <v>85</v>
      </c>
      <c r="AB1092" s="5" t="s">
        <v>2469</v>
      </c>
      <c r="AC1092" s="5" t="s">
        <v>2470</v>
      </c>
      <c r="AD1092" s="5" t="s">
        <v>86</v>
      </c>
      <c r="AF1092" s="5">
        <v>95</v>
      </c>
      <c r="AG1092" s="5">
        <v>1234</v>
      </c>
      <c r="AH1092" s="5" t="s">
        <v>85</v>
      </c>
      <c r="AI1092" s="5" t="s">
        <v>2471</v>
      </c>
      <c r="AJ1092" s="5">
        <v>95</v>
      </c>
      <c r="AK1092" s="5">
        <v>443</v>
      </c>
      <c r="AL1092" s="5">
        <v>162</v>
      </c>
      <c r="AM1092" s="5">
        <v>281</v>
      </c>
      <c r="AN1092" s="5">
        <v>12</v>
      </c>
      <c r="AO1092" s="5">
        <v>71</v>
      </c>
      <c r="AP1092" s="5">
        <v>2</v>
      </c>
      <c r="AQ1092" s="5">
        <v>10</v>
      </c>
      <c r="AR1092" s="5" t="s">
        <v>2477</v>
      </c>
      <c r="AT1092" s="5">
        <v>0</v>
      </c>
      <c r="AU1092" s="5">
        <v>0</v>
      </c>
      <c r="AX1092" s="5">
        <v>0</v>
      </c>
      <c r="AY1092" s="5" t="s">
        <v>86</v>
      </c>
      <c r="BN1092" s="5" t="s">
        <v>85</v>
      </c>
      <c r="BO1092" s="5">
        <v>6</v>
      </c>
      <c r="BP1092" s="5">
        <v>40</v>
      </c>
      <c r="BQ1092" s="5">
        <v>15</v>
      </c>
      <c r="BR1092" s="5">
        <v>25</v>
      </c>
      <c r="BS1092" s="5" t="s">
        <v>2535</v>
      </c>
      <c r="BT1092" s="5">
        <v>4</v>
      </c>
      <c r="BU1092" s="5">
        <v>0</v>
      </c>
      <c r="BV1092" s="5">
        <v>2</v>
      </c>
      <c r="BW1092" s="5">
        <v>0</v>
      </c>
      <c r="BX1092" s="5">
        <v>0</v>
      </c>
      <c r="BZ1092" s="5">
        <v>0</v>
      </c>
      <c r="CA1092" s="5">
        <v>0</v>
      </c>
      <c r="CC1092" s="5">
        <v>0</v>
      </c>
      <c r="CD1092" s="5">
        <v>0</v>
      </c>
      <c r="CF1092" s="1442" t="str">
        <f>IF([1]!sommaire[[#This Row],[présence des personnes déplacés interne]]="Oui","1","0")</f>
        <v>1</v>
      </c>
      <c r="CG1092" s="1442" t="str">
        <f>IF([1]!sommaire[[#This Row],[présence Réfugié hors camp]]="Oui","1","0")</f>
        <v>0</v>
      </c>
      <c r="CH1092" s="1442" t="str">
        <f>IF([1]!sommaire[[#This Row],[présence personnes retournées]]="Oui","1","0")</f>
        <v>1</v>
      </c>
      <c r="CI1092" s="1442">
        <f>[1]!sommaire[[#This Row],[Flag PDI]]+[1]!sommaire[[#This Row],[Flag REF]]+[1]!sommaire[[#This Row],[Flag RET]]</f>
        <v>2</v>
      </c>
    </row>
    <row r="1093" spans="1:87" ht="14.55" customHeight="1" x14ac:dyDescent="0.3">
      <c r="A1093" s="390">
        <v>2647202</v>
      </c>
      <c r="B1093" s="5" t="s">
        <v>533</v>
      </c>
      <c r="C1093" s="1430" t="s">
        <v>3449</v>
      </c>
      <c r="D1093" s="1090" t="s">
        <v>534</v>
      </c>
      <c r="E1093" s="5" t="s">
        <v>35</v>
      </c>
      <c r="F1093" s="5" t="s">
        <v>35</v>
      </c>
      <c r="G1093" s="5" t="s">
        <v>567</v>
      </c>
      <c r="H1093" s="5" t="s">
        <v>192</v>
      </c>
      <c r="I1093" s="5" t="str">
        <f>_xlfn.XLOOKUP(sommaire[[#This Row],[Arrondissement_code]],OCHA_GIS!$F:$F,OCHA_GIS!$E:$E,,)</f>
        <v>Koza</v>
      </c>
      <c r="J1093" s="5" t="s">
        <v>853</v>
      </c>
      <c r="K1093" t="s">
        <v>1400</v>
      </c>
      <c r="L1093" s="5" t="s">
        <v>1455</v>
      </c>
      <c r="N1093" s="5" t="s">
        <v>3053</v>
      </c>
      <c r="O1093" s="5" t="s">
        <v>2467</v>
      </c>
      <c r="P1093" s="5" t="s">
        <v>85</v>
      </c>
      <c r="Q1093" s="5" t="s">
        <v>86</v>
      </c>
      <c r="R1093" s="1186" t="s">
        <v>86</v>
      </c>
      <c r="T1093" s="390">
        <v>3</v>
      </c>
      <c r="U1093" s="5" t="s">
        <v>97</v>
      </c>
      <c r="W1093" s="5" t="s">
        <v>2468</v>
      </c>
      <c r="X1093" s="5" t="s">
        <v>102</v>
      </c>
      <c r="AA1093" s="5" t="s">
        <v>85</v>
      </c>
      <c r="AB1093" s="5" t="s">
        <v>2469</v>
      </c>
      <c r="AC1093" s="5" t="s">
        <v>312</v>
      </c>
      <c r="AD1093" s="5" t="s">
        <v>86</v>
      </c>
      <c r="AF1093" s="5">
        <v>83</v>
      </c>
      <c r="AG1093" s="5">
        <v>2000</v>
      </c>
      <c r="AH1093" s="5" t="s">
        <v>85</v>
      </c>
      <c r="AI1093" s="5" t="s">
        <v>2485</v>
      </c>
      <c r="AJ1093" s="5">
        <v>83</v>
      </c>
      <c r="AK1093" s="5">
        <v>427</v>
      </c>
      <c r="AL1093" s="5">
        <v>166</v>
      </c>
      <c r="AM1093" s="5">
        <v>261</v>
      </c>
      <c r="AN1093" s="5">
        <v>10</v>
      </c>
      <c r="AO1093" s="5">
        <v>64</v>
      </c>
      <c r="AP1093" s="5">
        <v>3</v>
      </c>
      <c r="AQ1093" s="5">
        <v>6</v>
      </c>
      <c r="AR1093" s="5" t="s">
        <v>2477</v>
      </c>
      <c r="AT1093" s="5">
        <v>0</v>
      </c>
      <c r="AU1093" s="5">
        <v>0</v>
      </c>
      <c r="AX1093" s="5">
        <v>0</v>
      </c>
      <c r="AY1093" s="5" t="s">
        <v>86</v>
      </c>
      <c r="BN1093" s="5" t="s">
        <v>85</v>
      </c>
      <c r="BO1093" s="5">
        <v>22</v>
      </c>
      <c r="BP1093" s="5">
        <v>86</v>
      </c>
      <c r="BQ1093" s="5">
        <v>36</v>
      </c>
      <c r="BR1093" s="5">
        <v>50</v>
      </c>
      <c r="BS1093" s="5" t="s">
        <v>2492</v>
      </c>
      <c r="BT1093" s="5">
        <v>15</v>
      </c>
      <c r="BU1093" s="5">
        <v>2</v>
      </c>
      <c r="BV1093" s="5">
        <v>2</v>
      </c>
      <c r="BW1093" s="5">
        <v>3</v>
      </c>
      <c r="BX1093" s="5">
        <v>0</v>
      </c>
      <c r="BZ1093" s="5">
        <v>0</v>
      </c>
      <c r="CA1093" s="5">
        <v>0</v>
      </c>
      <c r="CC1093" s="5">
        <v>0</v>
      </c>
      <c r="CD1093" s="5">
        <v>0</v>
      </c>
      <c r="CF1093" s="1442" t="str">
        <f>IF([1]!sommaire[[#This Row],[présence des personnes déplacés interne]]="Oui","1","0")</f>
        <v>1</v>
      </c>
      <c r="CG1093" s="1442" t="str">
        <f>IF([1]!sommaire[[#This Row],[présence Réfugié hors camp]]="Oui","1","0")</f>
        <v>0</v>
      </c>
      <c r="CH1093" s="1442" t="str">
        <f>IF([1]!sommaire[[#This Row],[présence personnes retournées]]="Oui","1","0")</f>
        <v>1</v>
      </c>
      <c r="CI1093" s="1442">
        <f>[1]!sommaire[[#This Row],[Flag PDI]]+[1]!sommaire[[#This Row],[Flag REF]]+[1]!sommaire[[#This Row],[Flag RET]]</f>
        <v>2</v>
      </c>
    </row>
    <row r="1094" spans="1:87" ht="14.55" customHeight="1" x14ac:dyDescent="0.3">
      <c r="A1094" s="390">
        <v>2622393</v>
      </c>
      <c r="B1094" s="5" t="s">
        <v>533</v>
      </c>
      <c r="C1094" s="1430" t="s">
        <v>3449</v>
      </c>
      <c r="D1094" s="1090" t="s">
        <v>534</v>
      </c>
      <c r="E1094" s="5" t="s">
        <v>35</v>
      </c>
      <c r="F1094" s="5" t="s">
        <v>35</v>
      </c>
      <c r="G1094" s="5" t="s">
        <v>567</v>
      </c>
      <c r="H1094" s="5" t="s">
        <v>192</v>
      </c>
      <c r="I1094" s="5" t="str">
        <f>_xlfn.XLOOKUP(sommaire[[#This Row],[Arrondissement_code]],OCHA_GIS!$F:$F,OCHA_GIS!$E:$E,,)</f>
        <v>Koza</v>
      </c>
      <c r="J1094" s="5" t="s">
        <v>853</v>
      </c>
      <c r="K1094" t="s">
        <v>1454</v>
      </c>
      <c r="L1094" s="5" t="s">
        <v>1457</v>
      </c>
      <c r="N1094" s="5" t="s">
        <v>3053</v>
      </c>
      <c r="O1094" s="5" t="s">
        <v>2467</v>
      </c>
      <c r="P1094" s="5" t="s">
        <v>86</v>
      </c>
      <c r="Q1094" s="5" t="s">
        <v>85</v>
      </c>
      <c r="R1094" s="5" t="s">
        <v>86</v>
      </c>
      <c r="S1094" s="390">
        <v>6</v>
      </c>
      <c r="U1094" s="5" t="s">
        <v>97</v>
      </c>
      <c r="W1094" s="5" t="s">
        <v>2468</v>
      </c>
      <c r="X1094" s="5" t="s">
        <v>102</v>
      </c>
      <c r="AA1094" s="586" t="s">
        <v>85</v>
      </c>
      <c r="AB1094" s="5" t="s">
        <v>2469</v>
      </c>
      <c r="AC1094" s="5" t="s">
        <v>312</v>
      </c>
      <c r="AD1094" s="5" t="s">
        <v>86</v>
      </c>
      <c r="AF1094" s="5">
        <v>202</v>
      </c>
      <c r="AG1094" s="5">
        <v>2720</v>
      </c>
      <c r="AH1094" s="5" t="s">
        <v>85</v>
      </c>
      <c r="AI1094" s="5" t="s">
        <v>2487</v>
      </c>
      <c r="AJ1094" s="5">
        <v>202</v>
      </c>
      <c r="AK1094" s="5">
        <v>1169</v>
      </c>
      <c r="AL1094" s="5">
        <v>464</v>
      </c>
      <c r="AM1094" s="5">
        <v>705</v>
      </c>
      <c r="AN1094" s="5">
        <v>3</v>
      </c>
      <c r="AO1094" s="5">
        <v>148</v>
      </c>
      <c r="AP1094" s="5">
        <v>51</v>
      </c>
      <c r="AQ1094" s="5">
        <v>0</v>
      </c>
      <c r="AT1094" s="5">
        <v>0</v>
      </c>
      <c r="AU1094" s="5">
        <v>0</v>
      </c>
      <c r="AX1094" s="5">
        <v>0</v>
      </c>
      <c r="AY1094" s="5" t="s">
        <v>86</v>
      </c>
      <c r="BN1094" s="5" t="s">
        <v>86</v>
      </c>
      <c r="CD1094" s="5">
        <v>0</v>
      </c>
      <c r="CF1094" s="1442" t="str">
        <f>IF([1]!sommaire[[#This Row],[présence des personnes déplacés interne]]="Oui","1","0")</f>
        <v>1</v>
      </c>
      <c r="CG1094" s="1442" t="str">
        <f>IF([1]!sommaire[[#This Row],[présence Réfugié hors camp]]="Oui","1","0")</f>
        <v>0</v>
      </c>
      <c r="CH1094" s="1442" t="str">
        <f>IF([1]!sommaire[[#This Row],[présence personnes retournées]]="Oui","1","0")</f>
        <v>0</v>
      </c>
      <c r="CI1094" s="1442">
        <f>[1]!sommaire[[#This Row],[Flag PDI]]+[1]!sommaire[[#This Row],[Flag REF]]+[1]!sommaire[[#This Row],[Flag RET]]</f>
        <v>1</v>
      </c>
    </row>
    <row r="1095" spans="1:87" ht="14.55" customHeight="1" x14ac:dyDescent="0.3">
      <c r="A1095" s="390">
        <v>2620178</v>
      </c>
      <c r="B1095" s="5" t="s">
        <v>533</v>
      </c>
      <c r="C1095" s="1430" t="s">
        <v>3449</v>
      </c>
      <c r="D1095" s="1090" t="s">
        <v>534</v>
      </c>
      <c r="E1095" s="5" t="s">
        <v>35</v>
      </c>
      <c r="F1095" s="5" t="s">
        <v>35</v>
      </c>
      <c r="G1095" s="5" t="s">
        <v>567</v>
      </c>
      <c r="H1095" s="5" t="s">
        <v>192</v>
      </c>
      <c r="I1095" s="5" t="str">
        <f>_xlfn.XLOOKUP(sommaire[[#This Row],[Arrondissement_code]],OCHA_GIS!$F:$F,OCHA_GIS!$E:$E,,)</f>
        <v>Koza</v>
      </c>
      <c r="J1095" s="5" t="s">
        <v>853</v>
      </c>
      <c r="K1095" t="s">
        <v>961</v>
      </c>
      <c r="L1095" s="5" t="s">
        <v>1526</v>
      </c>
      <c r="N1095" s="5" t="s">
        <v>3053</v>
      </c>
      <c r="O1095" s="5" t="s">
        <v>2467</v>
      </c>
      <c r="P1095" s="5" t="s">
        <v>85</v>
      </c>
      <c r="Q1095" s="5" t="s">
        <v>86</v>
      </c>
      <c r="R1095" s="5" t="s">
        <v>85</v>
      </c>
      <c r="T1095" s="390">
        <v>3</v>
      </c>
      <c r="U1095" s="5" t="s">
        <v>97</v>
      </c>
      <c r="W1095" s="5" t="s">
        <v>2468</v>
      </c>
      <c r="X1095" s="1090" t="s">
        <v>102</v>
      </c>
      <c r="AA1095" s="1090" t="s">
        <v>85</v>
      </c>
      <c r="AB1095" s="5" t="s">
        <v>2469</v>
      </c>
      <c r="AC1095" s="5" t="s">
        <v>2470</v>
      </c>
      <c r="AD1095" s="5" t="s">
        <v>86</v>
      </c>
      <c r="AF1095" s="5">
        <v>62</v>
      </c>
      <c r="AG1095" s="5">
        <v>3246</v>
      </c>
      <c r="AH1095" s="5" t="s">
        <v>85</v>
      </c>
      <c r="AI1095" s="5" t="s">
        <v>2471</v>
      </c>
      <c r="AJ1095" s="5">
        <v>62</v>
      </c>
      <c r="AK1095" s="5">
        <v>338</v>
      </c>
      <c r="AL1095" s="5">
        <v>141</v>
      </c>
      <c r="AM1095" s="5">
        <v>197</v>
      </c>
      <c r="AN1095" s="5">
        <v>3</v>
      </c>
      <c r="AO1095" s="5">
        <v>22</v>
      </c>
      <c r="AP1095" s="5">
        <v>27</v>
      </c>
      <c r="AQ1095" s="5">
        <v>10</v>
      </c>
      <c r="AR1095" s="5" t="s">
        <v>2477</v>
      </c>
      <c r="AT1095" s="5">
        <v>0</v>
      </c>
      <c r="AU1095" s="5">
        <v>0</v>
      </c>
      <c r="AX1095" s="5">
        <v>0</v>
      </c>
      <c r="AY1095" s="1090" t="s">
        <v>86</v>
      </c>
      <c r="BN1095" s="1090" t="s">
        <v>86</v>
      </c>
      <c r="CD1095" s="5">
        <v>0</v>
      </c>
      <c r="CF1095" s="1442" t="str">
        <f>IF([1]!sommaire[[#This Row],[présence des personnes déplacés interne]]="Oui","1","0")</f>
        <v>1</v>
      </c>
      <c r="CG1095" s="1442" t="str">
        <f>IF([1]!sommaire[[#This Row],[présence Réfugié hors camp]]="Oui","1","0")</f>
        <v>0</v>
      </c>
      <c r="CH1095" s="1442" t="str">
        <f>IF([1]!sommaire[[#This Row],[présence personnes retournées]]="Oui","1","0")</f>
        <v>0</v>
      </c>
      <c r="CI1095" s="1442">
        <f>[1]!sommaire[[#This Row],[Flag PDI]]+[1]!sommaire[[#This Row],[Flag REF]]+[1]!sommaire[[#This Row],[Flag RET]]</f>
        <v>1</v>
      </c>
    </row>
    <row r="1096" spans="1:87" ht="14.55" customHeight="1" x14ac:dyDescent="0.3">
      <c r="A1096" s="390">
        <v>2632151</v>
      </c>
      <c r="B1096" s="5" t="s">
        <v>533</v>
      </c>
      <c r="C1096" s="1430" t="s">
        <v>3449</v>
      </c>
      <c r="D1096" s="1090" t="s">
        <v>534</v>
      </c>
      <c r="E1096" s="5" t="s">
        <v>35</v>
      </c>
      <c r="F1096" s="5" t="s">
        <v>35</v>
      </c>
      <c r="G1096" s="5" t="s">
        <v>567</v>
      </c>
      <c r="H1096" s="5" t="s">
        <v>192</v>
      </c>
      <c r="I1096" s="5" t="str">
        <f>_xlfn.XLOOKUP(sommaire[[#This Row],[Arrondissement_code]],OCHA_GIS!$F:$F,OCHA_GIS!$E:$E,,)</f>
        <v>Koza</v>
      </c>
      <c r="J1096" s="5" t="s">
        <v>853</v>
      </c>
      <c r="K1096" t="s">
        <v>1456</v>
      </c>
      <c r="L1096" s="5" t="s">
        <v>1167</v>
      </c>
      <c r="N1096" s="5" t="s">
        <v>3053</v>
      </c>
      <c r="O1096" s="5" t="s">
        <v>2467</v>
      </c>
      <c r="P1096" s="5" t="s">
        <v>85</v>
      </c>
      <c r="Q1096" s="5" t="s">
        <v>86</v>
      </c>
      <c r="R1096" s="5" t="s">
        <v>85</v>
      </c>
      <c r="T1096" s="390">
        <v>3</v>
      </c>
      <c r="U1096" s="5" t="s">
        <v>97</v>
      </c>
      <c r="W1096" s="5" t="s">
        <v>2468</v>
      </c>
      <c r="X1096" s="5" t="s">
        <v>102</v>
      </c>
      <c r="AA1096" s="586" t="s">
        <v>85</v>
      </c>
      <c r="AB1096" s="5" t="s">
        <v>2469</v>
      </c>
      <c r="AC1096" s="5" t="s">
        <v>2470</v>
      </c>
      <c r="AD1096" s="5" t="s">
        <v>86</v>
      </c>
      <c r="AF1096" s="5">
        <v>40</v>
      </c>
      <c r="AG1096" s="5">
        <v>3526</v>
      </c>
      <c r="AH1096" s="5" t="s">
        <v>85</v>
      </c>
      <c r="AI1096" s="5" t="s">
        <v>2485</v>
      </c>
      <c r="AJ1096" s="5">
        <v>40</v>
      </c>
      <c r="AK1096" s="5">
        <v>268</v>
      </c>
      <c r="AL1096" s="5">
        <v>110</v>
      </c>
      <c r="AM1096" s="5">
        <v>158</v>
      </c>
      <c r="AN1096" s="5">
        <v>11</v>
      </c>
      <c r="AO1096" s="5">
        <v>23</v>
      </c>
      <c r="AP1096" s="5">
        <v>6</v>
      </c>
      <c r="AQ1096" s="5">
        <v>0</v>
      </c>
      <c r="AT1096" s="5">
        <v>0</v>
      </c>
      <c r="AU1096" s="5">
        <v>0</v>
      </c>
      <c r="AX1096" s="5">
        <v>0</v>
      </c>
      <c r="AY1096" s="5" t="s">
        <v>86</v>
      </c>
      <c r="BN1096" s="5" t="s">
        <v>85</v>
      </c>
      <c r="BO1096" s="5">
        <v>8</v>
      </c>
      <c r="BP1096" s="5">
        <v>19</v>
      </c>
      <c r="BQ1096" s="5">
        <v>8</v>
      </c>
      <c r="BR1096" s="5">
        <v>11</v>
      </c>
      <c r="BS1096" s="5" t="s">
        <v>2479</v>
      </c>
      <c r="BT1096" s="5">
        <v>2</v>
      </c>
      <c r="BU1096" s="5">
        <v>4</v>
      </c>
      <c r="BV1096" s="5">
        <v>2</v>
      </c>
      <c r="BW1096" s="5">
        <v>0</v>
      </c>
      <c r="BX1096" s="5">
        <v>0</v>
      </c>
      <c r="BZ1096" s="5">
        <v>0</v>
      </c>
      <c r="CA1096" s="5">
        <v>0</v>
      </c>
      <c r="CC1096" s="5">
        <v>0</v>
      </c>
      <c r="CD1096" s="5">
        <v>0</v>
      </c>
      <c r="CF1096" s="1442" t="str">
        <f>IF([1]!sommaire[[#This Row],[présence des personnes déplacés interne]]="Oui","1","0")</f>
        <v>1</v>
      </c>
      <c r="CG1096" s="1442" t="str">
        <f>IF([1]!sommaire[[#This Row],[présence Réfugié hors camp]]="Oui","1","0")</f>
        <v>0</v>
      </c>
      <c r="CH1096" s="1442" t="str">
        <f>IF([1]!sommaire[[#This Row],[présence personnes retournées]]="Oui","1","0")</f>
        <v>1</v>
      </c>
      <c r="CI1096" s="1442">
        <f>[1]!sommaire[[#This Row],[Flag PDI]]+[1]!sommaire[[#This Row],[Flag REF]]+[1]!sommaire[[#This Row],[Flag RET]]</f>
        <v>2</v>
      </c>
    </row>
    <row r="1097" spans="1:87" ht="14.55" customHeight="1" x14ac:dyDescent="0.3">
      <c r="A1097" s="390">
        <v>2627014</v>
      </c>
      <c r="B1097" s="5" t="s">
        <v>533</v>
      </c>
      <c r="C1097" s="1430" t="s">
        <v>3449</v>
      </c>
      <c r="D1097" s="1090" t="s">
        <v>534</v>
      </c>
      <c r="E1097" s="5" t="s">
        <v>35</v>
      </c>
      <c r="F1097" s="5" t="s">
        <v>35</v>
      </c>
      <c r="G1097" s="5" t="s">
        <v>567</v>
      </c>
      <c r="H1097" s="5" t="s">
        <v>192</v>
      </c>
      <c r="I1097" s="5" t="str">
        <f>_xlfn.XLOOKUP(sommaire[[#This Row],[Arrondissement_code]],OCHA_GIS!$F:$F,OCHA_GIS!$E:$E,,)</f>
        <v>Koza</v>
      </c>
      <c r="J1097" s="5" t="s">
        <v>853</v>
      </c>
      <c r="K1097" t="s">
        <v>1166</v>
      </c>
      <c r="L1097" s="5" t="s">
        <v>855</v>
      </c>
      <c r="N1097" s="5" t="s">
        <v>3053</v>
      </c>
      <c r="O1097" s="5" t="s">
        <v>2467</v>
      </c>
      <c r="P1097" s="5" t="s">
        <v>85</v>
      </c>
      <c r="Q1097" s="5" t="s">
        <v>86</v>
      </c>
      <c r="R1097" s="5" t="s">
        <v>85</v>
      </c>
      <c r="T1097" s="390">
        <v>4</v>
      </c>
      <c r="U1097" s="5" t="s">
        <v>97</v>
      </c>
      <c r="W1097" s="5" t="s">
        <v>2468</v>
      </c>
      <c r="X1097" s="5" t="s">
        <v>102</v>
      </c>
      <c r="AA1097" s="586" t="s">
        <v>85</v>
      </c>
      <c r="AB1097" s="5" t="s">
        <v>2469</v>
      </c>
      <c r="AC1097" s="5" t="s">
        <v>312</v>
      </c>
      <c r="AD1097" s="5" t="s">
        <v>86</v>
      </c>
      <c r="AF1097" s="5">
        <v>945</v>
      </c>
      <c r="AG1097" s="5">
        <v>6145</v>
      </c>
      <c r="AH1097" s="5" t="s">
        <v>85</v>
      </c>
      <c r="AI1097" s="5" t="s">
        <v>2486</v>
      </c>
      <c r="AJ1097" s="5">
        <v>945</v>
      </c>
      <c r="AK1097" s="5">
        <v>5688</v>
      </c>
      <c r="AL1097" s="5">
        <v>2447</v>
      </c>
      <c r="AM1097" s="5">
        <v>3241</v>
      </c>
      <c r="AN1097" s="5">
        <v>113</v>
      </c>
      <c r="AO1097" s="5">
        <v>310</v>
      </c>
      <c r="AP1097" s="5">
        <v>242</v>
      </c>
      <c r="AQ1097" s="5">
        <v>280</v>
      </c>
      <c r="AR1097" s="5" t="s">
        <v>2477</v>
      </c>
      <c r="AT1097" s="5">
        <v>0</v>
      </c>
      <c r="AU1097" s="5">
        <v>0</v>
      </c>
      <c r="AX1097" s="5">
        <v>0</v>
      </c>
      <c r="AY1097" s="5" t="s">
        <v>86</v>
      </c>
      <c r="BN1097" s="5" t="s">
        <v>85</v>
      </c>
      <c r="BO1097" s="5">
        <v>84</v>
      </c>
      <c r="BP1097" s="5">
        <v>457</v>
      </c>
      <c r="BQ1097" s="5">
        <v>207</v>
      </c>
      <c r="BR1097" s="5">
        <v>250</v>
      </c>
      <c r="BS1097" s="5" t="s">
        <v>2479</v>
      </c>
      <c r="BT1097" s="5">
        <v>28</v>
      </c>
      <c r="BU1097" s="5">
        <v>8</v>
      </c>
      <c r="BV1097" s="5">
        <v>38</v>
      </c>
      <c r="BW1097" s="5">
        <v>0</v>
      </c>
      <c r="BX1097" s="5">
        <v>10</v>
      </c>
      <c r="BY1097" s="5" t="s">
        <v>2477</v>
      </c>
      <c r="BZ1097" s="5">
        <v>0</v>
      </c>
      <c r="CA1097" s="5">
        <v>0</v>
      </c>
      <c r="CC1097" s="5">
        <v>0</v>
      </c>
      <c r="CD1097" s="5">
        <v>0</v>
      </c>
      <c r="CF1097" s="1442" t="str">
        <f>IF([1]!sommaire[[#This Row],[présence des personnes déplacés interne]]="Oui","1","0")</f>
        <v>1</v>
      </c>
      <c r="CG1097" s="1442" t="str">
        <f>IF([1]!sommaire[[#This Row],[présence Réfugié hors camp]]="Oui","1","0")</f>
        <v>0</v>
      </c>
      <c r="CH1097" s="1442" t="str">
        <f>IF([1]!sommaire[[#This Row],[présence personnes retournées]]="Oui","1","0")</f>
        <v>1</v>
      </c>
      <c r="CI1097" s="1442">
        <f>[1]!sommaire[[#This Row],[Flag PDI]]+[1]!sommaire[[#This Row],[Flag REF]]+[1]!sommaire[[#This Row],[Flag RET]]</f>
        <v>2</v>
      </c>
    </row>
    <row r="1098" spans="1:87" ht="14.55" customHeight="1" x14ac:dyDescent="0.3">
      <c r="A1098" s="390">
        <v>2649561</v>
      </c>
      <c r="B1098" s="5" t="s">
        <v>533</v>
      </c>
      <c r="C1098" s="1430" t="s">
        <v>3449</v>
      </c>
      <c r="D1098" s="1090" t="s">
        <v>534</v>
      </c>
      <c r="E1098" s="5" t="s">
        <v>35</v>
      </c>
      <c r="F1098" s="5" t="s">
        <v>35</v>
      </c>
      <c r="G1098" s="5" t="s">
        <v>567</v>
      </c>
      <c r="H1098" s="5" t="s">
        <v>192</v>
      </c>
      <c r="I1098" s="5" t="str">
        <f>_xlfn.XLOOKUP(sommaire[[#This Row],[Arrondissement_code]],OCHA_GIS!$F:$F,OCHA_GIS!$E:$E,,)</f>
        <v>Koza</v>
      </c>
      <c r="J1098" s="5" t="s">
        <v>853</v>
      </c>
      <c r="K1098" t="s">
        <v>854</v>
      </c>
      <c r="L1098" s="5" t="s">
        <v>1953</v>
      </c>
      <c r="N1098" s="5" t="s">
        <v>3053</v>
      </c>
      <c r="O1098" s="5" t="s">
        <v>2467</v>
      </c>
      <c r="P1098" s="5" t="s">
        <v>85</v>
      </c>
      <c r="Q1098" s="5" t="s">
        <v>86</v>
      </c>
      <c r="R1098" s="5" t="s">
        <v>85</v>
      </c>
      <c r="T1098" s="390">
        <v>4</v>
      </c>
      <c r="U1098" s="5" t="s">
        <v>97</v>
      </c>
      <c r="W1098" s="5" t="s">
        <v>2468</v>
      </c>
      <c r="X1098" s="5" t="s">
        <v>102</v>
      </c>
      <c r="AA1098" s="586" t="s">
        <v>85</v>
      </c>
      <c r="AB1098" s="5" t="s">
        <v>2469</v>
      </c>
      <c r="AC1098" s="5" t="s">
        <v>312</v>
      </c>
      <c r="AD1098" s="5" t="s">
        <v>86</v>
      </c>
      <c r="AF1098" s="5">
        <v>196</v>
      </c>
      <c r="AG1098" s="5">
        <v>1141</v>
      </c>
      <c r="AH1098" s="5" t="s">
        <v>85</v>
      </c>
      <c r="AI1098" s="5" t="s">
        <v>2486</v>
      </c>
      <c r="AJ1098" s="5">
        <v>196</v>
      </c>
      <c r="AK1098" s="5">
        <v>1141</v>
      </c>
      <c r="AL1098" s="5">
        <v>483</v>
      </c>
      <c r="AM1098" s="5">
        <v>658</v>
      </c>
      <c r="AN1098" s="5">
        <v>38</v>
      </c>
      <c r="AO1098" s="5">
        <v>105</v>
      </c>
      <c r="AP1098" s="5">
        <v>0</v>
      </c>
      <c r="AQ1098" s="5">
        <v>53</v>
      </c>
      <c r="AR1098" s="5" t="s">
        <v>2477</v>
      </c>
      <c r="AT1098" s="5">
        <v>0</v>
      </c>
      <c r="AU1098" s="5">
        <v>0</v>
      </c>
      <c r="AX1098" s="5">
        <v>0</v>
      </c>
      <c r="AY1098" s="5" t="s">
        <v>86</v>
      </c>
      <c r="BN1098" s="5" t="s">
        <v>86</v>
      </c>
      <c r="CD1098" s="5">
        <v>0</v>
      </c>
      <c r="CF1098" s="1442" t="str">
        <f>IF([1]!sommaire[[#This Row],[présence des personnes déplacés interne]]="Oui","1","0")</f>
        <v>1</v>
      </c>
      <c r="CG1098" s="1442" t="str">
        <f>IF([1]!sommaire[[#This Row],[présence Réfugié hors camp]]="Oui","1","0")</f>
        <v>0</v>
      </c>
      <c r="CH1098" s="1442" t="str">
        <f>IF([1]!sommaire[[#This Row],[présence personnes retournées]]="Oui","1","0")</f>
        <v>0</v>
      </c>
      <c r="CI1098" s="1442">
        <f>[1]!sommaire[[#This Row],[Flag PDI]]+[1]!sommaire[[#This Row],[Flag REF]]+[1]!sommaire[[#This Row],[Flag RET]]</f>
        <v>1</v>
      </c>
    </row>
    <row r="1099" spans="1:87" ht="14.55" customHeight="1" x14ac:dyDescent="0.3">
      <c r="A1099" s="390">
        <v>2632152</v>
      </c>
      <c r="B1099" s="5" t="s">
        <v>533</v>
      </c>
      <c r="C1099" s="1430" t="s">
        <v>3449</v>
      </c>
      <c r="D1099" s="1090" t="s">
        <v>534</v>
      </c>
      <c r="E1099" s="5" t="s">
        <v>35</v>
      </c>
      <c r="F1099" s="5" t="s">
        <v>35</v>
      </c>
      <c r="G1099" s="5" t="s">
        <v>567</v>
      </c>
      <c r="H1099" s="5" t="s">
        <v>192</v>
      </c>
      <c r="I1099" s="5" t="str">
        <f>_xlfn.XLOOKUP(sommaire[[#This Row],[Arrondissement_code]],OCHA_GIS!$F:$F,OCHA_GIS!$E:$E,,)</f>
        <v>Koza</v>
      </c>
      <c r="J1099" s="5" t="s">
        <v>853</v>
      </c>
      <c r="K1099" t="s">
        <v>1952</v>
      </c>
      <c r="L1099" s="5" t="s">
        <v>1533</v>
      </c>
      <c r="N1099" s="5" t="s">
        <v>3053</v>
      </c>
      <c r="O1099" s="5" t="s">
        <v>2467</v>
      </c>
      <c r="P1099" s="5" t="s">
        <v>85</v>
      </c>
      <c r="Q1099" s="5" t="s">
        <v>86</v>
      </c>
      <c r="R1099" s="5" t="s">
        <v>85</v>
      </c>
      <c r="T1099" s="390">
        <v>3</v>
      </c>
      <c r="U1099" s="5" t="s">
        <v>97</v>
      </c>
      <c r="W1099" s="5" t="s">
        <v>2468</v>
      </c>
      <c r="X1099" s="5" t="s">
        <v>102</v>
      </c>
      <c r="AA1099" s="5" t="s">
        <v>85</v>
      </c>
      <c r="AB1099" s="5" t="s">
        <v>2469</v>
      </c>
      <c r="AC1099" s="5" t="s">
        <v>2470</v>
      </c>
      <c r="AD1099" s="5" t="s">
        <v>86</v>
      </c>
      <c r="AF1099" s="5">
        <v>340</v>
      </c>
      <c r="AG1099" s="5">
        <v>3589</v>
      </c>
      <c r="AH1099" s="5" t="s">
        <v>85</v>
      </c>
      <c r="AI1099" s="5" t="s">
        <v>2471</v>
      </c>
      <c r="AJ1099" s="5">
        <v>340</v>
      </c>
      <c r="AK1099" s="5">
        <v>2165</v>
      </c>
      <c r="AL1099" s="5">
        <v>773</v>
      </c>
      <c r="AM1099" s="5">
        <v>1392</v>
      </c>
      <c r="AN1099" s="5">
        <v>19</v>
      </c>
      <c r="AO1099" s="5">
        <v>194</v>
      </c>
      <c r="AP1099" s="5">
        <v>64</v>
      </c>
      <c r="AQ1099" s="5">
        <v>63</v>
      </c>
      <c r="AR1099" s="5" t="s">
        <v>2477</v>
      </c>
      <c r="AT1099" s="5">
        <v>0</v>
      </c>
      <c r="AU1099" s="5">
        <v>0</v>
      </c>
      <c r="AX1099" s="5">
        <v>0</v>
      </c>
      <c r="AY1099" s="5" t="s">
        <v>86</v>
      </c>
      <c r="BN1099" s="5" t="s">
        <v>85</v>
      </c>
      <c r="BO1099" s="5">
        <v>32</v>
      </c>
      <c r="BP1099" s="5">
        <v>208</v>
      </c>
      <c r="BQ1099" s="5">
        <v>86</v>
      </c>
      <c r="BR1099" s="5">
        <v>122</v>
      </c>
      <c r="BS1099" s="5" t="s">
        <v>2479</v>
      </c>
      <c r="BT1099" s="5">
        <v>12</v>
      </c>
      <c r="BU1099" s="5">
        <v>9</v>
      </c>
      <c r="BV1099" s="5">
        <v>11</v>
      </c>
      <c r="BW1099" s="5">
        <v>0</v>
      </c>
      <c r="BX1099" s="5">
        <v>0</v>
      </c>
      <c r="BZ1099" s="5">
        <v>0</v>
      </c>
      <c r="CA1099" s="5">
        <v>0</v>
      </c>
      <c r="CC1099" s="5">
        <v>0</v>
      </c>
      <c r="CD1099" s="5">
        <v>0</v>
      </c>
      <c r="CF1099" s="1442" t="str">
        <f>IF([1]!sommaire[[#This Row],[présence des personnes déplacés interne]]="Oui","1","0")</f>
        <v>1</v>
      </c>
      <c r="CG1099" s="1442" t="str">
        <f>IF([1]!sommaire[[#This Row],[présence Réfugié hors camp]]="Oui","1","0")</f>
        <v>0</v>
      </c>
      <c r="CH1099" s="1442" t="str">
        <f>IF([1]!sommaire[[#This Row],[présence personnes retournées]]="Oui","1","0")</f>
        <v>1</v>
      </c>
      <c r="CI1099" s="1442">
        <f>[1]!sommaire[[#This Row],[Flag PDI]]+[1]!sommaire[[#This Row],[Flag REF]]+[1]!sommaire[[#This Row],[Flag RET]]</f>
        <v>2</v>
      </c>
    </row>
    <row r="1100" spans="1:87" ht="14.55" customHeight="1" x14ac:dyDescent="0.3">
      <c r="A1100" s="390">
        <v>2631064</v>
      </c>
      <c r="B1100" s="5" t="s">
        <v>533</v>
      </c>
      <c r="C1100" s="1430" t="s">
        <v>3449</v>
      </c>
      <c r="D1100" s="1090" t="s">
        <v>534</v>
      </c>
      <c r="E1100" s="5" t="s">
        <v>35</v>
      </c>
      <c r="F1100" s="5" t="s">
        <v>35</v>
      </c>
      <c r="G1100" s="5" t="s">
        <v>567</v>
      </c>
      <c r="H1100" s="5" t="s">
        <v>192</v>
      </c>
      <c r="I1100" s="5" t="str">
        <f>_xlfn.XLOOKUP(sommaire[[#This Row],[Arrondissement_code]],OCHA_GIS!$F:$F,OCHA_GIS!$E:$E,,)</f>
        <v>Koza</v>
      </c>
      <c r="J1100" s="5" t="s">
        <v>853</v>
      </c>
      <c r="K1100" t="s">
        <v>3208</v>
      </c>
      <c r="L1100" s="5" t="s">
        <v>2794</v>
      </c>
      <c r="N1100" s="5" t="s">
        <v>3053</v>
      </c>
      <c r="O1100" s="5" t="s">
        <v>2467</v>
      </c>
      <c r="P1100" s="5" t="s">
        <v>85</v>
      </c>
      <c r="Q1100" s="5" t="s">
        <v>86</v>
      </c>
      <c r="R1100" s="5" t="s">
        <v>86</v>
      </c>
      <c r="T1100" s="390">
        <v>3</v>
      </c>
      <c r="U1100" s="5" t="s">
        <v>97</v>
      </c>
      <c r="W1100" s="5" t="s">
        <v>2468</v>
      </c>
      <c r="X1100" s="5" t="s">
        <v>102</v>
      </c>
      <c r="AA1100" s="5" t="s">
        <v>85</v>
      </c>
      <c r="AB1100" s="5" t="s">
        <v>2469</v>
      </c>
      <c r="AC1100" s="5" t="s">
        <v>312</v>
      </c>
      <c r="AD1100" s="5" t="s">
        <v>86</v>
      </c>
      <c r="AF1100" s="5">
        <v>25</v>
      </c>
      <c r="AG1100" s="5">
        <v>613</v>
      </c>
      <c r="AH1100" s="5" t="s">
        <v>85</v>
      </c>
      <c r="AI1100" s="5" t="s">
        <v>2485</v>
      </c>
      <c r="AJ1100" s="5">
        <v>25</v>
      </c>
      <c r="AK1100" s="5">
        <v>163</v>
      </c>
      <c r="AL1100" s="5">
        <v>67</v>
      </c>
      <c r="AM1100" s="5">
        <v>96</v>
      </c>
      <c r="AN1100" s="5">
        <v>10</v>
      </c>
      <c r="AO1100" s="5">
        <v>13</v>
      </c>
      <c r="AP1100" s="5">
        <v>0</v>
      </c>
      <c r="AQ1100" s="5">
        <v>2</v>
      </c>
      <c r="AR1100" s="5" t="s">
        <v>2477</v>
      </c>
      <c r="AT1100" s="5">
        <v>0</v>
      </c>
      <c r="AU1100" s="5">
        <v>0</v>
      </c>
      <c r="AX1100" s="5">
        <v>0</v>
      </c>
      <c r="AY1100" s="5" t="s">
        <v>86</v>
      </c>
      <c r="BN1100" s="5" t="s">
        <v>85</v>
      </c>
      <c r="BO1100" s="5">
        <v>2</v>
      </c>
      <c r="BP1100" s="5">
        <v>16</v>
      </c>
      <c r="BQ1100" s="5">
        <v>7</v>
      </c>
      <c r="BR1100" s="5">
        <v>9</v>
      </c>
      <c r="BS1100" s="5" t="s">
        <v>2535</v>
      </c>
      <c r="BT1100" s="5">
        <v>2</v>
      </c>
      <c r="BU1100" s="5">
        <v>0</v>
      </c>
      <c r="BV1100" s="5">
        <v>0</v>
      </c>
      <c r="BW1100" s="5">
        <v>0</v>
      </c>
      <c r="BX1100" s="5">
        <v>0</v>
      </c>
      <c r="BZ1100" s="5">
        <v>0</v>
      </c>
      <c r="CA1100" s="5">
        <v>0</v>
      </c>
      <c r="CC1100" s="5">
        <v>0</v>
      </c>
      <c r="CD1100" s="5">
        <v>0</v>
      </c>
      <c r="CF1100" s="1442" t="str">
        <f>IF([1]!sommaire[[#This Row],[présence des personnes déplacés interne]]="Oui","1","0")</f>
        <v>1</v>
      </c>
      <c r="CG1100" s="1442" t="str">
        <f>IF([1]!sommaire[[#This Row],[présence Réfugié hors camp]]="Oui","1","0")</f>
        <v>0</v>
      </c>
      <c r="CH1100" s="1442" t="str">
        <f>IF([1]!sommaire[[#This Row],[présence personnes retournées]]="Oui","1","0")</f>
        <v>1</v>
      </c>
      <c r="CI1100" s="1442">
        <f>[1]!sommaire[[#This Row],[Flag PDI]]+[1]!sommaire[[#This Row],[Flag REF]]+[1]!sommaire[[#This Row],[Flag RET]]</f>
        <v>2</v>
      </c>
    </row>
    <row r="1101" spans="1:87" ht="14.55" customHeight="1" x14ac:dyDescent="0.3">
      <c r="A1101" s="390">
        <v>2631063</v>
      </c>
      <c r="B1101" s="5" t="s">
        <v>533</v>
      </c>
      <c r="C1101" s="1430" t="s">
        <v>3449</v>
      </c>
      <c r="D1101" s="1090" t="s">
        <v>534</v>
      </c>
      <c r="E1101" s="5" t="s">
        <v>35</v>
      </c>
      <c r="F1101" s="5" t="s">
        <v>35</v>
      </c>
      <c r="G1101" s="5" t="s">
        <v>567</v>
      </c>
      <c r="H1101" s="5" t="s">
        <v>192</v>
      </c>
      <c r="I1101" s="5" t="str">
        <f>_xlfn.XLOOKUP(sommaire[[#This Row],[Arrondissement_code]],OCHA_GIS!$F:$F,OCHA_GIS!$E:$E,,)</f>
        <v>Koza</v>
      </c>
      <c r="J1101" s="5" t="s">
        <v>853</v>
      </c>
      <c r="K1101" t="s">
        <v>1408</v>
      </c>
      <c r="L1101" s="5" t="s">
        <v>1637</v>
      </c>
      <c r="N1101" s="5" t="s">
        <v>3053</v>
      </c>
      <c r="O1101" s="5" t="s">
        <v>2467</v>
      </c>
      <c r="P1101" s="5" t="s">
        <v>86</v>
      </c>
      <c r="Q1101" s="5" t="s">
        <v>85</v>
      </c>
      <c r="R1101" s="5" t="s">
        <v>86</v>
      </c>
      <c r="S1101" s="390">
        <v>7</v>
      </c>
      <c r="U1101" s="5" t="s">
        <v>97</v>
      </c>
      <c r="W1101" s="5" t="s">
        <v>2468</v>
      </c>
      <c r="X1101" s="1090" t="s">
        <v>102</v>
      </c>
      <c r="AA1101" s="1090" t="s">
        <v>85</v>
      </c>
      <c r="AB1101" s="5" t="s">
        <v>2469</v>
      </c>
      <c r="AC1101" s="5" t="s">
        <v>312</v>
      </c>
      <c r="AD1101" s="5" t="s">
        <v>86</v>
      </c>
      <c r="AF1101" s="5">
        <v>21</v>
      </c>
      <c r="AG1101" s="5">
        <v>2512</v>
      </c>
      <c r="AH1101" s="5" t="s">
        <v>85</v>
      </c>
      <c r="AI1101" s="5" t="s">
        <v>2471</v>
      </c>
      <c r="AJ1101" s="5">
        <v>21</v>
      </c>
      <c r="AK1101" s="5">
        <v>149</v>
      </c>
      <c r="AL1101" s="5">
        <v>52</v>
      </c>
      <c r="AM1101" s="5">
        <v>97</v>
      </c>
      <c r="AN1101" s="5">
        <v>5</v>
      </c>
      <c r="AO1101" s="5">
        <v>13</v>
      </c>
      <c r="AP1101" s="5">
        <v>2</v>
      </c>
      <c r="AQ1101" s="5">
        <v>1</v>
      </c>
      <c r="AR1101" s="5" t="s">
        <v>2477</v>
      </c>
      <c r="AT1101" s="5">
        <v>0</v>
      </c>
      <c r="AU1101" s="5">
        <v>0</v>
      </c>
      <c r="AX1101" s="5">
        <v>0</v>
      </c>
      <c r="AY1101" s="1090" t="s">
        <v>86</v>
      </c>
      <c r="BN1101" s="1090" t="s">
        <v>85</v>
      </c>
      <c r="BO1101" s="5">
        <v>10</v>
      </c>
      <c r="BP1101" s="5">
        <v>47</v>
      </c>
      <c r="BQ1101" s="5">
        <v>18</v>
      </c>
      <c r="BR1101" s="5">
        <v>29</v>
      </c>
      <c r="BS1101" s="5" t="s">
        <v>2492</v>
      </c>
      <c r="BT1101" s="5">
        <v>3</v>
      </c>
      <c r="BU1101" s="5">
        <v>2</v>
      </c>
      <c r="BV1101" s="5">
        <v>2</v>
      </c>
      <c r="BW1101" s="5">
        <v>3</v>
      </c>
      <c r="BX1101" s="5">
        <v>0</v>
      </c>
      <c r="BZ1101" s="5">
        <v>0</v>
      </c>
      <c r="CA1101" s="5">
        <v>0</v>
      </c>
      <c r="CC1101" s="5">
        <v>0</v>
      </c>
      <c r="CD1101" s="5">
        <v>0</v>
      </c>
      <c r="CF1101" s="1442" t="str">
        <f>IF([1]!sommaire[[#This Row],[présence des personnes déplacés interne]]="Oui","1","0")</f>
        <v>1</v>
      </c>
      <c r="CG1101" s="1442" t="str">
        <f>IF([1]!sommaire[[#This Row],[présence Réfugié hors camp]]="Oui","1","0")</f>
        <v>0</v>
      </c>
      <c r="CH1101" s="1442" t="str">
        <f>IF([1]!sommaire[[#This Row],[présence personnes retournées]]="Oui","1","0")</f>
        <v>1</v>
      </c>
      <c r="CI1101" s="1442">
        <f>[1]!sommaire[[#This Row],[Flag PDI]]+[1]!sommaire[[#This Row],[Flag REF]]+[1]!sommaire[[#This Row],[Flag RET]]</f>
        <v>2</v>
      </c>
    </row>
    <row r="1102" spans="1:87" ht="14.55" customHeight="1" x14ac:dyDescent="0.3">
      <c r="A1102" s="390">
        <v>2627013</v>
      </c>
      <c r="B1102" s="5" t="s">
        <v>533</v>
      </c>
      <c r="C1102" s="1430" t="s">
        <v>3449</v>
      </c>
      <c r="D1102" s="1090" t="s">
        <v>534</v>
      </c>
      <c r="E1102" s="5" t="s">
        <v>35</v>
      </c>
      <c r="F1102" s="5" t="s">
        <v>35</v>
      </c>
      <c r="G1102" s="5" t="s">
        <v>567</v>
      </c>
      <c r="H1102" s="5" t="s">
        <v>192</v>
      </c>
      <c r="I1102" s="5" t="str">
        <f>_xlfn.XLOOKUP(sommaire[[#This Row],[Arrondissement_code]],OCHA_GIS!$F:$F,OCHA_GIS!$E:$E,,)</f>
        <v>Koza</v>
      </c>
      <c r="J1102" s="5" t="s">
        <v>853</v>
      </c>
      <c r="K1102" t="s">
        <v>1532</v>
      </c>
      <c r="L1102" s="5" t="s">
        <v>1611</v>
      </c>
      <c r="N1102" s="5" t="s">
        <v>3053</v>
      </c>
      <c r="O1102" s="5" t="s">
        <v>2467</v>
      </c>
      <c r="P1102" s="5" t="s">
        <v>85</v>
      </c>
      <c r="Q1102" s="5" t="s">
        <v>86</v>
      </c>
      <c r="R1102" s="5" t="s">
        <v>85</v>
      </c>
      <c r="T1102" s="390">
        <v>4</v>
      </c>
      <c r="U1102" s="5" t="s">
        <v>97</v>
      </c>
      <c r="W1102" s="5" t="s">
        <v>2468</v>
      </c>
      <c r="X1102" s="5" t="s">
        <v>102</v>
      </c>
      <c r="AA1102" s="586" t="s">
        <v>85</v>
      </c>
      <c r="AB1102" s="5" t="s">
        <v>2469</v>
      </c>
      <c r="AC1102" s="5" t="s">
        <v>312</v>
      </c>
      <c r="AD1102" s="5" t="s">
        <v>86</v>
      </c>
      <c r="AF1102" s="5">
        <v>277</v>
      </c>
      <c r="AG1102" s="5">
        <v>2880</v>
      </c>
      <c r="AH1102" s="5" t="s">
        <v>85</v>
      </c>
      <c r="AI1102" s="5" t="s">
        <v>2486</v>
      </c>
      <c r="AJ1102" s="5">
        <v>277</v>
      </c>
      <c r="AK1102" s="5">
        <v>1863</v>
      </c>
      <c r="AL1102" s="5">
        <v>856</v>
      </c>
      <c r="AM1102" s="5">
        <v>1007</v>
      </c>
      <c r="AN1102" s="5">
        <v>68</v>
      </c>
      <c r="AO1102" s="5">
        <v>132</v>
      </c>
      <c r="AP1102" s="5">
        <v>0</v>
      </c>
      <c r="AQ1102" s="5">
        <v>77</v>
      </c>
      <c r="AR1102" s="5" t="s">
        <v>2477</v>
      </c>
      <c r="AT1102" s="5">
        <v>0</v>
      </c>
      <c r="AU1102" s="5">
        <v>0</v>
      </c>
      <c r="AX1102" s="5">
        <v>0</v>
      </c>
      <c r="AY1102" s="5" t="s">
        <v>86</v>
      </c>
      <c r="BN1102" s="5" t="s">
        <v>85</v>
      </c>
      <c r="BO1102" s="5">
        <v>164</v>
      </c>
      <c r="BP1102" s="5">
        <v>728</v>
      </c>
      <c r="BQ1102" s="5">
        <v>331</v>
      </c>
      <c r="BR1102" s="5">
        <v>397</v>
      </c>
      <c r="BS1102" s="5" t="s">
        <v>2479</v>
      </c>
      <c r="BT1102" s="5">
        <v>31</v>
      </c>
      <c r="BU1102" s="5">
        <v>25</v>
      </c>
      <c r="BV1102" s="5">
        <v>64</v>
      </c>
      <c r="BW1102" s="5">
        <v>0</v>
      </c>
      <c r="BX1102" s="5">
        <v>44</v>
      </c>
      <c r="BY1102" s="5" t="s">
        <v>2477</v>
      </c>
      <c r="BZ1102" s="5">
        <v>0</v>
      </c>
      <c r="CA1102" s="5">
        <v>0</v>
      </c>
      <c r="CC1102" s="5">
        <v>0</v>
      </c>
      <c r="CD1102" s="5">
        <v>0</v>
      </c>
      <c r="CF1102" s="1442" t="str">
        <f>IF([1]!sommaire[[#This Row],[présence des personnes déplacés interne]]="Oui","1","0")</f>
        <v>1</v>
      </c>
      <c r="CG1102" s="1442" t="str">
        <f>IF([1]!sommaire[[#This Row],[présence Réfugié hors camp]]="Oui","1","0")</f>
        <v>0</v>
      </c>
      <c r="CH1102" s="1442" t="str">
        <f>IF([1]!sommaire[[#This Row],[présence personnes retournées]]="Oui","1","0")</f>
        <v>1</v>
      </c>
      <c r="CI1102" s="1442">
        <f>[1]!sommaire[[#This Row],[Flag PDI]]+[1]!sommaire[[#This Row],[Flag REF]]+[1]!sommaire[[#This Row],[Flag RET]]</f>
        <v>2</v>
      </c>
    </row>
    <row r="1103" spans="1:87" ht="14.55" customHeight="1" x14ac:dyDescent="0.3">
      <c r="A1103" s="390">
        <v>2647203</v>
      </c>
      <c r="B1103" s="5" t="s">
        <v>533</v>
      </c>
      <c r="C1103" s="1430" t="s">
        <v>3449</v>
      </c>
      <c r="D1103" s="1090" t="s">
        <v>534</v>
      </c>
      <c r="E1103" s="5" t="s">
        <v>35</v>
      </c>
      <c r="F1103" s="5" t="s">
        <v>35</v>
      </c>
      <c r="G1103" s="5" t="s">
        <v>567</v>
      </c>
      <c r="H1103" s="5" t="s">
        <v>192</v>
      </c>
      <c r="I1103" s="5" t="str">
        <f>_xlfn.XLOOKUP(sommaire[[#This Row],[Arrondissement_code]],OCHA_GIS!$F:$F,OCHA_GIS!$E:$E,,)</f>
        <v>Koza</v>
      </c>
      <c r="J1103" s="5" t="s">
        <v>853</v>
      </c>
      <c r="K1103" t="s">
        <v>1610</v>
      </c>
      <c r="L1103" s="5" t="s">
        <v>946</v>
      </c>
      <c r="N1103" s="5" t="s">
        <v>3053</v>
      </c>
      <c r="O1103" s="5" t="s">
        <v>2467</v>
      </c>
      <c r="P1103" s="5" t="s">
        <v>85</v>
      </c>
      <c r="Q1103" s="5" t="s">
        <v>86</v>
      </c>
      <c r="R1103" s="5" t="s">
        <v>86</v>
      </c>
      <c r="T1103" s="390">
        <v>3</v>
      </c>
      <c r="U1103" s="5" t="s">
        <v>97</v>
      </c>
      <c r="W1103" s="5" t="s">
        <v>2468</v>
      </c>
      <c r="X1103" s="1090" t="s">
        <v>102</v>
      </c>
      <c r="AA1103" s="1090" t="s">
        <v>85</v>
      </c>
      <c r="AB1103" s="5" t="s">
        <v>2469</v>
      </c>
      <c r="AC1103" s="5" t="s">
        <v>312</v>
      </c>
      <c r="AD1103" s="5" t="s">
        <v>86</v>
      </c>
      <c r="AF1103" s="5">
        <v>170</v>
      </c>
      <c r="AG1103" s="5">
        <v>5000</v>
      </c>
      <c r="AH1103" s="5" t="s">
        <v>85</v>
      </c>
      <c r="AI1103" s="5" t="s">
        <v>2485</v>
      </c>
      <c r="AJ1103" s="5">
        <v>170</v>
      </c>
      <c r="AK1103" s="5">
        <v>1214</v>
      </c>
      <c r="AL1103" s="5">
        <v>524</v>
      </c>
      <c r="AM1103" s="5">
        <v>690</v>
      </c>
      <c r="AN1103" s="5">
        <v>33</v>
      </c>
      <c r="AO1103" s="5">
        <v>107</v>
      </c>
      <c r="AP1103" s="5">
        <v>30</v>
      </c>
      <c r="AQ1103" s="5">
        <v>0</v>
      </c>
      <c r="AT1103" s="5">
        <v>0</v>
      </c>
      <c r="AU1103" s="5">
        <v>0</v>
      </c>
      <c r="AX1103" s="5">
        <v>0</v>
      </c>
      <c r="AY1103" s="1090" t="s">
        <v>86</v>
      </c>
      <c r="BN1103" s="1090" t="s">
        <v>85</v>
      </c>
      <c r="BO1103" s="5">
        <v>8</v>
      </c>
      <c r="BP1103" s="5">
        <v>24</v>
      </c>
      <c r="BQ1103" s="5">
        <v>9</v>
      </c>
      <c r="BR1103" s="5">
        <v>15</v>
      </c>
      <c r="BS1103" s="5" t="s">
        <v>2492</v>
      </c>
      <c r="BT1103" s="5">
        <v>3</v>
      </c>
      <c r="BU1103" s="5">
        <v>3</v>
      </c>
      <c r="BV1103" s="5">
        <v>2</v>
      </c>
      <c r="BW1103" s="5">
        <v>0</v>
      </c>
      <c r="BX1103" s="5">
        <v>0</v>
      </c>
      <c r="BZ1103" s="5">
        <v>0</v>
      </c>
      <c r="CA1103" s="5">
        <v>0</v>
      </c>
      <c r="CC1103" s="5">
        <v>0</v>
      </c>
      <c r="CD1103" s="5">
        <v>0</v>
      </c>
      <c r="CF1103" s="1442" t="str">
        <f>IF([1]!sommaire[[#This Row],[présence des personnes déplacés interne]]="Oui","1","0")</f>
        <v>1</v>
      </c>
      <c r="CG1103" s="1442" t="str">
        <f>IF([1]!sommaire[[#This Row],[présence Réfugié hors camp]]="Oui","1","0")</f>
        <v>0</v>
      </c>
      <c r="CH1103" s="1442" t="str">
        <f>IF([1]!sommaire[[#This Row],[présence personnes retournées]]="Oui","1","0")</f>
        <v>1</v>
      </c>
      <c r="CI1103" s="1442">
        <f>[1]!sommaire[[#This Row],[Flag PDI]]+[1]!sommaire[[#This Row],[Flag REF]]+[1]!sommaire[[#This Row],[Flag RET]]</f>
        <v>2</v>
      </c>
    </row>
    <row r="1104" spans="1:87" ht="14.55" customHeight="1" x14ac:dyDescent="0.3">
      <c r="A1104" s="390">
        <v>2636534</v>
      </c>
      <c r="B1104" s="5" t="s">
        <v>533</v>
      </c>
      <c r="C1104" s="1430" t="s">
        <v>3449</v>
      </c>
      <c r="D1104" s="1090" t="s">
        <v>534</v>
      </c>
      <c r="E1104" s="5" t="s">
        <v>35</v>
      </c>
      <c r="F1104" s="5" t="s">
        <v>35</v>
      </c>
      <c r="G1104" s="5" t="s">
        <v>567</v>
      </c>
      <c r="H1104" s="5" t="s">
        <v>192</v>
      </c>
      <c r="I1104" s="5" t="str">
        <f>_xlfn.XLOOKUP(sommaire[[#This Row],[Arrondissement_code]],OCHA_GIS!$F:$F,OCHA_GIS!$E:$E,,)</f>
        <v>Koza</v>
      </c>
      <c r="J1104" s="5" t="s">
        <v>853</v>
      </c>
      <c r="K1104" t="s">
        <v>1388</v>
      </c>
      <c r="L1104" s="5" t="s">
        <v>1892</v>
      </c>
      <c r="N1104" s="5" t="s">
        <v>3053</v>
      </c>
      <c r="O1104" s="5" t="s">
        <v>2467</v>
      </c>
      <c r="P1104" s="5" t="s">
        <v>85</v>
      </c>
      <c r="Q1104" s="5" t="s">
        <v>86</v>
      </c>
      <c r="R1104" s="5" t="s">
        <v>85</v>
      </c>
      <c r="T1104" s="390">
        <v>3</v>
      </c>
      <c r="U1104" s="5" t="s">
        <v>97</v>
      </c>
      <c r="W1104" s="5" t="s">
        <v>2468</v>
      </c>
      <c r="X1104" s="5" t="s">
        <v>102</v>
      </c>
      <c r="AA1104" s="5" t="s">
        <v>85</v>
      </c>
      <c r="AB1104" s="5" t="s">
        <v>2469</v>
      </c>
      <c r="AC1104" s="5" t="s">
        <v>312</v>
      </c>
      <c r="AD1104" s="5" t="s">
        <v>86</v>
      </c>
      <c r="AF1104" s="5">
        <v>80</v>
      </c>
      <c r="AG1104" s="5">
        <v>920</v>
      </c>
      <c r="AH1104" s="5" t="s">
        <v>85</v>
      </c>
      <c r="AI1104" s="5" t="s">
        <v>2485</v>
      </c>
      <c r="AJ1104" s="5">
        <v>80</v>
      </c>
      <c r="AK1104" s="5">
        <v>455</v>
      </c>
      <c r="AL1104" s="5">
        <v>177</v>
      </c>
      <c r="AM1104" s="5">
        <v>278</v>
      </c>
      <c r="AN1104" s="5">
        <v>14</v>
      </c>
      <c r="AO1104" s="5">
        <v>39</v>
      </c>
      <c r="AP1104" s="5">
        <v>0</v>
      </c>
      <c r="AQ1104" s="5">
        <v>27</v>
      </c>
      <c r="AR1104" s="5" t="s">
        <v>2477</v>
      </c>
      <c r="AT1104" s="5">
        <v>0</v>
      </c>
      <c r="AU1104" s="5">
        <v>0</v>
      </c>
      <c r="AX1104" s="5">
        <v>0</v>
      </c>
      <c r="AY1104" s="5" t="s">
        <v>86</v>
      </c>
      <c r="BN1104" s="5" t="s">
        <v>86</v>
      </c>
      <c r="CD1104" s="5">
        <v>0</v>
      </c>
      <c r="CF1104" s="1442" t="str">
        <f>IF([1]!sommaire[[#This Row],[présence des personnes déplacés interne]]="Oui","1","0")</f>
        <v>1</v>
      </c>
      <c r="CG1104" s="1442" t="str">
        <f>IF([1]!sommaire[[#This Row],[présence Réfugié hors camp]]="Oui","1","0")</f>
        <v>0</v>
      </c>
      <c r="CH1104" s="1442" t="str">
        <f>IF([1]!sommaire[[#This Row],[présence personnes retournées]]="Oui","1","0")</f>
        <v>0</v>
      </c>
      <c r="CI1104" s="1442">
        <f>[1]!sommaire[[#This Row],[Flag PDI]]+[1]!sommaire[[#This Row],[Flag REF]]+[1]!sommaire[[#This Row],[Flag RET]]</f>
        <v>1</v>
      </c>
    </row>
    <row r="1105" spans="1:87" ht="14.55" customHeight="1" x14ac:dyDescent="0.3">
      <c r="A1105" s="390">
        <v>2620180</v>
      </c>
      <c r="B1105" s="5" t="s">
        <v>533</v>
      </c>
      <c r="C1105" s="1430" t="s">
        <v>3449</v>
      </c>
      <c r="D1105" s="1090" t="s">
        <v>534</v>
      </c>
      <c r="E1105" s="5" t="s">
        <v>35</v>
      </c>
      <c r="F1105" s="5" t="s">
        <v>35</v>
      </c>
      <c r="G1105" s="5" t="s">
        <v>567</v>
      </c>
      <c r="H1105" s="5" t="s">
        <v>192</v>
      </c>
      <c r="I1105" s="5" t="str">
        <f>_xlfn.XLOOKUP(sommaire[[#This Row],[Arrondissement_code]],OCHA_GIS!$F:$F,OCHA_GIS!$E:$E,,)</f>
        <v>Koza</v>
      </c>
      <c r="J1105" s="5" t="s">
        <v>853</v>
      </c>
      <c r="K1105" t="s">
        <v>1170</v>
      </c>
      <c r="L1105" s="5" t="s">
        <v>1315</v>
      </c>
      <c r="N1105" s="5" t="s">
        <v>3053</v>
      </c>
      <c r="O1105" s="5" t="s">
        <v>2467</v>
      </c>
      <c r="P1105" s="5" t="s">
        <v>85</v>
      </c>
      <c r="Q1105" s="5" t="s">
        <v>86</v>
      </c>
      <c r="R1105" s="5" t="s">
        <v>85</v>
      </c>
      <c r="T1105" s="390">
        <v>4</v>
      </c>
      <c r="U1105" s="5" t="s">
        <v>97</v>
      </c>
      <c r="W1105" s="5" t="s">
        <v>2468</v>
      </c>
      <c r="X1105" s="5" t="s">
        <v>102</v>
      </c>
      <c r="AA1105" s="5" t="s">
        <v>85</v>
      </c>
      <c r="AB1105" s="5" t="s">
        <v>2469</v>
      </c>
      <c r="AC1105" s="5" t="s">
        <v>2470</v>
      </c>
      <c r="AD1105" s="5" t="s">
        <v>86</v>
      </c>
      <c r="AF1105" s="5">
        <v>26</v>
      </c>
      <c r="AG1105" s="5">
        <v>514</v>
      </c>
      <c r="AH1105" s="5" t="s">
        <v>85</v>
      </c>
      <c r="AI1105" s="5" t="s">
        <v>2471</v>
      </c>
      <c r="AJ1105" s="5">
        <v>26</v>
      </c>
      <c r="AK1105" s="5">
        <v>146</v>
      </c>
      <c r="AL1105" s="5">
        <v>52</v>
      </c>
      <c r="AM1105" s="5">
        <v>94</v>
      </c>
      <c r="AN1105" s="5">
        <v>2</v>
      </c>
      <c r="AO1105" s="5">
        <v>20</v>
      </c>
      <c r="AP1105" s="5">
        <v>2</v>
      </c>
      <c r="AQ1105" s="5">
        <v>2</v>
      </c>
      <c r="AR1105" s="5" t="s">
        <v>2477</v>
      </c>
      <c r="AT1105" s="5">
        <v>0</v>
      </c>
      <c r="AU1105" s="5">
        <v>0</v>
      </c>
      <c r="AX1105" s="5">
        <v>0</v>
      </c>
      <c r="AY1105" s="5" t="s">
        <v>86</v>
      </c>
      <c r="BN1105" s="5" t="s">
        <v>86</v>
      </c>
      <c r="CD1105" s="5">
        <v>0</v>
      </c>
      <c r="CF1105" s="1442" t="str">
        <f>IF([1]!sommaire[[#This Row],[présence des personnes déplacés interne]]="Oui","1","0")</f>
        <v>1</v>
      </c>
      <c r="CG1105" s="1442" t="str">
        <f>IF([1]!sommaire[[#This Row],[présence Réfugié hors camp]]="Oui","1","0")</f>
        <v>0</v>
      </c>
      <c r="CH1105" s="1442" t="str">
        <f>IF([1]!sommaire[[#This Row],[présence personnes retournées]]="Oui","1","0")</f>
        <v>0</v>
      </c>
      <c r="CI1105" s="1442">
        <f>[1]!sommaire[[#This Row],[Flag PDI]]+[1]!sommaire[[#This Row],[Flag REF]]+[1]!sommaire[[#This Row],[Flag RET]]</f>
        <v>1</v>
      </c>
    </row>
    <row r="1106" spans="1:87" ht="14.55" customHeight="1" x14ac:dyDescent="0.3">
      <c r="A1106" s="390">
        <v>2627012</v>
      </c>
      <c r="B1106" s="5" t="s">
        <v>533</v>
      </c>
      <c r="C1106" s="1430" t="s">
        <v>3449</v>
      </c>
      <c r="D1106" s="1090" t="s">
        <v>534</v>
      </c>
      <c r="E1106" s="5" t="s">
        <v>35</v>
      </c>
      <c r="F1106" s="5" t="s">
        <v>35</v>
      </c>
      <c r="G1106" s="5" t="s">
        <v>567</v>
      </c>
      <c r="H1106" s="5" t="s">
        <v>192</v>
      </c>
      <c r="I1106" s="5" t="str">
        <f>_xlfn.XLOOKUP(sommaire[[#This Row],[Arrondissement_code]],OCHA_GIS!$F:$F,OCHA_GIS!$E:$E,,)</f>
        <v>Koza</v>
      </c>
      <c r="J1106" s="5" t="s">
        <v>853</v>
      </c>
      <c r="K1106" t="s">
        <v>945</v>
      </c>
      <c r="L1106" s="5" t="s">
        <v>1005</v>
      </c>
      <c r="N1106" s="5" t="s">
        <v>3053</v>
      </c>
      <c r="O1106" s="5" t="s">
        <v>2467</v>
      </c>
      <c r="P1106" s="5" t="s">
        <v>85</v>
      </c>
      <c r="Q1106" s="5" t="s">
        <v>86</v>
      </c>
      <c r="R1106" s="5" t="s">
        <v>85</v>
      </c>
      <c r="T1106" s="390">
        <v>5</v>
      </c>
      <c r="U1106" s="5" t="s">
        <v>97</v>
      </c>
      <c r="W1106" s="5" t="s">
        <v>2468</v>
      </c>
      <c r="X1106" s="5" t="s">
        <v>102</v>
      </c>
      <c r="AA1106" s="5" t="s">
        <v>85</v>
      </c>
      <c r="AB1106" s="5" t="s">
        <v>2469</v>
      </c>
      <c r="AC1106" s="5" t="s">
        <v>312</v>
      </c>
      <c r="AD1106" s="5" t="s">
        <v>86</v>
      </c>
      <c r="AF1106" s="5">
        <v>161</v>
      </c>
      <c r="AG1106" s="5">
        <v>1880</v>
      </c>
      <c r="AH1106" s="5" t="s">
        <v>85</v>
      </c>
      <c r="AI1106" s="5" t="s">
        <v>2485</v>
      </c>
      <c r="AJ1106" s="5">
        <v>161</v>
      </c>
      <c r="AK1106" s="5">
        <v>928</v>
      </c>
      <c r="AL1106" s="5">
        <v>622</v>
      </c>
      <c r="AM1106" s="5">
        <v>306</v>
      </c>
      <c r="AN1106" s="5">
        <v>30</v>
      </c>
      <c r="AO1106" s="5">
        <v>87</v>
      </c>
      <c r="AP1106" s="5">
        <v>13</v>
      </c>
      <c r="AQ1106" s="5">
        <v>31</v>
      </c>
      <c r="AR1106" s="5" t="s">
        <v>2477</v>
      </c>
      <c r="AT1106" s="5">
        <v>0</v>
      </c>
      <c r="AU1106" s="5">
        <v>0</v>
      </c>
      <c r="AX1106" s="5">
        <v>0</v>
      </c>
      <c r="AY1106" s="5" t="s">
        <v>86</v>
      </c>
      <c r="BN1106" s="5" t="s">
        <v>85</v>
      </c>
      <c r="BO1106" s="5">
        <v>9</v>
      </c>
      <c r="BP1106" s="5">
        <v>24</v>
      </c>
      <c r="BQ1106" s="5">
        <v>9</v>
      </c>
      <c r="BR1106" s="5">
        <v>15</v>
      </c>
      <c r="BS1106" s="5" t="s">
        <v>2535</v>
      </c>
      <c r="BT1106" s="5">
        <v>0</v>
      </c>
      <c r="BU1106" s="5">
        <v>0</v>
      </c>
      <c r="BV1106" s="5">
        <v>6</v>
      </c>
      <c r="BW1106" s="5">
        <v>0</v>
      </c>
      <c r="BX1106" s="5">
        <v>3</v>
      </c>
      <c r="BY1106" s="5" t="s">
        <v>2477</v>
      </c>
      <c r="BZ1106" s="5">
        <v>0</v>
      </c>
      <c r="CA1106" s="5">
        <v>0</v>
      </c>
      <c r="CC1106" s="5">
        <v>0</v>
      </c>
      <c r="CD1106" s="5">
        <v>0</v>
      </c>
      <c r="CF1106" s="1442" t="str">
        <f>IF([1]!sommaire[[#This Row],[présence des personnes déplacés interne]]="Oui","1","0")</f>
        <v>1</v>
      </c>
      <c r="CG1106" s="1442" t="str">
        <f>IF([1]!sommaire[[#This Row],[présence Réfugié hors camp]]="Oui","1","0")</f>
        <v>0</v>
      </c>
      <c r="CH1106" s="1442" t="str">
        <f>IF([1]!sommaire[[#This Row],[présence personnes retournées]]="Oui","1","0")</f>
        <v>1</v>
      </c>
      <c r="CI1106" s="1442">
        <f>[1]!sommaire[[#This Row],[Flag PDI]]+[1]!sommaire[[#This Row],[Flag REF]]+[1]!sommaire[[#This Row],[Flag RET]]</f>
        <v>2</v>
      </c>
    </row>
    <row r="1107" spans="1:87" ht="14.55" customHeight="1" x14ac:dyDescent="0.3">
      <c r="A1107" s="390">
        <v>2622381</v>
      </c>
      <c r="B1107" s="5" t="s">
        <v>533</v>
      </c>
      <c r="C1107" s="1430" t="s">
        <v>3449</v>
      </c>
      <c r="D1107" s="1090" t="s">
        <v>534</v>
      </c>
      <c r="E1107" s="5" t="s">
        <v>35</v>
      </c>
      <c r="F1107" s="5" t="s">
        <v>35</v>
      </c>
      <c r="G1107" s="5" t="s">
        <v>567</v>
      </c>
      <c r="H1107" s="5" t="s">
        <v>192</v>
      </c>
      <c r="I1107" s="5" t="str">
        <f>_xlfn.XLOOKUP(sommaire[[#This Row],[Arrondissement_code]],OCHA_GIS!$F:$F,OCHA_GIS!$E:$E,,)</f>
        <v>Koza</v>
      </c>
      <c r="J1107" s="5" t="s">
        <v>853</v>
      </c>
      <c r="K1107" t="s">
        <v>1004</v>
      </c>
      <c r="L1107" s="5" t="s">
        <v>903</v>
      </c>
      <c r="N1107" s="5" t="s">
        <v>3053</v>
      </c>
      <c r="O1107" s="5" t="s">
        <v>2467</v>
      </c>
      <c r="P1107" s="5" t="s">
        <v>86</v>
      </c>
      <c r="Q1107" s="5" t="s">
        <v>85</v>
      </c>
      <c r="R1107" s="5" t="s">
        <v>86</v>
      </c>
      <c r="S1107" s="390">
        <v>6</v>
      </c>
      <c r="U1107" s="5" t="s">
        <v>97</v>
      </c>
      <c r="W1107" s="5" t="s">
        <v>2468</v>
      </c>
      <c r="X1107" s="1090" t="s">
        <v>102</v>
      </c>
      <c r="AA1107" s="1090" t="s">
        <v>85</v>
      </c>
      <c r="AB1107" s="5" t="s">
        <v>2469</v>
      </c>
      <c r="AC1107" s="5" t="s">
        <v>312</v>
      </c>
      <c r="AD1107" s="1090" t="s">
        <v>86</v>
      </c>
      <c r="AF1107" s="5">
        <v>77</v>
      </c>
      <c r="AG1107" s="5">
        <v>4415</v>
      </c>
      <c r="AH1107" s="5" t="s">
        <v>85</v>
      </c>
      <c r="AI1107" s="5" t="s">
        <v>2471</v>
      </c>
      <c r="AJ1107" s="5">
        <v>77</v>
      </c>
      <c r="AK1107" s="5">
        <v>565</v>
      </c>
      <c r="AL1107" s="5">
        <v>214</v>
      </c>
      <c r="AM1107" s="5">
        <v>351</v>
      </c>
      <c r="AN1107" s="5">
        <v>12</v>
      </c>
      <c r="AO1107" s="5">
        <v>56</v>
      </c>
      <c r="AP1107" s="5">
        <v>9</v>
      </c>
      <c r="AQ1107" s="5">
        <v>0</v>
      </c>
      <c r="AT1107" s="5">
        <v>0</v>
      </c>
      <c r="AU1107" s="5">
        <v>0</v>
      </c>
      <c r="AX1107" s="5">
        <v>0</v>
      </c>
      <c r="AY1107" s="1090" t="s">
        <v>86</v>
      </c>
      <c r="BN1107" s="1090" t="s">
        <v>85</v>
      </c>
      <c r="BO1107" s="5">
        <v>12</v>
      </c>
      <c r="BP1107" s="5">
        <v>60</v>
      </c>
      <c r="BQ1107" s="5">
        <v>25</v>
      </c>
      <c r="BR1107" s="5">
        <v>35</v>
      </c>
      <c r="BS1107" s="5" t="s">
        <v>2535</v>
      </c>
      <c r="BT1107" s="5">
        <v>4</v>
      </c>
      <c r="BU1107" s="5">
        <v>5</v>
      </c>
      <c r="BV1107" s="5">
        <v>3</v>
      </c>
      <c r="BW1107" s="5">
        <v>0</v>
      </c>
      <c r="BX1107" s="5">
        <v>0</v>
      </c>
      <c r="BZ1107" s="5">
        <v>0</v>
      </c>
      <c r="CA1107" s="5">
        <v>0</v>
      </c>
      <c r="CC1107" s="5">
        <v>0</v>
      </c>
      <c r="CD1107" s="5">
        <v>0</v>
      </c>
      <c r="CF1107" s="1442" t="str">
        <f>IF([1]!sommaire[[#This Row],[présence des personnes déplacés interne]]="Oui","1","0")</f>
        <v>1</v>
      </c>
      <c r="CG1107" s="1442" t="str">
        <f>IF([1]!sommaire[[#This Row],[présence Réfugié hors camp]]="Oui","1","0")</f>
        <v>0</v>
      </c>
      <c r="CH1107" s="1442" t="str">
        <f>IF([1]!sommaire[[#This Row],[présence personnes retournées]]="Oui","1","0")</f>
        <v>1</v>
      </c>
      <c r="CI1107" s="1442">
        <f>[1]!sommaire[[#This Row],[Flag PDI]]+[1]!sommaire[[#This Row],[Flag REF]]+[1]!sommaire[[#This Row],[Flag RET]]</f>
        <v>2</v>
      </c>
    </row>
    <row r="1108" spans="1:87" ht="14.55" customHeight="1" x14ac:dyDescent="0.3">
      <c r="A1108" s="390">
        <v>2595968</v>
      </c>
      <c r="B1108" s="5" t="s">
        <v>533</v>
      </c>
      <c r="C1108" s="1430" t="s">
        <v>3449</v>
      </c>
      <c r="D1108" s="1090" t="s">
        <v>534</v>
      </c>
      <c r="E1108" s="5" t="s">
        <v>35</v>
      </c>
      <c r="F1108" s="5" t="s">
        <v>35</v>
      </c>
      <c r="G1108" s="5" t="s">
        <v>567</v>
      </c>
      <c r="H1108" s="5" t="s">
        <v>192</v>
      </c>
      <c r="I1108" s="5" t="str">
        <f>_xlfn.XLOOKUP(sommaire[[#This Row],[Arrondissement_code]],OCHA_GIS!$F:$F,OCHA_GIS!$E:$E,,)</f>
        <v>Koza</v>
      </c>
      <c r="J1108" s="5" t="s">
        <v>853</v>
      </c>
      <c r="K1108" t="s">
        <v>2920</v>
      </c>
      <c r="L1108" s="5" t="s">
        <v>1534</v>
      </c>
      <c r="N1108" s="5" t="s">
        <v>3053</v>
      </c>
      <c r="O1108" s="5" t="s">
        <v>2467</v>
      </c>
      <c r="P1108" s="5" t="s">
        <v>85</v>
      </c>
      <c r="Q1108" s="5" t="s">
        <v>86</v>
      </c>
      <c r="R1108" s="5" t="s">
        <v>85</v>
      </c>
      <c r="T1108" s="390">
        <v>3</v>
      </c>
      <c r="U1108" s="5" t="s">
        <v>97</v>
      </c>
      <c r="W1108" s="5" t="s">
        <v>2468</v>
      </c>
      <c r="X1108" s="5" t="s">
        <v>102</v>
      </c>
      <c r="AA1108" s="5" t="s">
        <v>85</v>
      </c>
      <c r="AB1108" s="5" t="s">
        <v>2469</v>
      </c>
      <c r="AC1108" s="5" t="s">
        <v>2470</v>
      </c>
      <c r="AD1108" s="5" t="s">
        <v>86</v>
      </c>
      <c r="AF1108" s="5">
        <v>373</v>
      </c>
      <c r="AG1108" s="5">
        <v>6208</v>
      </c>
      <c r="AH1108" s="5" t="s">
        <v>85</v>
      </c>
      <c r="AI1108" s="5" t="s">
        <v>2471</v>
      </c>
      <c r="AJ1108" s="5">
        <v>373</v>
      </c>
      <c r="AK1108" s="5">
        <v>2350</v>
      </c>
      <c r="AL1108" s="5">
        <v>938</v>
      </c>
      <c r="AM1108" s="5">
        <v>1412</v>
      </c>
      <c r="AN1108" s="5">
        <v>11</v>
      </c>
      <c r="AO1108" s="5">
        <v>123</v>
      </c>
      <c r="AP1108" s="5">
        <v>73</v>
      </c>
      <c r="AQ1108" s="5">
        <v>166</v>
      </c>
      <c r="AR1108" s="5" t="s">
        <v>2477</v>
      </c>
      <c r="AT1108" s="5">
        <v>0</v>
      </c>
      <c r="AU1108" s="5">
        <v>0</v>
      </c>
      <c r="AX1108" s="5">
        <v>0</v>
      </c>
      <c r="AY1108" s="5" t="s">
        <v>86</v>
      </c>
      <c r="BN1108" s="5" t="s">
        <v>86</v>
      </c>
      <c r="CD1108" s="5">
        <v>0</v>
      </c>
      <c r="CF1108" s="1442" t="str">
        <f>IF([1]!sommaire[[#This Row],[présence des personnes déplacés interne]]="Oui","1","0")</f>
        <v>1</v>
      </c>
      <c r="CG1108" s="1442" t="str">
        <f>IF([1]!sommaire[[#This Row],[présence Réfugié hors camp]]="Oui","1","0")</f>
        <v>0</v>
      </c>
      <c r="CH1108" s="1442" t="str">
        <f>IF([1]!sommaire[[#This Row],[présence personnes retournées]]="Oui","1","0")</f>
        <v>0</v>
      </c>
      <c r="CI1108" s="1442">
        <f>[1]!sommaire[[#This Row],[Flag PDI]]+[1]!sommaire[[#This Row],[Flag REF]]+[1]!sommaire[[#This Row],[Flag RET]]</f>
        <v>1</v>
      </c>
    </row>
    <row r="1109" spans="1:87" ht="14.55" customHeight="1" x14ac:dyDescent="0.3">
      <c r="A1109" s="390">
        <v>2622383</v>
      </c>
      <c r="B1109" s="5" t="s">
        <v>533</v>
      </c>
      <c r="C1109" s="1430" t="s">
        <v>3449</v>
      </c>
      <c r="D1109" s="1090" t="s">
        <v>534</v>
      </c>
      <c r="E1109" s="5" t="s">
        <v>35</v>
      </c>
      <c r="F1109" s="5" t="s">
        <v>35</v>
      </c>
      <c r="G1109" s="5" t="s">
        <v>567</v>
      </c>
      <c r="H1109" s="5" t="s">
        <v>192</v>
      </c>
      <c r="I1109" s="5" t="str">
        <f>_xlfn.XLOOKUP(sommaire[[#This Row],[Arrondissement_code]],OCHA_GIS!$F:$F,OCHA_GIS!$E:$E,,)</f>
        <v>Koza</v>
      </c>
      <c r="J1109" s="5" t="s">
        <v>853</v>
      </c>
      <c r="K1109" t="s">
        <v>1525</v>
      </c>
      <c r="L1109" s="5" t="s">
        <v>1317</v>
      </c>
      <c r="N1109" s="5" t="s">
        <v>3053</v>
      </c>
      <c r="O1109" s="5" t="s">
        <v>2467</v>
      </c>
      <c r="P1109" s="5" t="s">
        <v>85</v>
      </c>
      <c r="Q1109" s="5" t="s">
        <v>86</v>
      </c>
      <c r="R1109" s="5" t="s">
        <v>86</v>
      </c>
      <c r="T1109" s="390">
        <v>3</v>
      </c>
      <c r="U1109" s="5" t="s">
        <v>97</v>
      </c>
      <c r="W1109" s="5" t="s">
        <v>2468</v>
      </c>
      <c r="X1109" s="5" t="s">
        <v>102</v>
      </c>
      <c r="AA1109" s="586" t="s">
        <v>85</v>
      </c>
      <c r="AB1109" s="5" t="s">
        <v>2469</v>
      </c>
      <c r="AC1109" s="5" t="s">
        <v>312</v>
      </c>
      <c r="AD1109" s="5" t="s">
        <v>86</v>
      </c>
      <c r="AF1109" s="5">
        <v>129</v>
      </c>
      <c r="AG1109" s="5">
        <v>1058</v>
      </c>
      <c r="AH1109" s="5" t="s">
        <v>85</v>
      </c>
      <c r="AI1109" s="5" t="s">
        <v>2485</v>
      </c>
      <c r="AJ1109" s="5">
        <v>129</v>
      </c>
      <c r="AK1109" s="5">
        <v>667</v>
      </c>
      <c r="AL1109" s="5">
        <v>289</v>
      </c>
      <c r="AM1109" s="5">
        <v>378</v>
      </c>
      <c r="AN1109" s="5">
        <v>29</v>
      </c>
      <c r="AO1109" s="5">
        <v>76</v>
      </c>
      <c r="AP1109" s="5">
        <v>8</v>
      </c>
      <c r="AQ1109" s="5">
        <v>16</v>
      </c>
      <c r="AR1109" s="5" t="s">
        <v>2477</v>
      </c>
      <c r="AT1109" s="5">
        <v>0</v>
      </c>
      <c r="AU1109" s="5">
        <v>0</v>
      </c>
      <c r="AX1109" s="5">
        <v>0</v>
      </c>
      <c r="AY1109" s="5" t="s">
        <v>86</v>
      </c>
      <c r="BN1109" s="5" t="s">
        <v>85</v>
      </c>
      <c r="BO1109" s="5">
        <v>10</v>
      </c>
      <c r="BP1109" s="5">
        <v>101</v>
      </c>
      <c r="BQ1109" s="5">
        <v>29</v>
      </c>
      <c r="BR1109" s="5">
        <v>72</v>
      </c>
      <c r="BS1109" s="5" t="s">
        <v>2492</v>
      </c>
      <c r="BT1109" s="5">
        <v>2</v>
      </c>
      <c r="BU1109" s="5">
        <v>4</v>
      </c>
      <c r="BV1109" s="5">
        <v>3</v>
      </c>
      <c r="BW1109" s="5">
        <v>0</v>
      </c>
      <c r="BX1109" s="5">
        <v>1</v>
      </c>
      <c r="BY1109" s="5" t="s">
        <v>2472</v>
      </c>
      <c r="BZ1109" s="5">
        <v>0</v>
      </c>
      <c r="CA1109" s="5">
        <v>0</v>
      </c>
      <c r="CC1109" s="5">
        <v>0</v>
      </c>
      <c r="CD1109" s="5">
        <v>0</v>
      </c>
      <c r="CF1109" s="1442" t="str">
        <f>IF([1]!sommaire[[#This Row],[présence des personnes déplacés interne]]="Oui","1","0")</f>
        <v>1</v>
      </c>
      <c r="CG1109" s="1442" t="str">
        <f>IF([1]!sommaire[[#This Row],[présence Réfugié hors camp]]="Oui","1","0")</f>
        <v>0</v>
      </c>
      <c r="CH1109" s="1442" t="str">
        <f>IF([1]!sommaire[[#This Row],[présence personnes retournées]]="Oui","1","0")</f>
        <v>1</v>
      </c>
      <c r="CI1109" s="1442">
        <f>[1]!sommaire[[#This Row],[Flag PDI]]+[1]!sommaire[[#This Row],[Flag REF]]+[1]!sommaire[[#This Row],[Flag RET]]</f>
        <v>2</v>
      </c>
    </row>
    <row r="1110" spans="1:87" ht="14.55" customHeight="1" x14ac:dyDescent="0.3">
      <c r="A1110" s="390">
        <v>2645487</v>
      </c>
      <c r="B1110" s="5" t="s">
        <v>533</v>
      </c>
      <c r="C1110" s="1430" t="s">
        <v>3449</v>
      </c>
      <c r="D1110" s="1090" t="s">
        <v>534</v>
      </c>
      <c r="E1110" s="5" t="s">
        <v>35</v>
      </c>
      <c r="F1110" s="5" t="s">
        <v>35</v>
      </c>
      <c r="G1110" s="5" t="s">
        <v>567</v>
      </c>
      <c r="H1110" s="5" t="s">
        <v>192</v>
      </c>
      <c r="I1110" s="5" t="str">
        <f>_xlfn.XLOOKUP(sommaire[[#This Row],[Arrondissement_code]],OCHA_GIS!$F:$F,OCHA_GIS!$E:$E,,)</f>
        <v>Koza</v>
      </c>
      <c r="J1110" s="5" t="s">
        <v>853</v>
      </c>
      <c r="K1110" t="s">
        <v>897</v>
      </c>
      <c r="L1110" s="5" t="s">
        <v>1638</v>
      </c>
      <c r="N1110" s="5" t="s">
        <v>3053</v>
      </c>
      <c r="O1110" s="5" t="s">
        <v>2467</v>
      </c>
      <c r="P1110" s="5" t="s">
        <v>85</v>
      </c>
      <c r="Q1110" s="5" t="s">
        <v>86</v>
      </c>
      <c r="R1110" s="5" t="s">
        <v>85</v>
      </c>
      <c r="T1110" s="390">
        <v>3</v>
      </c>
      <c r="U1110" s="5" t="s">
        <v>97</v>
      </c>
      <c r="W1110" s="5" t="s">
        <v>2468</v>
      </c>
      <c r="X1110" s="5" t="s">
        <v>102</v>
      </c>
      <c r="AA1110" s="5" t="s">
        <v>85</v>
      </c>
      <c r="AB1110" s="5" t="s">
        <v>2469</v>
      </c>
      <c r="AC1110" s="5" t="s">
        <v>2470</v>
      </c>
      <c r="AD1110" s="5" t="s">
        <v>86</v>
      </c>
      <c r="AF1110" s="5">
        <v>57</v>
      </c>
      <c r="AG1110" s="5">
        <v>3003</v>
      </c>
      <c r="AH1110" s="5" t="s">
        <v>85</v>
      </c>
      <c r="AI1110" s="5" t="s">
        <v>2485</v>
      </c>
      <c r="AJ1110" s="5">
        <v>57</v>
      </c>
      <c r="AK1110" s="5">
        <v>739</v>
      </c>
      <c r="AL1110" s="5">
        <v>297</v>
      </c>
      <c r="AM1110" s="5">
        <v>442</v>
      </c>
      <c r="AN1110" s="5">
        <v>7</v>
      </c>
      <c r="AO1110" s="5">
        <v>39</v>
      </c>
      <c r="AP1110" s="5">
        <v>6</v>
      </c>
      <c r="AQ1110" s="5">
        <v>5</v>
      </c>
      <c r="AR1110" s="5" t="s">
        <v>2477</v>
      </c>
      <c r="AT1110" s="5">
        <v>0</v>
      </c>
      <c r="AU1110" s="5">
        <v>0</v>
      </c>
      <c r="AX1110" s="5">
        <v>0</v>
      </c>
      <c r="AY1110" s="5" t="s">
        <v>86</v>
      </c>
      <c r="BN1110" s="5" t="s">
        <v>85</v>
      </c>
      <c r="BO1110" s="5">
        <v>7</v>
      </c>
      <c r="BP1110" s="5">
        <v>31</v>
      </c>
      <c r="BQ1110" s="5">
        <v>12</v>
      </c>
      <c r="BR1110" s="5">
        <v>19</v>
      </c>
      <c r="BS1110" s="5" t="s">
        <v>2492</v>
      </c>
      <c r="BT1110" s="5">
        <v>0</v>
      </c>
      <c r="BU1110" s="5">
        <v>4</v>
      </c>
      <c r="BV1110" s="5">
        <v>3</v>
      </c>
      <c r="BW1110" s="5">
        <v>0</v>
      </c>
      <c r="BX1110" s="5">
        <v>0</v>
      </c>
      <c r="BZ1110" s="5">
        <v>0</v>
      </c>
      <c r="CA1110" s="5">
        <v>0</v>
      </c>
      <c r="CC1110" s="5">
        <v>0</v>
      </c>
      <c r="CD1110" s="5">
        <v>0</v>
      </c>
      <c r="CF1110" s="1442" t="str">
        <f>IF([1]!sommaire[[#This Row],[présence des personnes déplacés interne]]="Oui","1","0")</f>
        <v>1</v>
      </c>
      <c r="CG1110" s="1442" t="str">
        <f>IF([1]!sommaire[[#This Row],[présence Réfugié hors camp]]="Oui","1","0")</f>
        <v>0</v>
      </c>
      <c r="CH1110" s="1442" t="str">
        <f>IF([1]!sommaire[[#This Row],[présence personnes retournées]]="Oui","1","0")</f>
        <v>1</v>
      </c>
      <c r="CI1110" s="1442">
        <f>[1]!sommaire[[#This Row],[Flag PDI]]+[1]!sommaire[[#This Row],[Flag REF]]+[1]!sommaire[[#This Row],[Flag RET]]</f>
        <v>2</v>
      </c>
    </row>
    <row r="1111" spans="1:87" ht="14.55" customHeight="1" x14ac:dyDescent="0.3">
      <c r="A1111" s="390">
        <v>2622398</v>
      </c>
      <c r="B1111" s="5" t="s">
        <v>533</v>
      </c>
      <c r="C1111" s="1430" t="s">
        <v>3449</v>
      </c>
      <c r="D1111" s="1090" t="s">
        <v>534</v>
      </c>
      <c r="E1111" s="5" t="s">
        <v>35</v>
      </c>
      <c r="F1111" s="5" t="s">
        <v>35</v>
      </c>
      <c r="G1111" s="5" t="s">
        <v>567</v>
      </c>
      <c r="H1111" s="5" t="s">
        <v>192</v>
      </c>
      <c r="I1111" s="5" t="str">
        <f>_xlfn.XLOOKUP(sommaire[[#This Row],[Arrondissement_code]],OCHA_GIS!$F:$F,OCHA_GIS!$E:$E,,)</f>
        <v>Koza</v>
      </c>
      <c r="J1111" s="5" t="s">
        <v>853</v>
      </c>
      <c r="K1111" t="s">
        <v>902</v>
      </c>
      <c r="L1111" s="5" t="s">
        <v>1391</v>
      </c>
      <c r="N1111" s="5" t="s">
        <v>3053</v>
      </c>
      <c r="O1111" s="5" t="s">
        <v>2467</v>
      </c>
      <c r="P1111" s="5" t="s">
        <v>86</v>
      </c>
      <c r="Q1111" s="5" t="s">
        <v>85</v>
      </c>
      <c r="R1111" s="5" t="s">
        <v>86</v>
      </c>
      <c r="S1111" s="390">
        <v>6</v>
      </c>
      <c r="U1111" s="5" t="s">
        <v>97</v>
      </c>
      <c r="W1111" s="5" t="s">
        <v>2468</v>
      </c>
      <c r="X1111" s="5" t="s">
        <v>102</v>
      </c>
      <c r="AA1111" s="5" t="s">
        <v>85</v>
      </c>
      <c r="AB1111" s="5" t="s">
        <v>2469</v>
      </c>
      <c r="AC1111" s="5" t="s">
        <v>312</v>
      </c>
      <c r="AD1111" s="1090" t="s">
        <v>86</v>
      </c>
      <c r="AF1111" s="5">
        <v>133</v>
      </c>
      <c r="AG1111" s="5">
        <v>3324</v>
      </c>
      <c r="AH1111" s="5" t="s">
        <v>85</v>
      </c>
      <c r="AI1111" s="5" t="s">
        <v>2485</v>
      </c>
      <c r="AJ1111" s="5">
        <v>133</v>
      </c>
      <c r="AK1111" s="5">
        <v>640</v>
      </c>
      <c r="AL1111" s="5">
        <v>255</v>
      </c>
      <c r="AM1111" s="5">
        <v>385</v>
      </c>
      <c r="AN1111" s="5">
        <v>17</v>
      </c>
      <c r="AO1111" s="5">
        <v>106</v>
      </c>
      <c r="AP1111" s="5">
        <v>1</v>
      </c>
      <c r="AQ1111" s="5">
        <v>9</v>
      </c>
      <c r="AR1111" s="5" t="s">
        <v>2477</v>
      </c>
      <c r="AT1111" s="5">
        <v>0</v>
      </c>
      <c r="AU1111" s="5">
        <v>0</v>
      </c>
      <c r="AX1111" s="5">
        <v>0</v>
      </c>
      <c r="AY1111" s="5" t="s">
        <v>86</v>
      </c>
      <c r="BN1111" s="5" t="s">
        <v>85</v>
      </c>
      <c r="BO1111" s="5">
        <v>4</v>
      </c>
      <c r="BP1111" s="5">
        <v>20</v>
      </c>
      <c r="BQ1111" s="5">
        <v>9</v>
      </c>
      <c r="BR1111" s="5">
        <v>11</v>
      </c>
      <c r="BS1111" s="5" t="s">
        <v>2535</v>
      </c>
      <c r="BT1111" s="5">
        <v>2</v>
      </c>
      <c r="BU1111" s="5">
        <v>1</v>
      </c>
      <c r="BV1111" s="5">
        <v>1</v>
      </c>
      <c r="BW1111" s="5">
        <v>0</v>
      </c>
      <c r="BX1111" s="5">
        <v>0</v>
      </c>
      <c r="BZ1111" s="5">
        <v>0</v>
      </c>
      <c r="CA1111" s="5">
        <v>0</v>
      </c>
      <c r="CC1111" s="5">
        <v>0</v>
      </c>
      <c r="CD1111" s="5">
        <v>0</v>
      </c>
      <c r="CF1111" s="1442" t="str">
        <f>IF([1]!sommaire[[#This Row],[présence des personnes déplacés interne]]="Oui","1","0")</f>
        <v>1</v>
      </c>
      <c r="CG1111" s="1442" t="str">
        <f>IF([1]!sommaire[[#This Row],[présence Réfugié hors camp]]="Oui","1","0")</f>
        <v>0</v>
      </c>
      <c r="CH1111" s="1442" t="str">
        <f>IF([1]!sommaire[[#This Row],[présence personnes retournées]]="Oui","1","0")</f>
        <v>1</v>
      </c>
      <c r="CI1111" s="1442">
        <f>[1]!sommaire[[#This Row],[Flag PDI]]+[1]!sommaire[[#This Row],[Flag REF]]+[1]!sommaire[[#This Row],[Flag RET]]</f>
        <v>2</v>
      </c>
    </row>
    <row r="1112" spans="1:87" ht="14.55" customHeight="1" x14ac:dyDescent="0.3">
      <c r="A1112" s="390">
        <v>2622399</v>
      </c>
      <c r="B1112" s="5" t="s">
        <v>533</v>
      </c>
      <c r="C1112" s="1430" t="s">
        <v>3449</v>
      </c>
      <c r="D1112" s="1090" t="s">
        <v>534</v>
      </c>
      <c r="E1112" s="5" t="s">
        <v>35</v>
      </c>
      <c r="F1112" s="5" t="s">
        <v>35</v>
      </c>
      <c r="G1112" s="5" t="s">
        <v>567</v>
      </c>
      <c r="H1112" s="5" t="s">
        <v>192</v>
      </c>
      <c r="I1112" s="5" t="str">
        <f>_xlfn.XLOOKUP(sommaire[[#This Row],[Arrondissement_code]],OCHA_GIS!$F:$F,OCHA_GIS!$E:$E,,)</f>
        <v>Koza</v>
      </c>
      <c r="J1112" s="5" t="s">
        <v>853</v>
      </c>
      <c r="K1112" t="s">
        <v>949</v>
      </c>
      <c r="L1112" s="5" t="s">
        <v>1171</v>
      </c>
      <c r="N1112" s="5" t="s">
        <v>3053</v>
      </c>
      <c r="O1112" s="5" t="s">
        <v>2467</v>
      </c>
      <c r="P1112" s="5" t="s">
        <v>85</v>
      </c>
      <c r="Q1112" s="5" t="s">
        <v>86</v>
      </c>
      <c r="R1112" s="5" t="s">
        <v>86</v>
      </c>
      <c r="T1112" s="390">
        <v>3</v>
      </c>
      <c r="U1112" s="5" t="s">
        <v>97</v>
      </c>
      <c r="W1112" s="5" t="s">
        <v>2468</v>
      </c>
      <c r="X1112" s="5" t="s">
        <v>102</v>
      </c>
      <c r="AA1112" s="5" t="s">
        <v>85</v>
      </c>
      <c r="AB1112" s="5" t="s">
        <v>2469</v>
      </c>
      <c r="AC1112" s="5" t="s">
        <v>312</v>
      </c>
      <c r="AD1112" s="5" t="s">
        <v>86</v>
      </c>
      <c r="AF1112" s="5">
        <v>50</v>
      </c>
      <c r="AG1112" s="5">
        <v>1940</v>
      </c>
      <c r="AH1112" s="5" t="s">
        <v>85</v>
      </c>
      <c r="AI1112" s="5" t="s">
        <v>2471</v>
      </c>
      <c r="AJ1112" s="5">
        <v>50</v>
      </c>
      <c r="AK1112" s="5">
        <v>266</v>
      </c>
      <c r="AL1112" s="5">
        <v>120</v>
      </c>
      <c r="AM1112" s="5">
        <v>146</v>
      </c>
      <c r="AN1112" s="5">
        <v>19</v>
      </c>
      <c r="AO1112" s="5">
        <v>29</v>
      </c>
      <c r="AP1112" s="5">
        <v>0</v>
      </c>
      <c r="AQ1112" s="5">
        <v>2</v>
      </c>
      <c r="AR1112" s="5" t="s">
        <v>383</v>
      </c>
      <c r="AS1112" s="5" t="s">
        <v>3218</v>
      </c>
      <c r="AT1112" s="5">
        <v>0</v>
      </c>
      <c r="AU1112" s="5">
        <v>0</v>
      </c>
      <c r="AX1112" s="5">
        <v>0</v>
      </c>
      <c r="AY1112" s="5" t="s">
        <v>86</v>
      </c>
      <c r="BN1112" s="5" t="s">
        <v>85</v>
      </c>
      <c r="BO1112" s="5">
        <v>12</v>
      </c>
      <c r="BP1112" s="5">
        <v>55</v>
      </c>
      <c r="BQ1112" s="5">
        <v>20</v>
      </c>
      <c r="BR1112" s="5">
        <v>35</v>
      </c>
      <c r="BS1112" s="5" t="s">
        <v>2492</v>
      </c>
      <c r="BT1112" s="5">
        <v>4</v>
      </c>
      <c r="BU1112" s="5">
        <v>5</v>
      </c>
      <c r="BV1112" s="5">
        <v>3</v>
      </c>
      <c r="BW1112" s="5">
        <v>0</v>
      </c>
      <c r="BX1112" s="5">
        <v>0</v>
      </c>
      <c r="BZ1112" s="5">
        <v>0</v>
      </c>
      <c r="CA1112" s="5">
        <v>0</v>
      </c>
      <c r="CC1112" s="5">
        <v>0</v>
      </c>
      <c r="CD1112" s="5">
        <v>0</v>
      </c>
      <c r="CF1112" s="1442" t="str">
        <f>IF([1]!sommaire[[#This Row],[présence des personnes déplacés interne]]="Oui","1","0")</f>
        <v>1</v>
      </c>
      <c r="CG1112" s="1442" t="str">
        <f>IF([1]!sommaire[[#This Row],[présence Réfugié hors camp]]="Oui","1","0")</f>
        <v>0</v>
      </c>
      <c r="CH1112" s="1442" t="str">
        <f>IF([1]!sommaire[[#This Row],[présence personnes retournées]]="Oui","1","0")</f>
        <v>1</v>
      </c>
      <c r="CI1112" s="1442">
        <f>[1]!sommaire[[#This Row],[Flag PDI]]+[1]!sommaire[[#This Row],[Flag REF]]+[1]!sommaire[[#This Row],[Flag RET]]</f>
        <v>2</v>
      </c>
    </row>
    <row r="1113" spans="1:87" ht="14.55" customHeight="1" x14ac:dyDescent="0.3">
      <c r="A1113" s="390">
        <v>2632157</v>
      </c>
      <c r="B1113" s="5" t="s">
        <v>533</v>
      </c>
      <c r="C1113" s="1430" t="s">
        <v>3449</v>
      </c>
      <c r="D1113" s="1090" t="s">
        <v>534</v>
      </c>
      <c r="E1113" s="5" t="s">
        <v>35</v>
      </c>
      <c r="F1113" s="5" t="s">
        <v>35</v>
      </c>
      <c r="G1113" s="5" t="s">
        <v>567</v>
      </c>
      <c r="H1113" s="5" t="s">
        <v>192</v>
      </c>
      <c r="I1113" s="5" t="str">
        <f>_xlfn.XLOOKUP(sommaire[[#This Row],[Arrondissement_code]],OCHA_GIS!$F:$F,OCHA_GIS!$E:$E,,)</f>
        <v>Koza</v>
      </c>
      <c r="J1113" s="5" t="s">
        <v>853</v>
      </c>
      <c r="K1113" t="s">
        <v>1515</v>
      </c>
      <c r="L1113" s="5" t="s">
        <v>1034</v>
      </c>
      <c r="N1113" s="5" t="s">
        <v>3053</v>
      </c>
      <c r="O1113" s="5" t="s">
        <v>2467</v>
      </c>
      <c r="P1113" s="5" t="s">
        <v>85</v>
      </c>
      <c r="Q1113" s="5" t="s">
        <v>86</v>
      </c>
      <c r="R1113" s="5" t="s">
        <v>85</v>
      </c>
      <c r="T1113" s="390">
        <v>3</v>
      </c>
      <c r="U1113" s="5" t="s">
        <v>97</v>
      </c>
      <c r="W1113" s="5" t="s">
        <v>2468</v>
      </c>
      <c r="X1113" s="5" t="s">
        <v>102</v>
      </c>
      <c r="AA1113" s="5" t="s">
        <v>85</v>
      </c>
      <c r="AB1113" s="5" t="s">
        <v>2469</v>
      </c>
      <c r="AC1113" s="5" t="s">
        <v>2470</v>
      </c>
      <c r="AD1113" s="5" t="s">
        <v>86</v>
      </c>
      <c r="AF1113" s="5">
        <v>115</v>
      </c>
      <c r="AG1113" s="5">
        <v>833</v>
      </c>
      <c r="AH1113" s="5" t="s">
        <v>85</v>
      </c>
      <c r="AI1113" s="5" t="s">
        <v>2471</v>
      </c>
      <c r="AJ1113" s="5">
        <v>115</v>
      </c>
      <c r="AK1113" s="5">
        <v>636</v>
      </c>
      <c r="AL1113" s="5">
        <v>217</v>
      </c>
      <c r="AM1113" s="5">
        <v>419</v>
      </c>
      <c r="AN1113" s="5">
        <v>4</v>
      </c>
      <c r="AO1113" s="5">
        <v>99</v>
      </c>
      <c r="AP1113" s="5">
        <v>0</v>
      </c>
      <c r="AQ1113" s="5">
        <v>12</v>
      </c>
      <c r="AR1113" s="5" t="s">
        <v>2477</v>
      </c>
      <c r="AT1113" s="5">
        <v>0</v>
      </c>
      <c r="AU1113" s="5">
        <v>0</v>
      </c>
      <c r="AX1113" s="5">
        <v>0</v>
      </c>
      <c r="AY1113" s="5" t="s">
        <v>86</v>
      </c>
      <c r="BN1113" s="5" t="s">
        <v>86</v>
      </c>
      <c r="CD1113" s="5">
        <v>0</v>
      </c>
      <c r="CF1113" s="1442" t="str">
        <f>IF([1]!sommaire[[#This Row],[présence des personnes déplacés interne]]="Oui","1","0")</f>
        <v>1</v>
      </c>
      <c r="CG1113" s="1442" t="str">
        <f>IF([1]!sommaire[[#This Row],[présence Réfugié hors camp]]="Oui","1","0")</f>
        <v>0</v>
      </c>
      <c r="CH1113" s="1442" t="str">
        <f>IF([1]!sommaire[[#This Row],[présence personnes retournées]]="Oui","1","0")</f>
        <v>0</v>
      </c>
      <c r="CI1113" s="1442">
        <f>[1]!sommaire[[#This Row],[Flag PDI]]+[1]!sommaire[[#This Row],[Flag REF]]+[1]!sommaire[[#This Row],[Flag RET]]</f>
        <v>1</v>
      </c>
    </row>
    <row r="1114" spans="1:87" ht="14.55" customHeight="1" x14ac:dyDescent="0.3">
      <c r="A1114" s="390">
        <v>2622392</v>
      </c>
      <c r="B1114" s="5" t="s">
        <v>533</v>
      </c>
      <c r="C1114" s="1430" t="s">
        <v>3449</v>
      </c>
      <c r="D1114" s="1090" t="s">
        <v>534</v>
      </c>
      <c r="E1114" s="5" t="s">
        <v>35</v>
      </c>
      <c r="F1114" s="5" t="s">
        <v>35</v>
      </c>
      <c r="G1114" s="5" t="s">
        <v>567</v>
      </c>
      <c r="H1114" s="5" t="s">
        <v>192</v>
      </c>
      <c r="I1114" s="5" t="str">
        <f>_xlfn.XLOOKUP(sommaire[[#This Row],[Arrondissement_code]],OCHA_GIS!$F:$F,OCHA_GIS!$E:$E,,)</f>
        <v>Koza</v>
      </c>
      <c r="J1114" s="5" t="s">
        <v>853</v>
      </c>
      <c r="K1114" t="s">
        <v>943</v>
      </c>
      <c r="L1114" s="5" t="s">
        <v>989</v>
      </c>
      <c r="N1114" s="5" t="s">
        <v>3053</v>
      </c>
      <c r="O1114" s="5" t="s">
        <v>2467</v>
      </c>
      <c r="P1114" s="5" t="s">
        <v>85</v>
      </c>
      <c r="Q1114" s="5" t="s">
        <v>86</v>
      </c>
      <c r="R1114" s="5" t="s">
        <v>86</v>
      </c>
      <c r="T1114" s="390">
        <v>3</v>
      </c>
      <c r="U1114" s="5" t="s">
        <v>97</v>
      </c>
      <c r="W1114" s="5" t="s">
        <v>2468</v>
      </c>
      <c r="X1114" s="5" t="s">
        <v>103</v>
      </c>
      <c r="Y1114" s="5" t="s">
        <v>2511</v>
      </c>
      <c r="AA1114" s="5" t="s">
        <v>85</v>
      </c>
      <c r="AB1114" s="5" t="s">
        <v>2469</v>
      </c>
      <c r="AC1114" s="5" t="s">
        <v>312</v>
      </c>
      <c r="AD1114" s="5" t="s">
        <v>86</v>
      </c>
      <c r="AF1114" s="5">
        <v>161</v>
      </c>
      <c r="AG1114" s="5">
        <v>3129</v>
      </c>
      <c r="AH1114" s="5" t="s">
        <v>85</v>
      </c>
      <c r="AI1114" s="5" t="s">
        <v>2471</v>
      </c>
      <c r="AJ1114" s="5">
        <v>161</v>
      </c>
      <c r="AK1114" s="5">
        <v>1177</v>
      </c>
      <c r="AL1114" s="5">
        <v>321</v>
      </c>
      <c r="AM1114" s="5">
        <v>856</v>
      </c>
      <c r="AN1114" s="5">
        <v>26</v>
      </c>
      <c r="AO1114" s="5">
        <v>117</v>
      </c>
      <c r="AP1114" s="5">
        <v>12</v>
      </c>
      <c r="AQ1114" s="5">
        <v>6</v>
      </c>
      <c r="AR1114" s="5" t="s">
        <v>2477</v>
      </c>
      <c r="AT1114" s="5">
        <v>0</v>
      </c>
      <c r="AU1114" s="5">
        <v>0</v>
      </c>
      <c r="AX1114" s="5">
        <v>0</v>
      </c>
      <c r="AY1114" s="5" t="s">
        <v>86</v>
      </c>
      <c r="BN1114" s="5" t="s">
        <v>85</v>
      </c>
      <c r="BO1114" s="5">
        <v>3</v>
      </c>
      <c r="BP1114" s="5">
        <v>12</v>
      </c>
      <c r="BQ1114" s="5">
        <v>5</v>
      </c>
      <c r="BR1114" s="5">
        <v>7</v>
      </c>
      <c r="BS1114" s="5" t="s">
        <v>2535</v>
      </c>
      <c r="BT1114" s="5">
        <v>1</v>
      </c>
      <c r="BU1114" s="5">
        <v>0</v>
      </c>
      <c r="BV1114" s="5">
        <v>2</v>
      </c>
      <c r="BW1114" s="5">
        <v>0</v>
      </c>
      <c r="BX1114" s="5">
        <v>0</v>
      </c>
      <c r="BZ1114" s="5">
        <v>0</v>
      </c>
      <c r="CA1114" s="5">
        <v>0</v>
      </c>
      <c r="CC1114" s="5">
        <v>0</v>
      </c>
      <c r="CD1114" s="5">
        <v>0</v>
      </c>
      <c r="CF1114" s="1442" t="str">
        <f>IF([1]!sommaire[[#This Row],[présence des personnes déplacés interne]]="Oui","1","0")</f>
        <v>1</v>
      </c>
      <c r="CG1114" s="1442" t="str">
        <f>IF([1]!sommaire[[#This Row],[présence Réfugié hors camp]]="Oui","1","0")</f>
        <v>0</v>
      </c>
      <c r="CH1114" s="1442" t="str">
        <f>IF([1]!sommaire[[#This Row],[présence personnes retournées]]="Oui","1","0")</f>
        <v>1</v>
      </c>
      <c r="CI1114" s="1442">
        <f>[1]!sommaire[[#This Row],[Flag PDI]]+[1]!sommaire[[#This Row],[Flag REF]]+[1]!sommaire[[#This Row],[Flag RET]]</f>
        <v>2</v>
      </c>
    </row>
    <row r="1115" spans="1:87" ht="14.55" customHeight="1" x14ac:dyDescent="0.3">
      <c r="A1115" s="390">
        <v>2632153</v>
      </c>
      <c r="B1115" s="5" t="s">
        <v>533</v>
      </c>
      <c r="C1115" s="1430" t="s">
        <v>3449</v>
      </c>
      <c r="D1115" s="1090" t="s">
        <v>534</v>
      </c>
      <c r="E1115" s="5" t="s">
        <v>35</v>
      </c>
      <c r="F1115" s="5" t="s">
        <v>35</v>
      </c>
      <c r="G1115" s="5" t="s">
        <v>567</v>
      </c>
      <c r="H1115" s="5" t="s">
        <v>192</v>
      </c>
      <c r="I1115" s="5" t="str">
        <f>_xlfn.XLOOKUP(sommaire[[#This Row],[Arrondissement_code]],OCHA_GIS!$F:$F,OCHA_GIS!$E:$E,,)</f>
        <v>Koza</v>
      </c>
      <c r="J1115" s="5" t="s">
        <v>853</v>
      </c>
      <c r="K1115" t="s">
        <v>2947</v>
      </c>
      <c r="L1115" s="5" t="s">
        <v>900</v>
      </c>
      <c r="N1115" s="5" t="s">
        <v>3053</v>
      </c>
      <c r="O1115" s="5" t="s">
        <v>2467</v>
      </c>
      <c r="P1115" s="5" t="s">
        <v>85</v>
      </c>
      <c r="Q1115" s="5" t="s">
        <v>86</v>
      </c>
      <c r="R1115" s="5" t="s">
        <v>85</v>
      </c>
      <c r="T1115" s="390">
        <v>3</v>
      </c>
      <c r="U1115" s="5" t="s">
        <v>97</v>
      </c>
      <c r="W1115" s="5" t="s">
        <v>2468</v>
      </c>
      <c r="X1115" s="5" t="s">
        <v>102</v>
      </c>
      <c r="AA1115" s="5" t="s">
        <v>85</v>
      </c>
      <c r="AB1115" s="5" t="s">
        <v>2469</v>
      </c>
      <c r="AC1115" s="5" t="s">
        <v>2470</v>
      </c>
      <c r="AD1115" s="5" t="s">
        <v>86</v>
      </c>
      <c r="AF1115" s="5">
        <v>162</v>
      </c>
      <c r="AG1115" s="5">
        <v>2804</v>
      </c>
      <c r="AH1115" s="5" t="s">
        <v>85</v>
      </c>
      <c r="AI1115" s="5" t="s">
        <v>2485</v>
      </c>
      <c r="AJ1115" s="5">
        <v>162</v>
      </c>
      <c r="AK1115" s="5">
        <v>1069</v>
      </c>
      <c r="AL1115" s="5">
        <v>416</v>
      </c>
      <c r="AM1115" s="5">
        <v>653</v>
      </c>
      <c r="AN1115" s="5">
        <v>17</v>
      </c>
      <c r="AO1115" s="5">
        <v>113</v>
      </c>
      <c r="AP1115" s="5">
        <v>12</v>
      </c>
      <c r="AQ1115" s="5">
        <v>20</v>
      </c>
      <c r="AR1115" s="5" t="s">
        <v>2477</v>
      </c>
      <c r="AT1115" s="5">
        <v>0</v>
      </c>
      <c r="AU1115" s="5">
        <v>0</v>
      </c>
      <c r="AX1115" s="5">
        <v>0</v>
      </c>
      <c r="AY1115" s="5" t="s">
        <v>86</v>
      </c>
      <c r="BN1115" s="5" t="s">
        <v>85</v>
      </c>
      <c r="BO1115" s="5">
        <v>3</v>
      </c>
      <c r="BP1115" s="5">
        <v>25</v>
      </c>
      <c r="BQ1115" s="5">
        <v>12</v>
      </c>
      <c r="BR1115" s="5">
        <v>13</v>
      </c>
      <c r="BS1115" s="5" t="s">
        <v>2479</v>
      </c>
      <c r="BT1115" s="5">
        <v>2</v>
      </c>
      <c r="BU1115" s="5">
        <v>1</v>
      </c>
      <c r="BV1115" s="5">
        <v>0</v>
      </c>
      <c r="BW1115" s="5">
        <v>0</v>
      </c>
      <c r="BX1115" s="5">
        <v>0</v>
      </c>
      <c r="BZ1115" s="5">
        <v>0</v>
      </c>
      <c r="CA1115" s="5">
        <v>0</v>
      </c>
      <c r="CC1115" s="5">
        <v>0</v>
      </c>
      <c r="CD1115" s="5">
        <v>0</v>
      </c>
      <c r="CF1115" s="1442" t="str">
        <f>IF([1]!sommaire[[#This Row],[présence des personnes déplacés interne]]="Oui","1","0")</f>
        <v>1</v>
      </c>
      <c r="CG1115" s="1442" t="str">
        <f>IF([1]!sommaire[[#This Row],[présence Réfugié hors camp]]="Oui","1","0")</f>
        <v>0</v>
      </c>
      <c r="CH1115" s="1442" t="str">
        <f>IF([1]!sommaire[[#This Row],[présence personnes retournées]]="Oui","1","0")</f>
        <v>1</v>
      </c>
      <c r="CI1115" s="1442">
        <f>[1]!sommaire[[#This Row],[Flag PDI]]+[1]!sommaire[[#This Row],[Flag REF]]+[1]!sommaire[[#This Row],[Flag RET]]</f>
        <v>2</v>
      </c>
    </row>
    <row r="1116" spans="1:87" ht="14.55" customHeight="1" x14ac:dyDescent="0.3">
      <c r="A1116" s="390">
        <v>2649563</v>
      </c>
      <c r="B1116" s="5" t="s">
        <v>533</v>
      </c>
      <c r="C1116" s="1430" t="s">
        <v>3449</v>
      </c>
      <c r="D1116" s="1090" t="s">
        <v>534</v>
      </c>
      <c r="E1116" s="5" t="s">
        <v>35</v>
      </c>
      <c r="F1116" s="5" t="s">
        <v>35</v>
      </c>
      <c r="G1116" s="5" t="s">
        <v>567</v>
      </c>
      <c r="H1116" s="5" t="s">
        <v>192</v>
      </c>
      <c r="I1116" s="5" t="str">
        <f>_xlfn.XLOOKUP(sommaire[[#This Row],[Arrondissement_code]],OCHA_GIS!$F:$F,OCHA_GIS!$E:$E,,)</f>
        <v>Koza</v>
      </c>
      <c r="J1116" s="5" t="s">
        <v>853</v>
      </c>
      <c r="K1116" t="s">
        <v>1390</v>
      </c>
      <c r="L1116" s="5" t="s">
        <v>1453</v>
      </c>
      <c r="N1116" s="5" t="s">
        <v>3053</v>
      </c>
      <c r="O1116" s="5" t="s">
        <v>2467</v>
      </c>
      <c r="P1116" s="5" t="s">
        <v>85</v>
      </c>
      <c r="Q1116" s="5" t="s">
        <v>86</v>
      </c>
      <c r="R1116" s="5" t="s">
        <v>85</v>
      </c>
      <c r="T1116" s="390">
        <v>4</v>
      </c>
      <c r="U1116" s="5" t="s">
        <v>97</v>
      </c>
      <c r="W1116" s="5" t="s">
        <v>2468</v>
      </c>
      <c r="X1116" s="5" t="s">
        <v>102</v>
      </c>
      <c r="AA1116" s="586" t="s">
        <v>85</v>
      </c>
      <c r="AB1116" s="5" t="s">
        <v>2469</v>
      </c>
      <c r="AC1116" s="5" t="s">
        <v>2470</v>
      </c>
      <c r="AD1116" s="5" t="s">
        <v>86</v>
      </c>
      <c r="AF1116" s="5">
        <v>77</v>
      </c>
      <c r="AG1116" s="5">
        <v>2580</v>
      </c>
      <c r="AH1116" s="5" t="s">
        <v>85</v>
      </c>
      <c r="AI1116" s="5" t="s">
        <v>2486</v>
      </c>
      <c r="AJ1116" s="5">
        <v>77</v>
      </c>
      <c r="AK1116" s="5">
        <v>437</v>
      </c>
      <c r="AL1116" s="5">
        <v>167</v>
      </c>
      <c r="AM1116" s="5">
        <v>270</v>
      </c>
      <c r="AN1116" s="5">
        <v>12</v>
      </c>
      <c r="AO1116" s="5">
        <v>65</v>
      </c>
      <c r="AP1116" s="5">
        <v>0</v>
      </c>
      <c r="AQ1116" s="5">
        <v>0</v>
      </c>
      <c r="AT1116" s="5">
        <v>0</v>
      </c>
      <c r="AU1116" s="5">
        <v>0</v>
      </c>
      <c r="AX1116" s="5">
        <v>0</v>
      </c>
      <c r="AY1116" s="5" t="s">
        <v>86</v>
      </c>
      <c r="BN1116" s="5" t="s">
        <v>85</v>
      </c>
      <c r="BO1116" s="5">
        <v>43</v>
      </c>
      <c r="BP1116" s="5">
        <v>292</v>
      </c>
      <c r="BQ1116" s="5">
        <v>139</v>
      </c>
      <c r="BR1116" s="5">
        <v>153</v>
      </c>
      <c r="BS1116" s="5" t="s">
        <v>2535</v>
      </c>
      <c r="BT1116" s="5">
        <v>22</v>
      </c>
      <c r="BU1116" s="5">
        <v>21</v>
      </c>
      <c r="BV1116" s="5">
        <v>0</v>
      </c>
      <c r="BW1116" s="5">
        <v>0</v>
      </c>
      <c r="BX1116" s="5">
        <v>0</v>
      </c>
      <c r="BZ1116" s="5">
        <v>0</v>
      </c>
      <c r="CA1116" s="5">
        <v>0</v>
      </c>
      <c r="CC1116" s="5">
        <v>0</v>
      </c>
      <c r="CD1116" s="5">
        <v>0</v>
      </c>
      <c r="CF1116" s="1442" t="str">
        <f>IF([1]!sommaire[[#This Row],[présence des personnes déplacés interne]]="Oui","1","0")</f>
        <v>1</v>
      </c>
      <c r="CG1116" s="1442" t="str">
        <f>IF([1]!sommaire[[#This Row],[présence Réfugié hors camp]]="Oui","1","0")</f>
        <v>0</v>
      </c>
      <c r="CH1116" s="1442" t="str">
        <f>IF([1]!sommaire[[#This Row],[présence personnes retournées]]="Oui","1","0")</f>
        <v>1</v>
      </c>
      <c r="CI1116" s="1442">
        <f>[1]!sommaire[[#This Row],[Flag PDI]]+[1]!sommaire[[#This Row],[Flag REF]]+[1]!sommaire[[#This Row],[Flag RET]]</f>
        <v>2</v>
      </c>
    </row>
    <row r="1117" spans="1:87" ht="14.55" customHeight="1" x14ac:dyDescent="0.3">
      <c r="A1117" s="390">
        <v>2620179</v>
      </c>
      <c r="B1117" s="5" t="s">
        <v>533</v>
      </c>
      <c r="C1117" s="1430" t="s">
        <v>3449</v>
      </c>
      <c r="D1117" s="1090" t="s">
        <v>534</v>
      </c>
      <c r="E1117" s="5" t="s">
        <v>35</v>
      </c>
      <c r="F1117" s="5" t="s">
        <v>35</v>
      </c>
      <c r="G1117" s="5" t="s">
        <v>567</v>
      </c>
      <c r="H1117" s="5" t="s">
        <v>192</v>
      </c>
      <c r="I1117" s="5" t="str">
        <f>_xlfn.XLOOKUP(sommaire[[#This Row],[Arrondissement_code]],OCHA_GIS!$F:$F,OCHA_GIS!$E:$E,,)</f>
        <v>Koza</v>
      </c>
      <c r="J1117" s="5" t="s">
        <v>853</v>
      </c>
      <c r="K1117" t="s">
        <v>2962</v>
      </c>
      <c r="L1117" s="5" t="s">
        <v>1313</v>
      </c>
      <c r="N1117" s="5" t="s">
        <v>3053</v>
      </c>
      <c r="O1117" s="5" t="s">
        <v>2467</v>
      </c>
      <c r="P1117" s="5" t="s">
        <v>85</v>
      </c>
      <c r="Q1117" s="5" t="s">
        <v>86</v>
      </c>
      <c r="R1117" s="5" t="s">
        <v>85</v>
      </c>
      <c r="T1117" s="390">
        <v>3</v>
      </c>
      <c r="U1117" s="5" t="s">
        <v>97</v>
      </c>
      <c r="W1117" s="5" t="s">
        <v>2468</v>
      </c>
      <c r="X1117" s="5" t="s">
        <v>102</v>
      </c>
      <c r="AA1117" s="5" t="s">
        <v>85</v>
      </c>
      <c r="AB1117" s="5" t="s">
        <v>2469</v>
      </c>
      <c r="AC1117" s="5" t="s">
        <v>2470</v>
      </c>
      <c r="AD1117" s="5" t="s">
        <v>86</v>
      </c>
      <c r="AF1117" s="5">
        <v>243</v>
      </c>
      <c r="AG1117" s="5">
        <v>5767</v>
      </c>
      <c r="AH1117" s="5" t="s">
        <v>85</v>
      </c>
      <c r="AI1117" s="5" t="s">
        <v>2485</v>
      </c>
      <c r="AJ1117" s="5">
        <v>243</v>
      </c>
      <c r="AK1117" s="5">
        <v>1151</v>
      </c>
      <c r="AL1117" s="5">
        <v>496</v>
      </c>
      <c r="AM1117" s="5">
        <v>655</v>
      </c>
      <c r="AN1117" s="5">
        <v>35</v>
      </c>
      <c r="AO1117" s="5">
        <v>178</v>
      </c>
      <c r="AP1117" s="5">
        <v>0</v>
      </c>
      <c r="AQ1117" s="5">
        <v>30</v>
      </c>
      <c r="AR1117" s="5" t="s">
        <v>2477</v>
      </c>
      <c r="AT1117" s="5">
        <v>0</v>
      </c>
      <c r="AU1117" s="5">
        <v>0</v>
      </c>
      <c r="AX1117" s="5">
        <v>0</v>
      </c>
      <c r="AY1117" s="5" t="s">
        <v>86</v>
      </c>
      <c r="BN1117" s="5" t="s">
        <v>85</v>
      </c>
      <c r="BO1117" s="5">
        <v>16</v>
      </c>
      <c r="BP1117" s="5">
        <v>87</v>
      </c>
      <c r="BQ1117" s="5">
        <v>32</v>
      </c>
      <c r="BR1117" s="5">
        <v>55</v>
      </c>
      <c r="BS1117" s="5" t="s">
        <v>2479</v>
      </c>
      <c r="BT1117" s="5">
        <v>3</v>
      </c>
      <c r="BU1117" s="5">
        <v>5</v>
      </c>
      <c r="BV1117" s="5">
        <v>8</v>
      </c>
      <c r="BW1117" s="5">
        <v>0</v>
      </c>
      <c r="BX1117" s="5">
        <v>0</v>
      </c>
      <c r="BZ1117" s="5">
        <v>0</v>
      </c>
      <c r="CA1117" s="5">
        <v>0</v>
      </c>
      <c r="CC1117" s="5">
        <v>0</v>
      </c>
      <c r="CD1117" s="5">
        <v>0</v>
      </c>
      <c r="CF1117" s="1442" t="str">
        <f>IF([1]!sommaire[[#This Row],[présence des personnes déplacés interne]]="Oui","1","0")</f>
        <v>1</v>
      </c>
      <c r="CG1117" s="1442" t="str">
        <f>IF([1]!sommaire[[#This Row],[présence Réfugié hors camp]]="Oui","1","0")</f>
        <v>0</v>
      </c>
      <c r="CH1117" s="1442" t="str">
        <f>IF([1]!sommaire[[#This Row],[présence personnes retournées]]="Oui","1","0")</f>
        <v>1</v>
      </c>
      <c r="CI1117" s="1442">
        <f>[1]!sommaire[[#This Row],[Flag PDI]]+[1]!sommaire[[#This Row],[Flag REF]]+[1]!sommaire[[#This Row],[Flag RET]]</f>
        <v>2</v>
      </c>
    </row>
    <row r="1118" spans="1:87" ht="14.55" customHeight="1" x14ac:dyDescent="0.3">
      <c r="A1118" s="390">
        <v>2629506</v>
      </c>
      <c r="B1118" s="5" t="s">
        <v>533</v>
      </c>
      <c r="C1118" s="1430" t="s">
        <v>3449</v>
      </c>
      <c r="D1118" s="1090" t="s">
        <v>534</v>
      </c>
      <c r="E1118" s="5" t="s">
        <v>35</v>
      </c>
      <c r="F1118" s="5" t="s">
        <v>35</v>
      </c>
      <c r="G1118" s="5" t="s">
        <v>567</v>
      </c>
      <c r="H1118" s="5" t="s">
        <v>192</v>
      </c>
      <c r="I1118" s="5" t="str">
        <f>_xlfn.XLOOKUP(sommaire[[#This Row],[Arrondissement_code]],OCHA_GIS!$F:$F,OCHA_GIS!$E:$E,,)</f>
        <v>Koza</v>
      </c>
      <c r="J1118" s="5" t="s">
        <v>853</v>
      </c>
      <c r="K1118" t="s">
        <v>899</v>
      </c>
      <c r="L1118" s="5" t="s">
        <v>1405</v>
      </c>
      <c r="N1118" s="5" t="s">
        <v>3053</v>
      </c>
      <c r="O1118" s="5" t="s">
        <v>2467</v>
      </c>
      <c r="P1118" s="5" t="s">
        <v>85</v>
      </c>
      <c r="Q1118" s="5" t="s">
        <v>86</v>
      </c>
      <c r="R1118" s="5" t="s">
        <v>86</v>
      </c>
      <c r="T1118" s="390">
        <v>3</v>
      </c>
      <c r="U1118" s="5" t="s">
        <v>97</v>
      </c>
      <c r="W1118" s="5" t="s">
        <v>2468</v>
      </c>
      <c r="X1118" s="5" t="s">
        <v>102</v>
      </c>
      <c r="AA1118" s="5" t="s">
        <v>85</v>
      </c>
      <c r="AB1118" s="5" t="s">
        <v>2469</v>
      </c>
      <c r="AC1118" s="5" t="s">
        <v>2470</v>
      </c>
      <c r="AD1118" s="5" t="s">
        <v>86</v>
      </c>
      <c r="AF1118" s="5">
        <v>289</v>
      </c>
      <c r="AG1118" s="5">
        <v>4900</v>
      </c>
      <c r="AH1118" s="5" t="s">
        <v>85</v>
      </c>
      <c r="AI1118" s="5" t="s">
        <v>2485</v>
      </c>
      <c r="AJ1118" s="5">
        <v>289</v>
      </c>
      <c r="AK1118" s="5">
        <v>1766</v>
      </c>
      <c r="AL1118" s="5">
        <v>756</v>
      </c>
      <c r="AM1118" s="5">
        <v>1010</v>
      </c>
      <c r="AN1118" s="5">
        <v>52</v>
      </c>
      <c r="AO1118" s="5">
        <v>177</v>
      </c>
      <c r="AP1118" s="5">
        <v>0</v>
      </c>
      <c r="AQ1118" s="5">
        <v>60</v>
      </c>
      <c r="AR1118" s="5" t="s">
        <v>2477</v>
      </c>
      <c r="AT1118" s="5">
        <v>0</v>
      </c>
      <c r="AU1118" s="5">
        <v>0</v>
      </c>
      <c r="AX1118" s="5">
        <v>0</v>
      </c>
      <c r="AY1118" s="5" t="s">
        <v>86</v>
      </c>
      <c r="BN1118" s="5" t="s">
        <v>86</v>
      </c>
      <c r="CD1118" s="5">
        <v>0</v>
      </c>
      <c r="CF1118" s="1442" t="str">
        <f>IF([1]!sommaire[[#This Row],[présence des personnes déplacés interne]]="Oui","1","0")</f>
        <v>1</v>
      </c>
      <c r="CG1118" s="1442" t="str">
        <f>IF([1]!sommaire[[#This Row],[présence Réfugié hors camp]]="Oui","1","0")</f>
        <v>0</v>
      </c>
      <c r="CH1118" s="1442" t="str">
        <f>IF([1]!sommaire[[#This Row],[présence personnes retournées]]="Oui","1","0")</f>
        <v>0</v>
      </c>
      <c r="CI1118" s="1442">
        <f>[1]!sommaire[[#This Row],[Flag PDI]]+[1]!sommaire[[#This Row],[Flag REF]]+[1]!sommaire[[#This Row],[Flag RET]]</f>
        <v>1</v>
      </c>
    </row>
    <row r="1119" spans="1:87" ht="14.55" customHeight="1" x14ac:dyDescent="0.3">
      <c r="A1119" s="390">
        <v>2618245</v>
      </c>
      <c r="B1119" s="5" t="s">
        <v>533</v>
      </c>
      <c r="C1119" s="1430" t="s">
        <v>3449</v>
      </c>
      <c r="D1119" s="1090" t="s">
        <v>534</v>
      </c>
      <c r="E1119" s="5" t="s">
        <v>35</v>
      </c>
      <c r="F1119" s="5" t="s">
        <v>35</v>
      </c>
      <c r="G1119" s="5" t="s">
        <v>567</v>
      </c>
      <c r="H1119" s="5" t="s">
        <v>192</v>
      </c>
      <c r="I1119" s="5" t="str">
        <f>_xlfn.XLOOKUP(sommaire[[#This Row],[Arrondissement_code]],OCHA_GIS!$F:$F,OCHA_GIS!$E:$E,,)</f>
        <v>Koza</v>
      </c>
      <c r="J1119" s="5" t="s">
        <v>853</v>
      </c>
      <c r="K1119" t="s">
        <v>1314</v>
      </c>
      <c r="L1119" s="5" t="s">
        <v>898</v>
      </c>
      <c r="N1119" s="5" t="s">
        <v>3053</v>
      </c>
      <c r="O1119" s="5" t="s">
        <v>2467</v>
      </c>
      <c r="P1119" s="5" t="s">
        <v>86</v>
      </c>
      <c r="Q1119" s="5" t="s">
        <v>86</v>
      </c>
      <c r="R1119" s="5" t="s">
        <v>85</v>
      </c>
      <c r="U1119" s="5" t="s">
        <v>98</v>
      </c>
      <c r="W1119" s="5" t="s">
        <v>2482</v>
      </c>
      <c r="AA1119" s="1255" t="s">
        <v>86</v>
      </c>
      <c r="AH1119" s="1430" t="s">
        <v>86</v>
      </c>
      <c r="AY1119" s="1430" t="s">
        <v>86</v>
      </c>
      <c r="BN1119" s="1430" t="s">
        <v>86</v>
      </c>
      <c r="CF1119" s="1442" t="str">
        <f>IF([1]!sommaire[[#This Row],[présence des personnes déplacés interne]]="Oui","1","0")</f>
        <v>0</v>
      </c>
      <c r="CG1119" s="1442" t="str">
        <f>IF([1]!sommaire[[#This Row],[présence Réfugié hors camp]]="Oui","1","0")</f>
        <v>0</v>
      </c>
      <c r="CH1119" s="1442" t="str">
        <f>IF([1]!sommaire[[#This Row],[présence personnes retournées]]="Oui","1","0")</f>
        <v>0</v>
      </c>
      <c r="CI1119" s="1442">
        <f>[1]!sommaire[[#This Row],[Flag PDI]]+[1]!sommaire[[#This Row],[Flag REF]]+[1]!sommaire[[#This Row],[Flag RET]]</f>
        <v>0</v>
      </c>
    </row>
    <row r="1120" spans="1:87" ht="14.55" customHeight="1" x14ac:dyDescent="0.3">
      <c r="A1120" s="390">
        <v>2646936</v>
      </c>
      <c r="B1120" s="5" t="s">
        <v>533</v>
      </c>
      <c r="C1120" s="1430" t="s">
        <v>3449</v>
      </c>
      <c r="D1120" s="1090" t="s">
        <v>534</v>
      </c>
      <c r="E1120" s="5" t="s">
        <v>35</v>
      </c>
      <c r="F1120" s="5" t="s">
        <v>35</v>
      </c>
      <c r="G1120" s="5" t="s">
        <v>567</v>
      </c>
      <c r="H1120" s="5" t="s">
        <v>192</v>
      </c>
      <c r="I1120" s="5" t="str">
        <f>_xlfn.XLOOKUP(sommaire[[#This Row],[Arrondissement_code]],OCHA_GIS!$F:$F,OCHA_GIS!$E:$E,,)</f>
        <v>Koza</v>
      </c>
      <c r="J1120" s="5" t="s">
        <v>853</v>
      </c>
      <c r="K1120" t="s">
        <v>3227</v>
      </c>
      <c r="L1120" s="5" t="s">
        <v>2793</v>
      </c>
      <c r="N1120" s="5" t="s">
        <v>3053</v>
      </c>
      <c r="O1120" s="5" t="s">
        <v>2467</v>
      </c>
      <c r="P1120" s="5" t="s">
        <v>85</v>
      </c>
      <c r="Q1120" s="5" t="s">
        <v>86</v>
      </c>
      <c r="R1120" s="5" t="s">
        <v>86</v>
      </c>
      <c r="T1120" s="390">
        <v>3</v>
      </c>
      <c r="U1120" s="5" t="s">
        <v>97</v>
      </c>
      <c r="W1120" s="5" t="s">
        <v>2468</v>
      </c>
      <c r="X1120" s="5" t="s">
        <v>102</v>
      </c>
      <c r="AA1120" s="5" t="s">
        <v>85</v>
      </c>
      <c r="AB1120" s="5" t="s">
        <v>2469</v>
      </c>
      <c r="AC1120" s="5" t="s">
        <v>2470</v>
      </c>
      <c r="AD1120" s="5" t="s">
        <v>86</v>
      </c>
      <c r="AF1120" s="5">
        <v>25</v>
      </c>
      <c r="AG1120" s="5">
        <v>307</v>
      </c>
      <c r="AH1120" s="5" t="s">
        <v>85</v>
      </c>
      <c r="AI1120" s="5" t="s">
        <v>2485</v>
      </c>
      <c r="AJ1120" s="5">
        <v>25</v>
      </c>
      <c r="AK1120" s="5">
        <v>139</v>
      </c>
      <c r="AL1120" s="5">
        <v>63</v>
      </c>
      <c r="AM1120" s="5">
        <v>76</v>
      </c>
      <c r="AN1120" s="5">
        <v>2</v>
      </c>
      <c r="AO1120" s="5">
        <v>19</v>
      </c>
      <c r="AP1120" s="5">
        <v>0</v>
      </c>
      <c r="AQ1120" s="5">
        <v>4</v>
      </c>
      <c r="AR1120" s="5" t="s">
        <v>2477</v>
      </c>
      <c r="AT1120" s="5">
        <v>0</v>
      </c>
      <c r="AU1120" s="5">
        <v>0</v>
      </c>
      <c r="AX1120" s="5">
        <v>0</v>
      </c>
      <c r="AY1120" s="5" t="s">
        <v>86</v>
      </c>
      <c r="BN1120" s="5" t="s">
        <v>86</v>
      </c>
      <c r="CD1120" s="5">
        <v>0</v>
      </c>
      <c r="CF1120" s="1442" t="str">
        <f>IF([1]!sommaire[[#This Row],[présence des personnes déplacés interne]]="Oui","1","0")</f>
        <v>1</v>
      </c>
      <c r="CG1120" s="1442" t="str">
        <f>IF([1]!sommaire[[#This Row],[présence Réfugié hors camp]]="Oui","1","0")</f>
        <v>0</v>
      </c>
      <c r="CH1120" s="1442" t="str">
        <f>IF([1]!sommaire[[#This Row],[présence personnes retournées]]="Oui","1","0")</f>
        <v>0</v>
      </c>
      <c r="CI1120" s="1442">
        <f>[1]!sommaire[[#This Row],[Flag PDI]]+[1]!sommaire[[#This Row],[Flag REF]]+[1]!sommaire[[#This Row],[Flag RET]]</f>
        <v>1</v>
      </c>
    </row>
    <row r="1121" spans="1:87" ht="14.55" customHeight="1" x14ac:dyDescent="0.3">
      <c r="A1121" s="390">
        <v>2629501</v>
      </c>
      <c r="B1121" s="5" t="s">
        <v>533</v>
      </c>
      <c r="C1121" s="1430" t="s">
        <v>3449</v>
      </c>
      <c r="D1121" s="1090" t="s">
        <v>534</v>
      </c>
      <c r="E1121" s="5" t="s">
        <v>35</v>
      </c>
      <c r="F1121" s="5" t="s">
        <v>35</v>
      </c>
      <c r="G1121" s="5" t="s">
        <v>567</v>
      </c>
      <c r="H1121" s="5" t="s">
        <v>192</v>
      </c>
      <c r="I1121" s="5" t="str">
        <f>_xlfn.XLOOKUP(sommaire[[#This Row],[Arrondissement_code]],OCHA_GIS!$F:$F,OCHA_GIS!$E:$E,,)</f>
        <v>Koza</v>
      </c>
      <c r="J1121" s="5" t="s">
        <v>853</v>
      </c>
      <c r="K1121" t="s">
        <v>1452</v>
      </c>
      <c r="L1121" s="5" t="s">
        <v>948</v>
      </c>
      <c r="N1121" s="5" t="s">
        <v>3053</v>
      </c>
      <c r="O1121" s="5" t="s">
        <v>2467</v>
      </c>
      <c r="P1121" s="5" t="s">
        <v>85</v>
      </c>
      <c r="Q1121" s="5" t="s">
        <v>86</v>
      </c>
      <c r="R1121" s="5" t="s">
        <v>86</v>
      </c>
      <c r="T1121" s="390">
        <v>3</v>
      </c>
      <c r="U1121" s="5" t="s">
        <v>97</v>
      </c>
      <c r="W1121" s="5" t="s">
        <v>2468</v>
      </c>
      <c r="X1121" s="5" t="s">
        <v>102</v>
      </c>
      <c r="AA1121" s="5" t="s">
        <v>85</v>
      </c>
      <c r="AB1121" s="5" t="s">
        <v>2469</v>
      </c>
      <c r="AC1121" s="5" t="s">
        <v>2470</v>
      </c>
      <c r="AD1121" s="5" t="s">
        <v>86</v>
      </c>
      <c r="AF1121" s="5">
        <v>202</v>
      </c>
      <c r="AG1121" s="5">
        <v>1516</v>
      </c>
      <c r="AH1121" s="5" t="s">
        <v>85</v>
      </c>
      <c r="AI1121" s="5" t="s">
        <v>2485</v>
      </c>
      <c r="AJ1121" s="5">
        <v>202</v>
      </c>
      <c r="AK1121" s="5">
        <v>1385</v>
      </c>
      <c r="AL1121" s="5">
        <v>440</v>
      </c>
      <c r="AM1121" s="5">
        <v>945</v>
      </c>
      <c r="AN1121" s="5">
        <v>2</v>
      </c>
      <c r="AO1121" s="5">
        <v>156</v>
      </c>
      <c r="AP1121" s="5">
        <v>7</v>
      </c>
      <c r="AQ1121" s="5">
        <v>37</v>
      </c>
      <c r="AR1121" s="5" t="s">
        <v>2477</v>
      </c>
      <c r="AT1121" s="5">
        <v>0</v>
      </c>
      <c r="AU1121" s="5">
        <v>0</v>
      </c>
      <c r="AX1121" s="5">
        <v>0</v>
      </c>
      <c r="AY1121" s="5" t="s">
        <v>86</v>
      </c>
      <c r="BN1121" s="5" t="s">
        <v>86</v>
      </c>
      <c r="CD1121" s="5">
        <v>0</v>
      </c>
      <c r="CF1121" s="1442" t="str">
        <f>IF([1]!sommaire[[#This Row],[présence des personnes déplacés interne]]="Oui","1","0")</f>
        <v>1</v>
      </c>
      <c r="CG1121" s="1442" t="str">
        <f>IF([1]!sommaire[[#This Row],[présence Réfugié hors camp]]="Oui","1","0")</f>
        <v>0</v>
      </c>
      <c r="CH1121" s="1442" t="str">
        <f>IF([1]!sommaire[[#This Row],[présence personnes retournées]]="Oui","1","0")</f>
        <v>0</v>
      </c>
      <c r="CI1121" s="1442">
        <f>[1]!sommaire[[#This Row],[Flag PDI]]+[1]!sommaire[[#This Row],[Flag REF]]+[1]!sommaire[[#This Row],[Flag RET]]</f>
        <v>1</v>
      </c>
    </row>
    <row r="1122" spans="1:87" ht="14.55" customHeight="1" x14ac:dyDescent="0.3">
      <c r="A1122" s="390">
        <v>2629507</v>
      </c>
      <c r="B1122" s="5" t="s">
        <v>533</v>
      </c>
      <c r="C1122" s="1430" t="s">
        <v>3449</v>
      </c>
      <c r="D1122" s="5" t="s">
        <v>534</v>
      </c>
      <c r="E1122" s="5" t="s">
        <v>35</v>
      </c>
      <c r="F1122" s="5" t="s">
        <v>35</v>
      </c>
      <c r="G1122" s="5" t="s">
        <v>567</v>
      </c>
      <c r="H1122" s="5" t="s">
        <v>192</v>
      </c>
      <c r="I1122" s="5" t="str">
        <f>_xlfn.XLOOKUP(sommaire[[#This Row],[Arrondissement_code]],OCHA_GIS!$F:$F,OCHA_GIS!$E:$E,,)</f>
        <v>Koza</v>
      </c>
      <c r="J1122" s="5" t="s">
        <v>853</v>
      </c>
      <c r="K1122" t="s">
        <v>1312</v>
      </c>
      <c r="L1122" s="5" t="s">
        <v>1403</v>
      </c>
      <c r="N1122" s="5" t="s">
        <v>3053</v>
      </c>
      <c r="O1122" s="5" t="s">
        <v>2467</v>
      </c>
      <c r="P1122" s="5" t="s">
        <v>85</v>
      </c>
      <c r="Q1122" s="5" t="s">
        <v>86</v>
      </c>
      <c r="R1122" s="5" t="s">
        <v>86</v>
      </c>
      <c r="T1122" s="390">
        <v>3</v>
      </c>
      <c r="U1122" s="5" t="s">
        <v>97</v>
      </c>
      <c r="W1122" s="5" t="s">
        <v>2468</v>
      </c>
      <c r="X1122" s="5" t="s">
        <v>102</v>
      </c>
      <c r="AA1122" s="5" t="s">
        <v>85</v>
      </c>
      <c r="AB1122" s="5" t="s">
        <v>2469</v>
      </c>
      <c r="AC1122" s="5" t="s">
        <v>2470</v>
      </c>
      <c r="AD1122" s="5" t="s">
        <v>86</v>
      </c>
      <c r="AF1122" s="5">
        <v>132</v>
      </c>
      <c r="AG1122" s="5">
        <v>5060</v>
      </c>
      <c r="AH1122" s="5" t="s">
        <v>85</v>
      </c>
      <c r="AI1122" s="5" t="s">
        <v>2485</v>
      </c>
      <c r="AJ1122" s="5">
        <v>132</v>
      </c>
      <c r="AK1122" s="5">
        <v>583</v>
      </c>
      <c r="AL1122" s="5">
        <v>239</v>
      </c>
      <c r="AM1122" s="5">
        <v>344</v>
      </c>
      <c r="AN1122" s="5">
        <v>5</v>
      </c>
      <c r="AO1122" s="5">
        <v>104</v>
      </c>
      <c r="AP1122" s="5">
        <v>3</v>
      </c>
      <c r="AQ1122" s="5">
        <v>20</v>
      </c>
      <c r="AR1122" s="5" t="s">
        <v>2477</v>
      </c>
      <c r="AT1122" s="5">
        <v>0</v>
      </c>
      <c r="AU1122" s="5">
        <v>0</v>
      </c>
      <c r="AX1122" s="5">
        <v>0</v>
      </c>
      <c r="AY1122" s="5" t="s">
        <v>86</v>
      </c>
      <c r="BN1122" s="5" t="s">
        <v>86</v>
      </c>
      <c r="CD1122" s="5">
        <v>0</v>
      </c>
      <c r="CF1122" s="1442" t="str">
        <f>IF([1]!sommaire[[#This Row],[présence des personnes déplacés interne]]="Oui","1","0")</f>
        <v>1</v>
      </c>
      <c r="CG1122" s="1442" t="str">
        <f>IF([1]!sommaire[[#This Row],[présence Réfugié hors camp]]="Oui","1","0")</f>
        <v>0</v>
      </c>
      <c r="CH1122" s="1442" t="str">
        <f>IF([1]!sommaire[[#This Row],[présence personnes retournées]]="Oui","1","0")</f>
        <v>0</v>
      </c>
      <c r="CI1122" s="1442">
        <f>[1]!sommaire[[#This Row],[Flag PDI]]+[1]!sommaire[[#This Row],[Flag REF]]+[1]!sommaire[[#This Row],[Flag RET]]</f>
        <v>1</v>
      </c>
    </row>
    <row r="1123" spans="1:87" ht="14.55" customHeight="1" x14ac:dyDescent="0.3">
      <c r="A1123" s="390">
        <v>2629504</v>
      </c>
      <c r="B1123" s="5" t="s">
        <v>533</v>
      </c>
      <c r="C1123" s="1430" t="s">
        <v>3449</v>
      </c>
      <c r="D1123" s="5" t="s">
        <v>534</v>
      </c>
      <c r="E1123" s="5" t="s">
        <v>35</v>
      </c>
      <c r="F1123" s="5" t="s">
        <v>35</v>
      </c>
      <c r="G1123" s="5" t="s">
        <v>567</v>
      </c>
      <c r="H1123" s="5" t="s">
        <v>192</v>
      </c>
      <c r="I1123" s="5" t="str">
        <f>_xlfn.XLOOKUP(sommaire[[#This Row],[Arrondissement_code]],OCHA_GIS!$F:$F,OCHA_GIS!$E:$E,,)</f>
        <v>Koza</v>
      </c>
      <c r="J1123" s="5" t="s">
        <v>853</v>
      </c>
      <c r="K1123" t="s">
        <v>1891</v>
      </c>
      <c r="L1123" s="5" t="s">
        <v>1409</v>
      </c>
      <c r="N1123" s="5" t="s">
        <v>3053</v>
      </c>
      <c r="O1123" s="5" t="s">
        <v>2467</v>
      </c>
      <c r="P1123" s="5" t="s">
        <v>86</v>
      </c>
      <c r="Q1123" s="5" t="s">
        <v>86</v>
      </c>
      <c r="R1123" s="5" t="s">
        <v>85</v>
      </c>
      <c r="U1123" s="5" t="s">
        <v>98</v>
      </c>
      <c r="W1123" s="5" t="s">
        <v>2482</v>
      </c>
      <c r="AA1123" s="5" t="s">
        <v>86</v>
      </c>
      <c r="AH1123" s="1430" t="s">
        <v>86</v>
      </c>
      <c r="AY1123" s="1430" t="s">
        <v>86</v>
      </c>
      <c r="BN1123" s="1430" t="s">
        <v>86</v>
      </c>
      <c r="CF1123" s="1442" t="str">
        <f>IF([1]!sommaire[[#This Row],[présence des personnes déplacés interne]]="Oui","1","0")</f>
        <v>0</v>
      </c>
      <c r="CG1123" s="1442" t="str">
        <f>IF([1]!sommaire[[#This Row],[présence Réfugié hors camp]]="Oui","1","0")</f>
        <v>0</v>
      </c>
      <c r="CH1123" s="1442" t="str">
        <f>IF([1]!sommaire[[#This Row],[présence personnes retournées]]="Oui","1","0")</f>
        <v>0</v>
      </c>
      <c r="CI1123" s="1442">
        <f>[1]!sommaire[[#This Row],[Flag PDI]]+[1]!sommaire[[#This Row],[Flag REF]]+[1]!sommaire[[#This Row],[Flag RET]]</f>
        <v>0</v>
      </c>
    </row>
    <row r="1124" spans="1:87" ht="14.55" customHeight="1" x14ac:dyDescent="0.3">
      <c r="A1124" s="390">
        <v>2629502</v>
      </c>
      <c r="B1124" s="5" t="s">
        <v>533</v>
      </c>
      <c r="C1124" s="1430" t="s">
        <v>3449</v>
      </c>
      <c r="D1124" s="5" t="s">
        <v>534</v>
      </c>
      <c r="E1124" s="5" t="s">
        <v>35</v>
      </c>
      <c r="F1124" s="5" t="s">
        <v>35</v>
      </c>
      <c r="G1124" s="5" t="s">
        <v>567</v>
      </c>
      <c r="H1124" s="5" t="s">
        <v>192</v>
      </c>
      <c r="I1124" s="5" t="str">
        <f>_xlfn.XLOOKUP(sommaire[[#This Row],[Arrondissement_code]],OCHA_GIS!$F:$F,OCHA_GIS!$E:$E,,)</f>
        <v>Koza</v>
      </c>
      <c r="J1124" s="5" t="s">
        <v>853</v>
      </c>
      <c r="K1124" t="s">
        <v>1404</v>
      </c>
      <c r="L1124" s="5" t="s">
        <v>950</v>
      </c>
      <c r="N1124" s="5" t="s">
        <v>3053</v>
      </c>
      <c r="O1124" s="5" t="s">
        <v>2467</v>
      </c>
      <c r="P1124" s="5" t="s">
        <v>85</v>
      </c>
      <c r="Q1124" s="5" t="s">
        <v>86</v>
      </c>
      <c r="R1124" s="5" t="s">
        <v>86</v>
      </c>
      <c r="T1124" s="390">
        <v>3</v>
      </c>
      <c r="U1124" s="5" t="s">
        <v>97</v>
      </c>
      <c r="W1124" s="5" t="s">
        <v>2468</v>
      </c>
      <c r="X1124" s="5" t="s">
        <v>102</v>
      </c>
      <c r="AA1124" s="5" t="s">
        <v>85</v>
      </c>
      <c r="AB1124" s="5" t="s">
        <v>2469</v>
      </c>
      <c r="AC1124" s="5" t="s">
        <v>2470</v>
      </c>
      <c r="AD1124" s="5" t="s">
        <v>86</v>
      </c>
      <c r="AF1124" s="5">
        <v>115</v>
      </c>
      <c r="AG1124" s="5">
        <v>2490</v>
      </c>
      <c r="AH1124" s="5" t="s">
        <v>85</v>
      </c>
      <c r="AI1124" s="5" t="s">
        <v>2485</v>
      </c>
      <c r="AJ1124" s="5">
        <v>115</v>
      </c>
      <c r="AK1124" s="5">
        <v>802</v>
      </c>
      <c r="AL1124" s="5">
        <v>201</v>
      </c>
      <c r="AM1124" s="5">
        <v>601</v>
      </c>
      <c r="AN1124" s="5">
        <v>0</v>
      </c>
      <c r="AO1124" s="5">
        <v>27</v>
      </c>
      <c r="AP1124" s="5">
        <v>0</v>
      </c>
      <c r="AQ1124" s="5">
        <v>88</v>
      </c>
      <c r="AR1124" s="5" t="s">
        <v>2477</v>
      </c>
      <c r="AT1124" s="5">
        <v>0</v>
      </c>
      <c r="AU1124" s="5">
        <v>0</v>
      </c>
      <c r="AX1124" s="5">
        <v>0</v>
      </c>
      <c r="AY1124" s="5" t="s">
        <v>86</v>
      </c>
      <c r="BN1124" s="5" t="s">
        <v>86</v>
      </c>
      <c r="CD1124" s="5">
        <v>0</v>
      </c>
      <c r="CF1124" s="1442" t="str">
        <f>IF([1]!sommaire[[#This Row],[présence des personnes déplacés interne]]="Oui","1","0")</f>
        <v>1</v>
      </c>
      <c r="CG1124" s="1442" t="str">
        <f>IF([1]!sommaire[[#This Row],[présence Réfugié hors camp]]="Oui","1","0")</f>
        <v>0</v>
      </c>
      <c r="CH1124" s="1442" t="str">
        <f>IF([1]!sommaire[[#This Row],[présence personnes retournées]]="Oui","1","0")</f>
        <v>0</v>
      </c>
      <c r="CI1124" s="1442">
        <f>[1]!sommaire[[#This Row],[Flag PDI]]+[1]!sommaire[[#This Row],[Flag REF]]+[1]!sommaire[[#This Row],[Flag RET]]</f>
        <v>1</v>
      </c>
    </row>
    <row r="1125" spans="1:87" ht="14.55" customHeight="1" x14ac:dyDescent="0.3">
      <c r="A1125" s="390">
        <v>2636535</v>
      </c>
      <c r="B1125" s="5" t="s">
        <v>533</v>
      </c>
      <c r="C1125" s="1430" t="s">
        <v>3449</v>
      </c>
      <c r="D1125" s="5" t="s">
        <v>534</v>
      </c>
      <c r="E1125" s="5" t="s">
        <v>35</v>
      </c>
      <c r="F1125" s="5" t="s">
        <v>35</v>
      </c>
      <c r="G1125" s="5" t="s">
        <v>567</v>
      </c>
      <c r="H1125" s="5" t="s">
        <v>192</v>
      </c>
      <c r="I1125" s="5" t="str">
        <f>_xlfn.XLOOKUP(sommaire[[#This Row],[Arrondissement_code]],OCHA_GIS!$F:$F,OCHA_GIS!$E:$E,,)</f>
        <v>Koza</v>
      </c>
      <c r="J1125" s="5" t="s">
        <v>853</v>
      </c>
      <c r="K1125" t="s">
        <v>947</v>
      </c>
      <c r="L1125" s="5" t="s">
        <v>962</v>
      </c>
      <c r="N1125" s="5" t="s">
        <v>3053</v>
      </c>
      <c r="O1125" s="5" t="s">
        <v>2467</v>
      </c>
      <c r="P1125" s="5" t="s">
        <v>85</v>
      </c>
      <c r="Q1125" s="5" t="s">
        <v>86</v>
      </c>
      <c r="R1125" s="5" t="s">
        <v>85</v>
      </c>
      <c r="T1125" s="390">
        <v>3</v>
      </c>
      <c r="U1125" s="5" t="s">
        <v>97</v>
      </c>
      <c r="W1125" s="5" t="s">
        <v>2468</v>
      </c>
      <c r="X1125" s="5" t="s">
        <v>102</v>
      </c>
      <c r="AA1125" s="5" t="s">
        <v>85</v>
      </c>
      <c r="AB1125" s="5" t="s">
        <v>2469</v>
      </c>
      <c r="AC1125" s="5" t="s">
        <v>312</v>
      </c>
      <c r="AD1125" s="5" t="s">
        <v>86</v>
      </c>
      <c r="AF1125" s="5">
        <v>310</v>
      </c>
      <c r="AG1125" s="5">
        <v>2667</v>
      </c>
      <c r="AH1125" s="5" t="s">
        <v>85</v>
      </c>
      <c r="AI1125" s="5" t="s">
        <v>2486</v>
      </c>
      <c r="AJ1125" s="5">
        <v>310</v>
      </c>
      <c r="AK1125" s="5">
        <v>1621</v>
      </c>
      <c r="AL1125" s="5">
        <v>654</v>
      </c>
      <c r="AM1125" s="5">
        <v>967</v>
      </c>
      <c r="AN1125" s="5">
        <v>45</v>
      </c>
      <c r="AO1125" s="5">
        <v>139</v>
      </c>
      <c r="AP1125" s="5">
        <v>30</v>
      </c>
      <c r="AQ1125" s="5">
        <v>96</v>
      </c>
      <c r="AR1125" s="5" t="s">
        <v>2477</v>
      </c>
      <c r="AT1125" s="5">
        <v>0</v>
      </c>
      <c r="AU1125" s="5">
        <v>0</v>
      </c>
      <c r="AX1125" s="5">
        <v>0</v>
      </c>
      <c r="AY1125" s="5" t="s">
        <v>86</v>
      </c>
      <c r="BN1125" s="5" t="s">
        <v>85</v>
      </c>
      <c r="BO1125" s="5">
        <v>25</v>
      </c>
      <c r="BP1125" s="5">
        <v>158</v>
      </c>
      <c r="BQ1125" s="5">
        <v>90</v>
      </c>
      <c r="BR1125" s="5">
        <v>68</v>
      </c>
      <c r="BS1125" s="5" t="s">
        <v>2535</v>
      </c>
      <c r="BT1125" s="5">
        <v>2</v>
      </c>
      <c r="BU1125" s="5">
        <v>2</v>
      </c>
      <c r="BV1125" s="5">
        <v>9</v>
      </c>
      <c r="BW1125" s="5">
        <v>0</v>
      </c>
      <c r="BX1125" s="5">
        <v>12</v>
      </c>
      <c r="BY1125" s="5" t="s">
        <v>2477</v>
      </c>
      <c r="BZ1125" s="5">
        <v>0</v>
      </c>
      <c r="CA1125" s="5">
        <v>0</v>
      </c>
      <c r="CC1125" s="5">
        <v>0</v>
      </c>
      <c r="CD1125" s="5">
        <v>0</v>
      </c>
      <c r="CF1125" s="1442" t="str">
        <f>IF([1]!sommaire[[#This Row],[présence des personnes déplacés interne]]="Oui","1","0")</f>
        <v>1</v>
      </c>
      <c r="CG1125" s="1442" t="str">
        <f>IF([1]!sommaire[[#This Row],[présence Réfugié hors camp]]="Oui","1","0")</f>
        <v>0</v>
      </c>
      <c r="CH1125" s="1442" t="str">
        <f>IF([1]!sommaire[[#This Row],[présence personnes retournées]]="Oui","1","0")</f>
        <v>1</v>
      </c>
      <c r="CI1125" s="1442">
        <f>[1]!sommaire[[#This Row],[Flag PDI]]+[1]!sommaire[[#This Row],[Flag REF]]+[1]!sommaire[[#This Row],[Flag RET]]</f>
        <v>2</v>
      </c>
    </row>
    <row r="1126" spans="1:87" ht="14.55" customHeight="1" x14ac:dyDescent="0.3">
      <c r="A1126" s="390">
        <v>2646933</v>
      </c>
      <c r="B1126" s="5" t="s">
        <v>533</v>
      </c>
      <c r="C1126" s="1430" t="s">
        <v>3449</v>
      </c>
      <c r="D1126" s="5" t="s">
        <v>534</v>
      </c>
      <c r="E1126" s="5" t="s">
        <v>35</v>
      </c>
      <c r="F1126" s="5" t="s">
        <v>35</v>
      </c>
      <c r="G1126" s="5" t="s">
        <v>567</v>
      </c>
      <c r="H1126" s="5" t="s">
        <v>192</v>
      </c>
      <c r="I1126" s="5" t="str">
        <f>_xlfn.XLOOKUP(sommaire[[#This Row],[Arrondissement_code]],OCHA_GIS!$F:$F,OCHA_GIS!$E:$E,,)</f>
        <v>Koza</v>
      </c>
      <c r="J1126" s="5" t="s">
        <v>853</v>
      </c>
      <c r="K1126" t="s">
        <v>3027</v>
      </c>
      <c r="L1126" s="5" t="s">
        <v>1516</v>
      </c>
      <c r="N1126" s="5" t="s">
        <v>3053</v>
      </c>
      <c r="O1126" s="5" t="s">
        <v>2467</v>
      </c>
      <c r="P1126" s="5" t="s">
        <v>85</v>
      </c>
      <c r="Q1126" s="5" t="s">
        <v>86</v>
      </c>
      <c r="R1126" s="5" t="s">
        <v>86</v>
      </c>
      <c r="T1126" s="390">
        <v>3</v>
      </c>
      <c r="U1126" s="5" t="s">
        <v>97</v>
      </c>
      <c r="W1126" s="5" t="s">
        <v>2520</v>
      </c>
      <c r="X1126" s="5" t="s">
        <v>103</v>
      </c>
      <c r="Y1126" s="5" t="s">
        <v>2511</v>
      </c>
      <c r="AA1126" s="5" t="s">
        <v>85</v>
      </c>
      <c r="AB1126" s="5" t="s">
        <v>2469</v>
      </c>
      <c r="AC1126" s="5" t="s">
        <v>2470</v>
      </c>
      <c r="AD1126" s="5" t="s">
        <v>86</v>
      </c>
      <c r="AF1126" s="5">
        <v>19</v>
      </c>
      <c r="AG1126" s="5">
        <v>524</v>
      </c>
      <c r="AH1126" s="5" t="s">
        <v>85</v>
      </c>
      <c r="AI1126" s="5" t="s">
        <v>2471</v>
      </c>
      <c r="AJ1126" s="5">
        <v>19</v>
      </c>
      <c r="AK1126" s="5">
        <v>104</v>
      </c>
      <c r="AL1126" s="5">
        <v>47</v>
      </c>
      <c r="AM1126" s="5">
        <v>57</v>
      </c>
      <c r="AN1126" s="5">
        <v>5</v>
      </c>
      <c r="AO1126" s="5">
        <v>14</v>
      </c>
      <c r="AP1126" s="5">
        <v>0</v>
      </c>
      <c r="AQ1126" s="5">
        <v>0</v>
      </c>
      <c r="AT1126" s="5">
        <v>0</v>
      </c>
      <c r="AU1126" s="5">
        <v>0</v>
      </c>
      <c r="AX1126" s="5">
        <v>0</v>
      </c>
      <c r="AY1126" s="5" t="s">
        <v>86</v>
      </c>
      <c r="BN1126" s="5" t="s">
        <v>86</v>
      </c>
      <c r="CD1126" s="5">
        <v>0</v>
      </c>
      <c r="CF1126" s="1442" t="str">
        <f>IF([1]!sommaire[[#This Row],[présence des personnes déplacés interne]]="Oui","1","0")</f>
        <v>1</v>
      </c>
      <c r="CG1126" s="1442" t="str">
        <f>IF([1]!sommaire[[#This Row],[présence Réfugié hors camp]]="Oui","1","0")</f>
        <v>0</v>
      </c>
      <c r="CH1126" s="1442" t="str">
        <f>IF([1]!sommaire[[#This Row],[présence personnes retournées]]="Oui","1","0")</f>
        <v>0</v>
      </c>
      <c r="CI1126" s="1442">
        <f>[1]!sommaire[[#This Row],[Flag PDI]]+[1]!sommaire[[#This Row],[Flag REF]]+[1]!sommaire[[#This Row],[Flag RET]]</f>
        <v>1</v>
      </c>
    </row>
    <row r="1127" spans="1:87" ht="14.55" customHeight="1" x14ac:dyDescent="0.3">
      <c r="A1127" s="390">
        <v>2622395</v>
      </c>
      <c r="B1127" s="5" t="s">
        <v>533</v>
      </c>
      <c r="C1127" s="1430" t="s">
        <v>3449</v>
      </c>
      <c r="D1127" s="5" t="s">
        <v>534</v>
      </c>
      <c r="E1127" s="5" t="s">
        <v>35</v>
      </c>
      <c r="F1127" s="5" t="s">
        <v>35</v>
      </c>
      <c r="G1127" s="5" t="s">
        <v>567</v>
      </c>
      <c r="H1127" s="5" t="s">
        <v>192</v>
      </c>
      <c r="I1127" s="5" t="str">
        <f>_xlfn.XLOOKUP(sommaire[[#This Row],[Arrondissement_code]],OCHA_GIS!$F:$F,OCHA_GIS!$E:$E,,)</f>
        <v>Koza</v>
      </c>
      <c r="J1127" s="5" t="s">
        <v>853</v>
      </c>
      <c r="K1127" t="s">
        <v>1402</v>
      </c>
      <c r="L1127" s="5" t="s">
        <v>1389</v>
      </c>
      <c r="N1127" s="5" t="s">
        <v>3053</v>
      </c>
      <c r="O1127" s="5" t="s">
        <v>2467</v>
      </c>
      <c r="P1127" s="5" t="s">
        <v>85</v>
      </c>
      <c r="Q1127" s="5" t="s">
        <v>86</v>
      </c>
      <c r="R1127" s="5" t="s">
        <v>86</v>
      </c>
      <c r="T1127" s="390">
        <v>3</v>
      </c>
      <c r="U1127" s="5" t="s">
        <v>97</v>
      </c>
      <c r="W1127" s="5" t="s">
        <v>2468</v>
      </c>
      <c r="X1127" s="5" t="s">
        <v>102</v>
      </c>
      <c r="AA1127" s="5" t="s">
        <v>85</v>
      </c>
      <c r="AB1127" s="5" t="s">
        <v>2469</v>
      </c>
      <c r="AC1127" s="5" t="s">
        <v>312</v>
      </c>
      <c r="AD1127" s="5" t="s">
        <v>86</v>
      </c>
      <c r="AF1127" s="5">
        <v>119</v>
      </c>
      <c r="AG1127" s="5">
        <v>2159</v>
      </c>
      <c r="AH1127" s="5" t="s">
        <v>85</v>
      </c>
      <c r="AI1127" s="5" t="s">
        <v>2485</v>
      </c>
      <c r="AJ1127" s="5">
        <v>119</v>
      </c>
      <c r="AK1127" s="5">
        <v>686</v>
      </c>
      <c r="AL1127" s="5">
        <v>247</v>
      </c>
      <c r="AM1127" s="5">
        <v>439</v>
      </c>
      <c r="AN1127" s="5">
        <v>20</v>
      </c>
      <c r="AO1127" s="5">
        <v>95</v>
      </c>
      <c r="AP1127" s="5">
        <v>0</v>
      </c>
      <c r="AQ1127" s="5">
        <v>4</v>
      </c>
      <c r="AR1127" s="5" t="s">
        <v>2477</v>
      </c>
      <c r="AT1127" s="5">
        <v>0</v>
      </c>
      <c r="AU1127" s="5">
        <v>0</v>
      </c>
      <c r="AX1127" s="5">
        <v>0</v>
      </c>
      <c r="AY1127" s="5" t="s">
        <v>86</v>
      </c>
      <c r="BN1127" s="5" t="s">
        <v>85</v>
      </c>
      <c r="BO1127" s="5">
        <v>6</v>
      </c>
      <c r="BP1127" s="5">
        <v>36</v>
      </c>
      <c r="BQ1127" s="5">
        <v>16</v>
      </c>
      <c r="BR1127" s="5">
        <v>20</v>
      </c>
      <c r="BS1127" s="5" t="s">
        <v>2535</v>
      </c>
      <c r="BT1127" s="5">
        <v>1</v>
      </c>
      <c r="BU1127" s="5">
        <v>2</v>
      </c>
      <c r="BV1127" s="5">
        <v>3</v>
      </c>
      <c r="BW1127" s="5">
        <v>0</v>
      </c>
      <c r="BX1127" s="5">
        <v>0</v>
      </c>
      <c r="BZ1127" s="5">
        <v>0</v>
      </c>
      <c r="CA1127" s="5">
        <v>0</v>
      </c>
      <c r="CC1127" s="5">
        <v>0</v>
      </c>
      <c r="CD1127" s="5">
        <v>0</v>
      </c>
      <c r="CF1127" s="1442" t="str">
        <f>IF([1]!sommaire[[#This Row],[présence des personnes déplacés interne]]="Oui","1","0")</f>
        <v>1</v>
      </c>
      <c r="CG1127" s="1442" t="str">
        <f>IF([1]!sommaire[[#This Row],[présence Réfugié hors camp]]="Oui","1","0")</f>
        <v>0</v>
      </c>
      <c r="CH1127" s="1442" t="str">
        <f>IF([1]!sommaire[[#This Row],[présence personnes retournées]]="Oui","1","0")</f>
        <v>1</v>
      </c>
      <c r="CI1127" s="1442">
        <f>[1]!sommaire[[#This Row],[Flag PDI]]+[1]!sommaire[[#This Row],[Flag REF]]+[1]!sommaire[[#This Row],[Flag RET]]</f>
        <v>2</v>
      </c>
    </row>
    <row r="1128" spans="1:87" ht="14.55" customHeight="1" x14ac:dyDescent="0.3">
      <c r="A1128" s="390">
        <v>2561378</v>
      </c>
      <c r="B1128" s="5" t="s">
        <v>533</v>
      </c>
      <c r="C1128" s="1430" t="s">
        <v>3449</v>
      </c>
      <c r="D1128" s="1090" t="s">
        <v>534</v>
      </c>
      <c r="E1128" s="5" t="s">
        <v>35</v>
      </c>
      <c r="F1128" s="5" t="s">
        <v>35</v>
      </c>
      <c r="G1128" s="5" t="s">
        <v>567</v>
      </c>
      <c r="H1128" s="5" t="s">
        <v>193</v>
      </c>
      <c r="I1128" s="5" t="str">
        <f>_xlfn.XLOOKUP(sommaire[[#This Row],[Arrondissement_code]],OCHA_GIS!$F:$F,OCHA_GIS!$E:$E,,)</f>
        <v>Mozogo</v>
      </c>
      <c r="J1128" s="5" t="s">
        <v>863</v>
      </c>
      <c r="K1128" t="s">
        <v>550</v>
      </c>
      <c r="L1128" s="5" t="s">
        <v>3114</v>
      </c>
      <c r="M1128" s="5" t="s">
        <v>3114</v>
      </c>
      <c r="N1128" s="5" t="s">
        <v>3053</v>
      </c>
      <c r="O1128" s="5" t="s">
        <v>2467</v>
      </c>
      <c r="P1128" s="5" t="s">
        <v>85</v>
      </c>
      <c r="Q1128" s="5" t="s">
        <v>86</v>
      </c>
      <c r="R1128" s="5" t="s">
        <v>85</v>
      </c>
      <c r="T1128" s="390">
        <v>3</v>
      </c>
      <c r="U1128" s="5" t="s">
        <v>97</v>
      </c>
      <c r="W1128" s="1144" t="s">
        <v>2468</v>
      </c>
      <c r="X1128" s="5" t="s">
        <v>102</v>
      </c>
      <c r="AA1128" s="5" t="s">
        <v>85</v>
      </c>
      <c r="AB1128" s="5" t="s">
        <v>2469</v>
      </c>
      <c r="AC1128" s="5" t="s">
        <v>2470</v>
      </c>
      <c r="AD1128" s="5" t="s">
        <v>86</v>
      </c>
      <c r="AF1128" s="5">
        <v>42</v>
      </c>
      <c r="AG1128" s="5">
        <v>940</v>
      </c>
      <c r="AH1128" s="5" t="s">
        <v>85</v>
      </c>
      <c r="AI1128" s="5" t="s">
        <v>2471</v>
      </c>
      <c r="AJ1128" s="5">
        <v>42</v>
      </c>
      <c r="AK1128" s="5">
        <v>240</v>
      </c>
      <c r="AL1128" s="5">
        <v>98</v>
      </c>
      <c r="AM1128" s="5">
        <v>142</v>
      </c>
      <c r="AN1128" s="5">
        <v>0</v>
      </c>
      <c r="AO1128" s="5">
        <v>42</v>
      </c>
      <c r="AP1128" s="5">
        <v>0</v>
      </c>
      <c r="AQ1128" s="5">
        <v>0</v>
      </c>
      <c r="AT1128" s="5">
        <v>0</v>
      </c>
      <c r="AU1128" s="5">
        <v>0</v>
      </c>
      <c r="AX1128" s="5">
        <v>0</v>
      </c>
      <c r="AY1128" s="5" t="s">
        <v>86</v>
      </c>
      <c r="BN1128" s="5" t="s">
        <v>86</v>
      </c>
      <c r="CD1128" s="5">
        <v>0</v>
      </c>
      <c r="CF1128" s="1442" t="str">
        <f>IF([1]!sommaire[[#This Row],[présence des personnes déplacés interne]]="Oui","1","0")</f>
        <v>1</v>
      </c>
      <c r="CG1128" s="1442" t="str">
        <f>IF([1]!sommaire[[#This Row],[présence Réfugié hors camp]]="Oui","1","0")</f>
        <v>0</v>
      </c>
      <c r="CH1128" s="1442" t="str">
        <f>IF([1]!sommaire[[#This Row],[présence personnes retournées]]="Oui","1","0")</f>
        <v>0</v>
      </c>
      <c r="CI1128" s="1442">
        <f>[1]!sommaire[[#This Row],[Flag PDI]]+[1]!sommaire[[#This Row],[Flag REF]]+[1]!sommaire[[#This Row],[Flag RET]]</f>
        <v>1</v>
      </c>
    </row>
    <row r="1129" spans="1:87" ht="14.55" customHeight="1" x14ac:dyDescent="0.3">
      <c r="A1129" s="390">
        <v>2590353</v>
      </c>
      <c r="B1129" s="5" t="s">
        <v>533</v>
      </c>
      <c r="C1129" s="1430" t="s">
        <v>3449</v>
      </c>
      <c r="D1129" s="5" t="s">
        <v>534</v>
      </c>
      <c r="E1129" s="5" t="s">
        <v>35</v>
      </c>
      <c r="F1129" s="5" t="s">
        <v>35</v>
      </c>
      <c r="G1129" s="5" t="s">
        <v>567</v>
      </c>
      <c r="H1129" s="5" t="s">
        <v>193</v>
      </c>
      <c r="I1129" s="5" t="str">
        <f>_xlfn.XLOOKUP(sommaire[[#This Row],[Arrondissement_code]],OCHA_GIS!$F:$F,OCHA_GIS!$E:$E,,)</f>
        <v>Mozogo</v>
      </c>
      <c r="J1129" s="5" t="s">
        <v>863</v>
      </c>
      <c r="K1129" t="s">
        <v>550</v>
      </c>
      <c r="L1129" s="5" t="s">
        <v>3117</v>
      </c>
      <c r="M1129" s="5" t="s">
        <v>3117</v>
      </c>
      <c r="N1129" s="5" t="s">
        <v>3053</v>
      </c>
      <c r="O1129" s="5" t="s">
        <v>2467</v>
      </c>
      <c r="P1129" s="5" t="s">
        <v>86</v>
      </c>
      <c r="Q1129" s="5" t="s">
        <v>86</v>
      </c>
      <c r="R1129" s="5" t="s">
        <v>85</v>
      </c>
      <c r="U1129" s="5" t="s">
        <v>97</v>
      </c>
      <c r="W1129" s="5" t="s">
        <v>2482</v>
      </c>
      <c r="AA1129" s="5" t="s">
        <v>86</v>
      </c>
      <c r="AH1129" s="1430" t="s">
        <v>86</v>
      </c>
      <c r="AY1129" s="1430" t="s">
        <v>86</v>
      </c>
      <c r="BN1129" s="1430" t="s">
        <v>86</v>
      </c>
      <c r="CF1129" s="1442" t="str">
        <f>IF([1]!sommaire[[#This Row],[présence des personnes déplacés interne]]="Oui","1","0")</f>
        <v>0</v>
      </c>
      <c r="CG1129" s="1442" t="str">
        <f>IF([1]!sommaire[[#This Row],[présence Réfugié hors camp]]="Oui","1","0")</f>
        <v>0</v>
      </c>
      <c r="CH1129" s="1442" t="str">
        <f>IF([1]!sommaire[[#This Row],[présence personnes retournées]]="Oui","1","0")</f>
        <v>0</v>
      </c>
      <c r="CI1129" s="1442">
        <f>[1]!sommaire[[#This Row],[Flag PDI]]+[1]!sommaire[[#This Row],[Flag REF]]+[1]!sommaire[[#This Row],[Flag RET]]</f>
        <v>0</v>
      </c>
    </row>
    <row r="1130" spans="1:87" ht="14.55" customHeight="1" x14ac:dyDescent="0.3">
      <c r="A1130" s="390">
        <v>2680280</v>
      </c>
      <c r="B1130" s="5" t="s">
        <v>533</v>
      </c>
      <c r="C1130" s="1430" t="s">
        <v>3449</v>
      </c>
      <c r="D1130" s="1090" t="s">
        <v>534</v>
      </c>
      <c r="E1130" s="5" t="s">
        <v>35</v>
      </c>
      <c r="F1130" s="5" t="s">
        <v>35</v>
      </c>
      <c r="G1130" s="5" t="s">
        <v>567</v>
      </c>
      <c r="H1130" s="5" t="s">
        <v>193</v>
      </c>
      <c r="I1130" s="5" t="str">
        <f>_xlfn.XLOOKUP(sommaire[[#This Row],[Arrondissement_code]],OCHA_GIS!$F:$F,OCHA_GIS!$E:$E,,)</f>
        <v>Mozogo</v>
      </c>
      <c r="J1130" s="5" t="s">
        <v>863</v>
      </c>
      <c r="K1130" t="s">
        <v>550</v>
      </c>
      <c r="L1130" s="5" t="s">
        <v>3174</v>
      </c>
      <c r="M1130" s="5" t="s">
        <v>3174</v>
      </c>
      <c r="N1130" s="5" t="s">
        <v>3053</v>
      </c>
      <c r="O1130" s="5" t="s">
        <v>2473</v>
      </c>
      <c r="P1130" s="5" t="s">
        <v>86</v>
      </c>
      <c r="Q1130" s="5" t="s">
        <v>85</v>
      </c>
      <c r="R1130" s="5" t="s">
        <v>85</v>
      </c>
      <c r="S1130" s="390">
        <v>6</v>
      </c>
      <c r="U1130" s="5" t="s">
        <v>97</v>
      </c>
      <c r="W1130" s="5" t="s">
        <v>2468</v>
      </c>
      <c r="X1130" s="5" t="s">
        <v>102</v>
      </c>
      <c r="AA1130" s="5" t="s">
        <v>85</v>
      </c>
      <c r="AB1130" s="5" t="s">
        <v>2473</v>
      </c>
      <c r="AC1130" s="5" t="s">
        <v>2470</v>
      </c>
      <c r="AF1130" s="5">
        <v>83</v>
      </c>
      <c r="AG1130" s="5">
        <v>550</v>
      </c>
      <c r="AH1130" s="5" t="s">
        <v>85</v>
      </c>
      <c r="AI1130" s="5" t="s">
        <v>2471</v>
      </c>
      <c r="AJ1130" s="5">
        <v>83</v>
      </c>
      <c r="AK1130" s="5">
        <v>550</v>
      </c>
      <c r="AL1130" s="5">
        <v>200</v>
      </c>
      <c r="AM1130" s="5">
        <v>350</v>
      </c>
      <c r="AN1130" s="5">
        <v>0</v>
      </c>
      <c r="AO1130" s="5">
        <v>0</v>
      </c>
      <c r="AP1130" s="5">
        <v>0</v>
      </c>
      <c r="AQ1130" s="5">
        <v>0</v>
      </c>
      <c r="AT1130" s="5">
        <v>0</v>
      </c>
      <c r="AU1130" s="5">
        <v>83</v>
      </c>
      <c r="AV1130" s="5" t="s">
        <v>2475</v>
      </c>
      <c r="AX1130" s="5">
        <v>0</v>
      </c>
      <c r="AY1130" s="5" t="s">
        <v>86</v>
      </c>
      <c r="BN1130" s="5" t="s">
        <v>86</v>
      </c>
      <c r="CD1130" s="5">
        <v>0</v>
      </c>
      <c r="CF1130" s="1442" t="str">
        <f>IF([1]!sommaire[[#This Row],[présence des personnes déplacés interne]]="Oui","1","0")</f>
        <v>1</v>
      </c>
      <c r="CG1130" s="1442" t="str">
        <f>IF([1]!sommaire[[#This Row],[présence Réfugié hors camp]]="Oui","1","0")</f>
        <v>0</v>
      </c>
      <c r="CH1130" s="1442" t="str">
        <f>IF([1]!sommaire[[#This Row],[présence personnes retournées]]="Oui","1","0")</f>
        <v>0</v>
      </c>
      <c r="CI1130" s="1442">
        <f>[1]!sommaire[[#This Row],[Flag PDI]]+[1]!sommaire[[#This Row],[Flag REF]]+[1]!sommaire[[#This Row],[Flag RET]]</f>
        <v>1</v>
      </c>
    </row>
    <row r="1131" spans="1:87" ht="14.55" customHeight="1" x14ac:dyDescent="0.3">
      <c r="A1131" s="390">
        <v>2627584</v>
      </c>
      <c r="B1131" s="5" t="s">
        <v>533</v>
      </c>
      <c r="C1131" s="1430" t="s">
        <v>3449</v>
      </c>
      <c r="D1131" s="1090" t="s">
        <v>534</v>
      </c>
      <c r="E1131" s="5" t="s">
        <v>35</v>
      </c>
      <c r="F1131" s="5" t="s">
        <v>35</v>
      </c>
      <c r="G1131" s="5" t="s">
        <v>567</v>
      </c>
      <c r="H1131" s="5" t="s">
        <v>193</v>
      </c>
      <c r="I1131" s="5" t="str">
        <f>_xlfn.XLOOKUP(sommaire[[#This Row],[Arrondissement_code]],OCHA_GIS!$F:$F,OCHA_GIS!$E:$E,,)</f>
        <v>Mozogo</v>
      </c>
      <c r="J1131" s="5" t="s">
        <v>863</v>
      </c>
      <c r="K1131" t="s">
        <v>550</v>
      </c>
      <c r="L1131" s="5" t="s">
        <v>3191</v>
      </c>
      <c r="M1131" s="5" t="s">
        <v>3191</v>
      </c>
      <c r="N1131" s="5" t="s">
        <v>3053</v>
      </c>
      <c r="O1131" s="5" t="s">
        <v>2473</v>
      </c>
      <c r="P1131" s="5" t="s">
        <v>85</v>
      </c>
      <c r="Q1131" s="5" t="s">
        <v>86</v>
      </c>
      <c r="R1131" s="5" t="s">
        <v>85</v>
      </c>
      <c r="T1131" s="390">
        <v>3</v>
      </c>
      <c r="U1131" s="5" t="s">
        <v>97</v>
      </c>
      <c r="W1131" s="5" t="s">
        <v>2468</v>
      </c>
      <c r="X1131" s="5" t="s">
        <v>102</v>
      </c>
      <c r="AA1131" s="5" t="s">
        <v>85</v>
      </c>
      <c r="AB1131" s="5" t="s">
        <v>2473</v>
      </c>
      <c r="AC1131" s="5" t="s">
        <v>2470</v>
      </c>
      <c r="AF1131" s="5">
        <v>30</v>
      </c>
      <c r="AG1131" s="5">
        <v>150</v>
      </c>
      <c r="AH1131" s="5" t="s">
        <v>85</v>
      </c>
      <c r="AI1131" s="5" t="s">
        <v>2471</v>
      </c>
      <c r="AJ1131" s="5">
        <v>30</v>
      </c>
      <c r="AK1131" s="5">
        <v>150</v>
      </c>
      <c r="AL1131" s="5">
        <v>60</v>
      </c>
      <c r="AM1131" s="5">
        <v>90</v>
      </c>
      <c r="AN1131" s="5">
        <v>30</v>
      </c>
      <c r="AO1131" s="5">
        <v>0</v>
      </c>
      <c r="AP1131" s="5">
        <v>0</v>
      </c>
      <c r="AQ1131" s="5">
        <v>0</v>
      </c>
      <c r="AT1131" s="5">
        <v>0</v>
      </c>
      <c r="AU1131" s="5">
        <v>0</v>
      </c>
      <c r="AX1131" s="5">
        <v>0</v>
      </c>
      <c r="AY1131" s="5" t="s">
        <v>86</v>
      </c>
      <c r="BN1131" s="5" t="s">
        <v>86</v>
      </c>
      <c r="CD1131" s="5">
        <v>0</v>
      </c>
      <c r="CF1131" s="1442" t="str">
        <f>IF([1]!sommaire[[#This Row],[présence des personnes déplacés interne]]="Oui","1","0")</f>
        <v>1</v>
      </c>
      <c r="CG1131" s="1442" t="str">
        <f>IF([1]!sommaire[[#This Row],[présence Réfugié hors camp]]="Oui","1","0")</f>
        <v>0</v>
      </c>
      <c r="CH1131" s="1442" t="str">
        <f>IF([1]!sommaire[[#This Row],[présence personnes retournées]]="Oui","1","0")</f>
        <v>0</v>
      </c>
      <c r="CI1131" s="1442">
        <f>[1]!sommaire[[#This Row],[Flag PDI]]+[1]!sommaire[[#This Row],[Flag REF]]+[1]!sommaire[[#This Row],[Flag RET]]</f>
        <v>1</v>
      </c>
    </row>
    <row r="1132" spans="1:87" ht="14.55" customHeight="1" x14ac:dyDescent="0.3">
      <c r="A1132" s="390">
        <v>2590354</v>
      </c>
      <c r="B1132" s="5" t="s">
        <v>533</v>
      </c>
      <c r="C1132" s="1430" t="s">
        <v>3449</v>
      </c>
      <c r="D1132" s="1090" t="s">
        <v>534</v>
      </c>
      <c r="E1132" s="5" t="s">
        <v>35</v>
      </c>
      <c r="F1132" s="5" t="s">
        <v>35</v>
      </c>
      <c r="G1132" s="5" t="s">
        <v>567</v>
      </c>
      <c r="H1132" s="5" t="s">
        <v>193</v>
      </c>
      <c r="I1132" s="5" t="str">
        <f>_xlfn.XLOOKUP(sommaire[[#This Row],[Arrondissement_code]],OCHA_GIS!$F:$F,OCHA_GIS!$E:$E,,)</f>
        <v>Mozogo</v>
      </c>
      <c r="J1132" s="5" t="s">
        <v>863</v>
      </c>
      <c r="K1132" t="s">
        <v>2675</v>
      </c>
      <c r="L1132" s="5" t="s">
        <v>2207</v>
      </c>
      <c r="N1132" s="5" t="s">
        <v>3052</v>
      </c>
      <c r="O1132" s="5" t="s">
        <v>2467</v>
      </c>
      <c r="P1132" s="5" t="s">
        <v>85</v>
      </c>
      <c r="Q1132" s="5" t="s">
        <v>86</v>
      </c>
      <c r="R1132" s="5" t="s">
        <v>85</v>
      </c>
      <c r="T1132" s="390">
        <v>3</v>
      </c>
      <c r="U1132" s="5" t="s">
        <v>98</v>
      </c>
      <c r="W1132" s="5" t="s">
        <v>2468</v>
      </c>
      <c r="X1132" s="5" t="s">
        <v>103</v>
      </c>
      <c r="Y1132" s="5" t="s">
        <v>2511</v>
      </c>
      <c r="AA1132" s="5" t="s">
        <v>85</v>
      </c>
      <c r="AB1132" s="5" t="s">
        <v>2469</v>
      </c>
      <c r="AC1132" s="5" t="s">
        <v>2470</v>
      </c>
      <c r="AD1132" s="5" t="s">
        <v>86</v>
      </c>
      <c r="AF1132" s="5">
        <v>5</v>
      </c>
      <c r="AG1132" s="5">
        <v>11650</v>
      </c>
      <c r="AH1132" s="5" t="s">
        <v>85</v>
      </c>
      <c r="AI1132" s="5" t="s">
        <v>2485</v>
      </c>
      <c r="AJ1132" s="5">
        <v>5</v>
      </c>
      <c r="AK1132" s="5">
        <v>35</v>
      </c>
      <c r="AL1132" s="5">
        <v>25</v>
      </c>
      <c r="AM1132" s="5">
        <v>10</v>
      </c>
      <c r="AN1132" s="5">
        <v>0</v>
      </c>
      <c r="AO1132" s="5">
        <v>0</v>
      </c>
      <c r="AP1132" s="5">
        <v>5</v>
      </c>
      <c r="AQ1132" s="5">
        <v>0</v>
      </c>
      <c r="AT1132" s="5">
        <v>0</v>
      </c>
      <c r="AU1132" s="5">
        <v>0</v>
      </c>
      <c r="AX1132" s="5">
        <v>0</v>
      </c>
      <c r="AY1132" s="5" t="s">
        <v>85</v>
      </c>
      <c r="AZ1132" s="5">
        <v>520</v>
      </c>
      <c r="BA1132" s="5">
        <v>3118</v>
      </c>
      <c r="BB1132" s="5">
        <v>1379</v>
      </c>
      <c r="BC1132" s="5">
        <v>1739</v>
      </c>
      <c r="BD1132" s="5">
        <v>239</v>
      </c>
      <c r="BE1132" s="5">
        <v>31</v>
      </c>
      <c r="BF1132" s="5">
        <v>100</v>
      </c>
      <c r="BG1132" s="5" t="s">
        <v>2477</v>
      </c>
      <c r="BH1132" s="5">
        <v>0</v>
      </c>
      <c r="BI1132" s="5">
        <v>150</v>
      </c>
      <c r="BJ1132" s="5" t="s">
        <v>2478</v>
      </c>
      <c r="BL1132" s="5">
        <v>0</v>
      </c>
      <c r="BM1132" s="5">
        <v>497</v>
      </c>
      <c r="BN1132" s="5" t="s">
        <v>85</v>
      </c>
      <c r="BO1132" s="5">
        <v>1021</v>
      </c>
      <c r="BP1132" s="5">
        <v>7942</v>
      </c>
      <c r="BQ1132" s="5">
        <v>3923</v>
      </c>
      <c r="BR1132" s="5">
        <v>4019</v>
      </c>
      <c r="BS1132" s="5" t="s">
        <v>2535</v>
      </c>
      <c r="BT1132" s="5">
        <v>273</v>
      </c>
      <c r="BU1132" s="5">
        <v>638</v>
      </c>
      <c r="BV1132" s="5">
        <v>110</v>
      </c>
      <c r="BW1132" s="5">
        <v>0</v>
      </c>
      <c r="BX1132" s="5">
        <v>0</v>
      </c>
      <c r="BZ1132" s="5">
        <v>0</v>
      </c>
      <c r="CA1132" s="5">
        <v>0</v>
      </c>
      <c r="CC1132" s="5">
        <v>0</v>
      </c>
      <c r="CD1132" s="5">
        <v>0</v>
      </c>
      <c r="CF1132" s="1442" t="str">
        <f>IF([1]!sommaire[[#This Row],[présence des personnes déplacés interne]]="Oui","1","0")</f>
        <v>1</v>
      </c>
      <c r="CG1132" s="1442" t="str">
        <f>IF([1]!sommaire[[#This Row],[présence Réfugié hors camp]]="Oui","1","0")</f>
        <v>1</v>
      </c>
      <c r="CH1132" s="1442" t="str">
        <f>IF([1]!sommaire[[#This Row],[présence personnes retournées]]="Oui","1","0")</f>
        <v>1</v>
      </c>
      <c r="CI1132" s="1442">
        <f>[1]!sommaire[[#This Row],[Flag PDI]]+[1]!sommaire[[#This Row],[Flag REF]]+[1]!sommaire[[#This Row],[Flag RET]]</f>
        <v>3</v>
      </c>
    </row>
    <row r="1133" spans="1:87" ht="14.55" customHeight="1" x14ac:dyDescent="0.3">
      <c r="A1133" s="390">
        <v>2643501</v>
      </c>
      <c r="B1133" s="5" t="s">
        <v>533</v>
      </c>
      <c r="C1133" s="1430" t="s">
        <v>3449</v>
      </c>
      <c r="D1133" s="1090" t="s">
        <v>534</v>
      </c>
      <c r="E1133" s="5" t="s">
        <v>35</v>
      </c>
      <c r="F1133" s="5" t="s">
        <v>35</v>
      </c>
      <c r="G1133" s="5" t="s">
        <v>567</v>
      </c>
      <c r="H1133" s="5" t="s">
        <v>193</v>
      </c>
      <c r="I1133" s="5" t="str">
        <f>_xlfn.XLOOKUP(sommaire[[#This Row],[Arrondissement_code]],OCHA_GIS!$F:$F,OCHA_GIS!$E:$E,,)</f>
        <v>Mozogo</v>
      </c>
      <c r="J1133" s="5" t="s">
        <v>863</v>
      </c>
      <c r="K1133" t="s">
        <v>1566</v>
      </c>
      <c r="L1133" s="5" t="s">
        <v>1123</v>
      </c>
      <c r="N1133" s="5" t="s">
        <v>3053</v>
      </c>
      <c r="O1133" s="5" t="s">
        <v>2467</v>
      </c>
      <c r="P1133" s="5" t="s">
        <v>85</v>
      </c>
      <c r="Q1133" s="5" t="s">
        <v>86</v>
      </c>
      <c r="R1133" s="5" t="s">
        <v>86</v>
      </c>
      <c r="T1133" s="390">
        <v>3</v>
      </c>
      <c r="U1133" s="5" t="s">
        <v>97</v>
      </c>
      <c r="W1133" s="5" t="s">
        <v>2468</v>
      </c>
      <c r="X1133" s="5" t="s">
        <v>102</v>
      </c>
      <c r="AA1133" s="5" t="s">
        <v>85</v>
      </c>
      <c r="AB1133" s="5" t="s">
        <v>2469</v>
      </c>
      <c r="AC1133" s="5" t="s">
        <v>2470</v>
      </c>
      <c r="AD1133" s="5" t="s">
        <v>86</v>
      </c>
      <c r="AF1133" s="5">
        <v>108</v>
      </c>
      <c r="AG1133" s="5">
        <v>4413</v>
      </c>
      <c r="AH1133" s="5" t="s">
        <v>85</v>
      </c>
      <c r="AI1133" s="5" t="s">
        <v>2471</v>
      </c>
      <c r="AJ1133" s="5">
        <v>108</v>
      </c>
      <c r="AK1133" s="5">
        <v>500</v>
      </c>
      <c r="AL1133" s="5">
        <v>215</v>
      </c>
      <c r="AM1133" s="5">
        <v>285</v>
      </c>
      <c r="AN1133" s="5">
        <v>0</v>
      </c>
      <c r="AO1133" s="5">
        <v>106</v>
      </c>
      <c r="AP1133" s="5">
        <v>2</v>
      </c>
      <c r="AQ1133" s="5">
        <v>0</v>
      </c>
      <c r="AT1133" s="5">
        <v>0</v>
      </c>
      <c r="AU1133" s="5">
        <v>0</v>
      </c>
      <c r="AX1133" s="5">
        <v>0</v>
      </c>
      <c r="AY1133" s="5" t="s">
        <v>85</v>
      </c>
      <c r="AZ1133" s="5">
        <v>20</v>
      </c>
      <c r="BA1133" s="5">
        <v>102</v>
      </c>
      <c r="BB1133" s="5">
        <v>42</v>
      </c>
      <c r="BC1133" s="5">
        <v>60</v>
      </c>
      <c r="BD1133" s="5">
        <v>0</v>
      </c>
      <c r="BE1133" s="5">
        <v>0</v>
      </c>
      <c r="BF1133" s="5">
        <v>0</v>
      </c>
      <c r="BH1133" s="5">
        <v>0</v>
      </c>
      <c r="BI1133" s="5">
        <v>20</v>
      </c>
      <c r="BJ1133" s="5" t="s">
        <v>2478</v>
      </c>
      <c r="BL1133" s="5">
        <v>0</v>
      </c>
      <c r="BM1133" s="5">
        <v>0</v>
      </c>
      <c r="BN1133" s="5" t="s">
        <v>85</v>
      </c>
      <c r="BO1133" s="5">
        <v>4</v>
      </c>
      <c r="BP1133" s="5">
        <v>4</v>
      </c>
      <c r="BQ1133" s="5">
        <v>4</v>
      </c>
      <c r="BR1133" s="5">
        <v>0</v>
      </c>
      <c r="BS1133" s="5" t="s">
        <v>2492</v>
      </c>
      <c r="BT1133" s="5">
        <v>0</v>
      </c>
      <c r="BU1133" s="5">
        <v>4</v>
      </c>
      <c r="BV1133" s="5">
        <v>0</v>
      </c>
      <c r="BW1133" s="5">
        <v>0</v>
      </c>
      <c r="BX1133" s="5">
        <v>0</v>
      </c>
      <c r="BZ1133" s="5">
        <v>0</v>
      </c>
      <c r="CA1133" s="5">
        <v>0</v>
      </c>
      <c r="CC1133" s="5">
        <v>0</v>
      </c>
      <c r="CD1133" s="5">
        <v>0</v>
      </c>
      <c r="CF1133" s="1442" t="str">
        <f>IF([1]!sommaire[[#This Row],[présence des personnes déplacés interne]]="Oui","1","0")</f>
        <v>1</v>
      </c>
      <c r="CG1133" s="1442" t="str">
        <f>IF([1]!sommaire[[#This Row],[présence Réfugié hors camp]]="Oui","1","0")</f>
        <v>1</v>
      </c>
      <c r="CH1133" s="1442" t="str">
        <f>IF([1]!sommaire[[#This Row],[présence personnes retournées]]="Oui","1","0")</f>
        <v>1</v>
      </c>
      <c r="CI1133" s="1442">
        <f>[1]!sommaire[[#This Row],[Flag PDI]]+[1]!sommaire[[#This Row],[Flag REF]]+[1]!sommaire[[#This Row],[Flag RET]]</f>
        <v>3</v>
      </c>
    </row>
    <row r="1134" spans="1:87" ht="14.55" customHeight="1" x14ac:dyDescent="0.3">
      <c r="A1134" s="390">
        <v>2643511</v>
      </c>
      <c r="B1134" s="5" t="s">
        <v>533</v>
      </c>
      <c r="C1134" s="1430" t="s">
        <v>3449</v>
      </c>
      <c r="D1134" s="1090" t="s">
        <v>534</v>
      </c>
      <c r="E1134" s="5" t="s">
        <v>35</v>
      </c>
      <c r="F1134" s="5" t="s">
        <v>35</v>
      </c>
      <c r="G1134" s="5" t="s">
        <v>567</v>
      </c>
      <c r="H1134" s="5" t="s">
        <v>193</v>
      </c>
      <c r="I1134" s="5" t="str">
        <f>_xlfn.XLOOKUP(sommaire[[#This Row],[Arrondissement_code]],OCHA_GIS!$F:$F,OCHA_GIS!$E:$E,,)</f>
        <v>Mozogo</v>
      </c>
      <c r="J1134" s="5" t="s">
        <v>863</v>
      </c>
      <c r="K1134" t="s">
        <v>2678</v>
      </c>
      <c r="L1134" s="5" t="s">
        <v>2682</v>
      </c>
      <c r="N1134" s="5" t="s">
        <v>3053</v>
      </c>
      <c r="O1134" s="5" t="s">
        <v>2467</v>
      </c>
      <c r="P1134" s="5" t="s">
        <v>86</v>
      </c>
      <c r="Q1134" s="5" t="s">
        <v>86</v>
      </c>
      <c r="R1134" s="5" t="s">
        <v>85</v>
      </c>
      <c r="U1134" s="5" t="s">
        <v>98</v>
      </c>
      <c r="W1134" s="5" t="s">
        <v>2482</v>
      </c>
      <c r="AA1134" s="5" t="s">
        <v>86</v>
      </c>
      <c r="AH1134" s="1430" t="s">
        <v>86</v>
      </c>
      <c r="AY1134" s="1430" t="s">
        <v>86</v>
      </c>
      <c r="BN1134" s="1430" t="s">
        <v>86</v>
      </c>
      <c r="CF1134" s="1442" t="str">
        <f>IF([1]!sommaire[[#This Row],[présence des personnes déplacés interne]]="Oui","1","0")</f>
        <v>0</v>
      </c>
      <c r="CG1134" s="1442" t="str">
        <f>IF([1]!sommaire[[#This Row],[présence Réfugié hors camp]]="Oui","1","0")</f>
        <v>0</v>
      </c>
      <c r="CH1134" s="1442" t="str">
        <f>IF([1]!sommaire[[#This Row],[présence personnes retournées]]="Oui","1","0")</f>
        <v>0</v>
      </c>
      <c r="CI1134" s="1442">
        <f>[1]!sommaire[[#This Row],[Flag PDI]]+[1]!sommaire[[#This Row],[Flag REF]]+[1]!sommaire[[#This Row],[Flag RET]]</f>
        <v>0</v>
      </c>
    </row>
    <row r="1135" spans="1:87" ht="14.55" customHeight="1" x14ac:dyDescent="0.3">
      <c r="A1135" s="390">
        <v>2643517</v>
      </c>
      <c r="B1135" s="5" t="s">
        <v>533</v>
      </c>
      <c r="C1135" s="1430" t="s">
        <v>3449</v>
      </c>
      <c r="D1135" s="1090" t="s">
        <v>534</v>
      </c>
      <c r="E1135" s="5" t="s">
        <v>35</v>
      </c>
      <c r="F1135" s="5" t="s">
        <v>35</v>
      </c>
      <c r="G1135" s="5" t="s">
        <v>567</v>
      </c>
      <c r="H1135" s="5" t="s">
        <v>193</v>
      </c>
      <c r="I1135" s="5" t="str">
        <f>_xlfn.XLOOKUP(sommaire[[#This Row],[Arrondissement_code]],OCHA_GIS!$F:$F,OCHA_GIS!$E:$E,,)</f>
        <v>Mozogo</v>
      </c>
      <c r="J1135" s="5" t="s">
        <v>863</v>
      </c>
      <c r="K1135" t="s">
        <v>2855</v>
      </c>
      <c r="L1135" s="5" t="s">
        <v>2278</v>
      </c>
      <c r="N1135" s="5" t="s">
        <v>3053</v>
      </c>
      <c r="O1135" s="5" t="s">
        <v>2467</v>
      </c>
      <c r="P1135" s="5" t="s">
        <v>85</v>
      </c>
      <c r="Q1135" s="5" t="s">
        <v>86</v>
      </c>
      <c r="R1135" s="5" t="s">
        <v>86</v>
      </c>
      <c r="T1135" s="1190">
        <v>3</v>
      </c>
      <c r="U1135" s="5" t="s">
        <v>100</v>
      </c>
      <c r="W1135" s="5" t="s">
        <v>2468</v>
      </c>
      <c r="X1135" s="5" t="s">
        <v>103</v>
      </c>
      <c r="Y1135" s="5" t="s">
        <v>2511</v>
      </c>
      <c r="AA1135" s="5" t="s">
        <v>85</v>
      </c>
      <c r="AB1135" s="5" t="s">
        <v>2469</v>
      </c>
      <c r="AC1135" s="5" t="s">
        <v>2470</v>
      </c>
      <c r="AD1135" s="5" t="s">
        <v>86</v>
      </c>
      <c r="AF1135" s="5">
        <v>90</v>
      </c>
      <c r="AG1135" s="5">
        <v>1037</v>
      </c>
      <c r="AH1135" s="5" t="s">
        <v>85</v>
      </c>
      <c r="AI1135" s="5" t="s">
        <v>2471</v>
      </c>
      <c r="AJ1135" s="5">
        <v>90</v>
      </c>
      <c r="AK1135" s="5">
        <v>544</v>
      </c>
      <c r="AL1135" s="5">
        <v>256</v>
      </c>
      <c r="AM1135" s="5">
        <v>288</v>
      </c>
      <c r="AN1135" s="5">
        <v>0</v>
      </c>
      <c r="AO1135" s="5">
        <v>90</v>
      </c>
      <c r="AP1135" s="5">
        <v>0</v>
      </c>
      <c r="AQ1135" s="5">
        <v>0</v>
      </c>
      <c r="AT1135" s="5">
        <v>0</v>
      </c>
      <c r="AU1135" s="5">
        <v>0</v>
      </c>
      <c r="AX1135" s="5">
        <v>0</v>
      </c>
      <c r="AY1135" s="5" t="s">
        <v>86</v>
      </c>
      <c r="BN1135" s="5" t="s">
        <v>86</v>
      </c>
      <c r="CD1135" s="5">
        <v>0</v>
      </c>
      <c r="CF1135" s="1442" t="str">
        <f>IF([1]!sommaire[[#This Row],[présence des personnes déplacés interne]]="Oui","1","0")</f>
        <v>1</v>
      </c>
      <c r="CG1135" s="1442" t="str">
        <f>IF([1]!sommaire[[#This Row],[présence Réfugié hors camp]]="Oui","1","0")</f>
        <v>0</v>
      </c>
      <c r="CH1135" s="1442" t="str">
        <f>IF([1]!sommaire[[#This Row],[présence personnes retournées]]="Oui","1","0")</f>
        <v>0</v>
      </c>
      <c r="CI1135" s="1442">
        <f>[1]!sommaire[[#This Row],[Flag PDI]]+[1]!sommaire[[#This Row],[Flag REF]]+[1]!sommaire[[#This Row],[Flag RET]]</f>
        <v>1</v>
      </c>
    </row>
    <row r="1136" spans="1:87" ht="14.55" customHeight="1" x14ac:dyDescent="0.3">
      <c r="A1136" s="390">
        <v>2585676</v>
      </c>
      <c r="B1136" s="5" t="s">
        <v>533</v>
      </c>
      <c r="C1136" s="1430" t="s">
        <v>3449</v>
      </c>
      <c r="D1136" s="1090" t="s">
        <v>534</v>
      </c>
      <c r="E1136" s="5" t="s">
        <v>35</v>
      </c>
      <c r="F1136" s="5" t="s">
        <v>35</v>
      </c>
      <c r="G1136" s="5" t="s">
        <v>567</v>
      </c>
      <c r="H1136" s="5" t="s">
        <v>193</v>
      </c>
      <c r="I1136" s="5" t="str">
        <f>_xlfn.XLOOKUP(sommaire[[#This Row],[Arrondissement_code]],OCHA_GIS!$F:$F,OCHA_GIS!$E:$E,,)</f>
        <v>Mozogo</v>
      </c>
      <c r="J1136" s="5" t="s">
        <v>863</v>
      </c>
      <c r="K1136" t="s">
        <v>2673</v>
      </c>
      <c r="L1136" s="5" t="s">
        <v>1599</v>
      </c>
      <c r="N1136" s="5" t="s">
        <v>3053</v>
      </c>
      <c r="O1136" s="5" t="s">
        <v>2467</v>
      </c>
      <c r="P1136" s="5" t="s">
        <v>86</v>
      </c>
      <c r="Q1136" s="5" t="s">
        <v>86</v>
      </c>
      <c r="R1136" s="5" t="s">
        <v>85</v>
      </c>
      <c r="U1136" s="5" t="s">
        <v>97</v>
      </c>
      <c r="W1136" s="5" t="s">
        <v>2482</v>
      </c>
      <c r="AA1136" s="5" t="s">
        <v>86</v>
      </c>
      <c r="AH1136" s="1430" t="s">
        <v>86</v>
      </c>
      <c r="AY1136" s="1430" t="s">
        <v>86</v>
      </c>
      <c r="BN1136" s="1430" t="s">
        <v>86</v>
      </c>
      <c r="CF1136" s="1442" t="str">
        <f>IF([1]!sommaire[[#This Row],[présence des personnes déplacés interne]]="Oui","1","0")</f>
        <v>0</v>
      </c>
      <c r="CG1136" s="1442" t="str">
        <f>IF([1]!sommaire[[#This Row],[présence Réfugié hors camp]]="Oui","1","0")</f>
        <v>0</v>
      </c>
      <c r="CH1136" s="1442" t="str">
        <f>IF([1]!sommaire[[#This Row],[présence personnes retournées]]="Oui","1","0")</f>
        <v>0</v>
      </c>
      <c r="CI1136" s="1442">
        <f>[1]!sommaire[[#This Row],[Flag PDI]]+[1]!sommaire[[#This Row],[Flag REF]]+[1]!sommaire[[#This Row],[Flag RET]]</f>
        <v>0</v>
      </c>
    </row>
    <row r="1137" spans="1:87" ht="14.55" customHeight="1" x14ac:dyDescent="0.3">
      <c r="A1137" s="390">
        <v>2632286</v>
      </c>
      <c r="B1137" s="5" t="s">
        <v>533</v>
      </c>
      <c r="C1137" s="1430" t="s">
        <v>3449</v>
      </c>
      <c r="D1137" s="1090" t="s">
        <v>534</v>
      </c>
      <c r="E1137" s="5" t="s">
        <v>35</v>
      </c>
      <c r="F1137" s="5" t="s">
        <v>35</v>
      </c>
      <c r="G1137" s="5" t="s">
        <v>567</v>
      </c>
      <c r="H1137" s="5" t="s">
        <v>193</v>
      </c>
      <c r="I1137" s="5" t="str">
        <f>_xlfn.XLOOKUP(sommaire[[#This Row],[Arrondissement_code]],OCHA_GIS!$F:$F,OCHA_GIS!$E:$E,,)</f>
        <v>Mozogo</v>
      </c>
      <c r="J1137" s="5" t="s">
        <v>863</v>
      </c>
      <c r="K1137" t="s">
        <v>994</v>
      </c>
      <c r="L1137" s="5" t="s">
        <v>1608</v>
      </c>
      <c r="N1137" s="5" t="s">
        <v>3053</v>
      </c>
      <c r="O1137" s="5" t="s">
        <v>2467</v>
      </c>
      <c r="P1137" s="5" t="s">
        <v>85</v>
      </c>
      <c r="Q1137" s="5" t="s">
        <v>86</v>
      </c>
      <c r="R1137" s="5" t="s">
        <v>86</v>
      </c>
      <c r="T1137" s="390">
        <v>3</v>
      </c>
      <c r="U1137" s="5" t="s">
        <v>97</v>
      </c>
      <c r="W1137" s="5" t="s">
        <v>2468</v>
      </c>
      <c r="X1137" s="1090" t="s">
        <v>102</v>
      </c>
      <c r="AA1137" s="1090" t="s">
        <v>85</v>
      </c>
      <c r="AB1137" s="5" t="s">
        <v>2469</v>
      </c>
      <c r="AC1137" s="5" t="s">
        <v>2470</v>
      </c>
      <c r="AD1137" s="5" t="s">
        <v>86</v>
      </c>
      <c r="AF1137" s="5">
        <v>62</v>
      </c>
      <c r="AG1137" s="5">
        <v>1445</v>
      </c>
      <c r="AH1137" s="5" t="s">
        <v>85</v>
      </c>
      <c r="AI1137" s="5" t="s">
        <v>2471</v>
      </c>
      <c r="AJ1137" s="5">
        <v>62</v>
      </c>
      <c r="AK1137" s="5">
        <v>361</v>
      </c>
      <c r="AL1137" s="5">
        <v>121</v>
      </c>
      <c r="AM1137" s="5">
        <v>240</v>
      </c>
      <c r="AN1137" s="5">
        <v>0</v>
      </c>
      <c r="AO1137" s="5">
        <v>62</v>
      </c>
      <c r="AP1137" s="5">
        <v>0</v>
      </c>
      <c r="AQ1137" s="5">
        <v>0</v>
      </c>
      <c r="AT1137" s="5">
        <v>0</v>
      </c>
      <c r="AU1137" s="5">
        <v>0</v>
      </c>
      <c r="AX1137" s="5">
        <v>0</v>
      </c>
      <c r="AY1137" s="1090" t="s">
        <v>86</v>
      </c>
      <c r="BN1137" s="1090" t="s">
        <v>85</v>
      </c>
      <c r="BO1137" s="5">
        <v>20</v>
      </c>
      <c r="BP1137" s="5">
        <v>135</v>
      </c>
      <c r="BQ1137" s="5">
        <v>45</v>
      </c>
      <c r="BR1137" s="5">
        <v>90</v>
      </c>
      <c r="BS1137" s="5" t="s">
        <v>2479</v>
      </c>
      <c r="BT1137" s="5">
        <v>0</v>
      </c>
      <c r="BU1137" s="5">
        <v>20</v>
      </c>
      <c r="BV1137" s="5">
        <v>0</v>
      </c>
      <c r="BW1137" s="5">
        <v>0</v>
      </c>
      <c r="BX1137" s="5">
        <v>0</v>
      </c>
      <c r="BZ1137" s="5">
        <v>0</v>
      </c>
      <c r="CA1137" s="5">
        <v>0</v>
      </c>
      <c r="CC1137" s="5">
        <v>0</v>
      </c>
      <c r="CD1137" s="5">
        <v>0</v>
      </c>
      <c r="CF1137" s="1442" t="str">
        <f>IF([1]!sommaire[[#This Row],[présence des personnes déplacés interne]]="Oui","1","0")</f>
        <v>1</v>
      </c>
      <c r="CG1137" s="1442" t="str">
        <f>IF([1]!sommaire[[#This Row],[présence Réfugié hors camp]]="Oui","1","0")</f>
        <v>0</v>
      </c>
      <c r="CH1137" s="1442" t="str">
        <f>IF([1]!sommaire[[#This Row],[présence personnes retournées]]="Oui","1","0")</f>
        <v>1</v>
      </c>
      <c r="CI1137" s="1442">
        <f>[1]!sommaire[[#This Row],[Flag PDI]]+[1]!sommaire[[#This Row],[Flag REF]]+[1]!sommaire[[#This Row],[Flag RET]]</f>
        <v>2</v>
      </c>
    </row>
    <row r="1138" spans="1:87" ht="14.55" customHeight="1" x14ac:dyDescent="0.3">
      <c r="A1138" s="390">
        <v>2632288</v>
      </c>
      <c r="B1138" s="5" t="s">
        <v>533</v>
      </c>
      <c r="C1138" s="1430" t="s">
        <v>3449</v>
      </c>
      <c r="D1138" s="1090" t="s">
        <v>534</v>
      </c>
      <c r="E1138" s="5" t="s">
        <v>35</v>
      </c>
      <c r="F1138" s="5" t="s">
        <v>35</v>
      </c>
      <c r="G1138" s="5" t="s">
        <v>567</v>
      </c>
      <c r="H1138" s="5" t="s">
        <v>193</v>
      </c>
      <c r="I1138" s="5" t="str">
        <f>_xlfn.XLOOKUP(sommaire[[#This Row],[Arrondissement_code]],OCHA_GIS!$F:$F,OCHA_GIS!$E:$E,,)</f>
        <v>Mozogo</v>
      </c>
      <c r="J1138" s="5" t="s">
        <v>863</v>
      </c>
      <c r="K1138" t="s">
        <v>1571</v>
      </c>
      <c r="L1138" s="5" t="s">
        <v>1572</v>
      </c>
      <c r="N1138" s="5" t="s">
        <v>3053</v>
      </c>
      <c r="O1138" s="5" t="s">
        <v>2467</v>
      </c>
      <c r="P1138" s="5" t="s">
        <v>85</v>
      </c>
      <c r="Q1138" s="5" t="s">
        <v>86</v>
      </c>
      <c r="R1138" s="5" t="s">
        <v>86</v>
      </c>
      <c r="T1138" s="390">
        <v>3</v>
      </c>
      <c r="U1138" s="5" t="s">
        <v>97</v>
      </c>
      <c r="W1138" s="5" t="s">
        <v>2520</v>
      </c>
      <c r="X1138" s="5" t="s">
        <v>103</v>
      </c>
      <c r="Y1138" s="5" t="s">
        <v>2511</v>
      </c>
      <c r="AA1138" s="5" t="s">
        <v>85</v>
      </c>
      <c r="AB1138" s="5" t="s">
        <v>2469</v>
      </c>
      <c r="AC1138" s="5" t="s">
        <v>2470</v>
      </c>
      <c r="AD1138" s="5" t="s">
        <v>86</v>
      </c>
      <c r="AF1138" s="5">
        <v>116</v>
      </c>
      <c r="AG1138" s="5">
        <v>2430</v>
      </c>
      <c r="AH1138" s="5" t="s">
        <v>85</v>
      </c>
      <c r="AI1138" s="5" t="s">
        <v>2471</v>
      </c>
      <c r="AJ1138" s="5">
        <v>116</v>
      </c>
      <c r="AK1138" s="5">
        <v>559</v>
      </c>
      <c r="AL1138" s="5">
        <v>193</v>
      </c>
      <c r="AM1138" s="5">
        <v>366</v>
      </c>
      <c r="AN1138" s="5">
        <v>0</v>
      </c>
      <c r="AO1138" s="5">
        <v>91</v>
      </c>
      <c r="AP1138" s="5">
        <v>0</v>
      </c>
      <c r="AQ1138" s="5">
        <v>0</v>
      </c>
      <c r="AT1138" s="5">
        <v>15</v>
      </c>
      <c r="AU1138" s="5">
        <v>10</v>
      </c>
      <c r="AV1138" s="5" t="s">
        <v>2478</v>
      </c>
      <c r="AX1138" s="5">
        <v>0</v>
      </c>
      <c r="AY1138" s="5" t="s">
        <v>86</v>
      </c>
      <c r="BN1138" s="5" t="s">
        <v>85</v>
      </c>
      <c r="BO1138" s="5">
        <v>66</v>
      </c>
      <c r="BP1138" s="5">
        <v>367</v>
      </c>
      <c r="BQ1138" s="5">
        <v>177</v>
      </c>
      <c r="BR1138" s="5">
        <v>190</v>
      </c>
      <c r="BS1138" s="5" t="s">
        <v>2479</v>
      </c>
      <c r="BT1138" s="5">
        <v>0</v>
      </c>
      <c r="BU1138" s="5">
        <v>66</v>
      </c>
      <c r="BV1138" s="5">
        <v>0</v>
      </c>
      <c r="BW1138" s="5">
        <v>0</v>
      </c>
      <c r="BX1138" s="5">
        <v>0</v>
      </c>
      <c r="BZ1138" s="5">
        <v>0</v>
      </c>
      <c r="CA1138" s="5">
        <v>0</v>
      </c>
      <c r="CC1138" s="5">
        <v>0</v>
      </c>
      <c r="CD1138" s="5">
        <v>0</v>
      </c>
      <c r="CF1138" s="1442" t="str">
        <f>IF([1]!sommaire[[#This Row],[présence des personnes déplacés interne]]="Oui","1","0")</f>
        <v>1</v>
      </c>
      <c r="CG1138" s="1442" t="str">
        <f>IF([1]!sommaire[[#This Row],[présence Réfugié hors camp]]="Oui","1","0")</f>
        <v>0</v>
      </c>
      <c r="CH1138" s="1442" t="str">
        <f>IF([1]!sommaire[[#This Row],[présence personnes retournées]]="Oui","1","0")</f>
        <v>1</v>
      </c>
      <c r="CI1138" s="1442">
        <f>[1]!sommaire[[#This Row],[Flag PDI]]+[1]!sommaire[[#This Row],[Flag REF]]+[1]!sommaire[[#This Row],[Flag RET]]</f>
        <v>2</v>
      </c>
    </row>
    <row r="1139" spans="1:87" ht="14.55" customHeight="1" x14ac:dyDescent="0.3">
      <c r="A1139" s="390">
        <v>2606054</v>
      </c>
      <c r="B1139" s="5" t="s">
        <v>533</v>
      </c>
      <c r="C1139" s="1430" t="s">
        <v>3449</v>
      </c>
      <c r="D1139" s="5" t="s">
        <v>534</v>
      </c>
      <c r="E1139" s="5" t="s">
        <v>35</v>
      </c>
      <c r="F1139" s="5" t="s">
        <v>35</v>
      </c>
      <c r="G1139" s="5" t="s">
        <v>567</v>
      </c>
      <c r="H1139" s="5" t="s">
        <v>193</v>
      </c>
      <c r="I1139" s="5" t="str">
        <f>_xlfn.XLOOKUP(sommaire[[#This Row],[Arrondissement_code]],OCHA_GIS!$F:$F,OCHA_GIS!$E:$E,,)</f>
        <v>Mozogo</v>
      </c>
      <c r="J1139" s="5" t="s">
        <v>863</v>
      </c>
      <c r="K1139" t="s">
        <v>2677</v>
      </c>
      <c r="L1139" s="5" t="s">
        <v>1585</v>
      </c>
      <c r="N1139" s="5" t="s">
        <v>3052</v>
      </c>
      <c r="O1139" s="5" t="s">
        <v>2467</v>
      </c>
      <c r="P1139" s="5" t="s">
        <v>85</v>
      </c>
      <c r="Q1139" s="5" t="s">
        <v>86</v>
      </c>
      <c r="R1139" s="5" t="s">
        <v>86</v>
      </c>
      <c r="T1139" s="390">
        <v>3</v>
      </c>
      <c r="U1139" s="5" t="s">
        <v>97</v>
      </c>
      <c r="W1139" s="5" t="s">
        <v>2468</v>
      </c>
      <c r="X1139" s="1090" t="s">
        <v>102</v>
      </c>
      <c r="AA1139" s="1090" t="s">
        <v>85</v>
      </c>
      <c r="AB1139" s="5" t="s">
        <v>2469</v>
      </c>
      <c r="AC1139" s="5" t="s">
        <v>312</v>
      </c>
      <c r="AD1139" s="5" t="s">
        <v>86</v>
      </c>
      <c r="AF1139" s="5">
        <v>74</v>
      </c>
      <c r="AG1139" s="5">
        <v>6012</v>
      </c>
      <c r="AH1139" s="5" t="s">
        <v>85</v>
      </c>
      <c r="AI1139" s="5" t="s">
        <v>2471</v>
      </c>
      <c r="AJ1139" s="5">
        <v>74</v>
      </c>
      <c r="AK1139" s="5">
        <v>300</v>
      </c>
      <c r="AL1139" s="5">
        <v>112</v>
      </c>
      <c r="AM1139" s="5">
        <v>188</v>
      </c>
      <c r="AN1139" s="5">
        <v>0</v>
      </c>
      <c r="AO1139" s="5">
        <v>68</v>
      </c>
      <c r="AP1139" s="5">
        <v>0</v>
      </c>
      <c r="AQ1139" s="5">
        <v>6</v>
      </c>
      <c r="AR1139" s="5" t="s">
        <v>2477</v>
      </c>
      <c r="AT1139" s="5">
        <v>0</v>
      </c>
      <c r="AU1139" s="5">
        <v>0</v>
      </c>
      <c r="AX1139" s="5">
        <v>0</v>
      </c>
      <c r="AY1139" s="1090" t="s">
        <v>85</v>
      </c>
      <c r="AZ1139" s="5">
        <v>2</v>
      </c>
      <c r="BA1139" s="5">
        <v>5</v>
      </c>
      <c r="BB1139" s="5">
        <v>2</v>
      </c>
      <c r="BC1139" s="5">
        <v>3</v>
      </c>
      <c r="BD1139" s="5">
        <v>2</v>
      </c>
      <c r="BE1139" s="5">
        <v>0</v>
      </c>
      <c r="BF1139" s="5">
        <v>0</v>
      </c>
      <c r="BH1139" s="5">
        <v>0</v>
      </c>
      <c r="BI1139" s="5">
        <v>0</v>
      </c>
      <c r="BL1139" s="5">
        <v>0</v>
      </c>
      <c r="BM1139" s="5">
        <v>0</v>
      </c>
      <c r="BN1139" s="1090" t="s">
        <v>85</v>
      </c>
      <c r="BO1139" s="5">
        <v>64</v>
      </c>
      <c r="BP1139" s="5">
        <v>329</v>
      </c>
      <c r="BQ1139" s="5">
        <v>150</v>
      </c>
      <c r="BR1139" s="5">
        <v>179</v>
      </c>
      <c r="BS1139" s="5" t="s">
        <v>2535</v>
      </c>
      <c r="BT1139" s="5">
        <v>0</v>
      </c>
      <c r="BU1139" s="5">
        <v>24</v>
      </c>
      <c r="BV1139" s="5">
        <v>40</v>
      </c>
      <c r="BW1139" s="5">
        <v>0</v>
      </c>
      <c r="BX1139" s="5">
        <v>0</v>
      </c>
      <c r="BZ1139" s="5">
        <v>0</v>
      </c>
      <c r="CA1139" s="5">
        <v>0</v>
      </c>
      <c r="CC1139" s="5">
        <v>0</v>
      </c>
      <c r="CD1139" s="5">
        <v>0</v>
      </c>
      <c r="CF1139" s="1442" t="str">
        <f>IF([1]!sommaire[[#This Row],[présence des personnes déplacés interne]]="Oui","1","0")</f>
        <v>1</v>
      </c>
      <c r="CG1139" s="1442" t="str">
        <f>IF([1]!sommaire[[#This Row],[présence Réfugié hors camp]]="Oui","1","0")</f>
        <v>1</v>
      </c>
      <c r="CH1139" s="1442" t="str">
        <f>IF([1]!sommaire[[#This Row],[présence personnes retournées]]="Oui","1","0")</f>
        <v>1</v>
      </c>
      <c r="CI1139" s="1442">
        <f>[1]!sommaire[[#This Row],[Flag PDI]]+[1]!sommaire[[#This Row],[Flag REF]]+[1]!sommaire[[#This Row],[Flag RET]]</f>
        <v>3</v>
      </c>
    </row>
    <row r="1140" spans="1:87" ht="14.55" customHeight="1" x14ac:dyDescent="0.3">
      <c r="A1140" s="390">
        <v>2585677</v>
      </c>
      <c r="B1140" s="5" t="s">
        <v>533</v>
      </c>
      <c r="C1140" s="1430" t="s">
        <v>3449</v>
      </c>
      <c r="D1140" s="1090" t="s">
        <v>534</v>
      </c>
      <c r="E1140" s="5" t="s">
        <v>35</v>
      </c>
      <c r="F1140" s="5" t="s">
        <v>35</v>
      </c>
      <c r="G1140" s="5" t="s">
        <v>567</v>
      </c>
      <c r="H1140" s="5" t="s">
        <v>193</v>
      </c>
      <c r="I1140" s="5" t="str">
        <f>_xlfn.XLOOKUP(sommaire[[#This Row],[Arrondissement_code]],OCHA_GIS!$F:$F,OCHA_GIS!$E:$E,,)</f>
        <v>Mozogo</v>
      </c>
      <c r="J1140" s="5" t="s">
        <v>863</v>
      </c>
      <c r="K1140" t="s">
        <v>2671</v>
      </c>
      <c r="L1140" s="5" t="s">
        <v>2672</v>
      </c>
      <c r="N1140" s="5" t="s">
        <v>3053</v>
      </c>
      <c r="O1140" s="5" t="s">
        <v>2467</v>
      </c>
      <c r="P1140" s="5" t="s">
        <v>86</v>
      </c>
      <c r="Q1140" s="5" t="s">
        <v>86</v>
      </c>
      <c r="R1140" s="5" t="s">
        <v>85</v>
      </c>
      <c r="U1140" s="5" t="s">
        <v>98</v>
      </c>
      <c r="W1140" s="1090" t="s">
        <v>2482</v>
      </c>
      <c r="X1140" s="1090"/>
      <c r="AA1140" s="5" t="s">
        <v>86</v>
      </c>
      <c r="AH1140" s="1430" t="s">
        <v>86</v>
      </c>
      <c r="AY1140" s="1430" t="s">
        <v>86</v>
      </c>
      <c r="BN1140" s="1430" t="s">
        <v>86</v>
      </c>
      <c r="CF1140" s="1442" t="str">
        <f>IF([1]!sommaire[[#This Row],[présence des personnes déplacés interne]]="Oui","1","0")</f>
        <v>0</v>
      </c>
      <c r="CG1140" s="1442" t="str">
        <f>IF([1]!sommaire[[#This Row],[présence Réfugié hors camp]]="Oui","1","0")</f>
        <v>0</v>
      </c>
      <c r="CH1140" s="1442" t="str">
        <f>IF([1]!sommaire[[#This Row],[présence personnes retournées]]="Oui","1","0")</f>
        <v>0</v>
      </c>
      <c r="CI1140" s="1442">
        <f>[1]!sommaire[[#This Row],[Flag PDI]]+[1]!sommaire[[#This Row],[Flag REF]]+[1]!sommaire[[#This Row],[Flag RET]]</f>
        <v>0</v>
      </c>
    </row>
    <row r="1141" spans="1:87" ht="14.55" customHeight="1" x14ac:dyDescent="0.3">
      <c r="A1141" s="390">
        <v>2632285</v>
      </c>
      <c r="B1141" s="5" t="s">
        <v>533</v>
      </c>
      <c r="C1141" s="1430" t="s">
        <v>3449</v>
      </c>
      <c r="D1141" s="1090" t="s">
        <v>534</v>
      </c>
      <c r="E1141" s="5" t="s">
        <v>35</v>
      </c>
      <c r="F1141" s="5" t="s">
        <v>35</v>
      </c>
      <c r="G1141" s="5" t="s">
        <v>567</v>
      </c>
      <c r="H1141" s="5" t="s">
        <v>193</v>
      </c>
      <c r="I1141" s="5" t="str">
        <f>_xlfn.XLOOKUP(sommaire[[#This Row],[Arrondissement_code]],OCHA_GIS!$F:$F,OCHA_GIS!$E:$E,,)</f>
        <v>Mozogo</v>
      </c>
      <c r="J1141" s="5" t="s">
        <v>863</v>
      </c>
      <c r="K1141" t="s">
        <v>1598</v>
      </c>
      <c r="L1141" s="5" t="s">
        <v>1581</v>
      </c>
      <c r="N1141" s="5" t="s">
        <v>3053</v>
      </c>
      <c r="O1141" s="5" t="s">
        <v>2467</v>
      </c>
      <c r="P1141" s="5" t="s">
        <v>85</v>
      </c>
      <c r="Q1141" s="5" t="s">
        <v>86</v>
      </c>
      <c r="R1141" s="5" t="s">
        <v>85</v>
      </c>
      <c r="T1141" s="390">
        <v>3</v>
      </c>
      <c r="U1141" s="5" t="s">
        <v>97</v>
      </c>
      <c r="W1141" s="5" t="s">
        <v>2482</v>
      </c>
      <c r="AA1141" s="5" t="s">
        <v>86</v>
      </c>
      <c r="AH1141" s="1430" t="s">
        <v>86</v>
      </c>
      <c r="AY1141" s="1430" t="s">
        <v>86</v>
      </c>
      <c r="BN1141" s="1430" t="s">
        <v>86</v>
      </c>
      <c r="CF1141" s="1442" t="str">
        <f>IF([1]!sommaire[[#This Row],[présence des personnes déplacés interne]]="Oui","1","0")</f>
        <v>0</v>
      </c>
      <c r="CG1141" s="1442" t="str">
        <f>IF([1]!sommaire[[#This Row],[présence Réfugié hors camp]]="Oui","1","0")</f>
        <v>0</v>
      </c>
      <c r="CH1141" s="1442" t="str">
        <f>IF([1]!sommaire[[#This Row],[présence personnes retournées]]="Oui","1","0")</f>
        <v>0</v>
      </c>
      <c r="CI1141" s="1442">
        <f>[1]!sommaire[[#This Row],[Flag PDI]]+[1]!sommaire[[#This Row],[Flag REF]]+[1]!sommaire[[#This Row],[Flag RET]]</f>
        <v>0</v>
      </c>
    </row>
    <row r="1142" spans="1:87" ht="14.55" customHeight="1" x14ac:dyDescent="0.3">
      <c r="A1142" s="390">
        <v>2695392</v>
      </c>
      <c r="B1142" s="5" t="s">
        <v>533</v>
      </c>
      <c r="C1142" s="1430" t="s">
        <v>3449</v>
      </c>
      <c r="D1142" s="1090" t="s">
        <v>534</v>
      </c>
      <c r="E1142" s="5" t="s">
        <v>35</v>
      </c>
      <c r="F1142" s="5" t="s">
        <v>35</v>
      </c>
      <c r="G1142" s="5" t="s">
        <v>567</v>
      </c>
      <c r="H1142" s="5" t="s">
        <v>193</v>
      </c>
      <c r="I1142" s="5" t="str">
        <f>_xlfn.XLOOKUP(sommaire[[#This Row],[Arrondissement_code]],OCHA_GIS!$F:$F,OCHA_GIS!$E:$E,,)</f>
        <v>Mozogo</v>
      </c>
      <c r="J1142" s="5" t="s">
        <v>863</v>
      </c>
      <c r="K1142" t="s">
        <v>2902</v>
      </c>
      <c r="L1142" s="5" t="s">
        <v>1643</v>
      </c>
      <c r="N1142" s="5" t="s">
        <v>3053</v>
      </c>
      <c r="O1142" s="5" t="s">
        <v>2467</v>
      </c>
      <c r="P1142" s="5" t="s">
        <v>85</v>
      </c>
      <c r="Q1142" s="5" t="s">
        <v>86</v>
      </c>
      <c r="R1142" s="5" t="s">
        <v>85</v>
      </c>
      <c r="T1142" s="390">
        <v>3</v>
      </c>
      <c r="U1142" s="5" t="s">
        <v>97</v>
      </c>
      <c r="W1142" s="5" t="s">
        <v>2468</v>
      </c>
      <c r="X1142" s="5" t="s">
        <v>103</v>
      </c>
      <c r="Y1142" s="5" t="s">
        <v>2511</v>
      </c>
      <c r="AA1142" s="5" t="s">
        <v>85</v>
      </c>
      <c r="AB1142" s="5" t="s">
        <v>2469</v>
      </c>
      <c r="AC1142" s="5" t="s">
        <v>312</v>
      </c>
      <c r="AD1142" s="5" t="s">
        <v>86</v>
      </c>
      <c r="AF1142" s="5">
        <v>19</v>
      </c>
      <c r="AG1142" s="5">
        <v>327</v>
      </c>
      <c r="AH1142" s="5" t="s">
        <v>85</v>
      </c>
      <c r="AI1142" s="5" t="s">
        <v>2485</v>
      </c>
      <c r="AJ1142" s="5">
        <v>19</v>
      </c>
      <c r="AK1142" s="5">
        <v>129</v>
      </c>
      <c r="AL1142" s="5">
        <v>57</v>
      </c>
      <c r="AM1142" s="5">
        <v>72</v>
      </c>
      <c r="AN1142" s="5">
        <v>6</v>
      </c>
      <c r="AO1142" s="5">
        <v>13</v>
      </c>
      <c r="AP1142" s="5">
        <v>0</v>
      </c>
      <c r="AQ1142" s="5">
        <v>0</v>
      </c>
      <c r="AT1142" s="5">
        <v>0</v>
      </c>
      <c r="AU1142" s="5">
        <v>0</v>
      </c>
      <c r="AX1142" s="5">
        <v>0</v>
      </c>
      <c r="AY1142" s="5" t="s">
        <v>86</v>
      </c>
      <c r="BN1142" s="5" t="s">
        <v>85</v>
      </c>
      <c r="BO1142" s="5">
        <v>16</v>
      </c>
      <c r="BP1142" s="5">
        <v>126</v>
      </c>
      <c r="BQ1142" s="5">
        <v>51</v>
      </c>
      <c r="BR1142" s="5">
        <v>75</v>
      </c>
      <c r="BS1142" s="5" t="s">
        <v>2535</v>
      </c>
      <c r="BT1142" s="5">
        <v>6</v>
      </c>
      <c r="BU1142" s="5">
        <v>3</v>
      </c>
      <c r="BV1142" s="5">
        <v>7</v>
      </c>
      <c r="BW1142" s="5">
        <v>0</v>
      </c>
      <c r="BX1142" s="5">
        <v>0</v>
      </c>
      <c r="BZ1142" s="5">
        <v>0</v>
      </c>
      <c r="CA1142" s="5">
        <v>0</v>
      </c>
      <c r="CC1142" s="5">
        <v>0</v>
      </c>
      <c r="CD1142" s="5">
        <v>0</v>
      </c>
      <c r="CF1142" s="1442" t="str">
        <f>IF([1]!sommaire[[#This Row],[présence des personnes déplacés interne]]="Oui","1","0")</f>
        <v>1</v>
      </c>
      <c r="CG1142" s="1442" t="str">
        <f>IF([1]!sommaire[[#This Row],[présence Réfugié hors camp]]="Oui","1","0")</f>
        <v>0</v>
      </c>
      <c r="CH1142" s="1442" t="str">
        <f>IF([1]!sommaire[[#This Row],[présence personnes retournées]]="Oui","1","0")</f>
        <v>1</v>
      </c>
      <c r="CI1142" s="1442">
        <f>[1]!sommaire[[#This Row],[Flag PDI]]+[1]!sommaire[[#This Row],[Flag REF]]+[1]!sommaire[[#This Row],[Flag RET]]</f>
        <v>2</v>
      </c>
    </row>
    <row r="1143" spans="1:87" ht="14.55" customHeight="1" x14ac:dyDescent="0.3">
      <c r="A1143" s="390">
        <v>2666742</v>
      </c>
      <c r="B1143" s="5" t="s">
        <v>533</v>
      </c>
      <c r="C1143" s="1430" t="s">
        <v>3449</v>
      </c>
      <c r="D1143" s="1090" t="s">
        <v>534</v>
      </c>
      <c r="E1143" s="5" t="s">
        <v>35</v>
      </c>
      <c r="F1143" s="5" t="s">
        <v>35</v>
      </c>
      <c r="G1143" s="5" t="s">
        <v>567</v>
      </c>
      <c r="H1143" s="5" t="s">
        <v>193</v>
      </c>
      <c r="I1143" s="5" t="str">
        <f>_xlfn.XLOOKUP(sommaire[[#This Row],[Arrondissement_code]],OCHA_GIS!$F:$F,OCHA_GIS!$E:$E,,)</f>
        <v>Mozogo</v>
      </c>
      <c r="J1143" s="5" t="s">
        <v>863</v>
      </c>
      <c r="K1143" t="s">
        <v>1630</v>
      </c>
      <c r="L1143" s="5" t="s">
        <v>1631</v>
      </c>
      <c r="N1143" s="5" t="s">
        <v>3053</v>
      </c>
      <c r="O1143" s="5" t="s">
        <v>2467</v>
      </c>
      <c r="P1143" s="5" t="s">
        <v>85</v>
      </c>
      <c r="Q1143" s="5" t="s">
        <v>86</v>
      </c>
      <c r="R1143" s="5" t="s">
        <v>85</v>
      </c>
      <c r="T1143" s="390">
        <v>3</v>
      </c>
      <c r="U1143" s="5" t="s">
        <v>97</v>
      </c>
      <c r="W1143" s="5" t="s">
        <v>2468</v>
      </c>
      <c r="X1143" s="5" t="s">
        <v>102</v>
      </c>
      <c r="AA1143" s="5" t="s">
        <v>85</v>
      </c>
      <c r="AB1143" s="5" t="s">
        <v>2469</v>
      </c>
      <c r="AC1143" s="5" t="s">
        <v>2470</v>
      </c>
      <c r="AD1143" s="1090" t="s">
        <v>86</v>
      </c>
      <c r="AF1143" s="5">
        <v>115</v>
      </c>
      <c r="AG1143" s="5">
        <v>962</v>
      </c>
      <c r="AH1143" s="5" t="s">
        <v>85</v>
      </c>
      <c r="AI1143" s="5" t="s">
        <v>2471</v>
      </c>
      <c r="AJ1143" s="5">
        <v>115</v>
      </c>
      <c r="AK1143" s="5">
        <v>485</v>
      </c>
      <c r="AL1143" s="5">
        <v>238</v>
      </c>
      <c r="AM1143" s="5">
        <v>247</v>
      </c>
      <c r="AN1143" s="5">
        <v>11</v>
      </c>
      <c r="AO1143" s="5">
        <v>94</v>
      </c>
      <c r="AP1143" s="5">
        <v>0</v>
      </c>
      <c r="AQ1143" s="5">
        <v>10</v>
      </c>
      <c r="AR1143" s="5" t="s">
        <v>2477</v>
      </c>
      <c r="AT1143" s="5">
        <v>0</v>
      </c>
      <c r="AU1143" s="5">
        <v>0</v>
      </c>
      <c r="AX1143" s="5">
        <v>0</v>
      </c>
      <c r="AY1143" s="5" t="s">
        <v>86</v>
      </c>
      <c r="BN1143" s="5" t="s">
        <v>85</v>
      </c>
      <c r="BO1143" s="5">
        <v>13</v>
      </c>
      <c r="BP1143" s="5">
        <v>68</v>
      </c>
      <c r="BQ1143" s="5">
        <v>38</v>
      </c>
      <c r="BR1143" s="5">
        <v>30</v>
      </c>
      <c r="BS1143" s="5" t="s">
        <v>2479</v>
      </c>
      <c r="BT1143" s="5">
        <v>13</v>
      </c>
      <c r="BU1143" s="5">
        <v>0</v>
      </c>
      <c r="BV1143" s="5">
        <v>0</v>
      </c>
      <c r="BW1143" s="5">
        <v>0</v>
      </c>
      <c r="BX1143" s="5">
        <v>0</v>
      </c>
      <c r="BZ1143" s="5">
        <v>0</v>
      </c>
      <c r="CA1143" s="5">
        <v>0</v>
      </c>
      <c r="CC1143" s="5">
        <v>0</v>
      </c>
      <c r="CD1143" s="5">
        <v>0</v>
      </c>
      <c r="CF1143" s="1442" t="str">
        <f>IF([1]!sommaire[[#This Row],[présence des personnes déplacés interne]]="Oui","1","0")</f>
        <v>1</v>
      </c>
      <c r="CG1143" s="1442" t="str">
        <f>IF([1]!sommaire[[#This Row],[présence Réfugié hors camp]]="Oui","1","0")</f>
        <v>0</v>
      </c>
      <c r="CH1143" s="1442" t="str">
        <f>IF([1]!sommaire[[#This Row],[présence personnes retournées]]="Oui","1","0")</f>
        <v>1</v>
      </c>
      <c r="CI1143" s="1442">
        <f>[1]!sommaire[[#This Row],[Flag PDI]]+[1]!sommaire[[#This Row],[Flag REF]]+[1]!sommaire[[#This Row],[Flag RET]]</f>
        <v>2</v>
      </c>
    </row>
    <row r="1144" spans="1:87" ht="14.55" customHeight="1" x14ac:dyDescent="0.3">
      <c r="A1144" s="390">
        <v>2617005</v>
      </c>
      <c r="B1144" s="5" t="s">
        <v>533</v>
      </c>
      <c r="C1144" s="1430" t="s">
        <v>3449</v>
      </c>
      <c r="D1144" s="1090" t="s">
        <v>534</v>
      </c>
      <c r="E1144" s="5" t="s">
        <v>35</v>
      </c>
      <c r="F1144" s="5" t="s">
        <v>35</v>
      </c>
      <c r="G1144" s="5" t="s">
        <v>567</v>
      </c>
      <c r="H1144" s="5" t="s">
        <v>193</v>
      </c>
      <c r="I1144" s="5" t="str">
        <f>_xlfn.XLOOKUP(sommaire[[#This Row],[Arrondissement_code]],OCHA_GIS!$F:$F,OCHA_GIS!$E:$E,,)</f>
        <v>Mozogo</v>
      </c>
      <c r="J1144" s="5" t="s">
        <v>863</v>
      </c>
      <c r="K1144" t="s">
        <v>1600</v>
      </c>
      <c r="L1144" s="5" t="s">
        <v>1601</v>
      </c>
      <c r="N1144" s="5" t="s">
        <v>3053</v>
      </c>
      <c r="O1144" s="5" t="s">
        <v>2467</v>
      </c>
      <c r="P1144" s="5" t="s">
        <v>85</v>
      </c>
      <c r="Q1144" s="5" t="s">
        <v>85</v>
      </c>
      <c r="R1144" s="5" t="s">
        <v>85</v>
      </c>
      <c r="S1144" s="390">
        <v>12</v>
      </c>
      <c r="T1144" s="390">
        <v>4</v>
      </c>
      <c r="U1144" s="5" t="s">
        <v>97</v>
      </c>
      <c r="W1144" s="5" t="s">
        <v>2468</v>
      </c>
      <c r="X1144" s="5" t="s">
        <v>103</v>
      </c>
      <c r="Y1144" s="5" t="s">
        <v>2511</v>
      </c>
      <c r="AA1144" s="5" t="s">
        <v>85</v>
      </c>
      <c r="AB1144" s="5" t="s">
        <v>2469</v>
      </c>
      <c r="AC1144" s="5" t="s">
        <v>2470</v>
      </c>
      <c r="AD1144" s="5" t="s">
        <v>86</v>
      </c>
      <c r="AF1144" s="5">
        <v>60</v>
      </c>
      <c r="AG1144" s="5">
        <v>786</v>
      </c>
      <c r="AH1144" s="5" t="s">
        <v>85</v>
      </c>
      <c r="AI1144" s="5" t="s">
        <v>2485</v>
      </c>
      <c r="AJ1144" s="5">
        <v>60</v>
      </c>
      <c r="AK1144" s="5">
        <v>286</v>
      </c>
      <c r="AL1144" s="5">
        <v>102</v>
      </c>
      <c r="AM1144" s="5">
        <v>184</v>
      </c>
      <c r="AN1144" s="5">
        <v>0</v>
      </c>
      <c r="AO1144" s="5">
        <v>44</v>
      </c>
      <c r="AP1144" s="5">
        <v>0</v>
      </c>
      <c r="AQ1144" s="5">
        <v>0</v>
      </c>
      <c r="AT1144" s="5">
        <v>0</v>
      </c>
      <c r="AU1144" s="5">
        <v>0</v>
      </c>
      <c r="AX1144" s="5">
        <v>16</v>
      </c>
      <c r="AY1144" s="5" t="s">
        <v>85</v>
      </c>
      <c r="AZ1144" s="5">
        <v>5</v>
      </c>
      <c r="BA1144" s="5">
        <v>63</v>
      </c>
      <c r="BB1144" s="5">
        <v>23</v>
      </c>
      <c r="BC1144" s="5">
        <v>40</v>
      </c>
      <c r="BD1144" s="5">
        <v>0</v>
      </c>
      <c r="BE1144" s="5">
        <v>0</v>
      </c>
      <c r="BF1144" s="5">
        <v>0</v>
      </c>
      <c r="BH1144" s="5">
        <v>0</v>
      </c>
      <c r="BI1144" s="5">
        <v>0</v>
      </c>
      <c r="BL1144" s="5">
        <v>5</v>
      </c>
      <c r="BM1144" s="5">
        <v>5</v>
      </c>
      <c r="BN1144" s="5" t="s">
        <v>85</v>
      </c>
      <c r="BO1144" s="5">
        <v>27</v>
      </c>
      <c r="BP1144" s="5">
        <v>123</v>
      </c>
      <c r="BQ1144" s="5">
        <v>59</v>
      </c>
      <c r="BR1144" s="5">
        <v>64</v>
      </c>
      <c r="BS1144" s="5" t="s">
        <v>2535</v>
      </c>
      <c r="BT1144" s="5">
        <v>0</v>
      </c>
      <c r="BU1144" s="5">
        <v>27</v>
      </c>
      <c r="BV1144" s="5">
        <v>0</v>
      </c>
      <c r="BW1144" s="5">
        <v>0</v>
      </c>
      <c r="BX1144" s="5">
        <v>0</v>
      </c>
      <c r="BZ1144" s="5">
        <v>0</v>
      </c>
      <c r="CA1144" s="5">
        <v>0</v>
      </c>
      <c r="CC1144" s="5">
        <v>0</v>
      </c>
      <c r="CD1144" s="5">
        <v>2</v>
      </c>
      <c r="CF1144" s="1442" t="str">
        <f>IF([1]!sommaire[[#This Row],[présence des personnes déplacés interne]]="Oui","1","0")</f>
        <v>1</v>
      </c>
      <c r="CG1144" s="1442" t="str">
        <f>IF([1]!sommaire[[#This Row],[présence Réfugié hors camp]]="Oui","1","0")</f>
        <v>1</v>
      </c>
      <c r="CH1144" s="1442" t="str">
        <f>IF([1]!sommaire[[#This Row],[présence personnes retournées]]="Oui","1","0")</f>
        <v>1</v>
      </c>
      <c r="CI1144" s="1442">
        <f>[1]!sommaire[[#This Row],[Flag PDI]]+[1]!sommaire[[#This Row],[Flag REF]]+[1]!sommaire[[#This Row],[Flag RET]]</f>
        <v>3</v>
      </c>
    </row>
    <row r="1145" spans="1:87" ht="14.55" customHeight="1" x14ac:dyDescent="0.3">
      <c r="A1145" s="390">
        <v>2643498</v>
      </c>
      <c r="B1145" s="5" t="s">
        <v>533</v>
      </c>
      <c r="C1145" s="1430" t="s">
        <v>3449</v>
      </c>
      <c r="D1145" s="1090" t="s">
        <v>534</v>
      </c>
      <c r="E1145" s="5" t="s">
        <v>35</v>
      </c>
      <c r="F1145" s="5" t="s">
        <v>35</v>
      </c>
      <c r="G1145" s="5" t="s">
        <v>567</v>
      </c>
      <c r="H1145" s="5" t="s">
        <v>193</v>
      </c>
      <c r="I1145" s="5" t="str">
        <f>_xlfn.XLOOKUP(sommaire[[#This Row],[Arrondissement_code]],OCHA_GIS!$F:$F,OCHA_GIS!$E:$E,,)</f>
        <v>Mozogo</v>
      </c>
      <c r="J1145" s="5" t="s">
        <v>863</v>
      </c>
      <c r="K1145" t="s">
        <v>1569</v>
      </c>
      <c r="L1145" s="5" t="s">
        <v>1570</v>
      </c>
      <c r="N1145" s="5" t="s">
        <v>3053</v>
      </c>
      <c r="O1145" s="5" t="s">
        <v>2467</v>
      </c>
      <c r="P1145" s="5" t="s">
        <v>85</v>
      </c>
      <c r="Q1145" s="5" t="s">
        <v>86</v>
      </c>
      <c r="R1145" s="5" t="s">
        <v>86</v>
      </c>
      <c r="T1145" s="390">
        <v>3</v>
      </c>
      <c r="U1145" s="5" t="s">
        <v>97</v>
      </c>
      <c r="W1145" s="5" t="s">
        <v>2468</v>
      </c>
      <c r="X1145" s="5" t="s">
        <v>102</v>
      </c>
      <c r="AA1145" s="5" t="s">
        <v>85</v>
      </c>
      <c r="AB1145" s="5" t="s">
        <v>2469</v>
      </c>
      <c r="AC1145" s="5" t="s">
        <v>2470</v>
      </c>
      <c r="AD1145" s="5" t="s">
        <v>86</v>
      </c>
      <c r="AF1145" s="5">
        <v>101</v>
      </c>
      <c r="AG1145" s="5">
        <v>3018</v>
      </c>
      <c r="AH1145" s="5" t="s">
        <v>85</v>
      </c>
      <c r="AI1145" s="5" t="s">
        <v>2471</v>
      </c>
      <c r="AJ1145" s="5">
        <v>101</v>
      </c>
      <c r="AK1145" s="5">
        <v>482</v>
      </c>
      <c r="AL1145" s="5">
        <v>177</v>
      </c>
      <c r="AM1145" s="5">
        <v>305</v>
      </c>
      <c r="AN1145" s="5">
        <v>7</v>
      </c>
      <c r="AO1145" s="5">
        <v>73</v>
      </c>
      <c r="AP1145" s="5">
        <v>5</v>
      </c>
      <c r="AQ1145" s="5">
        <v>0</v>
      </c>
      <c r="AT1145" s="5">
        <v>0</v>
      </c>
      <c r="AU1145" s="5">
        <v>16</v>
      </c>
      <c r="AV1145" s="5" t="s">
        <v>2478</v>
      </c>
      <c r="AX1145" s="5">
        <v>0</v>
      </c>
      <c r="AY1145" s="5" t="s">
        <v>85</v>
      </c>
      <c r="AZ1145" s="5">
        <v>16</v>
      </c>
      <c r="BA1145" s="5">
        <v>73</v>
      </c>
      <c r="BB1145" s="5">
        <v>23</v>
      </c>
      <c r="BC1145" s="5">
        <v>50</v>
      </c>
      <c r="BD1145" s="5">
        <v>16</v>
      </c>
      <c r="BE1145" s="5">
        <v>0</v>
      </c>
      <c r="BF1145" s="5">
        <v>0</v>
      </c>
      <c r="BH1145" s="5">
        <v>0</v>
      </c>
      <c r="BI1145" s="5">
        <v>0</v>
      </c>
      <c r="BL1145" s="5">
        <v>0</v>
      </c>
      <c r="BM1145" s="5">
        <v>0</v>
      </c>
      <c r="BN1145" s="5" t="s">
        <v>85</v>
      </c>
      <c r="BO1145" s="5">
        <v>29</v>
      </c>
      <c r="BP1145" s="5">
        <v>143</v>
      </c>
      <c r="BQ1145" s="5">
        <v>89</v>
      </c>
      <c r="BR1145" s="5">
        <v>54</v>
      </c>
      <c r="BS1145" s="5" t="s">
        <v>2535</v>
      </c>
      <c r="BT1145" s="5">
        <v>20</v>
      </c>
      <c r="BU1145" s="5">
        <v>9</v>
      </c>
      <c r="BV1145" s="5">
        <v>0</v>
      </c>
      <c r="BW1145" s="5">
        <v>0</v>
      </c>
      <c r="BX1145" s="5">
        <v>0</v>
      </c>
      <c r="BZ1145" s="5">
        <v>0</v>
      </c>
      <c r="CA1145" s="5">
        <v>0</v>
      </c>
      <c r="CC1145" s="5">
        <v>0</v>
      </c>
      <c r="CD1145" s="5">
        <v>0</v>
      </c>
      <c r="CF1145" s="1442" t="str">
        <f>IF([1]!sommaire[[#This Row],[présence des personnes déplacés interne]]="Oui","1","0")</f>
        <v>1</v>
      </c>
      <c r="CG1145" s="1442" t="str">
        <f>IF([1]!sommaire[[#This Row],[présence Réfugié hors camp]]="Oui","1","0")</f>
        <v>1</v>
      </c>
      <c r="CH1145" s="1442" t="str">
        <f>IF([1]!sommaire[[#This Row],[présence personnes retournées]]="Oui","1","0")</f>
        <v>1</v>
      </c>
      <c r="CI1145" s="1442">
        <f>[1]!sommaire[[#This Row],[Flag PDI]]+[1]!sommaire[[#This Row],[Flag REF]]+[1]!sommaire[[#This Row],[Flag RET]]</f>
        <v>3</v>
      </c>
    </row>
    <row r="1146" spans="1:87" ht="14.55" customHeight="1" x14ac:dyDescent="0.3">
      <c r="A1146" s="390">
        <v>2617004</v>
      </c>
      <c r="B1146" s="5" t="s">
        <v>533</v>
      </c>
      <c r="C1146" s="1430" t="s">
        <v>3449</v>
      </c>
      <c r="D1146" s="1090" t="s">
        <v>534</v>
      </c>
      <c r="E1146" s="5" t="s">
        <v>35</v>
      </c>
      <c r="F1146" s="5" t="s">
        <v>35</v>
      </c>
      <c r="G1146" s="5" t="s">
        <v>567</v>
      </c>
      <c r="H1146" s="5" t="s">
        <v>193</v>
      </c>
      <c r="I1146" s="5" t="str">
        <f>_xlfn.XLOOKUP(sommaire[[#This Row],[Arrondissement_code]],OCHA_GIS!$F:$F,OCHA_GIS!$E:$E,,)</f>
        <v>Mozogo</v>
      </c>
      <c r="J1146" s="5" t="s">
        <v>863</v>
      </c>
      <c r="K1146" t="s">
        <v>2910</v>
      </c>
      <c r="L1146" s="5" t="s">
        <v>3091</v>
      </c>
      <c r="N1146" s="5" t="s">
        <v>3053</v>
      </c>
      <c r="O1146" s="5" t="s">
        <v>2467</v>
      </c>
      <c r="P1146" s="5" t="s">
        <v>85</v>
      </c>
      <c r="Q1146" s="5" t="s">
        <v>86</v>
      </c>
      <c r="R1146" s="5" t="s">
        <v>85</v>
      </c>
      <c r="T1146" s="390">
        <v>3</v>
      </c>
      <c r="U1146" s="5" t="s">
        <v>98</v>
      </c>
      <c r="W1146" s="5" t="s">
        <v>2468</v>
      </c>
      <c r="X1146" s="5" t="s">
        <v>101</v>
      </c>
      <c r="Y1146" s="5" t="s">
        <v>2511</v>
      </c>
      <c r="AA1146" s="5" t="s">
        <v>85</v>
      </c>
      <c r="AB1146" s="5" t="s">
        <v>2469</v>
      </c>
      <c r="AC1146" s="5" t="s">
        <v>2576</v>
      </c>
      <c r="AD1146" s="5" t="s">
        <v>86</v>
      </c>
      <c r="AF1146" s="5">
        <v>121</v>
      </c>
      <c r="AG1146" s="5">
        <v>788</v>
      </c>
      <c r="AH1146" s="5" t="s">
        <v>85</v>
      </c>
      <c r="AI1146" s="5" t="s">
        <v>2486</v>
      </c>
      <c r="AJ1146" s="5">
        <v>121</v>
      </c>
      <c r="AK1146" s="5">
        <v>527</v>
      </c>
      <c r="AL1146" s="5">
        <v>232</v>
      </c>
      <c r="AM1146" s="5">
        <v>295</v>
      </c>
      <c r="AN1146" s="5">
        <v>32</v>
      </c>
      <c r="AO1146" s="5">
        <v>89</v>
      </c>
      <c r="AP1146" s="5">
        <v>0</v>
      </c>
      <c r="AQ1146" s="5">
        <v>0</v>
      </c>
      <c r="AT1146" s="5">
        <v>0</v>
      </c>
      <c r="AU1146" s="5">
        <v>0</v>
      </c>
      <c r="AX1146" s="5">
        <v>0</v>
      </c>
      <c r="AY1146" s="5" t="s">
        <v>85</v>
      </c>
      <c r="AZ1146" s="5">
        <v>15</v>
      </c>
      <c r="BA1146" s="5">
        <v>76</v>
      </c>
      <c r="BB1146" s="5">
        <v>33</v>
      </c>
      <c r="BC1146" s="5">
        <v>43</v>
      </c>
      <c r="BD1146" s="5">
        <v>10</v>
      </c>
      <c r="BE1146" s="5">
        <v>0</v>
      </c>
      <c r="BF1146" s="5">
        <v>5</v>
      </c>
      <c r="BG1146" s="5" t="s">
        <v>2477</v>
      </c>
      <c r="BH1146" s="5">
        <v>0</v>
      </c>
      <c r="BI1146" s="5">
        <v>0</v>
      </c>
      <c r="BL1146" s="5">
        <v>0</v>
      </c>
      <c r="BM1146" s="5">
        <v>15</v>
      </c>
      <c r="BN1146" s="5" t="s">
        <v>85</v>
      </c>
      <c r="BO1146" s="5">
        <v>33</v>
      </c>
      <c r="BP1146" s="5">
        <v>185</v>
      </c>
      <c r="BQ1146" s="5">
        <v>85</v>
      </c>
      <c r="BR1146" s="5">
        <v>100</v>
      </c>
      <c r="BS1146" s="5" t="s">
        <v>2535</v>
      </c>
      <c r="BT1146" s="5">
        <v>33</v>
      </c>
      <c r="BU1146" s="5">
        <v>0</v>
      </c>
      <c r="BV1146" s="5">
        <v>0</v>
      </c>
      <c r="BW1146" s="5">
        <v>0</v>
      </c>
      <c r="BX1146" s="5">
        <v>0</v>
      </c>
      <c r="BZ1146" s="5">
        <v>0</v>
      </c>
      <c r="CA1146" s="5">
        <v>0</v>
      </c>
      <c r="CC1146" s="5">
        <v>0</v>
      </c>
      <c r="CD1146" s="5">
        <v>0</v>
      </c>
      <c r="CF1146" s="1442" t="str">
        <f>IF([1]!sommaire[[#This Row],[présence des personnes déplacés interne]]="Oui","1","0")</f>
        <v>1</v>
      </c>
      <c r="CG1146" s="1442" t="str">
        <f>IF([1]!sommaire[[#This Row],[présence Réfugié hors camp]]="Oui","1","0")</f>
        <v>1</v>
      </c>
      <c r="CH1146" s="1442" t="str">
        <f>IF([1]!sommaire[[#This Row],[présence personnes retournées]]="Oui","1","0")</f>
        <v>1</v>
      </c>
      <c r="CI1146" s="1442">
        <f>[1]!sommaire[[#This Row],[Flag PDI]]+[1]!sommaire[[#This Row],[Flag REF]]+[1]!sommaire[[#This Row],[Flag RET]]</f>
        <v>3</v>
      </c>
    </row>
    <row r="1147" spans="1:87" ht="14.55" customHeight="1" x14ac:dyDescent="0.3">
      <c r="A1147" s="390">
        <v>2672446</v>
      </c>
      <c r="B1147" s="5" t="s">
        <v>533</v>
      </c>
      <c r="C1147" s="1430" t="s">
        <v>3449</v>
      </c>
      <c r="D1147" s="1090" t="s">
        <v>534</v>
      </c>
      <c r="E1147" s="5" t="s">
        <v>35</v>
      </c>
      <c r="F1147" s="5" t="s">
        <v>35</v>
      </c>
      <c r="G1147" s="5" t="s">
        <v>567</v>
      </c>
      <c r="H1147" s="5" t="s">
        <v>193</v>
      </c>
      <c r="I1147" s="5" t="str">
        <f>_xlfn.XLOOKUP(sommaire[[#This Row],[Arrondissement_code]],OCHA_GIS!$F:$F,OCHA_GIS!$E:$E,,)</f>
        <v>Mozogo</v>
      </c>
      <c r="J1147" s="5" t="s">
        <v>863</v>
      </c>
      <c r="K1147" t="s">
        <v>3211</v>
      </c>
      <c r="L1147" s="5" t="s">
        <v>3078</v>
      </c>
      <c r="N1147" s="5" t="s">
        <v>3053</v>
      </c>
      <c r="O1147" s="5" t="s">
        <v>2467</v>
      </c>
      <c r="P1147" s="5" t="s">
        <v>85</v>
      </c>
      <c r="Q1147" s="5" t="s">
        <v>86</v>
      </c>
      <c r="R1147" s="5" t="s">
        <v>85</v>
      </c>
      <c r="T1147" s="390">
        <v>3</v>
      </c>
      <c r="U1147" s="5" t="s">
        <v>100</v>
      </c>
      <c r="W1147" s="5" t="s">
        <v>2468</v>
      </c>
      <c r="X1147" s="5" t="s">
        <v>101</v>
      </c>
      <c r="Y1147" s="5" t="s">
        <v>2511</v>
      </c>
      <c r="AA1147" s="5" t="s">
        <v>86</v>
      </c>
      <c r="AH1147" s="1430" t="s">
        <v>86</v>
      </c>
      <c r="AY1147" s="1430" t="s">
        <v>86</v>
      </c>
      <c r="BN1147" s="1430" t="s">
        <v>86</v>
      </c>
      <c r="CF1147" s="1442" t="str">
        <f>IF([1]!sommaire[[#This Row],[présence des personnes déplacés interne]]="Oui","1","0")</f>
        <v>0</v>
      </c>
      <c r="CG1147" s="1442" t="str">
        <f>IF([1]!sommaire[[#This Row],[présence Réfugié hors camp]]="Oui","1","0")</f>
        <v>0</v>
      </c>
      <c r="CH1147" s="1442" t="str">
        <f>IF([1]!sommaire[[#This Row],[présence personnes retournées]]="Oui","1","0")</f>
        <v>0</v>
      </c>
      <c r="CI1147" s="1442">
        <f>[1]!sommaire[[#This Row],[Flag PDI]]+[1]!sommaire[[#This Row],[Flag REF]]+[1]!sommaire[[#This Row],[Flag RET]]</f>
        <v>0</v>
      </c>
    </row>
    <row r="1148" spans="1:87" ht="14.55" customHeight="1" x14ac:dyDescent="0.3">
      <c r="A1148" s="390">
        <v>2618442</v>
      </c>
      <c r="B1148" s="5" t="s">
        <v>533</v>
      </c>
      <c r="C1148" s="1430" t="s">
        <v>3449</v>
      </c>
      <c r="D1148" s="1090" t="s">
        <v>534</v>
      </c>
      <c r="E1148" s="5" t="s">
        <v>35</v>
      </c>
      <c r="F1148" s="5" t="s">
        <v>35</v>
      </c>
      <c r="G1148" s="5" t="s">
        <v>567</v>
      </c>
      <c r="H1148" s="5" t="s">
        <v>193</v>
      </c>
      <c r="I1148" s="5" t="str">
        <f>_xlfn.XLOOKUP(sommaire[[#This Row],[Arrondissement_code]],OCHA_GIS!$F:$F,OCHA_GIS!$E:$E,,)</f>
        <v>Mozogo</v>
      </c>
      <c r="J1148" s="5" t="s">
        <v>863</v>
      </c>
      <c r="K1148" t="s">
        <v>1613</v>
      </c>
      <c r="L1148" s="5" t="s">
        <v>1638</v>
      </c>
      <c r="N1148" s="5" t="s">
        <v>3053</v>
      </c>
      <c r="O1148" s="5" t="s">
        <v>2467</v>
      </c>
      <c r="P1148" s="5" t="s">
        <v>85</v>
      </c>
      <c r="Q1148" s="5" t="s">
        <v>86</v>
      </c>
      <c r="R1148" s="5" t="s">
        <v>85</v>
      </c>
      <c r="T1148" s="390">
        <v>3</v>
      </c>
      <c r="U1148" s="5" t="s">
        <v>98</v>
      </c>
      <c r="W1148" s="5" t="s">
        <v>2482</v>
      </c>
      <c r="AA1148" s="5" t="s">
        <v>86</v>
      </c>
      <c r="AD1148" s="1090"/>
      <c r="AH1148" s="1430" t="s">
        <v>86</v>
      </c>
      <c r="AY1148" s="1430" t="s">
        <v>86</v>
      </c>
      <c r="BN1148" s="1430" t="s">
        <v>86</v>
      </c>
      <c r="CF1148" s="1442" t="str">
        <f>IF([1]!sommaire[[#This Row],[présence des personnes déplacés interne]]="Oui","1","0")</f>
        <v>0</v>
      </c>
      <c r="CG1148" s="1442" t="str">
        <f>IF([1]!sommaire[[#This Row],[présence Réfugié hors camp]]="Oui","1","0")</f>
        <v>0</v>
      </c>
      <c r="CH1148" s="1442" t="str">
        <f>IF([1]!sommaire[[#This Row],[présence personnes retournées]]="Oui","1","0")</f>
        <v>0</v>
      </c>
      <c r="CI1148" s="1442">
        <f>[1]!sommaire[[#This Row],[Flag PDI]]+[1]!sommaire[[#This Row],[Flag REF]]+[1]!sommaire[[#This Row],[Flag RET]]</f>
        <v>0</v>
      </c>
    </row>
    <row r="1149" spans="1:87" ht="14.55" customHeight="1" x14ac:dyDescent="0.3">
      <c r="A1149" s="390">
        <v>2632284</v>
      </c>
      <c r="B1149" s="5" t="s">
        <v>533</v>
      </c>
      <c r="C1149" s="1430" t="s">
        <v>3449</v>
      </c>
      <c r="D1149" s="1090" t="s">
        <v>534</v>
      </c>
      <c r="E1149" s="5" t="s">
        <v>35</v>
      </c>
      <c r="F1149" s="5" t="s">
        <v>35</v>
      </c>
      <c r="G1149" s="5" t="s">
        <v>567</v>
      </c>
      <c r="H1149" s="5" t="s">
        <v>193</v>
      </c>
      <c r="I1149" s="5" t="str">
        <f>_xlfn.XLOOKUP(sommaire[[#This Row],[Arrondissement_code]],OCHA_GIS!$F:$F,OCHA_GIS!$E:$E,,)</f>
        <v>Mozogo</v>
      </c>
      <c r="J1149" s="5" t="s">
        <v>863</v>
      </c>
      <c r="K1149" t="s">
        <v>1586</v>
      </c>
      <c r="L1149" s="5" t="s">
        <v>876</v>
      </c>
      <c r="N1149" s="5" t="s">
        <v>3052</v>
      </c>
      <c r="O1149" s="5" t="s">
        <v>2467</v>
      </c>
      <c r="P1149" s="5" t="s">
        <v>85</v>
      </c>
      <c r="Q1149" s="5" t="s">
        <v>86</v>
      </c>
      <c r="R1149" s="5" t="s">
        <v>86</v>
      </c>
      <c r="T1149" s="390">
        <v>3</v>
      </c>
      <c r="U1149" s="5" t="s">
        <v>97</v>
      </c>
      <c r="W1149" s="5" t="s">
        <v>2468</v>
      </c>
      <c r="X1149" s="5" t="s">
        <v>102</v>
      </c>
      <c r="AA1149" s="5" t="s">
        <v>85</v>
      </c>
      <c r="AB1149" s="5" t="s">
        <v>2469</v>
      </c>
      <c r="AC1149" s="5" t="s">
        <v>2470</v>
      </c>
      <c r="AD1149" s="5" t="s">
        <v>86</v>
      </c>
      <c r="AF1149" s="5">
        <v>13</v>
      </c>
      <c r="AG1149" s="5">
        <v>8039</v>
      </c>
      <c r="AH1149" s="5" t="s">
        <v>85</v>
      </c>
      <c r="AI1149" s="5" t="s">
        <v>2471</v>
      </c>
      <c r="AJ1149" s="5">
        <v>13</v>
      </c>
      <c r="AK1149" s="5">
        <v>176</v>
      </c>
      <c r="AL1149" s="5">
        <v>54</v>
      </c>
      <c r="AM1149" s="5">
        <v>122</v>
      </c>
      <c r="AN1149" s="5">
        <v>0</v>
      </c>
      <c r="AO1149" s="5">
        <v>13</v>
      </c>
      <c r="AP1149" s="5">
        <v>0</v>
      </c>
      <c r="AQ1149" s="5">
        <v>0</v>
      </c>
      <c r="AT1149" s="5">
        <v>0</v>
      </c>
      <c r="AU1149" s="5">
        <v>0</v>
      </c>
      <c r="AX1149" s="5">
        <v>0</v>
      </c>
      <c r="AY1149" s="5" t="s">
        <v>85</v>
      </c>
      <c r="AZ1149" s="5">
        <v>17</v>
      </c>
      <c r="BA1149" s="5">
        <v>85</v>
      </c>
      <c r="BB1149" s="5">
        <v>15</v>
      </c>
      <c r="BC1149" s="5">
        <v>70</v>
      </c>
      <c r="BD1149" s="5">
        <v>17</v>
      </c>
      <c r="BE1149" s="5">
        <v>0</v>
      </c>
      <c r="BF1149" s="5">
        <v>0</v>
      </c>
      <c r="BH1149" s="5">
        <v>0</v>
      </c>
      <c r="BI1149" s="5">
        <v>0</v>
      </c>
      <c r="BL1149" s="5">
        <v>0</v>
      </c>
      <c r="BM1149" s="5">
        <v>0</v>
      </c>
      <c r="BN1149" s="5" t="s">
        <v>85</v>
      </c>
      <c r="BO1149" s="5">
        <v>21</v>
      </c>
      <c r="BP1149" s="5">
        <v>104</v>
      </c>
      <c r="BQ1149" s="5">
        <v>44</v>
      </c>
      <c r="BR1149" s="5">
        <v>60</v>
      </c>
      <c r="BS1149" s="5" t="s">
        <v>2479</v>
      </c>
      <c r="BT1149" s="5">
        <v>0</v>
      </c>
      <c r="BU1149" s="5">
        <v>21</v>
      </c>
      <c r="BV1149" s="5">
        <v>0</v>
      </c>
      <c r="BW1149" s="5">
        <v>0</v>
      </c>
      <c r="BX1149" s="5">
        <v>0</v>
      </c>
      <c r="BZ1149" s="5">
        <v>0</v>
      </c>
      <c r="CA1149" s="5">
        <v>0</v>
      </c>
      <c r="CC1149" s="5">
        <v>0</v>
      </c>
      <c r="CD1149" s="5">
        <v>0</v>
      </c>
      <c r="CF1149" s="1442" t="str">
        <f>IF([1]!sommaire[[#This Row],[présence des personnes déplacés interne]]="Oui","1","0")</f>
        <v>1</v>
      </c>
      <c r="CG1149" s="1442" t="str">
        <f>IF([1]!sommaire[[#This Row],[présence Réfugié hors camp]]="Oui","1","0")</f>
        <v>1</v>
      </c>
      <c r="CH1149" s="1442" t="str">
        <f>IF([1]!sommaire[[#This Row],[présence personnes retournées]]="Oui","1","0")</f>
        <v>1</v>
      </c>
      <c r="CI1149" s="1442">
        <f>[1]!sommaire[[#This Row],[Flag PDI]]+[1]!sommaire[[#This Row],[Flag REF]]+[1]!sommaire[[#This Row],[Flag RET]]</f>
        <v>3</v>
      </c>
    </row>
    <row r="1150" spans="1:87" ht="14.55" customHeight="1" x14ac:dyDescent="0.3">
      <c r="A1150" s="390">
        <v>2785515</v>
      </c>
      <c r="B1150" s="5" t="s">
        <v>533</v>
      </c>
      <c r="C1150" s="1430" t="s">
        <v>3449</v>
      </c>
      <c r="D1150" s="1090" t="s">
        <v>534</v>
      </c>
      <c r="E1150" s="5" t="s">
        <v>35</v>
      </c>
      <c r="F1150" s="5" t="s">
        <v>35</v>
      </c>
      <c r="G1150" s="5" t="s">
        <v>567</v>
      </c>
      <c r="H1150" s="5" t="s">
        <v>193</v>
      </c>
      <c r="I1150" s="5" t="str">
        <f>_xlfn.XLOOKUP(sommaire[[#This Row],[Arrondissement_code]],OCHA_GIS!$F:$F,OCHA_GIS!$E:$E,,)</f>
        <v>Mozogo</v>
      </c>
      <c r="J1150" s="5" t="s">
        <v>863</v>
      </c>
      <c r="K1150" t="s">
        <v>2680</v>
      </c>
      <c r="L1150" s="5" t="s">
        <v>989</v>
      </c>
      <c r="N1150" s="5" t="s">
        <v>3053</v>
      </c>
      <c r="O1150" s="5" t="s">
        <v>2467</v>
      </c>
      <c r="P1150" s="5" t="s">
        <v>85</v>
      </c>
      <c r="Q1150" s="5" t="s">
        <v>86</v>
      </c>
      <c r="R1150" s="5" t="s">
        <v>85</v>
      </c>
      <c r="T1150" s="390">
        <v>3</v>
      </c>
      <c r="U1150" s="5" t="s">
        <v>97</v>
      </c>
      <c r="W1150" s="5" t="s">
        <v>2468</v>
      </c>
      <c r="X1150" s="5" t="s">
        <v>102</v>
      </c>
      <c r="AA1150" s="5" t="s">
        <v>85</v>
      </c>
      <c r="AB1150" s="5" t="s">
        <v>2469</v>
      </c>
      <c r="AC1150" s="5" t="s">
        <v>2470</v>
      </c>
      <c r="AD1150" s="5" t="s">
        <v>86</v>
      </c>
      <c r="AF1150" s="5">
        <v>109</v>
      </c>
      <c r="AG1150" s="5">
        <v>3901</v>
      </c>
      <c r="AH1150" s="5" t="s">
        <v>85</v>
      </c>
      <c r="AI1150" s="5" t="s">
        <v>2471</v>
      </c>
      <c r="AJ1150" s="5">
        <v>109</v>
      </c>
      <c r="AK1150" s="5">
        <v>859</v>
      </c>
      <c r="AL1150" s="5">
        <v>332</v>
      </c>
      <c r="AM1150" s="5">
        <v>527</v>
      </c>
      <c r="AN1150" s="5">
        <v>26</v>
      </c>
      <c r="AO1150" s="5">
        <v>69</v>
      </c>
      <c r="AP1150" s="5">
        <v>0</v>
      </c>
      <c r="AQ1150" s="5">
        <v>14</v>
      </c>
      <c r="AR1150" s="5" t="s">
        <v>2477</v>
      </c>
      <c r="AT1150" s="5">
        <v>0</v>
      </c>
      <c r="AU1150" s="5">
        <v>0</v>
      </c>
      <c r="AX1150" s="5">
        <v>0</v>
      </c>
      <c r="AY1150" s="5" t="s">
        <v>86</v>
      </c>
      <c r="BN1150" s="5" t="s">
        <v>85</v>
      </c>
      <c r="BO1150" s="5">
        <v>6</v>
      </c>
      <c r="BP1150" s="5">
        <v>32</v>
      </c>
      <c r="BQ1150" s="5">
        <v>12</v>
      </c>
      <c r="BR1150" s="5">
        <v>20</v>
      </c>
      <c r="BS1150" s="5" t="s">
        <v>2535</v>
      </c>
      <c r="BT1150" s="5">
        <v>0</v>
      </c>
      <c r="BU1150" s="5">
        <v>6</v>
      </c>
      <c r="BV1150" s="5">
        <v>0</v>
      </c>
      <c r="BW1150" s="5">
        <v>0</v>
      </c>
      <c r="BX1150" s="5">
        <v>0</v>
      </c>
      <c r="BZ1150" s="5">
        <v>0</v>
      </c>
      <c r="CA1150" s="5">
        <v>0</v>
      </c>
      <c r="CC1150" s="5">
        <v>0</v>
      </c>
      <c r="CD1150" s="5">
        <v>0</v>
      </c>
      <c r="CF1150" s="1442" t="str">
        <f>IF([1]!sommaire[[#This Row],[présence des personnes déplacés interne]]="Oui","1","0")</f>
        <v>1</v>
      </c>
      <c r="CG1150" s="1442" t="str">
        <f>IF([1]!sommaire[[#This Row],[présence Réfugié hors camp]]="Oui","1","0")</f>
        <v>0</v>
      </c>
      <c r="CH1150" s="1442" t="str">
        <f>IF([1]!sommaire[[#This Row],[présence personnes retournées]]="Oui","1","0")</f>
        <v>1</v>
      </c>
      <c r="CI1150" s="1442">
        <f>[1]!sommaire[[#This Row],[Flag PDI]]+[1]!sommaire[[#This Row],[Flag REF]]+[1]!sommaire[[#This Row],[Flag RET]]</f>
        <v>2</v>
      </c>
    </row>
    <row r="1151" spans="1:87" ht="14.55" customHeight="1" x14ac:dyDescent="0.3">
      <c r="A1151" s="390">
        <v>2561376</v>
      </c>
      <c r="B1151" s="5" t="s">
        <v>533</v>
      </c>
      <c r="C1151" s="1430" t="s">
        <v>3449</v>
      </c>
      <c r="D1151" s="1090" t="s">
        <v>534</v>
      </c>
      <c r="E1151" s="5" t="s">
        <v>35</v>
      </c>
      <c r="F1151" s="5" t="s">
        <v>35</v>
      </c>
      <c r="G1151" s="5" t="s">
        <v>567</v>
      </c>
      <c r="H1151" s="5" t="s">
        <v>193</v>
      </c>
      <c r="I1151" s="5" t="str">
        <f>_xlfn.XLOOKUP(sommaire[[#This Row],[Arrondissement_code]],OCHA_GIS!$F:$F,OCHA_GIS!$E:$E,,)</f>
        <v>Mozogo</v>
      </c>
      <c r="J1151" s="5" t="s">
        <v>863</v>
      </c>
      <c r="K1151" t="s">
        <v>2952</v>
      </c>
      <c r="L1151" s="5" t="s">
        <v>865</v>
      </c>
      <c r="N1151" s="5" t="s">
        <v>3053</v>
      </c>
      <c r="O1151" s="5" t="s">
        <v>2467</v>
      </c>
      <c r="P1151" s="5" t="s">
        <v>85</v>
      </c>
      <c r="Q1151" s="5" t="s">
        <v>86</v>
      </c>
      <c r="R1151" s="5" t="s">
        <v>85</v>
      </c>
      <c r="T1151" s="390">
        <v>5</v>
      </c>
      <c r="U1151" s="5" t="s">
        <v>97</v>
      </c>
      <c r="W1151" s="5" t="s">
        <v>2468</v>
      </c>
      <c r="X1151" s="5" t="s">
        <v>102</v>
      </c>
      <c r="AA1151" s="5" t="s">
        <v>85</v>
      </c>
      <c r="AB1151" s="5" t="s">
        <v>2469</v>
      </c>
      <c r="AC1151" s="5" t="s">
        <v>2470</v>
      </c>
      <c r="AD1151" s="1090" t="s">
        <v>86</v>
      </c>
      <c r="AF1151" s="5">
        <v>99</v>
      </c>
      <c r="AG1151" s="5">
        <v>1697</v>
      </c>
      <c r="AH1151" s="5" t="s">
        <v>85</v>
      </c>
      <c r="AI1151" s="5" t="s">
        <v>2485</v>
      </c>
      <c r="AJ1151" s="5">
        <v>99</v>
      </c>
      <c r="AK1151" s="5">
        <v>545</v>
      </c>
      <c r="AL1151" s="5">
        <v>278</v>
      </c>
      <c r="AM1151" s="5">
        <v>267</v>
      </c>
      <c r="AN1151" s="5">
        <v>24</v>
      </c>
      <c r="AO1151" s="5">
        <v>75</v>
      </c>
      <c r="AP1151" s="5">
        <v>0</v>
      </c>
      <c r="AQ1151" s="5">
        <v>0</v>
      </c>
      <c r="AT1151" s="5">
        <v>0</v>
      </c>
      <c r="AU1151" s="5">
        <v>0</v>
      </c>
      <c r="AX1151" s="5">
        <v>0</v>
      </c>
      <c r="AY1151" s="5" t="s">
        <v>85</v>
      </c>
      <c r="AZ1151" s="5">
        <v>1</v>
      </c>
      <c r="BA1151" s="5">
        <v>3</v>
      </c>
      <c r="BB1151" s="5">
        <v>2</v>
      </c>
      <c r="BC1151" s="5">
        <v>1</v>
      </c>
      <c r="BD1151" s="5">
        <v>1</v>
      </c>
      <c r="BE1151" s="5">
        <v>0</v>
      </c>
      <c r="BF1151" s="5">
        <v>0</v>
      </c>
      <c r="BH1151" s="5">
        <v>0</v>
      </c>
      <c r="BI1151" s="5">
        <v>0</v>
      </c>
      <c r="BL1151" s="5">
        <v>0</v>
      </c>
      <c r="BM1151" s="5">
        <v>0</v>
      </c>
      <c r="BN1151" s="5" t="s">
        <v>85</v>
      </c>
      <c r="BO1151" s="5">
        <v>5</v>
      </c>
      <c r="BP1151" s="5">
        <v>10</v>
      </c>
      <c r="BQ1151" s="5">
        <v>3</v>
      </c>
      <c r="BR1151" s="5">
        <v>7</v>
      </c>
      <c r="BS1151" s="5" t="s">
        <v>2479</v>
      </c>
      <c r="BT1151" s="5">
        <v>0</v>
      </c>
      <c r="BU1151" s="5">
        <v>5</v>
      </c>
      <c r="BV1151" s="5">
        <v>0</v>
      </c>
      <c r="BW1151" s="5">
        <v>0</v>
      </c>
      <c r="BX1151" s="5">
        <v>0</v>
      </c>
      <c r="BZ1151" s="5">
        <v>0</v>
      </c>
      <c r="CA1151" s="5">
        <v>0</v>
      </c>
      <c r="CC1151" s="5">
        <v>0</v>
      </c>
      <c r="CD1151" s="5">
        <v>2</v>
      </c>
      <c r="CF1151" s="1442" t="str">
        <f>IF([1]!sommaire[[#This Row],[présence des personnes déplacés interne]]="Oui","1","0")</f>
        <v>1</v>
      </c>
      <c r="CG1151" s="1442" t="str">
        <f>IF([1]!sommaire[[#This Row],[présence Réfugié hors camp]]="Oui","1","0")</f>
        <v>1</v>
      </c>
      <c r="CH1151" s="1442" t="str">
        <f>IF([1]!sommaire[[#This Row],[présence personnes retournées]]="Oui","1","0")</f>
        <v>1</v>
      </c>
      <c r="CI1151" s="1442">
        <f>[1]!sommaire[[#This Row],[Flag PDI]]+[1]!sommaire[[#This Row],[Flag REF]]+[1]!sommaire[[#This Row],[Flag RET]]</f>
        <v>3</v>
      </c>
    </row>
    <row r="1152" spans="1:87" ht="14.55" customHeight="1" x14ac:dyDescent="0.3">
      <c r="A1152" s="390">
        <v>2581235</v>
      </c>
      <c r="B1152" s="5" t="s">
        <v>533</v>
      </c>
      <c r="C1152" s="1430" t="s">
        <v>3449</v>
      </c>
      <c r="D1152" s="1090" t="s">
        <v>534</v>
      </c>
      <c r="E1152" s="5" t="s">
        <v>35</v>
      </c>
      <c r="F1152" s="5" t="s">
        <v>35</v>
      </c>
      <c r="G1152" s="5" t="s">
        <v>567</v>
      </c>
      <c r="H1152" s="5" t="s">
        <v>193</v>
      </c>
      <c r="I1152" s="5" t="str">
        <f>_xlfn.XLOOKUP(sommaire[[#This Row],[Arrondissement_code]],OCHA_GIS!$F:$F,OCHA_GIS!$E:$E,,)</f>
        <v>Mozogo</v>
      </c>
      <c r="J1152" s="5" t="s">
        <v>863</v>
      </c>
      <c r="K1152" t="s">
        <v>864</v>
      </c>
      <c r="L1152" s="5" t="s">
        <v>1567</v>
      </c>
      <c r="N1152" s="5" t="s">
        <v>3053</v>
      </c>
      <c r="O1152" s="5" t="s">
        <v>2467</v>
      </c>
      <c r="P1152" s="5" t="s">
        <v>85</v>
      </c>
      <c r="Q1152" s="5" t="s">
        <v>86</v>
      </c>
      <c r="R1152" s="5" t="s">
        <v>86</v>
      </c>
      <c r="T1152" s="390">
        <v>3</v>
      </c>
      <c r="U1152" s="5" t="s">
        <v>97</v>
      </c>
      <c r="W1152" s="5" t="s">
        <v>2468</v>
      </c>
      <c r="X1152" s="5" t="s">
        <v>102</v>
      </c>
      <c r="AA1152" s="5" t="s">
        <v>85</v>
      </c>
      <c r="AB1152" s="5" t="s">
        <v>2469</v>
      </c>
      <c r="AC1152" s="5" t="s">
        <v>2521</v>
      </c>
      <c r="AD1152" s="5" t="s">
        <v>86</v>
      </c>
      <c r="AF1152" s="5">
        <v>935</v>
      </c>
      <c r="AG1152" s="5">
        <v>16122</v>
      </c>
      <c r="AH1152" s="5" t="s">
        <v>85</v>
      </c>
      <c r="AI1152" s="5" t="s">
        <v>2471</v>
      </c>
      <c r="AJ1152" s="5">
        <v>935</v>
      </c>
      <c r="AK1152" s="5">
        <v>4908</v>
      </c>
      <c r="AL1152" s="5">
        <v>2127</v>
      </c>
      <c r="AM1152" s="5">
        <v>2781</v>
      </c>
      <c r="AN1152" s="5">
        <v>6</v>
      </c>
      <c r="AO1152" s="5">
        <v>543</v>
      </c>
      <c r="AP1152" s="5">
        <v>0</v>
      </c>
      <c r="AQ1152" s="5">
        <v>14</v>
      </c>
      <c r="AR1152" s="5" t="s">
        <v>2477</v>
      </c>
      <c r="AT1152" s="5">
        <v>334</v>
      </c>
      <c r="AU1152" s="5">
        <v>38</v>
      </c>
      <c r="AV1152" s="5" t="s">
        <v>2475</v>
      </c>
      <c r="AX1152" s="5">
        <v>0</v>
      </c>
      <c r="AY1152" s="5" t="s">
        <v>86</v>
      </c>
      <c r="BN1152" s="5" t="s">
        <v>85</v>
      </c>
      <c r="BO1152" s="5">
        <v>186</v>
      </c>
      <c r="BP1152" s="5">
        <v>914</v>
      </c>
      <c r="BQ1152" s="5">
        <v>364</v>
      </c>
      <c r="BR1152" s="5">
        <v>550</v>
      </c>
      <c r="BS1152" s="5" t="s">
        <v>2535</v>
      </c>
      <c r="BT1152" s="5">
        <v>0</v>
      </c>
      <c r="BU1152" s="5">
        <v>170</v>
      </c>
      <c r="BV1152" s="5">
        <v>16</v>
      </c>
      <c r="BW1152" s="5">
        <v>0</v>
      </c>
      <c r="BX1152" s="5">
        <v>0</v>
      </c>
      <c r="BZ1152" s="5">
        <v>0</v>
      </c>
      <c r="CA1152" s="5">
        <v>0</v>
      </c>
      <c r="CC1152" s="5">
        <v>0</v>
      </c>
      <c r="CD1152" s="5">
        <v>0</v>
      </c>
      <c r="CF1152" s="1442" t="str">
        <f>IF([1]!sommaire[[#This Row],[présence des personnes déplacés interne]]="Oui","1","0")</f>
        <v>1</v>
      </c>
      <c r="CG1152" s="1442" t="str">
        <f>IF([1]!sommaire[[#This Row],[présence Réfugié hors camp]]="Oui","1","0")</f>
        <v>0</v>
      </c>
      <c r="CH1152" s="1442" t="str">
        <f>IF([1]!sommaire[[#This Row],[présence personnes retournées]]="Oui","1","0")</f>
        <v>1</v>
      </c>
      <c r="CI1152" s="1442">
        <f>[1]!sommaire[[#This Row],[Flag PDI]]+[1]!sommaire[[#This Row],[Flag REF]]+[1]!sommaire[[#This Row],[Flag RET]]</f>
        <v>2</v>
      </c>
    </row>
    <row r="1153" spans="1:87" ht="14.55" customHeight="1" x14ac:dyDescent="0.3">
      <c r="A1153" s="390">
        <v>2591952</v>
      </c>
      <c r="B1153" s="5" t="s">
        <v>533</v>
      </c>
      <c r="C1153" s="1430" t="s">
        <v>3449</v>
      </c>
      <c r="D1153" s="1090" t="s">
        <v>534</v>
      </c>
      <c r="E1153" s="5" t="s">
        <v>35</v>
      </c>
      <c r="F1153" s="5" t="s">
        <v>35</v>
      </c>
      <c r="G1153" s="5" t="s">
        <v>567</v>
      </c>
      <c r="H1153" s="5" t="s">
        <v>193</v>
      </c>
      <c r="I1153" s="5" t="str">
        <f>_xlfn.XLOOKUP(sommaire[[#This Row],[Arrondissement_code]],OCHA_GIS!$F:$F,OCHA_GIS!$E:$E,,)</f>
        <v>Mozogo</v>
      </c>
      <c r="J1153" s="5" t="s">
        <v>863</v>
      </c>
      <c r="K1153" t="s">
        <v>1628</v>
      </c>
      <c r="L1153" s="5" t="s">
        <v>1309</v>
      </c>
      <c r="N1153" s="5" t="s">
        <v>3052</v>
      </c>
      <c r="O1153" s="5" t="s">
        <v>2467</v>
      </c>
      <c r="P1153" s="5" t="s">
        <v>85</v>
      </c>
      <c r="Q1153" s="5" t="s">
        <v>86</v>
      </c>
      <c r="R1153" s="5" t="s">
        <v>85</v>
      </c>
      <c r="T1153" s="390">
        <v>4</v>
      </c>
      <c r="U1153" s="5" t="s">
        <v>97</v>
      </c>
      <c r="W1153" s="5" t="s">
        <v>2520</v>
      </c>
      <c r="X1153" s="5" t="s">
        <v>101</v>
      </c>
      <c r="Y1153" s="5" t="s">
        <v>2511</v>
      </c>
      <c r="AA1153" s="586" t="s">
        <v>85</v>
      </c>
      <c r="AB1153" s="5" t="s">
        <v>2469</v>
      </c>
      <c r="AC1153" s="5" t="s">
        <v>2576</v>
      </c>
      <c r="AD1153" s="5" t="s">
        <v>86</v>
      </c>
      <c r="AF1153" s="5">
        <v>9</v>
      </c>
      <c r="AG1153" s="5">
        <v>8039</v>
      </c>
      <c r="AH1153" s="5" t="s">
        <v>85</v>
      </c>
      <c r="AI1153" s="5" t="s">
        <v>2471</v>
      </c>
      <c r="AJ1153" s="5">
        <v>9</v>
      </c>
      <c r="AK1153" s="5">
        <v>41</v>
      </c>
      <c r="AL1153" s="5">
        <v>14</v>
      </c>
      <c r="AM1153" s="5">
        <v>27</v>
      </c>
      <c r="AN1153" s="5">
        <v>0</v>
      </c>
      <c r="AO1153" s="5">
        <v>5</v>
      </c>
      <c r="AP1153" s="5">
        <v>0</v>
      </c>
      <c r="AQ1153" s="5">
        <v>0</v>
      </c>
      <c r="AT1153" s="5">
        <v>0</v>
      </c>
      <c r="AU1153" s="5">
        <v>0</v>
      </c>
      <c r="AX1153" s="5">
        <v>4</v>
      </c>
      <c r="AY1153" s="5" t="s">
        <v>85</v>
      </c>
      <c r="AZ1153" s="5">
        <v>71</v>
      </c>
      <c r="BA1153" s="5">
        <v>350</v>
      </c>
      <c r="BB1153" s="5">
        <v>150</v>
      </c>
      <c r="BC1153" s="5">
        <v>200</v>
      </c>
      <c r="BD1153" s="5">
        <v>71</v>
      </c>
      <c r="BE1153" s="5">
        <v>0</v>
      </c>
      <c r="BF1153" s="5">
        <v>0</v>
      </c>
      <c r="BH1153" s="5">
        <v>0</v>
      </c>
      <c r="BI1153" s="5">
        <v>0</v>
      </c>
      <c r="BL1153" s="5">
        <v>0</v>
      </c>
      <c r="BM1153" s="5">
        <v>71</v>
      </c>
      <c r="BN1153" s="5" t="s">
        <v>85</v>
      </c>
      <c r="BO1153" s="5">
        <v>101</v>
      </c>
      <c r="BP1153" s="5">
        <v>905</v>
      </c>
      <c r="BQ1153" s="5">
        <v>438</v>
      </c>
      <c r="BR1153" s="5">
        <v>467</v>
      </c>
      <c r="BS1153" s="5" t="s">
        <v>2479</v>
      </c>
      <c r="BT1153" s="5">
        <v>5</v>
      </c>
      <c r="BU1153" s="5">
        <v>76</v>
      </c>
      <c r="BV1153" s="5">
        <v>20</v>
      </c>
      <c r="BW1153" s="5">
        <v>0</v>
      </c>
      <c r="BX1153" s="5">
        <v>0</v>
      </c>
      <c r="BZ1153" s="5">
        <v>0</v>
      </c>
      <c r="CA1153" s="5">
        <v>0</v>
      </c>
      <c r="CC1153" s="5">
        <v>0</v>
      </c>
      <c r="CD1153" s="5">
        <v>0</v>
      </c>
      <c r="CF1153" s="1442" t="str">
        <f>IF([1]!sommaire[[#This Row],[présence des personnes déplacés interne]]="Oui","1","0")</f>
        <v>1</v>
      </c>
      <c r="CG1153" s="1442" t="str">
        <f>IF([1]!sommaire[[#This Row],[présence Réfugié hors camp]]="Oui","1","0")</f>
        <v>1</v>
      </c>
      <c r="CH1153" s="1442" t="str">
        <f>IF([1]!sommaire[[#This Row],[présence personnes retournées]]="Oui","1","0")</f>
        <v>1</v>
      </c>
      <c r="CI1153" s="1442">
        <f>[1]!sommaire[[#This Row],[Flag PDI]]+[1]!sommaire[[#This Row],[Flag REF]]+[1]!sommaire[[#This Row],[Flag RET]]</f>
        <v>3</v>
      </c>
    </row>
    <row r="1154" spans="1:87" ht="14.55" customHeight="1" x14ac:dyDescent="0.3">
      <c r="A1154" s="390">
        <v>2561375</v>
      </c>
      <c r="B1154" s="5" t="s">
        <v>533</v>
      </c>
      <c r="C1154" s="1430" t="s">
        <v>3449</v>
      </c>
      <c r="D1154" s="1090" t="s">
        <v>534</v>
      </c>
      <c r="E1154" s="5" t="s">
        <v>35</v>
      </c>
      <c r="F1154" s="5" t="s">
        <v>35</v>
      </c>
      <c r="G1154" s="5" t="s">
        <v>567</v>
      </c>
      <c r="H1154" s="5" t="s">
        <v>193</v>
      </c>
      <c r="I1154" s="5" t="str">
        <f>_xlfn.XLOOKUP(sommaire[[#This Row],[Arrondissement_code]],OCHA_GIS!$F:$F,OCHA_GIS!$E:$E,,)</f>
        <v>Mozogo</v>
      </c>
      <c r="J1154" s="5" t="s">
        <v>863</v>
      </c>
      <c r="K1154" t="s">
        <v>1122</v>
      </c>
      <c r="L1154" s="5" t="s">
        <v>991</v>
      </c>
      <c r="N1154" s="5" t="s">
        <v>3052</v>
      </c>
      <c r="O1154" s="5" t="s">
        <v>2467</v>
      </c>
      <c r="P1154" s="5" t="s">
        <v>85</v>
      </c>
      <c r="Q1154" s="5" t="s">
        <v>86</v>
      </c>
      <c r="R1154" s="5" t="s">
        <v>85</v>
      </c>
      <c r="T1154" s="390">
        <v>4</v>
      </c>
      <c r="U1154" s="5" t="s">
        <v>97</v>
      </c>
      <c r="W1154" s="5" t="s">
        <v>2468</v>
      </c>
      <c r="X1154" s="5" t="s">
        <v>102</v>
      </c>
      <c r="AA1154" s="5" t="s">
        <v>85</v>
      </c>
      <c r="AB1154" s="5" t="s">
        <v>2469</v>
      </c>
      <c r="AC1154" s="5" t="s">
        <v>2470</v>
      </c>
      <c r="AD1154" s="5" t="s">
        <v>86</v>
      </c>
      <c r="AF1154" s="5">
        <v>218</v>
      </c>
      <c r="AG1154" s="5">
        <v>8004</v>
      </c>
      <c r="AH1154" s="5" t="s">
        <v>85</v>
      </c>
      <c r="AI1154" s="5" t="s">
        <v>2485</v>
      </c>
      <c r="AJ1154" s="5">
        <v>218</v>
      </c>
      <c r="AK1154" s="5">
        <v>1272</v>
      </c>
      <c r="AL1154" s="5">
        <v>535</v>
      </c>
      <c r="AM1154" s="5">
        <v>737</v>
      </c>
      <c r="AN1154" s="5">
        <v>0</v>
      </c>
      <c r="AO1154" s="5">
        <v>210</v>
      </c>
      <c r="AP1154" s="5">
        <v>8</v>
      </c>
      <c r="AQ1154" s="5">
        <v>0</v>
      </c>
      <c r="AT1154" s="5">
        <v>0</v>
      </c>
      <c r="AU1154" s="5">
        <v>0</v>
      </c>
      <c r="AX1154" s="5">
        <v>0</v>
      </c>
      <c r="AY1154" s="5" t="s">
        <v>85</v>
      </c>
      <c r="AZ1154" s="5">
        <v>2</v>
      </c>
      <c r="BA1154" s="5">
        <v>16</v>
      </c>
      <c r="BB1154" s="5">
        <v>9</v>
      </c>
      <c r="BC1154" s="5">
        <v>7</v>
      </c>
      <c r="BD1154" s="5">
        <v>2</v>
      </c>
      <c r="BE1154" s="5">
        <v>0</v>
      </c>
      <c r="BF1154" s="5">
        <v>0</v>
      </c>
      <c r="BH1154" s="5">
        <v>0</v>
      </c>
      <c r="BI1154" s="5">
        <v>0</v>
      </c>
      <c r="BL1154" s="5">
        <v>0</v>
      </c>
      <c r="BM1154" s="5">
        <v>0</v>
      </c>
      <c r="BN1154" s="5" t="s">
        <v>85</v>
      </c>
      <c r="BO1154" s="5">
        <v>84</v>
      </c>
      <c r="BP1154" s="5">
        <v>466</v>
      </c>
      <c r="BQ1154" s="5">
        <v>184</v>
      </c>
      <c r="BR1154" s="5">
        <v>282</v>
      </c>
      <c r="BS1154" s="5" t="s">
        <v>2492</v>
      </c>
      <c r="BT1154" s="5">
        <v>9</v>
      </c>
      <c r="BU1154" s="5">
        <v>75</v>
      </c>
      <c r="BV1154" s="5">
        <v>0</v>
      </c>
      <c r="BW1154" s="5">
        <v>0</v>
      </c>
      <c r="BX1154" s="5">
        <v>0</v>
      </c>
      <c r="BZ1154" s="5">
        <v>0</v>
      </c>
      <c r="CA1154" s="5">
        <v>0</v>
      </c>
      <c r="CC1154" s="5">
        <v>0</v>
      </c>
      <c r="CD1154" s="5">
        <v>0</v>
      </c>
      <c r="CF1154" s="1442" t="str">
        <f>IF([1]!sommaire[[#This Row],[présence des personnes déplacés interne]]="Oui","1","0")</f>
        <v>1</v>
      </c>
      <c r="CG1154" s="1442" t="str">
        <f>IF([1]!sommaire[[#This Row],[présence Réfugié hors camp]]="Oui","1","0")</f>
        <v>1</v>
      </c>
      <c r="CH1154" s="1442" t="str">
        <f>IF([1]!sommaire[[#This Row],[présence personnes retournées]]="Oui","1","0")</f>
        <v>1</v>
      </c>
      <c r="CI1154" s="1442">
        <f>[1]!sommaire[[#This Row],[Flag PDI]]+[1]!sommaire[[#This Row],[Flag REF]]+[1]!sommaire[[#This Row],[Flag RET]]</f>
        <v>3</v>
      </c>
    </row>
    <row r="1155" spans="1:87" ht="14.55" customHeight="1" x14ac:dyDescent="0.3">
      <c r="A1155" s="390">
        <v>2559956</v>
      </c>
      <c r="B1155" s="5" t="s">
        <v>533</v>
      </c>
      <c r="C1155" s="1430" t="s">
        <v>3449</v>
      </c>
      <c r="D1155" s="1090" t="s">
        <v>534</v>
      </c>
      <c r="E1155" s="5" t="s">
        <v>35</v>
      </c>
      <c r="F1155" s="5" t="s">
        <v>35</v>
      </c>
      <c r="G1155" s="5" t="s">
        <v>567</v>
      </c>
      <c r="H1155" s="5" t="s">
        <v>193</v>
      </c>
      <c r="I1155" s="5" t="str">
        <f>_xlfn.XLOOKUP(sommaire[[#This Row],[Arrondissement_code]],OCHA_GIS!$F:$F,OCHA_GIS!$E:$E,,)</f>
        <v>Mozogo</v>
      </c>
      <c r="J1155" s="5" t="s">
        <v>863</v>
      </c>
      <c r="K1155" t="s">
        <v>990</v>
      </c>
      <c r="L1155" s="5" t="s">
        <v>1583</v>
      </c>
      <c r="N1155" s="5" t="s">
        <v>3052</v>
      </c>
      <c r="O1155" s="5" t="s">
        <v>2467</v>
      </c>
      <c r="P1155" s="5" t="s">
        <v>85</v>
      </c>
      <c r="Q1155" s="5" t="s">
        <v>86</v>
      </c>
      <c r="R1155" s="5" t="s">
        <v>86</v>
      </c>
      <c r="T1155" s="390">
        <v>3</v>
      </c>
      <c r="U1155" s="5" t="s">
        <v>97</v>
      </c>
      <c r="W1155" s="5" t="s">
        <v>2468</v>
      </c>
      <c r="X1155" s="5" t="s">
        <v>102</v>
      </c>
      <c r="AA1155" s="5" t="s">
        <v>85</v>
      </c>
      <c r="AB1155" s="5" t="s">
        <v>2469</v>
      </c>
      <c r="AC1155" s="5" t="s">
        <v>312</v>
      </c>
      <c r="AD1155" s="5" t="s">
        <v>86</v>
      </c>
      <c r="AF1155" s="5">
        <v>141</v>
      </c>
      <c r="AG1155" s="5">
        <v>6858</v>
      </c>
      <c r="AH1155" s="5" t="s">
        <v>85</v>
      </c>
      <c r="AI1155" s="5" t="s">
        <v>2471</v>
      </c>
      <c r="AJ1155" s="5">
        <v>141</v>
      </c>
      <c r="AK1155" s="5">
        <v>828</v>
      </c>
      <c r="AL1155" s="5">
        <v>314</v>
      </c>
      <c r="AM1155" s="5">
        <v>514</v>
      </c>
      <c r="AN1155" s="5">
        <v>6</v>
      </c>
      <c r="AO1155" s="5">
        <v>100</v>
      </c>
      <c r="AP1155" s="5">
        <v>0</v>
      </c>
      <c r="AQ1155" s="5">
        <v>35</v>
      </c>
      <c r="AR1155" s="5" t="s">
        <v>2477</v>
      </c>
      <c r="AT1155" s="5">
        <v>0</v>
      </c>
      <c r="AU1155" s="5">
        <v>0</v>
      </c>
      <c r="AX1155" s="5">
        <v>0</v>
      </c>
      <c r="AY1155" s="5" t="s">
        <v>86</v>
      </c>
      <c r="BN1155" s="5" t="s">
        <v>85</v>
      </c>
      <c r="BO1155" s="5">
        <v>95</v>
      </c>
      <c r="BP1155" s="5">
        <v>490</v>
      </c>
      <c r="BQ1155" s="5">
        <v>231</v>
      </c>
      <c r="BR1155" s="5">
        <v>259</v>
      </c>
      <c r="BS1155" s="5" t="s">
        <v>2479</v>
      </c>
      <c r="BT1155" s="5">
        <v>0</v>
      </c>
      <c r="BU1155" s="5">
        <v>95</v>
      </c>
      <c r="BV1155" s="5">
        <v>0</v>
      </c>
      <c r="BW1155" s="5">
        <v>0</v>
      </c>
      <c r="BX1155" s="5">
        <v>0</v>
      </c>
      <c r="BZ1155" s="5">
        <v>0</v>
      </c>
      <c r="CA1155" s="5">
        <v>0</v>
      </c>
      <c r="CC1155" s="5">
        <v>0</v>
      </c>
      <c r="CD1155" s="5">
        <v>0</v>
      </c>
      <c r="CF1155" s="1442" t="str">
        <f>IF([1]!sommaire[[#This Row],[présence des personnes déplacés interne]]="Oui","1","0")</f>
        <v>1</v>
      </c>
      <c r="CG1155" s="1442" t="str">
        <f>IF([1]!sommaire[[#This Row],[présence Réfugié hors camp]]="Oui","1","0")</f>
        <v>0</v>
      </c>
      <c r="CH1155" s="1442" t="str">
        <f>IF([1]!sommaire[[#This Row],[présence personnes retournées]]="Oui","1","0")</f>
        <v>1</v>
      </c>
      <c r="CI1155" s="1442">
        <f>[1]!sommaire[[#This Row],[Flag PDI]]+[1]!sommaire[[#This Row],[Flag REF]]+[1]!sommaire[[#This Row],[Flag RET]]</f>
        <v>2</v>
      </c>
    </row>
    <row r="1156" spans="1:87" ht="14.55" customHeight="1" x14ac:dyDescent="0.3">
      <c r="A1156" s="390">
        <v>2618441</v>
      </c>
      <c r="B1156" s="5" t="s">
        <v>533</v>
      </c>
      <c r="C1156" s="1430" t="s">
        <v>3449</v>
      </c>
      <c r="D1156" s="1090" t="s">
        <v>534</v>
      </c>
      <c r="E1156" s="5" t="s">
        <v>35</v>
      </c>
      <c r="F1156" s="5" t="s">
        <v>35</v>
      </c>
      <c r="G1156" s="5" t="s">
        <v>567</v>
      </c>
      <c r="H1156" s="5" t="s">
        <v>193</v>
      </c>
      <c r="I1156" s="5" t="str">
        <f>_xlfn.XLOOKUP(sommaire[[#This Row],[Arrondissement_code]],OCHA_GIS!$F:$F,OCHA_GIS!$E:$E,,)</f>
        <v>Mozogo</v>
      </c>
      <c r="J1156" s="5" t="s">
        <v>863</v>
      </c>
      <c r="K1156" t="s">
        <v>1582</v>
      </c>
      <c r="L1156" s="5" t="s">
        <v>1092</v>
      </c>
      <c r="N1156" s="5" t="s">
        <v>3053</v>
      </c>
      <c r="O1156" s="5" t="s">
        <v>2467</v>
      </c>
      <c r="P1156" s="5" t="s">
        <v>85</v>
      </c>
      <c r="Q1156" s="5" t="s">
        <v>86</v>
      </c>
      <c r="R1156" s="5" t="s">
        <v>85</v>
      </c>
      <c r="T1156" s="390">
        <v>3</v>
      </c>
      <c r="U1156" s="5" t="s">
        <v>97</v>
      </c>
      <c r="W1156" s="5" t="s">
        <v>2468</v>
      </c>
      <c r="X1156" s="5" t="s">
        <v>102</v>
      </c>
      <c r="AA1156" s="5" t="s">
        <v>85</v>
      </c>
      <c r="AB1156" s="5" t="s">
        <v>2469</v>
      </c>
      <c r="AC1156" s="5" t="s">
        <v>312</v>
      </c>
      <c r="AD1156" s="5" t="s">
        <v>86</v>
      </c>
      <c r="AF1156" s="5">
        <v>53</v>
      </c>
      <c r="AG1156" s="5">
        <v>7819</v>
      </c>
      <c r="AH1156" s="5" t="s">
        <v>85</v>
      </c>
      <c r="AI1156" s="5" t="s">
        <v>2471</v>
      </c>
      <c r="AJ1156" s="5">
        <v>53</v>
      </c>
      <c r="AK1156" s="5">
        <v>282</v>
      </c>
      <c r="AL1156" s="5">
        <v>104</v>
      </c>
      <c r="AM1156" s="5">
        <v>178</v>
      </c>
      <c r="AN1156" s="5">
        <v>11</v>
      </c>
      <c r="AO1156" s="5">
        <v>37</v>
      </c>
      <c r="AP1156" s="5">
        <v>5</v>
      </c>
      <c r="AQ1156" s="5">
        <v>0</v>
      </c>
      <c r="AT1156" s="5">
        <v>0</v>
      </c>
      <c r="AU1156" s="5">
        <v>0</v>
      </c>
      <c r="AX1156" s="5">
        <v>0</v>
      </c>
      <c r="AY1156" s="5" t="s">
        <v>85</v>
      </c>
      <c r="AZ1156" s="5">
        <v>3</v>
      </c>
      <c r="BA1156" s="5">
        <v>3</v>
      </c>
      <c r="BB1156" s="5">
        <v>3</v>
      </c>
      <c r="BC1156" s="5">
        <v>0</v>
      </c>
      <c r="BD1156" s="5">
        <v>3</v>
      </c>
      <c r="BE1156" s="5">
        <v>0</v>
      </c>
      <c r="BF1156" s="5">
        <v>0</v>
      </c>
      <c r="BH1156" s="5">
        <v>0</v>
      </c>
      <c r="BI1156" s="5">
        <v>0</v>
      </c>
      <c r="BL1156" s="5">
        <v>0</v>
      </c>
      <c r="BM1156" s="5">
        <v>3</v>
      </c>
      <c r="BN1156" s="5" t="s">
        <v>85</v>
      </c>
      <c r="BO1156" s="5">
        <v>106</v>
      </c>
      <c r="BP1156" s="5">
        <v>540</v>
      </c>
      <c r="BQ1156" s="5">
        <v>200</v>
      </c>
      <c r="BR1156" s="5">
        <v>340</v>
      </c>
      <c r="BS1156" s="5" t="s">
        <v>2535</v>
      </c>
      <c r="BT1156" s="5">
        <v>10</v>
      </c>
      <c r="BU1156" s="5">
        <v>96</v>
      </c>
      <c r="BV1156" s="5">
        <v>0</v>
      </c>
      <c r="BW1156" s="5">
        <v>0</v>
      </c>
      <c r="BX1156" s="5">
        <v>0</v>
      </c>
      <c r="BZ1156" s="5">
        <v>0</v>
      </c>
      <c r="CA1156" s="5">
        <v>0</v>
      </c>
      <c r="CC1156" s="5">
        <v>0</v>
      </c>
      <c r="CD1156" s="5">
        <v>0</v>
      </c>
      <c r="CF1156" s="1442" t="str">
        <f>IF([1]!sommaire[[#This Row],[présence des personnes déplacés interne]]="Oui","1","0")</f>
        <v>1</v>
      </c>
      <c r="CG1156" s="1442" t="str">
        <f>IF([1]!sommaire[[#This Row],[présence Réfugié hors camp]]="Oui","1","0")</f>
        <v>1</v>
      </c>
      <c r="CH1156" s="1442" t="str">
        <f>IF([1]!sommaire[[#This Row],[présence personnes retournées]]="Oui","1","0")</f>
        <v>1</v>
      </c>
      <c r="CI1156" s="1442">
        <f>[1]!sommaire[[#This Row],[Flag PDI]]+[1]!sommaire[[#This Row],[Flag REF]]+[1]!sommaire[[#This Row],[Flag RET]]</f>
        <v>3</v>
      </c>
    </row>
    <row r="1157" spans="1:87" ht="14.55" customHeight="1" x14ac:dyDescent="0.3">
      <c r="A1157" s="390">
        <v>2632289</v>
      </c>
      <c r="B1157" s="5" t="s">
        <v>533</v>
      </c>
      <c r="C1157" s="1430" t="s">
        <v>3449</v>
      </c>
      <c r="D1157" s="1090" t="s">
        <v>534</v>
      </c>
      <c r="E1157" s="5" t="s">
        <v>35</v>
      </c>
      <c r="F1157" s="5" t="s">
        <v>35</v>
      </c>
      <c r="G1157" s="5" t="s">
        <v>567</v>
      </c>
      <c r="H1157" s="5" t="s">
        <v>193</v>
      </c>
      <c r="I1157" s="5" t="str">
        <f>_xlfn.XLOOKUP(sommaire[[#This Row],[Arrondissement_code]],OCHA_GIS!$F:$F,OCHA_GIS!$E:$E,,)</f>
        <v>Mozogo</v>
      </c>
      <c r="J1157" s="5" t="s">
        <v>863</v>
      </c>
      <c r="K1157" t="s">
        <v>1091</v>
      </c>
      <c r="L1157" s="5" t="s">
        <v>1587</v>
      </c>
      <c r="N1157" s="5" t="s">
        <v>3052</v>
      </c>
      <c r="O1157" s="5" t="s">
        <v>2467</v>
      </c>
      <c r="P1157" s="5" t="s">
        <v>85</v>
      </c>
      <c r="Q1157" s="5" t="s">
        <v>86</v>
      </c>
      <c r="R1157" s="5" t="s">
        <v>86</v>
      </c>
      <c r="T1157" s="390">
        <v>3</v>
      </c>
      <c r="U1157" s="5" t="s">
        <v>97</v>
      </c>
      <c r="W1157" s="5" t="s">
        <v>2468</v>
      </c>
      <c r="X1157" s="5" t="s">
        <v>102</v>
      </c>
      <c r="AA1157" s="5" t="s">
        <v>85</v>
      </c>
      <c r="AB1157" s="5" t="s">
        <v>2469</v>
      </c>
      <c r="AC1157" s="5" t="s">
        <v>2473</v>
      </c>
      <c r="AD1157" s="1090" t="s">
        <v>85</v>
      </c>
      <c r="AE1157" s="5">
        <v>1</v>
      </c>
      <c r="AF1157" s="5">
        <v>108</v>
      </c>
      <c r="AG1157" s="5">
        <v>9636</v>
      </c>
      <c r="AH1157" s="5" t="s">
        <v>85</v>
      </c>
      <c r="AI1157" s="5" t="s">
        <v>2471</v>
      </c>
      <c r="AJ1157" s="5">
        <v>108</v>
      </c>
      <c r="AK1157" s="5">
        <v>668</v>
      </c>
      <c r="AL1157" s="5">
        <v>277</v>
      </c>
      <c r="AM1157" s="5">
        <v>391</v>
      </c>
      <c r="AN1157" s="5">
        <v>0</v>
      </c>
      <c r="AO1157" s="5">
        <v>108</v>
      </c>
      <c r="AP1157" s="5">
        <v>0</v>
      </c>
      <c r="AQ1157" s="5">
        <v>0</v>
      </c>
      <c r="AT1157" s="5">
        <v>0</v>
      </c>
      <c r="AU1157" s="5">
        <v>0</v>
      </c>
      <c r="AX1157" s="5">
        <v>0</v>
      </c>
      <c r="AY1157" s="5" t="s">
        <v>86</v>
      </c>
      <c r="BN1157" s="5" t="s">
        <v>86</v>
      </c>
      <c r="CD1157" s="5">
        <v>0</v>
      </c>
      <c r="CF1157" s="1442" t="str">
        <f>IF([1]!sommaire[[#This Row],[présence des personnes déplacés interne]]="Oui","1","0")</f>
        <v>1</v>
      </c>
      <c r="CG1157" s="1442" t="str">
        <f>IF([1]!sommaire[[#This Row],[présence Réfugié hors camp]]="Oui","1","0")</f>
        <v>0</v>
      </c>
      <c r="CH1157" s="1442" t="str">
        <f>IF([1]!sommaire[[#This Row],[présence personnes retournées]]="Oui","1","0")</f>
        <v>0</v>
      </c>
      <c r="CI1157" s="1442">
        <f>[1]!sommaire[[#This Row],[Flag PDI]]+[1]!sommaire[[#This Row],[Flag REF]]+[1]!sommaire[[#This Row],[Flag RET]]</f>
        <v>1</v>
      </c>
    </row>
    <row r="1158" spans="1:87" ht="14.55" customHeight="1" x14ac:dyDescent="0.3">
      <c r="A1158" s="390">
        <v>2559957</v>
      </c>
      <c r="B1158" s="5" t="s">
        <v>533</v>
      </c>
      <c r="C1158" s="1430" t="s">
        <v>3449</v>
      </c>
      <c r="D1158" s="1090" t="s">
        <v>534</v>
      </c>
      <c r="E1158" s="5" t="s">
        <v>35</v>
      </c>
      <c r="F1158" s="5" t="s">
        <v>35</v>
      </c>
      <c r="G1158" s="5" t="s">
        <v>567</v>
      </c>
      <c r="H1158" s="5" t="s">
        <v>193</v>
      </c>
      <c r="I1158" s="5" t="str">
        <f>_xlfn.XLOOKUP(sommaire[[#This Row],[Arrondissement_code]],OCHA_GIS!$F:$F,OCHA_GIS!$E:$E,,)</f>
        <v>Mozogo</v>
      </c>
      <c r="J1158" s="5" t="s">
        <v>863</v>
      </c>
      <c r="K1158" t="s">
        <v>875</v>
      </c>
      <c r="L1158" s="5" t="s">
        <v>993</v>
      </c>
      <c r="N1158" s="5" t="s">
        <v>3053</v>
      </c>
      <c r="O1158" s="5" t="s">
        <v>2467</v>
      </c>
      <c r="P1158" s="5" t="s">
        <v>85</v>
      </c>
      <c r="Q1158" s="5" t="s">
        <v>86</v>
      </c>
      <c r="R1158" s="5" t="s">
        <v>85</v>
      </c>
      <c r="T1158" s="390">
        <v>3</v>
      </c>
      <c r="U1158" s="5" t="s">
        <v>97</v>
      </c>
      <c r="W1158" s="5" t="s">
        <v>2468</v>
      </c>
      <c r="X1158" s="5" t="s">
        <v>102</v>
      </c>
      <c r="AA1158" s="5" t="s">
        <v>85</v>
      </c>
      <c r="AB1158" s="5" t="s">
        <v>2469</v>
      </c>
      <c r="AC1158" s="5" t="s">
        <v>2470</v>
      </c>
      <c r="AD1158" s="5" t="s">
        <v>86</v>
      </c>
      <c r="AF1158" s="5">
        <v>91</v>
      </c>
      <c r="AG1158" s="5">
        <v>2527</v>
      </c>
      <c r="AH1158" s="5" t="s">
        <v>85</v>
      </c>
      <c r="AI1158" s="5" t="s">
        <v>2471</v>
      </c>
      <c r="AJ1158" s="5">
        <v>91</v>
      </c>
      <c r="AK1158" s="5">
        <v>489</v>
      </c>
      <c r="AL1158" s="5">
        <v>231</v>
      </c>
      <c r="AM1158" s="5">
        <v>258</v>
      </c>
      <c r="AN1158" s="5">
        <v>0</v>
      </c>
      <c r="AO1158" s="5">
        <v>91</v>
      </c>
      <c r="AP1158" s="5">
        <v>0</v>
      </c>
      <c r="AQ1158" s="5">
        <v>0</v>
      </c>
      <c r="AT1158" s="5">
        <v>0</v>
      </c>
      <c r="AU1158" s="5">
        <v>0</v>
      </c>
      <c r="AX1158" s="5">
        <v>0</v>
      </c>
      <c r="AY1158" s="5" t="s">
        <v>85</v>
      </c>
      <c r="AZ1158" s="5">
        <v>23</v>
      </c>
      <c r="BA1158" s="5">
        <v>126</v>
      </c>
      <c r="BB1158" s="5">
        <v>53</v>
      </c>
      <c r="BC1158" s="5">
        <v>73</v>
      </c>
      <c r="BD1158" s="5">
        <v>23</v>
      </c>
      <c r="BE1158" s="5">
        <v>0</v>
      </c>
      <c r="BF1158" s="5">
        <v>0</v>
      </c>
      <c r="BH1158" s="5">
        <v>0</v>
      </c>
      <c r="BI1158" s="5">
        <v>0</v>
      </c>
      <c r="BL1158" s="5">
        <v>0</v>
      </c>
      <c r="BM1158" s="5">
        <v>0</v>
      </c>
      <c r="BN1158" s="5" t="s">
        <v>85</v>
      </c>
      <c r="BO1158" s="5">
        <v>5</v>
      </c>
      <c r="BP1158" s="5">
        <v>18</v>
      </c>
      <c r="BQ1158" s="5">
        <v>8</v>
      </c>
      <c r="BR1158" s="5">
        <v>10</v>
      </c>
      <c r="BS1158" s="5" t="s">
        <v>2535</v>
      </c>
      <c r="BT1158" s="5">
        <v>0</v>
      </c>
      <c r="BU1158" s="5">
        <v>5</v>
      </c>
      <c r="BV1158" s="5">
        <v>0</v>
      </c>
      <c r="BW1158" s="5">
        <v>0</v>
      </c>
      <c r="BX1158" s="5">
        <v>0</v>
      </c>
      <c r="BZ1158" s="5">
        <v>0</v>
      </c>
      <c r="CA1158" s="5">
        <v>0</v>
      </c>
      <c r="CC1158" s="5">
        <v>0</v>
      </c>
      <c r="CD1158" s="5">
        <v>0</v>
      </c>
      <c r="CF1158" s="1442" t="str">
        <f>IF([1]!sommaire[[#This Row],[présence des personnes déplacés interne]]="Oui","1","0")</f>
        <v>1</v>
      </c>
      <c r="CG1158" s="1442" t="str">
        <f>IF([1]!sommaire[[#This Row],[présence Réfugié hors camp]]="Oui","1","0")</f>
        <v>1</v>
      </c>
      <c r="CH1158" s="1442" t="str">
        <f>IF([1]!sommaire[[#This Row],[présence personnes retournées]]="Oui","1","0")</f>
        <v>1</v>
      </c>
      <c r="CI1158" s="1442">
        <f>[1]!sommaire[[#This Row],[Flag PDI]]+[1]!sommaire[[#This Row],[Flag REF]]+[1]!sommaire[[#This Row],[Flag RET]]</f>
        <v>3</v>
      </c>
    </row>
    <row r="1159" spans="1:87" ht="14.55" customHeight="1" x14ac:dyDescent="0.3">
      <c r="A1159" s="390">
        <v>2666741</v>
      </c>
      <c r="B1159" s="5" t="s">
        <v>533</v>
      </c>
      <c r="C1159" s="1430" t="s">
        <v>3449</v>
      </c>
      <c r="D1159" s="5" t="s">
        <v>534</v>
      </c>
      <c r="E1159" s="5" t="s">
        <v>35</v>
      </c>
      <c r="F1159" s="5" t="s">
        <v>35</v>
      </c>
      <c r="G1159" s="5" t="s">
        <v>567</v>
      </c>
      <c r="H1159" s="5" t="s">
        <v>193</v>
      </c>
      <c r="I1159" s="5" t="str">
        <f>_xlfn.XLOOKUP(sommaire[[#This Row],[Arrondissement_code]],OCHA_GIS!$F:$F,OCHA_GIS!$E:$E,,)</f>
        <v>Mozogo</v>
      </c>
      <c r="J1159" s="5" t="s">
        <v>863</v>
      </c>
      <c r="K1159" t="s">
        <v>1120</v>
      </c>
      <c r="L1159" s="5" t="s">
        <v>3264</v>
      </c>
      <c r="N1159" s="5" t="s">
        <v>3053</v>
      </c>
      <c r="O1159" s="5" t="s">
        <v>2473</v>
      </c>
      <c r="P1159" s="5" t="s">
        <v>85</v>
      </c>
      <c r="Q1159" s="5" t="s">
        <v>86</v>
      </c>
      <c r="R1159" s="5" t="s">
        <v>85</v>
      </c>
      <c r="T1159" s="390">
        <v>3</v>
      </c>
      <c r="U1159" s="5" t="s">
        <v>97</v>
      </c>
      <c r="W1159" s="5" t="s">
        <v>2468</v>
      </c>
      <c r="X1159" s="5" t="s">
        <v>102</v>
      </c>
      <c r="AA1159" s="5" t="s">
        <v>85</v>
      </c>
      <c r="AB1159" s="5" t="s">
        <v>2473</v>
      </c>
      <c r="AC1159" s="5" t="s">
        <v>2470</v>
      </c>
      <c r="AF1159" s="5">
        <v>70</v>
      </c>
      <c r="AG1159" s="5">
        <v>717</v>
      </c>
      <c r="AH1159" s="5" t="s">
        <v>85</v>
      </c>
      <c r="AI1159" s="5" t="s">
        <v>2471</v>
      </c>
      <c r="AJ1159" s="5">
        <v>70</v>
      </c>
      <c r="AK1159" s="5">
        <v>696</v>
      </c>
      <c r="AL1159" s="5">
        <v>273</v>
      </c>
      <c r="AM1159" s="5">
        <v>423</v>
      </c>
      <c r="AN1159" s="5">
        <v>0</v>
      </c>
      <c r="AO1159" s="5">
        <v>0</v>
      </c>
      <c r="AP1159" s="5">
        <v>0</v>
      </c>
      <c r="AQ1159" s="5">
        <v>0</v>
      </c>
      <c r="AT1159" s="5">
        <v>0</v>
      </c>
      <c r="AU1159" s="5">
        <v>70</v>
      </c>
      <c r="AV1159" s="5" t="s">
        <v>2474</v>
      </c>
      <c r="AX1159" s="5">
        <v>0</v>
      </c>
      <c r="AY1159" s="5" t="s">
        <v>86</v>
      </c>
      <c r="BN1159" s="5" t="s">
        <v>86</v>
      </c>
      <c r="CD1159" s="5">
        <v>0</v>
      </c>
      <c r="CF1159" s="1442" t="str">
        <f>IF([1]!sommaire[[#This Row],[présence des personnes déplacés interne]]="Oui","1","0")</f>
        <v>1</v>
      </c>
      <c r="CG1159" s="1442" t="str">
        <f>IF([1]!sommaire[[#This Row],[présence Réfugié hors camp]]="Oui","1","0")</f>
        <v>0</v>
      </c>
      <c r="CH1159" s="1442" t="str">
        <f>IF([1]!sommaire[[#This Row],[présence personnes retournées]]="Oui","1","0")</f>
        <v>0</v>
      </c>
      <c r="CI1159" s="1442">
        <f>[1]!sommaire[[#This Row],[Flag PDI]]+[1]!sommaire[[#This Row],[Flag REF]]+[1]!sommaire[[#This Row],[Flag RET]]</f>
        <v>1</v>
      </c>
    </row>
    <row r="1160" spans="1:87" ht="14.55" customHeight="1" x14ac:dyDescent="0.3">
      <c r="A1160" s="390">
        <v>2561377</v>
      </c>
      <c r="B1160" s="5" t="s">
        <v>533</v>
      </c>
      <c r="C1160" s="1430" t="s">
        <v>3449</v>
      </c>
      <c r="D1160" s="5" t="s">
        <v>534</v>
      </c>
      <c r="E1160" s="5" t="s">
        <v>35</v>
      </c>
      <c r="F1160" s="5" t="s">
        <v>35</v>
      </c>
      <c r="G1160" s="5" t="s">
        <v>567</v>
      </c>
      <c r="H1160" s="5" t="s">
        <v>193</v>
      </c>
      <c r="I1160" s="5" t="str">
        <f>_xlfn.XLOOKUP(sommaire[[#This Row],[Arrondissement_code]],OCHA_GIS!$F:$F,OCHA_GIS!$E:$E,,)</f>
        <v>Mozogo</v>
      </c>
      <c r="J1160" s="5" t="s">
        <v>863</v>
      </c>
      <c r="K1160" t="s">
        <v>2966</v>
      </c>
      <c r="L1160" s="5" t="s">
        <v>3293</v>
      </c>
      <c r="N1160" s="5" t="s">
        <v>3053</v>
      </c>
      <c r="O1160" s="5" t="s">
        <v>2473</v>
      </c>
      <c r="P1160" s="5" t="s">
        <v>85</v>
      </c>
      <c r="Q1160" s="5" t="s">
        <v>86</v>
      </c>
      <c r="R1160" s="5" t="s">
        <v>85</v>
      </c>
      <c r="T1160" s="390">
        <v>4</v>
      </c>
      <c r="U1160" s="5" t="s">
        <v>97</v>
      </c>
      <c r="W1160" s="5" t="s">
        <v>2468</v>
      </c>
      <c r="X1160" s="5" t="s">
        <v>102</v>
      </c>
      <c r="AA1160" s="5" t="s">
        <v>85</v>
      </c>
      <c r="AB1160" s="5" t="s">
        <v>2473</v>
      </c>
      <c r="AC1160" s="5" t="s">
        <v>2470</v>
      </c>
      <c r="AF1160" s="5">
        <v>123</v>
      </c>
      <c r="AG1160" s="5">
        <v>1564</v>
      </c>
      <c r="AH1160" s="5" t="s">
        <v>85</v>
      </c>
      <c r="AI1160" s="5" t="s">
        <v>2471</v>
      </c>
      <c r="AJ1160" s="5">
        <v>123</v>
      </c>
      <c r="AK1160" s="5">
        <v>991</v>
      </c>
      <c r="AL1160" s="5">
        <v>419</v>
      </c>
      <c r="AM1160" s="5">
        <v>572</v>
      </c>
      <c r="AN1160" s="5">
        <v>0</v>
      </c>
      <c r="AO1160" s="5">
        <v>123</v>
      </c>
      <c r="AP1160" s="5">
        <v>0</v>
      </c>
      <c r="AQ1160" s="5">
        <v>0</v>
      </c>
      <c r="AT1160" s="5">
        <v>0</v>
      </c>
      <c r="AU1160" s="5">
        <v>0</v>
      </c>
      <c r="AX1160" s="5">
        <v>0</v>
      </c>
      <c r="AY1160" s="5" t="s">
        <v>86</v>
      </c>
      <c r="BN1160" s="5" t="s">
        <v>86</v>
      </c>
      <c r="CD1160" s="5">
        <v>0</v>
      </c>
      <c r="CF1160" s="1442" t="str">
        <f>IF([1]!sommaire[[#This Row],[présence des personnes déplacés interne]]="Oui","1","0")</f>
        <v>1</v>
      </c>
      <c r="CG1160" s="1442" t="str">
        <f>IF([1]!sommaire[[#This Row],[présence Réfugié hors camp]]="Oui","1","0")</f>
        <v>0</v>
      </c>
      <c r="CH1160" s="1442" t="str">
        <f>IF([1]!sommaire[[#This Row],[présence personnes retournées]]="Oui","1","0")</f>
        <v>0</v>
      </c>
      <c r="CI1160" s="1442">
        <f>[1]!sommaire[[#This Row],[Flag PDI]]+[1]!sommaire[[#This Row],[Flag REF]]+[1]!sommaire[[#This Row],[Flag RET]]</f>
        <v>1</v>
      </c>
    </row>
    <row r="1161" spans="1:87" ht="14.55" customHeight="1" x14ac:dyDescent="0.3">
      <c r="A1161" s="390">
        <v>2581236</v>
      </c>
      <c r="B1161" s="5" t="s">
        <v>533</v>
      </c>
      <c r="C1161" s="1430" t="s">
        <v>3449</v>
      </c>
      <c r="D1161" s="5" t="s">
        <v>534</v>
      </c>
      <c r="E1161" s="5" t="s">
        <v>35</v>
      </c>
      <c r="F1161" s="5" t="s">
        <v>35</v>
      </c>
      <c r="G1161" s="5" t="s">
        <v>567</v>
      </c>
      <c r="H1161" s="5" t="s">
        <v>193</v>
      </c>
      <c r="I1161" s="5" t="str">
        <f>_xlfn.XLOOKUP(sommaire[[#This Row],[Arrondissement_code]],OCHA_GIS!$F:$F,OCHA_GIS!$E:$E,,)</f>
        <v>Mozogo</v>
      </c>
      <c r="J1161" s="5" t="s">
        <v>863</v>
      </c>
      <c r="K1161" t="s">
        <v>1597</v>
      </c>
      <c r="L1161" s="5" t="s">
        <v>3294</v>
      </c>
      <c r="N1161" s="5" t="s">
        <v>3053</v>
      </c>
      <c r="O1161" s="5" t="s">
        <v>2473</v>
      </c>
      <c r="P1161" s="5" t="s">
        <v>85</v>
      </c>
      <c r="Q1161" s="5" t="s">
        <v>86</v>
      </c>
      <c r="R1161" s="5" t="s">
        <v>86</v>
      </c>
      <c r="T1161" s="390">
        <v>3</v>
      </c>
      <c r="U1161" s="5" t="s">
        <v>97</v>
      </c>
      <c r="W1161" s="5" t="s">
        <v>2468</v>
      </c>
      <c r="X1161" s="5" t="s">
        <v>102</v>
      </c>
      <c r="AA1161" s="5" t="s">
        <v>85</v>
      </c>
      <c r="AB1161" s="5" t="s">
        <v>2473</v>
      </c>
      <c r="AC1161" s="5" t="s">
        <v>2470</v>
      </c>
      <c r="AF1161" s="5">
        <v>79</v>
      </c>
      <c r="AG1161" s="5">
        <v>518</v>
      </c>
      <c r="AH1161" s="5" t="s">
        <v>85</v>
      </c>
      <c r="AI1161" s="5" t="s">
        <v>2471</v>
      </c>
      <c r="AJ1161" s="5">
        <v>79</v>
      </c>
      <c r="AK1161" s="5">
        <v>512</v>
      </c>
      <c r="AL1161" s="5">
        <v>222</v>
      </c>
      <c r="AM1161" s="5">
        <v>290</v>
      </c>
      <c r="AN1161" s="5">
        <v>0</v>
      </c>
      <c r="AO1161" s="5">
        <v>0</v>
      </c>
      <c r="AP1161" s="5">
        <v>0</v>
      </c>
      <c r="AQ1161" s="5">
        <v>0</v>
      </c>
      <c r="AT1161" s="5">
        <v>0</v>
      </c>
      <c r="AU1161" s="5">
        <v>79</v>
      </c>
      <c r="AV1161" s="5" t="s">
        <v>2475</v>
      </c>
      <c r="AX1161" s="5">
        <v>0</v>
      </c>
      <c r="AY1161" s="5" t="s">
        <v>86</v>
      </c>
      <c r="BN1161" s="5" t="s">
        <v>85</v>
      </c>
      <c r="BO1161" s="5">
        <v>1</v>
      </c>
      <c r="BP1161" s="5">
        <v>6</v>
      </c>
      <c r="BQ1161" s="5">
        <v>2</v>
      </c>
      <c r="BR1161" s="5">
        <v>4</v>
      </c>
      <c r="BS1161" s="5" t="s">
        <v>2535</v>
      </c>
      <c r="BT1161" s="5">
        <v>0</v>
      </c>
      <c r="BU1161" s="5">
        <v>0</v>
      </c>
      <c r="BV1161" s="5">
        <v>0</v>
      </c>
      <c r="BW1161" s="5">
        <v>0</v>
      </c>
      <c r="BX1161" s="5">
        <v>0</v>
      </c>
      <c r="BZ1161" s="5">
        <v>0</v>
      </c>
      <c r="CA1161" s="5">
        <v>1</v>
      </c>
      <c r="CB1161" s="5" t="s">
        <v>2475</v>
      </c>
      <c r="CC1161" s="5">
        <v>0</v>
      </c>
      <c r="CD1161" s="5">
        <v>0</v>
      </c>
      <c r="CF1161" s="1442" t="str">
        <f>IF([1]!sommaire[[#This Row],[présence des personnes déplacés interne]]="Oui","1","0")</f>
        <v>1</v>
      </c>
      <c r="CG1161" s="1442" t="str">
        <f>IF([1]!sommaire[[#This Row],[présence Réfugié hors camp]]="Oui","1","0")</f>
        <v>0</v>
      </c>
      <c r="CH1161" s="1442" t="str">
        <f>IF([1]!sommaire[[#This Row],[présence personnes retournées]]="Oui","1","0")</f>
        <v>1</v>
      </c>
      <c r="CI1161" s="1442">
        <f>[1]!sommaire[[#This Row],[Flag PDI]]+[1]!sommaire[[#This Row],[Flag REF]]+[1]!sommaire[[#This Row],[Flag RET]]</f>
        <v>2</v>
      </c>
    </row>
    <row r="1162" spans="1:87" ht="14.55" customHeight="1" x14ac:dyDescent="0.3">
      <c r="A1162" s="390">
        <v>2666740</v>
      </c>
      <c r="B1162" s="5" t="s">
        <v>533</v>
      </c>
      <c r="C1162" s="1430" t="s">
        <v>3449</v>
      </c>
      <c r="D1162" s="5" t="s">
        <v>534</v>
      </c>
      <c r="E1162" s="5" t="s">
        <v>35</v>
      </c>
      <c r="F1162" s="5" t="s">
        <v>35</v>
      </c>
      <c r="G1162" s="5" t="s">
        <v>567</v>
      </c>
      <c r="H1162" s="5" t="s">
        <v>193</v>
      </c>
      <c r="I1162" s="5" t="str">
        <f>_xlfn.XLOOKUP(sommaire[[#This Row],[Arrondissement_code]],OCHA_GIS!$F:$F,OCHA_GIS!$E:$E,,)</f>
        <v>Mozogo</v>
      </c>
      <c r="J1162" s="5" t="s">
        <v>863</v>
      </c>
      <c r="K1162" t="s">
        <v>2965</v>
      </c>
      <c r="L1162" s="5" t="s">
        <v>3295</v>
      </c>
      <c r="N1162" s="5" t="s">
        <v>3053</v>
      </c>
      <c r="O1162" s="5" t="s">
        <v>2473</v>
      </c>
      <c r="P1162" s="5" t="s">
        <v>85</v>
      </c>
      <c r="Q1162" s="5" t="s">
        <v>86</v>
      </c>
      <c r="R1162" s="5" t="s">
        <v>85</v>
      </c>
      <c r="T1162" s="390">
        <v>3</v>
      </c>
      <c r="U1162" s="5" t="s">
        <v>97</v>
      </c>
      <c r="W1162" s="5" t="s">
        <v>2468</v>
      </c>
      <c r="X1162" s="5" t="s">
        <v>102</v>
      </c>
      <c r="AA1162" s="5" t="s">
        <v>85</v>
      </c>
      <c r="AB1162" s="5" t="s">
        <v>2473</v>
      </c>
      <c r="AC1162" s="5" t="s">
        <v>2469</v>
      </c>
      <c r="AF1162" s="5">
        <v>83</v>
      </c>
      <c r="AG1162" s="5">
        <v>892</v>
      </c>
      <c r="AH1162" s="5" t="s">
        <v>85</v>
      </c>
      <c r="AI1162" s="5" t="s">
        <v>2485</v>
      </c>
      <c r="AJ1162" s="5">
        <v>83</v>
      </c>
      <c r="AK1162" s="5">
        <v>766</v>
      </c>
      <c r="AL1162" s="5">
        <v>345</v>
      </c>
      <c r="AM1162" s="5">
        <v>421</v>
      </c>
      <c r="AN1162" s="5">
        <v>0</v>
      </c>
      <c r="AO1162" s="5">
        <v>0</v>
      </c>
      <c r="AP1162" s="5">
        <v>0</v>
      </c>
      <c r="AQ1162" s="5">
        <v>0</v>
      </c>
      <c r="AT1162" s="5">
        <v>0</v>
      </c>
      <c r="AU1162" s="5">
        <v>83</v>
      </c>
      <c r="AV1162" s="5" t="s">
        <v>2474</v>
      </c>
      <c r="AX1162" s="5">
        <v>0</v>
      </c>
      <c r="AY1162" s="5" t="s">
        <v>86</v>
      </c>
      <c r="BN1162" s="5" t="s">
        <v>85</v>
      </c>
      <c r="BO1162" s="5">
        <v>6</v>
      </c>
      <c r="BP1162" s="5">
        <v>27</v>
      </c>
      <c r="BQ1162" s="5">
        <v>17</v>
      </c>
      <c r="BR1162" s="5">
        <v>10</v>
      </c>
      <c r="BS1162" s="5" t="s">
        <v>2535</v>
      </c>
      <c r="BT1162" s="5">
        <v>0</v>
      </c>
      <c r="BU1162" s="5">
        <v>0</v>
      </c>
      <c r="BV1162" s="5">
        <v>0</v>
      </c>
      <c r="BW1162" s="5">
        <v>0</v>
      </c>
      <c r="BX1162" s="5">
        <v>0</v>
      </c>
      <c r="BZ1162" s="5">
        <v>0</v>
      </c>
      <c r="CA1162" s="5">
        <v>6</v>
      </c>
      <c r="CB1162" s="5" t="s">
        <v>2475</v>
      </c>
      <c r="CC1162" s="5">
        <v>0</v>
      </c>
      <c r="CD1162" s="5">
        <v>0</v>
      </c>
      <c r="CF1162" s="1442" t="str">
        <f>IF([1]!sommaire[[#This Row],[présence des personnes déplacés interne]]="Oui","1","0")</f>
        <v>1</v>
      </c>
      <c r="CG1162" s="1442" t="str">
        <f>IF([1]!sommaire[[#This Row],[présence Réfugié hors camp]]="Oui","1","0")</f>
        <v>0</v>
      </c>
      <c r="CH1162" s="1442" t="str">
        <f>IF([1]!sommaire[[#This Row],[présence personnes retournées]]="Oui","1","0")</f>
        <v>1</v>
      </c>
      <c r="CI1162" s="1442">
        <f>[1]!sommaire[[#This Row],[Flag PDI]]+[1]!sommaire[[#This Row],[Flag REF]]+[1]!sommaire[[#This Row],[Flag RET]]</f>
        <v>2</v>
      </c>
    </row>
    <row r="1163" spans="1:87" ht="14.55" customHeight="1" x14ac:dyDescent="0.3">
      <c r="A1163" s="390">
        <v>2632290</v>
      </c>
      <c r="B1163" s="5" t="s">
        <v>533</v>
      </c>
      <c r="C1163" s="1430" t="s">
        <v>3449</v>
      </c>
      <c r="D1163" s="5" t="s">
        <v>534</v>
      </c>
      <c r="E1163" s="5" t="s">
        <v>35</v>
      </c>
      <c r="F1163" s="5" t="s">
        <v>35</v>
      </c>
      <c r="G1163" s="5" t="s">
        <v>567</v>
      </c>
      <c r="H1163" s="1144" t="s">
        <v>193</v>
      </c>
      <c r="I1163" s="1144" t="str">
        <f>_xlfn.XLOOKUP(sommaire[[#This Row],[Arrondissement_code]],OCHA_GIS!$F:$F,OCHA_GIS!$E:$E,,)</f>
        <v>Mozogo</v>
      </c>
      <c r="J1163" s="5" t="s">
        <v>863</v>
      </c>
      <c r="K1163" t="s">
        <v>2982</v>
      </c>
      <c r="L1163" s="5" t="s">
        <v>3297</v>
      </c>
      <c r="N1163" s="5" t="s">
        <v>3053</v>
      </c>
      <c r="O1163" s="5" t="s">
        <v>2473</v>
      </c>
      <c r="P1163" s="5" t="s">
        <v>85</v>
      </c>
      <c r="Q1163" s="5" t="s">
        <v>86</v>
      </c>
      <c r="R1163" s="5" t="s">
        <v>86</v>
      </c>
      <c r="T1163" s="390">
        <v>3</v>
      </c>
      <c r="U1163" s="5" t="s">
        <v>97</v>
      </c>
      <c r="W1163" s="5" t="s">
        <v>2468</v>
      </c>
      <c r="X1163" s="5" t="s">
        <v>102</v>
      </c>
      <c r="AA1163" s="5" t="s">
        <v>85</v>
      </c>
      <c r="AB1163" s="5" t="s">
        <v>2473</v>
      </c>
      <c r="AC1163" s="5" t="s">
        <v>2470</v>
      </c>
      <c r="AF1163" s="5">
        <v>72</v>
      </c>
      <c r="AG1163" s="5">
        <v>701</v>
      </c>
      <c r="AH1163" s="5" t="s">
        <v>85</v>
      </c>
      <c r="AI1163" s="5" t="s">
        <v>2471</v>
      </c>
      <c r="AJ1163" s="5">
        <v>72</v>
      </c>
      <c r="AK1163" s="5">
        <v>701</v>
      </c>
      <c r="AL1163" s="5">
        <v>275</v>
      </c>
      <c r="AM1163" s="5">
        <v>426</v>
      </c>
      <c r="AN1163" s="5">
        <v>0</v>
      </c>
      <c r="AO1163" s="5">
        <v>0</v>
      </c>
      <c r="AP1163" s="5">
        <v>0</v>
      </c>
      <c r="AQ1163" s="5">
        <v>0</v>
      </c>
      <c r="AT1163" s="5">
        <v>0</v>
      </c>
      <c r="AU1163" s="5">
        <v>72</v>
      </c>
      <c r="AV1163" s="5" t="s">
        <v>2474</v>
      </c>
      <c r="AX1163" s="5">
        <v>0</v>
      </c>
      <c r="AY1163" s="5" t="s">
        <v>86</v>
      </c>
      <c r="BN1163" s="5" t="s">
        <v>86</v>
      </c>
      <c r="CD1163" s="5">
        <v>0</v>
      </c>
      <c r="CF1163" s="1442" t="str">
        <f>IF([1]!sommaire[[#This Row],[présence des personnes déplacés interne]]="Oui","1","0")</f>
        <v>1</v>
      </c>
      <c r="CG1163" s="1442" t="str">
        <f>IF([1]!sommaire[[#This Row],[présence Réfugié hors camp]]="Oui","1","0")</f>
        <v>0</v>
      </c>
      <c r="CH1163" s="1442" t="str">
        <f>IF([1]!sommaire[[#This Row],[présence personnes retournées]]="Oui","1","0")</f>
        <v>0</v>
      </c>
      <c r="CI1163" s="1442">
        <f>[1]!sommaire[[#This Row],[Flag PDI]]+[1]!sommaire[[#This Row],[Flag REF]]+[1]!sommaire[[#This Row],[Flag RET]]</f>
        <v>1</v>
      </c>
    </row>
    <row r="1164" spans="1:87" ht="14.55" customHeight="1" x14ac:dyDescent="0.3">
      <c r="A1164" s="390">
        <v>2591953</v>
      </c>
      <c r="B1164" s="5" t="s">
        <v>533</v>
      </c>
      <c r="C1164" s="1430" t="s">
        <v>3449</v>
      </c>
      <c r="D1164" s="5" t="s">
        <v>534</v>
      </c>
      <c r="E1164" s="5" t="s">
        <v>35</v>
      </c>
      <c r="F1164" s="5" t="s">
        <v>35</v>
      </c>
      <c r="G1164" s="5" t="s">
        <v>567</v>
      </c>
      <c r="H1164" s="5" t="s">
        <v>193</v>
      </c>
      <c r="I1164" s="5" t="str">
        <f>_xlfn.XLOOKUP(sommaire[[#This Row],[Arrondissement_code]],OCHA_GIS!$F:$F,OCHA_GIS!$E:$E,,)</f>
        <v>Mozogo</v>
      </c>
      <c r="J1164" s="5" t="s">
        <v>863</v>
      </c>
      <c r="K1164" t="s">
        <v>2206</v>
      </c>
      <c r="L1164" s="5" t="s">
        <v>1298</v>
      </c>
      <c r="N1164" s="5" t="s">
        <v>3053</v>
      </c>
      <c r="O1164" s="5" t="s">
        <v>2467</v>
      </c>
      <c r="P1164" s="5" t="s">
        <v>85</v>
      </c>
      <c r="Q1164" s="5" t="s">
        <v>86</v>
      </c>
      <c r="R1164" s="5" t="s">
        <v>85</v>
      </c>
      <c r="T1164" s="390">
        <v>3</v>
      </c>
      <c r="U1164" s="5" t="s">
        <v>100</v>
      </c>
      <c r="W1164" s="5" t="s">
        <v>2482</v>
      </c>
      <c r="AA1164" s="5" t="s">
        <v>86</v>
      </c>
      <c r="AH1164" s="1430" t="s">
        <v>86</v>
      </c>
      <c r="AY1164" s="1430" t="s">
        <v>86</v>
      </c>
      <c r="BN1164" s="1430" t="s">
        <v>86</v>
      </c>
      <c r="CF1164" s="1442" t="str">
        <f>IF([1]!sommaire[[#This Row],[présence des personnes déplacés interne]]="Oui","1","0")</f>
        <v>0</v>
      </c>
      <c r="CG1164" s="1442" t="str">
        <f>IF([1]!sommaire[[#This Row],[présence Réfugié hors camp]]="Oui","1","0")</f>
        <v>0</v>
      </c>
      <c r="CH1164" s="1442" t="str">
        <f>IF([1]!sommaire[[#This Row],[présence personnes retournées]]="Oui","1","0")</f>
        <v>0</v>
      </c>
      <c r="CI1164" s="1442">
        <f>[1]!sommaire[[#This Row],[Flag PDI]]+[1]!sommaire[[#This Row],[Flag REF]]+[1]!sommaire[[#This Row],[Flag RET]]</f>
        <v>0</v>
      </c>
    </row>
    <row r="1165" spans="1:87" ht="14.55" customHeight="1" x14ac:dyDescent="0.3">
      <c r="A1165" s="390">
        <v>2632287</v>
      </c>
      <c r="B1165" s="5" t="s">
        <v>533</v>
      </c>
      <c r="C1165" s="1430" t="s">
        <v>3449</v>
      </c>
      <c r="D1165" s="5" t="s">
        <v>534</v>
      </c>
      <c r="E1165" s="5" t="s">
        <v>35</v>
      </c>
      <c r="F1165" s="5" t="s">
        <v>35</v>
      </c>
      <c r="G1165" s="5" t="s">
        <v>567</v>
      </c>
      <c r="H1165" s="5" t="s">
        <v>193</v>
      </c>
      <c r="I1165" s="5" t="str">
        <f>_xlfn.XLOOKUP(sommaire[[#This Row],[Arrondissement_code]],OCHA_GIS!$F:$F,OCHA_GIS!$E:$E,,)</f>
        <v>Mozogo</v>
      </c>
      <c r="J1165" s="5" t="s">
        <v>863</v>
      </c>
      <c r="K1165" t="s">
        <v>1297</v>
      </c>
      <c r="L1165" s="5" t="s">
        <v>1629</v>
      </c>
      <c r="N1165" s="5" t="s">
        <v>3053</v>
      </c>
      <c r="O1165" s="5" t="s">
        <v>2467</v>
      </c>
      <c r="P1165" s="5" t="s">
        <v>85</v>
      </c>
      <c r="Q1165" s="5" t="s">
        <v>86</v>
      </c>
      <c r="R1165" s="5" t="s">
        <v>86</v>
      </c>
      <c r="T1165" s="390">
        <v>3</v>
      </c>
      <c r="U1165" s="5" t="s">
        <v>97</v>
      </c>
      <c r="W1165" s="5" t="s">
        <v>2520</v>
      </c>
      <c r="X1165" s="5" t="s">
        <v>103</v>
      </c>
      <c r="Y1165" s="5" t="s">
        <v>2511</v>
      </c>
      <c r="AA1165" s="5" t="s">
        <v>85</v>
      </c>
      <c r="AB1165" s="5" t="s">
        <v>2469</v>
      </c>
      <c r="AC1165" s="5" t="s">
        <v>2470</v>
      </c>
      <c r="AD1165" s="5" t="s">
        <v>86</v>
      </c>
      <c r="AF1165" s="5">
        <v>6</v>
      </c>
      <c r="AG1165" s="5">
        <v>1514</v>
      </c>
      <c r="AH1165" s="5" t="s">
        <v>85</v>
      </c>
      <c r="AI1165" s="5" t="s">
        <v>2471</v>
      </c>
      <c r="AJ1165" s="5">
        <v>6</v>
      </c>
      <c r="AK1165" s="5">
        <v>27</v>
      </c>
      <c r="AL1165" s="5">
        <v>7</v>
      </c>
      <c r="AM1165" s="5">
        <v>20</v>
      </c>
      <c r="AN1165" s="5">
        <v>0</v>
      </c>
      <c r="AO1165" s="5">
        <v>6</v>
      </c>
      <c r="AP1165" s="5">
        <v>0</v>
      </c>
      <c r="AQ1165" s="5">
        <v>0</v>
      </c>
      <c r="AT1165" s="5">
        <v>0</v>
      </c>
      <c r="AU1165" s="5">
        <v>0</v>
      </c>
      <c r="AX1165" s="5">
        <v>0</v>
      </c>
      <c r="AY1165" s="5" t="s">
        <v>86</v>
      </c>
      <c r="BN1165" s="5" t="s">
        <v>85</v>
      </c>
      <c r="BO1165" s="5">
        <v>59</v>
      </c>
      <c r="BP1165" s="5">
        <v>417</v>
      </c>
      <c r="BQ1165" s="5">
        <v>152</v>
      </c>
      <c r="BR1165" s="5">
        <v>265</v>
      </c>
      <c r="BS1165" s="5" t="s">
        <v>2479</v>
      </c>
      <c r="BT1165" s="5">
        <v>0</v>
      </c>
      <c r="BU1165" s="5">
        <v>59</v>
      </c>
      <c r="BV1165" s="5">
        <v>0</v>
      </c>
      <c r="BW1165" s="5">
        <v>0</v>
      </c>
      <c r="BX1165" s="5">
        <v>0</v>
      </c>
      <c r="BZ1165" s="5">
        <v>0</v>
      </c>
      <c r="CA1165" s="5">
        <v>0</v>
      </c>
      <c r="CC1165" s="5">
        <v>0</v>
      </c>
      <c r="CD1165" s="5">
        <v>0</v>
      </c>
      <c r="CF1165" s="1442" t="str">
        <f>IF([1]!sommaire[[#This Row],[présence des personnes déplacés interne]]="Oui","1","0")</f>
        <v>1</v>
      </c>
      <c r="CG1165" s="1442" t="str">
        <f>IF([1]!sommaire[[#This Row],[présence Réfugié hors camp]]="Oui","1","0")</f>
        <v>0</v>
      </c>
      <c r="CH1165" s="1442" t="str">
        <f>IF([1]!sommaire[[#This Row],[présence personnes retournées]]="Oui","1","0")</f>
        <v>1</v>
      </c>
      <c r="CI1165" s="1442">
        <f>[1]!sommaire[[#This Row],[Flag PDI]]+[1]!sommaire[[#This Row],[Flag REF]]+[1]!sommaire[[#This Row],[Flag RET]]</f>
        <v>2</v>
      </c>
    </row>
    <row r="1166" spans="1:87" ht="14.55" customHeight="1" x14ac:dyDescent="0.3">
      <c r="A1166" s="390">
        <v>2606055</v>
      </c>
      <c r="B1166" s="5" t="s">
        <v>533</v>
      </c>
      <c r="C1166" s="1430" t="s">
        <v>3449</v>
      </c>
      <c r="D1166" s="5" t="s">
        <v>534</v>
      </c>
      <c r="E1166" s="5" t="s">
        <v>35</v>
      </c>
      <c r="F1166" s="5" t="s">
        <v>35</v>
      </c>
      <c r="G1166" s="5" t="s">
        <v>567</v>
      </c>
      <c r="H1166" s="5" t="s">
        <v>193</v>
      </c>
      <c r="I1166" s="5" t="str">
        <f>_xlfn.XLOOKUP(sommaire[[#This Row],[Arrondissement_code]],OCHA_GIS!$F:$F,OCHA_GIS!$E:$E,,)</f>
        <v>Mozogo</v>
      </c>
      <c r="J1166" s="5" t="s">
        <v>863</v>
      </c>
      <c r="K1166" t="s">
        <v>3020</v>
      </c>
      <c r="L1166" s="5" t="s">
        <v>2681</v>
      </c>
      <c r="N1166" s="5" t="s">
        <v>3052</v>
      </c>
      <c r="O1166" s="5" t="s">
        <v>2467</v>
      </c>
      <c r="P1166" s="5" t="s">
        <v>86</v>
      </c>
      <c r="Q1166" s="5" t="s">
        <v>86</v>
      </c>
      <c r="R1166" s="5" t="s">
        <v>85</v>
      </c>
      <c r="U1166" s="5" t="s">
        <v>98</v>
      </c>
      <c r="W1166" s="5" t="s">
        <v>2482</v>
      </c>
      <c r="AA1166" s="5" t="s">
        <v>86</v>
      </c>
      <c r="AH1166" s="1430" t="s">
        <v>86</v>
      </c>
      <c r="AY1166" s="1430" t="s">
        <v>86</v>
      </c>
      <c r="BN1166" s="1430" t="s">
        <v>86</v>
      </c>
      <c r="CF1166" s="1442" t="str">
        <f>IF([1]!sommaire[[#This Row],[présence des personnes déplacés interne]]="Oui","1","0")</f>
        <v>0</v>
      </c>
      <c r="CG1166" s="1442" t="str">
        <f>IF([1]!sommaire[[#This Row],[présence Réfugié hors camp]]="Oui","1","0")</f>
        <v>0</v>
      </c>
      <c r="CH1166" s="1442" t="str">
        <f>IF([1]!sommaire[[#This Row],[présence personnes retournées]]="Oui","1","0")</f>
        <v>0</v>
      </c>
      <c r="CI1166" s="1442">
        <f>[1]!sommaire[[#This Row],[Flag PDI]]+[1]!sommaire[[#This Row],[Flag REF]]+[1]!sommaire[[#This Row],[Flag RET]]</f>
        <v>0</v>
      </c>
    </row>
    <row r="1167" spans="1:87" ht="14.55" customHeight="1" x14ac:dyDescent="0.3">
      <c r="A1167" s="390">
        <v>2643508</v>
      </c>
      <c r="B1167" s="5" t="s">
        <v>533</v>
      </c>
      <c r="C1167" s="1430" t="s">
        <v>3449</v>
      </c>
      <c r="D1167" s="5" t="s">
        <v>534</v>
      </c>
      <c r="E1167" s="5" t="s">
        <v>35</v>
      </c>
      <c r="F1167" s="5" t="s">
        <v>35</v>
      </c>
      <c r="G1167" s="5" t="s">
        <v>567</v>
      </c>
      <c r="H1167" s="5" t="s">
        <v>193</v>
      </c>
      <c r="I1167" s="5" t="str">
        <f>_xlfn.XLOOKUP(sommaire[[#This Row],[Arrondissement_code]],OCHA_GIS!$F:$F,OCHA_GIS!$E:$E,,)</f>
        <v>Mozogo</v>
      </c>
      <c r="J1167" s="5" t="s">
        <v>863</v>
      </c>
      <c r="K1167" t="s">
        <v>1580</v>
      </c>
      <c r="L1167" s="5" t="s">
        <v>2676</v>
      </c>
      <c r="N1167" s="5" t="s">
        <v>3053</v>
      </c>
      <c r="O1167" s="5" t="s">
        <v>2467</v>
      </c>
      <c r="P1167" s="5" t="s">
        <v>86</v>
      </c>
      <c r="Q1167" s="5" t="s">
        <v>86</v>
      </c>
      <c r="R1167" s="5" t="s">
        <v>85</v>
      </c>
      <c r="U1167" s="5" t="s">
        <v>100</v>
      </c>
      <c r="W1167" s="5" t="s">
        <v>2482</v>
      </c>
      <c r="AA1167" s="5" t="s">
        <v>86</v>
      </c>
      <c r="AH1167" s="1430" t="s">
        <v>86</v>
      </c>
      <c r="AY1167" s="1430" t="s">
        <v>86</v>
      </c>
      <c r="BN1167" s="1430" t="s">
        <v>86</v>
      </c>
      <c r="CF1167" s="1442" t="str">
        <f>IF([1]!sommaire[[#This Row],[présence des personnes déplacés interne]]="Oui","1","0")</f>
        <v>0</v>
      </c>
      <c r="CG1167" s="1442" t="str">
        <f>IF([1]!sommaire[[#This Row],[présence Réfugié hors camp]]="Oui","1","0")</f>
        <v>0</v>
      </c>
      <c r="CH1167" s="1442" t="str">
        <f>IF([1]!sommaire[[#This Row],[présence personnes retournées]]="Oui","1","0")</f>
        <v>0</v>
      </c>
      <c r="CI1167" s="1442">
        <f>[1]!sommaire[[#This Row],[Flag PDI]]+[1]!sommaire[[#This Row],[Flag REF]]+[1]!sommaire[[#This Row],[Flag RET]]</f>
        <v>0</v>
      </c>
    </row>
    <row r="1168" spans="1:87" ht="14.55" customHeight="1" x14ac:dyDescent="0.3">
      <c r="A1168" s="390">
        <v>2627503</v>
      </c>
      <c r="B1168" s="5" t="s">
        <v>533</v>
      </c>
      <c r="C1168" s="1430" t="s">
        <v>3449</v>
      </c>
      <c r="D1168" s="5" t="s">
        <v>534</v>
      </c>
      <c r="E1168" s="5" t="s">
        <v>35</v>
      </c>
      <c r="F1168" s="5" t="s">
        <v>35</v>
      </c>
      <c r="G1168" s="5" t="s">
        <v>567</v>
      </c>
      <c r="H1168" s="5" t="s">
        <v>193</v>
      </c>
      <c r="I1168" s="5" t="str">
        <f>_xlfn.XLOOKUP(sommaire[[#This Row],[Arrondissement_code]],OCHA_GIS!$F:$F,OCHA_GIS!$E:$E,,)</f>
        <v>Mozogo</v>
      </c>
      <c r="J1168" s="5" t="s">
        <v>863</v>
      </c>
      <c r="K1168" t="s">
        <v>1584</v>
      </c>
      <c r="L1168" s="5" t="s">
        <v>995</v>
      </c>
      <c r="N1168" s="5" t="s">
        <v>3053</v>
      </c>
      <c r="O1168" s="5" t="s">
        <v>2467</v>
      </c>
      <c r="P1168" s="5" t="s">
        <v>85</v>
      </c>
      <c r="Q1168" s="5" t="s">
        <v>85</v>
      </c>
      <c r="R1168" s="5" t="s">
        <v>85</v>
      </c>
      <c r="S1168" s="390">
        <v>6</v>
      </c>
      <c r="T1168" s="390">
        <v>3</v>
      </c>
      <c r="U1168" s="5" t="s">
        <v>97</v>
      </c>
      <c r="W1168" s="5" t="s">
        <v>2468</v>
      </c>
      <c r="X1168" s="5" t="s">
        <v>103</v>
      </c>
      <c r="Y1168" s="5" t="s">
        <v>2511</v>
      </c>
      <c r="AA1168" s="5" t="s">
        <v>85</v>
      </c>
      <c r="AB1168" s="5" t="s">
        <v>2469</v>
      </c>
      <c r="AC1168" s="5" t="s">
        <v>2470</v>
      </c>
      <c r="AD1168" s="5" t="s">
        <v>86</v>
      </c>
      <c r="AF1168" s="5">
        <v>74</v>
      </c>
      <c r="AG1168" s="5">
        <v>1095</v>
      </c>
      <c r="AH1168" s="5" t="s">
        <v>85</v>
      </c>
      <c r="AI1168" s="5" t="s">
        <v>2485</v>
      </c>
      <c r="AJ1168" s="5">
        <v>74</v>
      </c>
      <c r="AK1168" s="5">
        <v>394</v>
      </c>
      <c r="AL1168" s="5">
        <v>187</v>
      </c>
      <c r="AM1168" s="5">
        <v>207</v>
      </c>
      <c r="AN1168" s="5">
        <v>6</v>
      </c>
      <c r="AO1168" s="5">
        <v>68</v>
      </c>
      <c r="AP1168" s="5">
        <v>0</v>
      </c>
      <c r="AQ1168" s="5">
        <v>0</v>
      </c>
      <c r="AT1168" s="5">
        <v>0</v>
      </c>
      <c r="AU1168" s="5">
        <v>0</v>
      </c>
      <c r="AX1168" s="5">
        <v>0</v>
      </c>
      <c r="AY1168" s="5" t="s">
        <v>86</v>
      </c>
      <c r="BN1168" s="5" t="s">
        <v>86</v>
      </c>
      <c r="CD1168" s="5">
        <v>0</v>
      </c>
      <c r="CF1168" s="1442" t="str">
        <f>IF([1]!sommaire[[#This Row],[présence des personnes déplacés interne]]="Oui","1","0")</f>
        <v>1</v>
      </c>
      <c r="CG1168" s="1442" t="str">
        <f>IF([1]!sommaire[[#This Row],[présence Réfugié hors camp]]="Oui","1","0")</f>
        <v>0</v>
      </c>
      <c r="CH1168" s="1442" t="str">
        <f>IF([1]!sommaire[[#This Row],[présence personnes retournées]]="Oui","1","0")</f>
        <v>0</v>
      </c>
      <c r="CI1168" s="1442">
        <f>[1]!sommaire[[#This Row],[Flag PDI]]+[1]!sommaire[[#This Row],[Flag REF]]+[1]!sommaire[[#This Row],[Flag RET]]</f>
        <v>1</v>
      </c>
    </row>
    <row r="1169" spans="1:87" x14ac:dyDescent="0.3">
      <c r="A1169" s="390">
        <v>2627505</v>
      </c>
      <c r="B1169" s="5" t="s">
        <v>533</v>
      </c>
      <c r="C1169" s="1430" t="s">
        <v>3449</v>
      </c>
      <c r="D1169" s="5" t="s">
        <v>534</v>
      </c>
      <c r="E1169" s="5" t="s">
        <v>35</v>
      </c>
      <c r="F1169" s="5" t="s">
        <v>35</v>
      </c>
      <c r="G1169" s="5" t="s">
        <v>567</v>
      </c>
      <c r="H1169" s="5" t="s">
        <v>193</v>
      </c>
      <c r="I1169" s="5" t="str">
        <f>_xlfn.XLOOKUP(sommaire[[#This Row],[Arrondissement_code]],OCHA_GIS!$F:$F,OCHA_GIS!$E:$E,,)</f>
        <v>Mozogo</v>
      </c>
      <c r="J1169" s="5" t="s">
        <v>863</v>
      </c>
      <c r="K1169" t="s">
        <v>992</v>
      </c>
      <c r="L1169" s="5" t="s">
        <v>2674</v>
      </c>
      <c r="N1169" s="5" t="s">
        <v>3053</v>
      </c>
      <c r="O1169" s="5" t="s">
        <v>2467</v>
      </c>
      <c r="P1169" s="5" t="s">
        <v>85</v>
      </c>
      <c r="Q1169" s="5" t="s">
        <v>86</v>
      </c>
      <c r="R1169" s="5" t="s">
        <v>85</v>
      </c>
      <c r="T1169" s="390">
        <v>4</v>
      </c>
      <c r="U1169" s="5" t="s">
        <v>97</v>
      </c>
      <c r="W1169" s="5" t="s">
        <v>2482</v>
      </c>
      <c r="AA1169" s="5" t="s">
        <v>86</v>
      </c>
      <c r="AH1169" s="1430" t="s">
        <v>86</v>
      </c>
      <c r="AY1169" s="1430" t="s">
        <v>86</v>
      </c>
      <c r="BN1169" s="1430" t="s">
        <v>86</v>
      </c>
      <c r="CF1169" s="1442" t="str">
        <f>IF([1]!sommaire[[#This Row],[présence des personnes déplacés interne]]="Oui","1","0")</f>
        <v>0</v>
      </c>
      <c r="CG1169" s="1442" t="str">
        <f>IF([1]!sommaire[[#This Row],[présence Réfugié hors camp]]="Oui","1","0")</f>
        <v>0</v>
      </c>
      <c r="CH1169" s="1442" t="str">
        <f>IF([1]!sommaire[[#This Row],[présence personnes retournées]]="Oui","1","0")</f>
        <v>0</v>
      </c>
      <c r="CI1169" s="1442">
        <f>[1]!sommaire[[#This Row],[Flag PDI]]+[1]!sommaire[[#This Row],[Flag REF]]+[1]!sommaire[[#This Row],[Flag RET]]</f>
        <v>0</v>
      </c>
    </row>
    <row r="1170" spans="1:87" x14ac:dyDescent="0.3">
      <c r="A1170" s="390">
        <v>2666743</v>
      </c>
      <c r="B1170" s="5" t="s">
        <v>533</v>
      </c>
      <c r="C1170" s="1430" t="s">
        <v>3449</v>
      </c>
      <c r="D1170" s="5" t="s">
        <v>534</v>
      </c>
      <c r="E1170" s="5" t="s">
        <v>35</v>
      </c>
      <c r="F1170" s="5" t="s">
        <v>35</v>
      </c>
      <c r="G1170" s="5" t="s">
        <v>567</v>
      </c>
      <c r="H1170" s="5" t="s">
        <v>193</v>
      </c>
      <c r="I1170" s="5" t="str">
        <f>_xlfn.XLOOKUP(sommaire[[#This Row],[Arrondissement_code]],OCHA_GIS!$F:$F,OCHA_GIS!$E:$E,,)</f>
        <v>Mozogo</v>
      </c>
      <c r="J1170" s="5" t="s">
        <v>863</v>
      </c>
      <c r="K1170" t="s">
        <v>3030</v>
      </c>
      <c r="L1170" s="5" t="s">
        <v>3092</v>
      </c>
      <c r="N1170" s="5" t="s">
        <v>3053</v>
      </c>
      <c r="O1170" s="5" t="s">
        <v>2467</v>
      </c>
      <c r="P1170" s="5" t="s">
        <v>85</v>
      </c>
      <c r="Q1170" s="5" t="s">
        <v>86</v>
      </c>
      <c r="R1170" s="5" t="s">
        <v>86</v>
      </c>
      <c r="T1170" s="390">
        <v>3</v>
      </c>
      <c r="U1170" s="5" t="s">
        <v>98</v>
      </c>
      <c r="W1170" s="5" t="s">
        <v>2468</v>
      </c>
      <c r="X1170" s="5" t="s">
        <v>102</v>
      </c>
      <c r="AA1170" s="5" t="s">
        <v>85</v>
      </c>
      <c r="AB1170" s="5" t="s">
        <v>2469</v>
      </c>
      <c r="AC1170" s="5" t="s">
        <v>2470</v>
      </c>
      <c r="AD1170" s="5" t="s">
        <v>86</v>
      </c>
      <c r="AF1170" s="5">
        <v>9</v>
      </c>
      <c r="AG1170" s="5">
        <v>3000</v>
      </c>
      <c r="AH1170" s="5" t="s">
        <v>85</v>
      </c>
      <c r="AI1170" s="5" t="s">
        <v>2486</v>
      </c>
      <c r="AJ1170" s="5">
        <v>9</v>
      </c>
      <c r="AK1170" s="5">
        <v>62</v>
      </c>
      <c r="AL1170" s="5">
        <v>23</v>
      </c>
      <c r="AM1170" s="5">
        <v>39</v>
      </c>
      <c r="AN1170" s="5">
        <v>9</v>
      </c>
      <c r="AO1170" s="5">
        <v>0</v>
      </c>
      <c r="AP1170" s="5">
        <v>0</v>
      </c>
      <c r="AQ1170" s="5">
        <v>0</v>
      </c>
      <c r="AT1170" s="5">
        <v>0</v>
      </c>
      <c r="AU1170" s="5">
        <v>0</v>
      </c>
      <c r="AX1170" s="5">
        <v>0</v>
      </c>
      <c r="AY1170" s="5" t="s">
        <v>86</v>
      </c>
      <c r="BN1170" s="5" t="s">
        <v>85</v>
      </c>
      <c r="BO1170" s="5">
        <v>32</v>
      </c>
      <c r="BP1170" s="5">
        <v>162</v>
      </c>
      <c r="BQ1170" s="5">
        <v>72</v>
      </c>
      <c r="BR1170" s="5">
        <v>90</v>
      </c>
      <c r="BS1170" s="5" t="s">
        <v>2479</v>
      </c>
      <c r="BT1170" s="5">
        <v>0</v>
      </c>
      <c r="BU1170" s="5">
        <v>32</v>
      </c>
      <c r="BV1170" s="5">
        <v>0</v>
      </c>
      <c r="BW1170" s="5">
        <v>0</v>
      </c>
      <c r="BX1170" s="5">
        <v>0</v>
      </c>
      <c r="BZ1170" s="5">
        <v>0</v>
      </c>
      <c r="CA1170" s="5">
        <v>0</v>
      </c>
      <c r="CC1170" s="5">
        <v>0</v>
      </c>
      <c r="CD1170" s="5">
        <v>0</v>
      </c>
      <c r="CF1170" s="1442" t="str">
        <f>IF([1]!sommaire[[#This Row],[présence des personnes déplacés interne]]="Oui","1","0")</f>
        <v>1</v>
      </c>
      <c r="CG1170" s="1442" t="str">
        <f>IF([1]!sommaire[[#This Row],[présence Réfugié hors camp]]="Oui","1","0")</f>
        <v>0</v>
      </c>
      <c r="CH1170" s="1442" t="str">
        <f>IF([1]!sommaire[[#This Row],[présence personnes retournées]]="Oui","1","0")</f>
        <v>1</v>
      </c>
      <c r="CI1170" s="1442">
        <f>[1]!sommaire[[#This Row],[Flag PDI]]+[1]!sommaire[[#This Row],[Flag REF]]+[1]!sommaire[[#This Row],[Flag RET]]</f>
        <v>2</v>
      </c>
    </row>
    <row r="1171" spans="1:87" x14ac:dyDescent="0.3">
      <c r="A1171" s="390">
        <v>2581237</v>
      </c>
      <c r="B1171" s="5" t="s">
        <v>533</v>
      </c>
      <c r="C1171" s="1430" t="s">
        <v>3449</v>
      </c>
      <c r="D1171" s="5" t="s">
        <v>534</v>
      </c>
      <c r="E1171" s="5" t="s">
        <v>35</v>
      </c>
      <c r="F1171" s="5" t="s">
        <v>35</v>
      </c>
      <c r="G1171" s="5" t="s">
        <v>567</v>
      </c>
      <c r="H1171" s="5" t="s">
        <v>193</v>
      </c>
      <c r="I1171" s="5" t="str">
        <f>_xlfn.XLOOKUP(sommaire[[#This Row],[Arrondissement_code]],OCHA_GIS!$F:$F,OCHA_GIS!$E:$E,,)</f>
        <v>Mozogo</v>
      </c>
      <c r="J1171" s="5" t="s">
        <v>863</v>
      </c>
      <c r="K1171" t="s">
        <v>3031</v>
      </c>
      <c r="L1171" s="5" t="s">
        <v>2679</v>
      </c>
      <c r="N1171" s="5" t="s">
        <v>3053</v>
      </c>
      <c r="O1171" s="5" t="s">
        <v>2467</v>
      </c>
      <c r="P1171" s="5" t="s">
        <v>86</v>
      </c>
      <c r="Q1171" s="5" t="s">
        <v>86</v>
      </c>
      <c r="R1171" s="5" t="s">
        <v>85</v>
      </c>
      <c r="U1171" s="5" t="s">
        <v>98</v>
      </c>
      <c r="W1171" s="5" t="s">
        <v>2482</v>
      </c>
      <c r="AA1171" s="5" t="s">
        <v>86</v>
      </c>
      <c r="AH1171" s="1430" t="s">
        <v>86</v>
      </c>
      <c r="AY1171" s="1430" t="s">
        <v>86</v>
      </c>
      <c r="BN1171" s="1430" t="s">
        <v>86</v>
      </c>
      <c r="CF1171" s="1442" t="str">
        <f>IF([1]!sommaire[[#This Row],[présence des personnes déplacés interne]]="Oui","1","0")</f>
        <v>0</v>
      </c>
      <c r="CG1171" s="1442" t="str">
        <f>IF([1]!sommaire[[#This Row],[présence Réfugié hors camp]]="Oui","1","0")</f>
        <v>0</v>
      </c>
      <c r="CH1171" s="1442" t="str">
        <f>IF([1]!sommaire[[#This Row],[présence personnes retournées]]="Oui","1","0")</f>
        <v>0</v>
      </c>
      <c r="CI1171" s="1442">
        <f>[1]!sommaire[[#This Row],[Flag PDI]]+[1]!sommaire[[#This Row],[Flag REF]]+[1]!sommaire[[#This Row],[Flag RET]]</f>
        <v>0</v>
      </c>
    </row>
    <row r="1172" spans="1:87" x14ac:dyDescent="0.3">
      <c r="A1172" s="390">
        <v>2630694</v>
      </c>
      <c r="B1172" s="5" t="s">
        <v>533</v>
      </c>
      <c r="C1172" s="1430" t="s">
        <v>3449</v>
      </c>
      <c r="D1172" s="5" t="s">
        <v>534</v>
      </c>
      <c r="E1172" s="5" t="s">
        <v>35</v>
      </c>
      <c r="F1172" s="5" t="s">
        <v>35</v>
      </c>
      <c r="G1172" s="5" t="s">
        <v>567</v>
      </c>
      <c r="H1172" s="5" t="s">
        <v>194</v>
      </c>
      <c r="I1172" s="5" t="str">
        <f>_xlfn.XLOOKUP(sommaire[[#This Row],[Arrondissement_code]],OCHA_GIS!$F:$F,OCHA_GIS!$E:$E,,)</f>
        <v>Mogodé</v>
      </c>
      <c r="J1172" s="5" t="s">
        <v>2150</v>
      </c>
      <c r="K1172" t="s">
        <v>2208</v>
      </c>
      <c r="L1172" s="5" t="s">
        <v>2209</v>
      </c>
      <c r="N1172" s="5" t="s">
        <v>3052</v>
      </c>
      <c r="O1172" s="5" t="s">
        <v>2467</v>
      </c>
      <c r="P1172" s="5" t="s">
        <v>85</v>
      </c>
      <c r="Q1172" s="5" t="s">
        <v>86</v>
      </c>
      <c r="R1172" s="5" t="s">
        <v>86</v>
      </c>
      <c r="T1172" s="390">
        <v>3</v>
      </c>
      <c r="U1172" s="5" t="s">
        <v>97</v>
      </c>
      <c r="W1172" s="5" t="s">
        <v>2468</v>
      </c>
      <c r="X1172" s="5" t="s">
        <v>102</v>
      </c>
      <c r="AA1172" s="5" t="s">
        <v>85</v>
      </c>
      <c r="AB1172" s="5" t="s">
        <v>2469</v>
      </c>
      <c r="AC1172" s="5" t="s">
        <v>2470</v>
      </c>
      <c r="AD1172" s="5" t="s">
        <v>86</v>
      </c>
      <c r="AG1172" s="5">
        <v>4900</v>
      </c>
      <c r="AH1172" s="5" t="s">
        <v>86</v>
      </c>
      <c r="AY1172" s="5" t="s">
        <v>85</v>
      </c>
      <c r="AZ1172" s="5">
        <v>3</v>
      </c>
      <c r="BA1172" s="5">
        <v>25</v>
      </c>
      <c r="BB1172" s="5">
        <v>15</v>
      </c>
      <c r="BC1172" s="5">
        <v>10</v>
      </c>
      <c r="BD1172" s="5">
        <v>3</v>
      </c>
      <c r="BE1172" s="5">
        <v>0</v>
      </c>
      <c r="BF1172" s="5">
        <v>0</v>
      </c>
      <c r="BH1172" s="5">
        <v>0</v>
      </c>
      <c r="BI1172" s="5">
        <v>0</v>
      </c>
      <c r="BL1172" s="5">
        <v>0</v>
      </c>
      <c r="BM1172" s="5">
        <v>3</v>
      </c>
      <c r="BN1172" s="5" t="s">
        <v>85</v>
      </c>
      <c r="BO1172" s="5">
        <v>3</v>
      </c>
      <c r="BP1172" s="5">
        <v>15</v>
      </c>
      <c r="BQ1172" s="5">
        <v>6</v>
      </c>
      <c r="BR1172" s="5">
        <v>9</v>
      </c>
      <c r="BS1172" s="5" t="s">
        <v>2479</v>
      </c>
      <c r="BT1172" s="5">
        <v>0</v>
      </c>
      <c r="BU1172" s="5">
        <v>3</v>
      </c>
      <c r="BV1172" s="5">
        <v>0</v>
      </c>
      <c r="BW1172" s="5">
        <v>0</v>
      </c>
      <c r="BX1172" s="5">
        <v>0</v>
      </c>
      <c r="BZ1172" s="5">
        <v>0</v>
      </c>
      <c r="CA1172" s="5">
        <v>0</v>
      </c>
      <c r="CC1172" s="5">
        <v>0</v>
      </c>
      <c r="CD1172" s="5">
        <v>0</v>
      </c>
      <c r="CF1172" s="1442" t="str">
        <f>IF([1]!sommaire[[#This Row],[présence des personnes déplacés interne]]="Oui","1","0")</f>
        <v>0</v>
      </c>
      <c r="CG1172" s="1442" t="str">
        <f>IF([1]!sommaire[[#This Row],[présence Réfugié hors camp]]="Oui","1","0")</f>
        <v>1</v>
      </c>
      <c r="CH1172" s="1442" t="str">
        <f>IF([1]!sommaire[[#This Row],[présence personnes retournées]]="Oui","1","0")</f>
        <v>1</v>
      </c>
      <c r="CI1172" s="1442">
        <f>[1]!sommaire[[#This Row],[Flag PDI]]+[1]!sommaire[[#This Row],[Flag REF]]+[1]!sommaire[[#This Row],[Flag RET]]</f>
        <v>2</v>
      </c>
    </row>
    <row r="1173" spans="1:87" x14ac:dyDescent="0.3">
      <c r="A1173" s="390">
        <v>2588750</v>
      </c>
      <c r="B1173" s="5" t="s">
        <v>533</v>
      </c>
      <c r="C1173" s="1430" t="s">
        <v>3449</v>
      </c>
      <c r="D1173" s="1090" t="s">
        <v>534</v>
      </c>
      <c r="E1173" s="5" t="s">
        <v>35</v>
      </c>
      <c r="F1173" s="5" t="s">
        <v>35</v>
      </c>
      <c r="G1173" s="5" t="s">
        <v>567</v>
      </c>
      <c r="H1173" s="5" t="s">
        <v>194</v>
      </c>
      <c r="I1173" s="5" t="str">
        <f>_xlfn.XLOOKUP(sommaire[[#This Row],[Arrondissement_code]],OCHA_GIS!$F:$F,OCHA_GIS!$E:$E,,)</f>
        <v>Mogodé</v>
      </c>
      <c r="J1173" s="5" t="s">
        <v>2150</v>
      </c>
      <c r="K1173" t="s">
        <v>2151</v>
      </c>
      <c r="L1173" s="5" t="s">
        <v>2152</v>
      </c>
      <c r="N1173" s="5" t="s">
        <v>3052</v>
      </c>
      <c r="O1173" s="5" t="s">
        <v>2467</v>
      </c>
      <c r="P1173" s="5" t="s">
        <v>85</v>
      </c>
      <c r="Q1173" s="5" t="s">
        <v>86</v>
      </c>
      <c r="R1173" s="5" t="s">
        <v>86</v>
      </c>
      <c r="T1173" s="390">
        <v>3</v>
      </c>
      <c r="U1173" s="5" t="s">
        <v>97</v>
      </c>
      <c r="W1173" s="5" t="s">
        <v>2468</v>
      </c>
      <c r="X1173" s="1090" t="s">
        <v>102</v>
      </c>
      <c r="AA1173" s="1090" t="s">
        <v>85</v>
      </c>
      <c r="AB1173" s="5" t="s">
        <v>2469</v>
      </c>
      <c r="AC1173" s="5" t="s">
        <v>2470</v>
      </c>
      <c r="AD1173" s="5" t="s">
        <v>86</v>
      </c>
      <c r="AG1173" s="5">
        <v>8000</v>
      </c>
      <c r="AH1173" s="5" t="s">
        <v>86</v>
      </c>
      <c r="AY1173" s="1090" t="s">
        <v>85</v>
      </c>
      <c r="AZ1173" s="5">
        <v>18</v>
      </c>
      <c r="BA1173" s="5">
        <v>97</v>
      </c>
      <c r="BB1173" s="5">
        <v>33</v>
      </c>
      <c r="BC1173" s="5">
        <v>64</v>
      </c>
      <c r="BD1173" s="5">
        <v>18</v>
      </c>
      <c r="BE1173" s="5">
        <v>0</v>
      </c>
      <c r="BF1173" s="5">
        <v>0</v>
      </c>
      <c r="BH1173" s="5">
        <v>0</v>
      </c>
      <c r="BI1173" s="5">
        <v>0</v>
      </c>
      <c r="BL1173" s="5">
        <v>0</v>
      </c>
      <c r="BM1173" s="5">
        <v>17</v>
      </c>
      <c r="BN1173" s="1090" t="s">
        <v>85</v>
      </c>
      <c r="BO1173" s="5">
        <v>12</v>
      </c>
      <c r="BP1173" s="5">
        <v>83</v>
      </c>
      <c r="BQ1173" s="5">
        <v>37</v>
      </c>
      <c r="BR1173" s="5">
        <v>46</v>
      </c>
      <c r="BS1173" s="5" t="s">
        <v>2479</v>
      </c>
      <c r="BT1173" s="5">
        <v>0</v>
      </c>
      <c r="BU1173" s="5">
        <v>12</v>
      </c>
      <c r="BV1173" s="5">
        <v>0</v>
      </c>
      <c r="BW1173" s="5">
        <v>0</v>
      </c>
      <c r="BX1173" s="5">
        <v>0</v>
      </c>
      <c r="BZ1173" s="5">
        <v>0</v>
      </c>
      <c r="CA1173" s="5">
        <v>0</v>
      </c>
      <c r="CC1173" s="5">
        <v>0</v>
      </c>
      <c r="CD1173" s="5">
        <v>0</v>
      </c>
      <c r="CF1173" s="1442" t="str">
        <f>IF([1]!sommaire[[#This Row],[présence des personnes déplacés interne]]="Oui","1","0")</f>
        <v>0</v>
      </c>
      <c r="CG1173" s="1442" t="str">
        <f>IF([1]!sommaire[[#This Row],[présence Réfugié hors camp]]="Oui","1","0")</f>
        <v>1</v>
      </c>
      <c r="CH1173" s="1442" t="str">
        <f>IF([1]!sommaire[[#This Row],[présence personnes retournées]]="Oui","1","0")</f>
        <v>1</v>
      </c>
      <c r="CI1173" s="1442">
        <f>[1]!sommaire[[#This Row],[Flag PDI]]+[1]!sommaire[[#This Row],[Flag REF]]+[1]!sommaire[[#This Row],[Flag RET]]</f>
        <v>2</v>
      </c>
    </row>
    <row r="1174" spans="1:87" x14ac:dyDescent="0.3">
      <c r="A1174" s="390">
        <v>2630047</v>
      </c>
      <c r="B1174" s="5" t="s">
        <v>533</v>
      </c>
      <c r="C1174" s="1430" t="s">
        <v>3449</v>
      </c>
      <c r="D1174" s="1090" t="s">
        <v>534</v>
      </c>
      <c r="E1174" s="5" t="s">
        <v>35</v>
      </c>
      <c r="F1174" s="5" t="s">
        <v>35</v>
      </c>
      <c r="G1174" s="5" t="s">
        <v>567</v>
      </c>
      <c r="H1174" s="5" t="s">
        <v>194</v>
      </c>
      <c r="I1174" s="5" t="str">
        <f>_xlfn.XLOOKUP(sommaire[[#This Row],[Arrondissement_code]],OCHA_GIS!$F:$F,OCHA_GIS!$E:$E,,)</f>
        <v>Mogodé</v>
      </c>
      <c r="J1174" s="5" t="s">
        <v>2150</v>
      </c>
      <c r="K1174" t="s">
        <v>2198</v>
      </c>
      <c r="L1174" s="5" t="s">
        <v>2199</v>
      </c>
      <c r="N1174" s="5" t="s">
        <v>3053</v>
      </c>
      <c r="O1174" s="5" t="s">
        <v>2467</v>
      </c>
      <c r="P1174" s="5" t="s">
        <v>85</v>
      </c>
      <c r="Q1174" s="5" t="s">
        <v>86</v>
      </c>
      <c r="R1174" s="5" t="s">
        <v>86</v>
      </c>
      <c r="T1174" s="390">
        <v>5</v>
      </c>
      <c r="U1174" s="5" t="s">
        <v>97</v>
      </c>
      <c r="W1174" s="5" t="s">
        <v>2468</v>
      </c>
      <c r="X1174" s="5" t="s">
        <v>102</v>
      </c>
      <c r="AA1174" s="5" t="s">
        <v>85</v>
      </c>
      <c r="AB1174" s="5" t="s">
        <v>2469</v>
      </c>
      <c r="AC1174" s="5" t="s">
        <v>2521</v>
      </c>
      <c r="AD1174" s="5" t="s">
        <v>86</v>
      </c>
      <c r="AG1174" s="5">
        <v>37000</v>
      </c>
      <c r="AH1174" s="5" t="s">
        <v>86</v>
      </c>
      <c r="AY1174" s="5" t="s">
        <v>85</v>
      </c>
      <c r="AZ1174" s="5">
        <v>5</v>
      </c>
      <c r="BA1174" s="5">
        <v>28</v>
      </c>
      <c r="BB1174" s="5">
        <v>11</v>
      </c>
      <c r="BC1174" s="5">
        <v>17</v>
      </c>
      <c r="BD1174" s="5">
        <v>3</v>
      </c>
      <c r="BE1174" s="5">
        <v>2</v>
      </c>
      <c r="BF1174" s="5">
        <v>0</v>
      </c>
      <c r="BH1174" s="5">
        <v>0</v>
      </c>
      <c r="BI1174" s="5">
        <v>0</v>
      </c>
      <c r="BL1174" s="5">
        <v>0</v>
      </c>
      <c r="BM1174" s="5">
        <v>0</v>
      </c>
      <c r="BN1174" s="5" t="s">
        <v>85</v>
      </c>
      <c r="BO1174" s="5">
        <v>12</v>
      </c>
      <c r="BP1174" s="5">
        <v>56</v>
      </c>
      <c r="BQ1174" s="5">
        <v>25</v>
      </c>
      <c r="BR1174" s="5">
        <v>31</v>
      </c>
      <c r="BS1174" s="5" t="s">
        <v>2484</v>
      </c>
      <c r="BT1174" s="5">
        <v>7</v>
      </c>
      <c r="BU1174" s="5">
        <v>4</v>
      </c>
      <c r="BV1174" s="5">
        <v>1</v>
      </c>
      <c r="BW1174" s="5">
        <v>0</v>
      </c>
      <c r="BX1174" s="5">
        <v>0</v>
      </c>
      <c r="BZ1174" s="5">
        <v>0</v>
      </c>
      <c r="CA1174" s="5">
        <v>0</v>
      </c>
      <c r="CC1174" s="5">
        <v>0</v>
      </c>
      <c r="CD1174" s="5">
        <v>0</v>
      </c>
      <c r="CF1174" s="1442" t="str">
        <f>IF([1]!sommaire[[#This Row],[présence des personnes déplacés interne]]="Oui","1","0")</f>
        <v>0</v>
      </c>
      <c r="CG1174" s="1442" t="str">
        <f>IF([1]!sommaire[[#This Row],[présence Réfugié hors camp]]="Oui","1","0")</f>
        <v>1</v>
      </c>
      <c r="CH1174" s="1442" t="str">
        <f>IF([1]!sommaire[[#This Row],[présence personnes retournées]]="Oui","1","0")</f>
        <v>1</v>
      </c>
      <c r="CI1174" s="1442">
        <f>[1]!sommaire[[#This Row],[Flag PDI]]+[1]!sommaire[[#This Row],[Flag REF]]+[1]!sommaire[[#This Row],[Flag RET]]</f>
        <v>2</v>
      </c>
    </row>
    <row r="1175" spans="1:87" x14ac:dyDescent="0.3">
      <c r="A1175" s="390">
        <v>2631809</v>
      </c>
      <c r="B1175" s="5" t="s">
        <v>533</v>
      </c>
      <c r="C1175" s="1430" t="s">
        <v>3449</v>
      </c>
      <c r="D1175" s="1090" t="s">
        <v>534</v>
      </c>
      <c r="E1175" s="5" t="s">
        <v>35</v>
      </c>
      <c r="F1175" s="5" t="s">
        <v>35</v>
      </c>
      <c r="G1175" s="5" t="s">
        <v>567</v>
      </c>
      <c r="H1175" s="5" t="s">
        <v>194</v>
      </c>
      <c r="I1175" s="5" t="str">
        <f>_xlfn.XLOOKUP(sommaire[[#This Row],[Arrondissement_code]],OCHA_GIS!$F:$F,OCHA_GIS!$E:$E,,)</f>
        <v>Mogodé</v>
      </c>
      <c r="J1175" s="5" t="s">
        <v>2150</v>
      </c>
      <c r="K1175" t="s">
        <v>2917</v>
      </c>
      <c r="L1175" s="5" t="s">
        <v>2205</v>
      </c>
      <c r="N1175" s="5" t="s">
        <v>3053</v>
      </c>
      <c r="O1175" s="5" t="s">
        <v>2467</v>
      </c>
      <c r="P1175" s="5" t="s">
        <v>85</v>
      </c>
      <c r="Q1175" s="5" t="s">
        <v>86</v>
      </c>
      <c r="R1175" s="5" t="s">
        <v>86</v>
      </c>
      <c r="T1175" s="390">
        <v>5</v>
      </c>
      <c r="U1175" s="5" t="s">
        <v>97</v>
      </c>
      <c r="W1175" s="5" t="s">
        <v>2468</v>
      </c>
      <c r="X1175" s="5" t="s">
        <v>102</v>
      </c>
      <c r="AA1175" s="5" t="s">
        <v>85</v>
      </c>
      <c r="AB1175" s="5" t="s">
        <v>2469</v>
      </c>
      <c r="AC1175" s="5" t="s">
        <v>2470</v>
      </c>
      <c r="AD1175" s="5" t="s">
        <v>86</v>
      </c>
      <c r="AG1175" s="5">
        <v>5000</v>
      </c>
      <c r="AH1175" s="5" t="s">
        <v>86</v>
      </c>
      <c r="AY1175" s="5" t="s">
        <v>85</v>
      </c>
      <c r="AZ1175" s="5">
        <v>3</v>
      </c>
      <c r="BA1175" s="5">
        <v>14</v>
      </c>
      <c r="BB1175" s="5">
        <v>5</v>
      </c>
      <c r="BC1175" s="5">
        <v>9</v>
      </c>
      <c r="BD1175" s="5">
        <v>2</v>
      </c>
      <c r="BE1175" s="5">
        <v>1</v>
      </c>
      <c r="BF1175" s="5">
        <v>0</v>
      </c>
      <c r="BH1175" s="5">
        <v>0</v>
      </c>
      <c r="BI1175" s="5">
        <v>0</v>
      </c>
      <c r="BL1175" s="5">
        <v>0</v>
      </c>
      <c r="BM1175" s="5">
        <v>0</v>
      </c>
      <c r="BN1175" s="5" t="s">
        <v>85</v>
      </c>
      <c r="BO1175" s="5">
        <v>11</v>
      </c>
      <c r="BP1175" s="5">
        <v>49</v>
      </c>
      <c r="BQ1175" s="5">
        <v>18</v>
      </c>
      <c r="BR1175" s="5">
        <v>31</v>
      </c>
      <c r="BS1175" s="5" t="s">
        <v>2484</v>
      </c>
      <c r="BT1175" s="5">
        <v>7</v>
      </c>
      <c r="BU1175" s="5">
        <v>4</v>
      </c>
      <c r="BV1175" s="5">
        <v>0</v>
      </c>
      <c r="BW1175" s="5">
        <v>0</v>
      </c>
      <c r="BX1175" s="5">
        <v>0</v>
      </c>
      <c r="BZ1175" s="5">
        <v>0</v>
      </c>
      <c r="CA1175" s="5">
        <v>0</v>
      </c>
      <c r="CC1175" s="5">
        <v>0</v>
      </c>
      <c r="CD1175" s="5">
        <v>0</v>
      </c>
      <c r="CF1175" s="1442" t="str">
        <f>IF([1]!sommaire[[#This Row],[présence des personnes déplacés interne]]="Oui","1","0")</f>
        <v>0</v>
      </c>
      <c r="CG1175" s="1442" t="str">
        <f>IF([1]!sommaire[[#This Row],[présence Réfugié hors camp]]="Oui","1","0")</f>
        <v>1</v>
      </c>
      <c r="CH1175" s="1442" t="str">
        <f>IF([1]!sommaire[[#This Row],[présence personnes retournées]]="Oui","1","0")</f>
        <v>1</v>
      </c>
      <c r="CI1175" s="1442">
        <f>[1]!sommaire[[#This Row],[Flag PDI]]+[1]!sommaire[[#This Row],[Flag REF]]+[1]!sommaire[[#This Row],[Flag RET]]</f>
        <v>2</v>
      </c>
    </row>
    <row r="1176" spans="1:87" x14ac:dyDescent="0.3">
      <c r="A1176" s="390">
        <v>2588755</v>
      </c>
      <c r="B1176" s="5" t="s">
        <v>533</v>
      </c>
      <c r="C1176" s="1430" t="s">
        <v>3449</v>
      </c>
      <c r="D1176" s="1090" t="s">
        <v>534</v>
      </c>
      <c r="E1176" s="5" t="s">
        <v>35</v>
      </c>
      <c r="F1176" s="5" t="s">
        <v>35</v>
      </c>
      <c r="G1176" s="5" t="s">
        <v>567</v>
      </c>
      <c r="H1176" s="5" t="s">
        <v>194</v>
      </c>
      <c r="I1176" s="5" t="str">
        <f>_xlfn.XLOOKUP(sommaire[[#This Row],[Arrondissement_code]],OCHA_GIS!$F:$F,OCHA_GIS!$E:$E,,)</f>
        <v>Mogodé</v>
      </c>
      <c r="J1176" s="5" t="s">
        <v>2150</v>
      </c>
      <c r="K1176" t="s">
        <v>2188</v>
      </c>
      <c r="L1176" s="5" t="s">
        <v>2189</v>
      </c>
      <c r="N1176" s="5" t="s">
        <v>3052</v>
      </c>
      <c r="O1176" s="5" t="s">
        <v>2467</v>
      </c>
      <c r="P1176" s="5" t="s">
        <v>85</v>
      </c>
      <c r="Q1176" s="5" t="s">
        <v>86</v>
      </c>
      <c r="R1176" s="5" t="s">
        <v>86</v>
      </c>
      <c r="T1176" s="390">
        <v>3</v>
      </c>
      <c r="U1176" s="5" t="s">
        <v>97</v>
      </c>
      <c r="W1176" s="5" t="s">
        <v>2468</v>
      </c>
      <c r="X1176" s="5" t="s">
        <v>102</v>
      </c>
      <c r="AA1176" s="5" t="s">
        <v>85</v>
      </c>
      <c r="AB1176" s="5" t="s">
        <v>2469</v>
      </c>
      <c r="AC1176" s="5" t="s">
        <v>2470</v>
      </c>
      <c r="AD1176" s="5" t="s">
        <v>86</v>
      </c>
      <c r="AG1176" s="5">
        <v>3950</v>
      </c>
      <c r="AH1176" s="5" t="s">
        <v>86</v>
      </c>
      <c r="AY1176" s="5" t="s">
        <v>85</v>
      </c>
      <c r="AZ1176" s="5">
        <v>8</v>
      </c>
      <c r="BA1176" s="5">
        <v>47</v>
      </c>
      <c r="BB1176" s="5">
        <v>19</v>
      </c>
      <c r="BC1176" s="5">
        <v>28</v>
      </c>
      <c r="BD1176" s="5">
        <v>8</v>
      </c>
      <c r="BE1176" s="5">
        <v>0</v>
      </c>
      <c r="BF1176" s="5">
        <v>0</v>
      </c>
      <c r="BH1176" s="5">
        <v>0</v>
      </c>
      <c r="BI1176" s="5">
        <v>0</v>
      </c>
      <c r="BL1176" s="5">
        <v>0</v>
      </c>
      <c r="BM1176" s="5">
        <v>6</v>
      </c>
      <c r="BN1176" s="5" t="s">
        <v>86</v>
      </c>
      <c r="CD1176" s="5">
        <v>0</v>
      </c>
      <c r="CF1176" s="1442" t="str">
        <f>IF([1]!sommaire[[#This Row],[présence des personnes déplacés interne]]="Oui","1","0")</f>
        <v>0</v>
      </c>
      <c r="CG1176" s="1442" t="str">
        <f>IF([1]!sommaire[[#This Row],[présence Réfugié hors camp]]="Oui","1","0")</f>
        <v>1</v>
      </c>
      <c r="CH1176" s="1442" t="str">
        <f>IF([1]!sommaire[[#This Row],[présence personnes retournées]]="Oui","1","0")</f>
        <v>0</v>
      </c>
      <c r="CI1176" s="1442">
        <f>[1]!sommaire[[#This Row],[Flag PDI]]+[1]!sommaire[[#This Row],[Flag REF]]+[1]!sommaire[[#This Row],[Flag RET]]</f>
        <v>1</v>
      </c>
    </row>
    <row r="1177" spans="1:87" x14ac:dyDescent="0.3">
      <c r="A1177" s="390">
        <v>2630695</v>
      </c>
      <c r="B1177" s="5" t="s">
        <v>533</v>
      </c>
      <c r="C1177" s="1430" t="s">
        <v>3449</v>
      </c>
      <c r="D1177" s="5" t="s">
        <v>534</v>
      </c>
      <c r="E1177" s="5" t="s">
        <v>35</v>
      </c>
      <c r="F1177" s="5" t="s">
        <v>35</v>
      </c>
      <c r="G1177" s="5" t="s">
        <v>567</v>
      </c>
      <c r="H1177" s="5" t="s">
        <v>194</v>
      </c>
      <c r="I1177" s="5" t="str">
        <f>_xlfn.XLOOKUP(sommaire[[#This Row],[Arrondissement_code]],OCHA_GIS!$F:$F,OCHA_GIS!$E:$E,,)</f>
        <v>Mogodé</v>
      </c>
      <c r="J1177" s="5" t="s">
        <v>2150</v>
      </c>
      <c r="K1177" t="s">
        <v>2192</v>
      </c>
      <c r="L1177" s="5" t="s">
        <v>2193</v>
      </c>
      <c r="N1177" s="5" t="s">
        <v>3052</v>
      </c>
      <c r="O1177" s="5" t="s">
        <v>2467</v>
      </c>
      <c r="P1177" s="5" t="s">
        <v>85</v>
      </c>
      <c r="Q1177" s="5" t="s">
        <v>86</v>
      </c>
      <c r="R1177" s="5" t="s">
        <v>85</v>
      </c>
      <c r="T1177" s="390">
        <v>3</v>
      </c>
      <c r="U1177" s="5" t="s">
        <v>97</v>
      </c>
      <c r="W1177" s="5" t="s">
        <v>2468</v>
      </c>
      <c r="X1177" s="5" t="s">
        <v>102</v>
      </c>
      <c r="AA1177" s="5" t="s">
        <v>85</v>
      </c>
      <c r="AB1177" s="5" t="s">
        <v>2469</v>
      </c>
      <c r="AC1177" s="5" t="s">
        <v>2470</v>
      </c>
      <c r="AD1177" s="5" t="s">
        <v>86</v>
      </c>
      <c r="AG1177" s="5">
        <v>12692</v>
      </c>
      <c r="AH1177" s="5" t="s">
        <v>86</v>
      </c>
      <c r="AY1177" s="5" t="s">
        <v>85</v>
      </c>
      <c r="AZ1177" s="5">
        <v>13</v>
      </c>
      <c r="BA1177" s="5">
        <v>144</v>
      </c>
      <c r="BB1177" s="5">
        <v>54</v>
      </c>
      <c r="BC1177" s="5">
        <v>90</v>
      </c>
      <c r="BD1177" s="5">
        <v>13</v>
      </c>
      <c r="BE1177" s="5">
        <v>0</v>
      </c>
      <c r="BF1177" s="5">
        <v>0</v>
      </c>
      <c r="BH1177" s="5">
        <v>0</v>
      </c>
      <c r="BI1177" s="5">
        <v>0</v>
      </c>
      <c r="BL1177" s="5">
        <v>0</v>
      </c>
      <c r="BM1177" s="5">
        <v>13</v>
      </c>
      <c r="BN1177" s="5" t="s">
        <v>85</v>
      </c>
      <c r="BO1177" s="5">
        <v>47</v>
      </c>
      <c r="BP1177" s="5">
        <v>294</v>
      </c>
      <c r="BQ1177" s="5">
        <v>109</v>
      </c>
      <c r="BR1177" s="5">
        <v>185</v>
      </c>
      <c r="BS1177" s="5" t="s">
        <v>2479</v>
      </c>
      <c r="BT1177" s="5">
        <v>0</v>
      </c>
      <c r="BU1177" s="5">
        <v>45</v>
      </c>
      <c r="BV1177" s="5">
        <v>2</v>
      </c>
      <c r="BW1177" s="5">
        <v>0</v>
      </c>
      <c r="BX1177" s="5">
        <v>0</v>
      </c>
      <c r="BZ1177" s="5">
        <v>0</v>
      </c>
      <c r="CA1177" s="5">
        <v>0</v>
      </c>
      <c r="CC1177" s="5">
        <v>0</v>
      </c>
      <c r="CD1177" s="5">
        <v>0</v>
      </c>
      <c r="CF1177" s="1442" t="str">
        <f>IF([1]!sommaire[[#This Row],[présence des personnes déplacés interne]]="Oui","1","0")</f>
        <v>0</v>
      </c>
      <c r="CG1177" s="1442" t="str">
        <f>IF([1]!sommaire[[#This Row],[présence Réfugié hors camp]]="Oui","1","0")</f>
        <v>1</v>
      </c>
      <c r="CH1177" s="1442" t="str">
        <f>IF([1]!sommaire[[#This Row],[présence personnes retournées]]="Oui","1","0")</f>
        <v>1</v>
      </c>
      <c r="CI1177" s="1442">
        <f>[1]!sommaire[[#This Row],[Flag PDI]]+[1]!sommaire[[#This Row],[Flag REF]]+[1]!sommaire[[#This Row],[Flag RET]]</f>
        <v>2</v>
      </c>
    </row>
    <row r="1178" spans="1:87" x14ac:dyDescent="0.3">
      <c r="A1178" s="390">
        <v>2631808</v>
      </c>
      <c r="B1178" s="5" t="s">
        <v>533</v>
      </c>
      <c r="C1178" s="1430" t="s">
        <v>3449</v>
      </c>
      <c r="D1178" s="1090" t="s">
        <v>534</v>
      </c>
      <c r="E1178" s="5" t="s">
        <v>35</v>
      </c>
      <c r="F1178" s="5" t="s">
        <v>35</v>
      </c>
      <c r="G1178" s="5" t="s">
        <v>567</v>
      </c>
      <c r="H1178" s="5" t="s">
        <v>194</v>
      </c>
      <c r="I1178" s="5" t="str">
        <f>_xlfn.XLOOKUP(sommaire[[#This Row],[Arrondissement_code]],OCHA_GIS!$F:$F,OCHA_GIS!$E:$E,,)</f>
        <v>Mogodé</v>
      </c>
      <c r="J1178" s="5" t="s">
        <v>2150</v>
      </c>
      <c r="K1178" t="s">
        <v>2215</v>
      </c>
      <c r="L1178" s="5" t="s">
        <v>2216</v>
      </c>
      <c r="N1178" s="5" t="s">
        <v>3053</v>
      </c>
      <c r="O1178" s="5" t="s">
        <v>2467</v>
      </c>
      <c r="P1178" s="5" t="s">
        <v>85</v>
      </c>
      <c r="Q1178" s="5" t="s">
        <v>86</v>
      </c>
      <c r="R1178" s="5" t="s">
        <v>86</v>
      </c>
      <c r="T1178" s="390">
        <v>3</v>
      </c>
      <c r="U1178" s="5" t="s">
        <v>97</v>
      </c>
      <c r="W1178" s="5" t="s">
        <v>2468</v>
      </c>
      <c r="X1178" s="5" t="s">
        <v>102</v>
      </c>
      <c r="AA1178" s="5" t="s">
        <v>85</v>
      </c>
      <c r="AB1178" s="5" t="s">
        <v>2469</v>
      </c>
      <c r="AC1178" s="5" t="s">
        <v>2521</v>
      </c>
      <c r="AD1178" s="5" t="s">
        <v>86</v>
      </c>
      <c r="AG1178" s="5">
        <v>6500</v>
      </c>
      <c r="AH1178" s="5" t="s">
        <v>86</v>
      </c>
      <c r="AY1178" s="5" t="s">
        <v>85</v>
      </c>
      <c r="AZ1178" s="5">
        <v>6</v>
      </c>
      <c r="BA1178" s="5">
        <v>33</v>
      </c>
      <c r="BB1178" s="5">
        <v>13</v>
      </c>
      <c r="BC1178" s="5">
        <v>20</v>
      </c>
      <c r="BD1178" s="5">
        <v>4</v>
      </c>
      <c r="BE1178" s="5">
        <v>2</v>
      </c>
      <c r="BF1178" s="5">
        <v>0</v>
      </c>
      <c r="BH1178" s="5">
        <v>0</v>
      </c>
      <c r="BI1178" s="5">
        <v>0</v>
      </c>
      <c r="BL1178" s="5">
        <v>0</v>
      </c>
      <c r="BM1178" s="5">
        <v>0</v>
      </c>
      <c r="BN1178" s="5" t="s">
        <v>85</v>
      </c>
      <c r="BO1178" s="5">
        <v>15</v>
      </c>
      <c r="BP1178" s="5">
        <v>44</v>
      </c>
      <c r="BQ1178" s="5">
        <v>20</v>
      </c>
      <c r="BR1178" s="5">
        <v>24</v>
      </c>
      <c r="BS1178" s="5" t="s">
        <v>2484</v>
      </c>
      <c r="BT1178" s="5">
        <v>10</v>
      </c>
      <c r="BU1178" s="5">
        <v>3</v>
      </c>
      <c r="BV1178" s="5">
        <v>2</v>
      </c>
      <c r="BW1178" s="5">
        <v>0</v>
      </c>
      <c r="BX1178" s="5">
        <v>0</v>
      </c>
      <c r="BZ1178" s="5">
        <v>0</v>
      </c>
      <c r="CA1178" s="5">
        <v>0</v>
      </c>
      <c r="CC1178" s="5">
        <v>0</v>
      </c>
      <c r="CD1178" s="5">
        <v>0</v>
      </c>
      <c r="CF1178" s="1442" t="str">
        <f>IF([1]!sommaire[[#This Row],[présence des personnes déplacés interne]]="Oui","1","0")</f>
        <v>0</v>
      </c>
      <c r="CG1178" s="1442" t="str">
        <f>IF([1]!sommaire[[#This Row],[présence Réfugié hors camp]]="Oui","1","0")</f>
        <v>1</v>
      </c>
      <c r="CH1178" s="1442" t="str">
        <f>IF([1]!sommaire[[#This Row],[présence personnes retournées]]="Oui","1","0")</f>
        <v>1</v>
      </c>
      <c r="CI1178" s="1442">
        <f>[1]!sommaire[[#This Row],[Flag PDI]]+[1]!sommaire[[#This Row],[Flag REF]]+[1]!sommaire[[#This Row],[Flag RET]]</f>
        <v>2</v>
      </c>
    </row>
    <row r="1179" spans="1:87" x14ac:dyDescent="0.3">
      <c r="A1179" s="390">
        <v>2630046</v>
      </c>
      <c r="B1179" s="5" t="s">
        <v>533</v>
      </c>
      <c r="C1179" s="1430" t="s">
        <v>3449</v>
      </c>
      <c r="D1179" s="1090" t="s">
        <v>534</v>
      </c>
      <c r="E1179" s="5" t="s">
        <v>35</v>
      </c>
      <c r="F1179" s="5" t="s">
        <v>35</v>
      </c>
      <c r="G1179" s="5" t="s">
        <v>567</v>
      </c>
      <c r="H1179" s="5" t="s">
        <v>194</v>
      </c>
      <c r="I1179" s="5" t="str">
        <f>_xlfn.XLOOKUP(sommaire[[#This Row],[Arrondissement_code]],OCHA_GIS!$F:$F,OCHA_GIS!$E:$E,,)</f>
        <v>Mogodé</v>
      </c>
      <c r="J1179" s="5" t="s">
        <v>2150</v>
      </c>
      <c r="K1179" t="s">
        <v>2175</v>
      </c>
      <c r="L1179" s="5" t="s">
        <v>2176</v>
      </c>
      <c r="N1179" s="5" t="s">
        <v>3053</v>
      </c>
      <c r="O1179" s="5" t="s">
        <v>2467</v>
      </c>
      <c r="P1179" s="5" t="s">
        <v>85</v>
      </c>
      <c r="Q1179" s="5" t="s">
        <v>86</v>
      </c>
      <c r="R1179" s="5" t="s">
        <v>86</v>
      </c>
      <c r="T1179" s="390">
        <v>5</v>
      </c>
      <c r="U1179" s="5" t="s">
        <v>97</v>
      </c>
      <c r="W1179" s="5" t="s">
        <v>2468</v>
      </c>
      <c r="X1179" s="5" t="s">
        <v>102</v>
      </c>
      <c r="AA1179" s="5" t="s">
        <v>85</v>
      </c>
      <c r="AB1179" s="5" t="s">
        <v>2469</v>
      </c>
      <c r="AC1179" s="5" t="s">
        <v>2521</v>
      </c>
      <c r="AD1179" s="5" t="s">
        <v>86</v>
      </c>
      <c r="AG1179" s="5">
        <v>5000</v>
      </c>
      <c r="AH1179" s="5" t="s">
        <v>86</v>
      </c>
      <c r="AY1179" s="5" t="s">
        <v>85</v>
      </c>
      <c r="AZ1179" s="5">
        <v>13</v>
      </c>
      <c r="BA1179" s="5">
        <v>98</v>
      </c>
      <c r="BB1179" s="5">
        <v>42</v>
      </c>
      <c r="BC1179" s="5">
        <v>56</v>
      </c>
      <c r="BD1179" s="5">
        <v>10</v>
      </c>
      <c r="BE1179" s="5">
        <v>3</v>
      </c>
      <c r="BF1179" s="5">
        <v>0</v>
      </c>
      <c r="BH1179" s="5">
        <v>0</v>
      </c>
      <c r="BI1179" s="5">
        <v>0</v>
      </c>
      <c r="BL1179" s="5">
        <v>0</v>
      </c>
      <c r="BM1179" s="5">
        <v>0</v>
      </c>
      <c r="BN1179" s="5" t="s">
        <v>85</v>
      </c>
      <c r="BO1179" s="5">
        <v>28</v>
      </c>
      <c r="BP1179" s="5">
        <v>116</v>
      </c>
      <c r="BQ1179" s="5">
        <v>47</v>
      </c>
      <c r="BR1179" s="5">
        <v>69</v>
      </c>
      <c r="BS1179" s="5" t="s">
        <v>2484</v>
      </c>
      <c r="BT1179" s="5">
        <v>19</v>
      </c>
      <c r="BU1179" s="5">
        <v>3</v>
      </c>
      <c r="BV1179" s="5">
        <v>6</v>
      </c>
      <c r="BW1179" s="5">
        <v>0</v>
      </c>
      <c r="BX1179" s="5">
        <v>0</v>
      </c>
      <c r="BZ1179" s="5">
        <v>0</v>
      </c>
      <c r="CA1179" s="5">
        <v>0</v>
      </c>
      <c r="CC1179" s="5">
        <v>0</v>
      </c>
      <c r="CD1179" s="5">
        <v>0</v>
      </c>
      <c r="CF1179" s="1442" t="str">
        <f>IF([1]!sommaire[[#This Row],[présence des personnes déplacés interne]]="Oui","1","0")</f>
        <v>0</v>
      </c>
      <c r="CG1179" s="1442" t="str">
        <f>IF([1]!sommaire[[#This Row],[présence Réfugié hors camp]]="Oui","1","0")</f>
        <v>1</v>
      </c>
      <c r="CH1179" s="1442" t="str">
        <f>IF([1]!sommaire[[#This Row],[présence personnes retournées]]="Oui","1","0")</f>
        <v>1</v>
      </c>
      <c r="CI1179" s="1442">
        <f>[1]!sommaire[[#This Row],[Flag PDI]]+[1]!sommaire[[#This Row],[Flag REF]]+[1]!sommaire[[#This Row],[Flag RET]]</f>
        <v>2</v>
      </c>
    </row>
    <row r="1180" spans="1:87" x14ac:dyDescent="0.3">
      <c r="A1180" s="390">
        <v>2630696</v>
      </c>
      <c r="B1180" s="5" t="s">
        <v>533</v>
      </c>
      <c r="C1180" s="1430" t="s">
        <v>3449</v>
      </c>
      <c r="D1180" s="1090" t="s">
        <v>534</v>
      </c>
      <c r="E1180" s="5" t="s">
        <v>35</v>
      </c>
      <c r="F1180" s="5" t="s">
        <v>35</v>
      </c>
      <c r="G1180" s="5" t="s">
        <v>567</v>
      </c>
      <c r="H1180" s="5" t="s">
        <v>194</v>
      </c>
      <c r="I1180" s="5" t="str">
        <f>_xlfn.XLOOKUP(sommaire[[#This Row],[Arrondissement_code]],OCHA_GIS!$F:$F,OCHA_GIS!$E:$E,,)</f>
        <v>Mogodé</v>
      </c>
      <c r="J1180" s="5" t="s">
        <v>2150</v>
      </c>
      <c r="K1180" t="s">
        <v>2210</v>
      </c>
      <c r="L1180" s="5" t="s">
        <v>2211</v>
      </c>
      <c r="N1180" s="5" t="s">
        <v>3052</v>
      </c>
      <c r="O1180" s="5" t="s">
        <v>2467</v>
      </c>
      <c r="P1180" s="5" t="s">
        <v>85</v>
      </c>
      <c r="Q1180" s="5" t="s">
        <v>86</v>
      </c>
      <c r="R1180" s="5" t="s">
        <v>86</v>
      </c>
      <c r="T1180" s="390">
        <v>3</v>
      </c>
      <c r="U1180" s="5" t="s">
        <v>97</v>
      </c>
      <c r="W1180" s="5" t="s">
        <v>2468</v>
      </c>
      <c r="X1180" s="5" t="s">
        <v>102</v>
      </c>
      <c r="AA1180" s="5" t="s">
        <v>85</v>
      </c>
      <c r="AB1180" s="5" t="s">
        <v>2469</v>
      </c>
      <c r="AC1180" s="5" t="s">
        <v>2470</v>
      </c>
      <c r="AD1180" s="5" t="s">
        <v>86</v>
      </c>
      <c r="AG1180" s="5">
        <v>7888</v>
      </c>
      <c r="AH1180" s="5" t="s">
        <v>86</v>
      </c>
      <c r="AY1180" s="5" t="s">
        <v>85</v>
      </c>
      <c r="AZ1180" s="5">
        <v>16</v>
      </c>
      <c r="BA1180" s="5">
        <v>86</v>
      </c>
      <c r="BB1180" s="5">
        <v>38</v>
      </c>
      <c r="BC1180" s="5">
        <v>48</v>
      </c>
      <c r="BD1180" s="5">
        <v>16</v>
      </c>
      <c r="BE1180" s="5">
        <v>0</v>
      </c>
      <c r="BF1180" s="5">
        <v>0</v>
      </c>
      <c r="BH1180" s="5">
        <v>0</v>
      </c>
      <c r="BI1180" s="5">
        <v>0</v>
      </c>
      <c r="BL1180" s="5">
        <v>0</v>
      </c>
      <c r="BM1180" s="5">
        <v>12</v>
      </c>
      <c r="BN1180" s="5" t="s">
        <v>85</v>
      </c>
      <c r="BO1180" s="5">
        <v>18</v>
      </c>
      <c r="BP1180" s="5">
        <v>98</v>
      </c>
      <c r="BQ1180" s="5">
        <v>42</v>
      </c>
      <c r="BR1180" s="5">
        <v>56</v>
      </c>
      <c r="BS1180" s="5" t="s">
        <v>2479</v>
      </c>
      <c r="BT1180" s="5">
        <v>0</v>
      </c>
      <c r="BU1180" s="5">
        <v>18</v>
      </c>
      <c r="BV1180" s="5">
        <v>0</v>
      </c>
      <c r="BW1180" s="5">
        <v>0</v>
      </c>
      <c r="BX1180" s="5">
        <v>0</v>
      </c>
      <c r="BZ1180" s="5">
        <v>0</v>
      </c>
      <c r="CA1180" s="5">
        <v>0</v>
      </c>
      <c r="CC1180" s="5">
        <v>0</v>
      </c>
      <c r="CD1180" s="5">
        <v>0</v>
      </c>
      <c r="CF1180" s="1442" t="str">
        <f>IF([1]!sommaire[[#This Row],[présence des personnes déplacés interne]]="Oui","1","0")</f>
        <v>0</v>
      </c>
      <c r="CG1180" s="1442" t="str">
        <f>IF([1]!sommaire[[#This Row],[présence Réfugié hors camp]]="Oui","1","0")</f>
        <v>1</v>
      </c>
      <c r="CH1180" s="1442" t="str">
        <f>IF([1]!sommaire[[#This Row],[présence personnes retournées]]="Oui","1","0")</f>
        <v>1</v>
      </c>
      <c r="CI1180" s="1442">
        <f>[1]!sommaire[[#This Row],[Flag PDI]]+[1]!sommaire[[#This Row],[Flag REF]]+[1]!sommaire[[#This Row],[Flag RET]]</f>
        <v>2</v>
      </c>
    </row>
    <row r="1181" spans="1:87" x14ac:dyDescent="0.3">
      <c r="A1181" s="390">
        <v>2630697</v>
      </c>
      <c r="B1181" s="5" t="s">
        <v>533</v>
      </c>
      <c r="C1181" s="1430" t="s">
        <v>3449</v>
      </c>
      <c r="D1181" s="1090" t="s">
        <v>534</v>
      </c>
      <c r="E1181" s="5" t="s">
        <v>35</v>
      </c>
      <c r="F1181" s="5" t="s">
        <v>35</v>
      </c>
      <c r="G1181" s="5" t="s">
        <v>567</v>
      </c>
      <c r="H1181" s="5" t="s">
        <v>194</v>
      </c>
      <c r="I1181" s="5" t="str">
        <f>_xlfn.XLOOKUP(sommaire[[#This Row],[Arrondissement_code]],OCHA_GIS!$F:$F,OCHA_GIS!$E:$E,,)</f>
        <v>Mogodé</v>
      </c>
      <c r="J1181" s="5" t="s">
        <v>2150</v>
      </c>
      <c r="K1181" t="s">
        <v>2163</v>
      </c>
      <c r="L1181" s="5" t="s">
        <v>2164</v>
      </c>
      <c r="N1181" s="5" t="s">
        <v>3052</v>
      </c>
      <c r="O1181" s="5" t="s">
        <v>2467</v>
      </c>
      <c r="P1181" s="5" t="s">
        <v>85</v>
      </c>
      <c r="Q1181" s="5" t="s">
        <v>86</v>
      </c>
      <c r="R1181" s="5" t="s">
        <v>86</v>
      </c>
      <c r="T1181" s="390">
        <v>3</v>
      </c>
      <c r="U1181" s="5" t="s">
        <v>97</v>
      </c>
      <c r="W1181" s="5" t="s">
        <v>2468</v>
      </c>
      <c r="X1181" s="5" t="s">
        <v>102</v>
      </c>
      <c r="AA1181" s="586" t="s">
        <v>85</v>
      </c>
      <c r="AB1181" s="5" t="s">
        <v>2469</v>
      </c>
      <c r="AC1181" s="5" t="s">
        <v>2470</v>
      </c>
      <c r="AD1181" s="5" t="s">
        <v>86</v>
      </c>
      <c r="AG1181" s="5">
        <v>9547</v>
      </c>
      <c r="AH1181" s="5" t="s">
        <v>86</v>
      </c>
      <c r="AY1181" s="5" t="s">
        <v>85</v>
      </c>
      <c r="AZ1181" s="5">
        <v>11</v>
      </c>
      <c r="BA1181" s="5">
        <v>19</v>
      </c>
      <c r="BB1181" s="5">
        <v>10</v>
      </c>
      <c r="BC1181" s="5">
        <v>9</v>
      </c>
      <c r="BD1181" s="5">
        <v>11</v>
      </c>
      <c r="BE1181" s="5">
        <v>0</v>
      </c>
      <c r="BF1181" s="5">
        <v>0</v>
      </c>
      <c r="BH1181" s="5">
        <v>0</v>
      </c>
      <c r="BI1181" s="5">
        <v>0</v>
      </c>
      <c r="BL1181" s="5">
        <v>0</v>
      </c>
      <c r="BM1181" s="5">
        <v>11</v>
      </c>
      <c r="BN1181" s="5" t="s">
        <v>85</v>
      </c>
      <c r="BO1181" s="5">
        <v>50</v>
      </c>
      <c r="BP1181" s="5">
        <v>154</v>
      </c>
      <c r="BQ1181" s="5">
        <v>58</v>
      </c>
      <c r="BR1181" s="5">
        <v>96</v>
      </c>
      <c r="BS1181" s="5" t="s">
        <v>2479</v>
      </c>
      <c r="BT1181" s="5">
        <v>0</v>
      </c>
      <c r="BU1181" s="5">
        <v>50</v>
      </c>
      <c r="BV1181" s="5">
        <v>0</v>
      </c>
      <c r="BW1181" s="5">
        <v>0</v>
      </c>
      <c r="BX1181" s="5">
        <v>0</v>
      </c>
      <c r="BZ1181" s="5">
        <v>0</v>
      </c>
      <c r="CA1181" s="5">
        <v>0</v>
      </c>
      <c r="CC1181" s="5">
        <v>0</v>
      </c>
      <c r="CD1181" s="5">
        <v>0</v>
      </c>
      <c r="CF1181" s="1442" t="str">
        <f>IF([1]!sommaire[[#This Row],[présence des personnes déplacés interne]]="Oui","1","0")</f>
        <v>0</v>
      </c>
      <c r="CG1181" s="1442" t="str">
        <f>IF([1]!sommaire[[#This Row],[présence Réfugié hors camp]]="Oui","1","0")</f>
        <v>1</v>
      </c>
      <c r="CH1181" s="1442" t="str">
        <f>IF([1]!sommaire[[#This Row],[présence personnes retournées]]="Oui","1","0")</f>
        <v>1</v>
      </c>
      <c r="CI1181" s="1442">
        <f>[1]!sommaire[[#This Row],[Flag PDI]]+[1]!sommaire[[#This Row],[Flag REF]]+[1]!sommaire[[#This Row],[Flag RET]]</f>
        <v>2</v>
      </c>
    </row>
    <row r="1182" spans="1:87" x14ac:dyDescent="0.3">
      <c r="A1182" s="390">
        <v>2630699</v>
      </c>
      <c r="B1182" s="5" t="s">
        <v>533</v>
      </c>
      <c r="C1182" s="1430" t="s">
        <v>3449</v>
      </c>
      <c r="D1182" s="1090" t="s">
        <v>534</v>
      </c>
      <c r="E1182" s="5" t="s">
        <v>35</v>
      </c>
      <c r="F1182" s="5" t="s">
        <v>35</v>
      </c>
      <c r="G1182" s="5" t="s">
        <v>567</v>
      </c>
      <c r="H1182" s="5" t="s">
        <v>194</v>
      </c>
      <c r="I1182" s="5" t="str">
        <f>_xlfn.XLOOKUP(sommaire[[#This Row],[Arrondissement_code]],OCHA_GIS!$F:$F,OCHA_GIS!$E:$E,,)</f>
        <v>Mogodé</v>
      </c>
      <c r="J1182" s="5" t="s">
        <v>2150</v>
      </c>
      <c r="K1182" t="s">
        <v>2221</v>
      </c>
      <c r="L1182" s="5" t="s">
        <v>2222</v>
      </c>
      <c r="N1182" s="5" t="s">
        <v>3052</v>
      </c>
      <c r="O1182" s="5" t="s">
        <v>2467</v>
      </c>
      <c r="P1182" s="5" t="s">
        <v>85</v>
      </c>
      <c r="Q1182" s="5" t="s">
        <v>86</v>
      </c>
      <c r="R1182" s="5" t="s">
        <v>86</v>
      </c>
      <c r="T1182" s="390">
        <v>3</v>
      </c>
      <c r="U1182" s="5" t="s">
        <v>97</v>
      </c>
      <c r="W1182" s="5" t="s">
        <v>2468</v>
      </c>
      <c r="X1182" s="5" t="s">
        <v>102</v>
      </c>
      <c r="AA1182" s="5" t="s">
        <v>85</v>
      </c>
      <c r="AB1182" s="5" t="s">
        <v>2469</v>
      </c>
      <c r="AC1182" s="5" t="s">
        <v>2470</v>
      </c>
      <c r="AD1182" s="5" t="s">
        <v>86</v>
      </c>
      <c r="AG1182" s="5">
        <v>11500</v>
      </c>
      <c r="AH1182" s="5" t="s">
        <v>86</v>
      </c>
      <c r="AY1182" s="5" t="s">
        <v>85</v>
      </c>
      <c r="AZ1182" s="5">
        <v>21</v>
      </c>
      <c r="BA1182" s="5">
        <v>134</v>
      </c>
      <c r="BB1182" s="5">
        <v>72</v>
      </c>
      <c r="BC1182" s="5">
        <v>62</v>
      </c>
      <c r="BD1182" s="5">
        <v>21</v>
      </c>
      <c r="BE1182" s="5">
        <v>0</v>
      </c>
      <c r="BF1182" s="5">
        <v>0</v>
      </c>
      <c r="BH1182" s="5">
        <v>0</v>
      </c>
      <c r="BI1182" s="5">
        <v>0</v>
      </c>
      <c r="BL1182" s="5">
        <v>0</v>
      </c>
      <c r="BM1182" s="5">
        <v>21</v>
      </c>
      <c r="BN1182" s="5" t="s">
        <v>85</v>
      </c>
      <c r="BO1182" s="5">
        <v>47</v>
      </c>
      <c r="BP1182" s="5">
        <v>149</v>
      </c>
      <c r="BQ1182" s="5">
        <v>69</v>
      </c>
      <c r="BR1182" s="5">
        <v>80</v>
      </c>
      <c r="BS1182" s="5" t="s">
        <v>2479</v>
      </c>
      <c r="BT1182" s="5">
        <v>0</v>
      </c>
      <c r="BU1182" s="5">
        <v>47</v>
      </c>
      <c r="BV1182" s="5">
        <v>0</v>
      </c>
      <c r="BW1182" s="5">
        <v>0</v>
      </c>
      <c r="BX1182" s="5">
        <v>0</v>
      </c>
      <c r="BZ1182" s="5">
        <v>0</v>
      </c>
      <c r="CA1182" s="5">
        <v>0</v>
      </c>
      <c r="CC1182" s="5">
        <v>0</v>
      </c>
      <c r="CD1182" s="5">
        <v>0</v>
      </c>
      <c r="CF1182" s="1442" t="str">
        <f>IF([1]!sommaire[[#This Row],[présence des personnes déplacés interne]]="Oui","1","0")</f>
        <v>0</v>
      </c>
      <c r="CG1182" s="1442" t="str">
        <f>IF([1]!sommaire[[#This Row],[présence Réfugié hors camp]]="Oui","1","0")</f>
        <v>1</v>
      </c>
      <c r="CH1182" s="1442" t="str">
        <f>IF([1]!sommaire[[#This Row],[présence personnes retournées]]="Oui","1","0")</f>
        <v>1</v>
      </c>
      <c r="CI1182" s="1442">
        <f>[1]!sommaire[[#This Row],[Flag PDI]]+[1]!sommaire[[#This Row],[Flag REF]]+[1]!sommaire[[#This Row],[Flag RET]]</f>
        <v>2</v>
      </c>
    </row>
    <row r="1183" spans="1:87" x14ac:dyDescent="0.3">
      <c r="A1183" s="390">
        <v>2630700</v>
      </c>
      <c r="B1183" s="5" t="s">
        <v>533</v>
      </c>
      <c r="C1183" s="1430" t="s">
        <v>3449</v>
      </c>
      <c r="D1183" s="5" t="s">
        <v>534</v>
      </c>
      <c r="E1183" s="5" t="s">
        <v>35</v>
      </c>
      <c r="F1183" s="5" t="s">
        <v>35</v>
      </c>
      <c r="G1183" s="5" t="s">
        <v>567</v>
      </c>
      <c r="H1183" s="5" t="s">
        <v>194</v>
      </c>
      <c r="I1183" s="5" t="str">
        <f>_xlfn.XLOOKUP(sommaire[[#This Row],[Arrondissement_code]],OCHA_GIS!$F:$F,OCHA_GIS!$E:$E,,)</f>
        <v>Mogodé</v>
      </c>
      <c r="J1183" s="5" t="s">
        <v>2150</v>
      </c>
      <c r="K1183" t="s">
        <v>2177</v>
      </c>
      <c r="L1183" s="5" t="s">
        <v>2178</v>
      </c>
      <c r="N1183" s="5" t="s">
        <v>3052</v>
      </c>
      <c r="O1183" s="5" t="s">
        <v>2467</v>
      </c>
      <c r="P1183" s="5" t="s">
        <v>85</v>
      </c>
      <c r="Q1183" s="5" t="s">
        <v>86</v>
      </c>
      <c r="R1183" s="5" t="s">
        <v>86</v>
      </c>
      <c r="T1183" s="390">
        <v>3</v>
      </c>
      <c r="U1183" s="5" t="s">
        <v>97</v>
      </c>
      <c r="W1183" s="5" t="s">
        <v>2468</v>
      </c>
      <c r="X1183" s="5" t="s">
        <v>102</v>
      </c>
      <c r="AA1183" s="5" t="s">
        <v>85</v>
      </c>
      <c r="AB1183" s="5" t="s">
        <v>2469</v>
      </c>
      <c r="AC1183" s="5" t="s">
        <v>2470</v>
      </c>
      <c r="AD1183" s="5" t="s">
        <v>86</v>
      </c>
      <c r="AG1183" s="5">
        <v>4005</v>
      </c>
      <c r="AH1183" s="5" t="s">
        <v>86</v>
      </c>
      <c r="AY1183" s="5" t="s">
        <v>85</v>
      </c>
      <c r="AZ1183" s="5">
        <v>3</v>
      </c>
      <c r="BA1183" s="5">
        <v>19</v>
      </c>
      <c r="BB1183" s="5">
        <v>11</v>
      </c>
      <c r="BC1183" s="5">
        <v>8</v>
      </c>
      <c r="BD1183" s="5">
        <v>3</v>
      </c>
      <c r="BE1183" s="5">
        <v>0</v>
      </c>
      <c r="BF1183" s="5">
        <v>0</v>
      </c>
      <c r="BH1183" s="5">
        <v>0</v>
      </c>
      <c r="BI1183" s="5">
        <v>0</v>
      </c>
      <c r="BL1183" s="5">
        <v>0</v>
      </c>
      <c r="BM1183" s="5">
        <v>3</v>
      </c>
      <c r="BN1183" s="5" t="s">
        <v>86</v>
      </c>
      <c r="CD1183" s="5">
        <v>0</v>
      </c>
      <c r="CF1183" s="1442" t="str">
        <f>IF([1]!sommaire[[#This Row],[présence des personnes déplacés interne]]="Oui","1","0")</f>
        <v>0</v>
      </c>
      <c r="CG1183" s="1442" t="str">
        <f>IF([1]!sommaire[[#This Row],[présence Réfugié hors camp]]="Oui","1","0")</f>
        <v>1</v>
      </c>
      <c r="CH1183" s="1442" t="str">
        <f>IF([1]!sommaire[[#This Row],[présence personnes retournées]]="Oui","1","0")</f>
        <v>0</v>
      </c>
      <c r="CI1183" s="1442">
        <f>[1]!sommaire[[#This Row],[Flag PDI]]+[1]!sommaire[[#This Row],[Flag REF]]+[1]!sommaire[[#This Row],[Flag RET]]</f>
        <v>1</v>
      </c>
    </row>
    <row r="1184" spans="1:87" x14ac:dyDescent="0.3">
      <c r="A1184" s="390">
        <v>2588770</v>
      </c>
      <c r="B1184" s="5" t="s">
        <v>533</v>
      </c>
      <c r="C1184" s="1430" t="s">
        <v>3449</v>
      </c>
      <c r="D1184" s="5" t="s">
        <v>534</v>
      </c>
      <c r="E1184" s="5" t="s">
        <v>35</v>
      </c>
      <c r="F1184" s="5" t="s">
        <v>35</v>
      </c>
      <c r="G1184" s="5" t="s">
        <v>567</v>
      </c>
      <c r="H1184" s="5" t="s">
        <v>194</v>
      </c>
      <c r="I1184" s="5" t="str">
        <f>_xlfn.XLOOKUP(sommaire[[#This Row],[Arrondissement_code]],OCHA_GIS!$F:$F,OCHA_GIS!$E:$E,,)</f>
        <v>Mogodé</v>
      </c>
      <c r="J1184" s="5" t="s">
        <v>2150</v>
      </c>
      <c r="K1184" t="s">
        <v>2153</v>
      </c>
      <c r="L1184" s="5" t="s">
        <v>2154</v>
      </c>
      <c r="N1184" s="5" t="s">
        <v>3052</v>
      </c>
      <c r="O1184" s="5" t="s">
        <v>2467</v>
      </c>
      <c r="P1184" s="5" t="s">
        <v>85</v>
      </c>
      <c r="Q1184" s="5" t="s">
        <v>86</v>
      </c>
      <c r="R1184" s="5" t="s">
        <v>86</v>
      </c>
      <c r="T1184" s="390">
        <v>3</v>
      </c>
      <c r="U1184" s="5" t="s">
        <v>97</v>
      </c>
      <c r="W1184" s="5" t="s">
        <v>2468</v>
      </c>
      <c r="X1184" s="5" t="s">
        <v>102</v>
      </c>
      <c r="AA1184" s="5" t="s">
        <v>85</v>
      </c>
      <c r="AB1184" s="5" t="s">
        <v>2469</v>
      </c>
      <c r="AC1184" s="5" t="s">
        <v>2470</v>
      </c>
      <c r="AD1184" s="5" t="s">
        <v>86</v>
      </c>
      <c r="AG1184" s="5">
        <v>5800</v>
      </c>
      <c r="AH1184" s="5" t="s">
        <v>86</v>
      </c>
      <c r="AY1184" s="5" t="s">
        <v>85</v>
      </c>
      <c r="AZ1184" s="5">
        <v>5</v>
      </c>
      <c r="BA1184" s="5">
        <v>27</v>
      </c>
      <c r="BB1184" s="5">
        <v>11</v>
      </c>
      <c r="BC1184" s="5">
        <v>16</v>
      </c>
      <c r="BD1184" s="5">
        <v>5</v>
      </c>
      <c r="BE1184" s="5">
        <v>0</v>
      </c>
      <c r="BF1184" s="5">
        <v>0</v>
      </c>
      <c r="BH1184" s="5">
        <v>0</v>
      </c>
      <c r="BI1184" s="5">
        <v>0</v>
      </c>
      <c r="BL1184" s="5">
        <v>0</v>
      </c>
      <c r="BM1184" s="5">
        <v>5</v>
      </c>
      <c r="BN1184" s="5" t="s">
        <v>85</v>
      </c>
      <c r="BO1184" s="5">
        <v>10</v>
      </c>
      <c r="BP1184" s="5">
        <v>49</v>
      </c>
      <c r="BQ1184" s="5">
        <v>20</v>
      </c>
      <c r="BR1184" s="5">
        <v>29</v>
      </c>
      <c r="BS1184" s="5" t="s">
        <v>2479</v>
      </c>
      <c r="BT1184" s="5">
        <v>0</v>
      </c>
      <c r="BU1184" s="5">
        <v>8</v>
      </c>
      <c r="BV1184" s="5">
        <v>2</v>
      </c>
      <c r="BW1184" s="5">
        <v>0</v>
      </c>
      <c r="BX1184" s="5">
        <v>0</v>
      </c>
      <c r="BZ1184" s="5">
        <v>0</v>
      </c>
      <c r="CA1184" s="5">
        <v>0</v>
      </c>
      <c r="CC1184" s="5">
        <v>0</v>
      </c>
      <c r="CD1184" s="5">
        <v>0</v>
      </c>
      <c r="CF1184" s="1442" t="str">
        <f>IF([1]!sommaire[[#This Row],[présence des personnes déplacés interne]]="Oui","1","0")</f>
        <v>0</v>
      </c>
      <c r="CG1184" s="1442" t="str">
        <f>IF([1]!sommaire[[#This Row],[présence Réfugié hors camp]]="Oui","1","0")</f>
        <v>1</v>
      </c>
      <c r="CH1184" s="1442" t="str">
        <f>IF([1]!sommaire[[#This Row],[présence personnes retournées]]="Oui","1","0")</f>
        <v>1</v>
      </c>
      <c r="CI1184" s="1442">
        <f>[1]!sommaire[[#This Row],[Flag PDI]]+[1]!sommaire[[#This Row],[Flag REF]]+[1]!sommaire[[#This Row],[Flag RET]]</f>
        <v>2</v>
      </c>
    </row>
    <row r="1185" spans="1:87" x14ac:dyDescent="0.3">
      <c r="A1185" s="390">
        <v>2630698</v>
      </c>
      <c r="B1185" s="5" t="s">
        <v>533</v>
      </c>
      <c r="C1185" s="1430" t="s">
        <v>3449</v>
      </c>
      <c r="D1185" s="5" t="s">
        <v>534</v>
      </c>
      <c r="E1185" s="5" t="s">
        <v>35</v>
      </c>
      <c r="F1185" s="5" t="s">
        <v>35</v>
      </c>
      <c r="G1185" s="5" t="s">
        <v>567</v>
      </c>
      <c r="H1185" s="5" t="s">
        <v>194</v>
      </c>
      <c r="I1185" s="5" t="str">
        <f>_xlfn.XLOOKUP(sommaire[[#This Row],[Arrondissement_code]],OCHA_GIS!$F:$F,OCHA_GIS!$E:$E,,)</f>
        <v>Mogodé</v>
      </c>
      <c r="J1185" s="5" t="s">
        <v>2150</v>
      </c>
      <c r="K1185" t="s">
        <v>2165</v>
      </c>
      <c r="L1185" s="5" t="s">
        <v>2166</v>
      </c>
      <c r="N1185" s="5" t="s">
        <v>3052</v>
      </c>
      <c r="O1185" s="5" t="s">
        <v>2467</v>
      </c>
      <c r="P1185" s="5" t="s">
        <v>85</v>
      </c>
      <c r="Q1185" s="5" t="s">
        <v>86</v>
      </c>
      <c r="R1185" s="5" t="s">
        <v>86</v>
      </c>
      <c r="T1185" s="390">
        <v>3</v>
      </c>
      <c r="U1185" s="5" t="s">
        <v>97</v>
      </c>
      <c r="W1185" s="5" t="s">
        <v>2468</v>
      </c>
      <c r="X1185" s="5" t="s">
        <v>102</v>
      </c>
      <c r="AA1185" s="5" t="s">
        <v>85</v>
      </c>
      <c r="AB1185" s="5" t="s">
        <v>2469</v>
      </c>
      <c r="AC1185" s="5" t="s">
        <v>2470</v>
      </c>
      <c r="AD1185" s="5" t="s">
        <v>86</v>
      </c>
      <c r="AG1185" s="5">
        <v>10692</v>
      </c>
      <c r="AH1185" s="5" t="s">
        <v>86</v>
      </c>
      <c r="AY1185" s="5" t="s">
        <v>85</v>
      </c>
      <c r="AZ1185" s="5">
        <v>21</v>
      </c>
      <c r="BA1185" s="5">
        <v>189</v>
      </c>
      <c r="BB1185" s="5">
        <v>84</v>
      </c>
      <c r="BC1185" s="5">
        <v>105</v>
      </c>
      <c r="BD1185" s="5">
        <v>21</v>
      </c>
      <c r="BE1185" s="5">
        <v>0</v>
      </c>
      <c r="BF1185" s="5">
        <v>0</v>
      </c>
      <c r="BH1185" s="5">
        <v>0</v>
      </c>
      <c r="BI1185" s="5">
        <v>0</v>
      </c>
      <c r="BL1185" s="5">
        <v>0</v>
      </c>
      <c r="BM1185" s="5">
        <v>21</v>
      </c>
      <c r="BN1185" s="5" t="s">
        <v>85</v>
      </c>
      <c r="BO1185" s="5">
        <v>5</v>
      </c>
      <c r="BP1185" s="5">
        <v>42</v>
      </c>
      <c r="BQ1185" s="5">
        <v>18</v>
      </c>
      <c r="BR1185" s="5">
        <v>24</v>
      </c>
      <c r="BS1185" s="5" t="s">
        <v>2479</v>
      </c>
      <c r="BT1185" s="5">
        <v>0</v>
      </c>
      <c r="BU1185" s="5">
        <v>5</v>
      </c>
      <c r="BV1185" s="5">
        <v>0</v>
      </c>
      <c r="BW1185" s="5">
        <v>0</v>
      </c>
      <c r="BX1185" s="5">
        <v>0</v>
      </c>
      <c r="BZ1185" s="5">
        <v>0</v>
      </c>
      <c r="CA1185" s="5">
        <v>0</v>
      </c>
      <c r="CC1185" s="5">
        <v>0</v>
      </c>
      <c r="CD1185" s="5">
        <v>0</v>
      </c>
      <c r="CF1185" s="1442" t="str">
        <f>IF([1]!sommaire[[#This Row],[présence des personnes déplacés interne]]="Oui","1","0")</f>
        <v>0</v>
      </c>
      <c r="CG1185" s="1442" t="str">
        <f>IF([1]!sommaire[[#This Row],[présence Réfugié hors camp]]="Oui","1","0")</f>
        <v>1</v>
      </c>
      <c r="CH1185" s="1442" t="str">
        <f>IF([1]!sommaire[[#This Row],[présence personnes retournées]]="Oui","1","0")</f>
        <v>1</v>
      </c>
      <c r="CI1185" s="1442">
        <f>[1]!sommaire[[#This Row],[Flag PDI]]+[1]!sommaire[[#This Row],[Flag REF]]+[1]!sommaire[[#This Row],[Flag RET]]</f>
        <v>2</v>
      </c>
    </row>
    <row r="1186" spans="1:87" x14ac:dyDescent="0.3">
      <c r="A1186" s="390">
        <v>2565079</v>
      </c>
      <c r="B1186" s="5" t="s">
        <v>533</v>
      </c>
      <c r="C1186" s="1430" t="s">
        <v>3449</v>
      </c>
      <c r="D1186" s="1090" t="s">
        <v>534</v>
      </c>
      <c r="E1186" s="5" t="s">
        <v>35</v>
      </c>
      <c r="F1186" s="5" t="s">
        <v>35</v>
      </c>
      <c r="G1186" s="5" t="s">
        <v>567</v>
      </c>
      <c r="H1186" s="5" t="s">
        <v>195</v>
      </c>
      <c r="I1186" s="5" t="str">
        <f>_xlfn.XLOOKUP(sommaire[[#This Row],[Arrondissement_code]],OCHA_GIS!$F:$F,OCHA_GIS!$E:$E,,)</f>
        <v>Mokolo</v>
      </c>
      <c r="J1186" s="5" t="s">
        <v>733</v>
      </c>
      <c r="K1186" t="s">
        <v>550</v>
      </c>
      <c r="L1186" s="5" t="s">
        <v>3115</v>
      </c>
      <c r="M1186" s="5" t="s">
        <v>3115</v>
      </c>
      <c r="N1186" s="5" t="s">
        <v>3053</v>
      </c>
      <c r="O1186" s="5" t="s">
        <v>2467</v>
      </c>
      <c r="P1186" s="5" t="s">
        <v>85</v>
      </c>
      <c r="Q1186" s="5" t="s">
        <v>86</v>
      </c>
      <c r="R1186" s="5" t="s">
        <v>86</v>
      </c>
      <c r="T1186" s="390">
        <v>3</v>
      </c>
      <c r="U1186" s="5" t="s">
        <v>98</v>
      </c>
      <c r="W1186" s="5" t="s">
        <v>2520</v>
      </c>
      <c r="X1186" s="5" t="s">
        <v>103</v>
      </c>
      <c r="Y1186" s="5" t="s">
        <v>2511</v>
      </c>
      <c r="AA1186" s="5" t="s">
        <v>86</v>
      </c>
      <c r="AH1186" s="1430" t="s">
        <v>86</v>
      </c>
      <c r="AY1186" s="1430" t="s">
        <v>86</v>
      </c>
      <c r="BN1186" s="1430" t="s">
        <v>86</v>
      </c>
      <c r="CF1186" s="1442" t="str">
        <f>IF([1]!sommaire[[#This Row],[présence des personnes déplacés interne]]="Oui","1","0")</f>
        <v>0</v>
      </c>
      <c r="CG1186" s="1442" t="str">
        <f>IF([1]!sommaire[[#This Row],[présence Réfugié hors camp]]="Oui","1","0")</f>
        <v>0</v>
      </c>
      <c r="CH1186" s="1442" t="str">
        <f>IF([1]!sommaire[[#This Row],[présence personnes retournées]]="Oui","1","0")</f>
        <v>0</v>
      </c>
      <c r="CI1186" s="1442">
        <f>[1]!sommaire[[#This Row],[Flag PDI]]+[1]!sommaire[[#This Row],[Flag REF]]+[1]!sommaire[[#This Row],[Flag RET]]</f>
        <v>0</v>
      </c>
    </row>
    <row r="1187" spans="1:87" x14ac:dyDescent="0.3">
      <c r="A1187" s="390">
        <v>2565080</v>
      </c>
      <c r="B1187" s="5" t="s">
        <v>533</v>
      </c>
      <c r="C1187" s="1430" t="s">
        <v>3449</v>
      </c>
      <c r="D1187" s="1090" t="s">
        <v>534</v>
      </c>
      <c r="E1187" s="5" t="s">
        <v>35</v>
      </c>
      <c r="F1187" s="5" t="s">
        <v>35</v>
      </c>
      <c r="G1187" s="5" t="s">
        <v>567</v>
      </c>
      <c r="H1187" s="5" t="s">
        <v>195</v>
      </c>
      <c r="I1187" s="5" t="str">
        <f>_xlfn.XLOOKUP(sommaire[[#This Row],[Arrondissement_code]],OCHA_GIS!$F:$F,OCHA_GIS!$E:$E,,)</f>
        <v>Mokolo</v>
      </c>
      <c r="J1187" s="5" t="s">
        <v>733</v>
      </c>
      <c r="K1187" t="s">
        <v>550</v>
      </c>
      <c r="L1187" s="5" t="s">
        <v>3116</v>
      </c>
      <c r="M1187" s="5" t="s">
        <v>3116</v>
      </c>
      <c r="N1187" s="5" t="s">
        <v>3053</v>
      </c>
      <c r="O1187" s="5" t="s">
        <v>2467</v>
      </c>
      <c r="P1187" s="5" t="s">
        <v>85</v>
      </c>
      <c r="Q1187" s="5" t="s">
        <v>86</v>
      </c>
      <c r="R1187" s="5" t="s">
        <v>86</v>
      </c>
      <c r="T1187" s="390">
        <v>3</v>
      </c>
      <c r="U1187" s="5" t="s">
        <v>98</v>
      </c>
      <c r="W1187" s="5" t="s">
        <v>2482</v>
      </c>
      <c r="AA1187" s="5" t="s">
        <v>86</v>
      </c>
      <c r="AH1187" s="1430" t="s">
        <v>86</v>
      </c>
      <c r="AY1187" s="1430" t="s">
        <v>86</v>
      </c>
      <c r="BN1187" s="1430" t="s">
        <v>86</v>
      </c>
      <c r="CF1187" s="1442" t="str">
        <f>IF([1]!sommaire[[#This Row],[présence des personnes déplacés interne]]="Oui","1","0")</f>
        <v>0</v>
      </c>
      <c r="CG1187" s="1442" t="str">
        <f>IF([1]!sommaire[[#This Row],[présence Réfugié hors camp]]="Oui","1","0")</f>
        <v>0</v>
      </c>
      <c r="CH1187" s="1442" t="str">
        <f>IF([1]!sommaire[[#This Row],[présence personnes retournées]]="Oui","1","0")</f>
        <v>0</v>
      </c>
      <c r="CI1187" s="1442">
        <f>[1]!sommaire[[#This Row],[Flag PDI]]+[1]!sommaire[[#This Row],[Flag REF]]+[1]!sommaire[[#This Row],[Flag RET]]</f>
        <v>0</v>
      </c>
    </row>
    <row r="1188" spans="1:87" x14ac:dyDescent="0.3">
      <c r="A1188" s="390">
        <v>2604191</v>
      </c>
      <c r="B1188" s="5" t="s">
        <v>533</v>
      </c>
      <c r="C1188" s="1430" t="s">
        <v>3449</v>
      </c>
      <c r="D1188" s="1090" t="s">
        <v>534</v>
      </c>
      <c r="E1188" s="5" t="s">
        <v>35</v>
      </c>
      <c r="F1188" s="5" t="s">
        <v>35</v>
      </c>
      <c r="G1188" s="5" t="s">
        <v>567</v>
      </c>
      <c r="H1188" s="5" t="s">
        <v>195</v>
      </c>
      <c r="I1188" s="5" t="str">
        <f>_xlfn.XLOOKUP(sommaire[[#This Row],[Arrondissement_code]],OCHA_GIS!$F:$F,OCHA_GIS!$E:$E,,)</f>
        <v>Mokolo</v>
      </c>
      <c r="J1188" s="5" t="s">
        <v>733</v>
      </c>
      <c r="K1188" t="s">
        <v>550</v>
      </c>
      <c r="L1188" s="5" t="s">
        <v>3119</v>
      </c>
      <c r="M1188" s="5" t="s">
        <v>3119</v>
      </c>
      <c r="N1188" s="5" t="s">
        <v>3053</v>
      </c>
      <c r="O1188" s="1144" t="s">
        <v>2467</v>
      </c>
      <c r="P1188" s="5" t="s">
        <v>86</v>
      </c>
      <c r="Q1188" s="5" t="s">
        <v>86</v>
      </c>
      <c r="R1188" s="5" t="s">
        <v>85</v>
      </c>
      <c r="U1188" s="5" t="s">
        <v>98</v>
      </c>
      <c r="W1188" s="5" t="s">
        <v>2482</v>
      </c>
      <c r="AA1188" s="5" t="s">
        <v>86</v>
      </c>
      <c r="AH1188" s="1430" t="s">
        <v>86</v>
      </c>
      <c r="AY1188" s="1430" t="s">
        <v>86</v>
      </c>
      <c r="BN1188" s="1430" t="s">
        <v>86</v>
      </c>
      <c r="CF1188" s="1442" t="str">
        <f>IF([1]!sommaire[[#This Row],[présence des personnes déplacés interne]]="Oui","1","0")</f>
        <v>0</v>
      </c>
      <c r="CG1188" s="1442" t="str">
        <f>IF([1]!sommaire[[#This Row],[présence Réfugié hors camp]]="Oui","1","0")</f>
        <v>0</v>
      </c>
      <c r="CH1188" s="1442" t="str">
        <f>IF([1]!sommaire[[#This Row],[présence personnes retournées]]="Oui","1","0")</f>
        <v>0</v>
      </c>
      <c r="CI1188" s="1442">
        <f>[1]!sommaire[[#This Row],[Flag PDI]]+[1]!sommaire[[#This Row],[Flag REF]]+[1]!sommaire[[#This Row],[Flag RET]]</f>
        <v>0</v>
      </c>
    </row>
    <row r="1189" spans="1:87" x14ac:dyDescent="0.3">
      <c r="A1189" s="390">
        <v>2604192</v>
      </c>
      <c r="B1189" s="5" t="s">
        <v>533</v>
      </c>
      <c r="C1189" s="1430" t="s">
        <v>3449</v>
      </c>
      <c r="D1189" s="1090" t="s">
        <v>534</v>
      </c>
      <c r="E1189" s="5" t="s">
        <v>35</v>
      </c>
      <c r="F1189" s="5" t="s">
        <v>35</v>
      </c>
      <c r="G1189" s="5" t="s">
        <v>567</v>
      </c>
      <c r="H1189" s="5" t="s">
        <v>195</v>
      </c>
      <c r="I1189" s="5" t="str">
        <f>_xlfn.XLOOKUP(sommaire[[#This Row],[Arrondissement_code]],OCHA_GIS!$F:$F,OCHA_GIS!$E:$E,,)</f>
        <v>Mokolo</v>
      </c>
      <c r="J1189" s="5" t="s">
        <v>733</v>
      </c>
      <c r="K1189" t="s">
        <v>550</v>
      </c>
      <c r="L1189" s="5" t="s">
        <v>3120</v>
      </c>
      <c r="M1189" s="5" t="s">
        <v>3120</v>
      </c>
      <c r="N1189" s="5" t="s">
        <v>3053</v>
      </c>
      <c r="O1189" s="5" t="s">
        <v>2467</v>
      </c>
      <c r="P1189" s="5" t="s">
        <v>86</v>
      </c>
      <c r="Q1189" s="5" t="s">
        <v>86</v>
      </c>
      <c r="R1189" s="5" t="s">
        <v>85</v>
      </c>
      <c r="U1189" s="5" t="s">
        <v>100</v>
      </c>
      <c r="W1189" s="5" t="s">
        <v>2482</v>
      </c>
      <c r="AA1189" s="5" t="s">
        <v>86</v>
      </c>
      <c r="AH1189" s="1430" t="s">
        <v>86</v>
      </c>
      <c r="AY1189" s="1430" t="s">
        <v>86</v>
      </c>
      <c r="BN1189" s="1430" t="s">
        <v>86</v>
      </c>
      <c r="CF1189" s="1442" t="str">
        <f>IF([1]!sommaire[[#This Row],[présence des personnes déplacés interne]]="Oui","1","0")</f>
        <v>0</v>
      </c>
      <c r="CG1189" s="1442" t="str">
        <f>IF([1]!sommaire[[#This Row],[présence Réfugié hors camp]]="Oui","1","0")</f>
        <v>0</v>
      </c>
      <c r="CH1189" s="1442" t="str">
        <f>IF([1]!sommaire[[#This Row],[présence personnes retournées]]="Oui","1","0")</f>
        <v>0</v>
      </c>
      <c r="CI1189" s="1442">
        <f>[1]!sommaire[[#This Row],[Flag PDI]]+[1]!sommaire[[#This Row],[Flag REF]]+[1]!sommaire[[#This Row],[Flag RET]]</f>
        <v>0</v>
      </c>
    </row>
    <row r="1190" spans="1:87" x14ac:dyDescent="0.3">
      <c r="A1190" s="390">
        <v>2681977</v>
      </c>
      <c r="B1190" s="5" t="s">
        <v>533</v>
      </c>
      <c r="C1190" s="1430" t="s">
        <v>3449</v>
      </c>
      <c r="D1190" s="1090" t="s">
        <v>534</v>
      </c>
      <c r="E1190" s="5" t="s">
        <v>35</v>
      </c>
      <c r="F1190" s="5" t="s">
        <v>35</v>
      </c>
      <c r="G1190" s="5" t="s">
        <v>567</v>
      </c>
      <c r="H1190" s="5" t="s">
        <v>195</v>
      </c>
      <c r="I1190" s="5" t="str">
        <f>_xlfn.XLOOKUP(sommaire[[#This Row],[Arrondissement_code]],OCHA_GIS!$F:$F,OCHA_GIS!$E:$E,,)</f>
        <v>Mokolo</v>
      </c>
      <c r="J1190" s="5" t="s">
        <v>733</v>
      </c>
      <c r="K1190" t="s">
        <v>550</v>
      </c>
      <c r="L1190" s="5" t="s">
        <v>3143</v>
      </c>
      <c r="M1190" s="5" t="s">
        <v>3143</v>
      </c>
      <c r="N1190" s="5" t="s">
        <v>3053</v>
      </c>
      <c r="O1190" s="5" t="s">
        <v>2467</v>
      </c>
      <c r="P1190" s="5" t="s">
        <v>86</v>
      </c>
      <c r="Q1190" s="5" t="s">
        <v>86</v>
      </c>
      <c r="R1190" s="5" t="s">
        <v>85</v>
      </c>
      <c r="U1190" s="5" t="s">
        <v>98</v>
      </c>
      <c r="W1190" s="5" t="s">
        <v>2482</v>
      </c>
      <c r="AA1190" s="5" t="s">
        <v>86</v>
      </c>
      <c r="AH1190" s="1430" t="s">
        <v>86</v>
      </c>
      <c r="AY1190" s="1430" t="s">
        <v>86</v>
      </c>
      <c r="BN1190" s="1430" t="s">
        <v>86</v>
      </c>
      <c r="CF1190" s="1442" t="str">
        <f>IF([1]!sommaire[[#This Row],[présence des personnes déplacés interne]]="Oui","1","0")</f>
        <v>0</v>
      </c>
      <c r="CG1190" s="1442" t="str">
        <f>IF([1]!sommaire[[#This Row],[présence Réfugié hors camp]]="Oui","1","0")</f>
        <v>0</v>
      </c>
      <c r="CH1190" s="1442" t="str">
        <f>IF([1]!sommaire[[#This Row],[présence personnes retournées]]="Oui","1","0")</f>
        <v>0</v>
      </c>
      <c r="CI1190" s="1442">
        <f>[1]!sommaire[[#This Row],[Flag PDI]]+[1]!sommaire[[#This Row],[Flag REF]]+[1]!sommaire[[#This Row],[Flag RET]]</f>
        <v>0</v>
      </c>
    </row>
    <row r="1191" spans="1:87" x14ac:dyDescent="0.3">
      <c r="A1191" s="390">
        <v>2687076</v>
      </c>
      <c r="B1191" s="5" t="s">
        <v>533</v>
      </c>
      <c r="C1191" s="1430" t="s">
        <v>3449</v>
      </c>
      <c r="D1191" s="1090" t="s">
        <v>534</v>
      </c>
      <c r="E1191" s="5" t="s">
        <v>35</v>
      </c>
      <c r="F1191" s="5" t="s">
        <v>35</v>
      </c>
      <c r="G1191" s="5" t="s">
        <v>567</v>
      </c>
      <c r="H1191" s="5" t="s">
        <v>195</v>
      </c>
      <c r="I1191" s="5" t="str">
        <f>_xlfn.XLOOKUP(sommaire[[#This Row],[Arrondissement_code]],OCHA_GIS!$F:$F,OCHA_GIS!$E:$E,,)</f>
        <v>Mokolo</v>
      </c>
      <c r="J1191" s="5" t="s">
        <v>733</v>
      </c>
      <c r="K1191" t="s">
        <v>550</v>
      </c>
      <c r="L1191" s="5" t="s">
        <v>3147</v>
      </c>
      <c r="M1191" s="5" t="s">
        <v>3147</v>
      </c>
      <c r="N1191" s="5" t="s">
        <v>3053</v>
      </c>
      <c r="O1191" s="5" t="s">
        <v>2467</v>
      </c>
      <c r="P1191" s="5" t="s">
        <v>85</v>
      </c>
      <c r="Q1191" s="5" t="s">
        <v>86</v>
      </c>
      <c r="R1191" s="5" t="s">
        <v>85</v>
      </c>
      <c r="T1191" s="390">
        <v>4</v>
      </c>
      <c r="U1191" s="5" t="s">
        <v>97</v>
      </c>
      <c r="W1191" s="5" t="s">
        <v>2468</v>
      </c>
      <c r="X1191" s="5" t="s">
        <v>102</v>
      </c>
      <c r="AA1191" s="5" t="s">
        <v>85</v>
      </c>
      <c r="AB1191" s="5" t="s">
        <v>2469</v>
      </c>
      <c r="AC1191" s="5" t="s">
        <v>2470</v>
      </c>
      <c r="AD1191" s="5" t="s">
        <v>86</v>
      </c>
      <c r="AF1191" s="5">
        <v>15</v>
      </c>
      <c r="AG1191" s="5">
        <v>4369</v>
      </c>
      <c r="AH1191" s="5" t="s">
        <v>85</v>
      </c>
      <c r="AI1191" s="5" t="s">
        <v>2485</v>
      </c>
      <c r="AJ1191" s="5">
        <v>15</v>
      </c>
      <c r="AK1191" s="5">
        <v>60</v>
      </c>
      <c r="AL1191" s="5">
        <v>20</v>
      </c>
      <c r="AM1191" s="5">
        <v>40</v>
      </c>
      <c r="AN1191" s="5">
        <v>0</v>
      </c>
      <c r="AO1191" s="5">
        <v>15</v>
      </c>
      <c r="AP1191" s="5">
        <v>0</v>
      </c>
      <c r="AQ1191" s="5">
        <v>0</v>
      </c>
      <c r="AT1191" s="5">
        <v>0</v>
      </c>
      <c r="AU1191" s="5">
        <v>0</v>
      </c>
      <c r="AX1191" s="5">
        <v>0</v>
      </c>
      <c r="AY1191" s="5" t="s">
        <v>86</v>
      </c>
      <c r="BN1191" s="5" t="s">
        <v>86</v>
      </c>
      <c r="CD1191" s="5">
        <v>0</v>
      </c>
      <c r="CF1191" s="1442" t="str">
        <f>IF([1]!sommaire[[#This Row],[présence des personnes déplacés interne]]="Oui","1","0")</f>
        <v>1</v>
      </c>
      <c r="CG1191" s="1442" t="str">
        <f>IF([1]!sommaire[[#This Row],[présence Réfugié hors camp]]="Oui","1","0")</f>
        <v>0</v>
      </c>
      <c r="CH1191" s="1442" t="str">
        <f>IF([1]!sommaire[[#This Row],[présence personnes retournées]]="Oui","1","0")</f>
        <v>0</v>
      </c>
      <c r="CI1191" s="1442">
        <f>[1]!sommaire[[#This Row],[Flag PDI]]+[1]!sommaire[[#This Row],[Flag REF]]+[1]!sommaire[[#This Row],[Flag RET]]</f>
        <v>1</v>
      </c>
    </row>
    <row r="1192" spans="1:87" x14ac:dyDescent="0.3">
      <c r="A1192" s="390">
        <v>2709223</v>
      </c>
      <c r="B1192" s="5" t="s">
        <v>533</v>
      </c>
      <c r="C1192" s="1430" t="s">
        <v>3449</v>
      </c>
      <c r="D1192" s="1090" t="s">
        <v>534</v>
      </c>
      <c r="E1192" s="5" t="s">
        <v>35</v>
      </c>
      <c r="F1192" s="5" t="s">
        <v>35</v>
      </c>
      <c r="G1192" s="5" t="s">
        <v>567</v>
      </c>
      <c r="H1192" s="1144" t="s">
        <v>195</v>
      </c>
      <c r="I1192" s="1144" t="str">
        <f>_xlfn.XLOOKUP(sommaire[[#This Row],[Arrondissement_code]],OCHA_GIS!$F:$F,OCHA_GIS!$E:$E,,)</f>
        <v>Mokolo</v>
      </c>
      <c r="J1192" s="5" t="s">
        <v>733</v>
      </c>
      <c r="K1192" t="s">
        <v>550</v>
      </c>
      <c r="L1192" s="5" t="s">
        <v>3151</v>
      </c>
      <c r="M1192" s="5" t="s">
        <v>3151</v>
      </c>
      <c r="N1192" s="5" t="s">
        <v>3053</v>
      </c>
      <c r="O1192" s="5" t="s">
        <v>2467</v>
      </c>
      <c r="P1192" s="5" t="s">
        <v>86</v>
      </c>
      <c r="Q1192" s="5" t="s">
        <v>86</v>
      </c>
      <c r="R1192" s="5" t="s">
        <v>85</v>
      </c>
      <c r="U1192" s="5" t="s">
        <v>98</v>
      </c>
      <c r="W1192" s="5" t="s">
        <v>2482</v>
      </c>
      <c r="AA1192" s="5" t="s">
        <v>86</v>
      </c>
      <c r="AH1192" s="1430" t="s">
        <v>86</v>
      </c>
      <c r="AY1192" s="1430" t="s">
        <v>86</v>
      </c>
      <c r="BN1192" s="1430" t="s">
        <v>86</v>
      </c>
      <c r="CF1192" s="1442" t="str">
        <f>IF([1]!sommaire[[#This Row],[présence des personnes déplacés interne]]="Oui","1","0")</f>
        <v>0</v>
      </c>
      <c r="CG1192" s="1442" t="str">
        <f>IF([1]!sommaire[[#This Row],[présence Réfugié hors camp]]="Oui","1","0")</f>
        <v>0</v>
      </c>
      <c r="CH1192" s="1442" t="str">
        <f>IF([1]!sommaire[[#This Row],[présence personnes retournées]]="Oui","1","0")</f>
        <v>0</v>
      </c>
      <c r="CI1192" s="1442">
        <f>[1]!sommaire[[#This Row],[Flag PDI]]+[1]!sommaire[[#This Row],[Flag REF]]+[1]!sommaire[[#This Row],[Flag RET]]</f>
        <v>0</v>
      </c>
    </row>
    <row r="1193" spans="1:87" x14ac:dyDescent="0.3">
      <c r="A1193" s="390">
        <v>2777781</v>
      </c>
      <c r="B1193" s="5" t="s">
        <v>533</v>
      </c>
      <c r="C1193" s="1430" t="s">
        <v>3449</v>
      </c>
      <c r="D1193" s="1090" t="s">
        <v>534</v>
      </c>
      <c r="E1193" s="5" t="s">
        <v>35</v>
      </c>
      <c r="F1193" s="5" t="s">
        <v>35</v>
      </c>
      <c r="G1193" s="5" t="s">
        <v>567</v>
      </c>
      <c r="H1193" s="5" t="s">
        <v>195</v>
      </c>
      <c r="I1193" s="5" t="str">
        <f>_xlfn.XLOOKUP(sommaire[[#This Row],[Arrondissement_code]],OCHA_GIS!$F:$F,OCHA_GIS!$E:$E,,)</f>
        <v>Mokolo</v>
      </c>
      <c r="J1193" s="5" t="s">
        <v>733</v>
      </c>
      <c r="K1193" t="s">
        <v>550</v>
      </c>
      <c r="L1193" s="5" t="s">
        <v>3162</v>
      </c>
      <c r="M1193" s="5" t="s">
        <v>3163</v>
      </c>
      <c r="N1193" s="5" t="s">
        <v>3053</v>
      </c>
      <c r="O1193" s="5" t="s">
        <v>2467</v>
      </c>
      <c r="P1193" s="5" t="s">
        <v>85</v>
      </c>
      <c r="Q1193" s="5" t="s">
        <v>86</v>
      </c>
      <c r="R1193" s="5" t="s">
        <v>86</v>
      </c>
      <c r="T1193" s="390">
        <v>3</v>
      </c>
      <c r="U1193" s="5" t="s">
        <v>97</v>
      </c>
      <c r="W1193" s="5" t="s">
        <v>2468</v>
      </c>
      <c r="X1193" s="5" t="s">
        <v>102</v>
      </c>
      <c r="AA1193" s="5" t="s">
        <v>85</v>
      </c>
      <c r="AB1193" s="5" t="s">
        <v>2469</v>
      </c>
      <c r="AC1193" s="5" t="s">
        <v>2470</v>
      </c>
      <c r="AD1193" s="5" t="s">
        <v>86</v>
      </c>
      <c r="AF1193" s="5">
        <v>23</v>
      </c>
      <c r="AG1193" s="5">
        <v>250</v>
      </c>
      <c r="AH1193" s="5" t="s">
        <v>85</v>
      </c>
      <c r="AI1193" s="5" t="s">
        <v>2471</v>
      </c>
      <c r="AJ1193" s="5">
        <v>23</v>
      </c>
      <c r="AK1193" s="5">
        <v>75</v>
      </c>
      <c r="AL1193" s="5">
        <v>20</v>
      </c>
      <c r="AM1193" s="5">
        <v>55</v>
      </c>
      <c r="AN1193" s="5">
        <v>0</v>
      </c>
      <c r="AO1193" s="5">
        <v>23</v>
      </c>
      <c r="AP1193" s="5">
        <v>0</v>
      </c>
      <c r="AQ1193" s="5">
        <v>0</v>
      </c>
      <c r="AT1193" s="5">
        <v>0</v>
      </c>
      <c r="AU1193" s="5">
        <v>0</v>
      </c>
      <c r="AX1193" s="5">
        <v>0</v>
      </c>
      <c r="AY1193" s="5" t="s">
        <v>86</v>
      </c>
      <c r="BN1193" s="5" t="s">
        <v>86</v>
      </c>
      <c r="CD1193" s="5">
        <v>0</v>
      </c>
      <c r="CF1193" s="1442" t="str">
        <f>IF([1]!sommaire[[#This Row],[présence des personnes déplacés interne]]="Oui","1","0")</f>
        <v>1</v>
      </c>
      <c r="CG1193" s="1442" t="str">
        <f>IF([1]!sommaire[[#This Row],[présence Réfugié hors camp]]="Oui","1","0")</f>
        <v>0</v>
      </c>
      <c r="CH1193" s="1442" t="str">
        <f>IF([1]!sommaire[[#This Row],[présence personnes retournées]]="Oui","1","0")</f>
        <v>0</v>
      </c>
      <c r="CI1193" s="1442">
        <f>[1]!sommaire[[#This Row],[Flag PDI]]+[1]!sommaire[[#This Row],[Flag REF]]+[1]!sommaire[[#This Row],[Flag RET]]</f>
        <v>1</v>
      </c>
    </row>
    <row r="1194" spans="1:87" x14ac:dyDescent="0.3">
      <c r="A1194" s="390">
        <v>2686962</v>
      </c>
      <c r="B1194" s="5" t="s">
        <v>533</v>
      </c>
      <c r="C1194" s="1430" t="s">
        <v>3449</v>
      </c>
      <c r="D1194" s="1090" t="s">
        <v>534</v>
      </c>
      <c r="E1194" s="5" t="s">
        <v>35</v>
      </c>
      <c r="F1194" s="5" t="s">
        <v>35</v>
      </c>
      <c r="G1194" s="5" t="s">
        <v>567</v>
      </c>
      <c r="H1194" s="1090" t="s">
        <v>195</v>
      </c>
      <c r="I1194" s="1090" t="str">
        <f>_xlfn.XLOOKUP(sommaire[[#This Row],[Arrondissement_code]],OCHA_GIS!$F:$F,OCHA_GIS!$E:$E,,)</f>
        <v>Mokolo</v>
      </c>
      <c r="J1194" s="5" t="s">
        <v>733</v>
      </c>
      <c r="K1194" t="s">
        <v>1622</v>
      </c>
      <c r="L1194" s="5" t="s">
        <v>1942</v>
      </c>
      <c r="N1194" s="5" t="s">
        <v>3053</v>
      </c>
      <c r="O1194" s="5" t="s">
        <v>2467</v>
      </c>
      <c r="P1194" s="5" t="s">
        <v>85</v>
      </c>
      <c r="Q1194" s="5" t="s">
        <v>86</v>
      </c>
      <c r="R1194" s="5" t="s">
        <v>86</v>
      </c>
      <c r="T1194" s="390">
        <v>4</v>
      </c>
      <c r="U1194" s="5" t="s">
        <v>97</v>
      </c>
      <c r="W1194" s="5" t="s">
        <v>2468</v>
      </c>
      <c r="X1194" s="5" t="s">
        <v>102</v>
      </c>
      <c r="AA1194" s="586" t="s">
        <v>85</v>
      </c>
      <c r="AB1194" s="5" t="s">
        <v>2469</v>
      </c>
      <c r="AC1194" s="5" t="s">
        <v>2470</v>
      </c>
      <c r="AD1194" s="1090" t="s">
        <v>86</v>
      </c>
      <c r="AF1194" s="5">
        <v>29</v>
      </c>
      <c r="AG1194" s="5">
        <v>2000</v>
      </c>
      <c r="AH1194" s="5" t="s">
        <v>85</v>
      </c>
      <c r="AI1194" s="5" t="s">
        <v>2471</v>
      </c>
      <c r="AJ1194" s="5">
        <v>29</v>
      </c>
      <c r="AK1194" s="5">
        <v>100</v>
      </c>
      <c r="AL1194" s="5">
        <v>41</v>
      </c>
      <c r="AM1194" s="5">
        <v>59</v>
      </c>
      <c r="AN1194" s="5">
        <v>0</v>
      </c>
      <c r="AO1194" s="5">
        <v>29</v>
      </c>
      <c r="AP1194" s="5">
        <v>0</v>
      </c>
      <c r="AQ1194" s="5">
        <v>0</v>
      </c>
      <c r="AT1194" s="5">
        <v>0</v>
      </c>
      <c r="AU1194" s="5">
        <v>0</v>
      </c>
      <c r="AX1194" s="5">
        <v>0</v>
      </c>
      <c r="AY1194" s="5" t="s">
        <v>85</v>
      </c>
      <c r="AZ1194" s="5">
        <v>1</v>
      </c>
      <c r="BA1194" s="5">
        <v>2</v>
      </c>
      <c r="BB1194" s="5">
        <v>2</v>
      </c>
      <c r="BC1194" s="5">
        <v>0</v>
      </c>
      <c r="BD1194" s="5">
        <v>0</v>
      </c>
      <c r="BE1194" s="5">
        <v>1</v>
      </c>
      <c r="BF1194" s="5">
        <v>0</v>
      </c>
      <c r="BH1194" s="5">
        <v>0</v>
      </c>
      <c r="BI1194" s="5">
        <v>0</v>
      </c>
      <c r="BL1194" s="5">
        <v>0</v>
      </c>
      <c r="BM1194" s="5">
        <v>0</v>
      </c>
      <c r="BN1194" s="5" t="s">
        <v>85</v>
      </c>
      <c r="BO1194" s="5">
        <v>2</v>
      </c>
      <c r="BP1194" s="5">
        <v>18</v>
      </c>
      <c r="BQ1194" s="5">
        <v>8</v>
      </c>
      <c r="BR1194" s="5">
        <v>10</v>
      </c>
      <c r="BS1194" s="5" t="s">
        <v>2492</v>
      </c>
      <c r="BT1194" s="5">
        <v>1</v>
      </c>
      <c r="BU1194" s="5">
        <v>0</v>
      </c>
      <c r="BV1194" s="5">
        <v>1</v>
      </c>
      <c r="BW1194" s="5">
        <v>0</v>
      </c>
      <c r="BX1194" s="5">
        <v>0</v>
      </c>
      <c r="BZ1194" s="5">
        <v>0</v>
      </c>
      <c r="CA1194" s="5">
        <v>0</v>
      </c>
      <c r="CC1194" s="5">
        <v>0</v>
      </c>
      <c r="CD1194" s="5">
        <v>0</v>
      </c>
      <c r="CF1194" s="1442" t="str">
        <f>IF([1]!sommaire[[#This Row],[présence des personnes déplacés interne]]="Oui","1","0")</f>
        <v>1</v>
      </c>
      <c r="CG1194" s="1442" t="str">
        <f>IF([1]!sommaire[[#This Row],[présence Réfugié hors camp]]="Oui","1","0")</f>
        <v>1</v>
      </c>
      <c r="CH1194" s="1442" t="str">
        <f>IF([1]!sommaire[[#This Row],[présence personnes retournées]]="Oui","1","0")</f>
        <v>1</v>
      </c>
      <c r="CI1194" s="1442">
        <f>[1]!sommaire[[#This Row],[Flag PDI]]+[1]!sommaire[[#This Row],[Flag REF]]+[1]!sommaire[[#This Row],[Flag RET]]</f>
        <v>3</v>
      </c>
    </row>
    <row r="1195" spans="1:87" x14ac:dyDescent="0.3">
      <c r="A1195" s="390">
        <v>2649564</v>
      </c>
      <c r="B1195" s="5" t="s">
        <v>533</v>
      </c>
      <c r="C1195" s="1430" t="s">
        <v>3449</v>
      </c>
      <c r="D1195" s="1090" t="s">
        <v>534</v>
      </c>
      <c r="E1195" s="5" t="s">
        <v>35</v>
      </c>
      <c r="F1195" s="5" t="s">
        <v>35</v>
      </c>
      <c r="G1195" s="5" t="s">
        <v>567</v>
      </c>
      <c r="H1195" s="5" t="s">
        <v>195</v>
      </c>
      <c r="I1195" s="5" t="str">
        <f>_xlfn.XLOOKUP(sommaire[[#This Row],[Arrondissement_code]],OCHA_GIS!$F:$F,OCHA_GIS!$E:$E,,)</f>
        <v>Mokolo</v>
      </c>
      <c r="J1195" s="5" t="s">
        <v>733</v>
      </c>
      <c r="K1195" t="s">
        <v>1836</v>
      </c>
      <c r="L1195" s="5" t="s">
        <v>738</v>
      </c>
      <c r="N1195" s="5" t="s">
        <v>3053</v>
      </c>
      <c r="O1195" s="5" t="s">
        <v>2467</v>
      </c>
      <c r="P1195" s="5" t="s">
        <v>85</v>
      </c>
      <c r="Q1195" s="5" t="s">
        <v>86</v>
      </c>
      <c r="R1195" s="5" t="s">
        <v>85</v>
      </c>
      <c r="T1195" s="390">
        <v>5</v>
      </c>
      <c r="U1195" s="5" t="s">
        <v>97</v>
      </c>
      <c r="W1195" s="5" t="s">
        <v>2468</v>
      </c>
      <c r="X1195" s="5" t="s">
        <v>102</v>
      </c>
      <c r="AA1195" s="5" t="s">
        <v>85</v>
      </c>
      <c r="AB1195" s="5" t="s">
        <v>2469</v>
      </c>
      <c r="AC1195" s="5" t="s">
        <v>312</v>
      </c>
      <c r="AD1195" s="5" t="s">
        <v>86</v>
      </c>
      <c r="AF1195" s="5">
        <v>23</v>
      </c>
      <c r="AG1195" s="5">
        <v>2000</v>
      </c>
      <c r="AH1195" s="5" t="s">
        <v>85</v>
      </c>
      <c r="AI1195" s="5" t="s">
        <v>2485</v>
      </c>
      <c r="AJ1195" s="5">
        <v>23</v>
      </c>
      <c r="AK1195" s="5">
        <v>145</v>
      </c>
      <c r="AL1195" s="5">
        <v>70</v>
      </c>
      <c r="AM1195" s="5">
        <v>75</v>
      </c>
      <c r="AN1195" s="5">
        <v>0</v>
      </c>
      <c r="AO1195" s="5">
        <v>10</v>
      </c>
      <c r="AP1195" s="5">
        <v>0</v>
      </c>
      <c r="AQ1195" s="5">
        <v>13</v>
      </c>
      <c r="AR1195" s="5" t="s">
        <v>2477</v>
      </c>
      <c r="AT1195" s="5">
        <v>0</v>
      </c>
      <c r="AU1195" s="5">
        <v>0</v>
      </c>
      <c r="AX1195" s="5">
        <v>0</v>
      </c>
      <c r="AY1195" s="5" t="s">
        <v>86</v>
      </c>
      <c r="BN1195" s="5" t="s">
        <v>86</v>
      </c>
      <c r="CD1195" s="5">
        <v>0</v>
      </c>
      <c r="CF1195" s="1442" t="str">
        <f>IF([1]!sommaire[[#This Row],[présence des personnes déplacés interne]]="Oui","1","0")</f>
        <v>1</v>
      </c>
      <c r="CG1195" s="1442" t="str">
        <f>IF([1]!sommaire[[#This Row],[présence Réfugié hors camp]]="Oui","1","0")</f>
        <v>0</v>
      </c>
      <c r="CH1195" s="1442" t="str">
        <f>IF([1]!sommaire[[#This Row],[présence personnes retournées]]="Oui","1","0")</f>
        <v>0</v>
      </c>
      <c r="CI1195" s="1442">
        <f>[1]!sommaire[[#This Row],[Flag PDI]]+[1]!sommaire[[#This Row],[Flag REF]]+[1]!sommaire[[#This Row],[Flag RET]]</f>
        <v>1</v>
      </c>
    </row>
    <row r="1196" spans="1:87" x14ac:dyDescent="0.3">
      <c r="A1196" s="390">
        <v>2668524</v>
      </c>
      <c r="B1196" s="5" t="s">
        <v>533</v>
      </c>
      <c r="C1196" s="1430" t="s">
        <v>3449</v>
      </c>
      <c r="D1196" s="1090" t="s">
        <v>534</v>
      </c>
      <c r="E1196" s="5" t="s">
        <v>35</v>
      </c>
      <c r="F1196" s="5" t="s">
        <v>35</v>
      </c>
      <c r="G1196" s="5" t="s">
        <v>567</v>
      </c>
      <c r="H1196" s="5" t="s">
        <v>195</v>
      </c>
      <c r="I1196" s="5" t="str">
        <f>_xlfn.XLOOKUP(sommaire[[#This Row],[Arrondissement_code]],OCHA_GIS!$F:$F,OCHA_GIS!$E:$E,,)</f>
        <v>Mokolo</v>
      </c>
      <c r="J1196" s="5" t="s">
        <v>733</v>
      </c>
      <c r="K1196" t="s">
        <v>1806</v>
      </c>
      <c r="L1196" s="5" t="s">
        <v>1807</v>
      </c>
      <c r="N1196" s="5" t="s">
        <v>3053</v>
      </c>
      <c r="O1196" s="5" t="s">
        <v>2467</v>
      </c>
      <c r="P1196" s="5" t="s">
        <v>85</v>
      </c>
      <c r="Q1196" s="5" t="s">
        <v>86</v>
      </c>
      <c r="R1196" s="5" t="s">
        <v>85</v>
      </c>
      <c r="T1196" s="390">
        <v>5</v>
      </c>
      <c r="U1196" s="5" t="s">
        <v>97</v>
      </c>
      <c r="W1196" s="5" t="s">
        <v>2468</v>
      </c>
      <c r="X1196" s="5" t="s">
        <v>102</v>
      </c>
      <c r="AA1196" s="5" t="s">
        <v>85</v>
      </c>
      <c r="AB1196" s="5" t="s">
        <v>2469</v>
      </c>
      <c r="AC1196" s="5" t="s">
        <v>2470</v>
      </c>
      <c r="AD1196" s="5" t="s">
        <v>86</v>
      </c>
      <c r="AF1196" s="5">
        <v>75</v>
      </c>
      <c r="AG1196" s="5">
        <v>3115</v>
      </c>
      <c r="AH1196" s="5" t="s">
        <v>85</v>
      </c>
      <c r="AI1196" s="5" t="s">
        <v>2471</v>
      </c>
      <c r="AJ1196" s="5">
        <v>75</v>
      </c>
      <c r="AK1196" s="5">
        <v>491</v>
      </c>
      <c r="AL1196" s="5">
        <v>178</v>
      </c>
      <c r="AM1196" s="5">
        <v>313</v>
      </c>
      <c r="AN1196" s="5">
        <v>0</v>
      </c>
      <c r="AO1196" s="5">
        <v>17</v>
      </c>
      <c r="AP1196" s="5">
        <v>38</v>
      </c>
      <c r="AQ1196" s="5">
        <v>20</v>
      </c>
      <c r="AR1196" s="5" t="s">
        <v>2477</v>
      </c>
      <c r="AT1196" s="5">
        <v>0</v>
      </c>
      <c r="AU1196" s="5">
        <v>0</v>
      </c>
      <c r="AX1196" s="5">
        <v>0</v>
      </c>
      <c r="AY1196" s="5" t="s">
        <v>86</v>
      </c>
      <c r="BN1196" s="5" t="s">
        <v>85</v>
      </c>
      <c r="BO1196" s="5">
        <v>156</v>
      </c>
      <c r="BP1196" s="5">
        <v>1236</v>
      </c>
      <c r="BQ1196" s="5">
        <v>600</v>
      </c>
      <c r="BR1196" s="5">
        <v>636</v>
      </c>
      <c r="BS1196" s="5" t="s">
        <v>2535</v>
      </c>
      <c r="BT1196" s="5">
        <v>5</v>
      </c>
      <c r="BU1196" s="5">
        <v>50</v>
      </c>
      <c r="BV1196" s="5">
        <v>101</v>
      </c>
      <c r="BW1196" s="5">
        <v>0</v>
      </c>
      <c r="BX1196" s="5">
        <v>0</v>
      </c>
      <c r="BZ1196" s="5">
        <v>0</v>
      </c>
      <c r="CA1196" s="5">
        <v>0</v>
      </c>
      <c r="CC1196" s="5">
        <v>0</v>
      </c>
      <c r="CD1196" s="5">
        <v>0</v>
      </c>
      <c r="CF1196" s="1442" t="str">
        <f>IF([1]!sommaire[[#This Row],[présence des personnes déplacés interne]]="Oui","1","0")</f>
        <v>1</v>
      </c>
      <c r="CG1196" s="1442" t="str">
        <f>IF([1]!sommaire[[#This Row],[présence Réfugié hors camp]]="Oui","1","0")</f>
        <v>0</v>
      </c>
      <c r="CH1196" s="1442" t="str">
        <f>IF([1]!sommaire[[#This Row],[présence personnes retournées]]="Oui","1","0")</f>
        <v>1</v>
      </c>
      <c r="CI1196" s="1442">
        <f>[1]!sommaire[[#This Row],[Flag PDI]]+[1]!sommaire[[#This Row],[Flag REF]]+[1]!sommaire[[#This Row],[Flag RET]]</f>
        <v>2</v>
      </c>
    </row>
    <row r="1197" spans="1:87" x14ac:dyDescent="0.3">
      <c r="A1197" s="390">
        <v>2674346</v>
      </c>
      <c r="B1197" s="5" t="s">
        <v>533</v>
      </c>
      <c r="C1197" s="1430" t="s">
        <v>3449</v>
      </c>
      <c r="D1197" s="1090" t="s">
        <v>534</v>
      </c>
      <c r="E1197" s="5" t="s">
        <v>35</v>
      </c>
      <c r="F1197" s="5" t="s">
        <v>35</v>
      </c>
      <c r="G1197" s="5" t="s">
        <v>567</v>
      </c>
      <c r="H1197" s="5" t="s">
        <v>195</v>
      </c>
      <c r="I1197" s="5" t="str">
        <f>_xlfn.XLOOKUP(sommaire[[#This Row],[Arrondissement_code]],OCHA_GIS!$F:$F,OCHA_GIS!$E:$E,,)</f>
        <v>Mokolo</v>
      </c>
      <c r="J1197" s="5" t="s">
        <v>733</v>
      </c>
      <c r="K1197" t="s">
        <v>2312</v>
      </c>
      <c r="L1197" s="5" t="s">
        <v>2313</v>
      </c>
      <c r="N1197" s="5" t="s">
        <v>3053</v>
      </c>
      <c r="O1197" s="5" t="s">
        <v>2467</v>
      </c>
      <c r="P1197" s="5" t="s">
        <v>85</v>
      </c>
      <c r="Q1197" s="5" t="s">
        <v>86</v>
      </c>
      <c r="R1197" s="5" t="s">
        <v>86</v>
      </c>
      <c r="T1197" s="390">
        <v>3</v>
      </c>
      <c r="U1197" s="5" t="s">
        <v>97</v>
      </c>
      <c r="W1197" s="5" t="s">
        <v>2468</v>
      </c>
      <c r="X1197" s="5" t="s">
        <v>102</v>
      </c>
      <c r="AA1197" s="5" t="s">
        <v>85</v>
      </c>
      <c r="AB1197" s="5" t="s">
        <v>2469</v>
      </c>
      <c r="AC1197" s="5" t="s">
        <v>312</v>
      </c>
      <c r="AD1197" s="5" t="s">
        <v>86</v>
      </c>
      <c r="AF1197" s="5">
        <v>1</v>
      </c>
      <c r="AG1197" s="5">
        <v>1250</v>
      </c>
      <c r="AH1197" s="5" t="s">
        <v>85</v>
      </c>
      <c r="AI1197" s="5" t="s">
        <v>2471</v>
      </c>
      <c r="AJ1197" s="5">
        <v>1</v>
      </c>
      <c r="AK1197" s="5">
        <v>10</v>
      </c>
      <c r="AL1197" s="5">
        <v>4</v>
      </c>
      <c r="AM1197" s="5">
        <v>6</v>
      </c>
      <c r="AN1197" s="5">
        <v>0</v>
      </c>
      <c r="AO1197" s="5">
        <v>1</v>
      </c>
      <c r="AP1197" s="5">
        <v>0</v>
      </c>
      <c r="AQ1197" s="5">
        <v>0</v>
      </c>
      <c r="AT1197" s="5">
        <v>0</v>
      </c>
      <c r="AU1197" s="5">
        <v>0</v>
      </c>
      <c r="AX1197" s="5">
        <v>0</v>
      </c>
      <c r="AY1197" s="5" t="s">
        <v>86</v>
      </c>
      <c r="BN1197" s="5" t="s">
        <v>86</v>
      </c>
      <c r="CD1197" s="5">
        <v>0</v>
      </c>
      <c r="CF1197" s="1442" t="str">
        <f>IF([1]!sommaire[[#This Row],[présence des personnes déplacés interne]]="Oui","1","0")</f>
        <v>1</v>
      </c>
      <c r="CG1197" s="1442" t="str">
        <f>IF([1]!sommaire[[#This Row],[présence Réfugié hors camp]]="Oui","1","0")</f>
        <v>0</v>
      </c>
      <c r="CH1197" s="1442" t="str">
        <f>IF([1]!sommaire[[#This Row],[présence personnes retournées]]="Oui","1","0")</f>
        <v>0</v>
      </c>
      <c r="CI1197" s="1442">
        <f>[1]!sommaire[[#This Row],[Flag PDI]]+[1]!sommaire[[#This Row],[Flag REF]]+[1]!sommaire[[#This Row],[Flag RET]]</f>
        <v>1</v>
      </c>
    </row>
    <row r="1198" spans="1:87" x14ac:dyDescent="0.3">
      <c r="A1198" s="390">
        <v>2733363</v>
      </c>
      <c r="B1198" s="5" t="s">
        <v>533</v>
      </c>
      <c r="C1198" s="1430" t="s">
        <v>3449</v>
      </c>
      <c r="D1198" s="1090" t="s">
        <v>534</v>
      </c>
      <c r="E1198" s="5" t="s">
        <v>35</v>
      </c>
      <c r="F1198" s="5" t="s">
        <v>35</v>
      </c>
      <c r="G1198" s="5" t="s">
        <v>567</v>
      </c>
      <c r="H1198" s="5" t="s">
        <v>195</v>
      </c>
      <c r="I1198" s="5" t="str">
        <f>_xlfn.XLOOKUP(sommaire[[#This Row],[Arrondissement_code]],OCHA_GIS!$F:$F,OCHA_GIS!$E:$E,,)</f>
        <v>Mokolo</v>
      </c>
      <c r="J1198" s="5" t="s">
        <v>733</v>
      </c>
      <c r="K1198" t="s">
        <v>2303</v>
      </c>
      <c r="L1198" s="5" t="s">
        <v>1768</v>
      </c>
      <c r="N1198" s="5" t="s">
        <v>3053</v>
      </c>
      <c r="O1198" s="5" t="s">
        <v>2467</v>
      </c>
      <c r="P1198" s="5" t="s">
        <v>85</v>
      </c>
      <c r="Q1198" s="5" t="s">
        <v>86</v>
      </c>
      <c r="R1198" s="5" t="s">
        <v>86</v>
      </c>
      <c r="T1198" s="390">
        <v>3</v>
      </c>
      <c r="U1198" s="5" t="s">
        <v>97</v>
      </c>
      <c r="W1198" s="5" t="s">
        <v>2468</v>
      </c>
      <c r="X1198" s="5" t="s">
        <v>102</v>
      </c>
      <c r="AA1198" s="5" t="s">
        <v>85</v>
      </c>
      <c r="AB1198" s="5" t="s">
        <v>2469</v>
      </c>
      <c r="AC1198" s="5" t="s">
        <v>2470</v>
      </c>
      <c r="AD1198" s="5" t="s">
        <v>86</v>
      </c>
      <c r="AF1198" s="5">
        <v>46</v>
      </c>
      <c r="AG1198" s="5">
        <v>500</v>
      </c>
      <c r="AH1198" s="5" t="s">
        <v>85</v>
      </c>
      <c r="AI1198" s="5" t="s">
        <v>2471</v>
      </c>
      <c r="AJ1198" s="5">
        <v>46</v>
      </c>
      <c r="AK1198" s="5">
        <v>301</v>
      </c>
      <c r="AL1198" s="5">
        <v>133</v>
      </c>
      <c r="AM1198" s="5">
        <v>168</v>
      </c>
      <c r="AN1198" s="5">
        <v>0</v>
      </c>
      <c r="AO1198" s="5">
        <v>36</v>
      </c>
      <c r="AP1198" s="5">
        <v>9</v>
      </c>
      <c r="AQ1198" s="5">
        <v>0</v>
      </c>
      <c r="AT1198" s="5">
        <v>0</v>
      </c>
      <c r="AU1198" s="5">
        <v>1</v>
      </c>
      <c r="AV1198" s="5" t="s">
        <v>2478</v>
      </c>
      <c r="AX1198" s="5">
        <v>0</v>
      </c>
      <c r="AY1198" s="5" t="s">
        <v>86</v>
      </c>
      <c r="BN1198" s="5" t="s">
        <v>86</v>
      </c>
      <c r="CD1198" s="5">
        <v>0</v>
      </c>
      <c r="CF1198" s="1442" t="str">
        <f>IF([1]!sommaire[[#This Row],[présence des personnes déplacés interne]]="Oui","1","0")</f>
        <v>1</v>
      </c>
      <c r="CG1198" s="1442" t="str">
        <f>IF([1]!sommaire[[#This Row],[présence Réfugié hors camp]]="Oui","1","0")</f>
        <v>0</v>
      </c>
      <c r="CH1198" s="1442" t="str">
        <f>IF([1]!sommaire[[#This Row],[présence personnes retournées]]="Oui","1","0")</f>
        <v>0</v>
      </c>
      <c r="CI1198" s="1442">
        <f>[1]!sommaire[[#This Row],[Flag PDI]]+[1]!sommaire[[#This Row],[Flag REF]]+[1]!sommaire[[#This Row],[Flag RET]]</f>
        <v>1</v>
      </c>
    </row>
    <row r="1199" spans="1:87" x14ac:dyDescent="0.3">
      <c r="A1199" s="390">
        <v>2626274</v>
      </c>
      <c r="B1199" s="5" t="s">
        <v>533</v>
      </c>
      <c r="C1199" s="1430" t="s">
        <v>3449</v>
      </c>
      <c r="D1199" s="1090" t="s">
        <v>534</v>
      </c>
      <c r="E1199" s="5" t="s">
        <v>35</v>
      </c>
      <c r="F1199" s="5" t="s">
        <v>35</v>
      </c>
      <c r="G1199" s="5" t="s">
        <v>567</v>
      </c>
      <c r="H1199" s="5" t="s">
        <v>195</v>
      </c>
      <c r="I1199" s="5" t="str">
        <f>_xlfn.XLOOKUP(sommaire[[#This Row],[Arrondissement_code]],OCHA_GIS!$F:$F,OCHA_GIS!$E:$E,,)</f>
        <v>Mokolo</v>
      </c>
      <c r="J1199" s="5" t="s">
        <v>733</v>
      </c>
      <c r="K1199" t="s">
        <v>2364</v>
      </c>
      <c r="L1199" s="5" t="s">
        <v>2365</v>
      </c>
      <c r="N1199" s="5" t="s">
        <v>3053</v>
      </c>
      <c r="O1199" s="5" t="s">
        <v>2467</v>
      </c>
      <c r="P1199" s="5" t="s">
        <v>85</v>
      </c>
      <c r="Q1199" s="5" t="s">
        <v>86</v>
      </c>
      <c r="R1199" s="5" t="s">
        <v>85</v>
      </c>
      <c r="T1199" s="390">
        <v>3</v>
      </c>
      <c r="U1199" s="5" t="s">
        <v>97</v>
      </c>
      <c r="W1199" s="5" t="s">
        <v>2468</v>
      </c>
      <c r="X1199" s="5" t="s">
        <v>102</v>
      </c>
      <c r="AA1199" s="5" t="s">
        <v>85</v>
      </c>
      <c r="AB1199" s="5" t="s">
        <v>2469</v>
      </c>
      <c r="AC1199" s="5" t="s">
        <v>2470</v>
      </c>
      <c r="AD1199" s="5" t="s">
        <v>86</v>
      </c>
      <c r="AF1199" s="5">
        <v>3</v>
      </c>
      <c r="AG1199" s="5">
        <v>1586</v>
      </c>
      <c r="AH1199" s="5" t="s">
        <v>85</v>
      </c>
      <c r="AI1199" s="5" t="s">
        <v>2471</v>
      </c>
      <c r="AJ1199" s="5">
        <v>3</v>
      </c>
      <c r="AK1199" s="5">
        <v>17</v>
      </c>
      <c r="AL1199" s="5">
        <v>10</v>
      </c>
      <c r="AM1199" s="5">
        <v>7</v>
      </c>
      <c r="AN1199" s="5">
        <v>0</v>
      </c>
      <c r="AO1199" s="5">
        <v>3</v>
      </c>
      <c r="AP1199" s="5">
        <v>0</v>
      </c>
      <c r="AQ1199" s="5">
        <v>0</v>
      </c>
      <c r="AT1199" s="5">
        <v>0</v>
      </c>
      <c r="AU1199" s="5">
        <v>0</v>
      </c>
      <c r="AX1199" s="5">
        <v>0</v>
      </c>
      <c r="AY1199" s="5" t="s">
        <v>86</v>
      </c>
      <c r="BN1199" s="5" t="s">
        <v>85</v>
      </c>
      <c r="BO1199" s="5">
        <v>5</v>
      </c>
      <c r="BP1199" s="5">
        <v>24</v>
      </c>
      <c r="BQ1199" s="5">
        <v>15</v>
      </c>
      <c r="BR1199" s="5">
        <v>9</v>
      </c>
      <c r="BS1199" s="5" t="s">
        <v>2479</v>
      </c>
      <c r="BT1199" s="5">
        <v>0</v>
      </c>
      <c r="BU1199" s="5">
        <v>5</v>
      </c>
      <c r="BV1199" s="5">
        <v>0</v>
      </c>
      <c r="BW1199" s="5">
        <v>0</v>
      </c>
      <c r="BX1199" s="5">
        <v>0</v>
      </c>
      <c r="BZ1199" s="5">
        <v>0</v>
      </c>
      <c r="CA1199" s="5">
        <v>0</v>
      </c>
      <c r="CC1199" s="5">
        <v>0</v>
      </c>
      <c r="CD1199" s="5">
        <v>7</v>
      </c>
      <c r="CF1199" s="1442" t="str">
        <f>IF([1]!sommaire[[#This Row],[présence des personnes déplacés interne]]="Oui","1","0")</f>
        <v>1</v>
      </c>
      <c r="CG1199" s="1442" t="str">
        <f>IF([1]!sommaire[[#This Row],[présence Réfugié hors camp]]="Oui","1","0")</f>
        <v>0</v>
      </c>
      <c r="CH1199" s="1442" t="str">
        <f>IF([1]!sommaire[[#This Row],[présence personnes retournées]]="Oui","1","0")</f>
        <v>1</v>
      </c>
      <c r="CI1199" s="1442">
        <f>[1]!sommaire[[#This Row],[Flag PDI]]+[1]!sommaire[[#This Row],[Flag REF]]+[1]!sommaire[[#This Row],[Flag RET]]</f>
        <v>2</v>
      </c>
    </row>
    <row r="1200" spans="1:87" x14ac:dyDescent="0.3">
      <c r="A1200" s="390">
        <v>2679446</v>
      </c>
      <c r="B1200" s="5" t="s">
        <v>533</v>
      </c>
      <c r="C1200" s="1430" t="s">
        <v>3449</v>
      </c>
      <c r="D1200" s="1090" t="s">
        <v>534</v>
      </c>
      <c r="E1200" s="5" t="s">
        <v>35</v>
      </c>
      <c r="F1200" s="5" t="s">
        <v>35</v>
      </c>
      <c r="G1200" s="5" t="s">
        <v>567</v>
      </c>
      <c r="H1200" s="5" t="s">
        <v>195</v>
      </c>
      <c r="I1200" s="5" t="str">
        <f>_xlfn.XLOOKUP(sommaire[[#This Row],[Arrondissement_code]],OCHA_GIS!$F:$F,OCHA_GIS!$E:$E,,)</f>
        <v>Mokolo</v>
      </c>
      <c r="J1200" s="5" t="s">
        <v>733</v>
      </c>
      <c r="K1200" t="s">
        <v>1749</v>
      </c>
      <c r="L1200" s="5" t="s">
        <v>1750</v>
      </c>
      <c r="N1200" s="5" t="s">
        <v>3053</v>
      </c>
      <c r="O1200" s="5" t="s">
        <v>2467</v>
      </c>
      <c r="P1200" s="5" t="s">
        <v>85</v>
      </c>
      <c r="Q1200" s="5" t="s">
        <v>86</v>
      </c>
      <c r="R1200" s="5" t="s">
        <v>86</v>
      </c>
      <c r="T1200" s="1190">
        <v>3</v>
      </c>
      <c r="U1200" s="5" t="s">
        <v>97</v>
      </c>
      <c r="W1200" s="5" t="s">
        <v>2468</v>
      </c>
      <c r="X1200" s="5" t="s">
        <v>102</v>
      </c>
      <c r="AA1200" s="586" t="s">
        <v>85</v>
      </c>
      <c r="AB1200" s="5" t="s">
        <v>2469</v>
      </c>
      <c r="AC1200" s="5" t="s">
        <v>312</v>
      </c>
      <c r="AD1200" s="5" t="s">
        <v>86</v>
      </c>
      <c r="AF1200" s="5">
        <v>46</v>
      </c>
      <c r="AG1200" s="5">
        <v>4700</v>
      </c>
      <c r="AH1200" s="5" t="s">
        <v>85</v>
      </c>
      <c r="AI1200" s="5" t="s">
        <v>2486</v>
      </c>
      <c r="AJ1200" s="5">
        <v>46</v>
      </c>
      <c r="AK1200" s="5">
        <v>342</v>
      </c>
      <c r="AL1200" s="5">
        <v>149</v>
      </c>
      <c r="AM1200" s="5">
        <v>193</v>
      </c>
      <c r="AN1200" s="5">
        <v>3</v>
      </c>
      <c r="AO1200" s="5">
        <v>24</v>
      </c>
      <c r="AP1200" s="5">
        <v>0</v>
      </c>
      <c r="AQ1200" s="5">
        <v>11</v>
      </c>
      <c r="AR1200" s="5" t="s">
        <v>2477</v>
      </c>
      <c r="AT1200" s="5">
        <v>0</v>
      </c>
      <c r="AU1200" s="5">
        <v>8</v>
      </c>
      <c r="AV1200" s="5" t="s">
        <v>2478</v>
      </c>
      <c r="AX1200" s="5">
        <v>0</v>
      </c>
      <c r="AY1200" s="5" t="s">
        <v>86</v>
      </c>
      <c r="BN1200" s="5" t="s">
        <v>85</v>
      </c>
      <c r="BO1200" s="5">
        <v>6</v>
      </c>
      <c r="BP1200" s="5">
        <v>36</v>
      </c>
      <c r="BQ1200" s="5">
        <v>19</v>
      </c>
      <c r="BR1200" s="5">
        <v>17</v>
      </c>
      <c r="BS1200" s="5" t="s">
        <v>2479</v>
      </c>
      <c r="BT1200" s="5">
        <v>0</v>
      </c>
      <c r="BU1200" s="5">
        <v>0</v>
      </c>
      <c r="BV1200" s="5">
        <v>6</v>
      </c>
      <c r="BW1200" s="5">
        <v>0</v>
      </c>
      <c r="BX1200" s="5">
        <v>0</v>
      </c>
      <c r="BZ1200" s="5">
        <v>0</v>
      </c>
      <c r="CA1200" s="5">
        <v>0</v>
      </c>
      <c r="CC1200" s="5">
        <v>0</v>
      </c>
      <c r="CD1200" s="5">
        <v>0</v>
      </c>
      <c r="CF1200" s="1442" t="str">
        <f>IF([1]!sommaire[[#This Row],[présence des personnes déplacés interne]]="Oui","1","0")</f>
        <v>1</v>
      </c>
      <c r="CG1200" s="1442" t="str">
        <f>IF([1]!sommaire[[#This Row],[présence Réfugié hors camp]]="Oui","1","0")</f>
        <v>0</v>
      </c>
      <c r="CH1200" s="1442" t="str">
        <f>IF([1]!sommaire[[#This Row],[présence personnes retournées]]="Oui","1","0")</f>
        <v>1</v>
      </c>
      <c r="CI1200" s="1442">
        <f>[1]!sommaire[[#This Row],[Flag PDI]]+[1]!sommaire[[#This Row],[Flag REF]]+[1]!sommaire[[#This Row],[Flag RET]]</f>
        <v>2</v>
      </c>
    </row>
    <row r="1201" spans="1:87" x14ac:dyDescent="0.3">
      <c r="A1201" s="390">
        <v>2626273</v>
      </c>
      <c r="B1201" s="5" t="s">
        <v>533</v>
      </c>
      <c r="C1201" s="1430" t="s">
        <v>3449</v>
      </c>
      <c r="D1201" s="1090" t="s">
        <v>534</v>
      </c>
      <c r="E1201" s="5" t="s">
        <v>35</v>
      </c>
      <c r="F1201" s="5" t="s">
        <v>35</v>
      </c>
      <c r="G1201" s="5" t="s">
        <v>567</v>
      </c>
      <c r="H1201" s="5" t="s">
        <v>195</v>
      </c>
      <c r="I1201" s="5" t="str">
        <f>_xlfn.XLOOKUP(sommaire[[#This Row],[Arrondissement_code]],OCHA_GIS!$F:$F,OCHA_GIS!$E:$E,,)</f>
        <v>Mokolo</v>
      </c>
      <c r="J1201" s="5" t="s">
        <v>733</v>
      </c>
      <c r="K1201" t="s">
        <v>2140</v>
      </c>
      <c r="L1201" s="5" t="s">
        <v>2141</v>
      </c>
      <c r="N1201" s="5" t="s">
        <v>3053</v>
      </c>
      <c r="O1201" s="5" t="s">
        <v>2467</v>
      </c>
      <c r="P1201" s="5" t="s">
        <v>85</v>
      </c>
      <c r="Q1201" s="5" t="s">
        <v>86</v>
      </c>
      <c r="R1201" s="5" t="s">
        <v>85</v>
      </c>
      <c r="T1201" s="390">
        <v>3</v>
      </c>
      <c r="U1201" s="5" t="s">
        <v>97</v>
      </c>
      <c r="W1201" s="5" t="s">
        <v>2468</v>
      </c>
      <c r="X1201" s="5" t="s">
        <v>102</v>
      </c>
      <c r="AA1201" s="586" t="s">
        <v>85</v>
      </c>
      <c r="AB1201" s="5" t="s">
        <v>2469</v>
      </c>
      <c r="AC1201" s="5" t="s">
        <v>2470</v>
      </c>
      <c r="AD1201" s="5" t="s">
        <v>86</v>
      </c>
      <c r="AF1201" s="5">
        <v>67</v>
      </c>
      <c r="AG1201" s="5">
        <v>4429</v>
      </c>
      <c r="AH1201" s="5" t="s">
        <v>85</v>
      </c>
      <c r="AI1201" s="5" t="s">
        <v>2471</v>
      </c>
      <c r="AJ1201" s="5">
        <v>67</v>
      </c>
      <c r="AK1201" s="5">
        <v>318</v>
      </c>
      <c r="AL1201" s="5">
        <v>156</v>
      </c>
      <c r="AM1201" s="5">
        <v>162</v>
      </c>
      <c r="AN1201" s="5">
        <v>61</v>
      </c>
      <c r="AO1201" s="5">
        <v>6</v>
      </c>
      <c r="AP1201" s="5">
        <v>0</v>
      </c>
      <c r="AQ1201" s="5">
        <v>0</v>
      </c>
      <c r="AT1201" s="5">
        <v>0</v>
      </c>
      <c r="AU1201" s="5">
        <v>0</v>
      </c>
      <c r="AX1201" s="5">
        <v>0</v>
      </c>
      <c r="AY1201" s="5" t="s">
        <v>85</v>
      </c>
      <c r="AZ1201" s="5">
        <v>24</v>
      </c>
      <c r="BA1201" s="5">
        <v>124</v>
      </c>
      <c r="BB1201" s="5">
        <v>65</v>
      </c>
      <c r="BC1201" s="5">
        <v>59</v>
      </c>
      <c r="BD1201" s="5">
        <v>24</v>
      </c>
      <c r="BE1201" s="5">
        <v>0</v>
      </c>
      <c r="BF1201" s="5">
        <v>0</v>
      </c>
      <c r="BH1201" s="5">
        <v>0</v>
      </c>
      <c r="BI1201" s="5">
        <v>0</v>
      </c>
      <c r="BL1201" s="5">
        <v>0</v>
      </c>
      <c r="BM1201" s="5">
        <v>10</v>
      </c>
      <c r="BN1201" s="5" t="s">
        <v>85</v>
      </c>
      <c r="BO1201" s="5">
        <v>24</v>
      </c>
      <c r="BP1201" s="5">
        <v>124</v>
      </c>
      <c r="BQ1201" s="5">
        <v>65</v>
      </c>
      <c r="BR1201" s="5">
        <v>59</v>
      </c>
      <c r="BS1201" s="5" t="s">
        <v>2479</v>
      </c>
      <c r="BT1201" s="5">
        <v>19</v>
      </c>
      <c r="BU1201" s="5">
        <v>5</v>
      </c>
      <c r="BV1201" s="5">
        <v>0</v>
      </c>
      <c r="BW1201" s="5">
        <v>0</v>
      </c>
      <c r="BX1201" s="5">
        <v>0</v>
      </c>
      <c r="BZ1201" s="5">
        <v>0</v>
      </c>
      <c r="CA1201" s="5">
        <v>0</v>
      </c>
      <c r="CC1201" s="5">
        <v>0</v>
      </c>
      <c r="CD1201" s="5">
        <v>25</v>
      </c>
      <c r="CF1201" s="1442" t="str">
        <f>IF([1]!sommaire[[#This Row],[présence des personnes déplacés interne]]="Oui","1","0")</f>
        <v>1</v>
      </c>
      <c r="CG1201" s="1442" t="str">
        <f>IF([1]!sommaire[[#This Row],[présence Réfugié hors camp]]="Oui","1","0")</f>
        <v>1</v>
      </c>
      <c r="CH1201" s="1442" t="str">
        <f>IF([1]!sommaire[[#This Row],[présence personnes retournées]]="Oui","1","0")</f>
        <v>1</v>
      </c>
      <c r="CI1201" s="1442">
        <f>[1]!sommaire[[#This Row],[Flag PDI]]+[1]!sommaire[[#This Row],[Flag REF]]+[1]!sommaire[[#This Row],[Flag RET]]</f>
        <v>3</v>
      </c>
    </row>
    <row r="1202" spans="1:87" x14ac:dyDescent="0.3">
      <c r="A1202" s="390">
        <v>2627242</v>
      </c>
      <c r="B1202" s="5" t="s">
        <v>533</v>
      </c>
      <c r="C1202" s="1430" t="s">
        <v>3449</v>
      </c>
      <c r="D1202" s="1090" t="s">
        <v>534</v>
      </c>
      <c r="E1202" s="5" t="s">
        <v>35</v>
      </c>
      <c r="F1202" s="5" t="s">
        <v>35</v>
      </c>
      <c r="G1202" s="5" t="s">
        <v>567</v>
      </c>
      <c r="H1202" s="5" t="s">
        <v>195</v>
      </c>
      <c r="I1202" s="5" t="str">
        <f>_xlfn.XLOOKUP(sommaire[[#This Row],[Arrondissement_code]],OCHA_GIS!$F:$F,OCHA_GIS!$E:$E,,)</f>
        <v>Mokolo</v>
      </c>
      <c r="J1202" s="5" t="s">
        <v>733</v>
      </c>
      <c r="K1202" t="s">
        <v>959</v>
      </c>
      <c r="L1202" s="5" t="s">
        <v>960</v>
      </c>
      <c r="N1202" s="5" t="s">
        <v>3053</v>
      </c>
      <c r="O1202" s="5" t="s">
        <v>2467</v>
      </c>
      <c r="P1202" s="5" t="s">
        <v>85</v>
      </c>
      <c r="Q1202" s="5" t="s">
        <v>86</v>
      </c>
      <c r="R1202" s="5" t="s">
        <v>85</v>
      </c>
      <c r="T1202" s="390">
        <v>3</v>
      </c>
      <c r="U1202" s="5" t="s">
        <v>97</v>
      </c>
      <c r="W1202" s="5" t="s">
        <v>2468</v>
      </c>
      <c r="X1202" s="5" t="s">
        <v>102</v>
      </c>
      <c r="AA1202" s="5" t="s">
        <v>85</v>
      </c>
      <c r="AB1202" s="5" t="s">
        <v>2469</v>
      </c>
      <c r="AC1202" s="5" t="s">
        <v>2470</v>
      </c>
      <c r="AD1202" s="5" t="s">
        <v>86</v>
      </c>
      <c r="AF1202" s="5">
        <v>30</v>
      </c>
      <c r="AG1202" s="5">
        <v>2000</v>
      </c>
      <c r="AH1202" s="5" t="s">
        <v>85</v>
      </c>
      <c r="AI1202" s="5" t="s">
        <v>2485</v>
      </c>
      <c r="AJ1202" s="5">
        <v>30</v>
      </c>
      <c r="AK1202" s="5">
        <v>136</v>
      </c>
      <c r="AL1202" s="5">
        <v>60</v>
      </c>
      <c r="AM1202" s="5">
        <v>76</v>
      </c>
      <c r="AN1202" s="5">
        <v>2</v>
      </c>
      <c r="AO1202" s="5">
        <v>28</v>
      </c>
      <c r="AP1202" s="5">
        <v>0</v>
      </c>
      <c r="AQ1202" s="5">
        <v>0</v>
      </c>
      <c r="AT1202" s="5">
        <v>0</v>
      </c>
      <c r="AU1202" s="5">
        <v>0</v>
      </c>
      <c r="AX1202" s="5">
        <v>0</v>
      </c>
      <c r="AY1202" s="5" t="s">
        <v>86</v>
      </c>
      <c r="BN1202" s="5" t="s">
        <v>86</v>
      </c>
      <c r="CD1202" s="5">
        <v>0</v>
      </c>
      <c r="CF1202" s="1442" t="str">
        <f>IF([1]!sommaire[[#This Row],[présence des personnes déplacés interne]]="Oui","1","0")</f>
        <v>1</v>
      </c>
      <c r="CG1202" s="1442" t="str">
        <f>IF([1]!sommaire[[#This Row],[présence Réfugié hors camp]]="Oui","1","0")</f>
        <v>0</v>
      </c>
      <c r="CH1202" s="1442" t="str">
        <f>IF([1]!sommaire[[#This Row],[présence personnes retournées]]="Oui","1","0")</f>
        <v>0</v>
      </c>
      <c r="CI1202" s="1442">
        <f>[1]!sommaire[[#This Row],[Flag PDI]]+[1]!sommaire[[#This Row],[Flag REF]]+[1]!sommaire[[#This Row],[Flag RET]]</f>
        <v>1</v>
      </c>
    </row>
    <row r="1203" spans="1:87" x14ac:dyDescent="0.3">
      <c r="A1203" s="390">
        <v>2678325</v>
      </c>
      <c r="B1203" s="5" t="s">
        <v>533</v>
      </c>
      <c r="C1203" s="1430" t="s">
        <v>3449</v>
      </c>
      <c r="D1203" s="1090" t="s">
        <v>534</v>
      </c>
      <c r="E1203" s="5" t="s">
        <v>35</v>
      </c>
      <c r="F1203" s="5" t="s">
        <v>35</v>
      </c>
      <c r="G1203" s="5" t="s">
        <v>567</v>
      </c>
      <c r="H1203" s="5" t="s">
        <v>195</v>
      </c>
      <c r="I1203" s="5" t="str">
        <f>_xlfn.XLOOKUP(sommaire[[#This Row],[Arrondissement_code]],OCHA_GIS!$F:$F,OCHA_GIS!$E:$E,,)</f>
        <v>Mokolo</v>
      </c>
      <c r="J1203" s="5" t="s">
        <v>733</v>
      </c>
      <c r="K1203" t="s">
        <v>1796</v>
      </c>
      <c r="L1203" s="5" t="s">
        <v>2647</v>
      </c>
      <c r="N1203" s="5" t="s">
        <v>3053</v>
      </c>
      <c r="O1203" s="5" t="s">
        <v>2467</v>
      </c>
      <c r="P1203" s="5" t="s">
        <v>86</v>
      </c>
      <c r="Q1203" s="5" t="s">
        <v>86</v>
      </c>
      <c r="R1203" s="5" t="s">
        <v>85</v>
      </c>
      <c r="U1203" s="5" t="s">
        <v>98</v>
      </c>
      <c r="W1203" s="5" t="s">
        <v>2482</v>
      </c>
      <c r="AA1203" s="5" t="s">
        <v>86</v>
      </c>
      <c r="AH1203" s="1430" t="s">
        <v>86</v>
      </c>
      <c r="AY1203" s="1430" t="s">
        <v>86</v>
      </c>
      <c r="BN1203" s="1430" t="s">
        <v>86</v>
      </c>
      <c r="CF1203" s="1442" t="str">
        <f>IF([1]!sommaire[[#This Row],[présence des personnes déplacés interne]]="Oui","1","0")</f>
        <v>0</v>
      </c>
      <c r="CG1203" s="1442" t="str">
        <f>IF([1]!sommaire[[#This Row],[présence Réfugié hors camp]]="Oui","1","0")</f>
        <v>0</v>
      </c>
      <c r="CH1203" s="1442" t="str">
        <f>IF([1]!sommaire[[#This Row],[présence personnes retournées]]="Oui","1","0")</f>
        <v>0</v>
      </c>
      <c r="CI1203" s="1442">
        <f>[1]!sommaire[[#This Row],[Flag PDI]]+[1]!sommaire[[#This Row],[Flag REF]]+[1]!sommaire[[#This Row],[Flag RET]]</f>
        <v>0</v>
      </c>
    </row>
    <row r="1204" spans="1:87" x14ac:dyDescent="0.3">
      <c r="A1204" s="390">
        <v>2655345</v>
      </c>
      <c r="B1204" s="5" t="s">
        <v>533</v>
      </c>
      <c r="C1204" s="1430" t="s">
        <v>3449</v>
      </c>
      <c r="D1204" s="1090" t="s">
        <v>534</v>
      </c>
      <c r="E1204" s="5" t="s">
        <v>35</v>
      </c>
      <c r="F1204" s="5" t="s">
        <v>35</v>
      </c>
      <c r="G1204" s="5" t="s">
        <v>567</v>
      </c>
      <c r="H1204" s="5" t="s">
        <v>195</v>
      </c>
      <c r="I1204" s="5" t="str">
        <f>_xlfn.XLOOKUP(sommaire[[#This Row],[Arrondissement_code]],OCHA_GIS!$F:$F,OCHA_GIS!$E:$E,,)</f>
        <v>Mokolo</v>
      </c>
      <c r="J1204" s="5" t="s">
        <v>733</v>
      </c>
      <c r="K1204" t="s">
        <v>2895</v>
      </c>
      <c r="L1204" s="5" t="s">
        <v>2645</v>
      </c>
      <c r="N1204" s="5" t="s">
        <v>3053</v>
      </c>
      <c r="O1204" s="5" t="s">
        <v>2467</v>
      </c>
      <c r="P1204" s="5" t="s">
        <v>85</v>
      </c>
      <c r="Q1204" s="5" t="s">
        <v>86</v>
      </c>
      <c r="R1204" s="5" t="s">
        <v>86</v>
      </c>
      <c r="T1204" s="390">
        <v>3</v>
      </c>
      <c r="U1204" s="5" t="s">
        <v>100</v>
      </c>
      <c r="W1204" s="5" t="s">
        <v>2482</v>
      </c>
      <c r="X1204" s="1090"/>
      <c r="AA1204" s="5" t="s">
        <v>86</v>
      </c>
      <c r="AH1204" s="1430" t="s">
        <v>86</v>
      </c>
      <c r="AY1204" s="1430" t="s">
        <v>86</v>
      </c>
      <c r="BN1204" s="1430" t="s">
        <v>86</v>
      </c>
      <c r="CF1204" s="1442" t="str">
        <f>IF([1]!sommaire[[#This Row],[présence des personnes déplacés interne]]="Oui","1","0")</f>
        <v>0</v>
      </c>
      <c r="CG1204" s="1442" t="str">
        <f>IF([1]!sommaire[[#This Row],[présence Réfugié hors camp]]="Oui","1","0")</f>
        <v>0</v>
      </c>
      <c r="CH1204" s="1442" t="str">
        <f>IF([1]!sommaire[[#This Row],[présence personnes retournées]]="Oui","1","0")</f>
        <v>0</v>
      </c>
      <c r="CI1204" s="1442">
        <f>[1]!sommaire[[#This Row],[Flag PDI]]+[1]!sommaire[[#This Row],[Flag REF]]+[1]!sommaire[[#This Row],[Flag RET]]</f>
        <v>0</v>
      </c>
    </row>
    <row r="1205" spans="1:87" x14ac:dyDescent="0.3">
      <c r="A1205" s="390">
        <v>2645473</v>
      </c>
      <c r="B1205" s="5" t="s">
        <v>533</v>
      </c>
      <c r="C1205" s="1430" t="s">
        <v>3449</v>
      </c>
      <c r="D1205" s="1090" t="s">
        <v>534</v>
      </c>
      <c r="E1205" s="5" t="s">
        <v>35</v>
      </c>
      <c r="F1205" s="5" t="s">
        <v>35</v>
      </c>
      <c r="G1205" s="5" t="s">
        <v>567</v>
      </c>
      <c r="H1205" s="5" t="s">
        <v>195</v>
      </c>
      <c r="I1205" s="5" t="str">
        <f>_xlfn.XLOOKUP(sommaire[[#This Row],[Arrondissement_code]],OCHA_GIS!$F:$F,OCHA_GIS!$E:$E,,)</f>
        <v>Mokolo</v>
      </c>
      <c r="J1205" s="5" t="s">
        <v>733</v>
      </c>
      <c r="K1205" t="s">
        <v>2095</v>
      </c>
      <c r="L1205" s="5" t="s">
        <v>1615</v>
      </c>
      <c r="N1205" s="5" t="s">
        <v>3053</v>
      </c>
      <c r="O1205" s="5" t="s">
        <v>2467</v>
      </c>
      <c r="P1205" s="5" t="s">
        <v>85</v>
      </c>
      <c r="Q1205" s="5" t="s">
        <v>86</v>
      </c>
      <c r="R1205" s="5" t="s">
        <v>85</v>
      </c>
      <c r="T1205" s="390">
        <v>3</v>
      </c>
      <c r="U1205" s="5" t="s">
        <v>100</v>
      </c>
      <c r="W1205" s="5" t="s">
        <v>2482</v>
      </c>
      <c r="AA1205" s="5" t="s">
        <v>86</v>
      </c>
      <c r="AH1205" s="1430" t="s">
        <v>86</v>
      </c>
      <c r="AY1205" s="1430" t="s">
        <v>86</v>
      </c>
      <c r="BN1205" s="1430" t="s">
        <v>86</v>
      </c>
      <c r="CF1205" s="1442" t="str">
        <f>IF([1]!sommaire[[#This Row],[présence des personnes déplacés interne]]="Oui","1","0")</f>
        <v>0</v>
      </c>
      <c r="CG1205" s="1442" t="str">
        <f>IF([1]!sommaire[[#This Row],[présence Réfugié hors camp]]="Oui","1","0")</f>
        <v>0</v>
      </c>
      <c r="CH1205" s="1442" t="str">
        <f>IF([1]!sommaire[[#This Row],[présence personnes retournées]]="Oui","1","0")</f>
        <v>0</v>
      </c>
      <c r="CI1205" s="1442">
        <f>[1]!sommaire[[#This Row],[Flag PDI]]+[1]!sommaire[[#This Row],[Flag REF]]+[1]!sommaire[[#This Row],[Flag RET]]</f>
        <v>0</v>
      </c>
    </row>
    <row r="1206" spans="1:87" x14ac:dyDescent="0.3">
      <c r="A1206" s="390">
        <v>2603699</v>
      </c>
      <c r="B1206" s="5" t="s">
        <v>533</v>
      </c>
      <c r="C1206" s="1430" t="s">
        <v>3449</v>
      </c>
      <c r="D1206" s="1090" t="s">
        <v>534</v>
      </c>
      <c r="E1206" s="5" t="s">
        <v>35</v>
      </c>
      <c r="F1206" s="5" t="s">
        <v>35</v>
      </c>
      <c r="G1206" s="5" t="s">
        <v>567</v>
      </c>
      <c r="H1206" s="5" t="s">
        <v>195</v>
      </c>
      <c r="I1206" s="5" t="str">
        <f>_xlfn.XLOOKUP(sommaire[[#This Row],[Arrondissement_code]],OCHA_GIS!$F:$F,OCHA_GIS!$E:$E,,)</f>
        <v>Mokolo</v>
      </c>
      <c r="J1206" s="5" t="s">
        <v>733</v>
      </c>
      <c r="K1206" t="s">
        <v>1037</v>
      </c>
      <c r="L1206" s="5" t="s">
        <v>1038</v>
      </c>
      <c r="N1206" s="5" t="s">
        <v>3052</v>
      </c>
      <c r="O1206" s="5" t="s">
        <v>2467</v>
      </c>
      <c r="P1206" s="5" t="s">
        <v>85</v>
      </c>
      <c r="Q1206" s="5" t="s">
        <v>86</v>
      </c>
      <c r="R1206" s="5" t="s">
        <v>85</v>
      </c>
      <c r="T1206" s="390">
        <v>3</v>
      </c>
      <c r="U1206" s="5" t="s">
        <v>97</v>
      </c>
      <c r="W1206" s="5" t="s">
        <v>2468</v>
      </c>
      <c r="X1206" s="5" t="s">
        <v>102</v>
      </c>
      <c r="AA1206" s="5" t="s">
        <v>85</v>
      </c>
      <c r="AB1206" s="5" t="s">
        <v>2469</v>
      </c>
      <c r="AC1206" s="5" t="s">
        <v>2470</v>
      </c>
      <c r="AD1206" s="5" t="s">
        <v>86</v>
      </c>
      <c r="AF1206" s="5">
        <v>200</v>
      </c>
      <c r="AG1206" s="5">
        <v>6400</v>
      </c>
      <c r="AH1206" s="5" t="s">
        <v>85</v>
      </c>
      <c r="AI1206" s="5" t="s">
        <v>2485</v>
      </c>
      <c r="AJ1206" s="5">
        <v>200</v>
      </c>
      <c r="AK1206" s="5">
        <v>1400</v>
      </c>
      <c r="AL1206" s="5">
        <v>652</v>
      </c>
      <c r="AM1206" s="5">
        <v>748</v>
      </c>
      <c r="AN1206" s="5">
        <v>60</v>
      </c>
      <c r="AO1206" s="5">
        <v>100</v>
      </c>
      <c r="AP1206" s="5">
        <v>20</v>
      </c>
      <c r="AQ1206" s="5">
        <v>20</v>
      </c>
      <c r="AR1206" s="5" t="s">
        <v>2477</v>
      </c>
      <c r="AT1206" s="5">
        <v>0</v>
      </c>
      <c r="AU1206" s="5">
        <v>0</v>
      </c>
      <c r="AX1206" s="5">
        <v>0</v>
      </c>
      <c r="AY1206" s="5" t="s">
        <v>85</v>
      </c>
      <c r="AZ1206" s="5">
        <v>150</v>
      </c>
      <c r="BA1206" s="5">
        <v>485</v>
      </c>
      <c r="BB1206" s="5">
        <v>180</v>
      </c>
      <c r="BC1206" s="5">
        <v>305</v>
      </c>
      <c r="BD1206" s="5">
        <v>150</v>
      </c>
      <c r="BE1206" s="5">
        <v>0</v>
      </c>
      <c r="BF1206" s="5">
        <v>0</v>
      </c>
      <c r="BH1206" s="5">
        <v>0</v>
      </c>
      <c r="BI1206" s="5">
        <v>0</v>
      </c>
      <c r="BL1206" s="5">
        <v>0</v>
      </c>
      <c r="BM1206" s="5">
        <v>30</v>
      </c>
      <c r="BN1206" s="5" t="s">
        <v>86</v>
      </c>
      <c r="CD1206" s="5">
        <v>0</v>
      </c>
      <c r="CF1206" s="1442" t="str">
        <f>IF([1]!sommaire[[#This Row],[présence des personnes déplacés interne]]="Oui","1","0")</f>
        <v>1</v>
      </c>
      <c r="CG1206" s="1442" t="str">
        <f>IF([1]!sommaire[[#This Row],[présence Réfugié hors camp]]="Oui","1","0")</f>
        <v>1</v>
      </c>
      <c r="CH1206" s="1442" t="str">
        <f>IF([1]!sommaire[[#This Row],[présence personnes retournées]]="Oui","1","0")</f>
        <v>0</v>
      </c>
      <c r="CI1206" s="1442">
        <f>[1]!sommaire[[#This Row],[Flag PDI]]+[1]!sommaire[[#This Row],[Flag REF]]+[1]!sommaire[[#This Row],[Flag RET]]</f>
        <v>2</v>
      </c>
    </row>
    <row r="1207" spans="1:87" x14ac:dyDescent="0.3">
      <c r="A1207" s="390">
        <v>2687327</v>
      </c>
      <c r="B1207" s="5" t="s">
        <v>533</v>
      </c>
      <c r="C1207" s="1430" t="s">
        <v>3449</v>
      </c>
      <c r="D1207" s="1090" t="s">
        <v>534</v>
      </c>
      <c r="E1207" s="5" t="s">
        <v>35</v>
      </c>
      <c r="F1207" s="5" t="s">
        <v>35</v>
      </c>
      <c r="G1207" s="5" t="s">
        <v>567</v>
      </c>
      <c r="H1207" s="5" t="s">
        <v>195</v>
      </c>
      <c r="I1207" s="5" t="str">
        <f>_xlfn.XLOOKUP(sommaire[[#This Row],[Arrondissement_code]],OCHA_GIS!$F:$F,OCHA_GIS!$E:$E,,)</f>
        <v>Mokolo</v>
      </c>
      <c r="J1207" s="5" t="s">
        <v>733</v>
      </c>
      <c r="K1207" t="s">
        <v>1747</v>
      </c>
      <c r="L1207" s="5" t="s">
        <v>1748</v>
      </c>
      <c r="N1207" s="5" t="s">
        <v>3053</v>
      </c>
      <c r="O1207" s="5" t="s">
        <v>2467</v>
      </c>
      <c r="P1207" s="5" t="s">
        <v>85</v>
      </c>
      <c r="Q1207" s="5" t="s">
        <v>86</v>
      </c>
      <c r="R1207" s="5" t="s">
        <v>85</v>
      </c>
      <c r="T1207" s="390">
        <v>4</v>
      </c>
      <c r="U1207" s="5" t="s">
        <v>97</v>
      </c>
      <c r="W1207" s="5" t="s">
        <v>2468</v>
      </c>
      <c r="X1207" s="5" t="s">
        <v>102</v>
      </c>
      <c r="AA1207" s="5" t="s">
        <v>85</v>
      </c>
      <c r="AB1207" s="5" t="s">
        <v>2469</v>
      </c>
      <c r="AC1207" s="5" t="s">
        <v>2470</v>
      </c>
      <c r="AD1207" s="5" t="s">
        <v>86</v>
      </c>
      <c r="AF1207" s="5">
        <v>4</v>
      </c>
      <c r="AG1207" s="5">
        <v>3420</v>
      </c>
      <c r="AH1207" s="5" t="s">
        <v>85</v>
      </c>
      <c r="AI1207" s="5" t="s">
        <v>2486</v>
      </c>
      <c r="AJ1207" s="5">
        <v>4</v>
      </c>
      <c r="AK1207" s="5">
        <v>11</v>
      </c>
      <c r="AL1207" s="5">
        <v>5</v>
      </c>
      <c r="AM1207" s="5">
        <v>6</v>
      </c>
      <c r="AN1207" s="5">
        <v>0</v>
      </c>
      <c r="AO1207" s="5">
        <v>4</v>
      </c>
      <c r="AP1207" s="5">
        <v>0</v>
      </c>
      <c r="AQ1207" s="5">
        <v>0</v>
      </c>
      <c r="AT1207" s="5">
        <v>0</v>
      </c>
      <c r="AU1207" s="5">
        <v>0</v>
      </c>
      <c r="AX1207" s="5">
        <v>0</v>
      </c>
      <c r="AY1207" s="5" t="s">
        <v>86</v>
      </c>
      <c r="BN1207" s="5" t="s">
        <v>85</v>
      </c>
      <c r="BO1207" s="5">
        <v>8</v>
      </c>
      <c r="BP1207" s="5">
        <v>50</v>
      </c>
      <c r="BQ1207" s="5">
        <v>22</v>
      </c>
      <c r="BR1207" s="5">
        <v>28</v>
      </c>
      <c r="BS1207" s="5" t="s">
        <v>2492</v>
      </c>
      <c r="BT1207" s="5">
        <v>0</v>
      </c>
      <c r="BU1207" s="5">
        <v>0</v>
      </c>
      <c r="BV1207" s="5">
        <v>0</v>
      </c>
      <c r="BW1207" s="5">
        <v>8</v>
      </c>
      <c r="BX1207" s="5">
        <v>0</v>
      </c>
      <c r="BZ1207" s="5">
        <v>0</v>
      </c>
      <c r="CA1207" s="5">
        <v>0</v>
      </c>
      <c r="CC1207" s="5">
        <v>0</v>
      </c>
      <c r="CD1207" s="5">
        <v>0</v>
      </c>
      <c r="CF1207" s="1442" t="str">
        <f>IF([1]!sommaire[[#This Row],[présence des personnes déplacés interne]]="Oui","1","0")</f>
        <v>1</v>
      </c>
      <c r="CG1207" s="1442" t="str">
        <f>IF([1]!sommaire[[#This Row],[présence Réfugié hors camp]]="Oui","1","0")</f>
        <v>0</v>
      </c>
      <c r="CH1207" s="1442" t="str">
        <f>IF([1]!sommaire[[#This Row],[présence personnes retournées]]="Oui","1","0")</f>
        <v>1</v>
      </c>
      <c r="CI1207" s="1442">
        <f>[1]!sommaire[[#This Row],[Flag PDI]]+[1]!sommaire[[#This Row],[Flag REF]]+[1]!sommaire[[#This Row],[Flag RET]]</f>
        <v>2</v>
      </c>
    </row>
    <row r="1208" spans="1:87" x14ac:dyDescent="0.3">
      <c r="A1208" s="390">
        <v>2733639</v>
      </c>
      <c r="B1208" s="5" t="s">
        <v>533</v>
      </c>
      <c r="C1208" s="1430" t="s">
        <v>3449</v>
      </c>
      <c r="D1208" s="1090" t="s">
        <v>534</v>
      </c>
      <c r="E1208" s="5" t="s">
        <v>35</v>
      </c>
      <c r="F1208" s="5" t="s">
        <v>35</v>
      </c>
      <c r="G1208" s="5" t="s">
        <v>567</v>
      </c>
      <c r="H1208" s="5" t="s">
        <v>195</v>
      </c>
      <c r="I1208" s="5" t="str">
        <f>_xlfn.XLOOKUP(sommaire[[#This Row],[Arrondissement_code]],OCHA_GIS!$F:$F,OCHA_GIS!$E:$E,,)</f>
        <v>Mokolo</v>
      </c>
      <c r="J1208" s="5" t="s">
        <v>733</v>
      </c>
      <c r="K1208" t="s">
        <v>1764</v>
      </c>
      <c r="L1208" s="5" t="s">
        <v>1534</v>
      </c>
      <c r="N1208" s="5" t="s">
        <v>3052</v>
      </c>
      <c r="O1208" s="5" t="s">
        <v>2467</v>
      </c>
      <c r="P1208" s="5" t="s">
        <v>85</v>
      </c>
      <c r="Q1208" s="5" t="s">
        <v>86</v>
      </c>
      <c r="R1208" s="5" t="s">
        <v>85</v>
      </c>
      <c r="T1208" s="390">
        <v>3</v>
      </c>
      <c r="U1208" s="5" t="s">
        <v>97</v>
      </c>
      <c r="W1208" s="5" t="s">
        <v>2468</v>
      </c>
      <c r="X1208" s="5" t="s">
        <v>102</v>
      </c>
      <c r="AA1208" s="586" t="s">
        <v>85</v>
      </c>
      <c r="AB1208" s="5" t="s">
        <v>2469</v>
      </c>
      <c r="AC1208" s="5" t="s">
        <v>2470</v>
      </c>
      <c r="AD1208" s="5" t="s">
        <v>86</v>
      </c>
      <c r="AF1208" s="5">
        <v>173</v>
      </c>
      <c r="AG1208" s="5">
        <v>3000</v>
      </c>
      <c r="AH1208" s="5" t="s">
        <v>85</v>
      </c>
      <c r="AI1208" s="5" t="s">
        <v>2485</v>
      </c>
      <c r="AJ1208" s="5">
        <v>173</v>
      </c>
      <c r="AK1208" s="5">
        <v>1145</v>
      </c>
      <c r="AL1208" s="5">
        <v>450</v>
      </c>
      <c r="AM1208" s="5">
        <v>695</v>
      </c>
      <c r="AN1208" s="5">
        <v>0</v>
      </c>
      <c r="AO1208" s="5">
        <v>0</v>
      </c>
      <c r="AP1208" s="5">
        <v>115</v>
      </c>
      <c r="AQ1208" s="5">
        <v>58</v>
      </c>
      <c r="AR1208" s="5" t="s">
        <v>2477</v>
      </c>
      <c r="AT1208" s="5">
        <v>0</v>
      </c>
      <c r="AU1208" s="5">
        <v>0</v>
      </c>
      <c r="AX1208" s="5">
        <v>0</v>
      </c>
      <c r="AY1208" s="5" t="s">
        <v>86</v>
      </c>
      <c r="BN1208" s="5" t="s">
        <v>86</v>
      </c>
      <c r="CD1208" s="5">
        <v>0</v>
      </c>
      <c r="CF1208" s="1442" t="str">
        <f>IF([1]!sommaire[[#This Row],[présence des personnes déplacés interne]]="Oui","1","0")</f>
        <v>1</v>
      </c>
      <c r="CG1208" s="1442" t="str">
        <f>IF([1]!sommaire[[#This Row],[présence Réfugié hors camp]]="Oui","1","0")</f>
        <v>0</v>
      </c>
      <c r="CH1208" s="1442" t="str">
        <f>IF([1]!sommaire[[#This Row],[présence personnes retournées]]="Oui","1","0")</f>
        <v>0</v>
      </c>
      <c r="CI1208" s="1442">
        <f>[1]!sommaire[[#This Row],[Flag PDI]]+[1]!sommaire[[#This Row],[Flag REF]]+[1]!sommaire[[#This Row],[Flag RET]]</f>
        <v>1</v>
      </c>
    </row>
    <row r="1209" spans="1:87" x14ac:dyDescent="0.3">
      <c r="A1209" s="390">
        <v>2559627</v>
      </c>
      <c r="B1209" s="5" t="s">
        <v>533</v>
      </c>
      <c r="C1209" s="1430" t="s">
        <v>3449</v>
      </c>
      <c r="D1209" s="1090" t="s">
        <v>534</v>
      </c>
      <c r="E1209" s="5" t="s">
        <v>35</v>
      </c>
      <c r="F1209" s="5" t="s">
        <v>35</v>
      </c>
      <c r="G1209" s="5" t="s">
        <v>567</v>
      </c>
      <c r="H1209" s="1144" t="s">
        <v>195</v>
      </c>
      <c r="I1209" s="1144" t="str">
        <f>_xlfn.XLOOKUP(sommaire[[#This Row],[Arrondissement_code]],OCHA_GIS!$F:$F,OCHA_GIS!$E:$E,,)</f>
        <v>Mokolo</v>
      </c>
      <c r="J1209" s="5" t="s">
        <v>733</v>
      </c>
      <c r="K1209" t="s">
        <v>1767</v>
      </c>
      <c r="L1209" s="5" t="s">
        <v>1483</v>
      </c>
      <c r="N1209" s="5" t="s">
        <v>3053</v>
      </c>
      <c r="O1209" s="5" t="s">
        <v>2467</v>
      </c>
      <c r="P1209" s="5" t="s">
        <v>86</v>
      </c>
      <c r="Q1209" s="5" t="s">
        <v>86</v>
      </c>
      <c r="R1209" s="5" t="s">
        <v>85</v>
      </c>
      <c r="U1209" s="5" t="s">
        <v>98</v>
      </c>
      <c r="W1209" s="5" t="s">
        <v>2482</v>
      </c>
      <c r="AA1209" s="5" t="s">
        <v>86</v>
      </c>
      <c r="AH1209" s="1430" t="s">
        <v>86</v>
      </c>
      <c r="AY1209" s="1430" t="s">
        <v>86</v>
      </c>
      <c r="BN1209" s="1430" t="s">
        <v>86</v>
      </c>
      <c r="CF1209" s="1442" t="str">
        <f>IF([1]!sommaire[[#This Row],[présence des personnes déplacés interne]]="Oui","1","0")</f>
        <v>0</v>
      </c>
      <c r="CG1209" s="1442" t="str">
        <f>IF([1]!sommaire[[#This Row],[présence Réfugié hors camp]]="Oui","1","0")</f>
        <v>0</v>
      </c>
      <c r="CH1209" s="1442" t="str">
        <f>IF([1]!sommaire[[#This Row],[présence personnes retournées]]="Oui","1","0")</f>
        <v>0</v>
      </c>
      <c r="CI1209" s="1442">
        <f>[1]!sommaire[[#This Row],[Flag PDI]]+[1]!sommaire[[#This Row],[Flag REF]]+[1]!sommaire[[#This Row],[Flag RET]]</f>
        <v>0</v>
      </c>
    </row>
    <row r="1210" spans="1:87" x14ac:dyDescent="0.3">
      <c r="A1210" s="390">
        <v>2682572</v>
      </c>
      <c r="B1210" s="5" t="s">
        <v>533</v>
      </c>
      <c r="C1210" s="1430" t="s">
        <v>3449</v>
      </c>
      <c r="D1210" s="1090" t="s">
        <v>534</v>
      </c>
      <c r="E1210" s="5" t="s">
        <v>35</v>
      </c>
      <c r="F1210" s="5" t="s">
        <v>35</v>
      </c>
      <c r="G1210" s="5" t="s">
        <v>567</v>
      </c>
      <c r="H1210" s="5" t="s">
        <v>195</v>
      </c>
      <c r="I1210" s="5" t="str">
        <f>_xlfn.XLOOKUP(sommaire[[#This Row],[Arrondissement_code]],OCHA_GIS!$F:$F,OCHA_GIS!$E:$E,,)</f>
        <v>Mokolo</v>
      </c>
      <c r="J1210" s="5" t="s">
        <v>733</v>
      </c>
      <c r="K1210" t="s">
        <v>1620</v>
      </c>
      <c r="L1210" s="5" t="s">
        <v>2096</v>
      </c>
      <c r="N1210" s="5" t="s">
        <v>3053</v>
      </c>
      <c r="O1210" s="5" t="s">
        <v>2467</v>
      </c>
      <c r="P1210" s="5" t="s">
        <v>85</v>
      </c>
      <c r="Q1210" s="5" t="s">
        <v>86</v>
      </c>
      <c r="R1210" s="5" t="s">
        <v>85</v>
      </c>
      <c r="T1210" s="390">
        <v>4</v>
      </c>
      <c r="U1210" s="5" t="s">
        <v>97</v>
      </c>
      <c r="W1210" s="5" t="s">
        <v>2468</v>
      </c>
      <c r="X1210" s="1090" t="s">
        <v>102</v>
      </c>
      <c r="AA1210" s="1090" t="s">
        <v>85</v>
      </c>
      <c r="AB1210" s="5" t="s">
        <v>2469</v>
      </c>
      <c r="AC1210" s="5" t="s">
        <v>2470</v>
      </c>
      <c r="AD1210" s="5" t="s">
        <v>86</v>
      </c>
      <c r="AF1210" s="5">
        <v>296</v>
      </c>
      <c r="AG1210" s="5">
        <v>8054</v>
      </c>
      <c r="AH1210" s="5" t="s">
        <v>85</v>
      </c>
      <c r="AI1210" s="5" t="s">
        <v>2485</v>
      </c>
      <c r="AJ1210" s="5">
        <v>296</v>
      </c>
      <c r="AK1210" s="5">
        <v>2009</v>
      </c>
      <c r="AL1210" s="5">
        <v>1054</v>
      </c>
      <c r="AM1210" s="5">
        <v>955</v>
      </c>
      <c r="AN1210" s="5">
        <v>0</v>
      </c>
      <c r="AO1210" s="5">
        <v>43</v>
      </c>
      <c r="AP1210" s="5">
        <v>45</v>
      </c>
      <c r="AQ1210" s="5">
        <v>208</v>
      </c>
      <c r="AR1210" s="5" t="s">
        <v>2477</v>
      </c>
      <c r="AT1210" s="5">
        <v>0</v>
      </c>
      <c r="AU1210" s="5">
        <v>0</v>
      </c>
      <c r="AX1210" s="5">
        <v>0</v>
      </c>
      <c r="AY1210" s="1090" t="s">
        <v>85</v>
      </c>
      <c r="AZ1210" s="5">
        <v>86</v>
      </c>
      <c r="BA1210" s="5">
        <v>564</v>
      </c>
      <c r="BB1210" s="5">
        <v>198</v>
      </c>
      <c r="BC1210" s="5">
        <v>366</v>
      </c>
      <c r="BD1210" s="5">
        <v>18</v>
      </c>
      <c r="BE1210" s="5">
        <v>10</v>
      </c>
      <c r="BF1210" s="5">
        <v>58</v>
      </c>
      <c r="BG1210" s="5" t="s">
        <v>2477</v>
      </c>
      <c r="BH1210" s="5">
        <v>0</v>
      </c>
      <c r="BI1210" s="5">
        <v>0</v>
      </c>
      <c r="BL1210" s="5">
        <v>0</v>
      </c>
      <c r="BM1210" s="5">
        <v>0</v>
      </c>
      <c r="BN1210" s="1090" t="s">
        <v>85</v>
      </c>
      <c r="BO1210" s="5">
        <v>70</v>
      </c>
      <c r="BP1210" s="5">
        <v>356</v>
      </c>
      <c r="BQ1210" s="5">
        <v>237</v>
      </c>
      <c r="BR1210" s="5">
        <v>119</v>
      </c>
      <c r="BS1210" s="5" t="s">
        <v>2492</v>
      </c>
      <c r="BT1210" s="5">
        <v>30</v>
      </c>
      <c r="BU1210" s="5">
        <v>20</v>
      </c>
      <c r="BV1210" s="5">
        <v>18</v>
      </c>
      <c r="BW1210" s="5">
        <v>2</v>
      </c>
      <c r="BX1210" s="5">
        <v>0</v>
      </c>
      <c r="BZ1210" s="5">
        <v>0</v>
      </c>
      <c r="CA1210" s="5">
        <v>0</v>
      </c>
      <c r="CC1210" s="5">
        <v>0</v>
      </c>
      <c r="CD1210" s="5">
        <v>0</v>
      </c>
      <c r="CF1210" s="1442" t="str">
        <f>IF([1]!sommaire[[#This Row],[présence des personnes déplacés interne]]="Oui","1","0")</f>
        <v>1</v>
      </c>
      <c r="CG1210" s="1442" t="str">
        <f>IF([1]!sommaire[[#This Row],[présence Réfugié hors camp]]="Oui","1","0")</f>
        <v>1</v>
      </c>
      <c r="CH1210" s="1442" t="str">
        <f>IF([1]!sommaire[[#This Row],[présence personnes retournées]]="Oui","1","0")</f>
        <v>1</v>
      </c>
      <c r="CI1210" s="1442">
        <f>[1]!sommaire[[#This Row],[Flag PDI]]+[1]!sommaire[[#This Row],[Flag REF]]+[1]!sommaire[[#This Row],[Flag RET]]</f>
        <v>3</v>
      </c>
    </row>
    <row r="1211" spans="1:87" x14ac:dyDescent="0.3">
      <c r="A1211" s="390">
        <v>2655335</v>
      </c>
      <c r="B1211" s="5" t="s">
        <v>533</v>
      </c>
      <c r="C1211" s="1430" t="s">
        <v>3449</v>
      </c>
      <c r="D1211" s="1090" t="s">
        <v>534</v>
      </c>
      <c r="E1211" s="5" t="s">
        <v>35</v>
      </c>
      <c r="F1211" s="5" t="s">
        <v>35</v>
      </c>
      <c r="G1211" s="5" t="s">
        <v>567</v>
      </c>
      <c r="H1211" s="5" t="s">
        <v>195</v>
      </c>
      <c r="I1211" s="5" t="str">
        <f>_xlfn.XLOOKUP(sommaire[[#This Row],[Arrondissement_code]],OCHA_GIS!$F:$F,OCHA_GIS!$E:$E,,)</f>
        <v>Mokolo</v>
      </c>
      <c r="J1211" s="5" t="s">
        <v>733</v>
      </c>
      <c r="K1211" t="s">
        <v>913</v>
      </c>
      <c r="L1211" s="5" t="s">
        <v>1690</v>
      </c>
      <c r="N1211" s="5" t="s">
        <v>3053</v>
      </c>
      <c r="O1211" s="5" t="s">
        <v>2467</v>
      </c>
      <c r="P1211" s="5" t="s">
        <v>85</v>
      </c>
      <c r="Q1211" s="5" t="s">
        <v>86</v>
      </c>
      <c r="R1211" s="5" t="s">
        <v>85</v>
      </c>
      <c r="T1211" s="390">
        <v>3</v>
      </c>
      <c r="U1211" s="5" t="s">
        <v>97</v>
      </c>
      <c r="W1211" s="5" t="s">
        <v>2468</v>
      </c>
      <c r="X1211" s="5" t="s">
        <v>102</v>
      </c>
      <c r="AA1211" s="5" t="s">
        <v>85</v>
      </c>
      <c r="AB1211" s="5" t="s">
        <v>2469</v>
      </c>
      <c r="AC1211" s="5" t="s">
        <v>312</v>
      </c>
      <c r="AD1211" s="5" t="s">
        <v>86</v>
      </c>
      <c r="AF1211" s="5">
        <v>40</v>
      </c>
      <c r="AG1211" s="5">
        <v>1373</v>
      </c>
      <c r="AH1211" s="5" t="s">
        <v>85</v>
      </c>
      <c r="AI1211" s="5" t="s">
        <v>2471</v>
      </c>
      <c r="AJ1211" s="5">
        <v>40</v>
      </c>
      <c r="AK1211" s="5">
        <v>293</v>
      </c>
      <c r="AL1211" s="5">
        <v>100</v>
      </c>
      <c r="AM1211" s="5">
        <v>193</v>
      </c>
      <c r="AN1211" s="5">
        <v>0</v>
      </c>
      <c r="AO1211" s="5">
        <v>13</v>
      </c>
      <c r="AP1211" s="5">
        <v>7</v>
      </c>
      <c r="AQ1211" s="5">
        <v>20</v>
      </c>
      <c r="AR1211" s="5" t="s">
        <v>2477</v>
      </c>
      <c r="AT1211" s="5">
        <v>0</v>
      </c>
      <c r="AU1211" s="5">
        <v>0</v>
      </c>
      <c r="AX1211" s="5">
        <v>0</v>
      </c>
      <c r="AY1211" s="5" t="s">
        <v>86</v>
      </c>
      <c r="BN1211" s="5" t="s">
        <v>86</v>
      </c>
      <c r="CD1211" s="5">
        <v>0</v>
      </c>
      <c r="CF1211" s="1442" t="str">
        <f>IF([1]!sommaire[[#This Row],[présence des personnes déplacés interne]]="Oui","1","0")</f>
        <v>1</v>
      </c>
      <c r="CG1211" s="1442" t="str">
        <f>IF([1]!sommaire[[#This Row],[présence Réfugié hors camp]]="Oui","1","0")</f>
        <v>0</v>
      </c>
      <c r="CH1211" s="1442" t="str">
        <f>IF([1]!sommaire[[#This Row],[présence personnes retournées]]="Oui","1","0")</f>
        <v>0</v>
      </c>
      <c r="CI1211" s="1442">
        <f>[1]!sommaire[[#This Row],[Flag PDI]]+[1]!sommaire[[#This Row],[Flag REF]]+[1]!sommaire[[#This Row],[Flag RET]]</f>
        <v>1</v>
      </c>
    </row>
    <row r="1212" spans="1:87" x14ac:dyDescent="0.3">
      <c r="A1212" s="390">
        <v>2683419</v>
      </c>
      <c r="B1212" s="5" t="s">
        <v>533</v>
      </c>
      <c r="C1212" s="1430" t="s">
        <v>3449</v>
      </c>
      <c r="D1212" s="1090" t="s">
        <v>534</v>
      </c>
      <c r="E1212" s="5" t="s">
        <v>35</v>
      </c>
      <c r="F1212" s="5" t="s">
        <v>35</v>
      </c>
      <c r="G1212" s="5" t="s">
        <v>567</v>
      </c>
      <c r="H1212" s="5" t="s">
        <v>195</v>
      </c>
      <c r="I1212" s="5" t="str">
        <f>_xlfn.XLOOKUP(sommaire[[#This Row],[Arrondissement_code]],OCHA_GIS!$F:$F,OCHA_GIS!$E:$E,,)</f>
        <v>Mokolo</v>
      </c>
      <c r="J1212" s="5" t="s">
        <v>733</v>
      </c>
      <c r="K1212" t="s">
        <v>2921</v>
      </c>
      <c r="L1212" s="5" t="s">
        <v>2094</v>
      </c>
      <c r="N1212" s="5" t="s">
        <v>3053</v>
      </c>
      <c r="O1212" s="5" t="s">
        <v>2467</v>
      </c>
      <c r="P1212" s="5" t="s">
        <v>85</v>
      </c>
      <c r="Q1212" s="5" t="s">
        <v>86</v>
      </c>
      <c r="R1212" s="5" t="s">
        <v>85</v>
      </c>
      <c r="T1212" s="390">
        <v>4</v>
      </c>
      <c r="U1212" s="5" t="s">
        <v>97</v>
      </c>
      <c r="W1212" s="5" t="s">
        <v>2468</v>
      </c>
      <c r="X1212" s="5" t="s">
        <v>102</v>
      </c>
      <c r="AA1212" s="5" t="s">
        <v>85</v>
      </c>
      <c r="AB1212" s="5" t="s">
        <v>2469</v>
      </c>
      <c r="AC1212" s="5" t="s">
        <v>2470</v>
      </c>
      <c r="AD1212" s="1090" t="s">
        <v>86</v>
      </c>
      <c r="AF1212" s="5">
        <v>65</v>
      </c>
      <c r="AG1212" s="5">
        <v>1567</v>
      </c>
      <c r="AH1212" s="5" t="s">
        <v>85</v>
      </c>
      <c r="AI1212" s="5" t="s">
        <v>2485</v>
      </c>
      <c r="AJ1212" s="5">
        <v>65</v>
      </c>
      <c r="AK1212" s="5">
        <v>246</v>
      </c>
      <c r="AL1212" s="5">
        <v>46</v>
      </c>
      <c r="AM1212" s="5">
        <v>200</v>
      </c>
      <c r="AN1212" s="5">
        <v>18</v>
      </c>
      <c r="AO1212" s="5">
        <v>10</v>
      </c>
      <c r="AP1212" s="5">
        <v>37</v>
      </c>
      <c r="AQ1212" s="5">
        <v>0</v>
      </c>
      <c r="AT1212" s="5">
        <v>0</v>
      </c>
      <c r="AU1212" s="5">
        <v>0</v>
      </c>
      <c r="AX1212" s="5">
        <v>0</v>
      </c>
      <c r="AY1212" s="5" t="s">
        <v>85</v>
      </c>
      <c r="AZ1212" s="5">
        <v>86</v>
      </c>
      <c r="BA1212" s="5">
        <v>564</v>
      </c>
      <c r="BB1212" s="5">
        <v>198</v>
      </c>
      <c r="BC1212" s="5">
        <v>366</v>
      </c>
      <c r="BD1212" s="5">
        <v>18</v>
      </c>
      <c r="BE1212" s="5">
        <v>10</v>
      </c>
      <c r="BF1212" s="5">
        <v>58</v>
      </c>
      <c r="BG1212" s="5" t="s">
        <v>2477</v>
      </c>
      <c r="BH1212" s="5">
        <v>0</v>
      </c>
      <c r="BI1212" s="5">
        <v>0</v>
      </c>
      <c r="BL1212" s="5">
        <v>0</v>
      </c>
      <c r="BM1212" s="5">
        <v>0</v>
      </c>
      <c r="BN1212" s="5" t="s">
        <v>85</v>
      </c>
      <c r="BO1212" s="5">
        <v>70</v>
      </c>
      <c r="BP1212" s="5">
        <v>356</v>
      </c>
      <c r="BQ1212" s="5">
        <v>237</v>
      </c>
      <c r="BR1212" s="5">
        <v>119</v>
      </c>
      <c r="BS1212" s="5" t="s">
        <v>2492</v>
      </c>
      <c r="BT1212" s="5">
        <v>30</v>
      </c>
      <c r="BU1212" s="5">
        <v>20</v>
      </c>
      <c r="BV1212" s="5">
        <v>18</v>
      </c>
      <c r="BW1212" s="5">
        <v>2</v>
      </c>
      <c r="BX1212" s="5">
        <v>0</v>
      </c>
      <c r="BZ1212" s="5">
        <v>0</v>
      </c>
      <c r="CA1212" s="5">
        <v>0</v>
      </c>
      <c r="CC1212" s="5">
        <v>0</v>
      </c>
      <c r="CD1212" s="5">
        <v>0</v>
      </c>
      <c r="CF1212" s="1442" t="str">
        <f>IF([1]!sommaire[[#This Row],[présence des personnes déplacés interne]]="Oui","1","0")</f>
        <v>1</v>
      </c>
      <c r="CG1212" s="1442" t="str">
        <f>IF([1]!sommaire[[#This Row],[présence Réfugié hors camp]]="Oui","1","0")</f>
        <v>1</v>
      </c>
      <c r="CH1212" s="1442" t="str">
        <f>IF([1]!sommaire[[#This Row],[présence personnes retournées]]="Oui","1","0")</f>
        <v>1</v>
      </c>
      <c r="CI1212" s="1442">
        <f>[1]!sommaire[[#This Row],[Flag PDI]]+[1]!sommaire[[#This Row],[Flag REF]]+[1]!sommaire[[#This Row],[Flag RET]]</f>
        <v>3</v>
      </c>
    </row>
    <row r="1213" spans="1:87" x14ac:dyDescent="0.3">
      <c r="A1213" s="390">
        <v>2678326</v>
      </c>
      <c r="B1213" s="5" t="s">
        <v>533</v>
      </c>
      <c r="C1213" s="1430" t="s">
        <v>3449</v>
      </c>
      <c r="D1213" s="1090" t="s">
        <v>534</v>
      </c>
      <c r="E1213" s="5" t="s">
        <v>35</v>
      </c>
      <c r="F1213" s="5" t="s">
        <v>35</v>
      </c>
      <c r="G1213" s="5" t="s">
        <v>567</v>
      </c>
      <c r="H1213" s="5" t="s">
        <v>195</v>
      </c>
      <c r="I1213" s="5" t="str">
        <f>_xlfn.XLOOKUP(sommaire[[#This Row],[Arrondissement_code]],OCHA_GIS!$F:$F,OCHA_GIS!$E:$E,,)</f>
        <v>Mokolo</v>
      </c>
      <c r="J1213" s="5" t="s">
        <v>733</v>
      </c>
      <c r="K1213" t="s">
        <v>3213</v>
      </c>
      <c r="L1213" s="5" t="s">
        <v>3070</v>
      </c>
      <c r="N1213" s="5" t="s">
        <v>3053</v>
      </c>
      <c r="O1213" s="5" t="s">
        <v>2467</v>
      </c>
      <c r="P1213" s="5" t="s">
        <v>85</v>
      </c>
      <c r="Q1213" s="5" t="s">
        <v>86</v>
      </c>
      <c r="R1213" s="5" t="s">
        <v>86</v>
      </c>
      <c r="T1213" s="390">
        <v>3</v>
      </c>
      <c r="U1213" s="5" t="s">
        <v>97</v>
      </c>
      <c r="W1213" s="5" t="s">
        <v>2468</v>
      </c>
      <c r="X1213" s="1090" t="s">
        <v>102</v>
      </c>
      <c r="AA1213" s="1090" t="s">
        <v>85</v>
      </c>
      <c r="AB1213" s="5" t="s">
        <v>2469</v>
      </c>
      <c r="AC1213" s="5" t="s">
        <v>2470</v>
      </c>
      <c r="AD1213" s="5" t="s">
        <v>86</v>
      </c>
      <c r="AF1213" s="5">
        <v>172</v>
      </c>
      <c r="AG1213" s="5">
        <v>3460</v>
      </c>
      <c r="AH1213" s="5" t="s">
        <v>85</v>
      </c>
      <c r="AI1213" s="5" t="s">
        <v>2471</v>
      </c>
      <c r="AJ1213" s="5">
        <v>172</v>
      </c>
      <c r="AK1213" s="5">
        <v>630</v>
      </c>
      <c r="AL1213" s="5">
        <v>265</v>
      </c>
      <c r="AM1213" s="5">
        <v>365</v>
      </c>
      <c r="AN1213" s="5">
        <v>0</v>
      </c>
      <c r="AO1213" s="5">
        <v>172</v>
      </c>
      <c r="AP1213" s="5">
        <v>0</v>
      </c>
      <c r="AQ1213" s="5">
        <v>0</v>
      </c>
      <c r="AT1213" s="5">
        <v>0</v>
      </c>
      <c r="AU1213" s="5">
        <v>0</v>
      </c>
      <c r="AX1213" s="5">
        <v>0</v>
      </c>
      <c r="AY1213" s="1090" t="s">
        <v>85</v>
      </c>
      <c r="AZ1213" s="5">
        <v>7</v>
      </c>
      <c r="BA1213" s="5">
        <v>51</v>
      </c>
      <c r="BB1213" s="5">
        <v>17</v>
      </c>
      <c r="BC1213" s="5">
        <v>34</v>
      </c>
      <c r="BD1213" s="5">
        <v>0</v>
      </c>
      <c r="BE1213" s="5">
        <v>0</v>
      </c>
      <c r="BF1213" s="5">
        <v>7</v>
      </c>
      <c r="BG1213" s="5" t="s">
        <v>2477</v>
      </c>
      <c r="BH1213" s="5">
        <v>0</v>
      </c>
      <c r="BI1213" s="5">
        <v>0</v>
      </c>
      <c r="BL1213" s="5">
        <v>0</v>
      </c>
      <c r="BM1213" s="5">
        <v>0</v>
      </c>
      <c r="BN1213" s="1090" t="s">
        <v>85</v>
      </c>
      <c r="BO1213" s="5">
        <v>20</v>
      </c>
      <c r="BP1213" s="5">
        <v>90</v>
      </c>
      <c r="BQ1213" s="5">
        <v>34</v>
      </c>
      <c r="BR1213" s="5">
        <v>56</v>
      </c>
      <c r="BS1213" s="5" t="s">
        <v>2492</v>
      </c>
      <c r="BT1213" s="5">
        <v>0</v>
      </c>
      <c r="BU1213" s="5">
        <v>20</v>
      </c>
      <c r="BV1213" s="5">
        <v>0</v>
      </c>
      <c r="BW1213" s="5">
        <v>0</v>
      </c>
      <c r="BX1213" s="5">
        <v>0</v>
      </c>
      <c r="BZ1213" s="5">
        <v>0</v>
      </c>
      <c r="CA1213" s="5">
        <v>0</v>
      </c>
      <c r="CC1213" s="5">
        <v>0</v>
      </c>
      <c r="CD1213" s="5">
        <v>0</v>
      </c>
      <c r="CF1213" s="1442" t="str">
        <f>IF([1]!sommaire[[#This Row],[présence des personnes déplacés interne]]="Oui","1","0")</f>
        <v>1</v>
      </c>
      <c r="CG1213" s="1442" t="str">
        <f>IF([1]!sommaire[[#This Row],[présence Réfugié hors camp]]="Oui","1","0")</f>
        <v>1</v>
      </c>
      <c r="CH1213" s="1442" t="str">
        <f>IF([1]!sommaire[[#This Row],[présence personnes retournées]]="Oui","1","0")</f>
        <v>1</v>
      </c>
      <c r="CI1213" s="1442">
        <f>[1]!sommaire[[#This Row],[Flag PDI]]+[1]!sommaire[[#This Row],[Flag REF]]+[1]!sommaire[[#This Row],[Flag RET]]</f>
        <v>3</v>
      </c>
    </row>
    <row r="1214" spans="1:87" x14ac:dyDescent="0.3">
      <c r="A1214" s="390">
        <v>2672936</v>
      </c>
      <c r="B1214" s="5" t="s">
        <v>533</v>
      </c>
      <c r="C1214" s="1430" t="s">
        <v>3449</v>
      </c>
      <c r="D1214" s="1090" t="s">
        <v>534</v>
      </c>
      <c r="E1214" s="5" t="s">
        <v>35</v>
      </c>
      <c r="F1214" s="5" t="s">
        <v>35</v>
      </c>
      <c r="G1214" s="5" t="s">
        <v>567</v>
      </c>
      <c r="H1214" s="5" t="s">
        <v>195</v>
      </c>
      <c r="I1214" s="5" t="str">
        <f>_xlfn.XLOOKUP(sommaire[[#This Row],[Arrondissement_code]],OCHA_GIS!$F:$F,OCHA_GIS!$E:$E,,)</f>
        <v>Mokolo</v>
      </c>
      <c r="J1214" s="5" t="s">
        <v>733</v>
      </c>
      <c r="K1214" t="s">
        <v>2932</v>
      </c>
      <c r="L1214" s="5" t="s">
        <v>2004</v>
      </c>
      <c r="N1214" s="5" t="s">
        <v>3053</v>
      </c>
      <c r="O1214" s="5" t="s">
        <v>2467</v>
      </c>
      <c r="P1214" s="5" t="s">
        <v>85</v>
      </c>
      <c r="Q1214" s="5" t="s">
        <v>86</v>
      </c>
      <c r="R1214" s="5" t="s">
        <v>85</v>
      </c>
      <c r="T1214" s="390">
        <v>4</v>
      </c>
      <c r="U1214" s="5" t="s">
        <v>97</v>
      </c>
      <c r="W1214" s="5" t="s">
        <v>2468</v>
      </c>
      <c r="X1214" s="5" t="s">
        <v>102</v>
      </c>
      <c r="AA1214" s="1175" t="s">
        <v>85</v>
      </c>
      <c r="AB1214" s="5" t="s">
        <v>2469</v>
      </c>
      <c r="AC1214" s="5" t="s">
        <v>2470</v>
      </c>
      <c r="AD1214" s="5" t="s">
        <v>86</v>
      </c>
      <c r="AF1214" s="5">
        <v>284</v>
      </c>
      <c r="AG1214" s="5">
        <v>5639</v>
      </c>
      <c r="AH1214" s="5" t="s">
        <v>85</v>
      </c>
      <c r="AI1214" s="5" t="s">
        <v>2471</v>
      </c>
      <c r="AJ1214" s="5">
        <v>284</v>
      </c>
      <c r="AK1214" s="5">
        <v>1465</v>
      </c>
      <c r="AL1214" s="5">
        <v>687</v>
      </c>
      <c r="AM1214" s="5">
        <v>778</v>
      </c>
      <c r="AN1214" s="5">
        <v>0</v>
      </c>
      <c r="AO1214" s="5">
        <v>254</v>
      </c>
      <c r="AP1214" s="5">
        <v>12</v>
      </c>
      <c r="AQ1214" s="5">
        <v>18</v>
      </c>
      <c r="AR1214" s="5" t="s">
        <v>2477</v>
      </c>
      <c r="AT1214" s="5">
        <v>0</v>
      </c>
      <c r="AU1214" s="5">
        <v>0</v>
      </c>
      <c r="AX1214" s="5">
        <v>0</v>
      </c>
      <c r="AY1214" s="5" t="s">
        <v>85</v>
      </c>
      <c r="AZ1214" s="5">
        <v>36</v>
      </c>
      <c r="BA1214" s="5">
        <v>195</v>
      </c>
      <c r="BB1214" s="5">
        <v>91</v>
      </c>
      <c r="BC1214" s="5">
        <v>104</v>
      </c>
      <c r="BD1214" s="5">
        <v>36</v>
      </c>
      <c r="BE1214" s="5">
        <v>0</v>
      </c>
      <c r="BF1214" s="5">
        <v>0</v>
      </c>
      <c r="BH1214" s="5">
        <v>0</v>
      </c>
      <c r="BI1214" s="5">
        <v>0</v>
      </c>
      <c r="BL1214" s="5">
        <v>0</v>
      </c>
      <c r="BM1214" s="5">
        <v>0</v>
      </c>
      <c r="BN1214" s="5" t="s">
        <v>86</v>
      </c>
      <c r="CD1214" s="5">
        <v>0</v>
      </c>
      <c r="CF1214" s="1442" t="str">
        <f>IF([1]!sommaire[[#This Row],[présence des personnes déplacés interne]]="Oui","1","0")</f>
        <v>1</v>
      </c>
      <c r="CG1214" s="1442" t="str">
        <f>IF([1]!sommaire[[#This Row],[présence Réfugié hors camp]]="Oui","1","0")</f>
        <v>1</v>
      </c>
      <c r="CH1214" s="1442" t="str">
        <f>IF([1]!sommaire[[#This Row],[présence personnes retournées]]="Oui","1","0")</f>
        <v>0</v>
      </c>
      <c r="CI1214" s="1442">
        <f>[1]!sommaire[[#This Row],[Flag PDI]]+[1]!sommaire[[#This Row],[Flag REF]]+[1]!sommaire[[#This Row],[Flag RET]]</f>
        <v>2</v>
      </c>
    </row>
    <row r="1215" spans="1:87" x14ac:dyDescent="0.3">
      <c r="A1215" s="390">
        <v>2543794</v>
      </c>
      <c r="B1215" s="5" t="s">
        <v>533</v>
      </c>
      <c r="C1215" s="1430" t="s">
        <v>3449</v>
      </c>
      <c r="D1215" s="1090" t="s">
        <v>534</v>
      </c>
      <c r="E1215" s="5" t="s">
        <v>35</v>
      </c>
      <c r="F1215" s="5" t="s">
        <v>35</v>
      </c>
      <c r="G1215" s="5" t="s">
        <v>567</v>
      </c>
      <c r="H1215" s="5" t="s">
        <v>195</v>
      </c>
      <c r="I1215" s="5" t="str">
        <f>_xlfn.XLOOKUP(sommaire[[#This Row],[Arrondissement_code]],OCHA_GIS!$F:$F,OCHA_GIS!$E:$E,,)</f>
        <v>Mokolo</v>
      </c>
      <c r="J1215" s="5" t="s">
        <v>733</v>
      </c>
      <c r="K1215" t="s">
        <v>737</v>
      </c>
      <c r="L1215" s="5" t="s">
        <v>1459</v>
      </c>
      <c r="N1215" s="5" t="s">
        <v>3053</v>
      </c>
      <c r="O1215" s="5" t="s">
        <v>2467</v>
      </c>
      <c r="P1215" s="5" t="s">
        <v>85</v>
      </c>
      <c r="Q1215" s="5" t="s">
        <v>86</v>
      </c>
      <c r="R1215" s="5" t="s">
        <v>85</v>
      </c>
      <c r="T1215" s="390">
        <v>3</v>
      </c>
      <c r="U1215" s="5" t="s">
        <v>97</v>
      </c>
      <c r="W1215" s="5" t="s">
        <v>2468</v>
      </c>
      <c r="X1215" s="5" t="s">
        <v>102</v>
      </c>
      <c r="AA1215" s="5" t="s">
        <v>85</v>
      </c>
      <c r="AB1215" s="5" t="s">
        <v>2469</v>
      </c>
      <c r="AC1215" s="5" t="s">
        <v>2470</v>
      </c>
      <c r="AD1215" s="1090" t="s">
        <v>86</v>
      </c>
      <c r="AF1215" s="5">
        <v>3</v>
      </c>
      <c r="AG1215" s="5">
        <v>3000</v>
      </c>
      <c r="AH1215" s="5" t="s">
        <v>85</v>
      </c>
      <c r="AI1215" s="5" t="s">
        <v>2471</v>
      </c>
      <c r="AJ1215" s="5">
        <v>3</v>
      </c>
      <c r="AK1215" s="5">
        <v>12</v>
      </c>
      <c r="AL1215" s="5">
        <v>5</v>
      </c>
      <c r="AM1215" s="5">
        <v>7</v>
      </c>
      <c r="AN1215" s="5">
        <v>0</v>
      </c>
      <c r="AO1215" s="5">
        <v>3</v>
      </c>
      <c r="AP1215" s="5">
        <v>0</v>
      </c>
      <c r="AQ1215" s="5">
        <v>0</v>
      </c>
      <c r="AT1215" s="5">
        <v>0</v>
      </c>
      <c r="AU1215" s="5">
        <v>0</v>
      </c>
      <c r="AX1215" s="5">
        <v>0</v>
      </c>
      <c r="AY1215" s="5" t="s">
        <v>86</v>
      </c>
      <c r="BN1215" s="5" t="s">
        <v>86</v>
      </c>
      <c r="CD1215" s="5">
        <v>0</v>
      </c>
      <c r="CF1215" s="1442" t="str">
        <f>IF([1]!sommaire[[#This Row],[présence des personnes déplacés interne]]="Oui","1","0")</f>
        <v>1</v>
      </c>
      <c r="CG1215" s="1442" t="str">
        <f>IF([1]!sommaire[[#This Row],[présence Réfugié hors camp]]="Oui","1","0")</f>
        <v>0</v>
      </c>
      <c r="CH1215" s="1442" t="str">
        <f>IF([1]!sommaire[[#This Row],[présence personnes retournées]]="Oui","1","0")</f>
        <v>0</v>
      </c>
      <c r="CI1215" s="1442">
        <f>[1]!sommaire[[#This Row],[Flag PDI]]+[1]!sommaire[[#This Row],[Flag REF]]+[1]!sommaire[[#This Row],[Flag RET]]</f>
        <v>1</v>
      </c>
    </row>
    <row r="1216" spans="1:87" x14ac:dyDescent="0.3">
      <c r="A1216" s="390">
        <v>2655344</v>
      </c>
      <c r="B1216" s="5" t="s">
        <v>533</v>
      </c>
      <c r="C1216" s="1430" t="s">
        <v>3449</v>
      </c>
      <c r="D1216" s="1090" t="s">
        <v>534</v>
      </c>
      <c r="E1216" s="5" t="s">
        <v>35</v>
      </c>
      <c r="F1216" s="5" t="s">
        <v>35</v>
      </c>
      <c r="G1216" s="5" t="s">
        <v>567</v>
      </c>
      <c r="H1216" s="5" t="s">
        <v>195</v>
      </c>
      <c r="I1216" s="5" t="str">
        <f>_xlfn.XLOOKUP(sommaire[[#This Row],[Arrondissement_code]],OCHA_GIS!$F:$F,OCHA_GIS!$E:$E,,)</f>
        <v>Mokolo</v>
      </c>
      <c r="J1216" s="5" t="s">
        <v>733</v>
      </c>
      <c r="K1216" t="s">
        <v>1794</v>
      </c>
      <c r="L1216" s="5" t="s">
        <v>1034</v>
      </c>
      <c r="N1216" s="5" t="s">
        <v>3053</v>
      </c>
      <c r="O1216" s="5" t="s">
        <v>2467</v>
      </c>
      <c r="P1216" s="5" t="s">
        <v>85</v>
      </c>
      <c r="Q1216" s="5" t="s">
        <v>86</v>
      </c>
      <c r="R1216" s="5" t="s">
        <v>85</v>
      </c>
      <c r="T1216" s="390">
        <v>3</v>
      </c>
      <c r="U1216" s="5" t="s">
        <v>97</v>
      </c>
      <c r="W1216" s="5" t="s">
        <v>2468</v>
      </c>
      <c r="X1216" s="5" t="s">
        <v>102</v>
      </c>
      <c r="AA1216" s="5" t="s">
        <v>85</v>
      </c>
      <c r="AB1216" s="5" t="s">
        <v>2469</v>
      </c>
      <c r="AC1216" s="5" t="s">
        <v>2576</v>
      </c>
      <c r="AD1216" s="5" t="s">
        <v>86</v>
      </c>
      <c r="AF1216" s="5">
        <v>70</v>
      </c>
      <c r="AG1216" s="5">
        <v>3905</v>
      </c>
      <c r="AH1216" s="5" t="s">
        <v>85</v>
      </c>
      <c r="AI1216" s="5" t="s">
        <v>2471</v>
      </c>
      <c r="AJ1216" s="5">
        <v>70</v>
      </c>
      <c r="AK1216" s="5">
        <v>462</v>
      </c>
      <c r="AL1216" s="5">
        <v>196</v>
      </c>
      <c r="AM1216" s="5">
        <v>266</v>
      </c>
      <c r="AN1216" s="5">
        <v>0</v>
      </c>
      <c r="AO1216" s="5">
        <v>60</v>
      </c>
      <c r="AP1216" s="5">
        <v>0</v>
      </c>
      <c r="AQ1216" s="5">
        <v>0</v>
      </c>
      <c r="AT1216" s="5">
        <v>0</v>
      </c>
      <c r="AU1216" s="5">
        <v>0</v>
      </c>
      <c r="AX1216" s="5">
        <v>10</v>
      </c>
      <c r="AY1216" s="5" t="s">
        <v>86</v>
      </c>
      <c r="BN1216" s="5" t="s">
        <v>86</v>
      </c>
      <c r="CD1216" s="5">
        <v>0</v>
      </c>
      <c r="CF1216" s="1442" t="str">
        <f>IF([1]!sommaire[[#This Row],[présence des personnes déplacés interne]]="Oui","1","0")</f>
        <v>1</v>
      </c>
      <c r="CG1216" s="1442" t="str">
        <f>IF([1]!sommaire[[#This Row],[présence Réfugié hors camp]]="Oui","1","0")</f>
        <v>0</v>
      </c>
      <c r="CH1216" s="1442" t="str">
        <f>IF([1]!sommaire[[#This Row],[présence personnes retournées]]="Oui","1","0")</f>
        <v>0</v>
      </c>
      <c r="CI1216" s="1442">
        <f>[1]!sommaire[[#This Row],[Flag PDI]]+[1]!sommaire[[#This Row],[Flag REF]]+[1]!sommaire[[#This Row],[Flag RET]]</f>
        <v>1</v>
      </c>
    </row>
    <row r="1217" spans="1:87" x14ac:dyDescent="0.3">
      <c r="A1217" s="390">
        <v>2627442</v>
      </c>
      <c r="B1217" s="5" t="s">
        <v>533</v>
      </c>
      <c r="C1217" s="1430" t="s">
        <v>3449</v>
      </c>
      <c r="D1217" s="1090" t="s">
        <v>534</v>
      </c>
      <c r="E1217" s="5" t="s">
        <v>35</v>
      </c>
      <c r="F1217" s="5" t="s">
        <v>35</v>
      </c>
      <c r="G1217" s="5" t="s">
        <v>567</v>
      </c>
      <c r="H1217" s="5" t="s">
        <v>195</v>
      </c>
      <c r="I1217" s="5" t="str">
        <f>_xlfn.XLOOKUP(sommaire[[#This Row],[Arrondissement_code]],OCHA_GIS!$F:$F,OCHA_GIS!$E:$E,,)</f>
        <v>Mokolo</v>
      </c>
      <c r="J1217" s="5" t="s">
        <v>733</v>
      </c>
      <c r="K1217" t="s">
        <v>2146</v>
      </c>
      <c r="L1217" s="5" t="s">
        <v>1036</v>
      </c>
      <c r="N1217" s="5" t="s">
        <v>3053</v>
      </c>
      <c r="O1217" s="5" t="s">
        <v>2467</v>
      </c>
      <c r="P1217" s="5" t="s">
        <v>85</v>
      </c>
      <c r="Q1217" s="5" t="s">
        <v>86</v>
      </c>
      <c r="R1217" s="5" t="s">
        <v>85</v>
      </c>
      <c r="T1217" s="390">
        <v>3</v>
      </c>
      <c r="U1217" s="5" t="s">
        <v>97</v>
      </c>
      <c r="W1217" s="5" t="s">
        <v>2468</v>
      </c>
      <c r="X1217" s="5" t="s">
        <v>102</v>
      </c>
      <c r="AA1217" s="5" t="s">
        <v>85</v>
      </c>
      <c r="AB1217" s="5" t="s">
        <v>2469</v>
      </c>
      <c r="AC1217" s="5" t="s">
        <v>2470</v>
      </c>
      <c r="AD1217" s="5" t="s">
        <v>86</v>
      </c>
      <c r="AF1217" s="5">
        <v>195</v>
      </c>
      <c r="AG1217" s="5">
        <v>6000</v>
      </c>
      <c r="AH1217" s="5" t="s">
        <v>85</v>
      </c>
      <c r="AI1217" s="5" t="s">
        <v>2486</v>
      </c>
      <c r="AJ1217" s="5">
        <v>195</v>
      </c>
      <c r="AK1217" s="5">
        <v>806</v>
      </c>
      <c r="AL1217" s="5">
        <v>365</v>
      </c>
      <c r="AM1217" s="5">
        <v>441</v>
      </c>
      <c r="AN1217" s="5">
        <v>10</v>
      </c>
      <c r="AO1217" s="5">
        <v>185</v>
      </c>
      <c r="AP1217" s="5">
        <v>0</v>
      </c>
      <c r="AQ1217" s="5">
        <v>0</v>
      </c>
      <c r="AT1217" s="5">
        <v>0</v>
      </c>
      <c r="AU1217" s="5">
        <v>0</v>
      </c>
      <c r="AX1217" s="5">
        <v>0</v>
      </c>
      <c r="AY1217" s="5" t="s">
        <v>86</v>
      </c>
      <c r="BN1217" s="5" t="s">
        <v>86</v>
      </c>
      <c r="CD1217" s="5">
        <v>0</v>
      </c>
      <c r="CF1217" s="1442" t="str">
        <f>IF([1]!sommaire[[#This Row],[présence des personnes déplacés interne]]="Oui","1","0")</f>
        <v>1</v>
      </c>
      <c r="CG1217" s="1442" t="str">
        <f>IF([1]!sommaire[[#This Row],[présence Réfugié hors camp]]="Oui","1","0")</f>
        <v>0</v>
      </c>
      <c r="CH1217" s="1442" t="str">
        <f>IF([1]!sommaire[[#This Row],[présence personnes retournées]]="Oui","1","0")</f>
        <v>0</v>
      </c>
      <c r="CI1217" s="1442">
        <f>[1]!sommaire[[#This Row],[Flag PDI]]+[1]!sommaire[[#This Row],[Flag REF]]+[1]!sommaire[[#This Row],[Flag RET]]</f>
        <v>1</v>
      </c>
    </row>
    <row r="1218" spans="1:87" x14ac:dyDescent="0.3">
      <c r="A1218" s="390">
        <v>2636528</v>
      </c>
      <c r="B1218" s="5" t="s">
        <v>533</v>
      </c>
      <c r="C1218" s="1430" t="s">
        <v>3449</v>
      </c>
      <c r="D1218" s="1090" t="s">
        <v>534</v>
      </c>
      <c r="E1218" s="5" t="s">
        <v>35</v>
      </c>
      <c r="F1218" s="5" t="s">
        <v>35</v>
      </c>
      <c r="G1218" s="5" t="s">
        <v>567</v>
      </c>
      <c r="H1218" s="5" t="s">
        <v>195</v>
      </c>
      <c r="I1218" s="5" t="str">
        <f>_xlfn.XLOOKUP(sommaire[[#This Row],[Arrondissement_code]],OCHA_GIS!$F:$F,OCHA_GIS!$E:$E,,)</f>
        <v>Mokolo</v>
      </c>
      <c r="J1218" s="5" t="s">
        <v>733</v>
      </c>
      <c r="K1218" t="s">
        <v>2946</v>
      </c>
      <c r="L1218" s="5" t="s">
        <v>840</v>
      </c>
      <c r="N1218" s="5" t="s">
        <v>3053</v>
      </c>
      <c r="O1218" s="5" t="s">
        <v>2467</v>
      </c>
      <c r="P1218" s="5" t="s">
        <v>85</v>
      </c>
      <c r="Q1218" s="5" t="s">
        <v>86</v>
      </c>
      <c r="R1218" s="5" t="s">
        <v>85</v>
      </c>
      <c r="T1218" s="390">
        <v>3</v>
      </c>
      <c r="U1218" s="5" t="s">
        <v>97</v>
      </c>
      <c r="W1218" s="5" t="s">
        <v>2468</v>
      </c>
      <c r="X1218" s="5" t="s">
        <v>102</v>
      </c>
      <c r="AA1218" s="5" t="s">
        <v>85</v>
      </c>
      <c r="AB1218" s="5" t="s">
        <v>2473</v>
      </c>
      <c r="AC1218" s="5" t="s">
        <v>2470</v>
      </c>
      <c r="AD1218" s="5" t="s">
        <v>85</v>
      </c>
      <c r="AE1218" s="5">
        <v>1</v>
      </c>
      <c r="AF1218" s="5">
        <v>66</v>
      </c>
      <c r="AG1218" s="5">
        <v>2000</v>
      </c>
      <c r="AH1218" s="5" t="s">
        <v>85</v>
      </c>
      <c r="AI1218" s="5" t="s">
        <v>2485</v>
      </c>
      <c r="AJ1218" s="5">
        <v>66</v>
      </c>
      <c r="AK1218" s="5">
        <v>469</v>
      </c>
      <c r="AL1218" s="5">
        <v>204</v>
      </c>
      <c r="AM1218" s="5">
        <v>265</v>
      </c>
      <c r="AN1218" s="5">
        <v>0</v>
      </c>
      <c r="AO1218" s="5">
        <v>0</v>
      </c>
      <c r="AP1218" s="5">
        <v>0</v>
      </c>
      <c r="AQ1218" s="5">
        <v>0</v>
      </c>
      <c r="AT1218" s="5">
        <v>0</v>
      </c>
      <c r="AU1218" s="5">
        <v>66</v>
      </c>
      <c r="AV1218" s="5" t="s">
        <v>2478</v>
      </c>
      <c r="AX1218" s="5">
        <v>0</v>
      </c>
      <c r="AY1218" s="5" t="s">
        <v>86</v>
      </c>
      <c r="BN1218" s="5" t="s">
        <v>86</v>
      </c>
      <c r="CD1218" s="5">
        <v>0</v>
      </c>
      <c r="CF1218" s="1442" t="str">
        <f>IF([1]!sommaire[[#This Row],[présence des personnes déplacés interne]]="Oui","1","0")</f>
        <v>1</v>
      </c>
      <c r="CG1218" s="1442" t="str">
        <f>IF([1]!sommaire[[#This Row],[présence Réfugié hors camp]]="Oui","1","0")</f>
        <v>0</v>
      </c>
      <c r="CH1218" s="1442" t="str">
        <f>IF([1]!sommaire[[#This Row],[présence personnes retournées]]="Oui","1","0")</f>
        <v>0</v>
      </c>
      <c r="CI1218" s="1442">
        <f>[1]!sommaire[[#This Row],[Flag PDI]]+[1]!sommaire[[#This Row],[Flag REF]]+[1]!sommaire[[#This Row],[Flag RET]]</f>
        <v>1</v>
      </c>
    </row>
    <row r="1219" spans="1:87" x14ac:dyDescent="0.3">
      <c r="A1219" s="390">
        <v>2680351</v>
      </c>
      <c r="B1219" s="5" t="s">
        <v>533</v>
      </c>
      <c r="C1219" s="1430" t="s">
        <v>3449</v>
      </c>
      <c r="D1219" s="1090" t="s">
        <v>534</v>
      </c>
      <c r="E1219" s="5" t="s">
        <v>35</v>
      </c>
      <c r="F1219" s="5" t="s">
        <v>35</v>
      </c>
      <c r="G1219" s="5" t="s">
        <v>567</v>
      </c>
      <c r="H1219" s="5" t="s">
        <v>195</v>
      </c>
      <c r="I1219" s="5" t="str">
        <f>_xlfn.XLOOKUP(sommaire[[#This Row],[Arrondissement_code]],OCHA_GIS!$F:$F,OCHA_GIS!$E:$E,,)</f>
        <v>Mokolo</v>
      </c>
      <c r="J1219" s="5" t="s">
        <v>733</v>
      </c>
      <c r="K1219" t="s">
        <v>2950</v>
      </c>
      <c r="L1219" s="5" t="s">
        <v>2066</v>
      </c>
      <c r="N1219" s="5" t="s">
        <v>3053</v>
      </c>
      <c r="O1219" s="5" t="s">
        <v>2467</v>
      </c>
      <c r="P1219" s="5" t="s">
        <v>85</v>
      </c>
      <c r="Q1219" s="5" t="s">
        <v>86</v>
      </c>
      <c r="R1219" s="5" t="s">
        <v>86</v>
      </c>
      <c r="T1219" s="390">
        <v>3</v>
      </c>
      <c r="U1219" s="5" t="s">
        <v>97</v>
      </c>
      <c r="W1219" s="5" t="s">
        <v>2468</v>
      </c>
      <c r="X1219" s="5" t="s">
        <v>102</v>
      </c>
      <c r="AA1219" s="5" t="s">
        <v>85</v>
      </c>
      <c r="AB1219" s="5" t="s">
        <v>2469</v>
      </c>
      <c r="AC1219" s="5" t="s">
        <v>312</v>
      </c>
      <c r="AD1219" s="5" t="s">
        <v>86</v>
      </c>
      <c r="AF1219" s="5">
        <v>81</v>
      </c>
      <c r="AG1219" s="5">
        <v>9000</v>
      </c>
      <c r="AH1219" s="5" t="s">
        <v>85</v>
      </c>
      <c r="AI1219" s="5" t="s">
        <v>2486</v>
      </c>
      <c r="AJ1219" s="5">
        <v>81</v>
      </c>
      <c r="AK1219" s="5">
        <v>377</v>
      </c>
      <c r="AL1219" s="5">
        <v>199</v>
      </c>
      <c r="AM1219" s="5">
        <v>178</v>
      </c>
      <c r="AN1219" s="5">
        <v>0</v>
      </c>
      <c r="AO1219" s="5">
        <v>75</v>
      </c>
      <c r="AP1219" s="5">
        <v>5</v>
      </c>
      <c r="AQ1219" s="5">
        <v>1</v>
      </c>
      <c r="AR1219" s="5" t="s">
        <v>2472</v>
      </c>
      <c r="AT1219" s="5">
        <v>0</v>
      </c>
      <c r="AU1219" s="5">
        <v>0</v>
      </c>
      <c r="AX1219" s="5">
        <v>0</v>
      </c>
      <c r="AY1219" s="5" t="s">
        <v>86</v>
      </c>
      <c r="BN1219" s="5" t="s">
        <v>85</v>
      </c>
      <c r="BO1219" s="5">
        <v>102</v>
      </c>
      <c r="BP1219" s="5">
        <v>154</v>
      </c>
      <c r="BQ1219" s="5">
        <v>58</v>
      </c>
      <c r="BR1219" s="5">
        <v>96</v>
      </c>
      <c r="BS1219" s="5" t="s">
        <v>2479</v>
      </c>
      <c r="BT1219" s="5">
        <v>0</v>
      </c>
      <c r="BU1219" s="5">
        <v>0</v>
      </c>
      <c r="BV1219" s="5">
        <v>50</v>
      </c>
      <c r="BW1219" s="5">
        <v>0</v>
      </c>
      <c r="BX1219" s="5">
        <v>52</v>
      </c>
      <c r="BY1219" s="5" t="s">
        <v>2472</v>
      </c>
      <c r="BZ1219" s="5">
        <v>0</v>
      </c>
      <c r="CA1219" s="5">
        <v>0</v>
      </c>
      <c r="CC1219" s="5">
        <v>0</v>
      </c>
      <c r="CD1219" s="5">
        <v>0</v>
      </c>
      <c r="CF1219" s="1442" t="str">
        <f>IF([1]!sommaire[[#This Row],[présence des personnes déplacés interne]]="Oui","1","0")</f>
        <v>1</v>
      </c>
      <c r="CG1219" s="1442" t="str">
        <f>IF([1]!sommaire[[#This Row],[présence Réfugié hors camp]]="Oui","1","0")</f>
        <v>0</v>
      </c>
      <c r="CH1219" s="1442" t="str">
        <f>IF([1]!sommaire[[#This Row],[présence personnes retournées]]="Oui","1","0")</f>
        <v>1</v>
      </c>
      <c r="CI1219" s="1442">
        <f>[1]!sommaire[[#This Row],[Flag PDI]]+[1]!sommaire[[#This Row],[Flag REF]]+[1]!sommaire[[#This Row],[Flag RET]]</f>
        <v>2</v>
      </c>
    </row>
    <row r="1220" spans="1:87" x14ac:dyDescent="0.3">
      <c r="A1220" s="390">
        <v>2655333</v>
      </c>
      <c r="B1220" s="5" t="s">
        <v>533</v>
      </c>
      <c r="C1220" s="1430" t="s">
        <v>3449</v>
      </c>
      <c r="D1220" s="1090" t="s">
        <v>534</v>
      </c>
      <c r="E1220" s="5" t="s">
        <v>35</v>
      </c>
      <c r="F1220" s="5" t="s">
        <v>35</v>
      </c>
      <c r="G1220" s="5" t="s">
        <v>567</v>
      </c>
      <c r="H1220" s="5" t="s">
        <v>195</v>
      </c>
      <c r="I1220" s="5" t="str">
        <f>_xlfn.XLOOKUP(sommaire[[#This Row],[Arrondissement_code]],OCHA_GIS!$F:$F,OCHA_GIS!$E:$E,,)</f>
        <v>Mokolo</v>
      </c>
      <c r="J1220" s="5" t="s">
        <v>733</v>
      </c>
      <c r="K1220" t="s">
        <v>2003</v>
      </c>
      <c r="L1220" s="5" t="s">
        <v>3221</v>
      </c>
      <c r="N1220" s="5" t="s">
        <v>3053</v>
      </c>
      <c r="O1220" s="5" t="s">
        <v>2467</v>
      </c>
      <c r="P1220" s="5" t="s">
        <v>85</v>
      </c>
      <c r="Q1220" s="5" t="s">
        <v>86</v>
      </c>
      <c r="R1220" s="5" t="s">
        <v>85</v>
      </c>
      <c r="T1220" s="390">
        <v>3</v>
      </c>
      <c r="U1220" s="5" t="s">
        <v>97</v>
      </c>
      <c r="W1220" s="5" t="s">
        <v>2468</v>
      </c>
      <c r="X1220" s="5" t="s">
        <v>102</v>
      </c>
      <c r="AA1220" s="586" t="s">
        <v>85</v>
      </c>
      <c r="AB1220" s="5" t="s">
        <v>2469</v>
      </c>
      <c r="AC1220" s="5" t="s">
        <v>312</v>
      </c>
      <c r="AD1220" s="5" t="s">
        <v>86</v>
      </c>
      <c r="AF1220" s="5">
        <v>20</v>
      </c>
      <c r="AG1220" s="5">
        <v>2523</v>
      </c>
      <c r="AH1220" s="5" t="s">
        <v>85</v>
      </c>
      <c r="AI1220" s="5" t="s">
        <v>2485</v>
      </c>
      <c r="AJ1220" s="5">
        <v>20</v>
      </c>
      <c r="AK1220" s="5">
        <v>119</v>
      </c>
      <c r="AL1220" s="5">
        <v>56</v>
      </c>
      <c r="AM1220" s="5">
        <v>63</v>
      </c>
      <c r="AN1220" s="5">
        <v>0</v>
      </c>
      <c r="AO1220" s="5">
        <v>13</v>
      </c>
      <c r="AP1220" s="5">
        <v>0</v>
      </c>
      <c r="AQ1220" s="5">
        <v>7</v>
      </c>
      <c r="AR1220" s="5" t="s">
        <v>2477</v>
      </c>
      <c r="AT1220" s="5">
        <v>0</v>
      </c>
      <c r="AU1220" s="5">
        <v>0</v>
      </c>
      <c r="AX1220" s="5">
        <v>0</v>
      </c>
      <c r="AY1220" s="5" t="s">
        <v>86</v>
      </c>
      <c r="BN1220" s="5" t="s">
        <v>86</v>
      </c>
      <c r="CD1220" s="5">
        <v>0</v>
      </c>
      <c r="CF1220" s="1442" t="str">
        <f>IF([1]!sommaire[[#This Row],[présence des personnes déplacés interne]]="Oui","1","0")</f>
        <v>1</v>
      </c>
      <c r="CG1220" s="1442" t="str">
        <f>IF([1]!sommaire[[#This Row],[présence Réfugié hors camp]]="Oui","1","0")</f>
        <v>0</v>
      </c>
      <c r="CH1220" s="1442" t="str">
        <f>IF([1]!sommaire[[#This Row],[présence personnes retournées]]="Oui","1","0")</f>
        <v>0</v>
      </c>
      <c r="CI1220" s="1442">
        <f>[1]!sommaire[[#This Row],[Flag PDI]]+[1]!sommaire[[#This Row],[Flag REF]]+[1]!sommaire[[#This Row],[Flag RET]]</f>
        <v>1</v>
      </c>
    </row>
    <row r="1221" spans="1:87" x14ac:dyDescent="0.3">
      <c r="A1221" s="390">
        <v>2655347</v>
      </c>
      <c r="B1221" s="5" t="s">
        <v>533</v>
      </c>
      <c r="C1221" s="1430" t="s">
        <v>3449</v>
      </c>
      <c r="D1221" s="1090" t="s">
        <v>534</v>
      </c>
      <c r="E1221" s="5" t="s">
        <v>35</v>
      </c>
      <c r="F1221" s="5" t="s">
        <v>35</v>
      </c>
      <c r="G1221" s="5" t="s">
        <v>567</v>
      </c>
      <c r="H1221" s="5" t="s">
        <v>195</v>
      </c>
      <c r="I1221" s="5" t="str">
        <f>_xlfn.XLOOKUP(sommaire[[#This Row],[Arrondissement_code]],OCHA_GIS!$F:$F,OCHA_GIS!$E:$E,,)</f>
        <v>Mokolo</v>
      </c>
      <c r="J1221" s="5" t="s">
        <v>733</v>
      </c>
      <c r="K1221" t="s">
        <v>839</v>
      </c>
      <c r="L1221" s="5" t="s">
        <v>2649</v>
      </c>
      <c r="N1221" s="5" t="s">
        <v>3053</v>
      </c>
      <c r="O1221" s="5" t="s">
        <v>2467</v>
      </c>
      <c r="P1221" s="5" t="s">
        <v>85</v>
      </c>
      <c r="Q1221" s="5" t="s">
        <v>86</v>
      </c>
      <c r="R1221" s="5" t="s">
        <v>86</v>
      </c>
      <c r="T1221" s="390">
        <v>3</v>
      </c>
      <c r="U1221" s="5" t="s">
        <v>100</v>
      </c>
      <c r="W1221" s="5" t="s">
        <v>2482</v>
      </c>
      <c r="AA1221" s="5" t="s">
        <v>86</v>
      </c>
      <c r="AH1221" s="1430" t="s">
        <v>86</v>
      </c>
      <c r="AY1221" s="1430" t="s">
        <v>86</v>
      </c>
      <c r="BN1221" s="1430" t="s">
        <v>86</v>
      </c>
      <c r="CF1221" s="1442" t="str">
        <f>IF([1]!sommaire[[#This Row],[présence des personnes déplacés interne]]="Oui","1","0")</f>
        <v>0</v>
      </c>
      <c r="CG1221" s="1442" t="str">
        <f>IF([1]!sommaire[[#This Row],[présence Réfugié hors camp]]="Oui","1","0")</f>
        <v>0</v>
      </c>
      <c r="CH1221" s="1442" t="str">
        <f>IF([1]!sommaire[[#This Row],[présence personnes retournées]]="Oui","1","0")</f>
        <v>0</v>
      </c>
      <c r="CI1221" s="1442">
        <f>[1]!sommaire[[#This Row],[Flag PDI]]+[1]!sommaire[[#This Row],[Flag REF]]+[1]!sommaire[[#This Row],[Flag RET]]</f>
        <v>0</v>
      </c>
    </row>
    <row r="1222" spans="1:87" x14ac:dyDescent="0.3">
      <c r="A1222" s="390">
        <v>2688398</v>
      </c>
      <c r="B1222" s="5" t="s">
        <v>533</v>
      </c>
      <c r="C1222" s="1430" t="s">
        <v>3449</v>
      </c>
      <c r="D1222" s="1090" t="s">
        <v>534</v>
      </c>
      <c r="E1222" s="5" t="s">
        <v>35</v>
      </c>
      <c r="F1222" s="5" t="s">
        <v>35</v>
      </c>
      <c r="G1222" s="5" t="s">
        <v>567</v>
      </c>
      <c r="H1222" s="5" t="s">
        <v>195</v>
      </c>
      <c r="I1222" s="5" t="str">
        <f>_xlfn.XLOOKUP(sommaire[[#This Row],[Arrondissement_code]],OCHA_GIS!$F:$F,OCHA_GIS!$E:$E,,)</f>
        <v>Mokolo</v>
      </c>
      <c r="J1222" s="5" t="s">
        <v>733</v>
      </c>
      <c r="K1222" t="s">
        <v>1460</v>
      </c>
      <c r="L1222" s="5" t="s">
        <v>1795</v>
      </c>
      <c r="N1222" s="5" t="s">
        <v>3053</v>
      </c>
      <c r="O1222" s="5" t="s">
        <v>2467</v>
      </c>
      <c r="P1222" s="5" t="s">
        <v>85</v>
      </c>
      <c r="Q1222" s="5" t="s">
        <v>86</v>
      </c>
      <c r="R1222" s="5" t="s">
        <v>85</v>
      </c>
      <c r="T1222" s="390">
        <v>4</v>
      </c>
      <c r="U1222" s="5" t="s">
        <v>97</v>
      </c>
      <c r="W1222" s="5" t="s">
        <v>2468</v>
      </c>
      <c r="X1222" s="5" t="s">
        <v>102</v>
      </c>
      <c r="AA1222" s="5" t="s">
        <v>85</v>
      </c>
      <c r="AB1222" s="5" t="s">
        <v>2469</v>
      </c>
      <c r="AC1222" s="5" t="s">
        <v>2470</v>
      </c>
      <c r="AD1222" s="5" t="s">
        <v>86</v>
      </c>
      <c r="AF1222" s="5">
        <v>51</v>
      </c>
      <c r="AG1222" s="5">
        <v>9246</v>
      </c>
      <c r="AH1222" s="5" t="s">
        <v>85</v>
      </c>
      <c r="AI1222" s="5" t="s">
        <v>2485</v>
      </c>
      <c r="AJ1222" s="5">
        <v>51</v>
      </c>
      <c r="AK1222" s="5">
        <v>270</v>
      </c>
      <c r="AL1222" s="5">
        <v>123</v>
      </c>
      <c r="AM1222" s="5">
        <v>147</v>
      </c>
      <c r="AN1222" s="5">
        <v>0</v>
      </c>
      <c r="AO1222" s="5">
        <v>42</v>
      </c>
      <c r="AP1222" s="5">
        <v>9</v>
      </c>
      <c r="AQ1222" s="5">
        <v>0</v>
      </c>
      <c r="AT1222" s="5">
        <v>0</v>
      </c>
      <c r="AU1222" s="5">
        <v>0</v>
      </c>
      <c r="AX1222" s="5">
        <v>0</v>
      </c>
      <c r="AY1222" s="5" t="s">
        <v>86</v>
      </c>
      <c r="BN1222" s="5" t="s">
        <v>86</v>
      </c>
      <c r="CD1222" s="5">
        <v>0</v>
      </c>
      <c r="CF1222" s="1442" t="str">
        <f>IF([1]!sommaire[[#This Row],[présence des personnes déplacés interne]]="Oui","1","0")</f>
        <v>1</v>
      </c>
      <c r="CG1222" s="1442" t="str">
        <f>IF([1]!sommaire[[#This Row],[présence Réfugié hors camp]]="Oui","1","0")</f>
        <v>0</v>
      </c>
      <c r="CH1222" s="1442" t="str">
        <f>IF([1]!sommaire[[#This Row],[présence personnes retournées]]="Oui","1","0")</f>
        <v>0</v>
      </c>
      <c r="CI1222" s="1442">
        <f>[1]!sommaire[[#This Row],[Flag PDI]]+[1]!sommaire[[#This Row],[Flag REF]]+[1]!sommaire[[#This Row],[Flag RET]]</f>
        <v>1</v>
      </c>
    </row>
    <row r="1223" spans="1:87" x14ac:dyDescent="0.3">
      <c r="A1223" s="390">
        <v>2684951</v>
      </c>
      <c r="B1223" s="5" t="s">
        <v>533</v>
      </c>
      <c r="C1223" s="1430" t="s">
        <v>3449</v>
      </c>
      <c r="D1223" s="1090" t="s">
        <v>534</v>
      </c>
      <c r="E1223" s="5" t="s">
        <v>35</v>
      </c>
      <c r="F1223" s="5" t="s">
        <v>35</v>
      </c>
      <c r="G1223" s="5" t="s">
        <v>567</v>
      </c>
      <c r="H1223" s="5" t="s">
        <v>195</v>
      </c>
      <c r="I1223" s="5" t="str">
        <f>_xlfn.XLOOKUP(sommaire[[#This Row],[Arrondissement_code]],OCHA_GIS!$F:$F,OCHA_GIS!$E:$E,,)</f>
        <v>Mokolo</v>
      </c>
      <c r="J1223" s="5" t="s">
        <v>733</v>
      </c>
      <c r="K1223" t="s">
        <v>1035</v>
      </c>
      <c r="L1223" s="5" t="s">
        <v>735</v>
      </c>
      <c r="N1223" s="5" t="s">
        <v>3052</v>
      </c>
      <c r="O1223" s="5" t="s">
        <v>2467</v>
      </c>
      <c r="P1223" s="5" t="s">
        <v>85</v>
      </c>
      <c r="Q1223" s="5" t="s">
        <v>86</v>
      </c>
      <c r="R1223" s="5" t="s">
        <v>86</v>
      </c>
      <c r="T1223" s="390">
        <v>3</v>
      </c>
      <c r="U1223" s="5" t="s">
        <v>97</v>
      </c>
      <c r="W1223" s="5" t="s">
        <v>2468</v>
      </c>
      <c r="X1223" s="5" t="s">
        <v>102</v>
      </c>
      <c r="AA1223" s="5" t="s">
        <v>85</v>
      </c>
      <c r="AB1223" s="5" t="s">
        <v>2469</v>
      </c>
      <c r="AC1223" s="5" t="s">
        <v>2470</v>
      </c>
      <c r="AD1223" s="5" t="s">
        <v>86</v>
      </c>
      <c r="AF1223" s="5">
        <v>13</v>
      </c>
      <c r="AG1223" s="5">
        <v>6000</v>
      </c>
      <c r="AH1223" s="5" t="s">
        <v>85</v>
      </c>
      <c r="AI1223" s="5" t="s">
        <v>2485</v>
      </c>
      <c r="AJ1223" s="5">
        <v>13</v>
      </c>
      <c r="AK1223" s="5">
        <v>77</v>
      </c>
      <c r="AL1223" s="5">
        <v>27</v>
      </c>
      <c r="AM1223" s="5">
        <v>50</v>
      </c>
      <c r="AN1223" s="5">
        <v>2</v>
      </c>
      <c r="AO1223" s="5">
        <v>10</v>
      </c>
      <c r="AP1223" s="5">
        <v>0</v>
      </c>
      <c r="AQ1223" s="5">
        <v>1</v>
      </c>
      <c r="AR1223" s="5" t="s">
        <v>2477</v>
      </c>
      <c r="AT1223" s="5">
        <v>0</v>
      </c>
      <c r="AU1223" s="5">
        <v>0</v>
      </c>
      <c r="AX1223" s="5">
        <v>0</v>
      </c>
      <c r="AY1223" s="5" t="s">
        <v>86</v>
      </c>
      <c r="BN1223" s="5" t="s">
        <v>86</v>
      </c>
      <c r="CD1223" s="5">
        <v>0</v>
      </c>
      <c r="CF1223" s="1442" t="str">
        <f>IF([1]!sommaire[[#This Row],[présence des personnes déplacés interne]]="Oui","1","0")</f>
        <v>1</v>
      </c>
      <c r="CG1223" s="1442" t="str">
        <f>IF([1]!sommaire[[#This Row],[présence Réfugié hors camp]]="Oui","1","0")</f>
        <v>0</v>
      </c>
      <c r="CH1223" s="1442" t="str">
        <f>IF([1]!sommaire[[#This Row],[présence personnes retournées]]="Oui","1","0")</f>
        <v>0</v>
      </c>
      <c r="CI1223" s="1442">
        <f>[1]!sommaire[[#This Row],[Flag PDI]]+[1]!sommaire[[#This Row],[Flag REF]]+[1]!sommaire[[#This Row],[Flag RET]]</f>
        <v>1</v>
      </c>
    </row>
    <row r="1224" spans="1:87" x14ac:dyDescent="0.3">
      <c r="A1224" s="390">
        <v>2543796</v>
      </c>
      <c r="B1224" s="5" t="s">
        <v>533</v>
      </c>
      <c r="C1224" s="1430" t="s">
        <v>3449</v>
      </c>
      <c r="D1224" s="1090" t="s">
        <v>534</v>
      </c>
      <c r="E1224" s="5" t="s">
        <v>35</v>
      </c>
      <c r="F1224" s="5" t="s">
        <v>35</v>
      </c>
      <c r="G1224" s="5" t="s">
        <v>567</v>
      </c>
      <c r="H1224" s="5" t="s">
        <v>195</v>
      </c>
      <c r="I1224" s="5" t="str">
        <f>_xlfn.XLOOKUP(sommaire[[#This Row],[Arrondissement_code]],OCHA_GIS!$F:$F,OCHA_GIS!$E:$E,,)</f>
        <v>Mokolo</v>
      </c>
      <c r="J1224" s="5" t="s">
        <v>733</v>
      </c>
      <c r="K1224" t="s">
        <v>3225</v>
      </c>
      <c r="L1224" s="5" t="s">
        <v>3068</v>
      </c>
      <c r="N1224" s="5" t="s">
        <v>3053</v>
      </c>
      <c r="O1224" s="5" t="s">
        <v>2467</v>
      </c>
      <c r="P1224" s="5" t="s">
        <v>86</v>
      </c>
      <c r="Q1224" s="5" t="s">
        <v>86</v>
      </c>
      <c r="R1224" s="5" t="s">
        <v>85</v>
      </c>
      <c r="U1224" s="5" t="s">
        <v>98</v>
      </c>
      <c r="W1224" s="5" t="s">
        <v>2482</v>
      </c>
      <c r="AA1224" s="5" t="s">
        <v>86</v>
      </c>
      <c r="AH1224" s="1430" t="s">
        <v>86</v>
      </c>
      <c r="AY1224" s="1430" t="s">
        <v>86</v>
      </c>
      <c r="BN1224" s="1430" t="s">
        <v>86</v>
      </c>
      <c r="CF1224" s="1442" t="str">
        <f>IF([1]!sommaire[[#This Row],[présence des personnes déplacés interne]]="Oui","1","0")</f>
        <v>0</v>
      </c>
      <c r="CG1224" s="1442" t="str">
        <f>IF([1]!sommaire[[#This Row],[présence Réfugié hors camp]]="Oui","1","0")</f>
        <v>0</v>
      </c>
      <c r="CH1224" s="1442" t="str">
        <f>IF([1]!sommaire[[#This Row],[présence personnes retournées]]="Oui","1","0")</f>
        <v>0</v>
      </c>
      <c r="CI1224" s="1442">
        <f>[1]!sommaire[[#This Row],[Flag PDI]]+[1]!sommaire[[#This Row],[Flag REF]]+[1]!sommaire[[#This Row],[Flag RET]]</f>
        <v>0</v>
      </c>
    </row>
    <row r="1225" spans="1:87" x14ac:dyDescent="0.3">
      <c r="A1225" s="390">
        <v>2687163</v>
      </c>
      <c r="B1225" s="5" t="s">
        <v>533</v>
      </c>
      <c r="C1225" s="1430" t="s">
        <v>3449</v>
      </c>
      <c r="D1225" s="1090" t="s">
        <v>534</v>
      </c>
      <c r="E1225" s="5" t="s">
        <v>35</v>
      </c>
      <c r="F1225" s="5" t="s">
        <v>35</v>
      </c>
      <c r="G1225" s="5" t="s">
        <v>567</v>
      </c>
      <c r="H1225" s="5" t="s">
        <v>195</v>
      </c>
      <c r="I1225" s="5" t="str">
        <f>_xlfn.XLOOKUP(sommaire[[#This Row],[Arrondissement_code]],OCHA_GIS!$F:$F,OCHA_GIS!$E:$E,,)</f>
        <v>Mokolo</v>
      </c>
      <c r="J1225" s="5" t="s">
        <v>733</v>
      </c>
      <c r="K1225" t="s">
        <v>1689</v>
      </c>
      <c r="L1225" s="5" t="s">
        <v>1021</v>
      </c>
      <c r="N1225" s="5" t="s">
        <v>3053</v>
      </c>
      <c r="O1225" s="5" t="s">
        <v>2467</v>
      </c>
      <c r="P1225" s="5" t="s">
        <v>86</v>
      </c>
      <c r="Q1225" s="5" t="s">
        <v>85</v>
      </c>
      <c r="R1225" s="5" t="s">
        <v>85</v>
      </c>
      <c r="S1225" s="390">
        <v>7</v>
      </c>
      <c r="U1225" s="5" t="s">
        <v>97</v>
      </c>
      <c r="W1225" s="5" t="s">
        <v>2468</v>
      </c>
      <c r="X1225" s="5" t="s">
        <v>102</v>
      </c>
      <c r="AA1225" s="5" t="s">
        <v>85</v>
      </c>
      <c r="AB1225" s="5" t="s">
        <v>2469</v>
      </c>
      <c r="AC1225" s="5" t="s">
        <v>312</v>
      </c>
      <c r="AD1225" s="5" t="s">
        <v>86</v>
      </c>
      <c r="AF1225" s="5">
        <v>37</v>
      </c>
      <c r="AG1225" s="5">
        <v>4000</v>
      </c>
      <c r="AH1225" s="5" t="s">
        <v>85</v>
      </c>
      <c r="AI1225" s="5" t="s">
        <v>2471</v>
      </c>
      <c r="AJ1225" s="5">
        <v>37</v>
      </c>
      <c r="AK1225" s="5">
        <v>185</v>
      </c>
      <c r="AL1225" s="5">
        <v>81</v>
      </c>
      <c r="AM1225" s="5">
        <v>104</v>
      </c>
      <c r="AN1225" s="5">
        <v>0</v>
      </c>
      <c r="AO1225" s="5">
        <v>4</v>
      </c>
      <c r="AP1225" s="5">
        <v>6</v>
      </c>
      <c r="AQ1225" s="5">
        <v>27</v>
      </c>
      <c r="AR1225" s="5" t="s">
        <v>2477</v>
      </c>
      <c r="AT1225" s="5">
        <v>0</v>
      </c>
      <c r="AU1225" s="5">
        <v>0</v>
      </c>
      <c r="AX1225" s="5">
        <v>0</v>
      </c>
      <c r="AY1225" s="5" t="s">
        <v>86</v>
      </c>
      <c r="BN1225" s="5" t="s">
        <v>86</v>
      </c>
      <c r="CD1225" s="5">
        <v>0</v>
      </c>
      <c r="CF1225" s="1442" t="str">
        <f>IF([1]!sommaire[[#This Row],[présence des personnes déplacés interne]]="Oui","1","0")</f>
        <v>1</v>
      </c>
      <c r="CG1225" s="1442" t="str">
        <f>IF([1]!sommaire[[#This Row],[présence Réfugié hors camp]]="Oui","1","0")</f>
        <v>0</v>
      </c>
      <c r="CH1225" s="1442" t="str">
        <f>IF([1]!sommaire[[#This Row],[présence personnes retournées]]="Oui","1","0")</f>
        <v>0</v>
      </c>
      <c r="CI1225" s="1442">
        <f>[1]!sommaire[[#This Row],[Flag PDI]]+[1]!sommaire[[#This Row],[Flag REF]]+[1]!sommaire[[#This Row],[Flag RET]]</f>
        <v>1</v>
      </c>
    </row>
    <row r="1226" spans="1:87" x14ac:dyDescent="0.3">
      <c r="A1226" s="390">
        <v>2673398</v>
      </c>
      <c r="B1226" s="5" t="s">
        <v>533</v>
      </c>
      <c r="C1226" s="1430" t="s">
        <v>3449</v>
      </c>
      <c r="D1226" s="1090" t="s">
        <v>534</v>
      </c>
      <c r="E1226" s="5" t="s">
        <v>35</v>
      </c>
      <c r="F1226" s="5" t="s">
        <v>35</v>
      </c>
      <c r="G1226" s="5" t="s">
        <v>567</v>
      </c>
      <c r="H1226" s="5" t="s">
        <v>195</v>
      </c>
      <c r="I1226" s="5" t="str">
        <f>_xlfn.XLOOKUP(sommaire[[#This Row],[Arrondissement_code]],OCHA_GIS!$F:$F,OCHA_GIS!$E:$E,,)</f>
        <v>Mokolo</v>
      </c>
      <c r="J1226" s="5" t="s">
        <v>733</v>
      </c>
      <c r="K1226" t="s">
        <v>2065</v>
      </c>
      <c r="L1226" s="5" t="s">
        <v>2641</v>
      </c>
      <c r="N1226" s="5" t="s">
        <v>3052</v>
      </c>
      <c r="O1226" s="5" t="s">
        <v>2467</v>
      </c>
      <c r="P1226" s="5" t="s">
        <v>85</v>
      </c>
      <c r="Q1226" s="5" t="s">
        <v>86</v>
      </c>
      <c r="R1226" s="5" t="s">
        <v>85</v>
      </c>
      <c r="T1226" s="390">
        <v>4</v>
      </c>
      <c r="U1226" s="5" t="s">
        <v>97</v>
      </c>
      <c r="W1226" s="5" t="s">
        <v>2468</v>
      </c>
      <c r="X1226" s="5" t="s">
        <v>102</v>
      </c>
      <c r="AA1226" s="5" t="s">
        <v>85</v>
      </c>
      <c r="AB1226" s="5" t="s">
        <v>2469</v>
      </c>
      <c r="AC1226" s="5" t="s">
        <v>312</v>
      </c>
      <c r="AD1226" s="5" t="s">
        <v>86</v>
      </c>
      <c r="AF1226" s="5">
        <v>25</v>
      </c>
      <c r="AG1226" s="5">
        <v>3032</v>
      </c>
      <c r="AH1226" s="5" t="s">
        <v>85</v>
      </c>
      <c r="AI1226" s="5" t="s">
        <v>2471</v>
      </c>
      <c r="AJ1226" s="5">
        <v>25</v>
      </c>
      <c r="AK1226" s="5">
        <v>152</v>
      </c>
      <c r="AL1226" s="5">
        <v>66</v>
      </c>
      <c r="AM1226" s="5">
        <v>86</v>
      </c>
      <c r="AN1226" s="5">
        <v>0</v>
      </c>
      <c r="AO1226" s="5">
        <v>4</v>
      </c>
      <c r="AP1226" s="5">
        <v>0</v>
      </c>
      <c r="AQ1226" s="5">
        <v>21</v>
      </c>
      <c r="AR1226" s="5" t="s">
        <v>2477</v>
      </c>
      <c r="AT1226" s="5">
        <v>0</v>
      </c>
      <c r="AU1226" s="5">
        <v>0</v>
      </c>
      <c r="AX1226" s="5">
        <v>0</v>
      </c>
      <c r="AY1226" s="5" t="s">
        <v>86</v>
      </c>
      <c r="BN1226" s="5" t="s">
        <v>86</v>
      </c>
      <c r="CD1226" s="5">
        <v>0</v>
      </c>
      <c r="CF1226" s="1442" t="str">
        <f>IF([1]!sommaire[[#This Row],[présence des personnes déplacés interne]]="Oui","1","0")</f>
        <v>1</v>
      </c>
      <c r="CG1226" s="1442" t="str">
        <f>IF([1]!sommaire[[#This Row],[présence Réfugié hors camp]]="Oui","1","0")</f>
        <v>0</v>
      </c>
      <c r="CH1226" s="1442" t="str">
        <f>IF([1]!sommaire[[#This Row],[présence personnes retournées]]="Oui","1","0")</f>
        <v>0</v>
      </c>
      <c r="CI1226" s="1442">
        <f>[1]!sommaire[[#This Row],[Flag PDI]]+[1]!sommaire[[#This Row],[Flag REF]]+[1]!sommaire[[#This Row],[Flag RET]]</f>
        <v>1</v>
      </c>
    </row>
    <row r="1227" spans="1:87" x14ac:dyDescent="0.3">
      <c r="A1227" s="390">
        <v>2673891</v>
      </c>
      <c r="B1227" s="5" t="s">
        <v>533</v>
      </c>
      <c r="C1227" s="1430" t="s">
        <v>3449</v>
      </c>
      <c r="D1227" s="1090" t="s">
        <v>534</v>
      </c>
      <c r="E1227" s="5" t="s">
        <v>35</v>
      </c>
      <c r="F1227" s="5" t="s">
        <v>35</v>
      </c>
      <c r="G1227" s="5" t="s">
        <v>567</v>
      </c>
      <c r="H1227" s="5" t="s">
        <v>195</v>
      </c>
      <c r="I1227" s="5" t="str">
        <f>_xlfn.XLOOKUP(sommaire[[#This Row],[Arrondissement_code]],OCHA_GIS!$F:$F,OCHA_GIS!$E:$E,,)</f>
        <v>Mokolo</v>
      </c>
      <c r="J1227" s="5" t="s">
        <v>733</v>
      </c>
      <c r="K1227" t="s">
        <v>2973</v>
      </c>
      <c r="L1227" s="5" t="s">
        <v>2643</v>
      </c>
      <c r="N1227" s="5" t="s">
        <v>3052</v>
      </c>
      <c r="O1227" s="5" t="s">
        <v>2467</v>
      </c>
      <c r="P1227" s="5" t="s">
        <v>85</v>
      </c>
      <c r="Q1227" s="5" t="s">
        <v>86</v>
      </c>
      <c r="R1227" s="5" t="s">
        <v>85</v>
      </c>
      <c r="T1227" s="390">
        <v>4</v>
      </c>
      <c r="U1227" s="5" t="s">
        <v>97</v>
      </c>
      <c r="W1227" s="5" t="s">
        <v>2468</v>
      </c>
      <c r="X1227" s="5" t="s">
        <v>102</v>
      </c>
      <c r="AA1227" s="5" t="s">
        <v>85</v>
      </c>
      <c r="AB1227" s="5" t="s">
        <v>2469</v>
      </c>
      <c r="AC1227" s="5" t="s">
        <v>2470</v>
      </c>
      <c r="AD1227" s="5" t="s">
        <v>86</v>
      </c>
      <c r="AF1227" s="5">
        <v>25</v>
      </c>
      <c r="AG1227" s="5">
        <v>3032</v>
      </c>
      <c r="AH1227" s="5" t="s">
        <v>85</v>
      </c>
      <c r="AI1227" s="5" t="s">
        <v>2471</v>
      </c>
      <c r="AJ1227" s="5">
        <v>25</v>
      </c>
      <c r="AK1227" s="5">
        <v>152</v>
      </c>
      <c r="AL1227" s="5">
        <v>120</v>
      </c>
      <c r="AM1227" s="5">
        <v>32</v>
      </c>
      <c r="AN1227" s="5">
        <v>0</v>
      </c>
      <c r="AO1227" s="5">
        <v>4</v>
      </c>
      <c r="AP1227" s="5">
        <v>0</v>
      </c>
      <c r="AQ1227" s="5">
        <v>21</v>
      </c>
      <c r="AR1227" s="5" t="s">
        <v>2477</v>
      </c>
      <c r="AT1227" s="5">
        <v>0</v>
      </c>
      <c r="AU1227" s="5">
        <v>0</v>
      </c>
      <c r="AX1227" s="5">
        <v>0</v>
      </c>
      <c r="AY1227" s="5" t="s">
        <v>86</v>
      </c>
      <c r="BN1227" s="5" t="s">
        <v>86</v>
      </c>
      <c r="CD1227" s="5">
        <v>0</v>
      </c>
      <c r="CF1227" s="1442" t="str">
        <f>IF([1]!sommaire[[#This Row],[présence des personnes déplacés interne]]="Oui","1","0")</f>
        <v>1</v>
      </c>
      <c r="CG1227" s="1442" t="str">
        <f>IF([1]!sommaire[[#This Row],[présence Réfugié hors camp]]="Oui","1","0")</f>
        <v>0</v>
      </c>
      <c r="CH1227" s="1442" t="str">
        <f>IF([1]!sommaire[[#This Row],[présence personnes retournées]]="Oui","1","0")</f>
        <v>0</v>
      </c>
      <c r="CI1227" s="1442">
        <f>[1]!sommaire[[#This Row],[Flag PDI]]+[1]!sommaire[[#This Row],[Flag REF]]+[1]!sommaire[[#This Row],[Flag RET]]</f>
        <v>1</v>
      </c>
    </row>
    <row r="1228" spans="1:87" x14ac:dyDescent="0.3">
      <c r="A1228" s="390">
        <v>2655334</v>
      </c>
      <c r="B1228" s="5" t="s">
        <v>533</v>
      </c>
      <c r="C1228" s="1430" t="s">
        <v>3449</v>
      </c>
      <c r="D1228" s="1090" t="s">
        <v>534</v>
      </c>
      <c r="E1228" s="5" t="s">
        <v>35</v>
      </c>
      <c r="F1228" s="5" t="s">
        <v>35</v>
      </c>
      <c r="G1228" s="5" t="s">
        <v>567</v>
      </c>
      <c r="H1228" s="5" t="s">
        <v>195</v>
      </c>
      <c r="I1228" s="5" t="str">
        <f>_xlfn.XLOOKUP(sommaire[[#This Row],[Arrondissement_code]],OCHA_GIS!$F:$F,OCHA_GIS!$E:$E,,)</f>
        <v>Mokolo</v>
      </c>
      <c r="J1228" s="5" t="s">
        <v>733</v>
      </c>
      <c r="K1228" t="s">
        <v>734</v>
      </c>
      <c r="L1228" s="5" t="s">
        <v>1907</v>
      </c>
      <c r="N1228" s="5" t="s">
        <v>3052</v>
      </c>
      <c r="O1228" s="5" t="s">
        <v>2467</v>
      </c>
      <c r="P1228" s="5" t="s">
        <v>85</v>
      </c>
      <c r="Q1228" s="5" t="s">
        <v>86</v>
      </c>
      <c r="R1228" s="5" t="s">
        <v>85</v>
      </c>
      <c r="T1228" s="390">
        <v>3</v>
      </c>
      <c r="U1228" s="5" t="s">
        <v>97</v>
      </c>
      <c r="W1228" s="5" t="s">
        <v>2468</v>
      </c>
      <c r="X1228" s="5" t="s">
        <v>102</v>
      </c>
      <c r="AA1228" s="5" t="s">
        <v>85</v>
      </c>
      <c r="AB1228" s="5" t="s">
        <v>2469</v>
      </c>
      <c r="AC1228" s="5" t="s">
        <v>2576</v>
      </c>
      <c r="AD1228" s="5" t="s">
        <v>86</v>
      </c>
      <c r="AF1228" s="5">
        <v>152</v>
      </c>
      <c r="AG1228" s="5">
        <v>5300</v>
      </c>
      <c r="AH1228" s="5" t="s">
        <v>85</v>
      </c>
      <c r="AI1228" s="5" t="s">
        <v>2471</v>
      </c>
      <c r="AJ1228" s="5">
        <v>152</v>
      </c>
      <c r="AK1228" s="5">
        <v>600</v>
      </c>
      <c r="AL1228" s="5">
        <v>240</v>
      </c>
      <c r="AM1228" s="5">
        <v>360</v>
      </c>
      <c r="AN1228" s="5">
        <v>0</v>
      </c>
      <c r="AO1228" s="5">
        <v>98</v>
      </c>
      <c r="AP1228" s="5">
        <v>28</v>
      </c>
      <c r="AQ1228" s="5">
        <v>13</v>
      </c>
      <c r="AR1228" s="5" t="s">
        <v>2477</v>
      </c>
      <c r="AT1228" s="5">
        <v>0</v>
      </c>
      <c r="AU1228" s="5">
        <v>0</v>
      </c>
      <c r="AX1228" s="5">
        <v>13</v>
      </c>
      <c r="AY1228" s="5" t="s">
        <v>86</v>
      </c>
      <c r="BN1228" s="5" t="s">
        <v>86</v>
      </c>
      <c r="CD1228" s="5">
        <v>0</v>
      </c>
      <c r="CF1228" s="1442" t="str">
        <f>IF([1]!sommaire[[#This Row],[présence des personnes déplacés interne]]="Oui","1","0")</f>
        <v>1</v>
      </c>
      <c r="CG1228" s="1442" t="str">
        <f>IF([1]!sommaire[[#This Row],[présence Réfugié hors camp]]="Oui","1","0")</f>
        <v>0</v>
      </c>
      <c r="CH1228" s="1442" t="str">
        <f>IF([1]!sommaire[[#This Row],[présence personnes retournées]]="Oui","1","0")</f>
        <v>0</v>
      </c>
      <c r="CI1228" s="1442">
        <f>[1]!sommaire[[#This Row],[Flag PDI]]+[1]!sommaire[[#This Row],[Flag REF]]+[1]!sommaire[[#This Row],[Flag RET]]</f>
        <v>1</v>
      </c>
    </row>
    <row r="1229" spans="1:87" x14ac:dyDescent="0.3">
      <c r="A1229" s="390">
        <v>2655342</v>
      </c>
      <c r="B1229" s="5" t="s">
        <v>533</v>
      </c>
      <c r="C1229" s="1430" t="s">
        <v>3449</v>
      </c>
      <c r="D1229" s="1090" t="s">
        <v>534</v>
      </c>
      <c r="E1229" s="5" t="s">
        <v>35</v>
      </c>
      <c r="F1229" s="5" t="s">
        <v>35</v>
      </c>
      <c r="G1229" s="5" t="s">
        <v>567</v>
      </c>
      <c r="H1229" s="5" t="s">
        <v>195</v>
      </c>
      <c r="I1229" s="5" t="str">
        <f>_xlfn.XLOOKUP(sommaire[[#This Row],[Arrondissement_code]],OCHA_GIS!$F:$F,OCHA_GIS!$E:$E,,)</f>
        <v>Mokolo</v>
      </c>
      <c r="J1229" s="5" t="s">
        <v>733</v>
      </c>
      <c r="K1229" t="s">
        <v>2640</v>
      </c>
      <c r="L1229" s="5" t="s">
        <v>2115</v>
      </c>
      <c r="N1229" s="5" t="s">
        <v>3053</v>
      </c>
      <c r="O1229" s="5" t="s">
        <v>2467</v>
      </c>
      <c r="P1229" s="5" t="s">
        <v>85</v>
      </c>
      <c r="Q1229" s="5" t="s">
        <v>86</v>
      </c>
      <c r="R1229" s="5" t="s">
        <v>85</v>
      </c>
      <c r="T1229" s="390">
        <v>3</v>
      </c>
      <c r="U1229" s="5" t="s">
        <v>97</v>
      </c>
      <c r="W1229" s="5" t="s">
        <v>2468</v>
      </c>
      <c r="X1229" s="5" t="s">
        <v>102</v>
      </c>
      <c r="AA1229" s="5" t="s">
        <v>86</v>
      </c>
      <c r="AG1229" s="5">
        <v>6000</v>
      </c>
      <c r="AH1229" s="1430" t="s">
        <v>86</v>
      </c>
      <c r="AY1229" s="1430" t="s">
        <v>86</v>
      </c>
      <c r="BN1229" s="1430" t="s">
        <v>86</v>
      </c>
      <c r="CF1229" s="1442" t="str">
        <f>IF([1]!sommaire[[#This Row],[présence des personnes déplacés interne]]="Oui","1","0")</f>
        <v>0</v>
      </c>
      <c r="CG1229" s="1442" t="str">
        <f>IF([1]!sommaire[[#This Row],[présence Réfugié hors camp]]="Oui","1","0")</f>
        <v>0</v>
      </c>
      <c r="CH1229" s="1442" t="str">
        <f>IF([1]!sommaire[[#This Row],[présence personnes retournées]]="Oui","1","0")</f>
        <v>0</v>
      </c>
      <c r="CI1229" s="1442">
        <f>[1]!sommaire[[#This Row],[Flag PDI]]+[1]!sommaire[[#This Row],[Flag REF]]+[1]!sommaire[[#This Row],[Flag RET]]</f>
        <v>0</v>
      </c>
    </row>
    <row r="1230" spans="1:87" x14ac:dyDescent="0.3">
      <c r="A1230" s="390">
        <v>2565078</v>
      </c>
      <c r="B1230" s="5" t="s">
        <v>533</v>
      </c>
      <c r="C1230" s="1430" t="s">
        <v>3449</v>
      </c>
      <c r="D1230" s="1090" t="s">
        <v>534</v>
      </c>
      <c r="E1230" s="5" t="s">
        <v>35</v>
      </c>
      <c r="F1230" s="5" t="s">
        <v>35</v>
      </c>
      <c r="G1230" s="5" t="s">
        <v>567</v>
      </c>
      <c r="H1230" s="5" t="s">
        <v>195</v>
      </c>
      <c r="I1230" s="5" t="str">
        <f>_xlfn.XLOOKUP(sommaire[[#This Row],[Arrondissement_code]],OCHA_GIS!$F:$F,OCHA_GIS!$E:$E,,)</f>
        <v>Mokolo</v>
      </c>
      <c r="J1230" s="5" t="s">
        <v>733</v>
      </c>
      <c r="K1230" t="s">
        <v>1458</v>
      </c>
      <c r="L1230" s="5" t="s">
        <v>2651</v>
      </c>
      <c r="N1230" s="5" t="s">
        <v>3053</v>
      </c>
      <c r="O1230" s="5" t="s">
        <v>2467</v>
      </c>
      <c r="P1230" s="5" t="s">
        <v>85</v>
      </c>
      <c r="Q1230" s="5" t="s">
        <v>86</v>
      </c>
      <c r="R1230" s="5" t="s">
        <v>86</v>
      </c>
      <c r="T1230" s="390">
        <v>3</v>
      </c>
      <c r="U1230" s="5" t="s">
        <v>98</v>
      </c>
      <c r="W1230" s="5" t="s">
        <v>2482</v>
      </c>
      <c r="AA1230" s="5" t="s">
        <v>86</v>
      </c>
      <c r="AH1230" s="1430" t="s">
        <v>86</v>
      </c>
      <c r="AY1230" s="1430" t="s">
        <v>86</v>
      </c>
      <c r="BN1230" s="1430" t="s">
        <v>86</v>
      </c>
      <c r="CF1230" s="1442" t="str">
        <f>IF([1]!sommaire[[#This Row],[présence des personnes déplacés interne]]="Oui","1","0")</f>
        <v>0</v>
      </c>
      <c r="CG1230" s="1442" t="str">
        <f>IF([1]!sommaire[[#This Row],[présence Réfugié hors camp]]="Oui","1","0")</f>
        <v>0</v>
      </c>
      <c r="CH1230" s="1442" t="str">
        <f>IF([1]!sommaire[[#This Row],[présence personnes retournées]]="Oui","1","0")</f>
        <v>0</v>
      </c>
      <c r="CI1230" s="1442">
        <f>[1]!sommaire[[#This Row],[Flag PDI]]+[1]!sommaire[[#This Row],[Flag REF]]+[1]!sommaire[[#This Row],[Flag RET]]</f>
        <v>0</v>
      </c>
    </row>
    <row r="1231" spans="1:87" x14ac:dyDescent="0.3">
      <c r="A1231" s="390">
        <v>2685563</v>
      </c>
      <c r="B1231" s="5" t="s">
        <v>533</v>
      </c>
      <c r="C1231" s="1430" t="s">
        <v>3449</v>
      </c>
      <c r="D1231" s="1090" t="s">
        <v>534</v>
      </c>
      <c r="E1231" s="5" t="s">
        <v>35</v>
      </c>
      <c r="F1231" s="5" t="s">
        <v>35</v>
      </c>
      <c r="G1231" s="5" t="s">
        <v>567</v>
      </c>
      <c r="H1231" s="5" t="s">
        <v>195</v>
      </c>
      <c r="I1231" s="5" t="str">
        <f>_xlfn.XLOOKUP(sommaire[[#This Row],[Arrondissement_code]],OCHA_GIS!$F:$F,OCHA_GIS!$E:$E,,)</f>
        <v>Mokolo</v>
      </c>
      <c r="J1231" s="5" t="s">
        <v>733</v>
      </c>
      <c r="K1231" t="s">
        <v>2642</v>
      </c>
      <c r="L1231" s="5" t="s">
        <v>793</v>
      </c>
      <c r="N1231" s="5" t="s">
        <v>3052</v>
      </c>
      <c r="O1231" s="5" t="s">
        <v>2467</v>
      </c>
      <c r="P1231" s="5" t="s">
        <v>85</v>
      </c>
      <c r="Q1231" s="5" t="s">
        <v>86</v>
      </c>
      <c r="R1231" s="5" t="s">
        <v>86</v>
      </c>
      <c r="T1231" s="390">
        <v>3</v>
      </c>
      <c r="U1231" s="5" t="s">
        <v>97</v>
      </c>
      <c r="W1231" s="5" t="s">
        <v>2468</v>
      </c>
      <c r="X1231" s="5" t="s">
        <v>102</v>
      </c>
      <c r="AA1231" s="5" t="s">
        <v>85</v>
      </c>
      <c r="AB1231" s="5" t="s">
        <v>2469</v>
      </c>
      <c r="AC1231" s="5" t="s">
        <v>312</v>
      </c>
      <c r="AD1231" s="5" t="s">
        <v>86</v>
      </c>
      <c r="AF1231" s="5">
        <v>39</v>
      </c>
      <c r="AG1231" s="5">
        <v>5600</v>
      </c>
      <c r="AH1231" s="5" t="s">
        <v>85</v>
      </c>
      <c r="AI1231" s="5" t="s">
        <v>2485</v>
      </c>
      <c r="AJ1231" s="5">
        <v>39</v>
      </c>
      <c r="AK1231" s="5">
        <v>160</v>
      </c>
      <c r="AL1231" s="5">
        <v>76</v>
      </c>
      <c r="AM1231" s="5">
        <v>84</v>
      </c>
      <c r="AN1231" s="5">
        <v>1</v>
      </c>
      <c r="AO1231" s="5">
        <v>10</v>
      </c>
      <c r="AP1231" s="5">
        <v>28</v>
      </c>
      <c r="AQ1231" s="5">
        <v>0</v>
      </c>
      <c r="AT1231" s="5">
        <v>0</v>
      </c>
      <c r="AU1231" s="5">
        <v>0</v>
      </c>
      <c r="AX1231" s="5">
        <v>0</v>
      </c>
      <c r="AY1231" s="5" t="s">
        <v>86</v>
      </c>
      <c r="BN1231" s="5" t="s">
        <v>86</v>
      </c>
      <c r="CD1231" s="5">
        <v>0</v>
      </c>
      <c r="CF1231" s="1442" t="str">
        <f>IF([1]!sommaire[[#This Row],[présence des personnes déplacés interne]]="Oui","1","0")</f>
        <v>1</v>
      </c>
      <c r="CG1231" s="1442" t="str">
        <f>IF([1]!sommaire[[#This Row],[présence Réfugié hors camp]]="Oui","1","0")</f>
        <v>0</v>
      </c>
      <c r="CH1231" s="1442" t="str">
        <f>IF([1]!sommaire[[#This Row],[présence personnes retournées]]="Oui","1","0")</f>
        <v>0</v>
      </c>
      <c r="CI1231" s="1442">
        <f>[1]!sommaire[[#This Row],[Flag PDI]]+[1]!sommaire[[#This Row],[Flag REF]]+[1]!sommaire[[#This Row],[Flag RET]]</f>
        <v>1</v>
      </c>
    </row>
    <row r="1232" spans="1:87" x14ac:dyDescent="0.3">
      <c r="A1232" s="1091">
        <v>2682066</v>
      </c>
      <c r="B1232" s="5" t="s">
        <v>533</v>
      </c>
      <c r="C1232" s="1430" t="s">
        <v>3449</v>
      </c>
      <c r="D1232" s="5" t="s">
        <v>534</v>
      </c>
      <c r="E1232" s="5" t="s">
        <v>35</v>
      </c>
      <c r="F1232" s="5" t="s">
        <v>35</v>
      </c>
      <c r="G1232" s="5" t="s">
        <v>567</v>
      </c>
      <c r="H1232" s="5" t="s">
        <v>195</v>
      </c>
      <c r="I1232" s="5" t="str">
        <f>_xlfn.XLOOKUP(sommaire[[#This Row],[Arrondissement_code]],OCHA_GIS!$F:$F,OCHA_GIS!$E:$E,,)</f>
        <v>Mokolo</v>
      </c>
      <c r="J1232" s="5" t="s">
        <v>733</v>
      </c>
      <c r="K1232" t="s">
        <v>1032</v>
      </c>
      <c r="L1232" s="5" t="s">
        <v>1837</v>
      </c>
      <c r="N1232" s="5" t="s">
        <v>3053</v>
      </c>
      <c r="O1232" s="5" t="s">
        <v>2467</v>
      </c>
      <c r="P1232" s="5" t="s">
        <v>85</v>
      </c>
      <c r="Q1232" s="5" t="s">
        <v>86</v>
      </c>
      <c r="R1232" s="5" t="s">
        <v>85</v>
      </c>
      <c r="T1232" s="390">
        <v>4</v>
      </c>
      <c r="U1232" s="5" t="s">
        <v>97</v>
      </c>
      <c r="W1232" s="5" t="s">
        <v>2468</v>
      </c>
      <c r="X1232" s="1090" t="s">
        <v>102</v>
      </c>
      <c r="AA1232" s="1090" t="s">
        <v>85</v>
      </c>
      <c r="AB1232" s="5" t="s">
        <v>2469</v>
      </c>
      <c r="AC1232" s="5" t="s">
        <v>2470</v>
      </c>
      <c r="AD1232" s="5" t="s">
        <v>86</v>
      </c>
      <c r="AF1232" s="5">
        <v>61</v>
      </c>
      <c r="AG1232" s="5">
        <v>1618</v>
      </c>
      <c r="AH1232" s="5" t="s">
        <v>85</v>
      </c>
      <c r="AI1232" s="5" t="s">
        <v>2471</v>
      </c>
      <c r="AJ1232" s="5">
        <v>61</v>
      </c>
      <c r="AK1232" s="5">
        <v>332</v>
      </c>
      <c r="AL1232" s="5">
        <v>130</v>
      </c>
      <c r="AM1232" s="5">
        <v>202</v>
      </c>
      <c r="AN1232" s="5">
        <v>0</v>
      </c>
      <c r="AO1232" s="5">
        <v>13</v>
      </c>
      <c r="AP1232" s="5">
        <v>48</v>
      </c>
      <c r="AQ1232" s="5">
        <v>0</v>
      </c>
      <c r="AT1232" s="5">
        <v>0</v>
      </c>
      <c r="AU1232" s="5">
        <v>0</v>
      </c>
      <c r="AX1232" s="5">
        <v>0</v>
      </c>
      <c r="AY1232" s="1090" t="s">
        <v>86</v>
      </c>
      <c r="BN1232" s="1090" t="s">
        <v>85</v>
      </c>
      <c r="BO1232" s="5">
        <v>1</v>
      </c>
      <c r="BP1232" s="5">
        <v>14</v>
      </c>
      <c r="BQ1232" s="5">
        <v>9</v>
      </c>
      <c r="BR1232" s="5">
        <v>5</v>
      </c>
      <c r="BS1232" s="5" t="s">
        <v>2535</v>
      </c>
      <c r="BT1232" s="5">
        <v>0</v>
      </c>
      <c r="BU1232" s="5">
        <v>0</v>
      </c>
      <c r="BV1232" s="5">
        <v>1</v>
      </c>
      <c r="BW1232" s="5">
        <v>0</v>
      </c>
      <c r="BX1232" s="5">
        <v>0</v>
      </c>
      <c r="BZ1232" s="5">
        <v>0</v>
      </c>
      <c r="CA1232" s="5">
        <v>0</v>
      </c>
      <c r="CC1232" s="5">
        <v>0</v>
      </c>
      <c r="CD1232" s="5">
        <v>0</v>
      </c>
      <c r="CE1232" s="1090"/>
      <c r="CF1232" s="1442" t="str">
        <f>IF([1]!sommaire[[#This Row],[présence des personnes déplacés interne]]="Oui","1","0")</f>
        <v>1</v>
      </c>
      <c r="CG1232" s="1442" t="str">
        <f>IF([1]!sommaire[[#This Row],[présence Réfugié hors camp]]="Oui","1","0")</f>
        <v>0</v>
      </c>
      <c r="CH1232" s="1442" t="str">
        <f>IF([1]!sommaire[[#This Row],[présence personnes retournées]]="Oui","1","0")</f>
        <v>1</v>
      </c>
      <c r="CI1232" s="1442">
        <f>[1]!sommaire[[#This Row],[Flag PDI]]+[1]!sommaire[[#This Row],[Flag REF]]+[1]!sommaire[[#This Row],[Flag RET]]</f>
        <v>2</v>
      </c>
    </row>
    <row r="1233" spans="1:87" x14ac:dyDescent="0.3">
      <c r="A1233" s="390">
        <v>2655341</v>
      </c>
      <c r="B1233" s="5" t="s">
        <v>533</v>
      </c>
      <c r="C1233" s="1430" t="s">
        <v>3449</v>
      </c>
      <c r="D1233" s="1090" t="s">
        <v>534</v>
      </c>
      <c r="E1233" s="5" t="s">
        <v>35</v>
      </c>
      <c r="F1233" s="5" t="s">
        <v>35</v>
      </c>
      <c r="G1233" s="5" t="s">
        <v>567</v>
      </c>
      <c r="H1233" s="5" t="s">
        <v>195</v>
      </c>
      <c r="I1233" s="5" t="str">
        <f>_xlfn.XLOOKUP(sommaire[[#This Row],[Arrondissement_code]],OCHA_GIS!$F:$F,OCHA_GIS!$E:$E,,)</f>
        <v>Mokolo</v>
      </c>
      <c r="J1233" s="5" t="s">
        <v>733</v>
      </c>
      <c r="K1233" t="s">
        <v>1673</v>
      </c>
      <c r="L1233" s="1255" t="s">
        <v>1418</v>
      </c>
      <c r="N1233" s="5" t="s">
        <v>3052</v>
      </c>
      <c r="O1233" s="5" t="s">
        <v>2467</v>
      </c>
      <c r="P1233" s="5" t="s">
        <v>85</v>
      </c>
      <c r="Q1233" s="5" t="s">
        <v>86</v>
      </c>
      <c r="R1233" s="5" t="s">
        <v>85</v>
      </c>
      <c r="T1233" s="390">
        <v>4</v>
      </c>
      <c r="U1233" s="5" t="s">
        <v>97</v>
      </c>
      <c r="W1233" s="5" t="s">
        <v>2468</v>
      </c>
      <c r="X1233" s="5" t="s">
        <v>102</v>
      </c>
      <c r="AA1233" s="5" t="s">
        <v>86</v>
      </c>
      <c r="AG1233" s="5">
        <v>10573</v>
      </c>
      <c r="AH1233" s="1430" t="s">
        <v>86</v>
      </c>
      <c r="AY1233" s="1430" t="s">
        <v>86</v>
      </c>
      <c r="BN1233" s="1430" t="s">
        <v>86</v>
      </c>
      <c r="CF1233" s="1442" t="str">
        <f>IF([1]!sommaire[[#This Row],[présence des personnes déplacés interne]]="Oui","1","0")</f>
        <v>0</v>
      </c>
      <c r="CG1233" s="1442" t="str">
        <f>IF([1]!sommaire[[#This Row],[présence Réfugié hors camp]]="Oui","1","0")</f>
        <v>0</v>
      </c>
      <c r="CH1233" s="1442" t="str">
        <f>IF([1]!sommaire[[#This Row],[présence personnes retournées]]="Oui","1","0")</f>
        <v>0</v>
      </c>
      <c r="CI1233" s="1442">
        <f>[1]!sommaire[[#This Row],[Flag PDI]]+[1]!sommaire[[#This Row],[Flag REF]]+[1]!sommaire[[#This Row],[Flag RET]]</f>
        <v>0</v>
      </c>
    </row>
    <row r="1234" spans="1:87" x14ac:dyDescent="0.3">
      <c r="A1234" s="390">
        <v>2693855</v>
      </c>
      <c r="B1234" s="5" t="s">
        <v>533</v>
      </c>
      <c r="C1234" s="1430" t="s">
        <v>3449</v>
      </c>
      <c r="D1234" s="5" t="s">
        <v>534</v>
      </c>
      <c r="E1234" s="5" t="s">
        <v>35</v>
      </c>
      <c r="F1234" s="5" t="s">
        <v>35</v>
      </c>
      <c r="G1234" s="5" t="s">
        <v>567</v>
      </c>
      <c r="H1234" s="5" t="s">
        <v>195</v>
      </c>
      <c r="I1234" s="5" t="str">
        <f>_xlfn.XLOOKUP(sommaire[[#This Row],[Arrondissement_code]],OCHA_GIS!$F:$F,OCHA_GIS!$E:$E,,)</f>
        <v>Mokolo</v>
      </c>
      <c r="J1234" s="5" t="s">
        <v>733</v>
      </c>
      <c r="K1234" t="s">
        <v>1417</v>
      </c>
      <c r="L1234" s="5" t="s">
        <v>3282</v>
      </c>
      <c r="N1234" s="5" t="s">
        <v>3053</v>
      </c>
      <c r="O1234" s="5" t="s">
        <v>2473</v>
      </c>
      <c r="P1234" s="5" t="s">
        <v>85</v>
      </c>
      <c r="Q1234" s="5" t="s">
        <v>86</v>
      </c>
      <c r="R1234" s="5" t="s">
        <v>85</v>
      </c>
      <c r="T1234" s="390">
        <v>3</v>
      </c>
      <c r="U1234" s="5" t="s">
        <v>97</v>
      </c>
      <c r="W1234" s="5" t="s">
        <v>2468</v>
      </c>
      <c r="X1234" s="5" t="s">
        <v>102</v>
      </c>
      <c r="AA1234" s="5" t="s">
        <v>85</v>
      </c>
      <c r="AB1234" s="5" t="s">
        <v>2473</v>
      </c>
      <c r="AC1234" s="5" t="s">
        <v>2469</v>
      </c>
      <c r="AF1234" s="5">
        <v>77</v>
      </c>
      <c r="AG1234" s="5">
        <v>1500</v>
      </c>
      <c r="AH1234" s="5" t="s">
        <v>85</v>
      </c>
      <c r="AI1234" s="5" t="s">
        <v>2471</v>
      </c>
      <c r="AJ1234" s="5">
        <v>77</v>
      </c>
      <c r="AK1234" s="5">
        <v>518</v>
      </c>
      <c r="AL1234" s="5">
        <v>227</v>
      </c>
      <c r="AM1234" s="5">
        <v>291</v>
      </c>
      <c r="AN1234" s="5">
        <v>0</v>
      </c>
      <c r="AO1234" s="5">
        <v>0</v>
      </c>
      <c r="AP1234" s="5">
        <v>0</v>
      </c>
      <c r="AQ1234" s="5">
        <v>0</v>
      </c>
      <c r="AT1234" s="5">
        <v>0</v>
      </c>
      <c r="AU1234" s="5">
        <v>77</v>
      </c>
      <c r="AV1234" s="5" t="s">
        <v>2478</v>
      </c>
      <c r="AX1234" s="5">
        <v>0</v>
      </c>
      <c r="AY1234" s="5" t="s">
        <v>86</v>
      </c>
      <c r="BN1234" s="5" t="s">
        <v>86</v>
      </c>
      <c r="CD1234" s="5">
        <v>0</v>
      </c>
      <c r="CF1234" s="1442" t="str">
        <f>IF([1]!sommaire[[#This Row],[présence des personnes déplacés interne]]="Oui","1","0")</f>
        <v>1</v>
      </c>
      <c r="CG1234" s="1442" t="str">
        <f>IF([1]!sommaire[[#This Row],[présence Réfugié hors camp]]="Oui","1","0")</f>
        <v>0</v>
      </c>
      <c r="CH1234" s="1442" t="str">
        <f>IF([1]!sommaire[[#This Row],[présence personnes retournées]]="Oui","1","0")</f>
        <v>0</v>
      </c>
      <c r="CI1234" s="1442">
        <f>[1]!sommaire[[#This Row],[Flag PDI]]+[1]!sommaire[[#This Row],[Flag REF]]+[1]!sommaire[[#This Row],[Flag RET]]</f>
        <v>1</v>
      </c>
    </row>
    <row r="1235" spans="1:87" x14ac:dyDescent="0.3">
      <c r="A1235" s="390">
        <v>2655339</v>
      </c>
      <c r="B1235" s="5" t="s">
        <v>533</v>
      </c>
      <c r="C1235" s="1430" t="s">
        <v>3449</v>
      </c>
      <c r="D1235" s="5" t="s">
        <v>534</v>
      </c>
      <c r="E1235" s="5" t="s">
        <v>35</v>
      </c>
      <c r="F1235" s="5" t="s">
        <v>35</v>
      </c>
      <c r="G1235" s="5" t="s">
        <v>567</v>
      </c>
      <c r="H1235" s="5" t="s">
        <v>195</v>
      </c>
      <c r="I1235" s="5" t="str">
        <f>_xlfn.XLOOKUP(sommaire[[#This Row],[Arrondissement_code]],OCHA_GIS!$F:$F,OCHA_GIS!$E:$E,,)</f>
        <v>Mokolo</v>
      </c>
      <c r="J1235" s="5" t="s">
        <v>733</v>
      </c>
      <c r="K1235" t="s">
        <v>1480</v>
      </c>
      <c r="L1235" s="5" t="s">
        <v>3289</v>
      </c>
      <c r="N1235" s="5" t="s">
        <v>3053</v>
      </c>
      <c r="O1235" s="5" t="s">
        <v>2473</v>
      </c>
      <c r="P1235" s="5" t="s">
        <v>85</v>
      </c>
      <c r="Q1235" s="5" t="s">
        <v>86</v>
      </c>
      <c r="R1235" s="5" t="s">
        <v>85</v>
      </c>
      <c r="T1235" s="390">
        <v>3</v>
      </c>
      <c r="U1235" s="5" t="s">
        <v>97</v>
      </c>
      <c r="W1235" s="5" t="s">
        <v>2468</v>
      </c>
      <c r="X1235" s="5" t="s">
        <v>102</v>
      </c>
      <c r="AA1235" s="5" t="s">
        <v>85</v>
      </c>
      <c r="AB1235" s="5" t="s">
        <v>2473</v>
      </c>
      <c r="AC1235" s="5" t="s">
        <v>2470</v>
      </c>
      <c r="AF1235" s="5">
        <v>116</v>
      </c>
      <c r="AG1235" s="5">
        <v>500</v>
      </c>
      <c r="AH1235" s="5" t="s">
        <v>85</v>
      </c>
      <c r="AI1235" s="5" t="s">
        <v>2485</v>
      </c>
      <c r="AJ1235" s="5">
        <v>116</v>
      </c>
      <c r="AK1235" s="5">
        <v>500</v>
      </c>
      <c r="AL1235" s="5">
        <v>150</v>
      </c>
      <c r="AM1235" s="5">
        <v>350</v>
      </c>
      <c r="AN1235" s="5">
        <v>0</v>
      </c>
      <c r="AO1235" s="5">
        <v>0</v>
      </c>
      <c r="AP1235" s="5">
        <v>0</v>
      </c>
      <c r="AQ1235" s="5">
        <v>0</v>
      </c>
      <c r="AT1235" s="5">
        <v>0</v>
      </c>
      <c r="AU1235" s="5">
        <v>116</v>
      </c>
      <c r="AV1235" s="5" t="s">
        <v>383</v>
      </c>
      <c r="AW1235" s="5" t="s">
        <v>3290</v>
      </c>
      <c r="AX1235" s="5">
        <v>0</v>
      </c>
      <c r="AY1235" s="5" t="s">
        <v>86</v>
      </c>
      <c r="BN1235" s="5" t="s">
        <v>86</v>
      </c>
      <c r="CD1235" s="5">
        <v>0</v>
      </c>
      <c r="CF1235" s="1442" t="str">
        <f>IF([1]!sommaire[[#This Row],[présence des personnes déplacés interne]]="Oui","1","0")</f>
        <v>1</v>
      </c>
      <c r="CG1235" s="1442" t="str">
        <f>IF([1]!sommaire[[#This Row],[présence Réfugié hors camp]]="Oui","1","0")</f>
        <v>0</v>
      </c>
      <c r="CH1235" s="1442" t="str">
        <f>IF([1]!sommaire[[#This Row],[présence personnes retournées]]="Oui","1","0")</f>
        <v>0</v>
      </c>
      <c r="CI1235" s="1442">
        <f>[1]!sommaire[[#This Row],[Flag PDI]]+[1]!sommaire[[#This Row],[Flag REF]]+[1]!sommaire[[#This Row],[Flag RET]]</f>
        <v>1</v>
      </c>
    </row>
    <row r="1236" spans="1:87" x14ac:dyDescent="0.3">
      <c r="A1236" s="390">
        <v>2664829</v>
      </c>
      <c r="B1236" s="5" t="s">
        <v>533</v>
      </c>
      <c r="C1236" s="1430" t="s">
        <v>3449</v>
      </c>
      <c r="D1236" s="5" t="s">
        <v>534</v>
      </c>
      <c r="E1236" s="5" t="s">
        <v>35</v>
      </c>
      <c r="F1236" s="5" t="s">
        <v>35</v>
      </c>
      <c r="G1236" s="5" t="s">
        <v>567</v>
      </c>
      <c r="H1236" s="5" t="s">
        <v>195</v>
      </c>
      <c r="I1236" s="5" t="str">
        <f>_xlfn.XLOOKUP(sommaire[[#This Row],[Arrondissement_code]],OCHA_GIS!$F:$F,OCHA_GIS!$E:$E,,)</f>
        <v>Mokolo</v>
      </c>
      <c r="J1236" s="5" t="s">
        <v>733</v>
      </c>
      <c r="K1236" t="s">
        <v>3291</v>
      </c>
      <c r="L1236" s="5" t="s">
        <v>3292</v>
      </c>
      <c r="N1236" s="5" t="s">
        <v>3053</v>
      </c>
      <c r="O1236" s="5" t="s">
        <v>2473</v>
      </c>
      <c r="P1236" s="5" t="s">
        <v>85</v>
      </c>
      <c r="Q1236" s="5" t="s">
        <v>86</v>
      </c>
      <c r="R1236" s="5" t="s">
        <v>85</v>
      </c>
      <c r="T1236" s="390">
        <v>3</v>
      </c>
      <c r="U1236" s="5" t="s">
        <v>97</v>
      </c>
      <c r="W1236" s="5" t="s">
        <v>2468</v>
      </c>
      <c r="X1236" s="5" t="s">
        <v>102</v>
      </c>
      <c r="AA1236" s="5" t="s">
        <v>85</v>
      </c>
      <c r="AB1236" s="5" t="s">
        <v>2469</v>
      </c>
      <c r="AC1236" s="5" t="s">
        <v>2470</v>
      </c>
      <c r="AF1236" s="5">
        <v>25</v>
      </c>
      <c r="AG1236" s="5">
        <v>2000</v>
      </c>
      <c r="AH1236" s="5" t="s">
        <v>85</v>
      </c>
      <c r="AI1236" s="5" t="s">
        <v>2471</v>
      </c>
      <c r="AJ1236" s="5">
        <v>25</v>
      </c>
      <c r="AK1236" s="5">
        <v>243</v>
      </c>
      <c r="AL1236" s="5">
        <v>119</v>
      </c>
      <c r="AM1236" s="5">
        <v>124</v>
      </c>
      <c r="AN1236" s="5">
        <v>0</v>
      </c>
      <c r="AO1236" s="5">
        <v>25</v>
      </c>
      <c r="AP1236" s="5">
        <v>0</v>
      </c>
      <c r="AQ1236" s="5">
        <v>0</v>
      </c>
      <c r="AT1236" s="5">
        <v>0</v>
      </c>
      <c r="AU1236" s="5">
        <v>0</v>
      </c>
      <c r="AX1236" s="5">
        <v>0</v>
      </c>
      <c r="AY1236" s="5" t="s">
        <v>86</v>
      </c>
      <c r="BN1236" s="5" t="s">
        <v>86</v>
      </c>
      <c r="CD1236" s="5">
        <v>0</v>
      </c>
      <c r="CF1236" s="1442" t="str">
        <f>IF([1]!sommaire[[#This Row],[présence des personnes déplacés interne]]="Oui","1","0")</f>
        <v>1</v>
      </c>
      <c r="CG1236" s="1442" t="str">
        <f>IF([1]!sommaire[[#This Row],[présence Réfugié hors camp]]="Oui","1","0")</f>
        <v>0</v>
      </c>
      <c r="CH1236" s="1442" t="str">
        <f>IF([1]!sommaire[[#This Row],[présence personnes retournées]]="Oui","1","0")</f>
        <v>0</v>
      </c>
      <c r="CI1236" s="1442">
        <f>[1]!sommaire[[#This Row],[Flag PDI]]+[1]!sommaire[[#This Row],[Flag REF]]+[1]!sommaire[[#This Row],[Flag RET]]</f>
        <v>1</v>
      </c>
    </row>
    <row r="1237" spans="1:87" x14ac:dyDescent="0.3">
      <c r="A1237" s="390">
        <v>2655343</v>
      </c>
      <c r="B1237" s="5" t="s">
        <v>533</v>
      </c>
      <c r="C1237" s="1430" t="s">
        <v>3449</v>
      </c>
      <c r="D1237" s="5" t="s">
        <v>534</v>
      </c>
      <c r="E1237" s="5" t="s">
        <v>35</v>
      </c>
      <c r="F1237" s="5" t="s">
        <v>35</v>
      </c>
      <c r="G1237" s="5" t="s">
        <v>567</v>
      </c>
      <c r="H1237" s="5" t="s">
        <v>195</v>
      </c>
      <c r="I1237" s="5" t="str">
        <f>_xlfn.XLOOKUP(sommaire[[#This Row],[Arrondissement_code]],OCHA_GIS!$F:$F,OCHA_GIS!$E:$E,,)</f>
        <v>Mokolo</v>
      </c>
      <c r="J1237" s="5" t="s">
        <v>733</v>
      </c>
      <c r="K1237" t="s">
        <v>2994</v>
      </c>
      <c r="L1237" s="5" t="s">
        <v>3300</v>
      </c>
      <c r="N1237" s="5" t="s">
        <v>3053</v>
      </c>
      <c r="O1237" s="5" t="s">
        <v>2473</v>
      </c>
      <c r="P1237" s="5" t="s">
        <v>85</v>
      </c>
      <c r="Q1237" s="5" t="s">
        <v>86</v>
      </c>
      <c r="R1237" s="5" t="s">
        <v>85</v>
      </c>
      <c r="T1237" s="390">
        <v>3</v>
      </c>
      <c r="U1237" s="5" t="s">
        <v>97</v>
      </c>
      <c r="W1237" s="5" t="s">
        <v>2468</v>
      </c>
      <c r="X1237" s="5" t="s">
        <v>102</v>
      </c>
      <c r="AA1237" s="5" t="s">
        <v>85</v>
      </c>
      <c r="AB1237" s="5" t="s">
        <v>2473</v>
      </c>
      <c r="AC1237" s="5" t="s">
        <v>2470</v>
      </c>
      <c r="AF1237" s="5">
        <v>511</v>
      </c>
      <c r="AG1237" s="5">
        <v>3463</v>
      </c>
      <c r="AH1237" s="5" t="s">
        <v>85</v>
      </c>
      <c r="AI1237" s="5" t="s">
        <v>2471</v>
      </c>
      <c r="AJ1237" s="5">
        <v>511</v>
      </c>
      <c r="AK1237" s="5">
        <v>3463</v>
      </c>
      <c r="AL1237" s="5">
        <v>1193</v>
      </c>
      <c r="AM1237" s="5">
        <v>2270</v>
      </c>
      <c r="AN1237" s="5">
        <v>0</v>
      </c>
      <c r="AO1237" s="5">
        <v>0</v>
      </c>
      <c r="AP1237" s="5">
        <v>0</v>
      </c>
      <c r="AQ1237" s="5">
        <v>0</v>
      </c>
      <c r="AT1237" s="5">
        <v>0</v>
      </c>
      <c r="AU1237" s="5">
        <v>511</v>
      </c>
      <c r="AV1237" s="5" t="s">
        <v>2490</v>
      </c>
      <c r="AX1237" s="5">
        <v>0</v>
      </c>
      <c r="AY1237" s="5" t="s">
        <v>86</v>
      </c>
      <c r="BN1237" s="5" t="s">
        <v>86</v>
      </c>
      <c r="CD1237" s="5">
        <v>0</v>
      </c>
      <c r="CF1237" s="1442" t="str">
        <f>IF([1]!sommaire[[#This Row],[présence des personnes déplacés interne]]="Oui","1","0")</f>
        <v>1</v>
      </c>
      <c r="CG1237" s="1442" t="str">
        <f>IF([1]!sommaire[[#This Row],[présence Réfugié hors camp]]="Oui","1","0")</f>
        <v>0</v>
      </c>
      <c r="CH1237" s="1442" t="str">
        <f>IF([1]!sommaire[[#This Row],[présence personnes retournées]]="Oui","1","0")</f>
        <v>0</v>
      </c>
      <c r="CI1237" s="1442">
        <f>[1]!sommaire[[#This Row],[Flag PDI]]+[1]!sommaire[[#This Row],[Flag REF]]+[1]!sommaire[[#This Row],[Flag RET]]</f>
        <v>1</v>
      </c>
    </row>
    <row r="1238" spans="1:87" x14ac:dyDescent="0.3">
      <c r="A1238" s="390">
        <v>2655340</v>
      </c>
      <c r="B1238" s="5" t="s">
        <v>533</v>
      </c>
      <c r="C1238" s="1430" t="s">
        <v>3449</v>
      </c>
      <c r="D1238" s="5" t="s">
        <v>534</v>
      </c>
      <c r="E1238" s="5" t="s">
        <v>35</v>
      </c>
      <c r="F1238" s="5" t="s">
        <v>35</v>
      </c>
      <c r="G1238" s="5" t="s">
        <v>567</v>
      </c>
      <c r="H1238" s="5" t="s">
        <v>195</v>
      </c>
      <c r="I1238" s="5" t="str">
        <f>_xlfn.XLOOKUP(sommaire[[#This Row],[Arrondissement_code]],OCHA_GIS!$F:$F,OCHA_GIS!$E:$E,,)</f>
        <v>Mokolo</v>
      </c>
      <c r="J1238" s="5" t="s">
        <v>733</v>
      </c>
      <c r="K1238" t="s">
        <v>2646</v>
      </c>
      <c r="L1238" s="5" t="s">
        <v>1519</v>
      </c>
      <c r="N1238" s="5" t="s">
        <v>3053</v>
      </c>
      <c r="O1238" s="5" t="s">
        <v>2473</v>
      </c>
      <c r="P1238" s="5" t="s">
        <v>85</v>
      </c>
      <c r="Q1238" s="5" t="s">
        <v>86</v>
      </c>
      <c r="R1238" s="5" t="s">
        <v>85</v>
      </c>
      <c r="T1238" s="390">
        <v>3</v>
      </c>
      <c r="U1238" s="5" t="s">
        <v>97</v>
      </c>
      <c r="W1238" s="5" t="s">
        <v>2468</v>
      </c>
      <c r="X1238" s="5" t="s">
        <v>102</v>
      </c>
      <c r="AA1238" s="5" t="s">
        <v>85</v>
      </c>
      <c r="AB1238" s="5" t="s">
        <v>2473</v>
      </c>
      <c r="AC1238" s="5" t="s">
        <v>2469</v>
      </c>
      <c r="AF1238" s="5">
        <v>142</v>
      </c>
      <c r="AG1238" s="5">
        <v>848</v>
      </c>
      <c r="AH1238" s="5" t="s">
        <v>85</v>
      </c>
      <c r="AI1238" s="5" t="s">
        <v>2485</v>
      </c>
      <c r="AJ1238" s="5">
        <v>142</v>
      </c>
      <c r="AK1238" s="5">
        <v>848</v>
      </c>
      <c r="AL1238" s="5">
        <v>346</v>
      </c>
      <c r="AM1238" s="5">
        <v>502</v>
      </c>
      <c r="AN1238" s="5">
        <v>0</v>
      </c>
      <c r="AO1238" s="5">
        <v>0</v>
      </c>
      <c r="AP1238" s="5">
        <v>0</v>
      </c>
      <c r="AQ1238" s="5">
        <v>0</v>
      </c>
      <c r="AT1238" s="5">
        <v>0</v>
      </c>
      <c r="AU1238" s="5">
        <v>142</v>
      </c>
      <c r="AV1238" s="5" t="s">
        <v>383</v>
      </c>
      <c r="AW1238" s="5" t="s">
        <v>3302</v>
      </c>
      <c r="AX1238" s="5">
        <v>0</v>
      </c>
      <c r="AY1238" s="5" t="s">
        <v>86</v>
      </c>
      <c r="BN1238" s="5" t="s">
        <v>86</v>
      </c>
      <c r="CD1238" s="5">
        <v>0</v>
      </c>
      <c r="CF1238" s="1442" t="str">
        <f>IF([1]!sommaire[[#This Row],[présence des personnes déplacés interne]]="Oui","1","0")</f>
        <v>1</v>
      </c>
      <c r="CG1238" s="1442" t="str">
        <f>IF([1]!sommaire[[#This Row],[présence Réfugié hors camp]]="Oui","1","0")</f>
        <v>0</v>
      </c>
      <c r="CH1238" s="1442" t="str">
        <f>IF([1]!sommaire[[#This Row],[présence personnes retournées]]="Oui","1","0")</f>
        <v>0</v>
      </c>
      <c r="CI1238" s="1442">
        <f>[1]!sommaire[[#This Row],[Flag PDI]]+[1]!sommaire[[#This Row],[Flag REF]]+[1]!sommaire[[#This Row],[Flag RET]]</f>
        <v>1</v>
      </c>
    </row>
    <row r="1239" spans="1:87" x14ac:dyDescent="0.3">
      <c r="A1239" s="390">
        <v>2686648</v>
      </c>
      <c r="B1239" s="5" t="s">
        <v>533</v>
      </c>
      <c r="C1239" s="1430" t="s">
        <v>3449</v>
      </c>
      <c r="D1239" s="5" t="s">
        <v>534</v>
      </c>
      <c r="E1239" s="5" t="s">
        <v>35</v>
      </c>
      <c r="F1239" s="5" t="s">
        <v>35</v>
      </c>
      <c r="G1239" s="5" t="s">
        <v>567</v>
      </c>
      <c r="H1239" s="5" t="s">
        <v>195</v>
      </c>
      <c r="I1239" s="5" t="str">
        <f>_xlfn.XLOOKUP(sommaire[[#This Row],[Arrondissement_code]],OCHA_GIS!$F:$F,OCHA_GIS!$E:$E,,)</f>
        <v>Mokolo</v>
      </c>
      <c r="J1239" s="5" t="s">
        <v>733</v>
      </c>
      <c r="K1239" t="s">
        <v>2644</v>
      </c>
      <c r="L1239" s="5" t="s">
        <v>3307</v>
      </c>
      <c r="N1239" s="5" t="s">
        <v>3053</v>
      </c>
      <c r="O1239" s="5" t="s">
        <v>2473</v>
      </c>
      <c r="P1239" s="5" t="s">
        <v>85</v>
      </c>
      <c r="Q1239" s="5" t="s">
        <v>86</v>
      </c>
      <c r="R1239" s="5" t="s">
        <v>86</v>
      </c>
      <c r="T1239" s="390">
        <v>3</v>
      </c>
      <c r="U1239" s="5" t="s">
        <v>97</v>
      </c>
      <c r="W1239" s="5" t="s">
        <v>2468</v>
      </c>
      <c r="X1239" s="5" t="s">
        <v>102</v>
      </c>
      <c r="AA1239" s="5" t="s">
        <v>85</v>
      </c>
      <c r="AB1239" s="5" t="s">
        <v>2473</v>
      </c>
      <c r="AC1239" s="5" t="s">
        <v>2521</v>
      </c>
      <c r="AF1239" s="5">
        <v>563</v>
      </c>
      <c r="AG1239" s="5">
        <v>4000</v>
      </c>
      <c r="AH1239" s="5" t="s">
        <v>85</v>
      </c>
      <c r="AI1239" s="5" t="s">
        <v>2471</v>
      </c>
      <c r="AJ1239" s="5">
        <v>563</v>
      </c>
      <c r="AK1239" s="5">
        <v>3126</v>
      </c>
      <c r="AL1239" s="5">
        <v>1417</v>
      </c>
      <c r="AM1239" s="5">
        <v>1709</v>
      </c>
      <c r="AN1239" s="5">
        <v>0</v>
      </c>
      <c r="AO1239" s="5">
        <v>0</v>
      </c>
      <c r="AP1239" s="5">
        <v>0</v>
      </c>
      <c r="AQ1239" s="5">
        <v>0</v>
      </c>
      <c r="AT1239" s="5">
        <v>563</v>
      </c>
      <c r="AU1239" s="5">
        <v>0</v>
      </c>
      <c r="AX1239" s="5">
        <v>0</v>
      </c>
      <c r="AY1239" s="5" t="s">
        <v>86</v>
      </c>
      <c r="BN1239" s="5" t="s">
        <v>86</v>
      </c>
      <c r="CD1239" s="5">
        <v>0</v>
      </c>
      <c r="CF1239" s="1442" t="str">
        <f>IF([1]!sommaire[[#This Row],[présence des personnes déplacés interne]]="Oui","1","0")</f>
        <v>1</v>
      </c>
      <c r="CG1239" s="1442" t="str">
        <f>IF([1]!sommaire[[#This Row],[présence Réfugié hors camp]]="Oui","1","0")</f>
        <v>0</v>
      </c>
      <c r="CH1239" s="1442" t="str">
        <f>IF([1]!sommaire[[#This Row],[présence personnes retournées]]="Oui","1","0")</f>
        <v>0</v>
      </c>
      <c r="CI1239" s="1442">
        <f>[1]!sommaire[[#This Row],[Flag PDI]]+[1]!sommaire[[#This Row],[Flag REF]]+[1]!sommaire[[#This Row],[Flag RET]]</f>
        <v>1</v>
      </c>
    </row>
    <row r="1240" spans="1:87" x14ac:dyDescent="0.3">
      <c r="A1240" s="390">
        <v>2655336</v>
      </c>
      <c r="B1240" s="5" t="s">
        <v>533</v>
      </c>
      <c r="C1240" s="1430" t="s">
        <v>3449</v>
      </c>
      <c r="D1240" s="5" t="s">
        <v>534</v>
      </c>
      <c r="E1240" s="5" t="s">
        <v>35</v>
      </c>
      <c r="F1240" s="5" t="s">
        <v>35</v>
      </c>
      <c r="G1240" s="5" t="s">
        <v>567</v>
      </c>
      <c r="H1240" s="5" t="s">
        <v>195</v>
      </c>
      <c r="I1240" s="5" t="str">
        <f>_xlfn.XLOOKUP(sommaire[[#This Row],[Arrondissement_code]],OCHA_GIS!$F:$F,OCHA_GIS!$E:$E,,)</f>
        <v>Mokolo</v>
      </c>
      <c r="J1240" s="5" t="s">
        <v>733</v>
      </c>
      <c r="K1240" t="s">
        <v>1427</v>
      </c>
      <c r="L1240" s="5" t="s">
        <v>3311</v>
      </c>
      <c r="N1240" s="5" t="s">
        <v>3053</v>
      </c>
      <c r="O1240" s="5" t="s">
        <v>2473</v>
      </c>
      <c r="P1240" s="5" t="s">
        <v>85</v>
      </c>
      <c r="Q1240" s="5" t="s">
        <v>86</v>
      </c>
      <c r="R1240" s="5" t="s">
        <v>85</v>
      </c>
      <c r="T1240" s="390">
        <v>3</v>
      </c>
      <c r="U1240" s="5" t="s">
        <v>97</v>
      </c>
      <c r="W1240" s="5" t="s">
        <v>2468</v>
      </c>
      <c r="X1240" s="5" t="s">
        <v>102</v>
      </c>
      <c r="AA1240" s="5" t="s">
        <v>85</v>
      </c>
      <c r="AB1240" s="5" t="s">
        <v>2473</v>
      </c>
      <c r="AC1240" s="5" t="s">
        <v>2470</v>
      </c>
      <c r="AF1240" s="5">
        <v>30</v>
      </c>
      <c r="AG1240" s="5">
        <v>202</v>
      </c>
      <c r="AH1240" s="5" t="s">
        <v>85</v>
      </c>
      <c r="AI1240" s="5" t="s">
        <v>2471</v>
      </c>
      <c r="AJ1240" s="5">
        <v>30</v>
      </c>
      <c r="AK1240" s="5">
        <v>202</v>
      </c>
      <c r="AL1240" s="5">
        <v>93</v>
      </c>
      <c r="AM1240" s="5">
        <v>109</v>
      </c>
      <c r="AN1240" s="5">
        <v>0</v>
      </c>
      <c r="AO1240" s="5">
        <v>0</v>
      </c>
      <c r="AP1240" s="5">
        <v>0</v>
      </c>
      <c r="AQ1240" s="5">
        <v>0</v>
      </c>
      <c r="AT1240" s="5">
        <v>0</v>
      </c>
      <c r="AU1240" s="5">
        <v>30</v>
      </c>
      <c r="AV1240" s="5" t="s">
        <v>2490</v>
      </c>
      <c r="AX1240" s="5">
        <v>0</v>
      </c>
      <c r="AY1240" s="5" t="s">
        <v>86</v>
      </c>
      <c r="BN1240" s="5" t="s">
        <v>86</v>
      </c>
      <c r="CD1240" s="5">
        <v>0</v>
      </c>
      <c r="CF1240" s="1442" t="str">
        <f>IF([1]!sommaire[[#This Row],[présence des personnes déplacés interne]]="Oui","1","0")</f>
        <v>1</v>
      </c>
      <c r="CG1240" s="1442" t="str">
        <f>IF([1]!sommaire[[#This Row],[présence Réfugié hors camp]]="Oui","1","0")</f>
        <v>0</v>
      </c>
      <c r="CH1240" s="1442" t="str">
        <f>IF([1]!sommaire[[#This Row],[présence personnes retournées]]="Oui","1","0")</f>
        <v>0</v>
      </c>
      <c r="CI1240" s="1442">
        <f>[1]!sommaire[[#This Row],[Flag PDI]]+[1]!sommaire[[#This Row],[Flag REF]]+[1]!sommaire[[#This Row],[Flag RET]]</f>
        <v>1</v>
      </c>
    </row>
    <row r="1241" spans="1:87" x14ac:dyDescent="0.3">
      <c r="A1241" s="390">
        <v>2655338</v>
      </c>
      <c r="B1241" s="5" t="s">
        <v>533</v>
      </c>
      <c r="C1241" s="1430" t="s">
        <v>3449</v>
      </c>
      <c r="D1241" s="5" t="s">
        <v>534</v>
      </c>
      <c r="E1241" s="5" t="s">
        <v>35</v>
      </c>
      <c r="F1241" s="5" t="s">
        <v>35</v>
      </c>
      <c r="G1241" s="5" t="s">
        <v>567</v>
      </c>
      <c r="H1241" s="5" t="s">
        <v>195</v>
      </c>
      <c r="I1241" s="5" t="str">
        <f>_xlfn.XLOOKUP(sommaire[[#This Row],[Arrondissement_code]],OCHA_GIS!$F:$F,OCHA_GIS!$E:$E,,)</f>
        <v>Mokolo</v>
      </c>
      <c r="J1241" s="5" t="s">
        <v>733</v>
      </c>
      <c r="K1241" t="s">
        <v>1482</v>
      </c>
      <c r="L1241" s="5" t="s">
        <v>3312</v>
      </c>
      <c r="N1241" s="5" t="s">
        <v>3053</v>
      </c>
      <c r="O1241" s="5" t="s">
        <v>2473</v>
      </c>
      <c r="P1241" s="5" t="s">
        <v>85</v>
      </c>
      <c r="Q1241" s="5" t="s">
        <v>86</v>
      </c>
      <c r="R1241" s="5" t="s">
        <v>85</v>
      </c>
      <c r="T1241" s="390">
        <v>3</v>
      </c>
      <c r="U1241" s="5" t="s">
        <v>97</v>
      </c>
      <c r="W1241" s="5" t="s">
        <v>2468</v>
      </c>
      <c r="X1241" s="5" t="s">
        <v>102</v>
      </c>
      <c r="AA1241" s="5" t="s">
        <v>85</v>
      </c>
      <c r="AB1241" s="5" t="s">
        <v>2473</v>
      </c>
      <c r="AC1241" s="5" t="s">
        <v>2470</v>
      </c>
      <c r="AF1241" s="5">
        <v>103</v>
      </c>
      <c r="AG1241" s="5">
        <v>489</v>
      </c>
      <c r="AH1241" s="5" t="s">
        <v>85</v>
      </c>
      <c r="AI1241" s="5" t="s">
        <v>2471</v>
      </c>
      <c r="AJ1241" s="5">
        <v>103</v>
      </c>
      <c r="AK1241" s="5">
        <v>489</v>
      </c>
      <c r="AL1241" s="5">
        <v>227</v>
      </c>
      <c r="AM1241" s="5">
        <v>262</v>
      </c>
      <c r="AN1241" s="5">
        <v>0</v>
      </c>
      <c r="AO1241" s="5">
        <v>0</v>
      </c>
      <c r="AP1241" s="5">
        <v>0</v>
      </c>
      <c r="AQ1241" s="5">
        <v>0</v>
      </c>
      <c r="AT1241" s="5">
        <v>0</v>
      </c>
      <c r="AU1241" s="5">
        <v>103</v>
      </c>
      <c r="AV1241" s="5" t="s">
        <v>2490</v>
      </c>
      <c r="AX1241" s="5">
        <v>0</v>
      </c>
      <c r="AY1241" s="5" t="s">
        <v>86</v>
      </c>
      <c r="BN1241" s="5" t="s">
        <v>86</v>
      </c>
      <c r="CD1241" s="5">
        <v>0</v>
      </c>
      <c r="CF1241" s="1442" t="str">
        <f>IF([1]!sommaire[[#This Row],[présence des personnes déplacés interne]]="Oui","1","0")</f>
        <v>1</v>
      </c>
      <c r="CG1241" s="1442" t="str">
        <f>IF([1]!sommaire[[#This Row],[présence Réfugié hors camp]]="Oui","1","0")</f>
        <v>0</v>
      </c>
      <c r="CH1241" s="1442" t="str">
        <f>IF([1]!sommaire[[#This Row],[présence personnes retournées]]="Oui","1","0")</f>
        <v>0</v>
      </c>
      <c r="CI1241" s="1442">
        <f>[1]!sommaire[[#This Row],[Flag PDI]]+[1]!sommaire[[#This Row],[Flag REF]]+[1]!sommaire[[#This Row],[Flag RET]]</f>
        <v>1</v>
      </c>
    </row>
    <row r="1242" spans="1:87" x14ac:dyDescent="0.3">
      <c r="A1242" s="390">
        <v>2684724</v>
      </c>
      <c r="B1242" s="5" t="s">
        <v>533</v>
      </c>
      <c r="C1242" s="1430" t="s">
        <v>3449</v>
      </c>
      <c r="D1242" s="5" t="s">
        <v>534</v>
      </c>
      <c r="E1242" s="5" t="s">
        <v>35</v>
      </c>
      <c r="F1242" s="5" t="s">
        <v>35</v>
      </c>
      <c r="G1242" s="5" t="s">
        <v>567</v>
      </c>
      <c r="H1242" s="5" t="s">
        <v>195</v>
      </c>
      <c r="I1242" s="5" t="str">
        <f>_xlfn.XLOOKUP(sommaire[[#This Row],[Arrondissement_code]],OCHA_GIS!$F:$F,OCHA_GIS!$E:$E,,)</f>
        <v>Mokolo</v>
      </c>
      <c r="J1242" s="5" t="s">
        <v>733</v>
      </c>
      <c r="K1242" t="s">
        <v>1614</v>
      </c>
      <c r="L1242" s="5" t="s">
        <v>3313</v>
      </c>
      <c r="N1242" s="5" t="s">
        <v>3053</v>
      </c>
      <c r="O1242" s="5" t="s">
        <v>2473</v>
      </c>
      <c r="P1242" s="5" t="s">
        <v>86</v>
      </c>
      <c r="Q1242" s="5" t="s">
        <v>85</v>
      </c>
      <c r="R1242" s="5" t="s">
        <v>85</v>
      </c>
      <c r="S1242" s="390">
        <v>6</v>
      </c>
      <c r="U1242" s="5" t="s">
        <v>97</v>
      </c>
      <c r="W1242" s="5" t="s">
        <v>2468</v>
      </c>
      <c r="X1242" s="5" t="s">
        <v>102</v>
      </c>
      <c r="AA1242" s="5" t="s">
        <v>85</v>
      </c>
      <c r="AB1242" s="5" t="s">
        <v>2473</v>
      </c>
      <c r="AC1242" s="5" t="s">
        <v>2470</v>
      </c>
      <c r="AF1242" s="5">
        <v>850</v>
      </c>
      <c r="AG1242" s="5">
        <v>3135</v>
      </c>
      <c r="AH1242" s="5" t="s">
        <v>85</v>
      </c>
      <c r="AI1242" s="5" t="s">
        <v>2486</v>
      </c>
      <c r="AJ1242" s="5">
        <v>850</v>
      </c>
      <c r="AK1242" s="5">
        <v>3135</v>
      </c>
      <c r="AL1242" s="5">
        <v>712</v>
      </c>
      <c r="AM1242" s="5">
        <v>2423</v>
      </c>
      <c r="AN1242" s="5">
        <v>0</v>
      </c>
      <c r="AO1242" s="5">
        <v>0</v>
      </c>
      <c r="AP1242" s="5">
        <v>0</v>
      </c>
      <c r="AQ1242" s="5">
        <v>0</v>
      </c>
      <c r="AT1242" s="5">
        <v>0</v>
      </c>
      <c r="AU1242" s="5">
        <v>850</v>
      </c>
      <c r="AV1242" s="5" t="s">
        <v>2478</v>
      </c>
      <c r="AX1242" s="5">
        <v>0</v>
      </c>
      <c r="AY1242" s="5" t="s">
        <v>86</v>
      </c>
      <c r="BN1242" s="5" t="s">
        <v>86</v>
      </c>
      <c r="CD1242" s="5">
        <v>0</v>
      </c>
      <c r="CF1242" s="1442" t="str">
        <f>IF([1]!sommaire[[#This Row],[présence des personnes déplacés interne]]="Oui","1","0")</f>
        <v>1</v>
      </c>
      <c r="CG1242" s="1442" t="str">
        <f>IF([1]!sommaire[[#This Row],[présence Réfugié hors camp]]="Oui","1","0")</f>
        <v>0</v>
      </c>
      <c r="CH1242" s="1442" t="str">
        <f>IF([1]!sommaire[[#This Row],[présence personnes retournées]]="Oui","1","0")</f>
        <v>0</v>
      </c>
      <c r="CI1242" s="1442">
        <f>[1]!sommaire[[#This Row],[Flag PDI]]+[1]!sommaire[[#This Row],[Flag REF]]+[1]!sommaire[[#This Row],[Flag RET]]</f>
        <v>1</v>
      </c>
    </row>
    <row r="1243" spans="1:87" x14ac:dyDescent="0.3">
      <c r="A1243" s="390">
        <v>2543795</v>
      </c>
      <c r="B1243" s="5" t="s">
        <v>533</v>
      </c>
      <c r="C1243" s="1430" t="s">
        <v>3449</v>
      </c>
      <c r="D1243" s="5" t="s">
        <v>534</v>
      </c>
      <c r="E1243" s="5" t="s">
        <v>35</v>
      </c>
      <c r="F1243" s="5" t="s">
        <v>35</v>
      </c>
      <c r="G1243" s="5" t="s">
        <v>567</v>
      </c>
      <c r="H1243" s="5" t="s">
        <v>195</v>
      </c>
      <c r="I1243" s="5" t="str">
        <f>_xlfn.XLOOKUP(sommaire[[#This Row],[Arrondissement_code]],OCHA_GIS!$F:$F,OCHA_GIS!$E:$E,,)</f>
        <v>Mokolo</v>
      </c>
      <c r="J1243" s="5" t="s">
        <v>733</v>
      </c>
      <c r="K1243" t="s">
        <v>2648</v>
      </c>
      <c r="L1243" s="5" t="s">
        <v>1226</v>
      </c>
      <c r="N1243" s="5" t="s">
        <v>3053</v>
      </c>
      <c r="O1243" s="5" t="s">
        <v>2473</v>
      </c>
      <c r="P1243" s="5" t="s">
        <v>85</v>
      </c>
      <c r="Q1243" s="5" t="s">
        <v>86</v>
      </c>
      <c r="R1243" s="5" t="s">
        <v>85</v>
      </c>
      <c r="T1243" s="390">
        <v>3</v>
      </c>
      <c r="U1243" s="5" t="s">
        <v>97</v>
      </c>
      <c r="W1243" s="5" t="s">
        <v>2468</v>
      </c>
      <c r="X1243" s="5" t="s">
        <v>102</v>
      </c>
      <c r="AA1243" s="5" t="s">
        <v>85</v>
      </c>
      <c r="AB1243" s="5" t="s">
        <v>2473</v>
      </c>
      <c r="AC1243" s="5" t="s">
        <v>2470</v>
      </c>
      <c r="AF1243" s="5">
        <v>140</v>
      </c>
      <c r="AG1243" s="5">
        <v>3247</v>
      </c>
      <c r="AH1243" s="5" t="s">
        <v>85</v>
      </c>
      <c r="AI1243" s="5" t="s">
        <v>2471</v>
      </c>
      <c r="AJ1243" s="5">
        <v>140</v>
      </c>
      <c r="AK1243" s="5">
        <v>3201</v>
      </c>
      <c r="AL1243" s="5">
        <v>1500</v>
      </c>
      <c r="AM1243" s="5">
        <v>1701</v>
      </c>
      <c r="AN1243" s="5">
        <v>0</v>
      </c>
      <c r="AO1243" s="5">
        <v>0</v>
      </c>
      <c r="AP1243" s="5">
        <v>0</v>
      </c>
      <c r="AQ1243" s="5">
        <v>0</v>
      </c>
      <c r="AT1243" s="5">
        <v>0</v>
      </c>
      <c r="AU1243" s="5">
        <v>140</v>
      </c>
      <c r="AV1243" s="5" t="s">
        <v>2478</v>
      </c>
      <c r="AX1243" s="5">
        <v>0</v>
      </c>
      <c r="AY1243" s="5" t="s">
        <v>86</v>
      </c>
      <c r="BN1243" s="5" t="s">
        <v>86</v>
      </c>
      <c r="CD1243" s="5">
        <v>0</v>
      </c>
      <c r="CF1243" s="1442" t="str">
        <f>IF([1]!sommaire[[#This Row],[présence des personnes déplacés interne]]="Oui","1","0")</f>
        <v>1</v>
      </c>
      <c r="CG1243" s="1442" t="str">
        <f>IF([1]!sommaire[[#This Row],[présence Réfugié hors camp]]="Oui","1","0")</f>
        <v>0</v>
      </c>
      <c r="CH1243" s="1442" t="str">
        <f>IF([1]!sommaire[[#This Row],[présence personnes retournées]]="Oui","1","0")</f>
        <v>0</v>
      </c>
      <c r="CI1243" s="1442">
        <f>[1]!sommaire[[#This Row],[Flag PDI]]+[1]!sommaire[[#This Row],[Flag REF]]+[1]!sommaire[[#This Row],[Flag RET]]</f>
        <v>1</v>
      </c>
    </row>
    <row r="1244" spans="1:87" x14ac:dyDescent="0.3">
      <c r="A1244" s="390">
        <v>2688809</v>
      </c>
      <c r="B1244" s="5" t="s">
        <v>533</v>
      </c>
      <c r="C1244" s="1430" t="s">
        <v>3449</v>
      </c>
      <c r="D1244" s="5" t="s">
        <v>534</v>
      </c>
      <c r="E1244" s="5" t="s">
        <v>35</v>
      </c>
      <c r="F1244" s="5" t="s">
        <v>35</v>
      </c>
      <c r="G1244" s="5" t="s">
        <v>567</v>
      </c>
      <c r="H1244" s="5" t="s">
        <v>195</v>
      </c>
      <c r="I1244" s="5" t="str">
        <f>_xlfn.XLOOKUP(sommaire[[#This Row],[Arrondissement_code]],OCHA_GIS!$F:$F,OCHA_GIS!$E:$E,,)</f>
        <v>Mokolo</v>
      </c>
      <c r="J1244" s="5" t="s">
        <v>733</v>
      </c>
      <c r="K1244" t="s">
        <v>1906</v>
      </c>
      <c r="L1244" s="5" t="s">
        <v>1839</v>
      </c>
      <c r="N1244" s="5" t="s">
        <v>3053</v>
      </c>
      <c r="O1244" s="5" t="s">
        <v>2467</v>
      </c>
      <c r="P1244" s="5" t="s">
        <v>85</v>
      </c>
      <c r="Q1244" s="5" t="s">
        <v>86</v>
      </c>
      <c r="R1244" s="5" t="s">
        <v>85</v>
      </c>
      <c r="T1244" s="390">
        <v>4</v>
      </c>
      <c r="U1244" s="5" t="s">
        <v>97</v>
      </c>
      <c r="W1244" s="5" t="s">
        <v>2468</v>
      </c>
      <c r="X1244" s="5" t="s">
        <v>102</v>
      </c>
      <c r="AA1244" s="5" t="s">
        <v>85</v>
      </c>
      <c r="AB1244" s="5" t="s">
        <v>2469</v>
      </c>
      <c r="AC1244" s="5" t="s">
        <v>2470</v>
      </c>
      <c r="AD1244" s="5" t="s">
        <v>86</v>
      </c>
      <c r="AF1244" s="5">
        <v>47</v>
      </c>
      <c r="AG1244" s="5">
        <v>1449</v>
      </c>
      <c r="AH1244" s="5" t="s">
        <v>85</v>
      </c>
      <c r="AI1244" s="5" t="s">
        <v>2471</v>
      </c>
      <c r="AJ1244" s="5">
        <v>47</v>
      </c>
      <c r="AK1244" s="5">
        <v>277</v>
      </c>
      <c r="AL1244" s="5">
        <v>126</v>
      </c>
      <c r="AM1244" s="5">
        <v>151</v>
      </c>
      <c r="AN1244" s="5">
        <v>0</v>
      </c>
      <c r="AO1244" s="5">
        <v>8</v>
      </c>
      <c r="AP1244" s="5">
        <v>9</v>
      </c>
      <c r="AQ1244" s="5">
        <v>30</v>
      </c>
      <c r="AR1244" s="5" t="s">
        <v>2477</v>
      </c>
      <c r="AT1244" s="5">
        <v>0</v>
      </c>
      <c r="AU1244" s="5">
        <v>0</v>
      </c>
      <c r="AX1244" s="5">
        <v>0</v>
      </c>
      <c r="AY1244" s="5" t="s">
        <v>85</v>
      </c>
      <c r="AZ1244" s="5">
        <v>23</v>
      </c>
      <c r="BA1244" s="5">
        <v>107</v>
      </c>
      <c r="BB1244" s="5">
        <v>50</v>
      </c>
      <c r="BC1244" s="5">
        <v>57</v>
      </c>
      <c r="BD1244" s="5">
        <v>3</v>
      </c>
      <c r="BE1244" s="5">
        <v>9</v>
      </c>
      <c r="BF1244" s="5">
        <v>11</v>
      </c>
      <c r="BG1244" s="5" t="s">
        <v>2477</v>
      </c>
      <c r="BH1244" s="5">
        <v>0</v>
      </c>
      <c r="BI1244" s="5">
        <v>0</v>
      </c>
      <c r="BL1244" s="5">
        <v>0</v>
      </c>
      <c r="BM1244" s="5">
        <v>0</v>
      </c>
      <c r="BN1244" s="5" t="s">
        <v>85</v>
      </c>
      <c r="BO1244" s="5">
        <v>3</v>
      </c>
      <c r="BP1244" s="5">
        <v>9</v>
      </c>
      <c r="BQ1244" s="5">
        <v>7</v>
      </c>
      <c r="BR1244" s="5">
        <v>2</v>
      </c>
      <c r="BS1244" s="5" t="s">
        <v>2492</v>
      </c>
      <c r="BT1244" s="5">
        <v>0</v>
      </c>
      <c r="BU1244" s="5">
        <v>0</v>
      </c>
      <c r="BV1244" s="5">
        <v>3</v>
      </c>
      <c r="BW1244" s="5">
        <v>0</v>
      </c>
      <c r="BX1244" s="5">
        <v>0</v>
      </c>
      <c r="BZ1244" s="5">
        <v>0</v>
      </c>
      <c r="CA1244" s="5">
        <v>0</v>
      </c>
      <c r="CC1244" s="5">
        <v>0</v>
      </c>
      <c r="CD1244" s="5">
        <v>0</v>
      </c>
      <c r="CF1244" s="1442" t="str">
        <f>IF([1]!sommaire[[#This Row],[présence des personnes déplacés interne]]="Oui","1","0")</f>
        <v>1</v>
      </c>
      <c r="CG1244" s="1442" t="str">
        <f>IF([1]!sommaire[[#This Row],[présence Réfugié hors camp]]="Oui","1","0")</f>
        <v>1</v>
      </c>
      <c r="CH1244" s="1442" t="str">
        <f>IF([1]!sommaire[[#This Row],[présence personnes retournées]]="Oui","1","0")</f>
        <v>1</v>
      </c>
      <c r="CI1244" s="1442">
        <f>[1]!sommaire[[#This Row],[Flag PDI]]+[1]!sommaire[[#This Row],[Flag REF]]+[1]!sommaire[[#This Row],[Flag RET]]</f>
        <v>3</v>
      </c>
    </row>
    <row r="1245" spans="1:87" x14ac:dyDescent="0.3">
      <c r="A1245" s="390">
        <v>2768547</v>
      </c>
      <c r="B1245" s="5" t="s">
        <v>533</v>
      </c>
      <c r="C1245" s="1430" t="s">
        <v>3449</v>
      </c>
      <c r="D1245" s="5" t="s">
        <v>534</v>
      </c>
      <c r="E1245" s="5" t="s">
        <v>35</v>
      </c>
      <c r="F1245" s="5" t="s">
        <v>35</v>
      </c>
      <c r="G1245" s="5" t="s">
        <v>567</v>
      </c>
      <c r="H1245" s="5" t="s">
        <v>195</v>
      </c>
      <c r="I1245" s="5" t="str">
        <f>_xlfn.XLOOKUP(sommaire[[#This Row],[Arrondissement_code]],OCHA_GIS!$F:$F,OCHA_GIS!$E:$E,,)</f>
        <v>Mokolo</v>
      </c>
      <c r="J1245" s="5" t="s">
        <v>733</v>
      </c>
      <c r="K1245" t="s">
        <v>2114</v>
      </c>
      <c r="L1245" s="5" t="s">
        <v>1777</v>
      </c>
      <c r="N1245" s="5" t="s">
        <v>3053</v>
      </c>
      <c r="O1245" s="5" t="s">
        <v>2467</v>
      </c>
      <c r="P1245" s="5" t="s">
        <v>86</v>
      </c>
      <c r="Q1245" s="5" t="s">
        <v>86</v>
      </c>
      <c r="R1245" s="5" t="s">
        <v>85</v>
      </c>
      <c r="U1245" s="5" t="s">
        <v>98</v>
      </c>
      <c r="W1245" s="5" t="s">
        <v>2482</v>
      </c>
      <c r="AA1245" s="5" t="s">
        <v>86</v>
      </c>
      <c r="AH1245" s="1430" t="s">
        <v>86</v>
      </c>
      <c r="AY1245" s="1430" t="s">
        <v>86</v>
      </c>
      <c r="BN1245" s="1430" t="s">
        <v>86</v>
      </c>
      <c r="CF1245" s="1442" t="str">
        <f>IF([1]!sommaire[[#This Row],[présence des personnes déplacés interne]]="Oui","1","0")</f>
        <v>0</v>
      </c>
      <c r="CG1245" s="1442" t="str">
        <f>IF([1]!sommaire[[#This Row],[présence Réfugié hors camp]]="Oui","1","0")</f>
        <v>0</v>
      </c>
      <c r="CH1245" s="1442" t="str">
        <f>IF([1]!sommaire[[#This Row],[présence personnes retournées]]="Oui","1","0")</f>
        <v>0</v>
      </c>
      <c r="CI1245" s="1442">
        <f>[1]!sommaire[[#This Row],[Flag PDI]]+[1]!sommaire[[#This Row],[Flag REF]]+[1]!sommaire[[#This Row],[Flag RET]]</f>
        <v>0</v>
      </c>
    </row>
    <row r="1246" spans="1:87" x14ac:dyDescent="0.3">
      <c r="A1246" s="390">
        <v>2676097</v>
      </c>
      <c r="B1246" s="5" t="s">
        <v>533</v>
      </c>
      <c r="C1246" s="1430" t="s">
        <v>3449</v>
      </c>
      <c r="D1246" s="5" t="s">
        <v>534</v>
      </c>
      <c r="E1246" s="5" t="s">
        <v>35</v>
      </c>
      <c r="F1246" s="5" t="s">
        <v>35</v>
      </c>
      <c r="G1246" s="5" t="s">
        <v>567</v>
      </c>
      <c r="H1246" s="5" t="s">
        <v>195</v>
      </c>
      <c r="I1246" s="5" t="str">
        <f>_xlfn.XLOOKUP(sommaire[[#This Row],[Arrondissement_code]],OCHA_GIS!$F:$F,OCHA_GIS!$E:$E,,)</f>
        <v>Mokolo</v>
      </c>
      <c r="J1246" s="5" t="s">
        <v>733</v>
      </c>
      <c r="K1246" t="s">
        <v>792</v>
      </c>
      <c r="L1246" s="5" t="s">
        <v>1428</v>
      </c>
      <c r="N1246" s="5" t="s">
        <v>3053</v>
      </c>
      <c r="O1246" s="5" t="s">
        <v>2467</v>
      </c>
      <c r="P1246" s="5" t="s">
        <v>85</v>
      </c>
      <c r="Q1246" s="5" t="s">
        <v>86</v>
      </c>
      <c r="R1246" s="5" t="s">
        <v>85</v>
      </c>
      <c r="T1246" s="390">
        <v>5</v>
      </c>
      <c r="U1246" s="5" t="s">
        <v>97</v>
      </c>
      <c r="W1246" s="5" t="s">
        <v>2468</v>
      </c>
      <c r="X1246" s="5" t="s">
        <v>103</v>
      </c>
      <c r="Y1246" s="5" t="s">
        <v>2511</v>
      </c>
      <c r="AA1246" s="5" t="s">
        <v>85</v>
      </c>
      <c r="AB1246" s="5" t="s">
        <v>2469</v>
      </c>
      <c r="AC1246" s="5" t="s">
        <v>2470</v>
      </c>
      <c r="AD1246" s="5" t="s">
        <v>85</v>
      </c>
      <c r="AE1246" s="5">
        <v>1</v>
      </c>
      <c r="AF1246" s="5">
        <v>643</v>
      </c>
      <c r="AG1246" s="5">
        <v>14826</v>
      </c>
      <c r="AH1246" s="5" t="s">
        <v>85</v>
      </c>
      <c r="AI1246" s="5" t="s">
        <v>2471</v>
      </c>
      <c r="AJ1246" s="5">
        <v>643</v>
      </c>
      <c r="AK1246" s="5">
        <v>7966</v>
      </c>
      <c r="AL1246" s="5">
        <v>2518</v>
      </c>
      <c r="AM1246" s="5">
        <v>5448</v>
      </c>
      <c r="AN1246" s="5">
        <v>400</v>
      </c>
      <c r="AO1246" s="5">
        <v>121</v>
      </c>
      <c r="AP1246" s="5">
        <v>50</v>
      </c>
      <c r="AQ1246" s="5">
        <v>72</v>
      </c>
      <c r="AR1246" s="5" t="s">
        <v>2477</v>
      </c>
      <c r="AT1246" s="5">
        <v>0</v>
      </c>
      <c r="AU1246" s="5">
        <v>0</v>
      </c>
      <c r="AX1246" s="5">
        <v>0</v>
      </c>
      <c r="AY1246" s="5" t="s">
        <v>85</v>
      </c>
      <c r="AZ1246" s="5">
        <v>260</v>
      </c>
      <c r="BA1246" s="5">
        <v>1296</v>
      </c>
      <c r="BB1246" s="5">
        <v>569</v>
      </c>
      <c r="BC1246" s="5">
        <v>727</v>
      </c>
      <c r="BD1246" s="5">
        <v>160</v>
      </c>
      <c r="BE1246" s="5">
        <v>100</v>
      </c>
      <c r="BF1246" s="5">
        <v>0</v>
      </c>
      <c r="BH1246" s="5">
        <v>0</v>
      </c>
      <c r="BI1246" s="5">
        <v>0</v>
      </c>
      <c r="BL1246" s="5">
        <v>0</v>
      </c>
      <c r="BM1246" s="5">
        <v>0</v>
      </c>
      <c r="BN1246" s="5" t="s">
        <v>86</v>
      </c>
      <c r="CD1246" s="5">
        <v>0</v>
      </c>
      <c r="CF1246" s="1442" t="str">
        <f>IF([1]!sommaire[[#This Row],[présence des personnes déplacés interne]]="Oui","1","0")</f>
        <v>1</v>
      </c>
      <c r="CG1246" s="1442" t="str">
        <f>IF([1]!sommaire[[#This Row],[présence Réfugié hors camp]]="Oui","1","0")</f>
        <v>1</v>
      </c>
      <c r="CH1246" s="1442" t="str">
        <f>IF([1]!sommaire[[#This Row],[présence personnes retournées]]="Oui","1","0")</f>
        <v>0</v>
      </c>
      <c r="CI1246" s="1442">
        <f>[1]!sommaire[[#This Row],[Flag PDI]]+[1]!sommaire[[#This Row],[Flag REF]]+[1]!sommaire[[#This Row],[Flag RET]]</f>
        <v>2</v>
      </c>
    </row>
    <row r="1247" spans="1:87" x14ac:dyDescent="0.3">
      <c r="A1247" s="390">
        <v>2604823</v>
      </c>
      <c r="B1247" s="5" t="s">
        <v>533</v>
      </c>
      <c r="C1247" s="1430" t="s">
        <v>3449</v>
      </c>
      <c r="D1247" s="5" t="s">
        <v>534</v>
      </c>
      <c r="E1247" s="5" t="s">
        <v>35</v>
      </c>
      <c r="F1247" s="5" t="s">
        <v>35</v>
      </c>
      <c r="G1247" s="5" t="s">
        <v>567</v>
      </c>
      <c r="H1247" s="5" t="s">
        <v>195</v>
      </c>
      <c r="I1247" s="5" t="str">
        <f>_xlfn.XLOOKUP(sommaire[[#This Row],[Arrondissement_code]],OCHA_GIS!$F:$F,OCHA_GIS!$E:$E,,)</f>
        <v>Mokolo</v>
      </c>
      <c r="J1247" s="5" t="s">
        <v>733</v>
      </c>
      <c r="K1247" t="s">
        <v>2650</v>
      </c>
      <c r="L1247" s="5" t="s">
        <v>1766</v>
      </c>
      <c r="N1247" s="5" t="s">
        <v>3053</v>
      </c>
      <c r="O1247" s="5" t="s">
        <v>2467</v>
      </c>
      <c r="P1247" s="5" t="s">
        <v>85</v>
      </c>
      <c r="Q1247" s="5" t="s">
        <v>86</v>
      </c>
      <c r="R1247" s="5" t="s">
        <v>85</v>
      </c>
      <c r="T1247" s="390">
        <v>3</v>
      </c>
      <c r="U1247" s="5" t="s">
        <v>97</v>
      </c>
      <c r="W1247" s="5" t="s">
        <v>2468</v>
      </c>
      <c r="X1247" s="5" t="s">
        <v>102</v>
      </c>
      <c r="AA1247" s="5" t="s">
        <v>85</v>
      </c>
      <c r="AB1247" s="5" t="s">
        <v>2469</v>
      </c>
      <c r="AC1247" s="5" t="s">
        <v>2470</v>
      </c>
      <c r="AD1247" s="5" t="s">
        <v>86</v>
      </c>
      <c r="AF1247" s="5">
        <v>13</v>
      </c>
      <c r="AG1247" s="5">
        <v>1250</v>
      </c>
      <c r="AH1247" s="5" t="s">
        <v>85</v>
      </c>
      <c r="AI1247" s="5" t="s">
        <v>2486</v>
      </c>
      <c r="AJ1247" s="5">
        <v>13</v>
      </c>
      <c r="AK1247" s="5">
        <v>70</v>
      </c>
      <c r="AL1247" s="5">
        <v>30</v>
      </c>
      <c r="AM1247" s="5">
        <v>40</v>
      </c>
      <c r="AN1247" s="5">
        <v>0</v>
      </c>
      <c r="AO1247" s="5">
        <v>13</v>
      </c>
      <c r="AP1247" s="5">
        <v>0</v>
      </c>
      <c r="AQ1247" s="5">
        <v>0</v>
      </c>
      <c r="AT1247" s="5">
        <v>0</v>
      </c>
      <c r="AU1247" s="5">
        <v>0</v>
      </c>
      <c r="AX1247" s="5">
        <v>0</v>
      </c>
      <c r="AY1247" s="5" t="s">
        <v>85</v>
      </c>
      <c r="AZ1247" s="5">
        <v>2</v>
      </c>
      <c r="BA1247" s="5">
        <v>15</v>
      </c>
      <c r="BB1247" s="5">
        <v>7</v>
      </c>
      <c r="BC1247" s="5">
        <v>8</v>
      </c>
      <c r="BD1247" s="5">
        <v>2</v>
      </c>
      <c r="BE1247" s="5">
        <v>0</v>
      </c>
      <c r="BF1247" s="5">
        <v>0</v>
      </c>
      <c r="BH1247" s="5">
        <v>0</v>
      </c>
      <c r="BI1247" s="5">
        <v>0</v>
      </c>
      <c r="BL1247" s="5">
        <v>0</v>
      </c>
      <c r="BM1247" s="5">
        <v>2</v>
      </c>
      <c r="BN1247" s="5" t="s">
        <v>86</v>
      </c>
      <c r="CD1247" s="5">
        <v>0</v>
      </c>
      <c r="CF1247" s="1442" t="str">
        <f>IF([1]!sommaire[[#This Row],[présence des personnes déplacés interne]]="Oui","1","0")</f>
        <v>1</v>
      </c>
      <c r="CG1247" s="1442" t="str">
        <f>IF([1]!sommaire[[#This Row],[présence Réfugié hors camp]]="Oui","1","0")</f>
        <v>1</v>
      </c>
      <c r="CH1247" s="1442" t="str">
        <f>IF([1]!sommaire[[#This Row],[présence personnes retournées]]="Oui","1","0")</f>
        <v>0</v>
      </c>
      <c r="CI1247" s="1442">
        <f>[1]!sommaire[[#This Row],[Flag PDI]]+[1]!sommaire[[#This Row],[Flag REF]]+[1]!sommaire[[#This Row],[Flag RET]]</f>
        <v>2</v>
      </c>
    </row>
    <row r="1248" spans="1:87" x14ac:dyDescent="0.3">
      <c r="A1248" s="390">
        <v>2645472</v>
      </c>
      <c r="B1248" s="5" t="s">
        <v>533</v>
      </c>
      <c r="C1248" s="1430" t="s">
        <v>3449</v>
      </c>
      <c r="D1248" s="5" t="s">
        <v>534</v>
      </c>
      <c r="E1248" s="5" t="s">
        <v>35</v>
      </c>
      <c r="F1248" s="5" t="s">
        <v>35</v>
      </c>
      <c r="G1248" s="5" t="s">
        <v>567</v>
      </c>
      <c r="H1248" s="5" t="s">
        <v>195</v>
      </c>
      <c r="I1248" s="5" t="str">
        <f>_xlfn.XLOOKUP(sommaire[[#This Row],[Arrondissement_code]],OCHA_GIS!$F:$F,OCHA_GIS!$E:$E,,)</f>
        <v>Mokolo</v>
      </c>
      <c r="J1248" s="5" t="s">
        <v>733</v>
      </c>
      <c r="K1248" t="s">
        <v>1518</v>
      </c>
      <c r="L1248" s="5" t="s">
        <v>2142</v>
      </c>
      <c r="N1248" s="5" t="s">
        <v>3053</v>
      </c>
      <c r="O1248" s="5" t="s">
        <v>2467</v>
      </c>
      <c r="P1248" s="5" t="s">
        <v>85</v>
      </c>
      <c r="Q1248" s="5" t="s">
        <v>86</v>
      </c>
      <c r="R1248" s="5" t="s">
        <v>85</v>
      </c>
      <c r="T1248" s="390">
        <v>3</v>
      </c>
      <c r="U1248" s="5" t="s">
        <v>97</v>
      </c>
      <c r="W1248" s="5" t="s">
        <v>2468</v>
      </c>
      <c r="X1248" s="5" t="s">
        <v>102</v>
      </c>
      <c r="AA1248" s="5" t="s">
        <v>85</v>
      </c>
      <c r="AB1248" s="5" t="s">
        <v>2469</v>
      </c>
      <c r="AC1248" s="5" t="s">
        <v>2470</v>
      </c>
      <c r="AD1248" s="5" t="s">
        <v>86</v>
      </c>
      <c r="AF1248" s="5">
        <v>9</v>
      </c>
      <c r="AG1248" s="5">
        <v>2801</v>
      </c>
      <c r="AH1248" s="5" t="s">
        <v>85</v>
      </c>
      <c r="AI1248" s="5" t="s">
        <v>2471</v>
      </c>
      <c r="AJ1248" s="5">
        <v>9</v>
      </c>
      <c r="AK1248" s="5">
        <v>41</v>
      </c>
      <c r="AL1248" s="5">
        <v>18</v>
      </c>
      <c r="AM1248" s="5">
        <v>23</v>
      </c>
      <c r="AN1248" s="5">
        <v>0</v>
      </c>
      <c r="AO1248" s="5">
        <v>6</v>
      </c>
      <c r="AP1248" s="5">
        <v>3</v>
      </c>
      <c r="AQ1248" s="5">
        <v>0</v>
      </c>
      <c r="AT1248" s="5">
        <v>0</v>
      </c>
      <c r="AU1248" s="5">
        <v>0</v>
      </c>
      <c r="AX1248" s="5">
        <v>0</v>
      </c>
      <c r="AY1248" s="5" t="s">
        <v>86</v>
      </c>
      <c r="BN1248" s="5" t="s">
        <v>85</v>
      </c>
      <c r="BO1248" s="5">
        <v>14</v>
      </c>
      <c r="BP1248" s="5">
        <v>98</v>
      </c>
      <c r="BQ1248" s="5">
        <v>41</v>
      </c>
      <c r="BR1248" s="5">
        <v>57</v>
      </c>
      <c r="BS1248" s="5" t="s">
        <v>2492</v>
      </c>
      <c r="BT1248" s="5">
        <v>10</v>
      </c>
      <c r="BU1248" s="5">
        <v>4</v>
      </c>
      <c r="BV1248" s="5">
        <v>0</v>
      </c>
      <c r="BW1248" s="5">
        <v>0</v>
      </c>
      <c r="BX1248" s="5">
        <v>0</v>
      </c>
      <c r="BZ1248" s="5">
        <v>0</v>
      </c>
      <c r="CA1248" s="5">
        <v>0</v>
      </c>
      <c r="CC1248" s="5">
        <v>0</v>
      </c>
      <c r="CD1248" s="5">
        <v>0</v>
      </c>
      <c r="CF1248" s="1442" t="str">
        <f>IF([1]!sommaire[[#This Row],[présence des personnes déplacés interne]]="Oui","1","0")</f>
        <v>1</v>
      </c>
      <c r="CG1248" s="1442" t="str">
        <f>IF([1]!sommaire[[#This Row],[présence Réfugié hors camp]]="Oui","1","0")</f>
        <v>0</v>
      </c>
      <c r="CH1248" s="1442" t="str">
        <f>IF([1]!sommaire[[#This Row],[présence personnes retournées]]="Oui","1","0")</f>
        <v>1</v>
      </c>
      <c r="CI1248" s="1442">
        <f>[1]!sommaire[[#This Row],[Flag PDI]]+[1]!sommaire[[#This Row],[Flag REF]]+[1]!sommaire[[#This Row],[Flag RET]]</f>
        <v>2</v>
      </c>
    </row>
    <row r="1249" spans="1:87" x14ac:dyDescent="0.3">
      <c r="A1249" s="390">
        <v>2650794</v>
      </c>
      <c r="B1249" s="5" t="s">
        <v>533</v>
      </c>
      <c r="C1249" s="1430" t="s">
        <v>3449</v>
      </c>
      <c r="D1249" s="5" t="s">
        <v>534</v>
      </c>
      <c r="E1249" s="5" t="s">
        <v>35</v>
      </c>
      <c r="F1249" s="5" t="s">
        <v>35</v>
      </c>
      <c r="G1249" s="5" t="s">
        <v>567</v>
      </c>
      <c r="H1249" s="5" t="s">
        <v>195</v>
      </c>
      <c r="I1249" s="5" t="str">
        <f>_xlfn.XLOOKUP(sommaire[[#This Row],[Arrondissement_code]],OCHA_GIS!$F:$F,OCHA_GIS!$E:$E,,)</f>
        <v>Mokolo</v>
      </c>
      <c r="J1249" s="5" t="s">
        <v>733</v>
      </c>
      <c r="K1249" t="s">
        <v>1838</v>
      </c>
      <c r="L1249" s="5" t="s">
        <v>1592</v>
      </c>
      <c r="N1249" s="5" t="s">
        <v>3053</v>
      </c>
      <c r="O1249" s="5" t="s">
        <v>2467</v>
      </c>
      <c r="P1249" s="5" t="s">
        <v>85</v>
      </c>
      <c r="Q1249" s="5" t="s">
        <v>86</v>
      </c>
      <c r="R1249" s="5" t="s">
        <v>85</v>
      </c>
      <c r="T1249" s="390">
        <v>3</v>
      </c>
      <c r="U1249" s="5" t="s">
        <v>97</v>
      </c>
      <c r="W1249" s="5" t="s">
        <v>2468</v>
      </c>
      <c r="X1249" s="5" t="s">
        <v>102</v>
      </c>
      <c r="AA1249" s="5" t="s">
        <v>85</v>
      </c>
      <c r="AB1249" s="5" t="s">
        <v>2469</v>
      </c>
      <c r="AC1249" s="5" t="s">
        <v>2470</v>
      </c>
      <c r="AD1249" s="5" t="s">
        <v>86</v>
      </c>
      <c r="AF1249" s="5">
        <v>40</v>
      </c>
      <c r="AG1249" s="5">
        <v>6000</v>
      </c>
      <c r="AH1249" s="5" t="s">
        <v>85</v>
      </c>
      <c r="AI1249" s="5" t="s">
        <v>2485</v>
      </c>
      <c r="AJ1249" s="5">
        <v>40</v>
      </c>
      <c r="AK1249" s="5">
        <v>219</v>
      </c>
      <c r="AL1249" s="5">
        <v>103</v>
      </c>
      <c r="AM1249" s="5">
        <v>116</v>
      </c>
      <c r="AN1249" s="5">
        <v>5</v>
      </c>
      <c r="AO1249" s="5">
        <v>35</v>
      </c>
      <c r="AP1249" s="5">
        <v>0</v>
      </c>
      <c r="AQ1249" s="5">
        <v>0</v>
      </c>
      <c r="AT1249" s="5">
        <v>0</v>
      </c>
      <c r="AU1249" s="5">
        <v>0</v>
      </c>
      <c r="AX1249" s="5">
        <v>0</v>
      </c>
      <c r="AY1249" s="5" t="s">
        <v>86</v>
      </c>
      <c r="BN1249" s="5" t="s">
        <v>86</v>
      </c>
      <c r="CD1249" s="5">
        <v>0</v>
      </c>
      <c r="CF1249" s="1442" t="str">
        <f>IF([1]!sommaire[[#This Row],[présence des personnes déplacés interne]]="Oui","1","0")</f>
        <v>1</v>
      </c>
      <c r="CG1249" s="1442" t="str">
        <f>IF([1]!sommaire[[#This Row],[présence Réfugié hors camp]]="Oui","1","0")</f>
        <v>0</v>
      </c>
      <c r="CH1249" s="1442" t="str">
        <f>IF([1]!sommaire[[#This Row],[présence personnes retournées]]="Oui","1","0")</f>
        <v>0</v>
      </c>
      <c r="CI1249" s="1442">
        <f>[1]!sommaire[[#This Row],[Flag PDI]]+[1]!sommaire[[#This Row],[Flag REF]]+[1]!sommaire[[#This Row],[Flag RET]]</f>
        <v>1</v>
      </c>
    </row>
    <row r="1250" spans="1:87" x14ac:dyDescent="0.3">
      <c r="A1250" s="390">
        <v>2655346</v>
      </c>
      <c r="B1250" s="5" t="s">
        <v>533</v>
      </c>
      <c r="C1250" s="1430" t="s">
        <v>3449</v>
      </c>
      <c r="D1250" s="5" t="s">
        <v>534</v>
      </c>
      <c r="E1250" s="5" t="s">
        <v>35</v>
      </c>
      <c r="F1250" s="5" t="s">
        <v>35</v>
      </c>
      <c r="G1250" s="5" t="s">
        <v>567</v>
      </c>
      <c r="H1250" s="5" t="s">
        <v>195</v>
      </c>
      <c r="I1250" s="5" t="str">
        <f>_xlfn.XLOOKUP(sommaire[[#This Row],[Arrondissement_code]],OCHA_GIS!$F:$F,OCHA_GIS!$E:$E,,)</f>
        <v>Mokolo</v>
      </c>
      <c r="J1250" s="5" t="s">
        <v>733</v>
      </c>
      <c r="K1250" t="s">
        <v>3321</v>
      </c>
      <c r="L1250" s="5" t="s">
        <v>3069</v>
      </c>
      <c r="N1250" s="5" t="s">
        <v>3053</v>
      </c>
      <c r="O1250" s="5" t="s">
        <v>2467</v>
      </c>
      <c r="P1250" s="5" t="s">
        <v>85</v>
      </c>
      <c r="Q1250" s="5" t="s">
        <v>86</v>
      </c>
      <c r="R1250" s="5" t="s">
        <v>86</v>
      </c>
      <c r="T1250" s="390">
        <v>3</v>
      </c>
      <c r="U1250" s="5" t="s">
        <v>100</v>
      </c>
      <c r="W1250" s="5" t="s">
        <v>2482</v>
      </c>
      <c r="AA1250" s="5" t="s">
        <v>86</v>
      </c>
      <c r="AH1250" s="1430" t="s">
        <v>86</v>
      </c>
      <c r="AY1250" s="1430" t="s">
        <v>86</v>
      </c>
      <c r="BN1250" s="1430" t="s">
        <v>86</v>
      </c>
      <c r="CF1250" s="1442" t="str">
        <f>IF([1]!sommaire[[#This Row],[présence des personnes déplacés interne]]="Oui","1","0")</f>
        <v>0</v>
      </c>
      <c r="CG1250" s="1442" t="str">
        <f>IF([1]!sommaire[[#This Row],[présence Réfugié hors camp]]="Oui","1","0")</f>
        <v>0</v>
      </c>
      <c r="CH1250" s="1442" t="str">
        <f>IF([1]!sommaire[[#This Row],[présence personnes retournées]]="Oui","1","0")</f>
        <v>0</v>
      </c>
      <c r="CI1250" s="1442">
        <f>[1]!sommaire[[#This Row],[Flag PDI]]+[1]!sommaire[[#This Row],[Flag REF]]+[1]!sommaire[[#This Row],[Flag RET]]</f>
        <v>0</v>
      </c>
    </row>
    <row r="1251" spans="1:87" x14ac:dyDescent="0.3">
      <c r="A1251" s="390">
        <v>2604822</v>
      </c>
      <c r="B1251" s="5" t="s">
        <v>533</v>
      </c>
      <c r="C1251" s="1430" t="s">
        <v>3449</v>
      </c>
      <c r="D1251" s="5" t="s">
        <v>534</v>
      </c>
      <c r="E1251" s="5" t="s">
        <v>35</v>
      </c>
      <c r="F1251" s="5" t="s">
        <v>35</v>
      </c>
      <c r="G1251" s="5" t="s">
        <v>567</v>
      </c>
      <c r="H1251" s="5" t="s">
        <v>195</v>
      </c>
      <c r="I1251" s="5" t="str">
        <f>_xlfn.XLOOKUP(sommaire[[#This Row],[Arrondissement_code]],OCHA_GIS!$F:$F,OCHA_GIS!$E:$E,,)</f>
        <v>Mokolo</v>
      </c>
      <c r="J1251" s="5" t="s">
        <v>733</v>
      </c>
      <c r="K1251" t="s">
        <v>1941</v>
      </c>
      <c r="L1251" s="5" t="s">
        <v>1385</v>
      </c>
      <c r="N1251" s="5" t="s">
        <v>3053</v>
      </c>
      <c r="O1251" s="5" t="s">
        <v>2467</v>
      </c>
      <c r="P1251" s="5" t="s">
        <v>85</v>
      </c>
      <c r="Q1251" s="5" t="s">
        <v>86</v>
      </c>
      <c r="R1251" s="5" t="s">
        <v>85</v>
      </c>
      <c r="T1251" s="390">
        <v>3</v>
      </c>
      <c r="U1251" s="5" t="s">
        <v>97</v>
      </c>
      <c r="W1251" s="5" t="s">
        <v>2468</v>
      </c>
      <c r="X1251" s="5" t="s">
        <v>102</v>
      </c>
      <c r="AA1251" s="5" t="s">
        <v>85</v>
      </c>
      <c r="AB1251" s="5" t="s">
        <v>2469</v>
      </c>
      <c r="AC1251" s="5" t="s">
        <v>2470</v>
      </c>
      <c r="AD1251" s="5" t="s">
        <v>86</v>
      </c>
      <c r="AF1251" s="5">
        <v>2</v>
      </c>
      <c r="AG1251" s="5">
        <v>2050</v>
      </c>
      <c r="AH1251" s="5" t="s">
        <v>85</v>
      </c>
      <c r="AI1251" s="5" t="s">
        <v>2486</v>
      </c>
      <c r="AJ1251" s="5">
        <v>2</v>
      </c>
      <c r="AK1251" s="5">
        <v>11</v>
      </c>
      <c r="AL1251" s="5">
        <v>3</v>
      </c>
      <c r="AM1251" s="5">
        <v>8</v>
      </c>
      <c r="AN1251" s="5">
        <v>0</v>
      </c>
      <c r="AO1251" s="5">
        <v>2</v>
      </c>
      <c r="AP1251" s="5">
        <v>0</v>
      </c>
      <c r="AQ1251" s="5">
        <v>0</v>
      </c>
      <c r="AT1251" s="5">
        <v>0</v>
      </c>
      <c r="AU1251" s="5">
        <v>0</v>
      </c>
      <c r="AX1251" s="5">
        <v>0</v>
      </c>
      <c r="AY1251" s="5" t="s">
        <v>86</v>
      </c>
      <c r="BN1251" s="5" t="s">
        <v>86</v>
      </c>
      <c r="CD1251" s="5">
        <v>0</v>
      </c>
      <c r="CF1251" s="1442" t="str">
        <f>IF([1]!sommaire[[#This Row],[présence des personnes déplacés interne]]="Oui","1","0")</f>
        <v>1</v>
      </c>
      <c r="CG1251" s="1442" t="str">
        <f>IF([1]!sommaire[[#This Row],[présence Réfugié hors camp]]="Oui","1","0")</f>
        <v>0</v>
      </c>
      <c r="CH1251" s="1442" t="str">
        <f>IF([1]!sommaire[[#This Row],[présence personnes retournées]]="Oui","1","0")</f>
        <v>0</v>
      </c>
      <c r="CI1251" s="1442">
        <f>[1]!sommaire[[#This Row],[Flag PDI]]+[1]!sommaire[[#This Row],[Flag REF]]+[1]!sommaire[[#This Row],[Flag RET]]</f>
        <v>1</v>
      </c>
    </row>
    <row r="1252" spans="1:87" x14ac:dyDescent="0.3">
      <c r="A1252" s="390">
        <v>2684028</v>
      </c>
      <c r="B1252" s="5" t="s">
        <v>533</v>
      </c>
      <c r="C1252" s="1430" t="s">
        <v>3449</v>
      </c>
      <c r="D1252" s="5" t="s">
        <v>534</v>
      </c>
      <c r="E1252" s="5" t="s">
        <v>35</v>
      </c>
      <c r="F1252" s="5" t="s">
        <v>35</v>
      </c>
      <c r="G1252" s="5" t="s">
        <v>567</v>
      </c>
      <c r="H1252" s="5" t="s">
        <v>195</v>
      </c>
      <c r="I1252" s="5" t="str">
        <f>_xlfn.XLOOKUP(sommaire[[#This Row],[Arrondissement_code]],OCHA_GIS!$F:$F,OCHA_GIS!$E:$E,,)</f>
        <v>Mokolo</v>
      </c>
      <c r="J1252" s="5" t="s">
        <v>733</v>
      </c>
      <c r="K1252" t="s">
        <v>3023</v>
      </c>
      <c r="L1252" s="5" t="s">
        <v>1797</v>
      </c>
      <c r="N1252" s="5" t="s">
        <v>3052</v>
      </c>
      <c r="O1252" s="5" t="s">
        <v>2467</v>
      </c>
      <c r="P1252" s="5" t="s">
        <v>85</v>
      </c>
      <c r="Q1252" s="5" t="s">
        <v>86</v>
      </c>
      <c r="R1252" s="5" t="s">
        <v>85</v>
      </c>
      <c r="T1252" s="390">
        <v>4</v>
      </c>
      <c r="U1252" s="5" t="s">
        <v>97</v>
      </c>
      <c r="W1252" s="5" t="s">
        <v>2468</v>
      </c>
      <c r="X1252" s="5" t="s">
        <v>102</v>
      </c>
      <c r="AA1252" s="5" t="s">
        <v>85</v>
      </c>
      <c r="AB1252" s="5" t="s">
        <v>2469</v>
      </c>
      <c r="AC1252" s="5" t="s">
        <v>2470</v>
      </c>
      <c r="AD1252" s="5" t="s">
        <v>86</v>
      </c>
      <c r="AF1252" s="5">
        <v>153</v>
      </c>
      <c r="AG1252" s="5">
        <v>1734</v>
      </c>
      <c r="AH1252" s="5" t="s">
        <v>85</v>
      </c>
      <c r="AI1252" s="5" t="s">
        <v>2485</v>
      </c>
      <c r="AJ1252" s="5">
        <v>153</v>
      </c>
      <c r="AK1252" s="5">
        <v>623</v>
      </c>
      <c r="AL1252" s="5">
        <v>262</v>
      </c>
      <c r="AM1252" s="5">
        <v>361</v>
      </c>
      <c r="AN1252" s="5">
        <v>0</v>
      </c>
      <c r="AO1252" s="5">
        <v>93</v>
      </c>
      <c r="AP1252" s="5">
        <v>60</v>
      </c>
      <c r="AQ1252" s="5">
        <v>0</v>
      </c>
      <c r="AT1252" s="5">
        <v>0</v>
      </c>
      <c r="AU1252" s="5">
        <v>0</v>
      </c>
      <c r="AX1252" s="5">
        <v>0</v>
      </c>
      <c r="AY1252" s="5" t="s">
        <v>85</v>
      </c>
      <c r="AZ1252" s="5">
        <v>1</v>
      </c>
      <c r="BA1252" s="5">
        <v>8</v>
      </c>
      <c r="BB1252" s="5">
        <v>2</v>
      </c>
      <c r="BC1252" s="5">
        <v>6</v>
      </c>
      <c r="BD1252" s="5">
        <v>1</v>
      </c>
      <c r="BE1252" s="5">
        <v>0</v>
      </c>
      <c r="BF1252" s="5">
        <v>0</v>
      </c>
      <c r="BH1252" s="5">
        <v>0</v>
      </c>
      <c r="BI1252" s="5">
        <v>0</v>
      </c>
      <c r="BL1252" s="5">
        <v>0</v>
      </c>
      <c r="BM1252" s="5">
        <v>0</v>
      </c>
      <c r="BN1252" s="5" t="s">
        <v>85</v>
      </c>
      <c r="BO1252" s="5">
        <v>19</v>
      </c>
      <c r="BP1252" s="5">
        <v>75</v>
      </c>
      <c r="BQ1252" s="5">
        <v>30</v>
      </c>
      <c r="BR1252" s="5">
        <v>45</v>
      </c>
      <c r="BS1252" s="5" t="s">
        <v>2492</v>
      </c>
      <c r="BT1252" s="5">
        <v>0</v>
      </c>
      <c r="BU1252" s="5">
        <v>11</v>
      </c>
      <c r="BV1252" s="5">
        <v>8</v>
      </c>
      <c r="BW1252" s="5">
        <v>0</v>
      </c>
      <c r="BX1252" s="5">
        <v>0</v>
      </c>
      <c r="BZ1252" s="5">
        <v>0</v>
      </c>
      <c r="CA1252" s="5">
        <v>0</v>
      </c>
      <c r="CC1252" s="5">
        <v>0</v>
      </c>
      <c r="CD1252" s="5">
        <v>0</v>
      </c>
      <c r="CF1252" s="1442" t="str">
        <f>IF([1]!sommaire[[#This Row],[présence des personnes déplacés interne]]="Oui","1","0")</f>
        <v>1</v>
      </c>
      <c r="CG1252" s="1442" t="str">
        <f>IF([1]!sommaire[[#This Row],[présence Réfugié hors camp]]="Oui","1","0")</f>
        <v>1</v>
      </c>
      <c r="CH1252" s="1442" t="str">
        <f>IF([1]!sommaire[[#This Row],[présence personnes retournées]]="Oui","1","0")</f>
        <v>1</v>
      </c>
      <c r="CI1252" s="1442">
        <f>[1]!sommaire[[#This Row],[Flag PDI]]+[1]!sommaire[[#This Row],[Flag REF]]+[1]!sommaire[[#This Row],[Flag RET]]</f>
        <v>3</v>
      </c>
    </row>
    <row r="1253" spans="1:87" x14ac:dyDescent="0.3">
      <c r="A1253" s="390">
        <v>2627351</v>
      </c>
      <c r="B1253" s="5" t="s">
        <v>533</v>
      </c>
      <c r="C1253" s="1430" t="s">
        <v>3449</v>
      </c>
      <c r="D1253" s="5" t="s">
        <v>534</v>
      </c>
      <c r="E1253" s="5" t="s">
        <v>35</v>
      </c>
      <c r="F1253" s="5" t="s">
        <v>35</v>
      </c>
      <c r="G1253" s="5" t="s">
        <v>567</v>
      </c>
      <c r="H1253" s="5" t="s">
        <v>195</v>
      </c>
      <c r="I1253" s="5" t="str">
        <f>_xlfn.XLOOKUP(sommaire[[#This Row],[Arrondissement_code]],OCHA_GIS!$F:$F,OCHA_GIS!$E:$E,,)</f>
        <v>Mokolo</v>
      </c>
      <c r="J1253" s="5" t="s">
        <v>733</v>
      </c>
      <c r="K1253" t="s">
        <v>1776</v>
      </c>
      <c r="L1253" s="5" t="s">
        <v>1033</v>
      </c>
      <c r="N1253" s="5" t="s">
        <v>3052</v>
      </c>
      <c r="O1253" s="5" t="s">
        <v>2467</v>
      </c>
      <c r="P1253" s="5" t="s">
        <v>85</v>
      </c>
      <c r="Q1253" s="5" t="s">
        <v>86</v>
      </c>
      <c r="R1253" s="5" t="s">
        <v>85</v>
      </c>
      <c r="T1253" s="390">
        <v>3</v>
      </c>
      <c r="U1253" s="5" t="s">
        <v>97</v>
      </c>
      <c r="W1253" s="5" t="s">
        <v>2468</v>
      </c>
      <c r="X1253" s="5" t="s">
        <v>102</v>
      </c>
      <c r="AA1253" s="5" t="s">
        <v>85</v>
      </c>
      <c r="AB1253" s="5" t="s">
        <v>2469</v>
      </c>
      <c r="AC1253" s="5" t="s">
        <v>2470</v>
      </c>
      <c r="AD1253" s="5" t="s">
        <v>86</v>
      </c>
      <c r="AF1253" s="5">
        <v>266</v>
      </c>
      <c r="AG1253" s="5">
        <v>6000</v>
      </c>
      <c r="AH1253" s="5" t="s">
        <v>85</v>
      </c>
      <c r="AI1253" s="5" t="s">
        <v>2486</v>
      </c>
      <c r="AJ1253" s="5">
        <v>266</v>
      </c>
      <c r="AK1253" s="5">
        <v>1350</v>
      </c>
      <c r="AL1253" s="5">
        <v>606</v>
      </c>
      <c r="AM1253" s="5">
        <v>744</v>
      </c>
      <c r="AN1253" s="5">
        <v>0</v>
      </c>
      <c r="AO1253" s="5">
        <v>266</v>
      </c>
      <c r="AP1253" s="5">
        <v>0</v>
      </c>
      <c r="AQ1253" s="5">
        <v>0</v>
      </c>
      <c r="AT1253" s="5">
        <v>0</v>
      </c>
      <c r="AU1253" s="5">
        <v>0</v>
      </c>
      <c r="AX1253" s="5">
        <v>0</v>
      </c>
      <c r="AY1253" s="5" t="s">
        <v>86</v>
      </c>
      <c r="BN1253" s="5" t="s">
        <v>86</v>
      </c>
      <c r="CD1253" s="5">
        <v>0</v>
      </c>
      <c r="CF1253" s="1442" t="str">
        <f>IF([1]!sommaire[[#This Row],[présence des personnes déplacés interne]]="Oui","1","0")</f>
        <v>1</v>
      </c>
      <c r="CG1253" s="1442" t="str">
        <f>IF([1]!sommaire[[#This Row],[présence Réfugié hors camp]]="Oui","1","0")</f>
        <v>0</v>
      </c>
      <c r="CH1253" s="1442" t="str">
        <f>IF([1]!sommaire[[#This Row],[présence personnes retournées]]="Oui","1","0")</f>
        <v>0</v>
      </c>
      <c r="CI1253" s="1442">
        <f>[1]!sommaire[[#This Row],[Flag PDI]]+[1]!sommaire[[#This Row],[Flag REF]]+[1]!sommaire[[#This Row],[Flag RET]]</f>
        <v>1</v>
      </c>
    </row>
    <row r="1254" spans="1:87" x14ac:dyDescent="0.3">
      <c r="A1254" s="390">
        <v>2655337</v>
      </c>
      <c r="B1254" s="5" t="s">
        <v>533</v>
      </c>
      <c r="C1254" s="1430" t="s">
        <v>3449</v>
      </c>
      <c r="D1254" s="5" t="s">
        <v>534</v>
      </c>
      <c r="E1254" s="5" t="s">
        <v>35</v>
      </c>
      <c r="F1254" s="5" t="s">
        <v>35</v>
      </c>
      <c r="G1254" s="5" t="s">
        <v>567</v>
      </c>
      <c r="H1254" s="5" t="s">
        <v>195</v>
      </c>
      <c r="I1254" s="5" t="str">
        <f>_xlfn.XLOOKUP(sommaire[[#This Row],[Arrondissement_code]],OCHA_GIS!$F:$F,OCHA_GIS!$E:$E,,)</f>
        <v>Mokolo</v>
      </c>
      <c r="J1254" s="5" t="s">
        <v>733</v>
      </c>
      <c r="K1254" t="s">
        <v>2093</v>
      </c>
      <c r="L1254" s="5" t="s">
        <v>1674</v>
      </c>
      <c r="N1254" s="5" t="s">
        <v>3053</v>
      </c>
      <c r="O1254" s="5" t="s">
        <v>2467</v>
      </c>
      <c r="P1254" s="5" t="s">
        <v>85</v>
      </c>
      <c r="Q1254" s="5" t="s">
        <v>86</v>
      </c>
      <c r="R1254" s="5" t="s">
        <v>85</v>
      </c>
      <c r="T1254" s="390">
        <v>3</v>
      </c>
      <c r="U1254" s="5" t="s">
        <v>97</v>
      </c>
      <c r="W1254" s="5" t="s">
        <v>2468</v>
      </c>
      <c r="X1254" s="5" t="s">
        <v>102</v>
      </c>
      <c r="AA1254" s="5" t="s">
        <v>85</v>
      </c>
      <c r="AB1254" s="5" t="s">
        <v>2469</v>
      </c>
      <c r="AC1254" s="5" t="s">
        <v>2473</v>
      </c>
      <c r="AD1254" s="5" t="s">
        <v>85</v>
      </c>
      <c r="AE1254" s="5">
        <v>4</v>
      </c>
      <c r="AF1254" s="5">
        <v>10</v>
      </c>
      <c r="AG1254" s="5">
        <v>5385</v>
      </c>
      <c r="AH1254" s="5" t="s">
        <v>85</v>
      </c>
      <c r="AI1254" s="5" t="s">
        <v>2471</v>
      </c>
      <c r="AJ1254" s="5">
        <v>10</v>
      </c>
      <c r="AK1254" s="5">
        <v>53</v>
      </c>
      <c r="AL1254" s="5">
        <v>23</v>
      </c>
      <c r="AM1254" s="5">
        <v>30</v>
      </c>
      <c r="AN1254" s="5">
        <v>0</v>
      </c>
      <c r="AO1254" s="5">
        <v>3</v>
      </c>
      <c r="AP1254" s="5">
        <v>0</v>
      </c>
      <c r="AQ1254" s="5">
        <v>7</v>
      </c>
      <c r="AR1254" s="5" t="s">
        <v>2477</v>
      </c>
      <c r="AT1254" s="5">
        <v>0</v>
      </c>
      <c r="AU1254" s="5">
        <v>0</v>
      </c>
      <c r="AX1254" s="5">
        <v>0</v>
      </c>
      <c r="AY1254" s="5" t="s">
        <v>86</v>
      </c>
      <c r="BN1254" s="5" t="s">
        <v>86</v>
      </c>
      <c r="CD1254" s="5">
        <v>0</v>
      </c>
      <c r="CF1254" s="1442" t="str">
        <f>IF([1]!sommaire[[#This Row],[présence des personnes déplacés interne]]="Oui","1","0")</f>
        <v>1</v>
      </c>
      <c r="CG1254" s="1442" t="str">
        <f>IF([1]!sommaire[[#This Row],[présence Réfugié hors camp]]="Oui","1","0")</f>
        <v>0</v>
      </c>
      <c r="CH1254" s="1442" t="str">
        <f>IF([1]!sommaire[[#This Row],[présence personnes retournées]]="Oui","1","0")</f>
        <v>0</v>
      </c>
      <c r="CI1254" s="1442">
        <f>[1]!sommaire[[#This Row],[Flag PDI]]+[1]!sommaire[[#This Row],[Flag REF]]+[1]!sommaire[[#This Row],[Flag RET]]</f>
        <v>1</v>
      </c>
    </row>
    <row r="1255" spans="1:87" x14ac:dyDescent="0.3">
      <c r="A1255" s="390">
        <v>2636807</v>
      </c>
      <c r="B1255" s="5" t="s">
        <v>533</v>
      </c>
      <c r="C1255" s="1430" t="s">
        <v>3449</v>
      </c>
      <c r="D1255" s="5" t="s">
        <v>534</v>
      </c>
      <c r="E1255" s="5" t="s">
        <v>35</v>
      </c>
      <c r="F1255" s="5" t="s">
        <v>35</v>
      </c>
      <c r="G1255" s="5" t="s">
        <v>567</v>
      </c>
      <c r="H1255" s="5" t="s">
        <v>195</v>
      </c>
      <c r="I1255" s="5" t="str">
        <f>_xlfn.XLOOKUP(sommaire[[#This Row],[Arrondissement_code]],OCHA_GIS!$F:$F,OCHA_GIS!$E:$E,,)</f>
        <v>Mokolo</v>
      </c>
      <c r="J1255" s="5" t="s">
        <v>733</v>
      </c>
      <c r="K1255" t="s">
        <v>1591</v>
      </c>
      <c r="L1255" s="5" t="s">
        <v>2304</v>
      </c>
      <c r="N1255" s="5" t="s">
        <v>3053</v>
      </c>
      <c r="O1255" s="5" t="s">
        <v>2467</v>
      </c>
      <c r="P1255" s="5" t="s">
        <v>85</v>
      </c>
      <c r="Q1255" s="5" t="s">
        <v>86</v>
      </c>
      <c r="R1255" s="5" t="s">
        <v>85</v>
      </c>
      <c r="T1255" s="390">
        <v>3</v>
      </c>
      <c r="U1255" s="5" t="s">
        <v>97</v>
      </c>
      <c r="W1255" s="5" t="s">
        <v>2468</v>
      </c>
      <c r="X1255" s="5" t="s">
        <v>102</v>
      </c>
      <c r="AA1255" s="5" t="s">
        <v>85</v>
      </c>
      <c r="AB1255" s="5" t="s">
        <v>2469</v>
      </c>
      <c r="AC1255" s="5" t="s">
        <v>2470</v>
      </c>
      <c r="AD1255" s="5" t="s">
        <v>86</v>
      </c>
      <c r="AF1255" s="5">
        <v>32</v>
      </c>
      <c r="AG1255" s="5">
        <v>2000</v>
      </c>
      <c r="AH1255" s="5" t="s">
        <v>85</v>
      </c>
      <c r="AI1255" s="5" t="s">
        <v>2485</v>
      </c>
      <c r="AJ1255" s="5">
        <v>32</v>
      </c>
      <c r="AK1255" s="5">
        <v>273</v>
      </c>
      <c r="AL1255" s="5">
        <v>129</v>
      </c>
      <c r="AM1255" s="5">
        <v>144</v>
      </c>
      <c r="AN1255" s="5">
        <v>0</v>
      </c>
      <c r="AO1255" s="5">
        <v>32</v>
      </c>
      <c r="AP1255" s="5">
        <v>0</v>
      </c>
      <c r="AQ1255" s="5">
        <v>0</v>
      </c>
      <c r="AT1255" s="5">
        <v>0</v>
      </c>
      <c r="AU1255" s="5">
        <v>0</v>
      </c>
      <c r="AX1255" s="5">
        <v>0</v>
      </c>
      <c r="AY1255" s="5" t="s">
        <v>86</v>
      </c>
      <c r="BN1255" s="5" t="s">
        <v>86</v>
      </c>
      <c r="CD1255" s="5">
        <v>0</v>
      </c>
      <c r="CF1255" s="1442" t="str">
        <f>IF([1]!sommaire[[#This Row],[présence des personnes déplacés interne]]="Oui","1","0")</f>
        <v>1</v>
      </c>
      <c r="CG1255" s="1442" t="str">
        <f>IF([1]!sommaire[[#This Row],[présence Réfugié hors camp]]="Oui","1","0")</f>
        <v>0</v>
      </c>
      <c r="CH1255" s="1442" t="str">
        <f>IF([1]!sommaire[[#This Row],[présence personnes retournées]]="Oui","1","0")</f>
        <v>0</v>
      </c>
      <c r="CI1255" s="1442">
        <f>[1]!sommaire[[#This Row],[Flag PDI]]+[1]!sommaire[[#This Row],[Flag REF]]+[1]!sommaire[[#This Row],[Flag RET]]</f>
        <v>1</v>
      </c>
    </row>
    <row r="1256" spans="1:87" x14ac:dyDescent="0.3">
      <c r="A1256" s="390">
        <v>2678338</v>
      </c>
      <c r="B1256" s="5" t="s">
        <v>533</v>
      </c>
      <c r="C1256" s="1430" t="s">
        <v>3449</v>
      </c>
      <c r="D1256" s="1090" t="s">
        <v>534</v>
      </c>
      <c r="E1256" s="5" t="s">
        <v>35</v>
      </c>
      <c r="F1256" s="5" t="s">
        <v>35</v>
      </c>
      <c r="G1256" s="5" t="s">
        <v>567</v>
      </c>
      <c r="H1256" s="5" t="s">
        <v>196</v>
      </c>
      <c r="I1256" s="5" t="str">
        <f>_xlfn.XLOOKUP(sommaire[[#This Row],[Arrondissement_code]],OCHA_GIS!$F:$F,OCHA_GIS!$E:$E,,)</f>
        <v>Soulèdé-Roua</v>
      </c>
      <c r="J1256" s="5" t="s">
        <v>568</v>
      </c>
      <c r="K1256" t="s">
        <v>671</v>
      </c>
      <c r="L1256" s="5" t="s">
        <v>2107</v>
      </c>
      <c r="N1256" s="5" t="s">
        <v>3053</v>
      </c>
      <c r="O1256" s="5" t="s">
        <v>2467</v>
      </c>
      <c r="P1256" s="5" t="s">
        <v>85</v>
      </c>
      <c r="Q1256" s="5" t="s">
        <v>86</v>
      </c>
      <c r="R1256" s="5" t="s">
        <v>86</v>
      </c>
      <c r="T1256" s="390">
        <v>3</v>
      </c>
      <c r="U1256" s="5" t="s">
        <v>97</v>
      </c>
      <c r="W1256" s="5" t="s">
        <v>2468</v>
      </c>
      <c r="X1256" s="5" t="s">
        <v>102</v>
      </c>
      <c r="AA1256" s="5" t="s">
        <v>85</v>
      </c>
      <c r="AB1256" s="5" t="s">
        <v>2469</v>
      </c>
      <c r="AC1256" s="5" t="s">
        <v>2470</v>
      </c>
      <c r="AD1256" s="5" t="s">
        <v>86</v>
      </c>
      <c r="AG1256" s="5">
        <v>2508</v>
      </c>
      <c r="AH1256" s="5" t="s">
        <v>86</v>
      </c>
      <c r="AY1256" s="5" t="s">
        <v>86</v>
      </c>
      <c r="BN1256" s="5" t="s">
        <v>85</v>
      </c>
      <c r="BO1256" s="5">
        <v>2</v>
      </c>
      <c r="BP1256" s="5">
        <v>13</v>
      </c>
      <c r="BQ1256" s="5">
        <v>5</v>
      </c>
      <c r="BR1256" s="5">
        <v>8</v>
      </c>
      <c r="BS1256" s="5" t="s">
        <v>2484</v>
      </c>
      <c r="BT1256" s="5">
        <v>0</v>
      </c>
      <c r="BU1256" s="5">
        <v>2</v>
      </c>
      <c r="BV1256" s="5">
        <v>0</v>
      </c>
      <c r="BW1256" s="5">
        <v>0</v>
      </c>
      <c r="BX1256" s="5">
        <v>0</v>
      </c>
      <c r="BZ1256" s="5">
        <v>0</v>
      </c>
      <c r="CA1256" s="5">
        <v>0</v>
      </c>
      <c r="CC1256" s="5">
        <v>0</v>
      </c>
      <c r="CD1256" s="5">
        <v>0</v>
      </c>
      <c r="CF1256" s="1442" t="str">
        <f>IF([1]!sommaire[[#This Row],[présence des personnes déplacés interne]]="Oui","1","0")</f>
        <v>0</v>
      </c>
      <c r="CG1256" s="1442" t="str">
        <f>IF([1]!sommaire[[#This Row],[présence Réfugié hors camp]]="Oui","1","0")</f>
        <v>0</v>
      </c>
      <c r="CH1256" s="1442" t="str">
        <f>IF([1]!sommaire[[#This Row],[présence personnes retournées]]="Oui","1","0")</f>
        <v>1</v>
      </c>
      <c r="CI1256" s="1442">
        <f>[1]!sommaire[[#This Row],[Flag PDI]]+[1]!sommaire[[#This Row],[Flag REF]]+[1]!sommaire[[#This Row],[Flag RET]]</f>
        <v>1</v>
      </c>
    </row>
    <row r="1257" spans="1:87" x14ac:dyDescent="0.3">
      <c r="A1257" s="390">
        <v>2678323</v>
      </c>
      <c r="B1257" s="5" t="s">
        <v>533</v>
      </c>
      <c r="C1257" s="1430" t="s">
        <v>3449</v>
      </c>
      <c r="D1257" s="1090" t="s">
        <v>534</v>
      </c>
      <c r="E1257" s="5" t="s">
        <v>35</v>
      </c>
      <c r="F1257" s="5" t="s">
        <v>35</v>
      </c>
      <c r="G1257" s="5" t="s">
        <v>567</v>
      </c>
      <c r="H1257" s="5" t="s">
        <v>196</v>
      </c>
      <c r="I1257" s="5" t="str">
        <f>_xlfn.XLOOKUP(sommaire[[#This Row],[Arrondissement_code]],OCHA_GIS!$F:$F,OCHA_GIS!$E:$E,,)</f>
        <v>Soulèdé-Roua</v>
      </c>
      <c r="J1257" s="5" t="s">
        <v>568</v>
      </c>
      <c r="K1257" t="s">
        <v>2105</v>
      </c>
      <c r="L1257" s="5" t="s">
        <v>2106</v>
      </c>
      <c r="N1257" s="5" t="s">
        <v>3053</v>
      </c>
      <c r="O1257" s="5" t="s">
        <v>2467</v>
      </c>
      <c r="P1257" s="5" t="s">
        <v>85</v>
      </c>
      <c r="Q1257" s="5" t="s">
        <v>86</v>
      </c>
      <c r="R1257" s="5" t="s">
        <v>86</v>
      </c>
      <c r="T1257" s="390">
        <v>3</v>
      </c>
      <c r="U1257" s="5" t="s">
        <v>97</v>
      </c>
      <c r="W1257" s="5" t="s">
        <v>2468</v>
      </c>
      <c r="X1257" s="5" t="s">
        <v>102</v>
      </c>
      <c r="AA1257" s="5" t="s">
        <v>86</v>
      </c>
      <c r="AH1257" s="1430" t="s">
        <v>86</v>
      </c>
      <c r="AY1257" s="1430" t="s">
        <v>86</v>
      </c>
      <c r="BN1257" s="1430" t="s">
        <v>86</v>
      </c>
      <c r="CF1257" s="1442" t="str">
        <f>IF([1]!sommaire[[#This Row],[présence des personnes déplacés interne]]="Oui","1","0")</f>
        <v>0</v>
      </c>
      <c r="CG1257" s="1442" t="str">
        <f>IF([1]!sommaire[[#This Row],[présence Réfugié hors camp]]="Oui","1","0")</f>
        <v>0</v>
      </c>
      <c r="CH1257" s="1442" t="str">
        <f>IF([1]!sommaire[[#This Row],[présence personnes retournées]]="Oui","1","0")</f>
        <v>0</v>
      </c>
      <c r="CI1257" s="1442">
        <f>[1]!sommaire[[#This Row],[Flag PDI]]+[1]!sommaire[[#This Row],[Flag REF]]+[1]!sommaire[[#This Row],[Flag RET]]</f>
        <v>0</v>
      </c>
    </row>
    <row r="1258" spans="1:87" x14ac:dyDescent="0.3">
      <c r="A1258" s="390">
        <v>2678332</v>
      </c>
      <c r="B1258" s="5" t="s">
        <v>533</v>
      </c>
      <c r="C1258" s="1430" t="s">
        <v>3449</v>
      </c>
      <c r="D1258" s="1090" t="s">
        <v>534</v>
      </c>
      <c r="E1258" s="5" t="s">
        <v>35</v>
      </c>
      <c r="F1258" s="5" t="s">
        <v>35</v>
      </c>
      <c r="G1258" s="5" t="s">
        <v>567</v>
      </c>
      <c r="H1258" s="5" t="s">
        <v>196</v>
      </c>
      <c r="I1258" s="5" t="str">
        <f>_xlfn.XLOOKUP(sommaire[[#This Row],[Arrondissement_code]],OCHA_GIS!$F:$F,OCHA_GIS!$E:$E,,)</f>
        <v>Soulèdé-Roua</v>
      </c>
      <c r="J1258" s="5" t="s">
        <v>568</v>
      </c>
      <c r="K1258" t="s">
        <v>2689</v>
      </c>
      <c r="L1258" s="5" t="s">
        <v>672</v>
      </c>
      <c r="N1258" s="5" t="s">
        <v>3053</v>
      </c>
      <c r="O1258" s="5" t="s">
        <v>2467</v>
      </c>
      <c r="P1258" s="5" t="s">
        <v>85</v>
      </c>
      <c r="Q1258" s="5" t="s">
        <v>86</v>
      </c>
      <c r="R1258" s="5" t="s">
        <v>86</v>
      </c>
      <c r="T1258" s="390">
        <v>3</v>
      </c>
      <c r="U1258" s="5" t="s">
        <v>97</v>
      </c>
      <c r="W1258" s="5" t="s">
        <v>2468</v>
      </c>
      <c r="X1258" s="5" t="s">
        <v>102</v>
      </c>
      <c r="AA1258" s="586" t="s">
        <v>85</v>
      </c>
      <c r="AB1258" s="5" t="s">
        <v>2469</v>
      </c>
      <c r="AC1258" s="5" t="s">
        <v>2470</v>
      </c>
      <c r="AD1258" s="5" t="s">
        <v>86</v>
      </c>
      <c r="AF1258" s="5">
        <v>76</v>
      </c>
      <c r="AG1258" s="5">
        <v>1303</v>
      </c>
      <c r="AH1258" s="5" t="s">
        <v>85</v>
      </c>
      <c r="AI1258" s="5" t="s">
        <v>2471</v>
      </c>
      <c r="AJ1258" s="5">
        <v>76</v>
      </c>
      <c r="AK1258" s="5">
        <v>327</v>
      </c>
      <c r="AL1258" s="5">
        <v>137</v>
      </c>
      <c r="AM1258" s="5">
        <v>190</v>
      </c>
      <c r="AN1258" s="5">
        <v>0</v>
      </c>
      <c r="AO1258" s="5">
        <v>69</v>
      </c>
      <c r="AP1258" s="5">
        <v>4</v>
      </c>
      <c r="AQ1258" s="5">
        <v>3</v>
      </c>
      <c r="AR1258" s="5" t="s">
        <v>2477</v>
      </c>
      <c r="AT1258" s="5">
        <v>0</v>
      </c>
      <c r="AU1258" s="5">
        <v>0</v>
      </c>
      <c r="AX1258" s="5">
        <v>0</v>
      </c>
      <c r="AY1258" s="5" t="s">
        <v>86</v>
      </c>
      <c r="BN1258" s="5" t="s">
        <v>85</v>
      </c>
      <c r="BO1258" s="5">
        <v>17</v>
      </c>
      <c r="BP1258" s="5">
        <v>89</v>
      </c>
      <c r="BQ1258" s="5">
        <v>56</v>
      </c>
      <c r="BR1258" s="5">
        <v>33</v>
      </c>
      <c r="BS1258" s="5" t="s">
        <v>2492</v>
      </c>
      <c r="BT1258" s="5">
        <v>0</v>
      </c>
      <c r="BU1258" s="5">
        <v>14</v>
      </c>
      <c r="BV1258" s="5">
        <v>3</v>
      </c>
      <c r="BW1258" s="5">
        <v>0</v>
      </c>
      <c r="BX1258" s="5">
        <v>0</v>
      </c>
      <c r="BZ1258" s="5">
        <v>0</v>
      </c>
      <c r="CA1258" s="5">
        <v>0</v>
      </c>
      <c r="CC1258" s="5">
        <v>0</v>
      </c>
      <c r="CD1258" s="5">
        <v>0</v>
      </c>
      <c r="CF1258" s="1442" t="str">
        <f>IF([1]!sommaire[[#This Row],[présence des personnes déplacés interne]]="Oui","1","0")</f>
        <v>1</v>
      </c>
      <c r="CG1258" s="1442" t="str">
        <f>IF([1]!sommaire[[#This Row],[présence Réfugié hors camp]]="Oui","1","0")</f>
        <v>0</v>
      </c>
      <c r="CH1258" s="1442" t="str">
        <f>IF([1]!sommaire[[#This Row],[présence personnes retournées]]="Oui","1","0")</f>
        <v>1</v>
      </c>
      <c r="CI1258" s="1442">
        <f>[1]!sommaire[[#This Row],[Flag PDI]]+[1]!sommaire[[#This Row],[Flag REF]]+[1]!sommaire[[#This Row],[Flag RET]]</f>
        <v>2</v>
      </c>
    </row>
    <row r="1259" spans="1:87" x14ac:dyDescent="0.3">
      <c r="A1259" s="390">
        <v>2678318</v>
      </c>
      <c r="B1259" s="5" t="s">
        <v>533</v>
      </c>
      <c r="C1259" s="1430" t="s">
        <v>3449</v>
      </c>
      <c r="D1259" s="1090" t="s">
        <v>534</v>
      </c>
      <c r="E1259" s="5" t="s">
        <v>35</v>
      </c>
      <c r="F1259" s="5" t="s">
        <v>35</v>
      </c>
      <c r="G1259" s="5" t="s">
        <v>567</v>
      </c>
      <c r="H1259" s="5" t="s">
        <v>196</v>
      </c>
      <c r="I1259" s="5" t="str">
        <f>_xlfn.XLOOKUP(sommaire[[#This Row],[Arrondissement_code]],OCHA_GIS!$F:$F,OCHA_GIS!$E:$E,,)</f>
        <v>Soulèdé-Roua</v>
      </c>
      <c r="J1259" s="5" t="s">
        <v>568</v>
      </c>
      <c r="K1259" t="s">
        <v>2110</v>
      </c>
      <c r="L1259" s="5" t="s">
        <v>2111</v>
      </c>
      <c r="N1259" s="5" t="s">
        <v>3053</v>
      </c>
      <c r="O1259" s="5" t="s">
        <v>2467</v>
      </c>
      <c r="P1259" s="5" t="s">
        <v>85</v>
      </c>
      <c r="Q1259" s="5" t="s">
        <v>86</v>
      </c>
      <c r="R1259" s="5" t="s">
        <v>86</v>
      </c>
      <c r="T1259" s="390">
        <v>3</v>
      </c>
      <c r="U1259" s="5" t="s">
        <v>97</v>
      </c>
      <c r="W1259" s="5" t="s">
        <v>2468</v>
      </c>
      <c r="X1259" s="5" t="s">
        <v>102</v>
      </c>
      <c r="AA1259" s="5" t="s">
        <v>85</v>
      </c>
      <c r="AB1259" s="5" t="s">
        <v>2469</v>
      </c>
      <c r="AC1259" s="5" t="s">
        <v>2470</v>
      </c>
      <c r="AD1259" s="5" t="s">
        <v>86</v>
      </c>
      <c r="AG1259" s="5">
        <v>1400</v>
      </c>
      <c r="AH1259" s="5" t="s">
        <v>86</v>
      </c>
      <c r="AY1259" s="5" t="s">
        <v>86</v>
      </c>
      <c r="BN1259" s="5" t="s">
        <v>85</v>
      </c>
      <c r="BO1259" s="5">
        <v>5</v>
      </c>
      <c r="BP1259" s="5">
        <v>28</v>
      </c>
      <c r="BQ1259" s="5">
        <v>8</v>
      </c>
      <c r="BR1259" s="5">
        <v>20</v>
      </c>
      <c r="BS1259" s="5" t="s">
        <v>2492</v>
      </c>
      <c r="BT1259" s="5">
        <v>0</v>
      </c>
      <c r="BU1259" s="5">
        <v>5</v>
      </c>
      <c r="BV1259" s="5">
        <v>0</v>
      </c>
      <c r="BW1259" s="5">
        <v>0</v>
      </c>
      <c r="BX1259" s="5">
        <v>0</v>
      </c>
      <c r="BZ1259" s="5">
        <v>0</v>
      </c>
      <c r="CA1259" s="5">
        <v>0</v>
      </c>
      <c r="CC1259" s="5">
        <v>0</v>
      </c>
      <c r="CD1259" s="5">
        <v>0</v>
      </c>
      <c r="CF1259" s="1442" t="str">
        <f>IF([1]!sommaire[[#This Row],[présence des personnes déplacés interne]]="Oui","1","0")</f>
        <v>0</v>
      </c>
      <c r="CG1259" s="1442" t="str">
        <f>IF([1]!sommaire[[#This Row],[présence Réfugié hors camp]]="Oui","1","0")</f>
        <v>0</v>
      </c>
      <c r="CH1259" s="1442" t="str">
        <f>IF([1]!sommaire[[#This Row],[présence personnes retournées]]="Oui","1","0")</f>
        <v>1</v>
      </c>
      <c r="CI1259" s="1442">
        <f>[1]!sommaire[[#This Row],[Flag PDI]]+[1]!sommaire[[#This Row],[Flag REF]]+[1]!sommaire[[#This Row],[Flag RET]]</f>
        <v>1</v>
      </c>
    </row>
    <row r="1260" spans="1:87" x14ac:dyDescent="0.3">
      <c r="A1260" s="390">
        <v>2678324</v>
      </c>
      <c r="B1260" s="5" t="s">
        <v>533</v>
      </c>
      <c r="C1260" s="1430" t="s">
        <v>3449</v>
      </c>
      <c r="D1260" s="1090" t="s">
        <v>534</v>
      </c>
      <c r="E1260" s="5" t="s">
        <v>35</v>
      </c>
      <c r="F1260" s="5" t="s">
        <v>35</v>
      </c>
      <c r="G1260" s="5" t="s">
        <v>567</v>
      </c>
      <c r="H1260" s="5" t="s">
        <v>196</v>
      </c>
      <c r="I1260" s="5" t="str">
        <f>_xlfn.XLOOKUP(sommaire[[#This Row],[Arrondissement_code]],OCHA_GIS!$F:$F,OCHA_GIS!$E:$E,,)</f>
        <v>Soulèdé-Roua</v>
      </c>
      <c r="J1260" s="5" t="s">
        <v>568</v>
      </c>
      <c r="K1260" t="s">
        <v>2108</v>
      </c>
      <c r="L1260" s="5" t="s">
        <v>2109</v>
      </c>
      <c r="N1260" s="5" t="s">
        <v>3053</v>
      </c>
      <c r="O1260" s="5" t="s">
        <v>2467</v>
      </c>
      <c r="P1260" s="5" t="s">
        <v>85</v>
      </c>
      <c r="Q1260" s="5" t="s">
        <v>86</v>
      </c>
      <c r="R1260" s="5" t="s">
        <v>86</v>
      </c>
      <c r="T1260" s="390">
        <v>3</v>
      </c>
      <c r="U1260" s="5" t="s">
        <v>97</v>
      </c>
      <c r="W1260" s="5" t="s">
        <v>2468</v>
      </c>
      <c r="X1260" s="5" t="s">
        <v>102</v>
      </c>
      <c r="AA1260" s="5" t="s">
        <v>85</v>
      </c>
      <c r="AB1260" s="5" t="s">
        <v>2469</v>
      </c>
      <c r="AC1260" s="5" t="s">
        <v>2470</v>
      </c>
      <c r="AD1260" s="5" t="s">
        <v>86</v>
      </c>
      <c r="AG1260" s="5">
        <v>2350</v>
      </c>
      <c r="AH1260" s="5" t="s">
        <v>86</v>
      </c>
      <c r="AY1260" s="5" t="s">
        <v>86</v>
      </c>
      <c r="BN1260" s="5" t="s">
        <v>85</v>
      </c>
      <c r="BO1260" s="5">
        <v>15</v>
      </c>
      <c r="BP1260" s="5">
        <v>46</v>
      </c>
      <c r="BQ1260" s="5">
        <v>18</v>
      </c>
      <c r="BR1260" s="5">
        <v>28</v>
      </c>
      <c r="BS1260" s="5" t="s">
        <v>2492</v>
      </c>
      <c r="BT1260" s="5">
        <v>0</v>
      </c>
      <c r="BU1260" s="5">
        <v>15</v>
      </c>
      <c r="BV1260" s="5">
        <v>0</v>
      </c>
      <c r="BW1260" s="5">
        <v>0</v>
      </c>
      <c r="BX1260" s="5">
        <v>0</v>
      </c>
      <c r="BZ1260" s="5">
        <v>0</v>
      </c>
      <c r="CA1260" s="5">
        <v>0</v>
      </c>
      <c r="CC1260" s="5">
        <v>0</v>
      </c>
      <c r="CD1260" s="5">
        <v>4</v>
      </c>
      <c r="CF1260" s="1442" t="str">
        <f>IF([1]!sommaire[[#This Row],[présence des personnes déplacés interne]]="Oui","1","0")</f>
        <v>0</v>
      </c>
      <c r="CG1260" s="1442" t="str">
        <f>IF([1]!sommaire[[#This Row],[présence Réfugié hors camp]]="Oui","1","0")</f>
        <v>0</v>
      </c>
      <c r="CH1260" s="1442" t="str">
        <f>IF([1]!sommaire[[#This Row],[présence personnes retournées]]="Oui","1","0")</f>
        <v>1</v>
      </c>
      <c r="CI1260" s="1442">
        <f>[1]!sommaire[[#This Row],[Flag PDI]]+[1]!sommaire[[#This Row],[Flag REF]]+[1]!sommaire[[#This Row],[Flag RET]]</f>
        <v>1</v>
      </c>
    </row>
    <row r="1261" spans="1:87" x14ac:dyDescent="0.3">
      <c r="A1261" s="390">
        <v>2678313</v>
      </c>
      <c r="B1261" s="5" t="s">
        <v>533</v>
      </c>
      <c r="C1261" s="1430" t="s">
        <v>3449</v>
      </c>
      <c r="D1261" s="1090" t="s">
        <v>534</v>
      </c>
      <c r="E1261" s="5" t="s">
        <v>35</v>
      </c>
      <c r="F1261" s="5" t="s">
        <v>35</v>
      </c>
      <c r="G1261" s="5" t="s">
        <v>567</v>
      </c>
      <c r="H1261" s="5" t="s">
        <v>196</v>
      </c>
      <c r="I1261" s="5" t="str">
        <f>_xlfn.XLOOKUP(sommaire[[#This Row],[Arrondissement_code]],OCHA_GIS!$F:$F,OCHA_GIS!$E:$E,,)</f>
        <v>Soulèdé-Roua</v>
      </c>
      <c r="J1261" s="5" t="s">
        <v>568</v>
      </c>
      <c r="K1261" t="s">
        <v>569</v>
      </c>
      <c r="L1261" s="5" t="s">
        <v>570</v>
      </c>
      <c r="N1261" s="5" t="s">
        <v>3053</v>
      </c>
      <c r="O1261" s="5" t="s">
        <v>2467</v>
      </c>
      <c r="P1261" s="5" t="s">
        <v>85</v>
      </c>
      <c r="Q1261" s="5" t="s">
        <v>86</v>
      </c>
      <c r="R1261" s="5" t="s">
        <v>86</v>
      </c>
      <c r="T1261" s="390">
        <v>3</v>
      </c>
      <c r="U1261" s="5" t="s">
        <v>97</v>
      </c>
      <c r="W1261" s="5" t="s">
        <v>2468</v>
      </c>
      <c r="X1261" s="5" t="s">
        <v>102</v>
      </c>
      <c r="AA1261" s="5" t="s">
        <v>85</v>
      </c>
      <c r="AB1261" s="5" t="s">
        <v>2469</v>
      </c>
      <c r="AC1261" s="5" t="s">
        <v>2470</v>
      </c>
      <c r="AD1261" s="5" t="s">
        <v>86</v>
      </c>
      <c r="AF1261" s="5">
        <v>5</v>
      </c>
      <c r="AG1261" s="5">
        <v>1830</v>
      </c>
      <c r="AH1261" s="5" t="s">
        <v>85</v>
      </c>
      <c r="AI1261" s="5" t="s">
        <v>2471</v>
      </c>
      <c r="AJ1261" s="5">
        <v>5</v>
      </c>
      <c r="AK1261" s="5">
        <v>24</v>
      </c>
      <c r="AL1261" s="5">
        <v>11</v>
      </c>
      <c r="AM1261" s="5">
        <v>13</v>
      </c>
      <c r="AN1261" s="5">
        <v>0</v>
      </c>
      <c r="AO1261" s="5">
        <v>5</v>
      </c>
      <c r="AP1261" s="5">
        <v>0</v>
      </c>
      <c r="AQ1261" s="5">
        <v>0</v>
      </c>
      <c r="AT1261" s="5">
        <v>0</v>
      </c>
      <c r="AU1261" s="5">
        <v>0</v>
      </c>
      <c r="AX1261" s="5">
        <v>0</v>
      </c>
      <c r="AY1261" s="5" t="s">
        <v>86</v>
      </c>
      <c r="BN1261" s="5" t="s">
        <v>85</v>
      </c>
      <c r="BO1261" s="5">
        <v>1</v>
      </c>
      <c r="BP1261" s="5">
        <v>3</v>
      </c>
      <c r="BQ1261" s="5">
        <v>1</v>
      </c>
      <c r="BR1261" s="5">
        <v>2</v>
      </c>
      <c r="BS1261" s="5" t="s">
        <v>2492</v>
      </c>
      <c r="BT1261" s="5">
        <v>0</v>
      </c>
      <c r="BU1261" s="5">
        <v>1</v>
      </c>
      <c r="BV1261" s="5">
        <v>0</v>
      </c>
      <c r="BW1261" s="5">
        <v>0</v>
      </c>
      <c r="BX1261" s="5">
        <v>0</v>
      </c>
      <c r="BZ1261" s="5">
        <v>0</v>
      </c>
      <c r="CA1261" s="5">
        <v>0</v>
      </c>
      <c r="CC1261" s="5">
        <v>0</v>
      </c>
      <c r="CD1261" s="5">
        <v>0</v>
      </c>
      <c r="CF1261" s="1442" t="str">
        <f>IF([1]!sommaire[[#This Row],[présence des personnes déplacés interne]]="Oui","1","0")</f>
        <v>1</v>
      </c>
      <c r="CG1261" s="1442" t="str">
        <f>IF([1]!sommaire[[#This Row],[présence Réfugié hors camp]]="Oui","1","0")</f>
        <v>0</v>
      </c>
      <c r="CH1261" s="1442" t="str">
        <f>IF([1]!sommaire[[#This Row],[présence personnes retournées]]="Oui","1","0")</f>
        <v>1</v>
      </c>
      <c r="CI1261" s="1442">
        <f>[1]!sommaire[[#This Row],[Flag PDI]]+[1]!sommaire[[#This Row],[Flag REF]]+[1]!sommaire[[#This Row],[Flag RET]]</f>
        <v>2</v>
      </c>
    </row>
    <row r="1262" spans="1:87" x14ac:dyDescent="0.3">
      <c r="A1262" s="390">
        <v>2678334</v>
      </c>
      <c r="B1262" s="5" t="s">
        <v>533</v>
      </c>
      <c r="C1262" s="1430" t="s">
        <v>3449</v>
      </c>
      <c r="D1262" s="1090" t="s">
        <v>534</v>
      </c>
      <c r="E1262" s="5" t="s">
        <v>35</v>
      </c>
      <c r="F1262" s="5" t="s">
        <v>35</v>
      </c>
      <c r="G1262" s="5" t="s">
        <v>567</v>
      </c>
      <c r="H1262" s="5" t="s">
        <v>196</v>
      </c>
      <c r="I1262" s="5" t="str">
        <f>_xlfn.XLOOKUP(sommaire[[#This Row],[Arrondissement_code]],OCHA_GIS!$F:$F,OCHA_GIS!$E:$E,,)</f>
        <v>Soulèdé-Roua</v>
      </c>
      <c r="J1262" s="5" t="s">
        <v>568</v>
      </c>
      <c r="K1262" t="s">
        <v>2987</v>
      </c>
      <c r="L1262" s="5" t="s">
        <v>2690</v>
      </c>
      <c r="N1262" s="5" t="s">
        <v>3053</v>
      </c>
      <c r="O1262" s="5" t="s">
        <v>2467</v>
      </c>
      <c r="P1262" s="5" t="s">
        <v>85</v>
      </c>
      <c r="Q1262" s="5" t="s">
        <v>86</v>
      </c>
      <c r="R1262" s="5" t="s">
        <v>86</v>
      </c>
      <c r="T1262" s="390">
        <v>3</v>
      </c>
      <c r="U1262" s="5" t="s">
        <v>97</v>
      </c>
      <c r="W1262" s="5" t="s">
        <v>2468</v>
      </c>
      <c r="X1262" s="5" t="s">
        <v>102</v>
      </c>
      <c r="AA1262" s="5" t="s">
        <v>85</v>
      </c>
      <c r="AB1262" s="5" t="s">
        <v>2469</v>
      </c>
      <c r="AC1262" s="5" t="s">
        <v>2470</v>
      </c>
      <c r="AD1262" s="5" t="s">
        <v>86</v>
      </c>
      <c r="AF1262" s="5">
        <v>3</v>
      </c>
      <c r="AG1262" s="5">
        <v>1023</v>
      </c>
      <c r="AH1262" s="5" t="s">
        <v>85</v>
      </c>
      <c r="AI1262" s="5" t="s">
        <v>2471</v>
      </c>
      <c r="AJ1262" s="5">
        <v>3</v>
      </c>
      <c r="AK1262" s="5">
        <v>23</v>
      </c>
      <c r="AL1262" s="5">
        <v>9</v>
      </c>
      <c r="AM1262" s="5">
        <v>14</v>
      </c>
      <c r="AN1262" s="5">
        <v>0</v>
      </c>
      <c r="AO1262" s="5">
        <v>2</v>
      </c>
      <c r="AP1262" s="5">
        <v>1</v>
      </c>
      <c r="AQ1262" s="5">
        <v>0</v>
      </c>
      <c r="AT1262" s="5">
        <v>0</v>
      </c>
      <c r="AU1262" s="5">
        <v>0</v>
      </c>
      <c r="AX1262" s="5">
        <v>0</v>
      </c>
      <c r="AY1262" s="5" t="s">
        <v>86</v>
      </c>
      <c r="BN1262" s="5" t="s">
        <v>85</v>
      </c>
      <c r="BO1262" s="5">
        <v>5</v>
      </c>
      <c r="BP1262" s="5">
        <v>37</v>
      </c>
      <c r="BQ1262" s="5">
        <v>12</v>
      </c>
      <c r="BR1262" s="5">
        <v>25</v>
      </c>
      <c r="BS1262" s="5" t="s">
        <v>2535</v>
      </c>
      <c r="BT1262" s="5">
        <v>0</v>
      </c>
      <c r="BU1262" s="5">
        <v>5</v>
      </c>
      <c r="BV1262" s="5">
        <v>0</v>
      </c>
      <c r="BW1262" s="5">
        <v>0</v>
      </c>
      <c r="BX1262" s="5">
        <v>0</v>
      </c>
      <c r="BZ1262" s="5">
        <v>0</v>
      </c>
      <c r="CA1262" s="5">
        <v>0</v>
      </c>
      <c r="CC1262" s="5">
        <v>0</v>
      </c>
      <c r="CD1262" s="5">
        <v>0</v>
      </c>
      <c r="CF1262" s="1442" t="str">
        <f>IF([1]!sommaire[[#This Row],[présence des personnes déplacés interne]]="Oui","1","0")</f>
        <v>1</v>
      </c>
      <c r="CG1262" s="1442" t="str">
        <f>IF([1]!sommaire[[#This Row],[présence Réfugié hors camp]]="Oui","1","0")</f>
        <v>0</v>
      </c>
      <c r="CH1262" s="1442" t="str">
        <f>IF([1]!sommaire[[#This Row],[présence personnes retournées]]="Oui","1","0")</f>
        <v>1</v>
      </c>
      <c r="CI1262" s="1442">
        <f>[1]!sommaire[[#This Row],[Flag PDI]]+[1]!sommaire[[#This Row],[Flag REF]]+[1]!sommaire[[#This Row],[Flag RET]]</f>
        <v>2</v>
      </c>
    </row>
    <row r="1263" spans="1:87" x14ac:dyDescent="0.3">
      <c r="A1263" s="390">
        <v>2678314</v>
      </c>
      <c r="B1263" s="5" t="s">
        <v>533</v>
      </c>
      <c r="C1263" s="1430" t="s">
        <v>3449</v>
      </c>
      <c r="D1263" s="1090" t="s">
        <v>534</v>
      </c>
      <c r="E1263" s="5" t="s">
        <v>35</v>
      </c>
      <c r="F1263" s="5" t="s">
        <v>35</v>
      </c>
      <c r="G1263" s="5" t="s">
        <v>567</v>
      </c>
      <c r="H1263" s="5" t="s">
        <v>196</v>
      </c>
      <c r="I1263" s="5" t="str">
        <f>_xlfn.XLOOKUP(sommaire[[#This Row],[Arrondissement_code]],OCHA_GIS!$F:$F,OCHA_GIS!$E:$E,,)</f>
        <v>Soulèdé-Roua</v>
      </c>
      <c r="J1263" s="5" t="s">
        <v>568</v>
      </c>
      <c r="K1263" t="s">
        <v>2091</v>
      </c>
      <c r="L1263" s="5" t="s">
        <v>2092</v>
      </c>
      <c r="N1263" s="5" t="s">
        <v>3053</v>
      </c>
      <c r="O1263" s="5" t="s">
        <v>2467</v>
      </c>
      <c r="P1263" s="5" t="s">
        <v>85</v>
      </c>
      <c r="Q1263" s="5" t="s">
        <v>86</v>
      </c>
      <c r="R1263" s="5" t="s">
        <v>86</v>
      </c>
      <c r="T1263" s="390">
        <v>3</v>
      </c>
      <c r="U1263" s="5" t="s">
        <v>97</v>
      </c>
      <c r="W1263" s="5" t="s">
        <v>2468</v>
      </c>
      <c r="X1263" s="5" t="s">
        <v>102</v>
      </c>
      <c r="AA1263" s="5" t="s">
        <v>86</v>
      </c>
      <c r="AH1263" s="1430" t="s">
        <v>86</v>
      </c>
      <c r="AY1263" s="1430" t="s">
        <v>86</v>
      </c>
      <c r="BN1263" s="1430" t="s">
        <v>86</v>
      </c>
      <c r="CF1263" s="1442" t="str">
        <f>IF([1]!sommaire[[#This Row],[présence des personnes déplacés interne]]="Oui","1","0")</f>
        <v>0</v>
      </c>
      <c r="CG1263" s="1442" t="str">
        <f>IF([1]!sommaire[[#This Row],[présence Réfugié hors camp]]="Oui","1","0")</f>
        <v>0</v>
      </c>
      <c r="CH1263" s="1442" t="str">
        <f>IF([1]!sommaire[[#This Row],[présence personnes retournées]]="Oui","1","0")</f>
        <v>0</v>
      </c>
      <c r="CI1263" s="1442">
        <f>[1]!sommaire[[#This Row],[Flag PDI]]+[1]!sommaire[[#This Row],[Flag REF]]+[1]!sommaire[[#This Row],[Flag RET]]</f>
        <v>0</v>
      </c>
    </row>
    <row r="1264" spans="1:87" x14ac:dyDescent="0.3">
      <c r="A1264" s="390">
        <v>2678335</v>
      </c>
      <c r="B1264" s="5" t="s">
        <v>533</v>
      </c>
      <c r="C1264" s="1430" t="s">
        <v>3449</v>
      </c>
      <c r="D1264" s="5" t="s">
        <v>534</v>
      </c>
      <c r="E1264" s="5" t="s">
        <v>35</v>
      </c>
      <c r="F1264" s="5" t="s">
        <v>35</v>
      </c>
      <c r="G1264" s="5" t="s">
        <v>567</v>
      </c>
      <c r="H1264" s="5" t="s">
        <v>196</v>
      </c>
      <c r="I1264" s="5" t="str">
        <f>_xlfn.XLOOKUP(sommaire[[#This Row],[Arrondissement_code]],OCHA_GIS!$F:$F,OCHA_GIS!$E:$E,,)</f>
        <v>Soulèdé-Roua</v>
      </c>
      <c r="J1264" s="5" t="s">
        <v>568</v>
      </c>
      <c r="K1264" t="s">
        <v>2103</v>
      </c>
      <c r="L1264" s="5" t="s">
        <v>2104</v>
      </c>
      <c r="N1264" s="5" t="s">
        <v>3053</v>
      </c>
      <c r="O1264" s="5" t="s">
        <v>2467</v>
      </c>
      <c r="P1264" s="5" t="s">
        <v>85</v>
      </c>
      <c r="Q1264" s="5" t="s">
        <v>86</v>
      </c>
      <c r="R1264" s="5" t="s">
        <v>86</v>
      </c>
      <c r="T1264" s="390">
        <v>3</v>
      </c>
      <c r="U1264" s="5" t="s">
        <v>97</v>
      </c>
      <c r="W1264" s="5" t="s">
        <v>2468</v>
      </c>
      <c r="X1264" s="5" t="s">
        <v>102</v>
      </c>
      <c r="AA1264" s="5" t="s">
        <v>85</v>
      </c>
      <c r="AB1264" s="5" t="s">
        <v>2469</v>
      </c>
      <c r="AC1264" s="5" t="s">
        <v>312</v>
      </c>
      <c r="AD1264" s="5" t="s">
        <v>86</v>
      </c>
      <c r="AG1264" s="5">
        <v>3200</v>
      </c>
      <c r="AH1264" s="5" t="s">
        <v>86</v>
      </c>
      <c r="AY1264" s="5" t="s">
        <v>85</v>
      </c>
      <c r="AZ1264" s="5">
        <v>1</v>
      </c>
      <c r="BA1264" s="5">
        <v>3</v>
      </c>
      <c r="BB1264" s="5">
        <v>1</v>
      </c>
      <c r="BC1264" s="5">
        <v>2</v>
      </c>
      <c r="BD1264" s="5">
        <v>0</v>
      </c>
      <c r="BE1264" s="5">
        <v>0</v>
      </c>
      <c r="BF1264" s="5">
        <v>1</v>
      </c>
      <c r="BG1264" s="5" t="s">
        <v>2477</v>
      </c>
      <c r="BH1264" s="5">
        <v>0</v>
      </c>
      <c r="BI1264" s="5">
        <v>0</v>
      </c>
      <c r="BL1264" s="5">
        <v>0</v>
      </c>
      <c r="BM1264" s="5">
        <v>0</v>
      </c>
      <c r="BN1264" s="5" t="s">
        <v>86</v>
      </c>
      <c r="CD1264" s="5">
        <v>2</v>
      </c>
      <c r="CF1264" s="1442" t="str">
        <f>IF([1]!sommaire[[#This Row],[présence des personnes déplacés interne]]="Oui","1","0")</f>
        <v>0</v>
      </c>
      <c r="CG1264" s="1442" t="str">
        <f>IF([1]!sommaire[[#This Row],[présence Réfugié hors camp]]="Oui","1","0")</f>
        <v>1</v>
      </c>
      <c r="CH1264" s="1442" t="str">
        <f>IF([1]!sommaire[[#This Row],[présence personnes retournées]]="Oui","1","0")</f>
        <v>0</v>
      </c>
      <c r="CI1264" s="1442">
        <f>[1]!sommaire[[#This Row],[Flag PDI]]+[1]!sommaire[[#This Row],[Flag REF]]+[1]!sommaire[[#This Row],[Flag RET]]</f>
        <v>1</v>
      </c>
    </row>
  </sheetData>
  <phoneticPr fontId="51" type="noConversion"/>
  <conditionalFormatting sqref="A2:A1264">
    <cfRule type="duplicateValues" dxfId="4" priority="1423"/>
  </conditionalFormatting>
  <conditionalFormatting sqref="K2:K1264">
    <cfRule type="duplicateValues" dxfId="3" priority="1421"/>
    <cfRule type="duplicateValues" dxfId="2" priority="1422"/>
  </conditionalFormatting>
  <conditionalFormatting sqref="AA1:AA1048576">
    <cfRule type="containsText" dxfId="1" priority="1" operator="containsText" text="Non">
      <formula>NOT(ISERROR(SEARCH("Non",AA1)))</formula>
    </cfRule>
  </conditionalFormatting>
  <pageMargins left="0.78740157499999996" right="0.78740157499999996" top="0.984251969" bottom="0.984251969" header="0.4921259845" footer="0.4921259845"/>
  <pageSetup orientation="portrait" horizontalDpi="4294967295" verticalDpi="4294967295"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8E48-1F56-4824-B94E-3070B5AB5866}">
  <sheetPr>
    <tabColor theme="5" tint="-0.249977111117893"/>
  </sheetPr>
  <dimension ref="A1:F364"/>
  <sheetViews>
    <sheetView workbookViewId="0">
      <selection activeCell="N37" sqref="N37"/>
    </sheetView>
  </sheetViews>
  <sheetFormatPr defaultRowHeight="14.4" x14ac:dyDescent="0.3"/>
  <cols>
    <col min="1" max="1" width="14" customWidth="1"/>
    <col min="2" max="2" width="13.5546875" customWidth="1"/>
    <col min="3" max="3" width="14" customWidth="1"/>
    <col min="4" max="4" width="13.5546875" customWidth="1"/>
    <col min="5" max="5" width="14" customWidth="1"/>
    <col min="6" max="6" width="13.5546875" customWidth="1"/>
  </cols>
  <sheetData>
    <row r="1" spans="1:6" x14ac:dyDescent="0.3">
      <c r="A1" t="s">
        <v>3423</v>
      </c>
      <c r="B1" t="s">
        <v>3424</v>
      </c>
      <c r="C1" t="s">
        <v>3425</v>
      </c>
      <c r="D1" t="s">
        <v>3426</v>
      </c>
      <c r="E1" t="s">
        <v>3427</v>
      </c>
      <c r="F1" t="s">
        <v>3428</v>
      </c>
    </row>
    <row r="2" spans="1:6" x14ac:dyDescent="0.3">
      <c r="A2" t="s">
        <v>3429</v>
      </c>
      <c r="B2" t="s">
        <v>3430</v>
      </c>
      <c r="C2" t="s">
        <v>3431</v>
      </c>
      <c r="D2" t="s">
        <v>3432</v>
      </c>
      <c r="E2" t="s">
        <v>3433</v>
      </c>
      <c r="F2" t="s">
        <v>3434</v>
      </c>
    </row>
    <row r="3" spans="1:6" x14ac:dyDescent="0.3">
      <c r="A3" t="s">
        <v>3429</v>
      </c>
      <c r="B3" t="s">
        <v>3430</v>
      </c>
      <c r="C3" t="s">
        <v>3431</v>
      </c>
      <c r="D3" t="s">
        <v>3432</v>
      </c>
      <c r="E3" t="s">
        <v>3435</v>
      </c>
      <c r="F3" t="s">
        <v>3436</v>
      </c>
    </row>
    <row r="4" spans="1:6" x14ac:dyDescent="0.3">
      <c r="A4" t="s">
        <v>3429</v>
      </c>
      <c r="B4" t="s">
        <v>3430</v>
      </c>
      <c r="C4" t="s">
        <v>3431</v>
      </c>
      <c r="D4" t="s">
        <v>3432</v>
      </c>
      <c r="E4" t="s">
        <v>3437</v>
      </c>
      <c r="F4" t="s">
        <v>3438</v>
      </c>
    </row>
    <row r="5" spans="1:6" x14ac:dyDescent="0.3">
      <c r="A5" t="s">
        <v>3429</v>
      </c>
      <c r="B5" t="s">
        <v>3430</v>
      </c>
      <c r="C5" t="s">
        <v>3431</v>
      </c>
      <c r="D5" t="s">
        <v>3432</v>
      </c>
      <c r="E5" t="s">
        <v>3439</v>
      </c>
      <c r="F5" t="s">
        <v>3440</v>
      </c>
    </row>
    <row r="6" spans="1:6" x14ac:dyDescent="0.3">
      <c r="A6" t="s">
        <v>3429</v>
      </c>
      <c r="B6" t="s">
        <v>3430</v>
      </c>
      <c r="C6" t="s">
        <v>3431</v>
      </c>
      <c r="D6" t="s">
        <v>3432</v>
      </c>
      <c r="E6" t="s">
        <v>3441</v>
      </c>
      <c r="F6" t="s">
        <v>3442</v>
      </c>
    </row>
    <row r="7" spans="1:6" x14ac:dyDescent="0.3">
      <c r="A7" t="s">
        <v>3429</v>
      </c>
      <c r="B7" t="s">
        <v>3430</v>
      </c>
      <c r="C7" t="s">
        <v>3431</v>
      </c>
      <c r="D7" t="s">
        <v>3432</v>
      </c>
      <c r="E7" t="s">
        <v>3443</v>
      </c>
      <c r="F7" t="s">
        <v>3444</v>
      </c>
    </row>
    <row r="8" spans="1:6" x14ac:dyDescent="0.3">
      <c r="A8" t="s">
        <v>3429</v>
      </c>
      <c r="B8" t="s">
        <v>3430</v>
      </c>
      <c r="C8" t="s">
        <v>3431</v>
      </c>
      <c r="D8" t="s">
        <v>3432</v>
      </c>
      <c r="E8" t="s">
        <v>3445</v>
      </c>
      <c r="F8" t="s">
        <v>3446</v>
      </c>
    </row>
    <row r="9" spans="1:6" x14ac:dyDescent="0.3">
      <c r="A9" t="s">
        <v>3429</v>
      </c>
      <c r="B9" t="s">
        <v>3430</v>
      </c>
      <c r="C9" t="s">
        <v>3431</v>
      </c>
      <c r="D9" t="s">
        <v>3432</v>
      </c>
      <c r="E9" t="s">
        <v>3447</v>
      </c>
      <c r="F9" t="s">
        <v>3448</v>
      </c>
    </row>
    <row r="10" spans="1:6" x14ac:dyDescent="0.3">
      <c r="A10" t="s">
        <v>3449</v>
      </c>
      <c r="B10" t="s">
        <v>534</v>
      </c>
      <c r="C10" t="s">
        <v>33</v>
      </c>
      <c r="D10" t="s">
        <v>561</v>
      </c>
      <c r="E10" t="s">
        <v>183</v>
      </c>
      <c r="F10" t="s">
        <v>562</v>
      </c>
    </row>
    <row r="11" spans="1:6" x14ac:dyDescent="0.3">
      <c r="A11" t="s">
        <v>3450</v>
      </c>
      <c r="B11" t="s">
        <v>3451</v>
      </c>
      <c r="C11" t="s">
        <v>3452</v>
      </c>
      <c r="D11" t="s">
        <v>3453</v>
      </c>
      <c r="E11" t="s">
        <v>3454</v>
      </c>
      <c r="F11" t="s">
        <v>3455</v>
      </c>
    </row>
    <row r="12" spans="1:6" x14ac:dyDescent="0.3">
      <c r="A12" t="s">
        <v>3449</v>
      </c>
      <c r="B12" t="s">
        <v>534</v>
      </c>
      <c r="C12" t="s">
        <v>33</v>
      </c>
      <c r="D12" t="s">
        <v>561</v>
      </c>
      <c r="E12" t="s">
        <v>184</v>
      </c>
      <c r="F12" t="s">
        <v>2225</v>
      </c>
    </row>
    <row r="13" spans="1:6" x14ac:dyDescent="0.3">
      <c r="A13" t="s">
        <v>3449</v>
      </c>
      <c r="B13" t="s">
        <v>534</v>
      </c>
      <c r="C13" t="s">
        <v>31</v>
      </c>
      <c r="D13" t="s">
        <v>549</v>
      </c>
      <c r="E13" t="s">
        <v>172</v>
      </c>
      <c r="F13" t="s">
        <v>706</v>
      </c>
    </row>
    <row r="14" spans="1:6" x14ac:dyDescent="0.3">
      <c r="A14" t="s">
        <v>3450</v>
      </c>
      <c r="B14" t="s">
        <v>3451</v>
      </c>
      <c r="C14" t="s">
        <v>3452</v>
      </c>
      <c r="D14" t="s">
        <v>3453</v>
      </c>
      <c r="E14" t="s">
        <v>3456</v>
      </c>
      <c r="F14" t="s">
        <v>3457</v>
      </c>
    </row>
    <row r="15" spans="1:6" x14ac:dyDescent="0.3">
      <c r="A15" t="s">
        <v>3449</v>
      </c>
      <c r="B15" t="s">
        <v>534</v>
      </c>
      <c r="C15" t="s">
        <v>31</v>
      </c>
      <c r="D15" t="s">
        <v>549</v>
      </c>
      <c r="E15" t="s">
        <v>167</v>
      </c>
      <c r="F15" t="s">
        <v>1113</v>
      </c>
    </row>
    <row r="16" spans="1:6" x14ac:dyDescent="0.3">
      <c r="A16" t="s">
        <v>3449</v>
      </c>
      <c r="B16" t="s">
        <v>534</v>
      </c>
      <c r="C16" t="s">
        <v>31</v>
      </c>
      <c r="D16" t="s">
        <v>549</v>
      </c>
      <c r="E16" t="s">
        <v>164</v>
      </c>
      <c r="F16" t="s">
        <v>748</v>
      </c>
    </row>
    <row r="17" spans="1:6" x14ac:dyDescent="0.3">
      <c r="A17" t="s">
        <v>3458</v>
      </c>
      <c r="B17" t="s">
        <v>3459</v>
      </c>
      <c r="C17" t="s">
        <v>3460</v>
      </c>
      <c r="D17" t="s">
        <v>3461</v>
      </c>
      <c r="E17" t="s">
        <v>3462</v>
      </c>
      <c r="F17" t="s">
        <v>3463</v>
      </c>
    </row>
    <row r="18" spans="1:6" x14ac:dyDescent="0.3">
      <c r="A18" t="s">
        <v>3464</v>
      </c>
      <c r="B18" t="s">
        <v>3465</v>
      </c>
      <c r="C18" t="s">
        <v>3466</v>
      </c>
      <c r="D18" t="s">
        <v>3467</v>
      </c>
      <c r="E18" t="s">
        <v>3468</v>
      </c>
      <c r="F18" t="s">
        <v>3469</v>
      </c>
    </row>
    <row r="19" spans="1:6" x14ac:dyDescent="0.3">
      <c r="A19" t="s">
        <v>3464</v>
      </c>
      <c r="B19" t="s">
        <v>3465</v>
      </c>
      <c r="C19" t="s">
        <v>3466</v>
      </c>
      <c r="D19" t="s">
        <v>3467</v>
      </c>
      <c r="E19" t="s">
        <v>3470</v>
      </c>
      <c r="F19" t="s">
        <v>3471</v>
      </c>
    </row>
    <row r="20" spans="1:6" x14ac:dyDescent="0.3">
      <c r="A20" t="s">
        <v>3472</v>
      </c>
      <c r="B20" t="s">
        <v>3473</v>
      </c>
      <c r="C20" t="s">
        <v>3474</v>
      </c>
      <c r="D20" t="s">
        <v>3475</v>
      </c>
      <c r="E20" t="s">
        <v>3476</v>
      </c>
      <c r="F20" t="s">
        <v>3477</v>
      </c>
    </row>
    <row r="21" spans="1:6" x14ac:dyDescent="0.3">
      <c r="A21" t="s">
        <v>3472</v>
      </c>
      <c r="B21" t="s">
        <v>3473</v>
      </c>
      <c r="C21" t="s">
        <v>3474</v>
      </c>
      <c r="D21" t="s">
        <v>3475</v>
      </c>
      <c r="E21" t="s">
        <v>3478</v>
      </c>
      <c r="F21" t="s">
        <v>3479</v>
      </c>
    </row>
    <row r="22" spans="1:6" x14ac:dyDescent="0.3">
      <c r="A22" t="s">
        <v>3458</v>
      </c>
      <c r="B22" t="s">
        <v>3459</v>
      </c>
      <c r="C22" t="s">
        <v>3460</v>
      </c>
      <c r="D22" t="s">
        <v>3461</v>
      </c>
      <c r="E22" t="s">
        <v>3480</v>
      </c>
      <c r="F22" t="s">
        <v>3481</v>
      </c>
    </row>
    <row r="23" spans="1:6" x14ac:dyDescent="0.3">
      <c r="A23" t="s">
        <v>3458</v>
      </c>
      <c r="B23" t="s">
        <v>3459</v>
      </c>
      <c r="C23" t="s">
        <v>3460</v>
      </c>
      <c r="D23" t="s">
        <v>3461</v>
      </c>
      <c r="E23" t="s">
        <v>3482</v>
      </c>
      <c r="F23" t="s">
        <v>3483</v>
      </c>
    </row>
    <row r="24" spans="1:6" x14ac:dyDescent="0.3">
      <c r="A24" t="s">
        <v>3458</v>
      </c>
      <c r="B24" t="s">
        <v>3459</v>
      </c>
      <c r="C24" t="s">
        <v>3460</v>
      </c>
      <c r="D24" t="s">
        <v>3461</v>
      </c>
      <c r="E24" t="s">
        <v>3484</v>
      </c>
      <c r="F24" t="s">
        <v>3485</v>
      </c>
    </row>
    <row r="25" spans="1:6" x14ac:dyDescent="0.3">
      <c r="A25" t="s">
        <v>3449</v>
      </c>
      <c r="B25" t="s">
        <v>534</v>
      </c>
      <c r="C25" t="s">
        <v>32</v>
      </c>
      <c r="D25" t="s">
        <v>542</v>
      </c>
      <c r="E25" t="s">
        <v>176</v>
      </c>
      <c r="F25" t="s">
        <v>772</v>
      </c>
    </row>
    <row r="26" spans="1:6" x14ac:dyDescent="0.3">
      <c r="A26" t="s">
        <v>3449</v>
      </c>
      <c r="B26" t="s">
        <v>534</v>
      </c>
      <c r="C26" t="s">
        <v>32</v>
      </c>
      <c r="D26" t="s">
        <v>542</v>
      </c>
      <c r="E26" t="s">
        <v>178</v>
      </c>
      <c r="F26" t="s">
        <v>543</v>
      </c>
    </row>
    <row r="27" spans="1:6" x14ac:dyDescent="0.3">
      <c r="A27" t="s">
        <v>3449</v>
      </c>
      <c r="B27" t="s">
        <v>534</v>
      </c>
      <c r="C27" t="s">
        <v>32</v>
      </c>
      <c r="D27" t="s">
        <v>542</v>
      </c>
      <c r="E27" t="s">
        <v>3486</v>
      </c>
      <c r="F27" t="s">
        <v>3487</v>
      </c>
    </row>
    <row r="28" spans="1:6" x14ac:dyDescent="0.3">
      <c r="A28" t="s">
        <v>3449</v>
      </c>
      <c r="B28" t="s">
        <v>534</v>
      </c>
      <c r="C28" t="s">
        <v>32</v>
      </c>
      <c r="D28" t="s">
        <v>542</v>
      </c>
      <c r="E28" t="s">
        <v>3488</v>
      </c>
      <c r="F28" t="s">
        <v>3489</v>
      </c>
    </row>
    <row r="29" spans="1:6" x14ac:dyDescent="0.3">
      <c r="A29" t="s">
        <v>3472</v>
      </c>
      <c r="B29" t="s">
        <v>3473</v>
      </c>
      <c r="C29" t="s">
        <v>3474</v>
      </c>
      <c r="D29" t="s">
        <v>3475</v>
      </c>
      <c r="E29" t="s">
        <v>3490</v>
      </c>
      <c r="F29" t="s">
        <v>3491</v>
      </c>
    </row>
    <row r="30" spans="1:6" x14ac:dyDescent="0.3">
      <c r="A30" t="s">
        <v>3472</v>
      </c>
      <c r="B30" t="s">
        <v>3473</v>
      </c>
      <c r="C30" t="s">
        <v>3474</v>
      </c>
      <c r="D30" t="s">
        <v>3475</v>
      </c>
      <c r="E30" t="s">
        <v>3492</v>
      </c>
      <c r="F30" t="s">
        <v>3493</v>
      </c>
    </row>
    <row r="31" spans="1:6" x14ac:dyDescent="0.3">
      <c r="A31" t="s">
        <v>3429</v>
      </c>
      <c r="B31" t="s">
        <v>3430</v>
      </c>
      <c r="C31" t="s">
        <v>3494</v>
      </c>
      <c r="D31" t="s">
        <v>3495</v>
      </c>
      <c r="E31" t="s">
        <v>3496</v>
      </c>
      <c r="F31" t="s">
        <v>3497</v>
      </c>
    </row>
    <row r="32" spans="1:6" x14ac:dyDescent="0.3">
      <c r="A32" t="s">
        <v>3449</v>
      </c>
      <c r="B32" t="s">
        <v>534</v>
      </c>
      <c r="C32" t="s">
        <v>32</v>
      </c>
      <c r="D32" t="s">
        <v>542</v>
      </c>
      <c r="E32" t="s">
        <v>3498</v>
      </c>
      <c r="F32" t="s">
        <v>3499</v>
      </c>
    </row>
    <row r="33" spans="1:6" x14ac:dyDescent="0.3">
      <c r="A33" t="s">
        <v>3449</v>
      </c>
      <c r="B33" t="s">
        <v>534</v>
      </c>
      <c r="C33" t="s">
        <v>32</v>
      </c>
      <c r="D33" t="s">
        <v>542</v>
      </c>
      <c r="E33" t="s">
        <v>177</v>
      </c>
      <c r="F33" t="s">
        <v>777</v>
      </c>
    </row>
    <row r="34" spans="1:6" x14ac:dyDescent="0.3">
      <c r="A34" t="s">
        <v>3429</v>
      </c>
      <c r="B34" t="s">
        <v>3430</v>
      </c>
      <c r="C34" t="s">
        <v>3494</v>
      </c>
      <c r="D34" t="s">
        <v>3495</v>
      </c>
      <c r="E34" t="s">
        <v>3500</v>
      </c>
      <c r="F34" t="s">
        <v>3501</v>
      </c>
    </row>
    <row r="35" spans="1:6" x14ac:dyDescent="0.3">
      <c r="A35" t="s">
        <v>3429</v>
      </c>
      <c r="B35" t="s">
        <v>3430</v>
      </c>
      <c r="C35" t="s">
        <v>3494</v>
      </c>
      <c r="D35" t="s">
        <v>3495</v>
      </c>
      <c r="E35" t="s">
        <v>3502</v>
      </c>
      <c r="F35" t="s">
        <v>3503</v>
      </c>
    </row>
    <row r="36" spans="1:6" x14ac:dyDescent="0.3">
      <c r="A36" t="s">
        <v>3449</v>
      </c>
      <c r="B36" t="s">
        <v>534</v>
      </c>
      <c r="C36" t="s">
        <v>32</v>
      </c>
      <c r="D36" t="s">
        <v>542</v>
      </c>
      <c r="E36" t="s">
        <v>174</v>
      </c>
      <c r="F36" t="s">
        <v>1658</v>
      </c>
    </row>
    <row r="37" spans="1:6" x14ac:dyDescent="0.3">
      <c r="A37" t="s">
        <v>3449</v>
      </c>
      <c r="B37" t="s">
        <v>534</v>
      </c>
      <c r="C37" t="s">
        <v>32</v>
      </c>
      <c r="D37" t="s">
        <v>542</v>
      </c>
      <c r="E37" t="s">
        <v>180</v>
      </c>
      <c r="F37" t="s">
        <v>1653</v>
      </c>
    </row>
    <row r="38" spans="1:6" x14ac:dyDescent="0.3">
      <c r="A38" t="s">
        <v>3429</v>
      </c>
      <c r="B38" t="s">
        <v>3430</v>
      </c>
      <c r="C38" t="s">
        <v>3494</v>
      </c>
      <c r="D38" t="s">
        <v>3495</v>
      </c>
      <c r="E38" t="s">
        <v>3504</v>
      </c>
      <c r="F38" t="s">
        <v>3505</v>
      </c>
    </row>
    <row r="39" spans="1:6" x14ac:dyDescent="0.3">
      <c r="A39" t="s">
        <v>3326</v>
      </c>
      <c r="B39" t="s">
        <v>3405</v>
      </c>
      <c r="C39" t="s">
        <v>3506</v>
      </c>
      <c r="D39" t="s">
        <v>3507</v>
      </c>
      <c r="E39" t="s">
        <v>3508</v>
      </c>
      <c r="F39" t="s">
        <v>3509</v>
      </c>
    </row>
    <row r="40" spans="1:6" x14ac:dyDescent="0.3">
      <c r="A40" t="s">
        <v>3450</v>
      </c>
      <c r="B40" t="s">
        <v>3451</v>
      </c>
      <c r="C40" t="s">
        <v>3510</v>
      </c>
      <c r="D40" t="s">
        <v>3511</v>
      </c>
      <c r="E40" t="s">
        <v>3512</v>
      </c>
      <c r="F40" t="s">
        <v>3513</v>
      </c>
    </row>
    <row r="41" spans="1:6" x14ac:dyDescent="0.3">
      <c r="A41" t="s">
        <v>3429</v>
      </c>
      <c r="B41" t="s">
        <v>3430</v>
      </c>
      <c r="C41" t="s">
        <v>3494</v>
      </c>
      <c r="D41" t="s">
        <v>3495</v>
      </c>
      <c r="E41" t="s">
        <v>3514</v>
      </c>
      <c r="F41" t="s">
        <v>3515</v>
      </c>
    </row>
    <row r="42" spans="1:6" x14ac:dyDescent="0.3">
      <c r="A42" t="s">
        <v>3458</v>
      </c>
      <c r="B42" t="s">
        <v>3459</v>
      </c>
      <c r="C42" t="s">
        <v>3516</v>
      </c>
      <c r="D42" t="s">
        <v>3517</v>
      </c>
      <c r="E42" t="s">
        <v>3518</v>
      </c>
      <c r="F42" t="s">
        <v>3519</v>
      </c>
    </row>
    <row r="43" spans="1:6" x14ac:dyDescent="0.3">
      <c r="A43" t="s">
        <v>3458</v>
      </c>
      <c r="B43" t="s">
        <v>3459</v>
      </c>
      <c r="C43" t="s">
        <v>3516</v>
      </c>
      <c r="D43" t="s">
        <v>3517</v>
      </c>
      <c r="E43" t="s">
        <v>3520</v>
      </c>
      <c r="F43" t="s">
        <v>3521</v>
      </c>
    </row>
    <row r="44" spans="1:6" x14ac:dyDescent="0.3">
      <c r="A44" t="s">
        <v>3449</v>
      </c>
      <c r="B44" t="s">
        <v>534</v>
      </c>
      <c r="C44" t="s">
        <v>34</v>
      </c>
      <c r="D44" t="s">
        <v>539</v>
      </c>
      <c r="E44" t="s">
        <v>187</v>
      </c>
      <c r="F44" t="s">
        <v>951</v>
      </c>
    </row>
    <row r="45" spans="1:6" x14ac:dyDescent="0.3">
      <c r="A45" t="s">
        <v>3449</v>
      </c>
      <c r="B45" t="s">
        <v>534</v>
      </c>
      <c r="C45" t="s">
        <v>34</v>
      </c>
      <c r="D45" t="s">
        <v>539</v>
      </c>
      <c r="E45" t="s">
        <v>188</v>
      </c>
      <c r="F45" t="s">
        <v>546</v>
      </c>
    </row>
    <row r="46" spans="1:6" x14ac:dyDescent="0.3">
      <c r="A46" t="s">
        <v>3449</v>
      </c>
      <c r="B46" t="s">
        <v>534</v>
      </c>
      <c r="C46" t="s">
        <v>34</v>
      </c>
      <c r="D46" t="s">
        <v>539</v>
      </c>
      <c r="E46" t="s">
        <v>189</v>
      </c>
      <c r="F46" t="s">
        <v>590</v>
      </c>
    </row>
    <row r="47" spans="1:6" x14ac:dyDescent="0.3">
      <c r="A47" t="s">
        <v>3449</v>
      </c>
      <c r="B47" t="s">
        <v>534</v>
      </c>
      <c r="C47" t="s">
        <v>3522</v>
      </c>
      <c r="D47" t="s">
        <v>535</v>
      </c>
      <c r="E47" t="s">
        <v>3523</v>
      </c>
      <c r="F47" t="s">
        <v>587</v>
      </c>
    </row>
    <row r="48" spans="1:6" x14ac:dyDescent="0.3">
      <c r="A48" t="s">
        <v>3429</v>
      </c>
      <c r="B48" t="s">
        <v>3430</v>
      </c>
      <c r="C48" t="s">
        <v>3494</v>
      </c>
      <c r="D48" t="s">
        <v>3495</v>
      </c>
      <c r="E48" t="s">
        <v>3524</v>
      </c>
      <c r="F48" t="s">
        <v>3525</v>
      </c>
    </row>
    <row r="49" spans="1:6" x14ac:dyDescent="0.3">
      <c r="A49" t="s">
        <v>3450</v>
      </c>
      <c r="B49" t="s">
        <v>3451</v>
      </c>
      <c r="C49" t="s">
        <v>3510</v>
      </c>
      <c r="D49" t="s">
        <v>3511</v>
      </c>
      <c r="E49" t="s">
        <v>3526</v>
      </c>
      <c r="F49" t="s">
        <v>3527</v>
      </c>
    </row>
    <row r="50" spans="1:6" x14ac:dyDescent="0.3">
      <c r="A50" t="s">
        <v>3449</v>
      </c>
      <c r="B50" t="s">
        <v>534</v>
      </c>
      <c r="C50" t="s">
        <v>3522</v>
      </c>
      <c r="D50" t="s">
        <v>535</v>
      </c>
      <c r="E50" t="s">
        <v>3528</v>
      </c>
      <c r="F50" t="s">
        <v>555</v>
      </c>
    </row>
    <row r="51" spans="1:6" x14ac:dyDescent="0.3">
      <c r="A51" t="s">
        <v>3449</v>
      </c>
      <c r="B51" t="s">
        <v>534</v>
      </c>
      <c r="C51" t="s">
        <v>3522</v>
      </c>
      <c r="D51" t="s">
        <v>535</v>
      </c>
      <c r="E51" t="s">
        <v>3529</v>
      </c>
      <c r="F51" t="s">
        <v>536</v>
      </c>
    </row>
    <row r="52" spans="1:6" x14ac:dyDescent="0.3">
      <c r="A52" t="s">
        <v>3429</v>
      </c>
      <c r="B52" t="s">
        <v>3430</v>
      </c>
      <c r="C52" t="s">
        <v>3494</v>
      </c>
      <c r="D52" t="s">
        <v>3495</v>
      </c>
      <c r="E52" t="s">
        <v>3530</v>
      </c>
      <c r="F52" t="s">
        <v>3531</v>
      </c>
    </row>
    <row r="53" spans="1:6" x14ac:dyDescent="0.3">
      <c r="A53" t="s">
        <v>3450</v>
      </c>
      <c r="B53" t="s">
        <v>3451</v>
      </c>
      <c r="C53" t="s">
        <v>3510</v>
      </c>
      <c r="D53" t="s">
        <v>3511</v>
      </c>
      <c r="E53" t="s">
        <v>3532</v>
      </c>
      <c r="F53" t="s">
        <v>3533</v>
      </c>
    </row>
    <row r="54" spans="1:6" x14ac:dyDescent="0.3">
      <c r="A54" t="s">
        <v>3450</v>
      </c>
      <c r="B54" t="s">
        <v>3451</v>
      </c>
      <c r="C54" t="s">
        <v>3510</v>
      </c>
      <c r="D54" t="s">
        <v>3511</v>
      </c>
      <c r="E54" t="s">
        <v>3534</v>
      </c>
      <c r="F54" t="s">
        <v>3535</v>
      </c>
    </row>
    <row r="55" spans="1:6" x14ac:dyDescent="0.3">
      <c r="A55" t="s">
        <v>3429</v>
      </c>
      <c r="B55" t="s">
        <v>3430</v>
      </c>
      <c r="C55" t="s">
        <v>3494</v>
      </c>
      <c r="D55" t="s">
        <v>3495</v>
      </c>
      <c r="E55" t="s">
        <v>3536</v>
      </c>
      <c r="F55" t="s">
        <v>3537</v>
      </c>
    </row>
    <row r="56" spans="1:6" x14ac:dyDescent="0.3">
      <c r="A56" t="s">
        <v>3449</v>
      </c>
      <c r="B56" t="s">
        <v>534</v>
      </c>
      <c r="C56" t="s">
        <v>3522</v>
      </c>
      <c r="D56" t="s">
        <v>535</v>
      </c>
      <c r="E56" t="s">
        <v>157</v>
      </c>
      <c r="F56" t="s">
        <v>2236</v>
      </c>
    </row>
    <row r="57" spans="1:6" x14ac:dyDescent="0.3">
      <c r="A57" t="s">
        <v>3449</v>
      </c>
      <c r="B57" t="s">
        <v>534</v>
      </c>
      <c r="C57" t="s">
        <v>3522</v>
      </c>
      <c r="D57" t="s">
        <v>535</v>
      </c>
      <c r="E57" t="s">
        <v>156</v>
      </c>
      <c r="F57" t="s">
        <v>697</v>
      </c>
    </row>
    <row r="58" spans="1:6" x14ac:dyDescent="0.3">
      <c r="A58" t="s">
        <v>3429</v>
      </c>
      <c r="B58" t="s">
        <v>3430</v>
      </c>
      <c r="C58" t="s">
        <v>3494</v>
      </c>
      <c r="D58" t="s">
        <v>3495</v>
      </c>
      <c r="E58" t="s">
        <v>3538</v>
      </c>
      <c r="F58" t="s">
        <v>3539</v>
      </c>
    </row>
    <row r="59" spans="1:6" x14ac:dyDescent="0.3">
      <c r="A59" t="s">
        <v>3450</v>
      </c>
      <c r="B59" t="s">
        <v>3451</v>
      </c>
      <c r="C59" t="s">
        <v>3510</v>
      </c>
      <c r="D59" t="s">
        <v>3511</v>
      </c>
      <c r="E59" t="s">
        <v>3540</v>
      </c>
      <c r="F59" t="s">
        <v>3541</v>
      </c>
    </row>
    <row r="60" spans="1:6" x14ac:dyDescent="0.3">
      <c r="A60" t="s">
        <v>3464</v>
      </c>
      <c r="B60" t="s">
        <v>3465</v>
      </c>
      <c r="C60" t="s">
        <v>3542</v>
      </c>
      <c r="D60" t="s">
        <v>3543</v>
      </c>
      <c r="E60" t="s">
        <v>3544</v>
      </c>
      <c r="F60" t="s">
        <v>3545</v>
      </c>
    </row>
    <row r="61" spans="1:6" x14ac:dyDescent="0.3">
      <c r="A61" t="s">
        <v>3449</v>
      </c>
      <c r="B61" t="s">
        <v>534</v>
      </c>
      <c r="C61" t="s">
        <v>3522</v>
      </c>
      <c r="D61" t="s">
        <v>535</v>
      </c>
      <c r="E61" t="s">
        <v>3546</v>
      </c>
      <c r="F61" t="s">
        <v>3547</v>
      </c>
    </row>
    <row r="62" spans="1:6" x14ac:dyDescent="0.3">
      <c r="A62" t="s">
        <v>3464</v>
      </c>
      <c r="B62" t="s">
        <v>3465</v>
      </c>
      <c r="C62" t="s">
        <v>3542</v>
      </c>
      <c r="D62" t="s">
        <v>3543</v>
      </c>
      <c r="E62" t="s">
        <v>3548</v>
      </c>
      <c r="F62" t="s">
        <v>3549</v>
      </c>
    </row>
    <row r="63" spans="1:6" x14ac:dyDescent="0.3">
      <c r="A63" t="s">
        <v>3464</v>
      </c>
      <c r="B63" t="s">
        <v>3465</v>
      </c>
      <c r="C63" t="s">
        <v>3542</v>
      </c>
      <c r="D63" t="s">
        <v>3543</v>
      </c>
      <c r="E63" t="s">
        <v>3550</v>
      </c>
      <c r="F63" t="s">
        <v>3551</v>
      </c>
    </row>
    <row r="64" spans="1:6" x14ac:dyDescent="0.3">
      <c r="A64" t="s">
        <v>3450</v>
      </c>
      <c r="B64" t="s">
        <v>3451</v>
      </c>
      <c r="C64" t="s">
        <v>3510</v>
      </c>
      <c r="D64" t="s">
        <v>3511</v>
      </c>
      <c r="E64" t="s">
        <v>3552</v>
      </c>
      <c r="F64" t="s">
        <v>3553</v>
      </c>
    </row>
    <row r="65" spans="1:6" x14ac:dyDescent="0.3">
      <c r="A65" t="s">
        <v>3450</v>
      </c>
      <c r="B65" t="s">
        <v>3451</v>
      </c>
      <c r="C65" t="s">
        <v>3510</v>
      </c>
      <c r="D65" t="s">
        <v>3511</v>
      </c>
      <c r="E65" t="s">
        <v>3554</v>
      </c>
      <c r="F65" t="s">
        <v>3555</v>
      </c>
    </row>
    <row r="66" spans="1:6" x14ac:dyDescent="0.3">
      <c r="A66" t="s">
        <v>3464</v>
      </c>
      <c r="B66" t="s">
        <v>3465</v>
      </c>
      <c r="C66" t="s">
        <v>3542</v>
      </c>
      <c r="D66" t="s">
        <v>3543</v>
      </c>
      <c r="E66" t="s">
        <v>3556</v>
      </c>
      <c r="F66" t="s">
        <v>3557</v>
      </c>
    </row>
    <row r="67" spans="1:6" x14ac:dyDescent="0.3">
      <c r="A67" t="s">
        <v>3558</v>
      </c>
      <c r="B67" t="s">
        <v>3559</v>
      </c>
      <c r="C67" t="s">
        <v>3560</v>
      </c>
      <c r="D67" t="s">
        <v>3561</v>
      </c>
      <c r="E67" t="s">
        <v>3562</v>
      </c>
      <c r="F67" t="s">
        <v>3563</v>
      </c>
    </row>
    <row r="68" spans="1:6" x14ac:dyDescent="0.3">
      <c r="A68" t="s">
        <v>3450</v>
      </c>
      <c r="B68" t="s">
        <v>3451</v>
      </c>
      <c r="C68" t="s">
        <v>3510</v>
      </c>
      <c r="D68" t="s">
        <v>3511</v>
      </c>
      <c r="E68" t="s">
        <v>3564</v>
      </c>
      <c r="F68" t="s">
        <v>3565</v>
      </c>
    </row>
    <row r="69" spans="1:6" x14ac:dyDescent="0.3">
      <c r="A69" t="s">
        <v>3449</v>
      </c>
      <c r="B69" t="s">
        <v>534</v>
      </c>
      <c r="C69" t="s">
        <v>3522</v>
      </c>
      <c r="D69" t="s">
        <v>535</v>
      </c>
      <c r="E69" t="s">
        <v>3566</v>
      </c>
      <c r="F69" t="s">
        <v>713</v>
      </c>
    </row>
    <row r="70" spans="1:6" x14ac:dyDescent="0.3">
      <c r="A70" t="s">
        <v>3558</v>
      </c>
      <c r="B70" t="s">
        <v>3559</v>
      </c>
      <c r="C70" t="s">
        <v>3560</v>
      </c>
      <c r="D70" t="s">
        <v>3561</v>
      </c>
      <c r="E70" t="s">
        <v>3567</v>
      </c>
      <c r="F70" t="s">
        <v>3568</v>
      </c>
    </row>
    <row r="71" spans="1:6" x14ac:dyDescent="0.3">
      <c r="A71" t="s">
        <v>3558</v>
      </c>
      <c r="B71" t="s">
        <v>3559</v>
      </c>
      <c r="C71" t="s">
        <v>3560</v>
      </c>
      <c r="D71" t="s">
        <v>3561</v>
      </c>
      <c r="E71" t="s">
        <v>3569</v>
      </c>
      <c r="F71" t="s">
        <v>3570</v>
      </c>
    </row>
    <row r="72" spans="1:6" x14ac:dyDescent="0.3">
      <c r="A72" t="s">
        <v>3449</v>
      </c>
      <c r="B72" t="s">
        <v>534</v>
      </c>
      <c r="C72" t="s">
        <v>3522</v>
      </c>
      <c r="D72" t="s">
        <v>535</v>
      </c>
      <c r="E72" t="s">
        <v>158</v>
      </c>
      <c r="F72" t="s">
        <v>571</v>
      </c>
    </row>
    <row r="73" spans="1:6" x14ac:dyDescent="0.3">
      <c r="A73" t="s">
        <v>3450</v>
      </c>
      <c r="B73" t="s">
        <v>3451</v>
      </c>
      <c r="C73" t="s">
        <v>3510</v>
      </c>
      <c r="D73" t="s">
        <v>3511</v>
      </c>
      <c r="E73" t="s">
        <v>3571</v>
      </c>
      <c r="F73" t="s">
        <v>3572</v>
      </c>
    </row>
    <row r="74" spans="1:6" x14ac:dyDescent="0.3">
      <c r="A74" t="s">
        <v>3464</v>
      </c>
      <c r="B74" t="s">
        <v>3465</v>
      </c>
      <c r="C74" t="s">
        <v>3573</v>
      </c>
      <c r="D74" t="s">
        <v>3574</v>
      </c>
      <c r="E74" t="s">
        <v>3575</v>
      </c>
      <c r="F74" t="s">
        <v>3576</v>
      </c>
    </row>
    <row r="75" spans="1:6" x14ac:dyDescent="0.3">
      <c r="A75" t="s">
        <v>3449</v>
      </c>
      <c r="B75" t="s">
        <v>534</v>
      </c>
      <c r="C75" t="s">
        <v>3522</v>
      </c>
      <c r="D75" t="s">
        <v>535</v>
      </c>
      <c r="E75" t="s">
        <v>159</v>
      </c>
      <c r="F75" t="s">
        <v>574</v>
      </c>
    </row>
    <row r="76" spans="1:6" x14ac:dyDescent="0.3">
      <c r="A76" t="s">
        <v>3450</v>
      </c>
      <c r="B76" t="s">
        <v>3451</v>
      </c>
      <c r="C76" t="s">
        <v>3510</v>
      </c>
      <c r="D76" t="s">
        <v>3511</v>
      </c>
      <c r="E76" t="s">
        <v>3577</v>
      </c>
      <c r="F76" t="s">
        <v>3578</v>
      </c>
    </row>
    <row r="77" spans="1:6" x14ac:dyDescent="0.3">
      <c r="A77" t="s">
        <v>3464</v>
      </c>
      <c r="B77" t="s">
        <v>3465</v>
      </c>
      <c r="C77" t="s">
        <v>3573</v>
      </c>
      <c r="D77" t="s">
        <v>3574</v>
      </c>
      <c r="E77" t="s">
        <v>3579</v>
      </c>
      <c r="F77" t="s">
        <v>3580</v>
      </c>
    </row>
    <row r="78" spans="1:6" x14ac:dyDescent="0.3">
      <c r="A78" t="s">
        <v>3464</v>
      </c>
      <c r="B78" t="s">
        <v>3465</v>
      </c>
      <c r="C78" t="s">
        <v>3573</v>
      </c>
      <c r="D78" t="s">
        <v>3574</v>
      </c>
      <c r="E78" t="s">
        <v>3581</v>
      </c>
      <c r="F78" t="s">
        <v>3582</v>
      </c>
    </row>
    <row r="79" spans="1:6" x14ac:dyDescent="0.3">
      <c r="A79" t="s">
        <v>3450</v>
      </c>
      <c r="B79" t="s">
        <v>3451</v>
      </c>
      <c r="C79" t="s">
        <v>3510</v>
      </c>
      <c r="D79" t="s">
        <v>3511</v>
      </c>
      <c r="E79" t="s">
        <v>3583</v>
      </c>
      <c r="F79" t="s">
        <v>3584</v>
      </c>
    </row>
    <row r="80" spans="1:6" x14ac:dyDescent="0.3">
      <c r="A80" t="s">
        <v>3558</v>
      </c>
      <c r="B80" t="s">
        <v>3559</v>
      </c>
      <c r="C80" t="s">
        <v>3585</v>
      </c>
      <c r="D80" t="s">
        <v>3586</v>
      </c>
      <c r="E80" t="s">
        <v>3587</v>
      </c>
      <c r="F80" t="s">
        <v>3588</v>
      </c>
    </row>
    <row r="81" spans="1:6" x14ac:dyDescent="0.3">
      <c r="A81" t="s">
        <v>3558</v>
      </c>
      <c r="B81" t="s">
        <v>3559</v>
      </c>
      <c r="C81" t="s">
        <v>3585</v>
      </c>
      <c r="D81" t="s">
        <v>3586</v>
      </c>
      <c r="E81" t="s">
        <v>3589</v>
      </c>
      <c r="F81" t="s">
        <v>3590</v>
      </c>
    </row>
    <row r="82" spans="1:6" x14ac:dyDescent="0.3">
      <c r="A82" t="s">
        <v>3464</v>
      </c>
      <c r="B82" t="s">
        <v>3465</v>
      </c>
      <c r="C82" t="s">
        <v>3591</v>
      </c>
      <c r="D82" t="s">
        <v>3592</v>
      </c>
      <c r="E82" t="s">
        <v>3593</v>
      </c>
      <c r="F82" t="s">
        <v>3594</v>
      </c>
    </row>
    <row r="83" spans="1:6" x14ac:dyDescent="0.3">
      <c r="A83" t="s">
        <v>3449</v>
      </c>
      <c r="B83" t="s">
        <v>534</v>
      </c>
      <c r="C83" t="s">
        <v>33</v>
      </c>
      <c r="D83" t="s">
        <v>561</v>
      </c>
      <c r="E83" t="s">
        <v>182</v>
      </c>
      <c r="F83" t="s">
        <v>647</v>
      </c>
    </row>
    <row r="84" spans="1:6" x14ac:dyDescent="0.3">
      <c r="A84" t="s">
        <v>3449</v>
      </c>
      <c r="B84" t="s">
        <v>534</v>
      </c>
      <c r="C84" t="s">
        <v>33</v>
      </c>
      <c r="D84" t="s">
        <v>561</v>
      </c>
      <c r="E84" t="s">
        <v>185</v>
      </c>
      <c r="F84" t="s">
        <v>656</v>
      </c>
    </row>
    <row r="85" spans="1:6" x14ac:dyDescent="0.3">
      <c r="A85" t="s">
        <v>3449</v>
      </c>
      <c r="B85" t="s">
        <v>534</v>
      </c>
      <c r="C85" t="s">
        <v>33</v>
      </c>
      <c r="D85" t="s">
        <v>561</v>
      </c>
      <c r="E85" t="s">
        <v>3595</v>
      </c>
      <c r="F85" t="s">
        <v>3596</v>
      </c>
    </row>
    <row r="86" spans="1:6" x14ac:dyDescent="0.3">
      <c r="A86" t="s">
        <v>3449</v>
      </c>
      <c r="B86" t="s">
        <v>534</v>
      </c>
      <c r="C86" t="s">
        <v>33</v>
      </c>
      <c r="D86" t="s">
        <v>561</v>
      </c>
      <c r="E86" t="s">
        <v>3597</v>
      </c>
      <c r="F86" t="s">
        <v>3598</v>
      </c>
    </row>
    <row r="87" spans="1:6" x14ac:dyDescent="0.3">
      <c r="A87" t="s">
        <v>3429</v>
      </c>
      <c r="B87" t="s">
        <v>3430</v>
      </c>
      <c r="C87" t="s">
        <v>3599</v>
      </c>
      <c r="D87" t="s">
        <v>3600</v>
      </c>
      <c r="E87" t="s">
        <v>3601</v>
      </c>
      <c r="F87" t="s">
        <v>3602</v>
      </c>
    </row>
    <row r="88" spans="1:6" x14ac:dyDescent="0.3">
      <c r="A88" t="s">
        <v>3429</v>
      </c>
      <c r="B88" t="s">
        <v>3430</v>
      </c>
      <c r="C88" t="s">
        <v>3599</v>
      </c>
      <c r="D88" t="s">
        <v>3600</v>
      </c>
      <c r="E88" t="s">
        <v>3603</v>
      </c>
      <c r="F88" t="s">
        <v>3604</v>
      </c>
    </row>
    <row r="89" spans="1:6" x14ac:dyDescent="0.3">
      <c r="A89" t="s">
        <v>3429</v>
      </c>
      <c r="B89" t="s">
        <v>3430</v>
      </c>
      <c r="C89" t="s">
        <v>3599</v>
      </c>
      <c r="D89" t="s">
        <v>3600</v>
      </c>
      <c r="E89" t="s">
        <v>3605</v>
      </c>
      <c r="F89" t="s">
        <v>3606</v>
      </c>
    </row>
    <row r="90" spans="1:6" x14ac:dyDescent="0.3">
      <c r="A90" t="s">
        <v>3429</v>
      </c>
      <c r="B90" t="s">
        <v>3430</v>
      </c>
      <c r="C90" t="s">
        <v>3599</v>
      </c>
      <c r="D90" t="s">
        <v>3600</v>
      </c>
      <c r="E90" t="s">
        <v>3607</v>
      </c>
      <c r="F90" t="s">
        <v>3608</v>
      </c>
    </row>
    <row r="91" spans="1:6" x14ac:dyDescent="0.3">
      <c r="A91" t="s">
        <v>3429</v>
      </c>
      <c r="B91" t="s">
        <v>3430</v>
      </c>
      <c r="C91" t="s">
        <v>3599</v>
      </c>
      <c r="D91" t="s">
        <v>3600</v>
      </c>
      <c r="E91" t="s">
        <v>3609</v>
      </c>
      <c r="F91" t="s">
        <v>3610</v>
      </c>
    </row>
    <row r="92" spans="1:6" x14ac:dyDescent="0.3">
      <c r="A92" t="s">
        <v>3449</v>
      </c>
      <c r="B92" t="s">
        <v>534</v>
      </c>
      <c r="C92" t="s">
        <v>33</v>
      </c>
      <c r="D92" t="s">
        <v>561</v>
      </c>
      <c r="E92" t="s">
        <v>186</v>
      </c>
      <c r="F92" t="s">
        <v>682</v>
      </c>
    </row>
    <row r="93" spans="1:6" x14ac:dyDescent="0.3">
      <c r="A93" t="s">
        <v>3429</v>
      </c>
      <c r="B93" t="s">
        <v>3430</v>
      </c>
      <c r="C93" t="s">
        <v>3599</v>
      </c>
      <c r="D93" t="s">
        <v>3600</v>
      </c>
      <c r="E93" t="s">
        <v>3611</v>
      </c>
      <c r="F93" t="s">
        <v>3612</v>
      </c>
    </row>
    <row r="94" spans="1:6" x14ac:dyDescent="0.3">
      <c r="A94" t="s">
        <v>3429</v>
      </c>
      <c r="B94" t="s">
        <v>3430</v>
      </c>
      <c r="C94" t="s">
        <v>3599</v>
      </c>
      <c r="D94" t="s">
        <v>3600</v>
      </c>
      <c r="E94" t="s">
        <v>3613</v>
      </c>
      <c r="F94" t="s">
        <v>3614</v>
      </c>
    </row>
    <row r="95" spans="1:6" x14ac:dyDescent="0.3">
      <c r="A95" t="s">
        <v>3429</v>
      </c>
      <c r="B95" t="s">
        <v>3430</v>
      </c>
      <c r="C95" t="s">
        <v>3599</v>
      </c>
      <c r="D95" t="s">
        <v>3600</v>
      </c>
      <c r="E95" t="s">
        <v>3615</v>
      </c>
      <c r="F95" t="s">
        <v>3616</v>
      </c>
    </row>
    <row r="96" spans="1:6" x14ac:dyDescent="0.3">
      <c r="A96" t="s">
        <v>3429</v>
      </c>
      <c r="B96" t="s">
        <v>3430</v>
      </c>
      <c r="C96" t="s">
        <v>3599</v>
      </c>
      <c r="D96" t="s">
        <v>3600</v>
      </c>
      <c r="E96" t="s">
        <v>3617</v>
      </c>
      <c r="F96" t="s">
        <v>3618</v>
      </c>
    </row>
    <row r="97" spans="1:6" x14ac:dyDescent="0.3">
      <c r="A97" t="s">
        <v>3464</v>
      </c>
      <c r="B97" t="s">
        <v>3465</v>
      </c>
      <c r="C97" t="s">
        <v>3591</v>
      </c>
      <c r="D97" t="s">
        <v>3592</v>
      </c>
      <c r="E97" t="s">
        <v>3619</v>
      </c>
      <c r="F97" t="s">
        <v>3620</v>
      </c>
    </row>
    <row r="98" spans="1:6" x14ac:dyDescent="0.3">
      <c r="A98" t="s">
        <v>3464</v>
      </c>
      <c r="B98" t="s">
        <v>3465</v>
      </c>
      <c r="C98" t="s">
        <v>3591</v>
      </c>
      <c r="D98" t="s">
        <v>3592</v>
      </c>
      <c r="E98" t="s">
        <v>3621</v>
      </c>
      <c r="F98" t="s">
        <v>3622</v>
      </c>
    </row>
    <row r="99" spans="1:6" x14ac:dyDescent="0.3">
      <c r="A99" t="s">
        <v>3464</v>
      </c>
      <c r="B99" t="s">
        <v>3465</v>
      </c>
      <c r="C99" t="s">
        <v>3623</v>
      </c>
      <c r="D99" t="s">
        <v>3624</v>
      </c>
      <c r="E99" t="s">
        <v>3625</v>
      </c>
      <c r="F99" t="s">
        <v>3626</v>
      </c>
    </row>
    <row r="100" spans="1:6" x14ac:dyDescent="0.3">
      <c r="A100" t="s">
        <v>3464</v>
      </c>
      <c r="B100" t="s">
        <v>3465</v>
      </c>
      <c r="C100" t="s">
        <v>3623</v>
      </c>
      <c r="D100" t="s">
        <v>3624</v>
      </c>
      <c r="E100" t="s">
        <v>3627</v>
      </c>
      <c r="F100" t="s">
        <v>3628</v>
      </c>
    </row>
    <row r="101" spans="1:6" x14ac:dyDescent="0.3">
      <c r="A101" t="s">
        <v>3472</v>
      </c>
      <c r="B101" t="s">
        <v>3473</v>
      </c>
      <c r="C101" t="s">
        <v>3629</v>
      </c>
      <c r="D101" t="s">
        <v>3630</v>
      </c>
      <c r="E101" t="s">
        <v>3631</v>
      </c>
      <c r="F101" t="s">
        <v>3632</v>
      </c>
    </row>
    <row r="102" spans="1:6" x14ac:dyDescent="0.3">
      <c r="A102" t="s">
        <v>3472</v>
      </c>
      <c r="B102" t="s">
        <v>3473</v>
      </c>
      <c r="C102" t="s">
        <v>3629</v>
      </c>
      <c r="D102" t="s">
        <v>3630</v>
      </c>
      <c r="E102" t="s">
        <v>3633</v>
      </c>
      <c r="F102" t="s">
        <v>3634</v>
      </c>
    </row>
    <row r="103" spans="1:6" x14ac:dyDescent="0.3">
      <c r="A103" t="s">
        <v>3472</v>
      </c>
      <c r="B103" t="s">
        <v>3473</v>
      </c>
      <c r="C103" t="s">
        <v>3629</v>
      </c>
      <c r="D103" t="s">
        <v>3630</v>
      </c>
      <c r="E103" t="s">
        <v>3635</v>
      </c>
      <c r="F103" t="s">
        <v>3636</v>
      </c>
    </row>
    <row r="104" spans="1:6" x14ac:dyDescent="0.3">
      <c r="A104" t="s">
        <v>3472</v>
      </c>
      <c r="B104" t="s">
        <v>3473</v>
      </c>
      <c r="C104" t="s">
        <v>3629</v>
      </c>
      <c r="D104" t="s">
        <v>3630</v>
      </c>
      <c r="E104" t="s">
        <v>3637</v>
      </c>
      <c r="F104" t="s">
        <v>3638</v>
      </c>
    </row>
    <row r="105" spans="1:6" x14ac:dyDescent="0.3">
      <c r="A105" t="s">
        <v>3450</v>
      </c>
      <c r="B105" t="s">
        <v>3451</v>
      </c>
      <c r="C105" t="s">
        <v>3452</v>
      </c>
      <c r="D105" t="s">
        <v>3453</v>
      </c>
      <c r="E105" t="s">
        <v>3639</v>
      </c>
      <c r="F105" t="s">
        <v>3640</v>
      </c>
    </row>
    <row r="106" spans="1:6" x14ac:dyDescent="0.3">
      <c r="A106" t="s">
        <v>3472</v>
      </c>
      <c r="B106" t="s">
        <v>3473</v>
      </c>
      <c r="C106" t="s">
        <v>3629</v>
      </c>
      <c r="D106" t="s">
        <v>3630</v>
      </c>
      <c r="E106" t="s">
        <v>3641</v>
      </c>
      <c r="F106" t="s">
        <v>3642</v>
      </c>
    </row>
    <row r="107" spans="1:6" x14ac:dyDescent="0.3">
      <c r="A107" t="s">
        <v>3458</v>
      </c>
      <c r="B107" t="s">
        <v>3459</v>
      </c>
      <c r="C107" t="s">
        <v>3516</v>
      </c>
      <c r="D107" t="s">
        <v>3517</v>
      </c>
      <c r="E107" t="s">
        <v>3643</v>
      </c>
      <c r="F107" t="s">
        <v>3644</v>
      </c>
    </row>
    <row r="108" spans="1:6" x14ac:dyDescent="0.3">
      <c r="A108" t="s">
        <v>3458</v>
      </c>
      <c r="B108" t="s">
        <v>3459</v>
      </c>
      <c r="C108" t="s">
        <v>3516</v>
      </c>
      <c r="D108" t="s">
        <v>3517</v>
      </c>
      <c r="E108" t="s">
        <v>3645</v>
      </c>
      <c r="F108" t="s">
        <v>3646</v>
      </c>
    </row>
    <row r="109" spans="1:6" x14ac:dyDescent="0.3">
      <c r="A109" t="s">
        <v>3458</v>
      </c>
      <c r="B109" t="s">
        <v>3459</v>
      </c>
      <c r="C109" t="s">
        <v>3516</v>
      </c>
      <c r="D109" t="s">
        <v>3517</v>
      </c>
      <c r="E109" t="s">
        <v>3647</v>
      </c>
      <c r="F109" t="s">
        <v>3648</v>
      </c>
    </row>
    <row r="110" spans="1:6" x14ac:dyDescent="0.3">
      <c r="A110" t="s">
        <v>3458</v>
      </c>
      <c r="B110" t="s">
        <v>3459</v>
      </c>
      <c r="C110" t="s">
        <v>3516</v>
      </c>
      <c r="D110" t="s">
        <v>3517</v>
      </c>
      <c r="E110" t="s">
        <v>3649</v>
      </c>
      <c r="F110" t="s">
        <v>3650</v>
      </c>
    </row>
    <row r="111" spans="1:6" x14ac:dyDescent="0.3">
      <c r="A111" t="s">
        <v>3458</v>
      </c>
      <c r="B111" t="s">
        <v>3459</v>
      </c>
      <c r="C111" t="s">
        <v>3516</v>
      </c>
      <c r="D111" t="s">
        <v>3517</v>
      </c>
      <c r="E111" t="s">
        <v>3651</v>
      </c>
      <c r="F111" t="s">
        <v>3652</v>
      </c>
    </row>
    <row r="112" spans="1:6" x14ac:dyDescent="0.3">
      <c r="A112" t="s">
        <v>3472</v>
      </c>
      <c r="B112" t="s">
        <v>3473</v>
      </c>
      <c r="C112" t="s">
        <v>3629</v>
      </c>
      <c r="D112" t="s">
        <v>3630</v>
      </c>
      <c r="E112" t="s">
        <v>3653</v>
      </c>
      <c r="F112" t="s">
        <v>3654</v>
      </c>
    </row>
    <row r="113" spans="1:6" x14ac:dyDescent="0.3">
      <c r="A113" t="s">
        <v>3472</v>
      </c>
      <c r="B113" t="s">
        <v>3473</v>
      </c>
      <c r="C113" t="s">
        <v>3629</v>
      </c>
      <c r="D113" t="s">
        <v>3630</v>
      </c>
      <c r="E113" t="s">
        <v>3655</v>
      </c>
      <c r="F113" t="s">
        <v>3656</v>
      </c>
    </row>
    <row r="114" spans="1:6" x14ac:dyDescent="0.3">
      <c r="A114" t="s">
        <v>3458</v>
      </c>
      <c r="B114" t="s">
        <v>3459</v>
      </c>
      <c r="C114" t="s">
        <v>3657</v>
      </c>
      <c r="D114" t="s">
        <v>3658</v>
      </c>
      <c r="E114" t="s">
        <v>3659</v>
      </c>
      <c r="F114" t="s">
        <v>3660</v>
      </c>
    </row>
    <row r="115" spans="1:6" x14ac:dyDescent="0.3">
      <c r="A115" t="s">
        <v>3464</v>
      </c>
      <c r="B115" t="s">
        <v>3465</v>
      </c>
      <c r="C115" t="s">
        <v>3623</v>
      </c>
      <c r="D115" t="s">
        <v>3624</v>
      </c>
      <c r="E115" t="s">
        <v>3661</v>
      </c>
      <c r="F115" t="s">
        <v>3662</v>
      </c>
    </row>
    <row r="116" spans="1:6" x14ac:dyDescent="0.3">
      <c r="A116" t="s">
        <v>3449</v>
      </c>
      <c r="B116" t="s">
        <v>534</v>
      </c>
      <c r="C116" t="s">
        <v>32</v>
      </c>
      <c r="D116" t="s">
        <v>542</v>
      </c>
      <c r="E116" t="s">
        <v>181</v>
      </c>
      <c r="F116" t="s">
        <v>1661</v>
      </c>
    </row>
    <row r="117" spans="1:6" x14ac:dyDescent="0.3">
      <c r="A117" t="s">
        <v>3449</v>
      </c>
      <c r="B117" t="s">
        <v>534</v>
      </c>
      <c r="C117" t="s">
        <v>32</v>
      </c>
      <c r="D117" t="s">
        <v>542</v>
      </c>
      <c r="E117" t="s">
        <v>179</v>
      </c>
      <c r="F117" t="s">
        <v>1666</v>
      </c>
    </row>
    <row r="118" spans="1:6" x14ac:dyDescent="0.3">
      <c r="A118" t="s">
        <v>3449</v>
      </c>
      <c r="B118" t="s">
        <v>534</v>
      </c>
      <c r="C118" t="s">
        <v>32</v>
      </c>
      <c r="D118" t="s">
        <v>542</v>
      </c>
      <c r="E118" t="s">
        <v>175</v>
      </c>
      <c r="F118" t="s">
        <v>1136</v>
      </c>
    </row>
    <row r="119" spans="1:6" x14ac:dyDescent="0.3">
      <c r="A119" t="s">
        <v>3464</v>
      </c>
      <c r="B119" t="s">
        <v>3465</v>
      </c>
      <c r="C119" t="s">
        <v>3623</v>
      </c>
      <c r="D119" t="s">
        <v>3624</v>
      </c>
      <c r="E119" t="s">
        <v>3663</v>
      </c>
      <c r="F119" t="s">
        <v>3664</v>
      </c>
    </row>
    <row r="120" spans="1:6" x14ac:dyDescent="0.3">
      <c r="A120" t="s">
        <v>3464</v>
      </c>
      <c r="B120" t="s">
        <v>3465</v>
      </c>
      <c r="C120" t="s">
        <v>3665</v>
      </c>
      <c r="D120" t="s">
        <v>3666</v>
      </c>
      <c r="E120" t="s">
        <v>3667</v>
      </c>
      <c r="F120" t="s">
        <v>3668</v>
      </c>
    </row>
    <row r="121" spans="1:6" x14ac:dyDescent="0.3">
      <c r="A121" t="s">
        <v>3458</v>
      </c>
      <c r="B121" t="s">
        <v>3459</v>
      </c>
      <c r="C121" t="s">
        <v>3657</v>
      </c>
      <c r="D121" t="s">
        <v>3658</v>
      </c>
      <c r="E121" t="s">
        <v>3669</v>
      </c>
      <c r="F121" t="s">
        <v>3670</v>
      </c>
    </row>
    <row r="122" spans="1:6" x14ac:dyDescent="0.3">
      <c r="A122" t="s">
        <v>3326</v>
      </c>
      <c r="B122" t="s">
        <v>3405</v>
      </c>
      <c r="C122" t="s">
        <v>3506</v>
      </c>
      <c r="D122" t="s">
        <v>3507</v>
      </c>
      <c r="E122" t="s">
        <v>3671</v>
      </c>
      <c r="F122" t="s">
        <v>3672</v>
      </c>
    </row>
    <row r="123" spans="1:6" x14ac:dyDescent="0.3">
      <c r="A123" t="s">
        <v>3326</v>
      </c>
      <c r="B123" t="s">
        <v>3405</v>
      </c>
      <c r="C123" t="s">
        <v>3506</v>
      </c>
      <c r="D123" t="s">
        <v>3507</v>
      </c>
      <c r="E123" t="s">
        <v>3673</v>
      </c>
      <c r="F123" t="s">
        <v>3674</v>
      </c>
    </row>
    <row r="124" spans="1:6" x14ac:dyDescent="0.3">
      <c r="A124" t="s">
        <v>3326</v>
      </c>
      <c r="B124" t="s">
        <v>3405</v>
      </c>
      <c r="C124" t="s">
        <v>3506</v>
      </c>
      <c r="D124" t="s">
        <v>3507</v>
      </c>
      <c r="E124" t="s">
        <v>3675</v>
      </c>
      <c r="F124" t="s">
        <v>3676</v>
      </c>
    </row>
    <row r="125" spans="1:6" x14ac:dyDescent="0.3">
      <c r="A125" t="s">
        <v>3429</v>
      </c>
      <c r="B125" t="s">
        <v>3430</v>
      </c>
      <c r="C125" t="s">
        <v>3494</v>
      </c>
      <c r="D125" t="s">
        <v>3495</v>
      </c>
      <c r="E125" t="s">
        <v>3677</v>
      </c>
      <c r="F125" t="s">
        <v>3678</v>
      </c>
    </row>
    <row r="126" spans="1:6" x14ac:dyDescent="0.3">
      <c r="A126" t="s">
        <v>3464</v>
      </c>
      <c r="B126" t="s">
        <v>3465</v>
      </c>
      <c r="C126" t="s">
        <v>3665</v>
      </c>
      <c r="D126" t="s">
        <v>3666</v>
      </c>
      <c r="E126" t="s">
        <v>3679</v>
      </c>
      <c r="F126" t="s">
        <v>3680</v>
      </c>
    </row>
    <row r="127" spans="1:6" x14ac:dyDescent="0.3">
      <c r="A127" t="s">
        <v>3458</v>
      </c>
      <c r="B127" t="s">
        <v>3459</v>
      </c>
      <c r="C127" t="s">
        <v>3657</v>
      </c>
      <c r="D127" t="s">
        <v>3658</v>
      </c>
      <c r="E127" t="s">
        <v>3681</v>
      </c>
      <c r="F127" t="s">
        <v>3682</v>
      </c>
    </row>
    <row r="128" spans="1:6" x14ac:dyDescent="0.3">
      <c r="A128" t="s">
        <v>3464</v>
      </c>
      <c r="B128" t="s">
        <v>3465</v>
      </c>
      <c r="C128" t="s">
        <v>3665</v>
      </c>
      <c r="D128" t="s">
        <v>3666</v>
      </c>
      <c r="E128" t="s">
        <v>3683</v>
      </c>
      <c r="F128" t="s">
        <v>3684</v>
      </c>
    </row>
    <row r="129" spans="1:6" x14ac:dyDescent="0.3">
      <c r="A129" t="s">
        <v>3458</v>
      </c>
      <c r="B129" t="s">
        <v>3459</v>
      </c>
      <c r="C129" t="s">
        <v>3685</v>
      </c>
      <c r="D129" t="s">
        <v>3686</v>
      </c>
      <c r="E129" t="s">
        <v>3687</v>
      </c>
      <c r="F129" t="s">
        <v>3688</v>
      </c>
    </row>
    <row r="130" spans="1:6" x14ac:dyDescent="0.3">
      <c r="A130" t="s">
        <v>3558</v>
      </c>
      <c r="B130" t="s">
        <v>3559</v>
      </c>
      <c r="C130" t="s">
        <v>3689</v>
      </c>
      <c r="D130" t="s">
        <v>3690</v>
      </c>
      <c r="E130" t="s">
        <v>3691</v>
      </c>
      <c r="F130" t="s">
        <v>3692</v>
      </c>
    </row>
    <row r="131" spans="1:6" x14ac:dyDescent="0.3">
      <c r="A131" t="s">
        <v>3558</v>
      </c>
      <c r="B131" t="s">
        <v>3559</v>
      </c>
      <c r="C131" t="s">
        <v>3689</v>
      </c>
      <c r="D131" t="s">
        <v>3690</v>
      </c>
      <c r="E131" t="s">
        <v>3693</v>
      </c>
      <c r="F131" t="s">
        <v>3694</v>
      </c>
    </row>
    <row r="132" spans="1:6" x14ac:dyDescent="0.3">
      <c r="A132" t="s">
        <v>3558</v>
      </c>
      <c r="B132" t="s">
        <v>3559</v>
      </c>
      <c r="C132" t="s">
        <v>3689</v>
      </c>
      <c r="D132" t="s">
        <v>3690</v>
      </c>
      <c r="E132" t="s">
        <v>3695</v>
      </c>
      <c r="F132" t="s">
        <v>3696</v>
      </c>
    </row>
    <row r="133" spans="1:6" x14ac:dyDescent="0.3">
      <c r="A133" t="s">
        <v>3558</v>
      </c>
      <c r="B133" t="s">
        <v>3559</v>
      </c>
      <c r="C133" t="s">
        <v>3689</v>
      </c>
      <c r="D133" t="s">
        <v>3690</v>
      </c>
      <c r="E133" t="s">
        <v>3697</v>
      </c>
      <c r="F133" t="s">
        <v>3698</v>
      </c>
    </row>
    <row r="134" spans="1:6" x14ac:dyDescent="0.3">
      <c r="A134" t="s">
        <v>3558</v>
      </c>
      <c r="B134" t="s">
        <v>3559</v>
      </c>
      <c r="C134" t="s">
        <v>3689</v>
      </c>
      <c r="D134" t="s">
        <v>3690</v>
      </c>
      <c r="E134" t="s">
        <v>3699</v>
      </c>
      <c r="F134" t="s">
        <v>3700</v>
      </c>
    </row>
    <row r="135" spans="1:6" x14ac:dyDescent="0.3">
      <c r="A135" t="s">
        <v>3558</v>
      </c>
      <c r="B135" t="s">
        <v>3559</v>
      </c>
      <c r="C135" t="s">
        <v>3701</v>
      </c>
      <c r="D135" t="s">
        <v>3702</v>
      </c>
      <c r="E135" t="s">
        <v>3703</v>
      </c>
      <c r="F135" t="s">
        <v>3704</v>
      </c>
    </row>
    <row r="136" spans="1:6" x14ac:dyDescent="0.3">
      <c r="A136" t="s">
        <v>3558</v>
      </c>
      <c r="B136" t="s">
        <v>3559</v>
      </c>
      <c r="C136" t="s">
        <v>3701</v>
      </c>
      <c r="D136" t="s">
        <v>3702</v>
      </c>
      <c r="E136" t="s">
        <v>3705</v>
      </c>
      <c r="F136" t="s">
        <v>3706</v>
      </c>
    </row>
    <row r="137" spans="1:6" x14ac:dyDescent="0.3">
      <c r="A137" t="s">
        <v>3558</v>
      </c>
      <c r="B137" t="s">
        <v>3559</v>
      </c>
      <c r="C137" t="s">
        <v>3701</v>
      </c>
      <c r="D137" t="s">
        <v>3702</v>
      </c>
      <c r="E137" t="s">
        <v>3707</v>
      </c>
      <c r="F137" t="s">
        <v>3708</v>
      </c>
    </row>
    <row r="138" spans="1:6" x14ac:dyDescent="0.3">
      <c r="A138" t="s">
        <v>3558</v>
      </c>
      <c r="B138" t="s">
        <v>3559</v>
      </c>
      <c r="C138" t="s">
        <v>3701</v>
      </c>
      <c r="D138" t="s">
        <v>3702</v>
      </c>
      <c r="E138" t="s">
        <v>3709</v>
      </c>
      <c r="F138" t="s">
        <v>3710</v>
      </c>
    </row>
    <row r="139" spans="1:6" x14ac:dyDescent="0.3">
      <c r="A139" t="s">
        <v>3558</v>
      </c>
      <c r="B139" t="s">
        <v>3559</v>
      </c>
      <c r="C139" t="s">
        <v>3701</v>
      </c>
      <c r="D139" t="s">
        <v>3702</v>
      </c>
      <c r="E139" t="s">
        <v>3711</v>
      </c>
      <c r="F139" t="s">
        <v>3712</v>
      </c>
    </row>
    <row r="140" spans="1:6" x14ac:dyDescent="0.3">
      <c r="A140" t="s">
        <v>3558</v>
      </c>
      <c r="B140" t="s">
        <v>3559</v>
      </c>
      <c r="C140" t="s">
        <v>3701</v>
      </c>
      <c r="D140" t="s">
        <v>3702</v>
      </c>
      <c r="E140" t="s">
        <v>3713</v>
      </c>
      <c r="F140" t="s">
        <v>3714</v>
      </c>
    </row>
    <row r="141" spans="1:6" x14ac:dyDescent="0.3">
      <c r="A141" t="s">
        <v>3464</v>
      </c>
      <c r="B141" t="s">
        <v>3465</v>
      </c>
      <c r="C141" t="s">
        <v>3591</v>
      </c>
      <c r="D141" t="s">
        <v>3592</v>
      </c>
      <c r="E141" t="s">
        <v>3715</v>
      </c>
      <c r="F141" t="s">
        <v>3716</v>
      </c>
    </row>
    <row r="142" spans="1:6" x14ac:dyDescent="0.3">
      <c r="A142" t="s">
        <v>3464</v>
      </c>
      <c r="B142" t="s">
        <v>3465</v>
      </c>
      <c r="C142" t="s">
        <v>3591</v>
      </c>
      <c r="D142" t="s">
        <v>3592</v>
      </c>
      <c r="E142" t="s">
        <v>3717</v>
      </c>
      <c r="F142" t="s">
        <v>3718</v>
      </c>
    </row>
    <row r="143" spans="1:6" x14ac:dyDescent="0.3">
      <c r="A143" t="s">
        <v>3464</v>
      </c>
      <c r="B143" t="s">
        <v>3465</v>
      </c>
      <c r="C143" t="s">
        <v>3591</v>
      </c>
      <c r="D143" t="s">
        <v>3592</v>
      </c>
      <c r="E143" t="s">
        <v>3719</v>
      </c>
      <c r="F143" t="s">
        <v>3720</v>
      </c>
    </row>
    <row r="144" spans="1:6" x14ac:dyDescent="0.3">
      <c r="A144" t="s">
        <v>3464</v>
      </c>
      <c r="B144" t="s">
        <v>3465</v>
      </c>
      <c r="C144" t="s">
        <v>3591</v>
      </c>
      <c r="D144" t="s">
        <v>3592</v>
      </c>
      <c r="E144" t="s">
        <v>3721</v>
      </c>
      <c r="F144" t="s">
        <v>3722</v>
      </c>
    </row>
    <row r="145" spans="1:6" x14ac:dyDescent="0.3">
      <c r="A145" t="s">
        <v>3464</v>
      </c>
      <c r="B145" t="s">
        <v>3465</v>
      </c>
      <c r="C145" t="s">
        <v>3591</v>
      </c>
      <c r="D145" t="s">
        <v>3592</v>
      </c>
      <c r="E145" t="s">
        <v>3723</v>
      </c>
      <c r="F145" t="s">
        <v>3724</v>
      </c>
    </row>
    <row r="146" spans="1:6" x14ac:dyDescent="0.3">
      <c r="A146" t="s">
        <v>3464</v>
      </c>
      <c r="B146" t="s">
        <v>3465</v>
      </c>
      <c r="C146" t="s">
        <v>3591</v>
      </c>
      <c r="D146" t="s">
        <v>3592</v>
      </c>
      <c r="E146" t="s">
        <v>3725</v>
      </c>
      <c r="F146" t="s">
        <v>3726</v>
      </c>
    </row>
    <row r="147" spans="1:6" x14ac:dyDescent="0.3">
      <c r="A147" t="s">
        <v>3429</v>
      </c>
      <c r="B147" t="s">
        <v>3430</v>
      </c>
      <c r="C147" t="s">
        <v>3431</v>
      </c>
      <c r="D147" t="s">
        <v>3432</v>
      </c>
      <c r="E147" t="s">
        <v>3727</v>
      </c>
      <c r="F147" t="s">
        <v>3728</v>
      </c>
    </row>
    <row r="148" spans="1:6" x14ac:dyDescent="0.3">
      <c r="A148" t="s">
        <v>3429</v>
      </c>
      <c r="B148" t="s">
        <v>3430</v>
      </c>
      <c r="C148" t="s">
        <v>3729</v>
      </c>
      <c r="D148" t="s">
        <v>3730</v>
      </c>
      <c r="E148" t="s">
        <v>3731</v>
      </c>
      <c r="F148" t="s">
        <v>3732</v>
      </c>
    </row>
    <row r="149" spans="1:6" x14ac:dyDescent="0.3">
      <c r="A149" t="s">
        <v>3429</v>
      </c>
      <c r="B149" t="s">
        <v>3430</v>
      </c>
      <c r="C149" t="s">
        <v>3729</v>
      </c>
      <c r="D149" t="s">
        <v>3730</v>
      </c>
      <c r="E149" t="s">
        <v>3733</v>
      </c>
      <c r="F149" t="s">
        <v>3734</v>
      </c>
    </row>
    <row r="150" spans="1:6" x14ac:dyDescent="0.3">
      <c r="A150" t="s">
        <v>3458</v>
      </c>
      <c r="B150" t="s">
        <v>3459</v>
      </c>
      <c r="C150" t="s">
        <v>3657</v>
      </c>
      <c r="D150" t="s">
        <v>3658</v>
      </c>
      <c r="E150" t="s">
        <v>3735</v>
      </c>
      <c r="F150" t="s">
        <v>3736</v>
      </c>
    </row>
    <row r="151" spans="1:6" x14ac:dyDescent="0.3">
      <c r="A151" t="s">
        <v>3472</v>
      </c>
      <c r="B151" t="s">
        <v>3473</v>
      </c>
      <c r="C151" t="s">
        <v>3629</v>
      </c>
      <c r="D151" t="s">
        <v>3630</v>
      </c>
      <c r="E151" t="s">
        <v>3737</v>
      </c>
      <c r="F151" t="s">
        <v>3738</v>
      </c>
    </row>
    <row r="152" spans="1:6" x14ac:dyDescent="0.3">
      <c r="A152" t="s">
        <v>3458</v>
      </c>
      <c r="B152" t="s">
        <v>3459</v>
      </c>
      <c r="C152" t="s">
        <v>3685</v>
      </c>
      <c r="D152" t="s">
        <v>3686</v>
      </c>
      <c r="E152" t="s">
        <v>3739</v>
      </c>
      <c r="F152" t="s">
        <v>3740</v>
      </c>
    </row>
    <row r="153" spans="1:6" x14ac:dyDescent="0.3">
      <c r="A153" t="s">
        <v>3429</v>
      </c>
      <c r="B153" t="s">
        <v>3430</v>
      </c>
      <c r="C153" t="s">
        <v>3741</v>
      </c>
      <c r="D153" t="s">
        <v>3742</v>
      </c>
      <c r="E153" t="s">
        <v>3743</v>
      </c>
      <c r="F153" t="s">
        <v>3744</v>
      </c>
    </row>
    <row r="154" spans="1:6" x14ac:dyDescent="0.3">
      <c r="A154" t="s">
        <v>3429</v>
      </c>
      <c r="B154" t="s">
        <v>3430</v>
      </c>
      <c r="C154" t="s">
        <v>3741</v>
      </c>
      <c r="D154" t="s">
        <v>3742</v>
      </c>
      <c r="E154" t="s">
        <v>3745</v>
      </c>
      <c r="F154" t="s">
        <v>3746</v>
      </c>
    </row>
    <row r="155" spans="1:6" x14ac:dyDescent="0.3">
      <c r="A155" t="s">
        <v>3747</v>
      </c>
      <c r="B155" t="s">
        <v>3748</v>
      </c>
      <c r="C155" t="s">
        <v>3749</v>
      </c>
      <c r="D155" t="s">
        <v>3750</v>
      </c>
      <c r="E155" t="s">
        <v>3751</v>
      </c>
      <c r="F155" t="s">
        <v>3752</v>
      </c>
    </row>
    <row r="156" spans="1:6" x14ac:dyDescent="0.3">
      <c r="A156" t="s">
        <v>3747</v>
      </c>
      <c r="B156" t="s">
        <v>3748</v>
      </c>
      <c r="C156" t="s">
        <v>3749</v>
      </c>
      <c r="D156" t="s">
        <v>3750</v>
      </c>
      <c r="E156" t="s">
        <v>3753</v>
      </c>
      <c r="F156" t="s">
        <v>3754</v>
      </c>
    </row>
    <row r="157" spans="1:6" x14ac:dyDescent="0.3">
      <c r="A157" t="s">
        <v>3747</v>
      </c>
      <c r="B157" t="s">
        <v>3748</v>
      </c>
      <c r="C157" t="s">
        <v>3749</v>
      </c>
      <c r="D157" t="s">
        <v>3750</v>
      </c>
      <c r="E157" t="s">
        <v>3755</v>
      </c>
      <c r="F157" t="s">
        <v>3756</v>
      </c>
    </row>
    <row r="158" spans="1:6" x14ac:dyDescent="0.3">
      <c r="A158" t="s">
        <v>3747</v>
      </c>
      <c r="B158" t="s">
        <v>3748</v>
      </c>
      <c r="C158" t="s">
        <v>3749</v>
      </c>
      <c r="D158" t="s">
        <v>3750</v>
      </c>
      <c r="E158" t="s">
        <v>3757</v>
      </c>
      <c r="F158" t="s">
        <v>3758</v>
      </c>
    </row>
    <row r="159" spans="1:6" x14ac:dyDescent="0.3">
      <c r="A159" t="s">
        <v>3464</v>
      </c>
      <c r="B159" t="s">
        <v>3465</v>
      </c>
      <c r="C159" t="s">
        <v>3759</v>
      </c>
      <c r="D159" t="s">
        <v>3760</v>
      </c>
      <c r="E159" t="s">
        <v>3761</v>
      </c>
      <c r="F159" t="s">
        <v>3762</v>
      </c>
    </row>
    <row r="160" spans="1:6" x14ac:dyDescent="0.3">
      <c r="A160" t="s">
        <v>3429</v>
      </c>
      <c r="B160" t="s">
        <v>3430</v>
      </c>
      <c r="C160" t="s">
        <v>3741</v>
      </c>
      <c r="D160" t="s">
        <v>3742</v>
      </c>
      <c r="E160" t="s">
        <v>3763</v>
      </c>
      <c r="F160" t="s">
        <v>3764</v>
      </c>
    </row>
    <row r="161" spans="1:6" x14ac:dyDescent="0.3">
      <c r="A161" t="s">
        <v>3429</v>
      </c>
      <c r="B161" t="s">
        <v>3430</v>
      </c>
      <c r="C161" t="s">
        <v>3741</v>
      </c>
      <c r="D161" t="s">
        <v>3742</v>
      </c>
      <c r="E161" t="s">
        <v>3765</v>
      </c>
      <c r="F161" t="s">
        <v>3766</v>
      </c>
    </row>
    <row r="162" spans="1:6" x14ac:dyDescent="0.3">
      <c r="A162" t="s">
        <v>3558</v>
      </c>
      <c r="B162" t="s">
        <v>3559</v>
      </c>
      <c r="C162" t="s">
        <v>3767</v>
      </c>
      <c r="D162" t="s">
        <v>3768</v>
      </c>
      <c r="E162" t="s">
        <v>3769</v>
      </c>
      <c r="F162" t="s">
        <v>3770</v>
      </c>
    </row>
    <row r="163" spans="1:6" x14ac:dyDescent="0.3">
      <c r="A163" t="s">
        <v>3558</v>
      </c>
      <c r="B163" t="s">
        <v>3559</v>
      </c>
      <c r="C163" t="s">
        <v>3767</v>
      </c>
      <c r="D163" t="s">
        <v>3768</v>
      </c>
      <c r="E163" t="s">
        <v>3771</v>
      </c>
      <c r="F163" t="s">
        <v>3772</v>
      </c>
    </row>
    <row r="164" spans="1:6" x14ac:dyDescent="0.3">
      <c r="A164" t="s">
        <v>3558</v>
      </c>
      <c r="B164" t="s">
        <v>3559</v>
      </c>
      <c r="C164" t="s">
        <v>3767</v>
      </c>
      <c r="D164" t="s">
        <v>3768</v>
      </c>
      <c r="E164" t="s">
        <v>3773</v>
      </c>
      <c r="F164" t="s">
        <v>3774</v>
      </c>
    </row>
    <row r="165" spans="1:6" x14ac:dyDescent="0.3">
      <c r="A165" t="s">
        <v>3429</v>
      </c>
      <c r="B165" t="s">
        <v>3430</v>
      </c>
      <c r="C165" t="s">
        <v>3729</v>
      </c>
      <c r="D165" t="s">
        <v>3730</v>
      </c>
      <c r="E165" t="s">
        <v>3775</v>
      </c>
      <c r="F165" t="s">
        <v>3776</v>
      </c>
    </row>
    <row r="166" spans="1:6" x14ac:dyDescent="0.3">
      <c r="A166" t="s">
        <v>3429</v>
      </c>
      <c r="B166" t="s">
        <v>3430</v>
      </c>
      <c r="C166" t="s">
        <v>3741</v>
      </c>
      <c r="D166" t="s">
        <v>3742</v>
      </c>
      <c r="E166" t="s">
        <v>3777</v>
      </c>
      <c r="F166" t="s">
        <v>3778</v>
      </c>
    </row>
    <row r="167" spans="1:6" x14ac:dyDescent="0.3">
      <c r="A167" t="s">
        <v>3429</v>
      </c>
      <c r="B167" t="s">
        <v>3430</v>
      </c>
      <c r="C167" t="s">
        <v>3779</v>
      </c>
      <c r="D167" t="s">
        <v>3780</v>
      </c>
      <c r="E167" t="s">
        <v>3781</v>
      </c>
      <c r="F167" t="s">
        <v>3782</v>
      </c>
    </row>
    <row r="168" spans="1:6" x14ac:dyDescent="0.3">
      <c r="A168" t="s">
        <v>3429</v>
      </c>
      <c r="B168" t="s">
        <v>3430</v>
      </c>
      <c r="C168" t="s">
        <v>3779</v>
      </c>
      <c r="D168" t="s">
        <v>3780</v>
      </c>
      <c r="E168" t="s">
        <v>3783</v>
      </c>
      <c r="F168" t="s">
        <v>3784</v>
      </c>
    </row>
    <row r="169" spans="1:6" x14ac:dyDescent="0.3">
      <c r="A169" t="s">
        <v>3429</v>
      </c>
      <c r="B169" t="s">
        <v>3430</v>
      </c>
      <c r="C169" t="s">
        <v>3779</v>
      </c>
      <c r="D169" t="s">
        <v>3780</v>
      </c>
      <c r="E169" t="s">
        <v>3785</v>
      </c>
      <c r="F169" t="s">
        <v>3786</v>
      </c>
    </row>
    <row r="170" spans="1:6" x14ac:dyDescent="0.3">
      <c r="A170" t="s">
        <v>3429</v>
      </c>
      <c r="B170" t="s">
        <v>3430</v>
      </c>
      <c r="C170" t="s">
        <v>3741</v>
      </c>
      <c r="D170" t="s">
        <v>3742</v>
      </c>
      <c r="E170" t="s">
        <v>3787</v>
      </c>
      <c r="F170" t="s">
        <v>3788</v>
      </c>
    </row>
    <row r="171" spans="1:6" x14ac:dyDescent="0.3">
      <c r="A171" t="s">
        <v>3429</v>
      </c>
      <c r="B171" t="s">
        <v>3430</v>
      </c>
      <c r="C171" t="s">
        <v>3789</v>
      </c>
      <c r="D171" t="s">
        <v>3790</v>
      </c>
      <c r="E171" t="s">
        <v>3791</v>
      </c>
      <c r="F171" t="s">
        <v>3792</v>
      </c>
    </row>
    <row r="172" spans="1:6" x14ac:dyDescent="0.3">
      <c r="A172" t="s">
        <v>3429</v>
      </c>
      <c r="B172" t="s">
        <v>3430</v>
      </c>
      <c r="C172" t="s">
        <v>3789</v>
      </c>
      <c r="D172" t="s">
        <v>3790</v>
      </c>
      <c r="E172" t="s">
        <v>3793</v>
      </c>
      <c r="F172" t="s">
        <v>3794</v>
      </c>
    </row>
    <row r="173" spans="1:6" x14ac:dyDescent="0.3">
      <c r="A173" t="s">
        <v>3429</v>
      </c>
      <c r="B173" t="s">
        <v>3430</v>
      </c>
      <c r="C173" t="s">
        <v>3795</v>
      </c>
      <c r="D173" t="s">
        <v>3796</v>
      </c>
      <c r="E173" t="s">
        <v>3797</v>
      </c>
      <c r="F173" t="s">
        <v>3798</v>
      </c>
    </row>
    <row r="174" spans="1:6" x14ac:dyDescent="0.3">
      <c r="A174" t="s">
        <v>3429</v>
      </c>
      <c r="B174" t="s">
        <v>3430</v>
      </c>
      <c r="C174" t="s">
        <v>3779</v>
      </c>
      <c r="D174" t="s">
        <v>3780</v>
      </c>
      <c r="E174" t="s">
        <v>3799</v>
      </c>
      <c r="F174" t="s">
        <v>3800</v>
      </c>
    </row>
    <row r="175" spans="1:6" x14ac:dyDescent="0.3">
      <c r="A175" t="s">
        <v>3429</v>
      </c>
      <c r="B175" t="s">
        <v>3430</v>
      </c>
      <c r="C175" t="s">
        <v>3779</v>
      </c>
      <c r="D175" t="s">
        <v>3780</v>
      </c>
      <c r="E175" t="s">
        <v>3801</v>
      </c>
      <c r="F175" t="s">
        <v>3802</v>
      </c>
    </row>
    <row r="176" spans="1:6" x14ac:dyDescent="0.3">
      <c r="A176" t="s">
        <v>3429</v>
      </c>
      <c r="B176" t="s">
        <v>3430</v>
      </c>
      <c r="C176" t="s">
        <v>3779</v>
      </c>
      <c r="D176" t="s">
        <v>3780</v>
      </c>
      <c r="E176" t="s">
        <v>3803</v>
      </c>
      <c r="F176" t="s">
        <v>3804</v>
      </c>
    </row>
    <row r="177" spans="1:6" x14ac:dyDescent="0.3">
      <c r="A177" t="s">
        <v>3429</v>
      </c>
      <c r="B177" t="s">
        <v>3430</v>
      </c>
      <c r="C177" t="s">
        <v>3789</v>
      </c>
      <c r="D177" t="s">
        <v>3790</v>
      </c>
      <c r="E177" t="s">
        <v>3805</v>
      </c>
      <c r="F177" t="s">
        <v>3806</v>
      </c>
    </row>
    <row r="178" spans="1:6" x14ac:dyDescent="0.3">
      <c r="A178" t="s">
        <v>3429</v>
      </c>
      <c r="B178" t="s">
        <v>3430</v>
      </c>
      <c r="C178" t="s">
        <v>3789</v>
      </c>
      <c r="D178" t="s">
        <v>3790</v>
      </c>
      <c r="E178" t="s">
        <v>3807</v>
      </c>
      <c r="F178" t="s">
        <v>3808</v>
      </c>
    </row>
    <row r="179" spans="1:6" x14ac:dyDescent="0.3">
      <c r="A179" t="s">
        <v>3429</v>
      </c>
      <c r="B179" t="s">
        <v>3430</v>
      </c>
      <c r="C179" t="s">
        <v>3795</v>
      </c>
      <c r="D179" t="s">
        <v>3796</v>
      </c>
      <c r="E179" t="s">
        <v>3809</v>
      </c>
      <c r="F179" t="s">
        <v>3810</v>
      </c>
    </row>
    <row r="180" spans="1:6" x14ac:dyDescent="0.3">
      <c r="A180" t="s">
        <v>3429</v>
      </c>
      <c r="B180" t="s">
        <v>3430</v>
      </c>
      <c r="C180" t="s">
        <v>3795</v>
      </c>
      <c r="D180" t="s">
        <v>3796</v>
      </c>
      <c r="E180" t="s">
        <v>3811</v>
      </c>
      <c r="F180" t="s">
        <v>3812</v>
      </c>
    </row>
    <row r="181" spans="1:6" x14ac:dyDescent="0.3">
      <c r="A181" t="s">
        <v>3429</v>
      </c>
      <c r="B181" t="s">
        <v>3430</v>
      </c>
      <c r="C181" t="s">
        <v>3729</v>
      </c>
      <c r="D181" t="s">
        <v>3730</v>
      </c>
      <c r="E181" t="s">
        <v>3813</v>
      </c>
      <c r="F181" t="s">
        <v>3814</v>
      </c>
    </row>
    <row r="182" spans="1:6" x14ac:dyDescent="0.3">
      <c r="A182" t="s">
        <v>3429</v>
      </c>
      <c r="B182" t="s">
        <v>3430</v>
      </c>
      <c r="C182" t="s">
        <v>3779</v>
      </c>
      <c r="D182" t="s">
        <v>3780</v>
      </c>
      <c r="E182" t="s">
        <v>3815</v>
      </c>
      <c r="F182" t="s">
        <v>3816</v>
      </c>
    </row>
    <row r="183" spans="1:6" x14ac:dyDescent="0.3">
      <c r="A183" t="s">
        <v>3429</v>
      </c>
      <c r="B183" t="s">
        <v>3430</v>
      </c>
      <c r="C183" t="s">
        <v>3795</v>
      </c>
      <c r="D183" t="s">
        <v>3796</v>
      </c>
      <c r="E183" t="s">
        <v>3817</v>
      </c>
      <c r="F183" t="s">
        <v>3818</v>
      </c>
    </row>
    <row r="184" spans="1:6" x14ac:dyDescent="0.3">
      <c r="A184" t="s">
        <v>3450</v>
      </c>
      <c r="B184" t="s">
        <v>3451</v>
      </c>
      <c r="C184" t="s">
        <v>3819</v>
      </c>
      <c r="D184" t="s">
        <v>3820</v>
      </c>
      <c r="E184" t="s">
        <v>3821</v>
      </c>
      <c r="F184" t="s">
        <v>3822</v>
      </c>
    </row>
    <row r="185" spans="1:6" x14ac:dyDescent="0.3">
      <c r="A185" t="s">
        <v>3450</v>
      </c>
      <c r="B185" t="s">
        <v>3451</v>
      </c>
      <c r="C185" t="s">
        <v>3819</v>
      </c>
      <c r="D185" t="s">
        <v>3820</v>
      </c>
      <c r="E185" t="s">
        <v>3823</v>
      </c>
      <c r="F185" t="s">
        <v>3824</v>
      </c>
    </row>
    <row r="186" spans="1:6" x14ac:dyDescent="0.3">
      <c r="A186" t="s">
        <v>3429</v>
      </c>
      <c r="B186" t="s">
        <v>3430</v>
      </c>
      <c r="C186" t="s">
        <v>3789</v>
      </c>
      <c r="D186" t="s">
        <v>3790</v>
      </c>
      <c r="E186" t="s">
        <v>3825</v>
      </c>
      <c r="F186" t="s">
        <v>3826</v>
      </c>
    </row>
    <row r="187" spans="1:6" x14ac:dyDescent="0.3">
      <c r="A187" t="s">
        <v>3429</v>
      </c>
      <c r="B187" t="s">
        <v>3430</v>
      </c>
      <c r="C187" t="s">
        <v>3789</v>
      </c>
      <c r="D187" t="s">
        <v>3790</v>
      </c>
      <c r="E187" t="s">
        <v>3827</v>
      </c>
      <c r="F187" t="s">
        <v>3828</v>
      </c>
    </row>
    <row r="188" spans="1:6" x14ac:dyDescent="0.3">
      <c r="A188" t="s">
        <v>3450</v>
      </c>
      <c r="B188" t="s">
        <v>3451</v>
      </c>
      <c r="C188" t="s">
        <v>3819</v>
      </c>
      <c r="D188" t="s">
        <v>3820</v>
      </c>
      <c r="E188" t="s">
        <v>3829</v>
      </c>
      <c r="F188" t="s">
        <v>3830</v>
      </c>
    </row>
    <row r="189" spans="1:6" x14ac:dyDescent="0.3">
      <c r="A189" t="s">
        <v>3429</v>
      </c>
      <c r="B189" t="s">
        <v>3430</v>
      </c>
      <c r="C189" t="s">
        <v>3795</v>
      </c>
      <c r="D189" t="s">
        <v>3796</v>
      </c>
      <c r="E189" t="s">
        <v>3831</v>
      </c>
      <c r="F189" t="s">
        <v>3832</v>
      </c>
    </row>
    <row r="190" spans="1:6" x14ac:dyDescent="0.3">
      <c r="A190" t="s">
        <v>3429</v>
      </c>
      <c r="B190" t="s">
        <v>3430</v>
      </c>
      <c r="C190" t="s">
        <v>3789</v>
      </c>
      <c r="D190" t="s">
        <v>3790</v>
      </c>
      <c r="E190" t="s">
        <v>3833</v>
      </c>
      <c r="F190" t="s">
        <v>3834</v>
      </c>
    </row>
    <row r="191" spans="1:6" x14ac:dyDescent="0.3">
      <c r="A191" t="s">
        <v>3429</v>
      </c>
      <c r="B191" t="s">
        <v>3430</v>
      </c>
      <c r="C191" t="s">
        <v>3789</v>
      </c>
      <c r="D191" t="s">
        <v>3790</v>
      </c>
      <c r="E191" t="s">
        <v>3835</v>
      </c>
      <c r="F191" t="s">
        <v>3836</v>
      </c>
    </row>
    <row r="192" spans="1:6" x14ac:dyDescent="0.3">
      <c r="A192" t="s">
        <v>3472</v>
      </c>
      <c r="B192" t="s">
        <v>3473</v>
      </c>
      <c r="C192" t="s">
        <v>3837</v>
      </c>
      <c r="D192" t="s">
        <v>3838</v>
      </c>
      <c r="E192" t="s">
        <v>3839</v>
      </c>
      <c r="F192" t="s">
        <v>3840</v>
      </c>
    </row>
    <row r="193" spans="1:6" x14ac:dyDescent="0.3">
      <c r="A193" t="s">
        <v>3472</v>
      </c>
      <c r="B193" t="s">
        <v>3473</v>
      </c>
      <c r="C193" t="s">
        <v>3837</v>
      </c>
      <c r="D193" t="s">
        <v>3838</v>
      </c>
      <c r="E193" t="s">
        <v>3841</v>
      </c>
      <c r="F193" t="s">
        <v>3842</v>
      </c>
    </row>
    <row r="194" spans="1:6" x14ac:dyDescent="0.3">
      <c r="A194" t="s">
        <v>3472</v>
      </c>
      <c r="B194" t="s">
        <v>3473</v>
      </c>
      <c r="C194" t="s">
        <v>3837</v>
      </c>
      <c r="D194" t="s">
        <v>3838</v>
      </c>
      <c r="E194" t="s">
        <v>3843</v>
      </c>
      <c r="F194" t="s">
        <v>3844</v>
      </c>
    </row>
    <row r="195" spans="1:6" x14ac:dyDescent="0.3">
      <c r="A195" t="s">
        <v>3472</v>
      </c>
      <c r="B195" t="s">
        <v>3473</v>
      </c>
      <c r="C195" t="s">
        <v>3837</v>
      </c>
      <c r="D195" t="s">
        <v>3838</v>
      </c>
      <c r="E195" t="s">
        <v>3845</v>
      </c>
      <c r="F195" t="s">
        <v>3846</v>
      </c>
    </row>
    <row r="196" spans="1:6" x14ac:dyDescent="0.3">
      <c r="A196" t="s">
        <v>3472</v>
      </c>
      <c r="B196" t="s">
        <v>3473</v>
      </c>
      <c r="C196" t="s">
        <v>3837</v>
      </c>
      <c r="D196" t="s">
        <v>3838</v>
      </c>
      <c r="E196" t="s">
        <v>3847</v>
      </c>
      <c r="F196" t="s">
        <v>3848</v>
      </c>
    </row>
    <row r="197" spans="1:6" x14ac:dyDescent="0.3">
      <c r="A197" t="s">
        <v>3472</v>
      </c>
      <c r="B197" t="s">
        <v>3473</v>
      </c>
      <c r="C197" t="s">
        <v>3837</v>
      </c>
      <c r="D197" t="s">
        <v>3838</v>
      </c>
      <c r="E197" t="s">
        <v>3849</v>
      </c>
      <c r="F197" t="s">
        <v>3850</v>
      </c>
    </row>
    <row r="198" spans="1:6" x14ac:dyDescent="0.3">
      <c r="A198" t="s">
        <v>3472</v>
      </c>
      <c r="B198" t="s">
        <v>3473</v>
      </c>
      <c r="C198" t="s">
        <v>3837</v>
      </c>
      <c r="D198" t="s">
        <v>3838</v>
      </c>
      <c r="E198" t="s">
        <v>3851</v>
      </c>
      <c r="F198" t="s">
        <v>3852</v>
      </c>
    </row>
    <row r="199" spans="1:6" x14ac:dyDescent="0.3">
      <c r="A199" t="s">
        <v>3429</v>
      </c>
      <c r="B199" t="s">
        <v>3430</v>
      </c>
      <c r="C199" t="s">
        <v>3853</v>
      </c>
      <c r="D199" t="s">
        <v>3854</v>
      </c>
      <c r="E199" t="s">
        <v>3855</v>
      </c>
      <c r="F199" t="s">
        <v>3856</v>
      </c>
    </row>
    <row r="200" spans="1:6" x14ac:dyDescent="0.3">
      <c r="A200" t="s">
        <v>3429</v>
      </c>
      <c r="B200" t="s">
        <v>3430</v>
      </c>
      <c r="C200" t="s">
        <v>3853</v>
      </c>
      <c r="D200" t="s">
        <v>3854</v>
      </c>
      <c r="E200" t="s">
        <v>3857</v>
      </c>
      <c r="F200" t="s">
        <v>3858</v>
      </c>
    </row>
    <row r="201" spans="1:6" x14ac:dyDescent="0.3">
      <c r="A201" t="s">
        <v>3429</v>
      </c>
      <c r="B201" t="s">
        <v>3430</v>
      </c>
      <c r="C201" t="s">
        <v>3853</v>
      </c>
      <c r="D201" t="s">
        <v>3854</v>
      </c>
      <c r="E201" t="s">
        <v>3859</v>
      </c>
      <c r="F201" t="s">
        <v>3860</v>
      </c>
    </row>
    <row r="202" spans="1:6" x14ac:dyDescent="0.3">
      <c r="A202" t="s">
        <v>3429</v>
      </c>
      <c r="B202" t="s">
        <v>3430</v>
      </c>
      <c r="C202" t="s">
        <v>3853</v>
      </c>
      <c r="D202" t="s">
        <v>3854</v>
      </c>
      <c r="E202" t="s">
        <v>3861</v>
      </c>
      <c r="F202" t="s">
        <v>3862</v>
      </c>
    </row>
    <row r="203" spans="1:6" x14ac:dyDescent="0.3">
      <c r="A203" t="s">
        <v>3429</v>
      </c>
      <c r="B203" t="s">
        <v>3430</v>
      </c>
      <c r="C203" t="s">
        <v>3853</v>
      </c>
      <c r="D203" t="s">
        <v>3854</v>
      </c>
      <c r="E203" t="s">
        <v>3863</v>
      </c>
      <c r="F203" t="s">
        <v>3864</v>
      </c>
    </row>
    <row r="204" spans="1:6" x14ac:dyDescent="0.3">
      <c r="A204" t="s">
        <v>3429</v>
      </c>
      <c r="B204" t="s">
        <v>3430</v>
      </c>
      <c r="C204" t="s">
        <v>3853</v>
      </c>
      <c r="D204" t="s">
        <v>3854</v>
      </c>
      <c r="E204" t="s">
        <v>3865</v>
      </c>
      <c r="F204" t="s">
        <v>3866</v>
      </c>
    </row>
    <row r="205" spans="1:6" x14ac:dyDescent="0.3">
      <c r="A205" t="s">
        <v>3429</v>
      </c>
      <c r="B205" t="s">
        <v>3430</v>
      </c>
      <c r="C205" t="s">
        <v>3853</v>
      </c>
      <c r="D205" t="s">
        <v>3854</v>
      </c>
      <c r="E205" t="s">
        <v>3863</v>
      </c>
      <c r="F205" t="s">
        <v>3867</v>
      </c>
    </row>
    <row r="206" spans="1:6" x14ac:dyDescent="0.3">
      <c r="A206" t="s">
        <v>3429</v>
      </c>
      <c r="B206" t="s">
        <v>3430</v>
      </c>
      <c r="C206" t="s">
        <v>3853</v>
      </c>
      <c r="D206" t="s">
        <v>3854</v>
      </c>
      <c r="E206" t="s">
        <v>3868</v>
      </c>
      <c r="F206" t="s">
        <v>3869</v>
      </c>
    </row>
    <row r="207" spans="1:6" x14ac:dyDescent="0.3">
      <c r="A207" t="s">
        <v>3429</v>
      </c>
      <c r="B207" t="s">
        <v>3430</v>
      </c>
      <c r="C207" t="s">
        <v>3870</v>
      </c>
      <c r="D207" t="s">
        <v>3871</v>
      </c>
      <c r="E207" t="s">
        <v>3872</v>
      </c>
      <c r="F207" t="s">
        <v>3873</v>
      </c>
    </row>
    <row r="208" spans="1:6" x14ac:dyDescent="0.3">
      <c r="A208" t="s">
        <v>3429</v>
      </c>
      <c r="B208" t="s">
        <v>3430</v>
      </c>
      <c r="C208" t="s">
        <v>3870</v>
      </c>
      <c r="D208" t="s">
        <v>3871</v>
      </c>
      <c r="E208" t="s">
        <v>3874</v>
      </c>
      <c r="F208" t="s">
        <v>3875</v>
      </c>
    </row>
    <row r="209" spans="1:6" x14ac:dyDescent="0.3">
      <c r="A209" t="s">
        <v>3429</v>
      </c>
      <c r="B209" t="s">
        <v>3430</v>
      </c>
      <c r="C209" t="s">
        <v>3870</v>
      </c>
      <c r="D209" t="s">
        <v>3871</v>
      </c>
      <c r="E209" t="s">
        <v>3876</v>
      </c>
      <c r="F209" t="s">
        <v>3877</v>
      </c>
    </row>
    <row r="210" spans="1:6" x14ac:dyDescent="0.3">
      <c r="A210" t="s">
        <v>3429</v>
      </c>
      <c r="B210" t="s">
        <v>3430</v>
      </c>
      <c r="C210" t="s">
        <v>3870</v>
      </c>
      <c r="D210" t="s">
        <v>3871</v>
      </c>
      <c r="E210" t="s">
        <v>3878</v>
      </c>
      <c r="F210" t="s">
        <v>3879</v>
      </c>
    </row>
    <row r="211" spans="1:6" x14ac:dyDescent="0.3">
      <c r="A211" t="s">
        <v>3429</v>
      </c>
      <c r="B211" t="s">
        <v>3430</v>
      </c>
      <c r="C211" t="s">
        <v>3870</v>
      </c>
      <c r="D211" t="s">
        <v>3871</v>
      </c>
      <c r="E211" t="s">
        <v>3880</v>
      </c>
      <c r="F211" t="s">
        <v>3881</v>
      </c>
    </row>
    <row r="212" spans="1:6" x14ac:dyDescent="0.3">
      <c r="A212" t="s">
        <v>3325</v>
      </c>
      <c r="B212" t="s">
        <v>3404</v>
      </c>
      <c r="C212" t="s">
        <v>3882</v>
      </c>
      <c r="D212" t="s">
        <v>3883</v>
      </c>
      <c r="E212" t="s">
        <v>3884</v>
      </c>
      <c r="F212" t="s">
        <v>3885</v>
      </c>
    </row>
    <row r="213" spans="1:6" x14ac:dyDescent="0.3">
      <c r="A213" t="s">
        <v>3325</v>
      </c>
      <c r="B213" t="s">
        <v>3404</v>
      </c>
      <c r="C213" t="s">
        <v>3882</v>
      </c>
      <c r="D213" t="s">
        <v>3883</v>
      </c>
      <c r="E213" t="s">
        <v>3886</v>
      </c>
      <c r="F213" t="s">
        <v>3887</v>
      </c>
    </row>
    <row r="214" spans="1:6" x14ac:dyDescent="0.3">
      <c r="A214" t="s">
        <v>3325</v>
      </c>
      <c r="B214" t="s">
        <v>3404</v>
      </c>
      <c r="C214" t="s">
        <v>3882</v>
      </c>
      <c r="D214" t="s">
        <v>3883</v>
      </c>
      <c r="E214" t="s">
        <v>3888</v>
      </c>
      <c r="F214" t="s">
        <v>3889</v>
      </c>
    </row>
    <row r="215" spans="1:6" x14ac:dyDescent="0.3">
      <c r="A215" t="s">
        <v>3450</v>
      </c>
      <c r="B215" t="s">
        <v>3451</v>
      </c>
      <c r="C215" t="s">
        <v>3819</v>
      </c>
      <c r="D215" t="s">
        <v>3820</v>
      </c>
      <c r="E215" t="s">
        <v>3890</v>
      </c>
      <c r="F215" t="s">
        <v>3891</v>
      </c>
    </row>
    <row r="216" spans="1:6" x14ac:dyDescent="0.3">
      <c r="A216" t="s">
        <v>3450</v>
      </c>
      <c r="B216" t="s">
        <v>3451</v>
      </c>
      <c r="C216" t="s">
        <v>3819</v>
      </c>
      <c r="D216" t="s">
        <v>3820</v>
      </c>
      <c r="E216" t="s">
        <v>3892</v>
      </c>
      <c r="F216" t="s">
        <v>3893</v>
      </c>
    </row>
    <row r="217" spans="1:6" x14ac:dyDescent="0.3">
      <c r="A217" t="s">
        <v>3450</v>
      </c>
      <c r="B217" t="s">
        <v>3451</v>
      </c>
      <c r="C217" t="s">
        <v>3819</v>
      </c>
      <c r="D217" t="s">
        <v>3820</v>
      </c>
      <c r="E217" t="s">
        <v>3890</v>
      </c>
      <c r="F217" t="s">
        <v>3894</v>
      </c>
    </row>
    <row r="218" spans="1:6" x14ac:dyDescent="0.3">
      <c r="A218" t="s">
        <v>3450</v>
      </c>
      <c r="B218" t="s">
        <v>3451</v>
      </c>
      <c r="C218" t="s">
        <v>3819</v>
      </c>
      <c r="D218" t="s">
        <v>3820</v>
      </c>
      <c r="E218" t="s">
        <v>3890</v>
      </c>
      <c r="F218" t="s">
        <v>3895</v>
      </c>
    </row>
    <row r="219" spans="1:6" x14ac:dyDescent="0.3">
      <c r="A219" t="s">
        <v>3450</v>
      </c>
      <c r="B219" t="s">
        <v>3451</v>
      </c>
      <c r="C219" t="s">
        <v>3819</v>
      </c>
      <c r="D219" t="s">
        <v>3820</v>
      </c>
      <c r="E219" t="s">
        <v>3896</v>
      </c>
      <c r="F219" t="s">
        <v>3897</v>
      </c>
    </row>
    <row r="220" spans="1:6" x14ac:dyDescent="0.3">
      <c r="A220" t="s">
        <v>3449</v>
      </c>
      <c r="B220" t="s">
        <v>534</v>
      </c>
      <c r="C220" t="s">
        <v>31</v>
      </c>
      <c r="D220" t="s">
        <v>549</v>
      </c>
      <c r="E220" t="s">
        <v>169</v>
      </c>
      <c r="F220" t="s">
        <v>673</v>
      </c>
    </row>
    <row r="221" spans="1:6" x14ac:dyDescent="0.3">
      <c r="A221" t="s">
        <v>3449</v>
      </c>
      <c r="B221" t="s">
        <v>534</v>
      </c>
      <c r="C221" t="s">
        <v>31</v>
      </c>
      <c r="D221" t="s">
        <v>549</v>
      </c>
      <c r="E221" t="s">
        <v>173</v>
      </c>
      <c r="F221" t="s">
        <v>556</v>
      </c>
    </row>
    <row r="222" spans="1:6" x14ac:dyDescent="0.3">
      <c r="A222" t="s">
        <v>3449</v>
      </c>
      <c r="B222" t="s">
        <v>534</v>
      </c>
      <c r="C222" t="s">
        <v>31</v>
      </c>
      <c r="D222" t="s">
        <v>549</v>
      </c>
      <c r="E222" t="s">
        <v>170</v>
      </c>
      <c r="F222" t="s">
        <v>866</v>
      </c>
    </row>
    <row r="223" spans="1:6" x14ac:dyDescent="0.3">
      <c r="A223" t="s">
        <v>3449</v>
      </c>
      <c r="B223" t="s">
        <v>534</v>
      </c>
      <c r="C223" t="s">
        <v>31</v>
      </c>
      <c r="D223" t="s">
        <v>549</v>
      </c>
      <c r="E223" t="s">
        <v>165</v>
      </c>
      <c r="F223" t="s">
        <v>881</v>
      </c>
    </row>
    <row r="224" spans="1:6" x14ac:dyDescent="0.3">
      <c r="A224" t="s">
        <v>3449</v>
      </c>
      <c r="B224" t="s">
        <v>534</v>
      </c>
      <c r="C224" t="s">
        <v>31</v>
      </c>
      <c r="D224" t="s">
        <v>549</v>
      </c>
      <c r="E224" t="s">
        <v>166</v>
      </c>
      <c r="F224" t="s">
        <v>844</v>
      </c>
    </row>
    <row r="225" spans="1:6" x14ac:dyDescent="0.3">
      <c r="A225" t="s">
        <v>3449</v>
      </c>
      <c r="B225" t="s">
        <v>534</v>
      </c>
      <c r="C225" t="s">
        <v>31</v>
      </c>
      <c r="D225" t="s">
        <v>549</v>
      </c>
      <c r="E225" t="s">
        <v>171</v>
      </c>
      <c r="F225" t="s">
        <v>634</v>
      </c>
    </row>
    <row r="226" spans="1:6" x14ac:dyDescent="0.3">
      <c r="A226" t="s">
        <v>3449</v>
      </c>
      <c r="B226" t="s">
        <v>534</v>
      </c>
      <c r="C226" t="s">
        <v>31</v>
      </c>
      <c r="D226" t="s">
        <v>549</v>
      </c>
      <c r="E226" t="s">
        <v>3898</v>
      </c>
      <c r="F226" t="s">
        <v>767</v>
      </c>
    </row>
    <row r="227" spans="1:6" x14ac:dyDescent="0.3">
      <c r="A227" t="s">
        <v>3325</v>
      </c>
      <c r="B227" t="s">
        <v>3404</v>
      </c>
      <c r="C227" t="s">
        <v>3899</v>
      </c>
      <c r="D227" t="s">
        <v>3900</v>
      </c>
      <c r="E227" t="s">
        <v>3901</v>
      </c>
      <c r="F227" t="s">
        <v>3902</v>
      </c>
    </row>
    <row r="228" spans="1:6" x14ac:dyDescent="0.3">
      <c r="A228" t="s">
        <v>3325</v>
      </c>
      <c r="B228" t="s">
        <v>3404</v>
      </c>
      <c r="C228" t="s">
        <v>3899</v>
      </c>
      <c r="D228" t="s">
        <v>3900</v>
      </c>
      <c r="E228" t="s">
        <v>3903</v>
      </c>
      <c r="F228" t="s">
        <v>3904</v>
      </c>
    </row>
    <row r="229" spans="1:6" x14ac:dyDescent="0.3">
      <c r="A229" t="s">
        <v>3325</v>
      </c>
      <c r="B229" t="s">
        <v>3404</v>
      </c>
      <c r="C229" t="s">
        <v>3899</v>
      </c>
      <c r="D229" t="s">
        <v>3900</v>
      </c>
      <c r="E229" t="s">
        <v>3905</v>
      </c>
      <c r="F229" t="s">
        <v>3906</v>
      </c>
    </row>
    <row r="230" spans="1:6" x14ac:dyDescent="0.3">
      <c r="A230" t="s">
        <v>3325</v>
      </c>
      <c r="B230" t="s">
        <v>3404</v>
      </c>
      <c r="C230" t="s">
        <v>3899</v>
      </c>
      <c r="D230" t="s">
        <v>3900</v>
      </c>
      <c r="E230" t="s">
        <v>3907</v>
      </c>
      <c r="F230" t="s">
        <v>3908</v>
      </c>
    </row>
    <row r="231" spans="1:6" x14ac:dyDescent="0.3">
      <c r="A231" t="s">
        <v>3325</v>
      </c>
      <c r="B231" t="s">
        <v>3404</v>
      </c>
      <c r="C231" t="s">
        <v>3909</v>
      </c>
      <c r="D231" t="s">
        <v>3910</v>
      </c>
      <c r="E231" t="s">
        <v>3911</v>
      </c>
      <c r="F231" t="s">
        <v>3912</v>
      </c>
    </row>
    <row r="232" spans="1:6" x14ac:dyDescent="0.3">
      <c r="A232" t="s">
        <v>3325</v>
      </c>
      <c r="B232" t="s">
        <v>3404</v>
      </c>
      <c r="C232" t="s">
        <v>3909</v>
      </c>
      <c r="D232" t="s">
        <v>3910</v>
      </c>
      <c r="E232" t="s">
        <v>3913</v>
      </c>
      <c r="F232" t="s">
        <v>3914</v>
      </c>
    </row>
    <row r="233" spans="1:6" x14ac:dyDescent="0.3">
      <c r="A233" t="s">
        <v>3326</v>
      </c>
      <c r="B233" t="s">
        <v>3405</v>
      </c>
      <c r="C233" t="s">
        <v>3915</v>
      </c>
      <c r="D233" t="s">
        <v>3916</v>
      </c>
      <c r="E233" t="s">
        <v>3917</v>
      </c>
      <c r="F233" t="s">
        <v>3918</v>
      </c>
    </row>
    <row r="234" spans="1:6" x14ac:dyDescent="0.3">
      <c r="A234" t="s">
        <v>3326</v>
      </c>
      <c r="B234" t="s">
        <v>3405</v>
      </c>
      <c r="C234" t="s">
        <v>3915</v>
      </c>
      <c r="D234" t="s">
        <v>3916</v>
      </c>
      <c r="E234" t="s">
        <v>3919</v>
      </c>
      <c r="F234" t="s">
        <v>3920</v>
      </c>
    </row>
    <row r="235" spans="1:6" x14ac:dyDescent="0.3">
      <c r="A235" t="s">
        <v>3325</v>
      </c>
      <c r="B235" t="s">
        <v>3404</v>
      </c>
      <c r="C235" t="s">
        <v>3921</v>
      </c>
      <c r="D235" t="s">
        <v>3922</v>
      </c>
      <c r="E235" t="s">
        <v>3923</v>
      </c>
      <c r="F235" t="s">
        <v>3924</v>
      </c>
    </row>
    <row r="236" spans="1:6" x14ac:dyDescent="0.3">
      <c r="A236" t="s">
        <v>3325</v>
      </c>
      <c r="B236" t="s">
        <v>3404</v>
      </c>
      <c r="C236" t="s">
        <v>3921</v>
      </c>
      <c r="D236" t="s">
        <v>3922</v>
      </c>
      <c r="E236" t="s">
        <v>3925</v>
      </c>
      <c r="F236" t="s">
        <v>3926</v>
      </c>
    </row>
    <row r="237" spans="1:6" x14ac:dyDescent="0.3">
      <c r="A237" t="s">
        <v>3325</v>
      </c>
      <c r="B237" t="s">
        <v>3404</v>
      </c>
      <c r="C237" t="s">
        <v>3921</v>
      </c>
      <c r="D237" t="s">
        <v>3922</v>
      </c>
      <c r="E237" t="s">
        <v>3927</v>
      </c>
      <c r="F237" t="s">
        <v>3928</v>
      </c>
    </row>
    <row r="238" spans="1:6" x14ac:dyDescent="0.3">
      <c r="A238" t="s">
        <v>3325</v>
      </c>
      <c r="B238" t="s">
        <v>3404</v>
      </c>
      <c r="C238" t="s">
        <v>3921</v>
      </c>
      <c r="D238" t="s">
        <v>3922</v>
      </c>
      <c r="E238" t="s">
        <v>3929</v>
      </c>
      <c r="F238" t="s">
        <v>3930</v>
      </c>
    </row>
    <row r="239" spans="1:6" x14ac:dyDescent="0.3">
      <c r="A239" t="s">
        <v>3325</v>
      </c>
      <c r="B239" t="s">
        <v>3404</v>
      </c>
      <c r="C239" t="s">
        <v>3921</v>
      </c>
      <c r="D239" t="s">
        <v>3922</v>
      </c>
      <c r="E239" t="s">
        <v>3931</v>
      </c>
      <c r="F239" t="s">
        <v>3932</v>
      </c>
    </row>
    <row r="240" spans="1:6" x14ac:dyDescent="0.3">
      <c r="A240" t="s">
        <v>3325</v>
      </c>
      <c r="B240" t="s">
        <v>3404</v>
      </c>
      <c r="C240" t="s">
        <v>3921</v>
      </c>
      <c r="D240" t="s">
        <v>3922</v>
      </c>
      <c r="E240" t="s">
        <v>3933</v>
      </c>
      <c r="F240" t="s">
        <v>3934</v>
      </c>
    </row>
    <row r="241" spans="1:6" x14ac:dyDescent="0.3">
      <c r="A241" t="s">
        <v>3325</v>
      </c>
      <c r="B241" t="s">
        <v>3404</v>
      </c>
      <c r="C241" t="s">
        <v>3921</v>
      </c>
      <c r="D241" t="s">
        <v>3922</v>
      </c>
      <c r="E241" t="s">
        <v>3935</v>
      </c>
      <c r="F241" t="s">
        <v>3936</v>
      </c>
    </row>
    <row r="242" spans="1:6" x14ac:dyDescent="0.3">
      <c r="A242" t="s">
        <v>3325</v>
      </c>
      <c r="B242" t="s">
        <v>3404</v>
      </c>
      <c r="C242" t="s">
        <v>3921</v>
      </c>
      <c r="D242" t="s">
        <v>3922</v>
      </c>
      <c r="E242" t="s">
        <v>3937</v>
      </c>
      <c r="F242" t="s">
        <v>3938</v>
      </c>
    </row>
    <row r="243" spans="1:6" x14ac:dyDescent="0.3">
      <c r="A243" t="s">
        <v>3326</v>
      </c>
      <c r="B243" t="s">
        <v>3405</v>
      </c>
      <c r="C243" t="s">
        <v>3939</v>
      </c>
      <c r="D243" t="s">
        <v>3940</v>
      </c>
      <c r="E243" t="s">
        <v>3941</v>
      </c>
      <c r="F243" t="s">
        <v>3942</v>
      </c>
    </row>
    <row r="244" spans="1:6" x14ac:dyDescent="0.3">
      <c r="A244" t="s">
        <v>3326</v>
      </c>
      <c r="B244" t="s">
        <v>3405</v>
      </c>
      <c r="C244" t="s">
        <v>3939</v>
      </c>
      <c r="D244" t="s">
        <v>3940</v>
      </c>
      <c r="E244" t="s">
        <v>3943</v>
      </c>
      <c r="F244" t="s">
        <v>3944</v>
      </c>
    </row>
    <row r="245" spans="1:6" x14ac:dyDescent="0.3">
      <c r="A245" t="s">
        <v>3326</v>
      </c>
      <c r="B245" t="s">
        <v>3405</v>
      </c>
      <c r="C245" t="s">
        <v>3939</v>
      </c>
      <c r="D245" t="s">
        <v>3940</v>
      </c>
      <c r="E245" t="s">
        <v>3945</v>
      </c>
      <c r="F245" t="s">
        <v>3946</v>
      </c>
    </row>
    <row r="246" spans="1:6" x14ac:dyDescent="0.3">
      <c r="A246" t="s">
        <v>3326</v>
      </c>
      <c r="B246" t="s">
        <v>3405</v>
      </c>
      <c r="C246" t="s">
        <v>3939</v>
      </c>
      <c r="D246" t="s">
        <v>3940</v>
      </c>
      <c r="E246" t="s">
        <v>3947</v>
      </c>
      <c r="F246" t="s">
        <v>3948</v>
      </c>
    </row>
    <row r="247" spans="1:6" x14ac:dyDescent="0.3">
      <c r="A247" t="s">
        <v>3326</v>
      </c>
      <c r="B247" t="s">
        <v>3405</v>
      </c>
      <c r="C247" t="s">
        <v>3939</v>
      </c>
      <c r="D247" t="s">
        <v>3940</v>
      </c>
      <c r="E247" t="s">
        <v>3949</v>
      </c>
      <c r="F247" t="s">
        <v>3950</v>
      </c>
    </row>
    <row r="248" spans="1:6" x14ac:dyDescent="0.3">
      <c r="A248" t="s">
        <v>3326</v>
      </c>
      <c r="B248" t="s">
        <v>3405</v>
      </c>
      <c r="C248" t="s">
        <v>3939</v>
      </c>
      <c r="D248" t="s">
        <v>3940</v>
      </c>
      <c r="E248" t="s">
        <v>3951</v>
      </c>
      <c r="F248" t="s">
        <v>3952</v>
      </c>
    </row>
    <row r="249" spans="1:6" x14ac:dyDescent="0.3">
      <c r="A249" t="s">
        <v>3326</v>
      </c>
      <c r="B249" t="s">
        <v>3405</v>
      </c>
      <c r="C249" t="s">
        <v>3939</v>
      </c>
      <c r="D249" t="s">
        <v>3940</v>
      </c>
      <c r="E249" t="s">
        <v>3953</v>
      </c>
      <c r="F249" t="s">
        <v>3954</v>
      </c>
    </row>
    <row r="250" spans="1:6" x14ac:dyDescent="0.3">
      <c r="A250" t="s">
        <v>3326</v>
      </c>
      <c r="B250" t="s">
        <v>3405</v>
      </c>
      <c r="C250" t="s">
        <v>3939</v>
      </c>
      <c r="D250" t="s">
        <v>3940</v>
      </c>
      <c r="E250" t="s">
        <v>3955</v>
      </c>
      <c r="F250" t="s">
        <v>3956</v>
      </c>
    </row>
    <row r="251" spans="1:6" x14ac:dyDescent="0.3">
      <c r="A251" t="s">
        <v>3326</v>
      </c>
      <c r="B251" t="s">
        <v>3405</v>
      </c>
      <c r="C251" t="s">
        <v>3939</v>
      </c>
      <c r="D251" t="s">
        <v>3940</v>
      </c>
      <c r="E251" t="s">
        <v>3957</v>
      </c>
      <c r="F251" t="s">
        <v>3958</v>
      </c>
    </row>
    <row r="252" spans="1:6" x14ac:dyDescent="0.3">
      <c r="A252" t="s">
        <v>3326</v>
      </c>
      <c r="B252" t="s">
        <v>3405</v>
      </c>
      <c r="C252" t="s">
        <v>3939</v>
      </c>
      <c r="D252" t="s">
        <v>3940</v>
      </c>
      <c r="E252" t="s">
        <v>3959</v>
      </c>
      <c r="F252" t="s">
        <v>3960</v>
      </c>
    </row>
    <row r="253" spans="1:6" x14ac:dyDescent="0.3">
      <c r="A253" t="s">
        <v>3326</v>
      </c>
      <c r="B253" t="s">
        <v>3405</v>
      </c>
      <c r="C253" t="s">
        <v>3939</v>
      </c>
      <c r="D253" t="s">
        <v>3940</v>
      </c>
      <c r="E253" t="s">
        <v>3961</v>
      </c>
      <c r="F253" t="s">
        <v>3962</v>
      </c>
    </row>
    <row r="254" spans="1:6" x14ac:dyDescent="0.3">
      <c r="A254" t="s">
        <v>3326</v>
      </c>
      <c r="B254" t="s">
        <v>3405</v>
      </c>
      <c r="C254" t="s">
        <v>3939</v>
      </c>
      <c r="D254" t="s">
        <v>3940</v>
      </c>
      <c r="E254" t="s">
        <v>3963</v>
      </c>
      <c r="F254" t="s">
        <v>3964</v>
      </c>
    </row>
    <row r="255" spans="1:6" x14ac:dyDescent="0.3">
      <c r="A255" t="s">
        <v>3326</v>
      </c>
      <c r="B255" t="s">
        <v>3405</v>
      </c>
      <c r="C255" t="s">
        <v>3965</v>
      </c>
      <c r="D255" t="s">
        <v>3966</v>
      </c>
      <c r="E255" t="s">
        <v>3967</v>
      </c>
      <c r="F255" t="s">
        <v>3968</v>
      </c>
    </row>
    <row r="256" spans="1:6" x14ac:dyDescent="0.3">
      <c r="A256" t="s">
        <v>3326</v>
      </c>
      <c r="B256" t="s">
        <v>3405</v>
      </c>
      <c r="C256" t="s">
        <v>3965</v>
      </c>
      <c r="D256" t="s">
        <v>3966</v>
      </c>
      <c r="E256" t="s">
        <v>3969</v>
      </c>
      <c r="F256" t="s">
        <v>3970</v>
      </c>
    </row>
    <row r="257" spans="1:6" x14ac:dyDescent="0.3">
      <c r="A257" t="s">
        <v>3326</v>
      </c>
      <c r="B257" t="s">
        <v>3405</v>
      </c>
      <c r="C257" t="s">
        <v>3965</v>
      </c>
      <c r="D257" t="s">
        <v>3966</v>
      </c>
      <c r="E257" t="s">
        <v>3971</v>
      </c>
      <c r="F257" t="s">
        <v>3972</v>
      </c>
    </row>
    <row r="258" spans="1:6" x14ac:dyDescent="0.3">
      <c r="A258" t="s">
        <v>3325</v>
      </c>
      <c r="B258" t="s">
        <v>3404</v>
      </c>
      <c r="C258" t="s">
        <v>3973</v>
      </c>
      <c r="D258" t="s">
        <v>3974</v>
      </c>
      <c r="E258" t="s">
        <v>3975</v>
      </c>
      <c r="F258" t="s">
        <v>3976</v>
      </c>
    </row>
    <row r="259" spans="1:6" x14ac:dyDescent="0.3">
      <c r="A259" t="s">
        <v>3325</v>
      </c>
      <c r="B259" t="s">
        <v>3404</v>
      </c>
      <c r="C259" t="s">
        <v>3973</v>
      </c>
      <c r="D259" t="s">
        <v>3974</v>
      </c>
      <c r="E259" t="s">
        <v>3977</v>
      </c>
      <c r="F259" t="s">
        <v>3978</v>
      </c>
    </row>
    <row r="260" spans="1:6" x14ac:dyDescent="0.3">
      <c r="A260" t="s">
        <v>3325</v>
      </c>
      <c r="B260" t="s">
        <v>3404</v>
      </c>
      <c r="C260" t="s">
        <v>3973</v>
      </c>
      <c r="D260" t="s">
        <v>3974</v>
      </c>
      <c r="E260" t="s">
        <v>3979</v>
      </c>
      <c r="F260" t="s">
        <v>3980</v>
      </c>
    </row>
    <row r="261" spans="1:6" x14ac:dyDescent="0.3">
      <c r="A261" t="s">
        <v>3325</v>
      </c>
      <c r="B261" t="s">
        <v>3404</v>
      </c>
      <c r="C261" t="s">
        <v>3973</v>
      </c>
      <c r="D261" t="s">
        <v>3974</v>
      </c>
      <c r="E261" t="s">
        <v>3981</v>
      </c>
      <c r="F261" t="s">
        <v>3982</v>
      </c>
    </row>
    <row r="262" spans="1:6" x14ac:dyDescent="0.3">
      <c r="A262" t="s">
        <v>3449</v>
      </c>
      <c r="B262" t="s">
        <v>534</v>
      </c>
      <c r="C262" t="s">
        <v>35</v>
      </c>
      <c r="D262" t="s">
        <v>567</v>
      </c>
      <c r="E262" t="s">
        <v>194</v>
      </c>
      <c r="F262" t="s">
        <v>2150</v>
      </c>
    </row>
    <row r="263" spans="1:6" x14ac:dyDescent="0.3">
      <c r="A263" t="s">
        <v>3449</v>
      </c>
      <c r="B263" t="s">
        <v>534</v>
      </c>
      <c r="C263" t="s">
        <v>35</v>
      </c>
      <c r="D263" t="s">
        <v>567</v>
      </c>
      <c r="E263" t="s">
        <v>195</v>
      </c>
      <c r="F263" t="s">
        <v>733</v>
      </c>
    </row>
    <row r="264" spans="1:6" x14ac:dyDescent="0.3">
      <c r="A264" t="s">
        <v>3449</v>
      </c>
      <c r="B264" t="s">
        <v>534</v>
      </c>
      <c r="C264" t="s">
        <v>35</v>
      </c>
      <c r="D264" t="s">
        <v>567</v>
      </c>
      <c r="E264" t="s">
        <v>191</v>
      </c>
      <c r="F264" t="s">
        <v>659</v>
      </c>
    </row>
    <row r="265" spans="1:6" x14ac:dyDescent="0.3">
      <c r="A265" t="s">
        <v>3449</v>
      </c>
      <c r="B265" t="s">
        <v>534</v>
      </c>
      <c r="C265" t="s">
        <v>35</v>
      </c>
      <c r="D265" t="s">
        <v>567</v>
      </c>
      <c r="E265" t="s">
        <v>192</v>
      </c>
      <c r="F265" t="s">
        <v>853</v>
      </c>
    </row>
    <row r="266" spans="1:6" x14ac:dyDescent="0.3">
      <c r="A266" t="s">
        <v>3449</v>
      </c>
      <c r="B266" t="s">
        <v>534</v>
      </c>
      <c r="C266" t="s">
        <v>35</v>
      </c>
      <c r="D266" t="s">
        <v>567</v>
      </c>
      <c r="E266" t="s">
        <v>3983</v>
      </c>
      <c r="F266" t="s">
        <v>863</v>
      </c>
    </row>
    <row r="267" spans="1:6" x14ac:dyDescent="0.3">
      <c r="A267" t="s">
        <v>3449</v>
      </c>
      <c r="B267" t="s">
        <v>534</v>
      </c>
      <c r="C267" t="s">
        <v>35</v>
      </c>
      <c r="D267" t="s">
        <v>567</v>
      </c>
      <c r="E267" t="s">
        <v>3984</v>
      </c>
      <c r="F267" t="s">
        <v>568</v>
      </c>
    </row>
    <row r="268" spans="1:6" x14ac:dyDescent="0.3">
      <c r="A268" t="s">
        <v>3449</v>
      </c>
      <c r="B268" t="s">
        <v>534</v>
      </c>
      <c r="C268" t="s">
        <v>35</v>
      </c>
      <c r="D268" t="s">
        <v>567</v>
      </c>
      <c r="E268" t="s">
        <v>190</v>
      </c>
      <c r="F268" t="s">
        <v>800</v>
      </c>
    </row>
    <row r="269" spans="1:6" x14ac:dyDescent="0.3">
      <c r="A269" t="s">
        <v>3458</v>
      </c>
      <c r="B269" t="s">
        <v>3459</v>
      </c>
      <c r="C269" t="s">
        <v>3657</v>
      </c>
      <c r="D269" t="s">
        <v>3658</v>
      </c>
      <c r="E269" t="s">
        <v>3985</v>
      </c>
      <c r="F269" t="s">
        <v>3986</v>
      </c>
    </row>
    <row r="270" spans="1:6" x14ac:dyDescent="0.3">
      <c r="A270" t="s">
        <v>3458</v>
      </c>
      <c r="B270" t="s">
        <v>3459</v>
      </c>
      <c r="C270" t="s">
        <v>3657</v>
      </c>
      <c r="D270" t="s">
        <v>3658</v>
      </c>
      <c r="E270" t="s">
        <v>3987</v>
      </c>
      <c r="F270" t="s">
        <v>3988</v>
      </c>
    </row>
    <row r="271" spans="1:6" x14ac:dyDescent="0.3">
      <c r="A271" t="s">
        <v>3458</v>
      </c>
      <c r="B271" t="s">
        <v>3459</v>
      </c>
      <c r="C271" t="s">
        <v>3657</v>
      </c>
      <c r="D271" t="s">
        <v>3658</v>
      </c>
      <c r="E271" t="s">
        <v>3989</v>
      </c>
      <c r="F271" t="s">
        <v>3990</v>
      </c>
    </row>
    <row r="272" spans="1:6" x14ac:dyDescent="0.3">
      <c r="A272" t="s">
        <v>3458</v>
      </c>
      <c r="B272" t="s">
        <v>3459</v>
      </c>
      <c r="C272" t="s">
        <v>3657</v>
      </c>
      <c r="D272" t="s">
        <v>3658</v>
      </c>
      <c r="E272" t="s">
        <v>3991</v>
      </c>
      <c r="F272" t="s">
        <v>3992</v>
      </c>
    </row>
    <row r="273" spans="1:6" x14ac:dyDescent="0.3">
      <c r="A273" t="s">
        <v>3458</v>
      </c>
      <c r="B273" t="s">
        <v>3459</v>
      </c>
      <c r="C273" t="s">
        <v>3657</v>
      </c>
      <c r="D273" t="s">
        <v>3658</v>
      </c>
      <c r="E273" t="s">
        <v>3993</v>
      </c>
      <c r="F273" t="s">
        <v>3994</v>
      </c>
    </row>
    <row r="274" spans="1:6" x14ac:dyDescent="0.3">
      <c r="A274" t="s">
        <v>3458</v>
      </c>
      <c r="B274" t="s">
        <v>3459</v>
      </c>
      <c r="C274" t="s">
        <v>3657</v>
      </c>
      <c r="D274" t="s">
        <v>3658</v>
      </c>
      <c r="E274" t="s">
        <v>3995</v>
      </c>
      <c r="F274" t="s">
        <v>3996</v>
      </c>
    </row>
    <row r="275" spans="1:6" x14ac:dyDescent="0.3">
      <c r="A275" t="s">
        <v>3458</v>
      </c>
      <c r="B275" t="s">
        <v>3459</v>
      </c>
      <c r="C275" t="s">
        <v>3657</v>
      </c>
      <c r="D275" t="s">
        <v>3658</v>
      </c>
      <c r="E275" t="s">
        <v>3997</v>
      </c>
      <c r="F275" t="s">
        <v>3998</v>
      </c>
    </row>
    <row r="276" spans="1:6" x14ac:dyDescent="0.3">
      <c r="A276" t="s">
        <v>3458</v>
      </c>
      <c r="B276" t="s">
        <v>3459</v>
      </c>
      <c r="C276" t="s">
        <v>3657</v>
      </c>
      <c r="D276" t="s">
        <v>3658</v>
      </c>
      <c r="E276" t="s">
        <v>3999</v>
      </c>
      <c r="F276" t="s">
        <v>4000</v>
      </c>
    </row>
    <row r="277" spans="1:6" x14ac:dyDescent="0.3">
      <c r="A277" t="s">
        <v>3458</v>
      </c>
      <c r="B277" t="s">
        <v>3459</v>
      </c>
      <c r="C277" t="s">
        <v>3657</v>
      </c>
      <c r="D277" t="s">
        <v>3658</v>
      </c>
      <c r="E277" t="s">
        <v>4001</v>
      </c>
      <c r="F277" t="s">
        <v>4002</v>
      </c>
    </row>
    <row r="278" spans="1:6" x14ac:dyDescent="0.3">
      <c r="A278" t="s">
        <v>3458</v>
      </c>
      <c r="B278" t="s">
        <v>3459</v>
      </c>
      <c r="C278" t="s">
        <v>3657</v>
      </c>
      <c r="D278" t="s">
        <v>3658</v>
      </c>
      <c r="E278" t="s">
        <v>4003</v>
      </c>
      <c r="F278" t="s">
        <v>4004</v>
      </c>
    </row>
    <row r="279" spans="1:6" x14ac:dyDescent="0.3">
      <c r="A279" t="s">
        <v>3458</v>
      </c>
      <c r="B279" t="s">
        <v>3459</v>
      </c>
      <c r="C279" t="s">
        <v>3685</v>
      </c>
      <c r="D279" t="s">
        <v>3686</v>
      </c>
      <c r="E279" t="s">
        <v>4005</v>
      </c>
      <c r="F279" t="s">
        <v>4006</v>
      </c>
    </row>
    <row r="280" spans="1:6" x14ac:dyDescent="0.3">
      <c r="A280" t="s">
        <v>3458</v>
      </c>
      <c r="B280" t="s">
        <v>3459</v>
      </c>
      <c r="C280" t="s">
        <v>3685</v>
      </c>
      <c r="D280" t="s">
        <v>3686</v>
      </c>
      <c r="E280" t="s">
        <v>4007</v>
      </c>
      <c r="F280" t="s">
        <v>4008</v>
      </c>
    </row>
    <row r="281" spans="1:6" x14ac:dyDescent="0.3">
      <c r="A281" t="s">
        <v>3458</v>
      </c>
      <c r="B281" t="s">
        <v>3459</v>
      </c>
      <c r="C281" t="s">
        <v>3685</v>
      </c>
      <c r="D281" t="s">
        <v>3686</v>
      </c>
      <c r="E281" t="s">
        <v>4009</v>
      </c>
      <c r="F281" t="s">
        <v>4010</v>
      </c>
    </row>
    <row r="282" spans="1:6" x14ac:dyDescent="0.3">
      <c r="A282" t="s">
        <v>3458</v>
      </c>
      <c r="B282" t="s">
        <v>3459</v>
      </c>
      <c r="C282" t="s">
        <v>3685</v>
      </c>
      <c r="D282" t="s">
        <v>3686</v>
      </c>
      <c r="E282" t="s">
        <v>4011</v>
      </c>
      <c r="F282" t="s">
        <v>4012</v>
      </c>
    </row>
    <row r="283" spans="1:6" x14ac:dyDescent="0.3">
      <c r="A283" t="s">
        <v>3458</v>
      </c>
      <c r="B283" t="s">
        <v>3459</v>
      </c>
      <c r="C283" t="s">
        <v>3685</v>
      </c>
      <c r="D283" t="s">
        <v>3686</v>
      </c>
      <c r="E283" t="s">
        <v>4013</v>
      </c>
      <c r="F283" t="s">
        <v>4014</v>
      </c>
    </row>
    <row r="284" spans="1:6" x14ac:dyDescent="0.3">
      <c r="A284" t="s">
        <v>3458</v>
      </c>
      <c r="B284" t="s">
        <v>3459</v>
      </c>
      <c r="C284" t="s">
        <v>3685</v>
      </c>
      <c r="D284" t="s">
        <v>3686</v>
      </c>
      <c r="E284" t="s">
        <v>4015</v>
      </c>
      <c r="F284" t="s">
        <v>4016</v>
      </c>
    </row>
    <row r="285" spans="1:6" x14ac:dyDescent="0.3">
      <c r="A285" t="s">
        <v>3747</v>
      </c>
      <c r="B285" t="s">
        <v>3748</v>
      </c>
      <c r="C285" t="s">
        <v>3749</v>
      </c>
      <c r="D285" t="s">
        <v>3750</v>
      </c>
      <c r="E285" t="s">
        <v>4017</v>
      </c>
      <c r="F285" t="s">
        <v>4018</v>
      </c>
    </row>
    <row r="286" spans="1:6" x14ac:dyDescent="0.3">
      <c r="A286" t="s">
        <v>3747</v>
      </c>
      <c r="B286" t="s">
        <v>3748</v>
      </c>
      <c r="C286" t="s">
        <v>3749</v>
      </c>
      <c r="D286" t="s">
        <v>3750</v>
      </c>
      <c r="E286" t="s">
        <v>4019</v>
      </c>
      <c r="F286" t="s">
        <v>4020</v>
      </c>
    </row>
    <row r="287" spans="1:6" x14ac:dyDescent="0.3">
      <c r="A287" t="s">
        <v>3747</v>
      </c>
      <c r="B287" t="s">
        <v>3748</v>
      </c>
      <c r="C287" t="s">
        <v>3749</v>
      </c>
      <c r="D287" t="s">
        <v>3750</v>
      </c>
      <c r="E287" t="s">
        <v>4021</v>
      </c>
      <c r="F287" t="s">
        <v>4022</v>
      </c>
    </row>
    <row r="288" spans="1:6" x14ac:dyDescent="0.3">
      <c r="A288" t="s">
        <v>3747</v>
      </c>
      <c r="B288" t="s">
        <v>3748</v>
      </c>
      <c r="C288" t="s">
        <v>3749</v>
      </c>
      <c r="D288" t="s">
        <v>3750</v>
      </c>
      <c r="E288" t="s">
        <v>4023</v>
      </c>
      <c r="F288" t="s">
        <v>4024</v>
      </c>
    </row>
    <row r="289" spans="1:6" x14ac:dyDescent="0.3">
      <c r="A289" t="s">
        <v>3747</v>
      </c>
      <c r="B289" t="s">
        <v>3748</v>
      </c>
      <c r="C289" t="s">
        <v>3749</v>
      </c>
      <c r="D289" t="s">
        <v>3750</v>
      </c>
      <c r="E289" t="s">
        <v>4025</v>
      </c>
      <c r="F289" t="s">
        <v>4026</v>
      </c>
    </row>
    <row r="290" spans="1:6" x14ac:dyDescent="0.3">
      <c r="A290" t="s">
        <v>3747</v>
      </c>
      <c r="B290" t="s">
        <v>3748</v>
      </c>
      <c r="C290" t="s">
        <v>4027</v>
      </c>
      <c r="D290" t="s">
        <v>4028</v>
      </c>
      <c r="E290" t="s">
        <v>4029</v>
      </c>
      <c r="F290" t="s">
        <v>4030</v>
      </c>
    </row>
    <row r="291" spans="1:6" x14ac:dyDescent="0.3">
      <c r="A291" t="s">
        <v>3747</v>
      </c>
      <c r="B291" t="s">
        <v>3748</v>
      </c>
      <c r="C291" t="s">
        <v>4027</v>
      </c>
      <c r="D291" t="s">
        <v>4028</v>
      </c>
      <c r="E291" t="s">
        <v>4031</v>
      </c>
      <c r="F291" t="s">
        <v>4032</v>
      </c>
    </row>
    <row r="292" spans="1:6" x14ac:dyDescent="0.3">
      <c r="A292" t="s">
        <v>3747</v>
      </c>
      <c r="B292" t="s">
        <v>3748</v>
      </c>
      <c r="C292" t="s">
        <v>4027</v>
      </c>
      <c r="D292" t="s">
        <v>4028</v>
      </c>
      <c r="E292" t="s">
        <v>4033</v>
      </c>
      <c r="F292" t="s">
        <v>4034</v>
      </c>
    </row>
    <row r="293" spans="1:6" x14ac:dyDescent="0.3">
      <c r="A293" t="s">
        <v>3747</v>
      </c>
      <c r="B293" t="s">
        <v>3748</v>
      </c>
      <c r="C293" t="s">
        <v>4027</v>
      </c>
      <c r="D293" t="s">
        <v>4028</v>
      </c>
      <c r="E293" t="s">
        <v>4035</v>
      </c>
      <c r="F293" t="s">
        <v>4036</v>
      </c>
    </row>
    <row r="294" spans="1:6" x14ac:dyDescent="0.3">
      <c r="A294" t="s">
        <v>3747</v>
      </c>
      <c r="B294" t="s">
        <v>3748</v>
      </c>
      <c r="C294" t="s">
        <v>4027</v>
      </c>
      <c r="D294" t="s">
        <v>4028</v>
      </c>
      <c r="E294" t="s">
        <v>4037</v>
      </c>
      <c r="F294" t="s">
        <v>4038</v>
      </c>
    </row>
    <row r="295" spans="1:6" x14ac:dyDescent="0.3">
      <c r="A295" t="s">
        <v>3747</v>
      </c>
      <c r="B295" t="s">
        <v>3748</v>
      </c>
      <c r="C295" t="s">
        <v>4027</v>
      </c>
      <c r="D295" t="s">
        <v>4028</v>
      </c>
      <c r="E295" t="s">
        <v>4039</v>
      </c>
      <c r="F295" t="s">
        <v>4040</v>
      </c>
    </row>
    <row r="296" spans="1:6" x14ac:dyDescent="0.3">
      <c r="A296" t="s">
        <v>3747</v>
      </c>
      <c r="B296" t="s">
        <v>3748</v>
      </c>
      <c r="C296" t="s">
        <v>4027</v>
      </c>
      <c r="D296" t="s">
        <v>4028</v>
      </c>
      <c r="E296" t="s">
        <v>4041</v>
      </c>
      <c r="F296" t="s">
        <v>4042</v>
      </c>
    </row>
    <row r="297" spans="1:6" x14ac:dyDescent="0.3">
      <c r="A297" t="s">
        <v>3747</v>
      </c>
      <c r="B297" t="s">
        <v>3748</v>
      </c>
      <c r="C297" t="s">
        <v>4043</v>
      </c>
      <c r="D297" t="s">
        <v>4044</v>
      </c>
      <c r="E297" t="s">
        <v>4045</v>
      </c>
      <c r="F297" t="s">
        <v>4046</v>
      </c>
    </row>
    <row r="298" spans="1:6" x14ac:dyDescent="0.3">
      <c r="A298" t="s">
        <v>3747</v>
      </c>
      <c r="B298" t="s">
        <v>3748</v>
      </c>
      <c r="C298" t="s">
        <v>4043</v>
      </c>
      <c r="D298" t="s">
        <v>4044</v>
      </c>
      <c r="E298" t="s">
        <v>4047</v>
      </c>
      <c r="F298" t="s">
        <v>4048</v>
      </c>
    </row>
    <row r="299" spans="1:6" x14ac:dyDescent="0.3">
      <c r="A299" t="s">
        <v>3747</v>
      </c>
      <c r="B299" t="s">
        <v>3748</v>
      </c>
      <c r="C299" t="s">
        <v>4043</v>
      </c>
      <c r="D299" t="s">
        <v>4044</v>
      </c>
      <c r="E299" t="s">
        <v>4049</v>
      </c>
      <c r="F299" t="s">
        <v>4050</v>
      </c>
    </row>
    <row r="300" spans="1:6" x14ac:dyDescent="0.3">
      <c r="A300" t="s">
        <v>3747</v>
      </c>
      <c r="B300" t="s">
        <v>3748</v>
      </c>
      <c r="C300" t="s">
        <v>4043</v>
      </c>
      <c r="D300" t="s">
        <v>4044</v>
      </c>
      <c r="E300" t="s">
        <v>4051</v>
      </c>
      <c r="F300" t="s">
        <v>4052</v>
      </c>
    </row>
    <row r="301" spans="1:6" x14ac:dyDescent="0.3">
      <c r="A301" t="s">
        <v>3747</v>
      </c>
      <c r="B301" t="s">
        <v>3748</v>
      </c>
      <c r="C301" t="s">
        <v>4053</v>
      </c>
      <c r="D301" t="s">
        <v>4054</v>
      </c>
      <c r="E301" t="s">
        <v>4055</v>
      </c>
      <c r="F301" t="s">
        <v>4056</v>
      </c>
    </row>
    <row r="302" spans="1:6" x14ac:dyDescent="0.3">
      <c r="A302" t="s">
        <v>3747</v>
      </c>
      <c r="B302" t="s">
        <v>3748</v>
      </c>
      <c r="C302" t="s">
        <v>4053</v>
      </c>
      <c r="D302" t="s">
        <v>4054</v>
      </c>
      <c r="E302" t="s">
        <v>4057</v>
      </c>
      <c r="F302" t="s">
        <v>4058</v>
      </c>
    </row>
    <row r="303" spans="1:6" x14ac:dyDescent="0.3">
      <c r="A303" t="s">
        <v>3747</v>
      </c>
      <c r="B303" t="s">
        <v>3748</v>
      </c>
      <c r="C303" t="s">
        <v>4053</v>
      </c>
      <c r="D303" t="s">
        <v>4054</v>
      </c>
      <c r="E303" t="s">
        <v>4059</v>
      </c>
      <c r="F303" t="s">
        <v>4060</v>
      </c>
    </row>
    <row r="304" spans="1:6" x14ac:dyDescent="0.3">
      <c r="A304" t="s">
        <v>3747</v>
      </c>
      <c r="B304" t="s">
        <v>3748</v>
      </c>
      <c r="C304" t="s">
        <v>4053</v>
      </c>
      <c r="D304" t="s">
        <v>4054</v>
      </c>
      <c r="E304" t="s">
        <v>4061</v>
      </c>
      <c r="F304" t="s">
        <v>4062</v>
      </c>
    </row>
    <row r="305" spans="1:6" x14ac:dyDescent="0.3">
      <c r="A305" t="s">
        <v>3747</v>
      </c>
      <c r="B305" t="s">
        <v>3748</v>
      </c>
      <c r="C305" t="s">
        <v>4053</v>
      </c>
      <c r="D305" t="s">
        <v>4054</v>
      </c>
      <c r="E305" t="s">
        <v>4063</v>
      </c>
      <c r="F305" t="s">
        <v>4064</v>
      </c>
    </row>
    <row r="306" spans="1:6" x14ac:dyDescent="0.3">
      <c r="A306" t="s">
        <v>3747</v>
      </c>
      <c r="B306" t="s">
        <v>3748</v>
      </c>
      <c r="C306" t="s">
        <v>4065</v>
      </c>
      <c r="D306" t="s">
        <v>4066</v>
      </c>
      <c r="E306" t="s">
        <v>4067</v>
      </c>
      <c r="F306" t="s">
        <v>4068</v>
      </c>
    </row>
    <row r="307" spans="1:6" x14ac:dyDescent="0.3">
      <c r="A307" t="s">
        <v>3747</v>
      </c>
      <c r="B307" t="s">
        <v>3748</v>
      </c>
      <c r="C307" t="s">
        <v>4065</v>
      </c>
      <c r="D307" t="s">
        <v>4066</v>
      </c>
      <c r="E307" t="s">
        <v>4069</v>
      </c>
      <c r="F307" t="s">
        <v>4070</v>
      </c>
    </row>
    <row r="308" spans="1:6" x14ac:dyDescent="0.3">
      <c r="A308" t="s">
        <v>3747</v>
      </c>
      <c r="B308" t="s">
        <v>3748</v>
      </c>
      <c r="C308" t="s">
        <v>4065</v>
      </c>
      <c r="D308" t="s">
        <v>4066</v>
      </c>
      <c r="E308" t="s">
        <v>4071</v>
      </c>
      <c r="F308" t="s">
        <v>4072</v>
      </c>
    </row>
    <row r="309" spans="1:6" x14ac:dyDescent="0.3">
      <c r="A309" t="s">
        <v>3450</v>
      </c>
      <c r="B309" t="s">
        <v>3451</v>
      </c>
      <c r="C309" t="s">
        <v>3452</v>
      </c>
      <c r="D309" t="s">
        <v>3453</v>
      </c>
      <c r="E309" t="s">
        <v>4073</v>
      </c>
      <c r="F309" t="s">
        <v>4074</v>
      </c>
    </row>
    <row r="310" spans="1:6" x14ac:dyDescent="0.3">
      <c r="A310" t="s">
        <v>3450</v>
      </c>
      <c r="B310" t="s">
        <v>3451</v>
      </c>
      <c r="C310" t="s">
        <v>3452</v>
      </c>
      <c r="D310" t="s">
        <v>3453</v>
      </c>
      <c r="E310" t="s">
        <v>4075</v>
      </c>
      <c r="F310" t="s">
        <v>4076</v>
      </c>
    </row>
    <row r="311" spans="1:6" x14ac:dyDescent="0.3">
      <c r="A311" t="s">
        <v>3450</v>
      </c>
      <c r="B311" t="s">
        <v>3451</v>
      </c>
      <c r="C311" t="s">
        <v>3452</v>
      </c>
      <c r="D311" t="s">
        <v>3453</v>
      </c>
      <c r="E311" t="s">
        <v>4077</v>
      </c>
      <c r="F311" t="s">
        <v>4078</v>
      </c>
    </row>
    <row r="312" spans="1:6" x14ac:dyDescent="0.3">
      <c r="A312" t="s">
        <v>3450</v>
      </c>
      <c r="B312" t="s">
        <v>3451</v>
      </c>
      <c r="C312" t="s">
        <v>3452</v>
      </c>
      <c r="D312" t="s">
        <v>3453</v>
      </c>
      <c r="E312" t="s">
        <v>4079</v>
      </c>
      <c r="F312" t="s">
        <v>4080</v>
      </c>
    </row>
    <row r="313" spans="1:6" x14ac:dyDescent="0.3">
      <c r="A313" t="s">
        <v>3450</v>
      </c>
      <c r="B313" t="s">
        <v>3451</v>
      </c>
      <c r="C313" t="s">
        <v>3452</v>
      </c>
      <c r="D313" t="s">
        <v>3453</v>
      </c>
      <c r="E313" t="s">
        <v>4081</v>
      </c>
      <c r="F313" t="s">
        <v>4082</v>
      </c>
    </row>
    <row r="314" spans="1:6" x14ac:dyDescent="0.3">
      <c r="A314" t="s">
        <v>3450</v>
      </c>
      <c r="B314" t="s">
        <v>3451</v>
      </c>
      <c r="C314" t="s">
        <v>3452</v>
      </c>
      <c r="D314" t="s">
        <v>3453</v>
      </c>
      <c r="E314" t="s">
        <v>4083</v>
      </c>
      <c r="F314" t="s">
        <v>4084</v>
      </c>
    </row>
    <row r="315" spans="1:6" x14ac:dyDescent="0.3">
      <c r="A315" t="s">
        <v>3450</v>
      </c>
      <c r="B315" t="s">
        <v>3451</v>
      </c>
      <c r="C315" t="s">
        <v>3452</v>
      </c>
      <c r="D315" t="s">
        <v>3453</v>
      </c>
      <c r="E315" t="s">
        <v>4085</v>
      </c>
      <c r="F315" t="s">
        <v>4086</v>
      </c>
    </row>
    <row r="316" spans="1:6" x14ac:dyDescent="0.3">
      <c r="A316" t="s">
        <v>3450</v>
      </c>
      <c r="B316" t="s">
        <v>3451</v>
      </c>
      <c r="C316" t="s">
        <v>3452</v>
      </c>
      <c r="D316" t="s">
        <v>3453</v>
      </c>
      <c r="E316" t="s">
        <v>4087</v>
      </c>
      <c r="F316" t="s">
        <v>4088</v>
      </c>
    </row>
    <row r="317" spans="1:6" x14ac:dyDescent="0.3">
      <c r="A317" t="s">
        <v>3450</v>
      </c>
      <c r="B317" t="s">
        <v>3451</v>
      </c>
      <c r="C317" t="s">
        <v>3452</v>
      </c>
      <c r="D317" t="s">
        <v>3453</v>
      </c>
      <c r="E317" t="s">
        <v>4089</v>
      </c>
      <c r="F317" t="s">
        <v>4090</v>
      </c>
    </row>
    <row r="318" spans="1:6" x14ac:dyDescent="0.3">
      <c r="A318" t="s">
        <v>3558</v>
      </c>
      <c r="B318" t="s">
        <v>3559</v>
      </c>
      <c r="C318" t="s">
        <v>3585</v>
      </c>
      <c r="D318" t="s">
        <v>3586</v>
      </c>
      <c r="E318" t="s">
        <v>4091</v>
      </c>
      <c r="F318" t="s">
        <v>4092</v>
      </c>
    </row>
    <row r="319" spans="1:6" x14ac:dyDescent="0.3">
      <c r="A319" t="s">
        <v>3558</v>
      </c>
      <c r="B319" t="s">
        <v>3559</v>
      </c>
      <c r="C319" t="s">
        <v>3585</v>
      </c>
      <c r="D319" t="s">
        <v>3586</v>
      </c>
      <c r="E319" t="s">
        <v>4093</v>
      </c>
      <c r="F319" t="s">
        <v>4094</v>
      </c>
    </row>
    <row r="320" spans="1:6" x14ac:dyDescent="0.3">
      <c r="A320" t="s">
        <v>3558</v>
      </c>
      <c r="B320" t="s">
        <v>3559</v>
      </c>
      <c r="C320" t="s">
        <v>3585</v>
      </c>
      <c r="D320" t="s">
        <v>3586</v>
      </c>
      <c r="E320" t="s">
        <v>4095</v>
      </c>
      <c r="F320" t="s">
        <v>4096</v>
      </c>
    </row>
    <row r="321" spans="1:6" x14ac:dyDescent="0.3">
      <c r="A321" t="s">
        <v>3472</v>
      </c>
      <c r="B321" t="s">
        <v>3473</v>
      </c>
      <c r="C321" t="s">
        <v>4097</v>
      </c>
      <c r="D321" t="s">
        <v>4098</v>
      </c>
      <c r="E321" t="s">
        <v>4099</v>
      </c>
      <c r="F321" t="s">
        <v>4100</v>
      </c>
    </row>
    <row r="322" spans="1:6" x14ac:dyDescent="0.3">
      <c r="A322" t="s">
        <v>3472</v>
      </c>
      <c r="B322" t="s">
        <v>3473</v>
      </c>
      <c r="C322" t="s">
        <v>4097</v>
      </c>
      <c r="D322" t="s">
        <v>4098</v>
      </c>
      <c r="E322" t="s">
        <v>4101</v>
      </c>
      <c r="F322" t="s">
        <v>4102</v>
      </c>
    </row>
    <row r="323" spans="1:6" x14ac:dyDescent="0.3">
      <c r="A323" t="s">
        <v>3472</v>
      </c>
      <c r="B323" t="s">
        <v>3473</v>
      </c>
      <c r="C323" t="s">
        <v>4097</v>
      </c>
      <c r="D323" t="s">
        <v>4098</v>
      </c>
      <c r="E323" t="s">
        <v>4103</v>
      </c>
      <c r="F323" t="s">
        <v>4104</v>
      </c>
    </row>
    <row r="324" spans="1:6" x14ac:dyDescent="0.3">
      <c r="A324" t="s">
        <v>3472</v>
      </c>
      <c r="B324" t="s">
        <v>3473</v>
      </c>
      <c r="C324" t="s">
        <v>4097</v>
      </c>
      <c r="D324" t="s">
        <v>4098</v>
      </c>
      <c r="E324" t="s">
        <v>4105</v>
      </c>
      <c r="F324" t="s">
        <v>4106</v>
      </c>
    </row>
    <row r="325" spans="1:6" x14ac:dyDescent="0.3">
      <c r="A325" t="s">
        <v>3472</v>
      </c>
      <c r="B325" t="s">
        <v>3473</v>
      </c>
      <c r="C325" t="s">
        <v>4097</v>
      </c>
      <c r="D325" t="s">
        <v>4098</v>
      </c>
      <c r="E325" t="s">
        <v>4107</v>
      </c>
      <c r="F325" t="s">
        <v>4108</v>
      </c>
    </row>
    <row r="326" spans="1:6" x14ac:dyDescent="0.3">
      <c r="A326" t="s">
        <v>3472</v>
      </c>
      <c r="B326" t="s">
        <v>3473</v>
      </c>
      <c r="C326" t="s">
        <v>4097</v>
      </c>
      <c r="D326" t="s">
        <v>4098</v>
      </c>
      <c r="E326" t="s">
        <v>4109</v>
      </c>
      <c r="F326" t="s">
        <v>4110</v>
      </c>
    </row>
    <row r="327" spans="1:6" x14ac:dyDescent="0.3">
      <c r="A327" t="s">
        <v>3472</v>
      </c>
      <c r="B327" t="s">
        <v>3473</v>
      </c>
      <c r="C327" t="s">
        <v>4097</v>
      </c>
      <c r="D327" t="s">
        <v>4098</v>
      </c>
      <c r="E327" t="s">
        <v>4111</v>
      </c>
      <c r="F327" t="s">
        <v>4112</v>
      </c>
    </row>
    <row r="328" spans="1:6" x14ac:dyDescent="0.3">
      <c r="A328" t="s">
        <v>3472</v>
      </c>
      <c r="B328" t="s">
        <v>3473</v>
      </c>
      <c r="C328" t="s">
        <v>4097</v>
      </c>
      <c r="D328" t="s">
        <v>4098</v>
      </c>
      <c r="E328" t="s">
        <v>4113</v>
      </c>
      <c r="F328" t="s">
        <v>4114</v>
      </c>
    </row>
    <row r="329" spans="1:6" x14ac:dyDescent="0.3">
      <c r="A329" t="s">
        <v>3472</v>
      </c>
      <c r="B329" t="s">
        <v>3473</v>
      </c>
      <c r="C329" t="s">
        <v>4097</v>
      </c>
      <c r="D329" t="s">
        <v>4098</v>
      </c>
      <c r="E329" t="s">
        <v>4115</v>
      </c>
      <c r="F329" t="s">
        <v>4116</v>
      </c>
    </row>
    <row r="330" spans="1:6" x14ac:dyDescent="0.3">
      <c r="A330" t="s">
        <v>3558</v>
      </c>
      <c r="B330" t="s">
        <v>3559</v>
      </c>
      <c r="C330" t="s">
        <v>4117</v>
      </c>
      <c r="D330" t="s">
        <v>4118</v>
      </c>
      <c r="E330" t="s">
        <v>4119</v>
      </c>
      <c r="F330" t="s">
        <v>4120</v>
      </c>
    </row>
    <row r="331" spans="1:6" x14ac:dyDescent="0.3">
      <c r="A331" t="s">
        <v>3558</v>
      </c>
      <c r="B331" t="s">
        <v>3559</v>
      </c>
      <c r="C331" t="s">
        <v>4117</v>
      </c>
      <c r="D331" t="s">
        <v>4118</v>
      </c>
      <c r="E331" t="s">
        <v>4121</v>
      </c>
      <c r="F331" t="s">
        <v>4122</v>
      </c>
    </row>
    <row r="332" spans="1:6" x14ac:dyDescent="0.3">
      <c r="A332" t="s">
        <v>3558</v>
      </c>
      <c r="B332" t="s">
        <v>3559</v>
      </c>
      <c r="C332" t="s">
        <v>4117</v>
      </c>
      <c r="D332" t="s">
        <v>4118</v>
      </c>
      <c r="E332" t="s">
        <v>4123</v>
      </c>
      <c r="F332" t="s">
        <v>4124</v>
      </c>
    </row>
    <row r="333" spans="1:6" x14ac:dyDescent="0.3">
      <c r="A333" t="s">
        <v>3558</v>
      </c>
      <c r="B333" t="s">
        <v>3559</v>
      </c>
      <c r="C333" t="s">
        <v>4117</v>
      </c>
      <c r="D333" t="s">
        <v>4118</v>
      </c>
      <c r="E333" t="s">
        <v>4125</v>
      </c>
      <c r="F333" t="s">
        <v>4126</v>
      </c>
    </row>
    <row r="334" spans="1:6" x14ac:dyDescent="0.3">
      <c r="A334" t="s">
        <v>3450</v>
      </c>
      <c r="B334" t="s">
        <v>3451</v>
      </c>
      <c r="C334" t="s">
        <v>4127</v>
      </c>
      <c r="D334" t="s">
        <v>4128</v>
      </c>
      <c r="E334" t="s">
        <v>4129</v>
      </c>
      <c r="F334" t="s">
        <v>4130</v>
      </c>
    </row>
    <row r="335" spans="1:6" x14ac:dyDescent="0.3">
      <c r="A335" t="s">
        <v>3450</v>
      </c>
      <c r="B335" t="s">
        <v>3451</v>
      </c>
      <c r="C335" t="s">
        <v>4127</v>
      </c>
      <c r="D335" t="s">
        <v>4128</v>
      </c>
      <c r="E335" t="s">
        <v>4131</v>
      </c>
      <c r="F335" t="s">
        <v>4132</v>
      </c>
    </row>
    <row r="336" spans="1:6" x14ac:dyDescent="0.3">
      <c r="A336" t="s">
        <v>3450</v>
      </c>
      <c r="B336" t="s">
        <v>3451</v>
      </c>
      <c r="C336" t="s">
        <v>4127</v>
      </c>
      <c r="D336" t="s">
        <v>4128</v>
      </c>
      <c r="E336" t="s">
        <v>4133</v>
      </c>
      <c r="F336" t="s">
        <v>4134</v>
      </c>
    </row>
    <row r="337" spans="1:6" x14ac:dyDescent="0.3">
      <c r="A337" t="s">
        <v>3450</v>
      </c>
      <c r="B337" t="s">
        <v>3451</v>
      </c>
      <c r="C337" t="s">
        <v>4127</v>
      </c>
      <c r="D337" t="s">
        <v>4128</v>
      </c>
      <c r="E337" t="s">
        <v>4135</v>
      </c>
      <c r="F337" t="s">
        <v>4136</v>
      </c>
    </row>
    <row r="338" spans="1:6" x14ac:dyDescent="0.3">
      <c r="A338" t="s">
        <v>3747</v>
      </c>
      <c r="B338" t="s">
        <v>3748</v>
      </c>
      <c r="C338" t="s">
        <v>4137</v>
      </c>
      <c r="D338" t="s">
        <v>4138</v>
      </c>
      <c r="E338" t="s">
        <v>4139</v>
      </c>
      <c r="F338" t="s">
        <v>4140</v>
      </c>
    </row>
    <row r="339" spans="1:6" x14ac:dyDescent="0.3">
      <c r="A339" t="s">
        <v>3747</v>
      </c>
      <c r="B339" t="s">
        <v>3748</v>
      </c>
      <c r="C339" t="s">
        <v>4137</v>
      </c>
      <c r="D339" t="s">
        <v>4138</v>
      </c>
      <c r="E339" t="s">
        <v>4141</v>
      </c>
      <c r="F339" t="s">
        <v>4142</v>
      </c>
    </row>
    <row r="340" spans="1:6" x14ac:dyDescent="0.3">
      <c r="A340" t="s">
        <v>3747</v>
      </c>
      <c r="B340" t="s">
        <v>3748</v>
      </c>
      <c r="C340" t="s">
        <v>4137</v>
      </c>
      <c r="D340" t="s">
        <v>4138</v>
      </c>
      <c r="E340" t="s">
        <v>4143</v>
      </c>
      <c r="F340" t="s">
        <v>4144</v>
      </c>
    </row>
    <row r="341" spans="1:6" x14ac:dyDescent="0.3">
      <c r="A341" t="s">
        <v>3464</v>
      </c>
      <c r="B341" t="s">
        <v>3465</v>
      </c>
      <c r="C341" t="s">
        <v>4145</v>
      </c>
      <c r="D341" t="s">
        <v>4146</v>
      </c>
      <c r="E341" t="s">
        <v>4147</v>
      </c>
      <c r="F341" t="s">
        <v>4148</v>
      </c>
    </row>
    <row r="342" spans="1:6" x14ac:dyDescent="0.3">
      <c r="A342" t="s">
        <v>3464</v>
      </c>
      <c r="B342" t="s">
        <v>3465</v>
      </c>
      <c r="C342" t="s">
        <v>4145</v>
      </c>
      <c r="D342" t="s">
        <v>4146</v>
      </c>
      <c r="E342" t="s">
        <v>4149</v>
      </c>
      <c r="F342" t="s">
        <v>4150</v>
      </c>
    </row>
    <row r="343" spans="1:6" x14ac:dyDescent="0.3">
      <c r="A343" t="s">
        <v>3464</v>
      </c>
      <c r="B343" t="s">
        <v>3465</v>
      </c>
      <c r="C343" t="s">
        <v>4145</v>
      </c>
      <c r="D343" t="s">
        <v>4146</v>
      </c>
      <c r="E343" t="s">
        <v>4151</v>
      </c>
      <c r="F343" t="s">
        <v>4152</v>
      </c>
    </row>
    <row r="344" spans="1:6" x14ac:dyDescent="0.3">
      <c r="A344" t="s">
        <v>3464</v>
      </c>
      <c r="B344" t="s">
        <v>3465</v>
      </c>
      <c r="C344" t="s">
        <v>4145</v>
      </c>
      <c r="D344" t="s">
        <v>4146</v>
      </c>
      <c r="E344" t="s">
        <v>4153</v>
      </c>
      <c r="F344" t="s">
        <v>4154</v>
      </c>
    </row>
    <row r="345" spans="1:6" x14ac:dyDescent="0.3">
      <c r="A345" t="s">
        <v>3464</v>
      </c>
      <c r="B345" t="s">
        <v>3465</v>
      </c>
      <c r="C345" t="s">
        <v>4145</v>
      </c>
      <c r="D345" t="s">
        <v>4146</v>
      </c>
      <c r="E345" t="s">
        <v>4155</v>
      </c>
      <c r="F345" t="s">
        <v>4156</v>
      </c>
    </row>
    <row r="346" spans="1:6" x14ac:dyDescent="0.3">
      <c r="A346" t="s">
        <v>3464</v>
      </c>
      <c r="B346" t="s">
        <v>3465</v>
      </c>
      <c r="C346" t="s">
        <v>4145</v>
      </c>
      <c r="D346" t="s">
        <v>4146</v>
      </c>
      <c r="E346" t="s">
        <v>4157</v>
      </c>
      <c r="F346" t="s">
        <v>4158</v>
      </c>
    </row>
    <row r="347" spans="1:6" x14ac:dyDescent="0.3">
      <c r="A347" t="s">
        <v>3558</v>
      </c>
      <c r="B347" t="s">
        <v>3559</v>
      </c>
      <c r="C347" t="s">
        <v>4159</v>
      </c>
      <c r="D347" t="s">
        <v>4160</v>
      </c>
      <c r="E347" t="s">
        <v>4161</v>
      </c>
      <c r="F347" t="s">
        <v>4162</v>
      </c>
    </row>
    <row r="348" spans="1:6" x14ac:dyDescent="0.3">
      <c r="A348" t="s">
        <v>3558</v>
      </c>
      <c r="B348" t="s">
        <v>3559</v>
      </c>
      <c r="C348" t="s">
        <v>4159</v>
      </c>
      <c r="D348" t="s">
        <v>4160</v>
      </c>
      <c r="E348" t="s">
        <v>4163</v>
      </c>
      <c r="F348" t="s">
        <v>4164</v>
      </c>
    </row>
    <row r="349" spans="1:6" x14ac:dyDescent="0.3">
      <c r="A349" t="s">
        <v>3558</v>
      </c>
      <c r="B349" t="s">
        <v>3559</v>
      </c>
      <c r="C349" t="s">
        <v>4159</v>
      </c>
      <c r="D349" t="s">
        <v>4160</v>
      </c>
      <c r="E349" t="s">
        <v>4165</v>
      </c>
      <c r="F349" t="s">
        <v>4166</v>
      </c>
    </row>
    <row r="350" spans="1:6" x14ac:dyDescent="0.3">
      <c r="A350" t="s">
        <v>3558</v>
      </c>
      <c r="B350" t="s">
        <v>3559</v>
      </c>
      <c r="C350" t="s">
        <v>4159</v>
      </c>
      <c r="D350" t="s">
        <v>4160</v>
      </c>
      <c r="E350" t="s">
        <v>4167</v>
      </c>
      <c r="F350" t="s">
        <v>4168</v>
      </c>
    </row>
    <row r="351" spans="1:6" x14ac:dyDescent="0.3">
      <c r="A351" t="s">
        <v>3558</v>
      </c>
      <c r="B351" t="s">
        <v>3559</v>
      </c>
      <c r="C351" t="s">
        <v>4159</v>
      </c>
      <c r="D351" t="s">
        <v>4160</v>
      </c>
      <c r="E351" t="s">
        <v>4169</v>
      </c>
      <c r="F351" t="s">
        <v>4170</v>
      </c>
    </row>
    <row r="352" spans="1:6" x14ac:dyDescent="0.3">
      <c r="A352" t="s">
        <v>3558</v>
      </c>
      <c r="B352" t="s">
        <v>3559</v>
      </c>
      <c r="C352" t="s">
        <v>4159</v>
      </c>
      <c r="D352" t="s">
        <v>4160</v>
      </c>
      <c r="E352" t="s">
        <v>4171</v>
      </c>
      <c r="F352" t="s">
        <v>4172</v>
      </c>
    </row>
    <row r="353" spans="1:6" x14ac:dyDescent="0.3">
      <c r="A353" t="s">
        <v>3558</v>
      </c>
      <c r="B353" t="s">
        <v>3559</v>
      </c>
      <c r="C353" t="s">
        <v>4159</v>
      </c>
      <c r="D353" t="s">
        <v>4160</v>
      </c>
      <c r="E353" t="s">
        <v>4173</v>
      </c>
      <c r="F353" t="s">
        <v>4174</v>
      </c>
    </row>
    <row r="354" spans="1:6" x14ac:dyDescent="0.3">
      <c r="A354" t="s">
        <v>3464</v>
      </c>
      <c r="B354" t="s">
        <v>3465</v>
      </c>
      <c r="C354" t="s">
        <v>3759</v>
      </c>
      <c r="D354" t="s">
        <v>3760</v>
      </c>
      <c r="E354" t="s">
        <v>4175</v>
      </c>
      <c r="F354" t="s">
        <v>4176</v>
      </c>
    </row>
    <row r="355" spans="1:6" x14ac:dyDescent="0.3">
      <c r="A355" t="s">
        <v>3464</v>
      </c>
      <c r="B355" t="s">
        <v>3465</v>
      </c>
      <c r="C355" t="s">
        <v>3759</v>
      </c>
      <c r="D355" t="s">
        <v>3760</v>
      </c>
      <c r="E355" t="s">
        <v>4177</v>
      </c>
      <c r="F355" t="s">
        <v>4178</v>
      </c>
    </row>
    <row r="356" spans="1:6" x14ac:dyDescent="0.3">
      <c r="A356" t="s">
        <v>3464</v>
      </c>
      <c r="B356" t="s">
        <v>3465</v>
      </c>
      <c r="C356" t="s">
        <v>3759</v>
      </c>
      <c r="D356" t="s">
        <v>3760</v>
      </c>
      <c r="E356" t="s">
        <v>4179</v>
      </c>
      <c r="F356" t="s">
        <v>4180</v>
      </c>
    </row>
    <row r="357" spans="1:6" x14ac:dyDescent="0.3">
      <c r="A357" t="s">
        <v>3464</v>
      </c>
      <c r="B357" t="s">
        <v>3465</v>
      </c>
      <c r="C357" t="s">
        <v>3759</v>
      </c>
      <c r="D357" t="s">
        <v>3760</v>
      </c>
      <c r="E357" t="s">
        <v>4181</v>
      </c>
      <c r="F357" t="s">
        <v>4182</v>
      </c>
    </row>
    <row r="358" spans="1:6" x14ac:dyDescent="0.3">
      <c r="A358" t="s">
        <v>3464</v>
      </c>
      <c r="B358" t="s">
        <v>3465</v>
      </c>
      <c r="C358" t="s">
        <v>3759</v>
      </c>
      <c r="D358" t="s">
        <v>3760</v>
      </c>
      <c r="E358" t="s">
        <v>4183</v>
      </c>
      <c r="F358" t="s">
        <v>4184</v>
      </c>
    </row>
    <row r="359" spans="1:6" x14ac:dyDescent="0.3">
      <c r="A359" t="s">
        <v>3464</v>
      </c>
      <c r="B359" t="s">
        <v>3465</v>
      </c>
      <c r="C359" t="s">
        <v>3759</v>
      </c>
      <c r="D359" t="s">
        <v>3760</v>
      </c>
      <c r="E359" t="s">
        <v>4185</v>
      </c>
      <c r="F359" t="s">
        <v>4186</v>
      </c>
    </row>
    <row r="360" spans="1:6" x14ac:dyDescent="0.3">
      <c r="A360" t="s">
        <v>3558</v>
      </c>
      <c r="B360" t="s">
        <v>3559</v>
      </c>
      <c r="C360" t="s">
        <v>3767</v>
      </c>
      <c r="D360" t="s">
        <v>3768</v>
      </c>
      <c r="E360" t="s">
        <v>4187</v>
      </c>
      <c r="F360" t="s">
        <v>4188</v>
      </c>
    </row>
    <row r="361" spans="1:6" x14ac:dyDescent="0.3">
      <c r="A361" t="s">
        <v>3464</v>
      </c>
      <c r="B361" t="s">
        <v>3465</v>
      </c>
      <c r="C361" t="s">
        <v>3466</v>
      </c>
      <c r="D361" t="s">
        <v>3467</v>
      </c>
      <c r="E361" t="s">
        <v>4189</v>
      </c>
      <c r="F361" t="s">
        <v>4190</v>
      </c>
    </row>
    <row r="362" spans="1:6" x14ac:dyDescent="0.3">
      <c r="A362" t="s">
        <v>3464</v>
      </c>
      <c r="B362" t="s">
        <v>3465</v>
      </c>
      <c r="C362" t="s">
        <v>3466</v>
      </c>
      <c r="D362" t="s">
        <v>3467</v>
      </c>
      <c r="E362" t="s">
        <v>4191</v>
      </c>
      <c r="F362" t="s">
        <v>4192</v>
      </c>
    </row>
    <row r="363" spans="1:6" x14ac:dyDescent="0.3">
      <c r="A363" t="s">
        <v>3472</v>
      </c>
      <c r="B363" t="s">
        <v>3473</v>
      </c>
      <c r="C363" t="s">
        <v>3837</v>
      </c>
      <c r="D363" t="s">
        <v>3838</v>
      </c>
      <c r="E363" t="s">
        <v>4193</v>
      </c>
      <c r="F363" t="s">
        <v>4194</v>
      </c>
    </row>
    <row r="364" spans="1:6" x14ac:dyDescent="0.3">
      <c r="A364" t="s">
        <v>3450</v>
      </c>
      <c r="B364" t="s">
        <v>3451</v>
      </c>
      <c r="C364" t="s">
        <v>3452</v>
      </c>
      <c r="D364" t="s">
        <v>3453</v>
      </c>
      <c r="E364" t="s">
        <v>4195</v>
      </c>
      <c r="F364" t="s">
        <v>4196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1CD4B-5AD8-4594-94AA-53CB745177A4}">
  <dimension ref="A1:AI2341"/>
  <sheetViews>
    <sheetView showGridLines="0" topLeftCell="A2" zoomScaleNormal="100" workbookViewId="0">
      <selection activeCell="D10" sqref="D10"/>
    </sheetView>
  </sheetViews>
  <sheetFormatPr defaultColWidth="11.44140625" defaultRowHeight="14.4" x14ac:dyDescent="0.3"/>
  <cols>
    <col min="1" max="1" width="17.44140625" style="399" customWidth="1"/>
    <col min="2" max="2" width="17.5546875" style="399" customWidth="1"/>
    <col min="3" max="3" width="16.44140625" style="399" customWidth="1"/>
    <col min="4" max="4" width="19.6640625" style="399" bestFit="1" customWidth="1"/>
    <col min="5" max="5" width="12.21875" style="399" customWidth="1"/>
    <col min="6" max="6" width="21.21875" style="399" customWidth="1"/>
    <col min="7" max="7" width="23.77734375" style="399" customWidth="1"/>
    <col min="8" max="8" width="11.21875" style="399" customWidth="1"/>
    <col min="9" max="9" width="19.21875" style="405" customWidth="1"/>
    <col min="10" max="11" width="12.5546875" style="400" customWidth="1"/>
    <col min="12" max="12" width="54.77734375" style="399" customWidth="1"/>
    <col min="13" max="13" width="39.6640625" style="399" customWidth="1"/>
    <col min="14" max="14" width="10.5546875" style="399" customWidth="1"/>
    <col min="15" max="16" width="17.77734375" style="399" customWidth="1"/>
    <col min="17" max="17" width="15.77734375" style="399" customWidth="1"/>
    <col min="18" max="18" width="17.33203125" style="399" bestFit="1" customWidth="1"/>
    <col min="19" max="19" width="21.77734375" style="399" customWidth="1"/>
    <col min="20" max="20" width="12.77734375" style="399" customWidth="1"/>
    <col min="21" max="32" width="9.77734375" style="399" customWidth="1"/>
    <col min="33" max="35" width="9.5546875" style="399" customWidth="1"/>
    <col min="36" max="16384" width="11.44140625" style="399"/>
  </cols>
  <sheetData>
    <row r="1" spans="1:35" ht="36" customHeight="1" thickBot="1" x14ac:dyDescent="0.35">
      <c r="A1" s="1426" t="s">
        <v>2727</v>
      </c>
      <c r="B1" s="1427"/>
      <c r="C1" s="1427"/>
      <c r="D1" s="1427"/>
      <c r="E1" s="1427"/>
      <c r="F1" s="1427"/>
      <c r="G1" s="1427"/>
      <c r="H1" s="1427"/>
      <c r="I1" s="1427"/>
      <c r="J1" s="1427"/>
      <c r="K1" s="1427"/>
      <c r="L1" s="1427"/>
      <c r="M1" s="1428"/>
      <c r="O1" s="1423" t="s">
        <v>2728</v>
      </c>
      <c r="P1" s="1424"/>
      <c r="Q1" s="1424"/>
      <c r="R1" s="1424"/>
      <c r="S1" s="1424"/>
      <c r="T1" s="1424"/>
      <c r="U1" s="1424"/>
      <c r="V1" s="1424"/>
      <c r="W1" s="1424"/>
      <c r="X1" s="1424"/>
      <c r="Y1" s="1424"/>
      <c r="Z1" s="1424"/>
      <c r="AA1" s="1424"/>
      <c r="AB1" s="1424"/>
      <c r="AC1" s="1424"/>
      <c r="AD1" s="1424"/>
      <c r="AE1" s="1424"/>
      <c r="AF1" s="1424"/>
      <c r="AG1" s="1424"/>
      <c r="AH1" s="1424"/>
      <c r="AI1" s="1425"/>
    </row>
    <row r="2" spans="1:35" s="408" customFormat="1" ht="28.8" x14ac:dyDescent="0.3">
      <c r="A2" s="406" t="s">
        <v>2729</v>
      </c>
      <c r="B2" s="1432" t="s">
        <v>4203</v>
      </c>
      <c r="C2" s="406" t="s">
        <v>2730</v>
      </c>
      <c r="D2" s="1432" t="s">
        <v>4204</v>
      </c>
      <c r="E2" s="406" t="s">
        <v>3113</v>
      </c>
      <c r="F2" s="406" t="s">
        <v>2731</v>
      </c>
      <c r="G2" s="407" t="s">
        <v>520</v>
      </c>
      <c r="H2" s="407" t="s">
        <v>2732</v>
      </c>
      <c r="I2" s="407" t="s">
        <v>2733</v>
      </c>
      <c r="J2" s="406" t="s">
        <v>2734</v>
      </c>
      <c r="K2" s="406" t="s">
        <v>2735</v>
      </c>
      <c r="L2" s="406" t="s">
        <v>2736</v>
      </c>
      <c r="M2" s="406" t="s">
        <v>2737</v>
      </c>
      <c r="O2" s="1433" t="s">
        <v>2738</v>
      </c>
      <c r="P2" s="1434" t="s">
        <v>4205</v>
      </c>
      <c r="Q2" s="1433" t="s">
        <v>2739</v>
      </c>
      <c r="R2" s="1434" t="s">
        <v>4206</v>
      </c>
      <c r="S2" s="1433" t="s">
        <v>519</v>
      </c>
      <c r="T2" s="1433" t="s">
        <v>2394</v>
      </c>
      <c r="U2" s="1435" t="s">
        <v>2740</v>
      </c>
      <c r="V2" s="1435" t="s">
        <v>2741</v>
      </c>
      <c r="W2" s="1435" t="s">
        <v>2742</v>
      </c>
      <c r="X2" s="1435" t="s">
        <v>2743</v>
      </c>
      <c r="Y2" s="1435" t="s">
        <v>2744</v>
      </c>
      <c r="Z2" s="1435" t="s">
        <v>2745</v>
      </c>
      <c r="AA2" s="1436" t="s">
        <v>2746</v>
      </c>
      <c r="AB2" s="1436" t="s">
        <v>2747</v>
      </c>
      <c r="AC2" s="1436" t="s">
        <v>2748</v>
      </c>
      <c r="AD2" s="1436" t="s">
        <v>2749</v>
      </c>
      <c r="AE2" s="1436" t="s">
        <v>2750</v>
      </c>
      <c r="AF2" s="1437" t="s">
        <v>2751</v>
      </c>
      <c r="AG2" s="1438" t="s">
        <v>2752</v>
      </c>
      <c r="AH2" s="1438" t="s">
        <v>2753</v>
      </c>
      <c r="AI2" s="1438" t="s">
        <v>2754</v>
      </c>
    </row>
    <row r="3" spans="1:35" ht="15.75" customHeight="1" x14ac:dyDescent="0.3">
      <c r="A3" s="401" t="s">
        <v>30</v>
      </c>
      <c r="B3" s="401" t="s">
        <v>3522</v>
      </c>
      <c r="C3" s="401" t="s">
        <v>162</v>
      </c>
      <c r="D3" s="401" t="s">
        <v>3529</v>
      </c>
      <c r="E3" s="401" t="s">
        <v>720</v>
      </c>
      <c r="F3" s="401" t="s">
        <v>721</v>
      </c>
      <c r="G3" s="401"/>
      <c r="H3" s="1093" t="s">
        <v>511</v>
      </c>
      <c r="I3" s="1216" t="s">
        <v>3033</v>
      </c>
      <c r="J3" s="403">
        <v>4</v>
      </c>
      <c r="K3" s="403">
        <v>19</v>
      </c>
      <c r="L3" s="1093" t="s">
        <v>367</v>
      </c>
      <c r="M3" s="401"/>
      <c r="O3" s="404" t="s">
        <v>31</v>
      </c>
      <c r="P3" s="404" t="s">
        <v>31</v>
      </c>
      <c r="Q3" s="404" t="s">
        <v>164</v>
      </c>
      <c r="R3" s="404" t="s">
        <v>164</v>
      </c>
      <c r="S3" s="404" t="s">
        <v>910</v>
      </c>
      <c r="T3" s="404" t="s">
        <v>909</v>
      </c>
      <c r="U3" s="941">
        <v>14</v>
      </c>
      <c r="V3" s="941">
        <v>38</v>
      </c>
      <c r="W3" s="941">
        <v>1</v>
      </c>
      <c r="X3" s="941">
        <v>4</v>
      </c>
      <c r="Y3" s="941">
        <v>0</v>
      </c>
      <c r="Z3" s="941">
        <v>0</v>
      </c>
      <c r="AA3" s="942">
        <v>14</v>
      </c>
      <c r="AB3" s="942">
        <v>34</v>
      </c>
      <c r="AC3" s="942">
        <v>2</v>
      </c>
      <c r="AD3" s="942">
        <v>20</v>
      </c>
      <c r="AE3" s="942">
        <v>0</v>
      </c>
      <c r="AF3" s="942">
        <v>0</v>
      </c>
      <c r="AG3" s="943">
        <f>comparaison_samebasis_villages[[#This Row],[previous idp_ind]]-comparaison_samebasis_villages[[#This Row],[actual idp_ind]]</f>
        <v>-4</v>
      </c>
      <c r="AH3" s="943">
        <f>comparaison_samebasis_villages[[#This Row],[previous ref_ind]]-comparaison_samebasis_villages[[#This Row],[actual ref_ind]]</f>
        <v>16</v>
      </c>
      <c r="AI3" s="943">
        <f>comparaison_samebasis_villages[[#This Row],[previous ret_ind]]-comparaison_samebasis_villages[[#This Row],[actual ret_ind]]</f>
        <v>0</v>
      </c>
    </row>
    <row r="4" spans="1:35" ht="15.75" customHeight="1" x14ac:dyDescent="0.3">
      <c r="A4" s="401" t="s">
        <v>30</v>
      </c>
      <c r="B4" s="401" t="s">
        <v>3522</v>
      </c>
      <c r="C4" s="401" t="s">
        <v>162</v>
      </c>
      <c r="D4" s="401" t="s">
        <v>3529</v>
      </c>
      <c r="E4" s="401" t="s">
        <v>720</v>
      </c>
      <c r="F4" s="401" t="s">
        <v>721</v>
      </c>
      <c r="G4" s="401"/>
      <c r="H4" s="1093" t="s">
        <v>511</v>
      </c>
      <c r="I4" s="1216" t="s">
        <v>3110</v>
      </c>
      <c r="J4" s="403">
        <v>0</v>
      </c>
      <c r="K4" s="403">
        <v>1</v>
      </c>
      <c r="L4" s="1093" t="s">
        <v>371</v>
      </c>
      <c r="M4" s="401"/>
      <c r="O4" s="404" t="s">
        <v>31</v>
      </c>
      <c r="P4" s="404" t="s">
        <v>31</v>
      </c>
      <c r="Q4" s="404" t="s">
        <v>164</v>
      </c>
      <c r="R4" s="404" t="s">
        <v>164</v>
      </c>
      <c r="S4" s="404" t="s">
        <v>2039</v>
      </c>
      <c r="T4" s="404" t="s">
        <v>2038</v>
      </c>
      <c r="U4" s="941">
        <v>900</v>
      </c>
      <c r="V4" s="941">
        <v>5010</v>
      </c>
      <c r="W4" s="941">
        <v>152</v>
      </c>
      <c r="X4" s="941">
        <v>410</v>
      </c>
      <c r="Y4" s="941">
        <v>140</v>
      </c>
      <c r="Z4" s="941">
        <v>140</v>
      </c>
      <c r="AA4" s="942">
        <v>900</v>
      </c>
      <c r="AB4" s="942">
        <v>5000</v>
      </c>
      <c r="AC4" s="942">
        <v>100</v>
      </c>
      <c r="AD4" s="942">
        <v>450</v>
      </c>
      <c r="AE4" s="942">
        <v>140</v>
      </c>
      <c r="AF4" s="942">
        <v>500</v>
      </c>
      <c r="AG4" s="943">
        <f>comparaison_samebasis_villages[[#This Row],[previous idp_ind]]-comparaison_samebasis_villages[[#This Row],[actual idp_ind]]</f>
        <v>-10</v>
      </c>
      <c r="AH4" s="943">
        <f>comparaison_samebasis_villages[[#This Row],[previous ref_ind]]-comparaison_samebasis_villages[[#This Row],[actual ref_ind]]</f>
        <v>40</v>
      </c>
      <c r="AI4" s="943">
        <f>comparaison_samebasis_villages[[#This Row],[previous ret_ind]]-comparaison_samebasis_villages[[#This Row],[actual ret_ind]]</f>
        <v>360</v>
      </c>
    </row>
    <row r="5" spans="1:35" ht="15.75" customHeight="1" x14ac:dyDescent="0.3">
      <c r="A5" s="401" t="s">
        <v>30</v>
      </c>
      <c r="B5" s="401" t="s">
        <v>3522</v>
      </c>
      <c r="C5" s="401" t="s">
        <v>162</v>
      </c>
      <c r="D5" s="401" t="s">
        <v>3529</v>
      </c>
      <c r="E5" s="401" t="s">
        <v>720</v>
      </c>
      <c r="F5" s="5" t="s">
        <v>721</v>
      </c>
      <c r="G5" s="401"/>
      <c r="H5" s="1093" t="s">
        <v>511</v>
      </c>
      <c r="I5" s="1216" t="s">
        <v>3111</v>
      </c>
      <c r="J5" s="403">
        <v>0</v>
      </c>
      <c r="K5" s="403">
        <v>2</v>
      </c>
      <c r="L5" s="1093" t="s">
        <v>367</v>
      </c>
      <c r="M5" s="401"/>
      <c r="O5" s="404" t="s">
        <v>31</v>
      </c>
      <c r="P5" s="404" t="s">
        <v>31</v>
      </c>
      <c r="Q5" s="404" t="s">
        <v>164</v>
      </c>
      <c r="R5" s="404" t="s">
        <v>164</v>
      </c>
      <c r="S5" s="1217" t="s">
        <v>752</v>
      </c>
      <c r="T5" s="404" t="s">
        <v>751</v>
      </c>
      <c r="U5" s="941">
        <v>123</v>
      </c>
      <c r="V5" s="941">
        <v>1553</v>
      </c>
      <c r="W5" s="941">
        <v>0</v>
      </c>
      <c r="X5" s="941">
        <v>0</v>
      </c>
      <c r="Y5" s="941">
        <v>0</v>
      </c>
      <c r="Z5" s="941">
        <v>0</v>
      </c>
      <c r="AA5" s="942">
        <v>118</v>
      </c>
      <c r="AB5" s="942">
        <v>1700</v>
      </c>
      <c r="AC5" s="942">
        <v>0</v>
      </c>
      <c r="AD5" s="942">
        <v>0</v>
      </c>
      <c r="AE5" s="942">
        <v>7</v>
      </c>
      <c r="AF5" s="942">
        <v>32</v>
      </c>
      <c r="AG5" s="943">
        <f>comparaison_samebasis_villages[[#This Row],[previous idp_ind]]-comparaison_samebasis_villages[[#This Row],[actual idp_ind]]</f>
        <v>147</v>
      </c>
      <c r="AH5" s="943">
        <f>comparaison_samebasis_villages[[#This Row],[previous ref_ind]]-comparaison_samebasis_villages[[#This Row],[actual ref_ind]]</f>
        <v>0</v>
      </c>
      <c r="AI5" s="943">
        <f>comparaison_samebasis_villages[[#This Row],[previous ret_ind]]-comparaison_samebasis_villages[[#This Row],[actual ret_ind]]</f>
        <v>32</v>
      </c>
    </row>
    <row r="6" spans="1:35" ht="15.75" customHeight="1" x14ac:dyDescent="0.3">
      <c r="A6" s="401" t="s">
        <v>30</v>
      </c>
      <c r="B6" s="401" t="s">
        <v>3522</v>
      </c>
      <c r="C6" s="401" t="s">
        <v>162</v>
      </c>
      <c r="D6" s="401" t="s">
        <v>3529</v>
      </c>
      <c r="E6" s="401" t="s">
        <v>583</v>
      </c>
      <c r="F6" s="401" t="s">
        <v>584</v>
      </c>
      <c r="G6" s="401"/>
      <c r="H6" s="1093" t="s">
        <v>511</v>
      </c>
      <c r="I6" s="1216" t="s">
        <v>3033</v>
      </c>
      <c r="J6" s="403">
        <v>2</v>
      </c>
      <c r="K6" s="403">
        <v>7</v>
      </c>
      <c r="L6" s="1093" t="s">
        <v>365</v>
      </c>
      <c r="M6" s="401"/>
      <c r="O6" s="404" t="s">
        <v>31</v>
      </c>
      <c r="P6" s="404" t="s">
        <v>31</v>
      </c>
      <c r="Q6" s="404" t="s">
        <v>164</v>
      </c>
      <c r="R6" s="404" t="s">
        <v>164</v>
      </c>
      <c r="S6" s="404" t="s">
        <v>1190</v>
      </c>
      <c r="T6" s="404" t="s">
        <v>1189</v>
      </c>
      <c r="U6" s="941">
        <v>6</v>
      </c>
      <c r="V6" s="941">
        <v>46</v>
      </c>
      <c r="W6" s="941">
        <v>0</v>
      </c>
      <c r="X6" s="941">
        <v>0</v>
      </c>
      <c r="Y6" s="941">
        <v>0</v>
      </c>
      <c r="Z6" s="941">
        <v>0</v>
      </c>
      <c r="AA6" s="942">
        <v>6</v>
      </c>
      <c r="AB6" s="942">
        <v>46</v>
      </c>
      <c r="AC6" s="942">
        <v>0</v>
      </c>
      <c r="AD6" s="942">
        <v>0</v>
      </c>
      <c r="AE6" s="942">
        <v>0</v>
      </c>
      <c r="AF6" s="942">
        <v>0</v>
      </c>
      <c r="AG6" s="943">
        <f>comparaison_samebasis_villages[[#This Row],[previous idp_ind]]-comparaison_samebasis_villages[[#This Row],[actual idp_ind]]</f>
        <v>0</v>
      </c>
      <c r="AH6" s="943">
        <f>comparaison_samebasis_villages[[#This Row],[previous ref_ind]]-comparaison_samebasis_villages[[#This Row],[actual ref_ind]]</f>
        <v>0</v>
      </c>
      <c r="AI6" s="943">
        <f>comparaison_samebasis_villages[[#This Row],[previous ret_ind]]-comparaison_samebasis_villages[[#This Row],[actual ret_ind]]</f>
        <v>0</v>
      </c>
    </row>
    <row r="7" spans="1:35" ht="15.75" customHeight="1" x14ac:dyDescent="0.3">
      <c r="A7" s="401" t="s">
        <v>30</v>
      </c>
      <c r="B7" s="401" t="s">
        <v>3522</v>
      </c>
      <c r="C7" s="401" t="s">
        <v>157</v>
      </c>
      <c r="D7" s="401" t="s">
        <v>157</v>
      </c>
      <c r="E7" s="401" t="s">
        <v>2243</v>
      </c>
      <c r="F7" s="401" t="s">
        <v>2244</v>
      </c>
      <c r="G7" s="401"/>
      <c r="H7" s="1093" t="s">
        <v>511</v>
      </c>
      <c r="I7" s="1216" t="s">
        <v>3033</v>
      </c>
      <c r="J7" s="403">
        <v>2</v>
      </c>
      <c r="K7" s="403">
        <v>16</v>
      </c>
      <c r="L7" s="1093" t="s">
        <v>365</v>
      </c>
      <c r="M7" s="401"/>
      <c r="O7" s="404" t="s">
        <v>31</v>
      </c>
      <c r="P7" s="404" t="s">
        <v>31</v>
      </c>
      <c r="Q7" s="404" t="s">
        <v>164</v>
      </c>
      <c r="R7" s="404" t="s">
        <v>164</v>
      </c>
      <c r="S7" s="404" t="s">
        <v>1969</v>
      </c>
      <c r="T7" s="404" t="s">
        <v>1968</v>
      </c>
      <c r="U7" s="941">
        <v>22</v>
      </c>
      <c r="V7" s="941">
        <v>39</v>
      </c>
      <c r="W7" s="941">
        <v>0</v>
      </c>
      <c r="X7" s="941">
        <v>0</v>
      </c>
      <c r="Y7" s="941">
        <v>0</v>
      </c>
      <c r="Z7" s="941">
        <v>0</v>
      </c>
      <c r="AA7" s="942">
        <v>24</v>
      </c>
      <c r="AB7" s="942">
        <v>47</v>
      </c>
      <c r="AC7" s="942">
        <v>0</v>
      </c>
      <c r="AD7" s="942">
        <v>0</v>
      </c>
      <c r="AE7" s="942">
        <v>0</v>
      </c>
      <c r="AF7" s="942">
        <v>0</v>
      </c>
      <c r="AG7" s="943">
        <f>comparaison_samebasis_villages[[#This Row],[previous idp_ind]]-comparaison_samebasis_villages[[#This Row],[actual idp_ind]]</f>
        <v>8</v>
      </c>
      <c r="AH7" s="943">
        <f>comparaison_samebasis_villages[[#This Row],[previous ref_ind]]-comparaison_samebasis_villages[[#This Row],[actual ref_ind]]</f>
        <v>0</v>
      </c>
      <c r="AI7" s="943">
        <f>comparaison_samebasis_villages[[#This Row],[previous ret_ind]]-comparaison_samebasis_villages[[#This Row],[actual ret_ind]]</f>
        <v>0</v>
      </c>
    </row>
    <row r="8" spans="1:35" ht="15.75" customHeight="1" x14ac:dyDescent="0.3">
      <c r="A8" s="401" t="s">
        <v>30</v>
      </c>
      <c r="B8" s="401" t="s">
        <v>3522</v>
      </c>
      <c r="C8" s="401" t="s">
        <v>157</v>
      </c>
      <c r="D8" s="401" t="s">
        <v>157</v>
      </c>
      <c r="E8" s="401" t="s">
        <v>2360</v>
      </c>
      <c r="F8" s="5" t="s">
        <v>2361</v>
      </c>
      <c r="G8" s="401"/>
      <c r="H8" s="1093" t="s">
        <v>511</v>
      </c>
      <c r="I8" s="1216" t="s">
        <v>3033</v>
      </c>
      <c r="J8" s="403">
        <v>3</v>
      </c>
      <c r="K8" s="403">
        <v>45</v>
      </c>
      <c r="L8" s="1093" t="s">
        <v>365</v>
      </c>
      <c r="M8" s="401"/>
      <c r="O8" s="404" t="s">
        <v>31</v>
      </c>
      <c r="P8" s="404" t="s">
        <v>31</v>
      </c>
      <c r="Q8" s="404" t="s">
        <v>164</v>
      </c>
      <c r="R8" s="404" t="s">
        <v>164</v>
      </c>
      <c r="S8" s="404" t="s">
        <v>807</v>
      </c>
      <c r="T8" s="404" t="s">
        <v>806</v>
      </c>
      <c r="U8" s="941">
        <v>1</v>
      </c>
      <c r="V8" s="941">
        <v>4</v>
      </c>
      <c r="W8" s="941">
        <v>0</v>
      </c>
      <c r="X8" s="941">
        <v>0</v>
      </c>
      <c r="Y8" s="941">
        <v>0</v>
      </c>
      <c r="Z8" s="941">
        <v>0</v>
      </c>
      <c r="AA8" s="942">
        <v>3</v>
      </c>
      <c r="AB8" s="942">
        <v>13</v>
      </c>
      <c r="AC8" s="942">
        <v>0</v>
      </c>
      <c r="AD8" s="942">
        <v>0</v>
      </c>
      <c r="AE8" s="942">
        <v>2</v>
      </c>
      <c r="AF8" s="942">
        <v>9</v>
      </c>
      <c r="AG8" s="943">
        <f>comparaison_samebasis_villages[[#This Row],[previous idp_ind]]-comparaison_samebasis_villages[[#This Row],[actual idp_ind]]</f>
        <v>9</v>
      </c>
      <c r="AH8" s="943">
        <f>comparaison_samebasis_villages[[#This Row],[previous ref_ind]]-comparaison_samebasis_villages[[#This Row],[actual ref_ind]]</f>
        <v>0</v>
      </c>
      <c r="AI8" s="943">
        <f>comparaison_samebasis_villages[[#This Row],[previous ret_ind]]-comparaison_samebasis_villages[[#This Row],[actual ret_ind]]</f>
        <v>9</v>
      </c>
    </row>
    <row r="9" spans="1:35" ht="15.75" customHeight="1" x14ac:dyDescent="0.3">
      <c r="A9" s="401" t="s">
        <v>30</v>
      </c>
      <c r="B9" s="401" t="s">
        <v>3522</v>
      </c>
      <c r="C9" s="401" t="s">
        <v>157</v>
      </c>
      <c r="D9" s="401" t="s">
        <v>157</v>
      </c>
      <c r="E9" s="401" t="s">
        <v>2239</v>
      </c>
      <c r="F9" s="401" t="s">
        <v>2240</v>
      </c>
      <c r="G9" s="401"/>
      <c r="H9" s="1093" t="s">
        <v>511</v>
      </c>
      <c r="I9" s="1216" t="s">
        <v>3033</v>
      </c>
      <c r="J9" s="403">
        <v>6</v>
      </c>
      <c r="K9" s="403">
        <v>86</v>
      </c>
      <c r="L9" s="1093" t="s">
        <v>381</v>
      </c>
      <c r="M9" s="401"/>
      <c r="O9" s="404" t="s">
        <v>31</v>
      </c>
      <c r="P9" s="404" t="s">
        <v>31</v>
      </c>
      <c r="Q9" s="404" t="s">
        <v>164</v>
      </c>
      <c r="R9" s="404" t="s">
        <v>164</v>
      </c>
      <c r="S9" s="404" t="s">
        <v>1882</v>
      </c>
      <c r="T9" s="404" t="s">
        <v>1881</v>
      </c>
      <c r="U9" s="941">
        <v>16</v>
      </c>
      <c r="V9" s="941">
        <v>108</v>
      </c>
      <c r="W9" s="941">
        <v>0</v>
      </c>
      <c r="X9" s="941">
        <v>0</v>
      </c>
      <c r="Y9" s="941">
        <v>0</v>
      </c>
      <c r="Z9" s="941">
        <v>0</v>
      </c>
      <c r="AA9" s="942">
        <v>16</v>
      </c>
      <c r="AB9" s="942">
        <v>108</v>
      </c>
      <c r="AC9" s="942">
        <v>0</v>
      </c>
      <c r="AD9" s="942">
        <v>0</v>
      </c>
      <c r="AE9" s="942">
        <v>0</v>
      </c>
      <c r="AF9" s="942">
        <v>0</v>
      </c>
      <c r="AG9" s="943">
        <f>comparaison_samebasis_villages[[#This Row],[previous idp_ind]]-comparaison_samebasis_villages[[#This Row],[actual idp_ind]]</f>
        <v>0</v>
      </c>
      <c r="AH9" s="943">
        <f>comparaison_samebasis_villages[[#This Row],[previous ref_ind]]-comparaison_samebasis_villages[[#This Row],[actual ref_ind]]</f>
        <v>0</v>
      </c>
      <c r="AI9" s="943">
        <f>comparaison_samebasis_villages[[#This Row],[previous ret_ind]]-comparaison_samebasis_villages[[#This Row],[actual ret_ind]]</f>
        <v>0</v>
      </c>
    </row>
    <row r="10" spans="1:35" ht="15.75" customHeight="1" x14ac:dyDescent="0.3">
      <c r="A10" s="401" t="s">
        <v>30</v>
      </c>
      <c r="B10" s="401" t="s">
        <v>3522</v>
      </c>
      <c r="C10" s="401" t="s">
        <v>157</v>
      </c>
      <c r="D10" s="401" t="s">
        <v>157</v>
      </c>
      <c r="E10" s="401" t="s">
        <v>2362</v>
      </c>
      <c r="F10" s="401" t="s">
        <v>2363</v>
      </c>
      <c r="G10" s="401"/>
      <c r="H10" s="1093" t="s">
        <v>511</v>
      </c>
      <c r="I10" s="1216" t="s">
        <v>3033</v>
      </c>
      <c r="J10" s="403">
        <v>11</v>
      </c>
      <c r="K10" s="403">
        <v>135</v>
      </c>
      <c r="L10" s="1093" t="s">
        <v>381</v>
      </c>
      <c r="M10" s="401"/>
      <c r="O10" s="404" t="s">
        <v>31</v>
      </c>
      <c r="P10" s="404" t="s">
        <v>31</v>
      </c>
      <c r="Q10" s="404" t="s">
        <v>164</v>
      </c>
      <c r="R10" s="404" t="s">
        <v>164</v>
      </c>
      <c r="S10" s="404" t="s">
        <v>1089</v>
      </c>
      <c r="T10" s="404" t="s">
        <v>1088</v>
      </c>
      <c r="U10" s="941">
        <v>7</v>
      </c>
      <c r="V10" s="941">
        <v>48</v>
      </c>
      <c r="W10" s="941">
        <v>2</v>
      </c>
      <c r="X10" s="941">
        <v>8</v>
      </c>
      <c r="Y10" s="941">
        <v>2</v>
      </c>
      <c r="Z10" s="941">
        <v>2</v>
      </c>
      <c r="AA10" s="942">
        <v>7</v>
      </c>
      <c r="AB10" s="942">
        <v>45</v>
      </c>
      <c r="AC10" s="942">
        <v>2</v>
      </c>
      <c r="AD10" s="942">
        <v>8</v>
      </c>
      <c r="AE10" s="942">
        <v>0</v>
      </c>
      <c r="AF10" s="942">
        <v>0</v>
      </c>
      <c r="AG10" s="943">
        <f>comparaison_samebasis_villages[[#This Row],[previous idp_ind]]-comparaison_samebasis_villages[[#This Row],[actual idp_ind]]</f>
        <v>-3</v>
      </c>
      <c r="AH10" s="943">
        <f>comparaison_samebasis_villages[[#This Row],[previous ref_ind]]-comparaison_samebasis_villages[[#This Row],[actual ref_ind]]</f>
        <v>0</v>
      </c>
      <c r="AI10" s="943">
        <f>comparaison_samebasis_villages[[#This Row],[previous ret_ind]]-comparaison_samebasis_villages[[#This Row],[actual ret_ind]]</f>
        <v>-2</v>
      </c>
    </row>
    <row r="11" spans="1:35" ht="15.75" customHeight="1" x14ac:dyDescent="0.3">
      <c r="A11" s="401" t="s">
        <v>30</v>
      </c>
      <c r="B11" s="401" t="s">
        <v>3522</v>
      </c>
      <c r="C11" s="401" t="s">
        <v>157</v>
      </c>
      <c r="D11" s="401" t="s">
        <v>157</v>
      </c>
      <c r="E11" s="401" t="s">
        <v>2366</v>
      </c>
      <c r="F11" s="5" t="s">
        <v>2367</v>
      </c>
      <c r="G11" s="401"/>
      <c r="H11" s="1093" t="s">
        <v>511</v>
      </c>
      <c r="I11" s="1216" t="s">
        <v>3033</v>
      </c>
      <c r="J11" s="403">
        <v>1</v>
      </c>
      <c r="K11" s="403">
        <v>5</v>
      </c>
      <c r="L11" s="1093" t="s">
        <v>381</v>
      </c>
      <c r="M11" s="401"/>
      <c r="O11" s="404" t="s">
        <v>31</v>
      </c>
      <c r="P11" s="404" t="s">
        <v>31</v>
      </c>
      <c r="Q11" s="404" t="s">
        <v>164</v>
      </c>
      <c r="R11" s="404" t="s">
        <v>164</v>
      </c>
      <c r="S11" s="404" t="s">
        <v>1819</v>
      </c>
      <c r="T11" s="404" t="s">
        <v>1818</v>
      </c>
      <c r="U11" s="941">
        <v>300</v>
      </c>
      <c r="V11" s="941">
        <v>1209</v>
      </c>
      <c r="W11" s="941">
        <v>61</v>
      </c>
      <c r="X11" s="941">
        <v>208</v>
      </c>
      <c r="Y11" s="941">
        <v>25</v>
      </c>
      <c r="Z11" s="941">
        <v>25</v>
      </c>
      <c r="AA11" s="942">
        <v>0</v>
      </c>
      <c r="AB11" s="942">
        <v>0</v>
      </c>
      <c r="AC11" s="942">
        <v>0</v>
      </c>
      <c r="AD11" s="942">
        <v>0</v>
      </c>
      <c r="AE11" s="942">
        <v>0</v>
      </c>
      <c r="AF11" s="942">
        <v>0</v>
      </c>
      <c r="AG11" s="943">
        <f>comparaison_samebasis_villages[[#This Row],[previous idp_ind]]-comparaison_samebasis_villages[[#This Row],[actual idp_ind]]</f>
        <v>-1209</v>
      </c>
      <c r="AH11" s="943">
        <f>comparaison_samebasis_villages[[#This Row],[previous ref_ind]]-comparaison_samebasis_villages[[#This Row],[actual ref_ind]]</f>
        <v>-208</v>
      </c>
      <c r="AI11" s="943">
        <f>comparaison_samebasis_villages[[#This Row],[previous ret_ind]]-comparaison_samebasis_villages[[#This Row],[actual ret_ind]]</f>
        <v>-25</v>
      </c>
    </row>
    <row r="12" spans="1:35" ht="15.75" customHeight="1" x14ac:dyDescent="0.3">
      <c r="A12" s="401" t="s">
        <v>35</v>
      </c>
      <c r="B12" s="401" t="s">
        <v>35</v>
      </c>
      <c r="C12" s="401" t="s">
        <v>193</v>
      </c>
      <c r="D12" s="401" t="s">
        <v>3983</v>
      </c>
      <c r="E12" s="401" t="s">
        <v>990</v>
      </c>
      <c r="F12" s="5" t="s">
        <v>1583</v>
      </c>
      <c r="G12" s="401"/>
      <c r="H12" s="1093" t="s">
        <v>511</v>
      </c>
      <c r="I12" s="1216" t="s">
        <v>3033</v>
      </c>
      <c r="J12" s="403">
        <v>75</v>
      </c>
      <c r="K12" s="403">
        <v>405</v>
      </c>
      <c r="L12" s="1093" t="s">
        <v>365</v>
      </c>
      <c r="M12" s="401"/>
      <c r="O12" s="404" t="s">
        <v>31</v>
      </c>
      <c r="P12" s="404" t="s">
        <v>31</v>
      </c>
      <c r="Q12" s="404" t="s">
        <v>164</v>
      </c>
      <c r="R12" s="404" t="s">
        <v>164</v>
      </c>
      <c r="S12" s="404" t="s">
        <v>809</v>
      </c>
      <c r="T12" s="404" t="s">
        <v>808</v>
      </c>
      <c r="U12" s="941">
        <v>34</v>
      </c>
      <c r="V12" s="941">
        <v>350</v>
      </c>
      <c r="W12" s="941">
        <v>7</v>
      </c>
      <c r="X12" s="941">
        <v>64</v>
      </c>
      <c r="Y12" s="941">
        <v>6</v>
      </c>
      <c r="Z12" s="941">
        <v>6</v>
      </c>
      <c r="AA12" s="942">
        <v>40</v>
      </c>
      <c r="AB12" s="942">
        <v>110</v>
      </c>
      <c r="AC12" s="942">
        <v>14</v>
      </c>
      <c r="AD12" s="942">
        <v>55</v>
      </c>
      <c r="AE12" s="942">
        <v>80</v>
      </c>
      <c r="AF12" s="942">
        <v>400</v>
      </c>
      <c r="AG12" s="943">
        <f>comparaison_samebasis_villages[[#This Row],[previous idp_ind]]-comparaison_samebasis_villages[[#This Row],[actual idp_ind]]</f>
        <v>-240</v>
      </c>
      <c r="AH12" s="943">
        <f>comparaison_samebasis_villages[[#This Row],[previous ref_ind]]-comparaison_samebasis_villages[[#This Row],[actual ref_ind]]</f>
        <v>-9</v>
      </c>
      <c r="AI12" s="943">
        <f>comparaison_samebasis_villages[[#This Row],[previous ret_ind]]-comparaison_samebasis_villages[[#This Row],[actual ret_ind]]</f>
        <v>394</v>
      </c>
    </row>
    <row r="13" spans="1:35" ht="15.75" customHeight="1" x14ac:dyDescent="0.3">
      <c r="A13" s="401" t="s">
        <v>35</v>
      </c>
      <c r="B13" s="401" t="s">
        <v>35</v>
      </c>
      <c r="C13" s="401" t="s">
        <v>193</v>
      </c>
      <c r="D13" s="401" t="s">
        <v>3983</v>
      </c>
      <c r="E13" s="401" t="s">
        <v>990</v>
      </c>
      <c r="F13" s="5" t="s">
        <v>1583</v>
      </c>
      <c r="G13" s="401"/>
      <c r="H13" s="1093" t="s">
        <v>511</v>
      </c>
      <c r="I13" s="1216" t="s">
        <v>3110</v>
      </c>
      <c r="J13" s="403">
        <v>3</v>
      </c>
      <c r="K13" s="403">
        <v>25</v>
      </c>
      <c r="L13" s="1093" t="s">
        <v>365</v>
      </c>
      <c r="M13" s="401"/>
      <c r="O13" s="404" t="s">
        <v>31</v>
      </c>
      <c r="P13" s="404" t="s">
        <v>31</v>
      </c>
      <c r="Q13" s="404" t="s">
        <v>164</v>
      </c>
      <c r="R13" s="404" t="s">
        <v>164</v>
      </c>
      <c r="S13" s="404" t="s">
        <v>1971</v>
      </c>
      <c r="T13" s="404" t="s">
        <v>1970</v>
      </c>
      <c r="U13" s="941">
        <v>16</v>
      </c>
      <c r="V13" s="941">
        <v>51</v>
      </c>
      <c r="W13" s="941">
        <v>0</v>
      </c>
      <c r="X13" s="941">
        <v>0</v>
      </c>
      <c r="Y13" s="941">
        <v>7</v>
      </c>
      <c r="Z13" s="941">
        <v>7</v>
      </c>
      <c r="AA13" s="942">
        <v>11</v>
      </c>
      <c r="AB13" s="942">
        <v>26</v>
      </c>
      <c r="AC13" s="942">
        <v>0</v>
      </c>
      <c r="AD13" s="942">
        <v>0</v>
      </c>
      <c r="AE13" s="942">
        <v>3</v>
      </c>
      <c r="AF13" s="942">
        <v>4</v>
      </c>
      <c r="AG13" s="943">
        <f>comparaison_samebasis_villages[[#This Row],[previous idp_ind]]-comparaison_samebasis_villages[[#This Row],[actual idp_ind]]</f>
        <v>-25</v>
      </c>
      <c r="AH13" s="943">
        <f>comparaison_samebasis_villages[[#This Row],[previous ref_ind]]-comparaison_samebasis_villages[[#This Row],[actual ref_ind]]</f>
        <v>0</v>
      </c>
      <c r="AI13" s="943">
        <f>comparaison_samebasis_villages[[#This Row],[previous ret_ind]]-comparaison_samebasis_villages[[#This Row],[actual ret_ind]]</f>
        <v>-3</v>
      </c>
    </row>
    <row r="14" spans="1:35" ht="15.75" customHeight="1" x14ac:dyDescent="0.3">
      <c r="A14" s="401" t="s">
        <v>35</v>
      </c>
      <c r="B14" s="401" t="s">
        <v>35</v>
      </c>
      <c r="C14" s="401" t="s">
        <v>193</v>
      </c>
      <c r="D14" s="401" t="s">
        <v>3983</v>
      </c>
      <c r="E14" s="401" t="s">
        <v>990</v>
      </c>
      <c r="F14" s="5" t="s">
        <v>1583</v>
      </c>
      <c r="G14" s="401"/>
      <c r="H14" s="1093" t="s">
        <v>511</v>
      </c>
      <c r="I14" s="1216" t="s">
        <v>3111</v>
      </c>
      <c r="J14" s="403">
        <v>7</v>
      </c>
      <c r="K14" s="403">
        <v>30</v>
      </c>
      <c r="L14" s="1093" t="s">
        <v>369</v>
      </c>
      <c r="M14" s="401"/>
      <c r="O14" s="404" t="s">
        <v>31</v>
      </c>
      <c r="P14" s="404" t="s">
        <v>31</v>
      </c>
      <c r="Q14" s="404" t="s">
        <v>164</v>
      </c>
      <c r="R14" s="404" t="s">
        <v>164</v>
      </c>
      <c r="S14" s="404" t="s">
        <v>1787</v>
      </c>
      <c r="T14" s="404" t="s">
        <v>1786</v>
      </c>
      <c r="U14" s="941">
        <v>7</v>
      </c>
      <c r="V14" s="941">
        <v>38</v>
      </c>
      <c r="W14" s="941">
        <v>0</v>
      </c>
      <c r="X14" s="941">
        <v>0</v>
      </c>
      <c r="Y14" s="941">
        <v>0</v>
      </c>
      <c r="Z14" s="941">
        <v>0</v>
      </c>
      <c r="AA14" s="942">
        <v>4</v>
      </c>
      <c r="AB14" s="942">
        <v>17</v>
      </c>
      <c r="AC14" s="942">
        <v>0</v>
      </c>
      <c r="AD14" s="942">
        <v>0</v>
      </c>
      <c r="AE14" s="942">
        <v>0</v>
      </c>
      <c r="AF14" s="942">
        <v>0</v>
      </c>
      <c r="AG14" s="943">
        <f>comparaison_samebasis_villages[[#This Row],[previous idp_ind]]-comparaison_samebasis_villages[[#This Row],[actual idp_ind]]</f>
        <v>-21</v>
      </c>
      <c r="AH14" s="943">
        <f>comparaison_samebasis_villages[[#This Row],[previous ref_ind]]-comparaison_samebasis_villages[[#This Row],[actual ref_ind]]</f>
        <v>0</v>
      </c>
      <c r="AI14" s="943">
        <f>comparaison_samebasis_villages[[#This Row],[previous ret_ind]]-comparaison_samebasis_villages[[#This Row],[actual ret_ind]]</f>
        <v>0</v>
      </c>
    </row>
    <row r="15" spans="1:35" ht="15.75" customHeight="1" x14ac:dyDescent="0.3">
      <c r="A15" s="401" t="s">
        <v>35</v>
      </c>
      <c r="B15" s="401" t="s">
        <v>35</v>
      </c>
      <c r="C15" s="401" t="s">
        <v>193</v>
      </c>
      <c r="D15" s="401" t="s">
        <v>3983</v>
      </c>
      <c r="E15" s="401" t="s">
        <v>990</v>
      </c>
      <c r="F15" s="5" t="s">
        <v>1583</v>
      </c>
      <c r="G15" s="401"/>
      <c r="H15" s="1093" t="s">
        <v>511</v>
      </c>
      <c r="I15" s="1216" t="s">
        <v>3112</v>
      </c>
      <c r="J15" s="403">
        <v>10</v>
      </c>
      <c r="K15" s="403">
        <v>30</v>
      </c>
      <c r="L15" s="1093" t="s">
        <v>369</v>
      </c>
      <c r="M15" s="401"/>
      <c r="O15" s="404" t="s">
        <v>31</v>
      </c>
      <c r="P15" s="404" t="s">
        <v>31</v>
      </c>
      <c r="Q15" s="404" t="s">
        <v>164</v>
      </c>
      <c r="R15" s="404" t="s">
        <v>164</v>
      </c>
      <c r="S15" s="404" t="s">
        <v>1890</v>
      </c>
      <c r="T15" s="404" t="s">
        <v>1889</v>
      </c>
      <c r="U15" s="941">
        <v>8</v>
      </c>
      <c r="V15" s="941">
        <v>65</v>
      </c>
      <c r="W15" s="941">
        <v>0</v>
      </c>
      <c r="X15" s="941">
        <v>0</v>
      </c>
      <c r="Y15" s="941">
        <v>0</v>
      </c>
      <c r="Z15" s="941">
        <v>0</v>
      </c>
      <c r="AA15" s="942">
        <v>8</v>
      </c>
      <c r="AB15" s="942">
        <v>62</v>
      </c>
      <c r="AC15" s="942">
        <v>0</v>
      </c>
      <c r="AD15" s="942">
        <v>0</v>
      </c>
      <c r="AE15" s="942">
        <v>0</v>
      </c>
      <c r="AF15" s="942">
        <v>0</v>
      </c>
      <c r="AG15" s="943">
        <f>comparaison_samebasis_villages[[#This Row],[previous idp_ind]]-comparaison_samebasis_villages[[#This Row],[actual idp_ind]]</f>
        <v>-3</v>
      </c>
      <c r="AH15" s="943">
        <f>comparaison_samebasis_villages[[#This Row],[previous ref_ind]]-comparaison_samebasis_villages[[#This Row],[actual ref_ind]]</f>
        <v>0</v>
      </c>
      <c r="AI15" s="943">
        <f>comparaison_samebasis_villages[[#This Row],[previous ret_ind]]-comparaison_samebasis_villages[[#This Row],[actual ret_ind]]</f>
        <v>0</v>
      </c>
    </row>
    <row r="16" spans="1:35" ht="15.75" customHeight="1" x14ac:dyDescent="0.3">
      <c r="A16" s="401" t="s">
        <v>35</v>
      </c>
      <c r="B16" s="401" t="s">
        <v>35</v>
      </c>
      <c r="C16" s="401" t="s">
        <v>193</v>
      </c>
      <c r="D16" s="401" t="s">
        <v>3983</v>
      </c>
      <c r="E16" s="401" t="s">
        <v>875</v>
      </c>
      <c r="F16" s="5" t="s">
        <v>993</v>
      </c>
      <c r="G16" s="401"/>
      <c r="H16" s="1093" t="s">
        <v>511</v>
      </c>
      <c r="I16" s="1216" t="s">
        <v>3112</v>
      </c>
      <c r="J16" s="403">
        <v>5</v>
      </c>
      <c r="K16" s="403">
        <v>18</v>
      </c>
      <c r="L16" s="1093" t="s">
        <v>365</v>
      </c>
      <c r="M16" s="401"/>
      <c r="O16" s="404" t="s">
        <v>31</v>
      </c>
      <c r="P16" s="404" t="s">
        <v>31</v>
      </c>
      <c r="Q16" s="404" t="s">
        <v>164</v>
      </c>
      <c r="R16" s="404" t="s">
        <v>164</v>
      </c>
      <c r="S16" s="404" t="s">
        <v>1192</v>
      </c>
      <c r="T16" s="404" t="s">
        <v>1191</v>
      </c>
      <c r="U16" s="941">
        <v>6</v>
      </c>
      <c r="V16" s="941">
        <v>41</v>
      </c>
      <c r="W16" s="941">
        <v>0</v>
      </c>
      <c r="X16" s="941">
        <v>0</v>
      </c>
      <c r="Y16" s="941">
        <v>0</v>
      </c>
      <c r="Z16" s="941">
        <v>0</v>
      </c>
      <c r="AA16" s="942">
        <v>6</v>
      </c>
      <c r="AB16" s="942">
        <v>43</v>
      </c>
      <c r="AC16" s="942">
        <v>0</v>
      </c>
      <c r="AD16" s="942">
        <v>0</v>
      </c>
      <c r="AE16" s="942">
        <v>0</v>
      </c>
      <c r="AF16" s="942">
        <v>0</v>
      </c>
      <c r="AG16" s="943">
        <f>comparaison_samebasis_villages[[#This Row],[previous idp_ind]]-comparaison_samebasis_villages[[#This Row],[actual idp_ind]]</f>
        <v>2</v>
      </c>
      <c r="AH16" s="943">
        <f>comparaison_samebasis_villages[[#This Row],[previous ref_ind]]-comparaison_samebasis_villages[[#This Row],[actual ref_ind]]</f>
        <v>0</v>
      </c>
      <c r="AI16" s="943">
        <f>comparaison_samebasis_villages[[#This Row],[previous ret_ind]]-comparaison_samebasis_villages[[#This Row],[actual ret_ind]]</f>
        <v>0</v>
      </c>
    </row>
    <row r="17" spans="1:35" ht="15.75" customHeight="1" x14ac:dyDescent="0.3">
      <c r="A17" s="401" t="s">
        <v>35</v>
      </c>
      <c r="B17" s="401" t="s">
        <v>35</v>
      </c>
      <c r="C17" s="401" t="s">
        <v>193</v>
      </c>
      <c r="D17" s="401" t="s">
        <v>3983</v>
      </c>
      <c r="E17" s="401" t="s">
        <v>1122</v>
      </c>
      <c r="F17" s="5" t="s">
        <v>991</v>
      </c>
      <c r="G17" s="401"/>
      <c r="H17" s="1093" t="s">
        <v>511</v>
      </c>
      <c r="I17" s="1216" t="s">
        <v>3033</v>
      </c>
      <c r="J17" s="403">
        <v>75</v>
      </c>
      <c r="K17" s="403">
        <v>428</v>
      </c>
      <c r="L17" s="1093" t="s">
        <v>365</v>
      </c>
      <c r="M17" s="401"/>
      <c r="O17" s="404" t="s">
        <v>31</v>
      </c>
      <c r="P17" s="404" t="s">
        <v>31</v>
      </c>
      <c r="Q17" s="404" t="s">
        <v>164</v>
      </c>
      <c r="R17" s="404" t="s">
        <v>164</v>
      </c>
      <c r="S17" s="404" t="s">
        <v>2481</v>
      </c>
      <c r="T17" s="404" t="s">
        <v>2480</v>
      </c>
      <c r="U17" s="941">
        <v>0</v>
      </c>
      <c r="V17" s="941">
        <v>0</v>
      </c>
      <c r="W17" s="941">
        <v>0</v>
      </c>
      <c r="X17" s="941">
        <v>0</v>
      </c>
      <c r="Y17" s="941">
        <v>0</v>
      </c>
      <c r="Z17" s="941">
        <v>0</v>
      </c>
      <c r="AA17" s="942">
        <v>0</v>
      </c>
      <c r="AB17" s="942">
        <v>0</v>
      </c>
      <c r="AC17" s="942">
        <v>0</v>
      </c>
      <c r="AD17" s="942">
        <v>0</v>
      </c>
      <c r="AE17" s="942">
        <v>0</v>
      </c>
      <c r="AF17" s="942">
        <v>0</v>
      </c>
      <c r="AG17" s="943">
        <f>comparaison_samebasis_villages[[#This Row],[previous idp_ind]]-comparaison_samebasis_villages[[#This Row],[actual idp_ind]]</f>
        <v>0</v>
      </c>
      <c r="AH17" s="943">
        <f>comparaison_samebasis_villages[[#This Row],[previous ref_ind]]-comparaison_samebasis_villages[[#This Row],[actual ref_ind]]</f>
        <v>0</v>
      </c>
      <c r="AI17" s="943">
        <f>comparaison_samebasis_villages[[#This Row],[previous ret_ind]]-comparaison_samebasis_villages[[#This Row],[actual ret_ind]]</f>
        <v>0</v>
      </c>
    </row>
    <row r="18" spans="1:35" ht="15.75" customHeight="1" x14ac:dyDescent="0.3">
      <c r="A18" s="401" t="s">
        <v>35</v>
      </c>
      <c r="B18" s="401" t="s">
        <v>35</v>
      </c>
      <c r="C18" s="401" t="s">
        <v>193</v>
      </c>
      <c r="D18" s="401" t="s">
        <v>3983</v>
      </c>
      <c r="E18" s="401" t="s">
        <v>1122</v>
      </c>
      <c r="F18" s="401" t="s">
        <v>991</v>
      </c>
      <c r="G18" s="401"/>
      <c r="H18" s="1093" t="s">
        <v>511</v>
      </c>
      <c r="I18" s="1216" t="s">
        <v>3110</v>
      </c>
      <c r="J18" s="403">
        <v>9</v>
      </c>
      <c r="K18" s="403">
        <v>38</v>
      </c>
      <c r="L18" s="1093" t="s">
        <v>365</v>
      </c>
      <c r="M18" s="401"/>
      <c r="O18" s="404" t="s">
        <v>31</v>
      </c>
      <c r="P18" s="404" t="s">
        <v>31</v>
      </c>
      <c r="Q18" s="404" t="s">
        <v>164</v>
      </c>
      <c r="R18" s="404" t="s">
        <v>164</v>
      </c>
      <c r="S18" s="404" t="s">
        <v>1884</v>
      </c>
      <c r="T18" s="404" t="s">
        <v>1883</v>
      </c>
      <c r="U18" s="941">
        <v>25</v>
      </c>
      <c r="V18" s="941">
        <v>117</v>
      </c>
      <c r="W18" s="941">
        <v>0</v>
      </c>
      <c r="X18" s="941">
        <v>0</v>
      </c>
      <c r="Y18" s="941">
        <v>0</v>
      </c>
      <c r="Z18" s="941">
        <v>0</v>
      </c>
      <c r="AA18" s="942">
        <v>25</v>
      </c>
      <c r="AB18" s="942">
        <v>115</v>
      </c>
      <c r="AC18" s="942">
        <v>0</v>
      </c>
      <c r="AD18" s="942">
        <v>0</v>
      </c>
      <c r="AE18" s="942">
        <v>0</v>
      </c>
      <c r="AF18" s="942">
        <v>0</v>
      </c>
      <c r="AG18" s="943">
        <f>comparaison_samebasis_villages[[#This Row],[previous idp_ind]]-comparaison_samebasis_villages[[#This Row],[actual idp_ind]]</f>
        <v>-2</v>
      </c>
      <c r="AH18" s="943">
        <f>comparaison_samebasis_villages[[#This Row],[previous ref_ind]]-comparaison_samebasis_villages[[#This Row],[actual ref_ind]]</f>
        <v>0</v>
      </c>
      <c r="AI18" s="943">
        <f>comparaison_samebasis_villages[[#This Row],[previous ret_ind]]-comparaison_samebasis_villages[[#This Row],[actual ret_ind]]</f>
        <v>0</v>
      </c>
    </row>
    <row r="19" spans="1:35" ht="15.75" customHeight="1" x14ac:dyDescent="0.3">
      <c r="A19" s="401" t="s">
        <v>35</v>
      </c>
      <c r="B19" s="401" t="s">
        <v>35</v>
      </c>
      <c r="C19" s="401" t="s">
        <v>193</v>
      </c>
      <c r="D19" s="401" t="s">
        <v>3983</v>
      </c>
      <c r="E19" s="401" t="s">
        <v>2952</v>
      </c>
      <c r="F19" s="5" t="s">
        <v>865</v>
      </c>
      <c r="G19" s="401"/>
      <c r="H19" s="1093" t="s">
        <v>511</v>
      </c>
      <c r="I19" s="1216" t="s">
        <v>3033</v>
      </c>
      <c r="J19" s="403">
        <v>5</v>
      </c>
      <c r="K19" s="403">
        <v>10</v>
      </c>
      <c r="L19" s="1093" t="s">
        <v>365</v>
      </c>
      <c r="M19" s="401"/>
      <c r="O19" s="404" t="s">
        <v>31</v>
      </c>
      <c r="P19" s="404" t="s">
        <v>31</v>
      </c>
      <c r="Q19" s="404" t="s">
        <v>164</v>
      </c>
      <c r="R19" s="404" t="s">
        <v>164</v>
      </c>
      <c r="S19" s="404" t="s">
        <v>1196</v>
      </c>
      <c r="T19" s="404" t="s">
        <v>1195</v>
      </c>
      <c r="U19" s="941">
        <v>20</v>
      </c>
      <c r="V19" s="941">
        <v>49</v>
      </c>
      <c r="W19" s="941">
        <v>2</v>
      </c>
      <c r="X19" s="941">
        <v>10</v>
      </c>
      <c r="Y19" s="941">
        <v>1</v>
      </c>
      <c r="Z19" s="941">
        <v>1</v>
      </c>
      <c r="AA19" s="942">
        <v>20</v>
      </c>
      <c r="AB19" s="942">
        <v>48</v>
      </c>
      <c r="AC19" s="942">
        <v>0</v>
      </c>
      <c r="AD19" s="942">
        <v>0</v>
      </c>
      <c r="AE19" s="942">
        <v>0</v>
      </c>
      <c r="AF19" s="942">
        <v>0</v>
      </c>
      <c r="AG19" s="943">
        <f>comparaison_samebasis_villages[[#This Row],[previous idp_ind]]-comparaison_samebasis_villages[[#This Row],[actual idp_ind]]</f>
        <v>-1</v>
      </c>
      <c r="AH19" s="943">
        <f>comparaison_samebasis_villages[[#This Row],[previous ref_ind]]-comparaison_samebasis_villages[[#This Row],[actual ref_ind]]</f>
        <v>-10</v>
      </c>
      <c r="AI19" s="943">
        <f>comparaison_samebasis_villages[[#This Row],[previous ret_ind]]-comparaison_samebasis_villages[[#This Row],[actual ret_ind]]</f>
        <v>-1</v>
      </c>
    </row>
    <row r="20" spans="1:35" ht="15.75" customHeight="1" x14ac:dyDescent="0.3">
      <c r="A20" s="401" t="s">
        <v>30</v>
      </c>
      <c r="B20" s="401" t="s">
        <v>3522</v>
      </c>
      <c r="C20" s="401" t="s">
        <v>162</v>
      </c>
      <c r="D20" s="401" t="s">
        <v>3529</v>
      </c>
      <c r="E20" s="401" t="s">
        <v>616</v>
      </c>
      <c r="F20" s="5" t="s">
        <v>617</v>
      </c>
      <c r="G20" s="401"/>
      <c r="H20" s="1093" t="s">
        <v>511</v>
      </c>
      <c r="I20" s="1216" t="s">
        <v>3033</v>
      </c>
      <c r="J20" s="403">
        <v>3</v>
      </c>
      <c r="K20" s="403">
        <v>10</v>
      </c>
      <c r="L20" s="1093" t="s">
        <v>365</v>
      </c>
      <c r="M20" s="401"/>
      <c r="O20" s="404" t="s">
        <v>31</v>
      </c>
      <c r="P20" s="404" t="s">
        <v>31</v>
      </c>
      <c r="Q20" s="404" t="s">
        <v>164</v>
      </c>
      <c r="R20" s="404" t="s">
        <v>164</v>
      </c>
      <c r="S20" s="404" t="s">
        <v>1348</v>
      </c>
      <c r="T20" s="404" t="s">
        <v>1347</v>
      </c>
      <c r="U20" s="941">
        <v>20</v>
      </c>
      <c r="V20" s="941">
        <v>35</v>
      </c>
      <c r="W20" s="941">
        <v>10</v>
      </c>
      <c r="X20" s="941">
        <v>120</v>
      </c>
      <c r="Y20" s="941">
        <v>35</v>
      </c>
      <c r="Z20" s="941">
        <v>35</v>
      </c>
      <c r="AA20" s="942">
        <v>15</v>
      </c>
      <c r="AB20" s="942">
        <v>150</v>
      </c>
      <c r="AC20" s="942">
        <v>0</v>
      </c>
      <c r="AD20" s="942">
        <v>0</v>
      </c>
      <c r="AE20" s="942">
        <v>2</v>
      </c>
      <c r="AF20" s="942">
        <v>5</v>
      </c>
      <c r="AG20" s="943">
        <f>comparaison_samebasis_villages[[#This Row],[previous idp_ind]]-comparaison_samebasis_villages[[#This Row],[actual idp_ind]]</f>
        <v>115</v>
      </c>
      <c r="AH20" s="943">
        <f>comparaison_samebasis_villages[[#This Row],[previous ref_ind]]-comparaison_samebasis_villages[[#This Row],[actual ref_ind]]</f>
        <v>-120</v>
      </c>
      <c r="AI20" s="943">
        <f>comparaison_samebasis_villages[[#This Row],[previous ret_ind]]-comparaison_samebasis_villages[[#This Row],[actual ret_ind]]</f>
        <v>-30</v>
      </c>
    </row>
    <row r="21" spans="1:35" ht="15.75" customHeight="1" x14ac:dyDescent="0.3">
      <c r="A21" s="401" t="s">
        <v>31</v>
      </c>
      <c r="B21" s="401" t="s">
        <v>31</v>
      </c>
      <c r="C21" s="401" t="s">
        <v>171</v>
      </c>
      <c r="D21" s="401" t="s">
        <v>171</v>
      </c>
      <c r="E21" s="401" t="s">
        <v>2018</v>
      </c>
      <c r="F21" s="401" t="s">
        <v>1342</v>
      </c>
      <c r="G21" s="401"/>
      <c r="H21" s="1093" t="s">
        <v>511</v>
      </c>
      <c r="I21" s="1216" t="s">
        <v>3033</v>
      </c>
      <c r="J21" s="403">
        <v>8</v>
      </c>
      <c r="K21" s="403">
        <v>42</v>
      </c>
      <c r="L21" s="1093" t="s">
        <v>367</v>
      </c>
      <c r="M21" s="401"/>
      <c r="O21" s="404" t="s">
        <v>31</v>
      </c>
      <c r="P21" s="404" t="s">
        <v>31</v>
      </c>
      <c r="Q21" s="404" t="s">
        <v>164</v>
      </c>
      <c r="R21" s="404" t="s">
        <v>164</v>
      </c>
      <c r="S21" s="404" t="s">
        <v>750</v>
      </c>
      <c r="T21" s="404" t="s">
        <v>749</v>
      </c>
      <c r="U21" s="941">
        <v>7</v>
      </c>
      <c r="V21" s="941">
        <v>28</v>
      </c>
      <c r="W21" s="941">
        <v>2</v>
      </c>
      <c r="X21" s="941">
        <v>5</v>
      </c>
      <c r="Y21" s="941">
        <v>0</v>
      </c>
      <c r="Z21" s="941">
        <v>0</v>
      </c>
      <c r="AA21" s="942">
        <v>2</v>
      </c>
      <c r="AB21" s="942">
        <v>8</v>
      </c>
      <c r="AC21" s="942">
        <v>0</v>
      </c>
      <c r="AD21" s="942">
        <v>0</v>
      </c>
      <c r="AE21" s="942">
        <v>0</v>
      </c>
      <c r="AF21" s="942">
        <v>0</v>
      </c>
      <c r="AG21" s="943">
        <f>comparaison_samebasis_villages[[#This Row],[previous idp_ind]]-comparaison_samebasis_villages[[#This Row],[actual idp_ind]]</f>
        <v>-20</v>
      </c>
      <c r="AH21" s="943">
        <f>comparaison_samebasis_villages[[#This Row],[previous ref_ind]]-comparaison_samebasis_villages[[#This Row],[actual ref_ind]]</f>
        <v>-5</v>
      </c>
      <c r="AI21" s="943">
        <f>comparaison_samebasis_villages[[#This Row],[previous ret_ind]]-comparaison_samebasis_villages[[#This Row],[actual ret_ind]]</f>
        <v>0</v>
      </c>
    </row>
    <row r="22" spans="1:35" ht="15.75" customHeight="1" x14ac:dyDescent="0.3">
      <c r="A22" s="401" t="s">
        <v>30</v>
      </c>
      <c r="B22" s="401" t="s">
        <v>3522</v>
      </c>
      <c r="C22" s="401" t="s">
        <v>157</v>
      </c>
      <c r="D22" s="401" t="s">
        <v>157</v>
      </c>
      <c r="E22" s="401" t="s">
        <v>2237</v>
      </c>
      <c r="F22" s="5" t="s">
        <v>2238</v>
      </c>
      <c r="G22" s="401"/>
      <c r="H22" s="1093" t="s">
        <v>511</v>
      </c>
      <c r="I22" s="1216" t="s">
        <v>3033</v>
      </c>
      <c r="J22" s="403">
        <v>4</v>
      </c>
      <c r="K22" s="403">
        <v>29</v>
      </c>
      <c r="L22" s="1093" t="s">
        <v>381</v>
      </c>
      <c r="M22" s="401"/>
      <c r="O22" s="404" t="s">
        <v>31</v>
      </c>
      <c r="P22" s="404" t="s">
        <v>31</v>
      </c>
      <c r="Q22" s="404" t="s">
        <v>164</v>
      </c>
      <c r="R22" s="404" t="s">
        <v>164</v>
      </c>
      <c r="S22" s="404" t="s">
        <v>1086</v>
      </c>
      <c r="T22" s="404" t="s">
        <v>1085</v>
      </c>
      <c r="U22" s="941">
        <v>26</v>
      </c>
      <c r="V22" s="941">
        <v>182</v>
      </c>
      <c r="W22" s="941">
        <v>0</v>
      </c>
      <c r="X22" s="941">
        <v>0</v>
      </c>
      <c r="Y22" s="941">
        <v>0</v>
      </c>
      <c r="Z22" s="941">
        <v>0</v>
      </c>
      <c r="AA22" s="942">
        <v>26</v>
      </c>
      <c r="AB22" s="942">
        <v>182</v>
      </c>
      <c r="AC22" s="942">
        <v>0</v>
      </c>
      <c r="AD22" s="942">
        <v>0</v>
      </c>
      <c r="AE22" s="942">
        <v>0</v>
      </c>
      <c r="AF22" s="942">
        <v>0</v>
      </c>
      <c r="AG22" s="943">
        <f>comparaison_samebasis_villages[[#This Row],[previous idp_ind]]-comparaison_samebasis_villages[[#This Row],[actual idp_ind]]</f>
        <v>0</v>
      </c>
      <c r="AH22" s="943">
        <f>comparaison_samebasis_villages[[#This Row],[previous ref_ind]]-comparaison_samebasis_villages[[#This Row],[actual ref_ind]]</f>
        <v>0</v>
      </c>
      <c r="AI22" s="943">
        <f>comparaison_samebasis_villages[[#This Row],[previous ret_ind]]-comparaison_samebasis_villages[[#This Row],[actual ret_ind]]</f>
        <v>0</v>
      </c>
    </row>
    <row r="23" spans="1:35" ht="15.75" customHeight="1" x14ac:dyDescent="0.3">
      <c r="A23" s="401" t="s">
        <v>30</v>
      </c>
      <c r="B23" s="401" t="s">
        <v>3522</v>
      </c>
      <c r="C23" s="401" t="s">
        <v>157</v>
      </c>
      <c r="D23" s="401" t="s">
        <v>157</v>
      </c>
      <c r="E23" s="401" t="s">
        <v>2241</v>
      </c>
      <c r="F23" s="5" t="s">
        <v>2242</v>
      </c>
      <c r="G23" s="401"/>
      <c r="H23" s="1093" t="s">
        <v>511</v>
      </c>
      <c r="I23" s="1216" t="s">
        <v>3033</v>
      </c>
      <c r="J23" s="403">
        <v>9</v>
      </c>
      <c r="K23" s="403">
        <v>74</v>
      </c>
      <c r="L23" s="1093" t="s">
        <v>381</v>
      </c>
      <c r="M23" s="401"/>
      <c r="O23" s="404" t="s">
        <v>31</v>
      </c>
      <c r="P23" s="404" t="s">
        <v>31</v>
      </c>
      <c r="Q23" s="404" t="s">
        <v>164</v>
      </c>
      <c r="R23" s="404" t="s">
        <v>164</v>
      </c>
      <c r="S23" s="404" t="s">
        <v>1084</v>
      </c>
      <c r="T23" s="404" t="s">
        <v>1083</v>
      </c>
      <c r="U23" s="941">
        <v>18</v>
      </c>
      <c r="V23" s="941">
        <v>126</v>
      </c>
      <c r="W23" s="941">
        <v>0</v>
      </c>
      <c r="X23" s="941">
        <v>0</v>
      </c>
      <c r="Y23" s="941">
        <v>0</v>
      </c>
      <c r="Z23" s="941">
        <v>0</v>
      </c>
      <c r="AA23" s="942">
        <v>5</v>
      </c>
      <c r="AB23" s="942">
        <v>26</v>
      </c>
      <c r="AC23" s="942">
        <v>0</v>
      </c>
      <c r="AD23" s="942">
        <v>0</v>
      </c>
      <c r="AE23" s="942">
        <v>0</v>
      </c>
      <c r="AF23" s="942">
        <v>0</v>
      </c>
      <c r="AG23" s="943">
        <f>comparaison_samebasis_villages[[#This Row],[previous idp_ind]]-comparaison_samebasis_villages[[#This Row],[actual idp_ind]]</f>
        <v>-100</v>
      </c>
      <c r="AH23" s="943">
        <f>comparaison_samebasis_villages[[#This Row],[previous ref_ind]]-comparaison_samebasis_villages[[#This Row],[actual ref_ind]]</f>
        <v>0</v>
      </c>
      <c r="AI23" s="943">
        <f>comparaison_samebasis_villages[[#This Row],[previous ret_ind]]-comparaison_samebasis_villages[[#This Row],[actual ret_ind]]</f>
        <v>0</v>
      </c>
    </row>
    <row r="24" spans="1:35" ht="15.75" customHeight="1" x14ac:dyDescent="0.3">
      <c r="A24" s="401" t="s">
        <v>31</v>
      </c>
      <c r="B24" s="401" t="s">
        <v>31</v>
      </c>
      <c r="C24" s="401" t="s">
        <v>169</v>
      </c>
      <c r="D24" s="401" t="s">
        <v>169</v>
      </c>
      <c r="E24" s="401" t="s">
        <v>2803</v>
      </c>
      <c r="F24" s="5" t="s">
        <v>3090</v>
      </c>
      <c r="G24" s="401"/>
      <c r="H24" s="1093" t="s">
        <v>511</v>
      </c>
      <c r="I24" s="1216" t="s">
        <v>3112</v>
      </c>
      <c r="J24" s="403">
        <v>1</v>
      </c>
      <c r="K24" s="403">
        <v>3</v>
      </c>
      <c r="L24" s="1093" t="s">
        <v>367</v>
      </c>
      <c r="M24" s="401"/>
      <c r="O24" s="404" t="s">
        <v>31</v>
      </c>
      <c r="P24" s="404" t="s">
        <v>31</v>
      </c>
      <c r="Q24" s="404" t="s">
        <v>164</v>
      </c>
      <c r="R24" s="404" t="s">
        <v>164</v>
      </c>
      <c r="S24" s="404" t="s">
        <v>908</v>
      </c>
      <c r="T24" s="404" t="s">
        <v>907</v>
      </c>
      <c r="U24" s="941">
        <v>7</v>
      </c>
      <c r="V24" s="941">
        <v>35</v>
      </c>
      <c r="W24" s="941">
        <v>2</v>
      </c>
      <c r="X24" s="941">
        <v>8</v>
      </c>
      <c r="Y24" s="941">
        <v>0</v>
      </c>
      <c r="Z24" s="941">
        <v>0</v>
      </c>
      <c r="AA24" s="942">
        <v>7</v>
      </c>
      <c r="AB24" s="942">
        <v>35</v>
      </c>
      <c r="AC24" s="942">
        <v>0</v>
      </c>
      <c r="AD24" s="942">
        <v>0</v>
      </c>
      <c r="AE24" s="942">
        <v>15</v>
      </c>
      <c r="AF24" s="942">
        <v>45</v>
      </c>
      <c r="AG24" s="943">
        <f>comparaison_samebasis_villages[[#This Row],[previous idp_ind]]-comparaison_samebasis_villages[[#This Row],[actual idp_ind]]</f>
        <v>0</v>
      </c>
      <c r="AH24" s="943">
        <f>comparaison_samebasis_villages[[#This Row],[previous ref_ind]]-comparaison_samebasis_villages[[#This Row],[actual ref_ind]]</f>
        <v>-8</v>
      </c>
      <c r="AI24" s="943">
        <f>comparaison_samebasis_villages[[#This Row],[previous ret_ind]]-comparaison_samebasis_villages[[#This Row],[actual ret_ind]]</f>
        <v>45</v>
      </c>
    </row>
    <row r="25" spans="1:35" ht="15.75" customHeight="1" x14ac:dyDescent="0.3">
      <c r="A25" s="401" t="s">
        <v>32</v>
      </c>
      <c r="B25" s="401" t="s">
        <v>32</v>
      </c>
      <c r="C25" s="401" t="s">
        <v>178</v>
      </c>
      <c r="D25" s="401" t="s">
        <v>178</v>
      </c>
      <c r="E25" s="401" t="s">
        <v>2251</v>
      </c>
      <c r="F25" s="5" t="s">
        <v>2252</v>
      </c>
      <c r="G25" s="401"/>
      <c r="H25" s="1093" t="s">
        <v>511</v>
      </c>
      <c r="I25" s="1216" t="s">
        <v>3110</v>
      </c>
      <c r="J25" s="403">
        <v>177</v>
      </c>
      <c r="K25" s="403">
        <v>2527</v>
      </c>
      <c r="L25" s="1093" t="s">
        <v>383</v>
      </c>
      <c r="M25" s="401" t="s">
        <v>3364</v>
      </c>
      <c r="O25" s="404" t="s">
        <v>31</v>
      </c>
      <c r="P25" s="404" t="s">
        <v>31</v>
      </c>
      <c r="Q25" s="404" t="s">
        <v>164</v>
      </c>
      <c r="R25" s="404" t="s">
        <v>164</v>
      </c>
      <c r="S25" s="404" t="s">
        <v>921</v>
      </c>
      <c r="T25" s="404" t="s">
        <v>920</v>
      </c>
      <c r="U25" s="941">
        <v>89</v>
      </c>
      <c r="V25" s="941">
        <v>287</v>
      </c>
      <c r="W25" s="941">
        <v>0</v>
      </c>
      <c r="X25" s="941">
        <v>0</v>
      </c>
      <c r="Y25" s="941">
        <v>0</v>
      </c>
      <c r="Z25" s="941">
        <v>0</v>
      </c>
      <c r="AA25" s="942">
        <v>14</v>
      </c>
      <c r="AB25" s="942">
        <v>76</v>
      </c>
      <c r="AC25" s="942">
        <v>0</v>
      </c>
      <c r="AD25" s="942">
        <v>0</v>
      </c>
      <c r="AE25" s="942">
        <v>0</v>
      </c>
      <c r="AF25" s="942">
        <v>0</v>
      </c>
      <c r="AG25" s="943">
        <f>comparaison_samebasis_villages[[#This Row],[previous idp_ind]]-comparaison_samebasis_villages[[#This Row],[actual idp_ind]]</f>
        <v>-211</v>
      </c>
      <c r="AH25" s="943">
        <f>comparaison_samebasis_villages[[#This Row],[previous ref_ind]]-comparaison_samebasis_villages[[#This Row],[actual ref_ind]]</f>
        <v>0</v>
      </c>
      <c r="AI25" s="943">
        <f>comparaison_samebasis_villages[[#This Row],[previous ret_ind]]-comparaison_samebasis_villages[[#This Row],[actual ret_ind]]</f>
        <v>0</v>
      </c>
    </row>
    <row r="26" spans="1:35" ht="15.75" customHeight="1" x14ac:dyDescent="0.3">
      <c r="A26" s="401" t="s">
        <v>32</v>
      </c>
      <c r="B26" s="401" t="s">
        <v>32</v>
      </c>
      <c r="C26" s="401" t="s">
        <v>178</v>
      </c>
      <c r="D26" s="401" t="s">
        <v>178</v>
      </c>
      <c r="E26" s="401" t="s">
        <v>2251</v>
      </c>
      <c r="F26" s="5" t="s">
        <v>2252</v>
      </c>
      <c r="G26" s="401"/>
      <c r="H26" s="1093" t="s">
        <v>511</v>
      </c>
      <c r="I26" s="1216" t="s">
        <v>3111</v>
      </c>
      <c r="J26" s="403">
        <v>0</v>
      </c>
      <c r="K26" s="403">
        <v>16</v>
      </c>
      <c r="L26" s="1093" t="s">
        <v>383</v>
      </c>
      <c r="M26" s="401" t="s">
        <v>3364</v>
      </c>
      <c r="O26" s="404" t="s">
        <v>31</v>
      </c>
      <c r="P26" s="404" t="s">
        <v>31</v>
      </c>
      <c r="Q26" s="404" t="s">
        <v>164</v>
      </c>
      <c r="R26" s="404" t="s">
        <v>164</v>
      </c>
      <c r="S26" s="404" t="s">
        <v>819</v>
      </c>
      <c r="T26" s="404" t="s">
        <v>818</v>
      </c>
      <c r="U26" s="941">
        <v>15</v>
      </c>
      <c r="V26" s="941">
        <v>120</v>
      </c>
      <c r="W26" s="941">
        <v>0</v>
      </c>
      <c r="X26" s="941">
        <v>0</v>
      </c>
      <c r="Y26" s="941">
        <v>0</v>
      </c>
      <c r="Z26" s="941">
        <v>0</v>
      </c>
      <c r="AA26" s="942">
        <v>83</v>
      </c>
      <c r="AB26" s="942">
        <v>771</v>
      </c>
      <c r="AC26" s="942">
        <v>0</v>
      </c>
      <c r="AD26" s="942">
        <v>0</v>
      </c>
      <c r="AE26" s="942">
        <v>0</v>
      </c>
      <c r="AF26" s="942">
        <v>0</v>
      </c>
      <c r="AG26" s="943">
        <f>comparaison_samebasis_villages[[#This Row],[previous idp_ind]]-comparaison_samebasis_villages[[#This Row],[actual idp_ind]]</f>
        <v>651</v>
      </c>
      <c r="AH26" s="943">
        <f>comparaison_samebasis_villages[[#This Row],[previous ref_ind]]-comparaison_samebasis_villages[[#This Row],[actual ref_ind]]</f>
        <v>0</v>
      </c>
      <c r="AI26" s="943">
        <f>comparaison_samebasis_villages[[#This Row],[previous ret_ind]]-comparaison_samebasis_villages[[#This Row],[actual ret_ind]]</f>
        <v>0</v>
      </c>
    </row>
    <row r="27" spans="1:35" ht="15.75" customHeight="1" x14ac:dyDescent="0.3">
      <c r="A27" s="401" t="s">
        <v>32</v>
      </c>
      <c r="B27" s="401" t="s">
        <v>32</v>
      </c>
      <c r="C27" s="401" t="s">
        <v>178</v>
      </c>
      <c r="D27" s="401" t="s">
        <v>178</v>
      </c>
      <c r="E27" s="401" t="s">
        <v>2251</v>
      </c>
      <c r="F27" s="5" t="s">
        <v>2252</v>
      </c>
      <c r="G27" s="401"/>
      <c r="H27" s="1093" t="s">
        <v>511</v>
      </c>
      <c r="I27" s="1216" t="s">
        <v>3112</v>
      </c>
      <c r="J27" s="403">
        <v>0</v>
      </c>
      <c r="K27" s="403">
        <v>26</v>
      </c>
      <c r="L27" s="1093" t="s">
        <v>383</v>
      </c>
      <c r="M27" s="401" t="s">
        <v>3364</v>
      </c>
      <c r="O27" s="404" t="s">
        <v>31</v>
      </c>
      <c r="P27" s="404" t="s">
        <v>31</v>
      </c>
      <c r="Q27" s="404" t="s">
        <v>164</v>
      </c>
      <c r="R27" s="404" t="s">
        <v>164</v>
      </c>
      <c r="S27" s="404" t="s">
        <v>795</v>
      </c>
      <c r="T27" s="404" t="s">
        <v>794</v>
      </c>
      <c r="U27" s="941">
        <v>28</v>
      </c>
      <c r="V27" s="941">
        <v>220</v>
      </c>
      <c r="W27" s="941">
        <v>0</v>
      </c>
      <c r="X27" s="941">
        <v>0</v>
      </c>
      <c r="Y27" s="941">
        <v>0</v>
      </c>
      <c r="Z27" s="941">
        <v>0</v>
      </c>
      <c r="AA27" s="942">
        <v>25</v>
      </c>
      <c r="AB27" s="942">
        <v>199</v>
      </c>
      <c r="AC27" s="942">
        <v>0</v>
      </c>
      <c r="AD27" s="942">
        <v>0</v>
      </c>
      <c r="AE27" s="942">
        <v>0</v>
      </c>
      <c r="AF27" s="942">
        <v>0</v>
      </c>
      <c r="AG27" s="943">
        <f>comparaison_samebasis_villages[[#This Row],[previous idp_ind]]-comparaison_samebasis_villages[[#This Row],[actual idp_ind]]</f>
        <v>-21</v>
      </c>
      <c r="AH27" s="943">
        <f>comparaison_samebasis_villages[[#This Row],[previous ref_ind]]-comparaison_samebasis_villages[[#This Row],[actual ref_ind]]</f>
        <v>0</v>
      </c>
      <c r="AI27" s="943">
        <f>comparaison_samebasis_villages[[#This Row],[previous ret_ind]]-comparaison_samebasis_villages[[#This Row],[actual ret_ind]]</f>
        <v>0</v>
      </c>
    </row>
    <row r="28" spans="1:35" ht="15.75" customHeight="1" x14ac:dyDescent="0.3">
      <c r="A28" s="401" t="s">
        <v>35</v>
      </c>
      <c r="B28" s="401" t="s">
        <v>35</v>
      </c>
      <c r="C28" s="401" t="s">
        <v>193</v>
      </c>
      <c r="D28" s="401" t="s">
        <v>3983</v>
      </c>
      <c r="E28" s="401" t="s">
        <v>864</v>
      </c>
      <c r="F28" s="5" t="s">
        <v>1567</v>
      </c>
      <c r="G28" s="401"/>
      <c r="H28" s="1093" t="s">
        <v>511</v>
      </c>
      <c r="I28" s="1216" t="s">
        <v>3033</v>
      </c>
      <c r="J28" s="403">
        <v>140</v>
      </c>
      <c r="K28" s="403">
        <v>706</v>
      </c>
      <c r="L28" s="1093" t="s">
        <v>365</v>
      </c>
      <c r="M28" s="401"/>
      <c r="O28" s="404" t="s">
        <v>31</v>
      </c>
      <c r="P28" s="404" t="s">
        <v>31</v>
      </c>
      <c r="Q28" s="404" t="s">
        <v>164</v>
      </c>
      <c r="R28" s="404" t="s">
        <v>164</v>
      </c>
      <c r="S28" s="404" t="s">
        <v>2260</v>
      </c>
      <c r="T28" s="404" t="s">
        <v>2259</v>
      </c>
      <c r="U28" s="941">
        <v>0</v>
      </c>
      <c r="V28" s="941">
        <v>0</v>
      </c>
      <c r="W28" s="941">
        <v>0</v>
      </c>
      <c r="X28" s="941">
        <v>0</v>
      </c>
      <c r="Y28" s="941">
        <v>18</v>
      </c>
      <c r="Z28" s="941">
        <v>18</v>
      </c>
      <c r="AA28" s="942">
        <v>0</v>
      </c>
      <c r="AB28" s="942">
        <v>0</v>
      </c>
      <c r="AC28" s="942">
        <v>0</v>
      </c>
      <c r="AD28" s="942">
        <v>0</v>
      </c>
      <c r="AE28" s="942">
        <v>22</v>
      </c>
      <c r="AF28" s="942">
        <v>207</v>
      </c>
      <c r="AG28" s="943">
        <f>comparaison_samebasis_villages[[#This Row],[previous idp_ind]]-comparaison_samebasis_villages[[#This Row],[actual idp_ind]]</f>
        <v>0</v>
      </c>
      <c r="AH28" s="943">
        <f>comparaison_samebasis_villages[[#This Row],[previous ref_ind]]-comparaison_samebasis_villages[[#This Row],[actual ref_ind]]</f>
        <v>0</v>
      </c>
      <c r="AI28" s="943">
        <f>comparaison_samebasis_villages[[#This Row],[previous ret_ind]]-comparaison_samebasis_villages[[#This Row],[actual ret_ind]]</f>
        <v>189</v>
      </c>
    </row>
    <row r="29" spans="1:35" ht="15.75" customHeight="1" x14ac:dyDescent="0.3">
      <c r="A29" s="401" t="s">
        <v>35</v>
      </c>
      <c r="B29" s="401" t="s">
        <v>35</v>
      </c>
      <c r="C29" s="401" t="s">
        <v>193</v>
      </c>
      <c r="D29" s="401" t="s">
        <v>3983</v>
      </c>
      <c r="E29" s="401" t="s">
        <v>864</v>
      </c>
      <c r="F29" s="5" t="s">
        <v>1567</v>
      </c>
      <c r="G29" s="401"/>
      <c r="H29" s="1093" t="s">
        <v>511</v>
      </c>
      <c r="I29" s="1216" t="s">
        <v>3110</v>
      </c>
      <c r="J29" s="403">
        <v>13</v>
      </c>
      <c r="K29" s="403">
        <v>95</v>
      </c>
      <c r="L29" s="1093" t="s">
        <v>365</v>
      </c>
      <c r="M29" s="401"/>
      <c r="O29" s="404" t="s">
        <v>31</v>
      </c>
      <c r="P29" s="404" t="s">
        <v>31</v>
      </c>
      <c r="Q29" s="404" t="s">
        <v>164</v>
      </c>
      <c r="R29" s="404" t="s">
        <v>164</v>
      </c>
      <c r="S29" s="404" t="s">
        <v>2040</v>
      </c>
      <c r="T29" s="404" t="s">
        <v>2825</v>
      </c>
      <c r="U29" s="941">
        <v>4</v>
      </c>
      <c r="V29" s="941">
        <v>28</v>
      </c>
      <c r="W29" s="941">
        <v>0</v>
      </c>
      <c r="X29" s="941">
        <v>0</v>
      </c>
      <c r="Y29" s="941">
        <v>0</v>
      </c>
      <c r="Z29" s="941">
        <v>0</v>
      </c>
      <c r="AA29" s="942">
        <v>4</v>
      </c>
      <c r="AB29" s="942">
        <v>28</v>
      </c>
      <c r="AC29" s="942">
        <v>0</v>
      </c>
      <c r="AD29" s="942">
        <v>0</v>
      </c>
      <c r="AE29" s="942">
        <v>0</v>
      </c>
      <c r="AF29" s="942">
        <v>0</v>
      </c>
      <c r="AG29" s="943">
        <f>comparaison_samebasis_villages[[#This Row],[previous idp_ind]]-comparaison_samebasis_villages[[#This Row],[actual idp_ind]]</f>
        <v>0</v>
      </c>
      <c r="AH29" s="943">
        <f>comparaison_samebasis_villages[[#This Row],[previous ref_ind]]-comparaison_samebasis_villages[[#This Row],[actual ref_ind]]</f>
        <v>0</v>
      </c>
      <c r="AI29" s="943">
        <f>comparaison_samebasis_villages[[#This Row],[previous ret_ind]]-comparaison_samebasis_villages[[#This Row],[actual ret_ind]]</f>
        <v>0</v>
      </c>
    </row>
    <row r="30" spans="1:35" ht="15.75" customHeight="1" x14ac:dyDescent="0.3">
      <c r="A30" s="401" t="s">
        <v>35</v>
      </c>
      <c r="B30" s="401" t="s">
        <v>35</v>
      </c>
      <c r="C30" s="401" t="s">
        <v>193</v>
      </c>
      <c r="D30" s="401" t="s">
        <v>3983</v>
      </c>
      <c r="E30" s="401" t="s">
        <v>864</v>
      </c>
      <c r="F30" s="5" t="s">
        <v>1567</v>
      </c>
      <c r="G30" s="401"/>
      <c r="H30" s="1093" t="s">
        <v>511</v>
      </c>
      <c r="I30" s="1216" t="s">
        <v>3111</v>
      </c>
      <c r="J30" s="403">
        <v>13</v>
      </c>
      <c r="K30" s="403">
        <v>43</v>
      </c>
      <c r="L30" s="1093" t="s">
        <v>365</v>
      </c>
      <c r="M30" s="401"/>
      <c r="O30" s="404" t="s">
        <v>30</v>
      </c>
      <c r="P30" s="404" t="s">
        <v>3522</v>
      </c>
      <c r="Q30" s="404" t="s">
        <v>156</v>
      </c>
      <c r="R30" s="404" t="s">
        <v>156</v>
      </c>
      <c r="S30" s="404" t="s">
        <v>1573</v>
      </c>
      <c r="T30" s="404" t="s">
        <v>2827</v>
      </c>
      <c r="U30" s="941">
        <v>8</v>
      </c>
      <c r="V30" s="941">
        <v>58</v>
      </c>
      <c r="W30" s="941">
        <v>0</v>
      </c>
      <c r="X30" s="941">
        <v>0</v>
      </c>
      <c r="Y30" s="941">
        <v>0</v>
      </c>
      <c r="Z30" s="941">
        <v>0</v>
      </c>
      <c r="AA30" s="942">
        <v>8</v>
      </c>
      <c r="AB30" s="942">
        <v>58</v>
      </c>
      <c r="AC30" s="942">
        <v>0</v>
      </c>
      <c r="AD30" s="942">
        <v>0</v>
      </c>
      <c r="AE30" s="942">
        <v>0</v>
      </c>
      <c r="AF30" s="942">
        <v>0</v>
      </c>
      <c r="AG30" s="943">
        <f>comparaison_samebasis_villages[[#This Row],[previous idp_ind]]-comparaison_samebasis_villages[[#This Row],[actual idp_ind]]</f>
        <v>0</v>
      </c>
      <c r="AH30" s="943">
        <f>comparaison_samebasis_villages[[#This Row],[previous ref_ind]]-comparaison_samebasis_villages[[#This Row],[actual ref_ind]]</f>
        <v>0</v>
      </c>
      <c r="AI30" s="943">
        <f>comparaison_samebasis_villages[[#This Row],[previous ret_ind]]-comparaison_samebasis_villages[[#This Row],[actual ret_ind]]</f>
        <v>0</v>
      </c>
    </row>
    <row r="31" spans="1:35" ht="15.75" customHeight="1" x14ac:dyDescent="0.3">
      <c r="A31" s="401" t="s">
        <v>35</v>
      </c>
      <c r="B31" s="401" t="s">
        <v>35</v>
      </c>
      <c r="C31" s="401" t="s">
        <v>193</v>
      </c>
      <c r="D31" s="401" t="s">
        <v>3983</v>
      </c>
      <c r="E31" s="401" t="s">
        <v>864</v>
      </c>
      <c r="F31" s="5" t="s">
        <v>1567</v>
      </c>
      <c r="G31" s="401"/>
      <c r="H31" s="1093" t="s">
        <v>511</v>
      </c>
      <c r="I31" s="1216" t="s">
        <v>3112</v>
      </c>
      <c r="J31" s="403">
        <v>20</v>
      </c>
      <c r="K31" s="403">
        <v>70</v>
      </c>
      <c r="L31" s="1093" t="s">
        <v>365</v>
      </c>
      <c r="M31" s="401"/>
      <c r="O31" s="404" t="s">
        <v>30</v>
      </c>
      <c r="P31" s="404" t="s">
        <v>3522</v>
      </c>
      <c r="Q31" s="404" t="s">
        <v>156</v>
      </c>
      <c r="R31" s="404" t="s">
        <v>156</v>
      </c>
      <c r="S31" s="404" t="s">
        <v>1574</v>
      </c>
      <c r="T31" s="404" t="s">
        <v>2799</v>
      </c>
      <c r="U31" s="941">
        <v>312</v>
      </c>
      <c r="V31" s="941">
        <v>1874</v>
      </c>
      <c r="W31" s="941">
        <v>0</v>
      </c>
      <c r="X31" s="941">
        <v>0</v>
      </c>
      <c r="Y31" s="941">
        <v>0</v>
      </c>
      <c r="Z31" s="941">
        <v>0</v>
      </c>
      <c r="AA31" s="942">
        <v>470</v>
      </c>
      <c r="AB31" s="942">
        <v>4020</v>
      </c>
      <c r="AC31" s="942">
        <v>0</v>
      </c>
      <c r="AD31" s="942">
        <v>0</v>
      </c>
      <c r="AE31" s="942">
        <v>0</v>
      </c>
      <c r="AF31" s="942">
        <v>0</v>
      </c>
      <c r="AG31" s="943">
        <f>comparaison_samebasis_villages[[#This Row],[previous idp_ind]]-comparaison_samebasis_villages[[#This Row],[actual idp_ind]]</f>
        <v>2146</v>
      </c>
      <c r="AH31" s="943">
        <f>comparaison_samebasis_villages[[#This Row],[previous ref_ind]]-comparaison_samebasis_villages[[#This Row],[actual ref_ind]]</f>
        <v>0</v>
      </c>
      <c r="AI31" s="943">
        <f>comparaison_samebasis_villages[[#This Row],[previous ret_ind]]-comparaison_samebasis_villages[[#This Row],[actual ret_ind]]</f>
        <v>0</v>
      </c>
    </row>
    <row r="32" spans="1:35" ht="15.75" customHeight="1" x14ac:dyDescent="0.3">
      <c r="A32" s="401" t="s">
        <v>35</v>
      </c>
      <c r="B32" s="401" t="s">
        <v>35</v>
      </c>
      <c r="C32" s="401" t="s">
        <v>193</v>
      </c>
      <c r="D32" s="401" t="s">
        <v>3983</v>
      </c>
      <c r="E32" s="401" t="s">
        <v>1597</v>
      </c>
      <c r="F32" s="5" t="s">
        <v>3294</v>
      </c>
      <c r="G32" s="401"/>
      <c r="H32" s="1093" t="s">
        <v>511</v>
      </c>
      <c r="I32" s="1216" t="s">
        <v>3112</v>
      </c>
      <c r="J32" s="403">
        <v>1</v>
      </c>
      <c r="K32" s="403">
        <v>6</v>
      </c>
      <c r="L32" s="1093" t="s">
        <v>369</v>
      </c>
      <c r="M32" s="401"/>
      <c r="O32" s="404" t="s">
        <v>30</v>
      </c>
      <c r="P32" s="404" t="s">
        <v>3522</v>
      </c>
      <c r="Q32" s="404" t="s">
        <v>156</v>
      </c>
      <c r="R32" s="404" t="s">
        <v>156</v>
      </c>
      <c r="S32" s="404" t="s">
        <v>2379</v>
      </c>
      <c r="T32" s="404" t="s">
        <v>2884</v>
      </c>
      <c r="U32" s="941">
        <v>0</v>
      </c>
      <c r="V32" s="941">
        <v>0</v>
      </c>
      <c r="W32" s="941">
        <v>0</v>
      </c>
      <c r="X32" s="941">
        <v>0</v>
      </c>
      <c r="Y32" s="941">
        <v>0</v>
      </c>
      <c r="Z32" s="941">
        <v>0</v>
      </c>
      <c r="AA32" s="942">
        <v>0</v>
      </c>
      <c r="AB32" s="942">
        <v>0</v>
      </c>
      <c r="AC32" s="942">
        <v>0</v>
      </c>
      <c r="AD32" s="942">
        <v>0</v>
      </c>
      <c r="AE32" s="942">
        <v>0</v>
      </c>
      <c r="AF32" s="942">
        <v>0</v>
      </c>
      <c r="AG32" s="943">
        <f>comparaison_samebasis_villages[[#This Row],[previous idp_ind]]-comparaison_samebasis_villages[[#This Row],[actual idp_ind]]</f>
        <v>0</v>
      </c>
      <c r="AH32" s="943">
        <f>comparaison_samebasis_villages[[#This Row],[previous ref_ind]]-comparaison_samebasis_villages[[#This Row],[actual ref_ind]]</f>
        <v>0</v>
      </c>
      <c r="AI32" s="943">
        <f>comparaison_samebasis_villages[[#This Row],[previous ret_ind]]-comparaison_samebasis_villages[[#This Row],[actual ret_ind]]</f>
        <v>0</v>
      </c>
    </row>
    <row r="33" spans="1:35" ht="15.75" customHeight="1" x14ac:dyDescent="0.3">
      <c r="A33" s="401" t="s">
        <v>31</v>
      </c>
      <c r="B33" s="401" t="s">
        <v>31</v>
      </c>
      <c r="C33" s="401" t="s">
        <v>172</v>
      </c>
      <c r="D33" s="401" t="s">
        <v>172</v>
      </c>
      <c r="E33" s="401" t="s">
        <v>1164</v>
      </c>
      <c r="F33" s="5" t="s">
        <v>1869</v>
      </c>
      <c r="G33" s="401"/>
      <c r="H33" s="1093" t="s">
        <v>511</v>
      </c>
      <c r="I33" s="1216" t="s">
        <v>3033</v>
      </c>
      <c r="J33" s="403">
        <v>62</v>
      </c>
      <c r="K33" s="403">
        <v>360</v>
      </c>
      <c r="L33" s="1093" t="s">
        <v>367</v>
      </c>
      <c r="M33" s="401"/>
      <c r="O33" s="404" t="s">
        <v>30</v>
      </c>
      <c r="P33" s="404" t="s">
        <v>3522</v>
      </c>
      <c r="Q33" s="404" t="s">
        <v>156</v>
      </c>
      <c r="R33" s="404" t="s">
        <v>156</v>
      </c>
      <c r="S33" s="404" t="s">
        <v>698</v>
      </c>
      <c r="T33" s="404" t="s">
        <v>2918</v>
      </c>
      <c r="U33" s="941">
        <v>57</v>
      </c>
      <c r="V33" s="941">
        <v>358</v>
      </c>
      <c r="W33" s="941">
        <v>0</v>
      </c>
      <c r="X33" s="941">
        <v>0</v>
      </c>
      <c r="Y33" s="941">
        <v>0</v>
      </c>
      <c r="Z33" s="941">
        <v>0</v>
      </c>
      <c r="AA33" s="942">
        <v>59</v>
      </c>
      <c r="AB33" s="942">
        <v>370</v>
      </c>
      <c r="AC33" s="942">
        <v>0</v>
      </c>
      <c r="AD33" s="942">
        <v>0</v>
      </c>
      <c r="AE33" s="942">
        <v>0</v>
      </c>
      <c r="AF33" s="942">
        <v>0</v>
      </c>
      <c r="AG33" s="943">
        <f>comparaison_samebasis_villages[[#This Row],[previous idp_ind]]-comparaison_samebasis_villages[[#This Row],[actual idp_ind]]</f>
        <v>12</v>
      </c>
      <c r="AH33" s="943">
        <f>comparaison_samebasis_villages[[#This Row],[previous ref_ind]]-comparaison_samebasis_villages[[#This Row],[actual ref_ind]]</f>
        <v>0</v>
      </c>
      <c r="AI33" s="943">
        <f>comparaison_samebasis_villages[[#This Row],[previous ret_ind]]-comparaison_samebasis_villages[[#This Row],[actual ret_ind]]</f>
        <v>0</v>
      </c>
    </row>
    <row r="34" spans="1:35" ht="15.75" customHeight="1" x14ac:dyDescent="0.3">
      <c r="A34" s="401" t="s">
        <v>31</v>
      </c>
      <c r="B34" s="401" t="s">
        <v>31</v>
      </c>
      <c r="C34" s="401" t="s">
        <v>164</v>
      </c>
      <c r="D34" s="401" t="s">
        <v>164</v>
      </c>
      <c r="E34" s="401" t="s">
        <v>808</v>
      </c>
      <c r="F34" s="5" t="s">
        <v>809</v>
      </c>
      <c r="G34" s="401"/>
      <c r="H34" s="1093" t="s">
        <v>511</v>
      </c>
      <c r="I34" s="1216" t="s">
        <v>3033</v>
      </c>
      <c r="J34" s="403">
        <v>6</v>
      </c>
      <c r="K34" s="403">
        <v>46</v>
      </c>
      <c r="L34" s="1093" t="s">
        <v>367</v>
      </c>
      <c r="M34" s="401"/>
      <c r="O34" s="404" t="s">
        <v>30</v>
      </c>
      <c r="P34" s="404" t="s">
        <v>3522</v>
      </c>
      <c r="Q34" s="404" t="s">
        <v>156</v>
      </c>
      <c r="R34" s="404" t="s">
        <v>156</v>
      </c>
      <c r="S34" s="404" t="s">
        <v>2383</v>
      </c>
      <c r="T34" s="404" t="s">
        <v>2964</v>
      </c>
      <c r="U34" s="941">
        <v>0</v>
      </c>
      <c r="V34" s="941">
        <v>0</v>
      </c>
      <c r="W34" s="941">
        <v>0</v>
      </c>
      <c r="X34" s="941">
        <v>0</v>
      </c>
      <c r="Y34" s="941">
        <v>0</v>
      </c>
      <c r="Z34" s="941">
        <v>0</v>
      </c>
      <c r="AA34" s="942">
        <v>0</v>
      </c>
      <c r="AB34" s="942">
        <v>0</v>
      </c>
      <c r="AC34" s="942">
        <v>0</v>
      </c>
      <c r="AD34" s="942">
        <v>0</v>
      </c>
      <c r="AE34" s="942">
        <v>0</v>
      </c>
      <c r="AF34" s="942">
        <v>0</v>
      </c>
      <c r="AG34" s="943">
        <f>comparaison_samebasis_villages[[#This Row],[previous idp_ind]]-comparaison_samebasis_villages[[#This Row],[actual idp_ind]]</f>
        <v>0</v>
      </c>
      <c r="AH34" s="943">
        <f>comparaison_samebasis_villages[[#This Row],[previous ref_ind]]-comparaison_samebasis_villages[[#This Row],[actual ref_ind]]</f>
        <v>0</v>
      </c>
      <c r="AI34" s="943">
        <f>comparaison_samebasis_villages[[#This Row],[previous ret_ind]]-comparaison_samebasis_villages[[#This Row],[actual ret_ind]]</f>
        <v>0</v>
      </c>
    </row>
    <row r="35" spans="1:35" ht="15.75" customHeight="1" x14ac:dyDescent="0.3">
      <c r="A35" s="401" t="s">
        <v>35</v>
      </c>
      <c r="B35" s="401" t="s">
        <v>35</v>
      </c>
      <c r="C35" s="401" t="s">
        <v>194</v>
      </c>
      <c r="D35" s="401" t="s">
        <v>194</v>
      </c>
      <c r="E35" s="401" t="s">
        <v>2151</v>
      </c>
      <c r="F35" s="5" t="s">
        <v>2152</v>
      </c>
      <c r="G35" s="401"/>
      <c r="H35" s="1093" t="s">
        <v>511</v>
      </c>
      <c r="I35" s="1216" t="s">
        <v>3033</v>
      </c>
      <c r="J35" s="403">
        <v>12</v>
      </c>
      <c r="K35" s="403">
        <v>73</v>
      </c>
      <c r="L35" s="1093" t="s">
        <v>367</v>
      </c>
      <c r="M35" s="401"/>
      <c r="O35" s="404" t="s">
        <v>30</v>
      </c>
      <c r="P35" s="404" t="s">
        <v>3522</v>
      </c>
      <c r="Q35" s="404" t="s">
        <v>156</v>
      </c>
      <c r="R35" s="404" t="s">
        <v>156</v>
      </c>
      <c r="S35" s="404" t="s">
        <v>2384</v>
      </c>
      <c r="T35" s="404" t="s">
        <v>2978</v>
      </c>
      <c r="U35" s="941">
        <v>0</v>
      </c>
      <c r="V35" s="941">
        <v>0</v>
      </c>
      <c r="W35" s="941">
        <v>0</v>
      </c>
      <c r="X35" s="941">
        <v>0</v>
      </c>
      <c r="Y35" s="941">
        <v>0</v>
      </c>
      <c r="Z35" s="941">
        <v>0</v>
      </c>
      <c r="AA35" s="942">
        <v>0</v>
      </c>
      <c r="AB35" s="942">
        <v>0</v>
      </c>
      <c r="AC35" s="942">
        <v>0</v>
      </c>
      <c r="AD35" s="942">
        <v>0</v>
      </c>
      <c r="AE35" s="942">
        <v>0</v>
      </c>
      <c r="AF35" s="942">
        <v>0</v>
      </c>
      <c r="AG35" s="943">
        <f>comparaison_samebasis_villages[[#This Row],[previous idp_ind]]-comparaison_samebasis_villages[[#This Row],[actual idp_ind]]</f>
        <v>0</v>
      </c>
      <c r="AH35" s="943">
        <f>comparaison_samebasis_villages[[#This Row],[previous ref_ind]]-comparaison_samebasis_villages[[#This Row],[actual ref_ind]]</f>
        <v>0</v>
      </c>
      <c r="AI35" s="943">
        <f>comparaison_samebasis_villages[[#This Row],[previous ret_ind]]-comparaison_samebasis_villages[[#This Row],[actual ret_ind]]</f>
        <v>0</v>
      </c>
    </row>
    <row r="36" spans="1:35" ht="15.75" customHeight="1" x14ac:dyDescent="0.3">
      <c r="A36" s="401" t="s">
        <v>35</v>
      </c>
      <c r="B36" s="401" t="s">
        <v>35</v>
      </c>
      <c r="C36" s="401" t="s">
        <v>194</v>
      </c>
      <c r="D36" s="401" t="s">
        <v>194</v>
      </c>
      <c r="E36" s="401" t="s">
        <v>2151</v>
      </c>
      <c r="F36" s="5" t="s">
        <v>2152</v>
      </c>
      <c r="G36" s="401"/>
      <c r="H36" s="1093" t="s">
        <v>511</v>
      </c>
      <c r="I36" s="1216" t="s">
        <v>3110</v>
      </c>
      <c r="J36" s="403">
        <v>0</v>
      </c>
      <c r="K36" s="403">
        <v>6</v>
      </c>
      <c r="L36" s="1093" t="s">
        <v>367</v>
      </c>
      <c r="M36" s="401"/>
      <c r="O36" s="404" t="s">
        <v>30</v>
      </c>
      <c r="P36" s="404" t="s">
        <v>3522</v>
      </c>
      <c r="Q36" s="404" t="s">
        <v>156</v>
      </c>
      <c r="R36" s="404" t="s">
        <v>156</v>
      </c>
      <c r="S36" s="404" t="s">
        <v>1436</v>
      </c>
      <c r="T36" s="404" t="s">
        <v>2993</v>
      </c>
      <c r="U36" s="941">
        <v>122</v>
      </c>
      <c r="V36" s="941">
        <v>650</v>
      </c>
      <c r="W36" s="941">
        <v>0</v>
      </c>
      <c r="X36" s="941">
        <v>0</v>
      </c>
      <c r="Y36" s="941">
        <v>0</v>
      </c>
      <c r="Z36" s="941">
        <v>0</v>
      </c>
      <c r="AA36" s="942">
        <v>150</v>
      </c>
      <c r="AB36" s="942">
        <v>800</v>
      </c>
      <c r="AC36" s="942">
        <v>0</v>
      </c>
      <c r="AD36" s="942">
        <v>0</v>
      </c>
      <c r="AE36" s="942">
        <v>0</v>
      </c>
      <c r="AF36" s="942">
        <v>0</v>
      </c>
      <c r="AG36" s="943">
        <f>comparaison_samebasis_villages[[#This Row],[previous idp_ind]]-comparaison_samebasis_villages[[#This Row],[actual idp_ind]]</f>
        <v>150</v>
      </c>
      <c r="AH36" s="943">
        <f>comparaison_samebasis_villages[[#This Row],[previous ref_ind]]-comparaison_samebasis_villages[[#This Row],[actual ref_ind]]</f>
        <v>0</v>
      </c>
      <c r="AI36" s="943">
        <f>comparaison_samebasis_villages[[#This Row],[previous ret_ind]]-comparaison_samebasis_villages[[#This Row],[actual ret_ind]]</f>
        <v>0</v>
      </c>
    </row>
    <row r="37" spans="1:35" ht="15.75" customHeight="1" x14ac:dyDescent="0.3">
      <c r="A37" s="401" t="s">
        <v>35</v>
      </c>
      <c r="B37" s="401" t="s">
        <v>35</v>
      </c>
      <c r="C37" s="401" t="s">
        <v>194</v>
      </c>
      <c r="D37" s="401" t="s">
        <v>194</v>
      </c>
      <c r="E37" s="401" t="s">
        <v>2151</v>
      </c>
      <c r="F37" s="5" t="s">
        <v>2152</v>
      </c>
      <c r="G37" s="401"/>
      <c r="H37" s="1093" t="s">
        <v>511</v>
      </c>
      <c r="I37" s="1216" t="s">
        <v>3111</v>
      </c>
      <c r="J37" s="403">
        <v>0</v>
      </c>
      <c r="K37" s="403">
        <v>4</v>
      </c>
      <c r="L37" s="1093" t="s">
        <v>367</v>
      </c>
      <c r="M37" s="401"/>
      <c r="O37" s="404" t="s">
        <v>35</v>
      </c>
      <c r="P37" s="404" t="s">
        <v>35</v>
      </c>
      <c r="Q37" s="404" t="s">
        <v>190</v>
      </c>
      <c r="R37" s="404" t="s">
        <v>190</v>
      </c>
      <c r="S37" s="404" t="s">
        <v>1811</v>
      </c>
      <c r="T37" s="404" t="s">
        <v>1810</v>
      </c>
      <c r="U37" s="941">
        <v>10</v>
      </c>
      <c r="V37" s="941">
        <v>105</v>
      </c>
      <c r="W37" s="941">
        <v>0</v>
      </c>
      <c r="X37" s="941">
        <v>0</v>
      </c>
      <c r="Y37" s="941">
        <v>17</v>
      </c>
      <c r="Z37" s="941">
        <v>17</v>
      </c>
      <c r="AA37" s="942">
        <v>10</v>
      </c>
      <c r="AB37" s="942">
        <v>101</v>
      </c>
      <c r="AC37" s="942">
        <v>0</v>
      </c>
      <c r="AD37" s="942">
        <v>0</v>
      </c>
      <c r="AE37" s="942">
        <v>0</v>
      </c>
      <c r="AF37" s="942">
        <v>0</v>
      </c>
      <c r="AG37" s="943">
        <f>comparaison_samebasis_villages[[#This Row],[previous idp_ind]]-comparaison_samebasis_villages[[#This Row],[actual idp_ind]]</f>
        <v>-4</v>
      </c>
      <c r="AH37" s="943">
        <f>comparaison_samebasis_villages[[#This Row],[previous ref_ind]]-comparaison_samebasis_villages[[#This Row],[actual ref_ind]]</f>
        <v>0</v>
      </c>
      <c r="AI37" s="943">
        <f>comparaison_samebasis_villages[[#This Row],[previous ret_ind]]-comparaison_samebasis_villages[[#This Row],[actual ret_ind]]</f>
        <v>-17</v>
      </c>
    </row>
    <row r="38" spans="1:35" ht="15.75" customHeight="1" x14ac:dyDescent="0.3">
      <c r="A38" s="401" t="s">
        <v>35</v>
      </c>
      <c r="B38" s="401" t="s">
        <v>35</v>
      </c>
      <c r="C38" s="401" t="s">
        <v>194</v>
      </c>
      <c r="D38" s="401" t="s">
        <v>194</v>
      </c>
      <c r="E38" s="401" t="s">
        <v>2153</v>
      </c>
      <c r="F38" s="5" t="s">
        <v>2154</v>
      </c>
      <c r="G38" s="401"/>
      <c r="H38" s="1093" t="s">
        <v>511</v>
      </c>
      <c r="I38" s="1216" t="s">
        <v>3033</v>
      </c>
      <c r="J38" s="403">
        <v>8</v>
      </c>
      <c r="K38" s="403">
        <v>35</v>
      </c>
      <c r="L38" s="1093" t="s">
        <v>367</v>
      </c>
      <c r="M38" s="401"/>
      <c r="O38" s="404" t="s">
        <v>35</v>
      </c>
      <c r="P38" s="404" t="s">
        <v>35</v>
      </c>
      <c r="Q38" s="1145" t="s">
        <v>190</v>
      </c>
      <c r="R38" s="1145" t="s">
        <v>190</v>
      </c>
      <c r="S38" s="404" t="s">
        <v>2184</v>
      </c>
      <c r="T38" s="404" t="s">
        <v>2183</v>
      </c>
      <c r="U38" s="941">
        <v>2</v>
      </c>
      <c r="V38" s="941">
        <v>7</v>
      </c>
      <c r="W38" s="941">
        <v>14</v>
      </c>
      <c r="X38" s="941">
        <v>51</v>
      </c>
      <c r="Y38" s="941">
        <v>6</v>
      </c>
      <c r="Z38" s="941">
        <v>6</v>
      </c>
      <c r="AA38" s="942">
        <v>0</v>
      </c>
      <c r="AB38" s="942">
        <v>0</v>
      </c>
      <c r="AC38" s="942">
        <v>7</v>
      </c>
      <c r="AD38" s="942">
        <v>26</v>
      </c>
      <c r="AE38" s="942">
        <v>4</v>
      </c>
      <c r="AF38" s="942">
        <v>11</v>
      </c>
      <c r="AG38" s="943">
        <f>comparaison_samebasis_villages[[#This Row],[previous idp_ind]]-comparaison_samebasis_villages[[#This Row],[actual idp_ind]]</f>
        <v>-7</v>
      </c>
      <c r="AH38" s="943">
        <f>comparaison_samebasis_villages[[#This Row],[previous ref_ind]]-comparaison_samebasis_villages[[#This Row],[actual ref_ind]]</f>
        <v>-25</v>
      </c>
      <c r="AI38" s="943">
        <f>comparaison_samebasis_villages[[#This Row],[previous ret_ind]]-comparaison_samebasis_villages[[#This Row],[actual ret_ind]]</f>
        <v>5</v>
      </c>
    </row>
    <row r="39" spans="1:35" ht="15.75" customHeight="1" x14ac:dyDescent="0.3">
      <c r="A39" s="401" t="s">
        <v>35</v>
      </c>
      <c r="B39" s="401" t="s">
        <v>35</v>
      </c>
      <c r="C39" s="401" t="s">
        <v>194</v>
      </c>
      <c r="D39" s="401" t="s">
        <v>194</v>
      </c>
      <c r="E39" s="401" t="s">
        <v>2153</v>
      </c>
      <c r="F39" s="5" t="s">
        <v>2154</v>
      </c>
      <c r="G39" s="401"/>
      <c r="H39" s="1093" t="s">
        <v>511</v>
      </c>
      <c r="I39" s="1216" t="s">
        <v>3109</v>
      </c>
      <c r="J39" s="403">
        <v>0</v>
      </c>
      <c r="K39" s="403">
        <v>4</v>
      </c>
      <c r="L39" s="1093" t="s">
        <v>367</v>
      </c>
      <c r="M39" s="401"/>
      <c r="O39" s="404" t="s">
        <v>35</v>
      </c>
      <c r="P39" s="404" t="s">
        <v>35</v>
      </c>
      <c r="Q39" s="1185" t="s">
        <v>190</v>
      </c>
      <c r="R39" s="1185" t="s">
        <v>190</v>
      </c>
      <c r="S39" s="1185" t="s">
        <v>2274</v>
      </c>
      <c r="T39" s="1185" t="s">
        <v>2273</v>
      </c>
      <c r="U39" s="941">
        <v>0</v>
      </c>
      <c r="V39" s="941">
        <v>0</v>
      </c>
      <c r="W39" s="941">
        <v>0</v>
      </c>
      <c r="X39" s="941">
        <v>0</v>
      </c>
      <c r="Y39" s="941">
        <v>153</v>
      </c>
      <c r="Z39" s="941">
        <v>153</v>
      </c>
      <c r="AA39" s="942">
        <v>0</v>
      </c>
      <c r="AB39" s="942">
        <v>0</v>
      </c>
      <c r="AC39" s="942">
        <v>0</v>
      </c>
      <c r="AD39" s="942">
        <v>0</v>
      </c>
      <c r="AE39" s="942">
        <v>153</v>
      </c>
      <c r="AF39" s="942">
        <v>816</v>
      </c>
      <c r="AG39" s="943">
        <f>comparaison_samebasis_villages[[#This Row],[previous idp_ind]]-comparaison_samebasis_villages[[#This Row],[actual idp_ind]]</f>
        <v>0</v>
      </c>
      <c r="AH39" s="943">
        <f>comparaison_samebasis_villages[[#This Row],[previous ref_ind]]-comparaison_samebasis_villages[[#This Row],[actual ref_ind]]</f>
        <v>0</v>
      </c>
      <c r="AI39" s="943">
        <f>comparaison_samebasis_villages[[#This Row],[previous ret_ind]]-comparaison_samebasis_villages[[#This Row],[actual ret_ind]]</f>
        <v>663</v>
      </c>
    </row>
    <row r="40" spans="1:35" ht="15.75" customHeight="1" x14ac:dyDescent="0.3">
      <c r="A40" s="401" t="s">
        <v>35</v>
      </c>
      <c r="B40" s="401" t="s">
        <v>35</v>
      </c>
      <c r="C40" s="401" t="s">
        <v>194</v>
      </c>
      <c r="D40" s="401" t="s">
        <v>194</v>
      </c>
      <c r="E40" s="401" t="s">
        <v>2153</v>
      </c>
      <c r="F40" s="5" t="s">
        <v>2154</v>
      </c>
      <c r="G40" s="401"/>
      <c r="H40" s="1093" t="s">
        <v>511</v>
      </c>
      <c r="I40" s="1216" t="s">
        <v>3110</v>
      </c>
      <c r="J40" s="403">
        <v>0</v>
      </c>
      <c r="K40" s="403">
        <v>2</v>
      </c>
      <c r="L40" s="1093" t="s">
        <v>367</v>
      </c>
      <c r="M40" s="401"/>
      <c r="O40" s="404" t="s">
        <v>35</v>
      </c>
      <c r="P40" s="404" t="s">
        <v>35</v>
      </c>
      <c r="Q40" s="1145" t="s">
        <v>190</v>
      </c>
      <c r="R40" s="1145" t="s">
        <v>190</v>
      </c>
      <c r="S40" s="404" t="s">
        <v>852</v>
      </c>
      <c r="T40" s="404" t="s">
        <v>851</v>
      </c>
      <c r="U40" s="941">
        <v>23</v>
      </c>
      <c r="V40" s="941">
        <v>140</v>
      </c>
      <c r="W40" s="941">
        <v>23</v>
      </c>
      <c r="X40" s="941">
        <v>136</v>
      </c>
      <c r="Y40" s="941">
        <v>0</v>
      </c>
      <c r="Z40" s="941">
        <v>0</v>
      </c>
      <c r="AA40" s="942">
        <v>23</v>
      </c>
      <c r="AB40" s="942">
        <v>140</v>
      </c>
      <c r="AC40" s="942">
        <v>3</v>
      </c>
      <c r="AD40" s="942">
        <v>8</v>
      </c>
      <c r="AE40" s="942">
        <v>0</v>
      </c>
      <c r="AF40" s="942">
        <v>0</v>
      </c>
      <c r="AG40" s="943">
        <f>comparaison_samebasis_villages[[#This Row],[previous idp_ind]]-comparaison_samebasis_villages[[#This Row],[actual idp_ind]]</f>
        <v>0</v>
      </c>
      <c r="AH40" s="943">
        <f>comparaison_samebasis_villages[[#This Row],[previous ref_ind]]-comparaison_samebasis_villages[[#This Row],[actual ref_ind]]</f>
        <v>-128</v>
      </c>
      <c r="AI40" s="943">
        <f>comparaison_samebasis_villages[[#This Row],[previous ret_ind]]-comparaison_samebasis_villages[[#This Row],[actual ret_ind]]</f>
        <v>0</v>
      </c>
    </row>
    <row r="41" spans="1:35" ht="15.75" customHeight="1" x14ac:dyDescent="0.3">
      <c r="A41" s="401" t="s">
        <v>35</v>
      </c>
      <c r="B41" s="401" t="s">
        <v>35</v>
      </c>
      <c r="C41" s="401" t="s">
        <v>194</v>
      </c>
      <c r="D41" s="401" t="s">
        <v>194</v>
      </c>
      <c r="E41" s="401" t="s">
        <v>2153</v>
      </c>
      <c r="F41" s="5" t="s">
        <v>2154</v>
      </c>
      <c r="G41" s="401"/>
      <c r="H41" s="1093" t="s">
        <v>511</v>
      </c>
      <c r="I41" s="1216" t="s">
        <v>3112</v>
      </c>
      <c r="J41" s="403">
        <v>2</v>
      </c>
      <c r="K41" s="403">
        <v>8</v>
      </c>
      <c r="L41" s="1093" t="s">
        <v>367</v>
      </c>
      <c r="M41" s="401"/>
      <c r="O41" s="404" t="s">
        <v>35</v>
      </c>
      <c r="P41" s="404" t="s">
        <v>35</v>
      </c>
      <c r="Q41" s="404" t="s">
        <v>190</v>
      </c>
      <c r="R41" s="404" t="s">
        <v>190</v>
      </c>
      <c r="S41" s="404" t="s">
        <v>2158</v>
      </c>
      <c r="T41" s="404" t="s">
        <v>2157</v>
      </c>
      <c r="U41" s="941">
        <v>0</v>
      </c>
      <c r="V41" s="941">
        <v>0</v>
      </c>
      <c r="W41" s="941">
        <v>19</v>
      </c>
      <c r="X41" s="941">
        <v>136</v>
      </c>
      <c r="Y41" s="941">
        <v>20</v>
      </c>
      <c r="Z41" s="941">
        <v>20</v>
      </c>
      <c r="AA41" s="942">
        <v>0</v>
      </c>
      <c r="AB41" s="942">
        <v>0</v>
      </c>
      <c r="AC41" s="942">
        <v>19</v>
      </c>
      <c r="AD41" s="942">
        <v>136</v>
      </c>
      <c r="AE41" s="942">
        <v>1</v>
      </c>
      <c r="AF41" s="942">
        <v>5</v>
      </c>
      <c r="AG41" s="943">
        <f>comparaison_samebasis_villages[[#This Row],[previous idp_ind]]-comparaison_samebasis_villages[[#This Row],[actual idp_ind]]</f>
        <v>0</v>
      </c>
      <c r="AH41" s="943">
        <f>comparaison_samebasis_villages[[#This Row],[previous ref_ind]]-comparaison_samebasis_villages[[#This Row],[actual ref_ind]]</f>
        <v>0</v>
      </c>
      <c r="AI41" s="943">
        <f>comparaison_samebasis_villages[[#This Row],[previous ret_ind]]-comparaison_samebasis_villages[[#This Row],[actual ret_ind]]</f>
        <v>-15</v>
      </c>
    </row>
    <row r="42" spans="1:35" ht="15.75" customHeight="1" x14ac:dyDescent="0.3">
      <c r="A42" s="401" t="s">
        <v>31</v>
      </c>
      <c r="B42" s="401" t="s">
        <v>31</v>
      </c>
      <c r="C42" s="401" t="s">
        <v>172</v>
      </c>
      <c r="D42" s="401" t="s">
        <v>172</v>
      </c>
      <c r="E42" s="401" t="s">
        <v>1068</v>
      </c>
      <c r="F42" s="5" t="s">
        <v>1867</v>
      </c>
      <c r="G42" s="401"/>
      <c r="H42" s="1093" t="s">
        <v>511</v>
      </c>
      <c r="I42" s="1216" t="s">
        <v>3112</v>
      </c>
      <c r="J42" s="403">
        <v>101</v>
      </c>
      <c r="K42" s="403">
        <v>517</v>
      </c>
      <c r="L42" s="1093" t="s">
        <v>367</v>
      </c>
      <c r="M42" s="401"/>
      <c r="O42" s="404" t="s">
        <v>35</v>
      </c>
      <c r="P42" s="404" t="s">
        <v>35</v>
      </c>
      <c r="Q42" s="404" t="s">
        <v>190</v>
      </c>
      <c r="R42" s="404" t="s">
        <v>190</v>
      </c>
      <c r="S42" s="404" t="s">
        <v>2182</v>
      </c>
      <c r="T42" s="404" t="s">
        <v>2181</v>
      </c>
      <c r="U42" s="941">
        <v>0</v>
      </c>
      <c r="V42" s="941">
        <v>0</v>
      </c>
      <c r="W42" s="941">
        <v>5</v>
      </c>
      <c r="X42" s="941">
        <v>24</v>
      </c>
      <c r="Y42" s="941">
        <v>6</v>
      </c>
      <c r="Z42" s="941">
        <v>6</v>
      </c>
      <c r="AA42" s="942">
        <v>0</v>
      </c>
      <c r="AB42" s="942">
        <v>0</v>
      </c>
      <c r="AC42" s="942">
        <v>4</v>
      </c>
      <c r="AD42" s="942">
        <v>25</v>
      </c>
      <c r="AE42" s="942">
        <v>0</v>
      </c>
      <c r="AF42" s="942">
        <v>0</v>
      </c>
      <c r="AG42" s="943">
        <f>comparaison_samebasis_villages[[#This Row],[previous idp_ind]]-comparaison_samebasis_villages[[#This Row],[actual idp_ind]]</f>
        <v>0</v>
      </c>
      <c r="AH42" s="943">
        <f>comparaison_samebasis_villages[[#This Row],[previous ref_ind]]-comparaison_samebasis_villages[[#This Row],[actual ref_ind]]</f>
        <v>1</v>
      </c>
      <c r="AI42" s="943">
        <f>comparaison_samebasis_villages[[#This Row],[previous ret_ind]]-comparaison_samebasis_villages[[#This Row],[actual ret_ind]]</f>
        <v>-6</v>
      </c>
    </row>
    <row r="43" spans="1:35" ht="15.75" customHeight="1" x14ac:dyDescent="0.3">
      <c r="A43" s="401" t="s">
        <v>31</v>
      </c>
      <c r="B43" s="401" t="s">
        <v>31</v>
      </c>
      <c r="C43" s="401" t="s">
        <v>172</v>
      </c>
      <c r="D43" s="401" t="s">
        <v>172</v>
      </c>
      <c r="E43" s="401" t="s">
        <v>1068</v>
      </c>
      <c r="F43" s="5" t="s">
        <v>1867</v>
      </c>
      <c r="G43" s="401"/>
      <c r="H43" s="1093" t="s">
        <v>511</v>
      </c>
      <c r="I43" s="1216" t="s">
        <v>3033</v>
      </c>
      <c r="J43" s="403">
        <v>0</v>
      </c>
      <c r="K43" s="403">
        <v>16</v>
      </c>
      <c r="L43" s="1093" t="s">
        <v>367</v>
      </c>
      <c r="M43" s="401"/>
      <c r="O43" s="404" t="s">
        <v>35</v>
      </c>
      <c r="P43" s="404" t="s">
        <v>35</v>
      </c>
      <c r="Q43" s="404" t="s">
        <v>190</v>
      </c>
      <c r="R43" s="404" t="s">
        <v>190</v>
      </c>
      <c r="S43" s="404" t="s">
        <v>801</v>
      </c>
      <c r="T43" s="404" t="s">
        <v>2853</v>
      </c>
      <c r="U43" s="941">
        <v>26</v>
      </c>
      <c r="V43" s="941">
        <v>158</v>
      </c>
      <c r="W43" s="941">
        <v>1</v>
      </c>
      <c r="X43" s="941">
        <v>39</v>
      </c>
      <c r="Y43" s="941">
        <v>2</v>
      </c>
      <c r="Z43" s="941">
        <v>2</v>
      </c>
      <c r="AA43" s="942">
        <v>25</v>
      </c>
      <c r="AB43" s="942">
        <v>157</v>
      </c>
      <c r="AC43" s="942">
        <v>1</v>
      </c>
      <c r="AD43" s="942">
        <v>39</v>
      </c>
      <c r="AE43" s="942">
        <v>1</v>
      </c>
      <c r="AF43" s="942">
        <v>8</v>
      </c>
      <c r="AG43" s="943">
        <f>comparaison_samebasis_villages[[#This Row],[previous idp_ind]]-comparaison_samebasis_villages[[#This Row],[actual idp_ind]]</f>
        <v>-1</v>
      </c>
      <c r="AH43" s="943">
        <f>comparaison_samebasis_villages[[#This Row],[previous ref_ind]]-comparaison_samebasis_villages[[#This Row],[actual ref_ind]]</f>
        <v>0</v>
      </c>
      <c r="AI43" s="943">
        <f>comparaison_samebasis_villages[[#This Row],[previous ret_ind]]-comparaison_samebasis_villages[[#This Row],[actual ret_ind]]</f>
        <v>6</v>
      </c>
    </row>
    <row r="44" spans="1:35" ht="15.75" customHeight="1" x14ac:dyDescent="0.3">
      <c r="A44" s="401" t="s">
        <v>31</v>
      </c>
      <c r="B44" s="401" t="s">
        <v>31</v>
      </c>
      <c r="C44" s="401" t="s">
        <v>172</v>
      </c>
      <c r="D44" s="401" t="s">
        <v>172</v>
      </c>
      <c r="E44" s="401" t="s">
        <v>1305</v>
      </c>
      <c r="F44" s="5" t="s">
        <v>973</v>
      </c>
      <c r="G44" s="401"/>
      <c r="H44" s="1093" t="s">
        <v>511</v>
      </c>
      <c r="I44" s="1216" t="s">
        <v>3033</v>
      </c>
      <c r="J44" s="403">
        <v>53</v>
      </c>
      <c r="K44" s="403">
        <v>372</v>
      </c>
      <c r="L44" s="1093" t="s">
        <v>367</v>
      </c>
      <c r="M44" s="401"/>
      <c r="O44" s="404" t="s">
        <v>31</v>
      </c>
      <c r="P44" s="404" t="s">
        <v>31</v>
      </c>
      <c r="Q44" s="404" t="s">
        <v>165</v>
      </c>
      <c r="R44" s="404" t="s">
        <v>165</v>
      </c>
      <c r="S44" s="404" t="s">
        <v>1841</v>
      </c>
      <c r="T44" s="404" t="s">
        <v>1840</v>
      </c>
      <c r="U44" s="941">
        <v>0</v>
      </c>
      <c r="V44" s="941">
        <v>0</v>
      </c>
      <c r="W44" s="941">
        <v>0</v>
      </c>
      <c r="X44" s="941">
        <v>0</v>
      </c>
      <c r="Y44" s="941">
        <v>0</v>
      </c>
      <c r="Z44" s="941">
        <v>0</v>
      </c>
      <c r="AA44" s="942">
        <v>62</v>
      </c>
      <c r="AB44" s="942">
        <v>369</v>
      </c>
      <c r="AC44" s="942">
        <v>3</v>
      </c>
      <c r="AD44" s="942">
        <v>17</v>
      </c>
      <c r="AE44" s="942">
        <v>6</v>
      </c>
      <c r="AF44" s="942">
        <v>34</v>
      </c>
      <c r="AG44" s="943">
        <f>comparaison_samebasis_villages[[#This Row],[previous idp_ind]]-comparaison_samebasis_villages[[#This Row],[actual idp_ind]]</f>
        <v>369</v>
      </c>
      <c r="AH44" s="943">
        <f>comparaison_samebasis_villages[[#This Row],[previous ref_ind]]-comparaison_samebasis_villages[[#This Row],[actual ref_ind]]</f>
        <v>17</v>
      </c>
      <c r="AI44" s="943">
        <f>comparaison_samebasis_villages[[#This Row],[previous ret_ind]]-comparaison_samebasis_villages[[#This Row],[actual ret_ind]]</f>
        <v>34</v>
      </c>
    </row>
    <row r="45" spans="1:35" ht="15.75" customHeight="1" x14ac:dyDescent="0.3">
      <c r="A45" s="401" t="s">
        <v>31</v>
      </c>
      <c r="B45" s="401" t="s">
        <v>31</v>
      </c>
      <c r="C45" s="401" t="s">
        <v>172</v>
      </c>
      <c r="D45" s="401" t="s">
        <v>172</v>
      </c>
      <c r="E45" s="401" t="s">
        <v>1305</v>
      </c>
      <c r="F45" s="5" t="s">
        <v>973</v>
      </c>
      <c r="G45" s="401"/>
      <c r="H45" s="1093" t="s">
        <v>511</v>
      </c>
      <c r="I45" s="1216" t="s">
        <v>3112</v>
      </c>
      <c r="J45" s="403">
        <v>0</v>
      </c>
      <c r="K45" s="403">
        <v>10</v>
      </c>
      <c r="L45" s="1093" t="s">
        <v>367</v>
      </c>
      <c r="M45" s="401"/>
      <c r="O45" s="404" t="s">
        <v>31</v>
      </c>
      <c r="P45" s="404" t="s">
        <v>31</v>
      </c>
      <c r="Q45" s="404" t="s">
        <v>165</v>
      </c>
      <c r="R45" s="404" t="s">
        <v>165</v>
      </c>
      <c r="S45" s="404" t="s">
        <v>1296</v>
      </c>
      <c r="T45" s="404" t="s">
        <v>1295</v>
      </c>
      <c r="U45" s="941">
        <v>0</v>
      </c>
      <c r="V45" s="941">
        <v>0</v>
      </c>
      <c r="W45" s="941">
        <v>0</v>
      </c>
      <c r="X45" s="941">
        <v>0</v>
      </c>
      <c r="Y45" s="941">
        <v>0</v>
      </c>
      <c r="Z45" s="941">
        <v>0</v>
      </c>
      <c r="AA45" s="942">
        <v>18</v>
      </c>
      <c r="AB45" s="942">
        <v>118</v>
      </c>
      <c r="AC45" s="942">
        <v>0</v>
      </c>
      <c r="AD45" s="942">
        <v>0</v>
      </c>
      <c r="AE45" s="942">
        <v>0</v>
      </c>
      <c r="AF45" s="942">
        <v>0</v>
      </c>
      <c r="AG45" s="943">
        <f>comparaison_samebasis_villages[[#This Row],[previous idp_ind]]-comparaison_samebasis_villages[[#This Row],[actual idp_ind]]</f>
        <v>118</v>
      </c>
      <c r="AH45" s="943">
        <f>comparaison_samebasis_villages[[#This Row],[previous ref_ind]]-comparaison_samebasis_villages[[#This Row],[actual ref_ind]]</f>
        <v>0</v>
      </c>
      <c r="AI45" s="943">
        <f>comparaison_samebasis_villages[[#This Row],[previous ret_ind]]-comparaison_samebasis_villages[[#This Row],[actual ret_ind]]</f>
        <v>0</v>
      </c>
    </row>
    <row r="46" spans="1:35" ht="15.75" customHeight="1" x14ac:dyDescent="0.3">
      <c r="A46" s="401" t="s">
        <v>31</v>
      </c>
      <c r="B46" s="401" t="s">
        <v>31</v>
      </c>
      <c r="C46" s="401" t="s">
        <v>172</v>
      </c>
      <c r="D46" s="401" t="s">
        <v>172</v>
      </c>
      <c r="E46" s="401" t="s">
        <v>2883</v>
      </c>
      <c r="F46" s="5" t="s">
        <v>2162</v>
      </c>
      <c r="G46" s="401"/>
      <c r="H46" s="1093" t="s">
        <v>511</v>
      </c>
      <c r="I46" s="1216" t="s">
        <v>3110</v>
      </c>
      <c r="J46" s="403">
        <v>3</v>
      </c>
      <c r="K46" s="403">
        <v>23</v>
      </c>
      <c r="L46" s="1093" t="s">
        <v>371</v>
      </c>
      <c r="M46" s="401"/>
      <c r="O46" s="404" t="s">
        <v>31</v>
      </c>
      <c r="P46" s="404" t="s">
        <v>31</v>
      </c>
      <c r="Q46" s="404" t="s">
        <v>165</v>
      </c>
      <c r="R46" s="404" t="s">
        <v>165</v>
      </c>
      <c r="S46" s="404" t="s">
        <v>2033</v>
      </c>
      <c r="T46" s="404" t="s">
        <v>2032</v>
      </c>
      <c r="U46" s="941">
        <v>80</v>
      </c>
      <c r="V46" s="941">
        <v>572</v>
      </c>
      <c r="W46" s="941">
        <v>0</v>
      </c>
      <c r="X46" s="941">
        <v>0</v>
      </c>
      <c r="Y46" s="941">
        <v>0</v>
      </c>
      <c r="Z46" s="941">
        <v>0</v>
      </c>
      <c r="AA46" s="942">
        <v>80</v>
      </c>
      <c r="AB46" s="942">
        <v>572</v>
      </c>
      <c r="AC46" s="942">
        <v>0</v>
      </c>
      <c r="AD46" s="942">
        <v>0</v>
      </c>
      <c r="AE46" s="942">
        <v>0</v>
      </c>
      <c r="AF46" s="942">
        <v>0</v>
      </c>
      <c r="AG46" s="943">
        <f>comparaison_samebasis_villages[[#This Row],[previous idp_ind]]-comparaison_samebasis_villages[[#This Row],[actual idp_ind]]</f>
        <v>0</v>
      </c>
      <c r="AH46" s="943">
        <f>comparaison_samebasis_villages[[#This Row],[previous ref_ind]]-comparaison_samebasis_villages[[#This Row],[actual ref_ind]]</f>
        <v>0</v>
      </c>
      <c r="AI46" s="943">
        <f>comparaison_samebasis_villages[[#This Row],[previous ret_ind]]-comparaison_samebasis_villages[[#This Row],[actual ret_ind]]</f>
        <v>0</v>
      </c>
    </row>
    <row r="47" spans="1:35" ht="15.75" customHeight="1" x14ac:dyDescent="0.3">
      <c r="A47" s="401" t="s">
        <v>31</v>
      </c>
      <c r="B47" s="401" t="s">
        <v>31</v>
      </c>
      <c r="C47" s="401" t="s">
        <v>172</v>
      </c>
      <c r="D47" s="401" t="s">
        <v>172</v>
      </c>
      <c r="E47" s="401" t="s">
        <v>2883</v>
      </c>
      <c r="F47" s="5" t="s">
        <v>2162</v>
      </c>
      <c r="G47" s="401"/>
      <c r="H47" s="1093" t="s">
        <v>511</v>
      </c>
      <c r="I47" s="1216" t="s">
        <v>3112</v>
      </c>
      <c r="J47" s="403">
        <v>0</v>
      </c>
      <c r="K47" s="403">
        <v>1</v>
      </c>
      <c r="L47" s="1093" t="s">
        <v>365</v>
      </c>
      <c r="M47" s="401"/>
      <c r="O47" s="404" t="s">
        <v>31</v>
      </c>
      <c r="P47" s="404" t="s">
        <v>31</v>
      </c>
      <c r="Q47" s="404" t="s">
        <v>165</v>
      </c>
      <c r="R47" s="404" t="s">
        <v>165</v>
      </c>
      <c r="S47" s="404" t="s">
        <v>2031</v>
      </c>
      <c r="T47" s="404" t="s">
        <v>3201</v>
      </c>
      <c r="U47" s="941">
        <v>0</v>
      </c>
      <c r="V47" s="941">
        <v>0</v>
      </c>
      <c r="W47" s="941">
        <v>0</v>
      </c>
      <c r="X47" s="941">
        <v>0</v>
      </c>
      <c r="Y47" s="941">
        <v>0</v>
      </c>
      <c r="Z47" s="941">
        <v>0</v>
      </c>
      <c r="AA47" s="942">
        <v>30</v>
      </c>
      <c r="AB47" s="942">
        <v>102</v>
      </c>
      <c r="AC47" s="942">
        <v>0</v>
      </c>
      <c r="AD47" s="942">
        <v>0</v>
      </c>
      <c r="AE47" s="942">
        <v>0</v>
      </c>
      <c r="AF47" s="942">
        <v>0</v>
      </c>
      <c r="AG47" s="943">
        <f>comparaison_samebasis_villages[[#This Row],[previous idp_ind]]-comparaison_samebasis_villages[[#This Row],[actual idp_ind]]</f>
        <v>102</v>
      </c>
      <c r="AH47" s="943">
        <f>comparaison_samebasis_villages[[#This Row],[previous ref_ind]]-comparaison_samebasis_villages[[#This Row],[actual ref_ind]]</f>
        <v>0</v>
      </c>
      <c r="AI47" s="943">
        <f>comparaison_samebasis_villages[[#This Row],[previous ret_ind]]-comparaison_samebasis_villages[[#This Row],[actual ret_ind]]</f>
        <v>0</v>
      </c>
    </row>
    <row r="48" spans="1:35" ht="15.75" customHeight="1" x14ac:dyDescent="0.3">
      <c r="A48" s="401" t="s">
        <v>35</v>
      </c>
      <c r="B48" s="401" t="s">
        <v>35</v>
      </c>
      <c r="C48" s="401" t="s">
        <v>193</v>
      </c>
      <c r="D48" s="401" t="s">
        <v>3983</v>
      </c>
      <c r="E48" s="401" t="s">
        <v>2675</v>
      </c>
      <c r="F48" s="5" t="s">
        <v>2207</v>
      </c>
      <c r="G48" s="401"/>
      <c r="H48" s="1093" t="s">
        <v>511</v>
      </c>
      <c r="I48" s="1216" t="s">
        <v>3033</v>
      </c>
      <c r="J48" s="403">
        <v>1017</v>
      </c>
      <c r="K48" s="403">
        <v>7909</v>
      </c>
      <c r="L48" s="1093" t="s">
        <v>365</v>
      </c>
      <c r="M48" s="401"/>
      <c r="O48" s="404" t="s">
        <v>31</v>
      </c>
      <c r="P48" s="404" t="s">
        <v>31</v>
      </c>
      <c r="Q48" s="404" t="s">
        <v>165</v>
      </c>
      <c r="R48" s="404" t="s">
        <v>165</v>
      </c>
      <c r="S48" s="404" t="s">
        <v>2035</v>
      </c>
      <c r="T48" s="404" t="s">
        <v>2030</v>
      </c>
      <c r="U48" s="941">
        <v>0</v>
      </c>
      <c r="V48" s="941">
        <v>0</v>
      </c>
      <c r="W48" s="941">
        <v>0</v>
      </c>
      <c r="X48" s="941">
        <v>0</v>
      </c>
      <c r="Y48" s="941">
        <v>0</v>
      </c>
      <c r="Z48" s="941">
        <v>0</v>
      </c>
      <c r="AA48" s="942">
        <v>10</v>
      </c>
      <c r="AB48" s="942">
        <v>57</v>
      </c>
      <c r="AC48" s="942">
        <v>0</v>
      </c>
      <c r="AD48" s="942">
        <v>0</v>
      </c>
      <c r="AE48" s="942">
        <v>0</v>
      </c>
      <c r="AF48" s="942">
        <v>0</v>
      </c>
      <c r="AG48" s="943">
        <f>comparaison_samebasis_villages[[#This Row],[previous idp_ind]]-comparaison_samebasis_villages[[#This Row],[actual idp_ind]]</f>
        <v>57</v>
      </c>
      <c r="AH48" s="943">
        <f>comparaison_samebasis_villages[[#This Row],[previous ref_ind]]-comparaison_samebasis_villages[[#This Row],[actual ref_ind]]</f>
        <v>0</v>
      </c>
      <c r="AI48" s="943">
        <f>comparaison_samebasis_villages[[#This Row],[previous ret_ind]]-comparaison_samebasis_villages[[#This Row],[actual ret_ind]]</f>
        <v>0</v>
      </c>
    </row>
    <row r="49" spans="1:35" ht="15.75" customHeight="1" x14ac:dyDescent="0.3">
      <c r="A49" s="401" t="s">
        <v>35</v>
      </c>
      <c r="B49" s="401" t="s">
        <v>35</v>
      </c>
      <c r="C49" s="401" t="s">
        <v>193</v>
      </c>
      <c r="D49" s="401" t="s">
        <v>3983</v>
      </c>
      <c r="E49" s="401" t="s">
        <v>2675</v>
      </c>
      <c r="F49" s="5" t="s">
        <v>2207</v>
      </c>
      <c r="G49" s="401"/>
      <c r="H49" s="1093" t="s">
        <v>511</v>
      </c>
      <c r="I49" s="1216" t="s">
        <v>3110</v>
      </c>
      <c r="J49" s="403">
        <v>2</v>
      </c>
      <c r="K49" s="403">
        <v>17</v>
      </c>
      <c r="L49" s="1093" t="s">
        <v>365</v>
      </c>
      <c r="M49" s="401"/>
      <c r="O49" s="404" t="s">
        <v>31</v>
      </c>
      <c r="P49" s="404" t="s">
        <v>31</v>
      </c>
      <c r="Q49" s="404" t="s">
        <v>165</v>
      </c>
      <c r="R49" s="404" t="s">
        <v>165</v>
      </c>
      <c r="S49" s="404" t="s">
        <v>1188</v>
      </c>
      <c r="T49" s="404" t="s">
        <v>2034</v>
      </c>
      <c r="U49" s="941">
        <v>0</v>
      </c>
      <c r="V49" s="941">
        <v>0</v>
      </c>
      <c r="W49" s="941">
        <v>0</v>
      </c>
      <c r="X49" s="941">
        <v>0</v>
      </c>
      <c r="Y49" s="941">
        <v>0</v>
      </c>
      <c r="Z49" s="941">
        <v>0</v>
      </c>
      <c r="AA49" s="942">
        <v>17</v>
      </c>
      <c r="AB49" s="942">
        <v>221</v>
      </c>
      <c r="AC49" s="942">
        <v>3</v>
      </c>
      <c r="AD49" s="942">
        <v>15</v>
      </c>
      <c r="AE49" s="942">
        <v>0</v>
      </c>
      <c r="AF49" s="942">
        <v>0</v>
      </c>
      <c r="AG49" s="943">
        <f>comparaison_samebasis_villages[[#This Row],[previous idp_ind]]-comparaison_samebasis_villages[[#This Row],[actual idp_ind]]</f>
        <v>221</v>
      </c>
      <c r="AH49" s="943">
        <f>comparaison_samebasis_villages[[#This Row],[previous ref_ind]]-comparaison_samebasis_villages[[#This Row],[actual ref_ind]]</f>
        <v>15</v>
      </c>
      <c r="AI49" s="943">
        <f>comparaison_samebasis_villages[[#This Row],[previous ret_ind]]-comparaison_samebasis_villages[[#This Row],[actual ret_ind]]</f>
        <v>0</v>
      </c>
    </row>
    <row r="50" spans="1:35" ht="15.75" customHeight="1" x14ac:dyDescent="0.3">
      <c r="A50" s="401" t="s">
        <v>35</v>
      </c>
      <c r="B50" s="401" t="s">
        <v>35</v>
      </c>
      <c r="C50" s="401" t="s">
        <v>193</v>
      </c>
      <c r="D50" s="401" t="s">
        <v>3983</v>
      </c>
      <c r="E50" s="401" t="s">
        <v>2675</v>
      </c>
      <c r="F50" s="5" t="s">
        <v>2207</v>
      </c>
      <c r="G50" s="401"/>
      <c r="H50" s="1093" t="s">
        <v>511</v>
      </c>
      <c r="I50" s="1216" t="s">
        <v>3111</v>
      </c>
      <c r="J50" s="403">
        <v>2</v>
      </c>
      <c r="K50" s="403">
        <v>16</v>
      </c>
      <c r="L50" s="1093" t="s">
        <v>365</v>
      </c>
      <c r="M50" s="401"/>
      <c r="O50" s="404" t="s">
        <v>31</v>
      </c>
      <c r="P50" s="404" t="s">
        <v>31</v>
      </c>
      <c r="Q50" s="404" t="s">
        <v>165</v>
      </c>
      <c r="R50" s="404" t="s">
        <v>165</v>
      </c>
      <c r="S50" s="404" t="s">
        <v>1847</v>
      </c>
      <c r="T50" s="404" t="s">
        <v>1187</v>
      </c>
      <c r="U50" s="941">
        <v>150</v>
      </c>
      <c r="V50" s="941">
        <v>600</v>
      </c>
      <c r="W50" s="941">
        <v>0</v>
      </c>
      <c r="X50" s="941">
        <v>0</v>
      </c>
      <c r="Y50" s="941">
        <v>0</v>
      </c>
      <c r="Z50" s="941">
        <v>0</v>
      </c>
      <c r="AA50" s="942">
        <v>30</v>
      </c>
      <c r="AB50" s="942">
        <v>221</v>
      </c>
      <c r="AC50" s="942">
        <v>9</v>
      </c>
      <c r="AD50" s="942">
        <v>61</v>
      </c>
      <c r="AE50" s="942">
        <v>0</v>
      </c>
      <c r="AF50" s="942">
        <v>0</v>
      </c>
      <c r="AG50" s="943">
        <f>comparaison_samebasis_villages[[#This Row],[previous idp_ind]]-comparaison_samebasis_villages[[#This Row],[actual idp_ind]]</f>
        <v>-379</v>
      </c>
      <c r="AH50" s="943">
        <f>comparaison_samebasis_villages[[#This Row],[previous ref_ind]]-comparaison_samebasis_villages[[#This Row],[actual ref_ind]]</f>
        <v>61</v>
      </c>
      <c r="AI50" s="943">
        <f>comparaison_samebasis_villages[[#This Row],[previous ret_ind]]-comparaison_samebasis_villages[[#This Row],[actual ret_ind]]</f>
        <v>0</v>
      </c>
    </row>
    <row r="51" spans="1:35" ht="15.75" customHeight="1" x14ac:dyDescent="0.3">
      <c r="A51" s="401" t="s">
        <v>31</v>
      </c>
      <c r="B51" s="401" t="s">
        <v>31</v>
      </c>
      <c r="C51" s="401" t="s">
        <v>169</v>
      </c>
      <c r="D51" s="401" t="s">
        <v>169</v>
      </c>
      <c r="E51" s="401" t="s">
        <v>2992</v>
      </c>
      <c r="F51" s="5" t="s">
        <v>2330</v>
      </c>
      <c r="G51" s="401"/>
      <c r="H51" s="1093" t="s">
        <v>511</v>
      </c>
      <c r="I51" s="1216" t="s">
        <v>3112</v>
      </c>
      <c r="J51" s="403">
        <v>1</v>
      </c>
      <c r="K51" s="403">
        <v>3</v>
      </c>
      <c r="L51" s="1093" t="s">
        <v>367</v>
      </c>
      <c r="M51" s="401"/>
      <c r="O51" s="404" t="s">
        <v>31</v>
      </c>
      <c r="P51" s="404" t="s">
        <v>31</v>
      </c>
      <c r="Q51" s="404" t="s">
        <v>165</v>
      </c>
      <c r="R51" s="404" t="s">
        <v>165</v>
      </c>
      <c r="S51" s="404" t="s">
        <v>1851</v>
      </c>
      <c r="T51" s="404" t="s">
        <v>1846</v>
      </c>
      <c r="U51" s="941">
        <v>50</v>
      </c>
      <c r="V51" s="941">
        <v>270</v>
      </c>
      <c r="W51" s="941">
        <v>0</v>
      </c>
      <c r="X51" s="941">
        <v>0</v>
      </c>
      <c r="Y51" s="941">
        <v>0</v>
      </c>
      <c r="Z51" s="941">
        <v>0</v>
      </c>
      <c r="AA51" s="942">
        <v>0</v>
      </c>
      <c r="AB51" s="942">
        <v>0</v>
      </c>
      <c r="AC51" s="942">
        <v>0</v>
      </c>
      <c r="AD51" s="942">
        <v>0</v>
      </c>
      <c r="AE51" s="942">
        <v>0</v>
      </c>
      <c r="AF51" s="942">
        <v>0</v>
      </c>
      <c r="AG51" s="943">
        <f>comparaison_samebasis_villages[[#This Row],[previous idp_ind]]-comparaison_samebasis_villages[[#This Row],[actual idp_ind]]</f>
        <v>-270</v>
      </c>
      <c r="AH51" s="943">
        <f>comparaison_samebasis_villages[[#This Row],[previous ref_ind]]-comparaison_samebasis_villages[[#This Row],[actual ref_ind]]</f>
        <v>0</v>
      </c>
      <c r="AI51" s="943">
        <f>comparaison_samebasis_villages[[#This Row],[previous ret_ind]]-comparaison_samebasis_villages[[#This Row],[actual ret_ind]]</f>
        <v>0</v>
      </c>
    </row>
    <row r="52" spans="1:35" ht="15.75" customHeight="1" x14ac:dyDescent="0.3">
      <c r="A52" s="401" t="s">
        <v>31</v>
      </c>
      <c r="B52" s="401" t="s">
        <v>31</v>
      </c>
      <c r="C52" s="401" t="s">
        <v>169</v>
      </c>
      <c r="D52" s="401" t="s">
        <v>169</v>
      </c>
      <c r="E52" s="401" t="s">
        <v>2992</v>
      </c>
      <c r="F52" s="5" t="s">
        <v>2330</v>
      </c>
      <c r="G52" s="401"/>
      <c r="H52" s="1093" t="s">
        <v>511</v>
      </c>
      <c r="I52" s="1216" t="s">
        <v>3111</v>
      </c>
      <c r="J52" s="403">
        <v>42</v>
      </c>
      <c r="K52" s="403">
        <v>333</v>
      </c>
      <c r="L52" s="1093" t="s">
        <v>367</v>
      </c>
      <c r="M52" s="401"/>
      <c r="O52" s="404" t="s">
        <v>31</v>
      </c>
      <c r="P52" s="404" t="s">
        <v>31</v>
      </c>
      <c r="Q52" s="404" t="s">
        <v>165</v>
      </c>
      <c r="R52" s="404" t="s">
        <v>165</v>
      </c>
      <c r="S52" s="404" t="s">
        <v>2027</v>
      </c>
      <c r="T52" s="404" t="s">
        <v>1850</v>
      </c>
      <c r="U52" s="941">
        <v>70</v>
      </c>
      <c r="V52" s="941">
        <v>350</v>
      </c>
      <c r="W52" s="941">
        <v>0</v>
      </c>
      <c r="X52" s="941">
        <v>0</v>
      </c>
      <c r="Y52" s="941">
        <v>0</v>
      </c>
      <c r="Z52" s="941">
        <v>0</v>
      </c>
      <c r="AA52" s="942">
        <v>2</v>
      </c>
      <c r="AB52" s="942">
        <v>19</v>
      </c>
      <c r="AC52" s="942">
        <v>0</v>
      </c>
      <c r="AD52" s="942">
        <v>0</v>
      </c>
      <c r="AE52" s="942">
        <v>0</v>
      </c>
      <c r="AF52" s="942">
        <v>0</v>
      </c>
      <c r="AG52" s="943">
        <f>comparaison_samebasis_villages[[#This Row],[previous idp_ind]]-comparaison_samebasis_villages[[#This Row],[actual idp_ind]]</f>
        <v>-331</v>
      </c>
      <c r="AH52" s="943">
        <f>comparaison_samebasis_villages[[#This Row],[previous ref_ind]]-comparaison_samebasis_villages[[#This Row],[actual ref_ind]]</f>
        <v>0</v>
      </c>
      <c r="AI52" s="943">
        <f>comparaison_samebasis_villages[[#This Row],[previous ret_ind]]-comparaison_samebasis_villages[[#This Row],[actual ret_ind]]</f>
        <v>0</v>
      </c>
    </row>
    <row r="53" spans="1:35" ht="15.75" customHeight="1" x14ac:dyDescent="0.3">
      <c r="A53" s="401" t="s">
        <v>31</v>
      </c>
      <c r="B53" s="401" t="s">
        <v>31</v>
      </c>
      <c r="C53" s="401" t="s">
        <v>164</v>
      </c>
      <c r="D53" s="401" t="s">
        <v>164</v>
      </c>
      <c r="E53" s="401" t="s">
        <v>1347</v>
      </c>
      <c r="F53" s="5" t="s">
        <v>1348</v>
      </c>
      <c r="G53" s="401"/>
      <c r="H53" s="1093" t="s">
        <v>511</v>
      </c>
      <c r="I53" s="1216" t="s">
        <v>3111</v>
      </c>
      <c r="J53" s="403">
        <v>35</v>
      </c>
      <c r="K53" s="403">
        <v>40</v>
      </c>
      <c r="L53" s="1093" t="s">
        <v>367</v>
      </c>
      <c r="M53" s="401"/>
      <c r="O53" s="404" t="s">
        <v>31</v>
      </c>
      <c r="P53" s="404" t="s">
        <v>31</v>
      </c>
      <c r="Q53" s="404" t="s">
        <v>165</v>
      </c>
      <c r="R53" s="404" t="s">
        <v>165</v>
      </c>
      <c r="S53" s="404" t="s">
        <v>1294</v>
      </c>
      <c r="T53" s="404" t="s">
        <v>2026</v>
      </c>
      <c r="U53" s="941">
        <v>743</v>
      </c>
      <c r="V53" s="941">
        <v>3499</v>
      </c>
      <c r="W53" s="941">
        <v>0</v>
      </c>
      <c r="X53" s="941">
        <v>0</v>
      </c>
      <c r="Y53" s="941">
        <v>0</v>
      </c>
      <c r="Z53" s="941">
        <v>0</v>
      </c>
      <c r="AA53" s="942">
        <v>33</v>
      </c>
      <c r="AB53" s="942">
        <v>134</v>
      </c>
      <c r="AC53" s="942">
        <v>0</v>
      </c>
      <c r="AD53" s="942">
        <v>0</v>
      </c>
      <c r="AE53" s="942">
        <v>0</v>
      </c>
      <c r="AF53" s="942">
        <v>0</v>
      </c>
      <c r="AG53" s="943">
        <f>comparaison_samebasis_villages[[#This Row],[previous idp_ind]]-comparaison_samebasis_villages[[#This Row],[actual idp_ind]]</f>
        <v>-3365</v>
      </c>
      <c r="AH53" s="943">
        <f>comparaison_samebasis_villages[[#This Row],[previous ref_ind]]-comparaison_samebasis_villages[[#This Row],[actual ref_ind]]</f>
        <v>0</v>
      </c>
      <c r="AI53" s="943">
        <f>comparaison_samebasis_villages[[#This Row],[previous ret_ind]]-comparaison_samebasis_villages[[#This Row],[actual ret_ind]]</f>
        <v>0</v>
      </c>
    </row>
    <row r="54" spans="1:35" ht="15.75" customHeight="1" x14ac:dyDescent="0.3">
      <c r="A54" s="401" t="s">
        <v>31</v>
      </c>
      <c r="B54" s="401" t="s">
        <v>31</v>
      </c>
      <c r="C54" s="401" t="s">
        <v>172</v>
      </c>
      <c r="D54" s="401" t="s">
        <v>172</v>
      </c>
      <c r="E54" s="401" t="s">
        <v>986</v>
      </c>
      <c r="F54" s="5" t="s">
        <v>2254</v>
      </c>
      <c r="G54" s="401"/>
      <c r="H54" s="1093" t="s">
        <v>511</v>
      </c>
      <c r="I54" s="1216" t="s">
        <v>3033</v>
      </c>
      <c r="J54" s="403">
        <v>17</v>
      </c>
      <c r="K54" s="403">
        <v>75</v>
      </c>
      <c r="L54" s="1093" t="s">
        <v>367</v>
      </c>
      <c r="M54" s="401"/>
      <c r="O54" s="404" t="s">
        <v>31</v>
      </c>
      <c r="P54" s="404" t="s">
        <v>31</v>
      </c>
      <c r="Q54" s="404" t="s">
        <v>165</v>
      </c>
      <c r="R54" s="404" t="s">
        <v>165</v>
      </c>
      <c r="S54" s="404" t="s">
        <v>2029</v>
      </c>
      <c r="T54" s="404" t="s">
        <v>1293</v>
      </c>
      <c r="U54" s="941">
        <v>0</v>
      </c>
      <c r="V54" s="941">
        <v>0</v>
      </c>
      <c r="W54" s="941">
        <v>0</v>
      </c>
      <c r="X54" s="941">
        <v>0</v>
      </c>
      <c r="Y54" s="941">
        <v>25</v>
      </c>
      <c r="Z54" s="941">
        <v>25</v>
      </c>
      <c r="AA54" s="942">
        <v>35</v>
      </c>
      <c r="AB54" s="942">
        <v>265</v>
      </c>
      <c r="AC54" s="942">
        <v>2</v>
      </c>
      <c r="AD54" s="942">
        <v>15</v>
      </c>
      <c r="AE54" s="942">
        <v>0</v>
      </c>
      <c r="AF54" s="942">
        <v>0</v>
      </c>
      <c r="AG54" s="943">
        <f>comparaison_samebasis_villages[[#This Row],[previous idp_ind]]-comparaison_samebasis_villages[[#This Row],[actual idp_ind]]</f>
        <v>265</v>
      </c>
      <c r="AH54" s="943">
        <f>comparaison_samebasis_villages[[#This Row],[previous ref_ind]]-comparaison_samebasis_villages[[#This Row],[actual ref_ind]]</f>
        <v>15</v>
      </c>
      <c r="AI54" s="943">
        <f>comparaison_samebasis_villages[[#This Row],[previous ret_ind]]-comparaison_samebasis_villages[[#This Row],[actual ret_ind]]</f>
        <v>-25</v>
      </c>
    </row>
    <row r="55" spans="1:35" ht="15.75" customHeight="1" x14ac:dyDescent="0.3">
      <c r="A55" s="401" t="s">
        <v>31</v>
      </c>
      <c r="B55" s="401" t="s">
        <v>31</v>
      </c>
      <c r="C55" s="401" t="s">
        <v>172</v>
      </c>
      <c r="D55" s="401" t="s">
        <v>172</v>
      </c>
      <c r="E55" s="401" t="s">
        <v>986</v>
      </c>
      <c r="F55" s="5" t="s">
        <v>2254</v>
      </c>
      <c r="G55" s="401"/>
      <c r="H55" s="1093" t="s">
        <v>511</v>
      </c>
      <c r="I55" s="1216" t="s">
        <v>3109</v>
      </c>
      <c r="J55" s="403">
        <v>0</v>
      </c>
      <c r="K55" s="403">
        <v>3</v>
      </c>
      <c r="L55" s="1093" t="s">
        <v>367</v>
      </c>
      <c r="M55" s="401"/>
      <c r="O55" s="404" t="s">
        <v>31</v>
      </c>
      <c r="P55" s="404" t="s">
        <v>31</v>
      </c>
      <c r="Q55" s="404" t="s">
        <v>165</v>
      </c>
      <c r="R55" s="404" t="s">
        <v>165</v>
      </c>
      <c r="S55" s="404" t="s">
        <v>1336</v>
      </c>
      <c r="T55" s="404" t="s">
        <v>2028</v>
      </c>
      <c r="U55" s="941">
        <v>0</v>
      </c>
      <c r="V55" s="941">
        <v>0</v>
      </c>
      <c r="W55" s="941">
        <v>0</v>
      </c>
      <c r="X55" s="941">
        <v>0</v>
      </c>
      <c r="Y55" s="941">
        <v>0</v>
      </c>
      <c r="Z55" s="941">
        <v>0</v>
      </c>
      <c r="AA55" s="942">
        <v>12</v>
      </c>
      <c r="AB55" s="942">
        <v>63</v>
      </c>
      <c r="AC55" s="942">
        <v>0</v>
      </c>
      <c r="AD55" s="942">
        <v>0</v>
      </c>
      <c r="AE55" s="942">
        <v>0</v>
      </c>
      <c r="AF55" s="942">
        <v>0</v>
      </c>
      <c r="AG55" s="943">
        <f>comparaison_samebasis_villages[[#This Row],[previous idp_ind]]-comparaison_samebasis_villages[[#This Row],[actual idp_ind]]</f>
        <v>63</v>
      </c>
      <c r="AH55" s="943">
        <f>comparaison_samebasis_villages[[#This Row],[previous ref_ind]]-comparaison_samebasis_villages[[#This Row],[actual ref_ind]]</f>
        <v>0</v>
      </c>
      <c r="AI55" s="943">
        <f>comparaison_samebasis_villages[[#This Row],[previous ret_ind]]-comparaison_samebasis_villages[[#This Row],[actual ret_ind]]</f>
        <v>0</v>
      </c>
    </row>
    <row r="56" spans="1:35" ht="15.75" customHeight="1" x14ac:dyDescent="0.3">
      <c r="A56" s="401" t="s">
        <v>31</v>
      </c>
      <c r="B56" s="401" t="s">
        <v>31</v>
      </c>
      <c r="C56" s="401" t="s">
        <v>172</v>
      </c>
      <c r="D56" s="401" t="s">
        <v>172</v>
      </c>
      <c r="E56" s="401" t="s">
        <v>986</v>
      </c>
      <c r="F56" s="5" t="s">
        <v>2254</v>
      </c>
      <c r="G56" s="401"/>
      <c r="H56" s="1093" t="s">
        <v>511</v>
      </c>
      <c r="I56" s="1216" t="s">
        <v>3110</v>
      </c>
      <c r="J56" s="403">
        <v>0</v>
      </c>
      <c r="K56" s="403">
        <v>7</v>
      </c>
      <c r="L56" s="1093" t="s">
        <v>367</v>
      </c>
      <c r="M56" s="401"/>
      <c r="O56" s="404" t="s">
        <v>31</v>
      </c>
      <c r="P56" s="404" t="s">
        <v>31</v>
      </c>
      <c r="Q56" s="404" t="s">
        <v>165</v>
      </c>
      <c r="R56" s="404" t="s">
        <v>165</v>
      </c>
      <c r="S56" s="404" t="s">
        <v>1845</v>
      </c>
      <c r="T56" s="404" t="s">
        <v>1335</v>
      </c>
      <c r="U56" s="941">
        <v>0</v>
      </c>
      <c r="V56" s="941">
        <v>0</v>
      </c>
      <c r="W56" s="941">
        <v>0</v>
      </c>
      <c r="X56" s="941">
        <v>0</v>
      </c>
      <c r="Y56" s="941">
        <v>0</v>
      </c>
      <c r="Z56" s="941">
        <v>0</v>
      </c>
      <c r="AA56" s="942">
        <v>10</v>
      </c>
      <c r="AB56" s="942">
        <v>50</v>
      </c>
      <c r="AC56" s="942">
        <v>0</v>
      </c>
      <c r="AD56" s="942">
        <v>0</v>
      </c>
      <c r="AE56" s="942">
        <v>0</v>
      </c>
      <c r="AF56" s="942">
        <v>0</v>
      </c>
      <c r="AG56" s="943">
        <f>comparaison_samebasis_villages[[#This Row],[previous idp_ind]]-comparaison_samebasis_villages[[#This Row],[actual idp_ind]]</f>
        <v>50</v>
      </c>
      <c r="AH56" s="943">
        <f>comparaison_samebasis_villages[[#This Row],[previous ref_ind]]-comparaison_samebasis_villages[[#This Row],[actual ref_ind]]</f>
        <v>0</v>
      </c>
      <c r="AI56" s="943">
        <f>comparaison_samebasis_villages[[#This Row],[previous ret_ind]]-comparaison_samebasis_villages[[#This Row],[actual ret_ind]]</f>
        <v>0</v>
      </c>
    </row>
    <row r="57" spans="1:35" ht="15.75" customHeight="1" x14ac:dyDescent="0.3">
      <c r="A57" s="401" t="s">
        <v>35</v>
      </c>
      <c r="B57" s="401" t="s">
        <v>35</v>
      </c>
      <c r="C57" s="401" t="s">
        <v>193</v>
      </c>
      <c r="D57" s="401" t="s">
        <v>3983</v>
      </c>
      <c r="E57" s="401" t="s">
        <v>1628</v>
      </c>
      <c r="F57" s="5" t="s">
        <v>1309</v>
      </c>
      <c r="G57" s="401"/>
      <c r="H57" s="1093" t="s">
        <v>511</v>
      </c>
      <c r="I57" s="1216" t="s">
        <v>3033</v>
      </c>
      <c r="J57" s="403">
        <v>80</v>
      </c>
      <c r="K57" s="403">
        <v>830</v>
      </c>
      <c r="L57" s="1093" t="s">
        <v>365</v>
      </c>
      <c r="M57" s="401"/>
      <c r="O57" s="404" t="s">
        <v>31</v>
      </c>
      <c r="P57" s="404" t="s">
        <v>31</v>
      </c>
      <c r="Q57" s="404" t="s">
        <v>165</v>
      </c>
      <c r="R57" s="404" t="s">
        <v>165</v>
      </c>
      <c r="S57" s="404" t="s">
        <v>1692</v>
      </c>
      <c r="T57" s="404" t="s">
        <v>1844</v>
      </c>
      <c r="U57" s="941">
        <v>0</v>
      </c>
      <c r="V57" s="941">
        <v>0</v>
      </c>
      <c r="W57" s="941">
        <v>0</v>
      </c>
      <c r="X57" s="941">
        <v>0</v>
      </c>
      <c r="Y57" s="941">
        <v>0</v>
      </c>
      <c r="Z57" s="941">
        <v>0</v>
      </c>
      <c r="AA57" s="942">
        <v>4</v>
      </c>
      <c r="AB57" s="942">
        <v>14</v>
      </c>
      <c r="AC57" s="942">
        <v>2</v>
      </c>
      <c r="AD57" s="942">
        <v>5</v>
      </c>
      <c r="AE57" s="942">
        <v>0</v>
      </c>
      <c r="AF57" s="942">
        <v>0</v>
      </c>
      <c r="AG57" s="943">
        <f>comparaison_samebasis_villages[[#This Row],[previous idp_ind]]-comparaison_samebasis_villages[[#This Row],[actual idp_ind]]</f>
        <v>14</v>
      </c>
      <c r="AH57" s="943">
        <f>comparaison_samebasis_villages[[#This Row],[previous ref_ind]]-comparaison_samebasis_villages[[#This Row],[actual ref_ind]]</f>
        <v>5</v>
      </c>
      <c r="AI57" s="943">
        <f>comparaison_samebasis_villages[[#This Row],[previous ret_ind]]-comparaison_samebasis_villages[[#This Row],[actual ret_ind]]</f>
        <v>0</v>
      </c>
    </row>
    <row r="58" spans="1:35" ht="15.75" customHeight="1" x14ac:dyDescent="0.3">
      <c r="A58" s="401" t="s">
        <v>35</v>
      </c>
      <c r="B58" s="401" t="s">
        <v>35</v>
      </c>
      <c r="C58" s="401" t="s">
        <v>193</v>
      </c>
      <c r="D58" s="401" t="s">
        <v>3983</v>
      </c>
      <c r="E58" s="401" t="s">
        <v>1628</v>
      </c>
      <c r="F58" s="5" t="s">
        <v>1309</v>
      </c>
      <c r="G58" s="401"/>
      <c r="H58" s="1093" t="s">
        <v>511</v>
      </c>
      <c r="I58" s="1216" t="s">
        <v>3110</v>
      </c>
      <c r="J58" s="403">
        <v>1</v>
      </c>
      <c r="K58" s="403">
        <v>5</v>
      </c>
      <c r="L58" s="1093" t="s">
        <v>365</v>
      </c>
      <c r="M58" s="401"/>
      <c r="O58" s="404" t="s">
        <v>31</v>
      </c>
      <c r="P58" s="404" t="s">
        <v>31</v>
      </c>
      <c r="Q58" s="404" t="s">
        <v>165</v>
      </c>
      <c r="R58" s="404" t="s">
        <v>165</v>
      </c>
      <c r="S58" s="404" t="s">
        <v>2136</v>
      </c>
      <c r="T58" s="404" t="s">
        <v>1691</v>
      </c>
      <c r="U58" s="941">
        <v>10</v>
      </c>
      <c r="V58" s="941">
        <v>33</v>
      </c>
      <c r="W58" s="941">
        <v>5</v>
      </c>
      <c r="X58" s="941">
        <v>25</v>
      </c>
      <c r="Y58" s="941">
        <v>0</v>
      </c>
      <c r="Z58" s="941">
        <v>0</v>
      </c>
      <c r="AA58" s="942">
        <v>10</v>
      </c>
      <c r="AB58" s="942">
        <v>33</v>
      </c>
      <c r="AC58" s="942">
        <v>5</v>
      </c>
      <c r="AD58" s="942">
        <v>25</v>
      </c>
      <c r="AE58" s="942">
        <v>0</v>
      </c>
      <c r="AF58" s="942">
        <v>0</v>
      </c>
      <c r="AG58" s="943">
        <f>comparaison_samebasis_villages[[#This Row],[previous idp_ind]]-comparaison_samebasis_villages[[#This Row],[actual idp_ind]]</f>
        <v>0</v>
      </c>
      <c r="AH58" s="943">
        <f>comparaison_samebasis_villages[[#This Row],[previous ref_ind]]-comparaison_samebasis_villages[[#This Row],[actual ref_ind]]</f>
        <v>0</v>
      </c>
      <c r="AI58" s="943">
        <f>comparaison_samebasis_villages[[#This Row],[previous ret_ind]]-comparaison_samebasis_villages[[#This Row],[actual ret_ind]]</f>
        <v>0</v>
      </c>
    </row>
    <row r="59" spans="1:35" ht="15.75" customHeight="1" x14ac:dyDescent="0.3">
      <c r="A59" s="401" t="s">
        <v>35</v>
      </c>
      <c r="B59" s="401" t="s">
        <v>35</v>
      </c>
      <c r="C59" s="401" t="s">
        <v>193</v>
      </c>
      <c r="D59" s="401" t="s">
        <v>3983</v>
      </c>
      <c r="E59" s="401" t="s">
        <v>1628</v>
      </c>
      <c r="F59" s="5" t="s">
        <v>1309</v>
      </c>
      <c r="G59" s="401"/>
      <c r="H59" s="1093" t="s">
        <v>511</v>
      </c>
      <c r="I59" s="1216" t="s">
        <v>3111</v>
      </c>
      <c r="J59" s="403">
        <v>20</v>
      </c>
      <c r="K59" s="403">
        <v>70</v>
      </c>
      <c r="L59" s="1093" t="s">
        <v>365</v>
      </c>
      <c r="M59" s="401"/>
      <c r="O59" s="404" t="s">
        <v>31</v>
      </c>
      <c r="P59" s="404" t="s">
        <v>31</v>
      </c>
      <c r="Q59" s="404" t="s">
        <v>165</v>
      </c>
      <c r="R59" s="404" t="s">
        <v>165</v>
      </c>
      <c r="S59" s="404" t="s">
        <v>997</v>
      </c>
      <c r="T59" s="404" t="s">
        <v>2135</v>
      </c>
      <c r="U59" s="941">
        <v>0</v>
      </c>
      <c r="V59" s="941">
        <v>0</v>
      </c>
      <c r="W59" s="941">
        <v>0</v>
      </c>
      <c r="X59" s="941">
        <v>0</v>
      </c>
      <c r="Y59" s="941">
        <v>50</v>
      </c>
      <c r="Z59" s="941">
        <v>50</v>
      </c>
      <c r="AA59" s="942">
        <v>178</v>
      </c>
      <c r="AB59" s="942">
        <v>1253</v>
      </c>
      <c r="AC59" s="942">
        <v>0</v>
      </c>
      <c r="AD59" s="942">
        <v>0</v>
      </c>
      <c r="AE59" s="942">
        <v>0</v>
      </c>
      <c r="AF59" s="942">
        <v>0</v>
      </c>
      <c r="AG59" s="943">
        <f>comparaison_samebasis_villages[[#This Row],[previous idp_ind]]-comparaison_samebasis_villages[[#This Row],[actual idp_ind]]</f>
        <v>1253</v>
      </c>
      <c r="AH59" s="943">
        <f>comparaison_samebasis_villages[[#This Row],[previous ref_ind]]-comparaison_samebasis_villages[[#This Row],[actual ref_ind]]</f>
        <v>0</v>
      </c>
      <c r="AI59" s="943">
        <f>comparaison_samebasis_villages[[#This Row],[previous ret_ind]]-comparaison_samebasis_villages[[#This Row],[actual ret_ind]]</f>
        <v>-50</v>
      </c>
    </row>
    <row r="60" spans="1:35" ht="15.75" customHeight="1" x14ac:dyDescent="0.3">
      <c r="A60" s="401" t="s">
        <v>31</v>
      </c>
      <c r="B60" s="401" t="s">
        <v>31</v>
      </c>
      <c r="C60" s="401" t="s">
        <v>172</v>
      </c>
      <c r="D60" s="401" t="s">
        <v>172</v>
      </c>
      <c r="E60" s="401" t="s">
        <v>1868</v>
      </c>
      <c r="F60" s="5" t="s">
        <v>1031</v>
      </c>
      <c r="G60" s="401"/>
      <c r="H60" s="1093" t="s">
        <v>511</v>
      </c>
      <c r="I60" s="1216" t="s">
        <v>3109</v>
      </c>
      <c r="J60" s="403">
        <v>40</v>
      </c>
      <c r="K60" s="403">
        <v>200</v>
      </c>
      <c r="L60" s="1093" t="s">
        <v>367</v>
      </c>
      <c r="M60" s="401"/>
      <c r="O60" s="404" t="s">
        <v>31</v>
      </c>
      <c r="P60" s="404" t="s">
        <v>31</v>
      </c>
      <c r="Q60" s="404" t="s">
        <v>165</v>
      </c>
      <c r="R60" s="404" t="s">
        <v>165</v>
      </c>
      <c r="S60" s="404" t="s">
        <v>883</v>
      </c>
      <c r="T60" s="404" t="s">
        <v>996</v>
      </c>
      <c r="U60" s="941">
        <v>0</v>
      </c>
      <c r="V60" s="941">
        <v>0</v>
      </c>
      <c r="W60" s="941">
        <v>0</v>
      </c>
      <c r="X60" s="941">
        <v>0</v>
      </c>
      <c r="Y60" s="941">
        <v>0</v>
      </c>
      <c r="Z60" s="941">
        <v>0</v>
      </c>
      <c r="AA60" s="942">
        <v>25</v>
      </c>
      <c r="AB60" s="942">
        <v>160</v>
      </c>
      <c r="AC60" s="942">
        <v>0</v>
      </c>
      <c r="AD60" s="942">
        <v>0</v>
      </c>
      <c r="AE60" s="942">
        <v>0</v>
      </c>
      <c r="AF60" s="942">
        <v>0</v>
      </c>
      <c r="AG60" s="943">
        <f>comparaison_samebasis_villages[[#This Row],[previous idp_ind]]-comparaison_samebasis_villages[[#This Row],[actual idp_ind]]</f>
        <v>160</v>
      </c>
      <c r="AH60" s="943">
        <f>comparaison_samebasis_villages[[#This Row],[previous ref_ind]]-comparaison_samebasis_villages[[#This Row],[actual ref_ind]]</f>
        <v>0</v>
      </c>
      <c r="AI60" s="943">
        <f>comparaison_samebasis_villages[[#This Row],[previous ret_ind]]-comparaison_samebasis_villages[[#This Row],[actual ret_ind]]</f>
        <v>0</v>
      </c>
    </row>
    <row r="61" spans="1:35" ht="15.75" customHeight="1" x14ac:dyDescent="0.3">
      <c r="A61" s="401" t="s">
        <v>31</v>
      </c>
      <c r="B61" s="401" t="s">
        <v>31</v>
      </c>
      <c r="C61" s="401" t="s">
        <v>172</v>
      </c>
      <c r="D61" s="401" t="s">
        <v>172</v>
      </c>
      <c r="E61" s="401" t="s">
        <v>1868</v>
      </c>
      <c r="F61" s="5" t="s">
        <v>1031</v>
      </c>
      <c r="G61" s="401"/>
      <c r="H61" s="1093" t="s">
        <v>511</v>
      </c>
      <c r="I61" s="1216" t="s">
        <v>3112</v>
      </c>
      <c r="J61" s="403">
        <v>0</v>
      </c>
      <c r="K61" s="403">
        <v>6</v>
      </c>
      <c r="L61" s="1093" t="s">
        <v>367</v>
      </c>
      <c r="M61" s="401"/>
      <c r="O61" s="404" t="s">
        <v>31</v>
      </c>
      <c r="P61" s="404" t="s">
        <v>31</v>
      </c>
      <c r="Q61" s="404" t="s">
        <v>165</v>
      </c>
      <c r="R61" s="404" t="s">
        <v>165</v>
      </c>
      <c r="S61" s="404" t="s">
        <v>1001</v>
      </c>
      <c r="T61" s="404" t="s">
        <v>882</v>
      </c>
      <c r="U61" s="941">
        <v>0</v>
      </c>
      <c r="V61" s="941">
        <v>0</v>
      </c>
      <c r="W61" s="941">
        <v>0</v>
      </c>
      <c r="X61" s="941">
        <v>0</v>
      </c>
      <c r="Y61" s="941">
        <v>0</v>
      </c>
      <c r="Z61" s="941">
        <v>0</v>
      </c>
      <c r="AA61" s="942">
        <v>7</v>
      </c>
      <c r="AB61" s="942">
        <v>34</v>
      </c>
      <c r="AC61" s="942">
        <v>0</v>
      </c>
      <c r="AD61" s="942">
        <v>0</v>
      </c>
      <c r="AE61" s="942">
        <v>0</v>
      </c>
      <c r="AF61" s="942">
        <v>0</v>
      </c>
      <c r="AG61" s="943">
        <f>comparaison_samebasis_villages[[#This Row],[previous idp_ind]]-comparaison_samebasis_villages[[#This Row],[actual idp_ind]]</f>
        <v>34</v>
      </c>
      <c r="AH61" s="943">
        <f>comparaison_samebasis_villages[[#This Row],[previous ref_ind]]-comparaison_samebasis_villages[[#This Row],[actual ref_ind]]</f>
        <v>0</v>
      </c>
      <c r="AI61" s="943">
        <f>comparaison_samebasis_villages[[#This Row],[previous ret_ind]]-comparaison_samebasis_villages[[#This Row],[actual ret_ind]]</f>
        <v>0</v>
      </c>
    </row>
    <row r="62" spans="1:35" ht="15.75" customHeight="1" x14ac:dyDescent="0.3">
      <c r="A62" s="401" t="s">
        <v>31</v>
      </c>
      <c r="B62" s="401" t="s">
        <v>31</v>
      </c>
      <c r="C62" s="401" t="s">
        <v>172</v>
      </c>
      <c r="D62" s="401" t="s">
        <v>172</v>
      </c>
      <c r="E62" s="401" t="s">
        <v>2812</v>
      </c>
      <c r="F62" s="5" t="s">
        <v>1865</v>
      </c>
      <c r="G62" s="401"/>
      <c r="H62" s="1093" t="s">
        <v>511</v>
      </c>
      <c r="I62" s="1216" t="s">
        <v>3033</v>
      </c>
      <c r="J62" s="403">
        <v>18</v>
      </c>
      <c r="K62" s="403">
        <v>157</v>
      </c>
      <c r="L62" s="1093" t="s">
        <v>367</v>
      </c>
      <c r="M62" s="401"/>
      <c r="O62" s="404" t="s">
        <v>31</v>
      </c>
      <c r="P62" s="404" t="s">
        <v>31</v>
      </c>
      <c r="Q62" s="404" t="s">
        <v>165</v>
      </c>
      <c r="R62" s="404" t="s">
        <v>165</v>
      </c>
      <c r="S62" s="404" t="s">
        <v>2025</v>
      </c>
      <c r="T62" s="404" t="s">
        <v>1000</v>
      </c>
      <c r="U62" s="941">
        <v>0</v>
      </c>
      <c r="V62" s="941">
        <v>0</v>
      </c>
      <c r="W62" s="941">
        <v>0</v>
      </c>
      <c r="X62" s="941">
        <v>0</v>
      </c>
      <c r="Y62" s="941">
        <v>0</v>
      </c>
      <c r="Z62" s="941">
        <v>0</v>
      </c>
      <c r="AA62" s="942">
        <v>30</v>
      </c>
      <c r="AB62" s="942">
        <v>200</v>
      </c>
      <c r="AC62" s="942">
        <v>0</v>
      </c>
      <c r="AD62" s="942">
        <v>0</v>
      </c>
      <c r="AE62" s="942">
        <v>0</v>
      </c>
      <c r="AF62" s="942">
        <v>0</v>
      </c>
      <c r="AG62" s="943">
        <f>comparaison_samebasis_villages[[#This Row],[previous idp_ind]]-comparaison_samebasis_villages[[#This Row],[actual idp_ind]]</f>
        <v>200</v>
      </c>
      <c r="AH62" s="943">
        <f>comparaison_samebasis_villages[[#This Row],[previous ref_ind]]-comparaison_samebasis_villages[[#This Row],[actual ref_ind]]</f>
        <v>0</v>
      </c>
      <c r="AI62" s="943">
        <f>comparaison_samebasis_villages[[#This Row],[previous ret_ind]]-comparaison_samebasis_villages[[#This Row],[actual ret_ind]]</f>
        <v>0</v>
      </c>
    </row>
    <row r="63" spans="1:35" ht="15.75" customHeight="1" x14ac:dyDescent="0.3">
      <c r="A63" s="401" t="s">
        <v>31</v>
      </c>
      <c r="B63" s="401" t="s">
        <v>31</v>
      </c>
      <c r="C63" s="401" t="s">
        <v>172</v>
      </c>
      <c r="D63" s="401" t="s">
        <v>172</v>
      </c>
      <c r="E63" s="401" t="s">
        <v>2812</v>
      </c>
      <c r="F63" s="5" t="s">
        <v>1865</v>
      </c>
      <c r="G63" s="401"/>
      <c r="H63" s="1093" t="s">
        <v>511</v>
      </c>
      <c r="I63" s="1216" t="s">
        <v>3110</v>
      </c>
      <c r="J63" s="403">
        <v>0</v>
      </c>
      <c r="K63" s="403">
        <v>9</v>
      </c>
      <c r="L63" s="1093" t="s">
        <v>367</v>
      </c>
      <c r="M63" s="401"/>
      <c r="O63" s="404" t="s">
        <v>31</v>
      </c>
      <c r="P63" s="404" t="s">
        <v>31</v>
      </c>
      <c r="Q63" s="404" t="s">
        <v>165</v>
      </c>
      <c r="R63" s="404" t="s">
        <v>165</v>
      </c>
      <c r="S63" s="404" t="s">
        <v>1334</v>
      </c>
      <c r="T63" s="404" t="s">
        <v>2024</v>
      </c>
      <c r="U63" s="941">
        <v>0</v>
      </c>
      <c r="V63" s="941">
        <v>0</v>
      </c>
      <c r="W63" s="941">
        <v>0</v>
      </c>
      <c r="X63" s="941">
        <v>0</v>
      </c>
      <c r="Y63" s="941">
        <v>30</v>
      </c>
      <c r="Z63" s="941">
        <v>30</v>
      </c>
      <c r="AA63" s="942">
        <v>30</v>
      </c>
      <c r="AB63" s="942">
        <v>311</v>
      </c>
      <c r="AC63" s="942">
        <v>0</v>
      </c>
      <c r="AD63" s="942">
        <v>0</v>
      </c>
      <c r="AE63" s="942">
        <v>0</v>
      </c>
      <c r="AF63" s="942">
        <v>0</v>
      </c>
      <c r="AG63" s="943">
        <f>comparaison_samebasis_villages[[#This Row],[previous idp_ind]]-comparaison_samebasis_villages[[#This Row],[actual idp_ind]]</f>
        <v>311</v>
      </c>
      <c r="AH63" s="943">
        <f>comparaison_samebasis_villages[[#This Row],[previous ref_ind]]-comparaison_samebasis_villages[[#This Row],[actual ref_ind]]</f>
        <v>0</v>
      </c>
      <c r="AI63" s="943">
        <f>comparaison_samebasis_villages[[#This Row],[previous ret_ind]]-comparaison_samebasis_villages[[#This Row],[actual ret_ind]]</f>
        <v>-30</v>
      </c>
    </row>
    <row r="64" spans="1:35" ht="15.75" customHeight="1" x14ac:dyDescent="0.3">
      <c r="A64" s="401" t="s">
        <v>31</v>
      </c>
      <c r="B64" s="401" t="s">
        <v>31</v>
      </c>
      <c r="C64" s="401" t="s">
        <v>172</v>
      </c>
      <c r="D64" s="401" t="s">
        <v>172</v>
      </c>
      <c r="E64" s="401" t="s">
        <v>2957</v>
      </c>
      <c r="F64" s="5" t="s">
        <v>1909</v>
      </c>
      <c r="G64" s="401"/>
      <c r="H64" s="1093" t="s">
        <v>511</v>
      </c>
      <c r="I64" s="1216" t="s">
        <v>3033</v>
      </c>
      <c r="J64" s="403">
        <v>44</v>
      </c>
      <c r="K64" s="403">
        <v>266</v>
      </c>
      <c r="L64" s="1093" t="s">
        <v>375</v>
      </c>
      <c r="M64" s="401"/>
      <c r="O64" s="399" t="s">
        <v>31</v>
      </c>
      <c r="P64" s="399" t="s">
        <v>31</v>
      </c>
      <c r="Q64" s="399" t="s">
        <v>165</v>
      </c>
      <c r="R64" s="399" t="s">
        <v>165</v>
      </c>
      <c r="S64" s="399" t="s">
        <v>2489</v>
      </c>
      <c r="T64" s="399" t="s">
        <v>1333</v>
      </c>
      <c r="U64" s="941">
        <v>0</v>
      </c>
      <c r="V64" s="941">
        <v>0</v>
      </c>
      <c r="W64" s="941">
        <v>0</v>
      </c>
      <c r="X64" s="941">
        <v>0</v>
      </c>
      <c r="Y64" s="941">
        <v>0</v>
      </c>
      <c r="Z64" s="941">
        <v>0</v>
      </c>
      <c r="AA64" s="942">
        <v>0</v>
      </c>
      <c r="AB64" s="942">
        <v>0</v>
      </c>
      <c r="AC64" s="942">
        <v>0</v>
      </c>
      <c r="AD64" s="942">
        <v>0</v>
      </c>
      <c r="AE64" s="942">
        <v>0</v>
      </c>
      <c r="AF64" s="942">
        <v>0</v>
      </c>
      <c r="AG64" s="943">
        <f>comparaison_samebasis_villages[[#This Row],[previous idp_ind]]-comparaison_samebasis_villages[[#This Row],[actual idp_ind]]</f>
        <v>0</v>
      </c>
      <c r="AH64" s="943">
        <f>comparaison_samebasis_villages[[#This Row],[previous ref_ind]]-comparaison_samebasis_villages[[#This Row],[actual ref_ind]]</f>
        <v>0</v>
      </c>
      <c r="AI64" s="943">
        <f>comparaison_samebasis_villages[[#This Row],[previous ret_ind]]-comparaison_samebasis_villages[[#This Row],[actual ret_ind]]</f>
        <v>0</v>
      </c>
    </row>
    <row r="65" spans="1:35" ht="15.75" customHeight="1" x14ac:dyDescent="0.3">
      <c r="A65" s="401" t="s">
        <v>31</v>
      </c>
      <c r="B65" s="401" t="s">
        <v>31</v>
      </c>
      <c r="C65" s="401" t="s">
        <v>172</v>
      </c>
      <c r="D65" s="401" t="s">
        <v>172</v>
      </c>
      <c r="E65" s="401" t="s">
        <v>2943</v>
      </c>
      <c r="F65" s="5" t="s">
        <v>1176</v>
      </c>
      <c r="G65" s="401"/>
      <c r="H65" s="1093" t="s">
        <v>511</v>
      </c>
      <c r="I65" s="1216" t="s">
        <v>3109</v>
      </c>
      <c r="J65" s="403">
        <v>2</v>
      </c>
      <c r="K65" s="403">
        <v>12</v>
      </c>
      <c r="L65" s="1093" t="s">
        <v>367</v>
      </c>
      <c r="M65" s="401"/>
      <c r="O65" s="404" t="s">
        <v>31</v>
      </c>
      <c r="P65" s="404" t="s">
        <v>31</v>
      </c>
      <c r="Q65" s="404" t="s">
        <v>165</v>
      </c>
      <c r="R65" s="404" t="s">
        <v>165</v>
      </c>
      <c r="S65" s="404" t="s">
        <v>1849</v>
      </c>
      <c r="T65" s="404" t="s">
        <v>2488</v>
      </c>
      <c r="U65" s="941">
        <v>0</v>
      </c>
      <c r="V65" s="941">
        <v>0</v>
      </c>
      <c r="W65" s="941">
        <v>0</v>
      </c>
      <c r="X65" s="941">
        <v>0</v>
      </c>
      <c r="Y65" s="941">
        <v>0</v>
      </c>
      <c r="Z65" s="941">
        <v>0</v>
      </c>
      <c r="AA65" s="942">
        <v>5</v>
      </c>
      <c r="AB65" s="942">
        <v>34</v>
      </c>
      <c r="AC65" s="942">
        <v>7</v>
      </c>
      <c r="AD65" s="942">
        <v>49</v>
      </c>
      <c r="AE65" s="942">
        <v>47</v>
      </c>
      <c r="AF65" s="942">
        <v>430</v>
      </c>
      <c r="AG65" s="943">
        <f>comparaison_samebasis_villages[[#This Row],[previous idp_ind]]-comparaison_samebasis_villages[[#This Row],[actual idp_ind]]</f>
        <v>34</v>
      </c>
      <c r="AH65" s="943">
        <f>comparaison_samebasis_villages[[#This Row],[previous ref_ind]]-comparaison_samebasis_villages[[#This Row],[actual ref_ind]]</f>
        <v>49</v>
      </c>
      <c r="AI65" s="943">
        <f>comparaison_samebasis_villages[[#This Row],[previous ret_ind]]-comparaison_samebasis_villages[[#This Row],[actual ret_ind]]</f>
        <v>430</v>
      </c>
    </row>
    <row r="66" spans="1:35" ht="15.75" customHeight="1" x14ac:dyDescent="0.3">
      <c r="A66" s="401" t="s">
        <v>31</v>
      </c>
      <c r="B66" s="401" t="s">
        <v>31</v>
      </c>
      <c r="C66" s="401" t="s">
        <v>169</v>
      </c>
      <c r="D66" s="401" t="s">
        <v>169</v>
      </c>
      <c r="E66" s="401" t="s">
        <v>3016</v>
      </c>
      <c r="F66" s="5" t="s">
        <v>1634</v>
      </c>
      <c r="G66" s="401"/>
      <c r="H66" s="1093" t="s">
        <v>511</v>
      </c>
      <c r="I66" s="1216" t="s">
        <v>3111</v>
      </c>
      <c r="J66" s="403">
        <v>44</v>
      </c>
      <c r="K66" s="403">
        <v>89</v>
      </c>
      <c r="L66" s="1093" t="s">
        <v>367</v>
      </c>
      <c r="M66" s="401"/>
      <c r="O66" s="404" t="s">
        <v>31</v>
      </c>
      <c r="P66" s="404" t="s">
        <v>31</v>
      </c>
      <c r="Q66" s="404" t="s">
        <v>165</v>
      </c>
      <c r="R66" s="404" t="s">
        <v>165</v>
      </c>
      <c r="S66" s="404" t="s">
        <v>885</v>
      </c>
      <c r="T66" s="404" t="s">
        <v>1848</v>
      </c>
      <c r="U66" s="941">
        <v>0</v>
      </c>
      <c r="V66" s="941">
        <v>0</v>
      </c>
      <c r="W66" s="941">
        <v>0</v>
      </c>
      <c r="X66" s="941">
        <v>0</v>
      </c>
      <c r="Y66" s="941">
        <v>0</v>
      </c>
      <c r="Z66" s="941">
        <v>0</v>
      </c>
      <c r="AA66" s="942">
        <v>110</v>
      </c>
      <c r="AB66" s="942">
        <v>896</v>
      </c>
      <c r="AC66" s="942">
        <v>32</v>
      </c>
      <c r="AD66" s="942">
        <v>134</v>
      </c>
      <c r="AE66" s="942">
        <v>0</v>
      </c>
      <c r="AF66" s="942">
        <v>0</v>
      </c>
      <c r="AG66" s="943">
        <f>comparaison_samebasis_villages[[#This Row],[previous idp_ind]]-comparaison_samebasis_villages[[#This Row],[actual idp_ind]]</f>
        <v>896</v>
      </c>
      <c r="AH66" s="943">
        <f>comparaison_samebasis_villages[[#This Row],[previous ref_ind]]-comparaison_samebasis_villages[[#This Row],[actual ref_ind]]</f>
        <v>134</v>
      </c>
      <c r="AI66" s="943">
        <f>comparaison_samebasis_villages[[#This Row],[previous ret_ind]]-comparaison_samebasis_villages[[#This Row],[actual ret_ind]]</f>
        <v>0</v>
      </c>
    </row>
    <row r="67" spans="1:35" ht="15.75" customHeight="1" x14ac:dyDescent="0.3">
      <c r="A67" s="401" t="s">
        <v>31</v>
      </c>
      <c r="B67" s="401" t="s">
        <v>31</v>
      </c>
      <c r="C67" s="401" t="s">
        <v>169</v>
      </c>
      <c r="D67" s="401" t="s">
        <v>169</v>
      </c>
      <c r="E67" s="401" t="s">
        <v>2875</v>
      </c>
      <c r="F67" s="5" t="s">
        <v>888</v>
      </c>
      <c r="G67" s="401"/>
      <c r="H67" s="1093" t="s">
        <v>511</v>
      </c>
      <c r="I67" s="1216" t="s">
        <v>3111</v>
      </c>
      <c r="J67" s="403">
        <v>15</v>
      </c>
      <c r="K67" s="403">
        <v>65</v>
      </c>
      <c r="L67" s="1093" t="s">
        <v>367</v>
      </c>
      <c r="M67" s="401"/>
      <c r="O67" s="404" t="s">
        <v>31</v>
      </c>
      <c r="P67" s="404" t="s">
        <v>31</v>
      </c>
      <c r="Q67" s="404" t="s">
        <v>165</v>
      </c>
      <c r="R67" s="404" t="s">
        <v>165</v>
      </c>
      <c r="S67" s="404" t="s">
        <v>2138</v>
      </c>
      <c r="T67" s="404" t="s">
        <v>884</v>
      </c>
      <c r="U67" s="941">
        <v>16</v>
      </c>
      <c r="V67" s="941">
        <v>92</v>
      </c>
      <c r="W67" s="941">
        <v>20</v>
      </c>
      <c r="X67" s="941">
        <v>90</v>
      </c>
      <c r="Y67" s="941">
        <v>0</v>
      </c>
      <c r="Z67" s="941">
        <v>0</v>
      </c>
      <c r="AA67" s="942">
        <v>16</v>
      </c>
      <c r="AB67" s="942">
        <v>92</v>
      </c>
      <c r="AC67" s="942">
        <v>20</v>
      </c>
      <c r="AD67" s="942">
        <v>90</v>
      </c>
      <c r="AE67" s="942">
        <v>0</v>
      </c>
      <c r="AF67" s="942">
        <v>0</v>
      </c>
      <c r="AG67" s="943">
        <f>comparaison_samebasis_villages[[#This Row],[previous idp_ind]]-comparaison_samebasis_villages[[#This Row],[actual idp_ind]]</f>
        <v>0</v>
      </c>
      <c r="AH67" s="943">
        <f>comparaison_samebasis_villages[[#This Row],[previous ref_ind]]-comparaison_samebasis_villages[[#This Row],[actual ref_ind]]</f>
        <v>0</v>
      </c>
      <c r="AI67" s="943">
        <f>comparaison_samebasis_villages[[#This Row],[previous ret_ind]]-comparaison_samebasis_villages[[#This Row],[actual ret_ind]]</f>
        <v>0</v>
      </c>
    </row>
    <row r="68" spans="1:35" ht="15.75" customHeight="1" x14ac:dyDescent="0.3">
      <c r="A68" s="401" t="s">
        <v>33</v>
      </c>
      <c r="B68" s="401" t="s">
        <v>33</v>
      </c>
      <c r="C68" s="401" t="s">
        <v>182</v>
      </c>
      <c r="D68" s="401" t="s">
        <v>182</v>
      </c>
      <c r="E68" s="401" t="s">
        <v>648</v>
      </c>
      <c r="F68" s="5" t="s">
        <v>649</v>
      </c>
      <c r="G68" s="401"/>
      <c r="H68" s="1093" t="s">
        <v>511</v>
      </c>
      <c r="I68" s="1216" t="s">
        <v>3033</v>
      </c>
      <c r="J68" s="403">
        <v>2</v>
      </c>
      <c r="K68" s="403">
        <v>6</v>
      </c>
      <c r="L68" s="1093" t="s">
        <v>369</v>
      </c>
      <c r="M68" s="401"/>
      <c r="O68" s="404" t="s">
        <v>31</v>
      </c>
      <c r="P68" s="404" t="s">
        <v>31</v>
      </c>
      <c r="Q68" s="404" t="s">
        <v>165</v>
      </c>
      <c r="R68" s="404" t="s">
        <v>165</v>
      </c>
      <c r="S68" s="404" t="s">
        <v>1843</v>
      </c>
      <c r="T68" s="404" t="s">
        <v>2137</v>
      </c>
      <c r="U68" s="941">
        <v>0</v>
      </c>
      <c r="V68" s="941">
        <v>0</v>
      </c>
      <c r="W68" s="941">
        <v>0</v>
      </c>
      <c r="X68" s="941">
        <v>0</v>
      </c>
      <c r="Y68" s="941">
        <v>0</v>
      </c>
      <c r="Z68" s="941">
        <v>0</v>
      </c>
      <c r="AA68" s="942">
        <v>7</v>
      </c>
      <c r="AB68" s="942">
        <v>33</v>
      </c>
      <c r="AC68" s="942">
        <v>0</v>
      </c>
      <c r="AD68" s="942">
        <v>0</v>
      </c>
      <c r="AE68" s="942">
        <v>0</v>
      </c>
      <c r="AF68" s="942">
        <v>0</v>
      </c>
      <c r="AG68" s="943">
        <f>comparaison_samebasis_villages[[#This Row],[previous idp_ind]]-comparaison_samebasis_villages[[#This Row],[actual idp_ind]]</f>
        <v>33</v>
      </c>
      <c r="AH68" s="943">
        <f>comparaison_samebasis_villages[[#This Row],[previous ref_ind]]-comparaison_samebasis_villages[[#This Row],[actual ref_ind]]</f>
        <v>0</v>
      </c>
      <c r="AI68" s="943">
        <f>comparaison_samebasis_villages[[#This Row],[previous ret_ind]]-comparaison_samebasis_villages[[#This Row],[actual ret_ind]]</f>
        <v>0</v>
      </c>
    </row>
    <row r="69" spans="1:35" ht="15.75" customHeight="1" x14ac:dyDescent="0.3">
      <c r="A69" s="401" t="s">
        <v>33</v>
      </c>
      <c r="B69" s="401" t="s">
        <v>33</v>
      </c>
      <c r="C69" s="401" t="s">
        <v>182</v>
      </c>
      <c r="D69" s="401" t="s">
        <v>182</v>
      </c>
      <c r="E69" s="401" t="s">
        <v>2301</v>
      </c>
      <c r="F69" s="5" t="s">
        <v>2302</v>
      </c>
      <c r="G69" s="401"/>
      <c r="H69" s="1093" t="s">
        <v>511</v>
      </c>
      <c r="I69" s="1216" t="s">
        <v>3033</v>
      </c>
      <c r="J69" s="403">
        <v>3</v>
      </c>
      <c r="K69" s="403">
        <v>15</v>
      </c>
      <c r="L69" s="1093" t="s">
        <v>367</v>
      </c>
      <c r="M69" s="401"/>
      <c r="O69" s="404" t="s">
        <v>31</v>
      </c>
      <c r="P69" s="404" t="s">
        <v>31</v>
      </c>
      <c r="Q69" s="404" t="s">
        <v>165</v>
      </c>
      <c r="R69" s="404" t="s">
        <v>165</v>
      </c>
      <c r="S69" s="404" t="s">
        <v>1694</v>
      </c>
      <c r="T69" s="404" t="s">
        <v>1842</v>
      </c>
      <c r="U69" s="941">
        <v>0</v>
      </c>
      <c r="V69" s="941">
        <v>0</v>
      </c>
      <c r="W69" s="941">
        <v>0</v>
      </c>
      <c r="X69" s="941">
        <v>0</v>
      </c>
      <c r="Y69" s="941">
        <v>0</v>
      </c>
      <c r="Z69" s="941">
        <v>0</v>
      </c>
      <c r="AA69" s="942">
        <v>10</v>
      </c>
      <c r="AB69" s="942">
        <v>34</v>
      </c>
      <c r="AC69" s="942">
        <v>0</v>
      </c>
      <c r="AD69" s="942">
        <v>0</v>
      </c>
      <c r="AE69" s="942">
        <v>0</v>
      </c>
      <c r="AF69" s="942">
        <v>0</v>
      </c>
      <c r="AG69" s="943">
        <f>comparaison_samebasis_villages[[#This Row],[previous idp_ind]]-comparaison_samebasis_villages[[#This Row],[actual idp_ind]]</f>
        <v>34</v>
      </c>
      <c r="AH69" s="943">
        <f>comparaison_samebasis_villages[[#This Row],[previous ref_ind]]-comparaison_samebasis_villages[[#This Row],[actual ref_ind]]</f>
        <v>0</v>
      </c>
      <c r="AI69" s="943">
        <f>comparaison_samebasis_villages[[#This Row],[previous ret_ind]]-comparaison_samebasis_villages[[#This Row],[actual ret_ind]]</f>
        <v>0</v>
      </c>
    </row>
    <row r="70" spans="1:35" ht="15.75" customHeight="1" x14ac:dyDescent="0.3">
      <c r="A70" s="401" t="s">
        <v>33</v>
      </c>
      <c r="B70" s="401" t="s">
        <v>33</v>
      </c>
      <c r="C70" s="401" t="s">
        <v>182</v>
      </c>
      <c r="D70" s="401" t="s">
        <v>182</v>
      </c>
      <c r="E70" s="401" t="s">
        <v>2288</v>
      </c>
      <c r="F70" s="5" t="s">
        <v>2289</v>
      </c>
      <c r="G70" s="401"/>
      <c r="H70" s="1093" t="s">
        <v>511</v>
      </c>
      <c r="I70" s="1216" t="s">
        <v>3033</v>
      </c>
      <c r="J70" s="403">
        <v>1</v>
      </c>
      <c r="K70" s="403">
        <v>6</v>
      </c>
      <c r="L70" s="1093" t="s">
        <v>367</v>
      </c>
      <c r="M70" s="401"/>
      <c r="O70" s="404" t="s">
        <v>31</v>
      </c>
      <c r="P70" s="404" t="s">
        <v>31</v>
      </c>
      <c r="Q70" s="404" t="s">
        <v>165</v>
      </c>
      <c r="R70" s="404" t="s">
        <v>165</v>
      </c>
      <c r="S70" s="404" t="s">
        <v>2491</v>
      </c>
      <c r="T70" s="404" t="s">
        <v>1693</v>
      </c>
      <c r="U70" s="941">
        <v>7</v>
      </c>
      <c r="V70" s="941">
        <v>40</v>
      </c>
      <c r="W70" s="941">
        <v>0</v>
      </c>
      <c r="X70" s="941">
        <v>0</v>
      </c>
      <c r="Y70" s="941">
        <v>0</v>
      </c>
      <c r="Z70" s="941">
        <v>0</v>
      </c>
      <c r="AA70" s="942">
        <v>7</v>
      </c>
      <c r="AB70" s="942">
        <v>40</v>
      </c>
      <c r="AC70" s="942">
        <v>0</v>
      </c>
      <c r="AD70" s="942">
        <v>0</v>
      </c>
      <c r="AE70" s="942">
        <v>0</v>
      </c>
      <c r="AF70" s="942">
        <v>0</v>
      </c>
      <c r="AG70" s="943">
        <f>comparaison_samebasis_villages[[#This Row],[previous idp_ind]]-comparaison_samebasis_villages[[#This Row],[actual idp_ind]]</f>
        <v>0</v>
      </c>
      <c r="AH70" s="943">
        <f>comparaison_samebasis_villages[[#This Row],[previous ref_ind]]-comparaison_samebasis_villages[[#This Row],[actual ref_ind]]</f>
        <v>0</v>
      </c>
      <c r="AI70" s="943">
        <f>comparaison_samebasis_villages[[#This Row],[previous ret_ind]]-comparaison_samebasis_villages[[#This Row],[actual ret_ind]]</f>
        <v>0</v>
      </c>
    </row>
    <row r="71" spans="1:35" ht="15.75" customHeight="1" x14ac:dyDescent="0.3">
      <c r="A71" s="401" t="s">
        <v>33</v>
      </c>
      <c r="B71" s="401" t="s">
        <v>33</v>
      </c>
      <c r="C71" s="401" t="s">
        <v>183</v>
      </c>
      <c r="D71" s="401" t="s">
        <v>183</v>
      </c>
      <c r="E71" s="401" t="s">
        <v>563</v>
      </c>
      <c r="F71" s="5" t="s">
        <v>564</v>
      </c>
      <c r="G71" s="401"/>
      <c r="H71" s="1093" t="s">
        <v>511</v>
      </c>
      <c r="I71" s="1216" t="s">
        <v>3033</v>
      </c>
      <c r="J71" s="403">
        <v>3</v>
      </c>
      <c r="K71" s="403">
        <v>21</v>
      </c>
      <c r="L71" s="1093" t="s">
        <v>367</v>
      </c>
      <c r="M71" s="401"/>
      <c r="O71" s="404" t="s">
        <v>30</v>
      </c>
      <c r="P71" s="404" t="s">
        <v>3522</v>
      </c>
      <c r="Q71" s="404" t="s">
        <v>157</v>
      </c>
      <c r="R71" s="404" t="s">
        <v>157</v>
      </c>
      <c r="S71" s="404" t="s">
        <v>2244</v>
      </c>
      <c r="T71" s="404" t="s">
        <v>2243</v>
      </c>
      <c r="U71" s="941">
        <v>0</v>
      </c>
      <c r="V71" s="941">
        <v>0</v>
      </c>
      <c r="W71" s="941">
        <v>0</v>
      </c>
      <c r="X71" s="941">
        <v>0</v>
      </c>
      <c r="Y71" s="941">
        <v>2</v>
      </c>
      <c r="Z71" s="941">
        <v>2</v>
      </c>
      <c r="AA71" s="942">
        <v>0</v>
      </c>
      <c r="AB71" s="942">
        <v>0</v>
      </c>
      <c r="AC71" s="942">
        <v>0</v>
      </c>
      <c r="AD71" s="942">
        <v>0</v>
      </c>
      <c r="AE71" s="942">
        <v>2</v>
      </c>
      <c r="AF71" s="942">
        <v>19</v>
      </c>
      <c r="AG71" s="943">
        <f>comparaison_samebasis_villages[[#This Row],[previous idp_ind]]-comparaison_samebasis_villages[[#This Row],[actual idp_ind]]</f>
        <v>0</v>
      </c>
      <c r="AH71" s="943">
        <f>comparaison_samebasis_villages[[#This Row],[previous ref_ind]]-comparaison_samebasis_villages[[#This Row],[actual ref_ind]]</f>
        <v>0</v>
      </c>
      <c r="AI71" s="943">
        <f>comparaison_samebasis_villages[[#This Row],[previous ret_ind]]-comparaison_samebasis_villages[[#This Row],[actual ret_ind]]</f>
        <v>17</v>
      </c>
    </row>
    <row r="72" spans="1:35" ht="15.75" customHeight="1" x14ac:dyDescent="0.3">
      <c r="A72" s="401" t="s">
        <v>34</v>
      </c>
      <c r="B72" s="401" t="s">
        <v>34</v>
      </c>
      <c r="C72" s="401" t="s">
        <v>187</v>
      </c>
      <c r="D72" s="401" t="s">
        <v>187</v>
      </c>
      <c r="E72" s="401" t="s">
        <v>3007</v>
      </c>
      <c r="F72" s="5" t="s">
        <v>1609</v>
      </c>
      <c r="G72" s="401"/>
      <c r="H72" s="1093" t="s">
        <v>511</v>
      </c>
      <c r="I72" s="1216" t="s">
        <v>3111</v>
      </c>
      <c r="J72" s="403">
        <v>209</v>
      </c>
      <c r="K72" s="403">
        <v>937</v>
      </c>
      <c r="L72" s="1093" t="s">
        <v>367</v>
      </c>
      <c r="M72" s="401"/>
      <c r="O72" s="404" t="s">
        <v>30</v>
      </c>
      <c r="P72" s="404" t="s">
        <v>3522</v>
      </c>
      <c r="Q72" s="404" t="s">
        <v>157</v>
      </c>
      <c r="R72" s="404" t="s">
        <v>157</v>
      </c>
      <c r="S72" s="404" t="s">
        <v>2361</v>
      </c>
      <c r="T72" s="404" t="s">
        <v>2360</v>
      </c>
      <c r="U72" s="941">
        <v>0</v>
      </c>
      <c r="V72" s="941">
        <v>0</v>
      </c>
      <c r="W72" s="941">
        <v>0</v>
      </c>
      <c r="X72" s="941">
        <v>0</v>
      </c>
      <c r="Y72" s="941">
        <v>3</v>
      </c>
      <c r="Z72" s="941">
        <v>3</v>
      </c>
      <c r="AA72" s="942">
        <v>0</v>
      </c>
      <c r="AB72" s="942">
        <v>0</v>
      </c>
      <c r="AC72" s="942">
        <v>0</v>
      </c>
      <c r="AD72" s="942">
        <v>0</v>
      </c>
      <c r="AE72" s="942">
        <v>3</v>
      </c>
      <c r="AF72" s="942">
        <v>45</v>
      </c>
      <c r="AG72" s="943">
        <f>comparaison_samebasis_villages[[#This Row],[previous idp_ind]]-comparaison_samebasis_villages[[#This Row],[actual idp_ind]]</f>
        <v>0</v>
      </c>
      <c r="AH72" s="943">
        <f>comparaison_samebasis_villages[[#This Row],[previous ref_ind]]-comparaison_samebasis_villages[[#This Row],[actual ref_ind]]</f>
        <v>0</v>
      </c>
      <c r="AI72" s="943">
        <f>comparaison_samebasis_villages[[#This Row],[previous ret_ind]]-comparaison_samebasis_villages[[#This Row],[actual ret_ind]]</f>
        <v>42</v>
      </c>
    </row>
    <row r="73" spans="1:35" ht="15.75" customHeight="1" x14ac:dyDescent="0.3">
      <c r="A73" s="401" t="s">
        <v>31</v>
      </c>
      <c r="B73" s="401" t="s">
        <v>31</v>
      </c>
      <c r="C73" s="401" t="s">
        <v>169</v>
      </c>
      <c r="D73" s="401" t="s">
        <v>169</v>
      </c>
      <c r="E73" s="401" t="s">
        <v>1446</v>
      </c>
      <c r="F73" s="5" t="s">
        <v>1469</v>
      </c>
      <c r="G73" s="401"/>
      <c r="H73" s="1093" t="s">
        <v>511</v>
      </c>
      <c r="I73" s="1216" t="s">
        <v>3112</v>
      </c>
      <c r="J73" s="403">
        <v>5</v>
      </c>
      <c r="K73" s="403">
        <v>20</v>
      </c>
      <c r="L73" s="1093" t="s">
        <v>367</v>
      </c>
      <c r="M73" s="401"/>
      <c r="O73" s="404" t="s">
        <v>30</v>
      </c>
      <c r="P73" s="404" t="s">
        <v>3522</v>
      </c>
      <c r="Q73" s="404" t="s">
        <v>157</v>
      </c>
      <c r="R73" s="404" t="s">
        <v>157</v>
      </c>
      <c r="S73" s="404" t="s">
        <v>2363</v>
      </c>
      <c r="T73" s="404" t="s">
        <v>2362</v>
      </c>
      <c r="U73" s="941">
        <v>0</v>
      </c>
      <c r="V73" s="941">
        <v>0</v>
      </c>
      <c r="W73" s="941">
        <v>0</v>
      </c>
      <c r="X73" s="941">
        <v>0</v>
      </c>
      <c r="Y73" s="941">
        <v>11</v>
      </c>
      <c r="Z73" s="941">
        <v>11</v>
      </c>
      <c r="AA73" s="942">
        <v>0</v>
      </c>
      <c r="AB73" s="942">
        <v>0</v>
      </c>
      <c r="AC73" s="942">
        <v>0</v>
      </c>
      <c r="AD73" s="942">
        <v>0</v>
      </c>
      <c r="AE73" s="942">
        <v>11</v>
      </c>
      <c r="AF73" s="942">
        <v>135</v>
      </c>
      <c r="AG73" s="943">
        <f>comparaison_samebasis_villages[[#This Row],[previous idp_ind]]-comparaison_samebasis_villages[[#This Row],[actual idp_ind]]</f>
        <v>0</v>
      </c>
      <c r="AH73" s="943">
        <f>comparaison_samebasis_villages[[#This Row],[previous ref_ind]]-comparaison_samebasis_villages[[#This Row],[actual ref_ind]]</f>
        <v>0</v>
      </c>
      <c r="AI73" s="943">
        <f>comparaison_samebasis_villages[[#This Row],[previous ret_ind]]-comparaison_samebasis_villages[[#This Row],[actual ret_ind]]</f>
        <v>124</v>
      </c>
    </row>
    <row r="74" spans="1:35" ht="15.75" customHeight="1" x14ac:dyDescent="0.3">
      <c r="A74" s="401" t="s">
        <v>33</v>
      </c>
      <c r="B74" s="401" t="s">
        <v>33</v>
      </c>
      <c r="C74" s="401" t="s">
        <v>184</v>
      </c>
      <c r="D74" s="401" t="s">
        <v>184</v>
      </c>
      <c r="E74" s="401" t="s">
        <v>2963</v>
      </c>
      <c r="F74" s="5" t="s">
        <v>2228</v>
      </c>
      <c r="G74" s="401"/>
      <c r="H74" s="1093" t="s">
        <v>511</v>
      </c>
      <c r="I74" s="1216" t="s">
        <v>3033</v>
      </c>
      <c r="J74" s="403">
        <v>3</v>
      </c>
      <c r="K74" s="403">
        <v>6</v>
      </c>
      <c r="L74" s="1093" t="s">
        <v>365</v>
      </c>
      <c r="M74" s="401"/>
      <c r="O74" s="404" t="s">
        <v>30</v>
      </c>
      <c r="P74" s="404" t="s">
        <v>3522</v>
      </c>
      <c r="Q74" s="404" t="s">
        <v>157</v>
      </c>
      <c r="R74" s="404" t="s">
        <v>157</v>
      </c>
      <c r="S74" s="404" t="s">
        <v>2367</v>
      </c>
      <c r="T74" s="404" t="s">
        <v>2366</v>
      </c>
      <c r="U74" s="941">
        <v>0</v>
      </c>
      <c r="V74" s="941">
        <v>0</v>
      </c>
      <c r="W74" s="941">
        <v>0</v>
      </c>
      <c r="X74" s="941">
        <v>0</v>
      </c>
      <c r="Y74" s="941">
        <v>1</v>
      </c>
      <c r="Z74" s="941">
        <v>1</v>
      </c>
      <c r="AA74" s="942">
        <v>1</v>
      </c>
      <c r="AB74" s="942">
        <v>6</v>
      </c>
      <c r="AC74" s="942">
        <v>0</v>
      </c>
      <c r="AD74" s="942">
        <v>0</v>
      </c>
      <c r="AE74" s="942">
        <v>1</v>
      </c>
      <c r="AF74" s="942">
        <v>6</v>
      </c>
      <c r="AG74" s="943">
        <f>comparaison_samebasis_villages[[#This Row],[previous idp_ind]]-comparaison_samebasis_villages[[#This Row],[actual idp_ind]]</f>
        <v>6</v>
      </c>
      <c r="AH74" s="943">
        <f>comparaison_samebasis_villages[[#This Row],[previous ref_ind]]-comparaison_samebasis_villages[[#This Row],[actual ref_ind]]</f>
        <v>0</v>
      </c>
      <c r="AI74" s="943">
        <f>comparaison_samebasis_villages[[#This Row],[previous ret_ind]]-comparaison_samebasis_villages[[#This Row],[actual ret_ind]]</f>
        <v>5</v>
      </c>
    </row>
    <row r="75" spans="1:35" ht="15.75" customHeight="1" x14ac:dyDescent="0.3">
      <c r="A75" s="401" t="s">
        <v>31</v>
      </c>
      <c r="B75" s="401" t="s">
        <v>31</v>
      </c>
      <c r="C75" s="401" t="s">
        <v>172</v>
      </c>
      <c r="D75" s="401" t="s">
        <v>172</v>
      </c>
      <c r="E75" s="401" t="s">
        <v>1160</v>
      </c>
      <c r="F75" s="5" t="s">
        <v>1126</v>
      </c>
      <c r="G75" s="401"/>
      <c r="H75" s="1093" t="s">
        <v>511</v>
      </c>
      <c r="I75" s="1216" t="s">
        <v>3033</v>
      </c>
      <c r="J75" s="403">
        <v>15</v>
      </c>
      <c r="K75" s="403">
        <v>63</v>
      </c>
      <c r="L75" s="1093" t="s">
        <v>365</v>
      </c>
      <c r="M75" s="401"/>
      <c r="O75" s="404" t="s">
        <v>30</v>
      </c>
      <c r="P75" s="404" t="s">
        <v>3522</v>
      </c>
      <c r="Q75" s="404" t="s">
        <v>157</v>
      </c>
      <c r="R75" s="404" t="s">
        <v>157</v>
      </c>
      <c r="S75" s="404" t="s">
        <v>2240</v>
      </c>
      <c r="T75" s="404" t="s">
        <v>2239</v>
      </c>
      <c r="U75" s="941">
        <v>0</v>
      </c>
      <c r="V75" s="941">
        <v>0</v>
      </c>
      <c r="W75" s="941">
        <v>0</v>
      </c>
      <c r="X75" s="941">
        <v>0</v>
      </c>
      <c r="Y75" s="941">
        <v>6</v>
      </c>
      <c r="Z75" s="941">
        <v>6</v>
      </c>
      <c r="AA75" s="942">
        <v>0</v>
      </c>
      <c r="AB75" s="942">
        <v>0</v>
      </c>
      <c r="AC75" s="942">
        <v>0</v>
      </c>
      <c r="AD75" s="942">
        <v>0</v>
      </c>
      <c r="AE75" s="942">
        <v>6</v>
      </c>
      <c r="AF75" s="942">
        <v>88</v>
      </c>
      <c r="AG75" s="943">
        <f>comparaison_samebasis_villages[[#This Row],[previous idp_ind]]-comparaison_samebasis_villages[[#This Row],[actual idp_ind]]</f>
        <v>0</v>
      </c>
      <c r="AH75" s="943">
        <f>comparaison_samebasis_villages[[#This Row],[previous ref_ind]]-comparaison_samebasis_villages[[#This Row],[actual ref_ind]]</f>
        <v>0</v>
      </c>
      <c r="AI75" s="943">
        <f>comparaison_samebasis_villages[[#This Row],[previous ret_ind]]-comparaison_samebasis_villages[[#This Row],[actual ret_ind]]</f>
        <v>82</v>
      </c>
    </row>
    <row r="76" spans="1:35" ht="15.75" customHeight="1" x14ac:dyDescent="0.3">
      <c r="A76" s="401" t="s">
        <v>31</v>
      </c>
      <c r="B76" s="401" t="s">
        <v>31</v>
      </c>
      <c r="C76" s="401" t="s">
        <v>172</v>
      </c>
      <c r="D76" s="401" t="s">
        <v>172</v>
      </c>
      <c r="E76" s="401" t="s">
        <v>1160</v>
      </c>
      <c r="F76" s="5" t="s">
        <v>1126</v>
      </c>
      <c r="G76" s="401"/>
      <c r="H76" s="1093" t="s">
        <v>511</v>
      </c>
      <c r="I76" s="1216" t="s">
        <v>3112</v>
      </c>
      <c r="J76" s="403">
        <v>0</v>
      </c>
      <c r="K76" s="403">
        <v>2</v>
      </c>
      <c r="L76" s="1093" t="s">
        <v>365</v>
      </c>
      <c r="M76" s="401"/>
      <c r="O76" s="404" t="s">
        <v>30</v>
      </c>
      <c r="P76" s="404" t="s">
        <v>3522</v>
      </c>
      <c r="Q76" s="404" t="s">
        <v>157</v>
      </c>
      <c r="R76" s="404" t="s">
        <v>157</v>
      </c>
      <c r="S76" s="404" t="s">
        <v>2242</v>
      </c>
      <c r="T76" s="404" t="s">
        <v>2241</v>
      </c>
      <c r="U76" s="941">
        <v>0</v>
      </c>
      <c r="V76" s="941">
        <v>0</v>
      </c>
      <c r="W76" s="941">
        <v>0</v>
      </c>
      <c r="X76" s="941">
        <v>0</v>
      </c>
      <c r="Y76" s="941">
        <v>9</v>
      </c>
      <c r="Z76" s="941">
        <v>9</v>
      </c>
      <c r="AA76" s="942">
        <v>11</v>
      </c>
      <c r="AB76" s="942">
        <v>70</v>
      </c>
      <c r="AC76" s="942">
        <v>0</v>
      </c>
      <c r="AD76" s="942">
        <v>0</v>
      </c>
      <c r="AE76" s="942">
        <v>11</v>
      </c>
      <c r="AF76" s="942">
        <v>70</v>
      </c>
      <c r="AG76" s="943">
        <f>comparaison_samebasis_villages[[#This Row],[previous idp_ind]]-comparaison_samebasis_villages[[#This Row],[actual idp_ind]]</f>
        <v>70</v>
      </c>
      <c r="AH76" s="943">
        <f>comparaison_samebasis_villages[[#This Row],[previous ref_ind]]-comparaison_samebasis_villages[[#This Row],[actual ref_ind]]</f>
        <v>0</v>
      </c>
      <c r="AI76" s="943">
        <f>comparaison_samebasis_villages[[#This Row],[previous ret_ind]]-comparaison_samebasis_villages[[#This Row],[actual ret_ind]]</f>
        <v>61</v>
      </c>
    </row>
    <row r="77" spans="1:35" ht="15.75" customHeight="1" x14ac:dyDescent="0.3">
      <c r="A77" s="401" t="s">
        <v>31</v>
      </c>
      <c r="B77" s="401" t="s">
        <v>31</v>
      </c>
      <c r="C77" s="401" t="s">
        <v>171</v>
      </c>
      <c r="D77" s="401" t="s">
        <v>171</v>
      </c>
      <c r="E77" s="401" t="s">
        <v>2600</v>
      </c>
      <c r="F77" s="5" t="s">
        <v>1803</v>
      </c>
      <c r="G77" s="401"/>
      <c r="H77" s="1093" t="s">
        <v>511</v>
      </c>
      <c r="I77" s="1216" t="s">
        <v>3112</v>
      </c>
      <c r="J77" s="403">
        <v>1</v>
      </c>
      <c r="K77" s="403">
        <v>3</v>
      </c>
      <c r="L77" s="1093" t="s">
        <v>377</v>
      </c>
      <c r="M77" s="401"/>
      <c r="O77" s="404" t="s">
        <v>30</v>
      </c>
      <c r="P77" s="404" t="s">
        <v>3522</v>
      </c>
      <c r="Q77" s="404" t="s">
        <v>157</v>
      </c>
      <c r="R77" s="404" t="s">
        <v>157</v>
      </c>
      <c r="S77" s="404" t="s">
        <v>2238</v>
      </c>
      <c r="T77" s="404" t="s">
        <v>2237</v>
      </c>
      <c r="U77" s="941">
        <v>0</v>
      </c>
      <c r="V77" s="941">
        <v>0</v>
      </c>
      <c r="W77" s="941">
        <v>0</v>
      </c>
      <c r="X77" s="941">
        <v>0</v>
      </c>
      <c r="Y77" s="941">
        <v>4</v>
      </c>
      <c r="Z77" s="941">
        <v>4</v>
      </c>
      <c r="AA77" s="942">
        <v>0</v>
      </c>
      <c r="AB77" s="942">
        <v>0</v>
      </c>
      <c r="AC77" s="942">
        <v>0</v>
      </c>
      <c r="AD77" s="942">
        <v>0</v>
      </c>
      <c r="AE77" s="942">
        <v>5</v>
      </c>
      <c r="AF77" s="942">
        <v>42</v>
      </c>
      <c r="AG77" s="943">
        <f>comparaison_samebasis_villages[[#This Row],[previous idp_ind]]-comparaison_samebasis_villages[[#This Row],[actual idp_ind]]</f>
        <v>0</v>
      </c>
      <c r="AH77" s="943">
        <f>comparaison_samebasis_villages[[#This Row],[previous ref_ind]]-comparaison_samebasis_villages[[#This Row],[actual ref_ind]]</f>
        <v>0</v>
      </c>
      <c r="AI77" s="943">
        <f>comparaison_samebasis_villages[[#This Row],[previous ret_ind]]-comparaison_samebasis_villages[[#This Row],[actual ret_ind]]</f>
        <v>38</v>
      </c>
    </row>
    <row r="78" spans="1:35" ht="15.75" customHeight="1" x14ac:dyDescent="0.3">
      <c r="A78" s="401" t="s">
        <v>31</v>
      </c>
      <c r="B78" s="401" t="s">
        <v>31</v>
      </c>
      <c r="C78" s="401" t="s">
        <v>171</v>
      </c>
      <c r="D78" s="401" t="s">
        <v>171</v>
      </c>
      <c r="E78" s="401" t="s">
        <v>1337</v>
      </c>
      <c r="F78" s="5" t="s">
        <v>1426</v>
      </c>
      <c r="G78" s="401"/>
      <c r="H78" s="1093" t="s">
        <v>511</v>
      </c>
      <c r="I78" s="1216" t="s">
        <v>3033</v>
      </c>
      <c r="J78" s="403">
        <v>10</v>
      </c>
      <c r="K78" s="403">
        <v>51</v>
      </c>
      <c r="L78" s="1093" t="s">
        <v>367</v>
      </c>
      <c r="M78" s="401"/>
      <c r="O78" s="404" t="s">
        <v>32</v>
      </c>
      <c r="P78" s="404" t="s">
        <v>32</v>
      </c>
      <c r="Q78" s="404" t="s">
        <v>174</v>
      </c>
      <c r="R78" s="404" t="s">
        <v>174</v>
      </c>
      <c r="S78" s="404" t="s">
        <v>1660</v>
      </c>
      <c r="T78" s="404" t="s">
        <v>1659</v>
      </c>
      <c r="U78" s="941">
        <v>92</v>
      </c>
      <c r="V78" s="941">
        <v>378</v>
      </c>
      <c r="W78" s="941">
        <v>0</v>
      </c>
      <c r="X78" s="941">
        <v>0</v>
      </c>
      <c r="Y78" s="941">
        <v>12</v>
      </c>
      <c r="Z78" s="941">
        <v>12</v>
      </c>
      <c r="AA78" s="942">
        <v>52</v>
      </c>
      <c r="AB78" s="942">
        <v>278</v>
      </c>
      <c r="AC78" s="942">
        <v>0</v>
      </c>
      <c r="AD78" s="942">
        <v>0</v>
      </c>
      <c r="AE78" s="942">
        <v>12</v>
      </c>
      <c r="AF78" s="942">
        <v>68</v>
      </c>
      <c r="AG78" s="943">
        <f>comparaison_samebasis_villages[[#This Row],[previous idp_ind]]-comparaison_samebasis_villages[[#This Row],[actual idp_ind]]</f>
        <v>-100</v>
      </c>
      <c r="AH78" s="943">
        <f>comparaison_samebasis_villages[[#This Row],[previous ref_ind]]-comparaison_samebasis_villages[[#This Row],[actual ref_ind]]</f>
        <v>0</v>
      </c>
      <c r="AI78" s="943">
        <f>comparaison_samebasis_villages[[#This Row],[previous ret_ind]]-comparaison_samebasis_villages[[#This Row],[actual ret_ind]]</f>
        <v>56</v>
      </c>
    </row>
    <row r="79" spans="1:35" ht="15.75" customHeight="1" x14ac:dyDescent="0.3">
      <c r="A79" s="401" t="s">
        <v>33</v>
      </c>
      <c r="B79" s="401" t="s">
        <v>33</v>
      </c>
      <c r="C79" s="401" t="s">
        <v>183</v>
      </c>
      <c r="D79" s="401" t="s">
        <v>183</v>
      </c>
      <c r="E79" s="401" t="s">
        <v>2271</v>
      </c>
      <c r="F79" s="5" t="s">
        <v>2272</v>
      </c>
      <c r="G79" s="401"/>
      <c r="H79" s="1093" t="s">
        <v>511</v>
      </c>
      <c r="I79" s="1216" t="s">
        <v>3110</v>
      </c>
      <c r="J79" s="403">
        <v>2</v>
      </c>
      <c r="K79" s="403">
        <v>11</v>
      </c>
      <c r="L79" s="1093" t="s">
        <v>367</v>
      </c>
      <c r="M79" s="401"/>
      <c r="O79" s="404" t="s">
        <v>31</v>
      </c>
      <c r="P79" s="404" t="s">
        <v>31</v>
      </c>
      <c r="Q79" s="404" t="s">
        <v>166</v>
      </c>
      <c r="R79" s="404" t="s">
        <v>166</v>
      </c>
      <c r="S79" s="404" t="s">
        <v>1225</v>
      </c>
      <c r="T79" s="404" t="s">
        <v>1224</v>
      </c>
      <c r="U79" s="941">
        <v>22</v>
      </c>
      <c r="V79" s="941">
        <v>158</v>
      </c>
      <c r="W79" s="941">
        <v>24</v>
      </c>
      <c r="X79" s="941">
        <v>160</v>
      </c>
      <c r="Y79" s="941">
        <v>73</v>
      </c>
      <c r="Z79" s="941">
        <v>73</v>
      </c>
      <c r="AA79" s="942">
        <v>22</v>
      </c>
      <c r="AB79" s="942">
        <v>158</v>
      </c>
      <c r="AC79" s="942">
        <v>24</v>
      </c>
      <c r="AD79" s="942">
        <v>157</v>
      </c>
      <c r="AE79" s="942">
        <v>73</v>
      </c>
      <c r="AF79" s="942">
        <v>562</v>
      </c>
      <c r="AG79" s="943">
        <f>comparaison_samebasis_villages[[#This Row],[previous idp_ind]]-comparaison_samebasis_villages[[#This Row],[actual idp_ind]]</f>
        <v>0</v>
      </c>
      <c r="AH79" s="943">
        <f>comparaison_samebasis_villages[[#This Row],[previous ref_ind]]-comparaison_samebasis_villages[[#This Row],[actual ref_ind]]</f>
        <v>-3</v>
      </c>
      <c r="AI79" s="943">
        <f>comparaison_samebasis_villages[[#This Row],[previous ret_ind]]-comparaison_samebasis_villages[[#This Row],[actual ret_ind]]</f>
        <v>489</v>
      </c>
    </row>
    <row r="80" spans="1:35" ht="15.75" customHeight="1" x14ac:dyDescent="0.3">
      <c r="A80" s="401" t="s">
        <v>33</v>
      </c>
      <c r="B80" s="401" t="s">
        <v>33</v>
      </c>
      <c r="C80" s="401" t="s">
        <v>186</v>
      </c>
      <c r="D80" s="401" t="s">
        <v>186</v>
      </c>
      <c r="E80" s="401" t="s">
        <v>685</v>
      </c>
      <c r="F80" s="5" t="s">
        <v>686</v>
      </c>
      <c r="G80" s="401"/>
      <c r="H80" s="1093" t="s">
        <v>511</v>
      </c>
      <c r="I80" s="1216" t="s">
        <v>3033</v>
      </c>
      <c r="J80" s="403">
        <v>2</v>
      </c>
      <c r="K80" s="403">
        <v>9</v>
      </c>
      <c r="L80" s="1093" t="s">
        <v>369</v>
      </c>
      <c r="M80" s="401"/>
      <c r="O80" s="399" t="s">
        <v>31</v>
      </c>
      <c r="P80" s="399" t="s">
        <v>31</v>
      </c>
      <c r="Q80" s="399" t="s">
        <v>166</v>
      </c>
      <c r="R80" s="399" t="s">
        <v>166</v>
      </c>
      <c r="S80" s="399" t="s">
        <v>1014</v>
      </c>
      <c r="T80" s="399" t="s">
        <v>2824</v>
      </c>
      <c r="U80" s="941">
        <v>75</v>
      </c>
      <c r="V80" s="941">
        <v>428</v>
      </c>
      <c r="W80" s="941">
        <v>0</v>
      </c>
      <c r="X80" s="941">
        <v>0</v>
      </c>
      <c r="Y80" s="941">
        <v>0</v>
      </c>
      <c r="Z80" s="941">
        <v>0</v>
      </c>
      <c r="AA80" s="942">
        <v>0</v>
      </c>
      <c r="AB80" s="942">
        <v>0</v>
      </c>
      <c r="AC80" s="942">
        <v>0</v>
      </c>
      <c r="AD80" s="942">
        <v>0</v>
      </c>
      <c r="AE80" s="942">
        <v>0</v>
      </c>
      <c r="AF80" s="942">
        <v>0</v>
      </c>
      <c r="AG80" s="943">
        <f>comparaison_samebasis_villages[[#This Row],[previous idp_ind]]-comparaison_samebasis_villages[[#This Row],[actual idp_ind]]</f>
        <v>-428</v>
      </c>
      <c r="AH80" s="943">
        <f>comparaison_samebasis_villages[[#This Row],[previous ref_ind]]-comparaison_samebasis_villages[[#This Row],[actual ref_ind]]</f>
        <v>0</v>
      </c>
      <c r="AI80" s="943">
        <f>comparaison_samebasis_villages[[#This Row],[previous ret_ind]]-comparaison_samebasis_villages[[#This Row],[actual ret_ind]]</f>
        <v>0</v>
      </c>
    </row>
    <row r="81" spans="1:35" ht="15.75" customHeight="1" x14ac:dyDescent="0.3">
      <c r="A81" s="401" t="s">
        <v>31</v>
      </c>
      <c r="B81" s="401" t="s">
        <v>31</v>
      </c>
      <c r="C81" s="401" t="s">
        <v>173</v>
      </c>
      <c r="D81" s="401" t="s">
        <v>173</v>
      </c>
      <c r="E81" s="401" t="s">
        <v>1589</v>
      </c>
      <c r="F81" s="5" t="s">
        <v>558</v>
      </c>
      <c r="G81" s="401"/>
      <c r="H81" s="1093" t="s">
        <v>511</v>
      </c>
      <c r="I81" s="1216" t="s">
        <v>3112</v>
      </c>
      <c r="J81" s="403">
        <v>46</v>
      </c>
      <c r="K81" s="403">
        <v>329</v>
      </c>
      <c r="L81" s="1093" t="s">
        <v>365</v>
      </c>
      <c r="M81" s="401"/>
      <c r="O81" s="399" t="s">
        <v>31</v>
      </c>
      <c r="P81" s="399" t="s">
        <v>31</v>
      </c>
      <c r="Q81" s="399" t="s">
        <v>166</v>
      </c>
      <c r="R81" s="399" t="s">
        <v>166</v>
      </c>
      <c r="S81" s="399" t="s">
        <v>2494</v>
      </c>
      <c r="T81" s="399" t="s">
        <v>2839</v>
      </c>
      <c r="U81" s="941">
        <v>0</v>
      </c>
      <c r="V81" s="941">
        <v>0</v>
      </c>
      <c r="W81" s="941">
        <v>0</v>
      </c>
      <c r="X81" s="941">
        <v>0</v>
      </c>
      <c r="Y81" s="941">
        <v>0</v>
      </c>
      <c r="Z81" s="941">
        <v>0</v>
      </c>
      <c r="AA81" s="942">
        <v>0</v>
      </c>
      <c r="AB81" s="942">
        <v>0</v>
      </c>
      <c r="AC81" s="942">
        <v>0</v>
      </c>
      <c r="AD81" s="942">
        <v>0</v>
      </c>
      <c r="AE81" s="942">
        <v>0</v>
      </c>
      <c r="AF81" s="942">
        <v>0</v>
      </c>
      <c r="AG81" s="943">
        <f>comparaison_samebasis_villages[[#This Row],[previous idp_ind]]-comparaison_samebasis_villages[[#This Row],[actual idp_ind]]</f>
        <v>0</v>
      </c>
      <c r="AH81" s="943">
        <f>comparaison_samebasis_villages[[#This Row],[previous ref_ind]]-comparaison_samebasis_villages[[#This Row],[actual ref_ind]]</f>
        <v>0</v>
      </c>
      <c r="AI81" s="943">
        <f>comparaison_samebasis_villages[[#This Row],[previous ret_ind]]-comparaison_samebasis_villages[[#This Row],[actual ret_ind]]</f>
        <v>0</v>
      </c>
    </row>
    <row r="82" spans="1:35" ht="15.75" customHeight="1" x14ac:dyDescent="0.3">
      <c r="A82" s="401" t="s">
        <v>35</v>
      </c>
      <c r="B82" s="401" t="s">
        <v>35</v>
      </c>
      <c r="C82" s="401" t="s">
        <v>193</v>
      </c>
      <c r="D82" s="401" t="s">
        <v>3983</v>
      </c>
      <c r="E82" s="401" t="s">
        <v>2677</v>
      </c>
      <c r="F82" s="5" t="s">
        <v>1585</v>
      </c>
      <c r="G82" s="401"/>
      <c r="H82" s="1093" t="s">
        <v>511</v>
      </c>
      <c r="I82" s="1216" t="s">
        <v>3033</v>
      </c>
      <c r="J82" s="403">
        <v>62</v>
      </c>
      <c r="K82" s="403">
        <v>321</v>
      </c>
      <c r="L82" s="1093" t="s">
        <v>365</v>
      </c>
      <c r="M82" s="401"/>
      <c r="O82" s="404" t="s">
        <v>31</v>
      </c>
      <c r="P82" s="404" t="s">
        <v>31</v>
      </c>
      <c r="Q82" s="404" t="s">
        <v>166</v>
      </c>
      <c r="R82" s="404" t="s">
        <v>166</v>
      </c>
      <c r="S82" s="404" t="s">
        <v>2496</v>
      </c>
      <c r="T82" s="404" t="s">
        <v>1013</v>
      </c>
      <c r="U82" s="941">
        <v>0</v>
      </c>
      <c r="V82" s="941">
        <v>0</v>
      </c>
      <c r="W82" s="941">
        <v>0</v>
      </c>
      <c r="X82" s="941">
        <v>0</v>
      </c>
      <c r="Y82" s="941">
        <v>0</v>
      </c>
      <c r="Z82" s="941">
        <v>0</v>
      </c>
      <c r="AA82" s="942">
        <v>0</v>
      </c>
      <c r="AB82" s="942">
        <v>0</v>
      </c>
      <c r="AC82" s="942">
        <v>0</v>
      </c>
      <c r="AD82" s="942">
        <v>0</v>
      </c>
      <c r="AE82" s="942">
        <v>0</v>
      </c>
      <c r="AF82" s="942">
        <v>0</v>
      </c>
      <c r="AG82" s="943">
        <f>comparaison_samebasis_villages[[#This Row],[previous idp_ind]]-comparaison_samebasis_villages[[#This Row],[actual idp_ind]]</f>
        <v>0</v>
      </c>
      <c r="AH82" s="943">
        <f>comparaison_samebasis_villages[[#This Row],[previous ref_ind]]-comparaison_samebasis_villages[[#This Row],[actual ref_ind]]</f>
        <v>0</v>
      </c>
      <c r="AI82" s="943">
        <f>comparaison_samebasis_villages[[#This Row],[previous ret_ind]]-comparaison_samebasis_villages[[#This Row],[actual ret_ind]]</f>
        <v>0</v>
      </c>
    </row>
    <row r="83" spans="1:35" ht="15.75" customHeight="1" x14ac:dyDescent="0.3">
      <c r="A83" s="401" t="s">
        <v>35</v>
      </c>
      <c r="B83" s="401" t="s">
        <v>35</v>
      </c>
      <c r="C83" s="401" t="s">
        <v>193</v>
      </c>
      <c r="D83" s="401" t="s">
        <v>3983</v>
      </c>
      <c r="E83" s="401" t="s">
        <v>2677</v>
      </c>
      <c r="F83" s="5" t="s">
        <v>1585</v>
      </c>
      <c r="G83" s="401"/>
      <c r="H83" s="1093" t="s">
        <v>511</v>
      </c>
      <c r="I83" s="1216" t="s">
        <v>3110</v>
      </c>
      <c r="J83" s="403">
        <v>2</v>
      </c>
      <c r="K83" s="403">
        <v>8</v>
      </c>
      <c r="L83" s="1093" t="s">
        <v>365</v>
      </c>
      <c r="M83" s="401"/>
      <c r="O83" s="404" t="s">
        <v>31</v>
      </c>
      <c r="P83" s="404" t="s">
        <v>31</v>
      </c>
      <c r="Q83" s="404" t="s">
        <v>166</v>
      </c>
      <c r="R83" s="404" t="s">
        <v>166</v>
      </c>
      <c r="S83" s="404" t="s">
        <v>2498</v>
      </c>
      <c r="T83" s="404" t="s">
        <v>2865</v>
      </c>
      <c r="U83" s="941">
        <v>0</v>
      </c>
      <c r="V83" s="941">
        <v>0</v>
      </c>
      <c r="W83" s="941">
        <v>0</v>
      </c>
      <c r="X83" s="941">
        <v>0</v>
      </c>
      <c r="Y83" s="941">
        <v>0</v>
      </c>
      <c r="Z83" s="941">
        <v>0</v>
      </c>
      <c r="AA83" s="942">
        <v>0</v>
      </c>
      <c r="AB83" s="942">
        <v>0</v>
      </c>
      <c r="AC83" s="942">
        <v>0</v>
      </c>
      <c r="AD83" s="942">
        <v>0</v>
      </c>
      <c r="AE83" s="942">
        <v>0</v>
      </c>
      <c r="AF83" s="942">
        <v>0</v>
      </c>
      <c r="AG83" s="943">
        <f>comparaison_samebasis_villages[[#This Row],[previous idp_ind]]-comparaison_samebasis_villages[[#This Row],[actual idp_ind]]</f>
        <v>0</v>
      </c>
      <c r="AH83" s="943">
        <f>comparaison_samebasis_villages[[#This Row],[previous ref_ind]]-comparaison_samebasis_villages[[#This Row],[actual ref_ind]]</f>
        <v>0</v>
      </c>
      <c r="AI83" s="943">
        <f>comparaison_samebasis_villages[[#This Row],[previous ret_ind]]-comparaison_samebasis_villages[[#This Row],[actual ret_ind]]</f>
        <v>0</v>
      </c>
    </row>
    <row r="84" spans="1:35" ht="15.75" customHeight="1" x14ac:dyDescent="0.3">
      <c r="A84" s="401" t="s">
        <v>35</v>
      </c>
      <c r="B84" s="401" t="s">
        <v>35</v>
      </c>
      <c r="C84" s="401" t="s">
        <v>190</v>
      </c>
      <c r="D84" s="401" t="s">
        <v>190</v>
      </c>
      <c r="E84" s="401" t="s">
        <v>2853</v>
      </c>
      <c r="F84" s="5" t="s">
        <v>801</v>
      </c>
      <c r="G84" s="401"/>
      <c r="H84" s="1093" t="s">
        <v>511</v>
      </c>
      <c r="I84" s="1216" t="s">
        <v>3111</v>
      </c>
      <c r="J84" s="403">
        <v>2</v>
      </c>
      <c r="K84" s="403">
        <v>8</v>
      </c>
      <c r="L84" s="1093" t="s">
        <v>367</v>
      </c>
      <c r="M84" s="401"/>
      <c r="O84" s="404" t="s">
        <v>31</v>
      </c>
      <c r="P84" s="404" t="s">
        <v>31</v>
      </c>
      <c r="Q84" s="404" t="s">
        <v>166</v>
      </c>
      <c r="R84" s="404" t="s">
        <v>166</v>
      </c>
      <c r="S84" s="404" t="s">
        <v>1559</v>
      </c>
      <c r="T84" s="404" t="s">
        <v>2493</v>
      </c>
      <c r="U84" s="941">
        <v>2394</v>
      </c>
      <c r="V84" s="941">
        <v>12380</v>
      </c>
      <c r="W84" s="941">
        <v>680</v>
      </c>
      <c r="X84" s="941">
        <v>3808</v>
      </c>
      <c r="Y84" s="941">
        <v>1386</v>
      </c>
      <c r="Z84" s="941">
        <v>1386</v>
      </c>
      <c r="AA84" s="942">
        <v>2400</v>
      </c>
      <c r="AB84" s="942">
        <v>12427</v>
      </c>
      <c r="AC84" s="942">
        <v>687</v>
      </c>
      <c r="AD84" s="942">
        <v>3845</v>
      </c>
      <c r="AE84" s="942">
        <v>1386</v>
      </c>
      <c r="AF84" s="942">
        <v>10504</v>
      </c>
      <c r="AG84" s="943">
        <f>comparaison_samebasis_villages[[#This Row],[previous idp_ind]]-comparaison_samebasis_villages[[#This Row],[actual idp_ind]]</f>
        <v>47</v>
      </c>
      <c r="AH84" s="943">
        <f>comparaison_samebasis_villages[[#This Row],[previous ref_ind]]-comparaison_samebasis_villages[[#This Row],[actual ref_ind]]</f>
        <v>37</v>
      </c>
      <c r="AI84" s="943">
        <f>comparaison_samebasis_villages[[#This Row],[previous ret_ind]]-comparaison_samebasis_villages[[#This Row],[actual ret_ind]]</f>
        <v>9118</v>
      </c>
    </row>
    <row r="85" spans="1:35" ht="15.75" customHeight="1" x14ac:dyDescent="0.3">
      <c r="A85" s="401" t="s">
        <v>31</v>
      </c>
      <c r="B85" s="401" t="s">
        <v>31</v>
      </c>
      <c r="C85" s="401" t="s">
        <v>169</v>
      </c>
      <c r="D85" s="401" t="s">
        <v>169</v>
      </c>
      <c r="E85" s="401" t="s">
        <v>2931</v>
      </c>
      <c r="F85" s="5" t="s">
        <v>2223</v>
      </c>
      <c r="G85" s="401"/>
      <c r="H85" s="1093" t="s">
        <v>511</v>
      </c>
      <c r="I85" s="1216" t="s">
        <v>3111</v>
      </c>
      <c r="J85" s="403">
        <v>85</v>
      </c>
      <c r="K85" s="403">
        <v>664</v>
      </c>
      <c r="L85" s="1093" t="s">
        <v>367</v>
      </c>
      <c r="M85" s="401"/>
      <c r="O85" s="404" t="s">
        <v>31</v>
      </c>
      <c r="P85" s="404" t="s">
        <v>31</v>
      </c>
      <c r="Q85" s="404" t="s">
        <v>166</v>
      </c>
      <c r="R85" s="404" t="s">
        <v>166</v>
      </c>
      <c r="S85" s="404" t="s">
        <v>2171</v>
      </c>
      <c r="T85" s="404" t="s">
        <v>2495</v>
      </c>
      <c r="U85" s="941">
        <v>10</v>
      </c>
      <c r="V85" s="941">
        <v>59</v>
      </c>
      <c r="W85" s="941">
        <v>2</v>
      </c>
      <c r="X85" s="941">
        <v>18</v>
      </c>
      <c r="Y85" s="941">
        <v>0</v>
      </c>
      <c r="Z85" s="941">
        <v>0</v>
      </c>
      <c r="AA85" s="942">
        <v>10</v>
      </c>
      <c r="AB85" s="942">
        <v>53</v>
      </c>
      <c r="AC85" s="942">
        <v>2</v>
      </c>
      <c r="AD85" s="942">
        <v>18</v>
      </c>
      <c r="AE85" s="942">
        <v>0</v>
      </c>
      <c r="AF85" s="942">
        <v>0</v>
      </c>
      <c r="AG85" s="943">
        <f>comparaison_samebasis_villages[[#This Row],[previous idp_ind]]-comparaison_samebasis_villages[[#This Row],[actual idp_ind]]</f>
        <v>-6</v>
      </c>
      <c r="AH85" s="943">
        <f>comparaison_samebasis_villages[[#This Row],[previous ref_ind]]-comparaison_samebasis_villages[[#This Row],[actual ref_ind]]</f>
        <v>0</v>
      </c>
      <c r="AI85" s="943">
        <f>comparaison_samebasis_villages[[#This Row],[previous ret_ind]]-comparaison_samebasis_villages[[#This Row],[actual ret_ind]]</f>
        <v>0</v>
      </c>
    </row>
    <row r="86" spans="1:35" ht="15.75" customHeight="1" x14ac:dyDescent="0.3">
      <c r="A86" s="401" t="s">
        <v>31</v>
      </c>
      <c r="B86" s="401" t="s">
        <v>31</v>
      </c>
      <c r="C86" s="401" t="s">
        <v>169</v>
      </c>
      <c r="D86" s="401" t="s">
        <v>169</v>
      </c>
      <c r="E86" s="401" t="s">
        <v>2931</v>
      </c>
      <c r="F86" s="5" t="s">
        <v>2223</v>
      </c>
      <c r="G86" s="401"/>
      <c r="H86" s="1093" t="s">
        <v>511</v>
      </c>
      <c r="I86" s="1216" t="s">
        <v>3112</v>
      </c>
      <c r="J86" s="403">
        <v>15</v>
      </c>
      <c r="K86" s="403">
        <v>213</v>
      </c>
      <c r="L86" s="1093" t="s">
        <v>367</v>
      </c>
      <c r="M86" s="401"/>
      <c r="O86" s="399" t="s">
        <v>31</v>
      </c>
      <c r="P86" s="399" t="s">
        <v>31</v>
      </c>
      <c r="Q86" s="399" t="s">
        <v>166</v>
      </c>
      <c r="R86" s="399" t="s">
        <v>166</v>
      </c>
      <c r="S86" s="399" t="s">
        <v>2500</v>
      </c>
      <c r="T86" s="399" t="s">
        <v>2497</v>
      </c>
      <c r="U86" s="941">
        <v>0</v>
      </c>
      <c r="V86" s="941">
        <v>0</v>
      </c>
      <c r="W86" s="941">
        <v>0</v>
      </c>
      <c r="X86" s="941">
        <v>0</v>
      </c>
      <c r="Y86" s="941">
        <v>0</v>
      </c>
      <c r="Z86" s="941">
        <v>0</v>
      </c>
      <c r="AA86" s="942">
        <v>0</v>
      </c>
      <c r="AB86" s="942">
        <v>0</v>
      </c>
      <c r="AC86" s="942">
        <v>0</v>
      </c>
      <c r="AD86" s="942">
        <v>0</v>
      </c>
      <c r="AE86" s="942">
        <v>0</v>
      </c>
      <c r="AF86" s="942">
        <v>0</v>
      </c>
      <c r="AG86" s="943">
        <f>comparaison_samebasis_villages[[#This Row],[previous idp_ind]]-comparaison_samebasis_villages[[#This Row],[actual idp_ind]]</f>
        <v>0</v>
      </c>
      <c r="AH86" s="943">
        <f>comparaison_samebasis_villages[[#This Row],[previous ref_ind]]-comparaison_samebasis_villages[[#This Row],[actual ref_ind]]</f>
        <v>0</v>
      </c>
      <c r="AI86" s="943">
        <f>comparaison_samebasis_villages[[#This Row],[previous ret_ind]]-comparaison_samebasis_villages[[#This Row],[actual ret_ind]]</f>
        <v>0</v>
      </c>
    </row>
    <row r="87" spans="1:35" ht="15.75" customHeight="1" x14ac:dyDescent="0.3">
      <c r="A87" s="401" t="s">
        <v>33</v>
      </c>
      <c r="B87" s="401" t="s">
        <v>33</v>
      </c>
      <c r="C87" s="401" t="s">
        <v>185</v>
      </c>
      <c r="D87" s="401" t="s">
        <v>185</v>
      </c>
      <c r="E87" s="401" t="s">
        <v>2924</v>
      </c>
      <c r="F87" s="5" t="s">
        <v>736</v>
      </c>
      <c r="G87" s="401"/>
      <c r="H87" s="1093" t="s">
        <v>511</v>
      </c>
      <c r="I87" s="1216" t="s">
        <v>3111</v>
      </c>
      <c r="J87" s="403">
        <v>4</v>
      </c>
      <c r="K87" s="403">
        <v>20</v>
      </c>
      <c r="L87" s="1093" t="s">
        <v>367</v>
      </c>
      <c r="M87" s="401"/>
      <c r="O87" s="404" t="s">
        <v>31</v>
      </c>
      <c r="P87" s="404" t="s">
        <v>31</v>
      </c>
      <c r="Q87" s="404" t="s">
        <v>166</v>
      </c>
      <c r="R87" s="404" t="s">
        <v>166</v>
      </c>
      <c r="S87" s="404" t="s">
        <v>2502</v>
      </c>
      <c r="T87" s="404" t="s">
        <v>1558</v>
      </c>
      <c r="U87" s="941">
        <v>0</v>
      </c>
      <c r="V87" s="941">
        <v>0</v>
      </c>
      <c r="W87" s="941">
        <v>0</v>
      </c>
      <c r="X87" s="941">
        <v>0</v>
      </c>
      <c r="Y87" s="941">
        <v>0</v>
      </c>
      <c r="Z87" s="941">
        <v>0</v>
      </c>
      <c r="AA87" s="942">
        <v>0</v>
      </c>
      <c r="AB87" s="942">
        <v>0</v>
      </c>
      <c r="AC87" s="942">
        <v>0</v>
      </c>
      <c r="AD87" s="942">
        <v>0</v>
      </c>
      <c r="AE87" s="942">
        <v>0</v>
      </c>
      <c r="AF87" s="942">
        <v>0</v>
      </c>
      <c r="AG87" s="943">
        <f>comparaison_samebasis_villages[[#This Row],[previous idp_ind]]-comparaison_samebasis_villages[[#This Row],[actual idp_ind]]</f>
        <v>0</v>
      </c>
      <c r="AH87" s="943">
        <f>comparaison_samebasis_villages[[#This Row],[previous ref_ind]]-comparaison_samebasis_villages[[#This Row],[actual ref_ind]]</f>
        <v>0</v>
      </c>
      <c r="AI87" s="943">
        <f>comparaison_samebasis_villages[[#This Row],[previous ret_ind]]-comparaison_samebasis_villages[[#This Row],[actual ret_ind]]</f>
        <v>0</v>
      </c>
    </row>
    <row r="88" spans="1:35" ht="15.75" customHeight="1" x14ac:dyDescent="0.3">
      <c r="A88" s="401" t="s">
        <v>34</v>
      </c>
      <c r="B88" s="401" t="s">
        <v>34</v>
      </c>
      <c r="C88" s="401" t="s">
        <v>188</v>
      </c>
      <c r="D88" s="401" t="s">
        <v>188</v>
      </c>
      <c r="E88" s="401" t="s">
        <v>1497</v>
      </c>
      <c r="F88" s="5" t="s">
        <v>1508</v>
      </c>
      <c r="G88" s="401"/>
      <c r="H88" s="1093" t="s">
        <v>511</v>
      </c>
      <c r="I88" s="1216" t="s">
        <v>3033</v>
      </c>
      <c r="J88" s="403">
        <v>109</v>
      </c>
      <c r="K88" s="403">
        <v>927</v>
      </c>
      <c r="L88" s="1093" t="s">
        <v>365</v>
      </c>
      <c r="M88" s="401"/>
      <c r="O88" s="399" t="s">
        <v>31</v>
      </c>
      <c r="P88" s="399" t="s">
        <v>31</v>
      </c>
      <c r="Q88" s="399" t="s">
        <v>166</v>
      </c>
      <c r="R88" s="399" t="s">
        <v>166</v>
      </c>
      <c r="S88" s="399" t="s">
        <v>2504</v>
      </c>
      <c r="T88" s="399" t="s">
        <v>2170</v>
      </c>
      <c r="U88" s="941">
        <v>0</v>
      </c>
      <c r="V88" s="941">
        <v>0</v>
      </c>
      <c r="W88" s="941">
        <v>0</v>
      </c>
      <c r="X88" s="941">
        <v>0</v>
      </c>
      <c r="Y88" s="941">
        <v>0</v>
      </c>
      <c r="Z88" s="941">
        <v>0</v>
      </c>
      <c r="AA88" s="942">
        <v>0</v>
      </c>
      <c r="AB88" s="942">
        <v>0</v>
      </c>
      <c r="AC88" s="942">
        <v>0</v>
      </c>
      <c r="AD88" s="942">
        <v>0</v>
      </c>
      <c r="AE88" s="942">
        <v>0</v>
      </c>
      <c r="AF88" s="942">
        <v>0</v>
      </c>
      <c r="AG88" s="943">
        <f>comparaison_samebasis_villages[[#This Row],[previous idp_ind]]-comparaison_samebasis_villages[[#This Row],[actual idp_ind]]</f>
        <v>0</v>
      </c>
      <c r="AH88" s="943">
        <f>comparaison_samebasis_villages[[#This Row],[previous ref_ind]]-comparaison_samebasis_villages[[#This Row],[actual ref_ind]]</f>
        <v>0</v>
      </c>
      <c r="AI88" s="943">
        <f>comparaison_samebasis_villages[[#This Row],[previous ret_ind]]-comparaison_samebasis_villages[[#This Row],[actual ret_ind]]</f>
        <v>0</v>
      </c>
    </row>
    <row r="89" spans="1:35" ht="15.75" customHeight="1" x14ac:dyDescent="0.3">
      <c r="A89" s="401" t="s">
        <v>34</v>
      </c>
      <c r="B89" s="401" t="s">
        <v>34</v>
      </c>
      <c r="C89" s="401" t="s">
        <v>188</v>
      </c>
      <c r="D89" s="401" t="s">
        <v>188</v>
      </c>
      <c r="E89" s="401" t="s">
        <v>1497</v>
      </c>
      <c r="F89" s="5" t="s">
        <v>1508</v>
      </c>
      <c r="G89" s="401"/>
      <c r="H89" s="1093" t="s">
        <v>511</v>
      </c>
      <c r="I89" s="1216" t="s">
        <v>3110</v>
      </c>
      <c r="J89" s="403">
        <v>0</v>
      </c>
      <c r="K89" s="403">
        <v>4</v>
      </c>
      <c r="L89" s="1093" t="s">
        <v>367</v>
      </c>
      <c r="M89" s="401"/>
      <c r="O89" s="404" t="s">
        <v>31</v>
      </c>
      <c r="P89" s="404" t="s">
        <v>31</v>
      </c>
      <c r="Q89" s="404" t="s">
        <v>166</v>
      </c>
      <c r="R89" s="404" t="s">
        <v>166</v>
      </c>
      <c r="S89" s="404" t="s">
        <v>2506</v>
      </c>
      <c r="T89" s="404" t="s">
        <v>2499</v>
      </c>
      <c r="U89" s="941">
        <v>0</v>
      </c>
      <c r="V89" s="941">
        <v>0</v>
      </c>
      <c r="W89" s="941">
        <v>0</v>
      </c>
      <c r="X89" s="941">
        <v>0</v>
      </c>
      <c r="Y89" s="941">
        <v>0</v>
      </c>
      <c r="Z89" s="941">
        <v>0</v>
      </c>
      <c r="AA89" s="942">
        <v>0</v>
      </c>
      <c r="AB89" s="942">
        <v>0</v>
      </c>
      <c r="AC89" s="942">
        <v>0</v>
      </c>
      <c r="AD89" s="942">
        <v>0</v>
      </c>
      <c r="AE89" s="942">
        <v>0</v>
      </c>
      <c r="AF89" s="942">
        <v>0</v>
      </c>
      <c r="AG89" s="943">
        <f>comparaison_samebasis_villages[[#This Row],[previous idp_ind]]-comparaison_samebasis_villages[[#This Row],[actual idp_ind]]</f>
        <v>0</v>
      </c>
      <c r="AH89" s="943">
        <f>comparaison_samebasis_villages[[#This Row],[previous ref_ind]]-comparaison_samebasis_villages[[#This Row],[actual ref_ind]]</f>
        <v>0</v>
      </c>
      <c r="AI89" s="943">
        <f>comparaison_samebasis_villages[[#This Row],[previous ret_ind]]-comparaison_samebasis_villages[[#This Row],[actual ret_ind]]</f>
        <v>0</v>
      </c>
    </row>
    <row r="90" spans="1:35" ht="15.75" customHeight="1" x14ac:dyDescent="0.3">
      <c r="A90" s="401" t="s">
        <v>34</v>
      </c>
      <c r="B90" s="401" t="s">
        <v>34</v>
      </c>
      <c r="C90" s="401" t="s">
        <v>188</v>
      </c>
      <c r="D90" s="401" t="s">
        <v>188</v>
      </c>
      <c r="E90" s="401" t="s">
        <v>1497</v>
      </c>
      <c r="F90" s="5" t="s">
        <v>1508</v>
      </c>
      <c r="G90" s="401"/>
      <c r="H90" s="1093" t="s">
        <v>511</v>
      </c>
      <c r="I90" s="1216" t="s">
        <v>3111</v>
      </c>
      <c r="J90" s="403">
        <v>4</v>
      </c>
      <c r="K90" s="403">
        <v>44</v>
      </c>
      <c r="L90" s="1093" t="s">
        <v>367</v>
      </c>
      <c r="M90" s="401"/>
      <c r="O90" s="404" t="s">
        <v>31</v>
      </c>
      <c r="P90" s="404" t="s">
        <v>31</v>
      </c>
      <c r="Q90" s="404" t="s">
        <v>166</v>
      </c>
      <c r="R90" s="404" t="s">
        <v>166</v>
      </c>
      <c r="S90" s="404" t="s">
        <v>2508</v>
      </c>
      <c r="T90" s="404" t="s">
        <v>2501</v>
      </c>
      <c r="U90" s="941">
        <v>29</v>
      </c>
      <c r="V90" s="941">
        <v>159</v>
      </c>
      <c r="W90" s="941">
        <v>0</v>
      </c>
      <c r="X90" s="941">
        <v>0</v>
      </c>
      <c r="Y90" s="941">
        <v>0</v>
      </c>
      <c r="Z90" s="941">
        <v>0</v>
      </c>
      <c r="AA90" s="942">
        <v>26</v>
      </c>
      <c r="AB90" s="942">
        <v>230</v>
      </c>
      <c r="AC90" s="942">
        <v>0</v>
      </c>
      <c r="AD90" s="942">
        <v>0</v>
      </c>
      <c r="AE90" s="942">
        <v>0</v>
      </c>
      <c r="AF90" s="942">
        <v>0</v>
      </c>
      <c r="AG90" s="943">
        <f>comparaison_samebasis_villages[[#This Row],[previous idp_ind]]-comparaison_samebasis_villages[[#This Row],[actual idp_ind]]</f>
        <v>71</v>
      </c>
      <c r="AH90" s="943">
        <f>comparaison_samebasis_villages[[#This Row],[previous ref_ind]]-comparaison_samebasis_villages[[#This Row],[actual ref_ind]]</f>
        <v>0</v>
      </c>
      <c r="AI90" s="943">
        <f>comparaison_samebasis_villages[[#This Row],[previous ret_ind]]-comparaison_samebasis_villages[[#This Row],[actual ret_ind]]</f>
        <v>0</v>
      </c>
    </row>
    <row r="91" spans="1:35" ht="15.75" customHeight="1" x14ac:dyDescent="0.3">
      <c r="A91" s="401" t="s">
        <v>34</v>
      </c>
      <c r="B91" s="401" t="s">
        <v>34</v>
      </c>
      <c r="C91" s="401" t="s">
        <v>188</v>
      </c>
      <c r="D91" s="401" t="s">
        <v>188</v>
      </c>
      <c r="E91" s="401" t="s">
        <v>1497</v>
      </c>
      <c r="F91" s="5" t="s">
        <v>1508</v>
      </c>
      <c r="G91" s="401"/>
      <c r="H91" s="1093" t="s">
        <v>511</v>
      </c>
      <c r="I91" s="1216" t="s">
        <v>3112</v>
      </c>
      <c r="J91" s="403">
        <v>0</v>
      </c>
      <c r="K91" s="403">
        <v>20</v>
      </c>
      <c r="L91" s="1093" t="s">
        <v>365</v>
      </c>
      <c r="M91" s="401"/>
      <c r="O91" s="404" t="s">
        <v>31</v>
      </c>
      <c r="P91" s="404" t="s">
        <v>31</v>
      </c>
      <c r="Q91" s="404" t="s">
        <v>166</v>
      </c>
      <c r="R91" s="404" t="s">
        <v>166</v>
      </c>
      <c r="S91" s="404" t="s">
        <v>1549</v>
      </c>
      <c r="T91" s="404" t="s">
        <v>2503</v>
      </c>
      <c r="U91" s="941">
        <v>8</v>
      </c>
      <c r="V91" s="941">
        <v>37</v>
      </c>
      <c r="W91" s="941">
        <v>66</v>
      </c>
      <c r="X91" s="941">
        <v>318</v>
      </c>
      <c r="Y91" s="941">
        <v>197</v>
      </c>
      <c r="Z91" s="941">
        <v>197</v>
      </c>
      <c r="AA91" s="942">
        <v>8</v>
      </c>
      <c r="AB91" s="942">
        <v>37</v>
      </c>
      <c r="AC91" s="942">
        <v>66</v>
      </c>
      <c r="AD91" s="942">
        <v>318</v>
      </c>
      <c r="AE91" s="942">
        <v>197</v>
      </c>
      <c r="AF91" s="942">
        <v>1429</v>
      </c>
      <c r="AG91" s="943">
        <f>comparaison_samebasis_villages[[#This Row],[previous idp_ind]]-comparaison_samebasis_villages[[#This Row],[actual idp_ind]]</f>
        <v>0</v>
      </c>
      <c r="AH91" s="943">
        <f>comparaison_samebasis_villages[[#This Row],[previous ref_ind]]-comparaison_samebasis_villages[[#This Row],[actual ref_ind]]</f>
        <v>0</v>
      </c>
      <c r="AI91" s="943">
        <f>comparaison_samebasis_villages[[#This Row],[previous ret_ind]]-comparaison_samebasis_villages[[#This Row],[actual ret_ind]]</f>
        <v>1232</v>
      </c>
    </row>
    <row r="92" spans="1:35" ht="15.75" customHeight="1" x14ac:dyDescent="0.3">
      <c r="A92" s="401" t="s">
        <v>35</v>
      </c>
      <c r="B92" s="401" t="s">
        <v>35</v>
      </c>
      <c r="C92" s="401" t="s">
        <v>190</v>
      </c>
      <c r="D92" s="401" t="s">
        <v>190</v>
      </c>
      <c r="E92" s="401" t="s">
        <v>1810</v>
      </c>
      <c r="F92" s="5" t="s">
        <v>1811</v>
      </c>
      <c r="G92" s="401"/>
      <c r="H92" s="1093" t="s">
        <v>511</v>
      </c>
      <c r="I92" s="1216" t="s">
        <v>3033</v>
      </c>
      <c r="J92" s="403">
        <v>17</v>
      </c>
      <c r="K92" s="403">
        <v>99</v>
      </c>
      <c r="L92" s="1093" t="s">
        <v>367</v>
      </c>
      <c r="M92" s="401"/>
      <c r="O92" s="404" t="s">
        <v>31</v>
      </c>
      <c r="P92" s="404" t="s">
        <v>31</v>
      </c>
      <c r="Q92" s="404" t="s">
        <v>166</v>
      </c>
      <c r="R92" s="404" t="s">
        <v>166</v>
      </c>
      <c r="S92" s="404" t="s">
        <v>2510</v>
      </c>
      <c r="T92" s="404" t="s">
        <v>3011</v>
      </c>
      <c r="U92" s="941">
        <v>0</v>
      </c>
      <c r="V92" s="941">
        <v>0</v>
      </c>
      <c r="W92" s="941">
        <v>0</v>
      </c>
      <c r="X92" s="941">
        <v>0</v>
      </c>
      <c r="Y92" s="941">
        <v>0</v>
      </c>
      <c r="Z92" s="941">
        <v>0</v>
      </c>
      <c r="AA92" s="942">
        <v>0</v>
      </c>
      <c r="AB92" s="942">
        <v>0</v>
      </c>
      <c r="AC92" s="942">
        <v>0</v>
      </c>
      <c r="AD92" s="942">
        <v>0</v>
      </c>
      <c r="AE92" s="942">
        <v>0</v>
      </c>
      <c r="AF92" s="942">
        <v>0</v>
      </c>
      <c r="AG92" s="943">
        <f>comparaison_samebasis_villages[[#This Row],[previous idp_ind]]-comparaison_samebasis_villages[[#This Row],[actual idp_ind]]</f>
        <v>0</v>
      </c>
      <c r="AH92" s="943">
        <f>comparaison_samebasis_villages[[#This Row],[previous ref_ind]]-comparaison_samebasis_villages[[#This Row],[actual ref_ind]]</f>
        <v>0</v>
      </c>
      <c r="AI92" s="943">
        <f>comparaison_samebasis_villages[[#This Row],[previous ret_ind]]-comparaison_samebasis_villages[[#This Row],[actual ret_ind]]</f>
        <v>0</v>
      </c>
    </row>
    <row r="93" spans="1:35" ht="15.75" customHeight="1" x14ac:dyDescent="0.3">
      <c r="A93" s="401" t="s">
        <v>35</v>
      </c>
      <c r="B93" s="401" t="s">
        <v>35</v>
      </c>
      <c r="C93" s="401" t="s">
        <v>190</v>
      </c>
      <c r="D93" s="401" t="s">
        <v>190</v>
      </c>
      <c r="E93" s="401" t="s">
        <v>1810</v>
      </c>
      <c r="F93" s="5" t="s">
        <v>1811</v>
      </c>
      <c r="G93" s="401"/>
      <c r="H93" s="1093" t="s">
        <v>511</v>
      </c>
      <c r="I93" s="1216" t="s">
        <v>3109</v>
      </c>
      <c r="J93" s="403">
        <v>0</v>
      </c>
      <c r="K93" s="403">
        <v>7</v>
      </c>
      <c r="L93" s="1093" t="s">
        <v>367</v>
      </c>
      <c r="M93" s="401"/>
      <c r="O93" s="404" t="s">
        <v>31</v>
      </c>
      <c r="P93" s="404" t="s">
        <v>31</v>
      </c>
      <c r="Q93" s="404" t="s">
        <v>166</v>
      </c>
      <c r="R93" s="404" t="s">
        <v>166</v>
      </c>
      <c r="S93" s="404" t="s">
        <v>2513</v>
      </c>
      <c r="T93" s="404" t="s">
        <v>2505</v>
      </c>
      <c r="U93" s="941">
        <v>0</v>
      </c>
      <c r="V93" s="941">
        <v>0</v>
      </c>
      <c r="W93" s="941">
        <v>0</v>
      </c>
      <c r="X93" s="941">
        <v>0</v>
      </c>
      <c r="Y93" s="941">
        <v>0</v>
      </c>
      <c r="Z93" s="941">
        <v>0</v>
      </c>
      <c r="AA93" s="942">
        <v>0</v>
      </c>
      <c r="AB93" s="942">
        <v>0</v>
      </c>
      <c r="AC93" s="942">
        <v>0</v>
      </c>
      <c r="AD93" s="942">
        <v>0</v>
      </c>
      <c r="AE93" s="942">
        <v>0</v>
      </c>
      <c r="AF93" s="942">
        <v>0</v>
      </c>
      <c r="AG93" s="943">
        <f>comparaison_samebasis_villages[[#This Row],[previous idp_ind]]-comparaison_samebasis_villages[[#This Row],[actual idp_ind]]</f>
        <v>0</v>
      </c>
      <c r="AH93" s="943">
        <f>comparaison_samebasis_villages[[#This Row],[previous ref_ind]]-comparaison_samebasis_villages[[#This Row],[actual ref_ind]]</f>
        <v>0</v>
      </c>
      <c r="AI93" s="943">
        <f>comparaison_samebasis_villages[[#This Row],[previous ret_ind]]-comparaison_samebasis_villages[[#This Row],[actual ret_ind]]</f>
        <v>0</v>
      </c>
    </row>
    <row r="94" spans="1:35" ht="15.75" customHeight="1" x14ac:dyDescent="0.3">
      <c r="A94" s="401" t="s">
        <v>35</v>
      </c>
      <c r="B94" s="401" t="s">
        <v>35</v>
      </c>
      <c r="C94" s="401" t="s">
        <v>190</v>
      </c>
      <c r="D94" s="401" t="s">
        <v>190</v>
      </c>
      <c r="E94" s="401" t="s">
        <v>1810</v>
      </c>
      <c r="F94" s="5" t="s">
        <v>1811</v>
      </c>
      <c r="G94" s="401"/>
      <c r="H94" s="1093" t="s">
        <v>511</v>
      </c>
      <c r="I94" s="1216" t="s">
        <v>3110</v>
      </c>
      <c r="J94" s="403">
        <v>0</v>
      </c>
      <c r="K94" s="403">
        <v>5</v>
      </c>
      <c r="L94" s="1093" t="s">
        <v>367</v>
      </c>
      <c r="M94" s="401"/>
      <c r="O94" s="404" t="s">
        <v>31</v>
      </c>
      <c r="P94" s="404" t="s">
        <v>31</v>
      </c>
      <c r="Q94" s="404" t="s">
        <v>166</v>
      </c>
      <c r="R94" s="404" t="s">
        <v>166</v>
      </c>
      <c r="S94" s="404" t="s">
        <v>2515</v>
      </c>
      <c r="T94" s="404" t="s">
        <v>2507</v>
      </c>
      <c r="U94" s="941">
        <v>0</v>
      </c>
      <c r="V94" s="941">
        <v>0</v>
      </c>
      <c r="W94" s="941">
        <v>0</v>
      </c>
      <c r="X94" s="941">
        <v>0</v>
      </c>
      <c r="Y94" s="941">
        <v>0</v>
      </c>
      <c r="Z94" s="941">
        <v>0</v>
      </c>
      <c r="AA94" s="942">
        <v>0</v>
      </c>
      <c r="AB94" s="942">
        <v>0</v>
      </c>
      <c r="AC94" s="942">
        <v>0</v>
      </c>
      <c r="AD94" s="942">
        <v>0</v>
      </c>
      <c r="AE94" s="942">
        <v>0</v>
      </c>
      <c r="AF94" s="942">
        <v>0</v>
      </c>
      <c r="AG94" s="943">
        <f>comparaison_samebasis_villages[[#This Row],[previous idp_ind]]-comparaison_samebasis_villages[[#This Row],[actual idp_ind]]</f>
        <v>0</v>
      </c>
      <c r="AH94" s="943">
        <f>comparaison_samebasis_villages[[#This Row],[previous ref_ind]]-comparaison_samebasis_villages[[#This Row],[actual ref_ind]]</f>
        <v>0</v>
      </c>
      <c r="AI94" s="943">
        <f>comparaison_samebasis_villages[[#This Row],[previous ret_ind]]-comparaison_samebasis_villages[[#This Row],[actual ret_ind]]</f>
        <v>0</v>
      </c>
    </row>
    <row r="95" spans="1:35" ht="15.75" customHeight="1" x14ac:dyDescent="0.3">
      <c r="A95" s="401" t="s">
        <v>34</v>
      </c>
      <c r="B95" s="401" t="s">
        <v>34</v>
      </c>
      <c r="C95" s="401" t="s">
        <v>188</v>
      </c>
      <c r="D95" s="401" t="s">
        <v>188</v>
      </c>
      <c r="E95" s="401" t="s">
        <v>1675</v>
      </c>
      <c r="F95" s="5" t="s">
        <v>1500</v>
      </c>
      <c r="G95" s="401"/>
      <c r="H95" s="1093" t="s">
        <v>511</v>
      </c>
      <c r="I95" s="1216" t="s">
        <v>3033</v>
      </c>
      <c r="J95" s="403">
        <v>359</v>
      </c>
      <c r="K95" s="403">
        <v>2165</v>
      </c>
      <c r="L95" s="1093" t="s">
        <v>367</v>
      </c>
      <c r="M95" s="401"/>
      <c r="O95" s="404" t="s">
        <v>31</v>
      </c>
      <c r="P95" s="404" t="s">
        <v>31</v>
      </c>
      <c r="Q95" s="404" t="s">
        <v>166</v>
      </c>
      <c r="R95" s="404" t="s">
        <v>166</v>
      </c>
      <c r="S95" s="404" t="s">
        <v>2517</v>
      </c>
      <c r="T95" s="404" t="s">
        <v>2937</v>
      </c>
      <c r="U95" s="941">
        <v>0</v>
      </c>
      <c r="V95" s="941">
        <v>0</v>
      </c>
      <c r="W95" s="941">
        <v>0</v>
      </c>
      <c r="X95" s="941">
        <v>0</v>
      </c>
      <c r="Y95" s="941">
        <v>0</v>
      </c>
      <c r="Z95" s="941">
        <v>0</v>
      </c>
      <c r="AA95" s="942">
        <v>0</v>
      </c>
      <c r="AB95" s="942">
        <v>0</v>
      </c>
      <c r="AC95" s="942">
        <v>0</v>
      </c>
      <c r="AD95" s="942">
        <v>0</v>
      </c>
      <c r="AE95" s="942">
        <v>0</v>
      </c>
      <c r="AF95" s="942">
        <v>0</v>
      </c>
      <c r="AG95" s="943">
        <f>comparaison_samebasis_villages[[#This Row],[previous idp_ind]]-comparaison_samebasis_villages[[#This Row],[actual idp_ind]]</f>
        <v>0</v>
      </c>
      <c r="AH95" s="943">
        <f>comparaison_samebasis_villages[[#This Row],[previous ref_ind]]-comparaison_samebasis_villages[[#This Row],[actual ref_ind]]</f>
        <v>0</v>
      </c>
      <c r="AI95" s="943">
        <f>comparaison_samebasis_villages[[#This Row],[previous ret_ind]]-comparaison_samebasis_villages[[#This Row],[actual ret_ind]]</f>
        <v>0</v>
      </c>
    </row>
    <row r="96" spans="1:35" ht="15.75" customHeight="1" x14ac:dyDescent="0.3">
      <c r="A96" s="401" t="s">
        <v>34</v>
      </c>
      <c r="B96" s="401" t="s">
        <v>34</v>
      </c>
      <c r="C96" s="401" t="s">
        <v>188</v>
      </c>
      <c r="D96" s="401" t="s">
        <v>188</v>
      </c>
      <c r="E96" s="401" t="s">
        <v>1675</v>
      </c>
      <c r="F96" s="5" t="s">
        <v>1500</v>
      </c>
      <c r="G96" s="401"/>
      <c r="H96" s="1093" t="s">
        <v>511</v>
      </c>
      <c r="I96" s="1216" t="s">
        <v>3109</v>
      </c>
      <c r="J96" s="403">
        <v>29</v>
      </c>
      <c r="K96" s="403">
        <v>194</v>
      </c>
      <c r="L96" s="1093" t="s">
        <v>367</v>
      </c>
      <c r="M96" s="401"/>
      <c r="O96" s="404" t="s">
        <v>31</v>
      </c>
      <c r="P96" s="404" t="s">
        <v>31</v>
      </c>
      <c r="Q96" s="404" t="s">
        <v>166</v>
      </c>
      <c r="R96" s="404" t="s">
        <v>166</v>
      </c>
      <c r="S96" s="404" t="s">
        <v>2519</v>
      </c>
      <c r="T96" s="404" t="s">
        <v>2953</v>
      </c>
      <c r="U96" s="941">
        <v>0</v>
      </c>
      <c r="V96" s="941">
        <v>0</v>
      </c>
      <c r="W96" s="941">
        <v>0</v>
      </c>
      <c r="X96" s="941">
        <v>0</v>
      </c>
      <c r="Y96" s="941">
        <v>0</v>
      </c>
      <c r="Z96" s="941">
        <v>0</v>
      </c>
      <c r="AA96" s="942">
        <v>0</v>
      </c>
      <c r="AB96" s="942">
        <v>0</v>
      </c>
      <c r="AC96" s="942">
        <v>0</v>
      </c>
      <c r="AD96" s="942">
        <v>0</v>
      </c>
      <c r="AE96" s="942">
        <v>0</v>
      </c>
      <c r="AF96" s="942">
        <v>0</v>
      </c>
      <c r="AG96" s="943">
        <f>comparaison_samebasis_villages[[#This Row],[previous idp_ind]]-comparaison_samebasis_villages[[#This Row],[actual idp_ind]]</f>
        <v>0</v>
      </c>
      <c r="AH96" s="943">
        <f>comparaison_samebasis_villages[[#This Row],[previous ref_ind]]-comparaison_samebasis_villages[[#This Row],[actual ref_ind]]</f>
        <v>0</v>
      </c>
      <c r="AI96" s="943">
        <f>comparaison_samebasis_villages[[#This Row],[previous ret_ind]]-comparaison_samebasis_villages[[#This Row],[actual ret_ind]]</f>
        <v>0</v>
      </c>
    </row>
    <row r="97" spans="1:35" ht="15.75" customHeight="1" x14ac:dyDescent="0.3">
      <c r="A97" s="401" t="s">
        <v>34</v>
      </c>
      <c r="B97" s="401" t="s">
        <v>34</v>
      </c>
      <c r="C97" s="401" t="s">
        <v>188</v>
      </c>
      <c r="D97" s="401" t="s">
        <v>188</v>
      </c>
      <c r="E97" s="401" t="s">
        <v>1675</v>
      </c>
      <c r="F97" s="5" t="s">
        <v>1500</v>
      </c>
      <c r="G97" s="401"/>
      <c r="H97" s="1093" t="s">
        <v>511</v>
      </c>
      <c r="I97" s="1216" t="s">
        <v>3110</v>
      </c>
      <c r="J97" s="403">
        <v>32</v>
      </c>
      <c r="K97" s="403">
        <v>252</v>
      </c>
      <c r="L97" s="1093" t="s">
        <v>367</v>
      </c>
      <c r="M97" s="401"/>
      <c r="O97" s="404" t="s">
        <v>31</v>
      </c>
      <c r="P97" s="404" t="s">
        <v>31</v>
      </c>
      <c r="Q97" s="404" t="s">
        <v>166</v>
      </c>
      <c r="R97" s="404" t="s">
        <v>166</v>
      </c>
      <c r="S97" s="1217" t="s">
        <v>970</v>
      </c>
      <c r="T97" s="404" t="s">
        <v>1548</v>
      </c>
      <c r="U97" s="941">
        <v>16</v>
      </c>
      <c r="V97" s="941">
        <v>102</v>
      </c>
      <c r="W97" s="941">
        <v>24</v>
      </c>
      <c r="X97" s="941">
        <v>140</v>
      </c>
      <c r="Y97" s="941">
        <v>0</v>
      </c>
      <c r="Z97" s="941">
        <v>0</v>
      </c>
      <c r="AA97" s="942">
        <v>16</v>
      </c>
      <c r="AB97" s="942">
        <v>102</v>
      </c>
      <c r="AC97" s="942">
        <v>12</v>
      </c>
      <c r="AD97" s="942">
        <v>88</v>
      </c>
      <c r="AE97" s="942">
        <v>0</v>
      </c>
      <c r="AF97" s="942">
        <v>0</v>
      </c>
      <c r="AG97" s="943">
        <f>comparaison_samebasis_villages[[#This Row],[previous idp_ind]]-comparaison_samebasis_villages[[#This Row],[actual idp_ind]]</f>
        <v>0</v>
      </c>
      <c r="AH97" s="943">
        <f>comparaison_samebasis_villages[[#This Row],[previous ref_ind]]-comparaison_samebasis_villages[[#This Row],[actual ref_ind]]</f>
        <v>-52</v>
      </c>
      <c r="AI97" s="943">
        <f>comparaison_samebasis_villages[[#This Row],[previous ret_ind]]-comparaison_samebasis_villages[[#This Row],[actual ret_ind]]</f>
        <v>0</v>
      </c>
    </row>
    <row r="98" spans="1:35" ht="15.75" customHeight="1" x14ac:dyDescent="0.3">
      <c r="A98" s="401" t="s">
        <v>34</v>
      </c>
      <c r="B98" s="401" t="s">
        <v>34</v>
      </c>
      <c r="C98" s="401" t="s">
        <v>188</v>
      </c>
      <c r="D98" s="401" t="s">
        <v>188</v>
      </c>
      <c r="E98" s="401" t="s">
        <v>1675</v>
      </c>
      <c r="F98" s="5" t="s">
        <v>1500</v>
      </c>
      <c r="G98" s="401"/>
      <c r="H98" s="1093" t="s">
        <v>511</v>
      </c>
      <c r="I98" s="1216" t="s">
        <v>3112</v>
      </c>
      <c r="J98" s="403">
        <v>5</v>
      </c>
      <c r="K98" s="403">
        <v>58</v>
      </c>
      <c r="L98" s="1093" t="s">
        <v>367</v>
      </c>
      <c r="M98" s="401"/>
      <c r="O98" s="404" t="s">
        <v>31</v>
      </c>
      <c r="P98" s="404" t="s">
        <v>31</v>
      </c>
      <c r="Q98" s="404" t="s">
        <v>166</v>
      </c>
      <c r="R98" s="404" t="s">
        <v>166</v>
      </c>
      <c r="S98" s="404" t="s">
        <v>846</v>
      </c>
      <c r="T98" s="404" t="s">
        <v>2509</v>
      </c>
      <c r="U98" s="941">
        <v>10</v>
      </c>
      <c r="V98" s="941">
        <v>70</v>
      </c>
      <c r="W98" s="941">
        <v>6</v>
      </c>
      <c r="X98" s="941">
        <v>56</v>
      </c>
      <c r="Y98" s="941">
        <v>0</v>
      </c>
      <c r="Z98" s="941">
        <v>0</v>
      </c>
      <c r="AA98" s="942">
        <v>10</v>
      </c>
      <c r="AB98" s="942">
        <v>70</v>
      </c>
      <c r="AC98" s="942">
        <v>6</v>
      </c>
      <c r="AD98" s="942">
        <v>56</v>
      </c>
      <c r="AE98" s="942">
        <v>0</v>
      </c>
      <c r="AF98" s="942">
        <v>0</v>
      </c>
      <c r="AG98" s="943">
        <f>comparaison_samebasis_villages[[#This Row],[previous idp_ind]]-comparaison_samebasis_villages[[#This Row],[actual idp_ind]]</f>
        <v>0</v>
      </c>
      <c r="AH98" s="943">
        <f>comparaison_samebasis_villages[[#This Row],[previous ref_ind]]-comparaison_samebasis_villages[[#This Row],[actual ref_ind]]</f>
        <v>0</v>
      </c>
      <c r="AI98" s="943">
        <f>comparaison_samebasis_villages[[#This Row],[previous ret_ind]]-comparaison_samebasis_villages[[#This Row],[actual ret_ind]]</f>
        <v>0</v>
      </c>
    </row>
    <row r="99" spans="1:35" ht="15.75" customHeight="1" x14ac:dyDescent="0.3">
      <c r="A99" s="401" t="s">
        <v>34</v>
      </c>
      <c r="B99" s="401" t="s">
        <v>34</v>
      </c>
      <c r="C99" s="401" t="s">
        <v>188</v>
      </c>
      <c r="D99" s="401" t="s">
        <v>188</v>
      </c>
      <c r="E99" s="401" t="s">
        <v>3207</v>
      </c>
      <c r="F99" s="5" t="s">
        <v>2774</v>
      </c>
      <c r="G99" s="401"/>
      <c r="H99" s="1093" t="s">
        <v>511</v>
      </c>
      <c r="I99" s="1216" t="s">
        <v>3111</v>
      </c>
      <c r="J99" s="403">
        <v>34</v>
      </c>
      <c r="K99" s="403">
        <v>238</v>
      </c>
      <c r="L99" s="1093" t="s">
        <v>367</v>
      </c>
      <c r="M99" s="401"/>
      <c r="O99" s="404" t="s">
        <v>31</v>
      </c>
      <c r="P99" s="404" t="s">
        <v>31</v>
      </c>
      <c r="Q99" s="404" t="s">
        <v>166</v>
      </c>
      <c r="R99" s="404" t="s">
        <v>166</v>
      </c>
      <c r="S99" s="404" t="s">
        <v>2125</v>
      </c>
      <c r="T99" s="404" t="s">
        <v>2984</v>
      </c>
      <c r="U99" s="941">
        <v>150</v>
      </c>
      <c r="V99" s="941">
        <v>450</v>
      </c>
      <c r="W99" s="941">
        <v>0</v>
      </c>
      <c r="X99" s="941">
        <v>0</v>
      </c>
      <c r="Y99" s="941">
        <v>0</v>
      </c>
      <c r="Z99" s="941">
        <v>0</v>
      </c>
      <c r="AA99" s="942">
        <v>150</v>
      </c>
      <c r="AB99" s="942">
        <v>450</v>
      </c>
      <c r="AC99" s="942">
        <v>0</v>
      </c>
      <c r="AD99" s="942">
        <v>0</v>
      </c>
      <c r="AE99" s="942">
        <v>0</v>
      </c>
      <c r="AF99" s="942">
        <v>0</v>
      </c>
      <c r="AG99" s="943">
        <f>comparaison_samebasis_villages[[#This Row],[previous idp_ind]]-comparaison_samebasis_villages[[#This Row],[actual idp_ind]]</f>
        <v>0</v>
      </c>
      <c r="AH99" s="943">
        <f>comparaison_samebasis_villages[[#This Row],[previous ref_ind]]-comparaison_samebasis_villages[[#This Row],[actual ref_ind]]</f>
        <v>0</v>
      </c>
      <c r="AI99" s="943">
        <f>comparaison_samebasis_villages[[#This Row],[previous ret_ind]]-comparaison_samebasis_villages[[#This Row],[actual ret_ind]]</f>
        <v>0</v>
      </c>
    </row>
    <row r="100" spans="1:35" ht="15.75" customHeight="1" x14ac:dyDescent="0.3">
      <c r="A100" s="401" t="s">
        <v>34</v>
      </c>
      <c r="B100" s="401" t="s">
        <v>34</v>
      </c>
      <c r="C100" s="401" t="s">
        <v>188</v>
      </c>
      <c r="D100" s="401" t="s">
        <v>188</v>
      </c>
      <c r="E100" s="401" t="s">
        <v>3207</v>
      </c>
      <c r="F100" s="5" t="s">
        <v>2774</v>
      </c>
      <c r="G100" s="401"/>
      <c r="H100" s="1093" t="s">
        <v>511</v>
      </c>
      <c r="I100" s="1216" t="s">
        <v>3112</v>
      </c>
      <c r="J100" s="403">
        <v>1</v>
      </c>
      <c r="K100" s="403">
        <v>3</v>
      </c>
      <c r="L100" s="1093" t="s">
        <v>367</v>
      </c>
      <c r="M100" s="401"/>
      <c r="O100" s="404" t="s">
        <v>31</v>
      </c>
      <c r="P100" s="404" t="s">
        <v>31</v>
      </c>
      <c r="Q100" s="404" t="s">
        <v>166</v>
      </c>
      <c r="R100" s="404" t="s">
        <v>166</v>
      </c>
      <c r="S100" s="404" t="s">
        <v>966</v>
      </c>
      <c r="T100" s="404" t="s">
        <v>2512</v>
      </c>
      <c r="U100" s="941">
        <v>67</v>
      </c>
      <c r="V100" s="941">
        <v>419</v>
      </c>
      <c r="W100" s="941">
        <v>0</v>
      </c>
      <c r="X100" s="941">
        <v>0</v>
      </c>
      <c r="Y100" s="941">
        <v>0</v>
      </c>
      <c r="Z100" s="941">
        <v>0</v>
      </c>
      <c r="AA100" s="942">
        <v>67</v>
      </c>
      <c r="AB100" s="942">
        <v>408</v>
      </c>
      <c r="AC100" s="942">
        <v>0</v>
      </c>
      <c r="AD100" s="942">
        <v>0</v>
      </c>
      <c r="AE100" s="942">
        <v>0</v>
      </c>
      <c r="AF100" s="942">
        <v>0</v>
      </c>
      <c r="AG100" s="943">
        <f>comparaison_samebasis_villages[[#This Row],[previous idp_ind]]-comparaison_samebasis_villages[[#This Row],[actual idp_ind]]</f>
        <v>-11</v>
      </c>
      <c r="AH100" s="943">
        <f>comparaison_samebasis_villages[[#This Row],[previous ref_ind]]-comparaison_samebasis_villages[[#This Row],[actual ref_ind]]</f>
        <v>0</v>
      </c>
      <c r="AI100" s="943">
        <f>comparaison_samebasis_villages[[#This Row],[previous ret_ind]]-comparaison_samebasis_villages[[#This Row],[actual ret_ind]]</f>
        <v>0</v>
      </c>
    </row>
    <row r="101" spans="1:35" ht="15.75" customHeight="1" x14ac:dyDescent="0.3">
      <c r="A101" s="401" t="s">
        <v>34</v>
      </c>
      <c r="B101" s="401" t="s">
        <v>34</v>
      </c>
      <c r="C101" s="401" t="s">
        <v>188</v>
      </c>
      <c r="D101" s="401" t="s">
        <v>188</v>
      </c>
      <c r="E101" s="401" t="s">
        <v>1075</v>
      </c>
      <c r="F101" s="5" t="s">
        <v>1352</v>
      </c>
      <c r="G101" s="401"/>
      <c r="H101" s="1093" t="s">
        <v>511</v>
      </c>
      <c r="I101" s="1216" t="s">
        <v>3110</v>
      </c>
      <c r="J101" s="403">
        <v>5</v>
      </c>
      <c r="K101" s="403">
        <v>25</v>
      </c>
      <c r="L101" s="1093" t="s">
        <v>367</v>
      </c>
      <c r="M101" s="401"/>
      <c r="O101" s="404" t="s">
        <v>31</v>
      </c>
      <c r="P101" s="404" t="s">
        <v>31</v>
      </c>
      <c r="Q101" s="404" t="s">
        <v>166</v>
      </c>
      <c r="R101" s="404" t="s">
        <v>166</v>
      </c>
      <c r="S101" s="404" t="s">
        <v>1257</v>
      </c>
      <c r="T101" s="404" t="s">
        <v>2514</v>
      </c>
      <c r="U101" s="941">
        <v>51</v>
      </c>
      <c r="V101" s="941">
        <v>233</v>
      </c>
      <c r="W101" s="941">
        <v>0</v>
      </c>
      <c r="X101" s="941">
        <v>0</v>
      </c>
      <c r="Y101" s="941">
        <v>0</v>
      </c>
      <c r="Z101" s="941">
        <v>0</v>
      </c>
      <c r="AA101" s="942">
        <v>51</v>
      </c>
      <c r="AB101" s="942">
        <v>233</v>
      </c>
      <c r="AC101" s="942">
        <v>59</v>
      </c>
      <c r="AD101" s="942">
        <v>315</v>
      </c>
      <c r="AE101" s="942">
        <v>0</v>
      </c>
      <c r="AF101" s="942">
        <v>0</v>
      </c>
      <c r="AG101" s="943">
        <f>comparaison_samebasis_villages[[#This Row],[previous idp_ind]]-comparaison_samebasis_villages[[#This Row],[actual idp_ind]]</f>
        <v>0</v>
      </c>
      <c r="AH101" s="943">
        <f>comparaison_samebasis_villages[[#This Row],[previous ref_ind]]-comparaison_samebasis_villages[[#This Row],[actual ref_ind]]</f>
        <v>315</v>
      </c>
      <c r="AI101" s="943">
        <f>comparaison_samebasis_villages[[#This Row],[previous ret_ind]]-comparaison_samebasis_villages[[#This Row],[actual ret_ind]]</f>
        <v>0</v>
      </c>
    </row>
    <row r="102" spans="1:35" ht="15.75" customHeight="1" x14ac:dyDescent="0.3">
      <c r="A102" s="401" t="s">
        <v>34</v>
      </c>
      <c r="B102" s="401" t="s">
        <v>34</v>
      </c>
      <c r="C102" s="401" t="s">
        <v>188</v>
      </c>
      <c r="D102" s="401" t="s">
        <v>188</v>
      </c>
      <c r="E102" s="401" t="s">
        <v>1183</v>
      </c>
      <c r="F102" s="5" t="s">
        <v>1512</v>
      </c>
      <c r="G102" s="401"/>
      <c r="H102" s="1093" t="s">
        <v>511</v>
      </c>
      <c r="I102" s="1216" t="s">
        <v>3033</v>
      </c>
      <c r="J102" s="403">
        <v>40</v>
      </c>
      <c r="K102" s="403">
        <v>223</v>
      </c>
      <c r="L102" s="1093" t="s">
        <v>365</v>
      </c>
      <c r="M102" s="401"/>
      <c r="O102" s="404" t="s">
        <v>31</v>
      </c>
      <c r="P102" s="404" t="s">
        <v>31</v>
      </c>
      <c r="Q102" s="404" t="s">
        <v>166</v>
      </c>
      <c r="R102" s="404" t="s">
        <v>166</v>
      </c>
      <c r="S102" s="404" t="s">
        <v>1119</v>
      </c>
      <c r="T102" s="404" t="s">
        <v>2516</v>
      </c>
      <c r="U102" s="941">
        <v>7</v>
      </c>
      <c r="V102" s="941">
        <v>55</v>
      </c>
      <c r="W102" s="941">
        <v>15</v>
      </c>
      <c r="X102" s="941">
        <v>108</v>
      </c>
      <c r="Y102" s="941">
        <v>0</v>
      </c>
      <c r="Z102" s="941">
        <v>0</v>
      </c>
      <c r="AA102" s="942">
        <v>7</v>
      </c>
      <c r="AB102" s="942">
        <v>55</v>
      </c>
      <c r="AC102" s="942">
        <v>12</v>
      </c>
      <c r="AD102" s="942">
        <v>91</v>
      </c>
      <c r="AE102" s="942">
        <v>0</v>
      </c>
      <c r="AF102" s="942">
        <v>0</v>
      </c>
      <c r="AG102" s="943">
        <f>comparaison_samebasis_villages[[#This Row],[previous idp_ind]]-comparaison_samebasis_villages[[#This Row],[actual idp_ind]]</f>
        <v>0</v>
      </c>
      <c r="AH102" s="943">
        <f>comparaison_samebasis_villages[[#This Row],[previous ref_ind]]-comparaison_samebasis_villages[[#This Row],[actual ref_ind]]</f>
        <v>-17</v>
      </c>
      <c r="AI102" s="943">
        <f>comparaison_samebasis_villages[[#This Row],[previous ret_ind]]-comparaison_samebasis_villages[[#This Row],[actual ret_ind]]</f>
        <v>0</v>
      </c>
    </row>
    <row r="103" spans="1:35" ht="15.75" customHeight="1" x14ac:dyDescent="0.3">
      <c r="A103" s="401" t="s">
        <v>34</v>
      </c>
      <c r="B103" s="401" t="s">
        <v>34</v>
      </c>
      <c r="C103" s="401" t="s">
        <v>188</v>
      </c>
      <c r="D103" s="401" t="s">
        <v>188</v>
      </c>
      <c r="E103" s="401" t="s">
        <v>1183</v>
      </c>
      <c r="F103" s="5" t="s">
        <v>1512</v>
      </c>
      <c r="G103" s="401"/>
      <c r="H103" s="1093" t="s">
        <v>511</v>
      </c>
      <c r="I103" s="1216" t="s">
        <v>3109</v>
      </c>
      <c r="J103" s="403">
        <v>50</v>
      </c>
      <c r="K103" s="403">
        <v>150</v>
      </c>
      <c r="L103" s="1093" t="s">
        <v>365</v>
      </c>
      <c r="M103" s="401"/>
      <c r="O103" s="404" t="s">
        <v>31</v>
      </c>
      <c r="P103" s="404" t="s">
        <v>31</v>
      </c>
      <c r="Q103" s="404" t="s">
        <v>166</v>
      </c>
      <c r="R103" s="404" t="s">
        <v>166</v>
      </c>
      <c r="S103" s="404" t="s">
        <v>1140</v>
      </c>
      <c r="T103" s="404" t="s">
        <v>2878</v>
      </c>
      <c r="U103" s="941">
        <v>10</v>
      </c>
      <c r="V103" s="941">
        <v>99</v>
      </c>
      <c r="W103" s="941">
        <v>0</v>
      </c>
      <c r="X103" s="941">
        <v>0</v>
      </c>
      <c r="Y103" s="941">
        <v>0</v>
      </c>
      <c r="Z103" s="941">
        <v>0</v>
      </c>
      <c r="AA103" s="942">
        <v>10</v>
      </c>
      <c r="AB103" s="942">
        <v>97</v>
      </c>
      <c r="AC103" s="942">
        <v>0</v>
      </c>
      <c r="AD103" s="942">
        <v>0</v>
      </c>
      <c r="AE103" s="942">
        <v>0</v>
      </c>
      <c r="AF103" s="942">
        <v>0</v>
      </c>
      <c r="AG103" s="943">
        <f>comparaison_samebasis_villages[[#This Row],[previous idp_ind]]-comparaison_samebasis_villages[[#This Row],[actual idp_ind]]</f>
        <v>-2</v>
      </c>
      <c r="AH103" s="943">
        <f>comparaison_samebasis_villages[[#This Row],[previous ref_ind]]-comparaison_samebasis_villages[[#This Row],[actual ref_ind]]</f>
        <v>0</v>
      </c>
      <c r="AI103" s="943">
        <f>comparaison_samebasis_villages[[#This Row],[previous ret_ind]]-comparaison_samebasis_villages[[#This Row],[actual ret_ind]]</f>
        <v>0</v>
      </c>
    </row>
    <row r="104" spans="1:35" ht="15.75" customHeight="1" x14ac:dyDescent="0.3">
      <c r="A104" s="401" t="s">
        <v>34</v>
      </c>
      <c r="B104" s="401" t="s">
        <v>34</v>
      </c>
      <c r="C104" s="401" t="s">
        <v>188</v>
      </c>
      <c r="D104" s="401" t="s">
        <v>188</v>
      </c>
      <c r="E104" s="401" t="s">
        <v>1183</v>
      </c>
      <c r="F104" s="5" t="s">
        <v>1512</v>
      </c>
      <c r="G104" s="401"/>
      <c r="H104" s="1093" t="s">
        <v>511</v>
      </c>
      <c r="I104" s="1216" t="s">
        <v>3111</v>
      </c>
      <c r="J104" s="403">
        <v>0</v>
      </c>
      <c r="K104" s="403">
        <v>4</v>
      </c>
      <c r="L104" s="1093" t="s">
        <v>365</v>
      </c>
      <c r="M104" s="401"/>
      <c r="O104" s="404" t="s">
        <v>31</v>
      </c>
      <c r="P104" s="404" t="s">
        <v>31</v>
      </c>
      <c r="Q104" s="404" t="s">
        <v>166</v>
      </c>
      <c r="R104" s="404" t="s">
        <v>166</v>
      </c>
      <c r="S104" s="404" t="s">
        <v>1420</v>
      </c>
      <c r="T104" s="404" t="s">
        <v>2879</v>
      </c>
      <c r="U104" s="941">
        <v>15</v>
      </c>
      <c r="V104" s="941">
        <v>42</v>
      </c>
      <c r="W104" s="941">
        <v>53</v>
      </c>
      <c r="X104" s="941">
        <v>268</v>
      </c>
      <c r="Y104" s="941">
        <v>0</v>
      </c>
      <c r="Z104" s="941">
        <v>0</v>
      </c>
      <c r="AA104" s="942">
        <v>15</v>
      </c>
      <c r="AB104" s="942">
        <v>35</v>
      </c>
      <c r="AC104" s="942">
        <v>53</v>
      </c>
      <c r="AD104" s="942">
        <v>270</v>
      </c>
      <c r="AE104" s="942">
        <v>0</v>
      </c>
      <c r="AF104" s="942">
        <v>0</v>
      </c>
      <c r="AG104" s="943">
        <f>comparaison_samebasis_villages[[#This Row],[previous idp_ind]]-comparaison_samebasis_villages[[#This Row],[actual idp_ind]]</f>
        <v>-7</v>
      </c>
      <c r="AH104" s="943">
        <f>comparaison_samebasis_villages[[#This Row],[previous ref_ind]]-comparaison_samebasis_villages[[#This Row],[actual ref_ind]]</f>
        <v>2</v>
      </c>
      <c r="AI104" s="943">
        <f>comparaison_samebasis_villages[[#This Row],[previous ret_ind]]-comparaison_samebasis_villages[[#This Row],[actual ret_ind]]</f>
        <v>0</v>
      </c>
    </row>
    <row r="105" spans="1:35" ht="15.75" customHeight="1" x14ac:dyDescent="0.3">
      <c r="A105" s="401" t="s">
        <v>35</v>
      </c>
      <c r="B105" s="401" t="s">
        <v>35</v>
      </c>
      <c r="C105" s="401" t="s">
        <v>190</v>
      </c>
      <c r="D105" s="401" t="s">
        <v>190</v>
      </c>
      <c r="E105" s="401" t="s">
        <v>2183</v>
      </c>
      <c r="F105" s="5" t="s">
        <v>2184</v>
      </c>
      <c r="G105" s="401"/>
      <c r="H105" s="1093" t="s">
        <v>511</v>
      </c>
      <c r="I105" s="1216" t="s">
        <v>3109</v>
      </c>
      <c r="J105" s="403">
        <v>4</v>
      </c>
      <c r="K105" s="403">
        <v>6</v>
      </c>
      <c r="L105" s="1093" t="s">
        <v>367</v>
      </c>
      <c r="M105" s="401"/>
      <c r="O105" s="404" t="s">
        <v>31</v>
      </c>
      <c r="P105" s="404" t="s">
        <v>31</v>
      </c>
      <c r="Q105" s="404" t="s">
        <v>166</v>
      </c>
      <c r="R105" s="404" t="s">
        <v>166</v>
      </c>
      <c r="S105" s="404" t="s">
        <v>1301</v>
      </c>
      <c r="T105" s="404" t="s">
        <v>2518</v>
      </c>
      <c r="U105" s="941">
        <v>35</v>
      </c>
      <c r="V105" s="941">
        <v>251</v>
      </c>
      <c r="W105" s="941">
        <v>0</v>
      </c>
      <c r="X105" s="941">
        <v>0</v>
      </c>
      <c r="Y105" s="941">
        <v>0</v>
      </c>
      <c r="Z105" s="941">
        <v>0</v>
      </c>
      <c r="AA105" s="942">
        <v>31</v>
      </c>
      <c r="AB105" s="942">
        <v>236</v>
      </c>
      <c r="AC105" s="942">
        <v>0</v>
      </c>
      <c r="AD105" s="942">
        <v>0</v>
      </c>
      <c r="AE105" s="942">
        <v>0</v>
      </c>
      <c r="AF105" s="942">
        <v>0</v>
      </c>
      <c r="AG105" s="943">
        <f>comparaison_samebasis_villages[[#This Row],[previous idp_ind]]-comparaison_samebasis_villages[[#This Row],[actual idp_ind]]</f>
        <v>-15</v>
      </c>
      <c r="AH105" s="943">
        <f>comparaison_samebasis_villages[[#This Row],[previous ref_ind]]-comparaison_samebasis_villages[[#This Row],[actual ref_ind]]</f>
        <v>0</v>
      </c>
      <c r="AI105" s="943">
        <f>comparaison_samebasis_villages[[#This Row],[previous ret_ind]]-comparaison_samebasis_villages[[#This Row],[actual ret_ind]]</f>
        <v>0</v>
      </c>
    </row>
    <row r="106" spans="1:35" ht="15.75" customHeight="1" x14ac:dyDescent="0.3">
      <c r="A106" s="401" t="s">
        <v>35</v>
      </c>
      <c r="B106" s="401" t="s">
        <v>35</v>
      </c>
      <c r="C106" s="401" t="s">
        <v>190</v>
      </c>
      <c r="D106" s="401" t="s">
        <v>190</v>
      </c>
      <c r="E106" s="401" t="s">
        <v>2183</v>
      </c>
      <c r="F106" s="5" t="s">
        <v>2184</v>
      </c>
      <c r="G106" s="401"/>
      <c r="H106" s="1093" t="s">
        <v>511</v>
      </c>
      <c r="I106" s="1216" t="s">
        <v>3110</v>
      </c>
      <c r="J106" s="403">
        <v>1</v>
      </c>
      <c r="K106" s="403">
        <v>9</v>
      </c>
      <c r="L106" s="1093" t="s">
        <v>367</v>
      </c>
      <c r="M106" s="401"/>
      <c r="O106" s="404" t="s">
        <v>31</v>
      </c>
      <c r="P106" s="404" t="s">
        <v>31</v>
      </c>
      <c r="Q106" s="404" t="s">
        <v>166</v>
      </c>
      <c r="R106" s="404" t="s">
        <v>166</v>
      </c>
      <c r="S106" s="404" t="s">
        <v>954</v>
      </c>
      <c r="T106" s="404" t="s">
        <v>969</v>
      </c>
      <c r="U106" s="941">
        <v>39</v>
      </c>
      <c r="V106" s="941">
        <v>321</v>
      </c>
      <c r="W106" s="941">
        <v>0</v>
      </c>
      <c r="X106" s="941">
        <v>0</v>
      </c>
      <c r="Y106" s="941">
        <v>0</v>
      </c>
      <c r="Z106" s="941">
        <v>0</v>
      </c>
      <c r="AA106" s="942">
        <v>39</v>
      </c>
      <c r="AB106" s="942">
        <v>315</v>
      </c>
      <c r="AC106" s="942">
        <v>0</v>
      </c>
      <c r="AD106" s="942">
        <v>0</v>
      </c>
      <c r="AE106" s="942">
        <v>0</v>
      </c>
      <c r="AF106" s="942">
        <v>0</v>
      </c>
      <c r="AG106" s="943">
        <f>comparaison_samebasis_villages[[#This Row],[previous idp_ind]]-comparaison_samebasis_villages[[#This Row],[actual idp_ind]]</f>
        <v>-6</v>
      </c>
      <c r="AH106" s="943">
        <f>comparaison_samebasis_villages[[#This Row],[previous ref_ind]]-comparaison_samebasis_villages[[#This Row],[actual ref_ind]]</f>
        <v>0</v>
      </c>
      <c r="AI106" s="943">
        <f>comparaison_samebasis_villages[[#This Row],[previous ret_ind]]-comparaison_samebasis_villages[[#This Row],[actual ret_ind]]</f>
        <v>0</v>
      </c>
    </row>
    <row r="107" spans="1:35" ht="15.75" customHeight="1" x14ac:dyDescent="0.3">
      <c r="A107" s="401" t="s">
        <v>35</v>
      </c>
      <c r="B107" s="401" t="s">
        <v>35</v>
      </c>
      <c r="C107" s="401" t="s">
        <v>190</v>
      </c>
      <c r="D107" s="401" t="s">
        <v>190</v>
      </c>
      <c r="E107" s="401" t="s">
        <v>2183</v>
      </c>
      <c r="F107" s="5" t="s">
        <v>2184</v>
      </c>
      <c r="G107" s="401"/>
      <c r="H107" s="1093" t="s">
        <v>511</v>
      </c>
      <c r="I107" s="1216" t="s">
        <v>3111</v>
      </c>
      <c r="J107" s="403">
        <v>1</v>
      </c>
      <c r="K107" s="403">
        <v>5</v>
      </c>
      <c r="L107" s="1093" t="s">
        <v>367</v>
      </c>
      <c r="M107" s="401"/>
      <c r="O107" s="404" t="s">
        <v>31</v>
      </c>
      <c r="P107" s="404" t="s">
        <v>31</v>
      </c>
      <c r="Q107" s="404" t="s">
        <v>166</v>
      </c>
      <c r="R107" s="404" t="s">
        <v>166</v>
      </c>
      <c r="S107" s="404" t="s">
        <v>1588</v>
      </c>
      <c r="T107" s="404" t="s">
        <v>845</v>
      </c>
      <c r="U107" s="941">
        <v>18</v>
      </c>
      <c r="V107" s="941">
        <v>150</v>
      </c>
      <c r="W107" s="941">
        <v>0</v>
      </c>
      <c r="X107" s="941">
        <v>0</v>
      </c>
      <c r="Y107" s="941">
        <v>0</v>
      </c>
      <c r="Z107" s="941">
        <v>0</v>
      </c>
      <c r="AA107" s="942">
        <v>18</v>
      </c>
      <c r="AB107" s="942">
        <v>144</v>
      </c>
      <c r="AC107" s="942">
        <v>12</v>
      </c>
      <c r="AD107" s="942">
        <v>96</v>
      </c>
      <c r="AE107" s="942">
        <v>0</v>
      </c>
      <c r="AF107" s="942">
        <v>0</v>
      </c>
      <c r="AG107" s="943">
        <f>comparaison_samebasis_villages[[#This Row],[previous idp_ind]]-comparaison_samebasis_villages[[#This Row],[actual idp_ind]]</f>
        <v>-6</v>
      </c>
      <c r="AH107" s="943">
        <f>comparaison_samebasis_villages[[#This Row],[previous ref_ind]]-comparaison_samebasis_villages[[#This Row],[actual ref_ind]]</f>
        <v>96</v>
      </c>
      <c r="AI107" s="943">
        <f>comparaison_samebasis_villages[[#This Row],[previous ret_ind]]-comparaison_samebasis_villages[[#This Row],[actual ret_ind]]</f>
        <v>0</v>
      </c>
    </row>
    <row r="108" spans="1:35" ht="15.75" customHeight="1" x14ac:dyDescent="0.3">
      <c r="A108" s="401" t="s">
        <v>31</v>
      </c>
      <c r="B108" s="401" t="s">
        <v>31</v>
      </c>
      <c r="C108" s="401" t="s">
        <v>171</v>
      </c>
      <c r="D108" s="401" t="s">
        <v>171</v>
      </c>
      <c r="E108" s="401" t="s">
        <v>1046</v>
      </c>
      <c r="F108" s="5" t="s">
        <v>1215</v>
      </c>
      <c r="G108" s="401"/>
      <c r="H108" s="1093" t="s">
        <v>511</v>
      </c>
      <c r="I108" s="1216" t="s">
        <v>3111</v>
      </c>
      <c r="J108" s="403">
        <v>16</v>
      </c>
      <c r="K108" s="403">
        <v>88</v>
      </c>
      <c r="L108" s="1093" t="s">
        <v>365</v>
      </c>
      <c r="M108" s="401"/>
      <c r="O108" s="404" t="s">
        <v>31</v>
      </c>
      <c r="P108" s="404" t="s">
        <v>31</v>
      </c>
      <c r="Q108" s="404" t="s">
        <v>166</v>
      </c>
      <c r="R108" s="404" t="s">
        <v>166</v>
      </c>
      <c r="S108" s="404" t="s">
        <v>971</v>
      </c>
      <c r="T108" s="404" t="s">
        <v>2172</v>
      </c>
      <c r="U108" s="941">
        <v>40</v>
      </c>
      <c r="V108" s="941">
        <v>85</v>
      </c>
      <c r="W108" s="941">
        <v>0</v>
      </c>
      <c r="X108" s="941">
        <v>0</v>
      </c>
      <c r="Y108" s="941">
        <v>0</v>
      </c>
      <c r="Z108" s="941">
        <v>0</v>
      </c>
      <c r="AA108" s="942">
        <v>40</v>
      </c>
      <c r="AB108" s="942">
        <v>85</v>
      </c>
      <c r="AC108" s="942">
        <v>0</v>
      </c>
      <c r="AD108" s="942">
        <v>0</v>
      </c>
      <c r="AE108" s="942">
        <v>0</v>
      </c>
      <c r="AF108" s="942">
        <v>0</v>
      </c>
      <c r="AG108" s="943">
        <f>comparaison_samebasis_villages[[#This Row],[previous idp_ind]]-comparaison_samebasis_villages[[#This Row],[actual idp_ind]]</f>
        <v>0</v>
      </c>
      <c r="AH108" s="943">
        <f>comparaison_samebasis_villages[[#This Row],[previous ref_ind]]-comparaison_samebasis_villages[[#This Row],[actual ref_ind]]</f>
        <v>0</v>
      </c>
      <c r="AI108" s="943">
        <f>comparaison_samebasis_villages[[#This Row],[previous ret_ind]]-comparaison_samebasis_villages[[#This Row],[actual ret_ind]]</f>
        <v>0</v>
      </c>
    </row>
    <row r="109" spans="1:35" ht="15.75" customHeight="1" x14ac:dyDescent="0.3">
      <c r="A109" s="401" t="s">
        <v>34</v>
      </c>
      <c r="B109" s="401" t="s">
        <v>34</v>
      </c>
      <c r="C109" s="401" t="s">
        <v>188</v>
      </c>
      <c r="D109" s="401" t="s">
        <v>188</v>
      </c>
      <c r="E109" s="401" t="s">
        <v>1488</v>
      </c>
      <c r="F109" s="5" t="s">
        <v>1514</v>
      </c>
      <c r="G109" s="401"/>
      <c r="H109" s="1093" t="s">
        <v>511</v>
      </c>
      <c r="I109" s="1216" t="s">
        <v>3109</v>
      </c>
      <c r="J109" s="403">
        <v>20</v>
      </c>
      <c r="K109" s="403">
        <v>86</v>
      </c>
      <c r="L109" s="1093" t="s">
        <v>367</v>
      </c>
      <c r="M109" s="401"/>
      <c r="O109" s="404" t="s">
        <v>31</v>
      </c>
      <c r="P109" s="404" t="s">
        <v>31</v>
      </c>
      <c r="Q109" s="404" t="s">
        <v>166</v>
      </c>
      <c r="R109" s="404" t="s">
        <v>166</v>
      </c>
      <c r="S109" s="404" t="s">
        <v>1701</v>
      </c>
      <c r="T109" s="404" t="s">
        <v>965</v>
      </c>
      <c r="U109" s="941">
        <v>115</v>
      </c>
      <c r="V109" s="941">
        <v>545</v>
      </c>
      <c r="W109" s="941">
        <v>0</v>
      </c>
      <c r="X109" s="941">
        <v>0</v>
      </c>
      <c r="Y109" s="941">
        <v>0</v>
      </c>
      <c r="Z109" s="941">
        <v>0</v>
      </c>
      <c r="AA109" s="942">
        <v>110</v>
      </c>
      <c r="AB109" s="942">
        <v>420</v>
      </c>
      <c r="AC109" s="942">
        <v>0</v>
      </c>
      <c r="AD109" s="942">
        <v>0</v>
      </c>
      <c r="AE109" s="942">
        <v>0</v>
      </c>
      <c r="AF109" s="942">
        <v>0</v>
      </c>
      <c r="AG109" s="943">
        <f>comparaison_samebasis_villages[[#This Row],[previous idp_ind]]-comparaison_samebasis_villages[[#This Row],[actual idp_ind]]</f>
        <v>-125</v>
      </c>
      <c r="AH109" s="943">
        <f>comparaison_samebasis_villages[[#This Row],[previous ref_ind]]-comparaison_samebasis_villages[[#This Row],[actual ref_ind]]</f>
        <v>0</v>
      </c>
      <c r="AI109" s="943">
        <f>comparaison_samebasis_villages[[#This Row],[previous ret_ind]]-comparaison_samebasis_villages[[#This Row],[actual ret_ind]]</f>
        <v>0</v>
      </c>
    </row>
    <row r="110" spans="1:35" ht="15.75" customHeight="1" x14ac:dyDescent="0.3">
      <c r="A110" s="401" t="s">
        <v>34</v>
      </c>
      <c r="B110" s="401" t="s">
        <v>34</v>
      </c>
      <c r="C110" s="401" t="s">
        <v>188</v>
      </c>
      <c r="D110" s="401" t="s">
        <v>188</v>
      </c>
      <c r="E110" s="401" t="s">
        <v>1488</v>
      </c>
      <c r="F110" s="5" t="s">
        <v>1514</v>
      </c>
      <c r="G110" s="401"/>
      <c r="H110" s="1093" t="s">
        <v>511</v>
      </c>
      <c r="I110" s="1216" t="s">
        <v>3110</v>
      </c>
      <c r="J110" s="403">
        <v>0</v>
      </c>
      <c r="K110" s="403">
        <v>10</v>
      </c>
      <c r="L110" s="1093" t="s">
        <v>383</v>
      </c>
      <c r="M110" s="401" t="s">
        <v>3365</v>
      </c>
      <c r="O110" s="404" t="s">
        <v>31</v>
      </c>
      <c r="P110" s="404" t="s">
        <v>31</v>
      </c>
      <c r="Q110" s="404" t="s">
        <v>166</v>
      </c>
      <c r="R110" s="404" t="s">
        <v>166</v>
      </c>
      <c r="S110" s="404" t="s">
        <v>1179</v>
      </c>
      <c r="T110" s="404" t="s">
        <v>2979</v>
      </c>
      <c r="U110" s="941">
        <v>7</v>
      </c>
      <c r="V110" s="941">
        <v>50</v>
      </c>
      <c r="W110" s="941">
        <v>0</v>
      </c>
      <c r="X110" s="941">
        <v>0</v>
      </c>
      <c r="Y110" s="941">
        <v>0</v>
      </c>
      <c r="Z110" s="941">
        <v>0</v>
      </c>
      <c r="AA110" s="942">
        <v>7</v>
      </c>
      <c r="AB110" s="942">
        <v>50</v>
      </c>
      <c r="AC110" s="942">
        <v>0</v>
      </c>
      <c r="AD110" s="942">
        <v>0</v>
      </c>
      <c r="AE110" s="942">
        <v>0</v>
      </c>
      <c r="AF110" s="942">
        <v>0</v>
      </c>
      <c r="AG110" s="943">
        <f>comparaison_samebasis_villages[[#This Row],[previous idp_ind]]-comparaison_samebasis_villages[[#This Row],[actual idp_ind]]</f>
        <v>0</v>
      </c>
      <c r="AH110" s="943">
        <f>comparaison_samebasis_villages[[#This Row],[previous ref_ind]]-comparaison_samebasis_villages[[#This Row],[actual ref_ind]]</f>
        <v>0</v>
      </c>
      <c r="AI110" s="943">
        <f>comparaison_samebasis_villages[[#This Row],[previous ret_ind]]-comparaison_samebasis_villages[[#This Row],[actual ret_ind]]</f>
        <v>0</v>
      </c>
    </row>
    <row r="111" spans="1:35" ht="15.75" customHeight="1" x14ac:dyDescent="0.3">
      <c r="A111" s="401" t="s">
        <v>34</v>
      </c>
      <c r="B111" s="401" t="s">
        <v>34</v>
      </c>
      <c r="C111" s="401" t="s">
        <v>188</v>
      </c>
      <c r="D111" s="401" t="s">
        <v>188</v>
      </c>
      <c r="E111" s="401" t="s">
        <v>1488</v>
      </c>
      <c r="F111" s="5" t="s">
        <v>1514</v>
      </c>
      <c r="G111" s="401"/>
      <c r="H111" s="1093" t="s">
        <v>511</v>
      </c>
      <c r="I111" s="1216" t="s">
        <v>3111</v>
      </c>
      <c r="J111" s="403">
        <v>0</v>
      </c>
      <c r="K111" s="403">
        <v>7</v>
      </c>
      <c r="L111" s="1093" t="s">
        <v>383</v>
      </c>
      <c r="M111" s="401" t="s">
        <v>3365</v>
      </c>
      <c r="O111" s="404" t="s">
        <v>31</v>
      </c>
      <c r="P111" s="404" t="s">
        <v>31</v>
      </c>
      <c r="Q111" s="404" t="s">
        <v>166</v>
      </c>
      <c r="R111" s="404" t="s">
        <v>166</v>
      </c>
      <c r="S111" s="404" t="s">
        <v>2522</v>
      </c>
      <c r="T111" s="404" t="s">
        <v>3022</v>
      </c>
      <c r="U111" s="941">
        <v>0</v>
      </c>
      <c r="V111" s="941">
        <v>0</v>
      </c>
      <c r="W111" s="941">
        <v>0</v>
      </c>
      <c r="X111" s="941">
        <v>0</v>
      </c>
      <c r="Y111" s="941">
        <v>0</v>
      </c>
      <c r="Z111" s="941">
        <v>0</v>
      </c>
      <c r="AA111" s="942">
        <v>0</v>
      </c>
      <c r="AB111" s="942">
        <v>0</v>
      </c>
      <c r="AC111" s="942">
        <v>0</v>
      </c>
      <c r="AD111" s="942">
        <v>0</v>
      </c>
      <c r="AE111" s="942">
        <v>0</v>
      </c>
      <c r="AF111" s="942">
        <v>0</v>
      </c>
      <c r="AG111" s="943">
        <f>comparaison_samebasis_villages[[#This Row],[previous idp_ind]]-comparaison_samebasis_villages[[#This Row],[actual idp_ind]]</f>
        <v>0</v>
      </c>
      <c r="AH111" s="943">
        <f>comparaison_samebasis_villages[[#This Row],[previous ref_ind]]-comparaison_samebasis_villages[[#This Row],[actual ref_ind]]</f>
        <v>0</v>
      </c>
      <c r="AI111" s="943">
        <f>comparaison_samebasis_villages[[#This Row],[previous ret_ind]]-comparaison_samebasis_villages[[#This Row],[actual ret_ind]]</f>
        <v>0</v>
      </c>
    </row>
    <row r="112" spans="1:35" ht="15.75" customHeight="1" x14ac:dyDescent="0.3">
      <c r="A112" s="401" t="s">
        <v>34</v>
      </c>
      <c r="B112" s="401" t="s">
        <v>34</v>
      </c>
      <c r="C112" s="401" t="s">
        <v>188</v>
      </c>
      <c r="D112" s="401" t="s">
        <v>188</v>
      </c>
      <c r="E112" s="401" t="s">
        <v>1488</v>
      </c>
      <c r="F112" s="5" t="s">
        <v>1514</v>
      </c>
      <c r="G112" s="401"/>
      <c r="H112" s="1093" t="s">
        <v>511</v>
      </c>
      <c r="I112" s="1216" t="s">
        <v>3112</v>
      </c>
      <c r="J112" s="403">
        <v>15</v>
      </c>
      <c r="K112" s="403">
        <v>50</v>
      </c>
      <c r="L112" s="1093" t="s">
        <v>367</v>
      </c>
      <c r="M112" s="401"/>
      <c r="O112" s="404" t="s">
        <v>31</v>
      </c>
      <c r="P112" s="404" t="s">
        <v>31</v>
      </c>
      <c r="Q112" s="404" t="s">
        <v>166</v>
      </c>
      <c r="R112" s="404" t="s">
        <v>166</v>
      </c>
      <c r="S112" s="404" t="s">
        <v>1197</v>
      </c>
      <c r="T112" s="404" t="s">
        <v>1256</v>
      </c>
      <c r="U112" s="941">
        <v>38</v>
      </c>
      <c r="V112" s="941">
        <v>124</v>
      </c>
      <c r="W112" s="941">
        <v>12</v>
      </c>
      <c r="X112" s="941">
        <v>90</v>
      </c>
      <c r="Y112" s="941">
        <v>0</v>
      </c>
      <c r="Z112" s="941">
        <v>0</v>
      </c>
      <c r="AA112" s="942">
        <v>38</v>
      </c>
      <c r="AB112" s="942">
        <v>124</v>
      </c>
      <c r="AC112" s="942">
        <v>12</v>
      </c>
      <c r="AD112" s="942">
        <v>90</v>
      </c>
      <c r="AE112" s="942">
        <v>0</v>
      </c>
      <c r="AF112" s="942">
        <v>0</v>
      </c>
      <c r="AG112" s="943">
        <f>comparaison_samebasis_villages[[#This Row],[previous idp_ind]]-comparaison_samebasis_villages[[#This Row],[actual idp_ind]]</f>
        <v>0</v>
      </c>
      <c r="AH112" s="943">
        <f>comparaison_samebasis_villages[[#This Row],[previous ref_ind]]-comparaison_samebasis_villages[[#This Row],[actual ref_ind]]</f>
        <v>0</v>
      </c>
      <c r="AI112" s="943">
        <f>comparaison_samebasis_villages[[#This Row],[previous ret_ind]]-comparaison_samebasis_villages[[#This Row],[actual ret_ind]]</f>
        <v>0</v>
      </c>
    </row>
    <row r="113" spans="1:35" ht="15.75" customHeight="1" x14ac:dyDescent="0.3">
      <c r="A113" s="401" t="s">
        <v>31</v>
      </c>
      <c r="B113" s="401" t="s">
        <v>31</v>
      </c>
      <c r="C113" s="401" t="s">
        <v>164</v>
      </c>
      <c r="D113" s="401" t="s">
        <v>164</v>
      </c>
      <c r="E113" s="401" t="s">
        <v>1818</v>
      </c>
      <c r="F113" s="5" t="s">
        <v>1819</v>
      </c>
      <c r="G113" s="401"/>
      <c r="H113" s="1093" t="s">
        <v>511</v>
      </c>
      <c r="I113" s="1216" t="s">
        <v>3033</v>
      </c>
      <c r="J113" s="403">
        <v>23</v>
      </c>
      <c r="K113" s="403">
        <v>100</v>
      </c>
      <c r="L113" s="1093" t="s">
        <v>369</v>
      </c>
      <c r="M113" s="401"/>
      <c r="O113" s="404" t="s">
        <v>31</v>
      </c>
      <c r="P113" s="404" t="s">
        <v>31</v>
      </c>
      <c r="Q113" s="404" t="s">
        <v>166</v>
      </c>
      <c r="R113" s="404" t="s">
        <v>166</v>
      </c>
      <c r="S113" s="404" t="s">
        <v>1517</v>
      </c>
      <c r="T113" s="404" t="s">
        <v>2935</v>
      </c>
      <c r="U113" s="941">
        <v>13</v>
      </c>
      <c r="V113" s="941">
        <v>112</v>
      </c>
      <c r="W113" s="941">
        <v>0</v>
      </c>
      <c r="X113" s="941">
        <v>0</v>
      </c>
      <c r="Y113" s="941">
        <v>0</v>
      </c>
      <c r="Z113" s="941">
        <v>0</v>
      </c>
      <c r="AA113" s="942">
        <v>18</v>
      </c>
      <c r="AB113" s="942">
        <v>133</v>
      </c>
      <c r="AC113" s="942">
        <v>0</v>
      </c>
      <c r="AD113" s="942">
        <v>0</v>
      </c>
      <c r="AE113" s="942">
        <v>0</v>
      </c>
      <c r="AF113" s="942">
        <v>0</v>
      </c>
      <c r="AG113" s="943">
        <f>comparaison_samebasis_villages[[#This Row],[previous idp_ind]]-comparaison_samebasis_villages[[#This Row],[actual idp_ind]]</f>
        <v>21</v>
      </c>
      <c r="AH113" s="943">
        <f>comparaison_samebasis_villages[[#This Row],[previous ref_ind]]-comparaison_samebasis_villages[[#This Row],[actual ref_ind]]</f>
        <v>0</v>
      </c>
      <c r="AI113" s="943">
        <f>comparaison_samebasis_villages[[#This Row],[previous ret_ind]]-comparaison_samebasis_villages[[#This Row],[actual ret_ind]]</f>
        <v>0</v>
      </c>
    </row>
    <row r="114" spans="1:35" ht="15.75" customHeight="1" x14ac:dyDescent="0.3">
      <c r="A114" s="401" t="s">
        <v>31</v>
      </c>
      <c r="B114" s="401" t="s">
        <v>31</v>
      </c>
      <c r="C114" s="401" t="s">
        <v>164</v>
      </c>
      <c r="D114" s="401" t="s">
        <v>164</v>
      </c>
      <c r="E114" s="401" t="s">
        <v>1818</v>
      </c>
      <c r="F114" s="5" t="s">
        <v>1819</v>
      </c>
      <c r="G114" s="401"/>
      <c r="H114" s="1093" t="s">
        <v>511</v>
      </c>
      <c r="I114" s="1216" t="s">
        <v>3112</v>
      </c>
      <c r="J114" s="403">
        <v>2</v>
      </c>
      <c r="K114" s="403">
        <v>10</v>
      </c>
      <c r="L114" s="1093" t="s">
        <v>365</v>
      </c>
      <c r="M114" s="401"/>
      <c r="O114" s="404" t="s">
        <v>31</v>
      </c>
      <c r="P114" s="404" t="s">
        <v>31</v>
      </c>
      <c r="Q114" s="404" t="s">
        <v>166</v>
      </c>
      <c r="R114" s="404" t="s">
        <v>166</v>
      </c>
      <c r="S114" s="404" t="s">
        <v>2523</v>
      </c>
      <c r="T114" s="404" t="s">
        <v>2960</v>
      </c>
      <c r="U114" s="941">
        <v>0</v>
      </c>
      <c r="V114" s="941">
        <v>0</v>
      </c>
      <c r="W114" s="941">
        <v>0</v>
      </c>
      <c r="X114" s="941">
        <v>0</v>
      </c>
      <c r="Y114" s="941">
        <v>0</v>
      </c>
      <c r="Z114" s="941">
        <v>0</v>
      </c>
      <c r="AA114" s="942">
        <v>0</v>
      </c>
      <c r="AB114" s="942">
        <v>0</v>
      </c>
      <c r="AC114" s="942">
        <v>0</v>
      </c>
      <c r="AD114" s="942">
        <v>0</v>
      </c>
      <c r="AE114" s="942">
        <v>0</v>
      </c>
      <c r="AF114" s="942">
        <v>0</v>
      </c>
      <c r="AG114" s="943">
        <f>comparaison_samebasis_villages[[#This Row],[previous idp_ind]]-comparaison_samebasis_villages[[#This Row],[actual idp_ind]]</f>
        <v>0</v>
      </c>
      <c r="AH114" s="943">
        <f>comparaison_samebasis_villages[[#This Row],[previous ref_ind]]-comparaison_samebasis_villages[[#This Row],[actual ref_ind]]</f>
        <v>0</v>
      </c>
      <c r="AI114" s="943">
        <f>comparaison_samebasis_villages[[#This Row],[previous ret_ind]]-comparaison_samebasis_villages[[#This Row],[actual ret_ind]]</f>
        <v>0</v>
      </c>
    </row>
    <row r="115" spans="1:35" ht="15.75" customHeight="1" x14ac:dyDescent="0.3">
      <c r="A115" s="401" t="s">
        <v>35</v>
      </c>
      <c r="B115" s="401" t="s">
        <v>35</v>
      </c>
      <c r="C115" s="401" t="s">
        <v>193</v>
      </c>
      <c r="D115" s="401" t="s">
        <v>3983</v>
      </c>
      <c r="E115" s="401" t="s">
        <v>2910</v>
      </c>
      <c r="F115" s="5" t="s">
        <v>3091</v>
      </c>
      <c r="G115" s="401"/>
      <c r="H115" s="1093" t="s">
        <v>511</v>
      </c>
      <c r="I115" s="1216" t="s">
        <v>3033</v>
      </c>
      <c r="J115" s="403">
        <v>33</v>
      </c>
      <c r="K115" s="403">
        <v>185</v>
      </c>
      <c r="L115" s="1093" t="s">
        <v>365</v>
      </c>
      <c r="M115" s="401"/>
      <c r="O115" s="404" t="s">
        <v>31</v>
      </c>
      <c r="P115" s="404" t="s">
        <v>31</v>
      </c>
      <c r="Q115" s="404" t="s">
        <v>166</v>
      </c>
      <c r="R115" s="404" t="s">
        <v>166</v>
      </c>
      <c r="S115" s="404" t="s">
        <v>942</v>
      </c>
      <c r="T115" s="404" t="s">
        <v>1118</v>
      </c>
      <c r="U115" s="941">
        <v>1</v>
      </c>
      <c r="V115" s="941">
        <v>8</v>
      </c>
      <c r="W115" s="941">
        <v>17</v>
      </c>
      <c r="X115" s="941">
        <v>93</v>
      </c>
      <c r="Y115" s="941">
        <v>0</v>
      </c>
      <c r="Z115" s="941">
        <v>0</v>
      </c>
      <c r="AA115" s="942">
        <v>1</v>
      </c>
      <c r="AB115" s="942">
        <v>8</v>
      </c>
      <c r="AC115" s="942">
        <v>13</v>
      </c>
      <c r="AD115" s="942">
        <v>71</v>
      </c>
      <c r="AE115" s="942">
        <v>0</v>
      </c>
      <c r="AF115" s="942">
        <v>0</v>
      </c>
      <c r="AG115" s="943">
        <f>comparaison_samebasis_villages[[#This Row],[previous idp_ind]]-comparaison_samebasis_villages[[#This Row],[actual idp_ind]]</f>
        <v>0</v>
      </c>
      <c r="AH115" s="943">
        <f>comparaison_samebasis_villages[[#This Row],[previous ref_ind]]-comparaison_samebasis_villages[[#This Row],[actual ref_ind]]</f>
        <v>-22</v>
      </c>
      <c r="AI115" s="943">
        <f>comparaison_samebasis_villages[[#This Row],[previous ret_ind]]-comparaison_samebasis_villages[[#This Row],[actual ret_ind]]</f>
        <v>0</v>
      </c>
    </row>
    <row r="116" spans="1:35" ht="15.75" customHeight="1" x14ac:dyDescent="0.3">
      <c r="A116" s="401" t="s">
        <v>35</v>
      </c>
      <c r="B116" s="401" t="s">
        <v>35</v>
      </c>
      <c r="C116" s="401" t="s">
        <v>193</v>
      </c>
      <c r="D116" s="401" t="s">
        <v>3983</v>
      </c>
      <c r="E116" s="401" t="s">
        <v>1600</v>
      </c>
      <c r="F116" s="5" t="s">
        <v>1601</v>
      </c>
      <c r="G116" s="401"/>
      <c r="H116" s="1093" t="s">
        <v>511</v>
      </c>
      <c r="I116" s="1216" t="s">
        <v>3111</v>
      </c>
      <c r="J116" s="403">
        <v>27</v>
      </c>
      <c r="K116" s="403">
        <v>123</v>
      </c>
      <c r="L116" s="1093" t="s">
        <v>365</v>
      </c>
      <c r="M116" s="401"/>
      <c r="O116" s="404" t="s">
        <v>31</v>
      </c>
      <c r="P116" s="404" t="s">
        <v>31</v>
      </c>
      <c r="Q116" s="404" t="s">
        <v>166</v>
      </c>
      <c r="R116" s="404" t="s">
        <v>166</v>
      </c>
      <c r="S116" s="404" t="s">
        <v>663</v>
      </c>
      <c r="T116" s="404" t="s">
        <v>2926</v>
      </c>
      <c r="U116" s="941">
        <v>42</v>
      </c>
      <c r="V116" s="941">
        <v>255</v>
      </c>
      <c r="W116" s="941">
        <v>0</v>
      </c>
      <c r="X116" s="941">
        <v>0</v>
      </c>
      <c r="Y116" s="941">
        <v>0</v>
      </c>
      <c r="Z116" s="941">
        <v>0</v>
      </c>
      <c r="AA116" s="942">
        <v>42</v>
      </c>
      <c r="AB116" s="942">
        <v>255</v>
      </c>
      <c r="AC116" s="942">
        <v>0</v>
      </c>
      <c r="AD116" s="942">
        <v>0</v>
      </c>
      <c r="AE116" s="942">
        <v>42</v>
      </c>
      <c r="AF116" s="942">
        <v>255</v>
      </c>
      <c r="AG116" s="943">
        <f>comparaison_samebasis_villages[[#This Row],[previous idp_ind]]-comparaison_samebasis_villages[[#This Row],[actual idp_ind]]</f>
        <v>0</v>
      </c>
      <c r="AH116" s="943">
        <f>comparaison_samebasis_villages[[#This Row],[previous ref_ind]]-comparaison_samebasis_villages[[#This Row],[actual ref_ind]]</f>
        <v>0</v>
      </c>
      <c r="AI116" s="943">
        <f>comparaison_samebasis_villages[[#This Row],[previous ret_ind]]-comparaison_samebasis_villages[[#This Row],[actual ret_ind]]</f>
        <v>255</v>
      </c>
    </row>
    <row r="117" spans="1:35" ht="15.75" customHeight="1" x14ac:dyDescent="0.3">
      <c r="A117" s="401" t="s">
        <v>34</v>
      </c>
      <c r="B117" s="401" t="s">
        <v>34</v>
      </c>
      <c r="C117" s="401" t="s">
        <v>187</v>
      </c>
      <c r="D117" s="401" t="s">
        <v>187</v>
      </c>
      <c r="E117" s="401" t="s">
        <v>2919</v>
      </c>
      <c r="F117" s="5" t="s">
        <v>1575</v>
      </c>
      <c r="G117" s="401"/>
      <c r="H117" s="1093" t="s">
        <v>511</v>
      </c>
      <c r="I117" s="1216" t="s">
        <v>3033</v>
      </c>
      <c r="J117" s="403">
        <v>26</v>
      </c>
      <c r="K117" s="403">
        <v>206</v>
      </c>
      <c r="L117" s="1093" t="s">
        <v>371</v>
      </c>
      <c r="M117" s="401"/>
      <c r="O117" s="404" t="s">
        <v>31</v>
      </c>
      <c r="P117" s="404" t="s">
        <v>31</v>
      </c>
      <c r="Q117" s="404" t="s">
        <v>166</v>
      </c>
      <c r="R117" s="404" t="s">
        <v>166</v>
      </c>
      <c r="S117" s="404" t="s">
        <v>925</v>
      </c>
      <c r="T117" s="404" t="s">
        <v>1139</v>
      </c>
      <c r="U117" s="941">
        <v>38</v>
      </c>
      <c r="V117" s="941">
        <v>124</v>
      </c>
      <c r="W117" s="941">
        <v>0</v>
      </c>
      <c r="X117" s="941">
        <v>0</v>
      </c>
      <c r="Y117" s="941">
        <v>0</v>
      </c>
      <c r="Z117" s="941">
        <v>0</v>
      </c>
      <c r="AA117" s="942">
        <v>38</v>
      </c>
      <c r="AB117" s="942">
        <v>124</v>
      </c>
      <c r="AC117" s="942">
        <v>0</v>
      </c>
      <c r="AD117" s="942">
        <v>0</v>
      </c>
      <c r="AE117" s="942">
        <v>0</v>
      </c>
      <c r="AF117" s="942">
        <v>0</v>
      </c>
      <c r="AG117" s="943">
        <f>comparaison_samebasis_villages[[#This Row],[previous idp_ind]]-comparaison_samebasis_villages[[#This Row],[actual idp_ind]]</f>
        <v>0</v>
      </c>
      <c r="AH117" s="943">
        <f>comparaison_samebasis_villages[[#This Row],[previous ref_ind]]-comparaison_samebasis_villages[[#This Row],[actual ref_ind]]</f>
        <v>0</v>
      </c>
      <c r="AI117" s="943">
        <f>comparaison_samebasis_villages[[#This Row],[previous ret_ind]]-comparaison_samebasis_villages[[#This Row],[actual ret_ind]]</f>
        <v>0</v>
      </c>
    </row>
    <row r="118" spans="1:35" ht="15.75" customHeight="1" x14ac:dyDescent="0.3">
      <c r="A118" s="401" t="s">
        <v>34</v>
      </c>
      <c r="B118" s="401" t="s">
        <v>34</v>
      </c>
      <c r="C118" s="401" t="s">
        <v>187</v>
      </c>
      <c r="D118" s="401" t="s">
        <v>187</v>
      </c>
      <c r="E118" s="401" t="s">
        <v>2919</v>
      </c>
      <c r="F118" s="5" t="s">
        <v>1575</v>
      </c>
      <c r="G118" s="401"/>
      <c r="H118" s="1093" t="s">
        <v>511</v>
      </c>
      <c r="I118" s="1216" t="s">
        <v>3110</v>
      </c>
      <c r="J118" s="403">
        <v>16</v>
      </c>
      <c r="K118" s="403">
        <v>70</v>
      </c>
      <c r="L118" s="1093" t="s">
        <v>371</v>
      </c>
      <c r="M118" s="401"/>
      <c r="O118" s="404" t="s">
        <v>31</v>
      </c>
      <c r="P118" s="404" t="s">
        <v>31</v>
      </c>
      <c r="Q118" s="404" t="s">
        <v>166</v>
      </c>
      <c r="R118" s="404" t="s">
        <v>166</v>
      </c>
      <c r="S118" s="404" t="s">
        <v>2116</v>
      </c>
      <c r="T118" s="404" t="s">
        <v>1419</v>
      </c>
      <c r="U118" s="941">
        <v>0</v>
      </c>
      <c r="V118" s="941">
        <v>0</v>
      </c>
      <c r="W118" s="941">
        <v>0</v>
      </c>
      <c r="X118" s="941">
        <v>0</v>
      </c>
      <c r="Y118" s="941">
        <v>0</v>
      </c>
      <c r="Z118" s="941">
        <v>0</v>
      </c>
      <c r="AA118" s="942">
        <v>0</v>
      </c>
      <c r="AB118" s="942">
        <v>0</v>
      </c>
      <c r="AC118" s="942">
        <v>0</v>
      </c>
      <c r="AD118" s="942">
        <v>0</v>
      </c>
      <c r="AE118" s="942">
        <v>0</v>
      </c>
      <c r="AF118" s="942">
        <v>0</v>
      </c>
      <c r="AG118" s="943">
        <f>comparaison_samebasis_villages[[#This Row],[previous idp_ind]]-comparaison_samebasis_villages[[#This Row],[actual idp_ind]]</f>
        <v>0</v>
      </c>
      <c r="AH118" s="943">
        <f>comparaison_samebasis_villages[[#This Row],[previous ref_ind]]-comparaison_samebasis_villages[[#This Row],[actual ref_ind]]</f>
        <v>0</v>
      </c>
      <c r="AI118" s="943">
        <f>comparaison_samebasis_villages[[#This Row],[previous ret_ind]]-comparaison_samebasis_villages[[#This Row],[actual ret_ind]]</f>
        <v>0</v>
      </c>
    </row>
    <row r="119" spans="1:35" ht="15.75" customHeight="1" x14ac:dyDescent="0.3">
      <c r="A119" s="401" t="s">
        <v>34</v>
      </c>
      <c r="B119" s="401" t="s">
        <v>34</v>
      </c>
      <c r="C119" s="401" t="s">
        <v>187</v>
      </c>
      <c r="D119" s="401" t="s">
        <v>187</v>
      </c>
      <c r="E119" s="401" t="s">
        <v>2919</v>
      </c>
      <c r="F119" s="5" t="s">
        <v>1575</v>
      </c>
      <c r="G119" s="401"/>
      <c r="H119" s="1093" t="s">
        <v>511</v>
      </c>
      <c r="I119" s="1216" t="s">
        <v>3111</v>
      </c>
      <c r="J119" s="403">
        <v>10</v>
      </c>
      <c r="K119" s="403">
        <v>87</v>
      </c>
      <c r="L119" s="1093" t="s">
        <v>371</v>
      </c>
      <c r="M119" s="401"/>
      <c r="O119" s="404" t="s">
        <v>30</v>
      </c>
      <c r="P119" s="404" t="s">
        <v>3522</v>
      </c>
      <c r="Q119" s="404" t="s">
        <v>158</v>
      </c>
      <c r="R119" s="404" t="s">
        <v>158</v>
      </c>
      <c r="S119" s="404" t="s">
        <v>2525</v>
      </c>
      <c r="T119" s="404" t="s">
        <v>2524</v>
      </c>
      <c r="U119" s="941">
        <v>0</v>
      </c>
      <c r="V119" s="941">
        <v>0</v>
      </c>
      <c r="W119" s="941">
        <v>0</v>
      </c>
      <c r="X119" s="941">
        <v>0</v>
      </c>
      <c r="Y119" s="941">
        <v>0</v>
      </c>
      <c r="Z119" s="941">
        <v>0</v>
      </c>
      <c r="AA119" s="942">
        <v>0</v>
      </c>
      <c r="AB119" s="942">
        <v>0</v>
      </c>
      <c r="AC119" s="942">
        <v>0</v>
      </c>
      <c r="AD119" s="942">
        <v>0</v>
      </c>
      <c r="AE119" s="942">
        <v>0</v>
      </c>
      <c r="AF119" s="942">
        <v>0</v>
      </c>
      <c r="AG119" s="943">
        <f>comparaison_samebasis_villages[[#This Row],[previous idp_ind]]-comparaison_samebasis_villages[[#This Row],[actual idp_ind]]</f>
        <v>0</v>
      </c>
      <c r="AH119" s="943">
        <f>comparaison_samebasis_villages[[#This Row],[previous ref_ind]]-comparaison_samebasis_villages[[#This Row],[actual ref_ind]]</f>
        <v>0</v>
      </c>
      <c r="AI119" s="943">
        <f>comparaison_samebasis_villages[[#This Row],[previous ret_ind]]-comparaison_samebasis_villages[[#This Row],[actual ret_ind]]</f>
        <v>0</v>
      </c>
    </row>
    <row r="120" spans="1:35" ht="15.75" customHeight="1" x14ac:dyDescent="0.3">
      <c r="A120" s="401" t="s">
        <v>34</v>
      </c>
      <c r="B120" s="401" t="s">
        <v>34</v>
      </c>
      <c r="C120" s="401" t="s">
        <v>187</v>
      </c>
      <c r="D120" s="401" t="s">
        <v>187</v>
      </c>
      <c r="E120" s="401" t="s">
        <v>2919</v>
      </c>
      <c r="F120" s="5" t="s">
        <v>1575</v>
      </c>
      <c r="G120" s="401"/>
      <c r="H120" s="1093" t="s">
        <v>511</v>
      </c>
      <c r="I120" s="1216" t="s">
        <v>3112</v>
      </c>
      <c r="J120" s="403">
        <v>0</v>
      </c>
      <c r="K120" s="403">
        <v>12</v>
      </c>
      <c r="L120" s="1093" t="s">
        <v>371</v>
      </c>
      <c r="M120" s="401"/>
      <c r="O120" s="399" t="s">
        <v>30</v>
      </c>
      <c r="P120" s="399" t="s">
        <v>3522</v>
      </c>
      <c r="Q120" s="399" t="s">
        <v>158</v>
      </c>
      <c r="R120" s="399" t="s">
        <v>158</v>
      </c>
      <c r="S120" s="399" t="s">
        <v>603</v>
      </c>
      <c r="T120" s="399" t="s">
        <v>602</v>
      </c>
      <c r="U120" s="941">
        <v>3</v>
      </c>
      <c r="V120" s="941">
        <v>10</v>
      </c>
      <c r="W120" s="941">
        <v>0</v>
      </c>
      <c r="X120" s="941">
        <v>0</v>
      </c>
      <c r="Y120" s="941">
        <v>0</v>
      </c>
      <c r="Z120" s="941">
        <v>0</v>
      </c>
      <c r="AA120" s="942">
        <v>3</v>
      </c>
      <c r="AB120" s="942">
        <v>10</v>
      </c>
      <c r="AC120" s="942">
        <v>0</v>
      </c>
      <c r="AD120" s="942">
        <v>0</v>
      </c>
      <c r="AE120" s="942">
        <v>0</v>
      </c>
      <c r="AF120" s="942">
        <v>0</v>
      </c>
      <c r="AG120" s="943">
        <f>comparaison_samebasis_villages[[#This Row],[previous idp_ind]]-comparaison_samebasis_villages[[#This Row],[actual idp_ind]]</f>
        <v>0</v>
      </c>
      <c r="AH120" s="943">
        <f>comparaison_samebasis_villages[[#This Row],[previous ref_ind]]-comparaison_samebasis_villages[[#This Row],[actual ref_ind]]</f>
        <v>0</v>
      </c>
      <c r="AI120" s="943">
        <f>comparaison_samebasis_villages[[#This Row],[previous ret_ind]]-comparaison_samebasis_villages[[#This Row],[actual ret_ind]]</f>
        <v>0</v>
      </c>
    </row>
    <row r="121" spans="1:35" ht="15.75" customHeight="1" x14ac:dyDescent="0.3">
      <c r="A121" s="401" t="s">
        <v>31</v>
      </c>
      <c r="B121" s="401" t="s">
        <v>31</v>
      </c>
      <c r="C121" s="401" t="s">
        <v>169</v>
      </c>
      <c r="D121" s="401" t="s">
        <v>169</v>
      </c>
      <c r="E121" s="401" t="s">
        <v>2815</v>
      </c>
      <c r="F121" s="5" t="s">
        <v>2347</v>
      </c>
      <c r="G121" s="401"/>
      <c r="H121" s="1093" t="s">
        <v>511</v>
      </c>
      <c r="I121" s="1216" t="s">
        <v>3112</v>
      </c>
      <c r="J121" s="403">
        <v>2</v>
      </c>
      <c r="K121" s="403">
        <v>4</v>
      </c>
      <c r="L121" s="1093" t="s">
        <v>367</v>
      </c>
      <c r="M121" s="401"/>
      <c r="O121" s="399" t="s">
        <v>30</v>
      </c>
      <c r="P121" s="399" t="s">
        <v>3522</v>
      </c>
      <c r="Q121" s="399" t="s">
        <v>158</v>
      </c>
      <c r="R121" s="399" t="s">
        <v>158</v>
      </c>
      <c r="S121" s="399" t="s">
        <v>638</v>
      </c>
      <c r="T121" s="399" t="s">
        <v>637</v>
      </c>
      <c r="U121" s="941">
        <v>4</v>
      </c>
      <c r="V121" s="941">
        <v>11</v>
      </c>
      <c r="W121" s="941">
        <v>0</v>
      </c>
      <c r="X121" s="941">
        <v>0</v>
      </c>
      <c r="Y121" s="941">
        <v>0</v>
      </c>
      <c r="Z121" s="941">
        <v>0</v>
      </c>
      <c r="AA121" s="942">
        <v>6</v>
      </c>
      <c r="AB121" s="942">
        <v>30</v>
      </c>
      <c r="AC121" s="942">
        <v>0</v>
      </c>
      <c r="AD121" s="942">
        <v>0</v>
      </c>
      <c r="AE121" s="942">
        <v>0</v>
      </c>
      <c r="AF121" s="942">
        <v>0</v>
      </c>
      <c r="AG121" s="943">
        <f>comparaison_samebasis_villages[[#This Row],[previous idp_ind]]-comparaison_samebasis_villages[[#This Row],[actual idp_ind]]</f>
        <v>19</v>
      </c>
      <c r="AH121" s="943">
        <f>comparaison_samebasis_villages[[#This Row],[previous ref_ind]]-comparaison_samebasis_villages[[#This Row],[actual ref_ind]]</f>
        <v>0</v>
      </c>
      <c r="AI121" s="943">
        <f>comparaison_samebasis_villages[[#This Row],[previous ret_ind]]-comparaison_samebasis_villages[[#This Row],[actual ret_ind]]</f>
        <v>0</v>
      </c>
    </row>
    <row r="122" spans="1:35" ht="15.75" customHeight="1" x14ac:dyDescent="0.3">
      <c r="A122" s="401" t="s">
        <v>31</v>
      </c>
      <c r="B122" s="401" t="s">
        <v>31</v>
      </c>
      <c r="C122" s="401" t="s">
        <v>169</v>
      </c>
      <c r="D122" s="401" t="s">
        <v>169</v>
      </c>
      <c r="E122" s="401" t="s">
        <v>2815</v>
      </c>
      <c r="F122" s="5" t="s">
        <v>2347</v>
      </c>
      <c r="G122" s="401"/>
      <c r="H122" s="1093" t="s">
        <v>511</v>
      </c>
      <c r="I122" s="1216" t="s">
        <v>3111</v>
      </c>
      <c r="J122" s="403">
        <v>22</v>
      </c>
      <c r="K122" s="403">
        <v>100</v>
      </c>
      <c r="L122" s="1093" t="s">
        <v>367</v>
      </c>
      <c r="M122" s="401"/>
      <c r="O122" s="404" t="s">
        <v>30</v>
      </c>
      <c r="P122" s="404" t="s">
        <v>3522</v>
      </c>
      <c r="Q122" s="404" t="s">
        <v>158</v>
      </c>
      <c r="R122" s="404" t="s">
        <v>158</v>
      </c>
      <c r="S122" s="404" t="s">
        <v>605</v>
      </c>
      <c r="T122" s="404" t="s">
        <v>604</v>
      </c>
      <c r="U122" s="941">
        <v>2</v>
      </c>
      <c r="V122" s="941">
        <v>23</v>
      </c>
      <c r="W122" s="941">
        <v>0</v>
      </c>
      <c r="X122" s="941">
        <v>0</v>
      </c>
      <c r="Y122" s="941">
        <v>0</v>
      </c>
      <c r="Z122" s="941">
        <v>0</v>
      </c>
      <c r="AA122" s="942">
        <v>2</v>
      </c>
      <c r="AB122" s="942">
        <v>22</v>
      </c>
      <c r="AC122" s="942">
        <v>0</v>
      </c>
      <c r="AD122" s="942">
        <v>0</v>
      </c>
      <c r="AE122" s="942">
        <v>0</v>
      </c>
      <c r="AF122" s="942">
        <v>0</v>
      </c>
      <c r="AG122" s="943">
        <f>comparaison_samebasis_villages[[#This Row],[previous idp_ind]]-comparaison_samebasis_villages[[#This Row],[actual idp_ind]]</f>
        <v>-1</v>
      </c>
      <c r="AH122" s="943">
        <f>comparaison_samebasis_villages[[#This Row],[previous ref_ind]]-comparaison_samebasis_villages[[#This Row],[actual ref_ind]]</f>
        <v>0</v>
      </c>
      <c r="AI122" s="943">
        <f>comparaison_samebasis_villages[[#This Row],[previous ret_ind]]-comparaison_samebasis_villages[[#This Row],[actual ret_ind]]</f>
        <v>0</v>
      </c>
    </row>
    <row r="123" spans="1:35" ht="15.75" customHeight="1" x14ac:dyDescent="0.3">
      <c r="A123" s="401" t="s">
        <v>31</v>
      </c>
      <c r="B123" s="401" t="s">
        <v>31</v>
      </c>
      <c r="C123" s="401" t="s">
        <v>169</v>
      </c>
      <c r="D123" s="401" t="s">
        <v>169</v>
      </c>
      <c r="E123" s="401" t="s">
        <v>2870</v>
      </c>
      <c r="F123" s="5" t="s">
        <v>2346</v>
      </c>
      <c r="G123" s="401"/>
      <c r="H123" s="1093" t="s">
        <v>511</v>
      </c>
      <c r="I123" s="1216" t="s">
        <v>3111</v>
      </c>
      <c r="J123" s="403">
        <v>16</v>
      </c>
      <c r="K123" s="403">
        <v>57</v>
      </c>
      <c r="L123" s="1093" t="s">
        <v>367</v>
      </c>
      <c r="M123" s="401"/>
      <c r="O123" s="399" t="s">
        <v>30</v>
      </c>
      <c r="P123" s="399" t="s">
        <v>3522</v>
      </c>
      <c r="Q123" s="399" t="s">
        <v>158</v>
      </c>
      <c r="R123" s="399" t="s">
        <v>158</v>
      </c>
      <c r="S123" s="399" t="s">
        <v>601</v>
      </c>
      <c r="T123" s="399" t="s">
        <v>600</v>
      </c>
      <c r="U123" s="941">
        <v>23</v>
      </c>
      <c r="V123" s="941">
        <v>151</v>
      </c>
      <c r="W123" s="941">
        <v>0</v>
      </c>
      <c r="X123" s="941">
        <v>0</v>
      </c>
      <c r="Y123" s="941">
        <v>0</v>
      </c>
      <c r="Z123" s="941">
        <v>0</v>
      </c>
      <c r="AA123" s="942">
        <v>23</v>
      </c>
      <c r="AB123" s="942">
        <v>141</v>
      </c>
      <c r="AC123" s="942">
        <v>0</v>
      </c>
      <c r="AD123" s="942">
        <v>0</v>
      </c>
      <c r="AE123" s="942">
        <v>0</v>
      </c>
      <c r="AF123" s="942">
        <v>0</v>
      </c>
      <c r="AG123" s="943">
        <f>comparaison_samebasis_villages[[#This Row],[previous idp_ind]]-comparaison_samebasis_villages[[#This Row],[actual idp_ind]]</f>
        <v>-10</v>
      </c>
      <c r="AH123" s="943">
        <f>comparaison_samebasis_villages[[#This Row],[previous ref_ind]]-comparaison_samebasis_villages[[#This Row],[actual ref_ind]]</f>
        <v>0</v>
      </c>
      <c r="AI123" s="943">
        <f>comparaison_samebasis_villages[[#This Row],[previous ret_ind]]-comparaison_samebasis_villages[[#This Row],[actual ret_ind]]</f>
        <v>0</v>
      </c>
    </row>
    <row r="124" spans="1:35" ht="15.75" customHeight="1" x14ac:dyDescent="0.3">
      <c r="A124" s="401" t="s">
        <v>31</v>
      </c>
      <c r="B124" s="401" t="s">
        <v>31</v>
      </c>
      <c r="C124" s="401" t="s">
        <v>169</v>
      </c>
      <c r="D124" s="401" t="s">
        <v>169</v>
      </c>
      <c r="E124" s="401" t="s">
        <v>2870</v>
      </c>
      <c r="F124" s="5" t="s">
        <v>2346</v>
      </c>
      <c r="G124" s="401"/>
      <c r="H124" s="1093" t="s">
        <v>511</v>
      </c>
      <c r="I124" s="1216" t="s">
        <v>3112</v>
      </c>
      <c r="J124" s="403">
        <v>4</v>
      </c>
      <c r="K124" s="403">
        <v>8</v>
      </c>
      <c r="L124" s="1093" t="s">
        <v>367</v>
      </c>
      <c r="M124" s="401"/>
      <c r="O124" s="404" t="s">
        <v>30</v>
      </c>
      <c r="P124" s="404" t="s">
        <v>3522</v>
      </c>
      <c r="Q124" s="404" t="s">
        <v>158</v>
      </c>
      <c r="R124" s="404" t="s">
        <v>158</v>
      </c>
      <c r="S124" s="404" t="s">
        <v>1726</v>
      </c>
      <c r="T124" s="404" t="s">
        <v>1725</v>
      </c>
      <c r="U124" s="941">
        <v>2</v>
      </c>
      <c r="V124" s="941">
        <v>12</v>
      </c>
      <c r="W124" s="941">
        <v>0</v>
      </c>
      <c r="X124" s="941">
        <v>0</v>
      </c>
      <c r="Y124" s="941">
        <v>0</v>
      </c>
      <c r="Z124" s="941">
        <v>0</v>
      </c>
      <c r="AA124" s="942">
        <v>2</v>
      </c>
      <c r="AB124" s="942">
        <v>12</v>
      </c>
      <c r="AC124" s="942">
        <v>0</v>
      </c>
      <c r="AD124" s="942">
        <v>0</v>
      </c>
      <c r="AE124" s="942">
        <v>0</v>
      </c>
      <c r="AF124" s="942">
        <v>0</v>
      </c>
      <c r="AG124" s="943">
        <f>comparaison_samebasis_villages[[#This Row],[previous idp_ind]]-comparaison_samebasis_villages[[#This Row],[actual idp_ind]]</f>
        <v>0</v>
      </c>
      <c r="AH124" s="943">
        <f>comparaison_samebasis_villages[[#This Row],[previous ref_ind]]-comparaison_samebasis_villages[[#This Row],[actual ref_ind]]</f>
        <v>0</v>
      </c>
      <c r="AI124" s="943">
        <f>comparaison_samebasis_villages[[#This Row],[previous ret_ind]]-comparaison_samebasis_villages[[#This Row],[actual ret_ind]]</f>
        <v>0</v>
      </c>
    </row>
    <row r="125" spans="1:35" ht="15.75" customHeight="1" x14ac:dyDescent="0.3">
      <c r="A125" s="401" t="s">
        <v>31</v>
      </c>
      <c r="B125" s="401" t="s">
        <v>31</v>
      </c>
      <c r="C125" s="401" t="s">
        <v>169</v>
      </c>
      <c r="D125" s="401" t="s">
        <v>169</v>
      </c>
      <c r="E125" s="401" t="s">
        <v>2848</v>
      </c>
      <c r="F125" s="5" t="s">
        <v>2345</v>
      </c>
      <c r="G125" s="401"/>
      <c r="H125" s="1093" t="s">
        <v>511</v>
      </c>
      <c r="I125" s="1216" t="s">
        <v>3111</v>
      </c>
      <c r="J125" s="403">
        <v>25</v>
      </c>
      <c r="K125" s="403">
        <v>101</v>
      </c>
      <c r="L125" s="1093" t="s">
        <v>367</v>
      </c>
      <c r="M125" s="401"/>
      <c r="O125" s="399" t="s">
        <v>30</v>
      </c>
      <c r="P125" s="399" t="s">
        <v>3522</v>
      </c>
      <c r="Q125" s="399" t="s">
        <v>158</v>
      </c>
      <c r="R125" s="399" t="s">
        <v>158</v>
      </c>
      <c r="S125" s="399" t="s">
        <v>573</v>
      </c>
      <c r="T125" s="399" t="s">
        <v>572</v>
      </c>
      <c r="U125" s="941">
        <v>8</v>
      </c>
      <c r="V125" s="941">
        <v>62</v>
      </c>
      <c r="W125" s="941">
        <v>0</v>
      </c>
      <c r="X125" s="941">
        <v>0</v>
      </c>
      <c r="Y125" s="941">
        <v>0</v>
      </c>
      <c r="Z125" s="941">
        <v>0</v>
      </c>
      <c r="AA125" s="942">
        <v>8</v>
      </c>
      <c r="AB125" s="942">
        <v>62</v>
      </c>
      <c r="AC125" s="942">
        <v>0</v>
      </c>
      <c r="AD125" s="942">
        <v>0</v>
      </c>
      <c r="AE125" s="942">
        <v>0</v>
      </c>
      <c r="AF125" s="942">
        <v>0</v>
      </c>
      <c r="AG125" s="943">
        <f>comparaison_samebasis_villages[[#This Row],[previous idp_ind]]-comparaison_samebasis_villages[[#This Row],[actual idp_ind]]</f>
        <v>0</v>
      </c>
      <c r="AH125" s="943">
        <f>comparaison_samebasis_villages[[#This Row],[previous ref_ind]]-comparaison_samebasis_villages[[#This Row],[actual ref_ind]]</f>
        <v>0</v>
      </c>
      <c r="AI125" s="943">
        <f>comparaison_samebasis_villages[[#This Row],[previous ret_ind]]-comparaison_samebasis_villages[[#This Row],[actual ret_ind]]</f>
        <v>0</v>
      </c>
    </row>
    <row r="126" spans="1:35" ht="15.75" customHeight="1" x14ac:dyDescent="0.3">
      <c r="A126" s="401" t="s">
        <v>31</v>
      </c>
      <c r="B126" s="401" t="s">
        <v>31</v>
      </c>
      <c r="C126" s="401" t="s">
        <v>169</v>
      </c>
      <c r="D126" s="401" t="s">
        <v>169</v>
      </c>
      <c r="E126" s="401" t="s">
        <v>2848</v>
      </c>
      <c r="F126" s="5" t="s">
        <v>2345</v>
      </c>
      <c r="G126" s="401"/>
      <c r="H126" s="1093" t="s">
        <v>511</v>
      </c>
      <c r="I126" s="1216" t="s">
        <v>3112</v>
      </c>
      <c r="J126" s="403">
        <v>3</v>
      </c>
      <c r="K126" s="403">
        <v>6</v>
      </c>
      <c r="L126" s="1093" t="s">
        <v>367</v>
      </c>
      <c r="M126" s="401"/>
      <c r="O126" s="404" t="s">
        <v>30</v>
      </c>
      <c r="P126" s="404" t="s">
        <v>3522</v>
      </c>
      <c r="Q126" s="404" t="s">
        <v>158</v>
      </c>
      <c r="R126" s="404" t="s">
        <v>158</v>
      </c>
      <c r="S126" s="404" t="s">
        <v>729</v>
      </c>
      <c r="T126" s="404" t="s">
        <v>728</v>
      </c>
      <c r="U126" s="941">
        <v>3</v>
      </c>
      <c r="V126" s="941">
        <v>14</v>
      </c>
      <c r="W126" s="941">
        <v>0</v>
      </c>
      <c r="X126" s="941">
        <v>0</v>
      </c>
      <c r="Y126" s="941">
        <v>0</v>
      </c>
      <c r="Z126" s="941">
        <v>0</v>
      </c>
      <c r="AA126" s="942">
        <v>0</v>
      </c>
      <c r="AB126" s="942">
        <v>0</v>
      </c>
      <c r="AC126" s="942">
        <v>0</v>
      </c>
      <c r="AD126" s="942">
        <v>0</v>
      </c>
      <c r="AE126" s="942">
        <v>0</v>
      </c>
      <c r="AF126" s="942">
        <v>0</v>
      </c>
      <c r="AG126" s="943">
        <f>comparaison_samebasis_villages[[#This Row],[previous idp_ind]]-comparaison_samebasis_villages[[#This Row],[actual idp_ind]]</f>
        <v>-14</v>
      </c>
      <c r="AH126" s="943">
        <f>comparaison_samebasis_villages[[#This Row],[previous ref_ind]]-comparaison_samebasis_villages[[#This Row],[actual ref_ind]]</f>
        <v>0</v>
      </c>
      <c r="AI126" s="943">
        <f>comparaison_samebasis_villages[[#This Row],[previous ret_ind]]-comparaison_samebasis_villages[[#This Row],[actual ret_ind]]</f>
        <v>0</v>
      </c>
    </row>
    <row r="127" spans="1:35" ht="15.75" customHeight="1" x14ac:dyDescent="0.3">
      <c r="A127" s="401" t="s">
        <v>35</v>
      </c>
      <c r="B127" s="401" t="s">
        <v>35</v>
      </c>
      <c r="C127" s="401" t="s">
        <v>192</v>
      </c>
      <c r="D127" s="401" t="s">
        <v>192</v>
      </c>
      <c r="E127" s="401" t="s">
        <v>550</v>
      </c>
      <c r="F127" s="5" t="s">
        <v>3121</v>
      </c>
      <c r="G127" s="401" t="s">
        <v>3121</v>
      </c>
      <c r="H127" s="1093" t="s">
        <v>511</v>
      </c>
      <c r="I127" s="1216" t="s">
        <v>3112</v>
      </c>
      <c r="J127" s="403">
        <v>30</v>
      </c>
      <c r="K127" s="403">
        <v>160</v>
      </c>
      <c r="L127" s="1093" t="s">
        <v>377</v>
      </c>
      <c r="M127" s="401"/>
      <c r="O127" s="404" t="s">
        <v>30</v>
      </c>
      <c r="P127" s="404" t="s">
        <v>3522</v>
      </c>
      <c r="Q127" s="404" t="s">
        <v>158</v>
      </c>
      <c r="R127" s="404" t="s">
        <v>158</v>
      </c>
      <c r="S127" s="404" t="s">
        <v>2527</v>
      </c>
      <c r="T127" s="404" t="s">
        <v>2526</v>
      </c>
      <c r="U127" s="941">
        <v>0</v>
      </c>
      <c r="V127" s="941">
        <v>0</v>
      </c>
      <c r="W127" s="941">
        <v>0</v>
      </c>
      <c r="X127" s="941">
        <v>0</v>
      </c>
      <c r="Y127" s="941">
        <v>0</v>
      </c>
      <c r="Z127" s="941">
        <v>0</v>
      </c>
      <c r="AA127" s="942">
        <v>0</v>
      </c>
      <c r="AB127" s="942">
        <v>0</v>
      </c>
      <c r="AC127" s="942">
        <v>0</v>
      </c>
      <c r="AD127" s="942">
        <v>0</v>
      </c>
      <c r="AE127" s="942">
        <v>0</v>
      </c>
      <c r="AF127" s="942">
        <v>0</v>
      </c>
      <c r="AG127" s="943">
        <f>comparaison_samebasis_villages[[#This Row],[previous idp_ind]]-comparaison_samebasis_villages[[#This Row],[actual idp_ind]]</f>
        <v>0</v>
      </c>
      <c r="AH127" s="943">
        <f>comparaison_samebasis_villages[[#This Row],[previous ref_ind]]-comparaison_samebasis_villages[[#This Row],[actual ref_ind]]</f>
        <v>0</v>
      </c>
      <c r="AI127" s="943">
        <f>comparaison_samebasis_villages[[#This Row],[previous ret_ind]]-comparaison_samebasis_villages[[#This Row],[actual ret_ind]]</f>
        <v>0</v>
      </c>
    </row>
    <row r="128" spans="1:35" ht="15.75" customHeight="1" x14ac:dyDescent="0.3">
      <c r="A128" s="401" t="s">
        <v>35</v>
      </c>
      <c r="B128" s="401" t="s">
        <v>35</v>
      </c>
      <c r="C128" s="401" t="s">
        <v>192</v>
      </c>
      <c r="D128" s="401" t="s">
        <v>192</v>
      </c>
      <c r="E128" s="401" t="s">
        <v>1398</v>
      </c>
      <c r="F128" s="5" t="s">
        <v>1506</v>
      </c>
      <c r="G128" s="401"/>
      <c r="H128" s="1093" t="s">
        <v>511</v>
      </c>
      <c r="I128" s="1216" t="s">
        <v>3111</v>
      </c>
      <c r="J128" s="403">
        <v>6</v>
      </c>
      <c r="K128" s="403">
        <v>18</v>
      </c>
      <c r="L128" s="1093" t="s">
        <v>367</v>
      </c>
      <c r="M128" s="401"/>
      <c r="O128" s="404" t="s">
        <v>32</v>
      </c>
      <c r="P128" s="404" t="s">
        <v>32</v>
      </c>
      <c r="Q128" s="404" t="s">
        <v>175</v>
      </c>
      <c r="R128" s="404" t="s">
        <v>175</v>
      </c>
      <c r="S128" s="404" t="s">
        <v>1759</v>
      </c>
      <c r="T128" s="404" t="s">
        <v>1758</v>
      </c>
      <c r="U128" s="941">
        <v>40</v>
      </c>
      <c r="V128" s="941">
        <v>305</v>
      </c>
      <c r="W128" s="941">
        <v>0</v>
      </c>
      <c r="X128" s="941">
        <v>0</v>
      </c>
      <c r="Y128" s="941">
        <v>75</v>
      </c>
      <c r="Z128" s="941">
        <v>75</v>
      </c>
      <c r="AA128" s="942">
        <v>40</v>
      </c>
      <c r="AB128" s="942">
        <v>305</v>
      </c>
      <c r="AC128" s="942">
        <v>0</v>
      </c>
      <c r="AD128" s="942">
        <v>0</v>
      </c>
      <c r="AE128" s="942">
        <v>0</v>
      </c>
      <c r="AF128" s="942">
        <v>0</v>
      </c>
      <c r="AG128" s="943">
        <f>comparaison_samebasis_villages[[#This Row],[previous idp_ind]]-comparaison_samebasis_villages[[#This Row],[actual idp_ind]]</f>
        <v>0</v>
      </c>
      <c r="AH128" s="943">
        <f>comparaison_samebasis_villages[[#This Row],[previous ref_ind]]-comparaison_samebasis_villages[[#This Row],[actual ref_ind]]</f>
        <v>0</v>
      </c>
      <c r="AI128" s="943">
        <f>comparaison_samebasis_villages[[#This Row],[previous ret_ind]]-comparaison_samebasis_villages[[#This Row],[actual ret_ind]]</f>
        <v>-75</v>
      </c>
    </row>
    <row r="129" spans="1:35" ht="15.75" customHeight="1" x14ac:dyDescent="0.3">
      <c r="A129" s="401" t="s">
        <v>35</v>
      </c>
      <c r="B129" s="401" t="s">
        <v>35</v>
      </c>
      <c r="C129" s="401" t="s">
        <v>192</v>
      </c>
      <c r="D129" s="401" t="s">
        <v>192</v>
      </c>
      <c r="E129" s="401" t="s">
        <v>1398</v>
      </c>
      <c r="F129" s="5" t="s">
        <v>1506</v>
      </c>
      <c r="G129" s="401"/>
      <c r="H129" s="1093" t="s">
        <v>511</v>
      </c>
      <c r="I129" s="1216" t="s">
        <v>3112</v>
      </c>
      <c r="J129" s="403">
        <v>21</v>
      </c>
      <c r="K129" s="403">
        <v>140</v>
      </c>
      <c r="L129" s="1093" t="s">
        <v>367</v>
      </c>
      <c r="M129" s="401"/>
      <c r="O129" s="404" t="s">
        <v>32</v>
      </c>
      <c r="P129" s="404" t="s">
        <v>32</v>
      </c>
      <c r="Q129" s="404" t="s">
        <v>175</v>
      </c>
      <c r="R129" s="404" t="s">
        <v>175</v>
      </c>
      <c r="S129" s="404" t="s">
        <v>1138</v>
      </c>
      <c r="T129" s="404" t="s">
        <v>1137</v>
      </c>
      <c r="U129" s="941">
        <v>38</v>
      </c>
      <c r="V129" s="941">
        <v>220</v>
      </c>
      <c r="W129" s="941">
        <v>0</v>
      </c>
      <c r="X129" s="941">
        <v>0</v>
      </c>
      <c r="Y129" s="941">
        <v>550</v>
      </c>
      <c r="Z129" s="941">
        <v>550</v>
      </c>
      <c r="AA129" s="942">
        <v>38</v>
      </c>
      <c r="AB129" s="942">
        <v>220</v>
      </c>
      <c r="AC129" s="942">
        <v>0</v>
      </c>
      <c r="AD129" s="942">
        <v>0</v>
      </c>
      <c r="AE129" s="942">
        <v>0</v>
      </c>
      <c r="AF129" s="942">
        <v>0</v>
      </c>
      <c r="AG129" s="943">
        <f>comparaison_samebasis_villages[[#This Row],[previous idp_ind]]-comparaison_samebasis_villages[[#This Row],[actual idp_ind]]</f>
        <v>0</v>
      </c>
      <c r="AH129" s="943">
        <f>comparaison_samebasis_villages[[#This Row],[previous ref_ind]]-comparaison_samebasis_villages[[#This Row],[actual ref_ind]]</f>
        <v>0</v>
      </c>
      <c r="AI129" s="943">
        <f>comparaison_samebasis_villages[[#This Row],[previous ret_ind]]-comparaison_samebasis_villages[[#This Row],[actual ret_ind]]</f>
        <v>-550</v>
      </c>
    </row>
    <row r="130" spans="1:35" ht="15.75" customHeight="1" x14ac:dyDescent="0.3">
      <c r="A130" s="401" t="s">
        <v>35</v>
      </c>
      <c r="B130" s="401" t="s">
        <v>35</v>
      </c>
      <c r="C130" s="401" t="s">
        <v>193</v>
      </c>
      <c r="D130" s="401" t="s">
        <v>3983</v>
      </c>
      <c r="E130" s="401" t="s">
        <v>1582</v>
      </c>
      <c r="F130" s="5" t="s">
        <v>1092</v>
      </c>
      <c r="G130" s="401"/>
      <c r="H130" s="1093" t="s">
        <v>511</v>
      </c>
      <c r="I130" s="1216" t="s">
        <v>3033</v>
      </c>
      <c r="J130" s="403">
        <v>89</v>
      </c>
      <c r="K130" s="403">
        <v>480</v>
      </c>
      <c r="L130" s="1093" t="s">
        <v>365</v>
      </c>
      <c r="M130" s="401"/>
      <c r="O130" s="404" t="s">
        <v>32</v>
      </c>
      <c r="P130" s="404" t="s">
        <v>32</v>
      </c>
      <c r="Q130" s="404" t="s">
        <v>175</v>
      </c>
      <c r="R130" s="404" t="s">
        <v>175</v>
      </c>
      <c r="S130" s="404" t="s">
        <v>1761</v>
      </c>
      <c r="T130" s="404" t="s">
        <v>1760</v>
      </c>
      <c r="U130" s="941">
        <v>22</v>
      </c>
      <c r="V130" s="941">
        <v>123</v>
      </c>
      <c r="W130" s="941">
        <v>3</v>
      </c>
      <c r="X130" s="941">
        <v>13</v>
      </c>
      <c r="Y130" s="941">
        <v>0</v>
      </c>
      <c r="Z130" s="941">
        <v>0</v>
      </c>
      <c r="AA130" s="942">
        <v>22</v>
      </c>
      <c r="AB130" s="942">
        <v>123</v>
      </c>
      <c r="AC130" s="942">
        <v>3</v>
      </c>
      <c r="AD130" s="942">
        <v>13</v>
      </c>
      <c r="AE130" s="942">
        <v>0</v>
      </c>
      <c r="AF130" s="942">
        <v>0</v>
      </c>
      <c r="AG130" s="943">
        <f>comparaison_samebasis_villages[[#This Row],[previous idp_ind]]-comparaison_samebasis_villages[[#This Row],[actual idp_ind]]</f>
        <v>0</v>
      </c>
      <c r="AH130" s="943">
        <f>comparaison_samebasis_villages[[#This Row],[previous ref_ind]]-comparaison_samebasis_villages[[#This Row],[actual ref_ind]]</f>
        <v>0</v>
      </c>
      <c r="AI130" s="943">
        <f>comparaison_samebasis_villages[[#This Row],[previous ret_ind]]-comparaison_samebasis_villages[[#This Row],[actual ret_ind]]</f>
        <v>0</v>
      </c>
    </row>
    <row r="131" spans="1:35" ht="15.75" customHeight="1" x14ac:dyDescent="0.3">
      <c r="A131" s="401" t="s">
        <v>35</v>
      </c>
      <c r="B131" s="401" t="s">
        <v>35</v>
      </c>
      <c r="C131" s="401" t="s">
        <v>193</v>
      </c>
      <c r="D131" s="401" t="s">
        <v>3983</v>
      </c>
      <c r="E131" s="401" t="s">
        <v>1582</v>
      </c>
      <c r="F131" s="5" t="s">
        <v>1092</v>
      </c>
      <c r="G131" s="401"/>
      <c r="H131" s="1093" t="s">
        <v>511</v>
      </c>
      <c r="I131" s="1216" t="s">
        <v>3112</v>
      </c>
      <c r="J131" s="403">
        <v>17</v>
      </c>
      <c r="K131" s="403">
        <v>60</v>
      </c>
      <c r="L131" s="1093" t="s">
        <v>365</v>
      </c>
      <c r="M131" s="401"/>
      <c r="O131" s="404" t="s">
        <v>32</v>
      </c>
      <c r="P131" s="404" t="s">
        <v>32</v>
      </c>
      <c r="Q131" s="404" t="s">
        <v>175</v>
      </c>
      <c r="R131" s="404" t="s">
        <v>175</v>
      </c>
      <c r="S131" s="404" t="s">
        <v>2232</v>
      </c>
      <c r="T131" s="404" t="s">
        <v>2231</v>
      </c>
      <c r="U131" s="941">
        <v>0</v>
      </c>
      <c r="V131" s="941">
        <v>0</v>
      </c>
      <c r="W131" s="941">
        <v>23</v>
      </c>
      <c r="X131" s="941">
        <v>115</v>
      </c>
      <c r="Y131" s="941">
        <v>0</v>
      </c>
      <c r="Z131" s="941">
        <v>0</v>
      </c>
      <c r="AA131" s="942">
        <v>0</v>
      </c>
      <c r="AB131" s="942">
        <v>0</v>
      </c>
      <c r="AC131" s="942">
        <v>23</v>
      </c>
      <c r="AD131" s="942">
        <v>115</v>
      </c>
      <c r="AE131" s="942">
        <v>0</v>
      </c>
      <c r="AF131" s="942">
        <v>0</v>
      </c>
      <c r="AG131" s="943">
        <f>comparaison_samebasis_villages[[#This Row],[previous idp_ind]]-comparaison_samebasis_villages[[#This Row],[actual idp_ind]]</f>
        <v>0</v>
      </c>
      <c r="AH131" s="943">
        <f>comparaison_samebasis_villages[[#This Row],[previous ref_ind]]-comparaison_samebasis_villages[[#This Row],[actual ref_ind]]</f>
        <v>0</v>
      </c>
      <c r="AI131" s="943">
        <f>comparaison_samebasis_villages[[#This Row],[previous ret_ind]]-comparaison_samebasis_villages[[#This Row],[actual ret_ind]]</f>
        <v>0</v>
      </c>
    </row>
    <row r="132" spans="1:35" ht="15.75" customHeight="1" x14ac:dyDescent="0.3">
      <c r="A132" s="401" t="s">
        <v>35</v>
      </c>
      <c r="B132" s="401" t="s">
        <v>35</v>
      </c>
      <c r="C132" s="401" t="s">
        <v>190</v>
      </c>
      <c r="D132" s="401" t="s">
        <v>190</v>
      </c>
      <c r="E132" s="401" t="s">
        <v>2181</v>
      </c>
      <c r="F132" s="5" t="s">
        <v>2182</v>
      </c>
      <c r="G132" s="401"/>
      <c r="H132" s="1093" t="s">
        <v>511</v>
      </c>
      <c r="I132" s="1216" t="s">
        <v>3033</v>
      </c>
      <c r="J132" s="403">
        <v>0</v>
      </c>
      <c r="K132" s="403">
        <v>1</v>
      </c>
      <c r="L132" s="1093" t="s">
        <v>367</v>
      </c>
      <c r="M132" s="401"/>
      <c r="O132" s="404" t="s">
        <v>32</v>
      </c>
      <c r="P132" s="404" t="s">
        <v>32</v>
      </c>
      <c r="Q132" s="404" t="s">
        <v>175</v>
      </c>
      <c r="R132" s="404" t="s">
        <v>175</v>
      </c>
      <c r="S132" s="404" t="s">
        <v>1763</v>
      </c>
      <c r="T132" s="404" t="s">
        <v>1762</v>
      </c>
      <c r="U132" s="941">
        <v>45</v>
      </c>
      <c r="V132" s="941">
        <v>270</v>
      </c>
      <c r="W132" s="941">
        <v>0</v>
      </c>
      <c r="X132" s="941">
        <v>0</v>
      </c>
      <c r="Y132" s="941">
        <v>360</v>
      </c>
      <c r="Z132" s="941">
        <v>360</v>
      </c>
      <c r="AA132" s="942">
        <v>45</v>
      </c>
      <c r="AB132" s="942">
        <v>270</v>
      </c>
      <c r="AC132" s="942">
        <v>0</v>
      </c>
      <c r="AD132" s="942">
        <v>0</v>
      </c>
      <c r="AE132" s="942">
        <v>0</v>
      </c>
      <c r="AF132" s="942">
        <v>0</v>
      </c>
      <c r="AG132" s="943">
        <f>comparaison_samebasis_villages[[#This Row],[previous idp_ind]]-comparaison_samebasis_villages[[#This Row],[actual idp_ind]]</f>
        <v>0</v>
      </c>
      <c r="AH132" s="943">
        <f>comparaison_samebasis_villages[[#This Row],[previous ref_ind]]-comparaison_samebasis_villages[[#This Row],[actual ref_ind]]</f>
        <v>0</v>
      </c>
      <c r="AI132" s="943">
        <f>comparaison_samebasis_villages[[#This Row],[previous ret_ind]]-comparaison_samebasis_villages[[#This Row],[actual ret_ind]]</f>
        <v>-360</v>
      </c>
    </row>
    <row r="133" spans="1:35" ht="15.75" customHeight="1" x14ac:dyDescent="0.3">
      <c r="A133" s="401" t="s">
        <v>35</v>
      </c>
      <c r="B133" s="401" t="s">
        <v>35</v>
      </c>
      <c r="C133" s="401" t="s">
        <v>190</v>
      </c>
      <c r="D133" s="401" t="s">
        <v>190</v>
      </c>
      <c r="E133" s="401" t="s">
        <v>2181</v>
      </c>
      <c r="F133" s="5" t="s">
        <v>2182</v>
      </c>
      <c r="G133" s="401"/>
      <c r="H133" s="1093" t="s">
        <v>511</v>
      </c>
      <c r="I133" s="1216" t="s">
        <v>3109</v>
      </c>
      <c r="J133" s="403">
        <v>6</v>
      </c>
      <c r="K133" s="403">
        <v>15</v>
      </c>
      <c r="L133" s="1093" t="s">
        <v>375</v>
      </c>
      <c r="M133" s="401"/>
      <c r="O133" s="404" t="s">
        <v>32</v>
      </c>
      <c r="P133" s="404" t="s">
        <v>32</v>
      </c>
      <c r="Q133" s="404" t="s">
        <v>175</v>
      </c>
      <c r="R133" s="404" t="s">
        <v>175</v>
      </c>
      <c r="S133" s="404" t="s">
        <v>1770</v>
      </c>
      <c r="T133" s="404" t="s">
        <v>1769</v>
      </c>
      <c r="U133" s="941">
        <v>30</v>
      </c>
      <c r="V133" s="941">
        <v>204</v>
      </c>
      <c r="W133" s="941">
        <v>40</v>
      </c>
      <c r="X133" s="941">
        <v>150</v>
      </c>
      <c r="Y133" s="941">
        <v>390</v>
      </c>
      <c r="Z133" s="941">
        <v>390</v>
      </c>
      <c r="AA133" s="942">
        <v>30</v>
      </c>
      <c r="AB133" s="942">
        <v>204</v>
      </c>
      <c r="AC133" s="942">
        <v>40</v>
      </c>
      <c r="AD133" s="942">
        <v>150</v>
      </c>
      <c r="AE133" s="942">
        <v>0</v>
      </c>
      <c r="AF133" s="942">
        <v>0</v>
      </c>
      <c r="AG133" s="943">
        <f>comparaison_samebasis_villages[[#This Row],[previous idp_ind]]-comparaison_samebasis_villages[[#This Row],[actual idp_ind]]</f>
        <v>0</v>
      </c>
      <c r="AH133" s="943">
        <f>comparaison_samebasis_villages[[#This Row],[previous ref_ind]]-comparaison_samebasis_villages[[#This Row],[actual ref_ind]]</f>
        <v>0</v>
      </c>
      <c r="AI133" s="943">
        <f>comparaison_samebasis_villages[[#This Row],[previous ret_ind]]-comparaison_samebasis_villages[[#This Row],[actual ret_ind]]</f>
        <v>-390</v>
      </c>
    </row>
    <row r="134" spans="1:35" ht="15.75" customHeight="1" x14ac:dyDescent="0.3">
      <c r="A134" s="401" t="s">
        <v>35</v>
      </c>
      <c r="B134" s="401" t="s">
        <v>35</v>
      </c>
      <c r="C134" s="401" t="s">
        <v>190</v>
      </c>
      <c r="D134" s="401" t="s">
        <v>190</v>
      </c>
      <c r="E134" s="401" t="s">
        <v>2181</v>
      </c>
      <c r="F134" s="5" t="s">
        <v>2182</v>
      </c>
      <c r="G134" s="401"/>
      <c r="H134" s="1093" t="s">
        <v>511</v>
      </c>
      <c r="I134" s="1216" t="s">
        <v>3110</v>
      </c>
      <c r="J134" s="403">
        <v>0</v>
      </c>
      <c r="K134" s="403">
        <v>5</v>
      </c>
      <c r="L134" s="1093" t="s">
        <v>367</v>
      </c>
      <c r="M134" s="401"/>
      <c r="O134" s="404" t="s">
        <v>32</v>
      </c>
      <c r="P134" s="404" t="s">
        <v>32</v>
      </c>
      <c r="Q134" s="404" t="s">
        <v>175</v>
      </c>
      <c r="R134" s="404" t="s">
        <v>175</v>
      </c>
      <c r="S134" s="404" t="s">
        <v>1477</v>
      </c>
      <c r="T134" s="404" t="s">
        <v>1476</v>
      </c>
      <c r="U134" s="941">
        <v>21</v>
      </c>
      <c r="V134" s="941">
        <v>155</v>
      </c>
      <c r="W134" s="941">
        <v>0</v>
      </c>
      <c r="X134" s="941">
        <v>0</v>
      </c>
      <c r="Y134" s="941">
        <v>90</v>
      </c>
      <c r="Z134" s="941">
        <v>90</v>
      </c>
      <c r="AA134" s="942">
        <v>21</v>
      </c>
      <c r="AB134" s="942">
        <v>155</v>
      </c>
      <c r="AC134" s="942">
        <v>0</v>
      </c>
      <c r="AD134" s="942">
        <v>0</v>
      </c>
      <c r="AE134" s="942">
        <v>0</v>
      </c>
      <c r="AF134" s="942">
        <v>0</v>
      </c>
      <c r="AG134" s="943">
        <f>comparaison_samebasis_villages[[#This Row],[previous idp_ind]]-comparaison_samebasis_villages[[#This Row],[actual idp_ind]]</f>
        <v>0</v>
      </c>
      <c r="AH134" s="943">
        <f>comparaison_samebasis_villages[[#This Row],[previous ref_ind]]-comparaison_samebasis_villages[[#This Row],[actual ref_ind]]</f>
        <v>0</v>
      </c>
      <c r="AI134" s="943">
        <f>comparaison_samebasis_villages[[#This Row],[previous ret_ind]]-comparaison_samebasis_villages[[#This Row],[actual ret_ind]]</f>
        <v>-90</v>
      </c>
    </row>
    <row r="135" spans="1:35" ht="15.75" customHeight="1" x14ac:dyDescent="0.3">
      <c r="A135" s="401" t="s">
        <v>35</v>
      </c>
      <c r="B135" s="401" t="s">
        <v>35</v>
      </c>
      <c r="C135" s="401" t="s">
        <v>190</v>
      </c>
      <c r="D135" s="401" t="s">
        <v>190</v>
      </c>
      <c r="E135" s="401" t="s">
        <v>2181</v>
      </c>
      <c r="F135" s="5" t="s">
        <v>2182</v>
      </c>
      <c r="G135" s="401"/>
      <c r="H135" s="1093" t="s">
        <v>511</v>
      </c>
      <c r="I135" s="1216" t="s">
        <v>3111</v>
      </c>
      <c r="J135" s="403">
        <v>0</v>
      </c>
      <c r="K135" s="403">
        <v>4</v>
      </c>
      <c r="L135" s="1093" t="s">
        <v>367</v>
      </c>
      <c r="M135" s="401"/>
      <c r="O135" s="404" t="s">
        <v>32</v>
      </c>
      <c r="P135" s="404" t="s">
        <v>32</v>
      </c>
      <c r="Q135" s="404" t="s">
        <v>175</v>
      </c>
      <c r="R135" s="404" t="s">
        <v>175</v>
      </c>
      <c r="S135" s="404" t="s">
        <v>1479</v>
      </c>
      <c r="T135" s="404" t="s">
        <v>1478</v>
      </c>
      <c r="U135" s="941">
        <v>31</v>
      </c>
      <c r="V135" s="941">
        <v>195</v>
      </c>
      <c r="W135" s="941">
        <v>0</v>
      </c>
      <c r="X135" s="941">
        <v>0</v>
      </c>
      <c r="Y135" s="941">
        <v>65</v>
      </c>
      <c r="Z135" s="941">
        <v>65</v>
      </c>
      <c r="AA135" s="942">
        <v>31</v>
      </c>
      <c r="AB135" s="942">
        <v>195</v>
      </c>
      <c r="AC135" s="942">
        <v>0</v>
      </c>
      <c r="AD135" s="942">
        <v>0</v>
      </c>
      <c r="AE135" s="942">
        <v>0</v>
      </c>
      <c r="AF135" s="942">
        <v>0</v>
      </c>
      <c r="AG135" s="943">
        <f>comparaison_samebasis_villages[[#This Row],[previous idp_ind]]-comparaison_samebasis_villages[[#This Row],[actual idp_ind]]</f>
        <v>0</v>
      </c>
      <c r="AH135" s="943">
        <f>comparaison_samebasis_villages[[#This Row],[previous ref_ind]]-comparaison_samebasis_villages[[#This Row],[actual ref_ind]]</f>
        <v>0</v>
      </c>
      <c r="AI135" s="943">
        <f>comparaison_samebasis_villages[[#This Row],[previous ret_ind]]-comparaison_samebasis_villages[[#This Row],[actual ret_ind]]</f>
        <v>-65</v>
      </c>
    </row>
    <row r="136" spans="1:35" ht="15.75" customHeight="1" x14ac:dyDescent="0.3">
      <c r="A136" s="401" t="s">
        <v>35</v>
      </c>
      <c r="B136" s="401" t="s">
        <v>35</v>
      </c>
      <c r="C136" s="401" t="s">
        <v>190</v>
      </c>
      <c r="D136" s="401" t="s">
        <v>190</v>
      </c>
      <c r="E136" s="401" t="s">
        <v>2273</v>
      </c>
      <c r="F136" s="5" t="s">
        <v>2274</v>
      </c>
      <c r="G136" s="401"/>
      <c r="H136" s="1093" t="s">
        <v>511</v>
      </c>
      <c r="I136" s="1216" t="s">
        <v>3033</v>
      </c>
      <c r="J136" s="403">
        <v>152</v>
      </c>
      <c r="K136" s="403">
        <v>800</v>
      </c>
      <c r="L136" s="1093" t="s">
        <v>367</v>
      </c>
      <c r="M136" s="401"/>
      <c r="O136" s="404" t="s">
        <v>32</v>
      </c>
      <c r="P136" s="404" t="s">
        <v>32</v>
      </c>
      <c r="Q136" s="404" t="s">
        <v>175</v>
      </c>
      <c r="R136" s="404" t="s">
        <v>175</v>
      </c>
      <c r="S136" s="404" t="s">
        <v>1772</v>
      </c>
      <c r="T136" s="404" t="s">
        <v>1771</v>
      </c>
      <c r="U136" s="941">
        <v>20</v>
      </c>
      <c r="V136" s="941">
        <v>115</v>
      </c>
      <c r="W136" s="941">
        <v>0</v>
      </c>
      <c r="X136" s="941">
        <v>0</v>
      </c>
      <c r="Y136" s="941">
        <v>121</v>
      </c>
      <c r="Z136" s="941">
        <v>121</v>
      </c>
      <c r="AA136" s="942">
        <v>20</v>
      </c>
      <c r="AB136" s="942">
        <v>115</v>
      </c>
      <c r="AC136" s="942">
        <v>0</v>
      </c>
      <c r="AD136" s="942">
        <v>0</v>
      </c>
      <c r="AE136" s="942">
        <v>0</v>
      </c>
      <c r="AF136" s="942">
        <v>0</v>
      </c>
      <c r="AG136" s="943">
        <f>comparaison_samebasis_villages[[#This Row],[previous idp_ind]]-comparaison_samebasis_villages[[#This Row],[actual idp_ind]]</f>
        <v>0</v>
      </c>
      <c r="AH136" s="943">
        <f>comparaison_samebasis_villages[[#This Row],[previous ref_ind]]-comparaison_samebasis_villages[[#This Row],[actual ref_ind]]</f>
        <v>0</v>
      </c>
      <c r="AI136" s="943">
        <f>comparaison_samebasis_villages[[#This Row],[previous ret_ind]]-comparaison_samebasis_villages[[#This Row],[actual ret_ind]]</f>
        <v>-121</v>
      </c>
    </row>
    <row r="137" spans="1:35" ht="15.75" customHeight="1" x14ac:dyDescent="0.3">
      <c r="A137" s="401" t="s">
        <v>35</v>
      </c>
      <c r="B137" s="401" t="s">
        <v>35</v>
      </c>
      <c r="C137" s="401" t="s">
        <v>190</v>
      </c>
      <c r="D137" s="401" t="s">
        <v>190</v>
      </c>
      <c r="E137" s="401" t="s">
        <v>2273</v>
      </c>
      <c r="F137" s="5" t="s">
        <v>2274</v>
      </c>
      <c r="G137" s="401"/>
      <c r="H137" s="1093" t="s">
        <v>511</v>
      </c>
      <c r="I137" s="1216" t="s">
        <v>3109</v>
      </c>
      <c r="J137" s="403">
        <v>0</v>
      </c>
      <c r="K137" s="403">
        <v>7</v>
      </c>
      <c r="L137" s="1093" t="s">
        <v>367</v>
      </c>
      <c r="M137" s="401"/>
      <c r="O137" s="404" t="s">
        <v>31</v>
      </c>
      <c r="P137" s="404" t="s">
        <v>31</v>
      </c>
      <c r="Q137" s="404" t="s">
        <v>167</v>
      </c>
      <c r="R137" s="404" t="s">
        <v>167</v>
      </c>
      <c r="S137" s="404" t="s">
        <v>2053</v>
      </c>
      <c r="T137" s="404" t="s">
        <v>2052</v>
      </c>
      <c r="U137" s="941">
        <v>50</v>
      </c>
      <c r="V137" s="941">
        <v>50</v>
      </c>
      <c r="W137" s="941">
        <v>0</v>
      </c>
      <c r="X137" s="941">
        <v>0</v>
      </c>
      <c r="Y137" s="941">
        <v>0</v>
      </c>
      <c r="Z137" s="941">
        <v>0</v>
      </c>
      <c r="AA137" s="942">
        <v>3</v>
      </c>
      <c r="AB137" s="942">
        <v>10</v>
      </c>
      <c r="AC137" s="942">
        <v>0</v>
      </c>
      <c r="AD137" s="942">
        <v>0</v>
      </c>
      <c r="AE137" s="942">
        <v>0</v>
      </c>
      <c r="AF137" s="942">
        <v>0</v>
      </c>
      <c r="AG137" s="943">
        <f>comparaison_samebasis_villages[[#This Row],[previous idp_ind]]-comparaison_samebasis_villages[[#This Row],[actual idp_ind]]</f>
        <v>-40</v>
      </c>
      <c r="AH137" s="943">
        <f>comparaison_samebasis_villages[[#This Row],[previous ref_ind]]-comparaison_samebasis_villages[[#This Row],[actual ref_ind]]</f>
        <v>0</v>
      </c>
      <c r="AI137" s="943">
        <f>comparaison_samebasis_villages[[#This Row],[previous ret_ind]]-comparaison_samebasis_villages[[#This Row],[actual ret_ind]]</f>
        <v>0</v>
      </c>
    </row>
    <row r="138" spans="1:35" ht="15.75" customHeight="1" x14ac:dyDescent="0.3">
      <c r="A138" s="401" t="s">
        <v>35</v>
      </c>
      <c r="B138" s="401" t="s">
        <v>35</v>
      </c>
      <c r="C138" s="401" t="s">
        <v>190</v>
      </c>
      <c r="D138" s="401" t="s">
        <v>190</v>
      </c>
      <c r="E138" s="401" t="s">
        <v>2273</v>
      </c>
      <c r="F138" s="5" t="s">
        <v>2274</v>
      </c>
      <c r="G138" s="401"/>
      <c r="H138" s="1093" t="s">
        <v>511</v>
      </c>
      <c r="I138" s="1216" t="s">
        <v>3110</v>
      </c>
      <c r="J138" s="403">
        <v>0</v>
      </c>
      <c r="K138" s="403">
        <v>7</v>
      </c>
      <c r="L138" s="1093" t="s">
        <v>367</v>
      </c>
      <c r="M138" s="401"/>
      <c r="O138" s="404" t="s">
        <v>31</v>
      </c>
      <c r="P138" s="404" t="s">
        <v>31</v>
      </c>
      <c r="Q138" s="404" t="s">
        <v>167</v>
      </c>
      <c r="R138" s="404" t="s">
        <v>167</v>
      </c>
      <c r="S138" s="404" t="s">
        <v>2116</v>
      </c>
      <c r="T138" s="404" t="s">
        <v>2145</v>
      </c>
      <c r="U138" s="941">
        <v>7</v>
      </c>
      <c r="V138" s="941">
        <v>29</v>
      </c>
      <c r="W138" s="941">
        <v>0</v>
      </c>
      <c r="X138" s="941">
        <v>0</v>
      </c>
      <c r="Y138" s="941">
        <v>0</v>
      </c>
      <c r="Z138" s="941">
        <v>0</v>
      </c>
      <c r="AA138" s="942">
        <v>5</v>
      </c>
      <c r="AB138" s="942">
        <v>17</v>
      </c>
      <c r="AC138" s="942">
        <v>0</v>
      </c>
      <c r="AD138" s="942">
        <v>0</v>
      </c>
      <c r="AE138" s="942">
        <v>0</v>
      </c>
      <c r="AF138" s="942">
        <v>0</v>
      </c>
      <c r="AG138" s="943">
        <f>comparaison_samebasis_villages[[#This Row],[previous idp_ind]]-comparaison_samebasis_villages[[#This Row],[actual idp_ind]]</f>
        <v>-12</v>
      </c>
      <c r="AH138" s="943">
        <f>comparaison_samebasis_villages[[#This Row],[previous ref_ind]]-comparaison_samebasis_villages[[#This Row],[actual ref_ind]]</f>
        <v>0</v>
      </c>
      <c r="AI138" s="943">
        <f>comparaison_samebasis_villages[[#This Row],[previous ret_ind]]-comparaison_samebasis_villages[[#This Row],[actual ret_ind]]</f>
        <v>0</v>
      </c>
    </row>
    <row r="139" spans="1:35" ht="15.75" customHeight="1" x14ac:dyDescent="0.3">
      <c r="A139" s="401" t="s">
        <v>35</v>
      </c>
      <c r="B139" s="401" t="s">
        <v>35</v>
      </c>
      <c r="C139" s="401" t="s">
        <v>190</v>
      </c>
      <c r="D139" s="401" t="s">
        <v>190</v>
      </c>
      <c r="E139" s="401" t="s">
        <v>2273</v>
      </c>
      <c r="F139" s="5" t="s">
        <v>2274</v>
      </c>
      <c r="G139" s="401"/>
      <c r="H139" s="1093" t="s">
        <v>511</v>
      </c>
      <c r="I139" s="1216" t="s">
        <v>3111</v>
      </c>
      <c r="J139" s="403">
        <v>1</v>
      </c>
      <c r="K139" s="403">
        <v>18</v>
      </c>
      <c r="L139" s="1093" t="s">
        <v>367</v>
      </c>
      <c r="M139" s="401"/>
      <c r="O139" s="404" t="s">
        <v>31</v>
      </c>
      <c r="P139" s="404" t="s">
        <v>31</v>
      </c>
      <c r="Q139" s="1145" t="s">
        <v>167</v>
      </c>
      <c r="R139" s="1145" t="s">
        <v>167</v>
      </c>
      <c r="S139" s="404" t="s">
        <v>1990</v>
      </c>
      <c r="T139" s="404" t="s">
        <v>1989</v>
      </c>
      <c r="U139" s="941">
        <v>0</v>
      </c>
      <c r="V139" s="941">
        <v>0</v>
      </c>
      <c r="W139" s="941">
        <v>0</v>
      </c>
      <c r="X139" s="941">
        <v>0</v>
      </c>
      <c r="Y139" s="941">
        <v>0</v>
      </c>
      <c r="Z139" s="941">
        <v>0</v>
      </c>
      <c r="AA139" s="942">
        <v>0</v>
      </c>
      <c r="AB139" s="942">
        <v>0</v>
      </c>
      <c r="AC139" s="942">
        <v>0</v>
      </c>
      <c r="AD139" s="942">
        <v>0</v>
      </c>
      <c r="AE139" s="942">
        <v>0</v>
      </c>
      <c r="AF139" s="942">
        <v>0</v>
      </c>
      <c r="AG139" s="943">
        <f>comparaison_samebasis_villages[[#This Row],[previous idp_ind]]-comparaison_samebasis_villages[[#This Row],[actual idp_ind]]</f>
        <v>0</v>
      </c>
      <c r="AH139" s="943">
        <f>comparaison_samebasis_villages[[#This Row],[previous ref_ind]]-comparaison_samebasis_villages[[#This Row],[actual ref_ind]]</f>
        <v>0</v>
      </c>
      <c r="AI139" s="943">
        <f>comparaison_samebasis_villages[[#This Row],[previous ret_ind]]-comparaison_samebasis_villages[[#This Row],[actual ret_ind]]</f>
        <v>0</v>
      </c>
    </row>
    <row r="140" spans="1:35" ht="15.75" customHeight="1" x14ac:dyDescent="0.3">
      <c r="A140" s="401" t="s">
        <v>31</v>
      </c>
      <c r="B140" s="401" t="s">
        <v>31</v>
      </c>
      <c r="C140" s="401" t="s">
        <v>170</v>
      </c>
      <c r="D140" s="401" t="s">
        <v>170</v>
      </c>
      <c r="E140" s="401" t="s">
        <v>2041</v>
      </c>
      <c r="F140" s="5" t="s">
        <v>1956</v>
      </c>
      <c r="G140" s="401"/>
      <c r="H140" s="1093" t="s">
        <v>511</v>
      </c>
      <c r="I140" s="1216" t="s">
        <v>3112</v>
      </c>
      <c r="J140" s="403">
        <v>6</v>
      </c>
      <c r="K140" s="403">
        <v>54</v>
      </c>
      <c r="L140" s="1093" t="s">
        <v>383</v>
      </c>
      <c r="M140" s="401" t="s">
        <v>3366</v>
      </c>
      <c r="O140" s="404" t="s">
        <v>31</v>
      </c>
      <c r="P140" s="404" t="s">
        <v>31</v>
      </c>
      <c r="Q140" s="404" t="s">
        <v>167</v>
      </c>
      <c r="R140" s="404" t="s">
        <v>167</v>
      </c>
      <c r="S140" s="404" t="s">
        <v>1904</v>
      </c>
      <c r="T140" s="404" t="s">
        <v>1903</v>
      </c>
      <c r="U140" s="941">
        <v>5</v>
      </c>
      <c r="V140" s="941">
        <v>35</v>
      </c>
      <c r="W140" s="941">
        <v>0</v>
      </c>
      <c r="X140" s="941">
        <v>0</v>
      </c>
      <c r="Y140" s="941">
        <v>0</v>
      </c>
      <c r="Z140" s="941">
        <v>0</v>
      </c>
      <c r="AA140" s="942">
        <v>5</v>
      </c>
      <c r="AB140" s="942">
        <v>35</v>
      </c>
      <c r="AC140" s="942">
        <v>0</v>
      </c>
      <c r="AD140" s="942">
        <v>0</v>
      </c>
      <c r="AE140" s="942">
        <v>0</v>
      </c>
      <c r="AF140" s="942">
        <v>0</v>
      </c>
      <c r="AG140" s="943">
        <f>comparaison_samebasis_villages[[#This Row],[previous idp_ind]]-comparaison_samebasis_villages[[#This Row],[actual idp_ind]]</f>
        <v>0</v>
      </c>
      <c r="AH140" s="943">
        <f>comparaison_samebasis_villages[[#This Row],[previous ref_ind]]-comparaison_samebasis_villages[[#This Row],[actual ref_ind]]</f>
        <v>0</v>
      </c>
      <c r="AI140" s="943">
        <f>comparaison_samebasis_villages[[#This Row],[previous ret_ind]]-comparaison_samebasis_villages[[#This Row],[actual ret_ind]]</f>
        <v>0</v>
      </c>
    </row>
    <row r="141" spans="1:35" ht="15.75" customHeight="1" x14ac:dyDescent="0.3">
      <c r="A141" s="401" t="s">
        <v>31</v>
      </c>
      <c r="B141" s="401" t="s">
        <v>31</v>
      </c>
      <c r="C141" s="401" t="s">
        <v>172</v>
      </c>
      <c r="D141" s="401" t="s">
        <v>172</v>
      </c>
      <c r="E141" s="401" t="s">
        <v>2996</v>
      </c>
      <c r="F141" s="5" t="s">
        <v>1039</v>
      </c>
      <c r="G141" s="401"/>
      <c r="H141" s="1093" t="s">
        <v>511</v>
      </c>
      <c r="I141" s="1216" t="s">
        <v>3110</v>
      </c>
      <c r="J141" s="403">
        <v>20</v>
      </c>
      <c r="K141" s="403">
        <v>117</v>
      </c>
      <c r="L141" s="1093" t="s">
        <v>367</v>
      </c>
      <c r="M141" s="401"/>
      <c r="O141" s="404" t="s">
        <v>31</v>
      </c>
      <c r="P141" s="404" t="s">
        <v>31</v>
      </c>
      <c r="Q141" s="404" t="s">
        <v>167</v>
      </c>
      <c r="R141" s="404" t="s">
        <v>167</v>
      </c>
      <c r="S141" s="404" t="s">
        <v>2078</v>
      </c>
      <c r="T141" s="404" t="s">
        <v>2077</v>
      </c>
      <c r="U141" s="941">
        <v>0</v>
      </c>
      <c r="V141" s="941">
        <v>0</v>
      </c>
      <c r="W141" s="941">
        <v>0</v>
      </c>
      <c r="X141" s="941">
        <v>0</v>
      </c>
      <c r="Y141" s="941">
        <v>0</v>
      </c>
      <c r="Z141" s="941">
        <v>0</v>
      </c>
      <c r="AA141" s="942">
        <v>6</v>
      </c>
      <c r="AB141" s="942">
        <v>32</v>
      </c>
      <c r="AC141" s="942">
        <v>0</v>
      </c>
      <c r="AD141" s="942">
        <v>0</v>
      </c>
      <c r="AE141" s="942">
        <v>0</v>
      </c>
      <c r="AF141" s="942">
        <v>0</v>
      </c>
      <c r="AG141" s="943">
        <f>comparaison_samebasis_villages[[#This Row],[previous idp_ind]]-comparaison_samebasis_villages[[#This Row],[actual idp_ind]]</f>
        <v>32</v>
      </c>
      <c r="AH141" s="943">
        <f>comparaison_samebasis_villages[[#This Row],[previous ref_ind]]-comparaison_samebasis_villages[[#This Row],[actual ref_ind]]</f>
        <v>0</v>
      </c>
      <c r="AI141" s="943">
        <f>comparaison_samebasis_villages[[#This Row],[previous ret_ind]]-comparaison_samebasis_villages[[#This Row],[actual ret_ind]]</f>
        <v>0</v>
      </c>
    </row>
    <row r="142" spans="1:35" ht="15.75" customHeight="1" x14ac:dyDescent="0.3">
      <c r="A142" s="401" t="s">
        <v>31</v>
      </c>
      <c r="B142" s="401" t="s">
        <v>31</v>
      </c>
      <c r="C142" s="401" t="s">
        <v>169</v>
      </c>
      <c r="D142" s="401" t="s">
        <v>169</v>
      </c>
      <c r="E142" s="401" t="s">
        <v>2808</v>
      </c>
      <c r="F142" s="5" t="s">
        <v>2354</v>
      </c>
      <c r="G142" s="401"/>
      <c r="H142" s="1093" t="s">
        <v>511</v>
      </c>
      <c r="I142" s="1216" t="s">
        <v>3111</v>
      </c>
      <c r="J142" s="403">
        <v>46</v>
      </c>
      <c r="K142" s="403">
        <v>180</v>
      </c>
      <c r="L142" s="1093" t="s">
        <v>367</v>
      </c>
      <c r="M142" s="401"/>
      <c r="O142" s="404" t="s">
        <v>31</v>
      </c>
      <c r="P142" s="404" t="s">
        <v>31</v>
      </c>
      <c r="Q142" s="404" t="s">
        <v>167</v>
      </c>
      <c r="R142" s="404" t="s">
        <v>167</v>
      </c>
      <c r="S142" s="404" t="s">
        <v>1779</v>
      </c>
      <c r="T142" s="404" t="s">
        <v>1778</v>
      </c>
      <c r="U142" s="941">
        <v>61</v>
      </c>
      <c r="V142" s="941">
        <v>369</v>
      </c>
      <c r="W142" s="941">
        <v>0</v>
      </c>
      <c r="X142" s="941">
        <v>0</v>
      </c>
      <c r="Y142" s="941">
        <v>0</v>
      </c>
      <c r="Z142" s="941">
        <v>0</v>
      </c>
      <c r="AA142" s="942">
        <v>61</v>
      </c>
      <c r="AB142" s="942">
        <v>368</v>
      </c>
      <c r="AC142" s="942">
        <v>0</v>
      </c>
      <c r="AD142" s="942">
        <v>0</v>
      </c>
      <c r="AE142" s="942">
        <v>0</v>
      </c>
      <c r="AF142" s="942">
        <v>0</v>
      </c>
      <c r="AG142" s="943">
        <f>comparaison_samebasis_villages[[#This Row],[previous idp_ind]]-comparaison_samebasis_villages[[#This Row],[actual idp_ind]]</f>
        <v>-1</v>
      </c>
      <c r="AH142" s="943">
        <f>comparaison_samebasis_villages[[#This Row],[previous ref_ind]]-comparaison_samebasis_villages[[#This Row],[actual ref_ind]]</f>
        <v>0</v>
      </c>
      <c r="AI142" s="943">
        <f>comparaison_samebasis_villages[[#This Row],[previous ret_ind]]-comparaison_samebasis_villages[[#This Row],[actual ret_ind]]</f>
        <v>0</v>
      </c>
    </row>
    <row r="143" spans="1:35" ht="15.75" customHeight="1" x14ac:dyDescent="0.3">
      <c r="A143" s="401" t="s">
        <v>31</v>
      </c>
      <c r="B143" s="401" t="s">
        <v>31</v>
      </c>
      <c r="C143" s="401" t="s">
        <v>169</v>
      </c>
      <c r="D143" s="401" t="s">
        <v>169</v>
      </c>
      <c r="E143" s="401" t="s">
        <v>2808</v>
      </c>
      <c r="F143" s="5" t="s">
        <v>2354</v>
      </c>
      <c r="G143" s="401"/>
      <c r="H143" s="1093" t="s">
        <v>511</v>
      </c>
      <c r="I143" s="1216" t="s">
        <v>3112</v>
      </c>
      <c r="J143" s="403">
        <v>15</v>
      </c>
      <c r="K143" s="403">
        <v>60</v>
      </c>
      <c r="L143" s="1093" t="s">
        <v>367</v>
      </c>
      <c r="M143" s="401"/>
      <c r="O143" s="404" t="s">
        <v>31</v>
      </c>
      <c r="P143" s="404" t="s">
        <v>31</v>
      </c>
      <c r="Q143" s="404" t="s">
        <v>167</v>
      </c>
      <c r="R143" s="404" t="s">
        <v>167</v>
      </c>
      <c r="S143" s="404" t="s">
        <v>2074</v>
      </c>
      <c r="T143" s="404" t="s">
        <v>2073</v>
      </c>
      <c r="U143" s="941">
        <v>68</v>
      </c>
      <c r="V143" s="941">
        <v>270</v>
      </c>
      <c r="W143" s="941">
        <v>0</v>
      </c>
      <c r="X143" s="941">
        <v>0</v>
      </c>
      <c r="Y143" s="941">
        <v>0</v>
      </c>
      <c r="Z143" s="941">
        <v>0</v>
      </c>
      <c r="AA143" s="942">
        <v>68</v>
      </c>
      <c r="AB143" s="942">
        <v>270</v>
      </c>
      <c r="AC143" s="942">
        <v>0</v>
      </c>
      <c r="AD143" s="942">
        <v>0</v>
      </c>
      <c r="AE143" s="942">
        <v>0</v>
      </c>
      <c r="AF143" s="942">
        <v>0</v>
      </c>
      <c r="AG143" s="943">
        <f>comparaison_samebasis_villages[[#This Row],[previous idp_ind]]-comparaison_samebasis_villages[[#This Row],[actual idp_ind]]</f>
        <v>0</v>
      </c>
      <c r="AH143" s="943">
        <f>comparaison_samebasis_villages[[#This Row],[previous ref_ind]]-comparaison_samebasis_villages[[#This Row],[actual ref_ind]]</f>
        <v>0</v>
      </c>
      <c r="AI143" s="943">
        <f>comparaison_samebasis_villages[[#This Row],[previous ret_ind]]-comparaison_samebasis_villages[[#This Row],[actual ret_ind]]</f>
        <v>0</v>
      </c>
    </row>
    <row r="144" spans="1:35" ht="15.75" customHeight="1" x14ac:dyDescent="0.3">
      <c r="A144" s="401" t="s">
        <v>31</v>
      </c>
      <c r="B144" s="401" t="s">
        <v>31</v>
      </c>
      <c r="C144" s="401" t="s">
        <v>169</v>
      </c>
      <c r="D144" s="401" t="s">
        <v>169</v>
      </c>
      <c r="E144" s="401" t="s">
        <v>2951</v>
      </c>
      <c r="F144" s="5" t="s">
        <v>829</v>
      </c>
      <c r="G144" s="401"/>
      <c r="H144" s="1093" t="s">
        <v>511</v>
      </c>
      <c r="I144" s="1216" t="s">
        <v>3111</v>
      </c>
      <c r="J144" s="403">
        <v>11</v>
      </c>
      <c r="K144" s="403">
        <v>93</v>
      </c>
      <c r="L144" s="1093" t="s">
        <v>367</v>
      </c>
      <c r="M144" s="401"/>
      <c r="O144" s="404" t="s">
        <v>31</v>
      </c>
      <c r="P144" s="404" t="s">
        <v>31</v>
      </c>
      <c r="Q144" s="404" t="s">
        <v>167</v>
      </c>
      <c r="R144" s="404" t="s">
        <v>167</v>
      </c>
      <c r="S144" s="404" t="s">
        <v>2046</v>
      </c>
      <c r="T144" s="404" t="s">
        <v>2901</v>
      </c>
      <c r="U144" s="941">
        <v>0</v>
      </c>
      <c r="V144" s="941">
        <v>0</v>
      </c>
      <c r="W144" s="941">
        <v>0</v>
      </c>
      <c r="X144" s="941">
        <v>0</v>
      </c>
      <c r="Y144" s="941">
        <v>0</v>
      </c>
      <c r="Z144" s="941">
        <v>0</v>
      </c>
      <c r="AA144" s="942">
        <v>35</v>
      </c>
      <c r="AB144" s="942">
        <v>70</v>
      </c>
      <c r="AC144" s="942">
        <v>0</v>
      </c>
      <c r="AD144" s="942">
        <v>0</v>
      </c>
      <c r="AE144" s="942">
        <v>0</v>
      </c>
      <c r="AF144" s="942">
        <v>0</v>
      </c>
      <c r="AG144" s="943">
        <f>comparaison_samebasis_villages[[#This Row],[previous idp_ind]]-comparaison_samebasis_villages[[#This Row],[actual idp_ind]]</f>
        <v>70</v>
      </c>
      <c r="AH144" s="943">
        <f>comparaison_samebasis_villages[[#This Row],[previous ref_ind]]-comparaison_samebasis_villages[[#This Row],[actual ref_ind]]</f>
        <v>0</v>
      </c>
      <c r="AI144" s="943">
        <f>comparaison_samebasis_villages[[#This Row],[previous ret_ind]]-comparaison_samebasis_villages[[#This Row],[actual ret_ind]]</f>
        <v>0</v>
      </c>
    </row>
    <row r="145" spans="1:35" ht="15.75" customHeight="1" x14ac:dyDescent="0.3">
      <c r="A145" s="401" t="s">
        <v>31</v>
      </c>
      <c r="B145" s="401" t="s">
        <v>31</v>
      </c>
      <c r="C145" s="401" t="s">
        <v>169</v>
      </c>
      <c r="D145" s="401" t="s">
        <v>169</v>
      </c>
      <c r="E145" s="401" t="s">
        <v>2951</v>
      </c>
      <c r="F145" s="5" t="s">
        <v>829</v>
      </c>
      <c r="G145" s="401"/>
      <c r="H145" s="1093" t="s">
        <v>511</v>
      </c>
      <c r="I145" s="1216" t="s">
        <v>3112</v>
      </c>
      <c r="J145" s="403">
        <v>18</v>
      </c>
      <c r="K145" s="403">
        <v>30</v>
      </c>
      <c r="L145" s="1093" t="s">
        <v>367</v>
      </c>
      <c r="M145" s="401"/>
      <c r="O145" s="404" t="s">
        <v>31</v>
      </c>
      <c r="P145" s="404" t="s">
        <v>31</v>
      </c>
      <c r="Q145" s="404" t="s">
        <v>167</v>
      </c>
      <c r="R145" s="404" t="s">
        <v>167</v>
      </c>
      <c r="S145" s="404" t="s">
        <v>2060</v>
      </c>
      <c r="T145" s="404" t="s">
        <v>2045</v>
      </c>
      <c r="U145" s="941">
        <v>20</v>
      </c>
      <c r="V145" s="941">
        <v>119</v>
      </c>
      <c r="W145" s="941">
        <v>0</v>
      </c>
      <c r="X145" s="941">
        <v>0</v>
      </c>
      <c r="Y145" s="941">
        <v>0</v>
      </c>
      <c r="Z145" s="941">
        <v>0</v>
      </c>
      <c r="AA145" s="942">
        <v>5</v>
      </c>
      <c r="AB145" s="942">
        <v>15</v>
      </c>
      <c r="AC145" s="942">
        <v>0</v>
      </c>
      <c r="AD145" s="942">
        <v>0</v>
      </c>
      <c r="AE145" s="942">
        <v>0</v>
      </c>
      <c r="AF145" s="942">
        <v>0</v>
      </c>
      <c r="AG145" s="943">
        <f>comparaison_samebasis_villages[[#This Row],[previous idp_ind]]-comparaison_samebasis_villages[[#This Row],[actual idp_ind]]</f>
        <v>-104</v>
      </c>
      <c r="AH145" s="943">
        <f>comparaison_samebasis_villages[[#This Row],[previous ref_ind]]-comparaison_samebasis_villages[[#This Row],[actual ref_ind]]</f>
        <v>0</v>
      </c>
      <c r="AI145" s="943">
        <f>comparaison_samebasis_villages[[#This Row],[previous ret_ind]]-comparaison_samebasis_villages[[#This Row],[actual ret_ind]]</f>
        <v>0</v>
      </c>
    </row>
    <row r="146" spans="1:35" ht="15.75" customHeight="1" x14ac:dyDescent="0.3">
      <c r="A146" s="401" t="s">
        <v>31</v>
      </c>
      <c r="B146" s="401" t="s">
        <v>31</v>
      </c>
      <c r="C146" s="401" t="s">
        <v>169</v>
      </c>
      <c r="D146" s="401" t="s">
        <v>169</v>
      </c>
      <c r="E146" s="401" t="s">
        <v>2894</v>
      </c>
      <c r="F146" s="5" t="s">
        <v>2343</v>
      </c>
      <c r="G146" s="401"/>
      <c r="H146" s="1093" t="s">
        <v>511</v>
      </c>
      <c r="I146" s="1216" t="s">
        <v>3111</v>
      </c>
      <c r="J146" s="403">
        <v>56</v>
      </c>
      <c r="K146" s="403">
        <v>459</v>
      </c>
      <c r="L146" s="1093" t="s">
        <v>367</v>
      </c>
      <c r="M146" s="401"/>
      <c r="O146" s="404" t="s">
        <v>31</v>
      </c>
      <c r="P146" s="404" t="s">
        <v>31</v>
      </c>
      <c r="Q146" s="404" t="s">
        <v>167</v>
      </c>
      <c r="R146" s="404" t="s">
        <v>167</v>
      </c>
      <c r="S146" s="404" t="s">
        <v>2076</v>
      </c>
      <c r="T146" s="404" t="s">
        <v>2059</v>
      </c>
      <c r="U146" s="941">
        <v>60</v>
      </c>
      <c r="V146" s="941">
        <v>60</v>
      </c>
      <c r="W146" s="941">
        <v>0</v>
      </c>
      <c r="X146" s="941">
        <v>0</v>
      </c>
      <c r="Y146" s="941">
        <v>0</v>
      </c>
      <c r="Z146" s="941">
        <v>0</v>
      </c>
      <c r="AA146" s="942">
        <v>7</v>
      </c>
      <c r="AB146" s="942">
        <v>55</v>
      </c>
      <c r="AC146" s="942">
        <v>0</v>
      </c>
      <c r="AD146" s="942">
        <v>0</v>
      </c>
      <c r="AE146" s="942">
        <v>0</v>
      </c>
      <c r="AF146" s="942">
        <v>0</v>
      </c>
      <c r="AG146" s="943">
        <f>comparaison_samebasis_villages[[#This Row],[previous idp_ind]]-comparaison_samebasis_villages[[#This Row],[actual idp_ind]]</f>
        <v>-5</v>
      </c>
      <c r="AH146" s="943">
        <f>comparaison_samebasis_villages[[#This Row],[previous ref_ind]]-comparaison_samebasis_villages[[#This Row],[actual ref_ind]]</f>
        <v>0</v>
      </c>
      <c r="AI146" s="943">
        <f>comparaison_samebasis_villages[[#This Row],[previous ret_ind]]-comparaison_samebasis_villages[[#This Row],[actual ret_ind]]</f>
        <v>0</v>
      </c>
    </row>
    <row r="147" spans="1:35" ht="15.75" customHeight="1" x14ac:dyDescent="0.3">
      <c r="A147" s="401" t="s">
        <v>31</v>
      </c>
      <c r="B147" s="401" t="s">
        <v>31</v>
      </c>
      <c r="C147" s="401" t="s">
        <v>169</v>
      </c>
      <c r="D147" s="401" t="s">
        <v>169</v>
      </c>
      <c r="E147" s="401" t="s">
        <v>2894</v>
      </c>
      <c r="F147" s="5" t="s">
        <v>2343</v>
      </c>
      <c r="G147" s="401"/>
      <c r="H147" s="1093" t="s">
        <v>511</v>
      </c>
      <c r="I147" s="1216" t="s">
        <v>3112</v>
      </c>
      <c r="J147" s="403">
        <v>33</v>
      </c>
      <c r="K147" s="403">
        <v>108</v>
      </c>
      <c r="L147" s="1093" t="s">
        <v>367</v>
      </c>
      <c r="M147" s="401"/>
      <c r="O147" s="404" t="s">
        <v>31</v>
      </c>
      <c r="P147" s="404" t="s">
        <v>31</v>
      </c>
      <c r="Q147" s="404" t="s">
        <v>167</v>
      </c>
      <c r="R147" s="404" t="s">
        <v>167</v>
      </c>
      <c r="S147" s="404" t="s">
        <v>2120</v>
      </c>
      <c r="T147" s="404" t="s">
        <v>2075</v>
      </c>
      <c r="U147" s="941">
        <v>2</v>
      </c>
      <c r="V147" s="941">
        <v>4</v>
      </c>
      <c r="W147" s="941">
        <v>0</v>
      </c>
      <c r="X147" s="941">
        <v>0</v>
      </c>
      <c r="Y147" s="941">
        <v>0</v>
      </c>
      <c r="Z147" s="941">
        <v>0</v>
      </c>
      <c r="AA147" s="942">
        <v>8</v>
      </c>
      <c r="AB147" s="942">
        <v>64</v>
      </c>
      <c r="AC147" s="942">
        <v>0</v>
      </c>
      <c r="AD147" s="942">
        <v>0</v>
      </c>
      <c r="AE147" s="942">
        <v>0</v>
      </c>
      <c r="AF147" s="942">
        <v>0</v>
      </c>
      <c r="AG147" s="943">
        <f>comparaison_samebasis_villages[[#This Row],[previous idp_ind]]-comparaison_samebasis_villages[[#This Row],[actual idp_ind]]</f>
        <v>60</v>
      </c>
      <c r="AH147" s="943">
        <f>comparaison_samebasis_villages[[#This Row],[previous ref_ind]]-comparaison_samebasis_villages[[#This Row],[actual ref_ind]]</f>
        <v>0</v>
      </c>
      <c r="AI147" s="943">
        <f>comparaison_samebasis_villages[[#This Row],[previous ret_ind]]-comparaison_samebasis_villages[[#This Row],[actual ret_ind]]</f>
        <v>0</v>
      </c>
    </row>
    <row r="148" spans="1:35" ht="15.75" customHeight="1" x14ac:dyDescent="0.3">
      <c r="A148" s="401" t="s">
        <v>31</v>
      </c>
      <c r="B148" s="401" t="s">
        <v>31</v>
      </c>
      <c r="C148" s="401" t="s">
        <v>169</v>
      </c>
      <c r="D148" s="401" t="s">
        <v>169</v>
      </c>
      <c r="E148" s="401" t="s">
        <v>2923</v>
      </c>
      <c r="F148" s="5" t="s">
        <v>1008</v>
      </c>
      <c r="G148" s="401"/>
      <c r="H148" s="1093" t="s">
        <v>511</v>
      </c>
      <c r="I148" s="1216" t="s">
        <v>3111</v>
      </c>
      <c r="J148" s="403">
        <v>15</v>
      </c>
      <c r="K148" s="403">
        <v>50</v>
      </c>
      <c r="L148" s="1093" t="s">
        <v>367</v>
      </c>
      <c r="M148" s="401"/>
      <c r="O148" s="404" t="s">
        <v>31</v>
      </c>
      <c r="P148" s="404" t="s">
        <v>31</v>
      </c>
      <c r="Q148" s="404" t="s">
        <v>167</v>
      </c>
      <c r="R148" s="404" t="s">
        <v>167</v>
      </c>
      <c r="S148" s="404" t="s">
        <v>1871</v>
      </c>
      <c r="T148" s="404" t="s">
        <v>2119</v>
      </c>
      <c r="U148" s="941">
        <v>12</v>
      </c>
      <c r="V148" s="941">
        <v>72</v>
      </c>
      <c r="W148" s="941">
        <v>0</v>
      </c>
      <c r="X148" s="941">
        <v>0</v>
      </c>
      <c r="Y148" s="941">
        <v>0</v>
      </c>
      <c r="Z148" s="941">
        <v>0</v>
      </c>
      <c r="AA148" s="942">
        <v>12</v>
      </c>
      <c r="AB148" s="942">
        <v>70</v>
      </c>
      <c r="AC148" s="942">
        <v>0</v>
      </c>
      <c r="AD148" s="942">
        <v>0</v>
      </c>
      <c r="AE148" s="942">
        <v>0</v>
      </c>
      <c r="AF148" s="942">
        <v>0</v>
      </c>
      <c r="AG148" s="943">
        <f>comparaison_samebasis_villages[[#This Row],[previous idp_ind]]-comparaison_samebasis_villages[[#This Row],[actual idp_ind]]</f>
        <v>-2</v>
      </c>
      <c r="AH148" s="943">
        <f>comparaison_samebasis_villages[[#This Row],[previous ref_ind]]-comparaison_samebasis_villages[[#This Row],[actual ref_ind]]</f>
        <v>0</v>
      </c>
      <c r="AI148" s="943">
        <f>comparaison_samebasis_villages[[#This Row],[previous ret_ind]]-comparaison_samebasis_villages[[#This Row],[actual ret_ind]]</f>
        <v>0</v>
      </c>
    </row>
    <row r="149" spans="1:35" ht="15.75" customHeight="1" x14ac:dyDescent="0.3">
      <c r="A149" s="401" t="s">
        <v>31</v>
      </c>
      <c r="B149" s="401" t="s">
        <v>31</v>
      </c>
      <c r="C149" s="401" t="s">
        <v>169</v>
      </c>
      <c r="D149" s="401" t="s">
        <v>169</v>
      </c>
      <c r="E149" s="401" t="s">
        <v>2923</v>
      </c>
      <c r="F149" s="5" t="s">
        <v>1008</v>
      </c>
      <c r="G149" s="401"/>
      <c r="H149" s="1093" t="s">
        <v>511</v>
      </c>
      <c r="I149" s="1216" t="s">
        <v>3112</v>
      </c>
      <c r="J149" s="403">
        <v>20</v>
      </c>
      <c r="K149" s="403">
        <v>120</v>
      </c>
      <c r="L149" s="1093" t="s">
        <v>367</v>
      </c>
      <c r="M149" s="401"/>
      <c r="O149" s="404" t="s">
        <v>31</v>
      </c>
      <c r="P149" s="404" t="s">
        <v>31</v>
      </c>
      <c r="Q149" s="404" t="s">
        <v>167</v>
      </c>
      <c r="R149" s="404" t="s">
        <v>167</v>
      </c>
      <c r="S149" s="404" t="s">
        <v>1826</v>
      </c>
      <c r="T149" s="404" t="s">
        <v>1870</v>
      </c>
      <c r="U149" s="941">
        <v>12</v>
      </c>
      <c r="V149" s="941">
        <v>81</v>
      </c>
      <c r="W149" s="941">
        <v>0</v>
      </c>
      <c r="X149" s="941">
        <v>0</v>
      </c>
      <c r="Y149" s="941">
        <v>0</v>
      </c>
      <c r="Z149" s="941">
        <v>0</v>
      </c>
      <c r="AA149" s="942">
        <v>12</v>
      </c>
      <c r="AB149" s="942">
        <v>88</v>
      </c>
      <c r="AC149" s="942">
        <v>0</v>
      </c>
      <c r="AD149" s="942">
        <v>0</v>
      </c>
      <c r="AE149" s="942">
        <v>0</v>
      </c>
      <c r="AF149" s="942">
        <v>0</v>
      </c>
      <c r="AG149" s="943">
        <f>comparaison_samebasis_villages[[#This Row],[previous idp_ind]]-comparaison_samebasis_villages[[#This Row],[actual idp_ind]]</f>
        <v>7</v>
      </c>
      <c r="AH149" s="943">
        <f>comparaison_samebasis_villages[[#This Row],[previous ref_ind]]-comparaison_samebasis_villages[[#This Row],[actual ref_ind]]</f>
        <v>0</v>
      </c>
      <c r="AI149" s="943">
        <f>comparaison_samebasis_villages[[#This Row],[previous ret_ind]]-comparaison_samebasis_villages[[#This Row],[actual ret_ind]]</f>
        <v>0</v>
      </c>
    </row>
    <row r="150" spans="1:35" ht="15.75" customHeight="1" x14ac:dyDescent="0.3">
      <c r="A150" s="401" t="s">
        <v>35</v>
      </c>
      <c r="B150" s="401" t="s">
        <v>35</v>
      </c>
      <c r="C150" s="401" t="s">
        <v>192</v>
      </c>
      <c r="D150" s="401" t="s">
        <v>192</v>
      </c>
      <c r="E150" s="401" t="s">
        <v>2962</v>
      </c>
      <c r="F150" s="5" t="s">
        <v>1313</v>
      </c>
      <c r="G150" s="401"/>
      <c r="H150" s="1093" t="s">
        <v>511</v>
      </c>
      <c r="I150" s="1216" t="s">
        <v>3110</v>
      </c>
      <c r="J150" s="403">
        <v>10</v>
      </c>
      <c r="K150" s="403">
        <v>40</v>
      </c>
      <c r="L150" s="1093" t="s">
        <v>367</v>
      </c>
      <c r="M150" s="401"/>
      <c r="O150" s="404" t="s">
        <v>31</v>
      </c>
      <c r="P150" s="404" t="s">
        <v>31</v>
      </c>
      <c r="Q150" s="404" t="s">
        <v>167</v>
      </c>
      <c r="R150" s="404" t="s">
        <v>167</v>
      </c>
      <c r="S150" s="404" t="s">
        <v>1930</v>
      </c>
      <c r="T150" s="404" t="s">
        <v>1825</v>
      </c>
      <c r="U150" s="941">
        <v>30</v>
      </c>
      <c r="V150" s="941">
        <v>30</v>
      </c>
      <c r="W150" s="941">
        <v>0</v>
      </c>
      <c r="X150" s="941">
        <v>0</v>
      </c>
      <c r="Y150" s="941">
        <v>0</v>
      </c>
      <c r="Z150" s="941">
        <v>0</v>
      </c>
      <c r="AA150" s="942">
        <v>11</v>
      </c>
      <c r="AB150" s="942">
        <v>63</v>
      </c>
      <c r="AC150" s="942">
        <v>0</v>
      </c>
      <c r="AD150" s="942">
        <v>0</v>
      </c>
      <c r="AE150" s="942">
        <v>0</v>
      </c>
      <c r="AF150" s="942">
        <v>0</v>
      </c>
      <c r="AG150" s="943">
        <f>comparaison_samebasis_villages[[#This Row],[previous idp_ind]]-comparaison_samebasis_villages[[#This Row],[actual idp_ind]]</f>
        <v>33</v>
      </c>
      <c r="AH150" s="943">
        <f>comparaison_samebasis_villages[[#This Row],[previous ref_ind]]-comparaison_samebasis_villages[[#This Row],[actual ref_ind]]</f>
        <v>0</v>
      </c>
      <c r="AI150" s="943">
        <f>comparaison_samebasis_villages[[#This Row],[previous ret_ind]]-comparaison_samebasis_villages[[#This Row],[actual ret_ind]]</f>
        <v>0</v>
      </c>
    </row>
    <row r="151" spans="1:35" ht="15.75" customHeight="1" x14ac:dyDescent="0.3">
      <c r="A151" s="401" t="s">
        <v>35</v>
      </c>
      <c r="B151" s="401" t="s">
        <v>35</v>
      </c>
      <c r="C151" s="401" t="s">
        <v>192</v>
      </c>
      <c r="D151" s="401" t="s">
        <v>192</v>
      </c>
      <c r="E151" s="401" t="s">
        <v>2962</v>
      </c>
      <c r="F151" s="5" t="s">
        <v>1313</v>
      </c>
      <c r="G151" s="401"/>
      <c r="H151" s="1093" t="s">
        <v>511</v>
      </c>
      <c r="I151" s="1216" t="s">
        <v>3112</v>
      </c>
      <c r="J151" s="403">
        <v>6</v>
      </c>
      <c r="K151" s="403">
        <v>47</v>
      </c>
      <c r="L151" s="1093" t="s">
        <v>367</v>
      </c>
      <c r="M151" s="401"/>
      <c r="O151" s="404" t="s">
        <v>31</v>
      </c>
      <c r="P151" s="404" t="s">
        <v>31</v>
      </c>
      <c r="Q151" s="404" t="s">
        <v>167</v>
      </c>
      <c r="R151" s="404" t="s">
        <v>167</v>
      </c>
      <c r="S151" s="404" t="s">
        <v>2529</v>
      </c>
      <c r="T151" s="404" t="s">
        <v>1929</v>
      </c>
      <c r="U151" s="941">
        <v>6</v>
      </c>
      <c r="V151" s="941">
        <v>30</v>
      </c>
      <c r="W151" s="941">
        <v>1</v>
      </c>
      <c r="X151" s="941">
        <v>4</v>
      </c>
      <c r="Y151" s="941">
        <v>0</v>
      </c>
      <c r="Z151" s="941">
        <v>0</v>
      </c>
      <c r="AA151" s="942">
        <v>0</v>
      </c>
      <c r="AB151" s="942">
        <v>0</v>
      </c>
      <c r="AC151" s="942">
        <v>0</v>
      </c>
      <c r="AD151" s="942">
        <v>0</v>
      </c>
      <c r="AE151" s="942">
        <v>0</v>
      </c>
      <c r="AF151" s="942">
        <v>0</v>
      </c>
      <c r="AG151" s="943">
        <f>comparaison_samebasis_villages[[#This Row],[previous idp_ind]]-comparaison_samebasis_villages[[#This Row],[actual idp_ind]]</f>
        <v>-30</v>
      </c>
      <c r="AH151" s="943">
        <f>comparaison_samebasis_villages[[#This Row],[previous ref_ind]]-comparaison_samebasis_villages[[#This Row],[actual ref_ind]]</f>
        <v>-4</v>
      </c>
      <c r="AI151" s="943">
        <f>comparaison_samebasis_villages[[#This Row],[previous ret_ind]]-comparaison_samebasis_villages[[#This Row],[actual ret_ind]]</f>
        <v>0</v>
      </c>
    </row>
    <row r="152" spans="1:35" ht="15.75" customHeight="1" x14ac:dyDescent="0.3">
      <c r="A152" s="401" t="s">
        <v>35</v>
      </c>
      <c r="B152" s="401" t="s">
        <v>35</v>
      </c>
      <c r="C152" s="401" t="s">
        <v>192</v>
      </c>
      <c r="D152" s="401" t="s">
        <v>192</v>
      </c>
      <c r="E152" s="401" t="s">
        <v>1168</v>
      </c>
      <c r="F152" s="5" t="s">
        <v>1413</v>
      </c>
      <c r="G152" s="401"/>
      <c r="H152" s="1093" t="s">
        <v>511</v>
      </c>
      <c r="I152" s="1216" t="s">
        <v>3110</v>
      </c>
      <c r="J152" s="403">
        <v>0</v>
      </c>
      <c r="K152" s="403">
        <v>10</v>
      </c>
      <c r="L152" s="1093" t="s">
        <v>367</v>
      </c>
      <c r="M152" s="401"/>
      <c r="O152" s="404" t="s">
        <v>31</v>
      </c>
      <c r="P152" s="404" t="s">
        <v>31</v>
      </c>
      <c r="Q152" s="404" t="s">
        <v>167</v>
      </c>
      <c r="R152" s="404" t="s">
        <v>167</v>
      </c>
      <c r="S152" s="404" t="s">
        <v>2062</v>
      </c>
      <c r="T152" s="404" t="s">
        <v>2528</v>
      </c>
      <c r="U152" s="941">
        <v>16</v>
      </c>
      <c r="V152" s="941">
        <v>106</v>
      </c>
      <c r="W152" s="941">
        <v>0</v>
      </c>
      <c r="X152" s="941">
        <v>0</v>
      </c>
      <c r="Y152" s="941">
        <v>0</v>
      </c>
      <c r="Z152" s="941">
        <v>0</v>
      </c>
      <c r="AA152" s="942">
        <v>16</v>
      </c>
      <c r="AB152" s="942">
        <v>106</v>
      </c>
      <c r="AC152" s="942">
        <v>0</v>
      </c>
      <c r="AD152" s="942">
        <v>0</v>
      </c>
      <c r="AE152" s="942">
        <v>0</v>
      </c>
      <c r="AF152" s="942">
        <v>0</v>
      </c>
      <c r="AG152" s="943">
        <f>comparaison_samebasis_villages[[#This Row],[previous idp_ind]]-comparaison_samebasis_villages[[#This Row],[actual idp_ind]]</f>
        <v>0</v>
      </c>
      <c r="AH152" s="943">
        <f>comparaison_samebasis_villages[[#This Row],[previous ref_ind]]-comparaison_samebasis_villages[[#This Row],[actual ref_ind]]</f>
        <v>0</v>
      </c>
      <c r="AI152" s="943">
        <f>comparaison_samebasis_villages[[#This Row],[previous ret_ind]]-comparaison_samebasis_villages[[#This Row],[actual ret_ind]]</f>
        <v>0</v>
      </c>
    </row>
    <row r="153" spans="1:35" ht="15.75" customHeight="1" x14ac:dyDescent="0.3">
      <c r="A153" s="401" t="s">
        <v>35</v>
      </c>
      <c r="B153" s="401" t="s">
        <v>35</v>
      </c>
      <c r="C153" s="401" t="s">
        <v>192</v>
      </c>
      <c r="D153" s="401" t="s">
        <v>192</v>
      </c>
      <c r="E153" s="401" t="s">
        <v>1168</v>
      </c>
      <c r="F153" s="5" t="s">
        <v>1413</v>
      </c>
      <c r="G153" s="401"/>
      <c r="H153" s="1093" t="s">
        <v>511</v>
      </c>
      <c r="I153" s="1216" t="s">
        <v>3111</v>
      </c>
      <c r="J153" s="403">
        <v>2</v>
      </c>
      <c r="K153" s="403">
        <v>9</v>
      </c>
      <c r="L153" s="1093" t="s">
        <v>367</v>
      </c>
      <c r="M153" s="401"/>
      <c r="O153" s="404" t="s">
        <v>31</v>
      </c>
      <c r="P153" s="404" t="s">
        <v>31</v>
      </c>
      <c r="Q153" s="404" t="s">
        <v>167</v>
      </c>
      <c r="R153" s="404" t="s">
        <v>167</v>
      </c>
      <c r="S153" s="404" t="s">
        <v>1873</v>
      </c>
      <c r="T153" s="404" t="s">
        <v>2061</v>
      </c>
      <c r="U153" s="941">
        <v>21</v>
      </c>
      <c r="V153" s="941">
        <v>112</v>
      </c>
      <c r="W153" s="941">
        <v>0</v>
      </c>
      <c r="X153" s="941">
        <v>0</v>
      </c>
      <c r="Y153" s="941">
        <v>0</v>
      </c>
      <c r="Z153" s="941">
        <v>0</v>
      </c>
      <c r="AA153" s="942">
        <v>12</v>
      </c>
      <c r="AB153" s="942">
        <v>123</v>
      </c>
      <c r="AC153" s="942">
        <v>0</v>
      </c>
      <c r="AD153" s="942">
        <v>0</v>
      </c>
      <c r="AE153" s="942">
        <v>0</v>
      </c>
      <c r="AF153" s="942">
        <v>0</v>
      </c>
      <c r="AG153" s="943">
        <f>comparaison_samebasis_villages[[#This Row],[previous idp_ind]]-comparaison_samebasis_villages[[#This Row],[actual idp_ind]]</f>
        <v>11</v>
      </c>
      <c r="AH153" s="943">
        <f>comparaison_samebasis_villages[[#This Row],[previous ref_ind]]-comparaison_samebasis_villages[[#This Row],[actual ref_ind]]</f>
        <v>0</v>
      </c>
      <c r="AI153" s="943">
        <f>comparaison_samebasis_villages[[#This Row],[previous ret_ind]]-comparaison_samebasis_villages[[#This Row],[actual ret_ind]]</f>
        <v>0</v>
      </c>
    </row>
    <row r="154" spans="1:35" ht="15.75" customHeight="1" x14ac:dyDescent="0.3">
      <c r="A154" s="401" t="s">
        <v>33</v>
      </c>
      <c r="B154" s="401" t="s">
        <v>33</v>
      </c>
      <c r="C154" s="401" t="s">
        <v>184</v>
      </c>
      <c r="D154" s="401" t="s">
        <v>184</v>
      </c>
      <c r="E154" s="401" t="s">
        <v>2227</v>
      </c>
      <c r="F154" s="5" t="s">
        <v>2639</v>
      </c>
      <c r="G154" s="401"/>
      <c r="H154" s="1093" t="s">
        <v>511</v>
      </c>
      <c r="I154" s="1216" t="s">
        <v>3033</v>
      </c>
      <c r="J154" s="403">
        <v>6</v>
      </c>
      <c r="K154" s="403">
        <v>30</v>
      </c>
      <c r="L154" s="1093" t="s">
        <v>367</v>
      </c>
      <c r="M154" s="401"/>
      <c r="O154" s="404" t="s">
        <v>31</v>
      </c>
      <c r="P154" s="404" t="s">
        <v>31</v>
      </c>
      <c r="Q154" s="404" t="s">
        <v>167</v>
      </c>
      <c r="R154" s="404" t="s">
        <v>167</v>
      </c>
      <c r="S154" s="404" t="s">
        <v>2050</v>
      </c>
      <c r="T154" s="404" t="s">
        <v>1872</v>
      </c>
      <c r="U154" s="941">
        <v>0</v>
      </c>
      <c r="V154" s="941">
        <v>0</v>
      </c>
      <c r="W154" s="941">
        <v>0</v>
      </c>
      <c r="X154" s="941">
        <v>0</v>
      </c>
      <c r="Y154" s="941">
        <v>0</v>
      </c>
      <c r="Z154" s="941">
        <v>0</v>
      </c>
      <c r="AA154" s="942">
        <v>55</v>
      </c>
      <c r="AB154" s="942">
        <v>55</v>
      </c>
      <c r="AC154" s="942">
        <v>0</v>
      </c>
      <c r="AD154" s="942">
        <v>0</v>
      </c>
      <c r="AE154" s="942">
        <v>0</v>
      </c>
      <c r="AF154" s="942">
        <v>0</v>
      </c>
      <c r="AG154" s="943">
        <f>comparaison_samebasis_villages[[#This Row],[previous idp_ind]]-comparaison_samebasis_villages[[#This Row],[actual idp_ind]]</f>
        <v>55</v>
      </c>
      <c r="AH154" s="943">
        <f>comparaison_samebasis_villages[[#This Row],[previous ref_ind]]-comparaison_samebasis_villages[[#This Row],[actual ref_ind]]</f>
        <v>0</v>
      </c>
      <c r="AI154" s="943">
        <f>comparaison_samebasis_villages[[#This Row],[previous ret_ind]]-comparaison_samebasis_villages[[#This Row],[actual ret_ind]]</f>
        <v>0</v>
      </c>
    </row>
    <row r="155" spans="1:35" ht="15.75" customHeight="1" x14ac:dyDescent="0.3">
      <c r="A155" s="401" t="s">
        <v>33</v>
      </c>
      <c r="B155" s="401" t="s">
        <v>33</v>
      </c>
      <c r="C155" s="401" t="s">
        <v>184</v>
      </c>
      <c r="D155" s="401" t="s">
        <v>184</v>
      </c>
      <c r="E155" s="401" t="s">
        <v>2227</v>
      </c>
      <c r="F155" s="5" t="s">
        <v>2639</v>
      </c>
      <c r="G155" s="401"/>
      <c r="H155" s="1093" t="s">
        <v>511</v>
      </c>
      <c r="I155" s="1216" t="s">
        <v>3112</v>
      </c>
      <c r="J155" s="403">
        <v>2</v>
      </c>
      <c r="K155" s="403">
        <v>15</v>
      </c>
      <c r="L155" s="1093" t="s">
        <v>371</v>
      </c>
      <c r="M155" s="401"/>
      <c r="O155" s="404" t="s">
        <v>31</v>
      </c>
      <c r="P155" s="404" t="s">
        <v>31</v>
      </c>
      <c r="Q155" s="404" t="s">
        <v>167</v>
      </c>
      <c r="R155" s="404" t="s">
        <v>167</v>
      </c>
      <c r="S155" s="404" t="s">
        <v>1934</v>
      </c>
      <c r="T155" s="404" t="s">
        <v>2049</v>
      </c>
      <c r="U155" s="941">
        <v>60</v>
      </c>
      <c r="V155" s="941">
        <v>750</v>
      </c>
      <c r="W155" s="941">
        <v>0</v>
      </c>
      <c r="X155" s="941">
        <v>0</v>
      </c>
      <c r="Y155" s="941">
        <v>0</v>
      </c>
      <c r="Z155" s="941">
        <v>0</v>
      </c>
      <c r="AA155" s="942">
        <v>12</v>
      </c>
      <c r="AB155" s="942">
        <v>98</v>
      </c>
      <c r="AC155" s="942">
        <v>0</v>
      </c>
      <c r="AD155" s="942">
        <v>0</v>
      </c>
      <c r="AE155" s="942">
        <v>0</v>
      </c>
      <c r="AF155" s="942">
        <v>0</v>
      </c>
      <c r="AG155" s="943">
        <f>comparaison_samebasis_villages[[#This Row],[previous idp_ind]]-comparaison_samebasis_villages[[#This Row],[actual idp_ind]]</f>
        <v>-652</v>
      </c>
      <c r="AH155" s="943">
        <f>comparaison_samebasis_villages[[#This Row],[previous ref_ind]]-comparaison_samebasis_villages[[#This Row],[actual ref_ind]]</f>
        <v>0</v>
      </c>
      <c r="AI155" s="943">
        <f>comparaison_samebasis_villages[[#This Row],[previous ret_ind]]-comparaison_samebasis_villages[[#This Row],[actual ret_ind]]</f>
        <v>0</v>
      </c>
    </row>
    <row r="156" spans="1:35" ht="15.75" customHeight="1" x14ac:dyDescent="0.3">
      <c r="A156" s="401" t="s">
        <v>31</v>
      </c>
      <c r="B156" s="401" t="s">
        <v>31</v>
      </c>
      <c r="C156" s="401" t="s">
        <v>169</v>
      </c>
      <c r="D156" s="401" t="s">
        <v>169</v>
      </c>
      <c r="E156" s="401" t="s">
        <v>2866</v>
      </c>
      <c r="F156" s="5" t="s">
        <v>2342</v>
      </c>
      <c r="G156" s="401"/>
      <c r="H156" s="1093" t="s">
        <v>511</v>
      </c>
      <c r="I156" s="1216" t="s">
        <v>3112</v>
      </c>
      <c r="J156" s="403">
        <v>5</v>
      </c>
      <c r="K156" s="403">
        <v>30</v>
      </c>
      <c r="L156" s="1093" t="s">
        <v>377</v>
      </c>
      <c r="M156" s="401"/>
      <c r="O156" s="404" t="s">
        <v>31</v>
      </c>
      <c r="P156" s="404" t="s">
        <v>31</v>
      </c>
      <c r="Q156" s="404" t="s">
        <v>167</v>
      </c>
      <c r="R156" s="404" t="s">
        <v>167</v>
      </c>
      <c r="S156" s="404" t="s">
        <v>1834</v>
      </c>
      <c r="T156" s="404" t="s">
        <v>1933</v>
      </c>
      <c r="U156" s="941">
        <v>2</v>
      </c>
      <c r="V156" s="941">
        <v>17</v>
      </c>
      <c r="W156" s="941">
        <v>0</v>
      </c>
      <c r="X156" s="941">
        <v>0</v>
      </c>
      <c r="Y156" s="941">
        <v>0</v>
      </c>
      <c r="Z156" s="941">
        <v>0</v>
      </c>
      <c r="AA156" s="942">
        <v>4</v>
      </c>
      <c r="AB156" s="942">
        <v>43</v>
      </c>
      <c r="AC156" s="942">
        <v>0</v>
      </c>
      <c r="AD156" s="942">
        <v>0</v>
      </c>
      <c r="AE156" s="942">
        <v>0</v>
      </c>
      <c r="AF156" s="942">
        <v>0</v>
      </c>
      <c r="AG156" s="943">
        <f>comparaison_samebasis_villages[[#This Row],[previous idp_ind]]-comparaison_samebasis_villages[[#This Row],[actual idp_ind]]</f>
        <v>26</v>
      </c>
      <c r="AH156" s="943">
        <f>comparaison_samebasis_villages[[#This Row],[previous ref_ind]]-comparaison_samebasis_villages[[#This Row],[actual ref_ind]]</f>
        <v>0</v>
      </c>
      <c r="AI156" s="943">
        <f>comparaison_samebasis_villages[[#This Row],[previous ret_ind]]-comparaison_samebasis_villages[[#This Row],[actual ret_ind]]</f>
        <v>0</v>
      </c>
    </row>
    <row r="157" spans="1:35" ht="15.75" customHeight="1" x14ac:dyDescent="0.3">
      <c r="A157" s="401" t="s">
        <v>31</v>
      </c>
      <c r="B157" s="401" t="s">
        <v>31</v>
      </c>
      <c r="C157" s="401" t="s">
        <v>169</v>
      </c>
      <c r="D157" s="401" t="s">
        <v>169</v>
      </c>
      <c r="E157" s="401" t="s">
        <v>550</v>
      </c>
      <c r="F157" s="5" t="s">
        <v>3123</v>
      </c>
      <c r="G157" s="401" t="s">
        <v>3123</v>
      </c>
      <c r="H157" s="1093" t="s">
        <v>511</v>
      </c>
      <c r="I157" s="1216" t="s">
        <v>3111</v>
      </c>
      <c r="J157" s="403">
        <v>5</v>
      </c>
      <c r="K157" s="403">
        <v>30</v>
      </c>
      <c r="L157" s="1093" t="s">
        <v>365</v>
      </c>
      <c r="M157" s="401"/>
      <c r="O157" s="404" t="s">
        <v>31</v>
      </c>
      <c r="P157" s="404" t="s">
        <v>31</v>
      </c>
      <c r="Q157" s="404" t="s">
        <v>167</v>
      </c>
      <c r="R157" s="404" t="s">
        <v>167</v>
      </c>
      <c r="S157" s="404" t="s">
        <v>1938</v>
      </c>
      <c r="T157" s="404" t="s">
        <v>1833</v>
      </c>
      <c r="U157" s="941">
        <v>38</v>
      </c>
      <c r="V157" s="941">
        <v>238</v>
      </c>
      <c r="W157" s="941">
        <v>0</v>
      </c>
      <c r="X157" s="941">
        <v>0</v>
      </c>
      <c r="Y157" s="941">
        <v>5</v>
      </c>
      <c r="Z157" s="941">
        <v>5</v>
      </c>
      <c r="AA157" s="942">
        <v>29</v>
      </c>
      <c r="AB157" s="942">
        <v>210</v>
      </c>
      <c r="AC157" s="942">
        <v>0</v>
      </c>
      <c r="AD157" s="942">
        <v>0</v>
      </c>
      <c r="AE157" s="942">
        <v>0</v>
      </c>
      <c r="AF157" s="942">
        <v>0</v>
      </c>
      <c r="AG157" s="943">
        <f>comparaison_samebasis_villages[[#This Row],[previous idp_ind]]-comparaison_samebasis_villages[[#This Row],[actual idp_ind]]</f>
        <v>-28</v>
      </c>
      <c r="AH157" s="943">
        <f>comparaison_samebasis_villages[[#This Row],[previous ref_ind]]-comparaison_samebasis_villages[[#This Row],[actual ref_ind]]</f>
        <v>0</v>
      </c>
      <c r="AI157" s="943">
        <f>comparaison_samebasis_villages[[#This Row],[previous ret_ind]]-comparaison_samebasis_villages[[#This Row],[actual ret_ind]]</f>
        <v>-5</v>
      </c>
    </row>
    <row r="158" spans="1:35" ht="15.75" customHeight="1" x14ac:dyDescent="0.3">
      <c r="A158" s="401" t="s">
        <v>31</v>
      </c>
      <c r="B158" s="401" t="s">
        <v>31</v>
      </c>
      <c r="C158" s="401" t="s">
        <v>169</v>
      </c>
      <c r="D158" s="401" t="s">
        <v>169</v>
      </c>
      <c r="E158" s="401" t="s">
        <v>550</v>
      </c>
      <c r="F158" s="5" t="s">
        <v>3124</v>
      </c>
      <c r="G158" s="401" t="s">
        <v>3124</v>
      </c>
      <c r="H158" s="1093" t="s">
        <v>511</v>
      </c>
      <c r="I158" s="1216" t="s">
        <v>3112</v>
      </c>
      <c r="J158" s="403">
        <v>6</v>
      </c>
      <c r="K158" s="403">
        <v>20</v>
      </c>
      <c r="L158" s="1093" t="s">
        <v>365</v>
      </c>
      <c r="M158" s="401"/>
      <c r="O158" s="399" t="s">
        <v>31</v>
      </c>
      <c r="P158" s="399" t="s">
        <v>31</v>
      </c>
      <c r="Q158" s="399" t="s">
        <v>167</v>
      </c>
      <c r="R158" s="399" t="s">
        <v>167</v>
      </c>
      <c r="S158" s="399" t="s">
        <v>2531</v>
      </c>
      <c r="T158" s="399" t="s">
        <v>1937</v>
      </c>
      <c r="U158" s="941">
        <v>40</v>
      </c>
      <c r="V158" s="941">
        <v>40</v>
      </c>
      <c r="W158" s="941">
        <v>0</v>
      </c>
      <c r="X158" s="941">
        <v>0</v>
      </c>
      <c r="Y158" s="941">
        <v>0</v>
      </c>
      <c r="Z158" s="941">
        <v>0</v>
      </c>
      <c r="AA158" s="942">
        <v>0</v>
      </c>
      <c r="AB158" s="942">
        <v>0</v>
      </c>
      <c r="AC158" s="942">
        <v>0</v>
      </c>
      <c r="AD158" s="942">
        <v>0</v>
      </c>
      <c r="AE158" s="942">
        <v>0</v>
      </c>
      <c r="AF158" s="942">
        <v>0</v>
      </c>
      <c r="AG158" s="943">
        <f>comparaison_samebasis_villages[[#This Row],[previous idp_ind]]-comparaison_samebasis_villages[[#This Row],[actual idp_ind]]</f>
        <v>-40</v>
      </c>
      <c r="AH158" s="943">
        <f>comparaison_samebasis_villages[[#This Row],[previous ref_ind]]-comparaison_samebasis_villages[[#This Row],[actual ref_ind]]</f>
        <v>0</v>
      </c>
      <c r="AI158" s="943">
        <f>comparaison_samebasis_villages[[#This Row],[previous ret_ind]]-comparaison_samebasis_villages[[#This Row],[actual ret_ind]]</f>
        <v>0</v>
      </c>
    </row>
    <row r="159" spans="1:35" ht="15.75" customHeight="1" x14ac:dyDescent="0.3">
      <c r="A159" s="401" t="s">
        <v>31</v>
      </c>
      <c r="B159" s="401" t="s">
        <v>31</v>
      </c>
      <c r="C159" s="401" t="s">
        <v>169</v>
      </c>
      <c r="D159" s="401" t="s">
        <v>169</v>
      </c>
      <c r="E159" s="401" t="s">
        <v>3195</v>
      </c>
      <c r="F159" s="5" t="s">
        <v>3077</v>
      </c>
      <c r="G159" s="401"/>
      <c r="H159" s="1093" t="s">
        <v>511</v>
      </c>
      <c r="I159" s="1216" t="s">
        <v>3112</v>
      </c>
      <c r="J159" s="403">
        <v>100</v>
      </c>
      <c r="K159" s="403">
        <v>1500</v>
      </c>
      <c r="L159" s="1093" t="s">
        <v>367</v>
      </c>
      <c r="M159" s="401"/>
      <c r="O159" s="404" t="s">
        <v>31</v>
      </c>
      <c r="P159" s="404" t="s">
        <v>31</v>
      </c>
      <c r="Q159" s="404" t="s">
        <v>167</v>
      </c>
      <c r="R159" s="404" t="s">
        <v>167</v>
      </c>
      <c r="S159" s="404" t="s">
        <v>2533</v>
      </c>
      <c r="T159" s="404" t="s">
        <v>2530</v>
      </c>
      <c r="U159" s="941">
        <v>0</v>
      </c>
      <c r="V159" s="941">
        <v>0</v>
      </c>
      <c r="W159" s="941">
        <v>0</v>
      </c>
      <c r="X159" s="941">
        <v>0</v>
      </c>
      <c r="Y159" s="941">
        <v>0</v>
      </c>
      <c r="Z159" s="941">
        <v>0</v>
      </c>
      <c r="AA159" s="942">
        <v>0</v>
      </c>
      <c r="AB159" s="942">
        <v>0</v>
      </c>
      <c r="AC159" s="942">
        <v>0</v>
      </c>
      <c r="AD159" s="942">
        <v>0</v>
      </c>
      <c r="AE159" s="942">
        <v>0</v>
      </c>
      <c r="AF159" s="942">
        <v>0</v>
      </c>
      <c r="AG159" s="943">
        <f>comparaison_samebasis_villages[[#This Row],[previous idp_ind]]-comparaison_samebasis_villages[[#This Row],[actual idp_ind]]</f>
        <v>0</v>
      </c>
      <c r="AH159" s="943">
        <f>comparaison_samebasis_villages[[#This Row],[previous ref_ind]]-comparaison_samebasis_villages[[#This Row],[actual ref_ind]]</f>
        <v>0</v>
      </c>
      <c r="AI159" s="943">
        <f>comparaison_samebasis_villages[[#This Row],[previous ret_ind]]-comparaison_samebasis_villages[[#This Row],[actual ret_ind]]</f>
        <v>0</v>
      </c>
    </row>
    <row r="160" spans="1:35" ht="15.75" customHeight="1" x14ac:dyDescent="0.3">
      <c r="A160" s="401" t="s">
        <v>31</v>
      </c>
      <c r="B160" s="401" t="s">
        <v>31</v>
      </c>
      <c r="C160" s="401" t="s">
        <v>169</v>
      </c>
      <c r="D160" s="401" t="s">
        <v>169</v>
      </c>
      <c r="E160" s="401" t="s">
        <v>2817</v>
      </c>
      <c r="F160" s="5" t="s">
        <v>2351</v>
      </c>
      <c r="G160" s="401"/>
      <c r="H160" s="1093" t="s">
        <v>511</v>
      </c>
      <c r="I160" s="1216" t="s">
        <v>3110</v>
      </c>
      <c r="J160" s="403">
        <v>16</v>
      </c>
      <c r="K160" s="403">
        <v>200</v>
      </c>
      <c r="L160" s="1093" t="s">
        <v>367</v>
      </c>
      <c r="M160" s="401"/>
      <c r="O160" s="404" t="s">
        <v>31</v>
      </c>
      <c r="P160" s="404" t="s">
        <v>31</v>
      </c>
      <c r="Q160" s="404" t="s">
        <v>167</v>
      </c>
      <c r="R160" s="404" t="s">
        <v>167</v>
      </c>
      <c r="S160" s="404" t="s">
        <v>2084</v>
      </c>
      <c r="T160" s="404" t="s">
        <v>2532</v>
      </c>
      <c r="U160" s="941">
        <v>70</v>
      </c>
      <c r="V160" s="941">
        <v>70</v>
      </c>
      <c r="W160" s="941">
        <v>0</v>
      </c>
      <c r="X160" s="941">
        <v>0</v>
      </c>
      <c r="Y160" s="941">
        <v>0</v>
      </c>
      <c r="Z160" s="941">
        <v>0</v>
      </c>
      <c r="AA160" s="942">
        <v>70</v>
      </c>
      <c r="AB160" s="942">
        <v>70</v>
      </c>
      <c r="AC160" s="942">
        <v>0</v>
      </c>
      <c r="AD160" s="942">
        <v>0</v>
      </c>
      <c r="AE160" s="942">
        <v>0</v>
      </c>
      <c r="AF160" s="942">
        <v>0</v>
      </c>
      <c r="AG160" s="943">
        <f>comparaison_samebasis_villages[[#This Row],[previous idp_ind]]-comparaison_samebasis_villages[[#This Row],[actual idp_ind]]</f>
        <v>0</v>
      </c>
      <c r="AH160" s="943">
        <f>comparaison_samebasis_villages[[#This Row],[previous ref_ind]]-comparaison_samebasis_villages[[#This Row],[actual ref_ind]]</f>
        <v>0</v>
      </c>
      <c r="AI160" s="943">
        <f>comparaison_samebasis_villages[[#This Row],[previous ret_ind]]-comparaison_samebasis_villages[[#This Row],[actual ret_ind]]</f>
        <v>0</v>
      </c>
    </row>
    <row r="161" spans="1:35" ht="15.75" customHeight="1" x14ac:dyDescent="0.3">
      <c r="A161" s="401" t="s">
        <v>31</v>
      </c>
      <c r="B161" s="401" t="s">
        <v>31</v>
      </c>
      <c r="C161" s="401" t="s">
        <v>169</v>
      </c>
      <c r="D161" s="401" t="s">
        <v>169</v>
      </c>
      <c r="E161" s="401" t="s">
        <v>3012</v>
      </c>
      <c r="F161" s="5" t="s">
        <v>2385</v>
      </c>
      <c r="G161" s="401"/>
      <c r="H161" s="1093" t="s">
        <v>511</v>
      </c>
      <c r="I161" s="1216" t="s">
        <v>3111</v>
      </c>
      <c r="J161" s="403">
        <v>125</v>
      </c>
      <c r="K161" s="403">
        <v>400</v>
      </c>
      <c r="L161" s="1093" t="s">
        <v>367</v>
      </c>
      <c r="M161" s="401"/>
      <c r="O161" s="404" t="s">
        <v>31</v>
      </c>
      <c r="P161" s="404" t="s">
        <v>31</v>
      </c>
      <c r="Q161" s="404" t="s">
        <v>167</v>
      </c>
      <c r="R161" s="404" t="s">
        <v>167</v>
      </c>
      <c r="S161" s="404" t="s">
        <v>1945</v>
      </c>
      <c r="T161" s="404" t="s">
        <v>2958</v>
      </c>
      <c r="U161" s="941">
        <v>0</v>
      </c>
      <c r="V161" s="941">
        <v>0</v>
      </c>
      <c r="W161" s="941">
        <v>4</v>
      </c>
      <c r="X161" s="941">
        <v>23</v>
      </c>
      <c r="Y161" s="941">
        <v>0</v>
      </c>
      <c r="Z161" s="941">
        <v>0</v>
      </c>
      <c r="AA161" s="942">
        <v>16</v>
      </c>
      <c r="AB161" s="942">
        <v>100</v>
      </c>
      <c r="AC161" s="942">
        <v>0</v>
      </c>
      <c r="AD161" s="942">
        <v>0</v>
      </c>
      <c r="AE161" s="942">
        <v>0</v>
      </c>
      <c r="AF161" s="942">
        <v>0</v>
      </c>
      <c r="AG161" s="943">
        <f>comparaison_samebasis_villages[[#This Row],[previous idp_ind]]-comparaison_samebasis_villages[[#This Row],[actual idp_ind]]</f>
        <v>100</v>
      </c>
      <c r="AH161" s="943">
        <f>comparaison_samebasis_villages[[#This Row],[previous ref_ind]]-comparaison_samebasis_villages[[#This Row],[actual ref_ind]]</f>
        <v>-23</v>
      </c>
      <c r="AI161" s="943">
        <f>comparaison_samebasis_villages[[#This Row],[previous ret_ind]]-comparaison_samebasis_villages[[#This Row],[actual ret_ind]]</f>
        <v>0</v>
      </c>
    </row>
    <row r="162" spans="1:35" ht="15.75" customHeight="1" x14ac:dyDescent="0.3">
      <c r="A162" s="401" t="s">
        <v>31</v>
      </c>
      <c r="B162" s="401" t="s">
        <v>31</v>
      </c>
      <c r="C162" s="401" t="s">
        <v>169</v>
      </c>
      <c r="D162" s="401" t="s">
        <v>169</v>
      </c>
      <c r="E162" s="401" t="s">
        <v>2948</v>
      </c>
      <c r="F162" s="5" t="s">
        <v>1524</v>
      </c>
      <c r="G162" s="401"/>
      <c r="H162" s="1093" t="s">
        <v>511</v>
      </c>
      <c r="I162" s="1216" t="s">
        <v>3112</v>
      </c>
      <c r="J162" s="403">
        <v>4</v>
      </c>
      <c r="K162" s="403">
        <v>10</v>
      </c>
      <c r="L162" s="1093" t="s">
        <v>367</v>
      </c>
      <c r="M162" s="401"/>
      <c r="O162" s="404" t="s">
        <v>31</v>
      </c>
      <c r="P162" s="404" t="s">
        <v>31</v>
      </c>
      <c r="Q162" s="404" t="s">
        <v>167</v>
      </c>
      <c r="R162" s="404" t="s">
        <v>167</v>
      </c>
      <c r="S162" s="404" t="s">
        <v>1469</v>
      </c>
      <c r="T162" s="404" t="s">
        <v>2083</v>
      </c>
      <c r="U162" s="941">
        <v>4</v>
      </c>
      <c r="V162" s="941">
        <v>29</v>
      </c>
      <c r="W162" s="941">
        <v>0</v>
      </c>
      <c r="X162" s="941">
        <v>0</v>
      </c>
      <c r="Y162" s="941">
        <v>0</v>
      </c>
      <c r="Z162" s="941">
        <v>0</v>
      </c>
      <c r="AA162" s="942">
        <v>4</v>
      </c>
      <c r="AB162" s="942">
        <v>29</v>
      </c>
      <c r="AC162" s="942">
        <v>0</v>
      </c>
      <c r="AD162" s="942">
        <v>0</v>
      </c>
      <c r="AE162" s="942">
        <v>0</v>
      </c>
      <c r="AF162" s="942">
        <v>0</v>
      </c>
      <c r="AG162" s="943">
        <f>comparaison_samebasis_villages[[#This Row],[previous idp_ind]]-comparaison_samebasis_villages[[#This Row],[actual idp_ind]]</f>
        <v>0</v>
      </c>
      <c r="AH162" s="943">
        <f>comparaison_samebasis_villages[[#This Row],[previous ref_ind]]-comparaison_samebasis_villages[[#This Row],[actual ref_ind]]</f>
        <v>0</v>
      </c>
      <c r="AI162" s="943">
        <f>comparaison_samebasis_villages[[#This Row],[previous ret_ind]]-comparaison_samebasis_villages[[#This Row],[actual ret_ind]]</f>
        <v>0</v>
      </c>
    </row>
    <row r="163" spans="1:35" ht="15.75" customHeight="1" x14ac:dyDescent="0.3">
      <c r="A163" s="401" t="s">
        <v>31</v>
      </c>
      <c r="B163" s="401" t="s">
        <v>31</v>
      </c>
      <c r="C163" s="401" t="s">
        <v>169</v>
      </c>
      <c r="D163" s="401" t="s">
        <v>169</v>
      </c>
      <c r="E163" s="401" t="s">
        <v>2976</v>
      </c>
      <c r="F163" s="5" t="s">
        <v>2335</v>
      </c>
      <c r="G163" s="401"/>
      <c r="H163" s="1093" t="s">
        <v>511</v>
      </c>
      <c r="I163" s="1216" t="s">
        <v>3111</v>
      </c>
      <c r="J163" s="403">
        <v>44</v>
      </c>
      <c r="K163" s="403">
        <v>250</v>
      </c>
      <c r="L163" s="1093" t="s">
        <v>367</v>
      </c>
      <c r="M163" s="401"/>
      <c r="O163" s="404" t="s">
        <v>31</v>
      </c>
      <c r="P163" s="404" t="s">
        <v>31</v>
      </c>
      <c r="Q163" s="404" t="s">
        <v>167</v>
      </c>
      <c r="R163" s="404" t="s">
        <v>167</v>
      </c>
      <c r="S163" s="404" t="s">
        <v>663</v>
      </c>
      <c r="T163" s="404" t="s">
        <v>1944</v>
      </c>
      <c r="U163" s="941">
        <v>3</v>
      </c>
      <c r="V163" s="941">
        <v>19</v>
      </c>
      <c r="W163" s="941">
        <v>0</v>
      </c>
      <c r="X163" s="941">
        <v>0</v>
      </c>
      <c r="Y163" s="941">
        <v>0</v>
      </c>
      <c r="Z163" s="941">
        <v>0</v>
      </c>
      <c r="AA163" s="942">
        <v>0</v>
      </c>
      <c r="AB163" s="942">
        <v>0</v>
      </c>
      <c r="AC163" s="942">
        <v>0</v>
      </c>
      <c r="AD163" s="942">
        <v>0</v>
      </c>
      <c r="AE163" s="942">
        <v>0</v>
      </c>
      <c r="AF163" s="942">
        <v>0</v>
      </c>
      <c r="AG163" s="943">
        <f>comparaison_samebasis_villages[[#This Row],[previous idp_ind]]-comparaison_samebasis_villages[[#This Row],[actual idp_ind]]</f>
        <v>-19</v>
      </c>
      <c r="AH163" s="943">
        <f>comparaison_samebasis_villages[[#This Row],[previous ref_ind]]-comparaison_samebasis_villages[[#This Row],[actual ref_ind]]</f>
        <v>0</v>
      </c>
      <c r="AI163" s="943">
        <f>comparaison_samebasis_villages[[#This Row],[previous ret_ind]]-comparaison_samebasis_villages[[#This Row],[actual ret_ind]]</f>
        <v>0</v>
      </c>
    </row>
    <row r="164" spans="1:35" ht="15.75" customHeight="1" x14ac:dyDescent="0.3">
      <c r="A164" s="401" t="s">
        <v>31</v>
      </c>
      <c r="B164" s="401" t="s">
        <v>31</v>
      </c>
      <c r="C164" s="401" t="s">
        <v>169</v>
      </c>
      <c r="D164" s="401" t="s">
        <v>169</v>
      </c>
      <c r="E164" s="401" t="s">
        <v>2976</v>
      </c>
      <c r="F164" s="5" t="s">
        <v>2335</v>
      </c>
      <c r="G164" s="401"/>
      <c r="H164" s="1093" t="s">
        <v>511</v>
      </c>
      <c r="I164" s="1216" t="s">
        <v>3112</v>
      </c>
      <c r="J164" s="403">
        <v>8</v>
      </c>
      <c r="K164" s="403">
        <v>14</v>
      </c>
      <c r="L164" s="1093" t="s">
        <v>367</v>
      </c>
      <c r="M164" s="401"/>
      <c r="O164" s="404" t="s">
        <v>31</v>
      </c>
      <c r="P164" s="404" t="s">
        <v>31</v>
      </c>
      <c r="Q164" s="404" t="s">
        <v>167</v>
      </c>
      <c r="R164" s="404" t="s">
        <v>167</v>
      </c>
      <c r="S164" s="404" t="s">
        <v>1951</v>
      </c>
      <c r="T164" s="404" t="s">
        <v>2936</v>
      </c>
      <c r="U164" s="941">
        <v>30</v>
      </c>
      <c r="V164" s="941">
        <v>30</v>
      </c>
      <c r="W164" s="941">
        <v>0</v>
      </c>
      <c r="X164" s="941">
        <v>0</v>
      </c>
      <c r="Y164" s="941">
        <v>0</v>
      </c>
      <c r="Z164" s="941">
        <v>0</v>
      </c>
      <c r="AA164" s="942">
        <v>30</v>
      </c>
      <c r="AB164" s="942">
        <v>30</v>
      </c>
      <c r="AC164" s="942">
        <v>0</v>
      </c>
      <c r="AD164" s="942">
        <v>0</v>
      </c>
      <c r="AE164" s="942">
        <v>0</v>
      </c>
      <c r="AF164" s="942">
        <v>0</v>
      </c>
      <c r="AG164" s="943">
        <f>comparaison_samebasis_villages[[#This Row],[previous idp_ind]]-comparaison_samebasis_villages[[#This Row],[actual idp_ind]]</f>
        <v>0</v>
      </c>
      <c r="AH164" s="943">
        <f>comparaison_samebasis_villages[[#This Row],[previous ref_ind]]-comparaison_samebasis_villages[[#This Row],[actual ref_ind]]</f>
        <v>0</v>
      </c>
      <c r="AI164" s="943">
        <f>comparaison_samebasis_villages[[#This Row],[previous ret_ind]]-comparaison_samebasis_villages[[#This Row],[actual ret_ind]]</f>
        <v>0</v>
      </c>
    </row>
    <row r="165" spans="1:35" ht="15.75" customHeight="1" x14ac:dyDescent="0.3">
      <c r="A165" s="401" t="s">
        <v>35</v>
      </c>
      <c r="B165" s="401" t="s">
        <v>35</v>
      </c>
      <c r="C165" s="401" t="s">
        <v>192</v>
      </c>
      <c r="D165" s="401" t="s">
        <v>192</v>
      </c>
      <c r="E165" s="401" t="s">
        <v>1316</v>
      </c>
      <c r="F165" s="5" t="s">
        <v>901</v>
      </c>
      <c r="G165" s="401"/>
      <c r="H165" s="1093" t="s">
        <v>511</v>
      </c>
      <c r="I165" s="1216" t="s">
        <v>3110</v>
      </c>
      <c r="J165" s="403">
        <v>4</v>
      </c>
      <c r="K165" s="403">
        <v>21</v>
      </c>
      <c r="L165" s="1093" t="s">
        <v>365</v>
      </c>
      <c r="M165" s="401"/>
      <c r="O165" s="404" t="s">
        <v>31</v>
      </c>
      <c r="P165" s="404" t="s">
        <v>31</v>
      </c>
      <c r="Q165" s="404" t="s">
        <v>167</v>
      </c>
      <c r="R165" s="404" t="s">
        <v>167</v>
      </c>
      <c r="S165" s="404" t="s">
        <v>1888</v>
      </c>
      <c r="T165" s="404" t="s">
        <v>2940</v>
      </c>
      <c r="U165" s="941">
        <v>3</v>
      </c>
      <c r="V165" s="941">
        <v>15</v>
      </c>
      <c r="W165" s="941">
        <v>0</v>
      </c>
      <c r="X165" s="941">
        <v>0</v>
      </c>
      <c r="Y165" s="941">
        <v>0</v>
      </c>
      <c r="Z165" s="941">
        <v>0</v>
      </c>
      <c r="AA165" s="942">
        <v>15</v>
      </c>
      <c r="AB165" s="942">
        <v>15</v>
      </c>
      <c r="AC165" s="942">
        <v>0</v>
      </c>
      <c r="AD165" s="942">
        <v>0</v>
      </c>
      <c r="AE165" s="942">
        <v>0</v>
      </c>
      <c r="AF165" s="942">
        <v>0</v>
      </c>
      <c r="AG165" s="943">
        <f>comparaison_samebasis_villages[[#This Row],[previous idp_ind]]-comparaison_samebasis_villages[[#This Row],[actual idp_ind]]</f>
        <v>0</v>
      </c>
      <c r="AH165" s="943">
        <f>comparaison_samebasis_villages[[#This Row],[previous ref_ind]]-comparaison_samebasis_villages[[#This Row],[actual ref_ind]]</f>
        <v>0</v>
      </c>
      <c r="AI165" s="943">
        <f>comparaison_samebasis_villages[[#This Row],[previous ret_ind]]-comparaison_samebasis_villages[[#This Row],[actual ret_ind]]</f>
        <v>0</v>
      </c>
    </row>
    <row r="166" spans="1:35" ht="15.75" customHeight="1" x14ac:dyDescent="0.3">
      <c r="A166" s="401" t="s">
        <v>35</v>
      </c>
      <c r="B166" s="401" t="s">
        <v>35</v>
      </c>
      <c r="C166" s="401" t="s">
        <v>192</v>
      </c>
      <c r="D166" s="401" t="s">
        <v>192</v>
      </c>
      <c r="E166" s="401" t="s">
        <v>1316</v>
      </c>
      <c r="F166" s="5" t="s">
        <v>901</v>
      </c>
      <c r="G166" s="401"/>
      <c r="H166" s="1093" t="s">
        <v>511</v>
      </c>
      <c r="I166" s="1216" t="s">
        <v>3111</v>
      </c>
      <c r="J166" s="403">
        <v>3</v>
      </c>
      <c r="K166" s="403">
        <v>16</v>
      </c>
      <c r="L166" s="1093" t="s">
        <v>371</v>
      </c>
      <c r="M166" s="401"/>
      <c r="O166" s="404" t="s">
        <v>31</v>
      </c>
      <c r="P166" s="404" t="s">
        <v>31</v>
      </c>
      <c r="Q166" s="404" t="s">
        <v>167</v>
      </c>
      <c r="R166" s="404" t="s">
        <v>167</v>
      </c>
      <c r="S166" s="404" t="s">
        <v>2080</v>
      </c>
      <c r="T166" s="404" t="s">
        <v>1900</v>
      </c>
      <c r="U166" s="941">
        <v>3</v>
      </c>
      <c r="V166" s="941">
        <v>12</v>
      </c>
      <c r="W166" s="941">
        <v>0</v>
      </c>
      <c r="X166" s="941">
        <v>0</v>
      </c>
      <c r="Y166" s="941">
        <v>0</v>
      </c>
      <c r="Z166" s="941">
        <v>0</v>
      </c>
      <c r="AA166" s="942">
        <v>3</v>
      </c>
      <c r="AB166" s="942">
        <v>12</v>
      </c>
      <c r="AC166" s="942">
        <v>0</v>
      </c>
      <c r="AD166" s="942">
        <v>0</v>
      </c>
      <c r="AE166" s="942">
        <v>0</v>
      </c>
      <c r="AF166" s="942">
        <v>0</v>
      </c>
      <c r="AG166" s="943">
        <f>comparaison_samebasis_villages[[#This Row],[previous idp_ind]]-comparaison_samebasis_villages[[#This Row],[actual idp_ind]]</f>
        <v>0</v>
      </c>
      <c r="AH166" s="943">
        <f>comparaison_samebasis_villages[[#This Row],[previous ref_ind]]-comparaison_samebasis_villages[[#This Row],[actual ref_ind]]</f>
        <v>0</v>
      </c>
      <c r="AI166" s="943">
        <f>comparaison_samebasis_villages[[#This Row],[previous ret_ind]]-comparaison_samebasis_villages[[#This Row],[actual ret_ind]]</f>
        <v>0</v>
      </c>
    </row>
    <row r="167" spans="1:35" ht="15.75" customHeight="1" x14ac:dyDescent="0.3">
      <c r="A167" s="401" t="s">
        <v>35</v>
      </c>
      <c r="B167" s="401" t="s">
        <v>35</v>
      </c>
      <c r="C167" s="401" t="s">
        <v>192</v>
      </c>
      <c r="D167" s="401" t="s">
        <v>192</v>
      </c>
      <c r="E167" s="401" t="s">
        <v>1004</v>
      </c>
      <c r="F167" s="5" t="s">
        <v>903</v>
      </c>
      <c r="G167" s="401"/>
      <c r="H167" s="1093" t="s">
        <v>511</v>
      </c>
      <c r="I167" s="1216" t="s">
        <v>3112</v>
      </c>
      <c r="J167" s="403">
        <v>4</v>
      </c>
      <c r="K167" s="403">
        <v>17</v>
      </c>
      <c r="L167" s="1093" t="s">
        <v>365</v>
      </c>
      <c r="M167" s="401"/>
      <c r="O167" s="404" t="s">
        <v>31</v>
      </c>
      <c r="P167" s="404" t="s">
        <v>31</v>
      </c>
      <c r="Q167" s="404" t="s">
        <v>167</v>
      </c>
      <c r="R167" s="404" t="s">
        <v>167</v>
      </c>
      <c r="S167" s="404" t="s">
        <v>1902</v>
      </c>
      <c r="T167" s="404" t="s">
        <v>2534</v>
      </c>
      <c r="U167" s="941">
        <v>0</v>
      </c>
      <c r="V167" s="941">
        <v>0</v>
      </c>
      <c r="W167" s="941">
        <v>5</v>
      </c>
      <c r="X167" s="941">
        <v>15</v>
      </c>
      <c r="Y167" s="941">
        <v>0</v>
      </c>
      <c r="Z167" s="941">
        <v>0</v>
      </c>
      <c r="AA167" s="942">
        <v>0</v>
      </c>
      <c r="AB167" s="942">
        <v>0</v>
      </c>
      <c r="AC167" s="942">
        <v>0</v>
      </c>
      <c r="AD167" s="942">
        <v>0</v>
      </c>
      <c r="AE167" s="942">
        <v>8</v>
      </c>
      <c r="AF167" s="942">
        <v>45</v>
      </c>
      <c r="AG167" s="943">
        <f>comparaison_samebasis_villages[[#This Row],[previous idp_ind]]-comparaison_samebasis_villages[[#This Row],[actual idp_ind]]</f>
        <v>0</v>
      </c>
      <c r="AH167" s="943">
        <f>comparaison_samebasis_villages[[#This Row],[previous ref_ind]]-comparaison_samebasis_villages[[#This Row],[actual ref_ind]]</f>
        <v>-15</v>
      </c>
      <c r="AI167" s="943">
        <f>comparaison_samebasis_villages[[#This Row],[previous ret_ind]]-comparaison_samebasis_villages[[#This Row],[actual ret_ind]]</f>
        <v>45</v>
      </c>
    </row>
    <row r="168" spans="1:35" ht="15.75" customHeight="1" x14ac:dyDescent="0.3">
      <c r="A168" s="401" t="s">
        <v>35</v>
      </c>
      <c r="B168" s="401" t="s">
        <v>35</v>
      </c>
      <c r="C168" s="401" t="s">
        <v>192</v>
      </c>
      <c r="D168" s="401" t="s">
        <v>192</v>
      </c>
      <c r="E168" s="401" t="s">
        <v>1004</v>
      </c>
      <c r="F168" s="5" t="s">
        <v>903</v>
      </c>
      <c r="G168" s="401"/>
      <c r="H168" s="1093" t="s">
        <v>511</v>
      </c>
      <c r="I168" s="1216" t="s">
        <v>3111</v>
      </c>
      <c r="J168" s="403">
        <v>6</v>
      </c>
      <c r="K168" s="403">
        <v>30</v>
      </c>
      <c r="L168" s="1093" t="s">
        <v>367</v>
      </c>
      <c r="M168" s="401"/>
      <c r="O168" s="404" t="s">
        <v>31</v>
      </c>
      <c r="P168" s="404" t="s">
        <v>31</v>
      </c>
      <c r="Q168" s="404" t="s">
        <v>167</v>
      </c>
      <c r="R168" s="404" t="s">
        <v>167</v>
      </c>
      <c r="S168" s="404" t="s">
        <v>1911</v>
      </c>
      <c r="T168" s="404" t="s">
        <v>1950</v>
      </c>
      <c r="U168" s="941">
        <v>10</v>
      </c>
      <c r="V168" s="941">
        <v>50</v>
      </c>
      <c r="W168" s="941">
        <v>0</v>
      </c>
      <c r="X168" s="941">
        <v>0</v>
      </c>
      <c r="Y168" s="941">
        <v>0</v>
      </c>
      <c r="Z168" s="941">
        <v>0</v>
      </c>
      <c r="AA168" s="942">
        <v>13</v>
      </c>
      <c r="AB168" s="942">
        <v>13</v>
      </c>
      <c r="AC168" s="942">
        <v>0</v>
      </c>
      <c r="AD168" s="942">
        <v>0</v>
      </c>
      <c r="AE168" s="942">
        <v>0</v>
      </c>
      <c r="AF168" s="942">
        <v>0</v>
      </c>
      <c r="AG168" s="943">
        <f>comparaison_samebasis_villages[[#This Row],[previous idp_ind]]-comparaison_samebasis_villages[[#This Row],[actual idp_ind]]</f>
        <v>-37</v>
      </c>
      <c r="AH168" s="943">
        <f>comparaison_samebasis_villages[[#This Row],[previous ref_ind]]-comparaison_samebasis_villages[[#This Row],[actual ref_ind]]</f>
        <v>0</v>
      </c>
      <c r="AI168" s="943">
        <f>comparaison_samebasis_villages[[#This Row],[previous ret_ind]]-comparaison_samebasis_villages[[#This Row],[actual ret_ind]]</f>
        <v>0</v>
      </c>
    </row>
    <row r="169" spans="1:35" ht="15.75" customHeight="1" x14ac:dyDescent="0.3">
      <c r="A169" s="401" t="s">
        <v>35</v>
      </c>
      <c r="B169" s="401" t="s">
        <v>35</v>
      </c>
      <c r="C169" s="401" t="s">
        <v>192</v>
      </c>
      <c r="D169" s="401" t="s">
        <v>192</v>
      </c>
      <c r="E169" s="401" t="s">
        <v>1004</v>
      </c>
      <c r="F169" s="5" t="s">
        <v>903</v>
      </c>
      <c r="G169" s="401"/>
      <c r="H169" s="1093" t="s">
        <v>511</v>
      </c>
      <c r="I169" s="1216" t="s">
        <v>3110</v>
      </c>
      <c r="J169" s="403">
        <v>2</v>
      </c>
      <c r="K169" s="403">
        <v>13</v>
      </c>
      <c r="L169" s="1093" t="s">
        <v>373</v>
      </c>
      <c r="M169" s="401"/>
      <c r="O169" s="404" t="s">
        <v>31</v>
      </c>
      <c r="P169" s="404" t="s">
        <v>31</v>
      </c>
      <c r="Q169" s="404" t="s">
        <v>167</v>
      </c>
      <c r="R169" s="404" t="s">
        <v>167</v>
      </c>
      <c r="S169" s="404" t="s">
        <v>2326</v>
      </c>
      <c r="T169" s="404" t="s">
        <v>1887</v>
      </c>
      <c r="U169" s="941">
        <v>15</v>
      </c>
      <c r="V169" s="941">
        <v>60</v>
      </c>
      <c r="W169" s="941">
        <v>0</v>
      </c>
      <c r="X169" s="941">
        <v>0</v>
      </c>
      <c r="Y169" s="941">
        <v>0</v>
      </c>
      <c r="Z169" s="941">
        <v>0</v>
      </c>
      <c r="AA169" s="942">
        <v>18</v>
      </c>
      <c r="AB169" s="942">
        <v>18</v>
      </c>
      <c r="AC169" s="942">
        <v>0</v>
      </c>
      <c r="AD169" s="942">
        <v>0</v>
      </c>
      <c r="AE169" s="942">
        <v>0</v>
      </c>
      <c r="AF169" s="942">
        <v>0</v>
      </c>
      <c r="AG169" s="943">
        <f>comparaison_samebasis_villages[[#This Row],[previous idp_ind]]-comparaison_samebasis_villages[[#This Row],[actual idp_ind]]</f>
        <v>-42</v>
      </c>
      <c r="AH169" s="943">
        <f>comparaison_samebasis_villages[[#This Row],[previous ref_ind]]-comparaison_samebasis_villages[[#This Row],[actual ref_ind]]</f>
        <v>0</v>
      </c>
      <c r="AI169" s="943">
        <f>comparaison_samebasis_villages[[#This Row],[previous ret_ind]]-comparaison_samebasis_villages[[#This Row],[actual ret_ind]]</f>
        <v>0</v>
      </c>
    </row>
    <row r="170" spans="1:35" ht="15.75" customHeight="1" x14ac:dyDescent="0.3">
      <c r="A170" s="401" t="s">
        <v>35</v>
      </c>
      <c r="B170" s="401" t="s">
        <v>35</v>
      </c>
      <c r="C170" s="401" t="s">
        <v>192</v>
      </c>
      <c r="D170" s="401" t="s">
        <v>192</v>
      </c>
      <c r="E170" s="401" t="s">
        <v>1525</v>
      </c>
      <c r="F170" s="5" t="s">
        <v>1317</v>
      </c>
      <c r="G170" s="401"/>
      <c r="H170" s="1093" t="s">
        <v>511</v>
      </c>
      <c r="I170" s="1216" t="s">
        <v>3112</v>
      </c>
      <c r="J170" s="403">
        <v>3</v>
      </c>
      <c r="K170" s="403">
        <v>41</v>
      </c>
      <c r="L170" s="1093" t="s">
        <v>365</v>
      </c>
      <c r="M170" s="401"/>
      <c r="O170" s="404" t="s">
        <v>31</v>
      </c>
      <c r="P170" s="404" t="s">
        <v>31</v>
      </c>
      <c r="Q170" s="404" t="s">
        <v>167</v>
      </c>
      <c r="R170" s="404" t="s">
        <v>167</v>
      </c>
      <c r="S170" s="404" t="s">
        <v>2086</v>
      </c>
      <c r="T170" s="404" t="s">
        <v>2079</v>
      </c>
      <c r="U170" s="941">
        <v>18</v>
      </c>
      <c r="V170" s="941">
        <v>50</v>
      </c>
      <c r="W170" s="941">
        <v>0</v>
      </c>
      <c r="X170" s="941">
        <v>0</v>
      </c>
      <c r="Y170" s="941">
        <v>0</v>
      </c>
      <c r="Z170" s="941">
        <v>0</v>
      </c>
      <c r="AA170" s="942">
        <v>21</v>
      </c>
      <c r="AB170" s="942">
        <v>21</v>
      </c>
      <c r="AC170" s="942">
        <v>0</v>
      </c>
      <c r="AD170" s="942">
        <v>0</v>
      </c>
      <c r="AE170" s="942">
        <v>0</v>
      </c>
      <c r="AF170" s="942">
        <v>0</v>
      </c>
      <c r="AG170" s="943">
        <f>comparaison_samebasis_villages[[#This Row],[previous idp_ind]]-comparaison_samebasis_villages[[#This Row],[actual idp_ind]]</f>
        <v>-29</v>
      </c>
      <c r="AH170" s="943">
        <f>comparaison_samebasis_villages[[#This Row],[previous ref_ind]]-comparaison_samebasis_villages[[#This Row],[actual ref_ind]]</f>
        <v>0</v>
      </c>
      <c r="AI170" s="943">
        <f>comparaison_samebasis_villages[[#This Row],[previous ret_ind]]-comparaison_samebasis_villages[[#This Row],[actual ret_ind]]</f>
        <v>0</v>
      </c>
    </row>
    <row r="171" spans="1:35" ht="15.75" customHeight="1" x14ac:dyDescent="0.3">
      <c r="A171" s="401" t="s">
        <v>35</v>
      </c>
      <c r="B171" s="401" t="s">
        <v>35</v>
      </c>
      <c r="C171" s="401" t="s">
        <v>192</v>
      </c>
      <c r="D171" s="401" t="s">
        <v>192</v>
      </c>
      <c r="E171" s="401" t="s">
        <v>1525</v>
      </c>
      <c r="F171" s="5" t="s">
        <v>1317</v>
      </c>
      <c r="G171" s="401"/>
      <c r="H171" s="1093" t="s">
        <v>511</v>
      </c>
      <c r="I171" s="1216" t="s">
        <v>3111</v>
      </c>
      <c r="J171" s="403">
        <v>2</v>
      </c>
      <c r="K171" s="403">
        <v>23</v>
      </c>
      <c r="L171" s="1093" t="s">
        <v>365</v>
      </c>
      <c r="M171" s="401"/>
      <c r="O171" s="404" t="s">
        <v>31</v>
      </c>
      <c r="P171" s="404" t="s">
        <v>31</v>
      </c>
      <c r="Q171" s="404" t="s">
        <v>167</v>
      </c>
      <c r="R171" s="404" t="s">
        <v>167</v>
      </c>
      <c r="S171" s="404" t="s">
        <v>2082</v>
      </c>
      <c r="T171" s="404" t="s">
        <v>1901</v>
      </c>
      <c r="U171" s="941">
        <v>0</v>
      </c>
      <c r="V171" s="941">
        <v>0</v>
      </c>
      <c r="W171" s="941">
        <v>0</v>
      </c>
      <c r="X171" s="941">
        <v>0</v>
      </c>
      <c r="Y171" s="941">
        <v>0</v>
      </c>
      <c r="Z171" s="941">
        <v>0</v>
      </c>
      <c r="AA171" s="942">
        <v>0</v>
      </c>
      <c r="AB171" s="942">
        <v>0</v>
      </c>
      <c r="AC171" s="942">
        <v>15</v>
      </c>
      <c r="AD171" s="942">
        <v>102</v>
      </c>
      <c r="AE171" s="942">
        <v>0</v>
      </c>
      <c r="AF171" s="942">
        <v>0</v>
      </c>
      <c r="AG171" s="943">
        <f>comparaison_samebasis_villages[[#This Row],[previous idp_ind]]-comparaison_samebasis_villages[[#This Row],[actual idp_ind]]</f>
        <v>0</v>
      </c>
      <c r="AH171" s="943">
        <f>comparaison_samebasis_villages[[#This Row],[previous ref_ind]]-comparaison_samebasis_villages[[#This Row],[actual ref_ind]]</f>
        <v>102</v>
      </c>
      <c r="AI171" s="943">
        <f>comparaison_samebasis_villages[[#This Row],[previous ret_ind]]-comparaison_samebasis_villages[[#This Row],[actual ret_ind]]</f>
        <v>0</v>
      </c>
    </row>
    <row r="172" spans="1:35" ht="15.75" customHeight="1" x14ac:dyDescent="0.3">
      <c r="A172" s="401" t="s">
        <v>35</v>
      </c>
      <c r="B172" s="401" t="s">
        <v>35</v>
      </c>
      <c r="C172" s="401" t="s">
        <v>192</v>
      </c>
      <c r="D172" s="401" t="s">
        <v>192</v>
      </c>
      <c r="E172" s="401" t="s">
        <v>1525</v>
      </c>
      <c r="F172" s="5" t="s">
        <v>1317</v>
      </c>
      <c r="G172" s="401"/>
      <c r="H172" s="1093" t="s">
        <v>511</v>
      </c>
      <c r="I172" s="1216" t="s">
        <v>3110</v>
      </c>
      <c r="J172" s="403">
        <v>5</v>
      </c>
      <c r="K172" s="403">
        <v>37</v>
      </c>
      <c r="L172" s="1093" t="s">
        <v>365</v>
      </c>
      <c r="M172" s="401"/>
      <c r="O172" s="404" t="s">
        <v>31</v>
      </c>
      <c r="P172" s="404" t="s">
        <v>31</v>
      </c>
      <c r="Q172" s="404" t="s">
        <v>167</v>
      </c>
      <c r="R172" s="404" t="s">
        <v>167</v>
      </c>
      <c r="S172" s="404" t="s">
        <v>2048</v>
      </c>
      <c r="T172" s="404" t="s">
        <v>1910</v>
      </c>
      <c r="U172" s="941">
        <v>11</v>
      </c>
      <c r="V172" s="941">
        <v>50</v>
      </c>
      <c r="W172" s="941">
        <v>9</v>
      </c>
      <c r="X172" s="941">
        <v>40</v>
      </c>
      <c r="Y172" s="941">
        <v>0</v>
      </c>
      <c r="Z172" s="941">
        <v>0</v>
      </c>
      <c r="AA172" s="942">
        <v>11</v>
      </c>
      <c r="AB172" s="942">
        <v>50</v>
      </c>
      <c r="AC172" s="942">
        <v>9</v>
      </c>
      <c r="AD172" s="942">
        <v>40</v>
      </c>
      <c r="AE172" s="942">
        <v>0</v>
      </c>
      <c r="AF172" s="942">
        <v>0</v>
      </c>
      <c r="AG172" s="943">
        <f>comparaison_samebasis_villages[[#This Row],[previous idp_ind]]-comparaison_samebasis_villages[[#This Row],[actual idp_ind]]</f>
        <v>0</v>
      </c>
      <c r="AH172" s="943">
        <f>comparaison_samebasis_villages[[#This Row],[previous ref_ind]]-comparaison_samebasis_villages[[#This Row],[actual ref_ind]]</f>
        <v>0</v>
      </c>
      <c r="AI172" s="943">
        <f>comparaison_samebasis_villages[[#This Row],[previous ret_ind]]-comparaison_samebasis_villages[[#This Row],[actual ret_ind]]</f>
        <v>0</v>
      </c>
    </row>
    <row r="173" spans="1:35" ht="15.75" customHeight="1" x14ac:dyDescent="0.3">
      <c r="A173" s="401" t="s">
        <v>35</v>
      </c>
      <c r="B173" s="401" t="s">
        <v>35</v>
      </c>
      <c r="C173" s="401" t="s">
        <v>192</v>
      </c>
      <c r="D173" s="401" t="s">
        <v>192</v>
      </c>
      <c r="E173" s="401" t="s">
        <v>943</v>
      </c>
      <c r="F173" s="5" t="s">
        <v>989</v>
      </c>
      <c r="G173" s="401"/>
      <c r="H173" s="1093" t="s">
        <v>511</v>
      </c>
      <c r="I173" s="1216" t="s">
        <v>3112</v>
      </c>
      <c r="J173" s="403">
        <v>2</v>
      </c>
      <c r="K173" s="403">
        <v>4</v>
      </c>
      <c r="L173" s="1093" t="s">
        <v>365</v>
      </c>
      <c r="M173" s="401"/>
      <c r="O173" s="404" t="s">
        <v>31</v>
      </c>
      <c r="P173" s="404" t="s">
        <v>31</v>
      </c>
      <c r="Q173" s="404" t="s">
        <v>167</v>
      </c>
      <c r="R173" s="404" t="s">
        <v>167</v>
      </c>
      <c r="S173" s="404" t="s">
        <v>2246</v>
      </c>
      <c r="T173" s="404" t="s">
        <v>2325</v>
      </c>
      <c r="U173" s="941">
        <v>0</v>
      </c>
      <c r="V173" s="941">
        <v>0</v>
      </c>
      <c r="W173" s="941">
        <v>0</v>
      </c>
      <c r="X173" s="941">
        <v>0</v>
      </c>
      <c r="Y173" s="941">
        <v>30</v>
      </c>
      <c r="Z173" s="941">
        <v>30</v>
      </c>
      <c r="AA173" s="942">
        <v>0</v>
      </c>
      <c r="AB173" s="942">
        <v>0</v>
      </c>
      <c r="AC173" s="942">
        <v>0</v>
      </c>
      <c r="AD173" s="942">
        <v>0</v>
      </c>
      <c r="AE173" s="942">
        <v>30</v>
      </c>
      <c r="AF173" s="942">
        <v>251</v>
      </c>
      <c r="AG173" s="943">
        <f>comparaison_samebasis_villages[[#This Row],[previous idp_ind]]-comparaison_samebasis_villages[[#This Row],[actual idp_ind]]</f>
        <v>0</v>
      </c>
      <c r="AH173" s="943">
        <f>comparaison_samebasis_villages[[#This Row],[previous ref_ind]]-comparaison_samebasis_villages[[#This Row],[actual ref_ind]]</f>
        <v>0</v>
      </c>
      <c r="AI173" s="943">
        <f>comparaison_samebasis_villages[[#This Row],[previous ret_ind]]-comparaison_samebasis_villages[[#This Row],[actual ret_ind]]</f>
        <v>221</v>
      </c>
    </row>
    <row r="174" spans="1:35" ht="15.75" customHeight="1" x14ac:dyDescent="0.3">
      <c r="A174" s="401" t="s">
        <v>35</v>
      </c>
      <c r="B174" s="401" t="s">
        <v>35</v>
      </c>
      <c r="C174" s="401" t="s">
        <v>192</v>
      </c>
      <c r="D174" s="401" t="s">
        <v>192</v>
      </c>
      <c r="E174" s="401" t="s">
        <v>943</v>
      </c>
      <c r="F174" s="5" t="s">
        <v>989</v>
      </c>
      <c r="G174" s="401"/>
      <c r="H174" s="1093" t="s">
        <v>511</v>
      </c>
      <c r="I174" s="1216" t="s">
        <v>3110</v>
      </c>
      <c r="J174" s="403">
        <v>1</v>
      </c>
      <c r="K174" s="403">
        <v>8</v>
      </c>
      <c r="L174" s="1093" t="s">
        <v>365</v>
      </c>
      <c r="M174" s="401"/>
      <c r="O174" s="404" t="s">
        <v>31</v>
      </c>
      <c r="P174" s="404" t="s">
        <v>31</v>
      </c>
      <c r="Q174" s="404" t="s">
        <v>167</v>
      </c>
      <c r="R174" s="404" t="s">
        <v>167</v>
      </c>
      <c r="S174" s="404" t="s">
        <v>1949</v>
      </c>
      <c r="T174" s="404" t="s">
        <v>2085</v>
      </c>
      <c r="U174" s="941">
        <v>10</v>
      </c>
      <c r="V174" s="941">
        <v>30</v>
      </c>
      <c r="W174" s="941">
        <v>15</v>
      </c>
      <c r="X174" s="941">
        <v>60</v>
      </c>
      <c r="Y174" s="941">
        <v>0</v>
      </c>
      <c r="Z174" s="941">
        <v>0</v>
      </c>
      <c r="AA174" s="942">
        <v>10</v>
      </c>
      <c r="AB174" s="942">
        <v>30</v>
      </c>
      <c r="AC174" s="942">
        <v>35</v>
      </c>
      <c r="AD174" s="942">
        <v>100</v>
      </c>
      <c r="AE174" s="942">
        <v>0</v>
      </c>
      <c r="AF174" s="942">
        <v>0</v>
      </c>
      <c r="AG174" s="943">
        <f>comparaison_samebasis_villages[[#This Row],[previous idp_ind]]-comparaison_samebasis_villages[[#This Row],[actual idp_ind]]</f>
        <v>0</v>
      </c>
      <c r="AH174" s="943">
        <f>comparaison_samebasis_villages[[#This Row],[previous ref_ind]]-comparaison_samebasis_villages[[#This Row],[actual ref_ind]]</f>
        <v>40</v>
      </c>
      <c r="AI174" s="943">
        <f>comparaison_samebasis_villages[[#This Row],[previous ret_ind]]-comparaison_samebasis_villages[[#This Row],[actual ret_ind]]</f>
        <v>0</v>
      </c>
    </row>
    <row r="175" spans="1:35" ht="15.75" customHeight="1" x14ac:dyDescent="0.3">
      <c r="A175" s="401" t="s">
        <v>35</v>
      </c>
      <c r="B175" s="401" t="s">
        <v>35</v>
      </c>
      <c r="C175" s="401" t="s">
        <v>192</v>
      </c>
      <c r="D175" s="401" t="s">
        <v>192</v>
      </c>
      <c r="E175" s="401" t="s">
        <v>1402</v>
      </c>
      <c r="F175" s="5" t="s">
        <v>1389</v>
      </c>
      <c r="G175" s="401"/>
      <c r="H175" s="1093" t="s">
        <v>511</v>
      </c>
      <c r="I175" s="1216" t="s">
        <v>3110</v>
      </c>
      <c r="J175" s="403">
        <v>6</v>
      </c>
      <c r="K175" s="403">
        <v>36</v>
      </c>
      <c r="L175" s="1093" t="s">
        <v>365</v>
      </c>
      <c r="M175" s="401"/>
      <c r="O175" s="404" t="s">
        <v>31</v>
      </c>
      <c r="P175" s="404" t="s">
        <v>31</v>
      </c>
      <c r="Q175" s="404" t="s">
        <v>167</v>
      </c>
      <c r="R175" s="404" t="s">
        <v>167</v>
      </c>
      <c r="S175" s="1094" t="s">
        <v>1992</v>
      </c>
      <c r="T175" s="404" t="s">
        <v>2081</v>
      </c>
      <c r="U175" s="941">
        <v>22</v>
      </c>
      <c r="V175" s="941">
        <v>185</v>
      </c>
      <c r="W175" s="941">
        <v>0</v>
      </c>
      <c r="X175" s="941">
        <v>0</v>
      </c>
      <c r="Y175" s="941">
        <v>0</v>
      </c>
      <c r="Z175" s="941">
        <v>0</v>
      </c>
      <c r="AA175" s="942">
        <v>22</v>
      </c>
      <c r="AB175" s="942">
        <v>185</v>
      </c>
      <c r="AC175" s="942">
        <v>0</v>
      </c>
      <c r="AD175" s="942">
        <v>0</v>
      </c>
      <c r="AE175" s="942">
        <v>0</v>
      </c>
      <c r="AF175" s="942">
        <v>0</v>
      </c>
      <c r="AG175" s="943">
        <f>comparaison_samebasis_villages[[#This Row],[previous idp_ind]]-comparaison_samebasis_villages[[#This Row],[actual idp_ind]]</f>
        <v>0</v>
      </c>
      <c r="AH175" s="943">
        <f>comparaison_samebasis_villages[[#This Row],[previous ref_ind]]-comparaison_samebasis_villages[[#This Row],[actual ref_ind]]</f>
        <v>0</v>
      </c>
      <c r="AI175" s="943">
        <f>comparaison_samebasis_villages[[#This Row],[previous ret_ind]]-comparaison_samebasis_villages[[#This Row],[actual ret_ind]]</f>
        <v>0</v>
      </c>
    </row>
    <row r="176" spans="1:35" ht="15.75" customHeight="1" x14ac:dyDescent="0.3">
      <c r="A176" s="401" t="s">
        <v>35</v>
      </c>
      <c r="B176" s="401" t="s">
        <v>35</v>
      </c>
      <c r="C176" s="401" t="s">
        <v>192</v>
      </c>
      <c r="D176" s="401" t="s">
        <v>192</v>
      </c>
      <c r="E176" s="401" t="s">
        <v>902</v>
      </c>
      <c r="F176" s="5" t="s">
        <v>1391</v>
      </c>
      <c r="G176" s="401"/>
      <c r="H176" s="1093" t="s">
        <v>511</v>
      </c>
      <c r="I176" s="1216" t="s">
        <v>3110</v>
      </c>
      <c r="J176" s="403">
        <v>2</v>
      </c>
      <c r="K176" s="403">
        <v>5</v>
      </c>
      <c r="L176" s="1093" t="s">
        <v>365</v>
      </c>
      <c r="M176" s="401"/>
      <c r="O176" s="404" t="s">
        <v>31</v>
      </c>
      <c r="P176" s="404" t="s">
        <v>31</v>
      </c>
      <c r="Q176" s="404" t="s">
        <v>167</v>
      </c>
      <c r="R176" s="404" t="s">
        <v>167</v>
      </c>
      <c r="S176" s="404" t="s">
        <v>1947</v>
      </c>
      <c r="T176" s="404" t="s">
        <v>2047</v>
      </c>
      <c r="U176" s="941">
        <v>20</v>
      </c>
      <c r="V176" s="941">
        <v>49</v>
      </c>
      <c r="W176" s="941">
        <v>0</v>
      </c>
      <c r="X176" s="941">
        <v>0</v>
      </c>
      <c r="Y176" s="941">
        <v>0</v>
      </c>
      <c r="Z176" s="941">
        <v>0</v>
      </c>
      <c r="AA176" s="942">
        <v>20</v>
      </c>
      <c r="AB176" s="942">
        <v>49</v>
      </c>
      <c r="AC176" s="942">
        <v>1</v>
      </c>
      <c r="AD176" s="942">
        <v>3</v>
      </c>
      <c r="AE176" s="942">
        <v>0</v>
      </c>
      <c r="AF176" s="942">
        <v>0</v>
      </c>
      <c r="AG176" s="943">
        <f>comparaison_samebasis_villages[[#This Row],[previous idp_ind]]-comparaison_samebasis_villages[[#This Row],[actual idp_ind]]</f>
        <v>0</v>
      </c>
      <c r="AH176" s="943">
        <f>comparaison_samebasis_villages[[#This Row],[previous ref_ind]]-comparaison_samebasis_villages[[#This Row],[actual ref_ind]]</f>
        <v>3</v>
      </c>
      <c r="AI176" s="943">
        <f>comparaison_samebasis_villages[[#This Row],[previous ret_ind]]-comparaison_samebasis_villages[[#This Row],[actual ret_ind]]</f>
        <v>0</v>
      </c>
    </row>
    <row r="177" spans="1:35" ht="15.75" customHeight="1" x14ac:dyDescent="0.3">
      <c r="A177" s="401" t="s">
        <v>35</v>
      </c>
      <c r="B177" s="401" t="s">
        <v>35</v>
      </c>
      <c r="C177" s="401" t="s">
        <v>192</v>
      </c>
      <c r="D177" s="401" t="s">
        <v>192</v>
      </c>
      <c r="E177" s="401" t="s">
        <v>902</v>
      </c>
      <c r="F177" s="5" t="s">
        <v>1391</v>
      </c>
      <c r="G177" s="401"/>
      <c r="H177" s="1093" t="s">
        <v>511</v>
      </c>
      <c r="I177" s="1216" t="s">
        <v>3112</v>
      </c>
      <c r="J177" s="403">
        <v>2</v>
      </c>
      <c r="K177" s="403">
        <v>15</v>
      </c>
      <c r="L177" s="1093" t="s">
        <v>365</v>
      </c>
      <c r="M177" s="401"/>
      <c r="O177" s="404" t="s">
        <v>31</v>
      </c>
      <c r="P177" s="404" t="s">
        <v>31</v>
      </c>
      <c r="Q177" s="404" t="s">
        <v>167</v>
      </c>
      <c r="R177" s="404" t="s">
        <v>167</v>
      </c>
      <c r="S177" s="404" t="s">
        <v>2044</v>
      </c>
      <c r="T177" s="404" t="s">
        <v>2245</v>
      </c>
      <c r="U177" s="941">
        <v>1</v>
      </c>
      <c r="V177" s="941">
        <v>3</v>
      </c>
      <c r="W177" s="941">
        <v>0</v>
      </c>
      <c r="X177" s="941">
        <v>0</v>
      </c>
      <c r="Y177" s="941">
        <v>0</v>
      </c>
      <c r="Z177" s="941">
        <v>0</v>
      </c>
      <c r="AA177" s="942">
        <v>5</v>
      </c>
      <c r="AB177" s="942">
        <v>30</v>
      </c>
      <c r="AC177" s="942">
        <v>0</v>
      </c>
      <c r="AD177" s="942">
        <v>0</v>
      </c>
      <c r="AE177" s="942">
        <v>0</v>
      </c>
      <c r="AF177" s="942">
        <v>0</v>
      </c>
      <c r="AG177" s="943">
        <f>comparaison_samebasis_villages[[#This Row],[previous idp_ind]]-comparaison_samebasis_villages[[#This Row],[actual idp_ind]]</f>
        <v>27</v>
      </c>
      <c r="AH177" s="943">
        <f>comparaison_samebasis_villages[[#This Row],[previous ref_ind]]-comparaison_samebasis_villages[[#This Row],[actual ref_ind]]</f>
        <v>0</v>
      </c>
      <c r="AI177" s="943">
        <f>comparaison_samebasis_villages[[#This Row],[previous ret_ind]]-comparaison_samebasis_villages[[#This Row],[actual ret_ind]]</f>
        <v>0</v>
      </c>
    </row>
    <row r="178" spans="1:35" ht="15.75" customHeight="1" x14ac:dyDescent="0.3">
      <c r="A178" s="401" t="s">
        <v>35</v>
      </c>
      <c r="B178" s="401" t="s">
        <v>35</v>
      </c>
      <c r="C178" s="401" t="s">
        <v>192</v>
      </c>
      <c r="D178" s="401" t="s">
        <v>192</v>
      </c>
      <c r="E178" s="401" t="s">
        <v>949</v>
      </c>
      <c r="F178" s="5" t="s">
        <v>1171</v>
      </c>
      <c r="G178" s="401"/>
      <c r="H178" s="1093" t="s">
        <v>511</v>
      </c>
      <c r="I178" s="1216" t="s">
        <v>3111</v>
      </c>
      <c r="J178" s="403">
        <v>7</v>
      </c>
      <c r="K178" s="403">
        <v>36</v>
      </c>
      <c r="L178" s="1093" t="s">
        <v>365</v>
      </c>
      <c r="M178" s="401"/>
      <c r="O178" s="404" t="s">
        <v>31</v>
      </c>
      <c r="P178" s="404" t="s">
        <v>31</v>
      </c>
      <c r="Q178" s="404" t="s">
        <v>167</v>
      </c>
      <c r="R178" s="404" t="s">
        <v>167</v>
      </c>
      <c r="S178" s="404" t="s">
        <v>1115</v>
      </c>
      <c r="T178" s="404" t="s">
        <v>1948</v>
      </c>
      <c r="U178" s="941">
        <v>0</v>
      </c>
      <c r="V178" s="941">
        <v>0</v>
      </c>
      <c r="W178" s="941">
        <v>0</v>
      </c>
      <c r="X178" s="941">
        <v>0</v>
      </c>
      <c r="Y178" s="941">
        <v>0</v>
      </c>
      <c r="Z178" s="941">
        <v>0</v>
      </c>
      <c r="AA178" s="942">
        <v>0</v>
      </c>
      <c r="AB178" s="942">
        <v>0</v>
      </c>
      <c r="AC178" s="942">
        <v>0</v>
      </c>
      <c r="AD178" s="942">
        <v>0</v>
      </c>
      <c r="AE178" s="942">
        <v>0</v>
      </c>
      <c r="AF178" s="942">
        <v>0</v>
      </c>
      <c r="AG178" s="943">
        <f>comparaison_samebasis_villages[[#This Row],[previous idp_ind]]-comparaison_samebasis_villages[[#This Row],[actual idp_ind]]</f>
        <v>0</v>
      </c>
      <c r="AH178" s="943">
        <f>comparaison_samebasis_villages[[#This Row],[previous ref_ind]]-comparaison_samebasis_villages[[#This Row],[actual ref_ind]]</f>
        <v>0</v>
      </c>
      <c r="AI178" s="943">
        <f>comparaison_samebasis_villages[[#This Row],[previous ret_ind]]-comparaison_samebasis_villages[[#This Row],[actual ret_ind]]</f>
        <v>0</v>
      </c>
    </row>
    <row r="179" spans="1:35" ht="15.75" customHeight="1" x14ac:dyDescent="0.3">
      <c r="A179" s="401" t="s">
        <v>35</v>
      </c>
      <c r="B179" s="401" t="s">
        <v>35</v>
      </c>
      <c r="C179" s="401" t="s">
        <v>192</v>
      </c>
      <c r="D179" s="401" t="s">
        <v>192</v>
      </c>
      <c r="E179" s="401" t="s">
        <v>949</v>
      </c>
      <c r="F179" s="5" t="s">
        <v>1171</v>
      </c>
      <c r="G179" s="401"/>
      <c r="H179" s="1093" t="s">
        <v>511</v>
      </c>
      <c r="I179" s="1216" t="s">
        <v>3110</v>
      </c>
      <c r="J179" s="403">
        <v>5</v>
      </c>
      <c r="K179" s="403">
        <v>19</v>
      </c>
      <c r="L179" s="1093" t="s">
        <v>365</v>
      </c>
      <c r="M179" s="401"/>
      <c r="O179" s="404" t="s">
        <v>31</v>
      </c>
      <c r="P179" s="404" t="s">
        <v>31</v>
      </c>
      <c r="Q179" s="404" t="s">
        <v>167</v>
      </c>
      <c r="R179" s="404" t="s">
        <v>167</v>
      </c>
      <c r="S179" s="404" t="s">
        <v>2280</v>
      </c>
      <c r="T179" s="404" t="s">
        <v>1991</v>
      </c>
      <c r="U179" s="941">
        <v>8</v>
      </c>
      <c r="V179" s="941">
        <v>16</v>
      </c>
      <c r="W179" s="941">
        <v>0</v>
      </c>
      <c r="X179" s="941">
        <v>0</v>
      </c>
      <c r="Y179" s="941">
        <v>0</v>
      </c>
      <c r="Z179" s="941">
        <v>0</v>
      </c>
      <c r="AA179" s="942">
        <v>8</v>
      </c>
      <c r="AB179" s="942">
        <v>16</v>
      </c>
      <c r="AC179" s="942">
        <v>0</v>
      </c>
      <c r="AD179" s="942">
        <v>0</v>
      </c>
      <c r="AE179" s="942">
        <v>0</v>
      </c>
      <c r="AF179" s="942">
        <v>0</v>
      </c>
      <c r="AG179" s="943">
        <f>comparaison_samebasis_villages[[#This Row],[previous idp_ind]]-comparaison_samebasis_villages[[#This Row],[actual idp_ind]]</f>
        <v>0</v>
      </c>
      <c r="AH179" s="943">
        <f>comparaison_samebasis_villages[[#This Row],[previous ref_ind]]-comparaison_samebasis_villages[[#This Row],[actual ref_ind]]</f>
        <v>0</v>
      </c>
      <c r="AI179" s="943">
        <f>comparaison_samebasis_villages[[#This Row],[previous ret_ind]]-comparaison_samebasis_villages[[#This Row],[actual ret_ind]]</f>
        <v>0</v>
      </c>
    </row>
    <row r="180" spans="1:35" ht="15.75" customHeight="1" x14ac:dyDescent="0.3">
      <c r="A180" s="401" t="s">
        <v>31</v>
      </c>
      <c r="B180" s="401" t="s">
        <v>31</v>
      </c>
      <c r="C180" s="401" t="s">
        <v>164</v>
      </c>
      <c r="D180" s="401" t="s">
        <v>164</v>
      </c>
      <c r="E180" s="401" t="s">
        <v>2038</v>
      </c>
      <c r="F180" s="5" t="s">
        <v>2039</v>
      </c>
      <c r="G180" s="401"/>
      <c r="H180" s="1093" t="s">
        <v>511</v>
      </c>
      <c r="I180" s="1216" t="s">
        <v>3033</v>
      </c>
      <c r="J180" s="403">
        <v>140</v>
      </c>
      <c r="K180" s="403">
        <v>500</v>
      </c>
      <c r="L180" s="1093" t="s">
        <v>367</v>
      </c>
      <c r="M180" s="401"/>
      <c r="O180" s="404" t="s">
        <v>31</v>
      </c>
      <c r="P180" s="404" t="s">
        <v>31</v>
      </c>
      <c r="Q180" s="404" t="s">
        <v>167</v>
      </c>
      <c r="R180" s="404" t="s">
        <v>167</v>
      </c>
      <c r="S180" s="404" t="s">
        <v>1090</v>
      </c>
      <c r="T180" s="404" t="s">
        <v>1946</v>
      </c>
      <c r="U180" s="941">
        <v>67</v>
      </c>
      <c r="V180" s="941">
        <v>232</v>
      </c>
      <c r="W180" s="941">
        <v>0</v>
      </c>
      <c r="X180" s="941">
        <v>0</v>
      </c>
      <c r="Y180" s="941">
        <v>56</v>
      </c>
      <c r="Z180" s="941">
        <v>56</v>
      </c>
      <c r="AA180" s="942">
        <v>23</v>
      </c>
      <c r="AB180" s="942">
        <v>178</v>
      </c>
      <c r="AC180" s="942">
        <v>0</v>
      </c>
      <c r="AD180" s="942">
        <v>0</v>
      </c>
      <c r="AE180" s="942">
        <v>0</v>
      </c>
      <c r="AF180" s="942">
        <v>0</v>
      </c>
      <c r="AG180" s="943">
        <f>comparaison_samebasis_villages[[#This Row],[previous idp_ind]]-comparaison_samebasis_villages[[#This Row],[actual idp_ind]]</f>
        <v>-54</v>
      </c>
      <c r="AH180" s="943">
        <f>comparaison_samebasis_villages[[#This Row],[previous ref_ind]]-comparaison_samebasis_villages[[#This Row],[actual ref_ind]]</f>
        <v>0</v>
      </c>
      <c r="AI180" s="943">
        <f>comparaison_samebasis_villages[[#This Row],[previous ret_ind]]-comparaison_samebasis_villages[[#This Row],[actual ret_ind]]</f>
        <v>-56</v>
      </c>
    </row>
    <row r="181" spans="1:35" ht="15.75" customHeight="1" x14ac:dyDescent="0.3">
      <c r="A181" s="401" t="s">
        <v>34</v>
      </c>
      <c r="B181" s="401" t="s">
        <v>34</v>
      </c>
      <c r="C181" s="401" t="s">
        <v>188</v>
      </c>
      <c r="D181" s="401" t="s">
        <v>188</v>
      </c>
      <c r="E181" s="401" t="s">
        <v>2849</v>
      </c>
      <c r="F181" s="5" t="s">
        <v>1498</v>
      </c>
      <c r="G181" s="401"/>
      <c r="H181" s="1093" t="s">
        <v>511</v>
      </c>
      <c r="I181" s="1216" t="s">
        <v>3033</v>
      </c>
      <c r="J181" s="403">
        <v>420</v>
      </c>
      <c r="K181" s="403">
        <v>2570</v>
      </c>
      <c r="L181" s="1093" t="s">
        <v>367</v>
      </c>
      <c r="M181" s="401"/>
      <c r="O181" s="404" t="s">
        <v>31</v>
      </c>
      <c r="P181" s="404" t="s">
        <v>31</v>
      </c>
      <c r="Q181" s="404" t="s">
        <v>167</v>
      </c>
      <c r="R181" s="404" t="s">
        <v>167</v>
      </c>
      <c r="S181" s="404" t="s">
        <v>1790</v>
      </c>
      <c r="T181" s="404" t="s">
        <v>2043</v>
      </c>
      <c r="U181" s="941">
        <v>55</v>
      </c>
      <c r="V181" s="941">
        <v>55</v>
      </c>
      <c r="W181" s="941">
        <v>0</v>
      </c>
      <c r="X181" s="941">
        <v>0</v>
      </c>
      <c r="Y181" s="941">
        <v>0</v>
      </c>
      <c r="Z181" s="941">
        <v>0</v>
      </c>
      <c r="AA181" s="942">
        <v>13</v>
      </c>
      <c r="AB181" s="942">
        <v>71</v>
      </c>
      <c r="AC181" s="942">
        <v>0</v>
      </c>
      <c r="AD181" s="942">
        <v>0</v>
      </c>
      <c r="AE181" s="942">
        <v>0</v>
      </c>
      <c r="AF181" s="942">
        <v>0</v>
      </c>
      <c r="AG181" s="943">
        <f>comparaison_samebasis_villages[[#This Row],[previous idp_ind]]-comparaison_samebasis_villages[[#This Row],[actual idp_ind]]</f>
        <v>16</v>
      </c>
      <c r="AH181" s="943">
        <f>comparaison_samebasis_villages[[#This Row],[previous ref_ind]]-comparaison_samebasis_villages[[#This Row],[actual ref_ind]]</f>
        <v>0</v>
      </c>
      <c r="AI181" s="943">
        <f>comparaison_samebasis_villages[[#This Row],[previous ret_ind]]-comparaison_samebasis_villages[[#This Row],[actual ret_ind]]</f>
        <v>0</v>
      </c>
    </row>
    <row r="182" spans="1:35" ht="15.75" customHeight="1" x14ac:dyDescent="0.3">
      <c r="A182" s="401" t="s">
        <v>34</v>
      </c>
      <c r="B182" s="401" t="s">
        <v>34</v>
      </c>
      <c r="C182" s="401" t="s">
        <v>188</v>
      </c>
      <c r="D182" s="401" t="s">
        <v>188</v>
      </c>
      <c r="E182" s="401" t="s">
        <v>2849</v>
      </c>
      <c r="F182" s="5" t="s">
        <v>1498</v>
      </c>
      <c r="G182" s="401"/>
      <c r="H182" s="1093" t="s">
        <v>511</v>
      </c>
      <c r="I182" s="1216" t="s">
        <v>3110</v>
      </c>
      <c r="J182" s="403">
        <v>30</v>
      </c>
      <c r="K182" s="403">
        <v>128</v>
      </c>
      <c r="L182" s="1093" t="s">
        <v>367</v>
      </c>
      <c r="M182" s="401"/>
      <c r="O182" s="404" t="s">
        <v>31</v>
      </c>
      <c r="P182" s="404" t="s">
        <v>31</v>
      </c>
      <c r="Q182" s="404" t="s">
        <v>167</v>
      </c>
      <c r="R182" s="404" t="s">
        <v>167</v>
      </c>
      <c r="S182" s="404" t="s">
        <v>2051</v>
      </c>
      <c r="T182" s="404" t="s">
        <v>1114</v>
      </c>
      <c r="U182" s="941">
        <v>70</v>
      </c>
      <c r="V182" s="941">
        <v>70</v>
      </c>
      <c r="W182" s="941">
        <v>0</v>
      </c>
      <c r="X182" s="941">
        <v>0</v>
      </c>
      <c r="Y182" s="941">
        <v>0</v>
      </c>
      <c r="Z182" s="941">
        <v>0</v>
      </c>
      <c r="AA182" s="942">
        <v>6</v>
      </c>
      <c r="AB182" s="942">
        <v>48</v>
      </c>
      <c r="AC182" s="942">
        <v>0</v>
      </c>
      <c r="AD182" s="942">
        <v>0</v>
      </c>
      <c r="AE182" s="942">
        <v>0</v>
      </c>
      <c r="AF182" s="942">
        <v>0</v>
      </c>
      <c r="AG182" s="943">
        <f>comparaison_samebasis_villages[[#This Row],[previous idp_ind]]-comparaison_samebasis_villages[[#This Row],[actual idp_ind]]</f>
        <v>-22</v>
      </c>
      <c r="AH182" s="943">
        <f>comparaison_samebasis_villages[[#This Row],[previous ref_ind]]-comparaison_samebasis_villages[[#This Row],[actual ref_ind]]</f>
        <v>0</v>
      </c>
      <c r="AI182" s="943">
        <f>comparaison_samebasis_villages[[#This Row],[previous ret_ind]]-comparaison_samebasis_villages[[#This Row],[actual ret_ind]]</f>
        <v>0</v>
      </c>
    </row>
    <row r="183" spans="1:35" ht="15.75" customHeight="1" x14ac:dyDescent="0.3">
      <c r="A183" s="401" t="s">
        <v>34</v>
      </c>
      <c r="B183" s="401" t="s">
        <v>34</v>
      </c>
      <c r="C183" s="401" t="s">
        <v>188</v>
      </c>
      <c r="D183" s="401" t="s">
        <v>188</v>
      </c>
      <c r="E183" s="401" t="s">
        <v>2849</v>
      </c>
      <c r="F183" s="5" t="s">
        <v>1498</v>
      </c>
      <c r="G183" s="401"/>
      <c r="H183" s="1093" t="s">
        <v>511</v>
      </c>
      <c r="I183" s="1216" t="s">
        <v>3111</v>
      </c>
      <c r="J183" s="403">
        <v>17</v>
      </c>
      <c r="K183" s="403">
        <v>120</v>
      </c>
      <c r="L183" s="1093" t="s">
        <v>367</v>
      </c>
      <c r="M183" s="401"/>
      <c r="O183" s="404" t="s">
        <v>31</v>
      </c>
      <c r="P183" s="404" t="s">
        <v>31</v>
      </c>
      <c r="Q183" s="404" t="s">
        <v>167</v>
      </c>
      <c r="R183" s="404" t="s">
        <v>167</v>
      </c>
      <c r="S183" s="404" t="s">
        <v>2186</v>
      </c>
      <c r="T183" s="404" t="s">
        <v>2279</v>
      </c>
      <c r="U183" s="941">
        <v>10</v>
      </c>
      <c r="V183" s="941">
        <v>10</v>
      </c>
      <c r="W183" s="941">
        <v>0</v>
      </c>
      <c r="X183" s="941">
        <v>0</v>
      </c>
      <c r="Y183" s="941">
        <v>0</v>
      </c>
      <c r="Z183" s="941">
        <v>0</v>
      </c>
      <c r="AA183" s="942">
        <v>6</v>
      </c>
      <c r="AB183" s="942">
        <v>20</v>
      </c>
      <c r="AC183" s="942">
        <v>0</v>
      </c>
      <c r="AD183" s="942">
        <v>0</v>
      </c>
      <c r="AE183" s="942">
        <v>0</v>
      </c>
      <c r="AF183" s="942">
        <v>0</v>
      </c>
      <c r="AG183" s="943">
        <f>comparaison_samebasis_villages[[#This Row],[previous idp_ind]]-comparaison_samebasis_villages[[#This Row],[actual idp_ind]]</f>
        <v>10</v>
      </c>
      <c r="AH183" s="943">
        <f>comparaison_samebasis_villages[[#This Row],[previous ref_ind]]-comparaison_samebasis_villages[[#This Row],[actual ref_ind]]</f>
        <v>0</v>
      </c>
      <c r="AI183" s="943">
        <f>comparaison_samebasis_villages[[#This Row],[previous ret_ind]]-comparaison_samebasis_villages[[#This Row],[actual ret_ind]]</f>
        <v>0</v>
      </c>
    </row>
    <row r="184" spans="1:35" ht="15.75" customHeight="1" x14ac:dyDescent="0.3">
      <c r="A184" s="401" t="s">
        <v>34</v>
      </c>
      <c r="B184" s="401" t="s">
        <v>34</v>
      </c>
      <c r="C184" s="401" t="s">
        <v>188</v>
      </c>
      <c r="D184" s="401" t="s">
        <v>188</v>
      </c>
      <c r="E184" s="401" t="s">
        <v>2849</v>
      </c>
      <c r="F184" s="5" t="s">
        <v>1498</v>
      </c>
      <c r="G184" s="401"/>
      <c r="H184" s="1093" t="s">
        <v>511</v>
      </c>
      <c r="I184" s="1216" t="s">
        <v>3112</v>
      </c>
      <c r="J184" s="403">
        <v>6</v>
      </c>
      <c r="K184" s="403">
        <v>45</v>
      </c>
      <c r="L184" s="1093" t="s">
        <v>367</v>
      </c>
      <c r="M184" s="401"/>
      <c r="O184" s="404" t="s">
        <v>31</v>
      </c>
      <c r="P184" s="404" t="s">
        <v>31</v>
      </c>
      <c r="Q184" s="404" t="s">
        <v>167</v>
      </c>
      <c r="R184" s="404" t="s">
        <v>167</v>
      </c>
      <c r="S184" s="404" t="s">
        <v>2298</v>
      </c>
      <c r="T184" s="404" t="s">
        <v>1943</v>
      </c>
      <c r="U184" s="941">
        <v>0</v>
      </c>
      <c r="V184" s="941">
        <v>0</v>
      </c>
      <c r="W184" s="941">
        <v>0</v>
      </c>
      <c r="X184" s="941">
        <v>0</v>
      </c>
      <c r="Y184" s="941">
        <v>0</v>
      </c>
      <c r="Z184" s="941">
        <v>0</v>
      </c>
      <c r="AA184" s="942">
        <v>0</v>
      </c>
      <c r="AB184" s="942">
        <v>0</v>
      </c>
      <c r="AC184" s="942">
        <v>0</v>
      </c>
      <c r="AD184" s="942">
        <v>0</v>
      </c>
      <c r="AE184" s="942">
        <v>0</v>
      </c>
      <c r="AF184" s="942">
        <v>0</v>
      </c>
      <c r="AG184" s="943">
        <f>comparaison_samebasis_villages[[#This Row],[previous idp_ind]]-comparaison_samebasis_villages[[#This Row],[actual idp_ind]]</f>
        <v>0</v>
      </c>
      <c r="AH184" s="943">
        <f>comparaison_samebasis_villages[[#This Row],[previous ref_ind]]-comparaison_samebasis_villages[[#This Row],[actual ref_ind]]</f>
        <v>0</v>
      </c>
      <c r="AI184" s="943">
        <f>comparaison_samebasis_villages[[#This Row],[previous ret_ind]]-comparaison_samebasis_villages[[#This Row],[actual ret_ind]]</f>
        <v>0</v>
      </c>
    </row>
    <row r="185" spans="1:35" ht="15.75" customHeight="1" x14ac:dyDescent="0.3">
      <c r="A185" s="401" t="s">
        <v>34</v>
      </c>
      <c r="B185" s="401" t="s">
        <v>34</v>
      </c>
      <c r="C185" s="401" t="s">
        <v>188</v>
      </c>
      <c r="D185" s="401" t="s">
        <v>188</v>
      </c>
      <c r="E185" s="401" t="s">
        <v>3192</v>
      </c>
      <c r="F185" s="5" t="s">
        <v>3193</v>
      </c>
      <c r="G185" s="401"/>
      <c r="H185" s="1093" t="s">
        <v>511</v>
      </c>
      <c r="I185" s="1216" t="s">
        <v>3111</v>
      </c>
      <c r="J185" s="403">
        <v>31</v>
      </c>
      <c r="K185" s="403">
        <v>219</v>
      </c>
      <c r="L185" s="1093" t="s">
        <v>365</v>
      </c>
      <c r="M185" s="401"/>
      <c r="O185" s="404" t="s">
        <v>31</v>
      </c>
      <c r="P185" s="404" t="s">
        <v>31</v>
      </c>
      <c r="Q185" s="404" t="s">
        <v>167</v>
      </c>
      <c r="R185" s="404" t="s">
        <v>167</v>
      </c>
      <c r="S185" s="404" t="s">
        <v>910</v>
      </c>
      <c r="T185" s="404" t="s">
        <v>2121</v>
      </c>
      <c r="U185" s="941">
        <v>52</v>
      </c>
      <c r="V185" s="941">
        <v>300</v>
      </c>
      <c r="W185" s="941">
        <v>0</v>
      </c>
      <c r="X185" s="941">
        <v>0</v>
      </c>
      <c r="Y185" s="941">
        <v>20</v>
      </c>
      <c r="Z185" s="941">
        <v>20</v>
      </c>
      <c r="AA185" s="942">
        <v>13</v>
      </c>
      <c r="AB185" s="942">
        <v>45</v>
      </c>
      <c r="AC185" s="942">
        <v>0</v>
      </c>
      <c r="AD185" s="942">
        <v>0</v>
      </c>
      <c r="AE185" s="942">
        <v>0</v>
      </c>
      <c r="AF185" s="942">
        <v>0</v>
      </c>
      <c r="AG185" s="943">
        <f>comparaison_samebasis_villages[[#This Row],[previous idp_ind]]-comparaison_samebasis_villages[[#This Row],[actual idp_ind]]</f>
        <v>-255</v>
      </c>
      <c r="AH185" s="943">
        <f>comparaison_samebasis_villages[[#This Row],[previous ref_ind]]-comparaison_samebasis_villages[[#This Row],[actual ref_ind]]</f>
        <v>0</v>
      </c>
      <c r="AI185" s="943">
        <f>comparaison_samebasis_villages[[#This Row],[previous ret_ind]]-comparaison_samebasis_villages[[#This Row],[actual ret_ind]]</f>
        <v>-20</v>
      </c>
    </row>
    <row r="186" spans="1:35" ht="15.75" customHeight="1" x14ac:dyDescent="0.3">
      <c r="A186" s="401" t="s">
        <v>34</v>
      </c>
      <c r="B186" s="401" t="s">
        <v>34</v>
      </c>
      <c r="C186" s="401" t="s">
        <v>188</v>
      </c>
      <c r="D186" s="401" t="s">
        <v>188</v>
      </c>
      <c r="E186" s="401" t="s">
        <v>3192</v>
      </c>
      <c r="F186" s="5" t="s">
        <v>3193</v>
      </c>
      <c r="G186" s="401"/>
      <c r="H186" s="1093" t="s">
        <v>511</v>
      </c>
      <c r="I186" s="1216" t="s">
        <v>3112</v>
      </c>
      <c r="J186" s="403">
        <v>0</v>
      </c>
      <c r="K186" s="403">
        <v>10</v>
      </c>
      <c r="L186" s="1093" t="s">
        <v>365</v>
      </c>
      <c r="M186" s="401"/>
      <c r="O186" s="404" t="s">
        <v>31</v>
      </c>
      <c r="P186" s="404" t="s">
        <v>31</v>
      </c>
      <c r="Q186" s="404" t="s">
        <v>167</v>
      </c>
      <c r="R186" s="404" t="s">
        <v>167</v>
      </c>
      <c r="S186" s="404" t="s">
        <v>2378</v>
      </c>
      <c r="T186" s="404" t="s">
        <v>3093</v>
      </c>
      <c r="U186" s="941">
        <v>0</v>
      </c>
      <c r="V186" s="941">
        <v>0</v>
      </c>
      <c r="W186" s="941">
        <v>0</v>
      </c>
      <c r="X186" s="941">
        <v>0</v>
      </c>
      <c r="Y186" s="941">
        <v>0</v>
      </c>
      <c r="Z186" s="941">
        <v>0</v>
      </c>
      <c r="AA186" s="942">
        <v>17</v>
      </c>
      <c r="AB186" s="942">
        <v>37</v>
      </c>
      <c r="AC186" s="942">
        <v>0</v>
      </c>
      <c r="AD186" s="942">
        <v>0</v>
      </c>
      <c r="AE186" s="942">
        <v>0</v>
      </c>
      <c r="AF186" s="942">
        <v>0</v>
      </c>
      <c r="AG186" s="943">
        <f>comparaison_samebasis_villages[[#This Row],[previous idp_ind]]-comparaison_samebasis_villages[[#This Row],[actual idp_ind]]</f>
        <v>37</v>
      </c>
      <c r="AH186" s="943">
        <f>comparaison_samebasis_villages[[#This Row],[previous ref_ind]]-comparaison_samebasis_villages[[#This Row],[actual ref_ind]]</f>
        <v>0</v>
      </c>
      <c r="AI186" s="943">
        <f>comparaison_samebasis_villages[[#This Row],[previous ret_ind]]-comparaison_samebasis_villages[[#This Row],[actual ret_ind]]</f>
        <v>0</v>
      </c>
    </row>
    <row r="187" spans="1:35" ht="15.75" customHeight="1" x14ac:dyDescent="0.3">
      <c r="A187" s="401" t="s">
        <v>34</v>
      </c>
      <c r="B187" s="401" t="s">
        <v>34</v>
      </c>
      <c r="C187" s="401" t="s">
        <v>188</v>
      </c>
      <c r="D187" s="401" t="s">
        <v>188</v>
      </c>
      <c r="E187" s="401" t="s">
        <v>1529</v>
      </c>
      <c r="F187" s="5" t="s">
        <v>1182</v>
      </c>
      <c r="G187" s="401"/>
      <c r="H187" s="1093" t="s">
        <v>511</v>
      </c>
      <c r="I187" s="1216" t="s">
        <v>3033</v>
      </c>
      <c r="J187" s="403">
        <v>358</v>
      </c>
      <c r="K187" s="403">
        <v>2189</v>
      </c>
      <c r="L187" s="1093" t="s">
        <v>365</v>
      </c>
      <c r="M187" s="401"/>
      <c r="O187" s="404" t="s">
        <v>31</v>
      </c>
      <c r="P187" s="404" t="s">
        <v>31</v>
      </c>
      <c r="Q187" s="404" t="s">
        <v>167</v>
      </c>
      <c r="R187" s="404" t="s">
        <v>167</v>
      </c>
      <c r="S187" s="404" t="s">
        <v>2056</v>
      </c>
      <c r="T187" s="404" t="s">
        <v>2185</v>
      </c>
      <c r="U187" s="941">
        <v>0</v>
      </c>
      <c r="V187" s="941">
        <v>0</v>
      </c>
      <c r="W187" s="941">
        <v>0</v>
      </c>
      <c r="X187" s="941">
        <v>0</v>
      </c>
      <c r="Y187" s="941">
        <v>0</v>
      </c>
      <c r="Z187" s="941">
        <v>0</v>
      </c>
      <c r="AA187" s="942">
        <v>0</v>
      </c>
      <c r="AB187" s="942">
        <v>0</v>
      </c>
      <c r="AC187" s="942">
        <v>0</v>
      </c>
      <c r="AD187" s="942">
        <v>0</v>
      </c>
      <c r="AE187" s="942">
        <v>0</v>
      </c>
      <c r="AF187" s="942">
        <v>0</v>
      </c>
      <c r="AG187" s="943">
        <f>comparaison_samebasis_villages[[#This Row],[previous idp_ind]]-comparaison_samebasis_villages[[#This Row],[actual idp_ind]]</f>
        <v>0</v>
      </c>
      <c r="AH187" s="943">
        <f>comparaison_samebasis_villages[[#This Row],[previous ref_ind]]-comparaison_samebasis_villages[[#This Row],[actual ref_ind]]</f>
        <v>0</v>
      </c>
      <c r="AI187" s="943">
        <f>comparaison_samebasis_villages[[#This Row],[previous ret_ind]]-comparaison_samebasis_villages[[#This Row],[actual ret_ind]]</f>
        <v>0</v>
      </c>
    </row>
    <row r="188" spans="1:35" ht="15.75" customHeight="1" x14ac:dyDescent="0.3">
      <c r="A188" s="401" t="s">
        <v>34</v>
      </c>
      <c r="B188" s="401" t="s">
        <v>34</v>
      </c>
      <c r="C188" s="401" t="s">
        <v>188</v>
      </c>
      <c r="D188" s="401" t="s">
        <v>188</v>
      </c>
      <c r="E188" s="401" t="s">
        <v>1529</v>
      </c>
      <c r="F188" s="5" t="s">
        <v>1182</v>
      </c>
      <c r="G188" s="401"/>
      <c r="H188" s="1093" t="s">
        <v>511</v>
      </c>
      <c r="I188" s="1216" t="s">
        <v>3109</v>
      </c>
      <c r="J188" s="403">
        <v>20</v>
      </c>
      <c r="K188" s="403">
        <v>74</v>
      </c>
      <c r="L188" s="1093" t="s">
        <v>367</v>
      </c>
      <c r="M188" s="401"/>
      <c r="O188" s="404" t="s">
        <v>31</v>
      </c>
      <c r="P188" s="404" t="s">
        <v>31</v>
      </c>
      <c r="Q188" s="404" t="s">
        <v>167</v>
      </c>
      <c r="R188" s="404" t="s">
        <v>167</v>
      </c>
      <c r="S188" s="404" t="s">
        <v>2127</v>
      </c>
      <c r="T188" s="404" t="s">
        <v>2297</v>
      </c>
      <c r="U188" s="941">
        <v>10</v>
      </c>
      <c r="V188" s="941">
        <v>40</v>
      </c>
      <c r="W188" s="941">
        <v>0</v>
      </c>
      <c r="X188" s="941">
        <v>0</v>
      </c>
      <c r="Y188" s="941">
        <v>15</v>
      </c>
      <c r="Z188" s="941">
        <v>15</v>
      </c>
      <c r="AA188" s="942">
        <v>8</v>
      </c>
      <c r="AB188" s="942">
        <v>30</v>
      </c>
      <c r="AC188" s="942">
        <v>0</v>
      </c>
      <c r="AD188" s="942">
        <v>0</v>
      </c>
      <c r="AE188" s="942">
        <v>0</v>
      </c>
      <c r="AF188" s="942">
        <v>0</v>
      </c>
      <c r="AG188" s="943">
        <f>comparaison_samebasis_villages[[#This Row],[previous idp_ind]]-comparaison_samebasis_villages[[#This Row],[actual idp_ind]]</f>
        <v>-10</v>
      </c>
      <c r="AH188" s="943">
        <f>comparaison_samebasis_villages[[#This Row],[previous ref_ind]]-comparaison_samebasis_villages[[#This Row],[actual ref_ind]]</f>
        <v>0</v>
      </c>
      <c r="AI188" s="943">
        <f>comparaison_samebasis_villages[[#This Row],[previous ret_ind]]-comparaison_samebasis_villages[[#This Row],[actual ret_ind]]</f>
        <v>-15</v>
      </c>
    </row>
    <row r="189" spans="1:35" ht="15.75" customHeight="1" x14ac:dyDescent="0.3">
      <c r="A189" s="401" t="s">
        <v>34</v>
      </c>
      <c r="B189" s="401" t="s">
        <v>34</v>
      </c>
      <c r="C189" s="401" t="s">
        <v>188</v>
      </c>
      <c r="D189" s="401" t="s">
        <v>188</v>
      </c>
      <c r="E189" s="401" t="s">
        <v>1529</v>
      </c>
      <c r="F189" s="5" t="s">
        <v>1182</v>
      </c>
      <c r="G189" s="401"/>
      <c r="H189" s="1093" t="s">
        <v>511</v>
      </c>
      <c r="I189" s="1216" t="s">
        <v>3110</v>
      </c>
      <c r="J189" s="403">
        <v>13</v>
      </c>
      <c r="K189" s="403">
        <v>65</v>
      </c>
      <c r="L189" s="1093" t="s">
        <v>365</v>
      </c>
      <c r="M189" s="401"/>
      <c r="O189" s="404" t="s">
        <v>31</v>
      </c>
      <c r="P189" s="404" t="s">
        <v>31</v>
      </c>
      <c r="Q189" s="404" t="s">
        <v>167</v>
      </c>
      <c r="R189" s="404" t="s">
        <v>167</v>
      </c>
      <c r="S189" s="404" t="s">
        <v>1935</v>
      </c>
      <c r="T189" s="404" t="s">
        <v>2899</v>
      </c>
      <c r="U189" s="941">
        <v>0</v>
      </c>
      <c r="V189" s="941">
        <v>0</v>
      </c>
      <c r="W189" s="941">
        <v>0</v>
      </c>
      <c r="X189" s="941">
        <v>0</v>
      </c>
      <c r="Y189" s="941">
        <v>0</v>
      </c>
      <c r="Z189" s="941">
        <v>0</v>
      </c>
      <c r="AA189" s="942">
        <v>2</v>
      </c>
      <c r="AB189" s="942">
        <v>14</v>
      </c>
      <c r="AC189" s="942">
        <v>0</v>
      </c>
      <c r="AD189" s="942">
        <v>0</v>
      </c>
      <c r="AE189" s="942">
        <v>0</v>
      </c>
      <c r="AF189" s="942">
        <v>0</v>
      </c>
      <c r="AG189" s="943">
        <f>comparaison_samebasis_villages[[#This Row],[previous idp_ind]]-comparaison_samebasis_villages[[#This Row],[actual idp_ind]]</f>
        <v>14</v>
      </c>
      <c r="AH189" s="943">
        <f>comparaison_samebasis_villages[[#This Row],[previous ref_ind]]-comparaison_samebasis_villages[[#This Row],[actual ref_ind]]</f>
        <v>0</v>
      </c>
      <c r="AI189" s="943">
        <f>comparaison_samebasis_villages[[#This Row],[previous ret_ind]]-comparaison_samebasis_villages[[#This Row],[actual ret_ind]]</f>
        <v>0</v>
      </c>
    </row>
    <row r="190" spans="1:35" ht="15.75" customHeight="1" x14ac:dyDescent="0.3">
      <c r="A190" s="401" t="s">
        <v>34</v>
      </c>
      <c r="B190" s="401" t="s">
        <v>34</v>
      </c>
      <c r="C190" s="401" t="s">
        <v>188</v>
      </c>
      <c r="D190" s="401" t="s">
        <v>188</v>
      </c>
      <c r="E190" s="401" t="s">
        <v>1529</v>
      </c>
      <c r="F190" s="5" t="s">
        <v>1182</v>
      </c>
      <c r="G190" s="401"/>
      <c r="H190" s="1093" t="s">
        <v>511</v>
      </c>
      <c r="I190" s="1216" t="s">
        <v>3111</v>
      </c>
      <c r="J190" s="403">
        <v>55</v>
      </c>
      <c r="K190" s="403">
        <v>295</v>
      </c>
      <c r="L190" s="1093" t="s">
        <v>365</v>
      </c>
      <c r="M190" s="401"/>
      <c r="O190" s="404" t="s">
        <v>31</v>
      </c>
      <c r="P190" s="404" t="s">
        <v>31</v>
      </c>
      <c r="Q190" s="404" t="s">
        <v>167</v>
      </c>
      <c r="R190" s="404" t="s">
        <v>167</v>
      </c>
      <c r="S190" s="404" t="s">
        <v>1936</v>
      </c>
      <c r="T190" s="404" t="s">
        <v>2804</v>
      </c>
      <c r="U190" s="941">
        <v>0</v>
      </c>
      <c r="V190" s="941">
        <v>0</v>
      </c>
      <c r="W190" s="941">
        <v>0</v>
      </c>
      <c r="X190" s="941">
        <v>0</v>
      </c>
      <c r="Y190" s="941">
        <v>0</v>
      </c>
      <c r="Z190" s="941">
        <v>0</v>
      </c>
      <c r="AA190" s="942">
        <v>0</v>
      </c>
      <c r="AB190" s="942">
        <v>0</v>
      </c>
      <c r="AC190" s="942">
        <v>0</v>
      </c>
      <c r="AD190" s="942">
        <v>0</v>
      </c>
      <c r="AE190" s="942">
        <v>0</v>
      </c>
      <c r="AF190" s="942">
        <v>0</v>
      </c>
      <c r="AG190" s="943">
        <f>comparaison_samebasis_villages[[#This Row],[previous idp_ind]]-comparaison_samebasis_villages[[#This Row],[actual idp_ind]]</f>
        <v>0</v>
      </c>
      <c r="AH190" s="943">
        <f>comparaison_samebasis_villages[[#This Row],[previous ref_ind]]-comparaison_samebasis_villages[[#This Row],[actual ref_ind]]</f>
        <v>0</v>
      </c>
      <c r="AI190" s="943">
        <f>comparaison_samebasis_villages[[#This Row],[previous ret_ind]]-comparaison_samebasis_villages[[#This Row],[actual ret_ind]]</f>
        <v>0</v>
      </c>
    </row>
    <row r="191" spans="1:35" ht="15.75" customHeight="1" x14ac:dyDescent="0.3">
      <c r="A191" s="401" t="s">
        <v>34</v>
      </c>
      <c r="B191" s="401" t="s">
        <v>34</v>
      </c>
      <c r="C191" s="401" t="s">
        <v>188</v>
      </c>
      <c r="D191" s="401" t="s">
        <v>188</v>
      </c>
      <c r="E191" s="401" t="s">
        <v>1529</v>
      </c>
      <c r="F191" s="5" t="s">
        <v>1182</v>
      </c>
      <c r="G191" s="401"/>
      <c r="H191" s="1093" t="s">
        <v>511</v>
      </c>
      <c r="I191" s="1216" t="s">
        <v>3112</v>
      </c>
      <c r="J191" s="403">
        <v>20</v>
      </c>
      <c r="K191" s="403">
        <v>135</v>
      </c>
      <c r="L191" s="1093" t="s">
        <v>367</v>
      </c>
      <c r="M191" s="401"/>
      <c r="O191" s="404" t="s">
        <v>31</v>
      </c>
      <c r="P191" s="404" t="s">
        <v>31</v>
      </c>
      <c r="Q191" s="404" t="s">
        <v>167</v>
      </c>
      <c r="R191" s="404" t="s">
        <v>167</v>
      </c>
      <c r="S191" s="404" t="s">
        <v>2057</v>
      </c>
      <c r="T191" s="404" t="s">
        <v>2805</v>
      </c>
      <c r="U191" s="941">
        <v>0</v>
      </c>
      <c r="V191" s="941">
        <v>0</v>
      </c>
      <c r="W191" s="941">
        <v>1</v>
      </c>
      <c r="X191" s="941">
        <v>2</v>
      </c>
      <c r="Y191" s="941">
        <v>0</v>
      </c>
      <c r="Z191" s="941">
        <v>0</v>
      </c>
      <c r="AA191" s="942">
        <v>0</v>
      </c>
      <c r="AB191" s="942">
        <v>0</v>
      </c>
      <c r="AC191" s="942">
        <v>0</v>
      </c>
      <c r="AD191" s="942">
        <v>0</v>
      </c>
      <c r="AE191" s="942">
        <v>0</v>
      </c>
      <c r="AF191" s="942">
        <v>0</v>
      </c>
      <c r="AG191" s="943">
        <f>comparaison_samebasis_villages[[#This Row],[previous idp_ind]]-comparaison_samebasis_villages[[#This Row],[actual idp_ind]]</f>
        <v>0</v>
      </c>
      <c r="AH191" s="943">
        <f>comparaison_samebasis_villages[[#This Row],[previous ref_ind]]-comparaison_samebasis_villages[[#This Row],[actual ref_ind]]</f>
        <v>-2</v>
      </c>
      <c r="AI191" s="943">
        <f>comparaison_samebasis_villages[[#This Row],[previous ret_ind]]-comparaison_samebasis_villages[[#This Row],[actual ret_ind]]</f>
        <v>0</v>
      </c>
    </row>
    <row r="192" spans="1:35" ht="15.75" customHeight="1" x14ac:dyDescent="0.3">
      <c r="A192" s="401" t="s">
        <v>31</v>
      </c>
      <c r="B192" s="401" t="s">
        <v>31</v>
      </c>
      <c r="C192" s="401" t="s">
        <v>165</v>
      </c>
      <c r="D192" s="401" t="s">
        <v>165</v>
      </c>
      <c r="E192" s="401" t="s">
        <v>2135</v>
      </c>
      <c r="F192" s="5" t="s">
        <v>997</v>
      </c>
      <c r="G192" s="401"/>
      <c r="H192" s="1093" t="s">
        <v>511</v>
      </c>
      <c r="I192" s="1216" t="s">
        <v>3112</v>
      </c>
      <c r="J192" s="403">
        <v>50</v>
      </c>
      <c r="K192" s="403">
        <v>315</v>
      </c>
      <c r="L192" s="1093" t="s">
        <v>365</v>
      </c>
      <c r="M192" s="401"/>
      <c r="O192" s="404" t="s">
        <v>31</v>
      </c>
      <c r="P192" s="404" t="s">
        <v>31</v>
      </c>
      <c r="Q192" s="404" t="s">
        <v>167</v>
      </c>
      <c r="R192" s="404" t="s">
        <v>167</v>
      </c>
      <c r="S192" s="404" t="s">
        <v>1874</v>
      </c>
      <c r="T192" s="404" t="s">
        <v>2806</v>
      </c>
      <c r="U192" s="941">
        <v>0</v>
      </c>
      <c r="V192" s="941">
        <v>0</v>
      </c>
      <c r="W192" s="941">
        <v>0</v>
      </c>
      <c r="X192" s="941">
        <v>0</v>
      </c>
      <c r="Y192" s="941">
        <v>0</v>
      </c>
      <c r="Z192" s="941">
        <v>0</v>
      </c>
      <c r="AA192" s="942">
        <v>10</v>
      </c>
      <c r="AB192" s="942">
        <v>50</v>
      </c>
      <c r="AC192" s="942">
        <v>0</v>
      </c>
      <c r="AD192" s="942">
        <v>0</v>
      </c>
      <c r="AE192" s="942">
        <v>0</v>
      </c>
      <c r="AF192" s="942">
        <v>0</v>
      </c>
      <c r="AG192" s="943">
        <f>comparaison_samebasis_villages[[#This Row],[previous idp_ind]]-comparaison_samebasis_villages[[#This Row],[actual idp_ind]]</f>
        <v>50</v>
      </c>
      <c r="AH192" s="943">
        <f>comparaison_samebasis_villages[[#This Row],[previous ref_ind]]-comparaison_samebasis_villages[[#This Row],[actual ref_ind]]</f>
        <v>0</v>
      </c>
      <c r="AI192" s="943">
        <f>comparaison_samebasis_villages[[#This Row],[previous ret_ind]]-comparaison_samebasis_villages[[#This Row],[actual ret_ind]]</f>
        <v>0</v>
      </c>
    </row>
    <row r="193" spans="1:35" ht="15.75" customHeight="1" x14ac:dyDescent="0.3">
      <c r="A193" s="401" t="s">
        <v>31</v>
      </c>
      <c r="B193" s="401" t="s">
        <v>31</v>
      </c>
      <c r="C193" s="401" t="s">
        <v>165</v>
      </c>
      <c r="D193" s="401" t="s">
        <v>165</v>
      </c>
      <c r="E193" s="401" t="s">
        <v>1293</v>
      </c>
      <c r="F193" s="5" t="s">
        <v>2029</v>
      </c>
      <c r="G193" s="401"/>
      <c r="H193" s="1093" t="s">
        <v>511</v>
      </c>
      <c r="I193" s="1216" t="s">
        <v>3112</v>
      </c>
      <c r="J193" s="403">
        <v>25</v>
      </c>
      <c r="K193" s="403">
        <v>70</v>
      </c>
      <c r="L193" s="1093" t="s">
        <v>365</v>
      </c>
      <c r="M193" s="401"/>
      <c r="O193" s="399" t="s">
        <v>31</v>
      </c>
      <c r="P193" s="399" t="s">
        <v>31</v>
      </c>
      <c r="Q193" s="399" t="s">
        <v>167</v>
      </c>
      <c r="R193" s="399" t="s">
        <v>167</v>
      </c>
      <c r="S193" s="399" t="s">
        <v>1973</v>
      </c>
      <c r="T193" s="399" t="s">
        <v>2807</v>
      </c>
      <c r="U193" s="941">
        <v>0</v>
      </c>
      <c r="V193" s="941">
        <v>0</v>
      </c>
      <c r="W193" s="941">
        <v>0</v>
      </c>
      <c r="X193" s="941">
        <v>0</v>
      </c>
      <c r="Y193" s="941">
        <v>0</v>
      </c>
      <c r="Z193" s="941">
        <v>0</v>
      </c>
      <c r="AA193" s="942">
        <v>40</v>
      </c>
      <c r="AB193" s="942">
        <v>90</v>
      </c>
      <c r="AC193" s="942">
        <v>0</v>
      </c>
      <c r="AD193" s="942">
        <v>0</v>
      </c>
      <c r="AE193" s="942">
        <v>0</v>
      </c>
      <c r="AF193" s="942">
        <v>0</v>
      </c>
      <c r="AG193" s="943">
        <f>comparaison_samebasis_villages[[#This Row],[previous idp_ind]]-comparaison_samebasis_villages[[#This Row],[actual idp_ind]]</f>
        <v>90</v>
      </c>
      <c r="AH193" s="943">
        <f>comparaison_samebasis_villages[[#This Row],[previous ref_ind]]-comparaison_samebasis_villages[[#This Row],[actual ref_ind]]</f>
        <v>0</v>
      </c>
      <c r="AI193" s="943">
        <f>comparaison_samebasis_villages[[#This Row],[previous ret_ind]]-comparaison_samebasis_villages[[#This Row],[actual ret_ind]]</f>
        <v>0</v>
      </c>
    </row>
    <row r="194" spans="1:35" ht="15.75" customHeight="1" x14ac:dyDescent="0.3">
      <c r="A194" s="401" t="s">
        <v>35</v>
      </c>
      <c r="B194" s="401" t="s">
        <v>35</v>
      </c>
      <c r="C194" s="401" t="s">
        <v>195</v>
      </c>
      <c r="D194" s="401" t="s">
        <v>195</v>
      </c>
      <c r="E194" s="401" t="s">
        <v>2140</v>
      </c>
      <c r="F194" s="5" t="s">
        <v>2141</v>
      </c>
      <c r="G194" s="401"/>
      <c r="H194" s="1093" t="s">
        <v>511</v>
      </c>
      <c r="I194" s="1216" t="s">
        <v>3033</v>
      </c>
      <c r="J194" s="403">
        <v>20</v>
      </c>
      <c r="K194" s="403">
        <v>100</v>
      </c>
      <c r="L194" s="1093" t="s">
        <v>367</v>
      </c>
      <c r="M194" s="401"/>
      <c r="O194" s="399" t="s">
        <v>31</v>
      </c>
      <c r="P194" s="399" t="s">
        <v>31</v>
      </c>
      <c r="Q194" s="399" t="s">
        <v>167</v>
      </c>
      <c r="R194" s="399" t="s">
        <v>167</v>
      </c>
      <c r="S194" s="399" t="s">
        <v>2058</v>
      </c>
      <c r="T194" s="399" t="s">
        <v>2970</v>
      </c>
      <c r="U194" s="941">
        <v>1</v>
      </c>
      <c r="V194" s="941">
        <v>2</v>
      </c>
      <c r="W194" s="941">
        <v>0</v>
      </c>
      <c r="X194" s="941">
        <v>0</v>
      </c>
      <c r="Y194" s="941">
        <v>0</v>
      </c>
      <c r="Z194" s="941">
        <v>0</v>
      </c>
      <c r="AA194" s="942">
        <v>0</v>
      </c>
      <c r="AB194" s="942">
        <v>0</v>
      </c>
      <c r="AC194" s="942">
        <v>0</v>
      </c>
      <c r="AD194" s="942">
        <v>0</v>
      </c>
      <c r="AE194" s="942">
        <v>0</v>
      </c>
      <c r="AF194" s="942">
        <v>0</v>
      </c>
      <c r="AG194" s="943">
        <f>comparaison_samebasis_villages[[#This Row],[previous idp_ind]]-comparaison_samebasis_villages[[#This Row],[actual idp_ind]]</f>
        <v>-2</v>
      </c>
      <c r="AH194" s="943">
        <f>comparaison_samebasis_villages[[#This Row],[previous ref_ind]]-comparaison_samebasis_villages[[#This Row],[actual ref_ind]]</f>
        <v>0</v>
      </c>
      <c r="AI194" s="943">
        <f>comparaison_samebasis_villages[[#This Row],[previous ret_ind]]-comparaison_samebasis_villages[[#This Row],[actual ret_ind]]</f>
        <v>0</v>
      </c>
    </row>
    <row r="195" spans="1:35" ht="15.75" customHeight="1" x14ac:dyDescent="0.3">
      <c r="A195" s="401" t="s">
        <v>35</v>
      </c>
      <c r="B195" s="401" t="s">
        <v>35</v>
      </c>
      <c r="C195" s="401" t="s">
        <v>195</v>
      </c>
      <c r="D195" s="401" t="s">
        <v>195</v>
      </c>
      <c r="E195" s="401" t="s">
        <v>2140</v>
      </c>
      <c r="F195" s="5" t="s">
        <v>2141</v>
      </c>
      <c r="G195" s="401"/>
      <c r="H195" s="1093" t="s">
        <v>511</v>
      </c>
      <c r="I195" s="1216" t="s">
        <v>3109</v>
      </c>
      <c r="J195" s="403">
        <v>4</v>
      </c>
      <c r="K195" s="403">
        <v>22</v>
      </c>
      <c r="L195" s="1093" t="s">
        <v>367</v>
      </c>
      <c r="M195" s="401"/>
      <c r="O195" s="404" t="s">
        <v>31</v>
      </c>
      <c r="P195" s="404" t="s">
        <v>31</v>
      </c>
      <c r="Q195" s="404" t="s">
        <v>167</v>
      </c>
      <c r="R195" s="404" t="s">
        <v>167</v>
      </c>
      <c r="S195" s="404" t="s">
        <v>2795</v>
      </c>
      <c r="T195" s="404" t="s">
        <v>2811</v>
      </c>
      <c r="U195" s="941">
        <v>0</v>
      </c>
      <c r="V195" s="941">
        <v>0</v>
      </c>
      <c r="W195" s="941">
        <v>0</v>
      </c>
      <c r="X195" s="941">
        <v>0</v>
      </c>
      <c r="Y195" s="941">
        <v>0</v>
      </c>
      <c r="Z195" s="941">
        <v>0</v>
      </c>
      <c r="AA195" s="942">
        <v>1</v>
      </c>
      <c r="AB195" s="942">
        <v>3</v>
      </c>
      <c r="AC195" s="942">
        <v>0</v>
      </c>
      <c r="AD195" s="942">
        <v>0</v>
      </c>
      <c r="AE195" s="942">
        <v>1</v>
      </c>
      <c r="AF195" s="942">
        <v>3</v>
      </c>
      <c r="AG195" s="943">
        <f>comparaison_samebasis_villages[[#This Row],[previous idp_ind]]-comparaison_samebasis_villages[[#This Row],[actual idp_ind]]</f>
        <v>3</v>
      </c>
      <c r="AH195" s="943">
        <f>comparaison_samebasis_villages[[#This Row],[previous ref_ind]]-comparaison_samebasis_villages[[#This Row],[actual ref_ind]]</f>
        <v>0</v>
      </c>
      <c r="AI195" s="943">
        <f>comparaison_samebasis_villages[[#This Row],[previous ret_ind]]-comparaison_samebasis_villages[[#This Row],[actual ret_ind]]</f>
        <v>3</v>
      </c>
    </row>
    <row r="196" spans="1:35" ht="15.75" customHeight="1" x14ac:dyDescent="0.3">
      <c r="A196" s="401" t="s">
        <v>35</v>
      </c>
      <c r="B196" s="401" t="s">
        <v>35</v>
      </c>
      <c r="C196" s="401" t="s">
        <v>195</v>
      </c>
      <c r="D196" s="401" t="s">
        <v>195</v>
      </c>
      <c r="E196" s="401" t="s">
        <v>2140</v>
      </c>
      <c r="F196" s="5" t="s">
        <v>2141</v>
      </c>
      <c r="G196" s="401"/>
      <c r="H196" s="1093" t="s">
        <v>511</v>
      </c>
      <c r="I196" s="1216" t="s">
        <v>3110</v>
      </c>
      <c r="J196" s="403">
        <v>0</v>
      </c>
      <c r="K196" s="403">
        <v>2</v>
      </c>
      <c r="L196" s="1093" t="s">
        <v>367</v>
      </c>
      <c r="M196" s="401"/>
      <c r="O196" s="404" t="s">
        <v>32</v>
      </c>
      <c r="P196" s="404" t="s">
        <v>32</v>
      </c>
      <c r="Q196" s="1094" t="s">
        <v>177</v>
      </c>
      <c r="R196" s="1094" t="s">
        <v>177</v>
      </c>
      <c r="S196" s="404" t="s">
        <v>779</v>
      </c>
      <c r="T196" s="404" t="s">
        <v>778</v>
      </c>
      <c r="U196" s="941">
        <v>35</v>
      </c>
      <c r="V196" s="941">
        <v>285</v>
      </c>
      <c r="W196" s="941">
        <v>0</v>
      </c>
      <c r="X196" s="941">
        <v>0</v>
      </c>
      <c r="Y196" s="941">
        <v>93</v>
      </c>
      <c r="Z196" s="941">
        <v>93</v>
      </c>
      <c r="AA196" s="942">
        <v>35</v>
      </c>
      <c r="AB196" s="942">
        <v>285</v>
      </c>
      <c r="AC196" s="942">
        <v>0</v>
      </c>
      <c r="AD196" s="942">
        <v>0</v>
      </c>
      <c r="AE196" s="942">
        <v>23</v>
      </c>
      <c r="AF196" s="942">
        <v>132</v>
      </c>
      <c r="AG196" s="943">
        <f>comparaison_samebasis_villages[[#This Row],[previous idp_ind]]-comparaison_samebasis_villages[[#This Row],[actual idp_ind]]</f>
        <v>0</v>
      </c>
      <c r="AH196" s="943">
        <f>comparaison_samebasis_villages[[#This Row],[previous ref_ind]]-comparaison_samebasis_villages[[#This Row],[actual ref_ind]]</f>
        <v>0</v>
      </c>
      <c r="AI196" s="943">
        <f>comparaison_samebasis_villages[[#This Row],[previous ret_ind]]-comparaison_samebasis_villages[[#This Row],[actual ret_ind]]</f>
        <v>39</v>
      </c>
    </row>
    <row r="197" spans="1:35" ht="15.75" customHeight="1" x14ac:dyDescent="0.3">
      <c r="A197" s="401" t="s">
        <v>35</v>
      </c>
      <c r="B197" s="401" t="s">
        <v>35</v>
      </c>
      <c r="C197" s="401" t="s">
        <v>195</v>
      </c>
      <c r="D197" s="401" t="s">
        <v>195</v>
      </c>
      <c r="E197" s="401" t="s">
        <v>2364</v>
      </c>
      <c r="F197" s="5" t="s">
        <v>2365</v>
      </c>
      <c r="G197" s="401"/>
      <c r="H197" s="1093" t="s">
        <v>511</v>
      </c>
      <c r="I197" s="1216" t="s">
        <v>3033</v>
      </c>
      <c r="J197" s="403">
        <v>5</v>
      </c>
      <c r="K197" s="403">
        <v>24</v>
      </c>
      <c r="L197" s="1093" t="s">
        <v>367</v>
      </c>
      <c r="M197" s="401"/>
      <c r="O197" s="404" t="s">
        <v>32</v>
      </c>
      <c r="P197" s="404" t="s">
        <v>32</v>
      </c>
      <c r="Q197" s="1094" t="s">
        <v>177</v>
      </c>
      <c r="R197" s="1094" t="s">
        <v>177</v>
      </c>
      <c r="S197" s="404" t="s">
        <v>1696</v>
      </c>
      <c r="T197" s="404" t="s">
        <v>3206</v>
      </c>
      <c r="U197" s="941">
        <v>41</v>
      </c>
      <c r="V197" s="941">
        <v>454</v>
      </c>
      <c r="W197" s="941">
        <v>0</v>
      </c>
      <c r="X197" s="941">
        <v>0</v>
      </c>
      <c r="Y197" s="941">
        <v>34</v>
      </c>
      <c r="Z197" s="941">
        <v>34</v>
      </c>
      <c r="AA197" s="942">
        <v>41</v>
      </c>
      <c r="AB197" s="942">
        <v>454</v>
      </c>
      <c r="AC197" s="942">
        <v>0</v>
      </c>
      <c r="AD197" s="942">
        <v>0</v>
      </c>
      <c r="AE197" s="942">
        <v>34</v>
      </c>
      <c r="AF197" s="942">
        <v>183</v>
      </c>
      <c r="AG197" s="943">
        <f>comparaison_samebasis_villages[[#This Row],[previous idp_ind]]-comparaison_samebasis_villages[[#This Row],[actual idp_ind]]</f>
        <v>0</v>
      </c>
      <c r="AH197" s="943">
        <f>comparaison_samebasis_villages[[#This Row],[previous ref_ind]]-comparaison_samebasis_villages[[#This Row],[actual ref_ind]]</f>
        <v>0</v>
      </c>
      <c r="AI197" s="943">
        <f>comparaison_samebasis_villages[[#This Row],[previous ret_ind]]-comparaison_samebasis_villages[[#This Row],[actual ret_ind]]</f>
        <v>149</v>
      </c>
    </row>
    <row r="198" spans="1:35" ht="15.75" customHeight="1" x14ac:dyDescent="0.3">
      <c r="A198" s="401" t="s">
        <v>35</v>
      </c>
      <c r="B198" s="401" t="s">
        <v>35</v>
      </c>
      <c r="C198" s="401" t="s">
        <v>191</v>
      </c>
      <c r="D198" s="401" t="s">
        <v>191</v>
      </c>
      <c r="E198" s="401" t="s">
        <v>1814</v>
      </c>
      <c r="F198" s="5" t="s">
        <v>1815</v>
      </c>
      <c r="G198" s="401"/>
      <c r="H198" s="1093" t="s">
        <v>511</v>
      </c>
      <c r="I198" s="1216" t="s">
        <v>3033</v>
      </c>
      <c r="J198" s="403">
        <v>3</v>
      </c>
      <c r="K198" s="403">
        <v>24</v>
      </c>
      <c r="L198" s="1093" t="s">
        <v>365</v>
      </c>
      <c r="M198" s="401"/>
      <c r="O198" s="404" t="s">
        <v>32</v>
      </c>
      <c r="P198" s="404" t="s">
        <v>32</v>
      </c>
      <c r="Q198" s="1094" t="s">
        <v>177</v>
      </c>
      <c r="R198" s="1094" t="s">
        <v>177</v>
      </c>
      <c r="S198" s="404" t="s">
        <v>1259</v>
      </c>
      <c r="T198" s="404" t="s">
        <v>1695</v>
      </c>
      <c r="U198" s="941">
        <v>56</v>
      </c>
      <c r="V198" s="941">
        <v>380</v>
      </c>
      <c r="W198" s="941">
        <v>0</v>
      </c>
      <c r="X198" s="941">
        <v>0</v>
      </c>
      <c r="Y198" s="941">
        <v>62</v>
      </c>
      <c r="Z198" s="941">
        <v>62</v>
      </c>
      <c r="AA198" s="942">
        <v>56</v>
      </c>
      <c r="AB198" s="942">
        <v>380</v>
      </c>
      <c r="AC198" s="942">
        <v>0</v>
      </c>
      <c r="AD198" s="942">
        <v>0</v>
      </c>
      <c r="AE198" s="942">
        <v>15</v>
      </c>
      <c r="AF198" s="942">
        <v>82</v>
      </c>
      <c r="AG198" s="943">
        <f>comparaison_samebasis_villages[[#This Row],[previous idp_ind]]-comparaison_samebasis_villages[[#This Row],[actual idp_ind]]</f>
        <v>0</v>
      </c>
      <c r="AH198" s="943">
        <f>comparaison_samebasis_villages[[#This Row],[previous ref_ind]]-comparaison_samebasis_villages[[#This Row],[actual ref_ind]]</f>
        <v>0</v>
      </c>
      <c r="AI198" s="943">
        <f>comparaison_samebasis_villages[[#This Row],[previous ret_ind]]-comparaison_samebasis_villages[[#This Row],[actual ret_ind]]</f>
        <v>20</v>
      </c>
    </row>
    <row r="199" spans="1:35" ht="15.75" customHeight="1" x14ac:dyDescent="0.3">
      <c r="A199" s="401" t="s">
        <v>35</v>
      </c>
      <c r="B199" s="401" t="s">
        <v>35</v>
      </c>
      <c r="C199" s="401" t="s">
        <v>191</v>
      </c>
      <c r="D199" s="401" t="s">
        <v>191</v>
      </c>
      <c r="E199" s="401" t="s">
        <v>660</v>
      </c>
      <c r="F199" s="5" t="s">
        <v>661</v>
      </c>
      <c r="G199" s="401"/>
      <c r="H199" s="1093" t="s">
        <v>511</v>
      </c>
      <c r="I199" s="1216" t="s">
        <v>3033</v>
      </c>
      <c r="J199" s="403">
        <v>3</v>
      </c>
      <c r="K199" s="403">
        <v>22</v>
      </c>
      <c r="L199" s="1093" t="s">
        <v>365</v>
      </c>
      <c r="M199" s="401"/>
      <c r="O199" s="404" t="s">
        <v>32</v>
      </c>
      <c r="P199" s="404" t="s">
        <v>32</v>
      </c>
      <c r="Q199" s="1094" t="s">
        <v>177</v>
      </c>
      <c r="R199" s="1094" t="s">
        <v>177</v>
      </c>
      <c r="S199" s="404" t="s">
        <v>887</v>
      </c>
      <c r="T199" s="404" t="s">
        <v>1258</v>
      </c>
      <c r="U199" s="941">
        <v>100</v>
      </c>
      <c r="V199" s="941">
        <v>525</v>
      </c>
      <c r="W199" s="941">
        <v>0</v>
      </c>
      <c r="X199" s="941">
        <v>0</v>
      </c>
      <c r="Y199" s="941">
        <v>67</v>
      </c>
      <c r="Z199" s="941">
        <v>67</v>
      </c>
      <c r="AA199" s="942">
        <v>100</v>
      </c>
      <c r="AB199" s="942">
        <v>525</v>
      </c>
      <c r="AC199" s="942">
        <v>0</v>
      </c>
      <c r="AD199" s="942">
        <v>0</v>
      </c>
      <c r="AE199" s="942">
        <v>37</v>
      </c>
      <c r="AF199" s="942">
        <v>205</v>
      </c>
      <c r="AG199" s="943">
        <f>comparaison_samebasis_villages[[#This Row],[previous idp_ind]]-comparaison_samebasis_villages[[#This Row],[actual idp_ind]]</f>
        <v>0</v>
      </c>
      <c r="AH199" s="943">
        <f>comparaison_samebasis_villages[[#This Row],[previous ref_ind]]-comparaison_samebasis_villages[[#This Row],[actual ref_ind]]</f>
        <v>0</v>
      </c>
      <c r="AI199" s="943">
        <f>comparaison_samebasis_villages[[#This Row],[previous ret_ind]]-comparaison_samebasis_villages[[#This Row],[actual ret_ind]]</f>
        <v>138</v>
      </c>
    </row>
    <row r="200" spans="1:35" ht="15.75" customHeight="1" x14ac:dyDescent="0.3">
      <c r="A200" s="401" t="s">
        <v>35</v>
      </c>
      <c r="B200" s="401" t="s">
        <v>35</v>
      </c>
      <c r="C200" s="401" t="s">
        <v>191</v>
      </c>
      <c r="D200" s="401" t="s">
        <v>191</v>
      </c>
      <c r="E200" s="401" t="s">
        <v>660</v>
      </c>
      <c r="F200" s="5" t="s">
        <v>661</v>
      </c>
      <c r="G200" s="401"/>
      <c r="H200" s="1093" t="s">
        <v>511</v>
      </c>
      <c r="I200" s="1216" t="s">
        <v>3110</v>
      </c>
      <c r="J200" s="403">
        <v>1</v>
      </c>
      <c r="K200" s="403">
        <v>11</v>
      </c>
      <c r="L200" s="1093" t="s">
        <v>365</v>
      </c>
      <c r="M200" s="401"/>
      <c r="O200" s="404" t="s">
        <v>32</v>
      </c>
      <c r="P200" s="404" t="s">
        <v>32</v>
      </c>
      <c r="Q200" s="1094" t="s">
        <v>177</v>
      </c>
      <c r="R200" s="1094" t="s">
        <v>177</v>
      </c>
      <c r="S200" s="404" t="s">
        <v>1041</v>
      </c>
      <c r="T200" s="404" t="s">
        <v>886</v>
      </c>
      <c r="U200" s="941">
        <v>5</v>
      </c>
      <c r="V200" s="941">
        <v>72</v>
      </c>
      <c r="W200" s="941">
        <v>0</v>
      </c>
      <c r="X200" s="941">
        <v>0</v>
      </c>
      <c r="Y200" s="941">
        <v>75</v>
      </c>
      <c r="Z200" s="941">
        <v>75</v>
      </c>
      <c r="AA200" s="942">
        <v>5</v>
      </c>
      <c r="AB200" s="942">
        <v>72</v>
      </c>
      <c r="AC200" s="942">
        <v>0</v>
      </c>
      <c r="AD200" s="942">
        <v>0</v>
      </c>
      <c r="AE200" s="942">
        <v>0</v>
      </c>
      <c r="AF200" s="942">
        <v>0</v>
      </c>
      <c r="AG200" s="943">
        <f>comparaison_samebasis_villages[[#This Row],[previous idp_ind]]-comparaison_samebasis_villages[[#This Row],[actual idp_ind]]</f>
        <v>0</v>
      </c>
      <c r="AH200" s="943">
        <f>comparaison_samebasis_villages[[#This Row],[previous ref_ind]]-comparaison_samebasis_villages[[#This Row],[actual ref_ind]]</f>
        <v>0</v>
      </c>
      <c r="AI200" s="943">
        <f>comparaison_samebasis_villages[[#This Row],[previous ret_ind]]-comparaison_samebasis_villages[[#This Row],[actual ret_ind]]</f>
        <v>-75</v>
      </c>
    </row>
    <row r="201" spans="1:35" ht="15.75" customHeight="1" x14ac:dyDescent="0.3">
      <c r="A201" s="401" t="s">
        <v>35</v>
      </c>
      <c r="B201" s="401" t="s">
        <v>35</v>
      </c>
      <c r="C201" s="401" t="s">
        <v>191</v>
      </c>
      <c r="D201" s="401" t="s">
        <v>191</v>
      </c>
      <c r="E201" s="401" t="s">
        <v>2101</v>
      </c>
      <c r="F201" s="5" t="s">
        <v>2102</v>
      </c>
      <c r="G201" s="401"/>
      <c r="H201" s="1093" t="s">
        <v>511</v>
      </c>
      <c r="I201" s="1216" t="s">
        <v>3033</v>
      </c>
      <c r="J201" s="403">
        <v>3</v>
      </c>
      <c r="K201" s="403">
        <v>29</v>
      </c>
      <c r="L201" s="1093" t="s">
        <v>365</v>
      </c>
      <c r="M201" s="401"/>
      <c r="O201" s="404" t="s">
        <v>32</v>
      </c>
      <c r="P201" s="404" t="s">
        <v>32</v>
      </c>
      <c r="Q201" s="1094" t="s">
        <v>177</v>
      </c>
      <c r="R201" s="1094" t="s">
        <v>177</v>
      </c>
      <c r="S201" s="404" t="s">
        <v>2287</v>
      </c>
      <c r="T201" s="404" t="s">
        <v>1040</v>
      </c>
      <c r="U201" s="941">
        <v>0</v>
      </c>
      <c r="V201" s="941">
        <v>0</v>
      </c>
      <c r="W201" s="941">
        <v>0</v>
      </c>
      <c r="X201" s="941">
        <v>0</v>
      </c>
      <c r="Y201" s="941">
        <v>59</v>
      </c>
      <c r="Z201" s="941">
        <v>59</v>
      </c>
      <c r="AA201" s="942">
        <v>0</v>
      </c>
      <c r="AB201" s="942">
        <v>0</v>
      </c>
      <c r="AC201" s="942">
        <v>0</v>
      </c>
      <c r="AD201" s="942">
        <v>0</v>
      </c>
      <c r="AE201" s="942">
        <v>59</v>
      </c>
      <c r="AF201" s="942">
        <v>185</v>
      </c>
      <c r="AG201" s="943">
        <f>comparaison_samebasis_villages[[#This Row],[previous idp_ind]]-comparaison_samebasis_villages[[#This Row],[actual idp_ind]]</f>
        <v>0</v>
      </c>
      <c r="AH201" s="943">
        <f>comparaison_samebasis_villages[[#This Row],[previous ref_ind]]-comparaison_samebasis_villages[[#This Row],[actual ref_ind]]</f>
        <v>0</v>
      </c>
      <c r="AI201" s="943">
        <f>comparaison_samebasis_villages[[#This Row],[previous ret_ind]]-comparaison_samebasis_villages[[#This Row],[actual ret_ind]]</f>
        <v>126</v>
      </c>
    </row>
    <row r="202" spans="1:35" ht="15.75" customHeight="1" x14ac:dyDescent="0.3">
      <c r="A202" s="401" t="s">
        <v>35</v>
      </c>
      <c r="B202" s="401" t="s">
        <v>35</v>
      </c>
      <c r="C202" s="401" t="s">
        <v>191</v>
      </c>
      <c r="D202" s="401" t="s">
        <v>191</v>
      </c>
      <c r="E202" s="401" t="s">
        <v>2306</v>
      </c>
      <c r="F202" s="5" t="s">
        <v>2307</v>
      </c>
      <c r="G202" s="401"/>
      <c r="H202" s="1093" t="s">
        <v>511</v>
      </c>
      <c r="I202" s="1216" t="s">
        <v>3033</v>
      </c>
      <c r="J202" s="403">
        <v>1</v>
      </c>
      <c r="K202" s="403">
        <v>6</v>
      </c>
      <c r="L202" s="1093" t="s">
        <v>365</v>
      </c>
      <c r="M202" s="401"/>
      <c r="O202" s="404" t="s">
        <v>32</v>
      </c>
      <c r="P202" s="404" t="s">
        <v>32</v>
      </c>
      <c r="Q202" s="1094" t="s">
        <v>177</v>
      </c>
      <c r="R202" s="1094" t="s">
        <v>177</v>
      </c>
      <c r="S202" s="404" t="s">
        <v>1652</v>
      </c>
      <c r="T202" s="404" t="s">
        <v>2286</v>
      </c>
      <c r="U202" s="941">
        <v>159</v>
      </c>
      <c r="V202" s="941">
        <v>536</v>
      </c>
      <c r="W202" s="941">
        <v>0</v>
      </c>
      <c r="X202" s="941">
        <v>0</v>
      </c>
      <c r="Y202" s="941">
        <v>0</v>
      </c>
      <c r="Z202" s="941">
        <v>0</v>
      </c>
      <c r="AA202" s="942">
        <v>159</v>
      </c>
      <c r="AB202" s="942">
        <v>536</v>
      </c>
      <c r="AC202" s="942">
        <v>0</v>
      </c>
      <c r="AD202" s="942">
        <v>0</v>
      </c>
      <c r="AE202" s="942">
        <v>0</v>
      </c>
      <c r="AF202" s="942">
        <v>0</v>
      </c>
      <c r="AG202" s="943">
        <f>comparaison_samebasis_villages[[#This Row],[previous idp_ind]]-comparaison_samebasis_villages[[#This Row],[actual idp_ind]]</f>
        <v>0</v>
      </c>
      <c r="AH202" s="943">
        <f>comparaison_samebasis_villages[[#This Row],[previous ref_ind]]-comparaison_samebasis_villages[[#This Row],[actual ref_ind]]</f>
        <v>0</v>
      </c>
      <c r="AI202" s="943">
        <f>comparaison_samebasis_villages[[#This Row],[previous ret_ind]]-comparaison_samebasis_villages[[#This Row],[actual ret_ind]]</f>
        <v>0</v>
      </c>
    </row>
    <row r="203" spans="1:35" ht="15.75" customHeight="1" x14ac:dyDescent="0.3">
      <c r="A203" s="401" t="s">
        <v>35</v>
      </c>
      <c r="B203" s="401" t="s">
        <v>35</v>
      </c>
      <c r="C203" s="401" t="s">
        <v>191</v>
      </c>
      <c r="D203" s="401" t="s">
        <v>191</v>
      </c>
      <c r="E203" s="401" t="s">
        <v>2306</v>
      </c>
      <c r="F203" s="5" t="s">
        <v>2307</v>
      </c>
      <c r="G203" s="401"/>
      <c r="H203" s="1093" t="s">
        <v>511</v>
      </c>
      <c r="I203" s="1216" t="s">
        <v>3112</v>
      </c>
      <c r="J203" s="403">
        <v>0</v>
      </c>
      <c r="K203" s="403">
        <v>1</v>
      </c>
      <c r="L203" s="1093" t="s">
        <v>367</v>
      </c>
      <c r="M203" s="401"/>
      <c r="O203" s="404" t="s">
        <v>32</v>
      </c>
      <c r="P203" s="404" t="s">
        <v>32</v>
      </c>
      <c r="Q203" s="1094" t="s">
        <v>177</v>
      </c>
      <c r="R203" s="1094" t="s">
        <v>177</v>
      </c>
      <c r="S203" s="404" t="s">
        <v>1650</v>
      </c>
      <c r="T203" s="404" t="s">
        <v>1651</v>
      </c>
      <c r="U203" s="941">
        <v>160</v>
      </c>
      <c r="V203" s="941">
        <v>515</v>
      </c>
      <c r="W203" s="941">
        <v>0</v>
      </c>
      <c r="X203" s="941">
        <v>0</v>
      </c>
      <c r="Y203" s="941">
        <v>45</v>
      </c>
      <c r="Z203" s="941">
        <v>45</v>
      </c>
      <c r="AA203" s="942">
        <v>160</v>
      </c>
      <c r="AB203" s="942">
        <v>515</v>
      </c>
      <c r="AC203" s="942">
        <v>0</v>
      </c>
      <c r="AD203" s="942">
        <v>0</v>
      </c>
      <c r="AE203" s="942">
        <v>45</v>
      </c>
      <c r="AF203" s="942">
        <v>295</v>
      </c>
      <c r="AG203" s="943">
        <f>comparaison_samebasis_villages[[#This Row],[previous idp_ind]]-comparaison_samebasis_villages[[#This Row],[actual idp_ind]]</f>
        <v>0</v>
      </c>
      <c r="AH203" s="943">
        <f>comparaison_samebasis_villages[[#This Row],[previous ref_ind]]-comparaison_samebasis_villages[[#This Row],[actual ref_ind]]</f>
        <v>0</v>
      </c>
      <c r="AI203" s="943">
        <f>comparaison_samebasis_villages[[#This Row],[previous ret_ind]]-comparaison_samebasis_villages[[#This Row],[actual ret_ind]]</f>
        <v>250</v>
      </c>
    </row>
    <row r="204" spans="1:35" ht="15.75" customHeight="1" x14ac:dyDescent="0.3">
      <c r="A204" s="401" t="s">
        <v>35</v>
      </c>
      <c r="B204" s="401" t="s">
        <v>35</v>
      </c>
      <c r="C204" s="1093" t="s">
        <v>191</v>
      </c>
      <c r="D204" s="1093" t="s">
        <v>191</v>
      </c>
      <c r="E204" s="401" t="s">
        <v>2067</v>
      </c>
      <c r="F204" s="5" t="s">
        <v>2068</v>
      </c>
      <c r="G204" s="401"/>
      <c r="H204" s="1093" t="s">
        <v>511</v>
      </c>
      <c r="I204" s="1216" t="s">
        <v>3033</v>
      </c>
      <c r="J204" s="403">
        <v>2</v>
      </c>
      <c r="K204" s="403">
        <v>29</v>
      </c>
      <c r="L204" s="1093" t="s">
        <v>367</v>
      </c>
      <c r="M204" s="401"/>
      <c r="O204" s="404" t="s">
        <v>32</v>
      </c>
      <c r="P204" s="404" t="s">
        <v>32</v>
      </c>
      <c r="Q204" s="1094" t="s">
        <v>177</v>
      </c>
      <c r="R204" s="1094" t="s">
        <v>177</v>
      </c>
      <c r="S204" s="404" t="s">
        <v>2285</v>
      </c>
      <c r="T204" s="404" t="s">
        <v>1649</v>
      </c>
      <c r="U204" s="941">
        <v>0</v>
      </c>
      <c r="V204" s="941">
        <v>0</v>
      </c>
      <c r="W204" s="941">
        <v>0</v>
      </c>
      <c r="X204" s="941">
        <v>0</v>
      </c>
      <c r="Y204" s="941">
        <v>122</v>
      </c>
      <c r="Z204" s="941">
        <v>122</v>
      </c>
      <c r="AA204" s="942">
        <v>0</v>
      </c>
      <c r="AB204" s="942">
        <v>0</v>
      </c>
      <c r="AC204" s="942">
        <v>0</v>
      </c>
      <c r="AD204" s="942">
        <v>0</v>
      </c>
      <c r="AE204" s="942">
        <v>92</v>
      </c>
      <c r="AF204" s="942">
        <v>312</v>
      </c>
      <c r="AG204" s="943">
        <f>comparaison_samebasis_villages[[#This Row],[previous idp_ind]]-comparaison_samebasis_villages[[#This Row],[actual idp_ind]]</f>
        <v>0</v>
      </c>
      <c r="AH204" s="943">
        <f>comparaison_samebasis_villages[[#This Row],[previous ref_ind]]-comparaison_samebasis_villages[[#This Row],[actual ref_ind]]</f>
        <v>0</v>
      </c>
      <c r="AI204" s="943">
        <f>comparaison_samebasis_villages[[#This Row],[previous ret_ind]]-comparaison_samebasis_villages[[#This Row],[actual ret_ind]]</f>
        <v>190</v>
      </c>
    </row>
    <row r="205" spans="1:35" ht="15.75" customHeight="1" x14ac:dyDescent="0.3">
      <c r="A205" s="401" t="s">
        <v>35</v>
      </c>
      <c r="B205" s="401" t="s">
        <v>35</v>
      </c>
      <c r="C205" s="1093" t="s">
        <v>191</v>
      </c>
      <c r="D205" s="1093" t="s">
        <v>191</v>
      </c>
      <c r="E205" s="401" t="s">
        <v>2067</v>
      </c>
      <c r="F205" s="5" t="s">
        <v>2068</v>
      </c>
      <c r="G205" s="401"/>
      <c r="H205" s="1093" t="s">
        <v>511</v>
      </c>
      <c r="I205" s="1216" t="s">
        <v>3112</v>
      </c>
      <c r="J205" s="403">
        <v>0</v>
      </c>
      <c r="K205" s="403">
        <v>2</v>
      </c>
      <c r="L205" s="1093" t="s">
        <v>383</v>
      </c>
      <c r="M205" s="401" t="s">
        <v>3332</v>
      </c>
      <c r="O205" s="404" t="s">
        <v>32</v>
      </c>
      <c r="P205" s="404" t="s">
        <v>32</v>
      </c>
      <c r="Q205" s="1094" t="s">
        <v>177</v>
      </c>
      <c r="R205" s="1094" t="s">
        <v>177</v>
      </c>
      <c r="S205" s="404" t="s">
        <v>2248</v>
      </c>
      <c r="T205" s="404" t="s">
        <v>2284</v>
      </c>
      <c r="U205" s="941">
        <v>0</v>
      </c>
      <c r="V205" s="941">
        <v>0</v>
      </c>
      <c r="W205" s="941">
        <v>0</v>
      </c>
      <c r="X205" s="941">
        <v>0</v>
      </c>
      <c r="Y205" s="941">
        <v>122</v>
      </c>
      <c r="Z205" s="941">
        <v>122</v>
      </c>
      <c r="AA205" s="942">
        <v>0</v>
      </c>
      <c r="AB205" s="942">
        <v>0</v>
      </c>
      <c r="AC205" s="942">
        <v>0</v>
      </c>
      <c r="AD205" s="942">
        <v>0</v>
      </c>
      <c r="AE205" s="942">
        <v>32</v>
      </c>
      <c r="AF205" s="942">
        <v>121</v>
      </c>
      <c r="AG205" s="943">
        <f>comparaison_samebasis_villages[[#This Row],[previous idp_ind]]-comparaison_samebasis_villages[[#This Row],[actual idp_ind]]</f>
        <v>0</v>
      </c>
      <c r="AH205" s="943">
        <f>comparaison_samebasis_villages[[#This Row],[previous ref_ind]]-comparaison_samebasis_villages[[#This Row],[actual ref_ind]]</f>
        <v>0</v>
      </c>
      <c r="AI205" s="943">
        <f>comparaison_samebasis_villages[[#This Row],[previous ret_ind]]-comparaison_samebasis_villages[[#This Row],[actual ret_ind]]</f>
        <v>-1</v>
      </c>
    </row>
    <row r="206" spans="1:35" ht="15.75" customHeight="1" x14ac:dyDescent="0.3">
      <c r="A206" s="401" t="s">
        <v>35</v>
      </c>
      <c r="B206" s="401" t="s">
        <v>35</v>
      </c>
      <c r="C206" s="1093" t="s">
        <v>191</v>
      </c>
      <c r="D206" s="1093" t="s">
        <v>191</v>
      </c>
      <c r="E206" s="401" t="s">
        <v>1462</v>
      </c>
      <c r="F206" s="5" t="s">
        <v>1463</v>
      </c>
      <c r="G206" s="401"/>
      <c r="H206" s="1093" t="s">
        <v>511</v>
      </c>
      <c r="I206" s="1216" t="s">
        <v>3033</v>
      </c>
      <c r="J206" s="403">
        <v>2</v>
      </c>
      <c r="K206" s="403">
        <v>12</v>
      </c>
      <c r="L206" s="1093" t="s">
        <v>367</v>
      </c>
      <c r="M206" s="401"/>
      <c r="O206" s="404" t="s">
        <v>32</v>
      </c>
      <c r="P206" s="404" t="s">
        <v>32</v>
      </c>
      <c r="Q206" s="1094" t="s">
        <v>177</v>
      </c>
      <c r="R206" s="1094" t="s">
        <v>177</v>
      </c>
      <c r="S206" s="404" t="s">
        <v>2775</v>
      </c>
      <c r="T206" s="404" t="s">
        <v>2247</v>
      </c>
      <c r="U206" s="941">
        <v>0</v>
      </c>
      <c r="V206" s="941">
        <v>0</v>
      </c>
      <c r="W206" s="941">
        <v>0</v>
      </c>
      <c r="X206" s="941">
        <v>0</v>
      </c>
      <c r="Y206" s="941">
        <v>180</v>
      </c>
      <c r="Z206" s="941">
        <v>180</v>
      </c>
      <c r="AA206" s="942">
        <v>0</v>
      </c>
      <c r="AB206" s="942">
        <v>0</v>
      </c>
      <c r="AC206" s="942">
        <v>0</v>
      </c>
      <c r="AD206" s="942">
        <v>0</v>
      </c>
      <c r="AE206" s="942">
        <v>150</v>
      </c>
      <c r="AF206" s="942">
        <v>511</v>
      </c>
      <c r="AG206" s="943">
        <f>comparaison_samebasis_villages[[#This Row],[previous idp_ind]]-comparaison_samebasis_villages[[#This Row],[actual idp_ind]]</f>
        <v>0</v>
      </c>
      <c r="AH206" s="943">
        <f>comparaison_samebasis_villages[[#This Row],[previous ref_ind]]-comparaison_samebasis_villages[[#This Row],[actual ref_ind]]</f>
        <v>0</v>
      </c>
      <c r="AI206" s="943">
        <f>comparaison_samebasis_villages[[#This Row],[previous ret_ind]]-comparaison_samebasis_villages[[#This Row],[actual ret_ind]]</f>
        <v>331</v>
      </c>
    </row>
    <row r="207" spans="1:35" ht="15.75" customHeight="1" x14ac:dyDescent="0.3">
      <c r="A207" s="401" t="s">
        <v>35</v>
      </c>
      <c r="B207" s="401" t="s">
        <v>35</v>
      </c>
      <c r="C207" s="401" t="s">
        <v>191</v>
      </c>
      <c r="D207" s="401" t="s">
        <v>191</v>
      </c>
      <c r="E207" s="401" t="s">
        <v>741</v>
      </c>
      <c r="F207" s="5" t="s">
        <v>742</v>
      </c>
      <c r="G207" s="401"/>
      <c r="H207" s="1093" t="s">
        <v>511</v>
      </c>
      <c r="I207" s="1216" t="s">
        <v>3110</v>
      </c>
      <c r="J207" s="403">
        <v>1</v>
      </c>
      <c r="K207" s="403">
        <v>7</v>
      </c>
      <c r="L207" s="1093" t="s">
        <v>365</v>
      </c>
      <c r="M207" s="401"/>
      <c r="O207" s="404" t="s">
        <v>32</v>
      </c>
      <c r="P207" s="404" t="s">
        <v>32</v>
      </c>
      <c r="Q207" s="1094" t="s">
        <v>179</v>
      </c>
      <c r="R207" s="1094" t="s">
        <v>179</v>
      </c>
      <c r="S207" s="404" t="s">
        <v>2317</v>
      </c>
      <c r="T207" s="404" t="s">
        <v>2316</v>
      </c>
      <c r="U207" s="941">
        <v>0</v>
      </c>
      <c r="V207" s="941">
        <v>0</v>
      </c>
      <c r="W207" s="941">
        <v>0</v>
      </c>
      <c r="X207" s="941">
        <v>0</v>
      </c>
      <c r="Y207" s="941">
        <v>50</v>
      </c>
      <c r="Z207" s="941">
        <v>50</v>
      </c>
      <c r="AA207" s="942">
        <v>0</v>
      </c>
      <c r="AB207" s="942">
        <v>0</v>
      </c>
      <c r="AC207" s="942">
        <v>0</v>
      </c>
      <c r="AD207" s="942">
        <v>0</v>
      </c>
      <c r="AE207" s="942">
        <v>50</v>
      </c>
      <c r="AF207" s="942">
        <v>260</v>
      </c>
      <c r="AG207" s="943">
        <f>comparaison_samebasis_villages[[#This Row],[previous idp_ind]]-comparaison_samebasis_villages[[#This Row],[actual idp_ind]]</f>
        <v>0</v>
      </c>
      <c r="AH207" s="943">
        <f>comparaison_samebasis_villages[[#This Row],[previous ref_ind]]-comparaison_samebasis_villages[[#This Row],[actual ref_ind]]</f>
        <v>0</v>
      </c>
      <c r="AI207" s="943">
        <f>comparaison_samebasis_villages[[#This Row],[previous ret_ind]]-comparaison_samebasis_villages[[#This Row],[actual ret_ind]]</f>
        <v>210</v>
      </c>
    </row>
    <row r="208" spans="1:35" ht="15.75" customHeight="1" x14ac:dyDescent="0.3">
      <c r="A208" s="401" t="s">
        <v>35</v>
      </c>
      <c r="B208" s="401" t="s">
        <v>35</v>
      </c>
      <c r="C208" s="401" t="s">
        <v>191</v>
      </c>
      <c r="D208" s="401" t="s">
        <v>191</v>
      </c>
      <c r="E208" s="401" t="s">
        <v>741</v>
      </c>
      <c r="F208" s="5" t="s">
        <v>742</v>
      </c>
      <c r="G208" s="401"/>
      <c r="H208" s="1093" t="s">
        <v>511</v>
      </c>
      <c r="I208" s="1216" t="s">
        <v>3033</v>
      </c>
      <c r="J208" s="403">
        <v>1</v>
      </c>
      <c r="K208" s="403">
        <v>5</v>
      </c>
      <c r="L208" s="1093" t="s">
        <v>365</v>
      </c>
      <c r="M208" s="401"/>
      <c r="O208" s="404" t="s">
        <v>32</v>
      </c>
      <c r="P208" s="404" t="s">
        <v>32</v>
      </c>
      <c r="Q208" s="1094" t="s">
        <v>179</v>
      </c>
      <c r="R208" s="1094" t="s">
        <v>179</v>
      </c>
      <c r="S208" s="404" t="s">
        <v>2319</v>
      </c>
      <c r="T208" s="404" t="s">
        <v>2318</v>
      </c>
      <c r="U208" s="941">
        <v>0</v>
      </c>
      <c r="V208" s="941">
        <v>0</v>
      </c>
      <c r="W208" s="941">
        <v>0</v>
      </c>
      <c r="X208" s="941">
        <v>0</v>
      </c>
      <c r="Y208" s="941">
        <v>15</v>
      </c>
      <c r="Z208" s="941">
        <v>15</v>
      </c>
      <c r="AA208" s="942">
        <v>0</v>
      </c>
      <c r="AB208" s="942">
        <v>0</v>
      </c>
      <c r="AC208" s="942">
        <v>0</v>
      </c>
      <c r="AD208" s="942">
        <v>0</v>
      </c>
      <c r="AE208" s="942">
        <v>15</v>
      </c>
      <c r="AF208" s="942">
        <v>102</v>
      </c>
      <c r="AG208" s="943">
        <f>comparaison_samebasis_villages[[#This Row],[previous idp_ind]]-comparaison_samebasis_villages[[#This Row],[actual idp_ind]]</f>
        <v>0</v>
      </c>
      <c r="AH208" s="943">
        <f>comparaison_samebasis_villages[[#This Row],[previous ref_ind]]-comparaison_samebasis_villages[[#This Row],[actual ref_ind]]</f>
        <v>0</v>
      </c>
      <c r="AI208" s="943">
        <f>comparaison_samebasis_villages[[#This Row],[previous ret_ind]]-comparaison_samebasis_villages[[#This Row],[actual ret_ind]]</f>
        <v>87</v>
      </c>
    </row>
    <row r="209" spans="1:35" ht="15.75" customHeight="1" x14ac:dyDescent="0.3">
      <c r="A209" s="401" t="s">
        <v>35</v>
      </c>
      <c r="B209" s="401" t="s">
        <v>35</v>
      </c>
      <c r="C209" s="401" t="s">
        <v>191</v>
      </c>
      <c r="D209" s="401" t="s">
        <v>191</v>
      </c>
      <c r="E209" s="401" t="s">
        <v>741</v>
      </c>
      <c r="F209" s="5" t="s">
        <v>742</v>
      </c>
      <c r="G209" s="401"/>
      <c r="H209" s="1093" t="s">
        <v>511</v>
      </c>
      <c r="I209" s="1216" t="s">
        <v>3112</v>
      </c>
      <c r="J209" s="403">
        <v>0</v>
      </c>
      <c r="K209" s="403">
        <v>2</v>
      </c>
      <c r="L209" s="1093" t="s">
        <v>367</v>
      </c>
      <c r="M209" s="401"/>
      <c r="O209" s="404" t="s">
        <v>32</v>
      </c>
      <c r="P209" s="404" t="s">
        <v>32</v>
      </c>
      <c r="Q209" s="1094" t="s">
        <v>179</v>
      </c>
      <c r="R209" s="1094" t="s">
        <v>179</v>
      </c>
      <c r="S209" s="404" t="s">
        <v>2324</v>
      </c>
      <c r="T209" s="404" t="s">
        <v>2323</v>
      </c>
      <c r="U209" s="941">
        <v>0</v>
      </c>
      <c r="V209" s="941">
        <v>0</v>
      </c>
      <c r="W209" s="941">
        <v>0</v>
      </c>
      <c r="X209" s="941">
        <v>0</v>
      </c>
      <c r="Y209" s="941">
        <v>50</v>
      </c>
      <c r="Z209" s="941">
        <v>50</v>
      </c>
      <c r="AA209" s="942">
        <v>0</v>
      </c>
      <c r="AB209" s="942">
        <v>0</v>
      </c>
      <c r="AC209" s="942">
        <v>0</v>
      </c>
      <c r="AD209" s="942">
        <v>0</v>
      </c>
      <c r="AE209" s="942">
        <v>20</v>
      </c>
      <c r="AF209" s="942">
        <v>224</v>
      </c>
      <c r="AG209" s="943">
        <f>comparaison_samebasis_villages[[#This Row],[previous idp_ind]]-comparaison_samebasis_villages[[#This Row],[actual idp_ind]]</f>
        <v>0</v>
      </c>
      <c r="AH209" s="943">
        <f>comparaison_samebasis_villages[[#This Row],[previous ref_ind]]-comparaison_samebasis_villages[[#This Row],[actual ref_ind]]</f>
        <v>0</v>
      </c>
      <c r="AI209" s="943">
        <f>comparaison_samebasis_villages[[#This Row],[previous ret_ind]]-comparaison_samebasis_villages[[#This Row],[actual ret_ind]]</f>
        <v>174</v>
      </c>
    </row>
    <row r="210" spans="1:35" ht="15.75" customHeight="1" x14ac:dyDescent="0.3">
      <c r="A210" s="401" t="s">
        <v>35</v>
      </c>
      <c r="B210" s="401" t="s">
        <v>35</v>
      </c>
      <c r="C210" s="401" t="s">
        <v>191</v>
      </c>
      <c r="D210" s="401" t="s">
        <v>191</v>
      </c>
      <c r="E210" s="401" t="s">
        <v>662</v>
      </c>
      <c r="F210" s="5" t="s">
        <v>663</v>
      </c>
      <c r="G210" s="401"/>
      <c r="H210" s="1093" t="s">
        <v>511</v>
      </c>
      <c r="I210" s="1216" t="s">
        <v>3033</v>
      </c>
      <c r="J210" s="403">
        <v>3</v>
      </c>
      <c r="K210" s="403">
        <v>32</v>
      </c>
      <c r="L210" s="1093" t="s">
        <v>365</v>
      </c>
      <c r="M210" s="401"/>
      <c r="O210" s="404" t="s">
        <v>32</v>
      </c>
      <c r="P210" s="404" t="s">
        <v>32</v>
      </c>
      <c r="Q210" s="1094" t="s">
        <v>179</v>
      </c>
      <c r="R210" s="1094" t="s">
        <v>179</v>
      </c>
      <c r="S210" s="404" t="s">
        <v>1668</v>
      </c>
      <c r="T210" s="404" t="s">
        <v>1667</v>
      </c>
      <c r="U210" s="941">
        <v>7</v>
      </c>
      <c r="V210" s="941">
        <v>49</v>
      </c>
      <c r="W210" s="941">
        <v>0</v>
      </c>
      <c r="X210" s="941">
        <v>0</v>
      </c>
      <c r="Y210" s="941">
        <v>18</v>
      </c>
      <c r="Z210" s="941">
        <v>18</v>
      </c>
      <c r="AA210" s="942">
        <v>7</v>
      </c>
      <c r="AB210" s="942">
        <v>49</v>
      </c>
      <c r="AC210" s="942">
        <v>0</v>
      </c>
      <c r="AD210" s="942">
        <v>0</v>
      </c>
      <c r="AE210" s="942">
        <v>18</v>
      </c>
      <c r="AF210" s="942">
        <v>250</v>
      </c>
      <c r="AG210" s="943">
        <f>comparaison_samebasis_villages[[#This Row],[previous idp_ind]]-comparaison_samebasis_villages[[#This Row],[actual idp_ind]]</f>
        <v>0</v>
      </c>
      <c r="AH210" s="943">
        <f>comparaison_samebasis_villages[[#This Row],[previous ref_ind]]-comparaison_samebasis_villages[[#This Row],[actual ref_ind]]</f>
        <v>0</v>
      </c>
      <c r="AI210" s="943">
        <f>comparaison_samebasis_villages[[#This Row],[previous ret_ind]]-comparaison_samebasis_villages[[#This Row],[actual ret_ind]]</f>
        <v>232</v>
      </c>
    </row>
    <row r="211" spans="1:35" ht="15.75" customHeight="1" x14ac:dyDescent="0.3">
      <c r="A211" s="401" t="s">
        <v>35</v>
      </c>
      <c r="B211" s="401" t="s">
        <v>35</v>
      </c>
      <c r="C211" s="401" t="s">
        <v>191</v>
      </c>
      <c r="D211" s="401" t="s">
        <v>191</v>
      </c>
      <c r="E211" s="401" t="s">
        <v>662</v>
      </c>
      <c r="F211" s="5" t="s">
        <v>663</v>
      </c>
      <c r="G211" s="401"/>
      <c r="H211" s="1093" t="s">
        <v>511</v>
      </c>
      <c r="I211" s="1216" t="s">
        <v>3112</v>
      </c>
      <c r="J211" s="403">
        <v>0</v>
      </c>
      <c r="K211" s="403">
        <v>2</v>
      </c>
      <c r="L211" s="1093" t="s">
        <v>367</v>
      </c>
      <c r="M211" s="401"/>
      <c r="O211" s="404" t="s">
        <v>32</v>
      </c>
      <c r="P211" s="404" t="s">
        <v>32</v>
      </c>
      <c r="Q211" s="1094" t="s">
        <v>179</v>
      </c>
      <c r="R211" s="1094" t="s">
        <v>179</v>
      </c>
      <c r="S211" s="404" t="s">
        <v>2322</v>
      </c>
      <c r="T211" s="404" t="s">
        <v>2321</v>
      </c>
      <c r="U211" s="941">
        <v>0</v>
      </c>
      <c r="V211" s="941">
        <v>0</v>
      </c>
      <c r="W211" s="941">
        <v>0</v>
      </c>
      <c r="X211" s="941">
        <v>0</v>
      </c>
      <c r="Y211" s="941">
        <v>76</v>
      </c>
      <c r="Z211" s="941">
        <v>76</v>
      </c>
      <c r="AA211" s="942">
        <v>0</v>
      </c>
      <c r="AB211" s="942">
        <v>0</v>
      </c>
      <c r="AC211" s="942">
        <v>0</v>
      </c>
      <c r="AD211" s="942">
        <v>0</v>
      </c>
      <c r="AE211" s="942">
        <v>20</v>
      </c>
      <c r="AF211" s="942">
        <v>137</v>
      </c>
      <c r="AG211" s="943">
        <f>comparaison_samebasis_villages[[#This Row],[previous idp_ind]]-comparaison_samebasis_villages[[#This Row],[actual idp_ind]]</f>
        <v>0</v>
      </c>
      <c r="AH211" s="943">
        <f>comparaison_samebasis_villages[[#This Row],[previous ref_ind]]-comparaison_samebasis_villages[[#This Row],[actual ref_ind]]</f>
        <v>0</v>
      </c>
      <c r="AI211" s="943">
        <f>comparaison_samebasis_villages[[#This Row],[previous ret_ind]]-comparaison_samebasis_villages[[#This Row],[actual ret_ind]]</f>
        <v>61</v>
      </c>
    </row>
    <row r="212" spans="1:35" ht="15.75" customHeight="1" x14ac:dyDescent="0.3">
      <c r="A212" s="401" t="s">
        <v>31</v>
      </c>
      <c r="B212" s="401" t="s">
        <v>31</v>
      </c>
      <c r="C212" s="401" t="s">
        <v>171</v>
      </c>
      <c r="D212" s="401" t="s">
        <v>171</v>
      </c>
      <c r="E212" s="401" t="s">
        <v>2022</v>
      </c>
      <c r="F212" s="5" t="s">
        <v>1752</v>
      </c>
      <c r="G212" s="401"/>
      <c r="H212" s="1093" t="s">
        <v>511</v>
      </c>
      <c r="I212" s="1216" t="s">
        <v>3111</v>
      </c>
      <c r="J212" s="403">
        <v>35</v>
      </c>
      <c r="K212" s="403">
        <v>220</v>
      </c>
      <c r="L212" s="1093" t="s">
        <v>373</v>
      </c>
      <c r="M212" s="401"/>
      <c r="O212" s="404" t="s">
        <v>33</v>
      </c>
      <c r="P212" s="404" t="s">
        <v>33</v>
      </c>
      <c r="Q212" s="1094" t="s">
        <v>182</v>
      </c>
      <c r="R212" s="1094" t="s">
        <v>182</v>
      </c>
      <c r="S212" s="404" t="s">
        <v>649</v>
      </c>
      <c r="T212" s="404" t="s">
        <v>648</v>
      </c>
      <c r="U212" s="941">
        <v>1</v>
      </c>
      <c r="V212" s="941">
        <v>4</v>
      </c>
      <c r="W212" s="941">
        <v>0</v>
      </c>
      <c r="X212" s="941">
        <v>0</v>
      </c>
      <c r="Y212" s="941">
        <v>2</v>
      </c>
      <c r="Z212" s="941">
        <v>2</v>
      </c>
      <c r="AA212" s="942">
        <v>1</v>
      </c>
      <c r="AB212" s="942">
        <v>8</v>
      </c>
      <c r="AC212" s="942">
        <v>0</v>
      </c>
      <c r="AD212" s="942">
        <v>0</v>
      </c>
      <c r="AE212" s="942">
        <v>0</v>
      </c>
      <c r="AF212" s="942">
        <v>0</v>
      </c>
      <c r="AG212" s="943">
        <f>comparaison_samebasis_villages[[#This Row],[previous idp_ind]]-comparaison_samebasis_villages[[#This Row],[actual idp_ind]]</f>
        <v>4</v>
      </c>
      <c r="AH212" s="943">
        <f>comparaison_samebasis_villages[[#This Row],[previous ref_ind]]-comparaison_samebasis_villages[[#This Row],[actual ref_ind]]</f>
        <v>0</v>
      </c>
      <c r="AI212" s="943">
        <f>comparaison_samebasis_villages[[#This Row],[previous ret_ind]]-comparaison_samebasis_villages[[#This Row],[actual ret_ind]]</f>
        <v>-2</v>
      </c>
    </row>
    <row r="213" spans="1:35" ht="15.75" customHeight="1" x14ac:dyDescent="0.3">
      <c r="A213" s="401" t="s">
        <v>31</v>
      </c>
      <c r="B213" s="401" t="s">
        <v>31</v>
      </c>
      <c r="C213" s="401" t="s">
        <v>164</v>
      </c>
      <c r="D213" s="401" t="s">
        <v>164</v>
      </c>
      <c r="E213" s="401" t="s">
        <v>1970</v>
      </c>
      <c r="F213" s="5" t="s">
        <v>1971</v>
      </c>
      <c r="G213" s="401"/>
      <c r="H213" s="1093" t="s">
        <v>511</v>
      </c>
      <c r="I213" s="1216" t="s">
        <v>3112</v>
      </c>
      <c r="J213" s="403">
        <v>7</v>
      </c>
      <c r="K213" s="403">
        <v>27</v>
      </c>
      <c r="L213" s="1093" t="s">
        <v>367</v>
      </c>
      <c r="M213" s="401"/>
      <c r="O213" s="404" t="s">
        <v>33</v>
      </c>
      <c r="P213" s="404" t="s">
        <v>33</v>
      </c>
      <c r="Q213" s="1094" t="s">
        <v>182</v>
      </c>
      <c r="R213" s="1094" t="s">
        <v>182</v>
      </c>
      <c r="S213" s="404" t="s">
        <v>2293</v>
      </c>
      <c r="T213" s="404" t="s">
        <v>2292</v>
      </c>
      <c r="U213" s="941">
        <v>0</v>
      </c>
      <c r="V213" s="941">
        <v>0</v>
      </c>
      <c r="W213" s="941">
        <v>0</v>
      </c>
      <c r="X213" s="941">
        <v>0</v>
      </c>
      <c r="Y213" s="941">
        <v>0</v>
      </c>
      <c r="Z213" s="941">
        <v>0</v>
      </c>
      <c r="AA213" s="942">
        <v>0</v>
      </c>
      <c r="AB213" s="942">
        <v>0</v>
      </c>
      <c r="AC213" s="942">
        <v>0</v>
      </c>
      <c r="AD213" s="942">
        <v>0</v>
      </c>
      <c r="AE213" s="942">
        <v>0</v>
      </c>
      <c r="AF213" s="942">
        <v>0</v>
      </c>
      <c r="AG213" s="943">
        <f>comparaison_samebasis_villages[[#This Row],[previous idp_ind]]-comparaison_samebasis_villages[[#This Row],[actual idp_ind]]</f>
        <v>0</v>
      </c>
      <c r="AH213" s="943">
        <f>comparaison_samebasis_villages[[#This Row],[previous ref_ind]]-comparaison_samebasis_villages[[#This Row],[actual ref_ind]]</f>
        <v>0</v>
      </c>
      <c r="AI213" s="943">
        <f>comparaison_samebasis_villages[[#This Row],[previous ret_ind]]-comparaison_samebasis_villages[[#This Row],[actual ret_ind]]</f>
        <v>0</v>
      </c>
    </row>
    <row r="214" spans="1:35" ht="15.75" customHeight="1" x14ac:dyDescent="0.3">
      <c r="A214" s="401" t="s">
        <v>31</v>
      </c>
      <c r="B214" s="401" t="s">
        <v>31</v>
      </c>
      <c r="C214" s="401" t="s">
        <v>171</v>
      </c>
      <c r="D214" s="401" t="s">
        <v>171</v>
      </c>
      <c r="E214" s="401" t="s">
        <v>1320</v>
      </c>
      <c r="F214" s="5" t="s">
        <v>1321</v>
      </c>
      <c r="G214" s="401"/>
      <c r="H214" s="1093" t="s">
        <v>511</v>
      </c>
      <c r="I214" s="1216" t="s">
        <v>3111</v>
      </c>
      <c r="J214" s="403">
        <v>4</v>
      </c>
      <c r="K214" s="403">
        <v>28</v>
      </c>
      <c r="L214" s="1093" t="s">
        <v>371</v>
      </c>
      <c r="M214" s="401"/>
      <c r="O214" s="404" t="s">
        <v>33</v>
      </c>
      <c r="P214" s="404" t="s">
        <v>33</v>
      </c>
      <c r="Q214" s="1094" t="s">
        <v>182</v>
      </c>
      <c r="R214" s="1094" t="s">
        <v>182</v>
      </c>
      <c r="S214" s="404" t="s">
        <v>2291</v>
      </c>
      <c r="T214" s="404" t="s">
        <v>2290</v>
      </c>
      <c r="U214" s="941">
        <v>0</v>
      </c>
      <c r="V214" s="941">
        <v>0</v>
      </c>
      <c r="W214" s="941">
        <v>2</v>
      </c>
      <c r="X214" s="941">
        <v>30</v>
      </c>
      <c r="Y214" s="941">
        <v>0</v>
      </c>
      <c r="Z214" s="941">
        <v>0</v>
      </c>
      <c r="AA214" s="942">
        <v>0</v>
      </c>
      <c r="AB214" s="942">
        <v>0</v>
      </c>
      <c r="AC214" s="942">
        <v>0</v>
      </c>
      <c r="AD214" s="942">
        <v>0</v>
      </c>
      <c r="AE214" s="942">
        <v>1</v>
      </c>
      <c r="AF214" s="942">
        <v>25</v>
      </c>
      <c r="AG214" s="943">
        <f>comparaison_samebasis_villages[[#This Row],[previous idp_ind]]-comparaison_samebasis_villages[[#This Row],[actual idp_ind]]</f>
        <v>0</v>
      </c>
      <c r="AH214" s="943">
        <f>comparaison_samebasis_villages[[#This Row],[previous ref_ind]]-comparaison_samebasis_villages[[#This Row],[actual ref_ind]]</f>
        <v>-30</v>
      </c>
      <c r="AI214" s="943">
        <f>comparaison_samebasis_villages[[#This Row],[previous ret_ind]]-comparaison_samebasis_villages[[#This Row],[actual ret_ind]]</f>
        <v>25</v>
      </c>
    </row>
    <row r="215" spans="1:35" ht="15.75" customHeight="1" x14ac:dyDescent="0.3">
      <c r="A215" s="401" t="s">
        <v>35</v>
      </c>
      <c r="B215" s="401" t="s">
        <v>35</v>
      </c>
      <c r="C215" s="401" t="s">
        <v>192</v>
      </c>
      <c r="D215" s="401" t="s">
        <v>192</v>
      </c>
      <c r="E215" s="401" t="s">
        <v>945</v>
      </c>
      <c r="F215" s="5" t="s">
        <v>1005</v>
      </c>
      <c r="G215" s="401"/>
      <c r="H215" s="1093" t="s">
        <v>511</v>
      </c>
      <c r="I215" s="1216" t="s">
        <v>3109</v>
      </c>
      <c r="J215" s="403">
        <v>1</v>
      </c>
      <c r="K215" s="403">
        <v>8</v>
      </c>
      <c r="L215" s="1093" t="s">
        <v>367</v>
      </c>
      <c r="M215" s="401"/>
      <c r="O215" s="404" t="s">
        <v>33</v>
      </c>
      <c r="P215" s="404" t="s">
        <v>33</v>
      </c>
      <c r="Q215" s="1094" t="s">
        <v>182</v>
      </c>
      <c r="R215" s="1094" t="s">
        <v>182</v>
      </c>
      <c r="S215" s="404" t="s">
        <v>2289</v>
      </c>
      <c r="T215" s="404" t="s">
        <v>2288</v>
      </c>
      <c r="U215" s="941">
        <v>0</v>
      </c>
      <c r="V215" s="941">
        <v>0</v>
      </c>
      <c r="W215" s="941">
        <v>0</v>
      </c>
      <c r="X215" s="941">
        <v>0</v>
      </c>
      <c r="Y215" s="941">
        <v>1</v>
      </c>
      <c r="Z215" s="941">
        <v>1</v>
      </c>
      <c r="AA215" s="942">
        <v>0</v>
      </c>
      <c r="AB215" s="942">
        <v>0</v>
      </c>
      <c r="AC215" s="942">
        <v>0</v>
      </c>
      <c r="AD215" s="942">
        <v>0</v>
      </c>
      <c r="AE215" s="942">
        <v>0</v>
      </c>
      <c r="AF215" s="942">
        <v>0</v>
      </c>
      <c r="AG215" s="943">
        <f>comparaison_samebasis_villages[[#This Row],[previous idp_ind]]-comparaison_samebasis_villages[[#This Row],[actual idp_ind]]</f>
        <v>0</v>
      </c>
      <c r="AH215" s="943">
        <f>comparaison_samebasis_villages[[#This Row],[previous ref_ind]]-comparaison_samebasis_villages[[#This Row],[actual ref_ind]]</f>
        <v>0</v>
      </c>
      <c r="AI215" s="943">
        <f>comparaison_samebasis_villages[[#This Row],[previous ret_ind]]-comparaison_samebasis_villages[[#This Row],[actual ret_ind]]</f>
        <v>-1</v>
      </c>
    </row>
    <row r="216" spans="1:35" ht="15.75" customHeight="1" x14ac:dyDescent="0.3">
      <c r="A216" s="401" t="s">
        <v>35</v>
      </c>
      <c r="B216" s="401" t="s">
        <v>35</v>
      </c>
      <c r="C216" s="401" t="s">
        <v>192</v>
      </c>
      <c r="D216" s="401" t="s">
        <v>192</v>
      </c>
      <c r="E216" s="401" t="s">
        <v>945</v>
      </c>
      <c r="F216" s="5" t="s">
        <v>1005</v>
      </c>
      <c r="G216" s="401"/>
      <c r="H216" s="1093" t="s">
        <v>511</v>
      </c>
      <c r="I216" s="1216" t="s">
        <v>3110</v>
      </c>
      <c r="J216" s="403">
        <v>6</v>
      </c>
      <c r="K216" s="403">
        <v>12</v>
      </c>
      <c r="L216" s="1093" t="s">
        <v>367</v>
      </c>
      <c r="M216" s="401"/>
      <c r="O216" s="404" t="s">
        <v>33</v>
      </c>
      <c r="P216" s="404" t="s">
        <v>33</v>
      </c>
      <c r="Q216" s="1094" t="s">
        <v>182</v>
      </c>
      <c r="R216" s="1094" t="s">
        <v>182</v>
      </c>
      <c r="S216" s="404" t="s">
        <v>2302</v>
      </c>
      <c r="T216" s="404" t="s">
        <v>2301</v>
      </c>
      <c r="U216" s="941">
        <v>0</v>
      </c>
      <c r="V216" s="941">
        <v>0</v>
      </c>
      <c r="W216" s="941">
        <v>0</v>
      </c>
      <c r="X216" s="941">
        <v>0</v>
      </c>
      <c r="Y216" s="941">
        <v>3</v>
      </c>
      <c r="Z216" s="941">
        <v>3</v>
      </c>
      <c r="AA216" s="942">
        <v>0</v>
      </c>
      <c r="AB216" s="942">
        <v>0</v>
      </c>
      <c r="AC216" s="942">
        <v>0</v>
      </c>
      <c r="AD216" s="942">
        <v>0</v>
      </c>
      <c r="AE216" s="942">
        <v>0</v>
      </c>
      <c r="AF216" s="942">
        <v>0</v>
      </c>
      <c r="AG216" s="943">
        <f>comparaison_samebasis_villages[[#This Row],[previous idp_ind]]-comparaison_samebasis_villages[[#This Row],[actual idp_ind]]</f>
        <v>0</v>
      </c>
      <c r="AH216" s="943">
        <f>comparaison_samebasis_villages[[#This Row],[previous ref_ind]]-comparaison_samebasis_villages[[#This Row],[actual ref_ind]]</f>
        <v>0</v>
      </c>
      <c r="AI216" s="943">
        <f>comparaison_samebasis_villages[[#This Row],[previous ret_ind]]-comparaison_samebasis_villages[[#This Row],[actual ret_ind]]</f>
        <v>-3</v>
      </c>
    </row>
    <row r="217" spans="1:35" ht="15.75" customHeight="1" x14ac:dyDescent="0.3">
      <c r="A217" s="401" t="s">
        <v>35</v>
      </c>
      <c r="B217" s="401" t="s">
        <v>35</v>
      </c>
      <c r="C217" s="401" t="s">
        <v>192</v>
      </c>
      <c r="D217" s="401" t="s">
        <v>192</v>
      </c>
      <c r="E217" s="401" t="s">
        <v>945</v>
      </c>
      <c r="F217" s="5" t="s">
        <v>1005</v>
      </c>
      <c r="G217" s="401"/>
      <c r="H217" s="1093" t="s">
        <v>511</v>
      </c>
      <c r="I217" s="1216" t="s">
        <v>3111</v>
      </c>
      <c r="J217" s="403">
        <v>2</v>
      </c>
      <c r="K217" s="403">
        <v>4</v>
      </c>
      <c r="L217" s="1093" t="s">
        <v>367</v>
      </c>
      <c r="M217" s="401"/>
      <c r="O217" s="404" t="s">
        <v>31</v>
      </c>
      <c r="P217" s="404" t="s">
        <v>31</v>
      </c>
      <c r="Q217" s="404" t="s">
        <v>2797</v>
      </c>
      <c r="R217" s="404" t="s">
        <v>3898</v>
      </c>
      <c r="S217" s="404" t="s">
        <v>663</v>
      </c>
      <c r="T217" s="404" t="s">
        <v>1087</v>
      </c>
      <c r="U217" s="941">
        <v>129</v>
      </c>
      <c r="V217" s="941">
        <v>900</v>
      </c>
      <c r="W217" s="941">
        <v>0</v>
      </c>
      <c r="X217" s="941">
        <v>0</v>
      </c>
      <c r="Y217" s="941">
        <v>0</v>
      </c>
      <c r="Z217" s="941">
        <v>0</v>
      </c>
      <c r="AA217" s="942">
        <v>14</v>
      </c>
      <c r="AB217" s="942">
        <v>95</v>
      </c>
      <c r="AC217" s="942">
        <v>0</v>
      </c>
      <c r="AD217" s="942">
        <v>0</v>
      </c>
      <c r="AE217" s="942">
        <v>0</v>
      </c>
      <c r="AF217" s="942">
        <v>0</v>
      </c>
      <c r="AG217" s="943">
        <f>comparaison_samebasis_villages[[#This Row],[previous idp_ind]]-comparaison_samebasis_villages[[#This Row],[actual idp_ind]]</f>
        <v>-805</v>
      </c>
      <c r="AH217" s="943">
        <f>comparaison_samebasis_villages[[#This Row],[previous ref_ind]]-comparaison_samebasis_villages[[#This Row],[actual ref_ind]]</f>
        <v>0</v>
      </c>
      <c r="AI217" s="943">
        <f>comparaison_samebasis_villages[[#This Row],[previous ret_ind]]-comparaison_samebasis_villages[[#This Row],[actual ret_ind]]</f>
        <v>0</v>
      </c>
    </row>
    <row r="218" spans="1:35" ht="15.75" customHeight="1" x14ac:dyDescent="0.3">
      <c r="A218" s="401" t="s">
        <v>35</v>
      </c>
      <c r="B218" s="401" t="s">
        <v>35</v>
      </c>
      <c r="C218" s="401" t="s">
        <v>192</v>
      </c>
      <c r="D218" s="401" t="s">
        <v>192</v>
      </c>
      <c r="E218" s="401" t="s">
        <v>1532</v>
      </c>
      <c r="F218" s="5" t="s">
        <v>1611</v>
      </c>
      <c r="G218" s="401"/>
      <c r="H218" s="1093" t="s">
        <v>511</v>
      </c>
      <c r="I218" s="1216" t="s">
        <v>3109</v>
      </c>
      <c r="J218" s="403">
        <v>16</v>
      </c>
      <c r="K218" s="403">
        <v>96</v>
      </c>
      <c r="L218" s="1093" t="s">
        <v>367</v>
      </c>
      <c r="M218" s="401"/>
      <c r="O218" s="404" t="s">
        <v>31</v>
      </c>
      <c r="P218" s="404" t="s">
        <v>31</v>
      </c>
      <c r="Q218" s="404" t="s">
        <v>2797</v>
      </c>
      <c r="R218" s="404" t="s">
        <v>3898</v>
      </c>
      <c r="S218" s="404" t="s">
        <v>1700</v>
      </c>
      <c r="T218" s="404" t="s">
        <v>1699</v>
      </c>
      <c r="U218" s="941">
        <v>140</v>
      </c>
      <c r="V218" s="941">
        <v>1054</v>
      </c>
      <c r="W218" s="941">
        <v>0</v>
      </c>
      <c r="X218" s="941">
        <v>0</v>
      </c>
      <c r="Y218" s="941">
        <v>0</v>
      </c>
      <c r="Z218" s="941">
        <v>0</v>
      </c>
      <c r="AA218" s="942">
        <v>109</v>
      </c>
      <c r="AB218" s="942">
        <v>837</v>
      </c>
      <c r="AC218" s="942">
        <v>0</v>
      </c>
      <c r="AD218" s="942">
        <v>0</v>
      </c>
      <c r="AE218" s="942">
        <v>0</v>
      </c>
      <c r="AF218" s="942">
        <v>0</v>
      </c>
      <c r="AG218" s="943">
        <f>comparaison_samebasis_villages[[#This Row],[previous idp_ind]]-comparaison_samebasis_villages[[#This Row],[actual idp_ind]]</f>
        <v>-217</v>
      </c>
      <c r="AH218" s="943">
        <f>comparaison_samebasis_villages[[#This Row],[previous ref_ind]]-comparaison_samebasis_villages[[#This Row],[actual ref_ind]]</f>
        <v>0</v>
      </c>
      <c r="AI218" s="943">
        <f>comparaison_samebasis_villages[[#This Row],[previous ret_ind]]-comparaison_samebasis_villages[[#This Row],[actual ret_ind]]</f>
        <v>0</v>
      </c>
    </row>
    <row r="219" spans="1:35" ht="15.75" customHeight="1" x14ac:dyDescent="0.3">
      <c r="A219" s="401" t="s">
        <v>35</v>
      </c>
      <c r="B219" s="401" t="s">
        <v>35</v>
      </c>
      <c r="C219" s="401" t="s">
        <v>192</v>
      </c>
      <c r="D219" s="401" t="s">
        <v>192</v>
      </c>
      <c r="E219" s="401" t="s">
        <v>1532</v>
      </c>
      <c r="F219" s="5" t="s">
        <v>1611</v>
      </c>
      <c r="G219" s="401"/>
      <c r="H219" s="1093" t="s">
        <v>511</v>
      </c>
      <c r="I219" s="1216" t="s">
        <v>3110</v>
      </c>
      <c r="J219" s="403">
        <v>12</v>
      </c>
      <c r="K219" s="403">
        <v>72</v>
      </c>
      <c r="L219" s="1093" t="s">
        <v>367</v>
      </c>
      <c r="M219" s="401"/>
      <c r="O219" s="404" t="s">
        <v>31</v>
      </c>
      <c r="P219" s="404" t="s">
        <v>31</v>
      </c>
      <c r="Q219" s="404" t="s">
        <v>2797</v>
      </c>
      <c r="R219" s="404" t="s">
        <v>3898</v>
      </c>
      <c r="S219" s="404" t="s">
        <v>769</v>
      </c>
      <c r="T219" s="404" t="s">
        <v>768</v>
      </c>
      <c r="U219" s="941">
        <v>55</v>
      </c>
      <c r="V219" s="941">
        <v>383</v>
      </c>
      <c r="W219" s="941">
        <v>0</v>
      </c>
      <c r="X219" s="941">
        <v>0</v>
      </c>
      <c r="Y219" s="941">
        <v>0</v>
      </c>
      <c r="Z219" s="941">
        <v>0</v>
      </c>
      <c r="AA219" s="942">
        <v>35</v>
      </c>
      <c r="AB219" s="942">
        <v>223</v>
      </c>
      <c r="AC219" s="942">
        <v>0</v>
      </c>
      <c r="AD219" s="942">
        <v>0</v>
      </c>
      <c r="AE219" s="942">
        <v>0</v>
      </c>
      <c r="AF219" s="942">
        <v>0</v>
      </c>
      <c r="AG219" s="943">
        <f>comparaison_samebasis_villages[[#This Row],[previous idp_ind]]-comparaison_samebasis_villages[[#This Row],[actual idp_ind]]</f>
        <v>-160</v>
      </c>
      <c r="AH219" s="943">
        <f>comparaison_samebasis_villages[[#This Row],[previous ref_ind]]-comparaison_samebasis_villages[[#This Row],[actual ref_ind]]</f>
        <v>0</v>
      </c>
      <c r="AI219" s="943">
        <f>comparaison_samebasis_villages[[#This Row],[previous ret_ind]]-comparaison_samebasis_villages[[#This Row],[actual ret_ind]]</f>
        <v>0</v>
      </c>
    </row>
    <row r="220" spans="1:35" ht="15.75" customHeight="1" x14ac:dyDescent="0.3">
      <c r="A220" s="401" t="s">
        <v>35</v>
      </c>
      <c r="B220" s="401" t="s">
        <v>35</v>
      </c>
      <c r="C220" s="401" t="s">
        <v>192</v>
      </c>
      <c r="D220" s="401" t="s">
        <v>192</v>
      </c>
      <c r="E220" s="401" t="s">
        <v>1532</v>
      </c>
      <c r="F220" s="5" t="s">
        <v>1611</v>
      </c>
      <c r="G220" s="401"/>
      <c r="H220" s="1093" t="s">
        <v>511</v>
      </c>
      <c r="I220" s="1216" t="s">
        <v>3111</v>
      </c>
      <c r="J220" s="403">
        <v>95</v>
      </c>
      <c r="K220" s="403">
        <v>259</v>
      </c>
      <c r="L220" s="1093" t="s">
        <v>367</v>
      </c>
      <c r="M220" s="401"/>
      <c r="O220" s="404" t="s">
        <v>31</v>
      </c>
      <c r="P220" s="404" t="s">
        <v>31</v>
      </c>
      <c r="Q220" s="404" t="s">
        <v>2797</v>
      </c>
      <c r="R220" s="404" t="s">
        <v>3898</v>
      </c>
      <c r="S220" s="1094" t="s">
        <v>771</v>
      </c>
      <c r="T220" s="404" t="s">
        <v>770</v>
      </c>
      <c r="U220" s="941">
        <v>31</v>
      </c>
      <c r="V220" s="941">
        <v>259</v>
      </c>
      <c r="W220" s="941">
        <v>0</v>
      </c>
      <c r="X220" s="941">
        <v>0</v>
      </c>
      <c r="Y220" s="941">
        <v>0</v>
      </c>
      <c r="Z220" s="941">
        <v>0</v>
      </c>
      <c r="AA220" s="942">
        <v>21</v>
      </c>
      <c r="AB220" s="942">
        <v>159</v>
      </c>
      <c r="AC220" s="942">
        <v>0</v>
      </c>
      <c r="AD220" s="942">
        <v>0</v>
      </c>
      <c r="AE220" s="942">
        <v>0</v>
      </c>
      <c r="AF220" s="942">
        <v>0</v>
      </c>
      <c r="AG220" s="943">
        <f>comparaison_samebasis_villages[[#This Row],[previous idp_ind]]-comparaison_samebasis_villages[[#This Row],[actual idp_ind]]</f>
        <v>-100</v>
      </c>
      <c r="AH220" s="943">
        <f>comparaison_samebasis_villages[[#This Row],[previous ref_ind]]-comparaison_samebasis_villages[[#This Row],[actual ref_ind]]</f>
        <v>0</v>
      </c>
      <c r="AI220" s="943">
        <f>comparaison_samebasis_villages[[#This Row],[previous ret_ind]]-comparaison_samebasis_villages[[#This Row],[actual ret_ind]]</f>
        <v>0</v>
      </c>
    </row>
    <row r="221" spans="1:35" ht="15.75" customHeight="1" x14ac:dyDescent="0.3">
      <c r="A221" s="401" t="s">
        <v>35</v>
      </c>
      <c r="B221" s="401" t="s">
        <v>35</v>
      </c>
      <c r="C221" s="401" t="s">
        <v>192</v>
      </c>
      <c r="D221" s="401" t="s">
        <v>192</v>
      </c>
      <c r="E221" s="401" t="s">
        <v>1532</v>
      </c>
      <c r="F221" s="5" t="s">
        <v>1611</v>
      </c>
      <c r="G221" s="401"/>
      <c r="H221" s="1093" t="s">
        <v>511</v>
      </c>
      <c r="I221" s="1216" t="s">
        <v>3112</v>
      </c>
      <c r="J221" s="403">
        <v>5</v>
      </c>
      <c r="K221" s="403">
        <v>31</v>
      </c>
      <c r="L221" s="1093" t="s">
        <v>367</v>
      </c>
      <c r="M221" s="401"/>
      <c r="O221" s="404" t="s">
        <v>31</v>
      </c>
      <c r="P221" s="404" t="s">
        <v>31</v>
      </c>
      <c r="Q221" s="404" t="s">
        <v>2797</v>
      </c>
      <c r="R221" s="404" t="s">
        <v>3898</v>
      </c>
      <c r="S221" s="404" t="s">
        <v>1199</v>
      </c>
      <c r="T221" s="404" t="s">
        <v>1198</v>
      </c>
      <c r="U221" s="941">
        <v>57</v>
      </c>
      <c r="V221" s="941">
        <v>420</v>
      </c>
      <c r="W221" s="941">
        <v>65</v>
      </c>
      <c r="X221" s="941">
        <v>544</v>
      </c>
      <c r="Y221" s="941">
        <v>60</v>
      </c>
      <c r="Z221" s="941">
        <v>60</v>
      </c>
      <c r="AA221" s="942">
        <v>32</v>
      </c>
      <c r="AB221" s="942">
        <v>270</v>
      </c>
      <c r="AC221" s="942">
        <v>65</v>
      </c>
      <c r="AD221" s="942">
        <v>544</v>
      </c>
      <c r="AE221" s="942">
        <v>60</v>
      </c>
      <c r="AF221" s="942">
        <v>449</v>
      </c>
      <c r="AG221" s="943">
        <f>comparaison_samebasis_villages[[#This Row],[previous idp_ind]]-comparaison_samebasis_villages[[#This Row],[actual idp_ind]]</f>
        <v>-150</v>
      </c>
      <c r="AH221" s="943">
        <f>comparaison_samebasis_villages[[#This Row],[previous ref_ind]]-comparaison_samebasis_villages[[#This Row],[actual ref_ind]]</f>
        <v>0</v>
      </c>
      <c r="AI221" s="943">
        <f>comparaison_samebasis_villages[[#This Row],[previous ret_ind]]-comparaison_samebasis_villages[[#This Row],[actual ret_ind]]</f>
        <v>389</v>
      </c>
    </row>
    <row r="222" spans="1:35" ht="15.75" customHeight="1" x14ac:dyDescent="0.3">
      <c r="A222" s="401" t="s">
        <v>35</v>
      </c>
      <c r="B222" s="401" t="s">
        <v>35</v>
      </c>
      <c r="C222" s="401" t="s">
        <v>192</v>
      </c>
      <c r="D222" s="401" t="s">
        <v>192</v>
      </c>
      <c r="E222" s="401" t="s">
        <v>1532</v>
      </c>
      <c r="F222" s="5" t="s">
        <v>1611</v>
      </c>
      <c r="G222" s="401"/>
      <c r="H222" s="1093" t="s">
        <v>511</v>
      </c>
      <c r="I222" s="1216" t="s">
        <v>3033</v>
      </c>
      <c r="J222" s="403">
        <v>36</v>
      </c>
      <c r="K222" s="403">
        <v>270</v>
      </c>
      <c r="L222" s="1093" t="s">
        <v>367</v>
      </c>
      <c r="M222" s="401"/>
      <c r="O222" s="404" t="s">
        <v>31</v>
      </c>
      <c r="P222" s="404" t="s">
        <v>31</v>
      </c>
      <c r="Q222" s="404" t="s">
        <v>2797</v>
      </c>
      <c r="R222" s="404" t="s">
        <v>3898</v>
      </c>
      <c r="S222" s="404" t="s">
        <v>2537</v>
      </c>
      <c r="T222" s="404" t="s">
        <v>2536</v>
      </c>
      <c r="U222" s="941">
        <v>0</v>
      </c>
      <c r="V222" s="941">
        <v>0</v>
      </c>
      <c r="W222" s="941">
        <v>0</v>
      </c>
      <c r="X222" s="941">
        <v>0</v>
      </c>
      <c r="Y222" s="941">
        <v>0</v>
      </c>
      <c r="Z222" s="941">
        <v>0</v>
      </c>
      <c r="AA222" s="942">
        <v>0</v>
      </c>
      <c r="AB222" s="942">
        <v>0</v>
      </c>
      <c r="AC222" s="942">
        <v>0</v>
      </c>
      <c r="AD222" s="942">
        <v>0</v>
      </c>
      <c r="AE222" s="942">
        <v>0</v>
      </c>
      <c r="AF222" s="942">
        <v>0</v>
      </c>
      <c r="AG222" s="943">
        <f>comparaison_samebasis_villages[[#This Row],[previous idp_ind]]-comparaison_samebasis_villages[[#This Row],[actual idp_ind]]</f>
        <v>0</v>
      </c>
      <c r="AH222" s="943">
        <f>comparaison_samebasis_villages[[#This Row],[previous ref_ind]]-comparaison_samebasis_villages[[#This Row],[actual ref_ind]]</f>
        <v>0</v>
      </c>
      <c r="AI222" s="943">
        <f>comparaison_samebasis_villages[[#This Row],[previous ret_ind]]-comparaison_samebasis_villages[[#This Row],[actual ret_ind]]</f>
        <v>0</v>
      </c>
    </row>
    <row r="223" spans="1:35" ht="15.75" customHeight="1" x14ac:dyDescent="0.3">
      <c r="A223" s="401" t="s">
        <v>35</v>
      </c>
      <c r="B223" s="401" t="s">
        <v>35</v>
      </c>
      <c r="C223" s="401" t="s">
        <v>192</v>
      </c>
      <c r="D223" s="401" t="s">
        <v>192</v>
      </c>
      <c r="E223" s="401" t="s">
        <v>1166</v>
      </c>
      <c r="F223" s="5" t="s">
        <v>855</v>
      </c>
      <c r="G223" s="401"/>
      <c r="H223" s="1093" t="s">
        <v>511</v>
      </c>
      <c r="I223" s="1216" t="s">
        <v>3033</v>
      </c>
      <c r="J223" s="403">
        <v>26</v>
      </c>
      <c r="K223" s="403">
        <v>128</v>
      </c>
      <c r="L223" s="1093" t="s">
        <v>367</v>
      </c>
      <c r="M223" s="401"/>
      <c r="O223" s="404" t="s">
        <v>31</v>
      </c>
      <c r="P223" s="404" t="s">
        <v>31</v>
      </c>
      <c r="Q223" s="404" t="s">
        <v>2797</v>
      </c>
      <c r="R223" s="404" t="s">
        <v>3898</v>
      </c>
      <c r="S223" s="404" t="s">
        <v>1449</v>
      </c>
      <c r="T223" s="404" t="s">
        <v>2880</v>
      </c>
      <c r="U223" s="941">
        <v>21</v>
      </c>
      <c r="V223" s="941">
        <v>157</v>
      </c>
      <c r="W223" s="941">
        <v>41</v>
      </c>
      <c r="X223" s="941">
        <v>342</v>
      </c>
      <c r="Y223" s="941">
        <v>144</v>
      </c>
      <c r="Z223" s="941">
        <v>144</v>
      </c>
      <c r="AA223" s="942">
        <v>21</v>
      </c>
      <c r="AB223" s="942">
        <v>157</v>
      </c>
      <c r="AC223" s="942">
        <v>41</v>
      </c>
      <c r="AD223" s="942">
        <v>342</v>
      </c>
      <c r="AE223" s="942">
        <v>144</v>
      </c>
      <c r="AF223" s="942">
        <v>1159</v>
      </c>
      <c r="AG223" s="943">
        <f>comparaison_samebasis_villages[[#This Row],[previous idp_ind]]-comparaison_samebasis_villages[[#This Row],[actual idp_ind]]</f>
        <v>0</v>
      </c>
      <c r="AH223" s="943">
        <f>comparaison_samebasis_villages[[#This Row],[previous ref_ind]]-comparaison_samebasis_villages[[#This Row],[actual ref_ind]]</f>
        <v>0</v>
      </c>
      <c r="AI223" s="943">
        <f>comparaison_samebasis_villages[[#This Row],[previous ret_ind]]-comparaison_samebasis_villages[[#This Row],[actual ret_ind]]</f>
        <v>1015</v>
      </c>
    </row>
    <row r="224" spans="1:35" ht="15.75" customHeight="1" x14ac:dyDescent="0.3">
      <c r="A224" s="401" t="s">
        <v>35</v>
      </c>
      <c r="B224" s="401" t="s">
        <v>35</v>
      </c>
      <c r="C224" s="401" t="s">
        <v>192</v>
      </c>
      <c r="D224" s="401" t="s">
        <v>192</v>
      </c>
      <c r="E224" s="401" t="s">
        <v>1166</v>
      </c>
      <c r="F224" s="5" t="s">
        <v>855</v>
      </c>
      <c r="G224" s="401"/>
      <c r="H224" s="1093" t="s">
        <v>511</v>
      </c>
      <c r="I224" s="1216" t="s">
        <v>3112</v>
      </c>
      <c r="J224" s="403">
        <v>30</v>
      </c>
      <c r="K224" s="403">
        <v>153</v>
      </c>
      <c r="L224" s="1093" t="s">
        <v>367</v>
      </c>
      <c r="M224" s="401"/>
      <c r="O224" s="404" t="s">
        <v>31</v>
      </c>
      <c r="P224" s="404" t="s">
        <v>31</v>
      </c>
      <c r="Q224" s="404" t="s">
        <v>2797</v>
      </c>
      <c r="R224" s="404" t="s">
        <v>3898</v>
      </c>
      <c r="S224" s="404" t="s">
        <v>783</v>
      </c>
      <c r="T224" s="404" t="s">
        <v>1448</v>
      </c>
      <c r="U224" s="941">
        <v>448</v>
      </c>
      <c r="V224" s="941">
        <v>3304</v>
      </c>
      <c r="W224" s="941">
        <v>0</v>
      </c>
      <c r="X224" s="941">
        <v>0</v>
      </c>
      <c r="Y224" s="941">
        <v>0</v>
      </c>
      <c r="Z224" s="941">
        <v>0</v>
      </c>
      <c r="AA224" s="942">
        <v>178</v>
      </c>
      <c r="AB224" s="942">
        <v>1414</v>
      </c>
      <c r="AC224" s="942">
        <v>0</v>
      </c>
      <c r="AD224" s="942">
        <v>0</v>
      </c>
      <c r="AE224" s="942">
        <v>0</v>
      </c>
      <c r="AF224" s="942">
        <v>0</v>
      </c>
      <c r="AG224" s="943">
        <f>comparaison_samebasis_villages[[#This Row],[previous idp_ind]]-comparaison_samebasis_villages[[#This Row],[actual idp_ind]]</f>
        <v>-1890</v>
      </c>
      <c r="AH224" s="943">
        <f>comparaison_samebasis_villages[[#This Row],[previous ref_ind]]-comparaison_samebasis_villages[[#This Row],[actual ref_ind]]</f>
        <v>0</v>
      </c>
      <c r="AI224" s="943">
        <f>comparaison_samebasis_villages[[#This Row],[previous ret_ind]]-comparaison_samebasis_villages[[#This Row],[actual ret_ind]]</f>
        <v>0</v>
      </c>
    </row>
    <row r="225" spans="1:35" ht="15.75" customHeight="1" x14ac:dyDescent="0.3">
      <c r="A225" s="401" t="s">
        <v>35</v>
      </c>
      <c r="B225" s="401" t="s">
        <v>35</v>
      </c>
      <c r="C225" s="401" t="s">
        <v>192</v>
      </c>
      <c r="D225" s="401" t="s">
        <v>192</v>
      </c>
      <c r="E225" s="401" t="s">
        <v>1166</v>
      </c>
      <c r="F225" s="5" t="s">
        <v>855</v>
      </c>
      <c r="G225" s="401"/>
      <c r="H225" s="1093" t="s">
        <v>511</v>
      </c>
      <c r="I225" s="1216" t="s">
        <v>3110</v>
      </c>
      <c r="J225" s="403">
        <v>28</v>
      </c>
      <c r="K225" s="403">
        <v>176</v>
      </c>
      <c r="L225" s="1093" t="s">
        <v>367</v>
      </c>
      <c r="M225" s="401"/>
      <c r="O225" s="404" t="s">
        <v>31</v>
      </c>
      <c r="P225" s="404" t="s">
        <v>31</v>
      </c>
      <c r="Q225" s="404" t="s">
        <v>2797</v>
      </c>
      <c r="R225" s="404" t="s">
        <v>3898</v>
      </c>
      <c r="S225" s="404" t="s">
        <v>1230</v>
      </c>
      <c r="T225" s="404" t="s">
        <v>2896</v>
      </c>
      <c r="U225" s="941">
        <v>823</v>
      </c>
      <c r="V225" s="941">
        <v>5044</v>
      </c>
      <c r="W225" s="941">
        <v>15</v>
      </c>
      <c r="X225" s="941">
        <v>100</v>
      </c>
      <c r="Y225" s="941">
        <v>0</v>
      </c>
      <c r="Z225" s="941">
        <v>0</v>
      </c>
      <c r="AA225" s="942">
        <v>123</v>
      </c>
      <c r="AB225" s="942">
        <v>844</v>
      </c>
      <c r="AC225" s="942">
        <v>15</v>
      </c>
      <c r="AD225" s="942">
        <v>100</v>
      </c>
      <c r="AE225" s="942">
        <v>0</v>
      </c>
      <c r="AF225" s="942">
        <v>0</v>
      </c>
      <c r="AG225" s="943">
        <f>comparaison_samebasis_villages[[#This Row],[previous idp_ind]]-comparaison_samebasis_villages[[#This Row],[actual idp_ind]]</f>
        <v>-4200</v>
      </c>
      <c r="AH225" s="943">
        <f>comparaison_samebasis_villages[[#This Row],[previous ref_ind]]-comparaison_samebasis_villages[[#This Row],[actual ref_ind]]</f>
        <v>0</v>
      </c>
      <c r="AI225" s="943">
        <f>comparaison_samebasis_villages[[#This Row],[previous ret_ind]]-comparaison_samebasis_villages[[#This Row],[actual ret_ind]]</f>
        <v>0</v>
      </c>
    </row>
    <row r="226" spans="1:35" ht="15.75" customHeight="1" x14ac:dyDescent="0.3">
      <c r="A226" s="401" t="s">
        <v>35</v>
      </c>
      <c r="B226" s="401" t="s">
        <v>35</v>
      </c>
      <c r="C226" s="401" t="s">
        <v>192</v>
      </c>
      <c r="D226" s="401" t="s">
        <v>192</v>
      </c>
      <c r="E226" s="401" t="s">
        <v>1505</v>
      </c>
      <c r="F226" s="5" t="s">
        <v>1169</v>
      </c>
      <c r="G226" s="401"/>
      <c r="H226" s="1093" t="s">
        <v>511</v>
      </c>
      <c r="I226" s="1216" t="s">
        <v>3111</v>
      </c>
      <c r="J226" s="403">
        <v>11</v>
      </c>
      <c r="K226" s="403">
        <v>87</v>
      </c>
      <c r="L226" s="1093" t="s">
        <v>367</v>
      </c>
      <c r="M226" s="401"/>
      <c r="O226" s="404" t="s">
        <v>31</v>
      </c>
      <c r="P226" s="404" t="s">
        <v>31</v>
      </c>
      <c r="Q226" s="404" t="s">
        <v>2797</v>
      </c>
      <c r="R226" s="404" t="s">
        <v>3898</v>
      </c>
      <c r="S226" s="404" t="s">
        <v>2539</v>
      </c>
      <c r="T226" s="404" t="s">
        <v>782</v>
      </c>
      <c r="U226" s="941">
        <v>0</v>
      </c>
      <c r="V226" s="941">
        <v>0</v>
      </c>
      <c r="W226" s="941">
        <v>0</v>
      </c>
      <c r="X226" s="941">
        <v>0</v>
      </c>
      <c r="Y226" s="941">
        <v>0</v>
      </c>
      <c r="Z226" s="941">
        <v>0</v>
      </c>
      <c r="AA226" s="942">
        <v>0</v>
      </c>
      <c r="AB226" s="942">
        <v>0</v>
      </c>
      <c r="AC226" s="942">
        <v>0</v>
      </c>
      <c r="AD226" s="942">
        <v>0</v>
      </c>
      <c r="AE226" s="942">
        <v>0</v>
      </c>
      <c r="AF226" s="942">
        <v>0</v>
      </c>
      <c r="AG226" s="943">
        <f>comparaison_samebasis_villages[[#This Row],[previous idp_ind]]-comparaison_samebasis_villages[[#This Row],[actual idp_ind]]</f>
        <v>0</v>
      </c>
      <c r="AH226" s="943">
        <f>comparaison_samebasis_villages[[#This Row],[previous ref_ind]]-comparaison_samebasis_villages[[#This Row],[actual ref_ind]]</f>
        <v>0</v>
      </c>
      <c r="AI226" s="943">
        <f>comparaison_samebasis_villages[[#This Row],[previous ret_ind]]-comparaison_samebasis_villages[[#This Row],[actual ret_ind]]</f>
        <v>0</v>
      </c>
    </row>
    <row r="227" spans="1:35" ht="15.75" customHeight="1" x14ac:dyDescent="0.3">
      <c r="A227" s="401" t="s">
        <v>32</v>
      </c>
      <c r="B227" s="401" t="s">
        <v>32</v>
      </c>
      <c r="C227" s="401" t="s">
        <v>178</v>
      </c>
      <c r="D227" s="401" t="s">
        <v>178</v>
      </c>
      <c r="E227" s="401" t="s">
        <v>2257</v>
      </c>
      <c r="F227" s="5" t="s">
        <v>2258</v>
      </c>
      <c r="G227" s="401"/>
      <c r="H227" s="1093" t="s">
        <v>511</v>
      </c>
      <c r="I227" s="1216" t="s">
        <v>3109</v>
      </c>
      <c r="J227" s="403">
        <v>29</v>
      </c>
      <c r="K227" s="403">
        <v>260</v>
      </c>
      <c r="L227" s="1093" t="s">
        <v>383</v>
      </c>
      <c r="M227" s="401" t="s">
        <v>3367</v>
      </c>
      <c r="O227" s="404" t="s">
        <v>31</v>
      </c>
      <c r="P227" s="404" t="s">
        <v>31</v>
      </c>
      <c r="Q227" s="404" t="s">
        <v>2797</v>
      </c>
      <c r="R227" s="404" t="s">
        <v>3898</v>
      </c>
      <c r="S227" s="404" t="s">
        <v>1528</v>
      </c>
      <c r="T227" s="404" t="s">
        <v>1229</v>
      </c>
      <c r="U227" s="941">
        <v>0</v>
      </c>
      <c r="V227" s="941">
        <v>0</v>
      </c>
      <c r="W227" s="941">
        <v>0</v>
      </c>
      <c r="X227" s="941">
        <v>0</v>
      </c>
      <c r="Y227" s="941">
        <v>0</v>
      </c>
      <c r="Z227" s="941">
        <v>0</v>
      </c>
      <c r="AA227" s="942">
        <v>90</v>
      </c>
      <c r="AB227" s="942">
        <v>765</v>
      </c>
      <c r="AC227" s="942">
        <v>0</v>
      </c>
      <c r="AD227" s="942">
        <v>0</v>
      </c>
      <c r="AE227" s="942">
        <v>9</v>
      </c>
      <c r="AF227" s="942">
        <v>63</v>
      </c>
      <c r="AG227" s="943">
        <f>comparaison_samebasis_villages[[#This Row],[previous idp_ind]]-comparaison_samebasis_villages[[#This Row],[actual idp_ind]]</f>
        <v>765</v>
      </c>
      <c r="AH227" s="943">
        <f>comparaison_samebasis_villages[[#This Row],[previous ref_ind]]-comparaison_samebasis_villages[[#This Row],[actual ref_ind]]</f>
        <v>0</v>
      </c>
      <c r="AI227" s="943">
        <f>comparaison_samebasis_villages[[#This Row],[previous ret_ind]]-comparaison_samebasis_villages[[#This Row],[actual ret_ind]]</f>
        <v>63</v>
      </c>
    </row>
    <row r="228" spans="1:35" ht="15.75" customHeight="1" x14ac:dyDescent="0.3">
      <c r="A228" s="401" t="s">
        <v>32</v>
      </c>
      <c r="B228" s="401" t="s">
        <v>32</v>
      </c>
      <c r="C228" s="401" t="s">
        <v>178</v>
      </c>
      <c r="D228" s="401" t="s">
        <v>178</v>
      </c>
      <c r="E228" s="401" t="s">
        <v>2257</v>
      </c>
      <c r="F228" s="5" t="s">
        <v>2258</v>
      </c>
      <c r="G228" s="401"/>
      <c r="H228" s="1093" t="s">
        <v>511</v>
      </c>
      <c r="I228" s="1216" t="s">
        <v>3110</v>
      </c>
      <c r="J228" s="403">
        <v>0</v>
      </c>
      <c r="K228" s="403">
        <v>17</v>
      </c>
      <c r="L228" s="1093" t="s">
        <v>383</v>
      </c>
      <c r="M228" s="401" t="s">
        <v>3364</v>
      </c>
      <c r="O228" s="404" t="s">
        <v>31</v>
      </c>
      <c r="P228" s="404" t="s">
        <v>31</v>
      </c>
      <c r="Q228" s="404" t="s">
        <v>2797</v>
      </c>
      <c r="R228" s="404" t="s">
        <v>3898</v>
      </c>
      <c r="S228" s="404" t="s">
        <v>1485</v>
      </c>
      <c r="T228" s="1185" t="s">
        <v>2538</v>
      </c>
      <c r="U228" s="941">
        <v>34</v>
      </c>
      <c r="V228" s="941">
        <v>295</v>
      </c>
      <c r="W228" s="941">
        <v>0</v>
      </c>
      <c r="X228" s="941">
        <v>0</v>
      </c>
      <c r="Y228" s="941">
        <v>90</v>
      </c>
      <c r="Z228" s="941">
        <v>90</v>
      </c>
      <c r="AA228" s="942">
        <v>34</v>
      </c>
      <c r="AB228" s="942">
        <v>295</v>
      </c>
      <c r="AC228" s="942">
        <v>0</v>
      </c>
      <c r="AD228" s="942">
        <v>0</v>
      </c>
      <c r="AE228" s="942">
        <v>90</v>
      </c>
      <c r="AF228" s="942">
        <v>472</v>
      </c>
      <c r="AG228" s="943">
        <f>comparaison_samebasis_villages[[#This Row],[previous idp_ind]]-comparaison_samebasis_villages[[#This Row],[actual idp_ind]]</f>
        <v>0</v>
      </c>
      <c r="AH228" s="943">
        <f>comparaison_samebasis_villages[[#This Row],[previous ref_ind]]-comparaison_samebasis_villages[[#This Row],[actual ref_ind]]</f>
        <v>0</v>
      </c>
      <c r="AI228" s="943">
        <f>comparaison_samebasis_villages[[#This Row],[previous ret_ind]]-comparaison_samebasis_villages[[#This Row],[actual ret_ind]]</f>
        <v>382</v>
      </c>
    </row>
    <row r="229" spans="1:35" ht="15.75" customHeight="1" x14ac:dyDescent="0.3">
      <c r="A229" s="401" t="s">
        <v>32</v>
      </c>
      <c r="B229" s="401" t="s">
        <v>32</v>
      </c>
      <c r="C229" s="401" t="s">
        <v>178</v>
      </c>
      <c r="D229" s="401" t="s">
        <v>178</v>
      </c>
      <c r="E229" s="401" t="s">
        <v>2257</v>
      </c>
      <c r="F229" s="5" t="s">
        <v>2258</v>
      </c>
      <c r="G229" s="401"/>
      <c r="H229" s="1093" t="s">
        <v>511</v>
      </c>
      <c r="I229" s="1216" t="s">
        <v>3111</v>
      </c>
      <c r="J229" s="403">
        <v>0</v>
      </c>
      <c r="K229" s="403">
        <v>11</v>
      </c>
      <c r="L229" s="1093" t="s">
        <v>383</v>
      </c>
      <c r="M229" s="401" t="s">
        <v>3364</v>
      </c>
      <c r="O229" s="404" t="s">
        <v>31</v>
      </c>
      <c r="P229" s="404" t="s">
        <v>31</v>
      </c>
      <c r="Q229" s="404" t="s">
        <v>2797</v>
      </c>
      <c r="R229" s="404" t="s">
        <v>3898</v>
      </c>
      <c r="S229" s="404" t="s">
        <v>2541</v>
      </c>
      <c r="T229" s="404" t="s">
        <v>2900</v>
      </c>
      <c r="U229" s="941">
        <v>0</v>
      </c>
      <c r="V229" s="941">
        <v>0</v>
      </c>
      <c r="W229" s="941">
        <v>0</v>
      </c>
      <c r="X229" s="941">
        <v>0</v>
      </c>
      <c r="Y229" s="941">
        <v>0</v>
      </c>
      <c r="Z229" s="941">
        <v>0</v>
      </c>
      <c r="AA229" s="942">
        <v>0</v>
      </c>
      <c r="AB229" s="942">
        <v>0</v>
      </c>
      <c r="AC229" s="942">
        <v>0</v>
      </c>
      <c r="AD229" s="942">
        <v>0</v>
      </c>
      <c r="AE229" s="942">
        <v>0</v>
      </c>
      <c r="AF229" s="942">
        <v>0</v>
      </c>
      <c r="AG229" s="943">
        <f>comparaison_samebasis_villages[[#This Row],[previous idp_ind]]-comparaison_samebasis_villages[[#This Row],[actual idp_ind]]</f>
        <v>0</v>
      </c>
      <c r="AH229" s="943">
        <f>comparaison_samebasis_villages[[#This Row],[previous ref_ind]]-comparaison_samebasis_villages[[#This Row],[actual ref_ind]]</f>
        <v>0</v>
      </c>
      <c r="AI229" s="943">
        <f>comparaison_samebasis_villages[[#This Row],[previous ret_ind]]-comparaison_samebasis_villages[[#This Row],[actual ret_ind]]</f>
        <v>0</v>
      </c>
    </row>
    <row r="230" spans="1:35" ht="15.75" customHeight="1" x14ac:dyDescent="0.3">
      <c r="A230" s="401" t="s">
        <v>32</v>
      </c>
      <c r="B230" s="401" t="s">
        <v>32</v>
      </c>
      <c r="C230" s="401" t="s">
        <v>178</v>
      </c>
      <c r="D230" s="401" t="s">
        <v>178</v>
      </c>
      <c r="E230" s="401" t="s">
        <v>2257</v>
      </c>
      <c r="F230" s="5" t="s">
        <v>2258</v>
      </c>
      <c r="G230" s="401"/>
      <c r="H230" s="1093" t="s">
        <v>511</v>
      </c>
      <c r="I230" s="1216" t="s">
        <v>3112</v>
      </c>
      <c r="J230" s="403">
        <v>0</v>
      </c>
      <c r="K230" s="403">
        <v>7</v>
      </c>
      <c r="L230" s="1093" t="s">
        <v>383</v>
      </c>
      <c r="M230" s="401" t="s">
        <v>3364</v>
      </c>
      <c r="O230" s="404" t="s">
        <v>31</v>
      </c>
      <c r="P230" s="404" t="s">
        <v>31</v>
      </c>
      <c r="Q230" s="404" t="s">
        <v>2797</v>
      </c>
      <c r="R230" s="404" t="s">
        <v>3898</v>
      </c>
      <c r="S230" s="404" t="s">
        <v>1424</v>
      </c>
      <c r="T230" s="404" t="s">
        <v>1527</v>
      </c>
      <c r="U230" s="941">
        <v>90</v>
      </c>
      <c r="V230" s="941">
        <v>558</v>
      </c>
      <c r="W230" s="941">
        <v>5</v>
      </c>
      <c r="X230" s="941">
        <v>18</v>
      </c>
      <c r="Y230" s="941">
        <v>0</v>
      </c>
      <c r="Z230" s="941">
        <v>0</v>
      </c>
      <c r="AA230" s="942">
        <v>20</v>
      </c>
      <c r="AB230" s="942">
        <v>138</v>
      </c>
      <c r="AC230" s="942">
        <v>5</v>
      </c>
      <c r="AD230" s="942">
        <v>18</v>
      </c>
      <c r="AE230" s="942">
        <v>0</v>
      </c>
      <c r="AF230" s="942">
        <v>0</v>
      </c>
      <c r="AG230" s="943">
        <f>comparaison_samebasis_villages[[#This Row],[previous idp_ind]]-comparaison_samebasis_villages[[#This Row],[actual idp_ind]]</f>
        <v>-420</v>
      </c>
      <c r="AH230" s="943">
        <f>comparaison_samebasis_villages[[#This Row],[previous ref_ind]]-comparaison_samebasis_villages[[#This Row],[actual ref_ind]]</f>
        <v>0</v>
      </c>
      <c r="AI230" s="943">
        <f>comparaison_samebasis_villages[[#This Row],[previous ret_ind]]-comparaison_samebasis_villages[[#This Row],[actual ret_ind]]</f>
        <v>0</v>
      </c>
    </row>
    <row r="231" spans="1:35" ht="15.75" customHeight="1" x14ac:dyDescent="0.3">
      <c r="A231" s="401" t="s">
        <v>31</v>
      </c>
      <c r="B231" s="401" t="s">
        <v>31</v>
      </c>
      <c r="C231" s="401" t="s">
        <v>171</v>
      </c>
      <c r="D231" s="401" t="s">
        <v>171</v>
      </c>
      <c r="E231" s="401" t="s">
        <v>1147</v>
      </c>
      <c r="F231" s="5" t="s">
        <v>1148</v>
      </c>
      <c r="G231" s="401"/>
      <c r="H231" s="1093" t="s">
        <v>511</v>
      </c>
      <c r="I231" s="1216" t="s">
        <v>3109</v>
      </c>
      <c r="J231" s="403">
        <v>6</v>
      </c>
      <c r="K231" s="403">
        <v>30</v>
      </c>
      <c r="L231" s="1093" t="s">
        <v>367</v>
      </c>
      <c r="M231" s="401"/>
      <c r="O231" s="404" t="s">
        <v>31</v>
      </c>
      <c r="P231" s="404" t="s">
        <v>31</v>
      </c>
      <c r="Q231" s="404" t="s">
        <v>2797</v>
      </c>
      <c r="R231" s="404" t="s">
        <v>3898</v>
      </c>
      <c r="S231" s="404" t="s">
        <v>785</v>
      </c>
      <c r="T231" s="404" t="s">
        <v>1484</v>
      </c>
      <c r="U231" s="941">
        <v>31</v>
      </c>
      <c r="V231" s="941">
        <v>234</v>
      </c>
      <c r="W231" s="941">
        <v>3</v>
      </c>
      <c r="X231" s="941">
        <v>11</v>
      </c>
      <c r="Y231" s="941">
        <v>0</v>
      </c>
      <c r="Z231" s="941">
        <v>0</v>
      </c>
      <c r="AA231" s="942">
        <v>21</v>
      </c>
      <c r="AB231" s="942">
        <v>164</v>
      </c>
      <c r="AC231" s="942">
        <v>3</v>
      </c>
      <c r="AD231" s="942">
        <v>11</v>
      </c>
      <c r="AE231" s="942">
        <v>0</v>
      </c>
      <c r="AF231" s="942">
        <v>0</v>
      </c>
      <c r="AG231" s="943">
        <f>comparaison_samebasis_villages[[#This Row],[previous idp_ind]]-comparaison_samebasis_villages[[#This Row],[actual idp_ind]]</f>
        <v>-70</v>
      </c>
      <c r="AH231" s="943">
        <f>comparaison_samebasis_villages[[#This Row],[previous ref_ind]]-comparaison_samebasis_villages[[#This Row],[actual ref_ind]]</f>
        <v>0</v>
      </c>
      <c r="AI231" s="943">
        <f>comparaison_samebasis_villages[[#This Row],[previous ret_ind]]-comparaison_samebasis_villages[[#This Row],[actual ret_ind]]</f>
        <v>0</v>
      </c>
    </row>
    <row r="232" spans="1:35" ht="15.75" customHeight="1" x14ac:dyDescent="0.3">
      <c r="A232" s="401" t="s">
        <v>34</v>
      </c>
      <c r="B232" s="401" t="s">
        <v>34</v>
      </c>
      <c r="C232" s="401" t="s">
        <v>188</v>
      </c>
      <c r="D232" s="401" t="s">
        <v>188</v>
      </c>
      <c r="E232" s="401" t="s">
        <v>1264</v>
      </c>
      <c r="F232" s="5" t="s">
        <v>1043</v>
      </c>
      <c r="G232" s="401"/>
      <c r="H232" s="1093" t="s">
        <v>511</v>
      </c>
      <c r="I232" s="1216" t="s">
        <v>3033</v>
      </c>
      <c r="J232" s="403">
        <v>94</v>
      </c>
      <c r="K232" s="403">
        <v>570</v>
      </c>
      <c r="L232" s="1093" t="s">
        <v>365</v>
      </c>
      <c r="M232" s="401"/>
      <c r="O232" s="404" t="s">
        <v>31</v>
      </c>
      <c r="P232" s="404" t="s">
        <v>31</v>
      </c>
      <c r="Q232" s="404" t="s">
        <v>2797</v>
      </c>
      <c r="R232" s="404" t="s">
        <v>3898</v>
      </c>
      <c r="S232" s="404" t="s">
        <v>787</v>
      </c>
      <c r="T232" s="404" t="s">
        <v>2540</v>
      </c>
      <c r="U232" s="941">
        <v>29</v>
      </c>
      <c r="V232" s="941">
        <v>194</v>
      </c>
      <c r="W232" s="941">
        <v>7</v>
      </c>
      <c r="X232" s="941">
        <v>49</v>
      </c>
      <c r="Y232" s="941">
        <v>0</v>
      </c>
      <c r="Z232" s="941">
        <v>0</v>
      </c>
      <c r="AA232" s="942">
        <v>24</v>
      </c>
      <c r="AB232" s="942">
        <v>164</v>
      </c>
      <c r="AC232" s="942">
        <v>7</v>
      </c>
      <c r="AD232" s="942">
        <v>49</v>
      </c>
      <c r="AE232" s="942">
        <v>0</v>
      </c>
      <c r="AF232" s="942">
        <v>0</v>
      </c>
      <c r="AG232" s="943">
        <f>comparaison_samebasis_villages[[#This Row],[previous idp_ind]]-comparaison_samebasis_villages[[#This Row],[actual idp_ind]]</f>
        <v>-30</v>
      </c>
      <c r="AH232" s="943">
        <f>comparaison_samebasis_villages[[#This Row],[previous ref_ind]]-comparaison_samebasis_villages[[#This Row],[actual ref_ind]]</f>
        <v>0</v>
      </c>
      <c r="AI232" s="943">
        <f>comparaison_samebasis_villages[[#This Row],[previous ret_ind]]-comparaison_samebasis_villages[[#This Row],[actual ret_ind]]</f>
        <v>0</v>
      </c>
    </row>
    <row r="233" spans="1:35" ht="15.75" customHeight="1" x14ac:dyDescent="0.3">
      <c r="A233" s="401" t="s">
        <v>34</v>
      </c>
      <c r="B233" s="401" t="s">
        <v>34</v>
      </c>
      <c r="C233" s="401" t="s">
        <v>188</v>
      </c>
      <c r="D233" s="401" t="s">
        <v>188</v>
      </c>
      <c r="E233" s="401" t="s">
        <v>1264</v>
      </c>
      <c r="F233" s="5" t="s">
        <v>1043</v>
      </c>
      <c r="G233" s="401"/>
      <c r="H233" s="1093" t="s">
        <v>511</v>
      </c>
      <c r="I233" s="1216" t="s">
        <v>3110</v>
      </c>
      <c r="J233" s="403">
        <v>10</v>
      </c>
      <c r="K233" s="403">
        <v>40</v>
      </c>
      <c r="L233" s="1093" t="s">
        <v>365</v>
      </c>
      <c r="M233" s="401"/>
      <c r="O233" s="399" t="s">
        <v>31</v>
      </c>
      <c r="P233" s="399" t="s">
        <v>31</v>
      </c>
      <c r="Q233" s="399" t="s">
        <v>2797</v>
      </c>
      <c r="R233" s="399" t="s">
        <v>3898</v>
      </c>
      <c r="S233" s="399" t="s">
        <v>1201</v>
      </c>
      <c r="T233" s="399" t="s">
        <v>2929</v>
      </c>
      <c r="U233" s="941">
        <v>80</v>
      </c>
      <c r="V233" s="941">
        <v>534</v>
      </c>
      <c r="W233" s="941">
        <v>4</v>
      </c>
      <c r="X233" s="941">
        <v>40</v>
      </c>
      <c r="Y233" s="941">
        <v>0</v>
      </c>
      <c r="Z233" s="941">
        <v>0</v>
      </c>
      <c r="AA233" s="942">
        <v>19</v>
      </c>
      <c r="AB233" s="942">
        <v>168</v>
      </c>
      <c r="AC233" s="942">
        <v>4</v>
      </c>
      <c r="AD233" s="942">
        <v>40</v>
      </c>
      <c r="AE233" s="942">
        <v>0</v>
      </c>
      <c r="AF233" s="942">
        <v>0</v>
      </c>
      <c r="AG233" s="943">
        <f>comparaison_samebasis_villages[[#This Row],[previous idp_ind]]-comparaison_samebasis_villages[[#This Row],[actual idp_ind]]</f>
        <v>-366</v>
      </c>
      <c r="AH233" s="943">
        <f>comparaison_samebasis_villages[[#This Row],[previous ref_ind]]-comparaison_samebasis_villages[[#This Row],[actual ref_ind]]</f>
        <v>0</v>
      </c>
      <c r="AI233" s="943">
        <f>comparaison_samebasis_villages[[#This Row],[previous ret_ind]]-comparaison_samebasis_villages[[#This Row],[actual ret_ind]]</f>
        <v>0</v>
      </c>
    </row>
    <row r="234" spans="1:35" ht="15.75" customHeight="1" x14ac:dyDescent="0.3">
      <c r="A234" s="401" t="s">
        <v>34</v>
      </c>
      <c r="B234" s="401" t="s">
        <v>34</v>
      </c>
      <c r="C234" s="401" t="s">
        <v>188</v>
      </c>
      <c r="D234" s="401" t="s">
        <v>188</v>
      </c>
      <c r="E234" s="401" t="s">
        <v>1264</v>
      </c>
      <c r="F234" s="5" t="s">
        <v>1043</v>
      </c>
      <c r="G234" s="401"/>
      <c r="H234" s="1093" t="s">
        <v>511</v>
      </c>
      <c r="I234" s="1216" t="s">
        <v>3111</v>
      </c>
      <c r="J234" s="403">
        <v>0</v>
      </c>
      <c r="K234" s="403">
        <v>28</v>
      </c>
      <c r="L234" s="1093" t="s">
        <v>365</v>
      </c>
      <c r="M234" s="401"/>
      <c r="O234" s="404" t="s">
        <v>31</v>
      </c>
      <c r="P234" s="404" t="s">
        <v>31</v>
      </c>
      <c r="Q234" s="404" t="s">
        <v>2797</v>
      </c>
      <c r="R234" s="404" t="s">
        <v>3898</v>
      </c>
      <c r="S234" s="404" t="s">
        <v>1232</v>
      </c>
      <c r="T234" s="404" t="s">
        <v>1423</v>
      </c>
      <c r="U234" s="941">
        <v>29</v>
      </c>
      <c r="V234" s="941">
        <v>211</v>
      </c>
      <c r="W234" s="941">
        <v>0</v>
      </c>
      <c r="X234" s="941">
        <v>0</v>
      </c>
      <c r="Y234" s="941">
        <v>0</v>
      </c>
      <c r="Z234" s="941">
        <v>0</v>
      </c>
      <c r="AA234" s="942">
        <v>9</v>
      </c>
      <c r="AB234" s="942">
        <v>71</v>
      </c>
      <c r="AC234" s="942">
        <v>0</v>
      </c>
      <c r="AD234" s="942">
        <v>0</v>
      </c>
      <c r="AE234" s="942">
        <v>0</v>
      </c>
      <c r="AF234" s="942">
        <v>0</v>
      </c>
      <c r="AG234" s="943">
        <f>comparaison_samebasis_villages[[#This Row],[previous idp_ind]]-comparaison_samebasis_villages[[#This Row],[actual idp_ind]]</f>
        <v>-140</v>
      </c>
      <c r="AH234" s="943">
        <f>comparaison_samebasis_villages[[#This Row],[previous ref_ind]]-comparaison_samebasis_villages[[#This Row],[actual ref_ind]]</f>
        <v>0</v>
      </c>
      <c r="AI234" s="943">
        <f>comparaison_samebasis_villages[[#This Row],[previous ret_ind]]-comparaison_samebasis_villages[[#This Row],[actual ret_ind]]</f>
        <v>0</v>
      </c>
    </row>
    <row r="235" spans="1:35" ht="15.75" customHeight="1" x14ac:dyDescent="0.3">
      <c r="A235" s="401" t="s">
        <v>34</v>
      </c>
      <c r="B235" s="401" t="s">
        <v>34</v>
      </c>
      <c r="C235" s="401" t="s">
        <v>188</v>
      </c>
      <c r="D235" s="401" t="s">
        <v>188</v>
      </c>
      <c r="E235" s="401" t="s">
        <v>1264</v>
      </c>
      <c r="F235" s="5" t="s">
        <v>1043</v>
      </c>
      <c r="G235" s="401"/>
      <c r="H235" s="1093" t="s">
        <v>511</v>
      </c>
      <c r="I235" s="1216" t="s">
        <v>3112</v>
      </c>
      <c r="J235" s="403">
        <v>0</v>
      </c>
      <c r="K235" s="403">
        <v>21</v>
      </c>
      <c r="L235" s="1093" t="s">
        <v>365</v>
      </c>
      <c r="M235" s="401"/>
      <c r="O235" s="404" t="s">
        <v>31</v>
      </c>
      <c r="P235" s="404" t="s">
        <v>31</v>
      </c>
      <c r="Q235" s="404" t="s">
        <v>2797</v>
      </c>
      <c r="R235" s="404" t="s">
        <v>3898</v>
      </c>
      <c r="S235" s="404" t="s">
        <v>1228</v>
      </c>
      <c r="T235" s="404" t="s">
        <v>784</v>
      </c>
      <c r="U235" s="941">
        <v>51</v>
      </c>
      <c r="V235" s="941">
        <v>330</v>
      </c>
      <c r="W235" s="941">
        <v>0</v>
      </c>
      <c r="X235" s="941">
        <v>0</v>
      </c>
      <c r="Y235" s="941">
        <v>0</v>
      </c>
      <c r="Z235" s="941">
        <v>0</v>
      </c>
      <c r="AA235" s="942">
        <v>21</v>
      </c>
      <c r="AB235" s="942">
        <v>150</v>
      </c>
      <c r="AC235" s="942">
        <v>0</v>
      </c>
      <c r="AD235" s="942">
        <v>0</v>
      </c>
      <c r="AE235" s="942">
        <v>0</v>
      </c>
      <c r="AF235" s="942">
        <v>0</v>
      </c>
      <c r="AG235" s="943">
        <f>comparaison_samebasis_villages[[#This Row],[previous idp_ind]]-comparaison_samebasis_villages[[#This Row],[actual idp_ind]]</f>
        <v>-180</v>
      </c>
      <c r="AH235" s="943">
        <f>comparaison_samebasis_villages[[#This Row],[previous ref_ind]]-comparaison_samebasis_villages[[#This Row],[actual ref_ind]]</f>
        <v>0</v>
      </c>
      <c r="AI235" s="943">
        <f>comparaison_samebasis_villages[[#This Row],[previous ret_ind]]-comparaison_samebasis_villages[[#This Row],[actual ret_ind]]</f>
        <v>0</v>
      </c>
    </row>
    <row r="236" spans="1:35" ht="15.75" customHeight="1" x14ac:dyDescent="0.3">
      <c r="A236" s="401" t="s">
        <v>34</v>
      </c>
      <c r="B236" s="401" t="s">
        <v>34</v>
      </c>
      <c r="C236" s="401" t="s">
        <v>188</v>
      </c>
      <c r="D236" s="401" t="s">
        <v>188</v>
      </c>
      <c r="E236" s="401" t="s">
        <v>1264</v>
      </c>
      <c r="F236" s="5" t="s">
        <v>1043</v>
      </c>
      <c r="G236" s="401"/>
      <c r="H236" s="1093" t="s">
        <v>511</v>
      </c>
      <c r="I236" s="1216" t="s">
        <v>3109</v>
      </c>
      <c r="J236" s="403">
        <v>0</v>
      </c>
      <c r="K236" s="403">
        <v>18</v>
      </c>
      <c r="L236" s="1093" t="s">
        <v>365</v>
      </c>
      <c r="M236" s="401"/>
      <c r="O236" s="404" t="s">
        <v>31</v>
      </c>
      <c r="P236" s="404" t="s">
        <v>31</v>
      </c>
      <c r="Q236" s="404" t="s">
        <v>2797</v>
      </c>
      <c r="R236" s="404" t="s">
        <v>3898</v>
      </c>
      <c r="S236" s="404" t="s">
        <v>929</v>
      </c>
      <c r="T236" s="404" t="s">
        <v>786</v>
      </c>
      <c r="U236" s="941">
        <v>87</v>
      </c>
      <c r="V236" s="941">
        <v>528</v>
      </c>
      <c r="W236" s="941">
        <v>5</v>
      </c>
      <c r="X236" s="941">
        <v>20</v>
      </c>
      <c r="Y236" s="941">
        <v>0</v>
      </c>
      <c r="Z236" s="941">
        <v>0</v>
      </c>
      <c r="AA236" s="942">
        <v>17</v>
      </c>
      <c r="AB236" s="942">
        <v>118</v>
      </c>
      <c r="AC236" s="942">
        <v>5</v>
      </c>
      <c r="AD236" s="942">
        <v>20</v>
      </c>
      <c r="AE236" s="942">
        <v>0</v>
      </c>
      <c r="AF236" s="942">
        <v>0</v>
      </c>
      <c r="AG236" s="943">
        <f>comparaison_samebasis_villages[[#This Row],[previous idp_ind]]-comparaison_samebasis_villages[[#This Row],[actual idp_ind]]</f>
        <v>-410</v>
      </c>
      <c r="AH236" s="943">
        <f>comparaison_samebasis_villages[[#This Row],[previous ref_ind]]-comparaison_samebasis_villages[[#This Row],[actual ref_ind]]</f>
        <v>0</v>
      </c>
      <c r="AI236" s="943">
        <f>comparaison_samebasis_villages[[#This Row],[previous ret_ind]]-comparaison_samebasis_villages[[#This Row],[actual ret_ind]]</f>
        <v>0</v>
      </c>
    </row>
    <row r="237" spans="1:35" ht="15.75" customHeight="1" x14ac:dyDescent="0.3">
      <c r="A237" s="401" t="s">
        <v>31</v>
      </c>
      <c r="B237" s="401" t="s">
        <v>31</v>
      </c>
      <c r="C237" s="401" t="s">
        <v>170</v>
      </c>
      <c r="D237" s="401" t="s">
        <v>170</v>
      </c>
      <c r="E237" s="401" t="s">
        <v>1955</v>
      </c>
      <c r="F237" s="5" t="s">
        <v>1577</v>
      </c>
      <c r="G237" s="401"/>
      <c r="H237" s="1093" t="s">
        <v>511</v>
      </c>
      <c r="I237" s="1216" t="s">
        <v>3112</v>
      </c>
      <c r="J237" s="403">
        <v>60</v>
      </c>
      <c r="K237" s="403">
        <v>500</v>
      </c>
      <c r="L237" s="1093" t="s">
        <v>383</v>
      </c>
      <c r="M237" s="401" t="s">
        <v>3368</v>
      </c>
      <c r="O237" s="404" t="s">
        <v>31</v>
      </c>
      <c r="P237" s="404" t="s">
        <v>31</v>
      </c>
      <c r="Q237" s="404" t="s">
        <v>2797</v>
      </c>
      <c r="R237" s="404" t="s">
        <v>3898</v>
      </c>
      <c r="S237" s="404" t="s">
        <v>2214</v>
      </c>
      <c r="T237" s="404" t="s">
        <v>1200</v>
      </c>
      <c r="U237" s="941">
        <v>51</v>
      </c>
      <c r="V237" s="941">
        <v>308</v>
      </c>
      <c r="W237" s="941">
        <v>7</v>
      </c>
      <c r="X237" s="941">
        <v>41</v>
      </c>
      <c r="Y237" s="941">
        <v>0</v>
      </c>
      <c r="Z237" s="941">
        <v>0</v>
      </c>
      <c r="AA237" s="942">
        <v>1</v>
      </c>
      <c r="AB237" s="942">
        <v>8</v>
      </c>
      <c r="AC237" s="942">
        <v>7</v>
      </c>
      <c r="AD237" s="942">
        <v>41</v>
      </c>
      <c r="AE237" s="942">
        <v>0</v>
      </c>
      <c r="AF237" s="942">
        <v>0</v>
      </c>
      <c r="AG237" s="943">
        <f>comparaison_samebasis_villages[[#This Row],[previous idp_ind]]-comparaison_samebasis_villages[[#This Row],[actual idp_ind]]</f>
        <v>-300</v>
      </c>
      <c r="AH237" s="943">
        <f>comparaison_samebasis_villages[[#This Row],[previous ref_ind]]-comparaison_samebasis_villages[[#This Row],[actual ref_ind]]</f>
        <v>0</v>
      </c>
      <c r="AI237" s="943">
        <f>comparaison_samebasis_villages[[#This Row],[previous ret_ind]]-comparaison_samebasis_villages[[#This Row],[actual ret_ind]]</f>
        <v>0</v>
      </c>
    </row>
    <row r="238" spans="1:35" ht="15.75" customHeight="1" x14ac:dyDescent="0.3">
      <c r="A238" s="401" t="s">
        <v>35</v>
      </c>
      <c r="B238" s="401" t="s">
        <v>35</v>
      </c>
      <c r="C238" s="401" t="s">
        <v>192</v>
      </c>
      <c r="D238" s="401" t="s">
        <v>192</v>
      </c>
      <c r="E238" s="401" t="s">
        <v>2867</v>
      </c>
      <c r="F238" s="5" t="s">
        <v>944</v>
      </c>
      <c r="G238" s="401"/>
      <c r="H238" s="1093" t="s">
        <v>511</v>
      </c>
      <c r="I238" s="1216" t="s">
        <v>3112</v>
      </c>
      <c r="J238" s="403">
        <v>6</v>
      </c>
      <c r="K238" s="403">
        <v>40</v>
      </c>
      <c r="L238" s="1093" t="s">
        <v>369</v>
      </c>
      <c r="M238" s="401"/>
      <c r="O238" s="404" t="s">
        <v>31</v>
      </c>
      <c r="P238" s="404" t="s">
        <v>31</v>
      </c>
      <c r="Q238" s="1185" t="s">
        <v>2797</v>
      </c>
      <c r="R238" s="1185" t="s">
        <v>3898</v>
      </c>
      <c r="S238" s="404" t="s">
        <v>788</v>
      </c>
      <c r="T238" s="404" t="s">
        <v>1231</v>
      </c>
      <c r="U238" s="941">
        <v>11</v>
      </c>
      <c r="V238" s="941">
        <v>77</v>
      </c>
      <c r="W238" s="941">
        <v>4</v>
      </c>
      <c r="X238" s="941">
        <v>40</v>
      </c>
      <c r="Y238" s="941">
        <v>0</v>
      </c>
      <c r="Z238" s="941">
        <v>0</v>
      </c>
      <c r="AA238" s="942">
        <v>5</v>
      </c>
      <c r="AB238" s="942">
        <v>35</v>
      </c>
      <c r="AC238" s="942">
        <v>4</v>
      </c>
      <c r="AD238" s="942">
        <v>40</v>
      </c>
      <c r="AE238" s="942">
        <v>0</v>
      </c>
      <c r="AF238" s="942">
        <v>0</v>
      </c>
      <c r="AG238" s="943">
        <f>comparaison_samebasis_villages[[#This Row],[previous idp_ind]]-comparaison_samebasis_villages[[#This Row],[actual idp_ind]]</f>
        <v>-42</v>
      </c>
      <c r="AH238" s="943">
        <f>comparaison_samebasis_villages[[#This Row],[previous ref_ind]]-comparaison_samebasis_villages[[#This Row],[actual ref_ind]]</f>
        <v>0</v>
      </c>
      <c r="AI238" s="943">
        <f>comparaison_samebasis_villages[[#This Row],[previous ret_ind]]-comparaison_samebasis_villages[[#This Row],[actual ret_ind]]</f>
        <v>0</v>
      </c>
    </row>
    <row r="239" spans="1:35" ht="15.75" customHeight="1" x14ac:dyDescent="0.3">
      <c r="A239" s="401" t="s">
        <v>35</v>
      </c>
      <c r="B239" s="401" t="s">
        <v>35</v>
      </c>
      <c r="C239" s="401" t="s">
        <v>194</v>
      </c>
      <c r="D239" s="401" t="s">
        <v>194</v>
      </c>
      <c r="E239" s="401" t="s">
        <v>2175</v>
      </c>
      <c r="F239" s="5" t="s">
        <v>2176</v>
      </c>
      <c r="G239" s="401"/>
      <c r="H239" s="1093" t="s">
        <v>511</v>
      </c>
      <c r="I239" s="1216" t="s">
        <v>3033</v>
      </c>
      <c r="J239" s="403">
        <v>16</v>
      </c>
      <c r="K239" s="403">
        <v>70</v>
      </c>
      <c r="L239" s="1093" t="s">
        <v>367</v>
      </c>
      <c r="M239" s="401"/>
      <c r="O239" s="404" t="s">
        <v>31</v>
      </c>
      <c r="P239" s="404" t="s">
        <v>31</v>
      </c>
      <c r="Q239" s="1185" t="s">
        <v>2797</v>
      </c>
      <c r="R239" s="1185" t="s">
        <v>3898</v>
      </c>
      <c r="S239" s="404" t="s">
        <v>789</v>
      </c>
      <c r="T239" s="404" t="s">
        <v>1227</v>
      </c>
      <c r="U239" s="941">
        <v>42</v>
      </c>
      <c r="V239" s="941">
        <v>272</v>
      </c>
      <c r="W239" s="941">
        <v>4</v>
      </c>
      <c r="X239" s="941">
        <v>31</v>
      </c>
      <c r="Y239" s="941">
        <v>0</v>
      </c>
      <c r="Z239" s="941">
        <v>0</v>
      </c>
      <c r="AA239" s="942">
        <v>7</v>
      </c>
      <c r="AB239" s="942">
        <v>71</v>
      </c>
      <c r="AC239" s="942">
        <v>4</v>
      </c>
      <c r="AD239" s="942">
        <v>31</v>
      </c>
      <c r="AE239" s="942">
        <v>0</v>
      </c>
      <c r="AF239" s="942">
        <v>0</v>
      </c>
      <c r="AG239" s="943">
        <f>comparaison_samebasis_villages[[#This Row],[previous idp_ind]]-comparaison_samebasis_villages[[#This Row],[actual idp_ind]]</f>
        <v>-201</v>
      </c>
      <c r="AH239" s="943">
        <f>comparaison_samebasis_villages[[#This Row],[previous ref_ind]]-comparaison_samebasis_villages[[#This Row],[actual ref_ind]]</f>
        <v>0</v>
      </c>
      <c r="AI239" s="943">
        <f>comparaison_samebasis_villages[[#This Row],[previous ret_ind]]-comparaison_samebasis_villages[[#This Row],[actual ret_ind]]</f>
        <v>0</v>
      </c>
    </row>
    <row r="240" spans="1:35" ht="15.75" customHeight="1" x14ac:dyDescent="0.3">
      <c r="A240" s="401" t="s">
        <v>35</v>
      </c>
      <c r="B240" s="401" t="s">
        <v>35</v>
      </c>
      <c r="C240" s="401" t="s">
        <v>194</v>
      </c>
      <c r="D240" s="401" t="s">
        <v>194</v>
      </c>
      <c r="E240" s="401" t="s">
        <v>2175</v>
      </c>
      <c r="F240" s="5" t="s">
        <v>2176</v>
      </c>
      <c r="G240" s="401"/>
      <c r="H240" s="1093" t="s">
        <v>511</v>
      </c>
      <c r="I240" s="1216" t="s">
        <v>3109</v>
      </c>
      <c r="J240" s="403">
        <v>10</v>
      </c>
      <c r="K240" s="403">
        <v>30</v>
      </c>
      <c r="L240" s="1093" t="s">
        <v>367</v>
      </c>
      <c r="M240" s="401"/>
      <c r="O240" s="404" t="s">
        <v>31</v>
      </c>
      <c r="P240" s="404" t="s">
        <v>31</v>
      </c>
      <c r="Q240" s="1185" t="s">
        <v>2797</v>
      </c>
      <c r="R240" s="1185" t="s">
        <v>3898</v>
      </c>
      <c r="S240" s="404" t="s">
        <v>1863</v>
      </c>
      <c r="T240" s="404" t="s">
        <v>928</v>
      </c>
      <c r="U240" s="941">
        <v>70</v>
      </c>
      <c r="V240" s="941">
        <v>489</v>
      </c>
      <c r="W240" s="941">
        <v>0</v>
      </c>
      <c r="X240" s="941">
        <v>0</v>
      </c>
      <c r="Y240" s="941">
        <v>0</v>
      </c>
      <c r="Z240" s="941">
        <v>0</v>
      </c>
      <c r="AA240" s="942">
        <v>5</v>
      </c>
      <c r="AB240" s="942">
        <v>34</v>
      </c>
      <c r="AC240" s="942">
        <v>0</v>
      </c>
      <c r="AD240" s="942">
        <v>0</v>
      </c>
      <c r="AE240" s="942">
        <v>0</v>
      </c>
      <c r="AF240" s="942">
        <v>0</v>
      </c>
      <c r="AG240" s="943">
        <f>comparaison_samebasis_villages[[#This Row],[previous idp_ind]]-comparaison_samebasis_villages[[#This Row],[actual idp_ind]]</f>
        <v>-455</v>
      </c>
      <c r="AH240" s="943">
        <f>comparaison_samebasis_villages[[#This Row],[previous ref_ind]]-comparaison_samebasis_villages[[#This Row],[actual ref_ind]]</f>
        <v>0</v>
      </c>
      <c r="AI240" s="943">
        <f>comparaison_samebasis_villages[[#This Row],[previous ret_ind]]-comparaison_samebasis_villages[[#This Row],[actual ret_ind]]</f>
        <v>0</v>
      </c>
    </row>
    <row r="241" spans="1:35" ht="15.75" customHeight="1" x14ac:dyDescent="0.3">
      <c r="A241" s="401" t="s">
        <v>35</v>
      </c>
      <c r="B241" s="401" t="s">
        <v>35</v>
      </c>
      <c r="C241" s="401" t="s">
        <v>194</v>
      </c>
      <c r="D241" s="401" t="s">
        <v>194</v>
      </c>
      <c r="E241" s="401" t="s">
        <v>2175</v>
      </c>
      <c r="F241" s="5" t="s">
        <v>2176</v>
      </c>
      <c r="G241" s="401"/>
      <c r="H241" s="1093" t="s">
        <v>511</v>
      </c>
      <c r="I241" s="1216" t="s">
        <v>3110</v>
      </c>
      <c r="J241" s="403">
        <v>0</v>
      </c>
      <c r="K241" s="403">
        <v>3</v>
      </c>
      <c r="L241" s="1093" t="s">
        <v>367</v>
      </c>
      <c r="M241" s="401"/>
      <c r="O241" s="404" t="s">
        <v>35</v>
      </c>
      <c r="P241" s="404" t="s">
        <v>35</v>
      </c>
      <c r="Q241" s="1185" t="s">
        <v>191</v>
      </c>
      <c r="R241" s="1185" t="s">
        <v>191</v>
      </c>
      <c r="S241" s="404" t="s">
        <v>1463</v>
      </c>
      <c r="T241" s="404" t="s">
        <v>1462</v>
      </c>
      <c r="U241" s="941">
        <v>15</v>
      </c>
      <c r="V241" s="941">
        <v>68</v>
      </c>
      <c r="W241" s="941">
        <v>0</v>
      </c>
      <c r="X241" s="941">
        <v>0</v>
      </c>
      <c r="Y241" s="941">
        <v>2</v>
      </c>
      <c r="Z241" s="941">
        <v>2</v>
      </c>
      <c r="AA241" s="942">
        <v>11</v>
      </c>
      <c r="AB241" s="942">
        <v>45</v>
      </c>
      <c r="AC241" s="942">
        <v>0</v>
      </c>
      <c r="AD241" s="942">
        <v>0</v>
      </c>
      <c r="AE241" s="942">
        <v>2</v>
      </c>
      <c r="AF241" s="942">
        <v>12</v>
      </c>
      <c r="AG241" s="943">
        <f>comparaison_samebasis_villages[[#This Row],[previous idp_ind]]-comparaison_samebasis_villages[[#This Row],[actual idp_ind]]</f>
        <v>-23</v>
      </c>
      <c r="AH241" s="943">
        <f>comparaison_samebasis_villages[[#This Row],[previous ref_ind]]-comparaison_samebasis_villages[[#This Row],[actual ref_ind]]</f>
        <v>0</v>
      </c>
      <c r="AI241" s="943">
        <f>comparaison_samebasis_villages[[#This Row],[previous ret_ind]]-comparaison_samebasis_villages[[#This Row],[actual ret_ind]]</f>
        <v>10</v>
      </c>
    </row>
    <row r="242" spans="1:35" ht="15.75" customHeight="1" x14ac:dyDescent="0.3">
      <c r="A242" s="401" t="s">
        <v>35</v>
      </c>
      <c r="B242" s="401" t="s">
        <v>35</v>
      </c>
      <c r="C242" s="401" t="s">
        <v>194</v>
      </c>
      <c r="D242" s="401" t="s">
        <v>194</v>
      </c>
      <c r="E242" s="401" t="s">
        <v>2175</v>
      </c>
      <c r="F242" s="5" t="s">
        <v>2176</v>
      </c>
      <c r="G242" s="401"/>
      <c r="H242" s="1093" t="s">
        <v>511</v>
      </c>
      <c r="I242" s="1216" t="s">
        <v>3111</v>
      </c>
      <c r="J242" s="403">
        <v>0</v>
      </c>
      <c r="K242" s="403">
        <v>1</v>
      </c>
      <c r="L242" s="1093" t="s">
        <v>367</v>
      </c>
      <c r="M242" s="401"/>
      <c r="O242" s="404" t="s">
        <v>35</v>
      </c>
      <c r="P242" s="404" t="s">
        <v>35</v>
      </c>
      <c r="Q242" s="1185" t="s">
        <v>191</v>
      </c>
      <c r="R242" s="1185" t="s">
        <v>191</v>
      </c>
      <c r="S242" s="404" t="s">
        <v>2068</v>
      </c>
      <c r="T242" s="404" t="s">
        <v>2067</v>
      </c>
      <c r="U242" s="941">
        <v>20</v>
      </c>
      <c r="V242" s="941">
        <v>141</v>
      </c>
      <c r="W242" s="941">
        <v>0</v>
      </c>
      <c r="X242" s="941">
        <v>0</v>
      </c>
      <c r="Y242" s="941">
        <v>2</v>
      </c>
      <c r="Z242" s="941">
        <v>2</v>
      </c>
      <c r="AA242" s="942">
        <v>18</v>
      </c>
      <c r="AB242" s="942">
        <v>128</v>
      </c>
      <c r="AC242" s="942">
        <v>0</v>
      </c>
      <c r="AD242" s="942">
        <v>0</v>
      </c>
      <c r="AE242" s="942">
        <v>2</v>
      </c>
      <c r="AF242" s="942">
        <v>29</v>
      </c>
      <c r="AG242" s="943">
        <f>comparaison_samebasis_villages[[#This Row],[previous idp_ind]]-comparaison_samebasis_villages[[#This Row],[actual idp_ind]]</f>
        <v>-13</v>
      </c>
      <c r="AH242" s="943">
        <f>comparaison_samebasis_villages[[#This Row],[previous ref_ind]]-comparaison_samebasis_villages[[#This Row],[actual ref_ind]]</f>
        <v>0</v>
      </c>
      <c r="AI242" s="943">
        <f>comparaison_samebasis_villages[[#This Row],[previous ret_ind]]-comparaison_samebasis_villages[[#This Row],[actual ret_ind]]</f>
        <v>27</v>
      </c>
    </row>
    <row r="243" spans="1:35" ht="15.75" customHeight="1" x14ac:dyDescent="0.3">
      <c r="A243" s="401" t="s">
        <v>35</v>
      </c>
      <c r="B243" s="401" t="s">
        <v>35</v>
      </c>
      <c r="C243" s="401" t="s">
        <v>194</v>
      </c>
      <c r="D243" s="401" t="s">
        <v>194</v>
      </c>
      <c r="E243" s="401" t="s">
        <v>2175</v>
      </c>
      <c r="F243" s="5" t="s">
        <v>2176</v>
      </c>
      <c r="G243" s="401"/>
      <c r="H243" s="1093" t="s">
        <v>511</v>
      </c>
      <c r="I243" s="1216" t="s">
        <v>3112</v>
      </c>
      <c r="J243" s="403">
        <v>2</v>
      </c>
      <c r="K243" s="403">
        <v>12</v>
      </c>
      <c r="L243" s="1093" t="s">
        <v>367</v>
      </c>
      <c r="M243" s="401"/>
      <c r="O243" s="404" t="s">
        <v>35</v>
      </c>
      <c r="P243" s="404" t="s">
        <v>35</v>
      </c>
      <c r="Q243" s="1185" t="s">
        <v>191</v>
      </c>
      <c r="R243" s="1185" t="s">
        <v>191</v>
      </c>
      <c r="S243" s="404" t="s">
        <v>1815</v>
      </c>
      <c r="T243" s="404" t="s">
        <v>1814</v>
      </c>
      <c r="U243" s="941">
        <v>28</v>
      </c>
      <c r="V243" s="941">
        <v>122</v>
      </c>
      <c r="W243" s="941">
        <v>0</v>
      </c>
      <c r="X243" s="941">
        <v>0</v>
      </c>
      <c r="Y243" s="941">
        <v>3</v>
      </c>
      <c r="Z243" s="941">
        <v>3</v>
      </c>
      <c r="AA243" s="942">
        <v>22</v>
      </c>
      <c r="AB243" s="942">
        <v>95</v>
      </c>
      <c r="AC243" s="942">
        <v>0</v>
      </c>
      <c r="AD243" s="942">
        <v>0</v>
      </c>
      <c r="AE243" s="942">
        <v>3</v>
      </c>
      <c r="AF243" s="942">
        <v>24</v>
      </c>
      <c r="AG243" s="943">
        <f>comparaison_samebasis_villages[[#This Row],[previous idp_ind]]-comparaison_samebasis_villages[[#This Row],[actual idp_ind]]</f>
        <v>-27</v>
      </c>
      <c r="AH243" s="943">
        <f>comparaison_samebasis_villages[[#This Row],[previous ref_ind]]-comparaison_samebasis_villages[[#This Row],[actual ref_ind]]</f>
        <v>0</v>
      </c>
      <c r="AI243" s="943">
        <f>comparaison_samebasis_villages[[#This Row],[previous ret_ind]]-comparaison_samebasis_villages[[#This Row],[actual ret_ind]]</f>
        <v>21</v>
      </c>
    </row>
    <row r="244" spans="1:35" ht="15.75" customHeight="1" x14ac:dyDescent="0.3">
      <c r="A244" s="401" t="s">
        <v>35</v>
      </c>
      <c r="B244" s="401" t="s">
        <v>35</v>
      </c>
      <c r="C244" s="401" t="s">
        <v>194</v>
      </c>
      <c r="D244" s="401" t="s">
        <v>194</v>
      </c>
      <c r="E244" s="401" t="s">
        <v>2198</v>
      </c>
      <c r="F244" s="5" t="s">
        <v>2199</v>
      </c>
      <c r="G244" s="401"/>
      <c r="H244" s="1093" t="s">
        <v>511</v>
      </c>
      <c r="I244" s="1216" t="s">
        <v>3033</v>
      </c>
      <c r="J244" s="403">
        <v>6</v>
      </c>
      <c r="K244" s="403">
        <v>34</v>
      </c>
      <c r="L244" s="1093" t="s">
        <v>367</v>
      </c>
      <c r="M244" s="401"/>
      <c r="O244" s="404" t="s">
        <v>35</v>
      </c>
      <c r="P244" s="404" t="s">
        <v>35</v>
      </c>
      <c r="Q244" s="1185" t="s">
        <v>191</v>
      </c>
      <c r="R244" s="1185" t="s">
        <v>191</v>
      </c>
      <c r="S244" s="404" t="s">
        <v>661</v>
      </c>
      <c r="T244" s="404" t="s">
        <v>660</v>
      </c>
      <c r="U244" s="941">
        <v>43</v>
      </c>
      <c r="V244" s="941">
        <v>264</v>
      </c>
      <c r="W244" s="941">
        <v>0</v>
      </c>
      <c r="X244" s="941">
        <v>0</v>
      </c>
      <c r="Y244" s="941">
        <v>4</v>
      </c>
      <c r="Z244" s="941">
        <v>4</v>
      </c>
      <c r="AA244" s="942">
        <v>39</v>
      </c>
      <c r="AB244" s="942">
        <v>245</v>
      </c>
      <c r="AC244" s="942">
        <v>0</v>
      </c>
      <c r="AD244" s="942">
        <v>0</v>
      </c>
      <c r="AE244" s="942">
        <v>4</v>
      </c>
      <c r="AF244" s="942">
        <v>23</v>
      </c>
      <c r="AG244" s="943">
        <f>comparaison_samebasis_villages[[#This Row],[previous idp_ind]]-comparaison_samebasis_villages[[#This Row],[actual idp_ind]]</f>
        <v>-19</v>
      </c>
      <c r="AH244" s="943">
        <f>comparaison_samebasis_villages[[#This Row],[previous ref_ind]]-comparaison_samebasis_villages[[#This Row],[actual ref_ind]]</f>
        <v>0</v>
      </c>
      <c r="AI244" s="943">
        <f>comparaison_samebasis_villages[[#This Row],[previous ret_ind]]-comparaison_samebasis_villages[[#This Row],[actual ret_ind]]</f>
        <v>19</v>
      </c>
    </row>
    <row r="245" spans="1:35" ht="15.75" customHeight="1" x14ac:dyDescent="0.3">
      <c r="A245" s="401" t="s">
        <v>35</v>
      </c>
      <c r="B245" s="401" t="s">
        <v>35</v>
      </c>
      <c r="C245" s="401" t="s">
        <v>194</v>
      </c>
      <c r="D245" s="401" t="s">
        <v>194</v>
      </c>
      <c r="E245" s="401" t="s">
        <v>2198</v>
      </c>
      <c r="F245" s="5" t="s">
        <v>2199</v>
      </c>
      <c r="G245" s="401"/>
      <c r="H245" s="1093" t="s">
        <v>511</v>
      </c>
      <c r="I245" s="1216" t="s">
        <v>3109</v>
      </c>
      <c r="J245" s="403">
        <v>0</v>
      </c>
      <c r="K245" s="403">
        <v>1</v>
      </c>
      <c r="L245" s="1093" t="s">
        <v>367</v>
      </c>
      <c r="M245" s="401"/>
      <c r="O245" s="404" t="s">
        <v>35</v>
      </c>
      <c r="P245" s="404" t="s">
        <v>35</v>
      </c>
      <c r="Q245" s="1185" t="s">
        <v>191</v>
      </c>
      <c r="R245" s="1185" t="s">
        <v>191</v>
      </c>
      <c r="S245" s="404" t="s">
        <v>663</v>
      </c>
      <c r="T245" s="404" t="s">
        <v>662</v>
      </c>
      <c r="U245" s="941">
        <v>12</v>
      </c>
      <c r="V245" s="941">
        <v>83</v>
      </c>
      <c r="W245" s="941">
        <v>2</v>
      </c>
      <c r="X245" s="941">
        <v>13</v>
      </c>
      <c r="Y245" s="941">
        <v>3</v>
      </c>
      <c r="Z245" s="941">
        <v>3</v>
      </c>
      <c r="AA245" s="942">
        <v>8</v>
      </c>
      <c r="AB245" s="942">
        <v>65</v>
      </c>
      <c r="AC245" s="942">
        <v>3</v>
      </c>
      <c r="AD245" s="942">
        <v>32</v>
      </c>
      <c r="AE245" s="942">
        <v>2</v>
      </c>
      <c r="AF245" s="942">
        <v>12</v>
      </c>
      <c r="AG245" s="943">
        <f>comparaison_samebasis_villages[[#This Row],[previous idp_ind]]-comparaison_samebasis_villages[[#This Row],[actual idp_ind]]</f>
        <v>-18</v>
      </c>
      <c r="AH245" s="943">
        <f>comparaison_samebasis_villages[[#This Row],[previous ref_ind]]-comparaison_samebasis_villages[[#This Row],[actual ref_ind]]</f>
        <v>19</v>
      </c>
      <c r="AI245" s="943">
        <f>comparaison_samebasis_villages[[#This Row],[previous ret_ind]]-comparaison_samebasis_villages[[#This Row],[actual ret_ind]]</f>
        <v>9</v>
      </c>
    </row>
    <row r="246" spans="1:35" ht="15.75" customHeight="1" x14ac:dyDescent="0.3">
      <c r="A246" s="401" t="s">
        <v>35</v>
      </c>
      <c r="B246" s="401" t="s">
        <v>35</v>
      </c>
      <c r="C246" s="401" t="s">
        <v>194</v>
      </c>
      <c r="D246" s="401" t="s">
        <v>194</v>
      </c>
      <c r="E246" s="401" t="s">
        <v>2198</v>
      </c>
      <c r="F246" s="5" t="s">
        <v>2199</v>
      </c>
      <c r="G246" s="401"/>
      <c r="H246" s="1093" t="s">
        <v>511</v>
      </c>
      <c r="I246" s="1216" t="s">
        <v>3110</v>
      </c>
      <c r="J246" s="403">
        <v>3</v>
      </c>
      <c r="K246" s="403">
        <v>8</v>
      </c>
      <c r="L246" s="1093" t="s">
        <v>367</v>
      </c>
      <c r="M246" s="401"/>
      <c r="O246" s="404" t="s">
        <v>35</v>
      </c>
      <c r="P246" s="404" t="s">
        <v>35</v>
      </c>
      <c r="Q246" s="1185" t="s">
        <v>191</v>
      </c>
      <c r="R246" s="1185" t="s">
        <v>191</v>
      </c>
      <c r="S246" s="404" t="s">
        <v>2307</v>
      </c>
      <c r="T246" s="404" t="s">
        <v>2306</v>
      </c>
      <c r="U246" s="941">
        <v>1</v>
      </c>
      <c r="V246" s="941">
        <v>6</v>
      </c>
      <c r="W246" s="941">
        <v>0</v>
      </c>
      <c r="X246" s="941">
        <v>0</v>
      </c>
      <c r="Y246" s="941">
        <v>1</v>
      </c>
      <c r="Z246" s="941">
        <v>1</v>
      </c>
      <c r="AA246" s="942">
        <v>0</v>
      </c>
      <c r="AB246" s="942">
        <v>0</v>
      </c>
      <c r="AC246" s="942">
        <v>1</v>
      </c>
      <c r="AD246" s="942">
        <v>6</v>
      </c>
      <c r="AE246" s="942">
        <v>7</v>
      </c>
      <c r="AF246" s="942">
        <v>34</v>
      </c>
      <c r="AG246" s="943">
        <f>comparaison_samebasis_villages[[#This Row],[previous idp_ind]]-comparaison_samebasis_villages[[#This Row],[actual idp_ind]]</f>
        <v>-6</v>
      </c>
      <c r="AH246" s="943">
        <f>comparaison_samebasis_villages[[#This Row],[previous ref_ind]]-comparaison_samebasis_villages[[#This Row],[actual ref_ind]]</f>
        <v>6</v>
      </c>
      <c r="AI246" s="943">
        <f>comparaison_samebasis_villages[[#This Row],[previous ret_ind]]-comparaison_samebasis_villages[[#This Row],[actual ret_ind]]</f>
        <v>33</v>
      </c>
    </row>
    <row r="247" spans="1:35" ht="15.75" customHeight="1" x14ac:dyDescent="0.3">
      <c r="A247" s="401" t="s">
        <v>35</v>
      </c>
      <c r="B247" s="401" t="s">
        <v>35</v>
      </c>
      <c r="C247" s="401" t="s">
        <v>194</v>
      </c>
      <c r="D247" s="401" t="s">
        <v>194</v>
      </c>
      <c r="E247" s="401" t="s">
        <v>2198</v>
      </c>
      <c r="F247" s="5" t="s">
        <v>2199</v>
      </c>
      <c r="G247" s="401"/>
      <c r="H247" s="1093" t="s">
        <v>511</v>
      </c>
      <c r="I247" s="1216" t="s">
        <v>3111</v>
      </c>
      <c r="J247" s="403">
        <v>3</v>
      </c>
      <c r="K247" s="403">
        <v>13</v>
      </c>
      <c r="L247" s="1093" t="s">
        <v>367</v>
      </c>
      <c r="M247" s="401"/>
      <c r="O247" s="404" t="s">
        <v>35</v>
      </c>
      <c r="P247" s="404" t="s">
        <v>35</v>
      </c>
      <c r="Q247" s="1185" t="s">
        <v>191</v>
      </c>
      <c r="R247" s="1185" t="s">
        <v>191</v>
      </c>
      <c r="S247" s="404" t="s">
        <v>742</v>
      </c>
      <c r="T247" s="404" t="s">
        <v>741</v>
      </c>
      <c r="U247" s="941">
        <v>2</v>
      </c>
      <c r="V247" s="941">
        <v>25</v>
      </c>
      <c r="W247" s="941">
        <v>4</v>
      </c>
      <c r="X247" s="941">
        <v>22</v>
      </c>
      <c r="Y247" s="941">
        <v>2</v>
      </c>
      <c r="Z247" s="941">
        <v>2</v>
      </c>
      <c r="AA247" s="942">
        <v>1</v>
      </c>
      <c r="AB247" s="942">
        <v>18</v>
      </c>
      <c r="AC247" s="942">
        <v>4</v>
      </c>
      <c r="AD247" s="942">
        <v>21</v>
      </c>
      <c r="AE247" s="942">
        <v>2</v>
      </c>
      <c r="AF247" s="942">
        <v>12</v>
      </c>
      <c r="AG247" s="943">
        <f>comparaison_samebasis_villages[[#This Row],[previous idp_ind]]-comparaison_samebasis_villages[[#This Row],[actual idp_ind]]</f>
        <v>-7</v>
      </c>
      <c r="AH247" s="943">
        <f>comparaison_samebasis_villages[[#This Row],[previous ref_ind]]-comparaison_samebasis_villages[[#This Row],[actual ref_ind]]</f>
        <v>-1</v>
      </c>
      <c r="AI247" s="943">
        <f>comparaison_samebasis_villages[[#This Row],[previous ret_ind]]-comparaison_samebasis_villages[[#This Row],[actual ret_ind]]</f>
        <v>10</v>
      </c>
    </row>
    <row r="248" spans="1:35" ht="15.75" customHeight="1" x14ac:dyDescent="0.3">
      <c r="A248" s="401" t="s">
        <v>31</v>
      </c>
      <c r="B248" s="401" t="s">
        <v>31</v>
      </c>
      <c r="C248" s="401" t="s">
        <v>169</v>
      </c>
      <c r="D248" s="401" t="s">
        <v>169</v>
      </c>
      <c r="E248" s="401" t="s">
        <v>2981</v>
      </c>
      <c r="F248" s="5" t="s">
        <v>1633</v>
      </c>
      <c r="G248" s="401"/>
      <c r="H248" s="1093" t="s">
        <v>511</v>
      </c>
      <c r="I248" s="1216" t="s">
        <v>3111</v>
      </c>
      <c r="J248" s="403">
        <v>5</v>
      </c>
      <c r="K248" s="403">
        <v>30</v>
      </c>
      <c r="L248" s="1093" t="s">
        <v>367</v>
      </c>
      <c r="M248" s="401"/>
      <c r="O248" s="404" t="s">
        <v>35</v>
      </c>
      <c r="P248" s="404" t="s">
        <v>35</v>
      </c>
      <c r="Q248" s="1185" t="s">
        <v>191</v>
      </c>
      <c r="R248" s="1185" t="s">
        <v>191</v>
      </c>
      <c r="S248" s="404" t="s">
        <v>2102</v>
      </c>
      <c r="T248" s="404" t="s">
        <v>2101</v>
      </c>
      <c r="U248" s="941">
        <v>16</v>
      </c>
      <c r="V248" s="941">
        <v>46</v>
      </c>
      <c r="W248" s="941">
        <v>0</v>
      </c>
      <c r="X248" s="941">
        <v>0</v>
      </c>
      <c r="Y248" s="941">
        <v>3</v>
      </c>
      <c r="Z248" s="941">
        <v>3</v>
      </c>
      <c r="AA248" s="942">
        <v>7</v>
      </c>
      <c r="AB248" s="942">
        <v>23</v>
      </c>
      <c r="AC248" s="942">
        <v>0</v>
      </c>
      <c r="AD248" s="942">
        <v>0</v>
      </c>
      <c r="AE248" s="942">
        <v>3</v>
      </c>
      <c r="AF248" s="942">
        <v>29</v>
      </c>
      <c r="AG248" s="943">
        <f>comparaison_samebasis_villages[[#This Row],[previous idp_ind]]-comparaison_samebasis_villages[[#This Row],[actual idp_ind]]</f>
        <v>-23</v>
      </c>
      <c r="AH248" s="943">
        <f>comparaison_samebasis_villages[[#This Row],[previous ref_ind]]-comparaison_samebasis_villages[[#This Row],[actual ref_ind]]</f>
        <v>0</v>
      </c>
      <c r="AI248" s="943">
        <f>comparaison_samebasis_villages[[#This Row],[previous ret_ind]]-comparaison_samebasis_villages[[#This Row],[actual ret_ind]]</f>
        <v>26</v>
      </c>
    </row>
    <row r="249" spans="1:35" ht="15.75" customHeight="1" x14ac:dyDescent="0.3">
      <c r="A249" s="401" t="s">
        <v>31</v>
      </c>
      <c r="B249" s="401" t="s">
        <v>31</v>
      </c>
      <c r="C249" s="401" t="s">
        <v>169</v>
      </c>
      <c r="D249" s="401" t="s">
        <v>169</v>
      </c>
      <c r="E249" s="401" t="s">
        <v>2989</v>
      </c>
      <c r="F249" s="5" t="s">
        <v>2356</v>
      </c>
      <c r="G249" s="401"/>
      <c r="H249" s="1093" t="s">
        <v>511</v>
      </c>
      <c r="I249" s="1216" t="s">
        <v>3111</v>
      </c>
      <c r="J249" s="403">
        <v>85</v>
      </c>
      <c r="K249" s="403">
        <v>520</v>
      </c>
      <c r="L249" s="1093" t="s">
        <v>367</v>
      </c>
      <c r="M249" s="401"/>
      <c r="O249" s="404" t="s">
        <v>33</v>
      </c>
      <c r="P249" s="404" t="s">
        <v>33</v>
      </c>
      <c r="Q249" s="1185" t="s">
        <v>183</v>
      </c>
      <c r="R249" s="1185" t="s">
        <v>183</v>
      </c>
      <c r="S249" s="404" t="s">
        <v>2272</v>
      </c>
      <c r="T249" s="404" t="s">
        <v>2271</v>
      </c>
      <c r="U249" s="941">
        <v>4</v>
      </c>
      <c r="V249" s="941">
        <v>30</v>
      </c>
      <c r="W249" s="941">
        <v>0</v>
      </c>
      <c r="X249" s="941">
        <v>0</v>
      </c>
      <c r="Y249" s="941">
        <v>2</v>
      </c>
      <c r="Z249" s="941">
        <v>2</v>
      </c>
      <c r="AA249" s="942">
        <v>4</v>
      </c>
      <c r="AB249" s="942">
        <v>30</v>
      </c>
      <c r="AC249" s="942">
        <v>0</v>
      </c>
      <c r="AD249" s="942">
        <v>0</v>
      </c>
      <c r="AE249" s="942">
        <v>0</v>
      </c>
      <c r="AF249" s="942">
        <v>0</v>
      </c>
      <c r="AG249" s="943">
        <f>comparaison_samebasis_villages[[#This Row],[previous idp_ind]]-comparaison_samebasis_villages[[#This Row],[actual idp_ind]]</f>
        <v>0</v>
      </c>
      <c r="AH249" s="943">
        <f>comparaison_samebasis_villages[[#This Row],[previous ref_ind]]-comparaison_samebasis_villages[[#This Row],[actual ref_ind]]</f>
        <v>0</v>
      </c>
      <c r="AI249" s="943">
        <f>comparaison_samebasis_villages[[#This Row],[previous ret_ind]]-comparaison_samebasis_villages[[#This Row],[actual ret_ind]]</f>
        <v>-2</v>
      </c>
    </row>
    <row r="250" spans="1:35" ht="15.75" customHeight="1" x14ac:dyDescent="0.3">
      <c r="A250" s="401" t="s">
        <v>31</v>
      </c>
      <c r="B250" s="401" t="s">
        <v>31</v>
      </c>
      <c r="C250" s="401" t="s">
        <v>169</v>
      </c>
      <c r="D250" s="401" t="s">
        <v>169</v>
      </c>
      <c r="E250" s="401" t="s">
        <v>2989</v>
      </c>
      <c r="F250" s="5" t="s">
        <v>2356</v>
      </c>
      <c r="G250" s="401"/>
      <c r="H250" s="1093" t="s">
        <v>511</v>
      </c>
      <c r="I250" s="1216" t="s">
        <v>3112</v>
      </c>
      <c r="J250" s="403">
        <v>14</v>
      </c>
      <c r="K250" s="403">
        <v>100</v>
      </c>
      <c r="L250" s="1093" t="s">
        <v>367</v>
      </c>
      <c r="M250" s="401"/>
      <c r="O250" s="404" t="s">
        <v>33</v>
      </c>
      <c r="P250" s="404" t="s">
        <v>33</v>
      </c>
      <c r="Q250" s="1185" t="s">
        <v>183</v>
      </c>
      <c r="R250" s="1185" t="s">
        <v>183</v>
      </c>
      <c r="S250" s="404" t="s">
        <v>2195</v>
      </c>
      <c r="T250" s="404" t="s">
        <v>2194</v>
      </c>
      <c r="U250" s="941">
        <v>0</v>
      </c>
      <c r="V250" s="941">
        <v>0</v>
      </c>
      <c r="W250" s="941">
        <v>0</v>
      </c>
      <c r="X250" s="941">
        <v>0</v>
      </c>
      <c r="Y250" s="941">
        <v>2</v>
      </c>
      <c r="Z250" s="941">
        <v>2</v>
      </c>
      <c r="AA250" s="942">
        <v>0</v>
      </c>
      <c r="AB250" s="942">
        <v>0</v>
      </c>
      <c r="AC250" s="942">
        <v>2</v>
      </c>
      <c r="AD250" s="942">
        <v>15</v>
      </c>
      <c r="AE250" s="942">
        <v>3</v>
      </c>
      <c r="AF250" s="942">
        <v>47</v>
      </c>
      <c r="AG250" s="943">
        <f>comparaison_samebasis_villages[[#This Row],[previous idp_ind]]-comparaison_samebasis_villages[[#This Row],[actual idp_ind]]</f>
        <v>0</v>
      </c>
      <c r="AH250" s="943">
        <f>comparaison_samebasis_villages[[#This Row],[previous ref_ind]]-comparaison_samebasis_villages[[#This Row],[actual ref_ind]]</f>
        <v>15</v>
      </c>
      <c r="AI250" s="943">
        <f>comparaison_samebasis_villages[[#This Row],[previous ret_ind]]-comparaison_samebasis_villages[[#This Row],[actual ret_ind]]</f>
        <v>45</v>
      </c>
    </row>
    <row r="251" spans="1:35" ht="15.75" customHeight="1" x14ac:dyDescent="0.3">
      <c r="A251" s="401" t="s">
        <v>31</v>
      </c>
      <c r="B251" s="401" t="s">
        <v>31</v>
      </c>
      <c r="C251" s="401" t="s">
        <v>171</v>
      </c>
      <c r="D251" s="401" t="s">
        <v>171</v>
      </c>
      <c r="E251" s="401" t="s">
        <v>1829</v>
      </c>
      <c r="F251" s="5" t="s">
        <v>1358</v>
      </c>
      <c r="G251" s="401"/>
      <c r="H251" s="1093" t="s">
        <v>511</v>
      </c>
      <c r="I251" s="1216" t="s">
        <v>3033</v>
      </c>
      <c r="J251" s="403">
        <v>18</v>
      </c>
      <c r="K251" s="403">
        <v>96</v>
      </c>
      <c r="L251" s="1093" t="s">
        <v>367</v>
      </c>
      <c r="M251" s="401"/>
      <c r="O251" s="404" t="s">
        <v>33</v>
      </c>
      <c r="P251" s="404" t="s">
        <v>33</v>
      </c>
      <c r="Q251" s="1185" t="s">
        <v>183</v>
      </c>
      <c r="R251" s="1185" t="s">
        <v>183</v>
      </c>
      <c r="S251" s="404" t="s">
        <v>566</v>
      </c>
      <c r="T251" s="404" t="s">
        <v>565</v>
      </c>
      <c r="U251" s="941">
        <v>2</v>
      </c>
      <c r="V251" s="941">
        <v>9</v>
      </c>
      <c r="W251" s="941">
        <v>0</v>
      </c>
      <c r="X251" s="941">
        <v>0</v>
      </c>
      <c r="Y251" s="941">
        <v>0</v>
      </c>
      <c r="Z251" s="941">
        <v>0</v>
      </c>
      <c r="AA251" s="942">
        <v>3</v>
      </c>
      <c r="AB251" s="942">
        <v>21</v>
      </c>
      <c r="AC251" s="942">
        <v>0</v>
      </c>
      <c r="AD251" s="942">
        <v>0</v>
      </c>
      <c r="AE251" s="942">
        <v>0</v>
      </c>
      <c r="AF251" s="942">
        <v>0</v>
      </c>
      <c r="AG251" s="943">
        <f>comparaison_samebasis_villages[[#This Row],[previous idp_ind]]-comparaison_samebasis_villages[[#This Row],[actual idp_ind]]</f>
        <v>12</v>
      </c>
      <c r="AH251" s="943">
        <f>comparaison_samebasis_villages[[#This Row],[previous ref_ind]]-comparaison_samebasis_villages[[#This Row],[actual ref_ind]]</f>
        <v>0</v>
      </c>
      <c r="AI251" s="943">
        <f>comparaison_samebasis_villages[[#This Row],[previous ret_ind]]-comparaison_samebasis_villages[[#This Row],[actual ret_ind]]</f>
        <v>0</v>
      </c>
    </row>
    <row r="252" spans="1:35" ht="15.75" customHeight="1" x14ac:dyDescent="0.3">
      <c r="A252" s="401" t="s">
        <v>34</v>
      </c>
      <c r="B252" s="401" t="s">
        <v>34</v>
      </c>
      <c r="C252" s="401" t="s">
        <v>188</v>
      </c>
      <c r="D252" s="401" t="s">
        <v>188</v>
      </c>
      <c r="E252" s="401" t="s">
        <v>1070</v>
      </c>
      <c r="F252" s="5" t="s">
        <v>1178</v>
      </c>
      <c r="G252" s="401"/>
      <c r="H252" s="1093" t="s">
        <v>511</v>
      </c>
      <c r="I252" s="1216" t="s">
        <v>3109</v>
      </c>
      <c r="J252" s="403">
        <v>5</v>
      </c>
      <c r="K252" s="403">
        <v>31</v>
      </c>
      <c r="L252" s="1093" t="s">
        <v>365</v>
      </c>
      <c r="M252" s="401"/>
      <c r="O252" s="404" t="s">
        <v>33</v>
      </c>
      <c r="P252" s="404" t="s">
        <v>33</v>
      </c>
      <c r="Q252" s="1185" t="s">
        <v>183</v>
      </c>
      <c r="R252" s="1185" t="s">
        <v>183</v>
      </c>
      <c r="S252" s="404" t="s">
        <v>623</v>
      </c>
      <c r="T252" s="404" t="s">
        <v>622</v>
      </c>
      <c r="U252" s="941">
        <v>2</v>
      </c>
      <c r="V252" s="941">
        <v>9</v>
      </c>
      <c r="W252" s="941">
        <v>0</v>
      </c>
      <c r="X252" s="941">
        <v>0</v>
      </c>
      <c r="Y252" s="941">
        <v>0</v>
      </c>
      <c r="Z252" s="941">
        <v>0</v>
      </c>
      <c r="AA252" s="942">
        <v>1</v>
      </c>
      <c r="AB252" s="942">
        <v>3</v>
      </c>
      <c r="AC252" s="942">
        <v>0</v>
      </c>
      <c r="AD252" s="942">
        <v>0</v>
      </c>
      <c r="AE252" s="942">
        <v>2</v>
      </c>
      <c r="AF252" s="942">
        <v>11</v>
      </c>
      <c r="AG252" s="943">
        <f>comparaison_samebasis_villages[[#This Row],[previous idp_ind]]-comparaison_samebasis_villages[[#This Row],[actual idp_ind]]</f>
        <v>-6</v>
      </c>
      <c r="AH252" s="943">
        <f>comparaison_samebasis_villages[[#This Row],[previous ref_ind]]-comparaison_samebasis_villages[[#This Row],[actual ref_ind]]</f>
        <v>0</v>
      </c>
      <c r="AI252" s="943">
        <f>comparaison_samebasis_villages[[#This Row],[previous ret_ind]]-comparaison_samebasis_villages[[#This Row],[actual ret_ind]]</f>
        <v>11</v>
      </c>
    </row>
    <row r="253" spans="1:35" ht="15.75" customHeight="1" x14ac:dyDescent="0.3">
      <c r="A253" s="401" t="s">
        <v>34</v>
      </c>
      <c r="B253" s="401" t="s">
        <v>34</v>
      </c>
      <c r="C253" s="401" t="s">
        <v>188</v>
      </c>
      <c r="D253" s="401" t="s">
        <v>188</v>
      </c>
      <c r="E253" s="401" t="s">
        <v>1070</v>
      </c>
      <c r="F253" s="5" t="s">
        <v>1178</v>
      </c>
      <c r="G253" s="401"/>
      <c r="H253" s="1093" t="s">
        <v>511</v>
      </c>
      <c r="I253" s="1216" t="s">
        <v>3110</v>
      </c>
      <c r="J253" s="403">
        <v>0</v>
      </c>
      <c r="K253" s="403">
        <v>9</v>
      </c>
      <c r="L253" s="1093" t="s">
        <v>365</v>
      </c>
      <c r="M253" s="401"/>
      <c r="O253" s="404" t="s">
        <v>33</v>
      </c>
      <c r="P253" s="404" t="s">
        <v>33</v>
      </c>
      <c r="Q253" s="1185" t="s">
        <v>183</v>
      </c>
      <c r="R253" s="1185" t="s">
        <v>183</v>
      </c>
      <c r="S253" s="404" t="s">
        <v>621</v>
      </c>
      <c r="T253" s="404" t="s">
        <v>620</v>
      </c>
      <c r="U253" s="941">
        <v>0</v>
      </c>
      <c r="V253" s="941">
        <v>0</v>
      </c>
      <c r="W253" s="941">
        <v>0</v>
      </c>
      <c r="X253" s="941">
        <v>0</v>
      </c>
      <c r="Y253" s="941">
        <v>2</v>
      </c>
      <c r="Z253" s="941">
        <v>2</v>
      </c>
      <c r="AA253" s="942">
        <v>1</v>
      </c>
      <c r="AB253" s="942">
        <v>4</v>
      </c>
      <c r="AC253" s="942">
        <v>0</v>
      </c>
      <c r="AD253" s="942">
        <v>0</v>
      </c>
      <c r="AE253" s="942">
        <v>1</v>
      </c>
      <c r="AF253" s="942">
        <v>8</v>
      </c>
      <c r="AG253" s="943">
        <f>comparaison_samebasis_villages[[#This Row],[previous idp_ind]]-comparaison_samebasis_villages[[#This Row],[actual idp_ind]]</f>
        <v>4</v>
      </c>
      <c r="AH253" s="943">
        <f>comparaison_samebasis_villages[[#This Row],[previous ref_ind]]-comparaison_samebasis_villages[[#This Row],[actual ref_ind]]</f>
        <v>0</v>
      </c>
      <c r="AI253" s="943">
        <f>comparaison_samebasis_villages[[#This Row],[previous ret_ind]]-comparaison_samebasis_villages[[#This Row],[actual ret_ind]]</f>
        <v>6</v>
      </c>
    </row>
    <row r="254" spans="1:35" ht="15.75" customHeight="1" x14ac:dyDescent="0.3">
      <c r="A254" s="401" t="s">
        <v>34</v>
      </c>
      <c r="B254" s="401" t="s">
        <v>34</v>
      </c>
      <c r="C254" s="401" t="s">
        <v>188</v>
      </c>
      <c r="D254" s="401" t="s">
        <v>188</v>
      </c>
      <c r="E254" s="401" t="s">
        <v>1070</v>
      </c>
      <c r="F254" s="5" t="s">
        <v>1178</v>
      </c>
      <c r="G254" s="401"/>
      <c r="H254" s="1093" t="s">
        <v>511</v>
      </c>
      <c r="I254" s="1216" t="s">
        <v>3111</v>
      </c>
      <c r="J254" s="403">
        <v>3</v>
      </c>
      <c r="K254" s="403">
        <v>24</v>
      </c>
      <c r="L254" s="1093" t="s">
        <v>365</v>
      </c>
      <c r="M254" s="401"/>
      <c r="O254" s="404" t="s">
        <v>33</v>
      </c>
      <c r="P254" s="404" t="s">
        <v>33</v>
      </c>
      <c r="Q254" s="1185" t="s">
        <v>183</v>
      </c>
      <c r="R254" s="1185" t="s">
        <v>183</v>
      </c>
      <c r="S254" s="404" t="s">
        <v>564</v>
      </c>
      <c r="T254" s="404" t="s">
        <v>563</v>
      </c>
      <c r="U254" s="941">
        <v>0</v>
      </c>
      <c r="V254" s="941">
        <v>0</v>
      </c>
      <c r="W254" s="941">
        <v>0</v>
      </c>
      <c r="X254" s="941">
        <v>0</v>
      </c>
      <c r="Y254" s="941">
        <v>3</v>
      </c>
      <c r="Z254" s="941">
        <v>3</v>
      </c>
      <c r="AA254" s="942">
        <v>3</v>
      </c>
      <c r="AB254" s="942">
        <v>20</v>
      </c>
      <c r="AC254" s="942">
        <v>0</v>
      </c>
      <c r="AD254" s="942">
        <v>0</v>
      </c>
      <c r="AE254" s="942">
        <v>0</v>
      </c>
      <c r="AF254" s="942">
        <v>0</v>
      </c>
      <c r="AG254" s="943">
        <f>comparaison_samebasis_villages[[#This Row],[previous idp_ind]]-comparaison_samebasis_villages[[#This Row],[actual idp_ind]]</f>
        <v>20</v>
      </c>
      <c r="AH254" s="943">
        <f>comparaison_samebasis_villages[[#This Row],[previous ref_ind]]-comparaison_samebasis_villages[[#This Row],[actual ref_ind]]</f>
        <v>0</v>
      </c>
      <c r="AI254" s="943">
        <f>comparaison_samebasis_villages[[#This Row],[previous ret_ind]]-comparaison_samebasis_villages[[#This Row],[actual ret_ind]]</f>
        <v>-3</v>
      </c>
    </row>
    <row r="255" spans="1:35" ht="15.75" customHeight="1" x14ac:dyDescent="0.3">
      <c r="A255" s="401" t="s">
        <v>34</v>
      </c>
      <c r="B255" s="401" t="s">
        <v>34</v>
      </c>
      <c r="C255" s="401" t="s">
        <v>188</v>
      </c>
      <c r="D255" s="401" t="s">
        <v>188</v>
      </c>
      <c r="E255" s="401" t="s">
        <v>1070</v>
      </c>
      <c r="F255" s="5" t="s">
        <v>1178</v>
      </c>
      <c r="G255" s="401"/>
      <c r="H255" s="1093" t="s">
        <v>511</v>
      </c>
      <c r="I255" s="1216" t="s">
        <v>3112</v>
      </c>
      <c r="J255" s="403">
        <v>0</v>
      </c>
      <c r="K255" s="403">
        <v>9</v>
      </c>
      <c r="L255" s="1093" t="s">
        <v>365</v>
      </c>
      <c r="M255" s="401"/>
      <c r="O255" s="399" t="s">
        <v>33</v>
      </c>
      <c r="P255" s="399" t="s">
        <v>33</v>
      </c>
      <c r="Q255" s="1185" t="s">
        <v>183</v>
      </c>
      <c r="R255" s="1185" t="s">
        <v>183</v>
      </c>
      <c r="S255" s="399" t="s">
        <v>599</v>
      </c>
      <c r="T255" s="399" t="s">
        <v>598</v>
      </c>
      <c r="U255" s="941">
        <v>4</v>
      </c>
      <c r="V255" s="941">
        <v>26</v>
      </c>
      <c r="W255" s="941">
        <v>0</v>
      </c>
      <c r="X255" s="941">
        <v>0</v>
      </c>
      <c r="Y255" s="941">
        <v>0</v>
      </c>
      <c r="Z255" s="941">
        <v>0</v>
      </c>
      <c r="AA255" s="942">
        <v>4</v>
      </c>
      <c r="AB255" s="942">
        <v>26</v>
      </c>
      <c r="AC255" s="942">
        <v>0</v>
      </c>
      <c r="AD255" s="942">
        <v>0</v>
      </c>
      <c r="AE255" s="942">
        <v>0</v>
      </c>
      <c r="AF255" s="942">
        <v>0</v>
      </c>
      <c r="AG255" s="943">
        <f>comparaison_samebasis_villages[[#This Row],[previous idp_ind]]-comparaison_samebasis_villages[[#This Row],[actual idp_ind]]</f>
        <v>0</v>
      </c>
      <c r="AH255" s="943">
        <f>comparaison_samebasis_villages[[#This Row],[previous ref_ind]]-comparaison_samebasis_villages[[#This Row],[actual ref_ind]]</f>
        <v>0</v>
      </c>
      <c r="AI255" s="943">
        <f>comparaison_samebasis_villages[[#This Row],[previous ret_ind]]-comparaison_samebasis_villages[[#This Row],[actual ret_ind]]</f>
        <v>0</v>
      </c>
    </row>
    <row r="256" spans="1:35" ht="15.75" customHeight="1" x14ac:dyDescent="0.3">
      <c r="A256" s="401" t="s">
        <v>35</v>
      </c>
      <c r="B256" s="401" t="s">
        <v>35</v>
      </c>
      <c r="C256" s="401" t="s">
        <v>194</v>
      </c>
      <c r="D256" s="401" t="s">
        <v>194</v>
      </c>
      <c r="E256" s="401" t="s">
        <v>2208</v>
      </c>
      <c r="F256" s="5" t="s">
        <v>2209</v>
      </c>
      <c r="G256" s="401"/>
      <c r="H256" s="1093" t="s">
        <v>511</v>
      </c>
      <c r="I256" s="1216" t="s">
        <v>3033</v>
      </c>
      <c r="J256" s="403">
        <v>2</v>
      </c>
      <c r="K256" s="403">
        <v>8</v>
      </c>
      <c r="L256" s="1093" t="s">
        <v>367</v>
      </c>
      <c r="M256" s="401"/>
      <c r="O256" s="404" t="s">
        <v>33</v>
      </c>
      <c r="P256" s="404" t="s">
        <v>33</v>
      </c>
      <c r="Q256" s="1185" t="s">
        <v>183</v>
      </c>
      <c r="R256" s="1185" t="s">
        <v>183</v>
      </c>
      <c r="S256" s="404" t="s">
        <v>727</v>
      </c>
      <c r="T256" s="404" t="s">
        <v>726</v>
      </c>
      <c r="U256" s="941">
        <v>17</v>
      </c>
      <c r="V256" s="941">
        <v>119</v>
      </c>
      <c r="W256" s="941">
        <v>35</v>
      </c>
      <c r="X256" s="941">
        <v>163</v>
      </c>
      <c r="Y256" s="941">
        <v>2</v>
      </c>
      <c r="Z256" s="941">
        <v>2</v>
      </c>
      <c r="AA256" s="942">
        <v>17</v>
      </c>
      <c r="AB256" s="942">
        <v>119</v>
      </c>
      <c r="AC256" s="942">
        <v>33</v>
      </c>
      <c r="AD256" s="942">
        <v>154</v>
      </c>
      <c r="AE256" s="942">
        <v>2</v>
      </c>
      <c r="AF256" s="942">
        <v>9</v>
      </c>
      <c r="AG256" s="943">
        <f>comparaison_samebasis_villages[[#This Row],[previous idp_ind]]-comparaison_samebasis_villages[[#This Row],[actual idp_ind]]</f>
        <v>0</v>
      </c>
      <c r="AH256" s="943">
        <f>comparaison_samebasis_villages[[#This Row],[previous ref_ind]]-comparaison_samebasis_villages[[#This Row],[actual ref_ind]]</f>
        <v>-9</v>
      </c>
      <c r="AI256" s="943">
        <f>comparaison_samebasis_villages[[#This Row],[previous ret_ind]]-comparaison_samebasis_villages[[#This Row],[actual ret_ind]]</f>
        <v>7</v>
      </c>
    </row>
    <row r="257" spans="1:35" ht="15.75" customHeight="1" x14ac:dyDescent="0.3">
      <c r="A257" s="401" t="s">
        <v>35</v>
      </c>
      <c r="B257" s="401" t="s">
        <v>35</v>
      </c>
      <c r="C257" s="401" t="s">
        <v>194</v>
      </c>
      <c r="D257" s="401" t="s">
        <v>194</v>
      </c>
      <c r="E257" s="401" t="s">
        <v>2208</v>
      </c>
      <c r="F257" s="5" t="s">
        <v>2209</v>
      </c>
      <c r="G257" s="401"/>
      <c r="H257" s="1093" t="s">
        <v>511</v>
      </c>
      <c r="I257" s="1216" t="s">
        <v>3110</v>
      </c>
      <c r="J257" s="403">
        <v>1</v>
      </c>
      <c r="K257" s="403">
        <v>4</v>
      </c>
      <c r="L257" s="1093" t="s">
        <v>367</v>
      </c>
      <c r="M257" s="401"/>
      <c r="O257" s="399" t="s">
        <v>33</v>
      </c>
      <c r="P257" s="399" t="s">
        <v>33</v>
      </c>
      <c r="Q257" s="1185" t="s">
        <v>183</v>
      </c>
      <c r="R257" s="1185" t="s">
        <v>183</v>
      </c>
      <c r="S257" s="399" t="s">
        <v>665</v>
      </c>
      <c r="T257" s="399" t="s">
        <v>664</v>
      </c>
      <c r="U257" s="941">
        <v>3</v>
      </c>
      <c r="V257" s="941">
        <v>8</v>
      </c>
      <c r="W257" s="941">
        <v>0</v>
      </c>
      <c r="X257" s="941">
        <v>0</v>
      </c>
      <c r="Y257" s="941">
        <v>0</v>
      </c>
      <c r="Z257" s="941">
        <v>0</v>
      </c>
      <c r="AA257" s="942">
        <v>0</v>
      </c>
      <c r="AB257" s="942">
        <v>0</v>
      </c>
      <c r="AC257" s="942">
        <v>0</v>
      </c>
      <c r="AD257" s="942">
        <v>0</v>
      </c>
      <c r="AE257" s="942">
        <v>0</v>
      </c>
      <c r="AF257" s="942">
        <v>0</v>
      </c>
      <c r="AG257" s="943">
        <f>comparaison_samebasis_villages[[#This Row],[previous idp_ind]]-comparaison_samebasis_villages[[#This Row],[actual idp_ind]]</f>
        <v>-8</v>
      </c>
      <c r="AH257" s="943">
        <f>comparaison_samebasis_villages[[#This Row],[previous ref_ind]]-comparaison_samebasis_villages[[#This Row],[actual ref_ind]]</f>
        <v>0</v>
      </c>
      <c r="AI257" s="943">
        <f>comparaison_samebasis_villages[[#This Row],[previous ret_ind]]-comparaison_samebasis_villages[[#This Row],[actual ret_ind]]</f>
        <v>0</v>
      </c>
    </row>
    <row r="258" spans="1:35" ht="15.75" customHeight="1" x14ac:dyDescent="0.3">
      <c r="A258" s="401" t="s">
        <v>35</v>
      </c>
      <c r="B258" s="401" t="s">
        <v>35</v>
      </c>
      <c r="C258" s="401" t="s">
        <v>194</v>
      </c>
      <c r="D258" s="401" t="s">
        <v>194</v>
      </c>
      <c r="E258" s="401" t="s">
        <v>2208</v>
      </c>
      <c r="F258" s="5" t="s">
        <v>2209</v>
      </c>
      <c r="G258" s="401"/>
      <c r="H258" s="1093" t="s">
        <v>511</v>
      </c>
      <c r="I258" s="1216" t="s">
        <v>3111</v>
      </c>
      <c r="J258" s="403">
        <v>0</v>
      </c>
      <c r="K258" s="403">
        <v>3</v>
      </c>
      <c r="L258" s="1093" t="s">
        <v>367</v>
      </c>
      <c r="M258" s="401"/>
      <c r="O258" s="404" t="s">
        <v>33</v>
      </c>
      <c r="P258" s="404" t="s">
        <v>33</v>
      </c>
      <c r="Q258" s="1185" t="s">
        <v>183</v>
      </c>
      <c r="R258" s="1185" t="s">
        <v>183</v>
      </c>
      <c r="S258" s="404" t="s">
        <v>745</v>
      </c>
      <c r="T258" s="404" t="s">
        <v>744</v>
      </c>
      <c r="U258" s="941">
        <v>82</v>
      </c>
      <c r="V258" s="941">
        <v>637</v>
      </c>
      <c r="W258" s="941">
        <v>12</v>
      </c>
      <c r="X258" s="941">
        <v>75</v>
      </c>
      <c r="Y258" s="941">
        <v>0</v>
      </c>
      <c r="Z258" s="941">
        <v>0</v>
      </c>
      <c r="AA258" s="942">
        <v>82</v>
      </c>
      <c r="AB258" s="942">
        <v>637</v>
      </c>
      <c r="AC258" s="942">
        <v>0</v>
      </c>
      <c r="AD258" s="942">
        <v>0</v>
      </c>
      <c r="AE258" s="942">
        <v>0</v>
      </c>
      <c r="AF258" s="942">
        <v>0</v>
      </c>
      <c r="AG258" s="943">
        <f>comparaison_samebasis_villages[[#This Row],[previous idp_ind]]-comparaison_samebasis_villages[[#This Row],[actual idp_ind]]</f>
        <v>0</v>
      </c>
      <c r="AH258" s="943">
        <f>comparaison_samebasis_villages[[#This Row],[previous ref_ind]]-comparaison_samebasis_villages[[#This Row],[actual ref_ind]]</f>
        <v>-75</v>
      </c>
      <c r="AI258" s="943">
        <f>comparaison_samebasis_villages[[#This Row],[previous ret_ind]]-comparaison_samebasis_villages[[#This Row],[actual ret_ind]]</f>
        <v>0</v>
      </c>
    </row>
    <row r="259" spans="1:35" ht="15.75" customHeight="1" x14ac:dyDescent="0.3">
      <c r="A259" s="401" t="s">
        <v>35</v>
      </c>
      <c r="B259" s="401" t="s">
        <v>35</v>
      </c>
      <c r="C259" s="401" t="s">
        <v>194</v>
      </c>
      <c r="D259" s="401" t="s">
        <v>194</v>
      </c>
      <c r="E259" s="401" t="s">
        <v>2192</v>
      </c>
      <c r="F259" s="5" t="s">
        <v>2193</v>
      </c>
      <c r="G259" s="401"/>
      <c r="H259" s="1093" t="s">
        <v>511</v>
      </c>
      <c r="I259" s="1216" t="s">
        <v>3033</v>
      </c>
      <c r="J259" s="403">
        <v>45</v>
      </c>
      <c r="K259" s="403">
        <v>273</v>
      </c>
      <c r="L259" s="1093" t="s">
        <v>367</v>
      </c>
      <c r="M259" s="401"/>
      <c r="O259" s="399" t="s">
        <v>33</v>
      </c>
      <c r="P259" s="399" t="s">
        <v>33</v>
      </c>
      <c r="Q259" s="1185" t="s">
        <v>183</v>
      </c>
      <c r="R259" s="1185" t="s">
        <v>183</v>
      </c>
      <c r="S259" s="399" t="s">
        <v>2197</v>
      </c>
      <c r="T259" s="399" t="s">
        <v>2196</v>
      </c>
      <c r="U259" s="941">
        <v>40</v>
      </c>
      <c r="V259" s="941">
        <v>98</v>
      </c>
      <c r="W259" s="941">
        <v>0</v>
      </c>
      <c r="X259" s="941">
        <v>0</v>
      </c>
      <c r="Y259" s="941">
        <v>0</v>
      </c>
      <c r="Z259" s="941">
        <v>0</v>
      </c>
      <c r="AA259" s="942">
        <v>0</v>
      </c>
      <c r="AB259" s="942">
        <v>0</v>
      </c>
      <c r="AC259" s="942">
        <v>20</v>
      </c>
      <c r="AD259" s="942">
        <v>123</v>
      </c>
      <c r="AE259" s="942">
        <v>0</v>
      </c>
      <c r="AF259" s="942">
        <v>0</v>
      </c>
      <c r="AG259" s="943">
        <f>comparaison_samebasis_villages[[#This Row],[previous idp_ind]]-comparaison_samebasis_villages[[#This Row],[actual idp_ind]]</f>
        <v>-98</v>
      </c>
      <c r="AH259" s="943">
        <f>comparaison_samebasis_villages[[#This Row],[previous ref_ind]]-comparaison_samebasis_villages[[#This Row],[actual ref_ind]]</f>
        <v>123</v>
      </c>
      <c r="AI259" s="943">
        <f>comparaison_samebasis_villages[[#This Row],[previous ret_ind]]-comparaison_samebasis_villages[[#This Row],[actual ret_ind]]</f>
        <v>0</v>
      </c>
    </row>
    <row r="260" spans="1:35" ht="15.75" customHeight="1" x14ac:dyDescent="0.3">
      <c r="A260" s="401" t="s">
        <v>35</v>
      </c>
      <c r="B260" s="401" t="s">
        <v>35</v>
      </c>
      <c r="C260" s="401" t="s">
        <v>194</v>
      </c>
      <c r="D260" s="401" t="s">
        <v>194</v>
      </c>
      <c r="E260" s="401" t="s">
        <v>2192</v>
      </c>
      <c r="F260" s="5" t="s">
        <v>2193</v>
      </c>
      <c r="G260" s="401"/>
      <c r="H260" s="1093" t="s">
        <v>511</v>
      </c>
      <c r="I260" s="1216" t="s">
        <v>3110</v>
      </c>
      <c r="J260" s="403">
        <v>0</v>
      </c>
      <c r="K260" s="403">
        <v>4</v>
      </c>
      <c r="L260" s="1093" t="s">
        <v>367</v>
      </c>
      <c r="M260" s="401"/>
      <c r="O260" s="404" t="s">
        <v>33</v>
      </c>
      <c r="P260" s="404" t="s">
        <v>33</v>
      </c>
      <c r="Q260" s="1185" t="s">
        <v>183</v>
      </c>
      <c r="R260" s="1185" t="s">
        <v>183</v>
      </c>
      <c r="S260" s="404" t="s">
        <v>681</v>
      </c>
      <c r="T260" s="404" t="s">
        <v>680</v>
      </c>
      <c r="U260" s="941">
        <v>19</v>
      </c>
      <c r="V260" s="941">
        <v>180</v>
      </c>
      <c r="W260" s="941">
        <v>11</v>
      </c>
      <c r="X260" s="941">
        <v>89</v>
      </c>
      <c r="Y260" s="941">
        <v>0</v>
      </c>
      <c r="Z260" s="941">
        <v>0</v>
      </c>
      <c r="AA260" s="942">
        <v>19</v>
      </c>
      <c r="AB260" s="942">
        <v>180</v>
      </c>
      <c r="AC260" s="942">
        <v>11</v>
      </c>
      <c r="AD260" s="942">
        <v>103</v>
      </c>
      <c r="AE260" s="942">
        <v>0</v>
      </c>
      <c r="AF260" s="942">
        <v>0</v>
      </c>
      <c r="AG260" s="943">
        <f>comparaison_samebasis_villages[[#This Row],[previous idp_ind]]-comparaison_samebasis_villages[[#This Row],[actual idp_ind]]</f>
        <v>0</v>
      </c>
      <c r="AH260" s="943">
        <f>comparaison_samebasis_villages[[#This Row],[previous ref_ind]]-comparaison_samebasis_villages[[#This Row],[actual ref_ind]]</f>
        <v>14</v>
      </c>
      <c r="AI260" s="943">
        <f>comparaison_samebasis_villages[[#This Row],[previous ret_ind]]-comparaison_samebasis_villages[[#This Row],[actual ret_ind]]</f>
        <v>0</v>
      </c>
    </row>
    <row r="261" spans="1:35" ht="15.75" customHeight="1" x14ac:dyDescent="0.3">
      <c r="A261" s="401" t="s">
        <v>35</v>
      </c>
      <c r="B261" s="401" t="s">
        <v>35</v>
      </c>
      <c r="C261" s="401" t="s">
        <v>194</v>
      </c>
      <c r="D261" s="401" t="s">
        <v>194</v>
      </c>
      <c r="E261" s="401" t="s">
        <v>2192</v>
      </c>
      <c r="F261" s="5" t="s">
        <v>2193</v>
      </c>
      <c r="G261" s="401"/>
      <c r="H261" s="1093" t="s">
        <v>511</v>
      </c>
      <c r="I261" s="1216" t="s">
        <v>3111</v>
      </c>
      <c r="J261" s="403">
        <v>0</v>
      </c>
      <c r="K261" s="403">
        <v>9</v>
      </c>
      <c r="L261" s="1093" t="s">
        <v>367</v>
      </c>
      <c r="M261" s="401"/>
      <c r="O261" s="404" t="s">
        <v>33</v>
      </c>
      <c r="P261" s="404" t="s">
        <v>33</v>
      </c>
      <c r="Q261" s="1185" t="s">
        <v>183</v>
      </c>
      <c r="R261" s="1185" t="s">
        <v>183</v>
      </c>
      <c r="S261" s="404" t="s">
        <v>725</v>
      </c>
      <c r="T261" s="404" t="s">
        <v>724</v>
      </c>
      <c r="U261" s="941">
        <v>6</v>
      </c>
      <c r="V261" s="941">
        <v>42</v>
      </c>
      <c r="W261" s="941">
        <v>4</v>
      </c>
      <c r="X261" s="941">
        <v>28</v>
      </c>
      <c r="Y261" s="941">
        <v>0</v>
      </c>
      <c r="Z261" s="941">
        <v>0</v>
      </c>
      <c r="AA261" s="942">
        <v>6</v>
      </c>
      <c r="AB261" s="942">
        <v>42</v>
      </c>
      <c r="AC261" s="942">
        <v>4</v>
      </c>
      <c r="AD261" s="942">
        <v>28</v>
      </c>
      <c r="AE261" s="942">
        <v>0</v>
      </c>
      <c r="AF261" s="942">
        <v>0</v>
      </c>
      <c r="AG261" s="943">
        <f>comparaison_samebasis_villages[[#This Row],[previous idp_ind]]-comparaison_samebasis_villages[[#This Row],[actual idp_ind]]</f>
        <v>0</v>
      </c>
      <c r="AH261" s="943">
        <f>comparaison_samebasis_villages[[#This Row],[previous ref_ind]]-comparaison_samebasis_villages[[#This Row],[actual ref_ind]]</f>
        <v>0</v>
      </c>
      <c r="AI261" s="943">
        <f>comparaison_samebasis_villages[[#This Row],[previous ret_ind]]-comparaison_samebasis_villages[[#This Row],[actual ret_ind]]</f>
        <v>0</v>
      </c>
    </row>
    <row r="262" spans="1:35" ht="15.75" customHeight="1" x14ac:dyDescent="0.3">
      <c r="A262" s="401" t="s">
        <v>35</v>
      </c>
      <c r="B262" s="401" t="s">
        <v>35</v>
      </c>
      <c r="C262" s="401" t="s">
        <v>194</v>
      </c>
      <c r="D262" s="401" t="s">
        <v>194</v>
      </c>
      <c r="E262" s="401" t="s">
        <v>2192</v>
      </c>
      <c r="F262" s="5" t="s">
        <v>2193</v>
      </c>
      <c r="G262" s="401"/>
      <c r="H262" s="1093" t="s">
        <v>511</v>
      </c>
      <c r="I262" s="1216" t="s">
        <v>3112</v>
      </c>
      <c r="J262" s="403">
        <v>2</v>
      </c>
      <c r="K262" s="403">
        <v>8</v>
      </c>
      <c r="L262" s="1093" t="s">
        <v>367</v>
      </c>
      <c r="M262" s="401"/>
      <c r="O262" s="404" t="s">
        <v>33</v>
      </c>
      <c r="P262" s="404" t="s">
        <v>33</v>
      </c>
      <c r="Q262" s="404" t="s">
        <v>183</v>
      </c>
      <c r="R262" s="404" t="s">
        <v>183</v>
      </c>
      <c r="S262" s="404" t="s">
        <v>1723</v>
      </c>
      <c r="T262" s="404" t="s">
        <v>1722</v>
      </c>
      <c r="U262" s="941">
        <v>18</v>
      </c>
      <c r="V262" s="941">
        <v>87</v>
      </c>
      <c r="W262" s="941">
        <v>7</v>
      </c>
      <c r="X262" s="941">
        <v>37</v>
      </c>
      <c r="Y262" s="941">
        <v>0</v>
      </c>
      <c r="Z262" s="941">
        <v>0</v>
      </c>
      <c r="AA262" s="942">
        <v>18</v>
      </c>
      <c r="AB262" s="942">
        <v>84</v>
      </c>
      <c r="AC262" s="942">
        <v>7</v>
      </c>
      <c r="AD262" s="942">
        <v>51</v>
      </c>
      <c r="AE262" s="942">
        <v>0</v>
      </c>
      <c r="AF262" s="942">
        <v>0</v>
      </c>
      <c r="AG262" s="943">
        <f>comparaison_samebasis_villages[[#This Row],[previous idp_ind]]-comparaison_samebasis_villages[[#This Row],[actual idp_ind]]</f>
        <v>-3</v>
      </c>
      <c r="AH262" s="943">
        <f>comparaison_samebasis_villages[[#This Row],[previous ref_ind]]-comparaison_samebasis_villages[[#This Row],[actual ref_ind]]</f>
        <v>14</v>
      </c>
      <c r="AI262" s="943">
        <f>comparaison_samebasis_villages[[#This Row],[previous ret_ind]]-comparaison_samebasis_villages[[#This Row],[actual ret_ind]]</f>
        <v>0</v>
      </c>
    </row>
    <row r="263" spans="1:35" ht="15.75" customHeight="1" x14ac:dyDescent="0.3">
      <c r="A263" s="401" t="s">
        <v>35</v>
      </c>
      <c r="B263" s="401" t="s">
        <v>35</v>
      </c>
      <c r="C263" s="401" t="s">
        <v>194</v>
      </c>
      <c r="D263" s="401" t="s">
        <v>194</v>
      </c>
      <c r="E263" s="401" t="s">
        <v>2210</v>
      </c>
      <c r="F263" s="5" t="s">
        <v>2211</v>
      </c>
      <c r="G263" s="401"/>
      <c r="H263" s="1093" t="s">
        <v>511</v>
      </c>
      <c r="I263" s="1216" t="s">
        <v>3033</v>
      </c>
      <c r="J263" s="403">
        <v>17</v>
      </c>
      <c r="K263" s="403">
        <v>87</v>
      </c>
      <c r="L263" s="1093" t="s">
        <v>367</v>
      </c>
      <c r="M263" s="401"/>
      <c r="O263" s="399" t="s">
        <v>33</v>
      </c>
      <c r="P263" s="399" t="s">
        <v>33</v>
      </c>
      <c r="Q263" s="399" t="s">
        <v>183</v>
      </c>
      <c r="R263" s="399" t="s">
        <v>183</v>
      </c>
      <c r="S263" s="399" t="s">
        <v>1713</v>
      </c>
      <c r="T263" s="399" t="s">
        <v>1712</v>
      </c>
      <c r="U263" s="941">
        <v>16</v>
      </c>
      <c r="V263" s="941">
        <v>140</v>
      </c>
      <c r="W263" s="941">
        <v>0</v>
      </c>
      <c r="X263" s="941">
        <v>0</v>
      </c>
      <c r="Y263" s="941">
        <v>0</v>
      </c>
      <c r="Z263" s="941">
        <v>0</v>
      </c>
      <c r="AA263" s="942">
        <v>16</v>
      </c>
      <c r="AB263" s="942">
        <v>137</v>
      </c>
      <c r="AC263" s="942">
        <v>0</v>
      </c>
      <c r="AD263" s="942">
        <v>0</v>
      </c>
      <c r="AE263" s="942">
        <v>0</v>
      </c>
      <c r="AF263" s="942">
        <v>0</v>
      </c>
      <c r="AG263" s="943">
        <f>comparaison_samebasis_villages[[#This Row],[previous idp_ind]]-comparaison_samebasis_villages[[#This Row],[actual idp_ind]]</f>
        <v>-3</v>
      </c>
      <c r="AH263" s="943">
        <f>comparaison_samebasis_villages[[#This Row],[previous ref_ind]]-comparaison_samebasis_villages[[#This Row],[actual ref_ind]]</f>
        <v>0</v>
      </c>
      <c r="AI263" s="943">
        <f>comparaison_samebasis_villages[[#This Row],[previous ret_ind]]-comparaison_samebasis_villages[[#This Row],[actual ret_ind]]</f>
        <v>0</v>
      </c>
    </row>
    <row r="264" spans="1:35" ht="15.75" customHeight="1" x14ac:dyDescent="0.3">
      <c r="A264" s="401" t="s">
        <v>35</v>
      </c>
      <c r="B264" s="401" t="s">
        <v>35</v>
      </c>
      <c r="C264" s="401" t="s">
        <v>194</v>
      </c>
      <c r="D264" s="401" t="s">
        <v>194</v>
      </c>
      <c r="E264" s="401" t="s">
        <v>2210</v>
      </c>
      <c r="F264" s="5" t="s">
        <v>2211</v>
      </c>
      <c r="G264" s="401"/>
      <c r="H264" s="1093" t="s">
        <v>511</v>
      </c>
      <c r="I264" s="1216" t="s">
        <v>3109</v>
      </c>
      <c r="J264" s="403">
        <v>1</v>
      </c>
      <c r="K264" s="403">
        <v>3</v>
      </c>
      <c r="L264" s="1093" t="s">
        <v>367</v>
      </c>
      <c r="M264" s="401"/>
      <c r="O264" s="404" t="s">
        <v>33</v>
      </c>
      <c r="P264" s="404" t="s">
        <v>33</v>
      </c>
      <c r="Q264" s="404" t="s">
        <v>183</v>
      </c>
      <c r="R264" s="404" t="s">
        <v>183</v>
      </c>
      <c r="S264" s="404" t="s">
        <v>1711</v>
      </c>
      <c r="T264" s="404" t="s">
        <v>1710</v>
      </c>
      <c r="U264" s="941">
        <v>0</v>
      </c>
      <c r="V264" s="941">
        <v>0</v>
      </c>
      <c r="W264" s="941">
        <v>6</v>
      </c>
      <c r="X264" s="941">
        <v>45</v>
      </c>
      <c r="Y264" s="941">
        <v>0</v>
      </c>
      <c r="Z264" s="941">
        <v>0</v>
      </c>
      <c r="AA264" s="942">
        <v>5</v>
      </c>
      <c r="AB264" s="942">
        <v>36</v>
      </c>
      <c r="AC264" s="942">
        <v>4</v>
      </c>
      <c r="AD264" s="942">
        <v>30</v>
      </c>
      <c r="AE264" s="942">
        <v>0</v>
      </c>
      <c r="AF264" s="942">
        <v>0</v>
      </c>
      <c r="AG264" s="943">
        <f>comparaison_samebasis_villages[[#This Row],[previous idp_ind]]-comparaison_samebasis_villages[[#This Row],[actual idp_ind]]</f>
        <v>36</v>
      </c>
      <c r="AH264" s="943">
        <f>comparaison_samebasis_villages[[#This Row],[previous ref_ind]]-comparaison_samebasis_villages[[#This Row],[actual ref_ind]]</f>
        <v>-15</v>
      </c>
      <c r="AI264" s="943">
        <f>comparaison_samebasis_villages[[#This Row],[previous ret_ind]]-comparaison_samebasis_villages[[#This Row],[actual ret_ind]]</f>
        <v>0</v>
      </c>
    </row>
    <row r="265" spans="1:35" ht="15.75" customHeight="1" x14ac:dyDescent="0.3">
      <c r="A265" s="401" t="s">
        <v>35</v>
      </c>
      <c r="B265" s="401" t="s">
        <v>35</v>
      </c>
      <c r="C265" s="401" t="s">
        <v>194</v>
      </c>
      <c r="D265" s="401" t="s">
        <v>194</v>
      </c>
      <c r="E265" s="401" t="s">
        <v>2210</v>
      </c>
      <c r="F265" s="5" t="s">
        <v>2211</v>
      </c>
      <c r="G265" s="401"/>
      <c r="H265" s="1093" t="s">
        <v>511</v>
      </c>
      <c r="I265" s="1216" t="s">
        <v>3111</v>
      </c>
      <c r="J265" s="403">
        <v>0</v>
      </c>
      <c r="K265" s="403">
        <v>8</v>
      </c>
      <c r="L265" s="1093" t="s">
        <v>367</v>
      </c>
      <c r="M265" s="401"/>
      <c r="O265" s="404" t="s">
        <v>33</v>
      </c>
      <c r="P265" s="404" t="s">
        <v>33</v>
      </c>
      <c r="Q265" s="404" t="s">
        <v>183</v>
      </c>
      <c r="R265" s="404" t="s">
        <v>183</v>
      </c>
      <c r="S265" s="404" t="s">
        <v>625</v>
      </c>
      <c r="T265" s="404" t="s">
        <v>624</v>
      </c>
      <c r="U265" s="941">
        <v>15</v>
      </c>
      <c r="V265" s="941">
        <v>129</v>
      </c>
      <c r="W265" s="941">
        <v>1</v>
      </c>
      <c r="X265" s="941">
        <v>12</v>
      </c>
      <c r="Y265" s="941">
        <v>0</v>
      </c>
      <c r="Z265" s="941">
        <v>0</v>
      </c>
      <c r="AA265" s="942">
        <v>15</v>
      </c>
      <c r="AB265" s="942">
        <v>127</v>
      </c>
      <c r="AC265" s="942">
        <v>1</v>
      </c>
      <c r="AD265" s="942">
        <v>12</v>
      </c>
      <c r="AE265" s="942">
        <v>0</v>
      </c>
      <c r="AF265" s="942">
        <v>0</v>
      </c>
      <c r="AG265" s="943">
        <f>comparaison_samebasis_villages[[#This Row],[previous idp_ind]]-comparaison_samebasis_villages[[#This Row],[actual idp_ind]]</f>
        <v>-2</v>
      </c>
      <c r="AH265" s="943">
        <f>comparaison_samebasis_villages[[#This Row],[previous ref_ind]]-comparaison_samebasis_villages[[#This Row],[actual ref_ind]]</f>
        <v>0</v>
      </c>
      <c r="AI265" s="943">
        <f>comparaison_samebasis_villages[[#This Row],[previous ret_ind]]-comparaison_samebasis_villages[[#This Row],[actual ret_ind]]</f>
        <v>0</v>
      </c>
    </row>
    <row r="266" spans="1:35" ht="15.75" customHeight="1" x14ac:dyDescent="0.3">
      <c r="A266" s="401" t="s">
        <v>35</v>
      </c>
      <c r="B266" s="401" t="s">
        <v>35</v>
      </c>
      <c r="C266" s="401" t="s">
        <v>194</v>
      </c>
      <c r="D266" s="401" t="s">
        <v>194</v>
      </c>
      <c r="E266" s="401" t="s">
        <v>2163</v>
      </c>
      <c r="F266" s="5" t="s">
        <v>2164</v>
      </c>
      <c r="G266" s="401"/>
      <c r="H266" s="1093" t="s">
        <v>511</v>
      </c>
      <c r="I266" s="1216" t="s">
        <v>3033</v>
      </c>
      <c r="J266" s="403">
        <v>50</v>
      </c>
      <c r="K266" s="403">
        <v>152</v>
      </c>
      <c r="L266" s="1093" t="s">
        <v>367</v>
      </c>
      <c r="M266" s="401"/>
      <c r="O266" s="404" t="s">
        <v>33</v>
      </c>
      <c r="P266" s="404" t="s">
        <v>33</v>
      </c>
      <c r="Q266" s="404" t="s">
        <v>183</v>
      </c>
      <c r="R266" s="404" t="s">
        <v>183</v>
      </c>
      <c r="S266" s="404" t="s">
        <v>2072</v>
      </c>
      <c r="T266" s="404" t="s">
        <v>2071</v>
      </c>
      <c r="U266" s="941">
        <v>2</v>
      </c>
      <c r="V266" s="941">
        <v>10</v>
      </c>
      <c r="W266" s="941">
        <v>1</v>
      </c>
      <c r="X266" s="941">
        <v>6</v>
      </c>
      <c r="Y266" s="941">
        <v>0</v>
      </c>
      <c r="Z266" s="941">
        <v>0</v>
      </c>
      <c r="AA266" s="942">
        <v>2</v>
      </c>
      <c r="AB266" s="942">
        <v>10</v>
      </c>
      <c r="AC266" s="942">
        <v>0</v>
      </c>
      <c r="AD266" s="942">
        <v>0</v>
      </c>
      <c r="AE266" s="942">
        <v>0</v>
      </c>
      <c r="AF266" s="942">
        <v>0</v>
      </c>
      <c r="AG266" s="943">
        <f>comparaison_samebasis_villages[[#This Row],[previous idp_ind]]-comparaison_samebasis_villages[[#This Row],[actual idp_ind]]</f>
        <v>0</v>
      </c>
      <c r="AH266" s="943">
        <f>comparaison_samebasis_villages[[#This Row],[previous ref_ind]]-comparaison_samebasis_villages[[#This Row],[actual ref_ind]]</f>
        <v>-6</v>
      </c>
      <c r="AI266" s="943">
        <f>comparaison_samebasis_villages[[#This Row],[previous ret_ind]]-comparaison_samebasis_villages[[#This Row],[actual ret_ind]]</f>
        <v>0</v>
      </c>
    </row>
    <row r="267" spans="1:35" ht="15.75" customHeight="1" x14ac:dyDescent="0.3">
      <c r="A267" s="401" t="s">
        <v>35</v>
      </c>
      <c r="B267" s="401" t="s">
        <v>35</v>
      </c>
      <c r="C267" s="401" t="s">
        <v>194</v>
      </c>
      <c r="D267" s="401" t="s">
        <v>194</v>
      </c>
      <c r="E267" s="401" t="s">
        <v>2163</v>
      </c>
      <c r="F267" s="5" t="s">
        <v>2164</v>
      </c>
      <c r="G267" s="401"/>
      <c r="H267" s="1093" t="s">
        <v>511</v>
      </c>
      <c r="I267" s="1216" t="s">
        <v>3110</v>
      </c>
      <c r="J267" s="403">
        <v>0</v>
      </c>
      <c r="K267" s="403">
        <v>2</v>
      </c>
      <c r="L267" s="1093" t="s">
        <v>367</v>
      </c>
      <c r="M267" s="401"/>
      <c r="O267" s="404" t="s">
        <v>32</v>
      </c>
      <c r="P267" s="404" t="s">
        <v>32</v>
      </c>
      <c r="Q267" s="404" t="s">
        <v>176</v>
      </c>
      <c r="R267" s="404" t="s">
        <v>176</v>
      </c>
      <c r="S267" s="404" t="s">
        <v>2234</v>
      </c>
      <c r="T267" s="404" t="s">
        <v>2233</v>
      </c>
      <c r="U267" s="941">
        <v>0</v>
      </c>
      <c r="V267" s="941">
        <v>0</v>
      </c>
      <c r="W267" s="941">
        <v>0</v>
      </c>
      <c r="X267" s="941">
        <v>0</v>
      </c>
      <c r="Y267" s="941">
        <v>42</v>
      </c>
      <c r="Z267" s="941">
        <v>42</v>
      </c>
      <c r="AA267" s="942">
        <v>0</v>
      </c>
      <c r="AB267" s="942">
        <v>0</v>
      </c>
      <c r="AC267" s="942">
        <v>0</v>
      </c>
      <c r="AD267" s="942">
        <v>0</v>
      </c>
      <c r="AE267" s="942">
        <v>42</v>
      </c>
      <c r="AF267" s="942">
        <v>340</v>
      </c>
      <c r="AG267" s="943">
        <f>comparaison_samebasis_villages[[#This Row],[previous idp_ind]]-comparaison_samebasis_villages[[#This Row],[actual idp_ind]]</f>
        <v>0</v>
      </c>
      <c r="AH267" s="943">
        <f>comparaison_samebasis_villages[[#This Row],[previous ref_ind]]-comparaison_samebasis_villages[[#This Row],[actual ref_ind]]</f>
        <v>0</v>
      </c>
      <c r="AI267" s="943">
        <f>comparaison_samebasis_villages[[#This Row],[previous ret_ind]]-comparaison_samebasis_villages[[#This Row],[actual ret_ind]]</f>
        <v>298</v>
      </c>
    </row>
    <row r="268" spans="1:35" ht="15.75" customHeight="1" x14ac:dyDescent="0.3">
      <c r="A268" s="401" t="s">
        <v>35</v>
      </c>
      <c r="B268" s="401" t="s">
        <v>35</v>
      </c>
      <c r="C268" s="401" t="s">
        <v>194</v>
      </c>
      <c r="D268" s="401" t="s">
        <v>194</v>
      </c>
      <c r="E268" s="401" t="s">
        <v>2165</v>
      </c>
      <c r="F268" s="5" t="s">
        <v>2166</v>
      </c>
      <c r="G268" s="401"/>
      <c r="H268" s="1093" t="s">
        <v>511</v>
      </c>
      <c r="I268" s="1216" t="s">
        <v>3033</v>
      </c>
      <c r="J268" s="403">
        <v>5</v>
      </c>
      <c r="K268" s="403">
        <v>31</v>
      </c>
      <c r="L268" s="1093" t="s">
        <v>367</v>
      </c>
      <c r="M268" s="401"/>
      <c r="O268" s="404" t="s">
        <v>32</v>
      </c>
      <c r="P268" s="404" t="s">
        <v>32</v>
      </c>
      <c r="Q268" s="404" t="s">
        <v>176</v>
      </c>
      <c r="R268" s="404" t="s">
        <v>176</v>
      </c>
      <c r="S268" s="404" t="s">
        <v>1061</v>
      </c>
      <c r="T268" s="404" t="s">
        <v>1060</v>
      </c>
      <c r="U268" s="941">
        <v>33</v>
      </c>
      <c r="V268" s="941">
        <v>217</v>
      </c>
      <c r="W268" s="941">
        <v>0</v>
      </c>
      <c r="X268" s="941">
        <v>0</v>
      </c>
      <c r="Y268" s="941">
        <v>45</v>
      </c>
      <c r="Z268" s="941">
        <v>45</v>
      </c>
      <c r="AA268" s="942">
        <v>15</v>
      </c>
      <c r="AB268" s="942">
        <v>101</v>
      </c>
      <c r="AC268" s="942">
        <v>0</v>
      </c>
      <c r="AD268" s="942">
        <v>0</v>
      </c>
      <c r="AE268" s="942">
        <v>45</v>
      </c>
      <c r="AF268" s="942">
        <v>284</v>
      </c>
      <c r="AG268" s="943">
        <f>comparaison_samebasis_villages[[#This Row],[previous idp_ind]]-comparaison_samebasis_villages[[#This Row],[actual idp_ind]]</f>
        <v>-116</v>
      </c>
      <c r="AH268" s="943">
        <f>comparaison_samebasis_villages[[#This Row],[previous ref_ind]]-comparaison_samebasis_villages[[#This Row],[actual ref_ind]]</f>
        <v>0</v>
      </c>
      <c r="AI268" s="943">
        <f>comparaison_samebasis_villages[[#This Row],[previous ret_ind]]-comparaison_samebasis_villages[[#This Row],[actual ret_ind]]</f>
        <v>239</v>
      </c>
    </row>
    <row r="269" spans="1:35" ht="15.75" customHeight="1" x14ac:dyDescent="0.3">
      <c r="A269" s="401" t="s">
        <v>35</v>
      </c>
      <c r="B269" s="401" t="s">
        <v>35</v>
      </c>
      <c r="C269" s="401" t="s">
        <v>194</v>
      </c>
      <c r="D269" s="401" t="s">
        <v>194</v>
      </c>
      <c r="E269" s="401" t="s">
        <v>2165</v>
      </c>
      <c r="F269" s="5" t="s">
        <v>2166</v>
      </c>
      <c r="G269" s="401"/>
      <c r="H269" s="1093" t="s">
        <v>511</v>
      </c>
      <c r="I269" s="1216" t="s">
        <v>3110</v>
      </c>
      <c r="J269" s="403">
        <v>0</v>
      </c>
      <c r="K269" s="403">
        <v>7</v>
      </c>
      <c r="L269" s="1093" t="s">
        <v>367</v>
      </c>
      <c r="M269" s="401"/>
      <c r="O269" s="404" t="s">
        <v>32</v>
      </c>
      <c r="P269" s="404" t="s">
        <v>32</v>
      </c>
      <c r="Q269" s="404" t="s">
        <v>176</v>
      </c>
      <c r="R269" s="404" t="s">
        <v>176</v>
      </c>
      <c r="S269" s="404" t="s">
        <v>2337</v>
      </c>
      <c r="T269" s="404" t="s">
        <v>2336</v>
      </c>
      <c r="U269" s="941">
        <v>0</v>
      </c>
      <c r="V269" s="941">
        <v>0</v>
      </c>
      <c r="W269" s="941">
        <v>0</v>
      </c>
      <c r="X269" s="941">
        <v>0</v>
      </c>
      <c r="Y269" s="941">
        <v>417</v>
      </c>
      <c r="Z269" s="941">
        <v>417</v>
      </c>
      <c r="AA269" s="942">
        <v>0</v>
      </c>
      <c r="AB269" s="942">
        <v>0</v>
      </c>
      <c r="AC269" s="942">
        <v>0</v>
      </c>
      <c r="AD269" s="942">
        <v>0</v>
      </c>
      <c r="AE269" s="942">
        <v>267</v>
      </c>
      <c r="AF269" s="942">
        <v>1590</v>
      </c>
      <c r="AG269" s="943">
        <f>comparaison_samebasis_villages[[#This Row],[previous idp_ind]]-comparaison_samebasis_villages[[#This Row],[actual idp_ind]]</f>
        <v>0</v>
      </c>
      <c r="AH269" s="943">
        <f>comparaison_samebasis_villages[[#This Row],[previous ref_ind]]-comparaison_samebasis_villages[[#This Row],[actual ref_ind]]</f>
        <v>0</v>
      </c>
      <c r="AI269" s="943">
        <f>comparaison_samebasis_villages[[#This Row],[previous ret_ind]]-comparaison_samebasis_villages[[#This Row],[actual ret_ind]]</f>
        <v>1173</v>
      </c>
    </row>
    <row r="270" spans="1:35" ht="15.75" customHeight="1" x14ac:dyDescent="0.3">
      <c r="A270" s="401" t="s">
        <v>35</v>
      </c>
      <c r="B270" s="401" t="s">
        <v>35</v>
      </c>
      <c r="C270" s="401" t="s">
        <v>194</v>
      </c>
      <c r="D270" s="401" t="s">
        <v>194</v>
      </c>
      <c r="E270" s="401" t="s">
        <v>2165</v>
      </c>
      <c r="F270" s="5" t="s">
        <v>2166</v>
      </c>
      <c r="G270" s="401"/>
      <c r="H270" s="1093" t="s">
        <v>511</v>
      </c>
      <c r="I270" s="1216" t="s">
        <v>3111</v>
      </c>
      <c r="J270" s="403">
        <v>0</v>
      </c>
      <c r="K270" s="403">
        <v>2</v>
      </c>
      <c r="L270" s="1093" t="s">
        <v>367</v>
      </c>
      <c r="M270" s="401"/>
      <c r="O270" s="404" t="s">
        <v>32</v>
      </c>
      <c r="P270" s="404" t="s">
        <v>32</v>
      </c>
      <c r="Q270" s="404" t="s">
        <v>176</v>
      </c>
      <c r="R270" s="404" t="s">
        <v>176</v>
      </c>
      <c r="S270" s="404" t="s">
        <v>1536</v>
      </c>
      <c r="T270" s="404" t="s">
        <v>1535</v>
      </c>
      <c r="U270" s="941">
        <v>27</v>
      </c>
      <c r="V270" s="941">
        <v>210</v>
      </c>
      <c r="W270" s="941">
        <v>0</v>
      </c>
      <c r="X270" s="941">
        <v>0</v>
      </c>
      <c r="Y270" s="941">
        <v>11</v>
      </c>
      <c r="Z270" s="941">
        <v>11</v>
      </c>
      <c r="AA270" s="942">
        <v>27</v>
      </c>
      <c r="AB270" s="942">
        <v>210</v>
      </c>
      <c r="AC270" s="942">
        <v>0</v>
      </c>
      <c r="AD270" s="942">
        <v>0</v>
      </c>
      <c r="AE270" s="942">
        <v>11</v>
      </c>
      <c r="AF270" s="942">
        <v>131</v>
      </c>
      <c r="AG270" s="943">
        <f>comparaison_samebasis_villages[[#This Row],[previous idp_ind]]-comparaison_samebasis_villages[[#This Row],[actual idp_ind]]</f>
        <v>0</v>
      </c>
      <c r="AH270" s="943">
        <f>comparaison_samebasis_villages[[#This Row],[previous ref_ind]]-comparaison_samebasis_villages[[#This Row],[actual ref_ind]]</f>
        <v>0</v>
      </c>
      <c r="AI270" s="943">
        <f>comparaison_samebasis_villages[[#This Row],[previous ret_ind]]-comparaison_samebasis_villages[[#This Row],[actual ret_ind]]</f>
        <v>120</v>
      </c>
    </row>
    <row r="271" spans="1:35" ht="15.75" customHeight="1" x14ac:dyDescent="0.3">
      <c r="A271" s="401" t="s">
        <v>35</v>
      </c>
      <c r="B271" s="401" t="s">
        <v>35</v>
      </c>
      <c r="C271" s="401" t="s">
        <v>194</v>
      </c>
      <c r="D271" s="401" t="s">
        <v>194</v>
      </c>
      <c r="E271" s="401" t="s">
        <v>2165</v>
      </c>
      <c r="F271" s="5" t="s">
        <v>2166</v>
      </c>
      <c r="G271" s="401"/>
      <c r="H271" s="1093" t="s">
        <v>511</v>
      </c>
      <c r="I271" s="1216" t="s">
        <v>3112</v>
      </c>
      <c r="J271" s="403">
        <v>0</v>
      </c>
      <c r="K271" s="403">
        <v>2</v>
      </c>
      <c r="L271" s="1093" t="s">
        <v>367</v>
      </c>
      <c r="M271" s="401"/>
      <c r="O271" s="404" t="s">
        <v>32</v>
      </c>
      <c r="P271" s="404" t="s">
        <v>32</v>
      </c>
      <c r="Q271" s="404" t="s">
        <v>176</v>
      </c>
      <c r="R271" s="404" t="s">
        <v>176</v>
      </c>
      <c r="S271" s="404" t="s">
        <v>1740</v>
      </c>
      <c r="T271" s="404" t="s">
        <v>1739</v>
      </c>
      <c r="U271" s="941">
        <v>55</v>
      </c>
      <c r="V271" s="941">
        <v>349</v>
      </c>
      <c r="W271" s="941">
        <v>0</v>
      </c>
      <c r="X271" s="941">
        <v>0</v>
      </c>
      <c r="Y271" s="941">
        <v>548</v>
      </c>
      <c r="Z271" s="941">
        <v>548</v>
      </c>
      <c r="AA271" s="942">
        <v>55</v>
      </c>
      <c r="AB271" s="942">
        <v>349</v>
      </c>
      <c r="AC271" s="942">
        <v>0</v>
      </c>
      <c r="AD271" s="942">
        <v>0</v>
      </c>
      <c r="AE271" s="942">
        <v>535</v>
      </c>
      <c r="AF271" s="942">
        <v>4248</v>
      </c>
      <c r="AG271" s="943">
        <f>comparaison_samebasis_villages[[#This Row],[previous idp_ind]]-comparaison_samebasis_villages[[#This Row],[actual idp_ind]]</f>
        <v>0</v>
      </c>
      <c r="AH271" s="943">
        <f>comparaison_samebasis_villages[[#This Row],[previous ref_ind]]-comparaison_samebasis_villages[[#This Row],[actual ref_ind]]</f>
        <v>0</v>
      </c>
      <c r="AI271" s="943">
        <f>comparaison_samebasis_villages[[#This Row],[previous ret_ind]]-comparaison_samebasis_villages[[#This Row],[actual ret_ind]]</f>
        <v>3700</v>
      </c>
    </row>
    <row r="272" spans="1:35" ht="15.75" customHeight="1" x14ac:dyDescent="0.3">
      <c r="A272" s="401" t="s">
        <v>35</v>
      </c>
      <c r="B272" s="401" t="s">
        <v>35</v>
      </c>
      <c r="C272" s="401" t="s">
        <v>194</v>
      </c>
      <c r="D272" s="401" t="s">
        <v>194</v>
      </c>
      <c r="E272" s="401" t="s">
        <v>2221</v>
      </c>
      <c r="F272" s="5" t="s">
        <v>2222</v>
      </c>
      <c r="G272" s="401"/>
      <c r="H272" s="1093" t="s">
        <v>511</v>
      </c>
      <c r="I272" s="1216" t="s">
        <v>3033</v>
      </c>
      <c r="J272" s="403">
        <v>47</v>
      </c>
      <c r="K272" s="403">
        <v>133</v>
      </c>
      <c r="L272" s="1093" t="s">
        <v>367</v>
      </c>
      <c r="M272" s="401"/>
      <c r="O272" s="404" t="s">
        <v>32</v>
      </c>
      <c r="P272" s="404" t="s">
        <v>32</v>
      </c>
      <c r="Q272" s="404" t="s">
        <v>176</v>
      </c>
      <c r="R272" s="404" t="s">
        <v>176</v>
      </c>
      <c r="S272" s="404" t="s">
        <v>2300</v>
      </c>
      <c r="T272" s="404" t="s">
        <v>2299</v>
      </c>
      <c r="U272" s="941">
        <v>0</v>
      </c>
      <c r="V272" s="941">
        <v>0</v>
      </c>
      <c r="W272" s="941">
        <v>0</v>
      </c>
      <c r="X272" s="941">
        <v>0</v>
      </c>
      <c r="Y272" s="941">
        <v>33</v>
      </c>
      <c r="Z272" s="941">
        <v>33</v>
      </c>
      <c r="AA272" s="942">
        <v>0</v>
      </c>
      <c r="AB272" s="942">
        <v>0</v>
      </c>
      <c r="AC272" s="942">
        <v>0</v>
      </c>
      <c r="AD272" s="942">
        <v>0</v>
      </c>
      <c r="AE272" s="942">
        <v>27</v>
      </c>
      <c r="AF272" s="942">
        <v>197</v>
      </c>
      <c r="AG272" s="943">
        <f>comparaison_samebasis_villages[[#This Row],[previous idp_ind]]-comparaison_samebasis_villages[[#This Row],[actual idp_ind]]</f>
        <v>0</v>
      </c>
      <c r="AH272" s="943">
        <f>comparaison_samebasis_villages[[#This Row],[previous ref_ind]]-comparaison_samebasis_villages[[#This Row],[actual ref_ind]]</f>
        <v>0</v>
      </c>
      <c r="AI272" s="943">
        <f>comparaison_samebasis_villages[[#This Row],[previous ret_ind]]-comparaison_samebasis_villages[[#This Row],[actual ret_ind]]</f>
        <v>164</v>
      </c>
    </row>
    <row r="273" spans="1:35" ht="15.75" customHeight="1" x14ac:dyDescent="0.3">
      <c r="A273" s="401" t="s">
        <v>35</v>
      </c>
      <c r="B273" s="401" t="s">
        <v>35</v>
      </c>
      <c r="C273" s="401" t="s">
        <v>194</v>
      </c>
      <c r="D273" s="401" t="s">
        <v>194</v>
      </c>
      <c r="E273" s="401" t="s">
        <v>2221</v>
      </c>
      <c r="F273" s="5" t="s">
        <v>2222</v>
      </c>
      <c r="G273" s="401"/>
      <c r="H273" s="1093" t="s">
        <v>511</v>
      </c>
      <c r="I273" s="1216" t="s">
        <v>3109</v>
      </c>
      <c r="J273" s="403">
        <v>0</v>
      </c>
      <c r="K273" s="403">
        <v>3</v>
      </c>
      <c r="L273" s="1093" t="s">
        <v>367</v>
      </c>
      <c r="M273" s="401"/>
      <c r="O273" s="404" t="s">
        <v>32</v>
      </c>
      <c r="P273" s="404" t="s">
        <v>32</v>
      </c>
      <c r="Q273" s="404" t="s">
        <v>176</v>
      </c>
      <c r="R273" s="404" t="s">
        <v>176</v>
      </c>
      <c r="S273" s="404" t="s">
        <v>2256</v>
      </c>
      <c r="T273" s="404" t="s">
        <v>2255</v>
      </c>
      <c r="U273" s="941">
        <v>0</v>
      </c>
      <c r="V273" s="941">
        <v>0</v>
      </c>
      <c r="W273" s="941">
        <v>0</v>
      </c>
      <c r="X273" s="941">
        <v>0</v>
      </c>
      <c r="Y273" s="941">
        <v>45</v>
      </c>
      <c r="Z273" s="941">
        <v>45</v>
      </c>
      <c r="AA273" s="942">
        <v>0</v>
      </c>
      <c r="AB273" s="942">
        <v>0</v>
      </c>
      <c r="AC273" s="942">
        <v>0</v>
      </c>
      <c r="AD273" s="942">
        <v>0</v>
      </c>
      <c r="AE273" s="942">
        <v>45</v>
      </c>
      <c r="AF273" s="942">
        <v>306</v>
      </c>
      <c r="AG273" s="943">
        <f>comparaison_samebasis_villages[[#This Row],[previous idp_ind]]-comparaison_samebasis_villages[[#This Row],[actual idp_ind]]</f>
        <v>0</v>
      </c>
      <c r="AH273" s="943">
        <f>comparaison_samebasis_villages[[#This Row],[previous ref_ind]]-comparaison_samebasis_villages[[#This Row],[actual ref_ind]]</f>
        <v>0</v>
      </c>
      <c r="AI273" s="943">
        <f>comparaison_samebasis_villages[[#This Row],[previous ret_ind]]-comparaison_samebasis_villages[[#This Row],[actual ret_ind]]</f>
        <v>261</v>
      </c>
    </row>
    <row r="274" spans="1:35" ht="15.75" customHeight="1" x14ac:dyDescent="0.3">
      <c r="A274" s="401" t="s">
        <v>35</v>
      </c>
      <c r="B274" s="401" t="s">
        <v>35</v>
      </c>
      <c r="C274" s="401" t="s">
        <v>194</v>
      </c>
      <c r="D274" s="401" t="s">
        <v>194</v>
      </c>
      <c r="E274" s="401" t="s">
        <v>2221</v>
      </c>
      <c r="F274" s="5" t="s">
        <v>2222</v>
      </c>
      <c r="G274" s="401"/>
      <c r="H274" s="1093" t="s">
        <v>511</v>
      </c>
      <c r="I274" s="1216" t="s">
        <v>3110</v>
      </c>
      <c r="J274" s="403">
        <v>0</v>
      </c>
      <c r="K274" s="403">
        <v>5</v>
      </c>
      <c r="L274" s="1093" t="s">
        <v>367</v>
      </c>
      <c r="M274" s="401"/>
      <c r="O274" s="404" t="s">
        <v>32</v>
      </c>
      <c r="P274" s="404" t="s">
        <v>32</v>
      </c>
      <c r="Q274" s="1145" t="s">
        <v>176</v>
      </c>
      <c r="R274" s="1145" t="s">
        <v>176</v>
      </c>
      <c r="S274" s="404" t="s">
        <v>1211</v>
      </c>
      <c r="T274" s="404" t="s">
        <v>1210</v>
      </c>
      <c r="U274" s="941">
        <v>6</v>
      </c>
      <c r="V274" s="941">
        <v>51</v>
      </c>
      <c r="W274" s="941">
        <v>0</v>
      </c>
      <c r="X274" s="941">
        <v>0</v>
      </c>
      <c r="Y274" s="941">
        <v>16</v>
      </c>
      <c r="Z274" s="941">
        <v>16</v>
      </c>
      <c r="AA274" s="942">
        <v>6</v>
      </c>
      <c r="AB274" s="942">
        <v>51</v>
      </c>
      <c r="AC274" s="942">
        <v>0</v>
      </c>
      <c r="AD274" s="942">
        <v>0</v>
      </c>
      <c r="AE274" s="942">
        <v>16</v>
      </c>
      <c r="AF274" s="942">
        <v>128</v>
      </c>
      <c r="AG274" s="943">
        <f>comparaison_samebasis_villages[[#This Row],[previous idp_ind]]-comparaison_samebasis_villages[[#This Row],[actual idp_ind]]</f>
        <v>0</v>
      </c>
      <c r="AH274" s="943">
        <f>comparaison_samebasis_villages[[#This Row],[previous ref_ind]]-comparaison_samebasis_villages[[#This Row],[actual ref_ind]]</f>
        <v>0</v>
      </c>
      <c r="AI274" s="943">
        <f>comparaison_samebasis_villages[[#This Row],[previous ret_ind]]-comparaison_samebasis_villages[[#This Row],[actual ret_ind]]</f>
        <v>112</v>
      </c>
    </row>
    <row r="275" spans="1:35" ht="15.75" customHeight="1" x14ac:dyDescent="0.3">
      <c r="A275" s="401" t="s">
        <v>35</v>
      </c>
      <c r="B275" s="401" t="s">
        <v>35</v>
      </c>
      <c r="C275" s="401" t="s">
        <v>194</v>
      </c>
      <c r="D275" s="401" t="s">
        <v>194</v>
      </c>
      <c r="E275" s="401" t="s">
        <v>2221</v>
      </c>
      <c r="F275" s="5" t="s">
        <v>2222</v>
      </c>
      <c r="G275" s="401"/>
      <c r="H275" s="1093" t="s">
        <v>511</v>
      </c>
      <c r="I275" s="1216" t="s">
        <v>3111</v>
      </c>
      <c r="J275" s="403">
        <v>0</v>
      </c>
      <c r="K275" s="403">
        <v>8</v>
      </c>
      <c r="L275" s="1093" t="s">
        <v>367</v>
      </c>
      <c r="M275" s="401"/>
      <c r="O275" s="404" t="s">
        <v>32</v>
      </c>
      <c r="P275" s="404" t="s">
        <v>32</v>
      </c>
      <c r="Q275" s="404" t="s">
        <v>176</v>
      </c>
      <c r="R275" s="404" t="s">
        <v>176</v>
      </c>
      <c r="S275" s="404" t="s">
        <v>2282</v>
      </c>
      <c r="T275" s="404" t="s">
        <v>2281</v>
      </c>
      <c r="U275" s="941">
        <v>0</v>
      </c>
      <c r="V275" s="941">
        <v>0</v>
      </c>
      <c r="W275" s="941">
        <v>0</v>
      </c>
      <c r="X275" s="941">
        <v>0</v>
      </c>
      <c r="Y275" s="941">
        <v>13</v>
      </c>
      <c r="Z275" s="941">
        <v>13</v>
      </c>
      <c r="AA275" s="942">
        <v>0</v>
      </c>
      <c r="AB275" s="942">
        <v>0</v>
      </c>
      <c r="AC275" s="942">
        <v>0</v>
      </c>
      <c r="AD275" s="942">
        <v>0</v>
      </c>
      <c r="AE275" s="942">
        <v>12</v>
      </c>
      <c r="AF275" s="942">
        <v>101</v>
      </c>
      <c r="AG275" s="943">
        <f>comparaison_samebasis_villages[[#This Row],[previous idp_ind]]-comparaison_samebasis_villages[[#This Row],[actual idp_ind]]</f>
        <v>0</v>
      </c>
      <c r="AH275" s="943">
        <f>comparaison_samebasis_villages[[#This Row],[previous ref_ind]]-comparaison_samebasis_villages[[#This Row],[actual ref_ind]]</f>
        <v>0</v>
      </c>
      <c r="AI275" s="943">
        <f>comparaison_samebasis_villages[[#This Row],[previous ret_ind]]-comparaison_samebasis_villages[[#This Row],[actual ret_ind]]</f>
        <v>88</v>
      </c>
    </row>
    <row r="276" spans="1:35" ht="15.75" customHeight="1" x14ac:dyDescent="0.3">
      <c r="A276" s="401" t="s">
        <v>35</v>
      </c>
      <c r="B276" s="401" t="s">
        <v>35</v>
      </c>
      <c r="C276" s="401" t="s">
        <v>192</v>
      </c>
      <c r="D276" s="401" t="s">
        <v>192</v>
      </c>
      <c r="E276" s="401" t="s">
        <v>1408</v>
      </c>
      <c r="F276" s="5" t="s">
        <v>1637</v>
      </c>
      <c r="G276" s="401"/>
      <c r="H276" s="1093" t="s">
        <v>511</v>
      </c>
      <c r="I276" s="1216" t="s">
        <v>3111</v>
      </c>
      <c r="J276" s="403">
        <v>10</v>
      </c>
      <c r="K276" s="403">
        <v>47</v>
      </c>
      <c r="L276" s="1093" t="s">
        <v>365</v>
      </c>
      <c r="M276" s="401"/>
      <c r="O276" s="404" t="s">
        <v>32</v>
      </c>
      <c r="P276" s="404" t="s">
        <v>32</v>
      </c>
      <c r="Q276" s="404" t="s">
        <v>176</v>
      </c>
      <c r="R276" s="404" t="s">
        <v>176</v>
      </c>
      <c r="S276" s="404" t="s">
        <v>774</v>
      </c>
      <c r="T276" s="404" t="s">
        <v>773</v>
      </c>
      <c r="U276" s="941">
        <v>230</v>
      </c>
      <c r="V276" s="941">
        <v>2506</v>
      </c>
      <c r="W276" s="941">
        <v>5</v>
      </c>
      <c r="X276" s="941">
        <v>18</v>
      </c>
      <c r="Y276" s="941">
        <v>0</v>
      </c>
      <c r="Z276" s="941">
        <v>0</v>
      </c>
      <c r="AA276" s="942">
        <v>230</v>
      </c>
      <c r="AB276" s="942">
        <v>2500</v>
      </c>
      <c r="AC276" s="942">
        <v>5</v>
      </c>
      <c r="AD276" s="942">
        <v>18</v>
      </c>
      <c r="AE276" s="942">
        <v>0</v>
      </c>
      <c r="AF276" s="942">
        <v>0</v>
      </c>
      <c r="AG276" s="943">
        <f>comparaison_samebasis_villages[[#This Row],[previous idp_ind]]-comparaison_samebasis_villages[[#This Row],[actual idp_ind]]</f>
        <v>-6</v>
      </c>
      <c r="AH276" s="943">
        <f>comparaison_samebasis_villages[[#This Row],[previous ref_ind]]-comparaison_samebasis_villages[[#This Row],[actual ref_ind]]</f>
        <v>0</v>
      </c>
      <c r="AI276" s="943">
        <f>comparaison_samebasis_villages[[#This Row],[previous ret_ind]]-comparaison_samebasis_villages[[#This Row],[actual ret_ind]]</f>
        <v>0</v>
      </c>
    </row>
    <row r="277" spans="1:35" ht="15.75" customHeight="1" x14ac:dyDescent="0.3">
      <c r="A277" s="401" t="s">
        <v>35</v>
      </c>
      <c r="B277" s="401" t="s">
        <v>35</v>
      </c>
      <c r="C277" s="401" t="s">
        <v>192</v>
      </c>
      <c r="D277" s="401" t="s">
        <v>192</v>
      </c>
      <c r="E277" s="401" t="s">
        <v>3208</v>
      </c>
      <c r="F277" s="5" t="s">
        <v>2794</v>
      </c>
      <c r="G277" s="401"/>
      <c r="H277" s="1093" t="s">
        <v>511</v>
      </c>
      <c r="I277" s="1216" t="s">
        <v>3112</v>
      </c>
      <c r="J277" s="403">
        <v>2</v>
      </c>
      <c r="K277" s="403">
        <v>16</v>
      </c>
      <c r="L277" s="1093" t="s">
        <v>365</v>
      </c>
      <c r="M277" s="401"/>
      <c r="O277" s="399" t="s">
        <v>32</v>
      </c>
      <c r="P277" s="399" t="s">
        <v>32</v>
      </c>
      <c r="Q277" s="399" t="s">
        <v>176</v>
      </c>
      <c r="R277" s="399" t="s">
        <v>176</v>
      </c>
      <c r="S277" s="399" t="s">
        <v>1057</v>
      </c>
      <c r="T277" s="399" t="s">
        <v>1056</v>
      </c>
      <c r="U277" s="941">
        <v>53</v>
      </c>
      <c r="V277" s="941">
        <v>379</v>
      </c>
      <c r="W277" s="941">
        <v>0</v>
      </c>
      <c r="X277" s="941">
        <v>0</v>
      </c>
      <c r="Y277" s="941">
        <v>0</v>
      </c>
      <c r="Z277" s="941">
        <v>0</v>
      </c>
      <c r="AA277" s="942">
        <v>33</v>
      </c>
      <c r="AB277" s="942">
        <v>239</v>
      </c>
      <c r="AC277" s="942">
        <v>0</v>
      </c>
      <c r="AD277" s="942">
        <v>0</v>
      </c>
      <c r="AE277" s="942">
        <v>0</v>
      </c>
      <c r="AF277" s="942">
        <v>0</v>
      </c>
      <c r="AG277" s="943">
        <f>comparaison_samebasis_villages[[#This Row],[previous idp_ind]]-comparaison_samebasis_villages[[#This Row],[actual idp_ind]]</f>
        <v>-140</v>
      </c>
      <c r="AH277" s="943">
        <f>comparaison_samebasis_villages[[#This Row],[previous ref_ind]]-comparaison_samebasis_villages[[#This Row],[actual ref_ind]]</f>
        <v>0</v>
      </c>
      <c r="AI277" s="943">
        <f>comparaison_samebasis_villages[[#This Row],[previous ret_ind]]-comparaison_samebasis_villages[[#This Row],[actual ret_ind]]</f>
        <v>0</v>
      </c>
    </row>
    <row r="278" spans="1:35" ht="15.75" customHeight="1" x14ac:dyDescent="0.3">
      <c r="A278" s="401" t="s">
        <v>31</v>
      </c>
      <c r="B278" s="401" t="s">
        <v>31</v>
      </c>
      <c r="C278" s="401" t="s">
        <v>167</v>
      </c>
      <c r="D278" s="401" t="s">
        <v>167</v>
      </c>
      <c r="E278" s="401" t="s">
        <v>2297</v>
      </c>
      <c r="F278" s="5" t="s">
        <v>2127</v>
      </c>
      <c r="G278" s="401"/>
      <c r="H278" s="1093" t="s">
        <v>511</v>
      </c>
      <c r="I278" s="1216" t="s">
        <v>3110</v>
      </c>
      <c r="J278" s="403">
        <v>15</v>
      </c>
      <c r="K278" s="403">
        <v>70</v>
      </c>
      <c r="L278" s="1093" t="s">
        <v>367</v>
      </c>
      <c r="M278" s="401"/>
      <c r="O278" s="404" t="s">
        <v>32</v>
      </c>
      <c r="P278" s="404" t="s">
        <v>32</v>
      </c>
      <c r="Q278" s="404" t="s">
        <v>176</v>
      </c>
      <c r="R278" s="404" t="s">
        <v>176</v>
      </c>
      <c r="S278" s="404" t="s">
        <v>1059</v>
      </c>
      <c r="T278" s="404" t="s">
        <v>1058</v>
      </c>
      <c r="U278" s="941">
        <v>38</v>
      </c>
      <c r="V278" s="941">
        <v>319</v>
      </c>
      <c r="W278" s="941">
        <v>0</v>
      </c>
      <c r="X278" s="941">
        <v>0</v>
      </c>
      <c r="Y278" s="941">
        <v>0</v>
      </c>
      <c r="Z278" s="941">
        <v>0</v>
      </c>
      <c r="AA278" s="942">
        <v>32</v>
      </c>
      <c r="AB278" s="942">
        <v>277</v>
      </c>
      <c r="AC278" s="942">
        <v>0</v>
      </c>
      <c r="AD278" s="942">
        <v>0</v>
      </c>
      <c r="AE278" s="942">
        <v>0</v>
      </c>
      <c r="AF278" s="942">
        <v>0</v>
      </c>
      <c r="AG278" s="943">
        <f>comparaison_samebasis_villages[[#This Row],[previous idp_ind]]-comparaison_samebasis_villages[[#This Row],[actual idp_ind]]</f>
        <v>-42</v>
      </c>
      <c r="AH278" s="943">
        <f>comparaison_samebasis_villages[[#This Row],[previous ref_ind]]-comparaison_samebasis_villages[[#This Row],[actual ref_ind]]</f>
        <v>0</v>
      </c>
      <c r="AI278" s="943">
        <f>comparaison_samebasis_villages[[#This Row],[previous ret_ind]]-comparaison_samebasis_villages[[#This Row],[actual ret_ind]]</f>
        <v>0</v>
      </c>
    </row>
    <row r="279" spans="1:35" ht="15.75" customHeight="1" x14ac:dyDescent="0.3">
      <c r="A279" s="401" t="s">
        <v>31</v>
      </c>
      <c r="B279" s="401" t="s">
        <v>31</v>
      </c>
      <c r="C279" s="401" t="s">
        <v>171</v>
      </c>
      <c r="D279" s="401" t="s">
        <v>171</v>
      </c>
      <c r="E279" s="401" t="s">
        <v>2606</v>
      </c>
      <c r="F279" s="5" t="s">
        <v>2169</v>
      </c>
      <c r="G279" s="401"/>
      <c r="H279" s="1093" t="s">
        <v>511</v>
      </c>
      <c r="I279" s="1216" t="s">
        <v>3111</v>
      </c>
      <c r="J279" s="403">
        <v>7</v>
      </c>
      <c r="K279" s="403">
        <v>20</v>
      </c>
      <c r="L279" s="1093" t="s">
        <v>371</v>
      </c>
      <c r="M279" s="401"/>
      <c r="O279" s="404" t="s">
        <v>32</v>
      </c>
      <c r="P279" s="404" t="s">
        <v>32</v>
      </c>
      <c r="Q279" s="404" t="s">
        <v>176</v>
      </c>
      <c r="R279" s="404" t="s">
        <v>176</v>
      </c>
      <c r="S279" s="404" t="s">
        <v>1730</v>
      </c>
      <c r="T279" s="404" t="s">
        <v>1729</v>
      </c>
      <c r="U279" s="941">
        <v>152</v>
      </c>
      <c r="V279" s="941">
        <v>1220</v>
      </c>
      <c r="W279" s="941">
        <v>0</v>
      </c>
      <c r="X279" s="941">
        <v>0</v>
      </c>
      <c r="Y279" s="941">
        <v>0</v>
      </c>
      <c r="Z279" s="941">
        <v>0</v>
      </c>
      <c r="AA279" s="942">
        <v>152</v>
      </c>
      <c r="AB279" s="942">
        <v>1220</v>
      </c>
      <c r="AC279" s="942">
        <v>0</v>
      </c>
      <c r="AD279" s="942">
        <v>0</v>
      </c>
      <c r="AE279" s="942">
        <v>0</v>
      </c>
      <c r="AF279" s="942">
        <v>0</v>
      </c>
      <c r="AG279" s="943">
        <f>comparaison_samebasis_villages[[#This Row],[previous idp_ind]]-comparaison_samebasis_villages[[#This Row],[actual idp_ind]]</f>
        <v>0</v>
      </c>
      <c r="AH279" s="943">
        <f>comparaison_samebasis_villages[[#This Row],[previous ref_ind]]-comparaison_samebasis_villages[[#This Row],[actual ref_ind]]</f>
        <v>0</v>
      </c>
      <c r="AI279" s="943">
        <f>comparaison_samebasis_villages[[#This Row],[previous ret_ind]]-comparaison_samebasis_villages[[#This Row],[actual ret_ind]]</f>
        <v>0</v>
      </c>
    </row>
    <row r="280" spans="1:35" ht="15.75" customHeight="1" x14ac:dyDescent="0.3">
      <c r="A280" s="401" t="s">
        <v>31</v>
      </c>
      <c r="B280" s="401" t="s">
        <v>31</v>
      </c>
      <c r="C280" s="401" t="s">
        <v>171</v>
      </c>
      <c r="D280" s="401" t="s">
        <v>171</v>
      </c>
      <c r="E280" s="401" t="s">
        <v>1392</v>
      </c>
      <c r="F280" s="5" t="s">
        <v>1539</v>
      </c>
      <c r="G280" s="401"/>
      <c r="H280" s="1093" t="s">
        <v>511</v>
      </c>
      <c r="I280" s="1216" t="s">
        <v>3111</v>
      </c>
      <c r="J280" s="403">
        <v>12</v>
      </c>
      <c r="K280" s="403">
        <v>60</v>
      </c>
      <c r="L280" s="1093" t="s">
        <v>373</v>
      </c>
      <c r="M280" s="401"/>
      <c r="O280" s="404" t="s">
        <v>32</v>
      </c>
      <c r="P280" s="404" t="s">
        <v>32</v>
      </c>
      <c r="Q280" s="404" t="s">
        <v>176</v>
      </c>
      <c r="R280" s="404" t="s">
        <v>176</v>
      </c>
      <c r="S280" s="404" t="s">
        <v>2543</v>
      </c>
      <c r="T280" s="404" t="s">
        <v>2542</v>
      </c>
      <c r="U280" s="941">
        <v>30</v>
      </c>
      <c r="V280" s="941">
        <v>320</v>
      </c>
      <c r="W280" s="941">
        <v>0</v>
      </c>
      <c r="X280" s="941">
        <v>0</v>
      </c>
      <c r="Y280" s="941">
        <v>0</v>
      </c>
      <c r="Z280" s="941">
        <v>0</v>
      </c>
      <c r="AA280" s="942">
        <v>0</v>
      </c>
      <c r="AB280" s="942">
        <v>0</v>
      </c>
      <c r="AC280" s="942">
        <v>0</v>
      </c>
      <c r="AD280" s="942">
        <v>0</v>
      </c>
      <c r="AE280" s="942">
        <v>0</v>
      </c>
      <c r="AF280" s="942">
        <v>0</v>
      </c>
      <c r="AG280" s="943">
        <f>comparaison_samebasis_villages[[#This Row],[previous idp_ind]]-comparaison_samebasis_villages[[#This Row],[actual idp_ind]]</f>
        <v>-320</v>
      </c>
      <c r="AH280" s="943">
        <f>comparaison_samebasis_villages[[#This Row],[previous ref_ind]]-comparaison_samebasis_villages[[#This Row],[actual ref_ind]]</f>
        <v>0</v>
      </c>
      <c r="AI280" s="943">
        <f>comparaison_samebasis_villages[[#This Row],[previous ret_ind]]-comparaison_samebasis_villages[[#This Row],[actual ret_ind]]</f>
        <v>0</v>
      </c>
    </row>
    <row r="281" spans="1:35" ht="15.75" customHeight="1" x14ac:dyDescent="0.3">
      <c r="A281" s="401" t="s">
        <v>31</v>
      </c>
      <c r="B281" s="401" t="s">
        <v>31</v>
      </c>
      <c r="C281" s="401" t="s">
        <v>171</v>
      </c>
      <c r="D281" s="401" t="s">
        <v>171</v>
      </c>
      <c r="E281" s="401" t="s">
        <v>1278</v>
      </c>
      <c r="F281" s="5" t="s">
        <v>1543</v>
      </c>
      <c r="G281" s="401"/>
      <c r="H281" s="1093" t="s">
        <v>511</v>
      </c>
      <c r="I281" s="1216" t="s">
        <v>3111</v>
      </c>
      <c r="J281" s="403">
        <v>30</v>
      </c>
      <c r="K281" s="403">
        <v>158</v>
      </c>
      <c r="L281" s="1093" t="s">
        <v>371</v>
      </c>
      <c r="M281" s="401"/>
      <c r="O281" s="404" t="s">
        <v>32</v>
      </c>
      <c r="P281" s="404" t="s">
        <v>32</v>
      </c>
      <c r="Q281" s="404" t="s">
        <v>176</v>
      </c>
      <c r="R281" s="404" t="s">
        <v>176</v>
      </c>
      <c r="S281" s="404" t="s">
        <v>1209</v>
      </c>
      <c r="T281" s="404" t="s">
        <v>1208</v>
      </c>
      <c r="U281" s="941">
        <v>252</v>
      </c>
      <c r="V281" s="941">
        <v>1740</v>
      </c>
      <c r="W281" s="941">
        <v>0</v>
      </c>
      <c r="X281" s="941">
        <v>0</v>
      </c>
      <c r="Y281" s="941">
        <v>0</v>
      </c>
      <c r="Z281" s="941">
        <v>0</v>
      </c>
      <c r="AA281" s="942">
        <v>252</v>
      </c>
      <c r="AB281" s="942">
        <v>1737</v>
      </c>
      <c r="AC281" s="942">
        <v>0</v>
      </c>
      <c r="AD281" s="942">
        <v>0</v>
      </c>
      <c r="AE281" s="942">
        <v>0</v>
      </c>
      <c r="AF281" s="942">
        <v>0</v>
      </c>
      <c r="AG281" s="943">
        <f>comparaison_samebasis_villages[[#This Row],[previous idp_ind]]-comparaison_samebasis_villages[[#This Row],[actual idp_ind]]</f>
        <v>-3</v>
      </c>
      <c r="AH281" s="943">
        <f>comparaison_samebasis_villages[[#This Row],[previous ref_ind]]-comparaison_samebasis_villages[[#This Row],[actual ref_ind]]</f>
        <v>0</v>
      </c>
      <c r="AI281" s="943">
        <f>comparaison_samebasis_villages[[#This Row],[previous ret_ind]]-comparaison_samebasis_villages[[#This Row],[actual ret_ind]]</f>
        <v>0</v>
      </c>
    </row>
    <row r="282" spans="1:35" ht="15.75" customHeight="1" x14ac:dyDescent="0.3">
      <c r="A282" s="401" t="s">
        <v>35</v>
      </c>
      <c r="B282" s="401" t="s">
        <v>35</v>
      </c>
      <c r="C282" s="401" t="s">
        <v>194</v>
      </c>
      <c r="D282" s="401" t="s">
        <v>194</v>
      </c>
      <c r="E282" s="401" t="s">
        <v>2215</v>
      </c>
      <c r="F282" s="5" t="s">
        <v>2216</v>
      </c>
      <c r="G282" s="401"/>
      <c r="H282" s="1093" t="s">
        <v>511</v>
      </c>
      <c r="I282" s="1216" t="s">
        <v>3033</v>
      </c>
      <c r="J282" s="403">
        <v>15</v>
      </c>
      <c r="K282" s="403">
        <v>38</v>
      </c>
      <c r="L282" s="1093" t="s">
        <v>367</v>
      </c>
      <c r="M282" s="401"/>
      <c r="O282" s="404" t="s">
        <v>32</v>
      </c>
      <c r="P282" s="404" t="s">
        <v>32</v>
      </c>
      <c r="Q282" s="404" t="s">
        <v>176</v>
      </c>
      <c r="R282" s="404" t="s">
        <v>176</v>
      </c>
      <c r="S282" s="404" t="s">
        <v>1360</v>
      </c>
      <c r="T282" s="404" t="s">
        <v>1359</v>
      </c>
      <c r="U282" s="941">
        <v>45</v>
      </c>
      <c r="V282" s="941">
        <v>290</v>
      </c>
      <c r="W282" s="941">
        <v>0</v>
      </c>
      <c r="X282" s="941">
        <v>0</v>
      </c>
      <c r="Y282" s="941">
        <v>0</v>
      </c>
      <c r="Z282" s="941">
        <v>0</v>
      </c>
      <c r="AA282" s="942">
        <v>45</v>
      </c>
      <c r="AB282" s="942">
        <v>290</v>
      </c>
      <c r="AC282" s="942">
        <v>0</v>
      </c>
      <c r="AD282" s="942">
        <v>0</v>
      </c>
      <c r="AE282" s="942">
        <v>0</v>
      </c>
      <c r="AF282" s="942">
        <v>0</v>
      </c>
      <c r="AG282" s="943">
        <f>comparaison_samebasis_villages[[#This Row],[previous idp_ind]]-comparaison_samebasis_villages[[#This Row],[actual idp_ind]]</f>
        <v>0</v>
      </c>
      <c r="AH282" s="943">
        <f>comparaison_samebasis_villages[[#This Row],[previous ref_ind]]-comparaison_samebasis_villages[[#This Row],[actual ref_ind]]</f>
        <v>0</v>
      </c>
      <c r="AI282" s="943">
        <f>comparaison_samebasis_villages[[#This Row],[previous ret_ind]]-comparaison_samebasis_villages[[#This Row],[actual ret_ind]]</f>
        <v>0</v>
      </c>
    </row>
    <row r="283" spans="1:35" ht="15.75" customHeight="1" x14ac:dyDescent="0.3">
      <c r="A283" s="401" t="s">
        <v>35</v>
      </c>
      <c r="B283" s="401" t="s">
        <v>35</v>
      </c>
      <c r="C283" s="401" t="s">
        <v>194</v>
      </c>
      <c r="D283" s="401" t="s">
        <v>194</v>
      </c>
      <c r="E283" s="401" t="s">
        <v>2215</v>
      </c>
      <c r="F283" s="5" t="s">
        <v>2216</v>
      </c>
      <c r="G283" s="401"/>
      <c r="H283" s="1093" t="s">
        <v>511</v>
      </c>
      <c r="I283" s="1216" t="s">
        <v>3109</v>
      </c>
      <c r="J283" s="403">
        <v>0</v>
      </c>
      <c r="K283" s="403">
        <v>2</v>
      </c>
      <c r="L283" s="1093" t="s">
        <v>367</v>
      </c>
      <c r="M283" s="401"/>
      <c r="O283" s="404" t="s">
        <v>32</v>
      </c>
      <c r="P283" s="404" t="s">
        <v>32</v>
      </c>
      <c r="Q283" s="404" t="s">
        <v>176</v>
      </c>
      <c r="R283" s="404" t="s">
        <v>176</v>
      </c>
      <c r="S283" s="404" t="s">
        <v>1063</v>
      </c>
      <c r="T283" s="404" t="s">
        <v>1062</v>
      </c>
      <c r="U283" s="941">
        <v>152</v>
      </c>
      <c r="V283" s="941">
        <v>785</v>
      </c>
      <c r="W283" s="941">
        <v>0</v>
      </c>
      <c r="X283" s="941">
        <v>0</v>
      </c>
      <c r="Y283" s="941">
        <v>0</v>
      </c>
      <c r="Z283" s="941">
        <v>0</v>
      </c>
      <c r="AA283" s="942">
        <v>152</v>
      </c>
      <c r="AB283" s="942">
        <v>785</v>
      </c>
      <c r="AC283" s="942">
        <v>0</v>
      </c>
      <c r="AD283" s="942">
        <v>0</v>
      </c>
      <c r="AE283" s="942">
        <v>0</v>
      </c>
      <c r="AF283" s="942">
        <v>0</v>
      </c>
      <c r="AG283" s="943">
        <f>comparaison_samebasis_villages[[#This Row],[previous idp_ind]]-comparaison_samebasis_villages[[#This Row],[actual idp_ind]]</f>
        <v>0</v>
      </c>
      <c r="AH283" s="943">
        <f>comparaison_samebasis_villages[[#This Row],[previous ref_ind]]-comparaison_samebasis_villages[[#This Row],[actual ref_ind]]</f>
        <v>0</v>
      </c>
      <c r="AI283" s="943">
        <f>comparaison_samebasis_villages[[#This Row],[previous ret_ind]]-comparaison_samebasis_villages[[#This Row],[actual ret_ind]]</f>
        <v>0</v>
      </c>
    </row>
    <row r="284" spans="1:35" ht="15.75" customHeight="1" x14ac:dyDescent="0.3">
      <c r="A284" s="401" t="s">
        <v>35</v>
      </c>
      <c r="B284" s="401" t="s">
        <v>35</v>
      </c>
      <c r="C284" s="401" t="s">
        <v>194</v>
      </c>
      <c r="D284" s="401" t="s">
        <v>194</v>
      </c>
      <c r="E284" s="401" t="s">
        <v>2215</v>
      </c>
      <c r="F284" s="5" t="s">
        <v>2216</v>
      </c>
      <c r="G284" s="401"/>
      <c r="H284" s="1093" t="s">
        <v>511</v>
      </c>
      <c r="I284" s="1216" t="s">
        <v>3111</v>
      </c>
      <c r="J284" s="403">
        <v>0</v>
      </c>
      <c r="K284" s="403">
        <v>4</v>
      </c>
      <c r="L284" s="1093" t="s">
        <v>367</v>
      </c>
      <c r="M284" s="401"/>
      <c r="O284" s="404" t="s">
        <v>32</v>
      </c>
      <c r="P284" s="404" t="s">
        <v>32</v>
      </c>
      <c r="Q284" s="404" t="s">
        <v>176</v>
      </c>
      <c r="R284" s="404" t="s">
        <v>176</v>
      </c>
      <c r="S284" s="404" t="s">
        <v>2268</v>
      </c>
      <c r="T284" s="404" t="s">
        <v>2267</v>
      </c>
      <c r="U284" s="941">
        <v>0</v>
      </c>
      <c r="V284" s="941">
        <v>0</v>
      </c>
      <c r="W284" s="941">
        <v>0</v>
      </c>
      <c r="X284" s="941">
        <v>0</v>
      </c>
      <c r="Y284" s="941">
        <v>9</v>
      </c>
      <c r="Z284" s="941">
        <v>9</v>
      </c>
      <c r="AA284" s="942">
        <v>0</v>
      </c>
      <c r="AB284" s="942">
        <v>0</v>
      </c>
      <c r="AC284" s="942">
        <v>0</v>
      </c>
      <c r="AD284" s="942">
        <v>0</v>
      </c>
      <c r="AE284" s="942">
        <v>5</v>
      </c>
      <c r="AF284" s="942">
        <v>27</v>
      </c>
      <c r="AG284" s="943">
        <f>comparaison_samebasis_villages[[#This Row],[previous idp_ind]]-comparaison_samebasis_villages[[#This Row],[actual idp_ind]]</f>
        <v>0</v>
      </c>
      <c r="AH284" s="943">
        <f>comparaison_samebasis_villages[[#This Row],[previous ref_ind]]-comparaison_samebasis_villages[[#This Row],[actual ref_ind]]</f>
        <v>0</v>
      </c>
      <c r="AI284" s="943">
        <f>comparaison_samebasis_villages[[#This Row],[previous ret_ind]]-comparaison_samebasis_villages[[#This Row],[actual ret_ind]]</f>
        <v>18</v>
      </c>
    </row>
    <row r="285" spans="1:35" ht="15.75" customHeight="1" x14ac:dyDescent="0.3">
      <c r="A285" s="401" t="s">
        <v>35</v>
      </c>
      <c r="B285" s="401" t="s">
        <v>35</v>
      </c>
      <c r="C285" s="401" t="s">
        <v>194</v>
      </c>
      <c r="D285" s="401" t="s">
        <v>194</v>
      </c>
      <c r="E285" s="401" t="s">
        <v>2917</v>
      </c>
      <c r="F285" s="5" t="s">
        <v>2205</v>
      </c>
      <c r="G285" s="401"/>
      <c r="H285" s="1093" t="s">
        <v>511</v>
      </c>
      <c r="I285" s="1216" t="s">
        <v>3111</v>
      </c>
      <c r="J285" s="403">
        <v>3</v>
      </c>
      <c r="K285" s="403">
        <v>21</v>
      </c>
      <c r="L285" s="1093" t="s">
        <v>367</v>
      </c>
      <c r="M285" s="401"/>
      <c r="O285" s="404" t="s">
        <v>32</v>
      </c>
      <c r="P285" s="404" t="s">
        <v>32</v>
      </c>
      <c r="Q285" s="404" t="s">
        <v>176</v>
      </c>
      <c r="R285" s="404" t="s">
        <v>176</v>
      </c>
      <c r="S285" s="404" t="s">
        <v>2309</v>
      </c>
      <c r="T285" s="404" t="s">
        <v>2308</v>
      </c>
      <c r="U285" s="941">
        <v>0</v>
      </c>
      <c r="V285" s="941">
        <v>0</v>
      </c>
      <c r="W285" s="941">
        <v>0</v>
      </c>
      <c r="X285" s="941">
        <v>0</v>
      </c>
      <c r="Y285" s="941">
        <v>13</v>
      </c>
      <c r="Z285" s="941">
        <v>13</v>
      </c>
      <c r="AA285" s="942">
        <v>0</v>
      </c>
      <c r="AB285" s="942">
        <v>0</v>
      </c>
      <c r="AC285" s="942">
        <v>0</v>
      </c>
      <c r="AD285" s="942">
        <v>0</v>
      </c>
      <c r="AE285" s="942">
        <v>10</v>
      </c>
      <c r="AF285" s="942">
        <v>66</v>
      </c>
      <c r="AG285" s="943">
        <f>comparaison_samebasis_villages[[#This Row],[previous idp_ind]]-comparaison_samebasis_villages[[#This Row],[actual idp_ind]]</f>
        <v>0</v>
      </c>
      <c r="AH285" s="943">
        <f>comparaison_samebasis_villages[[#This Row],[previous ref_ind]]-comparaison_samebasis_villages[[#This Row],[actual ref_ind]]</f>
        <v>0</v>
      </c>
      <c r="AI285" s="943">
        <f>comparaison_samebasis_villages[[#This Row],[previous ret_ind]]-comparaison_samebasis_villages[[#This Row],[actual ret_ind]]</f>
        <v>53</v>
      </c>
    </row>
    <row r="286" spans="1:35" ht="15.75" customHeight="1" x14ac:dyDescent="0.3">
      <c r="A286" s="401" t="s">
        <v>35</v>
      </c>
      <c r="B286" s="401" t="s">
        <v>35</v>
      </c>
      <c r="C286" s="401" t="s">
        <v>194</v>
      </c>
      <c r="D286" s="401" t="s">
        <v>194</v>
      </c>
      <c r="E286" s="401" t="s">
        <v>2917</v>
      </c>
      <c r="F286" s="5" t="s">
        <v>2205</v>
      </c>
      <c r="G286" s="401"/>
      <c r="H286" s="1093" t="s">
        <v>511</v>
      </c>
      <c r="I286" s="1216" t="s">
        <v>3033</v>
      </c>
      <c r="J286" s="403">
        <v>5</v>
      </c>
      <c r="K286" s="403">
        <v>13</v>
      </c>
      <c r="L286" s="1093" t="s">
        <v>367</v>
      </c>
      <c r="M286" s="401"/>
      <c r="O286" s="404" t="s">
        <v>32</v>
      </c>
      <c r="P286" s="404" t="s">
        <v>32</v>
      </c>
      <c r="Q286" s="404" t="s">
        <v>176</v>
      </c>
      <c r="R286" s="404" t="s">
        <v>176</v>
      </c>
      <c r="S286" s="404" t="s">
        <v>2270</v>
      </c>
      <c r="T286" s="404" t="s">
        <v>2269</v>
      </c>
      <c r="U286" s="941">
        <v>0</v>
      </c>
      <c r="V286" s="941">
        <v>0</v>
      </c>
      <c r="W286" s="941">
        <v>0</v>
      </c>
      <c r="X286" s="941">
        <v>0</v>
      </c>
      <c r="Y286" s="941">
        <v>45</v>
      </c>
      <c r="Z286" s="941">
        <v>45</v>
      </c>
      <c r="AA286" s="942">
        <v>0</v>
      </c>
      <c r="AB286" s="942">
        <v>0</v>
      </c>
      <c r="AC286" s="942">
        <v>0</v>
      </c>
      <c r="AD286" s="942">
        <v>0</v>
      </c>
      <c r="AE286" s="942">
        <v>40</v>
      </c>
      <c r="AF286" s="942">
        <v>257</v>
      </c>
      <c r="AG286" s="943">
        <f>comparaison_samebasis_villages[[#This Row],[previous idp_ind]]-comparaison_samebasis_villages[[#This Row],[actual idp_ind]]</f>
        <v>0</v>
      </c>
      <c r="AH286" s="943">
        <f>comparaison_samebasis_villages[[#This Row],[previous ref_ind]]-comparaison_samebasis_villages[[#This Row],[actual ref_ind]]</f>
        <v>0</v>
      </c>
      <c r="AI286" s="943">
        <f>comparaison_samebasis_villages[[#This Row],[previous ret_ind]]-comparaison_samebasis_villages[[#This Row],[actual ret_ind]]</f>
        <v>212</v>
      </c>
    </row>
    <row r="287" spans="1:35" ht="15.75" customHeight="1" x14ac:dyDescent="0.3">
      <c r="A287" s="401" t="s">
        <v>35</v>
      </c>
      <c r="B287" s="401" t="s">
        <v>35</v>
      </c>
      <c r="C287" s="401" t="s">
        <v>194</v>
      </c>
      <c r="D287" s="401" t="s">
        <v>194</v>
      </c>
      <c r="E287" s="401" t="s">
        <v>2917</v>
      </c>
      <c r="F287" s="5" t="s">
        <v>2205</v>
      </c>
      <c r="G287" s="401"/>
      <c r="H287" s="1093" t="s">
        <v>511</v>
      </c>
      <c r="I287" s="1216" t="s">
        <v>3110</v>
      </c>
      <c r="J287" s="403">
        <v>1</v>
      </c>
      <c r="K287" s="403">
        <v>5</v>
      </c>
      <c r="L287" s="1093" t="s">
        <v>367</v>
      </c>
      <c r="M287" s="401"/>
      <c r="O287" s="404" t="s">
        <v>32</v>
      </c>
      <c r="P287" s="404" t="s">
        <v>32</v>
      </c>
      <c r="Q287" s="404" t="s">
        <v>176</v>
      </c>
      <c r="R287" s="404" t="s">
        <v>176</v>
      </c>
      <c r="S287" s="404" t="s">
        <v>2311</v>
      </c>
      <c r="T287" s="404" t="s">
        <v>2310</v>
      </c>
      <c r="U287" s="941">
        <v>0</v>
      </c>
      <c r="V287" s="941">
        <v>0</v>
      </c>
      <c r="W287" s="941">
        <v>0</v>
      </c>
      <c r="X287" s="941">
        <v>0</v>
      </c>
      <c r="Y287" s="941">
        <v>23</v>
      </c>
      <c r="Z287" s="941">
        <v>23</v>
      </c>
      <c r="AA287" s="942">
        <v>0</v>
      </c>
      <c r="AB287" s="942">
        <v>0</v>
      </c>
      <c r="AC287" s="942">
        <v>0</v>
      </c>
      <c r="AD287" s="942">
        <v>0</v>
      </c>
      <c r="AE287" s="942">
        <v>15</v>
      </c>
      <c r="AF287" s="942">
        <v>97</v>
      </c>
      <c r="AG287" s="943">
        <f>comparaison_samebasis_villages[[#This Row],[previous idp_ind]]-comparaison_samebasis_villages[[#This Row],[actual idp_ind]]</f>
        <v>0</v>
      </c>
      <c r="AH287" s="943">
        <f>comparaison_samebasis_villages[[#This Row],[previous ref_ind]]-comparaison_samebasis_villages[[#This Row],[actual ref_ind]]</f>
        <v>0</v>
      </c>
      <c r="AI287" s="943">
        <f>comparaison_samebasis_villages[[#This Row],[previous ret_ind]]-comparaison_samebasis_villages[[#This Row],[actual ret_ind]]</f>
        <v>74</v>
      </c>
    </row>
    <row r="288" spans="1:35" ht="15.75" customHeight="1" x14ac:dyDescent="0.3">
      <c r="A288" s="401" t="s">
        <v>35</v>
      </c>
      <c r="B288" s="401" t="s">
        <v>35</v>
      </c>
      <c r="C288" s="401" t="s">
        <v>194</v>
      </c>
      <c r="D288" s="401" t="s">
        <v>194</v>
      </c>
      <c r="E288" s="401" t="s">
        <v>2917</v>
      </c>
      <c r="F288" s="5" t="s">
        <v>2205</v>
      </c>
      <c r="G288" s="401"/>
      <c r="H288" s="1093" t="s">
        <v>511</v>
      </c>
      <c r="I288" s="1216" t="s">
        <v>3112</v>
      </c>
      <c r="J288" s="403">
        <v>2</v>
      </c>
      <c r="K288" s="403">
        <v>10</v>
      </c>
      <c r="L288" s="1093" t="s">
        <v>367</v>
      </c>
      <c r="M288" s="401"/>
      <c r="O288" s="404" t="s">
        <v>32</v>
      </c>
      <c r="P288" s="404" t="s">
        <v>32</v>
      </c>
      <c r="Q288" s="404" t="s">
        <v>176</v>
      </c>
      <c r="R288" s="404" t="s">
        <v>176</v>
      </c>
      <c r="S288" s="404" t="s">
        <v>2266</v>
      </c>
      <c r="T288" s="404" t="s">
        <v>2265</v>
      </c>
      <c r="U288" s="941">
        <v>0</v>
      </c>
      <c r="V288" s="941">
        <v>0</v>
      </c>
      <c r="W288" s="941">
        <v>0</v>
      </c>
      <c r="X288" s="941">
        <v>0</v>
      </c>
      <c r="Y288" s="941">
        <v>34</v>
      </c>
      <c r="Z288" s="941">
        <v>34</v>
      </c>
      <c r="AA288" s="942">
        <v>0</v>
      </c>
      <c r="AB288" s="942">
        <v>0</v>
      </c>
      <c r="AC288" s="942">
        <v>0</v>
      </c>
      <c r="AD288" s="942">
        <v>0</v>
      </c>
      <c r="AE288" s="942">
        <v>34</v>
      </c>
      <c r="AF288" s="942">
        <v>181</v>
      </c>
      <c r="AG288" s="943">
        <f>comparaison_samebasis_villages[[#This Row],[previous idp_ind]]-comparaison_samebasis_villages[[#This Row],[actual idp_ind]]</f>
        <v>0</v>
      </c>
      <c r="AH288" s="943">
        <f>comparaison_samebasis_villages[[#This Row],[previous ref_ind]]-comparaison_samebasis_villages[[#This Row],[actual ref_ind]]</f>
        <v>0</v>
      </c>
      <c r="AI288" s="943">
        <f>comparaison_samebasis_villages[[#This Row],[previous ret_ind]]-comparaison_samebasis_villages[[#This Row],[actual ret_ind]]</f>
        <v>147</v>
      </c>
    </row>
    <row r="289" spans="1:35" ht="15.75" customHeight="1" x14ac:dyDescent="0.3">
      <c r="A289" s="401" t="s">
        <v>35</v>
      </c>
      <c r="B289" s="401" t="s">
        <v>35</v>
      </c>
      <c r="C289" s="401" t="s">
        <v>192</v>
      </c>
      <c r="D289" s="401" t="s">
        <v>192</v>
      </c>
      <c r="E289" s="401" t="s">
        <v>1456</v>
      </c>
      <c r="F289" s="5" t="s">
        <v>1167</v>
      </c>
      <c r="G289" s="401"/>
      <c r="H289" s="1093" t="s">
        <v>511</v>
      </c>
      <c r="I289" s="1216" t="s">
        <v>3110</v>
      </c>
      <c r="J289" s="403">
        <v>6</v>
      </c>
      <c r="K289" s="403">
        <v>10</v>
      </c>
      <c r="L289" s="1093" t="s">
        <v>367</v>
      </c>
      <c r="M289" s="401"/>
      <c r="O289" s="404" t="s">
        <v>32</v>
      </c>
      <c r="P289" s="404" t="s">
        <v>32</v>
      </c>
      <c r="Q289" s="404" t="s">
        <v>176</v>
      </c>
      <c r="R289" s="404" t="s">
        <v>176</v>
      </c>
      <c r="S289" s="404" t="s">
        <v>1738</v>
      </c>
      <c r="T289" s="404" t="s">
        <v>1737</v>
      </c>
      <c r="U289" s="941">
        <v>410</v>
      </c>
      <c r="V289" s="941">
        <v>1880</v>
      </c>
      <c r="W289" s="941">
        <v>0</v>
      </c>
      <c r="X289" s="941">
        <v>0</v>
      </c>
      <c r="Y289" s="941">
        <v>0</v>
      </c>
      <c r="Z289" s="941">
        <v>0</v>
      </c>
      <c r="AA289" s="942">
        <v>401</v>
      </c>
      <c r="AB289" s="942">
        <v>1780</v>
      </c>
      <c r="AC289" s="942">
        <v>0</v>
      </c>
      <c r="AD289" s="942">
        <v>0</v>
      </c>
      <c r="AE289" s="942">
        <v>0</v>
      </c>
      <c r="AF289" s="942">
        <v>0</v>
      </c>
      <c r="AG289" s="943">
        <f>comparaison_samebasis_villages[[#This Row],[previous idp_ind]]-comparaison_samebasis_villages[[#This Row],[actual idp_ind]]</f>
        <v>-100</v>
      </c>
      <c r="AH289" s="943">
        <f>comparaison_samebasis_villages[[#This Row],[previous ref_ind]]-comparaison_samebasis_villages[[#This Row],[actual ref_ind]]</f>
        <v>0</v>
      </c>
      <c r="AI289" s="943">
        <f>comparaison_samebasis_villages[[#This Row],[previous ret_ind]]-comparaison_samebasis_villages[[#This Row],[actual ret_ind]]</f>
        <v>0</v>
      </c>
    </row>
    <row r="290" spans="1:35" ht="15.75" customHeight="1" x14ac:dyDescent="0.3">
      <c r="A290" s="401" t="s">
        <v>35</v>
      </c>
      <c r="B290" s="401" t="s">
        <v>35</v>
      </c>
      <c r="C290" s="401" t="s">
        <v>192</v>
      </c>
      <c r="D290" s="401" t="s">
        <v>192</v>
      </c>
      <c r="E290" s="401" t="s">
        <v>1456</v>
      </c>
      <c r="F290" s="5" t="s">
        <v>1167</v>
      </c>
      <c r="G290" s="401"/>
      <c r="H290" s="1093" t="s">
        <v>511</v>
      </c>
      <c r="I290" s="1216" t="s">
        <v>3112</v>
      </c>
      <c r="J290" s="403">
        <v>2</v>
      </c>
      <c r="K290" s="403">
        <v>9</v>
      </c>
      <c r="L290" s="1093" t="s">
        <v>367</v>
      </c>
      <c r="M290" s="401"/>
      <c r="O290" s="404" t="s">
        <v>32</v>
      </c>
      <c r="P290" s="404" t="s">
        <v>32</v>
      </c>
      <c r="Q290" s="404" t="s">
        <v>176</v>
      </c>
      <c r="R290" s="404" t="s">
        <v>176</v>
      </c>
      <c r="S290" s="404" t="s">
        <v>1362</v>
      </c>
      <c r="T290" s="404" t="s">
        <v>1361</v>
      </c>
      <c r="U290" s="941" t="s">
        <v>3373</v>
      </c>
      <c r="V290" s="941" t="s">
        <v>3373</v>
      </c>
      <c r="W290" s="941" t="s">
        <v>3373</v>
      </c>
      <c r="X290" s="941" t="s">
        <v>3373</v>
      </c>
      <c r="Y290" s="941" t="s">
        <v>3373</v>
      </c>
      <c r="Z290" s="941" t="s">
        <v>3373</v>
      </c>
      <c r="AA290" s="942">
        <v>5</v>
      </c>
      <c r="AB290" s="942">
        <v>19</v>
      </c>
      <c r="AC290" s="942">
        <v>0</v>
      </c>
      <c r="AD290" s="942">
        <v>0</v>
      </c>
      <c r="AE290" s="942">
        <v>0</v>
      </c>
      <c r="AF290" s="942">
        <v>0</v>
      </c>
      <c r="AG290" s="943" t="e">
        <f>comparaison_samebasis_villages[[#This Row],[previous idp_ind]]-comparaison_samebasis_villages[[#This Row],[actual idp_ind]]</f>
        <v>#VALUE!</v>
      </c>
      <c r="AH290" s="943" t="e">
        <f>comparaison_samebasis_villages[[#This Row],[previous ref_ind]]-comparaison_samebasis_villages[[#This Row],[actual ref_ind]]</f>
        <v>#VALUE!</v>
      </c>
      <c r="AI290" s="943" t="e">
        <f>comparaison_samebasis_villages[[#This Row],[previous ret_ind]]-comparaison_samebasis_villages[[#This Row],[actual ret_ind]]</f>
        <v>#VALUE!</v>
      </c>
    </row>
    <row r="291" spans="1:35" ht="15.75" customHeight="1" x14ac:dyDescent="0.3">
      <c r="A291" s="401" t="s">
        <v>35</v>
      </c>
      <c r="B291" s="401" t="s">
        <v>35</v>
      </c>
      <c r="C291" s="401" t="s">
        <v>192</v>
      </c>
      <c r="D291" s="401" t="s">
        <v>192</v>
      </c>
      <c r="E291" s="401" t="s">
        <v>1952</v>
      </c>
      <c r="F291" s="5" t="s">
        <v>1533</v>
      </c>
      <c r="G291" s="401"/>
      <c r="H291" s="1093" t="s">
        <v>511</v>
      </c>
      <c r="I291" s="1216" t="s">
        <v>3110</v>
      </c>
      <c r="J291" s="403">
        <v>12</v>
      </c>
      <c r="K291" s="403">
        <v>56</v>
      </c>
      <c r="L291" s="1093" t="s">
        <v>367</v>
      </c>
      <c r="M291" s="401"/>
      <c r="O291" s="399" t="s">
        <v>32</v>
      </c>
      <c r="P291" s="399" t="s">
        <v>32</v>
      </c>
      <c r="Q291" s="399" t="s">
        <v>176</v>
      </c>
      <c r="R291" s="399" t="s">
        <v>176</v>
      </c>
      <c r="S291" s="399" t="s">
        <v>2783</v>
      </c>
      <c r="T291" s="399" t="s">
        <v>3196</v>
      </c>
      <c r="U291" s="941">
        <v>17</v>
      </c>
      <c r="V291" s="941">
        <v>56</v>
      </c>
      <c r="W291" s="941">
        <v>0</v>
      </c>
      <c r="X291" s="941">
        <v>0</v>
      </c>
      <c r="Y291" s="941">
        <v>0</v>
      </c>
      <c r="Z291" s="941">
        <v>0</v>
      </c>
      <c r="AA291" s="942">
        <v>17</v>
      </c>
      <c r="AB291" s="942">
        <v>56</v>
      </c>
      <c r="AC291" s="942">
        <v>0</v>
      </c>
      <c r="AD291" s="942">
        <v>0</v>
      </c>
      <c r="AE291" s="942">
        <v>0</v>
      </c>
      <c r="AF291" s="942">
        <v>0</v>
      </c>
      <c r="AG291" s="943">
        <f>comparaison_samebasis_villages[[#This Row],[previous idp_ind]]-comparaison_samebasis_villages[[#This Row],[actual idp_ind]]</f>
        <v>0</v>
      </c>
      <c r="AH291" s="943">
        <f>comparaison_samebasis_villages[[#This Row],[previous ref_ind]]-comparaison_samebasis_villages[[#This Row],[actual ref_ind]]</f>
        <v>0</v>
      </c>
      <c r="AI291" s="943">
        <f>comparaison_samebasis_villages[[#This Row],[previous ret_ind]]-comparaison_samebasis_villages[[#This Row],[actual ret_ind]]</f>
        <v>0</v>
      </c>
    </row>
    <row r="292" spans="1:35" ht="15.75" customHeight="1" x14ac:dyDescent="0.3">
      <c r="A292" s="401" t="s">
        <v>35</v>
      </c>
      <c r="B292" s="401" t="s">
        <v>35</v>
      </c>
      <c r="C292" s="401" t="s">
        <v>192</v>
      </c>
      <c r="D292" s="401" t="s">
        <v>192</v>
      </c>
      <c r="E292" s="401" t="s">
        <v>1952</v>
      </c>
      <c r="F292" s="5" t="s">
        <v>1533</v>
      </c>
      <c r="G292" s="401"/>
      <c r="H292" s="1093" t="s">
        <v>511</v>
      </c>
      <c r="I292" s="1216" t="s">
        <v>3112</v>
      </c>
      <c r="J292" s="403">
        <v>20</v>
      </c>
      <c r="K292" s="403">
        <v>152</v>
      </c>
      <c r="L292" s="1093" t="s">
        <v>367</v>
      </c>
      <c r="M292" s="401"/>
      <c r="O292" s="399" t="s">
        <v>34</v>
      </c>
      <c r="P292" s="399" t="s">
        <v>34</v>
      </c>
      <c r="Q292" s="399" t="s">
        <v>187</v>
      </c>
      <c r="R292" s="399" t="s">
        <v>187</v>
      </c>
      <c r="S292" s="399" t="s">
        <v>1241</v>
      </c>
      <c r="T292" s="399" t="s">
        <v>1240</v>
      </c>
      <c r="U292" s="941">
        <v>744</v>
      </c>
      <c r="V292" s="941">
        <v>5458</v>
      </c>
      <c r="W292" s="941">
        <v>0</v>
      </c>
      <c r="X292" s="941">
        <v>0</v>
      </c>
      <c r="Y292" s="941">
        <v>1724</v>
      </c>
      <c r="Z292" s="941">
        <v>1724</v>
      </c>
      <c r="AA292" s="942">
        <v>667</v>
      </c>
      <c r="AB292" s="942">
        <v>4799</v>
      </c>
      <c r="AC292" s="942">
        <v>0</v>
      </c>
      <c r="AD292" s="942">
        <v>0</v>
      </c>
      <c r="AE292" s="942">
        <v>1759</v>
      </c>
      <c r="AF292" s="942">
        <v>12681</v>
      </c>
      <c r="AG292" s="943">
        <f>comparaison_samebasis_villages[[#This Row],[previous idp_ind]]-comparaison_samebasis_villages[[#This Row],[actual idp_ind]]</f>
        <v>-659</v>
      </c>
      <c r="AH292" s="943">
        <f>comparaison_samebasis_villages[[#This Row],[previous ref_ind]]-comparaison_samebasis_villages[[#This Row],[actual ref_ind]]</f>
        <v>0</v>
      </c>
      <c r="AI292" s="943">
        <f>comparaison_samebasis_villages[[#This Row],[previous ret_ind]]-comparaison_samebasis_villages[[#This Row],[actual ret_ind]]</f>
        <v>10957</v>
      </c>
    </row>
    <row r="293" spans="1:35" ht="15.75" customHeight="1" x14ac:dyDescent="0.3">
      <c r="A293" s="401" t="s">
        <v>35</v>
      </c>
      <c r="B293" s="401" t="s">
        <v>35</v>
      </c>
      <c r="C293" s="401" t="s">
        <v>192</v>
      </c>
      <c r="D293" s="401" t="s">
        <v>192</v>
      </c>
      <c r="E293" s="401" t="s">
        <v>2947</v>
      </c>
      <c r="F293" s="5" t="s">
        <v>900</v>
      </c>
      <c r="G293" s="401"/>
      <c r="H293" s="1093" t="s">
        <v>511</v>
      </c>
      <c r="I293" s="1216" t="s">
        <v>3110</v>
      </c>
      <c r="J293" s="403">
        <v>3</v>
      </c>
      <c r="K293" s="403">
        <v>19</v>
      </c>
      <c r="L293" s="1093" t="s">
        <v>367</v>
      </c>
      <c r="M293" s="401"/>
      <c r="O293" s="404" t="s">
        <v>34</v>
      </c>
      <c r="P293" s="404" t="s">
        <v>34</v>
      </c>
      <c r="Q293" s="404" t="s">
        <v>187</v>
      </c>
      <c r="R293" s="404" t="s">
        <v>187</v>
      </c>
      <c r="S293" s="404" t="s">
        <v>2545</v>
      </c>
      <c r="T293" s="404" t="s">
        <v>2544</v>
      </c>
      <c r="U293" s="941">
        <v>0</v>
      </c>
      <c r="V293" s="941">
        <v>0</v>
      </c>
      <c r="W293" s="941">
        <v>0</v>
      </c>
      <c r="X293" s="941">
        <v>0</v>
      </c>
      <c r="Y293" s="941">
        <v>0</v>
      </c>
      <c r="Z293" s="941">
        <v>0</v>
      </c>
      <c r="AA293" s="942">
        <v>0</v>
      </c>
      <c r="AB293" s="942">
        <v>0</v>
      </c>
      <c r="AC293" s="942">
        <v>0</v>
      </c>
      <c r="AD293" s="942">
        <v>0</v>
      </c>
      <c r="AE293" s="942">
        <v>0</v>
      </c>
      <c r="AF293" s="942">
        <v>0</v>
      </c>
      <c r="AG293" s="943">
        <f>comparaison_samebasis_villages[[#This Row],[previous idp_ind]]-comparaison_samebasis_villages[[#This Row],[actual idp_ind]]</f>
        <v>0</v>
      </c>
      <c r="AH293" s="943">
        <f>comparaison_samebasis_villages[[#This Row],[previous ref_ind]]-comparaison_samebasis_villages[[#This Row],[actual ref_ind]]</f>
        <v>0</v>
      </c>
      <c r="AI293" s="943">
        <f>comparaison_samebasis_villages[[#This Row],[previous ret_ind]]-comparaison_samebasis_villages[[#This Row],[actual ret_ind]]</f>
        <v>0</v>
      </c>
    </row>
    <row r="294" spans="1:35" ht="15.75" customHeight="1" x14ac:dyDescent="0.3">
      <c r="A294" s="401" t="s">
        <v>35</v>
      </c>
      <c r="B294" s="401" t="s">
        <v>35</v>
      </c>
      <c r="C294" s="401" t="s">
        <v>192</v>
      </c>
      <c r="D294" s="401" t="s">
        <v>192</v>
      </c>
      <c r="E294" s="401" t="s">
        <v>2947</v>
      </c>
      <c r="F294" s="5" t="s">
        <v>900</v>
      </c>
      <c r="G294" s="401"/>
      <c r="H294" s="1093" t="s">
        <v>511</v>
      </c>
      <c r="I294" s="1216" t="s">
        <v>3112</v>
      </c>
      <c r="J294" s="403">
        <v>0</v>
      </c>
      <c r="K294" s="403">
        <v>6</v>
      </c>
      <c r="L294" s="1093" t="s">
        <v>367</v>
      </c>
      <c r="M294" s="401"/>
      <c r="O294" s="404" t="s">
        <v>34</v>
      </c>
      <c r="P294" s="404" t="s">
        <v>34</v>
      </c>
      <c r="Q294" s="404" t="s">
        <v>187</v>
      </c>
      <c r="R294" s="404" t="s">
        <v>187</v>
      </c>
      <c r="S294" s="404" t="s">
        <v>1618</v>
      </c>
      <c r="T294" s="404" t="s">
        <v>2914</v>
      </c>
      <c r="U294" s="941">
        <v>363</v>
      </c>
      <c r="V294" s="941">
        <v>2002</v>
      </c>
      <c r="W294" s="941">
        <v>0</v>
      </c>
      <c r="X294" s="941">
        <v>0</v>
      </c>
      <c r="Y294" s="941">
        <v>239</v>
      </c>
      <c r="Z294" s="941">
        <v>239</v>
      </c>
      <c r="AA294" s="942">
        <v>363</v>
      </c>
      <c r="AB294" s="942">
        <v>1988</v>
      </c>
      <c r="AC294" s="942">
        <v>0</v>
      </c>
      <c r="AD294" s="942">
        <v>0</v>
      </c>
      <c r="AE294" s="942">
        <v>239</v>
      </c>
      <c r="AF294" s="942">
        <v>1215</v>
      </c>
      <c r="AG294" s="943">
        <f>comparaison_samebasis_villages[[#This Row],[previous idp_ind]]-comparaison_samebasis_villages[[#This Row],[actual idp_ind]]</f>
        <v>-14</v>
      </c>
      <c r="AH294" s="943">
        <f>comparaison_samebasis_villages[[#This Row],[previous ref_ind]]-comparaison_samebasis_villages[[#This Row],[actual ref_ind]]</f>
        <v>0</v>
      </c>
      <c r="AI294" s="943">
        <f>comparaison_samebasis_villages[[#This Row],[previous ret_ind]]-comparaison_samebasis_villages[[#This Row],[actual ret_ind]]</f>
        <v>976</v>
      </c>
    </row>
    <row r="295" spans="1:35" ht="15.75" customHeight="1" x14ac:dyDescent="0.3">
      <c r="A295" s="401" t="s">
        <v>35</v>
      </c>
      <c r="B295" s="401" t="s">
        <v>35</v>
      </c>
      <c r="C295" s="401" t="s">
        <v>193</v>
      </c>
      <c r="D295" s="401" t="s">
        <v>3983</v>
      </c>
      <c r="E295" s="401" t="s">
        <v>1586</v>
      </c>
      <c r="F295" s="5" t="s">
        <v>876</v>
      </c>
      <c r="G295" s="401"/>
      <c r="H295" s="1093" t="s">
        <v>511</v>
      </c>
      <c r="I295" s="1216" t="s">
        <v>3033</v>
      </c>
      <c r="J295" s="403">
        <v>21</v>
      </c>
      <c r="K295" s="403">
        <v>104</v>
      </c>
      <c r="L295" s="1093" t="s">
        <v>365</v>
      </c>
      <c r="M295" s="401"/>
      <c r="O295" s="399" t="s">
        <v>34</v>
      </c>
      <c r="P295" s="399" t="s">
        <v>34</v>
      </c>
      <c r="Q295" s="399" t="s">
        <v>187</v>
      </c>
      <c r="R295" s="399" t="s">
        <v>187</v>
      </c>
      <c r="S295" s="399" t="s">
        <v>2547</v>
      </c>
      <c r="T295" s="399" t="s">
        <v>3032</v>
      </c>
      <c r="U295" s="941">
        <v>0</v>
      </c>
      <c r="V295" s="941">
        <v>0</v>
      </c>
      <c r="W295" s="941">
        <v>0</v>
      </c>
      <c r="X295" s="941">
        <v>0</v>
      </c>
      <c r="Y295" s="941">
        <v>0</v>
      </c>
      <c r="Z295" s="941">
        <v>0</v>
      </c>
      <c r="AA295" s="942">
        <v>0</v>
      </c>
      <c r="AB295" s="942">
        <v>0</v>
      </c>
      <c r="AC295" s="942">
        <v>0</v>
      </c>
      <c r="AD295" s="942">
        <v>0</v>
      </c>
      <c r="AE295" s="942">
        <v>0</v>
      </c>
      <c r="AF295" s="942">
        <v>0</v>
      </c>
      <c r="AG295" s="943">
        <f>comparaison_samebasis_villages[[#This Row],[previous idp_ind]]-comparaison_samebasis_villages[[#This Row],[actual idp_ind]]</f>
        <v>0</v>
      </c>
      <c r="AH295" s="943">
        <f>comparaison_samebasis_villages[[#This Row],[previous ref_ind]]-comparaison_samebasis_villages[[#This Row],[actual ref_ind]]</f>
        <v>0</v>
      </c>
      <c r="AI295" s="943">
        <f>comparaison_samebasis_villages[[#This Row],[previous ret_ind]]-comparaison_samebasis_villages[[#This Row],[actual ret_ind]]</f>
        <v>0</v>
      </c>
    </row>
    <row r="296" spans="1:35" ht="15.75" customHeight="1" x14ac:dyDescent="0.3">
      <c r="A296" s="401" t="s">
        <v>35</v>
      </c>
      <c r="B296" s="401" t="s">
        <v>35</v>
      </c>
      <c r="C296" s="401" t="s">
        <v>193</v>
      </c>
      <c r="D296" s="401" t="s">
        <v>3983</v>
      </c>
      <c r="E296" s="401" t="s">
        <v>994</v>
      </c>
      <c r="F296" s="5" t="s">
        <v>1608</v>
      </c>
      <c r="G296" s="401"/>
      <c r="H296" s="1093" t="s">
        <v>511</v>
      </c>
      <c r="I296" s="1216" t="s">
        <v>3111</v>
      </c>
      <c r="J296" s="403">
        <v>13</v>
      </c>
      <c r="K296" s="403">
        <v>105</v>
      </c>
      <c r="L296" s="1093" t="s">
        <v>365</v>
      </c>
      <c r="M296" s="401"/>
      <c r="O296" s="404" t="s">
        <v>34</v>
      </c>
      <c r="P296" s="404" t="s">
        <v>34</v>
      </c>
      <c r="Q296" s="404" t="s">
        <v>187</v>
      </c>
      <c r="R296" s="404" t="s">
        <v>187</v>
      </c>
      <c r="S296" s="404" t="s">
        <v>2549</v>
      </c>
      <c r="T296" s="404" t="s">
        <v>3021</v>
      </c>
      <c r="U296" s="941">
        <v>0</v>
      </c>
      <c r="V296" s="941">
        <v>0</v>
      </c>
      <c r="W296" s="941">
        <v>0</v>
      </c>
      <c r="X296" s="941">
        <v>0</v>
      </c>
      <c r="Y296" s="941">
        <v>0</v>
      </c>
      <c r="Z296" s="941">
        <v>0</v>
      </c>
      <c r="AA296" s="942">
        <v>0</v>
      </c>
      <c r="AB296" s="942">
        <v>0</v>
      </c>
      <c r="AC296" s="942">
        <v>0</v>
      </c>
      <c r="AD296" s="942">
        <v>0</v>
      </c>
      <c r="AE296" s="942">
        <v>0</v>
      </c>
      <c r="AF296" s="942">
        <v>0</v>
      </c>
      <c r="AG296" s="943">
        <f>comparaison_samebasis_villages[[#This Row],[previous idp_ind]]-comparaison_samebasis_villages[[#This Row],[actual idp_ind]]</f>
        <v>0</v>
      </c>
      <c r="AH296" s="943">
        <f>comparaison_samebasis_villages[[#This Row],[previous ref_ind]]-comparaison_samebasis_villages[[#This Row],[actual ref_ind]]</f>
        <v>0</v>
      </c>
      <c r="AI296" s="943">
        <f>comparaison_samebasis_villages[[#This Row],[previous ret_ind]]-comparaison_samebasis_villages[[#This Row],[actual ret_ind]]</f>
        <v>0</v>
      </c>
    </row>
    <row r="297" spans="1:35" ht="15.75" customHeight="1" x14ac:dyDescent="0.3">
      <c r="A297" s="401" t="s">
        <v>35</v>
      </c>
      <c r="B297" s="401" t="s">
        <v>35</v>
      </c>
      <c r="C297" s="401" t="s">
        <v>193</v>
      </c>
      <c r="D297" s="401" t="s">
        <v>3983</v>
      </c>
      <c r="E297" s="401" t="s">
        <v>994</v>
      </c>
      <c r="F297" s="5" t="s">
        <v>1608</v>
      </c>
      <c r="G297" s="401"/>
      <c r="H297" s="1093" t="s">
        <v>511</v>
      </c>
      <c r="I297" s="1216" t="s">
        <v>3112</v>
      </c>
      <c r="J297" s="403">
        <v>7</v>
      </c>
      <c r="K297" s="403">
        <v>30</v>
      </c>
      <c r="L297" s="1093" t="s">
        <v>365</v>
      </c>
      <c r="M297" s="401"/>
      <c r="O297" s="399" t="s">
        <v>34</v>
      </c>
      <c r="P297" s="399" t="s">
        <v>34</v>
      </c>
      <c r="Q297" s="1145" t="s">
        <v>187</v>
      </c>
      <c r="R297" s="1145" t="s">
        <v>187</v>
      </c>
      <c r="S297" s="399" t="s">
        <v>2551</v>
      </c>
      <c r="T297" s="399" t="s">
        <v>1617</v>
      </c>
      <c r="U297" s="941">
        <v>0</v>
      </c>
      <c r="V297" s="941">
        <v>0</v>
      </c>
      <c r="W297" s="941">
        <v>0</v>
      </c>
      <c r="X297" s="941">
        <v>0</v>
      </c>
      <c r="Y297" s="941">
        <v>0</v>
      </c>
      <c r="Z297" s="941">
        <v>0</v>
      </c>
      <c r="AA297" s="942">
        <v>0</v>
      </c>
      <c r="AB297" s="942">
        <v>0</v>
      </c>
      <c r="AC297" s="942">
        <v>0</v>
      </c>
      <c r="AD297" s="942">
        <v>0</v>
      </c>
      <c r="AE297" s="942">
        <v>0</v>
      </c>
      <c r="AF297" s="942">
        <v>0</v>
      </c>
      <c r="AG297" s="943">
        <f>comparaison_samebasis_villages[[#This Row],[previous idp_ind]]-comparaison_samebasis_villages[[#This Row],[actual idp_ind]]</f>
        <v>0</v>
      </c>
      <c r="AH297" s="943">
        <f>comparaison_samebasis_villages[[#This Row],[previous ref_ind]]-comparaison_samebasis_villages[[#This Row],[actual ref_ind]]</f>
        <v>0</v>
      </c>
      <c r="AI297" s="943">
        <f>comparaison_samebasis_villages[[#This Row],[previous ret_ind]]-comparaison_samebasis_villages[[#This Row],[actual ret_ind]]</f>
        <v>0</v>
      </c>
    </row>
    <row r="298" spans="1:35" ht="15.75" customHeight="1" x14ac:dyDescent="0.3">
      <c r="A298" s="401" t="s">
        <v>35</v>
      </c>
      <c r="B298" s="401" t="s">
        <v>35</v>
      </c>
      <c r="C298" s="401" t="s">
        <v>193</v>
      </c>
      <c r="D298" s="401" t="s">
        <v>3983</v>
      </c>
      <c r="E298" s="401" t="s">
        <v>1297</v>
      </c>
      <c r="F298" s="5" t="s">
        <v>1629</v>
      </c>
      <c r="G298" s="401"/>
      <c r="H298" s="1093" t="s">
        <v>511</v>
      </c>
      <c r="I298" s="1216" t="s">
        <v>3111</v>
      </c>
      <c r="J298" s="403">
        <v>59</v>
      </c>
      <c r="K298" s="403">
        <v>417</v>
      </c>
      <c r="L298" s="1093" t="s">
        <v>365</v>
      </c>
      <c r="M298" s="401"/>
      <c r="O298" s="404" t="s">
        <v>34</v>
      </c>
      <c r="P298" s="404" t="s">
        <v>34</v>
      </c>
      <c r="Q298" s="404" t="s">
        <v>187</v>
      </c>
      <c r="R298" s="404" t="s">
        <v>187</v>
      </c>
      <c r="S298" s="404" t="s">
        <v>2553</v>
      </c>
      <c r="T298" s="404" t="s">
        <v>2874</v>
      </c>
      <c r="U298" s="941">
        <v>0</v>
      </c>
      <c r="V298" s="941">
        <v>0</v>
      </c>
      <c r="W298" s="941">
        <v>0</v>
      </c>
      <c r="X298" s="941">
        <v>0</v>
      </c>
      <c r="Y298" s="941">
        <v>0</v>
      </c>
      <c r="Z298" s="941">
        <v>0</v>
      </c>
      <c r="AA298" s="942">
        <v>0</v>
      </c>
      <c r="AB298" s="942">
        <v>0</v>
      </c>
      <c r="AC298" s="942">
        <v>0</v>
      </c>
      <c r="AD298" s="942">
        <v>0</v>
      </c>
      <c r="AE298" s="942">
        <v>0</v>
      </c>
      <c r="AF298" s="942">
        <v>0</v>
      </c>
      <c r="AG298" s="943">
        <f>comparaison_samebasis_villages[[#This Row],[previous idp_ind]]-comparaison_samebasis_villages[[#This Row],[actual idp_ind]]</f>
        <v>0</v>
      </c>
      <c r="AH298" s="943">
        <f>comparaison_samebasis_villages[[#This Row],[previous ref_ind]]-comparaison_samebasis_villages[[#This Row],[actual ref_ind]]</f>
        <v>0</v>
      </c>
      <c r="AI298" s="943">
        <f>comparaison_samebasis_villages[[#This Row],[previous ret_ind]]-comparaison_samebasis_villages[[#This Row],[actual ret_ind]]</f>
        <v>0</v>
      </c>
    </row>
    <row r="299" spans="1:35" ht="15.75" customHeight="1" x14ac:dyDescent="0.3">
      <c r="A299" s="401" t="s">
        <v>35</v>
      </c>
      <c r="B299" s="401" t="s">
        <v>35</v>
      </c>
      <c r="C299" s="401" t="s">
        <v>193</v>
      </c>
      <c r="D299" s="401" t="s">
        <v>3983</v>
      </c>
      <c r="E299" s="401" t="s">
        <v>1571</v>
      </c>
      <c r="F299" s="5" t="s">
        <v>1572</v>
      </c>
      <c r="G299" s="401"/>
      <c r="H299" s="1093" t="s">
        <v>511</v>
      </c>
      <c r="I299" s="1216" t="s">
        <v>3111</v>
      </c>
      <c r="J299" s="403">
        <v>66</v>
      </c>
      <c r="K299" s="403">
        <v>367</v>
      </c>
      <c r="L299" s="1093" t="s">
        <v>365</v>
      </c>
      <c r="M299" s="401"/>
      <c r="O299" s="404" t="s">
        <v>34</v>
      </c>
      <c r="P299" s="404" t="s">
        <v>34</v>
      </c>
      <c r="Q299" s="404" t="s">
        <v>187</v>
      </c>
      <c r="R299" s="404" t="s">
        <v>187</v>
      </c>
      <c r="S299" s="404" t="s">
        <v>2555</v>
      </c>
      <c r="T299" s="404" t="s">
        <v>2830</v>
      </c>
      <c r="U299" s="941">
        <v>0</v>
      </c>
      <c r="V299" s="941">
        <v>0</v>
      </c>
      <c r="W299" s="941">
        <v>0</v>
      </c>
      <c r="X299" s="941">
        <v>0</v>
      </c>
      <c r="Y299" s="941">
        <v>0</v>
      </c>
      <c r="Z299" s="941">
        <v>0</v>
      </c>
      <c r="AA299" s="942">
        <v>0</v>
      </c>
      <c r="AB299" s="942">
        <v>0</v>
      </c>
      <c r="AC299" s="942">
        <v>0</v>
      </c>
      <c r="AD299" s="942">
        <v>0</v>
      </c>
      <c r="AE299" s="942">
        <v>0</v>
      </c>
      <c r="AF299" s="942">
        <v>0</v>
      </c>
      <c r="AG299" s="943">
        <f>comparaison_samebasis_villages[[#This Row],[previous idp_ind]]-comparaison_samebasis_villages[[#This Row],[actual idp_ind]]</f>
        <v>0</v>
      </c>
      <c r="AH299" s="943">
        <f>comparaison_samebasis_villages[[#This Row],[previous ref_ind]]-comparaison_samebasis_villages[[#This Row],[actual ref_ind]]</f>
        <v>0</v>
      </c>
      <c r="AI299" s="943">
        <f>comparaison_samebasis_villages[[#This Row],[previous ret_ind]]-comparaison_samebasis_villages[[#This Row],[actual ret_ind]]</f>
        <v>0</v>
      </c>
    </row>
    <row r="300" spans="1:35" ht="15.75" customHeight="1" x14ac:dyDescent="0.3">
      <c r="A300" s="401" t="s">
        <v>31</v>
      </c>
      <c r="B300" s="401" t="s">
        <v>31</v>
      </c>
      <c r="C300" s="401" t="s">
        <v>171</v>
      </c>
      <c r="D300" s="401" t="s">
        <v>171</v>
      </c>
      <c r="E300" s="401" t="s">
        <v>1542</v>
      </c>
      <c r="F300" s="5" t="s">
        <v>1012</v>
      </c>
      <c r="G300" s="401"/>
      <c r="H300" s="1093" t="s">
        <v>511</v>
      </c>
      <c r="I300" s="1216" t="s">
        <v>3111</v>
      </c>
      <c r="J300" s="403">
        <v>21</v>
      </c>
      <c r="K300" s="403">
        <v>257</v>
      </c>
      <c r="L300" s="1093" t="s">
        <v>365</v>
      </c>
      <c r="M300" s="401"/>
      <c r="O300" s="404" t="s">
        <v>34</v>
      </c>
      <c r="P300" s="404" t="s">
        <v>34</v>
      </c>
      <c r="Q300" s="404" t="s">
        <v>187</v>
      </c>
      <c r="R300" s="404" t="s">
        <v>187</v>
      </c>
      <c r="S300" s="404" t="s">
        <v>2557</v>
      </c>
      <c r="T300" s="404" t="s">
        <v>2800</v>
      </c>
      <c r="U300" s="941">
        <v>0</v>
      </c>
      <c r="V300" s="941">
        <v>0</v>
      </c>
      <c r="W300" s="941">
        <v>0</v>
      </c>
      <c r="X300" s="941">
        <v>0</v>
      </c>
      <c r="Y300" s="941">
        <v>0</v>
      </c>
      <c r="Z300" s="941">
        <v>0</v>
      </c>
      <c r="AA300" s="942">
        <v>0</v>
      </c>
      <c r="AB300" s="942">
        <v>0</v>
      </c>
      <c r="AC300" s="942">
        <v>0</v>
      </c>
      <c r="AD300" s="942">
        <v>0</v>
      </c>
      <c r="AE300" s="942">
        <v>0</v>
      </c>
      <c r="AF300" s="942">
        <v>0</v>
      </c>
      <c r="AG300" s="943">
        <f>comparaison_samebasis_villages[[#This Row],[previous idp_ind]]-comparaison_samebasis_villages[[#This Row],[actual idp_ind]]</f>
        <v>0</v>
      </c>
      <c r="AH300" s="943">
        <f>comparaison_samebasis_villages[[#This Row],[previous ref_ind]]-comparaison_samebasis_villages[[#This Row],[actual ref_ind]]</f>
        <v>0</v>
      </c>
      <c r="AI300" s="943">
        <f>comparaison_samebasis_villages[[#This Row],[previous ret_ind]]-comparaison_samebasis_villages[[#This Row],[actual ret_ind]]</f>
        <v>0</v>
      </c>
    </row>
    <row r="301" spans="1:35" ht="15.75" customHeight="1" x14ac:dyDescent="0.3">
      <c r="A301" s="401" t="s">
        <v>31</v>
      </c>
      <c r="B301" s="401" t="s">
        <v>31</v>
      </c>
      <c r="C301" s="401" t="s">
        <v>171</v>
      </c>
      <c r="D301" s="401" t="s">
        <v>171</v>
      </c>
      <c r="E301" s="401" t="s">
        <v>1318</v>
      </c>
      <c r="F301" s="5" t="s">
        <v>1319</v>
      </c>
      <c r="G301" s="401"/>
      <c r="H301" s="1093" t="s">
        <v>511</v>
      </c>
      <c r="I301" s="1216" t="s">
        <v>3111</v>
      </c>
      <c r="J301" s="403">
        <v>887</v>
      </c>
      <c r="K301" s="403">
        <v>7299</v>
      </c>
      <c r="L301" s="1093" t="s">
        <v>365</v>
      </c>
      <c r="M301" s="401"/>
      <c r="O301" s="404" t="s">
        <v>34</v>
      </c>
      <c r="P301" s="404" t="s">
        <v>34</v>
      </c>
      <c r="Q301" s="404" t="s">
        <v>187</v>
      </c>
      <c r="R301" s="404" t="s">
        <v>187</v>
      </c>
      <c r="S301" s="404" t="s">
        <v>1594</v>
      </c>
      <c r="T301" s="404" t="s">
        <v>2546</v>
      </c>
      <c r="U301" s="941">
        <v>803</v>
      </c>
      <c r="V301" s="941">
        <v>6046</v>
      </c>
      <c r="W301" s="941">
        <v>0</v>
      </c>
      <c r="X301" s="941">
        <v>0</v>
      </c>
      <c r="Y301" s="941">
        <v>0</v>
      </c>
      <c r="Z301" s="941">
        <v>0</v>
      </c>
      <c r="AA301" s="942">
        <v>1053</v>
      </c>
      <c r="AB301" s="942">
        <v>6789</v>
      </c>
      <c r="AC301" s="942">
        <v>0</v>
      </c>
      <c r="AD301" s="942">
        <v>0</v>
      </c>
      <c r="AE301" s="942">
        <v>185</v>
      </c>
      <c r="AF301" s="942">
        <v>1300</v>
      </c>
      <c r="AG301" s="943">
        <f>comparaison_samebasis_villages[[#This Row],[previous idp_ind]]-comparaison_samebasis_villages[[#This Row],[actual idp_ind]]</f>
        <v>743</v>
      </c>
      <c r="AH301" s="943">
        <f>comparaison_samebasis_villages[[#This Row],[previous ref_ind]]-comparaison_samebasis_villages[[#This Row],[actual ref_ind]]</f>
        <v>0</v>
      </c>
      <c r="AI301" s="943">
        <f>comparaison_samebasis_villages[[#This Row],[previous ret_ind]]-comparaison_samebasis_villages[[#This Row],[actual ret_ind]]</f>
        <v>1300</v>
      </c>
    </row>
    <row r="302" spans="1:35" ht="15.75" customHeight="1" x14ac:dyDescent="0.3">
      <c r="A302" s="401" t="s">
        <v>31</v>
      </c>
      <c r="B302" s="401" t="s">
        <v>31</v>
      </c>
      <c r="C302" s="401" t="s">
        <v>172</v>
      </c>
      <c r="D302" s="401" t="s">
        <v>172</v>
      </c>
      <c r="E302" s="401" t="s">
        <v>1030</v>
      </c>
      <c r="F302" s="5" t="s">
        <v>1069</v>
      </c>
      <c r="G302" s="401"/>
      <c r="H302" s="1093" t="s">
        <v>511</v>
      </c>
      <c r="I302" s="1216" t="s">
        <v>3033</v>
      </c>
      <c r="J302" s="403">
        <v>100</v>
      </c>
      <c r="K302" s="403">
        <v>492</v>
      </c>
      <c r="L302" s="1093" t="s">
        <v>367</v>
      </c>
      <c r="M302" s="401"/>
      <c r="O302" s="404" t="s">
        <v>34</v>
      </c>
      <c r="P302" s="404" t="s">
        <v>34</v>
      </c>
      <c r="Q302" s="404" t="s">
        <v>187</v>
      </c>
      <c r="R302" s="404" t="s">
        <v>187</v>
      </c>
      <c r="S302" s="404" t="s">
        <v>953</v>
      </c>
      <c r="T302" s="404" t="s">
        <v>2548</v>
      </c>
      <c r="U302" s="941">
        <v>1952</v>
      </c>
      <c r="V302" s="941">
        <v>12466</v>
      </c>
      <c r="W302" s="941">
        <v>0</v>
      </c>
      <c r="X302" s="941">
        <v>0</v>
      </c>
      <c r="Y302" s="941">
        <v>8</v>
      </c>
      <c r="Z302" s="941">
        <v>8</v>
      </c>
      <c r="AA302" s="942">
        <v>1952</v>
      </c>
      <c r="AB302" s="942">
        <v>12466</v>
      </c>
      <c r="AC302" s="942">
        <v>0</v>
      </c>
      <c r="AD302" s="942">
        <v>0</v>
      </c>
      <c r="AE302" s="942">
        <v>8</v>
      </c>
      <c r="AF302" s="942">
        <v>64</v>
      </c>
      <c r="AG302" s="943">
        <f>comparaison_samebasis_villages[[#This Row],[previous idp_ind]]-comparaison_samebasis_villages[[#This Row],[actual idp_ind]]</f>
        <v>0</v>
      </c>
      <c r="AH302" s="943">
        <f>comparaison_samebasis_villages[[#This Row],[previous ref_ind]]-comparaison_samebasis_villages[[#This Row],[actual ref_ind]]</f>
        <v>0</v>
      </c>
      <c r="AI302" s="943">
        <f>comparaison_samebasis_villages[[#This Row],[previous ret_ind]]-comparaison_samebasis_villages[[#This Row],[actual ret_ind]]</f>
        <v>56</v>
      </c>
    </row>
    <row r="303" spans="1:35" ht="15.75" customHeight="1" x14ac:dyDescent="0.3">
      <c r="A303" s="401" t="s">
        <v>31</v>
      </c>
      <c r="B303" s="401" t="s">
        <v>31</v>
      </c>
      <c r="C303" s="401" t="s">
        <v>172</v>
      </c>
      <c r="D303" s="401" t="s">
        <v>172</v>
      </c>
      <c r="E303" s="401" t="s">
        <v>1030</v>
      </c>
      <c r="F303" s="5" t="s">
        <v>1069</v>
      </c>
      <c r="G303" s="401"/>
      <c r="H303" s="1093" t="s">
        <v>511</v>
      </c>
      <c r="I303" s="1216" t="s">
        <v>3109</v>
      </c>
      <c r="J303" s="403">
        <v>0</v>
      </c>
      <c r="K303" s="403">
        <v>20</v>
      </c>
      <c r="L303" s="1093" t="s">
        <v>367</v>
      </c>
      <c r="M303" s="401"/>
      <c r="O303" s="404" t="s">
        <v>34</v>
      </c>
      <c r="P303" s="404" t="s">
        <v>34</v>
      </c>
      <c r="Q303" s="404" t="s">
        <v>187</v>
      </c>
      <c r="R303" s="404" t="s">
        <v>187</v>
      </c>
      <c r="S303" s="404" t="s">
        <v>1596</v>
      </c>
      <c r="T303" s="404" t="s">
        <v>2550</v>
      </c>
      <c r="U303" s="941">
        <v>50</v>
      </c>
      <c r="V303" s="941">
        <v>513</v>
      </c>
      <c r="W303" s="941">
        <v>0</v>
      </c>
      <c r="X303" s="941">
        <v>0</v>
      </c>
      <c r="Y303" s="941">
        <v>0</v>
      </c>
      <c r="Z303" s="941">
        <v>0</v>
      </c>
      <c r="AA303" s="942">
        <v>50</v>
      </c>
      <c r="AB303" s="942">
        <v>508</v>
      </c>
      <c r="AC303" s="942">
        <v>0</v>
      </c>
      <c r="AD303" s="942">
        <v>0</v>
      </c>
      <c r="AE303" s="942">
        <v>0</v>
      </c>
      <c r="AF303" s="942">
        <v>0</v>
      </c>
      <c r="AG303" s="943">
        <f>comparaison_samebasis_villages[[#This Row],[previous idp_ind]]-comparaison_samebasis_villages[[#This Row],[actual idp_ind]]</f>
        <v>-5</v>
      </c>
      <c r="AH303" s="943">
        <f>comparaison_samebasis_villages[[#This Row],[previous ref_ind]]-comparaison_samebasis_villages[[#This Row],[actual ref_ind]]</f>
        <v>0</v>
      </c>
      <c r="AI303" s="943">
        <f>comparaison_samebasis_villages[[#This Row],[previous ret_ind]]-comparaison_samebasis_villages[[#This Row],[actual ret_ind]]</f>
        <v>0</v>
      </c>
    </row>
    <row r="304" spans="1:35" ht="15.75" customHeight="1" x14ac:dyDescent="0.3">
      <c r="A304" s="401" t="s">
        <v>31</v>
      </c>
      <c r="B304" s="401" t="s">
        <v>31</v>
      </c>
      <c r="C304" s="401" t="s">
        <v>172</v>
      </c>
      <c r="D304" s="401" t="s">
        <v>172</v>
      </c>
      <c r="E304" s="401" t="s">
        <v>1030</v>
      </c>
      <c r="F304" s="5" t="s">
        <v>1069</v>
      </c>
      <c r="G304" s="401"/>
      <c r="H304" s="1093" t="s">
        <v>511</v>
      </c>
      <c r="I304" s="1216" t="s">
        <v>3110</v>
      </c>
      <c r="J304" s="403">
        <v>0</v>
      </c>
      <c r="K304" s="403">
        <v>12</v>
      </c>
      <c r="L304" s="1093" t="s">
        <v>367</v>
      </c>
      <c r="M304" s="401"/>
      <c r="O304" s="404" t="s">
        <v>34</v>
      </c>
      <c r="P304" s="404" t="s">
        <v>34</v>
      </c>
      <c r="Q304" s="404" t="s">
        <v>187</v>
      </c>
      <c r="R304" s="404" t="s">
        <v>187</v>
      </c>
      <c r="S304" s="404" t="s">
        <v>2559</v>
      </c>
      <c r="T304" s="404" t="s">
        <v>2552</v>
      </c>
      <c r="U304" s="941">
        <v>0</v>
      </c>
      <c r="V304" s="941">
        <v>0</v>
      </c>
      <c r="W304" s="941">
        <v>0</v>
      </c>
      <c r="X304" s="941">
        <v>0</v>
      </c>
      <c r="Y304" s="941">
        <v>0</v>
      </c>
      <c r="Z304" s="941">
        <v>0</v>
      </c>
      <c r="AA304" s="942">
        <v>0</v>
      </c>
      <c r="AB304" s="942">
        <v>0</v>
      </c>
      <c r="AC304" s="942">
        <v>0</v>
      </c>
      <c r="AD304" s="942">
        <v>0</v>
      </c>
      <c r="AE304" s="942">
        <v>0</v>
      </c>
      <c r="AF304" s="942">
        <v>0</v>
      </c>
      <c r="AG304" s="943">
        <f>comparaison_samebasis_villages[[#This Row],[previous idp_ind]]-comparaison_samebasis_villages[[#This Row],[actual idp_ind]]</f>
        <v>0</v>
      </c>
      <c r="AH304" s="943">
        <f>comparaison_samebasis_villages[[#This Row],[previous ref_ind]]-comparaison_samebasis_villages[[#This Row],[actual ref_ind]]</f>
        <v>0</v>
      </c>
      <c r="AI304" s="943">
        <f>comparaison_samebasis_villages[[#This Row],[previous ret_ind]]-comparaison_samebasis_villages[[#This Row],[actual ret_ind]]</f>
        <v>0</v>
      </c>
    </row>
    <row r="305" spans="1:35" ht="15.75" customHeight="1" x14ac:dyDescent="0.3">
      <c r="A305" s="401" t="s">
        <v>31</v>
      </c>
      <c r="B305" s="401" t="s">
        <v>31</v>
      </c>
      <c r="C305" s="401" t="s">
        <v>164</v>
      </c>
      <c r="D305" s="401" t="s">
        <v>164</v>
      </c>
      <c r="E305" s="401" t="s">
        <v>1195</v>
      </c>
      <c r="F305" s="5" t="s">
        <v>1196</v>
      </c>
      <c r="G305" s="401"/>
      <c r="H305" s="1093" t="s">
        <v>511</v>
      </c>
      <c r="I305" s="1216" t="s">
        <v>3112</v>
      </c>
      <c r="J305" s="403">
        <v>1</v>
      </c>
      <c r="K305" s="403">
        <v>9</v>
      </c>
      <c r="L305" s="1093" t="s">
        <v>367</v>
      </c>
      <c r="M305" s="401"/>
      <c r="O305" s="404" t="s">
        <v>34</v>
      </c>
      <c r="P305" s="404" t="s">
        <v>34</v>
      </c>
      <c r="Q305" s="404" t="s">
        <v>187</v>
      </c>
      <c r="R305" s="404" t="s">
        <v>187</v>
      </c>
      <c r="S305" s="404" t="s">
        <v>2283</v>
      </c>
      <c r="T305" s="404" t="s">
        <v>2871</v>
      </c>
      <c r="U305" s="941">
        <v>0</v>
      </c>
      <c r="V305" s="941">
        <v>0</v>
      </c>
      <c r="W305" s="941">
        <v>0</v>
      </c>
      <c r="X305" s="941">
        <v>0</v>
      </c>
      <c r="Y305" s="941">
        <v>0</v>
      </c>
      <c r="Z305" s="941">
        <v>0</v>
      </c>
      <c r="AA305" s="942">
        <v>0</v>
      </c>
      <c r="AB305" s="942">
        <v>0</v>
      </c>
      <c r="AC305" s="942">
        <v>0</v>
      </c>
      <c r="AD305" s="942">
        <v>0</v>
      </c>
      <c r="AE305" s="942">
        <v>15</v>
      </c>
      <c r="AF305" s="942">
        <v>307</v>
      </c>
      <c r="AG305" s="943">
        <f>comparaison_samebasis_villages[[#This Row],[previous idp_ind]]-comparaison_samebasis_villages[[#This Row],[actual idp_ind]]</f>
        <v>0</v>
      </c>
      <c r="AH305" s="943">
        <f>comparaison_samebasis_villages[[#This Row],[previous ref_ind]]-comparaison_samebasis_villages[[#This Row],[actual ref_ind]]</f>
        <v>0</v>
      </c>
      <c r="AI305" s="943">
        <f>comparaison_samebasis_villages[[#This Row],[previous ret_ind]]-comparaison_samebasis_villages[[#This Row],[actual ret_ind]]</f>
        <v>307</v>
      </c>
    </row>
    <row r="306" spans="1:35" ht="15.75" customHeight="1" x14ac:dyDescent="0.3">
      <c r="A306" s="401" t="s">
        <v>31</v>
      </c>
      <c r="B306" s="401" t="s">
        <v>31</v>
      </c>
      <c r="C306" s="401" t="s">
        <v>169</v>
      </c>
      <c r="D306" s="401" t="s">
        <v>169</v>
      </c>
      <c r="E306" s="401" t="s">
        <v>2847</v>
      </c>
      <c r="F306" s="5" t="s">
        <v>2352</v>
      </c>
      <c r="G306" s="401"/>
      <c r="H306" s="1093" t="s">
        <v>511</v>
      </c>
      <c r="I306" s="1216" t="s">
        <v>3111</v>
      </c>
      <c r="J306" s="403">
        <v>80</v>
      </c>
      <c r="K306" s="403">
        <v>600</v>
      </c>
      <c r="L306" s="1093" t="s">
        <v>367</v>
      </c>
      <c r="M306" s="401"/>
      <c r="O306" s="404" t="s">
        <v>34</v>
      </c>
      <c r="P306" s="404" t="s">
        <v>34</v>
      </c>
      <c r="Q306" s="404" t="s">
        <v>187</v>
      </c>
      <c r="R306" s="404" t="s">
        <v>187</v>
      </c>
      <c r="S306" s="404" t="s">
        <v>2560</v>
      </c>
      <c r="T306" s="404" t="s">
        <v>2863</v>
      </c>
      <c r="U306" s="941">
        <v>0</v>
      </c>
      <c r="V306" s="941">
        <v>0</v>
      </c>
      <c r="W306" s="941">
        <v>0</v>
      </c>
      <c r="X306" s="941">
        <v>0</v>
      </c>
      <c r="Y306" s="941">
        <v>0</v>
      </c>
      <c r="Z306" s="941">
        <v>0</v>
      </c>
      <c r="AA306" s="942">
        <v>0</v>
      </c>
      <c r="AB306" s="942">
        <v>0</v>
      </c>
      <c r="AC306" s="942">
        <v>0</v>
      </c>
      <c r="AD306" s="942">
        <v>0</v>
      </c>
      <c r="AE306" s="942">
        <v>0</v>
      </c>
      <c r="AF306" s="942">
        <v>0</v>
      </c>
      <c r="AG306" s="943">
        <f>comparaison_samebasis_villages[[#This Row],[previous idp_ind]]-comparaison_samebasis_villages[[#This Row],[actual idp_ind]]</f>
        <v>0</v>
      </c>
      <c r="AH306" s="943">
        <f>comparaison_samebasis_villages[[#This Row],[previous ref_ind]]-comparaison_samebasis_villages[[#This Row],[actual ref_ind]]</f>
        <v>0</v>
      </c>
      <c r="AI306" s="943">
        <f>comparaison_samebasis_villages[[#This Row],[previous ret_ind]]-comparaison_samebasis_villages[[#This Row],[actual ret_ind]]</f>
        <v>0</v>
      </c>
    </row>
    <row r="307" spans="1:35" ht="15.75" customHeight="1" x14ac:dyDescent="0.3">
      <c r="A307" s="401" t="s">
        <v>31</v>
      </c>
      <c r="B307" s="401" t="s">
        <v>31</v>
      </c>
      <c r="C307" s="401" t="s">
        <v>169</v>
      </c>
      <c r="D307" s="401" t="s">
        <v>169</v>
      </c>
      <c r="E307" s="401" t="s">
        <v>2847</v>
      </c>
      <c r="F307" s="5" t="s">
        <v>2352</v>
      </c>
      <c r="G307" s="401"/>
      <c r="H307" s="1093" t="s">
        <v>511</v>
      </c>
      <c r="I307" s="1216" t="s">
        <v>3112</v>
      </c>
      <c r="J307" s="403">
        <v>4</v>
      </c>
      <c r="K307" s="403">
        <v>13</v>
      </c>
      <c r="L307" s="1093" t="s">
        <v>367</v>
      </c>
      <c r="M307" s="401"/>
      <c r="O307" s="404" t="s">
        <v>34</v>
      </c>
      <c r="P307" s="404" t="s">
        <v>34</v>
      </c>
      <c r="Q307" s="404" t="s">
        <v>187</v>
      </c>
      <c r="R307" s="404" t="s">
        <v>187</v>
      </c>
      <c r="S307" s="404" t="s">
        <v>1724</v>
      </c>
      <c r="T307" s="404" t="s">
        <v>2554</v>
      </c>
      <c r="U307" s="941">
        <v>0</v>
      </c>
      <c r="V307" s="941">
        <v>0</v>
      </c>
      <c r="W307" s="941">
        <v>0</v>
      </c>
      <c r="X307" s="941">
        <v>0</v>
      </c>
      <c r="Y307" s="941">
        <v>0</v>
      </c>
      <c r="Z307" s="941">
        <v>0</v>
      </c>
      <c r="AA307" s="942">
        <v>754</v>
      </c>
      <c r="AB307" s="942">
        <v>6056</v>
      </c>
      <c r="AC307" s="942">
        <v>0</v>
      </c>
      <c r="AD307" s="942">
        <v>0</v>
      </c>
      <c r="AE307" s="942">
        <v>10</v>
      </c>
      <c r="AF307" s="942">
        <v>75</v>
      </c>
      <c r="AG307" s="943">
        <f>comparaison_samebasis_villages[[#This Row],[previous idp_ind]]-comparaison_samebasis_villages[[#This Row],[actual idp_ind]]</f>
        <v>6056</v>
      </c>
      <c r="AH307" s="943">
        <f>comparaison_samebasis_villages[[#This Row],[previous ref_ind]]-comparaison_samebasis_villages[[#This Row],[actual ref_ind]]</f>
        <v>0</v>
      </c>
      <c r="AI307" s="943">
        <f>comparaison_samebasis_villages[[#This Row],[previous ret_ind]]-comparaison_samebasis_villages[[#This Row],[actual ret_ind]]</f>
        <v>75</v>
      </c>
    </row>
    <row r="308" spans="1:35" ht="15.75" customHeight="1" x14ac:dyDescent="0.3">
      <c r="A308" s="401" t="s">
        <v>31</v>
      </c>
      <c r="B308" s="401" t="s">
        <v>31</v>
      </c>
      <c r="C308" s="401" t="s">
        <v>169</v>
      </c>
      <c r="D308" s="401" t="s">
        <v>169</v>
      </c>
      <c r="E308" s="401" t="s">
        <v>2833</v>
      </c>
      <c r="F308" s="5" t="s">
        <v>2353</v>
      </c>
      <c r="G308" s="401"/>
      <c r="H308" s="1093" t="s">
        <v>511</v>
      </c>
      <c r="I308" s="1216" t="s">
        <v>3111</v>
      </c>
      <c r="J308" s="403">
        <v>8</v>
      </c>
      <c r="K308" s="403">
        <v>58</v>
      </c>
      <c r="L308" s="1093" t="s">
        <v>365</v>
      </c>
      <c r="M308" s="401"/>
      <c r="O308" s="404" t="s">
        <v>34</v>
      </c>
      <c r="P308" s="404" t="s">
        <v>34</v>
      </c>
      <c r="Q308" s="404" t="s">
        <v>187</v>
      </c>
      <c r="R308" s="404" t="s">
        <v>187</v>
      </c>
      <c r="S308" s="404" t="s">
        <v>2561</v>
      </c>
      <c r="T308" s="404" t="s">
        <v>2915</v>
      </c>
      <c r="U308" s="941">
        <v>0</v>
      </c>
      <c r="V308" s="941">
        <v>0</v>
      </c>
      <c r="W308" s="941">
        <v>0</v>
      </c>
      <c r="X308" s="941">
        <v>0</v>
      </c>
      <c r="Y308" s="941">
        <v>0</v>
      </c>
      <c r="Z308" s="941">
        <v>0</v>
      </c>
      <c r="AA308" s="942">
        <v>0</v>
      </c>
      <c r="AB308" s="942">
        <v>0</v>
      </c>
      <c r="AC308" s="942">
        <v>0</v>
      </c>
      <c r="AD308" s="942">
        <v>0</v>
      </c>
      <c r="AE308" s="942">
        <v>0</v>
      </c>
      <c r="AF308" s="942">
        <v>0</v>
      </c>
      <c r="AG308" s="943">
        <f>comparaison_samebasis_villages[[#This Row],[previous idp_ind]]-comparaison_samebasis_villages[[#This Row],[actual idp_ind]]</f>
        <v>0</v>
      </c>
      <c r="AH308" s="943">
        <f>comparaison_samebasis_villages[[#This Row],[previous ref_ind]]-comparaison_samebasis_villages[[#This Row],[actual ref_ind]]</f>
        <v>0</v>
      </c>
      <c r="AI308" s="943">
        <f>comparaison_samebasis_villages[[#This Row],[previous ret_ind]]-comparaison_samebasis_villages[[#This Row],[actual ret_ind]]</f>
        <v>0</v>
      </c>
    </row>
    <row r="309" spans="1:35" ht="15.75" customHeight="1" x14ac:dyDescent="0.3">
      <c r="A309" s="401" t="s">
        <v>31</v>
      </c>
      <c r="B309" s="401" t="s">
        <v>31</v>
      </c>
      <c r="C309" s="401" t="s">
        <v>169</v>
      </c>
      <c r="D309" s="401" t="s">
        <v>169</v>
      </c>
      <c r="E309" s="401" t="s">
        <v>2833</v>
      </c>
      <c r="F309" s="5" t="s">
        <v>2353</v>
      </c>
      <c r="G309" s="401"/>
      <c r="H309" s="1093" t="s">
        <v>511</v>
      </c>
      <c r="I309" s="1216" t="s">
        <v>3112</v>
      </c>
      <c r="J309" s="403">
        <v>5</v>
      </c>
      <c r="K309" s="403">
        <v>14</v>
      </c>
      <c r="L309" s="1093" t="s">
        <v>365</v>
      </c>
      <c r="M309" s="401"/>
      <c r="O309" s="404" t="s">
        <v>34</v>
      </c>
      <c r="P309" s="404" t="s">
        <v>34</v>
      </c>
      <c r="Q309" s="404" t="s">
        <v>187</v>
      </c>
      <c r="R309" s="404" t="s">
        <v>187</v>
      </c>
      <c r="S309" s="404" t="s">
        <v>1416</v>
      </c>
      <c r="T309" s="404" t="s">
        <v>2556</v>
      </c>
      <c r="U309" s="941">
        <v>315</v>
      </c>
      <c r="V309" s="941">
        <v>2608</v>
      </c>
      <c r="W309" s="941">
        <v>0</v>
      </c>
      <c r="X309" s="941">
        <v>0</v>
      </c>
      <c r="Y309" s="941">
        <v>0</v>
      </c>
      <c r="Z309" s="941">
        <v>0</v>
      </c>
      <c r="AA309" s="942">
        <v>281</v>
      </c>
      <c r="AB309" s="942">
        <v>2340</v>
      </c>
      <c r="AC309" s="942">
        <v>0</v>
      </c>
      <c r="AD309" s="942">
        <v>0</v>
      </c>
      <c r="AE309" s="942">
        <v>0</v>
      </c>
      <c r="AF309" s="942">
        <v>0</v>
      </c>
      <c r="AG309" s="943">
        <f>comparaison_samebasis_villages[[#This Row],[previous idp_ind]]-comparaison_samebasis_villages[[#This Row],[actual idp_ind]]</f>
        <v>-268</v>
      </c>
      <c r="AH309" s="943">
        <f>comparaison_samebasis_villages[[#This Row],[previous ref_ind]]-comparaison_samebasis_villages[[#This Row],[actual ref_ind]]</f>
        <v>0</v>
      </c>
      <c r="AI309" s="943">
        <f>comparaison_samebasis_villages[[#This Row],[previous ret_ind]]-comparaison_samebasis_villages[[#This Row],[actual ret_ind]]</f>
        <v>0</v>
      </c>
    </row>
    <row r="310" spans="1:35" ht="15.75" customHeight="1" x14ac:dyDescent="0.3">
      <c r="A310" s="401" t="s">
        <v>31</v>
      </c>
      <c r="B310" s="401" t="s">
        <v>31</v>
      </c>
      <c r="C310" s="401" t="s">
        <v>169</v>
      </c>
      <c r="D310" s="401" t="s">
        <v>169</v>
      </c>
      <c r="E310" s="401" t="s">
        <v>2969</v>
      </c>
      <c r="F310" s="5" t="s">
        <v>2355</v>
      </c>
      <c r="G310" s="401"/>
      <c r="H310" s="1093" t="s">
        <v>511</v>
      </c>
      <c r="I310" s="1216" t="s">
        <v>3111</v>
      </c>
      <c r="J310" s="403">
        <v>48</v>
      </c>
      <c r="K310" s="403">
        <v>300</v>
      </c>
      <c r="L310" s="1093" t="s">
        <v>367</v>
      </c>
      <c r="M310" s="401"/>
      <c r="O310" s="404" t="s">
        <v>34</v>
      </c>
      <c r="P310" s="404" t="s">
        <v>34</v>
      </c>
      <c r="Q310" s="404" t="s">
        <v>187</v>
      </c>
      <c r="R310" s="404" t="s">
        <v>187</v>
      </c>
      <c r="S310" s="404" t="s">
        <v>1350</v>
      </c>
      <c r="T310" s="404" t="s">
        <v>1593</v>
      </c>
      <c r="U310" s="941">
        <v>693</v>
      </c>
      <c r="V310" s="941">
        <v>5709</v>
      </c>
      <c r="W310" s="941">
        <v>0</v>
      </c>
      <c r="X310" s="941">
        <v>0</v>
      </c>
      <c r="Y310" s="941">
        <v>0</v>
      </c>
      <c r="Z310" s="941">
        <v>0</v>
      </c>
      <c r="AA310" s="942">
        <v>693</v>
      </c>
      <c r="AB310" s="942">
        <v>5689</v>
      </c>
      <c r="AC310" s="942">
        <v>0</v>
      </c>
      <c r="AD310" s="942">
        <v>0</v>
      </c>
      <c r="AE310" s="942">
        <v>0</v>
      </c>
      <c r="AF310" s="942">
        <v>0</v>
      </c>
      <c r="AG310" s="943">
        <f>comparaison_samebasis_villages[[#This Row],[previous idp_ind]]-comparaison_samebasis_villages[[#This Row],[actual idp_ind]]</f>
        <v>-20</v>
      </c>
      <c r="AH310" s="943">
        <f>comparaison_samebasis_villages[[#This Row],[previous ref_ind]]-comparaison_samebasis_villages[[#This Row],[actual ref_ind]]</f>
        <v>0</v>
      </c>
      <c r="AI310" s="943">
        <f>comparaison_samebasis_villages[[#This Row],[previous ret_ind]]-comparaison_samebasis_villages[[#This Row],[actual ret_ind]]</f>
        <v>0</v>
      </c>
    </row>
    <row r="311" spans="1:35" ht="15.75" customHeight="1" x14ac:dyDescent="0.3">
      <c r="A311" s="401" t="s">
        <v>31</v>
      </c>
      <c r="B311" s="401" t="s">
        <v>31</v>
      </c>
      <c r="C311" s="401" t="s">
        <v>169</v>
      </c>
      <c r="D311" s="401" t="s">
        <v>169</v>
      </c>
      <c r="E311" s="401" t="s">
        <v>2969</v>
      </c>
      <c r="F311" s="5" t="s">
        <v>2355</v>
      </c>
      <c r="G311" s="401"/>
      <c r="H311" s="1093" t="s">
        <v>511</v>
      </c>
      <c r="I311" s="1216" t="s">
        <v>3112</v>
      </c>
      <c r="J311" s="403">
        <v>3</v>
      </c>
      <c r="K311" s="403">
        <v>10</v>
      </c>
      <c r="L311" s="1093" t="s">
        <v>367</v>
      </c>
      <c r="M311" s="401"/>
      <c r="O311" s="404" t="s">
        <v>34</v>
      </c>
      <c r="P311" s="404" t="s">
        <v>34</v>
      </c>
      <c r="Q311" s="404" t="s">
        <v>187</v>
      </c>
      <c r="R311" s="404" t="s">
        <v>187</v>
      </c>
      <c r="S311" s="404" t="s">
        <v>1575</v>
      </c>
      <c r="T311" s="404" t="s">
        <v>2919</v>
      </c>
      <c r="U311" s="941">
        <v>832</v>
      </c>
      <c r="V311" s="941">
        <v>6588</v>
      </c>
      <c r="W311" s="941">
        <v>0</v>
      </c>
      <c r="X311" s="941">
        <v>0</v>
      </c>
      <c r="Y311" s="941">
        <v>52</v>
      </c>
      <c r="Z311" s="941">
        <v>52</v>
      </c>
      <c r="AA311" s="942">
        <v>774</v>
      </c>
      <c r="AB311" s="942">
        <v>6117</v>
      </c>
      <c r="AC311" s="942">
        <v>0</v>
      </c>
      <c r="AD311" s="942">
        <v>0</v>
      </c>
      <c r="AE311" s="942">
        <v>52</v>
      </c>
      <c r="AF311" s="942">
        <v>353</v>
      </c>
      <c r="AG311" s="943">
        <f>comparaison_samebasis_villages[[#This Row],[previous idp_ind]]-comparaison_samebasis_villages[[#This Row],[actual idp_ind]]</f>
        <v>-471</v>
      </c>
      <c r="AH311" s="943">
        <f>comparaison_samebasis_villages[[#This Row],[previous ref_ind]]-comparaison_samebasis_villages[[#This Row],[actual ref_ind]]</f>
        <v>0</v>
      </c>
      <c r="AI311" s="943">
        <f>comparaison_samebasis_villages[[#This Row],[previous ret_ind]]-comparaison_samebasis_villages[[#This Row],[actual ret_ind]]</f>
        <v>301</v>
      </c>
    </row>
    <row r="312" spans="1:35" ht="15.75" customHeight="1" x14ac:dyDescent="0.3">
      <c r="A312" s="401" t="s">
        <v>33</v>
      </c>
      <c r="B312" s="401" t="s">
        <v>33</v>
      </c>
      <c r="C312" s="1093" t="s">
        <v>183</v>
      </c>
      <c r="D312" s="1093" t="s">
        <v>183</v>
      </c>
      <c r="E312" s="401" t="s">
        <v>620</v>
      </c>
      <c r="F312" s="1090" t="s">
        <v>621</v>
      </c>
      <c r="G312" s="401"/>
      <c r="H312" s="1093" t="s">
        <v>511</v>
      </c>
      <c r="I312" s="1216" t="s">
        <v>3109</v>
      </c>
      <c r="J312" s="403">
        <v>1</v>
      </c>
      <c r="K312" s="403">
        <v>8</v>
      </c>
      <c r="L312" s="1093" t="s">
        <v>367</v>
      </c>
      <c r="M312" s="401"/>
      <c r="O312" s="404" t="s">
        <v>34</v>
      </c>
      <c r="P312" s="404" t="s">
        <v>34</v>
      </c>
      <c r="Q312" s="404" t="s">
        <v>187</v>
      </c>
      <c r="R312" s="404" t="s">
        <v>187</v>
      </c>
      <c r="S312" s="404" t="s">
        <v>1616</v>
      </c>
      <c r="T312" s="404" t="s">
        <v>3017</v>
      </c>
      <c r="U312" s="941">
        <v>595</v>
      </c>
      <c r="V312" s="941">
        <v>4043</v>
      </c>
      <c r="W312" s="941">
        <v>0</v>
      </c>
      <c r="X312" s="941">
        <v>0</v>
      </c>
      <c r="Y312" s="941">
        <v>75</v>
      </c>
      <c r="Z312" s="941">
        <v>75</v>
      </c>
      <c r="AA312" s="942">
        <v>656</v>
      </c>
      <c r="AB312" s="942">
        <v>4393</v>
      </c>
      <c r="AC312" s="942">
        <v>0</v>
      </c>
      <c r="AD312" s="942">
        <v>0</v>
      </c>
      <c r="AE312" s="942">
        <v>75</v>
      </c>
      <c r="AF312" s="942">
        <v>446</v>
      </c>
      <c r="AG312" s="943">
        <f>comparaison_samebasis_villages[[#This Row],[previous idp_ind]]-comparaison_samebasis_villages[[#This Row],[actual idp_ind]]</f>
        <v>350</v>
      </c>
      <c r="AH312" s="943">
        <f>comparaison_samebasis_villages[[#This Row],[previous ref_ind]]-comparaison_samebasis_villages[[#This Row],[actual ref_ind]]</f>
        <v>0</v>
      </c>
      <c r="AI312" s="943">
        <f>comparaison_samebasis_villages[[#This Row],[previous ret_ind]]-comparaison_samebasis_villages[[#This Row],[actual ret_ind]]</f>
        <v>371</v>
      </c>
    </row>
    <row r="313" spans="1:35" ht="15.75" customHeight="1" x14ac:dyDescent="0.3">
      <c r="A313" s="401" t="s">
        <v>33</v>
      </c>
      <c r="B313" s="401" t="s">
        <v>33</v>
      </c>
      <c r="C313" s="401" t="s">
        <v>183</v>
      </c>
      <c r="D313" s="401" t="s">
        <v>183</v>
      </c>
      <c r="E313" s="401" t="s">
        <v>620</v>
      </c>
      <c r="F313" s="5" t="s">
        <v>621</v>
      </c>
      <c r="G313" s="401"/>
      <c r="H313" s="1093" t="s">
        <v>511</v>
      </c>
      <c r="I313" s="1216" t="s">
        <v>3112</v>
      </c>
      <c r="J313" s="403">
        <v>1</v>
      </c>
      <c r="K313" s="403">
        <v>4</v>
      </c>
      <c r="L313" s="1093" t="s">
        <v>367</v>
      </c>
      <c r="M313" s="401"/>
      <c r="O313" s="404" t="s">
        <v>34</v>
      </c>
      <c r="P313" s="404" t="s">
        <v>34</v>
      </c>
      <c r="Q313" s="404" t="s">
        <v>187</v>
      </c>
      <c r="R313" s="404" t="s">
        <v>187</v>
      </c>
      <c r="S313" s="404" t="s">
        <v>2562</v>
      </c>
      <c r="T313" s="404" t="s">
        <v>2819</v>
      </c>
      <c r="U313" s="941">
        <v>0</v>
      </c>
      <c r="V313" s="941">
        <v>0</v>
      </c>
      <c r="W313" s="941">
        <v>0</v>
      </c>
      <c r="X313" s="941">
        <v>0</v>
      </c>
      <c r="Y313" s="941">
        <v>0</v>
      </c>
      <c r="Z313" s="941">
        <v>0</v>
      </c>
      <c r="AA313" s="942">
        <v>0</v>
      </c>
      <c r="AB313" s="942">
        <v>0</v>
      </c>
      <c r="AC313" s="942">
        <v>0</v>
      </c>
      <c r="AD313" s="942">
        <v>0</v>
      </c>
      <c r="AE313" s="942">
        <v>0</v>
      </c>
      <c r="AF313" s="942">
        <v>0</v>
      </c>
      <c r="AG313" s="943">
        <f>comparaison_samebasis_villages[[#This Row],[previous idp_ind]]-comparaison_samebasis_villages[[#This Row],[actual idp_ind]]</f>
        <v>0</v>
      </c>
      <c r="AH313" s="943">
        <f>comparaison_samebasis_villages[[#This Row],[previous ref_ind]]-comparaison_samebasis_villages[[#This Row],[actual ref_ind]]</f>
        <v>0</v>
      </c>
      <c r="AI313" s="943">
        <f>comparaison_samebasis_villages[[#This Row],[previous ret_ind]]-comparaison_samebasis_villages[[#This Row],[actual ret_ind]]</f>
        <v>0</v>
      </c>
    </row>
    <row r="314" spans="1:35" ht="15.75" customHeight="1" x14ac:dyDescent="0.3">
      <c r="A314" s="401" t="s">
        <v>33</v>
      </c>
      <c r="B314" s="401" t="s">
        <v>33</v>
      </c>
      <c r="C314" s="401" t="s">
        <v>183</v>
      </c>
      <c r="D314" s="401" t="s">
        <v>183</v>
      </c>
      <c r="E314" s="401" t="s">
        <v>2194</v>
      </c>
      <c r="F314" s="5" t="s">
        <v>2195</v>
      </c>
      <c r="G314" s="401"/>
      <c r="H314" s="1093" t="s">
        <v>511</v>
      </c>
      <c r="I314" s="1216" t="s">
        <v>3033</v>
      </c>
      <c r="J314" s="403">
        <v>2</v>
      </c>
      <c r="K314" s="403">
        <v>27</v>
      </c>
      <c r="L314" s="1093" t="s">
        <v>367</v>
      </c>
      <c r="M314" s="401"/>
      <c r="O314" s="404" t="s">
        <v>34</v>
      </c>
      <c r="P314" s="404" t="s">
        <v>34</v>
      </c>
      <c r="Q314" s="404" t="s">
        <v>187</v>
      </c>
      <c r="R314" s="404" t="s">
        <v>187</v>
      </c>
      <c r="S314" s="404" t="s">
        <v>2563</v>
      </c>
      <c r="T314" s="404" t="s">
        <v>2889</v>
      </c>
      <c r="U314" s="941">
        <v>0</v>
      </c>
      <c r="V314" s="941">
        <v>0</v>
      </c>
      <c r="W314" s="941">
        <v>0</v>
      </c>
      <c r="X314" s="941">
        <v>0</v>
      </c>
      <c r="Y314" s="941">
        <v>0</v>
      </c>
      <c r="Z314" s="941">
        <v>0</v>
      </c>
      <c r="AA314" s="942">
        <v>0</v>
      </c>
      <c r="AB314" s="942">
        <v>0</v>
      </c>
      <c r="AC314" s="942">
        <v>0</v>
      </c>
      <c r="AD314" s="942">
        <v>0</v>
      </c>
      <c r="AE314" s="942">
        <v>0</v>
      </c>
      <c r="AF314" s="942">
        <v>0</v>
      </c>
      <c r="AG314" s="943">
        <f>comparaison_samebasis_villages[[#This Row],[previous idp_ind]]-comparaison_samebasis_villages[[#This Row],[actual idp_ind]]</f>
        <v>0</v>
      </c>
      <c r="AH314" s="943">
        <f>comparaison_samebasis_villages[[#This Row],[previous ref_ind]]-comparaison_samebasis_villages[[#This Row],[actual ref_ind]]</f>
        <v>0</v>
      </c>
      <c r="AI314" s="943">
        <f>comparaison_samebasis_villages[[#This Row],[previous ret_ind]]-comparaison_samebasis_villages[[#This Row],[actual ret_ind]]</f>
        <v>0</v>
      </c>
    </row>
    <row r="315" spans="1:35" ht="15.75" customHeight="1" x14ac:dyDescent="0.3">
      <c r="A315" s="401" t="s">
        <v>34</v>
      </c>
      <c r="B315" s="401" t="s">
        <v>34</v>
      </c>
      <c r="C315" s="401" t="s">
        <v>188</v>
      </c>
      <c r="D315" s="401" t="s">
        <v>188</v>
      </c>
      <c r="E315" s="401" t="s">
        <v>2911</v>
      </c>
      <c r="F315" s="5" t="s">
        <v>1267</v>
      </c>
      <c r="G315" s="401"/>
      <c r="H315" s="1093" t="s">
        <v>511</v>
      </c>
      <c r="I315" s="1216" t="s">
        <v>3033</v>
      </c>
      <c r="J315" s="403">
        <v>5</v>
      </c>
      <c r="K315" s="403">
        <v>35</v>
      </c>
      <c r="L315" s="1093" t="s">
        <v>365</v>
      </c>
      <c r="M315" s="401"/>
      <c r="O315" s="404" t="s">
        <v>34</v>
      </c>
      <c r="P315" s="404" t="s">
        <v>34</v>
      </c>
      <c r="Q315" s="404" t="s">
        <v>187</v>
      </c>
      <c r="R315" s="404" t="s">
        <v>187</v>
      </c>
      <c r="S315" s="404" t="s">
        <v>2564</v>
      </c>
      <c r="T315" s="404" t="s">
        <v>2916</v>
      </c>
      <c r="U315" s="941">
        <v>0</v>
      </c>
      <c r="V315" s="941">
        <v>0</v>
      </c>
      <c r="W315" s="941">
        <v>0</v>
      </c>
      <c r="X315" s="941">
        <v>0</v>
      </c>
      <c r="Y315" s="941">
        <v>0</v>
      </c>
      <c r="Z315" s="941">
        <v>0</v>
      </c>
      <c r="AA315" s="942">
        <v>0</v>
      </c>
      <c r="AB315" s="942">
        <v>0</v>
      </c>
      <c r="AC315" s="942">
        <v>0</v>
      </c>
      <c r="AD315" s="942">
        <v>0</v>
      </c>
      <c r="AE315" s="942">
        <v>0</v>
      </c>
      <c r="AF315" s="942">
        <v>0</v>
      </c>
      <c r="AG315" s="943">
        <f>comparaison_samebasis_villages[[#This Row],[previous idp_ind]]-comparaison_samebasis_villages[[#This Row],[actual idp_ind]]</f>
        <v>0</v>
      </c>
      <c r="AH315" s="943">
        <f>comparaison_samebasis_villages[[#This Row],[previous ref_ind]]-comparaison_samebasis_villages[[#This Row],[actual ref_ind]]</f>
        <v>0</v>
      </c>
      <c r="AI315" s="943">
        <f>comparaison_samebasis_villages[[#This Row],[previous ret_ind]]-comparaison_samebasis_villages[[#This Row],[actual ret_ind]]</f>
        <v>0</v>
      </c>
    </row>
    <row r="316" spans="1:35" ht="15.75" customHeight="1" x14ac:dyDescent="0.3">
      <c r="A316" s="401" t="s">
        <v>34</v>
      </c>
      <c r="B316" s="401" t="s">
        <v>34</v>
      </c>
      <c r="C316" s="401" t="s">
        <v>188</v>
      </c>
      <c r="D316" s="401" t="s">
        <v>188</v>
      </c>
      <c r="E316" s="401" t="s">
        <v>1513</v>
      </c>
      <c r="F316" s="5" t="s">
        <v>1074</v>
      </c>
      <c r="G316" s="401"/>
      <c r="H316" s="1093" t="s">
        <v>511</v>
      </c>
      <c r="I316" s="1216" t="s">
        <v>3033</v>
      </c>
      <c r="J316" s="403">
        <v>2</v>
      </c>
      <c r="K316" s="403">
        <v>8</v>
      </c>
      <c r="L316" s="1093" t="s">
        <v>367</v>
      </c>
      <c r="M316" s="401"/>
      <c r="O316" s="404" t="s">
        <v>34</v>
      </c>
      <c r="P316" s="404" t="s">
        <v>34</v>
      </c>
      <c r="Q316" s="404" t="s">
        <v>187</v>
      </c>
      <c r="R316" s="404" t="s">
        <v>187</v>
      </c>
      <c r="S316" s="404" t="s">
        <v>1379</v>
      </c>
      <c r="T316" s="404" t="s">
        <v>3004</v>
      </c>
      <c r="U316" s="941">
        <v>103</v>
      </c>
      <c r="V316" s="941">
        <v>471</v>
      </c>
      <c r="W316" s="941">
        <v>0</v>
      </c>
      <c r="X316" s="941">
        <v>0</v>
      </c>
      <c r="Y316" s="941">
        <v>83</v>
      </c>
      <c r="Z316" s="941">
        <v>83</v>
      </c>
      <c r="AA316" s="942">
        <v>103</v>
      </c>
      <c r="AB316" s="942">
        <v>467</v>
      </c>
      <c r="AC316" s="942">
        <v>0</v>
      </c>
      <c r="AD316" s="942">
        <v>0</v>
      </c>
      <c r="AE316" s="942">
        <v>83</v>
      </c>
      <c r="AF316" s="942">
        <v>553</v>
      </c>
      <c r="AG316" s="943">
        <f>comparaison_samebasis_villages[[#This Row],[previous idp_ind]]-comparaison_samebasis_villages[[#This Row],[actual idp_ind]]</f>
        <v>-4</v>
      </c>
      <c r="AH316" s="943">
        <f>comparaison_samebasis_villages[[#This Row],[previous ref_ind]]-comparaison_samebasis_villages[[#This Row],[actual ref_ind]]</f>
        <v>0</v>
      </c>
      <c r="AI316" s="943">
        <f>comparaison_samebasis_villages[[#This Row],[previous ret_ind]]-comparaison_samebasis_villages[[#This Row],[actual ret_ind]]</f>
        <v>470</v>
      </c>
    </row>
    <row r="317" spans="1:35" ht="15.75" customHeight="1" x14ac:dyDescent="0.3">
      <c r="A317" s="401" t="s">
        <v>35</v>
      </c>
      <c r="B317" s="401" t="s">
        <v>35</v>
      </c>
      <c r="C317" s="401" t="s">
        <v>192</v>
      </c>
      <c r="D317" s="401" t="s">
        <v>192</v>
      </c>
      <c r="E317" s="401" t="s">
        <v>947</v>
      </c>
      <c r="F317" s="5" t="s">
        <v>962</v>
      </c>
      <c r="G317" s="401"/>
      <c r="H317" s="1093" t="s">
        <v>511</v>
      </c>
      <c r="I317" s="1216" t="s">
        <v>3110</v>
      </c>
      <c r="J317" s="403">
        <v>2</v>
      </c>
      <c r="K317" s="403">
        <v>3</v>
      </c>
      <c r="L317" s="1093" t="s">
        <v>367</v>
      </c>
      <c r="M317" s="401"/>
      <c r="O317" s="404" t="s">
        <v>34</v>
      </c>
      <c r="P317" s="404" t="s">
        <v>34</v>
      </c>
      <c r="Q317" s="404" t="s">
        <v>187</v>
      </c>
      <c r="R317" s="404" t="s">
        <v>187</v>
      </c>
      <c r="S317" s="404" t="s">
        <v>2565</v>
      </c>
      <c r="T317" s="404" t="s">
        <v>2934</v>
      </c>
      <c r="U317" s="941">
        <v>0</v>
      </c>
      <c r="V317" s="941">
        <v>0</v>
      </c>
      <c r="W317" s="941">
        <v>0</v>
      </c>
      <c r="X317" s="941">
        <v>0</v>
      </c>
      <c r="Y317" s="941">
        <v>0</v>
      </c>
      <c r="Z317" s="941">
        <v>0</v>
      </c>
      <c r="AA317" s="942">
        <v>0</v>
      </c>
      <c r="AB317" s="942">
        <v>0</v>
      </c>
      <c r="AC317" s="942">
        <v>0</v>
      </c>
      <c r="AD317" s="942">
        <v>0</v>
      </c>
      <c r="AE317" s="942">
        <v>0</v>
      </c>
      <c r="AF317" s="942">
        <v>0</v>
      </c>
      <c r="AG317" s="943">
        <f>comparaison_samebasis_villages[[#This Row],[previous idp_ind]]-comparaison_samebasis_villages[[#This Row],[actual idp_ind]]</f>
        <v>0</v>
      </c>
      <c r="AH317" s="943">
        <f>comparaison_samebasis_villages[[#This Row],[previous ref_ind]]-comparaison_samebasis_villages[[#This Row],[actual ref_ind]]</f>
        <v>0</v>
      </c>
      <c r="AI317" s="943">
        <f>comparaison_samebasis_villages[[#This Row],[previous ret_ind]]-comparaison_samebasis_villages[[#This Row],[actual ret_ind]]</f>
        <v>0</v>
      </c>
    </row>
    <row r="318" spans="1:35" ht="15.75" customHeight="1" x14ac:dyDescent="0.3">
      <c r="A318" s="401" t="s">
        <v>35</v>
      </c>
      <c r="B318" s="401" t="s">
        <v>35</v>
      </c>
      <c r="C318" s="401" t="s">
        <v>192</v>
      </c>
      <c r="D318" s="401" t="s">
        <v>192</v>
      </c>
      <c r="E318" s="401" t="s">
        <v>947</v>
      </c>
      <c r="F318" s="5" t="s">
        <v>962</v>
      </c>
      <c r="G318" s="401"/>
      <c r="H318" s="1093" t="s">
        <v>511</v>
      </c>
      <c r="I318" s="1216" t="s">
        <v>3111</v>
      </c>
      <c r="J318" s="403">
        <v>2</v>
      </c>
      <c r="K318" s="403">
        <v>5</v>
      </c>
      <c r="L318" s="1093" t="s">
        <v>367</v>
      </c>
      <c r="M318" s="401"/>
      <c r="O318" s="404" t="s">
        <v>34</v>
      </c>
      <c r="P318" s="404" t="s">
        <v>34</v>
      </c>
      <c r="Q318" s="404" t="s">
        <v>187</v>
      </c>
      <c r="R318" s="404" t="s">
        <v>187</v>
      </c>
      <c r="S318" s="404" t="s">
        <v>2235</v>
      </c>
      <c r="T318" s="404" t="s">
        <v>2834</v>
      </c>
      <c r="U318" s="941">
        <v>0</v>
      </c>
      <c r="V318" s="941">
        <v>0</v>
      </c>
      <c r="W318" s="941">
        <v>0</v>
      </c>
      <c r="X318" s="941">
        <v>0</v>
      </c>
      <c r="Y318" s="941">
        <v>0</v>
      </c>
      <c r="Z318" s="941">
        <v>0</v>
      </c>
      <c r="AA318" s="942">
        <v>0</v>
      </c>
      <c r="AB318" s="942">
        <v>0</v>
      </c>
      <c r="AC318" s="942">
        <v>0</v>
      </c>
      <c r="AD318" s="942">
        <v>0</v>
      </c>
      <c r="AE318" s="942">
        <v>0</v>
      </c>
      <c r="AF318" s="942">
        <v>0</v>
      </c>
      <c r="AG318" s="943">
        <f>comparaison_samebasis_villages[[#This Row],[previous idp_ind]]-comparaison_samebasis_villages[[#This Row],[actual idp_ind]]</f>
        <v>0</v>
      </c>
      <c r="AH318" s="943">
        <f>comparaison_samebasis_villages[[#This Row],[previous ref_ind]]-comparaison_samebasis_villages[[#This Row],[actual ref_ind]]</f>
        <v>0</v>
      </c>
      <c r="AI318" s="943">
        <f>comparaison_samebasis_villages[[#This Row],[previous ret_ind]]-comparaison_samebasis_villages[[#This Row],[actual ret_ind]]</f>
        <v>0</v>
      </c>
    </row>
    <row r="319" spans="1:35" ht="15.75" customHeight="1" x14ac:dyDescent="0.3">
      <c r="A319" s="401" t="s">
        <v>35</v>
      </c>
      <c r="B319" s="401" t="s">
        <v>35</v>
      </c>
      <c r="C319" s="401" t="s">
        <v>192</v>
      </c>
      <c r="D319" s="401" t="s">
        <v>192</v>
      </c>
      <c r="E319" s="401" t="s">
        <v>947</v>
      </c>
      <c r="F319" s="5" t="s">
        <v>962</v>
      </c>
      <c r="G319" s="401"/>
      <c r="H319" s="1093" t="s">
        <v>511</v>
      </c>
      <c r="I319" s="1216" t="s">
        <v>3112</v>
      </c>
      <c r="J319" s="403">
        <v>21</v>
      </c>
      <c r="K319" s="403">
        <v>150</v>
      </c>
      <c r="L319" s="1093" t="s">
        <v>367</v>
      </c>
      <c r="M319" s="401"/>
      <c r="O319" s="399" t="s">
        <v>34</v>
      </c>
      <c r="P319" s="399" t="s">
        <v>34</v>
      </c>
      <c r="Q319" s="399" t="s">
        <v>187</v>
      </c>
      <c r="R319" s="399" t="s">
        <v>187</v>
      </c>
      <c r="S319" s="399" t="s">
        <v>1239</v>
      </c>
      <c r="T319" s="399" t="s">
        <v>952</v>
      </c>
      <c r="U319" s="941">
        <v>9</v>
      </c>
      <c r="V319" s="941">
        <v>100</v>
      </c>
      <c r="W319" s="941">
        <v>0</v>
      </c>
      <c r="X319" s="941">
        <v>0</v>
      </c>
      <c r="Y319" s="941">
        <v>15</v>
      </c>
      <c r="Z319" s="941">
        <v>15</v>
      </c>
      <c r="AA319" s="942">
        <v>9</v>
      </c>
      <c r="AB319" s="942">
        <v>84</v>
      </c>
      <c r="AC319" s="942">
        <v>0</v>
      </c>
      <c r="AD319" s="942">
        <v>0</v>
      </c>
      <c r="AE319" s="942">
        <v>15</v>
      </c>
      <c r="AF319" s="942">
        <v>91</v>
      </c>
      <c r="AG319" s="943">
        <f>comparaison_samebasis_villages[[#This Row],[previous idp_ind]]-comparaison_samebasis_villages[[#This Row],[actual idp_ind]]</f>
        <v>-16</v>
      </c>
      <c r="AH319" s="943">
        <f>comparaison_samebasis_villages[[#This Row],[previous ref_ind]]-comparaison_samebasis_villages[[#This Row],[actual ref_ind]]</f>
        <v>0</v>
      </c>
      <c r="AI319" s="943">
        <f>comparaison_samebasis_villages[[#This Row],[previous ret_ind]]-comparaison_samebasis_villages[[#This Row],[actual ret_ind]]</f>
        <v>76</v>
      </c>
    </row>
    <row r="320" spans="1:35" ht="15.75" customHeight="1" x14ac:dyDescent="0.3">
      <c r="A320" s="401" t="s">
        <v>34</v>
      </c>
      <c r="B320" s="401" t="s">
        <v>34</v>
      </c>
      <c r="C320" s="401" t="s">
        <v>188</v>
      </c>
      <c r="D320" s="401" t="s">
        <v>188</v>
      </c>
      <c r="E320" s="401" t="s">
        <v>1687</v>
      </c>
      <c r="F320" s="5" t="s">
        <v>1492</v>
      </c>
      <c r="G320" s="401"/>
      <c r="H320" s="1093" t="s">
        <v>511</v>
      </c>
      <c r="I320" s="1216" t="s">
        <v>3033</v>
      </c>
      <c r="J320" s="403">
        <v>15</v>
      </c>
      <c r="K320" s="403">
        <v>68</v>
      </c>
      <c r="L320" s="1093" t="s">
        <v>367</v>
      </c>
      <c r="M320" s="401"/>
      <c r="O320" s="399" t="s">
        <v>34</v>
      </c>
      <c r="P320" s="399" t="s">
        <v>34</v>
      </c>
      <c r="Q320" s="399" t="s">
        <v>187</v>
      </c>
      <c r="R320" s="399" t="s">
        <v>187</v>
      </c>
      <c r="S320" s="399" t="s">
        <v>1612</v>
      </c>
      <c r="T320" s="399" t="s">
        <v>3005</v>
      </c>
      <c r="U320" s="941">
        <v>90</v>
      </c>
      <c r="V320" s="941">
        <v>551</v>
      </c>
      <c r="W320" s="941">
        <v>0</v>
      </c>
      <c r="X320" s="941">
        <v>0</v>
      </c>
      <c r="Y320" s="941">
        <v>40</v>
      </c>
      <c r="Z320" s="941">
        <v>40</v>
      </c>
      <c r="AA320" s="942">
        <v>90</v>
      </c>
      <c r="AB320" s="942">
        <v>594</v>
      </c>
      <c r="AC320" s="942">
        <v>0</v>
      </c>
      <c r="AD320" s="942">
        <v>0</v>
      </c>
      <c r="AE320" s="942">
        <v>40</v>
      </c>
      <c r="AF320" s="942">
        <v>314</v>
      </c>
      <c r="AG320" s="943">
        <f>comparaison_samebasis_villages[[#This Row],[previous idp_ind]]-comparaison_samebasis_villages[[#This Row],[actual idp_ind]]</f>
        <v>43</v>
      </c>
      <c r="AH320" s="943">
        <f>comparaison_samebasis_villages[[#This Row],[previous ref_ind]]-comparaison_samebasis_villages[[#This Row],[actual ref_ind]]</f>
        <v>0</v>
      </c>
      <c r="AI320" s="943">
        <f>comparaison_samebasis_villages[[#This Row],[previous ret_ind]]-comparaison_samebasis_villages[[#This Row],[actual ret_ind]]</f>
        <v>274</v>
      </c>
    </row>
    <row r="321" spans="1:35" ht="15.75" customHeight="1" x14ac:dyDescent="0.3">
      <c r="A321" s="401" t="s">
        <v>34</v>
      </c>
      <c r="B321" s="401" t="s">
        <v>34</v>
      </c>
      <c r="C321" s="401" t="s">
        <v>188</v>
      </c>
      <c r="D321" s="401" t="s">
        <v>188</v>
      </c>
      <c r="E321" s="401" t="s">
        <v>1687</v>
      </c>
      <c r="F321" s="5" t="s">
        <v>1492</v>
      </c>
      <c r="G321" s="401"/>
      <c r="H321" s="1093" t="s">
        <v>511</v>
      </c>
      <c r="I321" s="1216" t="s">
        <v>3110</v>
      </c>
      <c r="J321" s="403">
        <v>0</v>
      </c>
      <c r="K321" s="403">
        <v>10</v>
      </c>
      <c r="L321" s="1093" t="s">
        <v>367</v>
      </c>
      <c r="M321" s="401"/>
      <c r="O321" s="404" t="s">
        <v>34</v>
      </c>
      <c r="P321" s="404" t="s">
        <v>34</v>
      </c>
      <c r="Q321" s="404" t="s">
        <v>187</v>
      </c>
      <c r="R321" s="404" t="s">
        <v>187</v>
      </c>
      <c r="S321" s="404" t="s">
        <v>1467</v>
      </c>
      <c r="T321" s="404" t="s">
        <v>1595</v>
      </c>
      <c r="U321" s="941">
        <v>63</v>
      </c>
      <c r="V321" s="941">
        <v>385</v>
      </c>
      <c r="W321" s="941">
        <v>0</v>
      </c>
      <c r="X321" s="941">
        <v>0</v>
      </c>
      <c r="Y321" s="941">
        <v>0</v>
      </c>
      <c r="Z321" s="941">
        <v>0</v>
      </c>
      <c r="AA321" s="942">
        <v>63</v>
      </c>
      <c r="AB321" s="942">
        <v>389</v>
      </c>
      <c r="AC321" s="942">
        <v>0</v>
      </c>
      <c r="AD321" s="942">
        <v>0</v>
      </c>
      <c r="AE321" s="942">
        <v>0</v>
      </c>
      <c r="AF321" s="942">
        <v>0</v>
      </c>
      <c r="AG321" s="943">
        <f>comparaison_samebasis_villages[[#This Row],[previous idp_ind]]-comparaison_samebasis_villages[[#This Row],[actual idp_ind]]</f>
        <v>4</v>
      </c>
      <c r="AH321" s="943">
        <f>comparaison_samebasis_villages[[#This Row],[previous ref_ind]]-comparaison_samebasis_villages[[#This Row],[actual ref_ind]]</f>
        <v>0</v>
      </c>
      <c r="AI321" s="943">
        <f>comparaison_samebasis_villages[[#This Row],[previous ret_ind]]-comparaison_samebasis_villages[[#This Row],[actual ret_ind]]</f>
        <v>0</v>
      </c>
    </row>
    <row r="322" spans="1:35" ht="15.75" customHeight="1" x14ac:dyDescent="0.3">
      <c r="A322" s="401" t="s">
        <v>31</v>
      </c>
      <c r="B322" s="401" t="s">
        <v>31</v>
      </c>
      <c r="C322" s="401" t="s">
        <v>170</v>
      </c>
      <c r="D322" s="401" t="s">
        <v>170</v>
      </c>
      <c r="E322" s="401" t="s">
        <v>1702</v>
      </c>
      <c r="F322" s="5" t="s">
        <v>874</v>
      </c>
      <c r="G322" s="401"/>
      <c r="H322" s="1093" t="s">
        <v>511</v>
      </c>
      <c r="I322" s="1216" t="s">
        <v>3112</v>
      </c>
      <c r="J322" s="403">
        <v>15</v>
      </c>
      <c r="K322" s="403">
        <v>34</v>
      </c>
      <c r="L322" s="1093" t="s">
        <v>369</v>
      </c>
      <c r="M322" s="401"/>
      <c r="O322" s="404" t="s">
        <v>34</v>
      </c>
      <c r="P322" s="404" t="s">
        <v>34</v>
      </c>
      <c r="Q322" s="404" t="s">
        <v>187</v>
      </c>
      <c r="R322" s="404" t="s">
        <v>187</v>
      </c>
      <c r="S322" s="404" t="s">
        <v>1466</v>
      </c>
      <c r="T322" s="404" t="s">
        <v>3006</v>
      </c>
      <c r="U322" s="941">
        <v>354</v>
      </c>
      <c r="V322" s="941">
        <v>2677</v>
      </c>
      <c r="W322" s="941">
        <v>0</v>
      </c>
      <c r="X322" s="941">
        <v>0</v>
      </c>
      <c r="Y322" s="941">
        <v>0</v>
      </c>
      <c r="Z322" s="941">
        <v>0</v>
      </c>
      <c r="AA322" s="942">
        <v>319</v>
      </c>
      <c r="AB322" s="942">
        <v>2424</v>
      </c>
      <c r="AC322" s="942">
        <v>0</v>
      </c>
      <c r="AD322" s="942">
        <v>0</v>
      </c>
      <c r="AE322" s="942">
        <v>0</v>
      </c>
      <c r="AF322" s="942">
        <v>0</v>
      </c>
      <c r="AG322" s="943">
        <f>comparaison_samebasis_villages[[#This Row],[previous idp_ind]]-comparaison_samebasis_villages[[#This Row],[actual idp_ind]]</f>
        <v>-253</v>
      </c>
      <c r="AH322" s="943">
        <f>comparaison_samebasis_villages[[#This Row],[previous ref_ind]]-comparaison_samebasis_villages[[#This Row],[actual ref_ind]]</f>
        <v>0</v>
      </c>
      <c r="AI322" s="943">
        <f>comparaison_samebasis_villages[[#This Row],[previous ret_ind]]-comparaison_samebasis_villages[[#This Row],[actual ret_ind]]</f>
        <v>0</v>
      </c>
    </row>
    <row r="323" spans="1:35" ht="15.75" customHeight="1" x14ac:dyDescent="0.3">
      <c r="A323" s="401" t="s">
        <v>34</v>
      </c>
      <c r="B323" s="401" t="s">
        <v>34</v>
      </c>
      <c r="C323" s="401" t="s">
        <v>188</v>
      </c>
      <c r="D323" s="401" t="s">
        <v>188</v>
      </c>
      <c r="E323" s="401" t="s">
        <v>1042</v>
      </c>
      <c r="F323" s="5" t="s">
        <v>1627</v>
      </c>
      <c r="G323" s="401"/>
      <c r="H323" s="1093" t="s">
        <v>511</v>
      </c>
      <c r="I323" s="1216" t="s">
        <v>3111</v>
      </c>
      <c r="J323" s="403">
        <v>1</v>
      </c>
      <c r="K323" s="403">
        <v>6</v>
      </c>
      <c r="L323" s="1093" t="s">
        <v>365</v>
      </c>
      <c r="M323" s="401"/>
      <c r="O323" s="404" t="s">
        <v>34</v>
      </c>
      <c r="P323" s="404" t="s">
        <v>34</v>
      </c>
      <c r="Q323" s="1145" t="s">
        <v>187</v>
      </c>
      <c r="R323" s="1145" t="s">
        <v>187</v>
      </c>
      <c r="S323" s="404" t="s">
        <v>1429</v>
      </c>
      <c r="T323" s="404" t="s">
        <v>3008</v>
      </c>
      <c r="U323" s="941" t="s">
        <v>3373</v>
      </c>
      <c r="V323" s="941" t="s">
        <v>3373</v>
      </c>
      <c r="W323" s="941" t="s">
        <v>3373</v>
      </c>
      <c r="X323" s="941" t="s">
        <v>3373</v>
      </c>
      <c r="Y323" s="941" t="s">
        <v>3373</v>
      </c>
      <c r="Z323" s="941" t="s">
        <v>3373</v>
      </c>
      <c r="AA323" s="942">
        <v>99</v>
      </c>
      <c r="AB323" s="942">
        <v>578</v>
      </c>
      <c r="AC323" s="942">
        <v>0</v>
      </c>
      <c r="AD323" s="942">
        <v>0</v>
      </c>
      <c r="AE323" s="942">
        <v>0</v>
      </c>
      <c r="AF323" s="942">
        <v>0</v>
      </c>
      <c r="AG323" s="943" t="e">
        <f>comparaison_samebasis_villages[[#This Row],[previous idp_ind]]-comparaison_samebasis_villages[[#This Row],[actual idp_ind]]</f>
        <v>#VALUE!</v>
      </c>
      <c r="AH323" s="943" t="e">
        <f>comparaison_samebasis_villages[[#This Row],[previous ref_ind]]-comparaison_samebasis_villages[[#This Row],[actual ref_ind]]</f>
        <v>#VALUE!</v>
      </c>
      <c r="AI323" s="943" t="e">
        <f>comparaison_samebasis_villages[[#This Row],[previous ret_ind]]-comparaison_samebasis_villages[[#This Row],[actual ret_ind]]</f>
        <v>#VALUE!</v>
      </c>
    </row>
    <row r="324" spans="1:35" ht="15.75" customHeight="1" x14ac:dyDescent="0.3">
      <c r="A324" s="401" t="s">
        <v>34</v>
      </c>
      <c r="B324" s="401" t="s">
        <v>34</v>
      </c>
      <c r="C324" s="401" t="s">
        <v>188</v>
      </c>
      <c r="D324" s="401" t="s">
        <v>188</v>
      </c>
      <c r="E324" s="401" t="s">
        <v>1042</v>
      </c>
      <c r="F324" s="5" t="s">
        <v>1627</v>
      </c>
      <c r="G324" s="401"/>
      <c r="H324" s="1093" t="s">
        <v>511</v>
      </c>
      <c r="I324" s="1216" t="s">
        <v>3110</v>
      </c>
      <c r="J324" s="403">
        <v>4</v>
      </c>
      <c r="K324" s="403">
        <v>30</v>
      </c>
      <c r="L324" s="1093" t="s">
        <v>365</v>
      </c>
      <c r="M324" s="401"/>
      <c r="O324" s="404" t="s">
        <v>34</v>
      </c>
      <c r="P324" s="404" t="s">
        <v>34</v>
      </c>
      <c r="Q324" s="1145" t="s">
        <v>187</v>
      </c>
      <c r="R324" s="1145" t="s">
        <v>187</v>
      </c>
      <c r="S324" s="404" t="s">
        <v>1464</v>
      </c>
      <c r="T324" s="404" t="s">
        <v>2558</v>
      </c>
      <c r="U324" s="941">
        <v>0</v>
      </c>
      <c r="V324" s="941">
        <v>0</v>
      </c>
      <c r="W324" s="941">
        <v>0</v>
      </c>
      <c r="X324" s="941">
        <v>0</v>
      </c>
      <c r="Y324" s="941">
        <v>0</v>
      </c>
      <c r="Z324" s="941">
        <v>0</v>
      </c>
      <c r="AA324" s="942">
        <v>0</v>
      </c>
      <c r="AB324" s="942">
        <v>0</v>
      </c>
      <c r="AC324" s="942">
        <v>0</v>
      </c>
      <c r="AD324" s="942">
        <v>0</v>
      </c>
      <c r="AE324" s="942">
        <v>0</v>
      </c>
      <c r="AF324" s="942">
        <v>0</v>
      </c>
      <c r="AG324" s="943">
        <f>comparaison_samebasis_villages[[#This Row],[previous idp_ind]]-comparaison_samebasis_villages[[#This Row],[actual idp_ind]]</f>
        <v>0</v>
      </c>
      <c r="AH324" s="943">
        <f>comparaison_samebasis_villages[[#This Row],[previous ref_ind]]-comparaison_samebasis_villages[[#This Row],[actual ref_ind]]</f>
        <v>0</v>
      </c>
      <c r="AI324" s="943">
        <f>comparaison_samebasis_villages[[#This Row],[previous ret_ind]]-comparaison_samebasis_villages[[#This Row],[actual ret_ind]]</f>
        <v>0</v>
      </c>
    </row>
    <row r="325" spans="1:35" ht="15.75" customHeight="1" x14ac:dyDescent="0.3">
      <c r="A325" s="401" t="s">
        <v>35</v>
      </c>
      <c r="B325" s="401" t="s">
        <v>35</v>
      </c>
      <c r="C325" s="401" t="s">
        <v>193</v>
      </c>
      <c r="D325" s="401" t="s">
        <v>3983</v>
      </c>
      <c r="E325" s="401" t="s">
        <v>1569</v>
      </c>
      <c r="F325" s="5" t="s">
        <v>1570</v>
      </c>
      <c r="G325" s="401"/>
      <c r="H325" s="1093" t="s">
        <v>511</v>
      </c>
      <c r="I325" s="1216" t="s">
        <v>3110</v>
      </c>
      <c r="J325" s="403">
        <v>29</v>
      </c>
      <c r="K325" s="403">
        <v>143</v>
      </c>
      <c r="L325" s="1093" t="s">
        <v>365</v>
      </c>
      <c r="M325" s="401"/>
      <c r="O325" s="404" t="s">
        <v>34</v>
      </c>
      <c r="P325" s="404" t="s">
        <v>34</v>
      </c>
      <c r="Q325" s="404" t="s">
        <v>187</v>
      </c>
      <c r="R325" s="404" t="s">
        <v>187</v>
      </c>
      <c r="S325" s="404" t="s">
        <v>1609</v>
      </c>
      <c r="T325" s="404" t="s">
        <v>3007</v>
      </c>
      <c r="U325" s="941">
        <v>173</v>
      </c>
      <c r="V325" s="941">
        <v>1298</v>
      </c>
      <c r="W325" s="941">
        <v>0</v>
      </c>
      <c r="X325" s="941">
        <v>0</v>
      </c>
      <c r="Y325" s="941">
        <v>209</v>
      </c>
      <c r="Z325" s="941">
        <v>209</v>
      </c>
      <c r="AA325" s="942">
        <v>115</v>
      </c>
      <c r="AB325" s="942">
        <v>738</v>
      </c>
      <c r="AC325" s="942">
        <v>0</v>
      </c>
      <c r="AD325" s="942">
        <v>0</v>
      </c>
      <c r="AE325" s="942">
        <v>209</v>
      </c>
      <c r="AF325" s="942">
        <v>937</v>
      </c>
      <c r="AG325" s="943">
        <f>comparaison_samebasis_villages[[#This Row],[previous idp_ind]]-comparaison_samebasis_villages[[#This Row],[actual idp_ind]]</f>
        <v>-560</v>
      </c>
      <c r="AH325" s="943">
        <f>comparaison_samebasis_villages[[#This Row],[previous ref_ind]]-comparaison_samebasis_villages[[#This Row],[actual ref_ind]]</f>
        <v>0</v>
      </c>
      <c r="AI325" s="943">
        <f>comparaison_samebasis_villages[[#This Row],[previous ret_ind]]-comparaison_samebasis_villages[[#This Row],[actual ret_ind]]</f>
        <v>728</v>
      </c>
    </row>
    <row r="326" spans="1:35" ht="15.75" customHeight="1" x14ac:dyDescent="0.3">
      <c r="A326" s="401" t="s">
        <v>35</v>
      </c>
      <c r="B326" s="401" t="s">
        <v>35</v>
      </c>
      <c r="C326" s="401" t="s">
        <v>193</v>
      </c>
      <c r="D326" s="401" t="s">
        <v>3983</v>
      </c>
      <c r="E326" s="401" t="s">
        <v>1566</v>
      </c>
      <c r="F326" s="5" t="s">
        <v>1123</v>
      </c>
      <c r="G326" s="401"/>
      <c r="H326" s="1093" t="s">
        <v>511</v>
      </c>
      <c r="I326" s="1216" t="s">
        <v>3112</v>
      </c>
      <c r="J326" s="403">
        <v>4</v>
      </c>
      <c r="K326" s="403">
        <v>4</v>
      </c>
      <c r="L326" s="1093" t="s">
        <v>365</v>
      </c>
      <c r="M326" s="401"/>
      <c r="O326" s="404" t="s">
        <v>31</v>
      </c>
      <c r="P326" s="404" t="s">
        <v>31</v>
      </c>
      <c r="Q326" s="404" t="s">
        <v>170</v>
      </c>
      <c r="R326" s="404" t="s">
        <v>170</v>
      </c>
      <c r="S326" s="404" t="s">
        <v>1859</v>
      </c>
      <c r="T326" s="404" t="s">
        <v>1858</v>
      </c>
      <c r="U326" s="941">
        <v>52</v>
      </c>
      <c r="V326" s="941">
        <v>272</v>
      </c>
      <c r="W326" s="941">
        <v>0</v>
      </c>
      <c r="X326" s="941">
        <v>0</v>
      </c>
      <c r="Y326" s="941">
        <v>0</v>
      </c>
      <c r="Z326" s="941">
        <v>0</v>
      </c>
      <c r="AA326" s="942">
        <v>56</v>
      </c>
      <c r="AB326" s="942">
        <v>277</v>
      </c>
      <c r="AC326" s="942">
        <v>0</v>
      </c>
      <c r="AD326" s="942">
        <v>0</v>
      </c>
      <c r="AE326" s="942">
        <v>0</v>
      </c>
      <c r="AF326" s="942">
        <v>0</v>
      </c>
      <c r="AG326" s="943">
        <f>comparaison_samebasis_villages[[#This Row],[previous idp_ind]]-comparaison_samebasis_villages[[#This Row],[actual idp_ind]]</f>
        <v>5</v>
      </c>
      <c r="AH326" s="943">
        <f>comparaison_samebasis_villages[[#This Row],[previous ref_ind]]-comparaison_samebasis_villages[[#This Row],[actual ref_ind]]</f>
        <v>0</v>
      </c>
      <c r="AI326" s="943">
        <f>comparaison_samebasis_villages[[#This Row],[previous ret_ind]]-comparaison_samebasis_villages[[#This Row],[actual ret_ind]]</f>
        <v>0</v>
      </c>
    </row>
    <row r="327" spans="1:35" ht="15.75" customHeight="1" x14ac:dyDescent="0.3">
      <c r="A327" s="401" t="s">
        <v>35</v>
      </c>
      <c r="B327" s="401" t="s">
        <v>35</v>
      </c>
      <c r="C327" s="401" t="s">
        <v>195</v>
      </c>
      <c r="D327" s="401" t="s">
        <v>195</v>
      </c>
      <c r="E327" s="401" t="s">
        <v>1518</v>
      </c>
      <c r="F327" s="5" t="s">
        <v>2142</v>
      </c>
      <c r="G327" s="401"/>
      <c r="H327" s="1093" t="s">
        <v>511</v>
      </c>
      <c r="I327" s="1216" t="s">
        <v>3111</v>
      </c>
      <c r="J327" s="403">
        <v>7</v>
      </c>
      <c r="K327" s="403">
        <v>46</v>
      </c>
      <c r="L327" s="1214" t="s">
        <v>367</v>
      </c>
      <c r="M327" s="401"/>
      <c r="O327" s="404" t="s">
        <v>31</v>
      </c>
      <c r="P327" s="404" t="s">
        <v>31</v>
      </c>
      <c r="Q327" s="404" t="s">
        <v>170</v>
      </c>
      <c r="R327" s="404" t="s">
        <v>170</v>
      </c>
      <c r="S327" s="404" t="s">
        <v>1705</v>
      </c>
      <c r="T327" s="404" t="s">
        <v>1704</v>
      </c>
      <c r="U327" s="941">
        <v>683</v>
      </c>
      <c r="V327" s="941">
        <v>2420</v>
      </c>
      <c r="W327" s="941">
        <v>0</v>
      </c>
      <c r="X327" s="941">
        <v>0</v>
      </c>
      <c r="Y327" s="941">
        <v>0</v>
      </c>
      <c r="Z327" s="941">
        <v>0</v>
      </c>
      <c r="AA327" s="942">
        <v>105</v>
      </c>
      <c r="AB327" s="942">
        <v>635</v>
      </c>
      <c r="AC327" s="942">
        <v>0</v>
      </c>
      <c r="AD327" s="942">
        <v>0</v>
      </c>
      <c r="AE327" s="942">
        <v>0</v>
      </c>
      <c r="AF327" s="942">
        <v>0</v>
      </c>
      <c r="AG327" s="943">
        <f>comparaison_samebasis_villages[[#This Row],[previous idp_ind]]-comparaison_samebasis_villages[[#This Row],[actual idp_ind]]</f>
        <v>-1785</v>
      </c>
      <c r="AH327" s="943">
        <f>comparaison_samebasis_villages[[#This Row],[previous ref_ind]]-comparaison_samebasis_villages[[#This Row],[actual ref_ind]]</f>
        <v>0</v>
      </c>
      <c r="AI327" s="943">
        <f>comparaison_samebasis_villages[[#This Row],[previous ret_ind]]-comparaison_samebasis_villages[[#This Row],[actual ret_ind]]</f>
        <v>0</v>
      </c>
    </row>
    <row r="328" spans="1:35" ht="15.75" customHeight="1" x14ac:dyDescent="0.3">
      <c r="A328" s="401" t="s">
        <v>35</v>
      </c>
      <c r="B328" s="401" t="s">
        <v>35</v>
      </c>
      <c r="C328" s="401" t="s">
        <v>195</v>
      </c>
      <c r="D328" s="401" t="s">
        <v>195</v>
      </c>
      <c r="E328" s="401" t="s">
        <v>1518</v>
      </c>
      <c r="F328" s="5" t="s">
        <v>2142</v>
      </c>
      <c r="G328" s="401"/>
      <c r="H328" s="1093" t="s">
        <v>511</v>
      </c>
      <c r="I328" s="1216" t="s">
        <v>3112</v>
      </c>
      <c r="J328" s="403">
        <v>7</v>
      </c>
      <c r="K328" s="403">
        <v>52</v>
      </c>
      <c r="L328" s="1093" t="s">
        <v>367</v>
      </c>
      <c r="M328" s="401"/>
      <c r="O328" s="404" t="s">
        <v>31</v>
      </c>
      <c r="P328" s="404" t="s">
        <v>31</v>
      </c>
      <c r="Q328" s="404" t="s">
        <v>170</v>
      </c>
      <c r="R328" s="404" t="s">
        <v>170</v>
      </c>
      <c r="S328" s="404" t="s">
        <v>1368</v>
      </c>
      <c r="T328" s="404" t="s">
        <v>1367</v>
      </c>
      <c r="U328" s="941">
        <v>0</v>
      </c>
      <c r="V328" s="941">
        <v>0</v>
      </c>
      <c r="W328" s="941">
        <v>2</v>
      </c>
      <c r="X328" s="941">
        <v>10</v>
      </c>
      <c r="Y328" s="941">
        <v>3</v>
      </c>
      <c r="Z328" s="941">
        <v>3</v>
      </c>
      <c r="AA328" s="942">
        <v>5</v>
      </c>
      <c r="AB328" s="942">
        <v>30</v>
      </c>
      <c r="AC328" s="942">
        <v>0</v>
      </c>
      <c r="AD328" s="942">
        <v>0</v>
      </c>
      <c r="AE328" s="942">
        <v>7</v>
      </c>
      <c r="AF328" s="942">
        <v>40</v>
      </c>
      <c r="AG328" s="943">
        <f>comparaison_samebasis_villages[[#This Row],[previous idp_ind]]-comparaison_samebasis_villages[[#This Row],[actual idp_ind]]</f>
        <v>30</v>
      </c>
      <c r="AH328" s="943">
        <f>comparaison_samebasis_villages[[#This Row],[previous ref_ind]]-comparaison_samebasis_villages[[#This Row],[actual ref_ind]]</f>
        <v>-10</v>
      </c>
      <c r="AI328" s="943">
        <f>comparaison_samebasis_villages[[#This Row],[previous ret_ind]]-comparaison_samebasis_villages[[#This Row],[actual ret_ind]]</f>
        <v>37</v>
      </c>
    </row>
    <row r="329" spans="1:35" ht="15.75" customHeight="1" x14ac:dyDescent="0.3">
      <c r="A329" s="401" t="s">
        <v>35</v>
      </c>
      <c r="B329" s="401" t="s">
        <v>35</v>
      </c>
      <c r="C329" s="401" t="s">
        <v>192</v>
      </c>
      <c r="D329" s="401" t="s">
        <v>192</v>
      </c>
      <c r="E329" s="401" t="s">
        <v>897</v>
      </c>
      <c r="F329" s="5" t="s">
        <v>1638</v>
      </c>
      <c r="G329" s="401"/>
      <c r="H329" s="1093" t="s">
        <v>511</v>
      </c>
      <c r="I329" s="1216" t="s">
        <v>3112</v>
      </c>
      <c r="J329" s="403">
        <v>7</v>
      </c>
      <c r="K329" s="403">
        <v>31</v>
      </c>
      <c r="L329" s="1093" t="s">
        <v>367</v>
      </c>
      <c r="M329" s="401"/>
      <c r="O329" s="404" t="s">
        <v>31</v>
      </c>
      <c r="P329" s="404" t="s">
        <v>31</v>
      </c>
      <c r="Q329" s="404" t="s">
        <v>170</v>
      </c>
      <c r="R329" s="404" t="s">
        <v>170</v>
      </c>
      <c r="S329" s="404" t="s">
        <v>956</v>
      </c>
      <c r="T329" s="404" t="s">
        <v>955</v>
      </c>
      <c r="U329" s="941">
        <v>11</v>
      </c>
      <c r="V329" s="941">
        <v>35</v>
      </c>
      <c r="W329" s="941">
        <v>0</v>
      </c>
      <c r="X329" s="941">
        <v>0</v>
      </c>
      <c r="Y329" s="941">
        <v>107</v>
      </c>
      <c r="Z329" s="941">
        <v>107</v>
      </c>
      <c r="AA329" s="942">
        <v>4</v>
      </c>
      <c r="AB329" s="942">
        <v>19</v>
      </c>
      <c r="AC329" s="942">
        <v>0</v>
      </c>
      <c r="AD329" s="942">
        <v>0</v>
      </c>
      <c r="AE329" s="942">
        <v>0</v>
      </c>
      <c r="AF329" s="942">
        <v>0</v>
      </c>
      <c r="AG329" s="943">
        <f>comparaison_samebasis_villages[[#This Row],[previous idp_ind]]-comparaison_samebasis_villages[[#This Row],[actual idp_ind]]</f>
        <v>-16</v>
      </c>
      <c r="AH329" s="943">
        <f>comparaison_samebasis_villages[[#This Row],[previous ref_ind]]-comparaison_samebasis_villages[[#This Row],[actual ref_ind]]</f>
        <v>0</v>
      </c>
      <c r="AI329" s="943">
        <f>comparaison_samebasis_villages[[#This Row],[previous ret_ind]]-comparaison_samebasis_villages[[#This Row],[actual ret_ind]]</f>
        <v>-107</v>
      </c>
    </row>
    <row r="330" spans="1:35" ht="15.75" customHeight="1" x14ac:dyDescent="0.3">
      <c r="A330" s="401" t="s">
        <v>31</v>
      </c>
      <c r="B330" s="401" t="s">
        <v>31</v>
      </c>
      <c r="C330" s="401" t="s">
        <v>2797</v>
      </c>
      <c r="D330" s="401" t="s">
        <v>3898</v>
      </c>
      <c r="E330" s="401" t="s">
        <v>1198</v>
      </c>
      <c r="F330" s="5" t="s">
        <v>1199</v>
      </c>
      <c r="G330" s="401"/>
      <c r="H330" s="1093" t="s">
        <v>511</v>
      </c>
      <c r="I330" s="1216" t="s">
        <v>3033</v>
      </c>
      <c r="J330" s="403">
        <v>18</v>
      </c>
      <c r="K330" s="403">
        <v>160</v>
      </c>
      <c r="L330" s="1093" t="s">
        <v>365</v>
      </c>
      <c r="M330" s="401"/>
      <c r="O330" s="399" t="s">
        <v>31</v>
      </c>
      <c r="P330" s="399" t="s">
        <v>31</v>
      </c>
      <c r="Q330" s="399" t="s">
        <v>170</v>
      </c>
      <c r="R330" s="399" t="s">
        <v>170</v>
      </c>
      <c r="S330" s="399" t="s">
        <v>1370</v>
      </c>
      <c r="T330" s="399" t="s">
        <v>1369</v>
      </c>
      <c r="U330" s="941">
        <v>100</v>
      </c>
      <c r="V330" s="941">
        <v>355</v>
      </c>
      <c r="W330" s="941">
        <v>0</v>
      </c>
      <c r="X330" s="941">
        <v>0</v>
      </c>
      <c r="Y330" s="941">
        <v>0</v>
      </c>
      <c r="Z330" s="941">
        <v>0</v>
      </c>
      <c r="AA330" s="942">
        <v>261</v>
      </c>
      <c r="AB330" s="942">
        <v>1349</v>
      </c>
      <c r="AC330" s="942">
        <v>0</v>
      </c>
      <c r="AD330" s="942">
        <v>0</v>
      </c>
      <c r="AE330" s="942">
        <v>0</v>
      </c>
      <c r="AF330" s="942">
        <v>0</v>
      </c>
      <c r="AG330" s="943">
        <f>comparaison_samebasis_villages[[#This Row],[previous idp_ind]]-comparaison_samebasis_villages[[#This Row],[actual idp_ind]]</f>
        <v>994</v>
      </c>
      <c r="AH330" s="943">
        <f>comparaison_samebasis_villages[[#This Row],[previous ref_ind]]-comparaison_samebasis_villages[[#This Row],[actual ref_ind]]</f>
        <v>0</v>
      </c>
      <c r="AI330" s="943">
        <f>comparaison_samebasis_villages[[#This Row],[previous ret_ind]]-comparaison_samebasis_villages[[#This Row],[actual ret_ind]]</f>
        <v>0</v>
      </c>
    </row>
    <row r="331" spans="1:35" ht="15.75" customHeight="1" x14ac:dyDescent="0.3">
      <c r="A331" s="401" t="s">
        <v>31</v>
      </c>
      <c r="B331" s="401" t="s">
        <v>31</v>
      </c>
      <c r="C331" s="401" t="s">
        <v>2797</v>
      </c>
      <c r="D331" s="401" t="s">
        <v>3898</v>
      </c>
      <c r="E331" s="401" t="s">
        <v>1198</v>
      </c>
      <c r="F331" s="5" t="s">
        <v>1199</v>
      </c>
      <c r="G331" s="401"/>
      <c r="H331" s="1093" t="s">
        <v>511</v>
      </c>
      <c r="I331" s="1216" t="s">
        <v>3109</v>
      </c>
      <c r="J331" s="403">
        <v>11</v>
      </c>
      <c r="K331" s="403">
        <v>71</v>
      </c>
      <c r="L331" s="1093" t="s">
        <v>365</v>
      </c>
      <c r="M331" s="401"/>
      <c r="O331" s="404" t="s">
        <v>31</v>
      </c>
      <c r="P331" s="404" t="s">
        <v>31</v>
      </c>
      <c r="Q331" s="404" t="s">
        <v>170</v>
      </c>
      <c r="R331" s="404" t="s">
        <v>170</v>
      </c>
      <c r="S331" s="404" t="s">
        <v>1636</v>
      </c>
      <c r="T331" s="404" t="s">
        <v>2850</v>
      </c>
      <c r="U331" s="941">
        <v>100</v>
      </c>
      <c r="V331" s="941">
        <v>900</v>
      </c>
      <c r="W331" s="941">
        <v>0</v>
      </c>
      <c r="X331" s="941">
        <v>0</v>
      </c>
      <c r="Y331" s="941">
        <v>0</v>
      </c>
      <c r="Z331" s="941">
        <v>0</v>
      </c>
      <c r="AA331" s="942">
        <v>8</v>
      </c>
      <c r="AB331" s="942">
        <v>9</v>
      </c>
      <c r="AC331" s="942">
        <v>0</v>
      </c>
      <c r="AD331" s="942">
        <v>0</v>
      </c>
      <c r="AE331" s="942">
        <v>0</v>
      </c>
      <c r="AF331" s="942">
        <v>0</v>
      </c>
      <c r="AG331" s="943">
        <f>comparaison_samebasis_villages[[#This Row],[previous idp_ind]]-comparaison_samebasis_villages[[#This Row],[actual idp_ind]]</f>
        <v>-891</v>
      </c>
      <c r="AH331" s="943">
        <f>comparaison_samebasis_villages[[#This Row],[previous ref_ind]]-comparaison_samebasis_villages[[#This Row],[actual ref_ind]]</f>
        <v>0</v>
      </c>
      <c r="AI331" s="943">
        <f>comparaison_samebasis_villages[[#This Row],[previous ret_ind]]-comparaison_samebasis_villages[[#This Row],[actual ret_ind]]</f>
        <v>0</v>
      </c>
    </row>
    <row r="332" spans="1:35" ht="15.75" customHeight="1" x14ac:dyDescent="0.3">
      <c r="A332" s="401" t="s">
        <v>31</v>
      </c>
      <c r="B332" s="401" t="s">
        <v>31</v>
      </c>
      <c r="C332" s="401" t="s">
        <v>2797</v>
      </c>
      <c r="D332" s="401" t="s">
        <v>3898</v>
      </c>
      <c r="E332" s="401" t="s">
        <v>1198</v>
      </c>
      <c r="F332" s="5" t="s">
        <v>1199</v>
      </c>
      <c r="G332" s="401"/>
      <c r="H332" s="1093" t="s">
        <v>511</v>
      </c>
      <c r="I332" s="1216" t="s">
        <v>3110</v>
      </c>
      <c r="J332" s="403">
        <v>31</v>
      </c>
      <c r="K332" s="403">
        <v>218</v>
      </c>
      <c r="L332" s="1093" t="s">
        <v>365</v>
      </c>
      <c r="M332" s="401"/>
      <c r="O332" s="404" t="s">
        <v>31</v>
      </c>
      <c r="P332" s="404" t="s">
        <v>31</v>
      </c>
      <c r="Q332" s="404" t="s">
        <v>170</v>
      </c>
      <c r="R332" s="404" t="s">
        <v>170</v>
      </c>
      <c r="S332" s="404" t="s">
        <v>1579</v>
      </c>
      <c r="T332" s="404" t="s">
        <v>1635</v>
      </c>
      <c r="U332" s="941">
        <v>4</v>
      </c>
      <c r="V332" s="941">
        <v>25</v>
      </c>
      <c r="W332" s="941">
        <v>0</v>
      </c>
      <c r="X332" s="941">
        <v>0</v>
      </c>
      <c r="Y332" s="941">
        <v>0</v>
      </c>
      <c r="Z332" s="941">
        <v>0</v>
      </c>
      <c r="AA332" s="942">
        <v>255</v>
      </c>
      <c r="AB332" s="942">
        <v>1297</v>
      </c>
      <c r="AC332" s="942">
        <v>0</v>
      </c>
      <c r="AD332" s="942">
        <v>0</v>
      </c>
      <c r="AE332" s="942">
        <v>0</v>
      </c>
      <c r="AF332" s="942">
        <v>0</v>
      </c>
      <c r="AG332" s="943">
        <f>comparaison_samebasis_villages[[#This Row],[previous idp_ind]]-comparaison_samebasis_villages[[#This Row],[actual idp_ind]]</f>
        <v>1272</v>
      </c>
      <c r="AH332" s="943">
        <f>comparaison_samebasis_villages[[#This Row],[previous ref_ind]]-comparaison_samebasis_villages[[#This Row],[actual ref_ind]]</f>
        <v>0</v>
      </c>
      <c r="AI332" s="943">
        <f>comparaison_samebasis_villages[[#This Row],[previous ret_ind]]-comparaison_samebasis_villages[[#This Row],[actual ret_ind]]</f>
        <v>0</v>
      </c>
    </row>
    <row r="333" spans="1:35" ht="15.75" customHeight="1" x14ac:dyDescent="0.3">
      <c r="A333" s="401" t="s">
        <v>31</v>
      </c>
      <c r="B333" s="401" t="s">
        <v>31</v>
      </c>
      <c r="C333" s="401" t="s">
        <v>164</v>
      </c>
      <c r="D333" s="401" t="s">
        <v>164</v>
      </c>
      <c r="E333" s="401" t="s">
        <v>1088</v>
      </c>
      <c r="F333" s="5" t="s">
        <v>1089</v>
      </c>
      <c r="G333" s="401"/>
      <c r="H333" s="1093" t="s">
        <v>511</v>
      </c>
      <c r="I333" s="1216" t="s">
        <v>3112</v>
      </c>
      <c r="J333" s="403">
        <v>2</v>
      </c>
      <c r="K333" s="403">
        <v>7</v>
      </c>
      <c r="L333" s="1093" t="s">
        <v>371</v>
      </c>
      <c r="M333" s="401"/>
      <c r="O333" s="404" t="s">
        <v>31</v>
      </c>
      <c r="P333" s="404" t="s">
        <v>31</v>
      </c>
      <c r="Q333" s="404" t="s">
        <v>170</v>
      </c>
      <c r="R333" s="404" t="s">
        <v>170</v>
      </c>
      <c r="S333" s="404" t="s">
        <v>2017</v>
      </c>
      <c r="T333" s="404" t="s">
        <v>2891</v>
      </c>
      <c r="U333" s="941">
        <v>0</v>
      </c>
      <c r="V333" s="941">
        <v>0</v>
      </c>
      <c r="W333" s="941">
        <v>0</v>
      </c>
      <c r="X333" s="941">
        <v>0</v>
      </c>
      <c r="Y333" s="941">
        <v>0</v>
      </c>
      <c r="Z333" s="941">
        <v>0</v>
      </c>
      <c r="AA333" s="942">
        <v>428</v>
      </c>
      <c r="AB333" s="942">
        <v>2177</v>
      </c>
      <c r="AC333" s="942">
        <v>0</v>
      </c>
      <c r="AD333" s="942">
        <v>0</v>
      </c>
      <c r="AE333" s="942">
        <v>0</v>
      </c>
      <c r="AF333" s="942">
        <v>0</v>
      </c>
      <c r="AG333" s="943">
        <f>comparaison_samebasis_villages[[#This Row],[previous idp_ind]]-comparaison_samebasis_villages[[#This Row],[actual idp_ind]]</f>
        <v>2177</v>
      </c>
      <c r="AH333" s="943">
        <f>comparaison_samebasis_villages[[#This Row],[previous ref_ind]]-comparaison_samebasis_villages[[#This Row],[actual ref_ind]]</f>
        <v>0</v>
      </c>
      <c r="AI333" s="943">
        <f>comparaison_samebasis_villages[[#This Row],[previous ret_ind]]-comparaison_samebasis_villages[[#This Row],[actual ret_ind]]</f>
        <v>0</v>
      </c>
    </row>
    <row r="334" spans="1:35" ht="15.75" customHeight="1" x14ac:dyDescent="0.3">
      <c r="A334" s="401" t="s">
        <v>31</v>
      </c>
      <c r="B334" s="401" t="s">
        <v>31</v>
      </c>
      <c r="C334" s="401" t="s">
        <v>169</v>
      </c>
      <c r="D334" s="401" t="s">
        <v>169</v>
      </c>
      <c r="E334" s="401" t="s">
        <v>1646</v>
      </c>
      <c r="F334" s="5" t="s">
        <v>2377</v>
      </c>
      <c r="G334" s="401"/>
      <c r="H334" s="1093" t="s">
        <v>511</v>
      </c>
      <c r="I334" s="1216" t="s">
        <v>3112</v>
      </c>
      <c r="J334" s="403">
        <v>56</v>
      </c>
      <c r="K334" s="403">
        <v>370</v>
      </c>
      <c r="L334" s="1093" t="s">
        <v>365</v>
      </c>
      <c r="M334" s="401"/>
      <c r="O334" s="404" t="s">
        <v>31</v>
      </c>
      <c r="P334" s="404" t="s">
        <v>31</v>
      </c>
      <c r="Q334" s="404" t="s">
        <v>170</v>
      </c>
      <c r="R334" s="404" t="s">
        <v>170</v>
      </c>
      <c r="S334" s="404" t="s">
        <v>1020</v>
      </c>
      <c r="T334" s="404" t="s">
        <v>1578</v>
      </c>
      <c r="U334" s="941">
        <v>122</v>
      </c>
      <c r="V334" s="941">
        <v>638</v>
      </c>
      <c r="W334" s="941">
        <v>0</v>
      </c>
      <c r="X334" s="941">
        <v>0</v>
      </c>
      <c r="Y334" s="941">
        <v>0</v>
      </c>
      <c r="Z334" s="941">
        <v>0</v>
      </c>
      <c r="AA334" s="942">
        <v>119</v>
      </c>
      <c r="AB334" s="942">
        <v>612</v>
      </c>
      <c r="AC334" s="942">
        <v>0</v>
      </c>
      <c r="AD334" s="942">
        <v>0</v>
      </c>
      <c r="AE334" s="942">
        <v>0</v>
      </c>
      <c r="AF334" s="942">
        <v>0</v>
      </c>
      <c r="AG334" s="943">
        <f>comparaison_samebasis_villages[[#This Row],[previous idp_ind]]-comparaison_samebasis_villages[[#This Row],[actual idp_ind]]</f>
        <v>-26</v>
      </c>
      <c r="AH334" s="943">
        <f>comparaison_samebasis_villages[[#This Row],[previous ref_ind]]-comparaison_samebasis_villages[[#This Row],[actual ref_ind]]</f>
        <v>0</v>
      </c>
      <c r="AI334" s="943">
        <f>comparaison_samebasis_villages[[#This Row],[previous ret_ind]]-comparaison_samebasis_villages[[#This Row],[actual ret_ind]]</f>
        <v>0</v>
      </c>
    </row>
    <row r="335" spans="1:35" ht="15.75" customHeight="1" x14ac:dyDescent="0.3">
      <c r="A335" s="401" t="s">
        <v>31</v>
      </c>
      <c r="B335" s="401" t="s">
        <v>31</v>
      </c>
      <c r="C335" s="401" t="s">
        <v>169</v>
      </c>
      <c r="D335" s="401" t="s">
        <v>169</v>
      </c>
      <c r="E335" s="401" t="s">
        <v>3217</v>
      </c>
      <c r="F335" s="5" t="s">
        <v>3073</v>
      </c>
      <c r="G335" s="401"/>
      <c r="H335" s="1093" t="s">
        <v>511</v>
      </c>
      <c r="I335" s="1216" t="s">
        <v>3112</v>
      </c>
      <c r="J335" s="403">
        <v>19</v>
      </c>
      <c r="K335" s="403">
        <v>100</v>
      </c>
      <c r="L335" s="1093" t="s">
        <v>365</v>
      </c>
      <c r="M335" s="401"/>
      <c r="O335" s="404" t="s">
        <v>31</v>
      </c>
      <c r="P335" s="404" t="s">
        <v>31</v>
      </c>
      <c r="Q335" s="404" t="s">
        <v>170</v>
      </c>
      <c r="R335" s="404" t="s">
        <v>170</v>
      </c>
      <c r="S335" s="404" t="s">
        <v>2015</v>
      </c>
      <c r="T335" s="404" t="s">
        <v>2016</v>
      </c>
      <c r="U335" s="941">
        <v>68</v>
      </c>
      <c r="V335" s="941">
        <v>359</v>
      </c>
      <c r="W335" s="941">
        <v>0</v>
      </c>
      <c r="X335" s="941">
        <v>0</v>
      </c>
      <c r="Y335" s="941">
        <v>0</v>
      </c>
      <c r="Z335" s="941">
        <v>0</v>
      </c>
      <c r="AA335" s="942">
        <v>65</v>
      </c>
      <c r="AB335" s="942">
        <v>339</v>
      </c>
      <c r="AC335" s="942">
        <v>0</v>
      </c>
      <c r="AD335" s="942">
        <v>0</v>
      </c>
      <c r="AE335" s="942">
        <v>0</v>
      </c>
      <c r="AF335" s="942">
        <v>0</v>
      </c>
      <c r="AG335" s="943">
        <f>comparaison_samebasis_villages[[#This Row],[previous idp_ind]]-comparaison_samebasis_villages[[#This Row],[actual idp_ind]]</f>
        <v>-20</v>
      </c>
      <c r="AH335" s="943">
        <f>comparaison_samebasis_villages[[#This Row],[previous ref_ind]]-comparaison_samebasis_villages[[#This Row],[actual ref_ind]]</f>
        <v>0</v>
      </c>
      <c r="AI335" s="943">
        <f>comparaison_samebasis_villages[[#This Row],[previous ret_ind]]-comparaison_samebasis_villages[[#This Row],[actual ret_ind]]</f>
        <v>0</v>
      </c>
    </row>
    <row r="336" spans="1:35" ht="15.75" customHeight="1" x14ac:dyDescent="0.3">
      <c r="A336" s="401" t="s">
        <v>35</v>
      </c>
      <c r="B336" s="401" t="s">
        <v>35</v>
      </c>
      <c r="C336" s="401" t="s">
        <v>192</v>
      </c>
      <c r="D336" s="401" t="s">
        <v>192</v>
      </c>
      <c r="E336" s="401" t="s">
        <v>1400</v>
      </c>
      <c r="F336" s="5" t="s">
        <v>1455</v>
      </c>
      <c r="G336" s="401"/>
      <c r="H336" s="1093" t="s">
        <v>511</v>
      </c>
      <c r="I336" s="1216" t="s">
        <v>3111</v>
      </c>
      <c r="J336" s="403">
        <v>22</v>
      </c>
      <c r="K336" s="403">
        <v>86</v>
      </c>
      <c r="L336" s="1093" t="s">
        <v>365</v>
      </c>
      <c r="M336" s="401"/>
      <c r="O336" s="404" t="s">
        <v>31</v>
      </c>
      <c r="P336" s="404" t="s">
        <v>31</v>
      </c>
      <c r="Q336" s="404" t="s">
        <v>170</v>
      </c>
      <c r="R336" s="404" t="s">
        <v>170</v>
      </c>
      <c r="S336" s="404" t="s">
        <v>1855</v>
      </c>
      <c r="T336" s="404" t="s">
        <v>1019</v>
      </c>
      <c r="U336" s="941">
        <v>10</v>
      </c>
      <c r="V336" s="941">
        <v>30</v>
      </c>
      <c r="W336" s="941">
        <v>0</v>
      </c>
      <c r="X336" s="941">
        <v>0</v>
      </c>
      <c r="Y336" s="941">
        <v>30</v>
      </c>
      <c r="Z336" s="941">
        <v>30</v>
      </c>
      <c r="AA336" s="942">
        <v>10</v>
      </c>
      <c r="AB336" s="942">
        <v>100</v>
      </c>
      <c r="AC336" s="942">
        <v>0</v>
      </c>
      <c r="AD336" s="942">
        <v>0</v>
      </c>
      <c r="AE336" s="942">
        <v>0</v>
      </c>
      <c r="AF336" s="942">
        <v>0</v>
      </c>
      <c r="AG336" s="943">
        <f>comparaison_samebasis_villages[[#This Row],[previous idp_ind]]-comparaison_samebasis_villages[[#This Row],[actual idp_ind]]</f>
        <v>70</v>
      </c>
      <c r="AH336" s="943">
        <f>comparaison_samebasis_villages[[#This Row],[previous ref_ind]]-comparaison_samebasis_villages[[#This Row],[actual ref_ind]]</f>
        <v>0</v>
      </c>
      <c r="AI336" s="943">
        <f>comparaison_samebasis_villages[[#This Row],[previous ret_ind]]-comparaison_samebasis_villages[[#This Row],[actual ret_ind]]</f>
        <v>-30</v>
      </c>
    </row>
    <row r="337" spans="1:35" ht="15.75" customHeight="1" x14ac:dyDescent="0.3">
      <c r="A337" s="401" t="s">
        <v>35</v>
      </c>
      <c r="B337" s="401" t="s">
        <v>35</v>
      </c>
      <c r="C337" s="401" t="s">
        <v>192</v>
      </c>
      <c r="D337" s="401" t="s">
        <v>192</v>
      </c>
      <c r="E337" s="401" t="s">
        <v>1610</v>
      </c>
      <c r="F337" s="5" t="s">
        <v>946</v>
      </c>
      <c r="G337" s="401"/>
      <c r="H337" s="1093" t="s">
        <v>511</v>
      </c>
      <c r="I337" s="1216" t="s">
        <v>3111</v>
      </c>
      <c r="J337" s="403">
        <v>2</v>
      </c>
      <c r="K337" s="403">
        <v>8</v>
      </c>
      <c r="L337" s="1093" t="s">
        <v>365</v>
      </c>
      <c r="M337" s="401"/>
      <c r="O337" s="404" t="s">
        <v>31</v>
      </c>
      <c r="P337" s="404" t="s">
        <v>31</v>
      </c>
      <c r="Q337" s="404" t="s">
        <v>170</v>
      </c>
      <c r="R337" s="404" t="s">
        <v>170</v>
      </c>
      <c r="S337" s="404" t="s">
        <v>1707</v>
      </c>
      <c r="T337" s="404" t="s">
        <v>2014</v>
      </c>
      <c r="U337" s="941">
        <v>2</v>
      </c>
      <c r="V337" s="941">
        <v>15</v>
      </c>
      <c r="W337" s="941">
        <v>0</v>
      </c>
      <c r="X337" s="941">
        <v>0</v>
      </c>
      <c r="Y337" s="941">
        <v>0</v>
      </c>
      <c r="Z337" s="941">
        <v>0</v>
      </c>
      <c r="AA337" s="942">
        <v>10</v>
      </c>
      <c r="AB337" s="942">
        <v>100</v>
      </c>
      <c r="AC337" s="942">
        <v>0</v>
      </c>
      <c r="AD337" s="942">
        <v>0</v>
      </c>
      <c r="AE337" s="942">
        <v>0</v>
      </c>
      <c r="AF337" s="942">
        <v>0</v>
      </c>
      <c r="AG337" s="943">
        <f>comparaison_samebasis_villages[[#This Row],[previous idp_ind]]-comparaison_samebasis_villages[[#This Row],[actual idp_ind]]</f>
        <v>85</v>
      </c>
      <c r="AH337" s="943">
        <f>comparaison_samebasis_villages[[#This Row],[previous ref_ind]]-comparaison_samebasis_villages[[#This Row],[actual ref_ind]]</f>
        <v>0</v>
      </c>
      <c r="AI337" s="943">
        <f>comparaison_samebasis_villages[[#This Row],[previous ret_ind]]-comparaison_samebasis_villages[[#This Row],[actual ret_ind]]</f>
        <v>0</v>
      </c>
    </row>
    <row r="338" spans="1:35" ht="15.75" customHeight="1" x14ac:dyDescent="0.3">
      <c r="A338" s="401" t="s">
        <v>35</v>
      </c>
      <c r="B338" s="401" t="s">
        <v>35</v>
      </c>
      <c r="C338" s="401" t="s">
        <v>192</v>
      </c>
      <c r="D338" s="401" t="s">
        <v>192</v>
      </c>
      <c r="E338" s="401" t="s">
        <v>1610</v>
      </c>
      <c r="F338" s="5" t="s">
        <v>946</v>
      </c>
      <c r="G338" s="401"/>
      <c r="H338" s="1093" t="s">
        <v>511</v>
      </c>
      <c r="I338" s="1216" t="s">
        <v>3112</v>
      </c>
      <c r="J338" s="403">
        <v>6</v>
      </c>
      <c r="K338" s="403">
        <v>16</v>
      </c>
      <c r="L338" s="1093" t="s">
        <v>365</v>
      </c>
      <c r="M338" s="401"/>
      <c r="O338" s="404" t="s">
        <v>31</v>
      </c>
      <c r="P338" s="404" t="s">
        <v>31</v>
      </c>
      <c r="Q338" s="404" t="s">
        <v>170</v>
      </c>
      <c r="R338" s="404" t="s">
        <v>170</v>
      </c>
      <c r="S338" s="404" t="s">
        <v>1108</v>
      </c>
      <c r="T338" s="404" t="s">
        <v>1854</v>
      </c>
      <c r="U338" s="941">
        <v>60</v>
      </c>
      <c r="V338" s="941">
        <v>255</v>
      </c>
      <c r="W338" s="941">
        <v>0</v>
      </c>
      <c r="X338" s="941">
        <v>0</v>
      </c>
      <c r="Y338" s="941">
        <v>0</v>
      </c>
      <c r="Z338" s="941">
        <v>0</v>
      </c>
      <c r="AA338" s="942">
        <v>82</v>
      </c>
      <c r="AB338" s="942">
        <v>600</v>
      </c>
      <c r="AC338" s="942">
        <v>0</v>
      </c>
      <c r="AD338" s="942">
        <v>0</v>
      </c>
      <c r="AE338" s="942">
        <v>0</v>
      </c>
      <c r="AF338" s="942">
        <v>0</v>
      </c>
      <c r="AG338" s="943">
        <f>comparaison_samebasis_villages[[#This Row],[previous idp_ind]]-comparaison_samebasis_villages[[#This Row],[actual idp_ind]]</f>
        <v>345</v>
      </c>
      <c r="AH338" s="943">
        <f>comparaison_samebasis_villages[[#This Row],[previous ref_ind]]-comparaison_samebasis_villages[[#This Row],[actual ref_ind]]</f>
        <v>0</v>
      </c>
      <c r="AI338" s="943">
        <f>comparaison_samebasis_villages[[#This Row],[previous ret_ind]]-comparaison_samebasis_villages[[#This Row],[actual ret_ind]]</f>
        <v>0</v>
      </c>
    </row>
    <row r="339" spans="1:35" ht="15.45" customHeight="1" x14ac:dyDescent="0.3">
      <c r="A339" s="401" t="s">
        <v>31</v>
      </c>
      <c r="B339" s="401" t="s">
        <v>31</v>
      </c>
      <c r="C339" s="401" t="s">
        <v>172</v>
      </c>
      <c r="D339" s="401" t="s">
        <v>172</v>
      </c>
      <c r="E339" s="401" t="s">
        <v>1908</v>
      </c>
      <c r="F339" s="5" t="s">
        <v>2000</v>
      </c>
      <c r="G339" s="401"/>
      <c r="H339" s="1093" t="s">
        <v>511</v>
      </c>
      <c r="I339" s="1216" t="s">
        <v>3110</v>
      </c>
      <c r="J339" s="403">
        <v>5</v>
      </c>
      <c r="K339" s="403">
        <v>35</v>
      </c>
      <c r="L339" s="1093" t="s">
        <v>367</v>
      </c>
      <c r="M339" s="401"/>
      <c r="O339" s="404" t="s">
        <v>31</v>
      </c>
      <c r="P339" s="404" t="s">
        <v>31</v>
      </c>
      <c r="Q339" s="1145" t="s">
        <v>170</v>
      </c>
      <c r="R339" s="1145" t="s">
        <v>170</v>
      </c>
      <c r="S339" s="404" t="s">
        <v>2100</v>
      </c>
      <c r="T339" s="404" t="s">
        <v>1706</v>
      </c>
      <c r="U339" s="941">
        <v>0</v>
      </c>
      <c r="V339" s="941">
        <v>0</v>
      </c>
      <c r="W339" s="941">
        <v>7</v>
      </c>
      <c r="X339" s="941">
        <v>30</v>
      </c>
      <c r="Y339" s="941">
        <v>0</v>
      </c>
      <c r="Z339" s="941">
        <v>0</v>
      </c>
      <c r="AA339" s="942">
        <v>0</v>
      </c>
      <c r="AB339" s="942">
        <v>0</v>
      </c>
      <c r="AC339" s="942">
        <v>0</v>
      </c>
      <c r="AD339" s="942">
        <v>0</v>
      </c>
      <c r="AE339" s="942">
        <v>4</v>
      </c>
      <c r="AF339" s="942">
        <v>15</v>
      </c>
      <c r="AG339" s="943">
        <f>comparaison_samebasis_villages[[#This Row],[previous idp_ind]]-comparaison_samebasis_villages[[#This Row],[actual idp_ind]]</f>
        <v>0</v>
      </c>
      <c r="AH339" s="943">
        <f>comparaison_samebasis_villages[[#This Row],[previous ref_ind]]-comparaison_samebasis_villages[[#This Row],[actual ref_ind]]</f>
        <v>-30</v>
      </c>
      <c r="AI339" s="943">
        <f>comparaison_samebasis_villages[[#This Row],[previous ret_ind]]-comparaison_samebasis_villages[[#This Row],[actual ret_ind]]</f>
        <v>15</v>
      </c>
    </row>
    <row r="340" spans="1:35" ht="15.75" customHeight="1" x14ac:dyDescent="0.3">
      <c r="A340" s="401" t="s">
        <v>31</v>
      </c>
      <c r="B340" s="401" t="s">
        <v>31</v>
      </c>
      <c r="C340" s="401" t="s">
        <v>165</v>
      </c>
      <c r="D340" s="401" t="s">
        <v>165</v>
      </c>
      <c r="E340" s="401" t="s">
        <v>2024</v>
      </c>
      <c r="F340" s="5" t="s">
        <v>1334</v>
      </c>
      <c r="G340" s="401"/>
      <c r="H340" s="1093" t="s">
        <v>511</v>
      </c>
      <c r="I340" s="1216" t="s">
        <v>3112</v>
      </c>
      <c r="J340" s="403">
        <v>30</v>
      </c>
      <c r="K340" s="403">
        <v>70</v>
      </c>
      <c r="L340" s="1093" t="s">
        <v>365</v>
      </c>
      <c r="M340" s="401"/>
      <c r="O340" s="404" t="s">
        <v>31</v>
      </c>
      <c r="P340" s="404" t="s">
        <v>31</v>
      </c>
      <c r="Q340" s="404" t="s">
        <v>170</v>
      </c>
      <c r="R340" s="404" t="s">
        <v>170</v>
      </c>
      <c r="S340" s="404" t="s">
        <v>2113</v>
      </c>
      <c r="T340" s="404" t="s">
        <v>1107</v>
      </c>
      <c r="U340" s="941">
        <v>0</v>
      </c>
      <c r="V340" s="941">
        <v>0</v>
      </c>
      <c r="W340" s="941">
        <v>0</v>
      </c>
      <c r="X340" s="941">
        <v>0</v>
      </c>
      <c r="Y340" s="941">
        <v>0</v>
      </c>
      <c r="Z340" s="941">
        <v>0</v>
      </c>
      <c r="AA340" s="942">
        <v>19</v>
      </c>
      <c r="AB340" s="942">
        <v>134</v>
      </c>
      <c r="AC340" s="942">
        <v>0</v>
      </c>
      <c r="AD340" s="942">
        <v>0</v>
      </c>
      <c r="AE340" s="942">
        <v>0</v>
      </c>
      <c r="AF340" s="942">
        <v>0</v>
      </c>
      <c r="AG340" s="943">
        <f>comparaison_samebasis_villages[[#This Row],[previous idp_ind]]-comparaison_samebasis_villages[[#This Row],[actual idp_ind]]</f>
        <v>134</v>
      </c>
      <c r="AH340" s="943">
        <f>comparaison_samebasis_villages[[#This Row],[previous ref_ind]]-comparaison_samebasis_villages[[#This Row],[actual ref_ind]]</f>
        <v>0</v>
      </c>
      <c r="AI340" s="943">
        <f>comparaison_samebasis_villages[[#This Row],[previous ret_ind]]-comparaison_samebasis_villages[[#This Row],[actual ret_ind]]</f>
        <v>0</v>
      </c>
    </row>
    <row r="341" spans="1:35" ht="15.75" customHeight="1" x14ac:dyDescent="0.3">
      <c r="A341" s="401" t="s">
        <v>34</v>
      </c>
      <c r="B341" s="401" t="s">
        <v>34</v>
      </c>
      <c r="C341" s="401" t="s">
        <v>188</v>
      </c>
      <c r="D341" s="401" t="s">
        <v>188</v>
      </c>
      <c r="E341" s="401" t="s">
        <v>1791</v>
      </c>
      <c r="F341" s="5" t="s">
        <v>668</v>
      </c>
      <c r="G341" s="401"/>
      <c r="H341" s="1093" t="s">
        <v>511</v>
      </c>
      <c r="I341" s="1216" t="s">
        <v>3109</v>
      </c>
      <c r="J341" s="403">
        <v>2</v>
      </c>
      <c r="K341" s="403">
        <v>9</v>
      </c>
      <c r="L341" s="1093" t="s">
        <v>367</v>
      </c>
      <c r="M341" s="401"/>
      <c r="O341" s="404" t="s">
        <v>31</v>
      </c>
      <c r="P341" s="404" t="s">
        <v>31</v>
      </c>
      <c r="Q341" s="404" t="s">
        <v>170</v>
      </c>
      <c r="R341" s="404" t="s">
        <v>170</v>
      </c>
      <c r="S341" s="404" t="s">
        <v>2090</v>
      </c>
      <c r="T341" s="404" t="s">
        <v>2099</v>
      </c>
      <c r="U341" s="941">
        <v>0</v>
      </c>
      <c r="V341" s="941">
        <v>0</v>
      </c>
      <c r="W341" s="941">
        <v>0</v>
      </c>
      <c r="X341" s="941">
        <v>0</v>
      </c>
      <c r="Y341" s="941">
        <v>10</v>
      </c>
      <c r="Z341" s="941">
        <v>10</v>
      </c>
      <c r="AA341" s="942">
        <v>512</v>
      </c>
      <c r="AB341" s="942">
        <v>2541</v>
      </c>
      <c r="AC341" s="942">
        <v>0</v>
      </c>
      <c r="AD341" s="942">
        <v>0</v>
      </c>
      <c r="AE341" s="942">
        <v>0</v>
      </c>
      <c r="AF341" s="942">
        <v>0</v>
      </c>
      <c r="AG341" s="943">
        <f>comparaison_samebasis_villages[[#This Row],[previous idp_ind]]-comparaison_samebasis_villages[[#This Row],[actual idp_ind]]</f>
        <v>2541</v>
      </c>
      <c r="AH341" s="943">
        <f>comparaison_samebasis_villages[[#This Row],[previous ref_ind]]-comparaison_samebasis_villages[[#This Row],[actual ref_ind]]</f>
        <v>0</v>
      </c>
      <c r="AI341" s="943">
        <f>comparaison_samebasis_villages[[#This Row],[previous ret_ind]]-comparaison_samebasis_villages[[#This Row],[actual ret_ind]]</f>
        <v>-10</v>
      </c>
    </row>
    <row r="342" spans="1:35" ht="15.75" customHeight="1" x14ac:dyDescent="0.3">
      <c r="A342" s="401" t="s">
        <v>34</v>
      </c>
      <c r="B342" s="401" t="s">
        <v>34</v>
      </c>
      <c r="C342" s="401" t="s">
        <v>188</v>
      </c>
      <c r="D342" s="401" t="s">
        <v>188</v>
      </c>
      <c r="E342" s="401" t="s">
        <v>2796</v>
      </c>
      <c r="F342" s="5" t="s">
        <v>646</v>
      </c>
      <c r="G342" s="401"/>
      <c r="H342" s="1093" t="s">
        <v>511</v>
      </c>
      <c r="I342" s="1216" t="s">
        <v>3033</v>
      </c>
      <c r="J342" s="403">
        <v>136</v>
      </c>
      <c r="K342" s="403">
        <v>546</v>
      </c>
      <c r="L342" s="1093" t="s">
        <v>367</v>
      </c>
      <c r="M342" s="401"/>
      <c r="O342" s="404" t="s">
        <v>31</v>
      </c>
      <c r="P342" s="404" t="s">
        <v>31</v>
      </c>
      <c r="Q342" s="404" t="s">
        <v>170</v>
      </c>
      <c r="R342" s="404" t="s">
        <v>170</v>
      </c>
      <c r="S342" s="404" t="s">
        <v>868</v>
      </c>
      <c r="T342" s="404" t="s">
        <v>2112</v>
      </c>
      <c r="U342" s="941">
        <v>0</v>
      </c>
      <c r="V342" s="941">
        <v>0</v>
      </c>
      <c r="W342" s="941">
        <v>6</v>
      </c>
      <c r="X342" s="941">
        <v>50</v>
      </c>
      <c r="Y342" s="941">
        <v>0</v>
      </c>
      <c r="Z342" s="941">
        <v>0</v>
      </c>
      <c r="AA342" s="942">
        <v>6</v>
      </c>
      <c r="AB342" s="942">
        <v>50</v>
      </c>
      <c r="AC342" s="942">
        <v>0</v>
      </c>
      <c r="AD342" s="942">
        <v>0</v>
      </c>
      <c r="AE342" s="942">
        <v>28</v>
      </c>
      <c r="AF342" s="942">
        <v>200</v>
      </c>
      <c r="AG342" s="943">
        <f>comparaison_samebasis_villages[[#This Row],[previous idp_ind]]-comparaison_samebasis_villages[[#This Row],[actual idp_ind]]</f>
        <v>50</v>
      </c>
      <c r="AH342" s="943">
        <f>comparaison_samebasis_villages[[#This Row],[previous ref_ind]]-comparaison_samebasis_villages[[#This Row],[actual ref_ind]]</f>
        <v>-50</v>
      </c>
      <c r="AI342" s="943">
        <f>comparaison_samebasis_villages[[#This Row],[previous ret_ind]]-comparaison_samebasis_villages[[#This Row],[actual ret_ind]]</f>
        <v>200</v>
      </c>
    </row>
    <row r="343" spans="1:35" ht="15.75" customHeight="1" x14ac:dyDescent="0.3">
      <c r="A343" s="401" t="s">
        <v>34</v>
      </c>
      <c r="B343" s="401" t="s">
        <v>34</v>
      </c>
      <c r="C343" s="401" t="s">
        <v>188</v>
      </c>
      <c r="D343" s="401" t="s">
        <v>188</v>
      </c>
      <c r="E343" s="401" t="s">
        <v>2796</v>
      </c>
      <c r="F343" s="5" t="s">
        <v>646</v>
      </c>
      <c r="G343" s="401"/>
      <c r="H343" s="1093" t="s">
        <v>511</v>
      </c>
      <c r="I343" s="1216" t="s">
        <v>3109</v>
      </c>
      <c r="J343" s="403">
        <v>15</v>
      </c>
      <c r="K343" s="403">
        <v>60</v>
      </c>
      <c r="L343" s="1093" t="s">
        <v>367</v>
      </c>
      <c r="M343" s="401"/>
      <c r="O343" s="404" t="s">
        <v>31</v>
      </c>
      <c r="P343" s="404" t="s">
        <v>31</v>
      </c>
      <c r="Q343" s="404" t="s">
        <v>170</v>
      </c>
      <c r="R343" s="404" t="s">
        <v>170</v>
      </c>
      <c r="S343" s="404" t="s">
        <v>1703</v>
      </c>
      <c r="T343" s="404" t="s">
        <v>2089</v>
      </c>
      <c r="U343" s="941">
        <v>105</v>
      </c>
      <c r="V343" s="941">
        <v>301</v>
      </c>
      <c r="W343" s="941">
        <v>0</v>
      </c>
      <c r="X343" s="941">
        <v>0</v>
      </c>
      <c r="Y343" s="941">
        <v>0</v>
      </c>
      <c r="Z343" s="941">
        <v>0</v>
      </c>
      <c r="AA343" s="942">
        <v>130</v>
      </c>
      <c r="AB343" s="942">
        <v>793</v>
      </c>
      <c r="AC343" s="942">
        <v>0</v>
      </c>
      <c r="AD343" s="942">
        <v>0</v>
      </c>
      <c r="AE343" s="942">
        <v>0</v>
      </c>
      <c r="AF343" s="942">
        <v>0</v>
      </c>
      <c r="AG343" s="943">
        <f>comparaison_samebasis_villages[[#This Row],[previous idp_ind]]-comparaison_samebasis_villages[[#This Row],[actual idp_ind]]</f>
        <v>492</v>
      </c>
      <c r="AH343" s="943">
        <f>comparaison_samebasis_villages[[#This Row],[previous ref_ind]]-comparaison_samebasis_villages[[#This Row],[actual ref_ind]]</f>
        <v>0</v>
      </c>
      <c r="AI343" s="943">
        <f>comparaison_samebasis_villages[[#This Row],[previous ret_ind]]-comparaison_samebasis_villages[[#This Row],[actual ret_ind]]</f>
        <v>0</v>
      </c>
    </row>
    <row r="344" spans="1:35" ht="15.75" customHeight="1" x14ac:dyDescent="0.3">
      <c r="A344" s="401" t="s">
        <v>34</v>
      </c>
      <c r="B344" s="401" t="s">
        <v>34</v>
      </c>
      <c r="C344" s="401" t="s">
        <v>188</v>
      </c>
      <c r="D344" s="401" t="s">
        <v>188</v>
      </c>
      <c r="E344" s="401" t="s">
        <v>2796</v>
      </c>
      <c r="F344" s="5" t="s">
        <v>646</v>
      </c>
      <c r="G344" s="401"/>
      <c r="H344" s="1093" t="s">
        <v>511</v>
      </c>
      <c r="I344" s="1216" t="s">
        <v>3110</v>
      </c>
      <c r="J344" s="403">
        <v>3</v>
      </c>
      <c r="K344" s="403">
        <v>40</v>
      </c>
      <c r="L344" s="1093" t="s">
        <v>367</v>
      </c>
      <c r="M344" s="401"/>
      <c r="O344" s="404" t="s">
        <v>31</v>
      </c>
      <c r="P344" s="404" t="s">
        <v>31</v>
      </c>
      <c r="Q344" s="404" t="s">
        <v>170</v>
      </c>
      <c r="R344" s="404" t="s">
        <v>170</v>
      </c>
      <c r="S344" s="404" t="s">
        <v>2008</v>
      </c>
      <c r="T344" s="404" t="s">
        <v>867</v>
      </c>
      <c r="U344" s="941">
        <v>0</v>
      </c>
      <c r="V344" s="941">
        <v>0</v>
      </c>
      <c r="W344" s="941">
        <v>0</v>
      </c>
      <c r="X344" s="941">
        <v>0</v>
      </c>
      <c r="Y344" s="941">
        <v>0</v>
      </c>
      <c r="Z344" s="941">
        <v>0</v>
      </c>
      <c r="AA344" s="942">
        <v>0</v>
      </c>
      <c r="AB344" s="942">
        <v>0</v>
      </c>
      <c r="AC344" s="942">
        <v>0</v>
      </c>
      <c r="AD344" s="942">
        <v>0</v>
      </c>
      <c r="AE344" s="942">
        <v>0</v>
      </c>
      <c r="AF344" s="942">
        <v>0</v>
      </c>
      <c r="AG344" s="943">
        <f>comparaison_samebasis_villages[[#This Row],[previous idp_ind]]-comparaison_samebasis_villages[[#This Row],[actual idp_ind]]</f>
        <v>0</v>
      </c>
      <c r="AH344" s="943">
        <f>comparaison_samebasis_villages[[#This Row],[previous ref_ind]]-comparaison_samebasis_villages[[#This Row],[actual ref_ind]]</f>
        <v>0</v>
      </c>
      <c r="AI344" s="943">
        <f>comparaison_samebasis_villages[[#This Row],[previous ret_ind]]-comparaison_samebasis_villages[[#This Row],[actual ret_ind]]</f>
        <v>0</v>
      </c>
    </row>
    <row r="345" spans="1:35" ht="15.75" customHeight="1" x14ac:dyDescent="0.3">
      <c r="A345" s="401" t="s">
        <v>34</v>
      </c>
      <c r="B345" s="401" t="s">
        <v>34</v>
      </c>
      <c r="C345" s="401" t="s">
        <v>188</v>
      </c>
      <c r="D345" s="401" t="s">
        <v>188</v>
      </c>
      <c r="E345" s="401" t="s">
        <v>2796</v>
      </c>
      <c r="F345" s="5" t="s">
        <v>646</v>
      </c>
      <c r="G345" s="401"/>
      <c r="H345" s="1093" t="s">
        <v>511</v>
      </c>
      <c r="I345" s="1216" t="s">
        <v>3111</v>
      </c>
      <c r="J345" s="403">
        <v>3</v>
      </c>
      <c r="K345" s="403">
        <v>24</v>
      </c>
      <c r="L345" s="1093" t="s">
        <v>367</v>
      </c>
      <c r="M345" s="401"/>
      <c r="O345" s="404" t="s">
        <v>31</v>
      </c>
      <c r="P345" s="404" t="s">
        <v>31</v>
      </c>
      <c r="Q345" s="404" t="s">
        <v>170</v>
      </c>
      <c r="R345" s="404" t="s">
        <v>170</v>
      </c>
      <c r="S345" s="404" t="s">
        <v>874</v>
      </c>
      <c r="T345" s="404" t="s">
        <v>1702</v>
      </c>
      <c r="U345" s="941">
        <v>0</v>
      </c>
      <c r="V345" s="941">
        <v>0</v>
      </c>
      <c r="W345" s="941">
        <v>45</v>
      </c>
      <c r="X345" s="941">
        <v>150</v>
      </c>
      <c r="Y345" s="941">
        <v>15</v>
      </c>
      <c r="Z345" s="941">
        <v>15</v>
      </c>
      <c r="AA345" s="942">
        <v>0</v>
      </c>
      <c r="AB345" s="942">
        <v>0</v>
      </c>
      <c r="AC345" s="942">
        <v>0</v>
      </c>
      <c r="AD345" s="942">
        <v>0</v>
      </c>
      <c r="AE345" s="942">
        <v>210</v>
      </c>
      <c r="AF345" s="942">
        <v>1000</v>
      </c>
      <c r="AG345" s="943">
        <f>comparaison_samebasis_villages[[#This Row],[previous idp_ind]]-comparaison_samebasis_villages[[#This Row],[actual idp_ind]]</f>
        <v>0</v>
      </c>
      <c r="AH345" s="943">
        <f>comparaison_samebasis_villages[[#This Row],[previous ref_ind]]-comparaison_samebasis_villages[[#This Row],[actual ref_ind]]</f>
        <v>-150</v>
      </c>
      <c r="AI345" s="943">
        <f>comparaison_samebasis_villages[[#This Row],[previous ret_ind]]-comparaison_samebasis_villages[[#This Row],[actual ret_ind]]</f>
        <v>985</v>
      </c>
    </row>
    <row r="346" spans="1:35" ht="15.75" customHeight="1" x14ac:dyDescent="0.3">
      <c r="A346" s="401" t="s">
        <v>31</v>
      </c>
      <c r="B346" s="401" t="s">
        <v>31</v>
      </c>
      <c r="C346" s="401" t="s">
        <v>164</v>
      </c>
      <c r="D346" s="401" t="s">
        <v>164</v>
      </c>
      <c r="E346" s="401" t="s">
        <v>2259</v>
      </c>
      <c r="F346" s="5" t="s">
        <v>3260</v>
      </c>
      <c r="G346" s="401"/>
      <c r="H346" s="1093" t="s">
        <v>511</v>
      </c>
      <c r="I346" s="1216" t="s">
        <v>3109</v>
      </c>
      <c r="J346" s="403">
        <v>18</v>
      </c>
      <c r="K346" s="403">
        <v>182</v>
      </c>
      <c r="L346" s="1093" t="s">
        <v>365</v>
      </c>
      <c r="M346" s="401"/>
      <c r="O346" s="404" t="s">
        <v>31</v>
      </c>
      <c r="P346" s="404" t="s">
        <v>31</v>
      </c>
      <c r="Q346" s="404" t="s">
        <v>170</v>
      </c>
      <c r="R346" s="404" t="s">
        <v>170</v>
      </c>
      <c r="S346" s="404" t="s">
        <v>880</v>
      </c>
      <c r="T346" s="404" t="s">
        <v>2007</v>
      </c>
      <c r="U346" s="941">
        <v>0</v>
      </c>
      <c r="V346" s="941">
        <v>0</v>
      </c>
      <c r="W346" s="941">
        <v>44</v>
      </c>
      <c r="X346" s="941">
        <v>150</v>
      </c>
      <c r="Y346" s="941">
        <v>60</v>
      </c>
      <c r="Z346" s="941">
        <v>60</v>
      </c>
      <c r="AA346" s="942">
        <v>3</v>
      </c>
      <c r="AB346" s="942">
        <v>20</v>
      </c>
      <c r="AC346" s="942">
        <v>0</v>
      </c>
      <c r="AD346" s="942">
        <v>0</v>
      </c>
      <c r="AE346" s="942">
        <v>9</v>
      </c>
      <c r="AF346" s="942">
        <v>60</v>
      </c>
      <c r="AG346" s="943">
        <f>comparaison_samebasis_villages[[#This Row],[previous idp_ind]]-comparaison_samebasis_villages[[#This Row],[actual idp_ind]]</f>
        <v>20</v>
      </c>
      <c r="AH346" s="943">
        <f>comparaison_samebasis_villages[[#This Row],[previous ref_ind]]-comparaison_samebasis_villages[[#This Row],[actual ref_ind]]</f>
        <v>-150</v>
      </c>
      <c r="AI346" s="943">
        <f>comparaison_samebasis_villages[[#This Row],[previous ret_ind]]-comparaison_samebasis_villages[[#This Row],[actual ret_ind]]</f>
        <v>0</v>
      </c>
    </row>
    <row r="347" spans="1:35" ht="15.75" customHeight="1" x14ac:dyDescent="0.3">
      <c r="A347" s="401" t="s">
        <v>35</v>
      </c>
      <c r="B347" s="401" t="s">
        <v>35</v>
      </c>
      <c r="C347" s="401" t="s">
        <v>192</v>
      </c>
      <c r="D347" s="401" t="s">
        <v>192</v>
      </c>
      <c r="E347" s="401" t="s">
        <v>1390</v>
      </c>
      <c r="F347" s="5" t="s">
        <v>1453</v>
      </c>
      <c r="G347" s="401"/>
      <c r="H347" s="1093" t="s">
        <v>511</v>
      </c>
      <c r="I347" s="1216" t="s">
        <v>3033</v>
      </c>
      <c r="J347" s="403">
        <v>21</v>
      </c>
      <c r="K347" s="403">
        <v>147</v>
      </c>
      <c r="L347" s="1093" t="s">
        <v>367</v>
      </c>
      <c r="M347" s="401"/>
      <c r="O347" s="404" t="s">
        <v>31</v>
      </c>
      <c r="P347" s="404" t="s">
        <v>31</v>
      </c>
      <c r="Q347" s="404" t="s">
        <v>170</v>
      </c>
      <c r="R347" s="404" t="s">
        <v>170</v>
      </c>
      <c r="S347" s="404" t="s">
        <v>1502</v>
      </c>
      <c r="T347" s="404" t="s">
        <v>873</v>
      </c>
      <c r="U347" s="941">
        <v>50</v>
      </c>
      <c r="V347" s="941">
        <v>205</v>
      </c>
      <c r="W347" s="941">
        <v>0</v>
      </c>
      <c r="X347" s="941">
        <v>0</v>
      </c>
      <c r="Y347" s="941">
        <v>100</v>
      </c>
      <c r="Z347" s="941">
        <v>100</v>
      </c>
      <c r="AA347" s="942">
        <v>55</v>
      </c>
      <c r="AB347" s="942">
        <v>225</v>
      </c>
      <c r="AC347" s="942">
        <v>0</v>
      </c>
      <c r="AD347" s="942">
        <v>0</v>
      </c>
      <c r="AE347" s="942">
        <v>0</v>
      </c>
      <c r="AF347" s="942">
        <v>0</v>
      </c>
      <c r="AG347" s="943">
        <f>comparaison_samebasis_villages[[#This Row],[previous idp_ind]]-comparaison_samebasis_villages[[#This Row],[actual idp_ind]]</f>
        <v>20</v>
      </c>
      <c r="AH347" s="943">
        <f>comparaison_samebasis_villages[[#This Row],[previous ref_ind]]-comparaison_samebasis_villages[[#This Row],[actual ref_ind]]</f>
        <v>0</v>
      </c>
      <c r="AI347" s="943">
        <f>comparaison_samebasis_villages[[#This Row],[previous ret_ind]]-comparaison_samebasis_villages[[#This Row],[actual ret_ind]]</f>
        <v>-100</v>
      </c>
    </row>
    <row r="348" spans="1:35" ht="15.75" customHeight="1" x14ac:dyDescent="0.3">
      <c r="A348" s="401" t="s">
        <v>35</v>
      </c>
      <c r="B348" s="401" t="s">
        <v>35</v>
      </c>
      <c r="C348" s="401" t="s">
        <v>192</v>
      </c>
      <c r="D348" s="401" t="s">
        <v>192</v>
      </c>
      <c r="E348" s="401" t="s">
        <v>1390</v>
      </c>
      <c r="F348" s="5" t="s">
        <v>1453</v>
      </c>
      <c r="G348" s="401"/>
      <c r="H348" s="1093" t="s">
        <v>511</v>
      </c>
      <c r="I348" s="1216" t="s">
        <v>3110</v>
      </c>
      <c r="J348" s="403">
        <v>21</v>
      </c>
      <c r="K348" s="403">
        <v>142</v>
      </c>
      <c r="L348" s="1093" t="s">
        <v>367</v>
      </c>
      <c r="M348" s="401"/>
      <c r="O348" s="404" t="s">
        <v>31</v>
      </c>
      <c r="P348" s="404" t="s">
        <v>31</v>
      </c>
      <c r="Q348" s="1145" t="s">
        <v>170</v>
      </c>
      <c r="R348" s="1145" t="s">
        <v>170</v>
      </c>
      <c r="S348" s="404" t="s">
        <v>958</v>
      </c>
      <c r="T348" s="404" t="s">
        <v>879</v>
      </c>
      <c r="U348" s="941">
        <v>4</v>
      </c>
      <c r="V348" s="941">
        <v>15</v>
      </c>
      <c r="W348" s="941">
        <v>0</v>
      </c>
      <c r="X348" s="941">
        <v>0</v>
      </c>
      <c r="Y348" s="941">
        <v>2</v>
      </c>
      <c r="Z348" s="941">
        <v>2</v>
      </c>
      <c r="AA348" s="942">
        <v>3</v>
      </c>
      <c r="AB348" s="942">
        <v>21</v>
      </c>
      <c r="AC348" s="942">
        <v>0</v>
      </c>
      <c r="AD348" s="942">
        <v>0</v>
      </c>
      <c r="AE348" s="942">
        <v>0</v>
      </c>
      <c r="AF348" s="942">
        <v>0</v>
      </c>
      <c r="AG348" s="943">
        <f>comparaison_samebasis_villages[[#This Row],[previous idp_ind]]-comparaison_samebasis_villages[[#This Row],[actual idp_ind]]</f>
        <v>6</v>
      </c>
      <c r="AH348" s="943">
        <f>comparaison_samebasis_villages[[#This Row],[previous ref_ind]]-comparaison_samebasis_villages[[#This Row],[actual ref_ind]]</f>
        <v>0</v>
      </c>
      <c r="AI348" s="943">
        <f>comparaison_samebasis_villages[[#This Row],[previous ret_ind]]-comparaison_samebasis_villages[[#This Row],[actual ret_ind]]</f>
        <v>-2</v>
      </c>
    </row>
    <row r="349" spans="1:35" ht="15.75" customHeight="1" x14ac:dyDescent="0.3">
      <c r="A349" s="401" t="s">
        <v>35</v>
      </c>
      <c r="B349" s="401" t="s">
        <v>35</v>
      </c>
      <c r="C349" s="1093" t="s">
        <v>192</v>
      </c>
      <c r="D349" s="1093" t="s">
        <v>192</v>
      </c>
      <c r="E349" s="401" t="s">
        <v>1390</v>
      </c>
      <c r="F349" s="5" t="s">
        <v>1453</v>
      </c>
      <c r="G349" s="401"/>
      <c r="H349" s="1093" t="s">
        <v>511</v>
      </c>
      <c r="I349" s="1216" t="s">
        <v>3112</v>
      </c>
      <c r="J349" s="403">
        <v>1</v>
      </c>
      <c r="K349" s="403">
        <v>3</v>
      </c>
      <c r="L349" s="1093" t="s">
        <v>367</v>
      </c>
      <c r="M349" s="401"/>
      <c r="O349" s="404" t="s">
        <v>31</v>
      </c>
      <c r="P349" s="404" t="s">
        <v>31</v>
      </c>
      <c r="Q349" s="404" t="s">
        <v>170</v>
      </c>
      <c r="R349" s="404" t="s">
        <v>170</v>
      </c>
      <c r="S349" s="404" t="s">
        <v>1861</v>
      </c>
      <c r="T349" s="404" t="s">
        <v>1501</v>
      </c>
      <c r="U349" s="941">
        <v>77</v>
      </c>
      <c r="V349" s="941">
        <v>280</v>
      </c>
      <c r="W349" s="941">
        <v>0</v>
      </c>
      <c r="X349" s="941">
        <v>0</v>
      </c>
      <c r="Y349" s="941">
        <v>0</v>
      </c>
      <c r="Z349" s="941">
        <v>0</v>
      </c>
      <c r="AA349" s="942">
        <v>75</v>
      </c>
      <c r="AB349" s="942">
        <v>260</v>
      </c>
      <c r="AC349" s="942">
        <v>0</v>
      </c>
      <c r="AD349" s="942">
        <v>0</v>
      </c>
      <c r="AE349" s="942">
        <v>0</v>
      </c>
      <c r="AF349" s="942">
        <v>0</v>
      </c>
      <c r="AG349" s="943">
        <f>comparaison_samebasis_villages[[#This Row],[previous idp_ind]]-comparaison_samebasis_villages[[#This Row],[actual idp_ind]]</f>
        <v>-20</v>
      </c>
      <c r="AH349" s="943">
        <f>comparaison_samebasis_villages[[#This Row],[previous ref_ind]]-comparaison_samebasis_villages[[#This Row],[actual ref_ind]]</f>
        <v>0</v>
      </c>
      <c r="AI349" s="943">
        <f>comparaison_samebasis_villages[[#This Row],[previous ret_ind]]-comparaison_samebasis_villages[[#This Row],[actual ret_ind]]</f>
        <v>0</v>
      </c>
    </row>
    <row r="350" spans="1:35" ht="15.75" customHeight="1" x14ac:dyDescent="0.3">
      <c r="A350" s="401" t="s">
        <v>34</v>
      </c>
      <c r="B350" s="401" t="s">
        <v>34</v>
      </c>
      <c r="C350" s="1093" t="s">
        <v>188</v>
      </c>
      <c r="D350" s="1093" t="s">
        <v>188</v>
      </c>
      <c r="E350" s="401" t="s">
        <v>1499</v>
      </c>
      <c r="F350" s="5" t="s">
        <v>1076</v>
      </c>
      <c r="G350" s="401"/>
      <c r="H350" s="1093" t="s">
        <v>511</v>
      </c>
      <c r="I350" s="1216" t="s">
        <v>3033</v>
      </c>
      <c r="J350" s="403">
        <v>8</v>
      </c>
      <c r="K350" s="403">
        <v>58</v>
      </c>
      <c r="L350" s="1093" t="s">
        <v>367</v>
      </c>
      <c r="M350" s="401"/>
      <c r="O350" s="404" t="s">
        <v>31</v>
      </c>
      <c r="P350" s="404" t="s">
        <v>31</v>
      </c>
      <c r="Q350" s="404" t="s">
        <v>170</v>
      </c>
      <c r="R350" s="404" t="s">
        <v>170</v>
      </c>
      <c r="S350" s="404" t="s">
        <v>2006</v>
      </c>
      <c r="T350" s="404" t="s">
        <v>957</v>
      </c>
      <c r="U350" s="941">
        <v>10</v>
      </c>
      <c r="V350" s="941">
        <v>100</v>
      </c>
      <c r="W350" s="941">
        <v>0</v>
      </c>
      <c r="X350" s="941">
        <v>0</v>
      </c>
      <c r="Y350" s="941">
        <v>4</v>
      </c>
      <c r="Z350" s="941">
        <v>4</v>
      </c>
      <c r="AA350" s="942">
        <v>2</v>
      </c>
      <c r="AB350" s="942">
        <v>12</v>
      </c>
      <c r="AC350" s="942">
        <v>0</v>
      </c>
      <c r="AD350" s="942">
        <v>0</v>
      </c>
      <c r="AE350" s="942">
        <v>0</v>
      </c>
      <c r="AF350" s="942">
        <v>0</v>
      </c>
      <c r="AG350" s="943">
        <f>comparaison_samebasis_villages[[#This Row],[previous idp_ind]]-comparaison_samebasis_villages[[#This Row],[actual idp_ind]]</f>
        <v>-88</v>
      </c>
      <c r="AH350" s="943">
        <f>comparaison_samebasis_villages[[#This Row],[previous ref_ind]]-comparaison_samebasis_villages[[#This Row],[actual ref_ind]]</f>
        <v>0</v>
      </c>
      <c r="AI350" s="943">
        <f>comparaison_samebasis_villages[[#This Row],[previous ret_ind]]-comparaison_samebasis_villages[[#This Row],[actual ret_ind]]</f>
        <v>-4</v>
      </c>
    </row>
    <row r="351" spans="1:35" ht="15.75" customHeight="1" x14ac:dyDescent="0.3">
      <c r="A351" s="401" t="s">
        <v>34</v>
      </c>
      <c r="B351" s="401" t="s">
        <v>34</v>
      </c>
      <c r="C351" s="1093" t="s">
        <v>188</v>
      </c>
      <c r="D351" s="1093" t="s">
        <v>188</v>
      </c>
      <c r="E351" s="401" t="s">
        <v>1329</v>
      </c>
      <c r="F351" s="5" t="s">
        <v>1555</v>
      </c>
      <c r="G351" s="401"/>
      <c r="H351" s="1093" t="s">
        <v>511</v>
      </c>
      <c r="I351" s="1216" t="s">
        <v>3033</v>
      </c>
      <c r="J351" s="403">
        <v>3</v>
      </c>
      <c r="K351" s="403">
        <v>13</v>
      </c>
      <c r="L351" s="1093" t="s">
        <v>367</v>
      </c>
      <c r="M351" s="401"/>
      <c r="O351" s="404" t="s">
        <v>31</v>
      </c>
      <c r="P351" s="404" t="s">
        <v>31</v>
      </c>
      <c r="Q351" s="404" t="s">
        <v>170</v>
      </c>
      <c r="R351" s="404" t="s">
        <v>170</v>
      </c>
      <c r="S351" s="404" t="s">
        <v>1857</v>
      </c>
      <c r="T351" s="404" t="s">
        <v>1860</v>
      </c>
      <c r="U351" s="941">
        <v>67</v>
      </c>
      <c r="V351" s="941">
        <v>422</v>
      </c>
      <c r="W351" s="941">
        <v>0</v>
      </c>
      <c r="X351" s="941">
        <v>0</v>
      </c>
      <c r="Y351" s="941">
        <v>0</v>
      </c>
      <c r="Z351" s="941">
        <v>0</v>
      </c>
      <c r="AA351" s="942">
        <v>66</v>
      </c>
      <c r="AB351" s="942">
        <v>420</v>
      </c>
      <c r="AC351" s="942">
        <v>0</v>
      </c>
      <c r="AD351" s="942">
        <v>0</v>
      </c>
      <c r="AE351" s="942">
        <v>0</v>
      </c>
      <c r="AF351" s="942">
        <v>0</v>
      </c>
      <c r="AG351" s="943">
        <f>comparaison_samebasis_villages[[#This Row],[previous idp_ind]]-comparaison_samebasis_villages[[#This Row],[actual idp_ind]]</f>
        <v>-2</v>
      </c>
      <c r="AH351" s="943">
        <f>comparaison_samebasis_villages[[#This Row],[previous ref_ind]]-comparaison_samebasis_villages[[#This Row],[actual ref_ind]]</f>
        <v>0</v>
      </c>
      <c r="AI351" s="943">
        <f>comparaison_samebasis_villages[[#This Row],[previous ret_ind]]-comparaison_samebasis_villages[[#This Row],[actual ret_ind]]</f>
        <v>0</v>
      </c>
    </row>
    <row r="352" spans="1:35" ht="15.75" customHeight="1" x14ac:dyDescent="0.3">
      <c r="A352" s="401" t="s">
        <v>34</v>
      </c>
      <c r="B352" s="401" t="s">
        <v>34</v>
      </c>
      <c r="C352" s="401" t="s">
        <v>188</v>
      </c>
      <c r="D352" s="401" t="s">
        <v>188</v>
      </c>
      <c r="E352" s="401" t="s">
        <v>1329</v>
      </c>
      <c r="F352" s="5" t="s">
        <v>1555</v>
      </c>
      <c r="G352" s="401"/>
      <c r="H352" s="1093" t="s">
        <v>511</v>
      </c>
      <c r="I352" s="1216" t="s">
        <v>3109</v>
      </c>
      <c r="J352" s="403">
        <v>0</v>
      </c>
      <c r="K352" s="403">
        <v>1</v>
      </c>
      <c r="L352" s="1093" t="s">
        <v>367</v>
      </c>
      <c r="M352" s="401"/>
      <c r="O352" s="399" t="s">
        <v>31</v>
      </c>
      <c r="P352" s="399" t="s">
        <v>31</v>
      </c>
      <c r="Q352" s="399" t="s">
        <v>170</v>
      </c>
      <c r="R352" s="399" t="s">
        <v>170</v>
      </c>
      <c r="S352" s="399" t="s">
        <v>2174</v>
      </c>
      <c r="T352" s="399" t="s">
        <v>2972</v>
      </c>
      <c r="U352" s="941">
        <v>8</v>
      </c>
      <c r="V352" s="941">
        <v>45</v>
      </c>
      <c r="W352" s="941">
        <v>0</v>
      </c>
      <c r="X352" s="941">
        <v>0</v>
      </c>
      <c r="Y352" s="941">
        <v>0</v>
      </c>
      <c r="Z352" s="941">
        <v>0</v>
      </c>
      <c r="AA352" s="942">
        <v>0</v>
      </c>
      <c r="AB352" s="942">
        <v>0</v>
      </c>
      <c r="AC352" s="942">
        <v>0</v>
      </c>
      <c r="AD352" s="942">
        <v>0</v>
      </c>
      <c r="AE352" s="942">
        <v>0</v>
      </c>
      <c r="AF352" s="942">
        <v>0</v>
      </c>
      <c r="AG352" s="943">
        <f>comparaison_samebasis_villages[[#This Row],[previous idp_ind]]-comparaison_samebasis_villages[[#This Row],[actual idp_ind]]</f>
        <v>-45</v>
      </c>
      <c r="AH352" s="943">
        <f>comparaison_samebasis_villages[[#This Row],[previous ref_ind]]-comparaison_samebasis_villages[[#This Row],[actual ref_ind]]</f>
        <v>0</v>
      </c>
      <c r="AI352" s="943">
        <f>comparaison_samebasis_villages[[#This Row],[previous ret_ind]]-comparaison_samebasis_villages[[#This Row],[actual ret_ind]]</f>
        <v>0</v>
      </c>
    </row>
    <row r="353" spans="1:35" ht="15.75" customHeight="1" x14ac:dyDescent="0.3">
      <c r="A353" s="401" t="s">
        <v>34</v>
      </c>
      <c r="B353" s="401" t="s">
        <v>34</v>
      </c>
      <c r="C353" s="401" t="s">
        <v>188</v>
      </c>
      <c r="D353" s="401" t="s">
        <v>188</v>
      </c>
      <c r="E353" s="401" t="s">
        <v>1181</v>
      </c>
      <c r="F353" s="5" t="s">
        <v>758</v>
      </c>
      <c r="G353" s="401"/>
      <c r="H353" s="1093" t="s">
        <v>511</v>
      </c>
      <c r="I353" s="1216" t="s">
        <v>3112</v>
      </c>
      <c r="J353" s="403">
        <v>5</v>
      </c>
      <c r="K353" s="403">
        <v>20</v>
      </c>
      <c r="L353" s="1093" t="s">
        <v>367</v>
      </c>
      <c r="M353" s="401"/>
      <c r="O353" s="399" t="s">
        <v>31</v>
      </c>
      <c r="P353" s="399" t="s">
        <v>31</v>
      </c>
      <c r="Q353" s="399" t="s">
        <v>170</v>
      </c>
      <c r="R353" s="399" t="s">
        <v>170</v>
      </c>
      <c r="S353" s="399" t="s">
        <v>1913</v>
      </c>
      <c r="T353" s="399" t="s">
        <v>2005</v>
      </c>
      <c r="U353" s="941">
        <v>10</v>
      </c>
      <c r="V353" s="941">
        <v>120</v>
      </c>
      <c r="W353" s="941">
        <v>7</v>
      </c>
      <c r="X353" s="941">
        <v>80</v>
      </c>
      <c r="Y353" s="941">
        <v>0</v>
      </c>
      <c r="Z353" s="941">
        <v>0</v>
      </c>
      <c r="AA353" s="942">
        <v>11</v>
      </c>
      <c r="AB353" s="942">
        <v>102</v>
      </c>
      <c r="AC353" s="942">
        <v>0</v>
      </c>
      <c r="AD353" s="942">
        <v>0</v>
      </c>
      <c r="AE353" s="942">
        <v>19</v>
      </c>
      <c r="AF353" s="942">
        <v>200</v>
      </c>
      <c r="AG353" s="943">
        <f>comparaison_samebasis_villages[[#This Row],[previous idp_ind]]-comparaison_samebasis_villages[[#This Row],[actual idp_ind]]</f>
        <v>-18</v>
      </c>
      <c r="AH353" s="943">
        <f>comparaison_samebasis_villages[[#This Row],[previous ref_ind]]-comparaison_samebasis_villages[[#This Row],[actual ref_ind]]</f>
        <v>-80</v>
      </c>
      <c r="AI353" s="943">
        <f>comparaison_samebasis_villages[[#This Row],[previous ret_ind]]-comparaison_samebasis_villages[[#This Row],[actual ret_ind]]</f>
        <v>200</v>
      </c>
    </row>
    <row r="354" spans="1:35" ht="15.75" customHeight="1" x14ac:dyDescent="0.3">
      <c r="A354" s="401" t="s">
        <v>34</v>
      </c>
      <c r="B354" s="401" t="s">
        <v>34</v>
      </c>
      <c r="C354" s="401" t="s">
        <v>188</v>
      </c>
      <c r="D354" s="401" t="s">
        <v>188</v>
      </c>
      <c r="E354" s="401" t="s">
        <v>3014</v>
      </c>
      <c r="F354" s="5" t="s">
        <v>1186</v>
      </c>
      <c r="G354" s="401"/>
      <c r="H354" s="1093" t="s">
        <v>511</v>
      </c>
      <c r="I354" s="1216" t="s">
        <v>3033</v>
      </c>
      <c r="J354" s="403">
        <v>60</v>
      </c>
      <c r="K354" s="403">
        <v>356</v>
      </c>
      <c r="L354" s="1093" t="s">
        <v>367</v>
      </c>
      <c r="M354" s="401"/>
      <c r="O354" s="404" t="s">
        <v>31</v>
      </c>
      <c r="P354" s="404" t="s">
        <v>31</v>
      </c>
      <c r="Q354" s="404" t="s">
        <v>170</v>
      </c>
      <c r="R354" s="404" t="s">
        <v>170</v>
      </c>
      <c r="S354" s="404" t="s">
        <v>2042</v>
      </c>
      <c r="T354" s="404" t="s">
        <v>1856</v>
      </c>
      <c r="U354" s="941">
        <v>0</v>
      </c>
      <c r="V354" s="941">
        <v>0</v>
      </c>
      <c r="W354" s="941">
        <v>0</v>
      </c>
      <c r="X354" s="941">
        <v>0</v>
      </c>
      <c r="Y354" s="941">
        <v>0</v>
      </c>
      <c r="Z354" s="941">
        <v>0</v>
      </c>
      <c r="AA354" s="942">
        <v>90</v>
      </c>
      <c r="AB354" s="942">
        <v>520</v>
      </c>
      <c r="AC354" s="942">
        <v>0</v>
      </c>
      <c r="AD354" s="942">
        <v>0</v>
      </c>
      <c r="AE354" s="942">
        <v>0</v>
      </c>
      <c r="AF354" s="942">
        <v>0</v>
      </c>
      <c r="AG354" s="943">
        <f>comparaison_samebasis_villages[[#This Row],[previous idp_ind]]-comparaison_samebasis_villages[[#This Row],[actual idp_ind]]</f>
        <v>520</v>
      </c>
      <c r="AH354" s="943">
        <f>comparaison_samebasis_villages[[#This Row],[previous ref_ind]]-comparaison_samebasis_villages[[#This Row],[actual ref_ind]]</f>
        <v>0</v>
      </c>
      <c r="AI354" s="943">
        <f>comparaison_samebasis_villages[[#This Row],[previous ret_ind]]-comparaison_samebasis_villages[[#This Row],[actual ret_ind]]</f>
        <v>0</v>
      </c>
    </row>
    <row r="355" spans="1:35" ht="15.75" customHeight="1" x14ac:dyDescent="0.3">
      <c r="A355" s="401" t="s">
        <v>34</v>
      </c>
      <c r="B355" s="401" t="s">
        <v>34</v>
      </c>
      <c r="C355" s="401" t="s">
        <v>188</v>
      </c>
      <c r="D355" s="401" t="s">
        <v>188</v>
      </c>
      <c r="E355" s="401" t="s">
        <v>3014</v>
      </c>
      <c r="F355" s="5" t="s">
        <v>1186</v>
      </c>
      <c r="G355" s="401"/>
      <c r="H355" s="1093" t="s">
        <v>511</v>
      </c>
      <c r="I355" s="1216" t="s">
        <v>3110</v>
      </c>
      <c r="J355" s="403">
        <v>50</v>
      </c>
      <c r="K355" s="403">
        <v>335</v>
      </c>
      <c r="L355" s="1093" t="s">
        <v>367</v>
      </c>
      <c r="M355" s="401"/>
      <c r="O355" s="404" t="s">
        <v>31</v>
      </c>
      <c r="P355" s="404" t="s">
        <v>31</v>
      </c>
      <c r="Q355" s="404" t="s">
        <v>170</v>
      </c>
      <c r="R355" s="404" t="s">
        <v>170</v>
      </c>
      <c r="S355" s="404" t="s">
        <v>939</v>
      </c>
      <c r="T355" s="404" t="s">
        <v>2173</v>
      </c>
      <c r="U355" s="941">
        <v>35</v>
      </c>
      <c r="V355" s="941">
        <v>105</v>
      </c>
      <c r="W355" s="941">
        <v>0</v>
      </c>
      <c r="X355" s="941">
        <v>0</v>
      </c>
      <c r="Y355" s="941">
        <v>0</v>
      </c>
      <c r="Z355" s="941">
        <v>0</v>
      </c>
      <c r="AA355" s="942">
        <v>6</v>
      </c>
      <c r="AB355" s="942">
        <v>20</v>
      </c>
      <c r="AC355" s="942">
        <v>0</v>
      </c>
      <c r="AD355" s="942">
        <v>0</v>
      </c>
      <c r="AE355" s="942">
        <v>0</v>
      </c>
      <c r="AF355" s="942">
        <v>0</v>
      </c>
      <c r="AG355" s="943">
        <f>comparaison_samebasis_villages[[#This Row],[previous idp_ind]]-comparaison_samebasis_villages[[#This Row],[actual idp_ind]]</f>
        <v>-85</v>
      </c>
      <c r="AH355" s="943">
        <f>comparaison_samebasis_villages[[#This Row],[previous ref_ind]]-comparaison_samebasis_villages[[#This Row],[actual ref_ind]]</f>
        <v>0</v>
      </c>
      <c r="AI355" s="943">
        <f>comparaison_samebasis_villages[[#This Row],[previous ret_ind]]-comparaison_samebasis_villages[[#This Row],[actual ret_ind]]</f>
        <v>0</v>
      </c>
    </row>
    <row r="356" spans="1:35" ht="15.75" customHeight="1" x14ac:dyDescent="0.3">
      <c r="A356" s="401" t="s">
        <v>34</v>
      </c>
      <c r="B356" s="401" t="s">
        <v>34</v>
      </c>
      <c r="C356" s="401" t="s">
        <v>188</v>
      </c>
      <c r="D356" s="401" t="s">
        <v>188</v>
      </c>
      <c r="E356" s="401" t="s">
        <v>3014</v>
      </c>
      <c r="F356" s="5" t="s">
        <v>1186</v>
      </c>
      <c r="G356" s="401"/>
      <c r="H356" s="1093" t="s">
        <v>511</v>
      </c>
      <c r="I356" s="1216" t="s">
        <v>3111</v>
      </c>
      <c r="J356" s="403">
        <v>10</v>
      </c>
      <c r="K356" s="403">
        <v>80</v>
      </c>
      <c r="L356" s="1093" t="s">
        <v>367</v>
      </c>
      <c r="M356" s="401"/>
      <c r="O356" s="404" t="s">
        <v>31</v>
      </c>
      <c r="P356" s="404" t="s">
        <v>31</v>
      </c>
      <c r="Q356" s="404" t="s">
        <v>170</v>
      </c>
      <c r="R356" s="404" t="s">
        <v>170</v>
      </c>
      <c r="S356" s="404" t="s">
        <v>1238</v>
      </c>
      <c r="T356" s="404" t="s">
        <v>2997</v>
      </c>
      <c r="U356" s="941">
        <v>3</v>
      </c>
      <c r="V356" s="941">
        <v>15</v>
      </c>
      <c r="W356" s="941">
        <v>0</v>
      </c>
      <c r="X356" s="941">
        <v>0</v>
      </c>
      <c r="Y356" s="941">
        <v>0</v>
      </c>
      <c r="Z356" s="941">
        <v>0</v>
      </c>
      <c r="AA356" s="942">
        <v>3</v>
      </c>
      <c r="AB356" s="942">
        <v>12</v>
      </c>
      <c r="AC356" s="942">
        <v>0</v>
      </c>
      <c r="AD356" s="942">
        <v>0</v>
      </c>
      <c r="AE356" s="942">
        <v>0</v>
      </c>
      <c r="AF356" s="942">
        <v>0</v>
      </c>
      <c r="AG356" s="943">
        <f>comparaison_samebasis_villages[[#This Row],[previous idp_ind]]-comparaison_samebasis_villages[[#This Row],[actual idp_ind]]</f>
        <v>-3</v>
      </c>
      <c r="AH356" s="943">
        <f>comparaison_samebasis_villages[[#This Row],[previous ref_ind]]-comparaison_samebasis_villages[[#This Row],[actual ref_ind]]</f>
        <v>0</v>
      </c>
      <c r="AI356" s="943">
        <f>comparaison_samebasis_villages[[#This Row],[previous ret_ind]]-comparaison_samebasis_villages[[#This Row],[actual ret_ind]]</f>
        <v>0</v>
      </c>
    </row>
    <row r="357" spans="1:35" ht="15.75" customHeight="1" x14ac:dyDescent="0.3">
      <c r="A357" s="401" t="s">
        <v>34</v>
      </c>
      <c r="B357" s="401" t="s">
        <v>34</v>
      </c>
      <c r="C357" s="401" t="s">
        <v>188</v>
      </c>
      <c r="D357" s="401" t="s">
        <v>188</v>
      </c>
      <c r="E357" s="401" t="s">
        <v>3014</v>
      </c>
      <c r="F357" s="5" t="s">
        <v>1186</v>
      </c>
      <c r="G357" s="401"/>
      <c r="H357" s="1093" t="s">
        <v>511</v>
      </c>
      <c r="I357" s="1216" t="s">
        <v>3112</v>
      </c>
      <c r="J357" s="403">
        <v>20</v>
      </c>
      <c r="K357" s="403">
        <v>80</v>
      </c>
      <c r="L357" s="1093" t="s">
        <v>365</v>
      </c>
      <c r="M357" s="401"/>
      <c r="O357" s="399" t="s">
        <v>31</v>
      </c>
      <c r="P357" s="399" t="s">
        <v>31</v>
      </c>
      <c r="Q357" s="399" t="s">
        <v>170</v>
      </c>
      <c r="R357" s="399" t="s">
        <v>170</v>
      </c>
      <c r="S357" s="399" t="s">
        <v>2098</v>
      </c>
      <c r="T357" s="399" t="s">
        <v>1912</v>
      </c>
      <c r="U357" s="941">
        <v>21</v>
      </c>
      <c r="V357" s="941">
        <v>78</v>
      </c>
      <c r="W357" s="941">
        <v>0</v>
      </c>
      <c r="X357" s="941">
        <v>0</v>
      </c>
      <c r="Y357" s="941">
        <v>0</v>
      </c>
      <c r="Z357" s="941">
        <v>0</v>
      </c>
      <c r="AA357" s="942">
        <v>20</v>
      </c>
      <c r="AB357" s="942">
        <v>69</v>
      </c>
      <c r="AC357" s="942">
        <v>0</v>
      </c>
      <c r="AD357" s="942">
        <v>0</v>
      </c>
      <c r="AE357" s="942">
        <v>0</v>
      </c>
      <c r="AF357" s="942">
        <v>0</v>
      </c>
      <c r="AG357" s="943">
        <f>comparaison_samebasis_villages[[#This Row],[previous idp_ind]]-comparaison_samebasis_villages[[#This Row],[actual idp_ind]]</f>
        <v>-9</v>
      </c>
      <c r="AH357" s="943">
        <f>comparaison_samebasis_villages[[#This Row],[previous ref_ind]]-comparaison_samebasis_villages[[#This Row],[actual ref_ind]]</f>
        <v>0</v>
      </c>
      <c r="AI357" s="943">
        <f>comparaison_samebasis_villages[[#This Row],[previous ret_ind]]-comparaison_samebasis_villages[[#This Row],[actual ret_ind]]</f>
        <v>0</v>
      </c>
    </row>
    <row r="358" spans="1:35" ht="15.75" customHeight="1" x14ac:dyDescent="0.3">
      <c r="A358" s="401" t="s">
        <v>31</v>
      </c>
      <c r="B358" s="401" t="s">
        <v>31</v>
      </c>
      <c r="C358" s="401" t="s">
        <v>169</v>
      </c>
      <c r="D358" s="401" t="s">
        <v>169</v>
      </c>
      <c r="E358" s="401" t="s">
        <v>3202</v>
      </c>
      <c r="F358" s="5" t="s">
        <v>3065</v>
      </c>
      <c r="G358" s="401"/>
      <c r="H358" s="1093" t="s">
        <v>511</v>
      </c>
      <c r="I358" s="1216" t="s">
        <v>3111</v>
      </c>
      <c r="J358" s="403">
        <v>57</v>
      </c>
      <c r="K358" s="403">
        <v>450</v>
      </c>
      <c r="L358" s="1093" t="s">
        <v>367</v>
      </c>
      <c r="M358" s="401"/>
      <c r="O358" s="404" t="s">
        <v>31</v>
      </c>
      <c r="P358" s="404" t="s">
        <v>31</v>
      </c>
      <c r="Q358" s="404" t="s">
        <v>170</v>
      </c>
      <c r="R358" s="404" t="s">
        <v>170</v>
      </c>
      <c r="S358" s="404" t="s">
        <v>1956</v>
      </c>
      <c r="T358" s="404" t="s">
        <v>2041</v>
      </c>
      <c r="U358" s="941">
        <v>6</v>
      </c>
      <c r="V358" s="941">
        <v>50</v>
      </c>
      <c r="W358" s="941">
        <v>0</v>
      </c>
      <c r="X358" s="941">
        <v>0</v>
      </c>
      <c r="Y358" s="941">
        <v>6</v>
      </c>
      <c r="Z358" s="941">
        <v>6</v>
      </c>
      <c r="AA358" s="942">
        <v>2</v>
      </c>
      <c r="AB358" s="942">
        <v>3</v>
      </c>
      <c r="AC358" s="942">
        <v>0</v>
      </c>
      <c r="AD358" s="942">
        <v>0</v>
      </c>
      <c r="AE358" s="942">
        <v>4</v>
      </c>
      <c r="AF358" s="942">
        <v>10</v>
      </c>
      <c r="AG358" s="943">
        <f>comparaison_samebasis_villages[[#This Row],[previous idp_ind]]-comparaison_samebasis_villages[[#This Row],[actual idp_ind]]</f>
        <v>-47</v>
      </c>
      <c r="AH358" s="943">
        <f>comparaison_samebasis_villages[[#This Row],[previous ref_ind]]-comparaison_samebasis_villages[[#This Row],[actual ref_ind]]</f>
        <v>0</v>
      </c>
      <c r="AI358" s="943">
        <f>comparaison_samebasis_villages[[#This Row],[previous ret_ind]]-comparaison_samebasis_villages[[#This Row],[actual ret_ind]]</f>
        <v>4</v>
      </c>
    </row>
    <row r="359" spans="1:35" ht="15.75" customHeight="1" x14ac:dyDescent="0.3">
      <c r="A359" s="401" t="s">
        <v>31</v>
      </c>
      <c r="B359" s="401" t="s">
        <v>31</v>
      </c>
      <c r="C359" s="401" t="s">
        <v>169</v>
      </c>
      <c r="D359" s="401" t="s">
        <v>169</v>
      </c>
      <c r="E359" s="401" t="s">
        <v>3202</v>
      </c>
      <c r="F359" s="5" t="s">
        <v>3065</v>
      </c>
      <c r="G359" s="401"/>
      <c r="H359" s="1093" t="s">
        <v>511</v>
      </c>
      <c r="I359" s="1216" t="s">
        <v>3112</v>
      </c>
      <c r="J359" s="403">
        <v>7</v>
      </c>
      <c r="K359" s="403">
        <v>50</v>
      </c>
      <c r="L359" s="1093" t="s">
        <v>367</v>
      </c>
      <c r="M359" s="401"/>
      <c r="O359" s="404" t="s">
        <v>31</v>
      </c>
      <c r="P359" s="404" t="s">
        <v>31</v>
      </c>
      <c r="Q359" s="404" t="s">
        <v>170</v>
      </c>
      <c r="R359" s="404" t="s">
        <v>170</v>
      </c>
      <c r="S359" s="404" t="s">
        <v>1110</v>
      </c>
      <c r="T359" s="404" t="s">
        <v>938</v>
      </c>
      <c r="U359" s="941">
        <v>5</v>
      </c>
      <c r="V359" s="941">
        <v>20</v>
      </c>
      <c r="W359" s="941">
        <v>3</v>
      </c>
      <c r="X359" s="941">
        <v>20</v>
      </c>
      <c r="Y359" s="941">
        <v>0</v>
      </c>
      <c r="Z359" s="941">
        <v>0</v>
      </c>
      <c r="AA359" s="942">
        <v>0</v>
      </c>
      <c r="AB359" s="942">
        <v>0</v>
      </c>
      <c r="AC359" s="942">
        <v>0</v>
      </c>
      <c r="AD359" s="942">
        <v>0</v>
      </c>
      <c r="AE359" s="942">
        <v>0</v>
      </c>
      <c r="AF359" s="942">
        <v>0</v>
      </c>
      <c r="AG359" s="943">
        <f>comparaison_samebasis_villages[[#This Row],[previous idp_ind]]-comparaison_samebasis_villages[[#This Row],[actual idp_ind]]</f>
        <v>-20</v>
      </c>
      <c r="AH359" s="943">
        <f>comparaison_samebasis_villages[[#This Row],[previous ref_ind]]-comparaison_samebasis_villages[[#This Row],[actual ref_ind]]</f>
        <v>-20</v>
      </c>
      <c r="AI359" s="943">
        <f>comparaison_samebasis_villages[[#This Row],[previous ret_ind]]-comparaison_samebasis_villages[[#This Row],[actual ret_ind]]</f>
        <v>0</v>
      </c>
    </row>
    <row r="360" spans="1:35" ht="15.75" customHeight="1" x14ac:dyDescent="0.3">
      <c r="A360" s="401" t="s">
        <v>34</v>
      </c>
      <c r="B360" s="401" t="s">
        <v>34</v>
      </c>
      <c r="C360" s="401" t="s">
        <v>187</v>
      </c>
      <c r="D360" s="401" t="s">
        <v>187</v>
      </c>
      <c r="E360" s="401" t="s">
        <v>3004</v>
      </c>
      <c r="F360" s="5" t="s">
        <v>1379</v>
      </c>
      <c r="G360" s="401"/>
      <c r="H360" s="1093" t="s">
        <v>511</v>
      </c>
      <c r="I360" s="1216" t="s">
        <v>3033</v>
      </c>
      <c r="J360" s="403">
        <v>23</v>
      </c>
      <c r="K360" s="403">
        <v>135</v>
      </c>
      <c r="L360" s="1093" t="s">
        <v>371</v>
      </c>
      <c r="M360" s="401"/>
      <c r="O360" s="404" t="s">
        <v>31</v>
      </c>
      <c r="P360" s="404" t="s">
        <v>31</v>
      </c>
      <c r="Q360" s="404" t="s">
        <v>170</v>
      </c>
      <c r="R360" s="404" t="s">
        <v>170</v>
      </c>
      <c r="S360" s="404" t="s">
        <v>941</v>
      </c>
      <c r="T360" s="404" t="s">
        <v>1237</v>
      </c>
      <c r="U360" s="941">
        <v>0</v>
      </c>
      <c r="V360" s="941">
        <v>0</v>
      </c>
      <c r="W360" s="941">
        <v>0</v>
      </c>
      <c r="X360" s="941">
        <v>0</v>
      </c>
      <c r="Y360" s="941">
        <v>0</v>
      </c>
      <c r="Z360" s="941">
        <v>0</v>
      </c>
      <c r="AA360" s="942">
        <v>6</v>
      </c>
      <c r="AB360" s="942">
        <v>6</v>
      </c>
      <c r="AC360" s="942">
        <v>0</v>
      </c>
      <c r="AD360" s="942">
        <v>0</v>
      </c>
      <c r="AE360" s="942">
        <v>0</v>
      </c>
      <c r="AF360" s="942">
        <v>0</v>
      </c>
      <c r="AG360" s="943">
        <f>comparaison_samebasis_villages[[#This Row],[previous idp_ind]]-comparaison_samebasis_villages[[#This Row],[actual idp_ind]]</f>
        <v>6</v>
      </c>
      <c r="AH360" s="943">
        <f>comparaison_samebasis_villages[[#This Row],[previous ref_ind]]-comparaison_samebasis_villages[[#This Row],[actual ref_ind]]</f>
        <v>0</v>
      </c>
      <c r="AI360" s="943">
        <f>comparaison_samebasis_villages[[#This Row],[previous ret_ind]]-comparaison_samebasis_villages[[#This Row],[actual ret_ind]]</f>
        <v>0</v>
      </c>
    </row>
    <row r="361" spans="1:35" ht="15.75" customHeight="1" x14ac:dyDescent="0.3">
      <c r="A361" s="401" t="s">
        <v>34</v>
      </c>
      <c r="B361" s="401" t="s">
        <v>34</v>
      </c>
      <c r="C361" s="401" t="s">
        <v>187</v>
      </c>
      <c r="D361" s="401" t="s">
        <v>187</v>
      </c>
      <c r="E361" s="401" t="s">
        <v>3004</v>
      </c>
      <c r="F361" s="5" t="s">
        <v>1379</v>
      </c>
      <c r="G361" s="401"/>
      <c r="H361" s="1093" t="s">
        <v>511</v>
      </c>
      <c r="I361" s="1216" t="s">
        <v>3111</v>
      </c>
      <c r="J361" s="403">
        <v>60</v>
      </c>
      <c r="K361" s="403">
        <v>416</v>
      </c>
      <c r="L361" s="1093" t="s">
        <v>371</v>
      </c>
      <c r="M361" s="401"/>
      <c r="O361" s="404" t="s">
        <v>31</v>
      </c>
      <c r="P361" s="404" t="s">
        <v>31</v>
      </c>
      <c r="Q361" s="404" t="s">
        <v>170</v>
      </c>
      <c r="R361" s="404" t="s">
        <v>170</v>
      </c>
      <c r="S361" s="404" t="s">
        <v>1557</v>
      </c>
      <c r="T361" s="404" t="s">
        <v>2097</v>
      </c>
      <c r="U361" s="941">
        <v>4</v>
      </c>
      <c r="V361" s="941">
        <v>25</v>
      </c>
      <c r="W361" s="941">
        <v>87</v>
      </c>
      <c r="X361" s="941">
        <v>420</v>
      </c>
      <c r="Y361" s="941">
        <v>60</v>
      </c>
      <c r="Z361" s="941">
        <v>60</v>
      </c>
      <c r="AA361" s="942">
        <v>0</v>
      </c>
      <c r="AB361" s="942">
        <v>0</v>
      </c>
      <c r="AC361" s="942">
        <v>2</v>
      </c>
      <c r="AD361" s="942">
        <v>3</v>
      </c>
      <c r="AE361" s="942">
        <v>15</v>
      </c>
      <c r="AF361" s="942">
        <v>70</v>
      </c>
      <c r="AG361" s="943">
        <f>comparaison_samebasis_villages[[#This Row],[previous idp_ind]]-comparaison_samebasis_villages[[#This Row],[actual idp_ind]]</f>
        <v>-25</v>
      </c>
      <c r="AH361" s="943">
        <f>comparaison_samebasis_villages[[#This Row],[previous ref_ind]]-comparaison_samebasis_villages[[#This Row],[actual ref_ind]]</f>
        <v>-417</v>
      </c>
      <c r="AI361" s="943">
        <f>comparaison_samebasis_villages[[#This Row],[previous ret_ind]]-comparaison_samebasis_villages[[#This Row],[actual ret_ind]]</f>
        <v>10</v>
      </c>
    </row>
    <row r="362" spans="1:35" ht="15.75" customHeight="1" x14ac:dyDescent="0.3">
      <c r="A362" s="401" t="s">
        <v>34</v>
      </c>
      <c r="B362" s="401" t="s">
        <v>34</v>
      </c>
      <c r="C362" s="401" t="s">
        <v>187</v>
      </c>
      <c r="D362" s="401" t="s">
        <v>187</v>
      </c>
      <c r="E362" s="401" t="s">
        <v>3004</v>
      </c>
      <c r="F362" s="5" t="s">
        <v>1379</v>
      </c>
      <c r="G362" s="401"/>
      <c r="H362" s="1093" t="s">
        <v>511</v>
      </c>
      <c r="I362" s="1216" t="s">
        <v>3112</v>
      </c>
      <c r="J362" s="403">
        <v>0</v>
      </c>
      <c r="K362" s="403">
        <v>5</v>
      </c>
      <c r="L362" s="1093" t="s">
        <v>371</v>
      </c>
      <c r="M362" s="401"/>
      <c r="O362" s="404" t="s">
        <v>31</v>
      </c>
      <c r="P362" s="404" t="s">
        <v>31</v>
      </c>
      <c r="Q362" s="404" t="s">
        <v>170</v>
      </c>
      <c r="R362" s="404" t="s">
        <v>170</v>
      </c>
      <c r="S362" s="404" t="s">
        <v>1577</v>
      </c>
      <c r="T362" s="404" t="s">
        <v>1955</v>
      </c>
      <c r="U362" s="941">
        <v>11</v>
      </c>
      <c r="V362" s="941">
        <v>80</v>
      </c>
      <c r="W362" s="941">
        <v>23</v>
      </c>
      <c r="X362" s="941">
        <v>200</v>
      </c>
      <c r="Y362" s="941">
        <v>60</v>
      </c>
      <c r="Z362" s="941">
        <v>60</v>
      </c>
      <c r="AA362" s="942">
        <v>6</v>
      </c>
      <c r="AB362" s="942">
        <v>27</v>
      </c>
      <c r="AC362" s="942">
        <v>0</v>
      </c>
      <c r="AD362" s="942">
        <v>0</v>
      </c>
      <c r="AE362" s="942">
        <v>120</v>
      </c>
      <c r="AF362" s="942">
        <v>800</v>
      </c>
      <c r="AG362" s="943">
        <f>comparaison_samebasis_villages[[#This Row],[previous idp_ind]]-comparaison_samebasis_villages[[#This Row],[actual idp_ind]]</f>
        <v>-53</v>
      </c>
      <c r="AH362" s="943">
        <f>comparaison_samebasis_villages[[#This Row],[previous ref_ind]]-comparaison_samebasis_villages[[#This Row],[actual ref_ind]]</f>
        <v>-200</v>
      </c>
      <c r="AI362" s="943">
        <f>comparaison_samebasis_villages[[#This Row],[previous ret_ind]]-comparaison_samebasis_villages[[#This Row],[actual ret_ind]]</f>
        <v>740</v>
      </c>
    </row>
    <row r="363" spans="1:35" ht="15.75" customHeight="1" x14ac:dyDescent="0.3">
      <c r="A363" s="401" t="s">
        <v>31</v>
      </c>
      <c r="B363" s="401" t="s">
        <v>31</v>
      </c>
      <c r="C363" s="401" t="s">
        <v>170</v>
      </c>
      <c r="D363" s="401" t="s">
        <v>170</v>
      </c>
      <c r="E363" s="401" t="s">
        <v>2099</v>
      </c>
      <c r="F363" s="5" t="s">
        <v>2090</v>
      </c>
      <c r="G363" s="401"/>
      <c r="H363" s="1093" t="s">
        <v>511</v>
      </c>
      <c r="I363" s="1216" t="s">
        <v>3112</v>
      </c>
      <c r="J363" s="403">
        <v>10</v>
      </c>
      <c r="K363" s="403">
        <v>56</v>
      </c>
      <c r="L363" s="1093" t="s">
        <v>371</v>
      </c>
      <c r="M363" s="401"/>
      <c r="O363" s="404" t="s">
        <v>31</v>
      </c>
      <c r="P363" s="404" t="s">
        <v>31</v>
      </c>
      <c r="Q363" s="404" t="s">
        <v>170</v>
      </c>
      <c r="R363" s="404" t="s">
        <v>170</v>
      </c>
      <c r="S363" s="404" t="s">
        <v>1117</v>
      </c>
      <c r="T363" s="404" t="s">
        <v>1109</v>
      </c>
      <c r="U363" s="941">
        <v>5</v>
      </c>
      <c r="V363" s="941">
        <v>20</v>
      </c>
      <c r="W363" s="941">
        <v>1</v>
      </c>
      <c r="X363" s="941">
        <v>3</v>
      </c>
      <c r="Y363" s="941">
        <v>0</v>
      </c>
      <c r="Z363" s="941">
        <v>0</v>
      </c>
      <c r="AA363" s="942">
        <v>0</v>
      </c>
      <c r="AB363" s="942">
        <v>0</v>
      </c>
      <c r="AC363" s="942">
        <v>0</v>
      </c>
      <c r="AD363" s="942">
        <v>0</v>
      </c>
      <c r="AE363" s="942">
        <v>5</v>
      </c>
      <c r="AF363" s="942">
        <v>40</v>
      </c>
      <c r="AG363" s="943">
        <f>comparaison_samebasis_villages[[#This Row],[previous idp_ind]]-comparaison_samebasis_villages[[#This Row],[actual idp_ind]]</f>
        <v>-20</v>
      </c>
      <c r="AH363" s="943">
        <f>comparaison_samebasis_villages[[#This Row],[previous ref_ind]]-comparaison_samebasis_villages[[#This Row],[actual ref_ind]]</f>
        <v>-3</v>
      </c>
      <c r="AI363" s="943">
        <f>comparaison_samebasis_villages[[#This Row],[previous ret_ind]]-comparaison_samebasis_villages[[#This Row],[actual ret_ind]]</f>
        <v>40</v>
      </c>
    </row>
    <row r="364" spans="1:35" ht="15.75" customHeight="1" x14ac:dyDescent="0.3">
      <c r="A364" s="401" t="s">
        <v>31</v>
      </c>
      <c r="B364" s="401" t="s">
        <v>31</v>
      </c>
      <c r="C364" s="401" t="s">
        <v>170</v>
      </c>
      <c r="D364" s="401" t="s">
        <v>170</v>
      </c>
      <c r="E364" s="401" t="s">
        <v>2097</v>
      </c>
      <c r="F364" s="5" t="s">
        <v>1557</v>
      </c>
      <c r="G364" s="401"/>
      <c r="H364" s="1093" t="s">
        <v>511</v>
      </c>
      <c r="I364" s="1216" t="s">
        <v>3112</v>
      </c>
      <c r="J364" s="403">
        <v>60</v>
      </c>
      <c r="K364" s="403">
        <v>400</v>
      </c>
      <c r="L364" s="1093" t="s">
        <v>383</v>
      </c>
      <c r="M364" s="401" t="s">
        <v>3369</v>
      </c>
      <c r="O364" s="404" t="s">
        <v>31</v>
      </c>
      <c r="P364" s="404" t="s">
        <v>31</v>
      </c>
      <c r="Q364" s="404" t="s">
        <v>170</v>
      </c>
      <c r="R364" s="404" t="s">
        <v>170</v>
      </c>
      <c r="S364" s="404" t="s">
        <v>795</v>
      </c>
      <c r="T364" s="404" t="s">
        <v>940</v>
      </c>
      <c r="U364" s="941">
        <v>32</v>
      </c>
      <c r="V364" s="941">
        <v>290</v>
      </c>
      <c r="W364" s="941">
        <v>0</v>
      </c>
      <c r="X364" s="941">
        <v>0</v>
      </c>
      <c r="Y364" s="941">
        <v>0</v>
      </c>
      <c r="Z364" s="941">
        <v>0</v>
      </c>
      <c r="AA364" s="942">
        <v>0</v>
      </c>
      <c r="AB364" s="942">
        <v>0</v>
      </c>
      <c r="AC364" s="942">
        <v>0</v>
      </c>
      <c r="AD364" s="942">
        <v>0</v>
      </c>
      <c r="AE364" s="942">
        <v>0</v>
      </c>
      <c r="AF364" s="942">
        <v>0</v>
      </c>
      <c r="AG364" s="943">
        <f>comparaison_samebasis_villages[[#This Row],[previous idp_ind]]-comparaison_samebasis_villages[[#This Row],[actual idp_ind]]</f>
        <v>-290</v>
      </c>
      <c r="AH364" s="943">
        <f>comparaison_samebasis_villages[[#This Row],[previous ref_ind]]-comparaison_samebasis_villages[[#This Row],[actual ref_ind]]</f>
        <v>0</v>
      </c>
      <c r="AI364" s="943">
        <f>comparaison_samebasis_villages[[#This Row],[previous ret_ind]]-comparaison_samebasis_villages[[#This Row],[actual ret_ind]]</f>
        <v>0</v>
      </c>
    </row>
    <row r="365" spans="1:35" ht="15.75" customHeight="1" x14ac:dyDescent="0.3">
      <c r="A365" s="401" t="s">
        <v>31</v>
      </c>
      <c r="B365" s="401" t="s">
        <v>31</v>
      </c>
      <c r="C365" s="401" t="s">
        <v>170</v>
      </c>
      <c r="D365" s="401" t="s">
        <v>170</v>
      </c>
      <c r="E365" s="401" t="s">
        <v>2007</v>
      </c>
      <c r="F365" s="5" t="s">
        <v>880</v>
      </c>
      <c r="G365" s="401"/>
      <c r="H365" s="1093" t="s">
        <v>511</v>
      </c>
      <c r="I365" s="1216" t="s">
        <v>3112</v>
      </c>
      <c r="J365" s="403">
        <v>60</v>
      </c>
      <c r="K365" s="403">
        <v>300</v>
      </c>
      <c r="L365" s="1093" t="s">
        <v>383</v>
      </c>
      <c r="M365" s="401" t="s">
        <v>3370</v>
      </c>
      <c r="O365" s="404" t="s">
        <v>31</v>
      </c>
      <c r="P365" s="404" t="s">
        <v>31</v>
      </c>
      <c r="Q365" s="404" t="s">
        <v>170</v>
      </c>
      <c r="R365" s="404" t="s">
        <v>170</v>
      </c>
      <c r="S365" s="404" t="s">
        <v>613</v>
      </c>
      <c r="T365" s="404" t="s">
        <v>1556</v>
      </c>
      <c r="U365" s="941">
        <v>23</v>
      </c>
      <c r="V365" s="941">
        <v>204</v>
      </c>
      <c r="W365" s="941">
        <v>0</v>
      </c>
      <c r="X365" s="941">
        <v>0</v>
      </c>
      <c r="Y365" s="941">
        <v>0</v>
      </c>
      <c r="Z365" s="941">
        <v>0</v>
      </c>
      <c r="AA365" s="942">
        <v>23</v>
      </c>
      <c r="AB365" s="942">
        <v>204</v>
      </c>
      <c r="AC365" s="942">
        <v>0</v>
      </c>
      <c r="AD365" s="942">
        <v>0</v>
      </c>
      <c r="AE365" s="942">
        <v>0</v>
      </c>
      <c r="AF365" s="942">
        <v>0</v>
      </c>
      <c r="AG365" s="943">
        <f>comparaison_samebasis_villages[[#This Row],[previous idp_ind]]-comparaison_samebasis_villages[[#This Row],[actual idp_ind]]</f>
        <v>0</v>
      </c>
      <c r="AH365" s="943">
        <f>comparaison_samebasis_villages[[#This Row],[previous ref_ind]]-comparaison_samebasis_villages[[#This Row],[actual ref_ind]]</f>
        <v>0</v>
      </c>
      <c r="AI365" s="943">
        <f>comparaison_samebasis_villages[[#This Row],[previous ret_ind]]-comparaison_samebasis_villages[[#This Row],[actual ret_ind]]</f>
        <v>0</v>
      </c>
    </row>
    <row r="366" spans="1:35" ht="15.75" customHeight="1" x14ac:dyDescent="0.3">
      <c r="A366" s="401" t="s">
        <v>34</v>
      </c>
      <c r="B366" s="401" t="s">
        <v>34</v>
      </c>
      <c r="C366" s="401" t="s">
        <v>188</v>
      </c>
      <c r="D366" s="401" t="s">
        <v>188</v>
      </c>
      <c r="E366" s="401" t="s">
        <v>547</v>
      </c>
      <c r="F366" s="5" t="s">
        <v>1332</v>
      </c>
      <c r="G366" s="401"/>
      <c r="H366" s="1093" t="s">
        <v>511</v>
      </c>
      <c r="I366" s="1216" t="s">
        <v>3033</v>
      </c>
      <c r="J366" s="403">
        <v>167</v>
      </c>
      <c r="K366" s="403">
        <v>1082</v>
      </c>
      <c r="L366" s="1093" t="s">
        <v>367</v>
      </c>
      <c r="M366" s="401"/>
      <c r="O366" s="404" t="s">
        <v>31</v>
      </c>
      <c r="P366" s="404" t="s">
        <v>31</v>
      </c>
      <c r="Q366" s="404" t="s">
        <v>170</v>
      </c>
      <c r="R366" s="404" t="s">
        <v>170</v>
      </c>
      <c r="S366" s="404" t="s">
        <v>2126</v>
      </c>
      <c r="T366" s="404" t="s">
        <v>1576</v>
      </c>
      <c r="U366" s="941">
        <v>16</v>
      </c>
      <c r="V366" s="941">
        <v>100</v>
      </c>
      <c r="W366" s="941">
        <v>0</v>
      </c>
      <c r="X366" s="941">
        <v>0</v>
      </c>
      <c r="Y366" s="941">
        <v>0</v>
      </c>
      <c r="Z366" s="941">
        <v>0</v>
      </c>
      <c r="AA366" s="942">
        <v>0</v>
      </c>
      <c r="AB366" s="942">
        <v>0</v>
      </c>
      <c r="AC366" s="942">
        <v>0</v>
      </c>
      <c r="AD366" s="942">
        <v>0</v>
      </c>
      <c r="AE366" s="942">
        <v>0</v>
      </c>
      <c r="AF366" s="942">
        <v>0</v>
      </c>
      <c r="AG366" s="943">
        <f>comparaison_samebasis_villages[[#This Row],[previous idp_ind]]-comparaison_samebasis_villages[[#This Row],[actual idp_ind]]</f>
        <v>-100</v>
      </c>
      <c r="AH366" s="943">
        <f>comparaison_samebasis_villages[[#This Row],[previous ref_ind]]-comparaison_samebasis_villages[[#This Row],[actual ref_ind]]</f>
        <v>0</v>
      </c>
      <c r="AI366" s="943">
        <f>comparaison_samebasis_villages[[#This Row],[previous ret_ind]]-comparaison_samebasis_villages[[#This Row],[actual ret_ind]]</f>
        <v>0</v>
      </c>
    </row>
    <row r="367" spans="1:35" ht="15.75" customHeight="1" x14ac:dyDescent="0.3">
      <c r="A367" s="401" t="s">
        <v>34</v>
      </c>
      <c r="B367" s="401" t="s">
        <v>34</v>
      </c>
      <c r="C367" s="401" t="s">
        <v>188</v>
      </c>
      <c r="D367" s="401" t="s">
        <v>188</v>
      </c>
      <c r="E367" s="401" t="s">
        <v>547</v>
      </c>
      <c r="F367" s="5" t="s">
        <v>1332</v>
      </c>
      <c r="G367" s="401"/>
      <c r="H367" s="1093" t="s">
        <v>511</v>
      </c>
      <c r="I367" s="1216" t="s">
        <v>3109</v>
      </c>
      <c r="J367" s="403">
        <v>15</v>
      </c>
      <c r="K367" s="403">
        <v>65</v>
      </c>
      <c r="L367" s="1093" t="s">
        <v>367</v>
      </c>
      <c r="M367" s="401"/>
      <c r="O367" s="404" t="s">
        <v>31</v>
      </c>
      <c r="P367" s="404" t="s">
        <v>31</v>
      </c>
      <c r="Q367" s="404" t="s">
        <v>170</v>
      </c>
      <c r="R367" s="404" t="s">
        <v>170</v>
      </c>
      <c r="S367" s="404" t="s">
        <v>2123</v>
      </c>
      <c r="T367" s="404" t="s">
        <v>1116</v>
      </c>
      <c r="U367" s="941">
        <v>32</v>
      </c>
      <c r="V367" s="941">
        <v>167</v>
      </c>
      <c r="W367" s="941">
        <v>0</v>
      </c>
      <c r="X367" s="941">
        <v>0</v>
      </c>
      <c r="Y367" s="941">
        <v>0</v>
      </c>
      <c r="Z367" s="941">
        <v>0</v>
      </c>
      <c r="AA367" s="942">
        <v>0</v>
      </c>
      <c r="AB367" s="942">
        <v>0</v>
      </c>
      <c r="AC367" s="942">
        <v>0</v>
      </c>
      <c r="AD367" s="942">
        <v>0</v>
      </c>
      <c r="AE367" s="942">
        <v>0</v>
      </c>
      <c r="AF367" s="942">
        <v>0</v>
      </c>
      <c r="AG367" s="943">
        <f>comparaison_samebasis_villages[[#This Row],[previous idp_ind]]-comparaison_samebasis_villages[[#This Row],[actual idp_ind]]</f>
        <v>-167</v>
      </c>
      <c r="AH367" s="943">
        <f>comparaison_samebasis_villages[[#This Row],[previous ref_ind]]-comparaison_samebasis_villages[[#This Row],[actual ref_ind]]</f>
        <v>0</v>
      </c>
      <c r="AI367" s="943">
        <f>comparaison_samebasis_villages[[#This Row],[previous ret_ind]]-comparaison_samebasis_villages[[#This Row],[actual ret_ind]]</f>
        <v>0</v>
      </c>
    </row>
    <row r="368" spans="1:35" ht="15.75" customHeight="1" x14ac:dyDescent="0.3">
      <c r="A368" s="401" t="s">
        <v>34</v>
      </c>
      <c r="B368" s="401" t="s">
        <v>34</v>
      </c>
      <c r="C368" s="401" t="s">
        <v>188</v>
      </c>
      <c r="D368" s="401" t="s">
        <v>188</v>
      </c>
      <c r="E368" s="401" t="s">
        <v>547</v>
      </c>
      <c r="F368" s="5" t="s">
        <v>1332</v>
      </c>
      <c r="G368" s="401"/>
      <c r="H368" s="1093" t="s">
        <v>511</v>
      </c>
      <c r="I368" s="1216" t="s">
        <v>3110</v>
      </c>
      <c r="J368" s="403">
        <v>1</v>
      </c>
      <c r="K368" s="403">
        <v>15</v>
      </c>
      <c r="L368" s="1093" t="s">
        <v>367</v>
      </c>
      <c r="M368" s="401"/>
      <c r="O368" s="404" t="s">
        <v>31</v>
      </c>
      <c r="P368" s="404" t="s">
        <v>31</v>
      </c>
      <c r="Q368" s="404" t="s">
        <v>170</v>
      </c>
      <c r="R368" s="404" t="s">
        <v>170</v>
      </c>
      <c r="S368" s="404" t="s">
        <v>2122</v>
      </c>
      <c r="T368" s="404" t="s">
        <v>1954</v>
      </c>
      <c r="U368" s="941">
        <v>5</v>
      </c>
      <c r="V368" s="941">
        <v>32</v>
      </c>
      <c r="W368" s="941">
        <v>0</v>
      </c>
      <c r="X368" s="941">
        <v>0</v>
      </c>
      <c r="Y368" s="941">
        <v>0</v>
      </c>
      <c r="Z368" s="941">
        <v>0</v>
      </c>
      <c r="AA368" s="942">
        <v>5</v>
      </c>
      <c r="AB368" s="942">
        <v>30</v>
      </c>
      <c r="AC368" s="942">
        <v>0</v>
      </c>
      <c r="AD368" s="942">
        <v>0</v>
      </c>
      <c r="AE368" s="942">
        <v>0</v>
      </c>
      <c r="AF368" s="942">
        <v>0</v>
      </c>
      <c r="AG368" s="943">
        <f>comparaison_samebasis_villages[[#This Row],[previous idp_ind]]-comparaison_samebasis_villages[[#This Row],[actual idp_ind]]</f>
        <v>-2</v>
      </c>
      <c r="AH368" s="943">
        <f>comparaison_samebasis_villages[[#This Row],[previous ref_ind]]-comparaison_samebasis_villages[[#This Row],[actual ref_ind]]</f>
        <v>0</v>
      </c>
      <c r="AI368" s="943">
        <f>comparaison_samebasis_villages[[#This Row],[previous ret_ind]]-comparaison_samebasis_villages[[#This Row],[actual ret_ind]]</f>
        <v>0</v>
      </c>
    </row>
    <row r="369" spans="1:35" ht="15.75" customHeight="1" x14ac:dyDescent="0.3">
      <c r="A369" s="401" t="s">
        <v>34</v>
      </c>
      <c r="B369" s="401" t="s">
        <v>34</v>
      </c>
      <c r="C369" s="401" t="s">
        <v>188</v>
      </c>
      <c r="D369" s="401" t="s">
        <v>188</v>
      </c>
      <c r="E369" s="401" t="s">
        <v>547</v>
      </c>
      <c r="F369" s="5" t="s">
        <v>1332</v>
      </c>
      <c r="G369" s="401"/>
      <c r="H369" s="1093" t="s">
        <v>511</v>
      </c>
      <c r="I369" s="1216" t="s">
        <v>3111</v>
      </c>
      <c r="J369" s="403">
        <v>12</v>
      </c>
      <c r="K369" s="403">
        <v>53</v>
      </c>
      <c r="L369" s="1093" t="s">
        <v>367</v>
      </c>
      <c r="M369" s="401"/>
      <c r="O369" s="404" t="s">
        <v>31</v>
      </c>
      <c r="P369" s="404" t="s">
        <v>31</v>
      </c>
      <c r="Q369" s="404" t="s">
        <v>170</v>
      </c>
      <c r="R369" s="404" t="s">
        <v>170</v>
      </c>
      <c r="S369" s="404" t="s">
        <v>2124</v>
      </c>
      <c r="T369" s="404" t="s">
        <v>1349</v>
      </c>
      <c r="U369" s="941">
        <v>7</v>
      </c>
      <c r="V369" s="941">
        <v>48</v>
      </c>
      <c r="W369" s="941">
        <v>0</v>
      </c>
      <c r="X369" s="941">
        <v>0</v>
      </c>
      <c r="Y369" s="941">
        <v>0</v>
      </c>
      <c r="Z369" s="941">
        <v>0</v>
      </c>
      <c r="AA369" s="942">
        <v>6</v>
      </c>
      <c r="AB369" s="942">
        <v>40</v>
      </c>
      <c r="AC369" s="942">
        <v>0</v>
      </c>
      <c r="AD369" s="942">
        <v>0</v>
      </c>
      <c r="AE369" s="942">
        <v>0</v>
      </c>
      <c r="AF369" s="942">
        <v>0</v>
      </c>
      <c r="AG369" s="943">
        <f>comparaison_samebasis_villages[[#This Row],[previous idp_ind]]-comparaison_samebasis_villages[[#This Row],[actual idp_ind]]</f>
        <v>-8</v>
      </c>
      <c r="AH369" s="943">
        <f>comparaison_samebasis_villages[[#This Row],[previous ref_ind]]-comparaison_samebasis_villages[[#This Row],[actual ref_ind]]</f>
        <v>0</v>
      </c>
      <c r="AI369" s="943">
        <f>comparaison_samebasis_villages[[#This Row],[previous ret_ind]]-comparaison_samebasis_villages[[#This Row],[actual ret_ind]]</f>
        <v>0</v>
      </c>
    </row>
    <row r="370" spans="1:35" ht="15.75" customHeight="1" x14ac:dyDescent="0.3">
      <c r="A370" s="401" t="s">
        <v>34</v>
      </c>
      <c r="B370" s="401" t="s">
        <v>34</v>
      </c>
      <c r="C370" s="1093" t="s">
        <v>188</v>
      </c>
      <c r="D370" s="1093" t="s">
        <v>188</v>
      </c>
      <c r="E370" s="401" t="s">
        <v>547</v>
      </c>
      <c r="F370" s="5" t="s">
        <v>1332</v>
      </c>
      <c r="G370" s="401"/>
      <c r="H370" s="1093" t="s">
        <v>511</v>
      </c>
      <c r="I370" s="1216" t="s">
        <v>3112</v>
      </c>
      <c r="J370" s="403">
        <v>0</v>
      </c>
      <c r="K370" s="403">
        <v>7</v>
      </c>
      <c r="L370" s="1093" t="s">
        <v>367</v>
      </c>
      <c r="M370" s="401"/>
      <c r="O370" s="404" t="s">
        <v>31</v>
      </c>
      <c r="P370" s="404" t="s">
        <v>31</v>
      </c>
      <c r="Q370" s="404" t="s">
        <v>170</v>
      </c>
      <c r="R370" s="404" t="s">
        <v>170</v>
      </c>
      <c r="S370" s="404" t="s">
        <v>2125</v>
      </c>
      <c r="T370" s="404" t="s">
        <v>2985</v>
      </c>
      <c r="U370" s="941">
        <v>4</v>
      </c>
      <c r="V370" s="941">
        <v>20</v>
      </c>
      <c r="W370" s="941">
        <v>0</v>
      </c>
      <c r="X370" s="941">
        <v>0</v>
      </c>
      <c r="Y370" s="941">
        <v>0</v>
      </c>
      <c r="Z370" s="941">
        <v>0</v>
      </c>
      <c r="AA370" s="942">
        <v>2</v>
      </c>
      <c r="AB370" s="942">
        <v>15</v>
      </c>
      <c r="AC370" s="942">
        <v>0</v>
      </c>
      <c r="AD370" s="942">
        <v>0</v>
      </c>
      <c r="AE370" s="942">
        <v>0</v>
      </c>
      <c r="AF370" s="942">
        <v>0</v>
      </c>
      <c r="AG370" s="943">
        <f>comparaison_samebasis_villages[[#This Row],[previous idp_ind]]-comparaison_samebasis_villages[[#This Row],[actual idp_ind]]</f>
        <v>-5</v>
      </c>
      <c r="AH370" s="943">
        <f>comparaison_samebasis_villages[[#This Row],[previous ref_ind]]-comparaison_samebasis_villages[[#This Row],[actual ref_ind]]</f>
        <v>0</v>
      </c>
      <c r="AI370" s="943">
        <f>comparaison_samebasis_villages[[#This Row],[previous ret_ind]]-comparaison_samebasis_villages[[#This Row],[actual ret_ind]]</f>
        <v>0</v>
      </c>
    </row>
    <row r="371" spans="1:35" ht="15.75" customHeight="1" x14ac:dyDescent="0.3">
      <c r="A371" s="401" t="s">
        <v>34</v>
      </c>
      <c r="B371" s="401" t="s">
        <v>34</v>
      </c>
      <c r="C371" s="1093" t="s">
        <v>187</v>
      </c>
      <c r="D371" s="1093" t="s">
        <v>187</v>
      </c>
      <c r="E371" s="401" t="s">
        <v>2548</v>
      </c>
      <c r="F371" s="5" t="s">
        <v>953</v>
      </c>
      <c r="G371" s="401"/>
      <c r="H371" s="1093" t="s">
        <v>511</v>
      </c>
      <c r="I371" s="1216" t="s">
        <v>3111</v>
      </c>
      <c r="J371" s="403">
        <v>8</v>
      </c>
      <c r="K371" s="403">
        <v>64</v>
      </c>
      <c r="L371" s="1093" t="s">
        <v>365</v>
      </c>
      <c r="M371" s="401"/>
      <c r="O371" s="404" t="s">
        <v>35</v>
      </c>
      <c r="P371" s="404" t="s">
        <v>35</v>
      </c>
      <c r="Q371" s="404" t="s">
        <v>192</v>
      </c>
      <c r="R371" s="404" t="s">
        <v>192</v>
      </c>
      <c r="S371" s="404" t="s">
        <v>1399</v>
      </c>
      <c r="T371" s="404" t="s">
        <v>2854</v>
      </c>
      <c r="U371" s="941">
        <v>56</v>
      </c>
      <c r="V371" s="941">
        <v>299</v>
      </c>
      <c r="W371" s="941">
        <v>0</v>
      </c>
      <c r="X371" s="941">
        <v>0</v>
      </c>
      <c r="Y371" s="941">
        <v>0</v>
      </c>
      <c r="Z371" s="941">
        <v>0</v>
      </c>
      <c r="AA371" s="942">
        <v>54</v>
      </c>
      <c r="AB371" s="942">
        <v>292</v>
      </c>
      <c r="AC371" s="942">
        <v>0</v>
      </c>
      <c r="AD371" s="942">
        <v>0</v>
      </c>
      <c r="AE371" s="942">
        <v>0</v>
      </c>
      <c r="AF371" s="942">
        <v>0</v>
      </c>
      <c r="AG371" s="943">
        <f>comparaison_samebasis_villages[[#This Row],[previous idp_ind]]-comparaison_samebasis_villages[[#This Row],[actual idp_ind]]</f>
        <v>-7</v>
      </c>
      <c r="AH371" s="943">
        <f>comparaison_samebasis_villages[[#This Row],[previous ref_ind]]-comparaison_samebasis_villages[[#This Row],[actual ref_ind]]</f>
        <v>0</v>
      </c>
      <c r="AI371" s="943">
        <f>comparaison_samebasis_villages[[#This Row],[previous ret_ind]]-comparaison_samebasis_villages[[#This Row],[actual ret_ind]]</f>
        <v>0</v>
      </c>
    </row>
    <row r="372" spans="1:35" ht="15.75" customHeight="1" x14ac:dyDescent="0.3">
      <c r="A372" s="401" t="s">
        <v>34</v>
      </c>
      <c r="B372" s="401" t="s">
        <v>34</v>
      </c>
      <c r="C372" s="401" t="s">
        <v>187</v>
      </c>
      <c r="D372" s="401" t="s">
        <v>187</v>
      </c>
      <c r="E372" s="401" t="s">
        <v>2548</v>
      </c>
      <c r="F372" s="5" t="s">
        <v>953</v>
      </c>
      <c r="G372" s="401"/>
      <c r="H372" s="1093" t="s">
        <v>511</v>
      </c>
      <c r="I372" s="1216" t="s">
        <v>3112</v>
      </c>
      <c r="J372" s="403">
        <v>0</v>
      </c>
      <c r="K372" s="403">
        <v>35</v>
      </c>
      <c r="L372" s="1093" t="s">
        <v>367</v>
      </c>
      <c r="M372" s="401"/>
      <c r="O372" s="404" t="s">
        <v>35</v>
      </c>
      <c r="P372" s="404" t="s">
        <v>35</v>
      </c>
      <c r="Q372" s="404" t="s">
        <v>192</v>
      </c>
      <c r="R372" s="404" t="s">
        <v>192</v>
      </c>
      <c r="S372" s="404" t="s">
        <v>1506</v>
      </c>
      <c r="T372" s="404" t="s">
        <v>1398</v>
      </c>
      <c r="U372" s="941">
        <v>344</v>
      </c>
      <c r="V372" s="941">
        <v>1904</v>
      </c>
      <c r="W372" s="941">
        <v>0</v>
      </c>
      <c r="X372" s="941">
        <v>0</v>
      </c>
      <c r="Y372" s="941">
        <v>27</v>
      </c>
      <c r="Z372" s="941">
        <v>27</v>
      </c>
      <c r="AA372" s="942">
        <v>113</v>
      </c>
      <c r="AB372" s="942">
        <v>663</v>
      </c>
      <c r="AC372" s="942">
        <v>0</v>
      </c>
      <c r="AD372" s="942">
        <v>0</v>
      </c>
      <c r="AE372" s="942">
        <v>0</v>
      </c>
      <c r="AF372" s="942">
        <v>0</v>
      </c>
      <c r="AG372" s="943">
        <f>comparaison_samebasis_villages[[#This Row],[previous idp_ind]]-comparaison_samebasis_villages[[#This Row],[actual idp_ind]]</f>
        <v>-1241</v>
      </c>
      <c r="AH372" s="943">
        <f>comparaison_samebasis_villages[[#This Row],[previous ref_ind]]-comparaison_samebasis_villages[[#This Row],[actual ref_ind]]</f>
        <v>0</v>
      </c>
      <c r="AI372" s="943">
        <f>comparaison_samebasis_villages[[#This Row],[previous ret_ind]]-comparaison_samebasis_villages[[#This Row],[actual ret_ind]]</f>
        <v>-27</v>
      </c>
    </row>
    <row r="373" spans="1:35" ht="15.75" customHeight="1" x14ac:dyDescent="0.3">
      <c r="A373" s="401" t="s">
        <v>31</v>
      </c>
      <c r="B373" s="401" t="s">
        <v>31</v>
      </c>
      <c r="C373" s="401" t="s">
        <v>167</v>
      </c>
      <c r="D373" s="401" t="s">
        <v>167</v>
      </c>
      <c r="E373" s="401" t="s">
        <v>2121</v>
      </c>
      <c r="F373" s="5" t="s">
        <v>910</v>
      </c>
      <c r="G373" s="401"/>
      <c r="H373" s="1093" t="s">
        <v>511</v>
      </c>
      <c r="I373" s="1216" t="s">
        <v>3112</v>
      </c>
      <c r="J373" s="403">
        <v>20</v>
      </c>
      <c r="K373" s="403">
        <v>128</v>
      </c>
      <c r="L373" s="1093" t="s">
        <v>365</v>
      </c>
      <c r="M373" s="401"/>
      <c r="O373" s="404" t="s">
        <v>35</v>
      </c>
      <c r="P373" s="404" t="s">
        <v>35</v>
      </c>
      <c r="Q373" s="404" t="s">
        <v>192</v>
      </c>
      <c r="R373" s="404" t="s">
        <v>192</v>
      </c>
      <c r="S373" s="404" t="s">
        <v>1169</v>
      </c>
      <c r="T373" s="404" t="s">
        <v>1505</v>
      </c>
      <c r="U373" s="941">
        <v>49</v>
      </c>
      <c r="V373" s="941">
        <v>350</v>
      </c>
      <c r="W373" s="941">
        <v>0</v>
      </c>
      <c r="X373" s="941">
        <v>0</v>
      </c>
      <c r="Y373" s="941">
        <v>11</v>
      </c>
      <c r="Z373" s="941">
        <v>11</v>
      </c>
      <c r="AA373" s="942">
        <v>43</v>
      </c>
      <c r="AB373" s="942">
        <v>310</v>
      </c>
      <c r="AC373" s="942">
        <v>0</v>
      </c>
      <c r="AD373" s="942">
        <v>0</v>
      </c>
      <c r="AE373" s="942">
        <v>11</v>
      </c>
      <c r="AF373" s="942">
        <v>87</v>
      </c>
      <c r="AG373" s="943">
        <f>comparaison_samebasis_villages[[#This Row],[previous idp_ind]]-comparaison_samebasis_villages[[#This Row],[actual idp_ind]]</f>
        <v>-40</v>
      </c>
      <c r="AH373" s="943">
        <f>comparaison_samebasis_villages[[#This Row],[previous ref_ind]]-comparaison_samebasis_villages[[#This Row],[actual ref_ind]]</f>
        <v>0</v>
      </c>
      <c r="AI373" s="943">
        <f>comparaison_samebasis_villages[[#This Row],[previous ret_ind]]-comparaison_samebasis_villages[[#This Row],[actual ret_ind]]</f>
        <v>76</v>
      </c>
    </row>
    <row r="374" spans="1:35" ht="15.75" customHeight="1" x14ac:dyDescent="0.3">
      <c r="A374" s="401" t="s">
        <v>31</v>
      </c>
      <c r="B374" s="401" t="s">
        <v>31</v>
      </c>
      <c r="C374" s="401" t="s">
        <v>167</v>
      </c>
      <c r="D374" s="401" t="s">
        <v>167</v>
      </c>
      <c r="E374" s="401" t="s">
        <v>1946</v>
      </c>
      <c r="F374" s="5" t="s">
        <v>1090</v>
      </c>
      <c r="G374" s="401"/>
      <c r="H374" s="1093" t="s">
        <v>511</v>
      </c>
      <c r="I374" s="1216" t="s">
        <v>3111</v>
      </c>
      <c r="J374" s="403">
        <v>56</v>
      </c>
      <c r="K374" s="403">
        <v>204</v>
      </c>
      <c r="L374" s="1093" t="s">
        <v>365</v>
      </c>
      <c r="M374" s="401"/>
      <c r="O374" s="404" t="s">
        <v>35</v>
      </c>
      <c r="P374" s="404" t="s">
        <v>35</v>
      </c>
      <c r="Q374" s="404" t="s">
        <v>192</v>
      </c>
      <c r="R374" s="404" t="s">
        <v>192</v>
      </c>
      <c r="S374" s="404" t="s">
        <v>1413</v>
      </c>
      <c r="T374" s="404" t="s">
        <v>1168</v>
      </c>
      <c r="U374" s="941">
        <v>168</v>
      </c>
      <c r="V374" s="941">
        <v>715</v>
      </c>
      <c r="W374" s="941">
        <v>0</v>
      </c>
      <c r="X374" s="941">
        <v>0</v>
      </c>
      <c r="Y374" s="941">
        <v>2</v>
      </c>
      <c r="Z374" s="941">
        <v>2</v>
      </c>
      <c r="AA374" s="942">
        <v>104</v>
      </c>
      <c r="AB374" s="942">
        <v>497</v>
      </c>
      <c r="AC374" s="942">
        <v>0</v>
      </c>
      <c r="AD374" s="942">
        <v>0</v>
      </c>
      <c r="AE374" s="942">
        <v>9</v>
      </c>
      <c r="AF374" s="942">
        <v>72</v>
      </c>
      <c r="AG374" s="943">
        <f>comparaison_samebasis_villages[[#This Row],[previous idp_ind]]-comparaison_samebasis_villages[[#This Row],[actual idp_ind]]</f>
        <v>-218</v>
      </c>
      <c r="AH374" s="943">
        <f>comparaison_samebasis_villages[[#This Row],[previous ref_ind]]-comparaison_samebasis_villages[[#This Row],[actual ref_ind]]</f>
        <v>0</v>
      </c>
      <c r="AI374" s="943">
        <f>comparaison_samebasis_villages[[#This Row],[previous ret_ind]]-comparaison_samebasis_villages[[#This Row],[actual ret_ind]]</f>
        <v>70</v>
      </c>
    </row>
    <row r="375" spans="1:35" ht="15.75" customHeight="1" x14ac:dyDescent="0.3">
      <c r="A375" s="401" t="s">
        <v>31</v>
      </c>
      <c r="B375" s="401" t="s">
        <v>31</v>
      </c>
      <c r="C375" s="401" t="s">
        <v>171</v>
      </c>
      <c r="D375" s="401" t="s">
        <v>171</v>
      </c>
      <c r="E375" s="401" t="s">
        <v>2831</v>
      </c>
      <c r="F375" s="5" t="s">
        <v>2275</v>
      </c>
      <c r="G375" s="401"/>
      <c r="H375" s="1093" t="s">
        <v>511</v>
      </c>
      <c r="I375" s="1216" t="s">
        <v>3033</v>
      </c>
      <c r="J375" s="403">
        <v>116</v>
      </c>
      <c r="K375" s="403">
        <v>751</v>
      </c>
      <c r="L375" s="1093" t="s">
        <v>365</v>
      </c>
      <c r="M375" s="401"/>
      <c r="O375" s="404" t="s">
        <v>35</v>
      </c>
      <c r="P375" s="404" t="s">
        <v>35</v>
      </c>
      <c r="Q375" s="404" t="s">
        <v>192</v>
      </c>
      <c r="R375" s="404" t="s">
        <v>192</v>
      </c>
      <c r="S375" s="404" t="s">
        <v>1411</v>
      </c>
      <c r="T375" s="404" t="s">
        <v>1412</v>
      </c>
      <c r="U375" s="941">
        <v>127</v>
      </c>
      <c r="V375" s="941">
        <v>455</v>
      </c>
      <c r="W375" s="941">
        <v>0</v>
      </c>
      <c r="X375" s="941">
        <v>0</v>
      </c>
      <c r="Y375" s="941">
        <v>0</v>
      </c>
      <c r="Z375" s="941">
        <v>0</v>
      </c>
      <c r="AA375" s="942">
        <v>85</v>
      </c>
      <c r="AB375" s="942">
        <v>365</v>
      </c>
      <c r="AC375" s="942">
        <v>0</v>
      </c>
      <c r="AD375" s="942">
        <v>0</v>
      </c>
      <c r="AE375" s="942">
        <v>25</v>
      </c>
      <c r="AF375" s="942">
        <v>120</v>
      </c>
      <c r="AG375" s="943">
        <f>comparaison_samebasis_villages[[#This Row],[previous idp_ind]]-comparaison_samebasis_villages[[#This Row],[actual idp_ind]]</f>
        <v>-90</v>
      </c>
      <c r="AH375" s="943">
        <f>comparaison_samebasis_villages[[#This Row],[previous ref_ind]]-comparaison_samebasis_villages[[#This Row],[actual ref_ind]]</f>
        <v>0</v>
      </c>
      <c r="AI375" s="943">
        <f>comparaison_samebasis_villages[[#This Row],[previous ret_ind]]-comparaison_samebasis_villages[[#This Row],[actual ret_ind]]</f>
        <v>120</v>
      </c>
    </row>
    <row r="376" spans="1:35" ht="15.75" customHeight="1" x14ac:dyDescent="0.3">
      <c r="A376" s="401" t="s">
        <v>31</v>
      </c>
      <c r="B376" s="401" t="s">
        <v>31</v>
      </c>
      <c r="C376" s="401" t="s">
        <v>171</v>
      </c>
      <c r="D376" s="401" t="s">
        <v>171</v>
      </c>
      <c r="E376" s="401" t="s">
        <v>2831</v>
      </c>
      <c r="F376" s="5" t="s">
        <v>2275</v>
      </c>
      <c r="G376" s="401"/>
      <c r="H376" s="1093" t="s">
        <v>511</v>
      </c>
      <c r="I376" s="1216" t="s">
        <v>3110</v>
      </c>
      <c r="J376" s="403">
        <v>0</v>
      </c>
      <c r="K376" s="403">
        <v>16</v>
      </c>
      <c r="L376" s="1093" t="s">
        <v>365</v>
      </c>
      <c r="M376" s="401"/>
      <c r="O376" s="404" t="s">
        <v>35</v>
      </c>
      <c r="P376" s="404" t="s">
        <v>35</v>
      </c>
      <c r="Q376" s="404" t="s">
        <v>192</v>
      </c>
      <c r="R376" s="404" t="s">
        <v>192</v>
      </c>
      <c r="S376" s="404" t="s">
        <v>1407</v>
      </c>
      <c r="T376" s="404" t="s">
        <v>1410</v>
      </c>
      <c r="U376" s="941">
        <v>92</v>
      </c>
      <c r="V376" s="941">
        <v>645</v>
      </c>
      <c r="W376" s="941">
        <v>0</v>
      </c>
      <c r="X376" s="941">
        <v>0</v>
      </c>
      <c r="Y376" s="941">
        <v>0</v>
      </c>
      <c r="Z376" s="941">
        <v>0</v>
      </c>
      <c r="AA376" s="942">
        <v>92</v>
      </c>
      <c r="AB376" s="942">
        <v>645</v>
      </c>
      <c r="AC376" s="942">
        <v>0</v>
      </c>
      <c r="AD376" s="942">
        <v>0</v>
      </c>
      <c r="AE376" s="942">
        <v>10</v>
      </c>
      <c r="AF376" s="942">
        <v>105</v>
      </c>
      <c r="AG376" s="943">
        <f>comparaison_samebasis_villages[[#This Row],[previous idp_ind]]-comparaison_samebasis_villages[[#This Row],[actual idp_ind]]</f>
        <v>0</v>
      </c>
      <c r="AH376" s="943">
        <f>comparaison_samebasis_villages[[#This Row],[previous ref_ind]]-comparaison_samebasis_villages[[#This Row],[actual ref_ind]]</f>
        <v>0</v>
      </c>
      <c r="AI376" s="943">
        <f>comparaison_samebasis_villages[[#This Row],[previous ret_ind]]-comparaison_samebasis_villages[[#This Row],[actual ret_ind]]</f>
        <v>105</v>
      </c>
    </row>
    <row r="377" spans="1:35" ht="15.75" customHeight="1" x14ac:dyDescent="0.3">
      <c r="A377" s="401" t="s">
        <v>31</v>
      </c>
      <c r="B377" s="401" t="s">
        <v>31</v>
      </c>
      <c r="C377" s="401" t="s">
        <v>171</v>
      </c>
      <c r="D377" s="401" t="s">
        <v>171</v>
      </c>
      <c r="E377" s="401" t="s">
        <v>2831</v>
      </c>
      <c r="F377" s="5" t="s">
        <v>2275</v>
      </c>
      <c r="G377" s="401"/>
      <c r="H377" s="1093" t="s">
        <v>511</v>
      </c>
      <c r="I377" s="1216" t="s">
        <v>3109</v>
      </c>
      <c r="J377" s="403">
        <v>1</v>
      </c>
      <c r="K377" s="403">
        <v>7</v>
      </c>
      <c r="L377" s="1093" t="s">
        <v>365</v>
      </c>
      <c r="M377" s="401"/>
      <c r="O377" s="404" t="s">
        <v>35</v>
      </c>
      <c r="P377" s="404" t="s">
        <v>35</v>
      </c>
      <c r="Q377" s="404" t="s">
        <v>192</v>
      </c>
      <c r="R377" s="404" t="s">
        <v>192</v>
      </c>
      <c r="S377" s="404" t="s">
        <v>1401</v>
      </c>
      <c r="T377" s="404" t="s">
        <v>1406</v>
      </c>
      <c r="U377" s="941">
        <v>272</v>
      </c>
      <c r="V377" s="941">
        <v>1547</v>
      </c>
      <c r="W377" s="941">
        <v>0</v>
      </c>
      <c r="X377" s="941">
        <v>0</v>
      </c>
      <c r="Y377" s="941">
        <v>0</v>
      </c>
      <c r="Z377" s="941">
        <v>0</v>
      </c>
      <c r="AA377" s="942">
        <v>269</v>
      </c>
      <c r="AB377" s="942">
        <v>1533</v>
      </c>
      <c r="AC377" s="942">
        <v>0</v>
      </c>
      <c r="AD377" s="942">
        <v>0</v>
      </c>
      <c r="AE377" s="942">
        <v>0</v>
      </c>
      <c r="AF377" s="942">
        <v>0</v>
      </c>
      <c r="AG377" s="943">
        <f>comparaison_samebasis_villages[[#This Row],[previous idp_ind]]-comparaison_samebasis_villages[[#This Row],[actual idp_ind]]</f>
        <v>-14</v>
      </c>
      <c r="AH377" s="943">
        <f>comparaison_samebasis_villages[[#This Row],[previous ref_ind]]-comparaison_samebasis_villages[[#This Row],[actual ref_ind]]</f>
        <v>0</v>
      </c>
      <c r="AI377" s="943">
        <f>comparaison_samebasis_villages[[#This Row],[previous ret_ind]]-comparaison_samebasis_villages[[#This Row],[actual ret_ind]]</f>
        <v>0</v>
      </c>
    </row>
    <row r="378" spans="1:35" ht="15.75" customHeight="1" x14ac:dyDescent="0.3">
      <c r="A378" s="401" t="s">
        <v>34</v>
      </c>
      <c r="B378" s="401" t="s">
        <v>34</v>
      </c>
      <c r="C378" s="401" t="s">
        <v>188</v>
      </c>
      <c r="D378" s="401" t="s">
        <v>188</v>
      </c>
      <c r="E378" s="401" t="s">
        <v>1681</v>
      </c>
      <c r="F378" s="5" t="s">
        <v>1792</v>
      </c>
      <c r="G378" s="401"/>
      <c r="H378" s="1093" t="s">
        <v>511</v>
      </c>
      <c r="I378" s="1216" t="s">
        <v>3033</v>
      </c>
      <c r="J378" s="403">
        <v>180</v>
      </c>
      <c r="K378" s="403">
        <v>1304</v>
      </c>
      <c r="L378" s="1093" t="s">
        <v>367</v>
      </c>
      <c r="M378" s="401"/>
      <c r="O378" s="404" t="s">
        <v>35</v>
      </c>
      <c r="P378" s="404" t="s">
        <v>35</v>
      </c>
      <c r="Q378" s="404" t="s">
        <v>192</v>
      </c>
      <c r="R378" s="404" t="s">
        <v>192</v>
      </c>
      <c r="S378" s="404" t="s">
        <v>1455</v>
      </c>
      <c r="T378" s="404" t="s">
        <v>1400</v>
      </c>
      <c r="U378" s="941">
        <v>83</v>
      </c>
      <c r="V378" s="941">
        <v>427</v>
      </c>
      <c r="W378" s="941">
        <v>0</v>
      </c>
      <c r="X378" s="941">
        <v>0</v>
      </c>
      <c r="Y378" s="941">
        <v>22</v>
      </c>
      <c r="Z378" s="941">
        <v>22</v>
      </c>
      <c r="AA378" s="942">
        <v>79</v>
      </c>
      <c r="AB378" s="942">
        <v>395</v>
      </c>
      <c r="AC378" s="942">
        <v>0</v>
      </c>
      <c r="AD378" s="942">
        <v>0</v>
      </c>
      <c r="AE378" s="942">
        <v>22</v>
      </c>
      <c r="AF378" s="942">
        <v>86</v>
      </c>
      <c r="AG378" s="943">
        <f>comparaison_samebasis_villages[[#This Row],[previous idp_ind]]-comparaison_samebasis_villages[[#This Row],[actual idp_ind]]</f>
        <v>-32</v>
      </c>
      <c r="AH378" s="943">
        <f>comparaison_samebasis_villages[[#This Row],[previous ref_ind]]-comparaison_samebasis_villages[[#This Row],[actual ref_ind]]</f>
        <v>0</v>
      </c>
      <c r="AI378" s="943">
        <f>comparaison_samebasis_villages[[#This Row],[previous ret_ind]]-comparaison_samebasis_villages[[#This Row],[actual ret_ind]]</f>
        <v>64</v>
      </c>
    </row>
    <row r="379" spans="1:35" ht="15.75" customHeight="1" x14ac:dyDescent="0.3">
      <c r="A379" s="401" t="s">
        <v>31</v>
      </c>
      <c r="B379" s="401" t="s">
        <v>31</v>
      </c>
      <c r="C379" s="401" t="s">
        <v>2797</v>
      </c>
      <c r="D379" s="401" t="s">
        <v>3898</v>
      </c>
      <c r="E379" s="401" t="s">
        <v>2880</v>
      </c>
      <c r="F379" s="5" t="s">
        <v>1449</v>
      </c>
      <c r="G379" s="401"/>
      <c r="H379" s="1093" t="s">
        <v>511</v>
      </c>
      <c r="I379" s="1216" t="s">
        <v>3033</v>
      </c>
      <c r="J379" s="403">
        <v>131</v>
      </c>
      <c r="K379" s="403">
        <v>999</v>
      </c>
      <c r="L379" s="1093" t="s">
        <v>365</v>
      </c>
      <c r="M379" s="401"/>
      <c r="O379" s="404" t="s">
        <v>35</v>
      </c>
      <c r="P379" s="404" t="s">
        <v>35</v>
      </c>
      <c r="Q379" s="404" t="s">
        <v>192</v>
      </c>
      <c r="R379" s="404" t="s">
        <v>192</v>
      </c>
      <c r="S379" s="404" t="s">
        <v>1457</v>
      </c>
      <c r="T379" s="404" t="s">
        <v>1454</v>
      </c>
      <c r="U379" s="941">
        <v>202</v>
      </c>
      <c r="V379" s="941">
        <v>1169</v>
      </c>
      <c r="W379" s="941">
        <v>0</v>
      </c>
      <c r="X379" s="941">
        <v>0</v>
      </c>
      <c r="Y379" s="941">
        <v>0</v>
      </c>
      <c r="Z379" s="941">
        <v>0</v>
      </c>
      <c r="AA379" s="942">
        <v>199</v>
      </c>
      <c r="AB379" s="942">
        <v>1097</v>
      </c>
      <c r="AC379" s="942">
        <v>1</v>
      </c>
      <c r="AD379" s="942">
        <v>5</v>
      </c>
      <c r="AE379" s="942">
        <v>0</v>
      </c>
      <c r="AF379" s="942">
        <v>0</v>
      </c>
      <c r="AG379" s="943">
        <f>comparaison_samebasis_villages[[#This Row],[previous idp_ind]]-comparaison_samebasis_villages[[#This Row],[actual idp_ind]]</f>
        <v>-72</v>
      </c>
      <c r="AH379" s="943">
        <f>comparaison_samebasis_villages[[#This Row],[previous ref_ind]]-comparaison_samebasis_villages[[#This Row],[actual ref_ind]]</f>
        <v>5</v>
      </c>
      <c r="AI379" s="943">
        <f>comparaison_samebasis_villages[[#This Row],[previous ret_ind]]-comparaison_samebasis_villages[[#This Row],[actual ret_ind]]</f>
        <v>0</v>
      </c>
    </row>
    <row r="380" spans="1:35" ht="15.75" customHeight="1" x14ac:dyDescent="0.3">
      <c r="A380" s="401" t="s">
        <v>31</v>
      </c>
      <c r="B380" s="401" t="s">
        <v>31</v>
      </c>
      <c r="C380" s="401" t="s">
        <v>2797</v>
      </c>
      <c r="D380" s="401" t="s">
        <v>3898</v>
      </c>
      <c r="E380" s="401" t="s">
        <v>2880</v>
      </c>
      <c r="F380" s="5" t="s">
        <v>1449</v>
      </c>
      <c r="G380" s="401"/>
      <c r="H380" s="1093" t="s">
        <v>511</v>
      </c>
      <c r="I380" s="1216" t="s">
        <v>3109</v>
      </c>
      <c r="J380" s="403">
        <v>2</v>
      </c>
      <c r="K380" s="403">
        <v>2</v>
      </c>
      <c r="L380" s="1093" t="s">
        <v>365</v>
      </c>
      <c r="M380" s="401"/>
      <c r="O380" s="404" t="s">
        <v>35</v>
      </c>
      <c r="P380" s="404" t="s">
        <v>35</v>
      </c>
      <c r="Q380" s="404" t="s">
        <v>192</v>
      </c>
      <c r="R380" s="404" t="s">
        <v>192</v>
      </c>
      <c r="S380" s="404" t="s">
        <v>1167</v>
      </c>
      <c r="T380" s="404" t="s">
        <v>1456</v>
      </c>
      <c r="U380" s="941">
        <v>40</v>
      </c>
      <c r="V380" s="941">
        <v>268</v>
      </c>
      <c r="W380" s="941">
        <v>0</v>
      </c>
      <c r="X380" s="941">
        <v>0</v>
      </c>
      <c r="Y380" s="941">
        <v>8</v>
      </c>
      <c r="Z380" s="941">
        <v>8</v>
      </c>
      <c r="AA380" s="942">
        <v>36</v>
      </c>
      <c r="AB380" s="942">
        <v>250</v>
      </c>
      <c r="AC380" s="942">
        <v>0</v>
      </c>
      <c r="AD380" s="942">
        <v>0</v>
      </c>
      <c r="AE380" s="942">
        <v>12</v>
      </c>
      <c r="AF380" s="942">
        <v>96</v>
      </c>
      <c r="AG380" s="943">
        <f>comparaison_samebasis_villages[[#This Row],[previous idp_ind]]-comparaison_samebasis_villages[[#This Row],[actual idp_ind]]</f>
        <v>-18</v>
      </c>
      <c r="AH380" s="943">
        <f>comparaison_samebasis_villages[[#This Row],[previous ref_ind]]-comparaison_samebasis_villages[[#This Row],[actual ref_ind]]</f>
        <v>0</v>
      </c>
      <c r="AI380" s="943">
        <f>comparaison_samebasis_villages[[#This Row],[previous ret_ind]]-comparaison_samebasis_villages[[#This Row],[actual ret_ind]]</f>
        <v>88</v>
      </c>
    </row>
    <row r="381" spans="1:35" ht="15.75" customHeight="1" x14ac:dyDescent="0.3">
      <c r="A381" s="401" t="s">
        <v>31</v>
      </c>
      <c r="B381" s="401" t="s">
        <v>31</v>
      </c>
      <c r="C381" s="401" t="s">
        <v>2797</v>
      </c>
      <c r="D381" s="401" t="s">
        <v>3898</v>
      </c>
      <c r="E381" s="401" t="s">
        <v>2880</v>
      </c>
      <c r="F381" s="5" t="s">
        <v>1449</v>
      </c>
      <c r="G381" s="401"/>
      <c r="H381" s="1093" t="s">
        <v>511</v>
      </c>
      <c r="I381" s="1216" t="s">
        <v>3111</v>
      </c>
      <c r="J381" s="403">
        <v>11</v>
      </c>
      <c r="K381" s="403">
        <v>158</v>
      </c>
      <c r="L381" s="1093" t="s">
        <v>365</v>
      </c>
      <c r="M381" s="401"/>
      <c r="O381" s="404" t="s">
        <v>35</v>
      </c>
      <c r="P381" s="404" t="s">
        <v>35</v>
      </c>
      <c r="Q381" s="404" t="s">
        <v>192</v>
      </c>
      <c r="R381" s="404" t="s">
        <v>192</v>
      </c>
      <c r="S381" s="404" t="s">
        <v>855</v>
      </c>
      <c r="T381" s="404" t="s">
        <v>1166</v>
      </c>
      <c r="U381" s="941">
        <v>945</v>
      </c>
      <c r="V381" s="941">
        <v>5688</v>
      </c>
      <c r="W381" s="941">
        <v>0</v>
      </c>
      <c r="X381" s="941">
        <v>0</v>
      </c>
      <c r="Y381" s="941">
        <v>84</v>
      </c>
      <c r="Z381" s="941">
        <v>84</v>
      </c>
      <c r="AA381" s="942">
        <v>355</v>
      </c>
      <c r="AB381" s="942">
        <v>2118</v>
      </c>
      <c r="AC381" s="942">
        <v>0</v>
      </c>
      <c r="AD381" s="942">
        <v>0</v>
      </c>
      <c r="AE381" s="942">
        <v>0</v>
      </c>
      <c r="AF381" s="942">
        <v>0</v>
      </c>
      <c r="AG381" s="943">
        <f>comparaison_samebasis_villages[[#This Row],[previous idp_ind]]-comparaison_samebasis_villages[[#This Row],[actual idp_ind]]</f>
        <v>-3570</v>
      </c>
      <c r="AH381" s="943">
        <f>comparaison_samebasis_villages[[#This Row],[previous ref_ind]]-comparaison_samebasis_villages[[#This Row],[actual ref_ind]]</f>
        <v>0</v>
      </c>
      <c r="AI381" s="943">
        <f>comparaison_samebasis_villages[[#This Row],[previous ret_ind]]-comparaison_samebasis_villages[[#This Row],[actual ret_ind]]</f>
        <v>-84</v>
      </c>
    </row>
    <row r="382" spans="1:35" ht="15.75" customHeight="1" x14ac:dyDescent="0.3">
      <c r="A382" s="401" t="s">
        <v>34</v>
      </c>
      <c r="B382" s="401" t="s">
        <v>34</v>
      </c>
      <c r="C382" s="401" t="s">
        <v>188</v>
      </c>
      <c r="D382" s="401" t="s">
        <v>188</v>
      </c>
      <c r="E382" s="401" t="s">
        <v>2829</v>
      </c>
      <c r="F382" s="5" t="s">
        <v>1354</v>
      </c>
      <c r="G382" s="401"/>
      <c r="H382" s="1093" t="s">
        <v>511</v>
      </c>
      <c r="I382" s="1216" t="s">
        <v>3033</v>
      </c>
      <c r="J382" s="403">
        <v>113</v>
      </c>
      <c r="K382" s="403">
        <v>751</v>
      </c>
      <c r="L382" s="1093" t="s">
        <v>367</v>
      </c>
      <c r="M382" s="401"/>
      <c r="O382" s="404" t="s">
        <v>35</v>
      </c>
      <c r="P382" s="404" t="s">
        <v>35</v>
      </c>
      <c r="Q382" s="404" t="s">
        <v>192</v>
      </c>
      <c r="R382" s="404" t="s">
        <v>192</v>
      </c>
      <c r="S382" s="404" t="s">
        <v>1953</v>
      </c>
      <c r="T382" s="404" t="s">
        <v>854</v>
      </c>
      <c r="U382" s="941">
        <v>196</v>
      </c>
      <c r="V382" s="941">
        <v>1141</v>
      </c>
      <c r="W382" s="941">
        <v>0</v>
      </c>
      <c r="X382" s="941">
        <v>0</v>
      </c>
      <c r="Y382" s="941">
        <v>0</v>
      </c>
      <c r="Z382" s="941">
        <v>0</v>
      </c>
      <c r="AA382" s="942">
        <v>69</v>
      </c>
      <c r="AB382" s="942">
        <v>396</v>
      </c>
      <c r="AC382" s="942">
        <v>0</v>
      </c>
      <c r="AD382" s="942">
        <v>0</v>
      </c>
      <c r="AE382" s="942">
        <v>0</v>
      </c>
      <c r="AF382" s="942">
        <v>0</v>
      </c>
      <c r="AG382" s="943">
        <f>comparaison_samebasis_villages[[#This Row],[previous idp_ind]]-comparaison_samebasis_villages[[#This Row],[actual idp_ind]]</f>
        <v>-745</v>
      </c>
      <c r="AH382" s="943">
        <f>comparaison_samebasis_villages[[#This Row],[previous ref_ind]]-comparaison_samebasis_villages[[#This Row],[actual ref_ind]]</f>
        <v>0</v>
      </c>
      <c r="AI382" s="943">
        <f>comparaison_samebasis_villages[[#This Row],[previous ret_ind]]-comparaison_samebasis_villages[[#This Row],[actual ret_ind]]</f>
        <v>0</v>
      </c>
    </row>
    <row r="383" spans="1:35" ht="15.75" customHeight="1" x14ac:dyDescent="0.3">
      <c r="A383" s="401" t="s">
        <v>34</v>
      </c>
      <c r="B383" s="401" t="s">
        <v>34</v>
      </c>
      <c r="C383" s="401" t="s">
        <v>188</v>
      </c>
      <c r="D383" s="401" t="s">
        <v>188</v>
      </c>
      <c r="E383" s="401" t="s">
        <v>2829</v>
      </c>
      <c r="F383" s="5" t="s">
        <v>1354</v>
      </c>
      <c r="G383" s="401"/>
      <c r="H383" s="1093" t="s">
        <v>511</v>
      </c>
      <c r="I383" s="1216" t="s">
        <v>3110</v>
      </c>
      <c r="J383" s="403">
        <v>10</v>
      </c>
      <c r="K383" s="403">
        <v>53</v>
      </c>
      <c r="L383" s="1093" t="s">
        <v>367</v>
      </c>
      <c r="M383" s="401"/>
      <c r="O383" s="404" t="s">
        <v>35</v>
      </c>
      <c r="P383" s="404" t="s">
        <v>35</v>
      </c>
      <c r="Q383" s="404" t="s">
        <v>192</v>
      </c>
      <c r="R383" s="404" t="s">
        <v>192</v>
      </c>
      <c r="S383" s="404" t="s">
        <v>1533</v>
      </c>
      <c r="T383" s="404" t="s">
        <v>1952</v>
      </c>
      <c r="U383" s="941">
        <v>340</v>
      </c>
      <c r="V383" s="941">
        <v>2165</v>
      </c>
      <c r="W383" s="941">
        <v>0</v>
      </c>
      <c r="X383" s="941">
        <v>0</v>
      </c>
      <c r="Y383" s="941">
        <v>32</v>
      </c>
      <c r="Z383" s="941">
        <v>32</v>
      </c>
      <c r="AA383" s="942">
        <v>164</v>
      </c>
      <c r="AB383" s="942">
        <v>701</v>
      </c>
      <c r="AC383" s="942">
        <v>0</v>
      </c>
      <c r="AD383" s="942">
        <v>0</v>
      </c>
      <c r="AE383" s="942">
        <v>12</v>
      </c>
      <c r="AF383" s="942">
        <v>30</v>
      </c>
      <c r="AG383" s="943">
        <f>comparaison_samebasis_villages[[#This Row],[previous idp_ind]]-comparaison_samebasis_villages[[#This Row],[actual idp_ind]]</f>
        <v>-1464</v>
      </c>
      <c r="AH383" s="943">
        <f>comparaison_samebasis_villages[[#This Row],[previous ref_ind]]-comparaison_samebasis_villages[[#This Row],[actual ref_ind]]</f>
        <v>0</v>
      </c>
      <c r="AI383" s="943">
        <f>comparaison_samebasis_villages[[#This Row],[previous ret_ind]]-comparaison_samebasis_villages[[#This Row],[actual ret_ind]]</f>
        <v>-2</v>
      </c>
    </row>
    <row r="384" spans="1:35" ht="15.75" customHeight="1" x14ac:dyDescent="0.3">
      <c r="A384" s="401" t="s">
        <v>34</v>
      </c>
      <c r="B384" s="401" t="s">
        <v>34</v>
      </c>
      <c r="C384" s="401" t="s">
        <v>188</v>
      </c>
      <c r="D384" s="401" t="s">
        <v>188</v>
      </c>
      <c r="E384" s="401" t="s">
        <v>2829</v>
      </c>
      <c r="F384" s="5" t="s">
        <v>1354</v>
      </c>
      <c r="G384" s="401"/>
      <c r="H384" s="1093" t="s">
        <v>511</v>
      </c>
      <c r="I384" s="1216" t="s">
        <v>3111</v>
      </c>
      <c r="J384" s="403">
        <v>4</v>
      </c>
      <c r="K384" s="403">
        <v>45</v>
      </c>
      <c r="L384" s="1093" t="s">
        <v>367</v>
      </c>
      <c r="M384" s="401"/>
      <c r="O384" s="404" t="s">
        <v>35</v>
      </c>
      <c r="P384" s="404" t="s">
        <v>35</v>
      </c>
      <c r="Q384" s="404" t="s">
        <v>192</v>
      </c>
      <c r="R384" s="404" t="s">
        <v>192</v>
      </c>
      <c r="S384" s="404" t="s">
        <v>1611</v>
      </c>
      <c r="T384" s="404" t="s">
        <v>1532</v>
      </c>
      <c r="U384" s="941">
        <v>277</v>
      </c>
      <c r="V384" s="941">
        <v>1863</v>
      </c>
      <c r="W384" s="941">
        <v>0</v>
      </c>
      <c r="X384" s="941">
        <v>0</v>
      </c>
      <c r="Y384" s="941">
        <v>164</v>
      </c>
      <c r="Z384" s="941">
        <v>164</v>
      </c>
      <c r="AA384" s="942">
        <v>95</v>
      </c>
      <c r="AB384" s="942">
        <v>609</v>
      </c>
      <c r="AC384" s="942">
        <v>0</v>
      </c>
      <c r="AD384" s="942">
        <v>0</v>
      </c>
      <c r="AE384" s="942">
        <v>95</v>
      </c>
      <c r="AF384" s="942">
        <v>609</v>
      </c>
      <c r="AG384" s="943">
        <f>comparaison_samebasis_villages[[#This Row],[previous idp_ind]]-comparaison_samebasis_villages[[#This Row],[actual idp_ind]]</f>
        <v>-1254</v>
      </c>
      <c r="AH384" s="943">
        <f>comparaison_samebasis_villages[[#This Row],[previous ref_ind]]-comparaison_samebasis_villages[[#This Row],[actual ref_ind]]</f>
        <v>0</v>
      </c>
      <c r="AI384" s="943">
        <f>comparaison_samebasis_villages[[#This Row],[previous ret_ind]]-comparaison_samebasis_villages[[#This Row],[actual ret_ind]]</f>
        <v>445</v>
      </c>
    </row>
    <row r="385" spans="1:35" ht="15.75" customHeight="1" x14ac:dyDescent="0.3">
      <c r="A385" s="401" t="s">
        <v>31</v>
      </c>
      <c r="B385" s="401" t="s">
        <v>31</v>
      </c>
      <c r="C385" s="401" t="s">
        <v>166</v>
      </c>
      <c r="D385" s="401" t="s">
        <v>166</v>
      </c>
      <c r="E385" s="401" t="s">
        <v>1224</v>
      </c>
      <c r="F385" s="5" t="s">
        <v>1225</v>
      </c>
      <c r="G385" s="401"/>
      <c r="H385" s="1093" t="s">
        <v>511</v>
      </c>
      <c r="I385" s="1216" t="s">
        <v>3033</v>
      </c>
      <c r="J385" s="403">
        <v>73</v>
      </c>
      <c r="K385" s="403">
        <v>565</v>
      </c>
      <c r="L385" s="1093" t="s">
        <v>365</v>
      </c>
      <c r="M385" s="401"/>
      <c r="O385" s="404" t="s">
        <v>35</v>
      </c>
      <c r="P385" s="404" t="s">
        <v>35</v>
      </c>
      <c r="Q385" s="404" t="s">
        <v>192</v>
      </c>
      <c r="R385" s="404" t="s">
        <v>192</v>
      </c>
      <c r="S385" s="404" t="s">
        <v>946</v>
      </c>
      <c r="T385" s="404" t="s">
        <v>1610</v>
      </c>
      <c r="U385" s="941">
        <v>170</v>
      </c>
      <c r="V385" s="941">
        <v>1214</v>
      </c>
      <c r="W385" s="941">
        <v>0</v>
      </c>
      <c r="X385" s="941">
        <v>0</v>
      </c>
      <c r="Y385" s="941">
        <v>8</v>
      </c>
      <c r="Z385" s="941">
        <v>8</v>
      </c>
      <c r="AA385" s="942">
        <v>143</v>
      </c>
      <c r="AB385" s="942">
        <v>1226</v>
      </c>
      <c r="AC385" s="942">
        <v>0</v>
      </c>
      <c r="AD385" s="942">
        <v>0</v>
      </c>
      <c r="AE385" s="942">
        <v>2</v>
      </c>
      <c r="AF385" s="942">
        <v>8</v>
      </c>
      <c r="AG385" s="943">
        <f>comparaison_samebasis_villages[[#This Row],[previous idp_ind]]-comparaison_samebasis_villages[[#This Row],[actual idp_ind]]</f>
        <v>12</v>
      </c>
      <c r="AH385" s="943">
        <f>comparaison_samebasis_villages[[#This Row],[previous ref_ind]]-comparaison_samebasis_villages[[#This Row],[actual ref_ind]]</f>
        <v>0</v>
      </c>
      <c r="AI385" s="943">
        <f>comparaison_samebasis_villages[[#This Row],[previous ret_ind]]-comparaison_samebasis_villages[[#This Row],[actual ret_ind]]</f>
        <v>0</v>
      </c>
    </row>
    <row r="386" spans="1:35" ht="15.75" customHeight="1" x14ac:dyDescent="0.3">
      <c r="A386" s="401" t="s">
        <v>31</v>
      </c>
      <c r="B386" s="401" t="s">
        <v>31</v>
      </c>
      <c r="C386" s="401" t="s">
        <v>169</v>
      </c>
      <c r="D386" s="401" t="s">
        <v>169</v>
      </c>
      <c r="E386" s="401" t="s">
        <v>1562</v>
      </c>
      <c r="F386" s="5" t="s">
        <v>2571</v>
      </c>
      <c r="G386" s="401"/>
      <c r="H386" s="1093" t="s">
        <v>511</v>
      </c>
      <c r="I386" s="1216" t="s">
        <v>3111</v>
      </c>
      <c r="J386" s="403">
        <v>32</v>
      </c>
      <c r="K386" s="403">
        <v>315</v>
      </c>
      <c r="L386" s="1093" t="s">
        <v>365</v>
      </c>
      <c r="M386" s="401"/>
      <c r="O386" s="404" t="s">
        <v>35</v>
      </c>
      <c r="P386" s="404" t="s">
        <v>35</v>
      </c>
      <c r="Q386" s="404" t="s">
        <v>192</v>
      </c>
      <c r="R386" s="404" t="s">
        <v>192</v>
      </c>
      <c r="S386" s="404" t="s">
        <v>1005</v>
      </c>
      <c r="T386" s="404" t="s">
        <v>945</v>
      </c>
      <c r="U386" s="941">
        <v>161</v>
      </c>
      <c r="V386" s="941">
        <v>928</v>
      </c>
      <c r="W386" s="941">
        <v>0</v>
      </c>
      <c r="X386" s="941">
        <v>0</v>
      </c>
      <c r="Y386" s="941">
        <v>9</v>
      </c>
      <c r="Z386" s="941">
        <v>9</v>
      </c>
      <c r="AA386" s="942">
        <v>52</v>
      </c>
      <c r="AB386" s="942">
        <v>296</v>
      </c>
      <c r="AC386" s="942">
        <v>0</v>
      </c>
      <c r="AD386" s="942">
        <v>0</v>
      </c>
      <c r="AE386" s="942">
        <v>2</v>
      </c>
      <c r="AF386" s="942">
        <v>4</v>
      </c>
      <c r="AG386" s="943">
        <f>comparaison_samebasis_villages[[#This Row],[previous idp_ind]]-comparaison_samebasis_villages[[#This Row],[actual idp_ind]]</f>
        <v>-632</v>
      </c>
      <c r="AH386" s="943">
        <f>comparaison_samebasis_villages[[#This Row],[previous ref_ind]]-comparaison_samebasis_villages[[#This Row],[actual ref_ind]]</f>
        <v>0</v>
      </c>
      <c r="AI386" s="943">
        <f>comparaison_samebasis_villages[[#This Row],[previous ret_ind]]-comparaison_samebasis_villages[[#This Row],[actual ret_ind]]</f>
        <v>-5</v>
      </c>
    </row>
    <row r="387" spans="1:35" ht="15.75" customHeight="1" x14ac:dyDescent="0.3">
      <c r="A387" s="401" t="s">
        <v>31</v>
      </c>
      <c r="B387" s="401" t="s">
        <v>31</v>
      </c>
      <c r="C387" s="401" t="s">
        <v>169</v>
      </c>
      <c r="D387" s="401" t="s">
        <v>169</v>
      </c>
      <c r="E387" s="401" t="s">
        <v>1095</v>
      </c>
      <c r="F387" s="5" t="s">
        <v>2573</v>
      </c>
      <c r="G387" s="401"/>
      <c r="H387" s="1093" t="s">
        <v>511</v>
      </c>
      <c r="I387" s="1216" t="s">
        <v>3111</v>
      </c>
      <c r="J387" s="403">
        <v>11</v>
      </c>
      <c r="K387" s="403">
        <v>88</v>
      </c>
      <c r="L387" s="1093" t="s">
        <v>365</v>
      </c>
      <c r="M387" s="401"/>
      <c r="O387" s="404" t="s">
        <v>35</v>
      </c>
      <c r="P387" s="404" t="s">
        <v>35</v>
      </c>
      <c r="Q387" s="404" t="s">
        <v>192</v>
      </c>
      <c r="R387" s="404" t="s">
        <v>192</v>
      </c>
      <c r="S387" s="404" t="s">
        <v>903</v>
      </c>
      <c r="T387" s="404" t="s">
        <v>1004</v>
      </c>
      <c r="U387" s="941">
        <v>77</v>
      </c>
      <c r="V387" s="941">
        <v>565</v>
      </c>
      <c r="W387" s="941">
        <v>0</v>
      </c>
      <c r="X387" s="941">
        <v>0</v>
      </c>
      <c r="Y387" s="941">
        <v>12</v>
      </c>
      <c r="Z387" s="941">
        <v>12</v>
      </c>
      <c r="AA387" s="942">
        <v>73</v>
      </c>
      <c r="AB387" s="942">
        <v>549</v>
      </c>
      <c r="AC387" s="942">
        <v>0</v>
      </c>
      <c r="AD387" s="942">
        <v>0</v>
      </c>
      <c r="AE387" s="942">
        <v>10</v>
      </c>
      <c r="AF387" s="942">
        <v>47</v>
      </c>
      <c r="AG387" s="943">
        <f>comparaison_samebasis_villages[[#This Row],[previous idp_ind]]-comparaison_samebasis_villages[[#This Row],[actual idp_ind]]</f>
        <v>-16</v>
      </c>
      <c r="AH387" s="943">
        <f>comparaison_samebasis_villages[[#This Row],[previous ref_ind]]-comparaison_samebasis_villages[[#This Row],[actual ref_ind]]</f>
        <v>0</v>
      </c>
      <c r="AI387" s="943">
        <f>comparaison_samebasis_villages[[#This Row],[previous ret_ind]]-comparaison_samebasis_villages[[#This Row],[actual ret_ind]]</f>
        <v>35</v>
      </c>
    </row>
    <row r="388" spans="1:35" ht="15.75" customHeight="1" x14ac:dyDescent="0.3">
      <c r="A388" s="401" t="s">
        <v>31</v>
      </c>
      <c r="B388" s="401" t="s">
        <v>31</v>
      </c>
      <c r="C388" s="401" t="s">
        <v>169</v>
      </c>
      <c r="D388" s="401" t="s">
        <v>169</v>
      </c>
      <c r="E388" s="401" t="s">
        <v>1550</v>
      </c>
      <c r="F388" s="5" t="s">
        <v>828</v>
      </c>
      <c r="G388" s="401"/>
      <c r="H388" s="1093" t="s">
        <v>511</v>
      </c>
      <c r="I388" s="1216" t="s">
        <v>3111</v>
      </c>
      <c r="J388" s="403">
        <v>65</v>
      </c>
      <c r="K388" s="403">
        <v>400</v>
      </c>
      <c r="L388" s="1093" t="s">
        <v>365</v>
      </c>
      <c r="M388" s="401"/>
      <c r="O388" s="404" t="s">
        <v>35</v>
      </c>
      <c r="P388" s="404" t="s">
        <v>35</v>
      </c>
      <c r="Q388" s="404" t="s">
        <v>192</v>
      </c>
      <c r="R388" s="404" t="s">
        <v>192</v>
      </c>
      <c r="S388" s="404" t="s">
        <v>1391</v>
      </c>
      <c r="T388" s="404" t="s">
        <v>902</v>
      </c>
      <c r="U388" s="941">
        <v>133</v>
      </c>
      <c r="V388" s="941">
        <v>640</v>
      </c>
      <c r="W388" s="941">
        <v>0</v>
      </c>
      <c r="X388" s="941">
        <v>0</v>
      </c>
      <c r="Y388" s="941">
        <v>4</v>
      </c>
      <c r="Z388" s="941">
        <v>4</v>
      </c>
      <c r="AA388" s="942">
        <v>125</v>
      </c>
      <c r="AB388" s="942">
        <v>597</v>
      </c>
      <c r="AC388" s="942">
        <v>0</v>
      </c>
      <c r="AD388" s="942">
        <v>0</v>
      </c>
      <c r="AE388" s="942">
        <v>2</v>
      </c>
      <c r="AF388" s="942">
        <v>5</v>
      </c>
      <c r="AG388" s="943">
        <f>comparaison_samebasis_villages[[#This Row],[previous idp_ind]]-comparaison_samebasis_villages[[#This Row],[actual idp_ind]]</f>
        <v>-43</v>
      </c>
      <c r="AH388" s="943">
        <f>comparaison_samebasis_villages[[#This Row],[previous ref_ind]]-comparaison_samebasis_villages[[#This Row],[actual ref_ind]]</f>
        <v>0</v>
      </c>
      <c r="AI388" s="943">
        <f>comparaison_samebasis_villages[[#This Row],[previous ret_ind]]-comparaison_samebasis_villages[[#This Row],[actual ret_ind]]</f>
        <v>1</v>
      </c>
    </row>
    <row r="389" spans="1:35" ht="15.75" customHeight="1" x14ac:dyDescent="0.3">
      <c r="A389" s="401" t="s">
        <v>31</v>
      </c>
      <c r="B389" s="401" t="s">
        <v>31</v>
      </c>
      <c r="C389" s="401" t="s">
        <v>169</v>
      </c>
      <c r="D389" s="401" t="s">
        <v>169</v>
      </c>
      <c r="E389" s="401" t="s">
        <v>3205</v>
      </c>
      <c r="F389" s="5" t="s">
        <v>3087</v>
      </c>
      <c r="G389" s="401"/>
      <c r="H389" s="1093" t="s">
        <v>511</v>
      </c>
      <c r="I389" s="1216" t="s">
        <v>3111</v>
      </c>
      <c r="J389" s="403">
        <v>28</v>
      </c>
      <c r="K389" s="403">
        <v>208</v>
      </c>
      <c r="L389" s="1093" t="s">
        <v>365</v>
      </c>
      <c r="M389" s="401"/>
      <c r="O389" s="404" t="s">
        <v>35</v>
      </c>
      <c r="P389" s="404" t="s">
        <v>35</v>
      </c>
      <c r="Q389" s="404" t="s">
        <v>192</v>
      </c>
      <c r="R389" s="404" t="s">
        <v>192</v>
      </c>
      <c r="S389" s="404" t="s">
        <v>900</v>
      </c>
      <c r="T389" s="404" t="s">
        <v>2947</v>
      </c>
      <c r="U389" s="941">
        <v>162</v>
      </c>
      <c r="V389" s="941">
        <v>1069</v>
      </c>
      <c r="W389" s="941">
        <v>0</v>
      </c>
      <c r="X389" s="941">
        <v>0</v>
      </c>
      <c r="Y389" s="941">
        <v>3</v>
      </c>
      <c r="Z389" s="941">
        <v>3</v>
      </c>
      <c r="AA389" s="942">
        <v>86</v>
      </c>
      <c r="AB389" s="942">
        <v>609</v>
      </c>
      <c r="AC389" s="942">
        <v>0</v>
      </c>
      <c r="AD389" s="942">
        <v>0</v>
      </c>
      <c r="AE389" s="942">
        <v>23</v>
      </c>
      <c r="AF389" s="942">
        <v>185</v>
      </c>
      <c r="AG389" s="943">
        <f>comparaison_samebasis_villages[[#This Row],[previous idp_ind]]-comparaison_samebasis_villages[[#This Row],[actual idp_ind]]</f>
        <v>-460</v>
      </c>
      <c r="AH389" s="943">
        <f>comparaison_samebasis_villages[[#This Row],[previous ref_ind]]-comparaison_samebasis_villages[[#This Row],[actual ref_ind]]</f>
        <v>0</v>
      </c>
      <c r="AI389" s="943">
        <f>comparaison_samebasis_villages[[#This Row],[previous ret_ind]]-comparaison_samebasis_villages[[#This Row],[actual ret_ind]]</f>
        <v>182</v>
      </c>
    </row>
    <row r="390" spans="1:35" ht="15.75" customHeight="1" x14ac:dyDescent="0.3">
      <c r="A390" s="401" t="s">
        <v>31</v>
      </c>
      <c r="B390" s="401" t="s">
        <v>31</v>
      </c>
      <c r="C390" s="401" t="s">
        <v>169</v>
      </c>
      <c r="D390" s="401" t="s">
        <v>169</v>
      </c>
      <c r="E390" s="401" t="s">
        <v>2574</v>
      </c>
      <c r="F390" s="5" t="s">
        <v>613</v>
      </c>
      <c r="G390" s="401"/>
      <c r="H390" s="1093" t="s">
        <v>511</v>
      </c>
      <c r="I390" s="1216" t="s">
        <v>3111</v>
      </c>
      <c r="J390" s="403">
        <v>49</v>
      </c>
      <c r="K390" s="403">
        <v>450</v>
      </c>
      <c r="L390" s="1093" t="s">
        <v>365</v>
      </c>
      <c r="M390" s="401"/>
      <c r="O390" s="404" t="s">
        <v>35</v>
      </c>
      <c r="P390" s="404" t="s">
        <v>35</v>
      </c>
      <c r="Q390" s="404" t="s">
        <v>192</v>
      </c>
      <c r="R390" s="404" t="s">
        <v>192</v>
      </c>
      <c r="S390" s="404" t="s">
        <v>1453</v>
      </c>
      <c r="T390" s="404" t="s">
        <v>1390</v>
      </c>
      <c r="U390" s="941">
        <v>77</v>
      </c>
      <c r="V390" s="941">
        <v>437</v>
      </c>
      <c r="W390" s="941">
        <v>0</v>
      </c>
      <c r="X390" s="941">
        <v>0</v>
      </c>
      <c r="Y390" s="941">
        <v>43</v>
      </c>
      <c r="Z390" s="941">
        <v>43</v>
      </c>
      <c r="AA390" s="942">
        <v>31</v>
      </c>
      <c r="AB390" s="942">
        <v>169</v>
      </c>
      <c r="AC390" s="942">
        <v>0</v>
      </c>
      <c r="AD390" s="942">
        <v>0</v>
      </c>
      <c r="AE390" s="942">
        <v>0</v>
      </c>
      <c r="AF390" s="942">
        <v>0</v>
      </c>
      <c r="AG390" s="943">
        <f>comparaison_samebasis_villages[[#This Row],[previous idp_ind]]-comparaison_samebasis_villages[[#This Row],[actual idp_ind]]</f>
        <v>-268</v>
      </c>
      <c r="AH390" s="943">
        <f>comparaison_samebasis_villages[[#This Row],[previous ref_ind]]-comparaison_samebasis_villages[[#This Row],[actual ref_ind]]</f>
        <v>0</v>
      </c>
      <c r="AI390" s="943">
        <f>comparaison_samebasis_villages[[#This Row],[previous ret_ind]]-comparaison_samebasis_villages[[#This Row],[actual ret_ind]]</f>
        <v>-43</v>
      </c>
    </row>
    <row r="391" spans="1:35" ht="15.75" customHeight="1" x14ac:dyDescent="0.3">
      <c r="A391" s="401" t="s">
        <v>31</v>
      </c>
      <c r="B391" s="401" t="s">
        <v>31</v>
      </c>
      <c r="C391" s="401" t="s">
        <v>169</v>
      </c>
      <c r="D391" s="401" t="s">
        <v>169</v>
      </c>
      <c r="E391" s="401" t="s">
        <v>3319</v>
      </c>
      <c r="F391" s="5" t="s">
        <v>3083</v>
      </c>
      <c r="G391" s="401"/>
      <c r="H391" s="1093" t="s">
        <v>511</v>
      </c>
      <c r="I391" s="1216" t="s">
        <v>3111</v>
      </c>
      <c r="J391" s="403">
        <v>10</v>
      </c>
      <c r="K391" s="403">
        <v>63</v>
      </c>
      <c r="L391" s="1093" t="s">
        <v>365</v>
      </c>
      <c r="M391" s="401"/>
      <c r="O391" s="399" t="s">
        <v>35</v>
      </c>
      <c r="P391" s="399" t="s">
        <v>35</v>
      </c>
      <c r="Q391" s="399" t="s">
        <v>192</v>
      </c>
      <c r="R391" s="399" t="s">
        <v>192</v>
      </c>
      <c r="S391" s="399" t="s">
        <v>1313</v>
      </c>
      <c r="T391" s="399" t="s">
        <v>2962</v>
      </c>
      <c r="U391" s="941">
        <v>243</v>
      </c>
      <c r="V391" s="941">
        <v>1151</v>
      </c>
      <c r="W391" s="941">
        <v>0</v>
      </c>
      <c r="X391" s="941">
        <v>0</v>
      </c>
      <c r="Y391" s="941">
        <v>16</v>
      </c>
      <c r="Z391" s="941">
        <v>16</v>
      </c>
      <c r="AA391" s="942">
        <v>153</v>
      </c>
      <c r="AB391" s="942">
        <v>814</v>
      </c>
      <c r="AC391" s="942">
        <v>5</v>
      </c>
      <c r="AD391" s="942">
        <v>25</v>
      </c>
      <c r="AE391" s="942">
        <v>27</v>
      </c>
      <c r="AF391" s="942">
        <v>212</v>
      </c>
      <c r="AG391" s="943">
        <f>comparaison_samebasis_villages[[#This Row],[previous idp_ind]]-comparaison_samebasis_villages[[#This Row],[actual idp_ind]]</f>
        <v>-337</v>
      </c>
      <c r="AH391" s="943">
        <f>comparaison_samebasis_villages[[#This Row],[previous ref_ind]]-comparaison_samebasis_villages[[#This Row],[actual ref_ind]]</f>
        <v>25</v>
      </c>
      <c r="AI391" s="943">
        <f>comparaison_samebasis_villages[[#This Row],[previous ret_ind]]-comparaison_samebasis_villages[[#This Row],[actual ret_ind]]</f>
        <v>196</v>
      </c>
    </row>
    <row r="392" spans="1:35" ht="15.75" customHeight="1" x14ac:dyDescent="0.3">
      <c r="A392" s="401" t="s">
        <v>31</v>
      </c>
      <c r="B392" s="401" t="s">
        <v>31</v>
      </c>
      <c r="C392" s="401" t="s">
        <v>169</v>
      </c>
      <c r="D392" s="401" t="s">
        <v>169</v>
      </c>
      <c r="E392" s="401" t="s">
        <v>3320</v>
      </c>
      <c r="F392" s="5" t="s">
        <v>3084</v>
      </c>
      <c r="G392" s="401"/>
      <c r="H392" s="1093" t="s">
        <v>511</v>
      </c>
      <c r="I392" s="1216" t="s">
        <v>3111</v>
      </c>
      <c r="J392" s="403">
        <v>20</v>
      </c>
      <c r="K392" s="403">
        <v>97</v>
      </c>
      <c r="L392" s="1093" t="s">
        <v>365</v>
      </c>
      <c r="M392" s="401"/>
      <c r="O392" s="404" t="s">
        <v>35</v>
      </c>
      <c r="P392" s="404" t="s">
        <v>35</v>
      </c>
      <c r="Q392" s="404" t="s">
        <v>192</v>
      </c>
      <c r="R392" s="404" t="s">
        <v>192</v>
      </c>
      <c r="S392" s="404" t="s">
        <v>1405</v>
      </c>
      <c r="T392" s="404" t="s">
        <v>899</v>
      </c>
      <c r="U392" s="941">
        <v>289</v>
      </c>
      <c r="V392" s="941">
        <v>1766</v>
      </c>
      <c r="W392" s="941">
        <v>0</v>
      </c>
      <c r="X392" s="941">
        <v>0</v>
      </c>
      <c r="Y392" s="941">
        <v>0</v>
      </c>
      <c r="Z392" s="941">
        <v>0</v>
      </c>
      <c r="AA392" s="942">
        <v>285</v>
      </c>
      <c r="AB392" s="942">
        <v>1751</v>
      </c>
      <c r="AC392" s="942">
        <v>0</v>
      </c>
      <c r="AD392" s="942">
        <v>0</v>
      </c>
      <c r="AE392" s="942">
        <v>0</v>
      </c>
      <c r="AF392" s="942">
        <v>0</v>
      </c>
      <c r="AG392" s="943">
        <f>comparaison_samebasis_villages[[#This Row],[previous idp_ind]]-comparaison_samebasis_villages[[#This Row],[actual idp_ind]]</f>
        <v>-15</v>
      </c>
      <c r="AH392" s="943">
        <f>comparaison_samebasis_villages[[#This Row],[previous ref_ind]]-comparaison_samebasis_villages[[#This Row],[actual ref_ind]]</f>
        <v>0</v>
      </c>
      <c r="AI392" s="943">
        <f>comparaison_samebasis_villages[[#This Row],[previous ret_ind]]-comparaison_samebasis_villages[[#This Row],[actual ret_ind]]</f>
        <v>0</v>
      </c>
    </row>
    <row r="393" spans="1:35" ht="15.75" customHeight="1" x14ac:dyDescent="0.3">
      <c r="A393" s="401" t="s">
        <v>31</v>
      </c>
      <c r="B393" s="401" t="s">
        <v>31</v>
      </c>
      <c r="C393" s="401" t="s">
        <v>169</v>
      </c>
      <c r="D393" s="401" t="s">
        <v>169</v>
      </c>
      <c r="E393" s="401" t="s">
        <v>550</v>
      </c>
      <c r="F393" s="5" t="s">
        <v>3134</v>
      </c>
      <c r="G393" s="401" t="s">
        <v>3134</v>
      </c>
      <c r="H393" s="1093" t="s">
        <v>511</v>
      </c>
      <c r="I393" s="1216" t="s">
        <v>3111</v>
      </c>
      <c r="J393" s="403">
        <v>24</v>
      </c>
      <c r="K393" s="403">
        <v>168</v>
      </c>
      <c r="L393" s="1093" t="s">
        <v>365</v>
      </c>
      <c r="M393" s="401"/>
      <c r="O393" s="404" t="s">
        <v>35</v>
      </c>
      <c r="P393" s="404" t="s">
        <v>35</v>
      </c>
      <c r="Q393" s="404" t="s">
        <v>192</v>
      </c>
      <c r="R393" s="404" t="s">
        <v>192</v>
      </c>
      <c r="S393" s="404" t="s">
        <v>948</v>
      </c>
      <c r="T393" s="404" t="s">
        <v>1452</v>
      </c>
      <c r="U393" s="941">
        <v>202</v>
      </c>
      <c r="V393" s="941">
        <v>1385</v>
      </c>
      <c r="W393" s="941">
        <v>0</v>
      </c>
      <c r="X393" s="941">
        <v>0</v>
      </c>
      <c r="Y393" s="941">
        <v>0</v>
      </c>
      <c r="Z393" s="941">
        <v>0</v>
      </c>
      <c r="AA393" s="942">
        <v>198</v>
      </c>
      <c r="AB393" s="942">
        <v>1370</v>
      </c>
      <c r="AC393" s="942">
        <v>0</v>
      </c>
      <c r="AD393" s="942">
        <v>0</v>
      </c>
      <c r="AE393" s="942">
        <v>0</v>
      </c>
      <c r="AF393" s="942">
        <v>0</v>
      </c>
      <c r="AG393" s="943">
        <f>comparaison_samebasis_villages[[#This Row],[previous idp_ind]]-comparaison_samebasis_villages[[#This Row],[actual idp_ind]]</f>
        <v>-15</v>
      </c>
      <c r="AH393" s="943">
        <f>comparaison_samebasis_villages[[#This Row],[previous ref_ind]]-comparaison_samebasis_villages[[#This Row],[actual ref_ind]]</f>
        <v>0</v>
      </c>
      <c r="AI393" s="943">
        <f>comparaison_samebasis_villages[[#This Row],[previous ret_ind]]-comparaison_samebasis_villages[[#This Row],[actual ret_ind]]</f>
        <v>0</v>
      </c>
    </row>
    <row r="394" spans="1:35" ht="15.75" customHeight="1" x14ac:dyDescent="0.3">
      <c r="A394" s="401" t="s">
        <v>31</v>
      </c>
      <c r="B394" s="401" t="s">
        <v>31</v>
      </c>
      <c r="C394" s="401" t="s">
        <v>169</v>
      </c>
      <c r="D394" s="401" t="s">
        <v>169</v>
      </c>
      <c r="E394" s="401" t="s">
        <v>550</v>
      </c>
      <c r="F394" s="5" t="s">
        <v>3135</v>
      </c>
      <c r="G394" s="401" t="s">
        <v>3135</v>
      </c>
      <c r="H394" s="1093" t="s">
        <v>511</v>
      </c>
      <c r="I394" s="1216" t="s">
        <v>3111</v>
      </c>
      <c r="J394" s="403">
        <v>46</v>
      </c>
      <c r="K394" s="403">
        <v>322</v>
      </c>
      <c r="L394" s="1093" t="s">
        <v>369</v>
      </c>
      <c r="M394" s="401"/>
      <c r="O394" s="404" t="s">
        <v>35</v>
      </c>
      <c r="P394" s="404" t="s">
        <v>35</v>
      </c>
      <c r="Q394" s="404" t="s">
        <v>192</v>
      </c>
      <c r="R394" s="404" t="s">
        <v>192</v>
      </c>
      <c r="S394" s="404" t="s">
        <v>1403</v>
      </c>
      <c r="T394" s="404" t="s">
        <v>1312</v>
      </c>
      <c r="U394" s="941">
        <v>132</v>
      </c>
      <c r="V394" s="941">
        <v>583</v>
      </c>
      <c r="W394" s="941">
        <v>0</v>
      </c>
      <c r="X394" s="941">
        <v>0</v>
      </c>
      <c r="Y394" s="941">
        <v>0</v>
      </c>
      <c r="Z394" s="941">
        <v>0</v>
      </c>
      <c r="AA394" s="942">
        <v>132</v>
      </c>
      <c r="AB394" s="942">
        <v>583</v>
      </c>
      <c r="AC394" s="942">
        <v>0</v>
      </c>
      <c r="AD394" s="942">
        <v>0</v>
      </c>
      <c r="AE394" s="942">
        <v>0</v>
      </c>
      <c r="AF394" s="942">
        <v>0</v>
      </c>
      <c r="AG394" s="943">
        <f>comparaison_samebasis_villages[[#This Row],[previous idp_ind]]-comparaison_samebasis_villages[[#This Row],[actual idp_ind]]</f>
        <v>0</v>
      </c>
      <c r="AH394" s="943">
        <f>comparaison_samebasis_villages[[#This Row],[previous ref_ind]]-comparaison_samebasis_villages[[#This Row],[actual ref_ind]]</f>
        <v>0</v>
      </c>
      <c r="AI394" s="943">
        <f>comparaison_samebasis_villages[[#This Row],[previous ret_ind]]-comparaison_samebasis_villages[[#This Row],[actual ret_ind]]</f>
        <v>0</v>
      </c>
    </row>
    <row r="395" spans="1:35" ht="15.75" customHeight="1" x14ac:dyDescent="0.3">
      <c r="A395" s="401" t="s">
        <v>31</v>
      </c>
      <c r="B395" s="401" t="s">
        <v>31</v>
      </c>
      <c r="C395" s="401" t="s">
        <v>169</v>
      </c>
      <c r="D395" s="401" t="s">
        <v>169</v>
      </c>
      <c r="E395" s="401" t="s">
        <v>550</v>
      </c>
      <c r="F395" s="5" t="s">
        <v>3136</v>
      </c>
      <c r="G395" s="401" t="s">
        <v>3136</v>
      </c>
      <c r="H395" s="1093" t="s">
        <v>511</v>
      </c>
      <c r="I395" s="1216" t="s">
        <v>3111</v>
      </c>
      <c r="J395" s="403">
        <v>28</v>
      </c>
      <c r="K395" s="403">
        <v>160</v>
      </c>
      <c r="L395" s="1093" t="s">
        <v>365</v>
      </c>
      <c r="M395" s="401"/>
      <c r="O395" s="404" t="s">
        <v>35</v>
      </c>
      <c r="P395" s="404" t="s">
        <v>35</v>
      </c>
      <c r="Q395" s="404" t="s">
        <v>192</v>
      </c>
      <c r="R395" s="404" t="s">
        <v>192</v>
      </c>
      <c r="S395" s="404" t="s">
        <v>950</v>
      </c>
      <c r="T395" s="404" t="s">
        <v>1404</v>
      </c>
      <c r="U395" s="941">
        <v>115</v>
      </c>
      <c r="V395" s="941">
        <v>802</v>
      </c>
      <c r="W395" s="941">
        <v>0</v>
      </c>
      <c r="X395" s="941">
        <v>0</v>
      </c>
      <c r="Y395" s="941">
        <v>0</v>
      </c>
      <c r="Z395" s="941">
        <v>0</v>
      </c>
      <c r="AA395" s="942">
        <v>112</v>
      </c>
      <c r="AB395" s="942">
        <v>791</v>
      </c>
      <c r="AC395" s="942">
        <v>0</v>
      </c>
      <c r="AD395" s="942">
        <v>0</v>
      </c>
      <c r="AE395" s="942">
        <v>0</v>
      </c>
      <c r="AF395" s="942">
        <v>0</v>
      </c>
      <c r="AG395" s="943">
        <f>comparaison_samebasis_villages[[#This Row],[previous idp_ind]]-comparaison_samebasis_villages[[#This Row],[actual idp_ind]]</f>
        <v>-11</v>
      </c>
      <c r="AH395" s="943">
        <f>comparaison_samebasis_villages[[#This Row],[previous ref_ind]]-comparaison_samebasis_villages[[#This Row],[actual ref_ind]]</f>
        <v>0</v>
      </c>
      <c r="AI395" s="943">
        <f>comparaison_samebasis_villages[[#This Row],[previous ret_ind]]-comparaison_samebasis_villages[[#This Row],[actual ret_ind]]</f>
        <v>0</v>
      </c>
    </row>
    <row r="396" spans="1:35" ht="15.75" customHeight="1" x14ac:dyDescent="0.3">
      <c r="A396" s="401" t="s">
        <v>31</v>
      </c>
      <c r="B396" s="401" t="s">
        <v>31</v>
      </c>
      <c r="C396" s="401" t="s">
        <v>169</v>
      </c>
      <c r="D396" s="401" t="s">
        <v>169</v>
      </c>
      <c r="E396" s="401" t="s">
        <v>550</v>
      </c>
      <c r="F396" s="5" t="s">
        <v>3137</v>
      </c>
      <c r="G396" s="401" t="s">
        <v>3137</v>
      </c>
      <c r="H396" s="1093" t="s">
        <v>511</v>
      </c>
      <c r="I396" s="1216" t="s">
        <v>3033</v>
      </c>
      <c r="J396" s="403">
        <v>30</v>
      </c>
      <c r="K396" s="403">
        <v>200</v>
      </c>
      <c r="L396" s="1093" t="s">
        <v>365</v>
      </c>
      <c r="M396" s="401"/>
      <c r="O396" s="404" t="s">
        <v>35</v>
      </c>
      <c r="P396" s="404" t="s">
        <v>35</v>
      </c>
      <c r="Q396" s="404" t="s">
        <v>192</v>
      </c>
      <c r="R396" s="404" t="s">
        <v>192</v>
      </c>
      <c r="S396" s="404" t="s">
        <v>962</v>
      </c>
      <c r="T396" s="404" t="s">
        <v>947</v>
      </c>
      <c r="U396" s="941">
        <v>310</v>
      </c>
      <c r="V396" s="941">
        <v>1621</v>
      </c>
      <c r="W396" s="941">
        <v>0</v>
      </c>
      <c r="X396" s="941">
        <v>0</v>
      </c>
      <c r="Y396" s="941">
        <v>25</v>
      </c>
      <c r="Z396" s="941">
        <v>25</v>
      </c>
      <c r="AA396" s="942">
        <v>123</v>
      </c>
      <c r="AB396" s="942">
        <v>562</v>
      </c>
      <c r="AC396" s="942">
        <v>0</v>
      </c>
      <c r="AD396" s="942">
        <v>0</v>
      </c>
      <c r="AE396" s="942">
        <v>2</v>
      </c>
      <c r="AF396" s="942">
        <v>5</v>
      </c>
      <c r="AG396" s="943">
        <f>comparaison_samebasis_villages[[#This Row],[previous idp_ind]]-comparaison_samebasis_villages[[#This Row],[actual idp_ind]]</f>
        <v>-1059</v>
      </c>
      <c r="AH396" s="943">
        <f>comparaison_samebasis_villages[[#This Row],[previous ref_ind]]-comparaison_samebasis_villages[[#This Row],[actual ref_ind]]</f>
        <v>0</v>
      </c>
      <c r="AI396" s="943">
        <f>comparaison_samebasis_villages[[#This Row],[previous ret_ind]]-comparaison_samebasis_villages[[#This Row],[actual ret_ind]]</f>
        <v>-20</v>
      </c>
    </row>
    <row r="397" spans="1:35" ht="15.75" customHeight="1" x14ac:dyDescent="0.3">
      <c r="A397" s="401" t="s">
        <v>31</v>
      </c>
      <c r="B397" s="401" t="s">
        <v>31</v>
      </c>
      <c r="C397" s="401" t="s">
        <v>169</v>
      </c>
      <c r="D397" s="401" t="s">
        <v>169</v>
      </c>
      <c r="E397" s="401" t="s">
        <v>550</v>
      </c>
      <c r="F397" s="5" t="s">
        <v>3138</v>
      </c>
      <c r="G397" s="401" t="s">
        <v>3138</v>
      </c>
      <c r="H397" s="1093" t="s">
        <v>511</v>
      </c>
      <c r="I397" s="1216" t="s">
        <v>3111</v>
      </c>
      <c r="J397" s="403">
        <v>18</v>
      </c>
      <c r="K397" s="403">
        <v>36</v>
      </c>
      <c r="L397" s="1093" t="s">
        <v>365</v>
      </c>
      <c r="M397" s="401"/>
      <c r="O397" s="404" t="s">
        <v>35</v>
      </c>
      <c r="P397" s="404" t="s">
        <v>35</v>
      </c>
      <c r="Q397" s="404" t="s">
        <v>192</v>
      </c>
      <c r="R397" s="404" t="s">
        <v>192</v>
      </c>
      <c r="S397" s="404" t="s">
        <v>1389</v>
      </c>
      <c r="T397" s="404" t="s">
        <v>1402</v>
      </c>
      <c r="U397" s="941">
        <v>119</v>
      </c>
      <c r="V397" s="941">
        <v>686</v>
      </c>
      <c r="W397" s="941">
        <v>0</v>
      </c>
      <c r="X397" s="941">
        <v>0</v>
      </c>
      <c r="Y397" s="941">
        <v>6</v>
      </c>
      <c r="Z397" s="941">
        <v>6</v>
      </c>
      <c r="AA397" s="942">
        <v>114</v>
      </c>
      <c r="AB397" s="942">
        <v>662</v>
      </c>
      <c r="AC397" s="942">
        <v>0</v>
      </c>
      <c r="AD397" s="942">
        <v>0</v>
      </c>
      <c r="AE397" s="942">
        <v>6</v>
      </c>
      <c r="AF397" s="942">
        <v>36</v>
      </c>
      <c r="AG397" s="943">
        <f>comparaison_samebasis_villages[[#This Row],[previous idp_ind]]-comparaison_samebasis_villages[[#This Row],[actual idp_ind]]</f>
        <v>-24</v>
      </c>
      <c r="AH397" s="943">
        <f>comparaison_samebasis_villages[[#This Row],[previous ref_ind]]-comparaison_samebasis_villages[[#This Row],[actual ref_ind]]</f>
        <v>0</v>
      </c>
      <c r="AI397" s="943">
        <f>comparaison_samebasis_villages[[#This Row],[previous ret_ind]]-comparaison_samebasis_villages[[#This Row],[actual ret_ind]]</f>
        <v>30</v>
      </c>
    </row>
    <row r="398" spans="1:35" ht="15.75" customHeight="1" x14ac:dyDescent="0.3">
      <c r="A398" s="401" t="s">
        <v>31</v>
      </c>
      <c r="B398" s="401" t="s">
        <v>31</v>
      </c>
      <c r="C398" s="401" t="s">
        <v>169</v>
      </c>
      <c r="D398" s="401" t="s">
        <v>169</v>
      </c>
      <c r="E398" s="401" t="s">
        <v>550</v>
      </c>
      <c r="F398" s="5" t="s">
        <v>3139</v>
      </c>
      <c r="G398" s="401" t="s">
        <v>3139</v>
      </c>
      <c r="H398" s="1093" t="s">
        <v>511</v>
      </c>
      <c r="I398" s="1216" t="s">
        <v>3111</v>
      </c>
      <c r="J398" s="403">
        <v>19</v>
      </c>
      <c r="K398" s="403">
        <v>150</v>
      </c>
      <c r="L398" s="1093" t="s">
        <v>365</v>
      </c>
      <c r="M398" s="401"/>
      <c r="O398" s="404" t="s">
        <v>35</v>
      </c>
      <c r="P398" s="404" t="s">
        <v>35</v>
      </c>
      <c r="Q398" s="404" t="s">
        <v>192</v>
      </c>
      <c r="R398" s="404" t="s">
        <v>192</v>
      </c>
      <c r="S398" s="404" t="s">
        <v>1171</v>
      </c>
      <c r="T398" s="404" t="s">
        <v>949</v>
      </c>
      <c r="U398" s="941">
        <v>50</v>
      </c>
      <c r="V398" s="941">
        <v>266</v>
      </c>
      <c r="W398" s="941">
        <v>0</v>
      </c>
      <c r="X398" s="941">
        <v>0</v>
      </c>
      <c r="Y398" s="941">
        <v>12</v>
      </c>
      <c r="Z398" s="941">
        <v>12</v>
      </c>
      <c r="AA398" s="942">
        <v>46</v>
      </c>
      <c r="AB398" s="942">
        <v>238</v>
      </c>
      <c r="AC398" s="942">
        <v>0</v>
      </c>
      <c r="AD398" s="942">
        <v>0</v>
      </c>
      <c r="AE398" s="942">
        <v>12</v>
      </c>
      <c r="AF398" s="942">
        <v>55</v>
      </c>
      <c r="AG398" s="943">
        <f>comparaison_samebasis_villages[[#This Row],[previous idp_ind]]-comparaison_samebasis_villages[[#This Row],[actual idp_ind]]</f>
        <v>-28</v>
      </c>
      <c r="AH398" s="943">
        <f>comparaison_samebasis_villages[[#This Row],[previous ref_ind]]-comparaison_samebasis_villages[[#This Row],[actual ref_ind]]</f>
        <v>0</v>
      </c>
      <c r="AI398" s="943">
        <f>comparaison_samebasis_villages[[#This Row],[previous ret_ind]]-comparaison_samebasis_villages[[#This Row],[actual ret_ind]]</f>
        <v>43</v>
      </c>
    </row>
    <row r="399" spans="1:35" ht="15.75" customHeight="1" x14ac:dyDescent="0.3">
      <c r="A399" s="401" t="s">
        <v>31</v>
      </c>
      <c r="B399" s="401" t="s">
        <v>31</v>
      </c>
      <c r="C399" s="401" t="s">
        <v>169</v>
      </c>
      <c r="D399" s="401" t="s">
        <v>169</v>
      </c>
      <c r="E399" s="401" t="s">
        <v>550</v>
      </c>
      <c r="F399" s="5" t="s">
        <v>3140</v>
      </c>
      <c r="G399" s="401" t="s">
        <v>3140</v>
      </c>
      <c r="H399" s="1093" t="s">
        <v>511</v>
      </c>
      <c r="I399" s="1216" t="s">
        <v>3111</v>
      </c>
      <c r="J399" s="403">
        <v>11</v>
      </c>
      <c r="K399" s="403">
        <v>77</v>
      </c>
      <c r="L399" s="1093" t="s">
        <v>365</v>
      </c>
      <c r="M399" s="401"/>
      <c r="O399" s="404" t="s">
        <v>35</v>
      </c>
      <c r="P399" s="404" t="s">
        <v>35</v>
      </c>
      <c r="Q399" s="404" t="s">
        <v>192</v>
      </c>
      <c r="R399" s="404" t="s">
        <v>192</v>
      </c>
      <c r="S399" s="404" t="s">
        <v>1526</v>
      </c>
      <c r="T399" s="404" t="s">
        <v>961</v>
      </c>
      <c r="U399" s="941">
        <v>62</v>
      </c>
      <c r="V399" s="941">
        <v>338</v>
      </c>
      <c r="W399" s="941">
        <v>0</v>
      </c>
      <c r="X399" s="941">
        <v>0</v>
      </c>
      <c r="Y399" s="941">
        <v>0</v>
      </c>
      <c r="Z399" s="941">
        <v>0</v>
      </c>
      <c r="AA399" s="942">
        <v>35</v>
      </c>
      <c r="AB399" s="942">
        <v>144</v>
      </c>
      <c r="AC399" s="942">
        <v>0</v>
      </c>
      <c r="AD399" s="942">
        <v>0</v>
      </c>
      <c r="AE399" s="942">
        <v>15</v>
      </c>
      <c r="AF399" s="942">
        <v>120</v>
      </c>
      <c r="AG399" s="943">
        <f>comparaison_samebasis_villages[[#This Row],[previous idp_ind]]-comparaison_samebasis_villages[[#This Row],[actual idp_ind]]</f>
        <v>-194</v>
      </c>
      <c r="AH399" s="943">
        <f>comparaison_samebasis_villages[[#This Row],[previous ref_ind]]-comparaison_samebasis_villages[[#This Row],[actual ref_ind]]</f>
        <v>0</v>
      </c>
      <c r="AI399" s="943">
        <f>comparaison_samebasis_villages[[#This Row],[previous ret_ind]]-comparaison_samebasis_villages[[#This Row],[actual ret_ind]]</f>
        <v>120</v>
      </c>
    </row>
    <row r="400" spans="1:35" ht="15.75" customHeight="1" x14ac:dyDescent="0.3">
      <c r="A400" s="401" t="s">
        <v>31</v>
      </c>
      <c r="B400" s="401" t="s">
        <v>31</v>
      </c>
      <c r="C400" s="401" t="s">
        <v>169</v>
      </c>
      <c r="D400" s="401" t="s">
        <v>169</v>
      </c>
      <c r="E400" s="401" t="s">
        <v>3024</v>
      </c>
      <c r="F400" s="5" t="s">
        <v>2327</v>
      </c>
      <c r="G400" s="401"/>
      <c r="H400" s="1093" t="s">
        <v>511</v>
      </c>
      <c r="I400" s="1216" t="s">
        <v>3111</v>
      </c>
      <c r="J400" s="403">
        <v>179</v>
      </c>
      <c r="K400" s="403">
        <v>1130</v>
      </c>
      <c r="L400" s="1093" t="s">
        <v>365</v>
      </c>
      <c r="M400" s="401"/>
      <c r="O400" s="404" t="s">
        <v>35</v>
      </c>
      <c r="P400" s="404" t="s">
        <v>35</v>
      </c>
      <c r="Q400" s="404" t="s">
        <v>192</v>
      </c>
      <c r="R400" s="404" t="s">
        <v>192</v>
      </c>
      <c r="S400" s="404" t="s">
        <v>1892</v>
      </c>
      <c r="T400" s="404" t="s">
        <v>1388</v>
      </c>
      <c r="U400" s="941">
        <v>80</v>
      </c>
      <c r="V400" s="941">
        <v>455</v>
      </c>
      <c r="W400" s="941">
        <v>0</v>
      </c>
      <c r="X400" s="941">
        <v>0</v>
      </c>
      <c r="Y400" s="941">
        <v>0</v>
      </c>
      <c r="Z400" s="941">
        <v>0</v>
      </c>
      <c r="AA400" s="942">
        <v>9</v>
      </c>
      <c r="AB400" s="942">
        <v>42</v>
      </c>
      <c r="AC400" s="942">
        <v>0</v>
      </c>
      <c r="AD400" s="942">
        <v>0</v>
      </c>
      <c r="AE400" s="942">
        <v>2</v>
      </c>
      <c r="AF400" s="942">
        <v>6</v>
      </c>
      <c r="AG400" s="943">
        <f>comparaison_samebasis_villages[[#This Row],[previous idp_ind]]-comparaison_samebasis_villages[[#This Row],[actual idp_ind]]</f>
        <v>-413</v>
      </c>
      <c r="AH400" s="943">
        <f>comparaison_samebasis_villages[[#This Row],[previous ref_ind]]-comparaison_samebasis_villages[[#This Row],[actual ref_ind]]</f>
        <v>0</v>
      </c>
      <c r="AI400" s="943">
        <f>comparaison_samebasis_villages[[#This Row],[previous ret_ind]]-comparaison_samebasis_villages[[#This Row],[actual ret_ind]]</f>
        <v>6</v>
      </c>
    </row>
    <row r="401" spans="1:35" ht="15.75" customHeight="1" x14ac:dyDescent="0.3">
      <c r="A401" s="401" t="s">
        <v>31</v>
      </c>
      <c r="B401" s="401" t="s">
        <v>31</v>
      </c>
      <c r="C401" s="401" t="s">
        <v>169</v>
      </c>
      <c r="D401" s="401" t="s">
        <v>169</v>
      </c>
      <c r="E401" s="401" t="s">
        <v>3029</v>
      </c>
      <c r="F401" s="5" t="s">
        <v>2341</v>
      </c>
      <c r="G401" s="401"/>
      <c r="H401" s="1093" t="s">
        <v>511</v>
      </c>
      <c r="I401" s="1216" t="s">
        <v>3111</v>
      </c>
      <c r="J401" s="403">
        <v>5</v>
      </c>
      <c r="K401" s="403">
        <v>20</v>
      </c>
      <c r="L401" s="1093" t="s">
        <v>365</v>
      </c>
      <c r="M401" s="401"/>
      <c r="O401" s="404" t="s">
        <v>35</v>
      </c>
      <c r="P401" s="404" t="s">
        <v>35</v>
      </c>
      <c r="Q401" s="404" t="s">
        <v>192</v>
      </c>
      <c r="R401" s="404" t="s">
        <v>192</v>
      </c>
      <c r="S401" s="404" t="s">
        <v>1315</v>
      </c>
      <c r="T401" s="404" t="s">
        <v>1170</v>
      </c>
      <c r="U401" s="941">
        <v>26</v>
      </c>
      <c r="V401" s="941">
        <v>146</v>
      </c>
      <c r="W401" s="941">
        <v>0</v>
      </c>
      <c r="X401" s="941">
        <v>0</v>
      </c>
      <c r="Y401" s="941">
        <v>0</v>
      </c>
      <c r="Z401" s="941">
        <v>0</v>
      </c>
      <c r="AA401" s="942">
        <v>22</v>
      </c>
      <c r="AB401" s="942">
        <v>129</v>
      </c>
      <c r="AC401" s="942">
        <v>0</v>
      </c>
      <c r="AD401" s="942">
        <v>0</v>
      </c>
      <c r="AE401" s="942">
        <v>0</v>
      </c>
      <c r="AF401" s="942">
        <v>0</v>
      </c>
      <c r="AG401" s="943">
        <f>comparaison_samebasis_villages[[#This Row],[previous idp_ind]]-comparaison_samebasis_villages[[#This Row],[actual idp_ind]]</f>
        <v>-17</v>
      </c>
      <c r="AH401" s="943">
        <f>comparaison_samebasis_villages[[#This Row],[previous ref_ind]]-comparaison_samebasis_villages[[#This Row],[actual ref_ind]]</f>
        <v>0</v>
      </c>
      <c r="AI401" s="943">
        <f>comparaison_samebasis_villages[[#This Row],[previous ret_ind]]-comparaison_samebasis_villages[[#This Row],[actual ret_ind]]</f>
        <v>0</v>
      </c>
    </row>
    <row r="402" spans="1:35" ht="15.75" customHeight="1" x14ac:dyDescent="0.3">
      <c r="A402" s="401" t="s">
        <v>31</v>
      </c>
      <c r="B402" s="401" t="s">
        <v>31</v>
      </c>
      <c r="C402" s="401" t="s">
        <v>169</v>
      </c>
      <c r="D402" s="401" t="s">
        <v>169</v>
      </c>
      <c r="E402" s="401" t="s">
        <v>2860</v>
      </c>
      <c r="F402" s="5" t="s">
        <v>2358</v>
      </c>
      <c r="G402" s="401"/>
      <c r="H402" s="1093" t="s">
        <v>511</v>
      </c>
      <c r="I402" s="1216" t="s">
        <v>3111</v>
      </c>
      <c r="J402" s="403">
        <v>68</v>
      </c>
      <c r="K402" s="403">
        <v>291</v>
      </c>
      <c r="L402" s="1093" t="s">
        <v>365</v>
      </c>
      <c r="M402" s="401"/>
      <c r="O402" s="399" t="s">
        <v>35</v>
      </c>
      <c r="P402" s="399" t="s">
        <v>35</v>
      </c>
      <c r="Q402" s="399" t="s">
        <v>192</v>
      </c>
      <c r="R402" s="399" t="s">
        <v>192</v>
      </c>
      <c r="S402" s="399" t="s">
        <v>1516</v>
      </c>
      <c r="T402" s="399" t="s">
        <v>3027</v>
      </c>
      <c r="U402" s="941">
        <v>19</v>
      </c>
      <c r="V402" s="941">
        <v>104</v>
      </c>
      <c r="W402" s="941">
        <v>0</v>
      </c>
      <c r="X402" s="941">
        <v>0</v>
      </c>
      <c r="Y402" s="941">
        <v>0</v>
      </c>
      <c r="Z402" s="941">
        <v>0</v>
      </c>
      <c r="AA402" s="942">
        <v>5</v>
      </c>
      <c r="AB402" s="942">
        <v>30</v>
      </c>
      <c r="AC402" s="942">
        <v>0</v>
      </c>
      <c r="AD402" s="942">
        <v>0</v>
      </c>
      <c r="AE402" s="942">
        <v>2</v>
      </c>
      <c r="AF402" s="942">
        <v>11</v>
      </c>
      <c r="AG402" s="943">
        <f>comparaison_samebasis_villages[[#This Row],[previous idp_ind]]-comparaison_samebasis_villages[[#This Row],[actual idp_ind]]</f>
        <v>-74</v>
      </c>
      <c r="AH402" s="943">
        <f>comparaison_samebasis_villages[[#This Row],[previous ref_ind]]-comparaison_samebasis_villages[[#This Row],[actual ref_ind]]</f>
        <v>0</v>
      </c>
      <c r="AI402" s="943">
        <f>comparaison_samebasis_villages[[#This Row],[previous ret_ind]]-comparaison_samebasis_villages[[#This Row],[actual ret_ind]]</f>
        <v>11</v>
      </c>
    </row>
    <row r="403" spans="1:35" ht="15.75" customHeight="1" x14ac:dyDescent="0.3">
      <c r="A403" s="401" t="s">
        <v>35</v>
      </c>
      <c r="B403" s="401" t="s">
        <v>35</v>
      </c>
      <c r="C403" s="401" t="s">
        <v>190</v>
      </c>
      <c r="D403" s="401" t="s">
        <v>190</v>
      </c>
      <c r="E403" s="401" t="s">
        <v>2157</v>
      </c>
      <c r="F403" s="5" t="s">
        <v>2158</v>
      </c>
      <c r="G403" s="401"/>
      <c r="H403" s="1093" t="s">
        <v>511</v>
      </c>
      <c r="I403" s="1216" t="s">
        <v>3033</v>
      </c>
      <c r="J403" s="403">
        <v>15</v>
      </c>
      <c r="K403" s="403">
        <v>84</v>
      </c>
      <c r="L403" s="1093" t="s">
        <v>367</v>
      </c>
      <c r="M403" s="401"/>
      <c r="O403" s="399" t="s">
        <v>35</v>
      </c>
      <c r="P403" s="399" t="s">
        <v>35</v>
      </c>
      <c r="Q403" s="399" t="s">
        <v>192</v>
      </c>
      <c r="R403" s="399" t="s">
        <v>192</v>
      </c>
      <c r="S403" s="399" t="s">
        <v>944</v>
      </c>
      <c r="T403" s="399" t="s">
        <v>2867</v>
      </c>
      <c r="U403" s="941">
        <v>95</v>
      </c>
      <c r="V403" s="941">
        <v>443</v>
      </c>
      <c r="W403" s="941">
        <v>0</v>
      </c>
      <c r="X403" s="941">
        <v>0</v>
      </c>
      <c r="Y403" s="941">
        <v>6</v>
      </c>
      <c r="Z403" s="941">
        <v>6</v>
      </c>
      <c r="AA403" s="942">
        <v>88</v>
      </c>
      <c r="AB403" s="942">
        <v>393</v>
      </c>
      <c r="AC403" s="942">
        <v>0</v>
      </c>
      <c r="AD403" s="942">
        <v>0</v>
      </c>
      <c r="AE403" s="942">
        <v>0</v>
      </c>
      <c r="AF403" s="942">
        <v>0</v>
      </c>
      <c r="AG403" s="943">
        <f>comparaison_samebasis_villages[[#This Row],[previous idp_ind]]-comparaison_samebasis_villages[[#This Row],[actual idp_ind]]</f>
        <v>-50</v>
      </c>
      <c r="AH403" s="943">
        <f>comparaison_samebasis_villages[[#This Row],[previous ref_ind]]-comparaison_samebasis_villages[[#This Row],[actual ref_ind]]</f>
        <v>0</v>
      </c>
      <c r="AI403" s="943">
        <f>comparaison_samebasis_villages[[#This Row],[previous ret_ind]]-comparaison_samebasis_villages[[#This Row],[actual ret_ind]]</f>
        <v>-6</v>
      </c>
    </row>
    <row r="404" spans="1:35" ht="15.75" customHeight="1" x14ac:dyDescent="0.3">
      <c r="A404" s="401" t="s">
        <v>35</v>
      </c>
      <c r="B404" s="401" t="s">
        <v>35</v>
      </c>
      <c r="C404" s="401" t="s">
        <v>190</v>
      </c>
      <c r="D404" s="401" t="s">
        <v>190</v>
      </c>
      <c r="E404" s="401" t="s">
        <v>2157</v>
      </c>
      <c r="F404" s="5" t="s">
        <v>2158</v>
      </c>
      <c r="G404" s="401"/>
      <c r="H404" s="1093" t="s">
        <v>511</v>
      </c>
      <c r="I404" s="1216" t="s">
        <v>3109</v>
      </c>
      <c r="J404" s="403">
        <v>2</v>
      </c>
      <c r="K404" s="403">
        <v>8</v>
      </c>
      <c r="L404" s="1093" t="s">
        <v>367</v>
      </c>
      <c r="M404" s="401"/>
      <c r="O404" s="399" t="s">
        <v>35</v>
      </c>
      <c r="P404" s="399" t="s">
        <v>35</v>
      </c>
      <c r="Q404" s="399" t="s">
        <v>192</v>
      </c>
      <c r="R404" s="399" t="s">
        <v>192</v>
      </c>
      <c r="S404" s="399" t="s">
        <v>1317</v>
      </c>
      <c r="T404" s="399" t="s">
        <v>1525</v>
      </c>
      <c r="U404" s="941">
        <v>129</v>
      </c>
      <c r="V404" s="941">
        <v>667</v>
      </c>
      <c r="W404" s="941">
        <v>0</v>
      </c>
      <c r="X404" s="941">
        <v>0</v>
      </c>
      <c r="Y404" s="941">
        <v>10</v>
      </c>
      <c r="Z404" s="941">
        <v>10</v>
      </c>
      <c r="AA404" s="942">
        <v>124</v>
      </c>
      <c r="AB404" s="942">
        <v>630</v>
      </c>
      <c r="AC404" s="942">
        <v>0</v>
      </c>
      <c r="AD404" s="942">
        <v>0</v>
      </c>
      <c r="AE404" s="942">
        <v>5</v>
      </c>
      <c r="AF404" s="942">
        <v>64</v>
      </c>
      <c r="AG404" s="943">
        <f>comparaison_samebasis_villages[[#This Row],[previous idp_ind]]-comparaison_samebasis_villages[[#This Row],[actual idp_ind]]</f>
        <v>-37</v>
      </c>
      <c r="AH404" s="943">
        <f>comparaison_samebasis_villages[[#This Row],[previous ref_ind]]-comparaison_samebasis_villages[[#This Row],[actual ref_ind]]</f>
        <v>0</v>
      </c>
      <c r="AI404" s="943">
        <f>comparaison_samebasis_villages[[#This Row],[previous ret_ind]]-comparaison_samebasis_villages[[#This Row],[actual ret_ind]]</f>
        <v>54</v>
      </c>
    </row>
    <row r="405" spans="1:35" ht="15.75" customHeight="1" x14ac:dyDescent="0.3">
      <c r="A405" s="401" t="s">
        <v>35</v>
      </c>
      <c r="B405" s="401" t="s">
        <v>35</v>
      </c>
      <c r="C405" s="401" t="s">
        <v>190</v>
      </c>
      <c r="D405" s="401" t="s">
        <v>190</v>
      </c>
      <c r="E405" s="401" t="s">
        <v>2157</v>
      </c>
      <c r="F405" s="5" t="s">
        <v>2158</v>
      </c>
      <c r="G405" s="401"/>
      <c r="H405" s="1093" t="s">
        <v>511</v>
      </c>
      <c r="I405" s="1216" t="s">
        <v>3110</v>
      </c>
      <c r="J405" s="403">
        <v>1</v>
      </c>
      <c r="K405" s="403">
        <v>4</v>
      </c>
      <c r="L405" s="1093" t="s">
        <v>367</v>
      </c>
      <c r="M405" s="401"/>
      <c r="O405" s="404" t="s">
        <v>35</v>
      </c>
      <c r="P405" s="404" t="s">
        <v>35</v>
      </c>
      <c r="Q405" s="404" t="s">
        <v>192</v>
      </c>
      <c r="R405" s="404" t="s">
        <v>192</v>
      </c>
      <c r="S405" s="404" t="s">
        <v>1409</v>
      </c>
      <c r="T405" s="404" t="s">
        <v>1891</v>
      </c>
      <c r="U405" s="941">
        <v>0</v>
      </c>
      <c r="V405" s="941">
        <v>0</v>
      </c>
      <c r="W405" s="941">
        <v>0</v>
      </c>
      <c r="X405" s="941">
        <v>0</v>
      </c>
      <c r="Y405" s="941">
        <v>0</v>
      </c>
      <c r="Z405" s="941">
        <v>0</v>
      </c>
      <c r="AA405" s="942">
        <v>0</v>
      </c>
      <c r="AB405" s="942">
        <v>0</v>
      </c>
      <c r="AC405" s="942">
        <v>0</v>
      </c>
      <c r="AD405" s="942">
        <v>0</v>
      </c>
      <c r="AE405" s="942">
        <v>0</v>
      </c>
      <c r="AF405" s="942">
        <v>0</v>
      </c>
      <c r="AG405" s="943">
        <f>comparaison_samebasis_villages[[#This Row],[previous idp_ind]]-comparaison_samebasis_villages[[#This Row],[actual idp_ind]]</f>
        <v>0</v>
      </c>
      <c r="AH405" s="943">
        <f>comparaison_samebasis_villages[[#This Row],[previous ref_ind]]-comparaison_samebasis_villages[[#This Row],[actual ref_ind]]</f>
        <v>0</v>
      </c>
      <c r="AI405" s="943">
        <f>comparaison_samebasis_villages[[#This Row],[previous ret_ind]]-comparaison_samebasis_villages[[#This Row],[actual ret_ind]]</f>
        <v>0</v>
      </c>
    </row>
    <row r="406" spans="1:35" ht="15.75" customHeight="1" x14ac:dyDescent="0.3">
      <c r="A406" s="401" t="s">
        <v>35</v>
      </c>
      <c r="B406" s="401" t="s">
        <v>35</v>
      </c>
      <c r="C406" s="401" t="s">
        <v>190</v>
      </c>
      <c r="D406" s="401" t="s">
        <v>190</v>
      </c>
      <c r="E406" s="401" t="s">
        <v>2157</v>
      </c>
      <c r="F406" s="5" t="s">
        <v>2158</v>
      </c>
      <c r="G406" s="401"/>
      <c r="H406" s="1093" t="s">
        <v>511</v>
      </c>
      <c r="I406" s="1216" t="s">
        <v>3111</v>
      </c>
      <c r="J406" s="403">
        <v>2</v>
      </c>
      <c r="K406" s="403">
        <v>5</v>
      </c>
      <c r="L406" s="1093" t="s">
        <v>367</v>
      </c>
      <c r="M406" s="401"/>
      <c r="O406" s="404" t="s">
        <v>35</v>
      </c>
      <c r="P406" s="404" t="s">
        <v>35</v>
      </c>
      <c r="Q406" s="404" t="s">
        <v>192</v>
      </c>
      <c r="R406" s="404" t="s">
        <v>192</v>
      </c>
      <c r="S406" s="404" t="s">
        <v>898</v>
      </c>
      <c r="T406" s="404" t="s">
        <v>1314</v>
      </c>
      <c r="U406" s="941">
        <v>0</v>
      </c>
      <c r="V406" s="941">
        <v>0</v>
      </c>
      <c r="W406" s="941">
        <v>0</v>
      </c>
      <c r="X406" s="941">
        <v>0</v>
      </c>
      <c r="Y406" s="941">
        <v>0</v>
      </c>
      <c r="Z406" s="941">
        <v>0</v>
      </c>
      <c r="AA406" s="942">
        <v>0</v>
      </c>
      <c r="AB406" s="942">
        <v>0</v>
      </c>
      <c r="AC406" s="942">
        <v>0</v>
      </c>
      <c r="AD406" s="942">
        <v>0</v>
      </c>
      <c r="AE406" s="942">
        <v>0</v>
      </c>
      <c r="AF406" s="942">
        <v>0</v>
      </c>
      <c r="AG406" s="943">
        <f>comparaison_samebasis_villages[[#This Row],[previous idp_ind]]-comparaison_samebasis_villages[[#This Row],[actual idp_ind]]</f>
        <v>0</v>
      </c>
      <c r="AH406" s="943">
        <f>comparaison_samebasis_villages[[#This Row],[previous ref_ind]]-comparaison_samebasis_villages[[#This Row],[actual ref_ind]]</f>
        <v>0</v>
      </c>
      <c r="AI406" s="943">
        <f>comparaison_samebasis_villages[[#This Row],[previous ret_ind]]-comparaison_samebasis_villages[[#This Row],[actual ret_ind]]</f>
        <v>0</v>
      </c>
    </row>
    <row r="407" spans="1:35" ht="15.75" customHeight="1" x14ac:dyDescent="0.3">
      <c r="A407" s="401" t="s">
        <v>34</v>
      </c>
      <c r="B407" s="401" t="s">
        <v>34</v>
      </c>
      <c r="C407" s="401" t="s">
        <v>187</v>
      </c>
      <c r="D407" s="401" t="s">
        <v>187</v>
      </c>
      <c r="E407" s="401" t="s">
        <v>2914</v>
      </c>
      <c r="F407" s="5" t="s">
        <v>1618</v>
      </c>
      <c r="G407" s="401"/>
      <c r="H407" s="1093" t="s">
        <v>511</v>
      </c>
      <c r="I407" s="1216" t="s">
        <v>3033</v>
      </c>
      <c r="J407" s="403">
        <v>228</v>
      </c>
      <c r="K407" s="403">
        <v>1134</v>
      </c>
      <c r="L407" s="1093" t="s">
        <v>367</v>
      </c>
      <c r="M407" s="401"/>
      <c r="O407" s="404" t="s">
        <v>35</v>
      </c>
      <c r="P407" s="404" t="s">
        <v>35</v>
      </c>
      <c r="Q407" s="404" t="s">
        <v>192</v>
      </c>
      <c r="R407" s="404" t="s">
        <v>192</v>
      </c>
      <c r="S407" s="404" t="s">
        <v>1534</v>
      </c>
      <c r="T407" s="404" t="s">
        <v>2920</v>
      </c>
      <c r="U407" s="941">
        <v>373</v>
      </c>
      <c r="V407" s="941">
        <v>2350</v>
      </c>
      <c r="W407" s="941">
        <v>0</v>
      </c>
      <c r="X407" s="941">
        <v>0</v>
      </c>
      <c r="Y407" s="941">
        <v>0</v>
      </c>
      <c r="Z407" s="941">
        <v>0</v>
      </c>
      <c r="AA407" s="942">
        <v>217</v>
      </c>
      <c r="AB407" s="942">
        <v>1133</v>
      </c>
      <c r="AC407" s="942">
        <v>0</v>
      </c>
      <c r="AD407" s="942">
        <v>0</v>
      </c>
      <c r="AE407" s="942">
        <v>0</v>
      </c>
      <c r="AF407" s="942">
        <v>0</v>
      </c>
      <c r="AG407" s="943">
        <f>comparaison_samebasis_villages[[#This Row],[previous idp_ind]]-comparaison_samebasis_villages[[#This Row],[actual idp_ind]]</f>
        <v>-1217</v>
      </c>
      <c r="AH407" s="943">
        <f>comparaison_samebasis_villages[[#This Row],[previous ref_ind]]-comparaison_samebasis_villages[[#This Row],[actual ref_ind]]</f>
        <v>0</v>
      </c>
      <c r="AI407" s="943">
        <f>comparaison_samebasis_villages[[#This Row],[previous ret_ind]]-comparaison_samebasis_villages[[#This Row],[actual ret_ind]]</f>
        <v>0</v>
      </c>
    </row>
    <row r="408" spans="1:35" ht="15.75" customHeight="1" x14ac:dyDescent="0.3">
      <c r="A408" s="401" t="s">
        <v>34</v>
      </c>
      <c r="B408" s="401" t="s">
        <v>34</v>
      </c>
      <c r="C408" s="401" t="s">
        <v>187</v>
      </c>
      <c r="D408" s="401" t="s">
        <v>187</v>
      </c>
      <c r="E408" s="401" t="s">
        <v>2914</v>
      </c>
      <c r="F408" s="5" t="s">
        <v>1618</v>
      </c>
      <c r="G408" s="401"/>
      <c r="H408" s="1093" t="s">
        <v>511</v>
      </c>
      <c r="I408" s="1216" t="s">
        <v>3112</v>
      </c>
      <c r="J408" s="403">
        <v>11</v>
      </c>
      <c r="K408" s="403">
        <v>79</v>
      </c>
      <c r="L408" s="1093" t="s">
        <v>365</v>
      </c>
      <c r="M408" s="401"/>
      <c r="O408" s="404" t="s">
        <v>35</v>
      </c>
      <c r="P408" s="404" t="s">
        <v>35</v>
      </c>
      <c r="Q408" s="404" t="s">
        <v>192</v>
      </c>
      <c r="R408" s="404" t="s">
        <v>192</v>
      </c>
      <c r="S408" s="404" t="s">
        <v>1034</v>
      </c>
      <c r="T408" s="404" t="s">
        <v>1515</v>
      </c>
      <c r="U408" s="941">
        <v>115</v>
      </c>
      <c r="V408" s="941">
        <v>636</v>
      </c>
      <c r="W408" s="941">
        <v>0</v>
      </c>
      <c r="X408" s="941">
        <v>0</v>
      </c>
      <c r="Y408" s="941">
        <v>0</v>
      </c>
      <c r="Z408" s="941">
        <v>0</v>
      </c>
      <c r="AA408" s="942">
        <v>92</v>
      </c>
      <c r="AB408" s="942">
        <v>445</v>
      </c>
      <c r="AC408" s="942">
        <v>0</v>
      </c>
      <c r="AD408" s="942">
        <v>0</v>
      </c>
      <c r="AE408" s="942">
        <v>0</v>
      </c>
      <c r="AF408" s="942">
        <v>0</v>
      </c>
      <c r="AG408" s="943">
        <f>comparaison_samebasis_villages[[#This Row],[previous idp_ind]]-comparaison_samebasis_villages[[#This Row],[actual idp_ind]]</f>
        <v>-191</v>
      </c>
      <c r="AH408" s="943">
        <f>comparaison_samebasis_villages[[#This Row],[previous ref_ind]]-comparaison_samebasis_villages[[#This Row],[actual ref_ind]]</f>
        <v>0</v>
      </c>
      <c r="AI408" s="943">
        <f>comparaison_samebasis_villages[[#This Row],[previous ret_ind]]-comparaison_samebasis_villages[[#This Row],[actual ret_ind]]</f>
        <v>0</v>
      </c>
    </row>
    <row r="409" spans="1:35" ht="15.75" customHeight="1" x14ac:dyDescent="0.3">
      <c r="A409" s="401" t="s">
        <v>34</v>
      </c>
      <c r="B409" s="401" t="s">
        <v>34</v>
      </c>
      <c r="C409" s="401" t="s">
        <v>187</v>
      </c>
      <c r="D409" s="401" t="s">
        <v>187</v>
      </c>
      <c r="E409" s="401" t="s">
        <v>2914</v>
      </c>
      <c r="F409" s="5" t="s">
        <v>1618</v>
      </c>
      <c r="G409" s="401"/>
      <c r="H409" s="1093" t="s">
        <v>511</v>
      </c>
      <c r="I409" s="1216" t="s">
        <v>3111</v>
      </c>
      <c r="J409" s="403">
        <v>0</v>
      </c>
      <c r="K409" s="403">
        <v>10</v>
      </c>
      <c r="L409" s="1093" t="s">
        <v>367</v>
      </c>
      <c r="M409" s="401"/>
      <c r="O409" s="404" t="s">
        <v>35</v>
      </c>
      <c r="P409" s="404" t="s">
        <v>35</v>
      </c>
      <c r="Q409" s="404" t="s">
        <v>192</v>
      </c>
      <c r="R409" s="404" t="s">
        <v>192</v>
      </c>
      <c r="S409" s="404" t="s">
        <v>989</v>
      </c>
      <c r="T409" s="404" t="s">
        <v>943</v>
      </c>
      <c r="U409" s="941">
        <v>161</v>
      </c>
      <c r="V409" s="941">
        <v>1177</v>
      </c>
      <c r="W409" s="941">
        <v>0</v>
      </c>
      <c r="X409" s="941">
        <v>0</v>
      </c>
      <c r="Y409" s="941">
        <v>3</v>
      </c>
      <c r="Z409" s="941">
        <v>3</v>
      </c>
      <c r="AA409" s="942">
        <v>159</v>
      </c>
      <c r="AB409" s="942">
        <v>795</v>
      </c>
      <c r="AC409" s="942">
        <v>0</v>
      </c>
      <c r="AD409" s="942">
        <v>0</v>
      </c>
      <c r="AE409" s="942">
        <v>2</v>
      </c>
      <c r="AF409" s="942">
        <v>4</v>
      </c>
      <c r="AG409" s="943">
        <f>comparaison_samebasis_villages[[#This Row],[previous idp_ind]]-comparaison_samebasis_villages[[#This Row],[actual idp_ind]]</f>
        <v>-382</v>
      </c>
      <c r="AH409" s="943">
        <f>comparaison_samebasis_villages[[#This Row],[previous ref_ind]]-comparaison_samebasis_villages[[#This Row],[actual ref_ind]]</f>
        <v>0</v>
      </c>
      <c r="AI409" s="943">
        <f>comparaison_samebasis_villages[[#This Row],[previous ret_ind]]-comparaison_samebasis_villages[[#This Row],[actual ret_ind]]</f>
        <v>1</v>
      </c>
    </row>
    <row r="410" spans="1:35" ht="15.75" customHeight="1" x14ac:dyDescent="0.3">
      <c r="A410" s="401" t="s">
        <v>31</v>
      </c>
      <c r="B410" s="401" t="s">
        <v>31</v>
      </c>
      <c r="C410" s="401" t="s">
        <v>169</v>
      </c>
      <c r="D410" s="401" t="s">
        <v>169</v>
      </c>
      <c r="E410" s="401" t="s">
        <v>2859</v>
      </c>
      <c r="F410" s="5" t="s">
        <v>3082</v>
      </c>
      <c r="G410" s="401"/>
      <c r="H410" s="1093" t="s">
        <v>511</v>
      </c>
      <c r="I410" s="1216" t="s">
        <v>3111</v>
      </c>
      <c r="J410" s="403">
        <v>23</v>
      </c>
      <c r="K410" s="403">
        <v>100</v>
      </c>
      <c r="L410" s="1093" t="s">
        <v>365</v>
      </c>
      <c r="M410" s="401"/>
      <c r="O410" s="404" t="s">
        <v>35</v>
      </c>
      <c r="P410" s="404" t="s">
        <v>35</v>
      </c>
      <c r="Q410" s="404" t="s">
        <v>192</v>
      </c>
      <c r="R410" s="404" t="s">
        <v>192</v>
      </c>
      <c r="S410" s="404" t="s">
        <v>901</v>
      </c>
      <c r="T410" s="404" t="s">
        <v>1316</v>
      </c>
      <c r="U410" s="941">
        <v>30</v>
      </c>
      <c r="V410" s="941">
        <v>113</v>
      </c>
      <c r="W410" s="941">
        <v>0</v>
      </c>
      <c r="X410" s="941">
        <v>0</v>
      </c>
      <c r="Y410" s="941">
        <v>7</v>
      </c>
      <c r="Z410" s="941">
        <v>7</v>
      </c>
      <c r="AA410" s="942">
        <v>27</v>
      </c>
      <c r="AB410" s="942">
        <v>99</v>
      </c>
      <c r="AC410" s="942">
        <v>0</v>
      </c>
      <c r="AD410" s="942">
        <v>0</v>
      </c>
      <c r="AE410" s="942">
        <v>7</v>
      </c>
      <c r="AF410" s="942">
        <v>37</v>
      </c>
      <c r="AG410" s="943">
        <f>comparaison_samebasis_villages[[#This Row],[previous idp_ind]]-comparaison_samebasis_villages[[#This Row],[actual idp_ind]]</f>
        <v>-14</v>
      </c>
      <c r="AH410" s="943">
        <f>comparaison_samebasis_villages[[#This Row],[previous ref_ind]]-comparaison_samebasis_villages[[#This Row],[actual ref_ind]]</f>
        <v>0</v>
      </c>
      <c r="AI410" s="943">
        <f>comparaison_samebasis_villages[[#This Row],[previous ret_ind]]-comparaison_samebasis_villages[[#This Row],[actual ret_ind]]</f>
        <v>30</v>
      </c>
    </row>
    <row r="411" spans="1:35" ht="15.75" customHeight="1" x14ac:dyDescent="0.3">
      <c r="A411" s="401" t="s">
        <v>31</v>
      </c>
      <c r="B411" s="401" t="s">
        <v>31</v>
      </c>
      <c r="C411" s="401" t="s">
        <v>169</v>
      </c>
      <c r="D411" s="401" t="s">
        <v>169</v>
      </c>
      <c r="E411" s="401" t="s">
        <v>3209</v>
      </c>
      <c r="F411" s="5" t="s">
        <v>3085</v>
      </c>
      <c r="G411" s="401"/>
      <c r="H411" s="1093" t="s">
        <v>511</v>
      </c>
      <c r="I411" s="1216" t="s">
        <v>3111</v>
      </c>
      <c r="J411" s="403">
        <v>47</v>
      </c>
      <c r="K411" s="403">
        <v>211</v>
      </c>
      <c r="L411" s="1093" t="s">
        <v>365</v>
      </c>
      <c r="M411" s="401"/>
      <c r="O411" s="399" t="s">
        <v>35</v>
      </c>
      <c r="P411" s="399" t="s">
        <v>35</v>
      </c>
      <c r="Q411" s="399" t="s">
        <v>192</v>
      </c>
      <c r="R411" s="399" t="s">
        <v>192</v>
      </c>
      <c r="S411" s="399" t="s">
        <v>1637</v>
      </c>
      <c r="T411" s="399" t="s">
        <v>1408</v>
      </c>
      <c r="U411" s="941">
        <v>21</v>
      </c>
      <c r="V411" s="941">
        <v>149</v>
      </c>
      <c r="W411" s="941">
        <v>0</v>
      </c>
      <c r="X411" s="941">
        <v>0</v>
      </c>
      <c r="Y411" s="941">
        <v>10</v>
      </c>
      <c r="Z411" s="941">
        <v>10</v>
      </c>
      <c r="AA411" s="942">
        <v>15</v>
      </c>
      <c r="AB411" s="942">
        <v>107</v>
      </c>
      <c r="AC411" s="942">
        <v>0</v>
      </c>
      <c r="AD411" s="942">
        <v>0</v>
      </c>
      <c r="AE411" s="942">
        <v>10</v>
      </c>
      <c r="AF411" s="942">
        <v>47</v>
      </c>
      <c r="AG411" s="943">
        <f>comparaison_samebasis_villages[[#This Row],[previous idp_ind]]-comparaison_samebasis_villages[[#This Row],[actual idp_ind]]</f>
        <v>-42</v>
      </c>
      <c r="AH411" s="943">
        <f>comparaison_samebasis_villages[[#This Row],[previous ref_ind]]-comparaison_samebasis_villages[[#This Row],[actual ref_ind]]</f>
        <v>0</v>
      </c>
      <c r="AI411" s="943">
        <f>comparaison_samebasis_villages[[#This Row],[previous ret_ind]]-comparaison_samebasis_villages[[#This Row],[actual ret_ind]]</f>
        <v>37</v>
      </c>
    </row>
    <row r="412" spans="1:35" ht="15.75" customHeight="1" x14ac:dyDescent="0.3">
      <c r="A412" s="401" t="s">
        <v>31</v>
      </c>
      <c r="B412" s="401" t="s">
        <v>31</v>
      </c>
      <c r="C412" s="401" t="s">
        <v>169</v>
      </c>
      <c r="D412" s="401" t="s">
        <v>169</v>
      </c>
      <c r="E412" s="401" t="s">
        <v>3210</v>
      </c>
      <c r="F412" s="5" t="s">
        <v>3086</v>
      </c>
      <c r="G412" s="401"/>
      <c r="H412" s="1093" t="s">
        <v>511</v>
      </c>
      <c r="I412" s="1216" t="s">
        <v>3111</v>
      </c>
      <c r="J412" s="403">
        <v>46</v>
      </c>
      <c r="K412" s="403">
        <v>206</v>
      </c>
      <c r="L412" s="1093" t="s">
        <v>365</v>
      </c>
      <c r="M412" s="401"/>
      <c r="O412" s="399" t="s">
        <v>35</v>
      </c>
      <c r="P412" s="399" t="s">
        <v>35</v>
      </c>
      <c r="Q412" s="399" t="s">
        <v>192</v>
      </c>
      <c r="R412" s="399" t="s">
        <v>192</v>
      </c>
      <c r="S412" s="399" t="s">
        <v>1638</v>
      </c>
      <c r="T412" s="399" t="s">
        <v>897</v>
      </c>
      <c r="U412" s="941">
        <v>57</v>
      </c>
      <c r="V412" s="941">
        <v>739</v>
      </c>
      <c r="W412" s="941">
        <v>0</v>
      </c>
      <c r="X412" s="941">
        <v>0</v>
      </c>
      <c r="Y412" s="941">
        <v>7</v>
      </c>
      <c r="Z412" s="941">
        <v>7</v>
      </c>
      <c r="AA412" s="942">
        <v>7</v>
      </c>
      <c r="AB412" s="942">
        <v>36</v>
      </c>
      <c r="AC412" s="942">
        <v>0</v>
      </c>
      <c r="AD412" s="942">
        <v>0</v>
      </c>
      <c r="AE412" s="942">
        <v>0</v>
      </c>
      <c r="AF412" s="942">
        <v>0</v>
      </c>
      <c r="AG412" s="943">
        <f>comparaison_samebasis_villages[[#This Row],[previous idp_ind]]-comparaison_samebasis_villages[[#This Row],[actual idp_ind]]</f>
        <v>-703</v>
      </c>
      <c r="AH412" s="943">
        <f>comparaison_samebasis_villages[[#This Row],[previous ref_ind]]-comparaison_samebasis_villages[[#This Row],[actual ref_ind]]</f>
        <v>0</v>
      </c>
      <c r="AI412" s="943">
        <f>comparaison_samebasis_villages[[#This Row],[previous ret_ind]]-comparaison_samebasis_villages[[#This Row],[actual ret_ind]]</f>
        <v>-7</v>
      </c>
    </row>
    <row r="413" spans="1:35" ht="15.75" customHeight="1" x14ac:dyDescent="0.3">
      <c r="A413" s="401" t="s">
        <v>32</v>
      </c>
      <c r="B413" s="401" t="s">
        <v>32</v>
      </c>
      <c r="C413" s="401" t="s">
        <v>178</v>
      </c>
      <c r="D413" s="401" t="s">
        <v>178</v>
      </c>
      <c r="E413" s="401" t="s">
        <v>2294</v>
      </c>
      <c r="F413" s="5" t="s">
        <v>2295</v>
      </c>
      <c r="G413" s="401"/>
      <c r="H413" s="1093" t="s">
        <v>511</v>
      </c>
      <c r="I413" s="1216" t="s">
        <v>3109</v>
      </c>
      <c r="J413" s="403">
        <v>17</v>
      </c>
      <c r="K413" s="403">
        <v>180</v>
      </c>
      <c r="L413" s="1093" t="s">
        <v>367</v>
      </c>
      <c r="M413" s="401"/>
      <c r="O413" s="404" t="s">
        <v>35</v>
      </c>
      <c r="P413" s="404" t="s">
        <v>35</v>
      </c>
      <c r="Q413" s="404" t="s">
        <v>192</v>
      </c>
      <c r="R413" s="404" t="s">
        <v>192</v>
      </c>
      <c r="S413" s="404" t="s">
        <v>2794</v>
      </c>
      <c r="T413" s="404" t="s">
        <v>3208</v>
      </c>
      <c r="U413" s="941">
        <v>25</v>
      </c>
      <c r="V413" s="941">
        <v>163</v>
      </c>
      <c r="W413" s="941">
        <v>0</v>
      </c>
      <c r="X413" s="941">
        <v>0</v>
      </c>
      <c r="Y413" s="941">
        <v>2</v>
      </c>
      <c r="Z413" s="941">
        <v>2</v>
      </c>
      <c r="AA413" s="942">
        <v>16</v>
      </c>
      <c r="AB413" s="942">
        <v>96</v>
      </c>
      <c r="AC413" s="942">
        <v>0</v>
      </c>
      <c r="AD413" s="942">
        <v>0</v>
      </c>
      <c r="AE413" s="942">
        <v>0</v>
      </c>
      <c r="AF413" s="942">
        <v>0</v>
      </c>
      <c r="AG413" s="943">
        <f>comparaison_samebasis_villages[[#This Row],[previous idp_ind]]-comparaison_samebasis_villages[[#This Row],[actual idp_ind]]</f>
        <v>-67</v>
      </c>
      <c r="AH413" s="943">
        <f>comparaison_samebasis_villages[[#This Row],[previous ref_ind]]-comparaison_samebasis_villages[[#This Row],[actual ref_ind]]</f>
        <v>0</v>
      </c>
      <c r="AI413" s="943">
        <f>comparaison_samebasis_villages[[#This Row],[previous ret_ind]]-comparaison_samebasis_villages[[#This Row],[actual ret_ind]]</f>
        <v>-2</v>
      </c>
    </row>
    <row r="414" spans="1:35" ht="15.75" customHeight="1" x14ac:dyDescent="0.3">
      <c r="A414" s="401" t="s">
        <v>32</v>
      </c>
      <c r="B414" s="401" t="s">
        <v>32</v>
      </c>
      <c r="C414" s="401" t="s">
        <v>178</v>
      </c>
      <c r="D414" s="401" t="s">
        <v>178</v>
      </c>
      <c r="E414" s="401" t="s">
        <v>2294</v>
      </c>
      <c r="F414" s="5" t="s">
        <v>2295</v>
      </c>
      <c r="G414" s="401"/>
      <c r="H414" s="1093" t="s">
        <v>511</v>
      </c>
      <c r="I414" s="1216" t="s">
        <v>3110</v>
      </c>
      <c r="J414" s="403">
        <v>0</v>
      </c>
      <c r="K414" s="403">
        <v>10</v>
      </c>
      <c r="L414" s="1093" t="s">
        <v>383</v>
      </c>
      <c r="M414" s="401" t="s">
        <v>3367</v>
      </c>
      <c r="O414" s="404" t="s">
        <v>35</v>
      </c>
      <c r="P414" s="404" t="s">
        <v>35</v>
      </c>
      <c r="Q414" s="1145" t="s">
        <v>192</v>
      </c>
      <c r="R414" s="1145" t="s">
        <v>192</v>
      </c>
      <c r="S414" s="5" t="s">
        <v>2793</v>
      </c>
      <c r="T414" s="1185" t="s">
        <v>3227</v>
      </c>
      <c r="U414" s="941">
        <v>25</v>
      </c>
      <c r="V414" s="941">
        <v>139</v>
      </c>
      <c r="W414" s="941">
        <v>0</v>
      </c>
      <c r="X414" s="941">
        <v>0</v>
      </c>
      <c r="Y414" s="941">
        <v>0</v>
      </c>
      <c r="Z414" s="941">
        <v>0</v>
      </c>
      <c r="AA414" s="942">
        <v>25</v>
      </c>
      <c r="AB414" s="942">
        <v>136</v>
      </c>
      <c r="AC414" s="942">
        <v>0</v>
      </c>
      <c r="AD414" s="942">
        <v>0</v>
      </c>
      <c r="AE414" s="942">
        <v>0</v>
      </c>
      <c r="AF414" s="942">
        <v>0</v>
      </c>
      <c r="AG414" s="943">
        <f>comparaison_samebasis_villages[[#This Row],[previous idp_ind]]-comparaison_samebasis_villages[[#This Row],[actual idp_ind]]</f>
        <v>-3</v>
      </c>
      <c r="AH414" s="943">
        <f>comparaison_samebasis_villages[[#This Row],[previous ref_ind]]-comparaison_samebasis_villages[[#This Row],[actual ref_ind]]</f>
        <v>0</v>
      </c>
      <c r="AI414" s="943">
        <f>comparaison_samebasis_villages[[#This Row],[previous ret_ind]]-comparaison_samebasis_villages[[#This Row],[actual ret_ind]]</f>
        <v>0</v>
      </c>
    </row>
    <row r="415" spans="1:35" ht="15.75" customHeight="1" x14ac:dyDescent="0.3">
      <c r="A415" s="401" t="s">
        <v>32</v>
      </c>
      <c r="B415" s="401" t="s">
        <v>32</v>
      </c>
      <c r="C415" s="401" t="s">
        <v>178</v>
      </c>
      <c r="D415" s="401" t="s">
        <v>178</v>
      </c>
      <c r="E415" s="401" t="s">
        <v>2294</v>
      </c>
      <c r="F415" s="5" t="s">
        <v>2295</v>
      </c>
      <c r="G415" s="401"/>
      <c r="H415" s="1093" t="s">
        <v>511</v>
      </c>
      <c r="I415" s="1216" t="s">
        <v>3111</v>
      </c>
      <c r="J415" s="403">
        <v>0</v>
      </c>
      <c r="K415" s="403">
        <v>9</v>
      </c>
      <c r="L415" s="1093" t="s">
        <v>383</v>
      </c>
      <c r="M415" s="401" t="s">
        <v>3367</v>
      </c>
      <c r="O415" s="404" t="s">
        <v>31</v>
      </c>
      <c r="P415" s="404" t="s">
        <v>31</v>
      </c>
      <c r="Q415" s="404" t="s">
        <v>169</v>
      </c>
      <c r="R415" s="404" t="s">
        <v>169</v>
      </c>
      <c r="S415" s="404" t="s">
        <v>1134</v>
      </c>
      <c r="T415" s="404" t="s">
        <v>2905</v>
      </c>
      <c r="U415" s="941">
        <v>116</v>
      </c>
      <c r="V415" s="941">
        <v>778</v>
      </c>
      <c r="W415" s="941">
        <v>57</v>
      </c>
      <c r="X415" s="941">
        <v>349</v>
      </c>
      <c r="Y415" s="941">
        <v>0</v>
      </c>
      <c r="Z415" s="941">
        <v>0</v>
      </c>
      <c r="AA415" s="942">
        <v>116</v>
      </c>
      <c r="AB415" s="942">
        <v>778</v>
      </c>
      <c r="AC415" s="942">
        <v>57</v>
      </c>
      <c r="AD415" s="942">
        <v>349</v>
      </c>
      <c r="AE415" s="942">
        <v>0</v>
      </c>
      <c r="AF415" s="942">
        <v>0</v>
      </c>
      <c r="AG415" s="943">
        <f>comparaison_samebasis_villages[[#This Row],[previous idp_ind]]-comparaison_samebasis_villages[[#This Row],[actual idp_ind]]</f>
        <v>0</v>
      </c>
      <c r="AH415" s="943">
        <f>comparaison_samebasis_villages[[#This Row],[previous ref_ind]]-comparaison_samebasis_villages[[#This Row],[actual ref_ind]]</f>
        <v>0</v>
      </c>
      <c r="AI415" s="943">
        <f>comparaison_samebasis_villages[[#This Row],[previous ret_ind]]-comparaison_samebasis_villages[[#This Row],[actual ret_ind]]</f>
        <v>0</v>
      </c>
    </row>
    <row r="416" spans="1:35" ht="15.75" customHeight="1" x14ac:dyDescent="0.3">
      <c r="A416" s="401" t="s">
        <v>32</v>
      </c>
      <c r="B416" s="401" t="s">
        <v>32</v>
      </c>
      <c r="C416" s="1093" t="s">
        <v>178</v>
      </c>
      <c r="D416" s="1093" t="s">
        <v>178</v>
      </c>
      <c r="E416" s="401" t="s">
        <v>2294</v>
      </c>
      <c r="F416" s="5" t="s">
        <v>2295</v>
      </c>
      <c r="G416" s="401"/>
      <c r="H416" s="1093" t="s">
        <v>511</v>
      </c>
      <c r="I416" s="1216" t="s">
        <v>3112</v>
      </c>
      <c r="J416" s="403">
        <v>2</v>
      </c>
      <c r="K416" s="403">
        <v>11</v>
      </c>
      <c r="L416" s="1093" t="s">
        <v>367</v>
      </c>
      <c r="M416" s="401"/>
      <c r="O416" s="404" t="s">
        <v>31</v>
      </c>
      <c r="P416" s="404" t="s">
        <v>31</v>
      </c>
      <c r="Q416" s="404" t="s">
        <v>169</v>
      </c>
      <c r="R416" s="404" t="s">
        <v>169</v>
      </c>
      <c r="S416" s="404" t="s">
        <v>1451</v>
      </c>
      <c r="T416" s="404" t="s">
        <v>1133</v>
      </c>
      <c r="U416" s="941">
        <v>18</v>
      </c>
      <c r="V416" s="941">
        <v>100</v>
      </c>
      <c r="W416" s="941">
        <v>0</v>
      </c>
      <c r="X416" s="941">
        <v>0</v>
      </c>
      <c r="Y416" s="941">
        <v>0</v>
      </c>
      <c r="Z416" s="941">
        <v>0</v>
      </c>
      <c r="AA416" s="942">
        <v>18</v>
      </c>
      <c r="AB416" s="942">
        <v>100</v>
      </c>
      <c r="AC416" s="942">
        <v>0</v>
      </c>
      <c r="AD416" s="942">
        <v>0</v>
      </c>
      <c r="AE416" s="942">
        <v>0</v>
      </c>
      <c r="AF416" s="942">
        <v>0</v>
      </c>
      <c r="AG416" s="943">
        <f>comparaison_samebasis_villages[[#This Row],[previous idp_ind]]-comparaison_samebasis_villages[[#This Row],[actual idp_ind]]</f>
        <v>0</v>
      </c>
      <c r="AH416" s="943">
        <f>comparaison_samebasis_villages[[#This Row],[previous ref_ind]]-comparaison_samebasis_villages[[#This Row],[actual ref_ind]]</f>
        <v>0</v>
      </c>
      <c r="AI416" s="943">
        <f>comparaison_samebasis_villages[[#This Row],[previous ret_ind]]-comparaison_samebasis_villages[[#This Row],[actual ret_ind]]</f>
        <v>0</v>
      </c>
    </row>
    <row r="417" spans="1:35" ht="15.75" customHeight="1" x14ac:dyDescent="0.3">
      <c r="A417" s="401" t="s">
        <v>32</v>
      </c>
      <c r="B417" s="401" t="s">
        <v>32</v>
      </c>
      <c r="C417" s="401" t="s">
        <v>178</v>
      </c>
      <c r="D417" s="401" t="s">
        <v>178</v>
      </c>
      <c r="E417" s="401" t="s">
        <v>3224</v>
      </c>
      <c r="F417" s="5" t="s">
        <v>2779</v>
      </c>
      <c r="G417" s="401"/>
      <c r="H417" s="1093" t="s">
        <v>511</v>
      </c>
      <c r="I417" s="1216" t="s">
        <v>3111</v>
      </c>
      <c r="J417" s="403">
        <v>13</v>
      </c>
      <c r="K417" s="403">
        <v>80</v>
      </c>
      <c r="L417" s="1093" t="s">
        <v>367</v>
      </c>
      <c r="M417" s="401"/>
      <c r="O417" s="404" t="s">
        <v>31</v>
      </c>
      <c r="P417" s="404" t="s">
        <v>31</v>
      </c>
      <c r="Q417" s="1145" t="s">
        <v>169</v>
      </c>
      <c r="R417" s="1145" t="s">
        <v>169</v>
      </c>
      <c r="S417" s="404" t="s">
        <v>1648</v>
      </c>
      <c r="T417" s="404" t="s">
        <v>1450</v>
      </c>
      <c r="U417" s="941">
        <v>210</v>
      </c>
      <c r="V417" s="941">
        <v>1087</v>
      </c>
      <c r="W417" s="941">
        <v>0</v>
      </c>
      <c r="X417" s="941">
        <v>0</v>
      </c>
      <c r="Y417" s="941">
        <v>0</v>
      </c>
      <c r="Z417" s="941">
        <v>0</v>
      </c>
      <c r="AA417" s="942">
        <v>206</v>
      </c>
      <c r="AB417" s="942">
        <v>1061</v>
      </c>
      <c r="AC417" s="942">
        <v>0</v>
      </c>
      <c r="AD417" s="942">
        <v>0</v>
      </c>
      <c r="AE417" s="942">
        <v>0</v>
      </c>
      <c r="AF417" s="942">
        <v>0</v>
      </c>
      <c r="AG417" s="943">
        <f>comparaison_samebasis_villages[[#This Row],[previous idp_ind]]-comparaison_samebasis_villages[[#This Row],[actual idp_ind]]</f>
        <v>-26</v>
      </c>
      <c r="AH417" s="943">
        <f>comparaison_samebasis_villages[[#This Row],[previous ref_ind]]-comparaison_samebasis_villages[[#This Row],[actual ref_ind]]</f>
        <v>0</v>
      </c>
      <c r="AI417" s="943">
        <f>comparaison_samebasis_villages[[#This Row],[previous ret_ind]]-comparaison_samebasis_villages[[#This Row],[actual ret_ind]]</f>
        <v>0</v>
      </c>
    </row>
    <row r="418" spans="1:35" ht="15.75" customHeight="1" x14ac:dyDescent="0.3">
      <c r="A418" s="401" t="s">
        <v>32</v>
      </c>
      <c r="B418" s="401" t="s">
        <v>32</v>
      </c>
      <c r="C418" s="401" t="s">
        <v>178</v>
      </c>
      <c r="D418" s="401" t="s">
        <v>178</v>
      </c>
      <c r="E418" s="401" t="s">
        <v>3224</v>
      </c>
      <c r="F418" s="5" t="s">
        <v>2779</v>
      </c>
      <c r="G418" s="401"/>
      <c r="H418" s="1093" t="s">
        <v>511</v>
      </c>
      <c r="I418" s="1216" t="s">
        <v>3112</v>
      </c>
      <c r="J418" s="403">
        <v>0</v>
      </c>
      <c r="K418" s="403">
        <v>3</v>
      </c>
      <c r="L418" s="1093" t="s">
        <v>367</v>
      </c>
      <c r="M418" s="401"/>
      <c r="O418" s="404" t="s">
        <v>31</v>
      </c>
      <c r="P418" s="404" t="s">
        <v>31</v>
      </c>
      <c r="Q418" s="404" t="s">
        <v>169</v>
      </c>
      <c r="R418" s="404" t="s">
        <v>169</v>
      </c>
      <c r="S418" s="404" t="s">
        <v>676</v>
      </c>
      <c r="T418" s="404" t="s">
        <v>1647</v>
      </c>
      <c r="U418" s="941">
        <v>100</v>
      </c>
      <c r="V418" s="941">
        <v>724</v>
      </c>
      <c r="W418" s="941">
        <v>0</v>
      </c>
      <c r="X418" s="941">
        <v>0</v>
      </c>
      <c r="Y418" s="941">
        <v>51</v>
      </c>
      <c r="Z418" s="941">
        <v>51</v>
      </c>
      <c r="AA418" s="942">
        <v>100</v>
      </c>
      <c r="AB418" s="942">
        <v>712</v>
      </c>
      <c r="AC418" s="942">
        <v>0</v>
      </c>
      <c r="AD418" s="942">
        <v>0</v>
      </c>
      <c r="AE418" s="942">
        <v>51</v>
      </c>
      <c r="AF418" s="942">
        <v>249</v>
      </c>
      <c r="AG418" s="943">
        <f>comparaison_samebasis_villages[[#This Row],[previous idp_ind]]-comparaison_samebasis_villages[[#This Row],[actual idp_ind]]</f>
        <v>-12</v>
      </c>
      <c r="AH418" s="943">
        <f>comparaison_samebasis_villages[[#This Row],[previous ref_ind]]-comparaison_samebasis_villages[[#This Row],[actual ref_ind]]</f>
        <v>0</v>
      </c>
      <c r="AI418" s="943">
        <f>comparaison_samebasis_villages[[#This Row],[previous ret_ind]]-comparaison_samebasis_villages[[#This Row],[actual ret_ind]]</f>
        <v>198</v>
      </c>
    </row>
    <row r="419" spans="1:35" ht="15.75" customHeight="1" x14ac:dyDescent="0.3">
      <c r="A419" s="401" t="s">
        <v>32</v>
      </c>
      <c r="B419" s="401" t="s">
        <v>32</v>
      </c>
      <c r="C419" s="401" t="s">
        <v>178</v>
      </c>
      <c r="D419" s="401" t="s">
        <v>178</v>
      </c>
      <c r="E419" s="401" t="s">
        <v>3197</v>
      </c>
      <c r="F419" s="5" t="s">
        <v>2784</v>
      </c>
      <c r="G419" s="401"/>
      <c r="H419" s="1093" t="s">
        <v>511</v>
      </c>
      <c r="I419" s="1216" t="s">
        <v>3111</v>
      </c>
      <c r="J419" s="403">
        <v>38</v>
      </c>
      <c r="K419" s="403">
        <v>200</v>
      </c>
      <c r="L419" s="1093" t="s">
        <v>365</v>
      </c>
      <c r="M419" s="401"/>
      <c r="O419" s="404" t="s">
        <v>31</v>
      </c>
      <c r="P419" s="404" t="s">
        <v>31</v>
      </c>
      <c r="Q419" s="404" t="s">
        <v>169</v>
      </c>
      <c r="R419" s="404" t="s">
        <v>169</v>
      </c>
      <c r="S419" s="404" t="s">
        <v>1732</v>
      </c>
      <c r="T419" s="404" t="s">
        <v>2832</v>
      </c>
      <c r="U419" s="941">
        <v>53</v>
      </c>
      <c r="V419" s="941">
        <v>228</v>
      </c>
      <c r="W419" s="941">
        <v>0</v>
      </c>
      <c r="X419" s="941">
        <v>0</v>
      </c>
      <c r="Y419" s="941">
        <v>0</v>
      </c>
      <c r="Z419" s="941">
        <v>0</v>
      </c>
      <c r="AA419" s="942">
        <v>53</v>
      </c>
      <c r="AB419" s="942">
        <v>228</v>
      </c>
      <c r="AC419" s="942">
        <v>0</v>
      </c>
      <c r="AD419" s="942">
        <v>0</v>
      </c>
      <c r="AE419" s="942">
        <v>0</v>
      </c>
      <c r="AF419" s="942">
        <v>0</v>
      </c>
      <c r="AG419" s="943">
        <f>comparaison_samebasis_villages[[#This Row],[previous idp_ind]]-comparaison_samebasis_villages[[#This Row],[actual idp_ind]]</f>
        <v>0</v>
      </c>
      <c r="AH419" s="943">
        <f>comparaison_samebasis_villages[[#This Row],[previous ref_ind]]-comparaison_samebasis_villages[[#This Row],[actual ref_ind]]</f>
        <v>0</v>
      </c>
      <c r="AI419" s="943">
        <f>comparaison_samebasis_villages[[#This Row],[previous ret_ind]]-comparaison_samebasis_villages[[#This Row],[actual ret_ind]]</f>
        <v>0</v>
      </c>
    </row>
    <row r="420" spans="1:35" ht="15.75" customHeight="1" x14ac:dyDescent="0.3">
      <c r="A420" s="401" t="s">
        <v>32</v>
      </c>
      <c r="B420" s="401" t="s">
        <v>32</v>
      </c>
      <c r="C420" s="401" t="s">
        <v>178</v>
      </c>
      <c r="D420" s="401" t="s">
        <v>178</v>
      </c>
      <c r="E420" s="401" t="s">
        <v>3197</v>
      </c>
      <c r="F420" s="5" t="s">
        <v>2784</v>
      </c>
      <c r="G420" s="401"/>
      <c r="H420" s="1093" t="s">
        <v>511</v>
      </c>
      <c r="I420" s="1216" t="s">
        <v>3112</v>
      </c>
      <c r="J420" s="403">
        <v>7</v>
      </c>
      <c r="K420" s="403">
        <v>40</v>
      </c>
      <c r="L420" s="1093" t="s">
        <v>365</v>
      </c>
      <c r="M420" s="401"/>
      <c r="O420" s="404" t="s">
        <v>31</v>
      </c>
      <c r="P420" s="404" t="s">
        <v>31</v>
      </c>
      <c r="Q420" s="404" t="s">
        <v>169</v>
      </c>
      <c r="R420" s="404" t="s">
        <v>169</v>
      </c>
      <c r="S420" s="404" t="s">
        <v>1132</v>
      </c>
      <c r="T420" s="404" t="s">
        <v>2868</v>
      </c>
      <c r="U420" s="941">
        <v>65</v>
      </c>
      <c r="V420" s="941">
        <v>276</v>
      </c>
      <c r="W420" s="941">
        <v>0</v>
      </c>
      <c r="X420" s="941">
        <v>0</v>
      </c>
      <c r="Y420" s="941">
        <v>0</v>
      </c>
      <c r="Z420" s="941">
        <v>0</v>
      </c>
      <c r="AA420" s="942">
        <v>65</v>
      </c>
      <c r="AB420" s="942">
        <v>276</v>
      </c>
      <c r="AC420" s="942">
        <v>0</v>
      </c>
      <c r="AD420" s="942">
        <v>0</v>
      </c>
      <c r="AE420" s="942">
        <v>0</v>
      </c>
      <c r="AF420" s="942">
        <v>0</v>
      </c>
      <c r="AG420" s="943">
        <f>comparaison_samebasis_villages[[#This Row],[previous idp_ind]]-comparaison_samebasis_villages[[#This Row],[actual idp_ind]]</f>
        <v>0</v>
      </c>
      <c r="AH420" s="943">
        <f>comparaison_samebasis_villages[[#This Row],[previous ref_ind]]-comparaison_samebasis_villages[[#This Row],[actual ref_ind]]</f>
        <v>0</v>
      </c>
      <c r="AI420" s="943">
        <f>comparaison_samebasis_villages[[#This Row],[previous ret_ind]]-comparaison_samebasis_villages[[#This Row],[actual ret_ind]]</f>
        <v>0</v>
      </c>
    </row>
    <row r="421" spans="1:35" ht="15.75" customHeight="1" x14ac:dyDescent="0.3">
      <c r="A421" s="401" t="s">
        <v>31</v>
      </c>
      <c r="B421" s="401" t="s">
        <v>31</v>
      </c>
      <c r="C421" s="401" t="s">
        <v>171</v>
      </c>
      <c r="D421" s="401" t="s">
        <v>171</v>
      </c>
      <c r="E421" s="401" t="s">
        <v>934</v>
      </c>
      <c r="F421" s="5" t="s">
        <v>2064</v>
      </c>
      <c r="G421" s="401"/>
      <c r="H421" s="1093" t="s">
        <v>511</v>
      </c>
      <c r="I421" s="1216" t="s">
        <v>3109</v>
      </c>
      <c r="J421" s="403">
        <v>15</v>
      </c>
      <c r="K421" s="403">
        <v>85</v>
      </c>
      <c r="L421" s="1093" t="s">
        <v>367</v>
      </c>
      <c r="M421" s="401"/>
      <c r="O421" s="404" t="s">
        <v>31</v>
      </c>
      <c r="P421" s="404" t="s">
        <v>31</v>
      </c>
      <c r="Q421" s="404" t="s">
        <v>169</v>
      </c>
      <c r="R421" s="404" t="s">
        <v>169</v>
      </c>
      <c r="S421" s="404" t="s">
        <v>1269</v>
      </c>
      <c r="T421" s="404" t="s">
        <v>675</v>
      </c>
      <c r="U421" s="941">
        <v>39</v>
      </c>
      <c r="V421" s="941">
        <v>307</v>
      </c>
      <c r="W421" s="941">
        <v>0</v>
      </c>
      <c r="X421" s="941">
        <v>0</v>
      </c>
      <c r="Y421" s="941">
        <v>0</v>
      </c>
      <c r="Z421" s="941">
        <v>0</v>
      </c>
      <c r="AA421" s="942">
        <v>35</v>
      </c>
      <c r="AB421" s="942">
        <v>277</v>
      </c>
      <c r="AC421" s="942">
        <v>0</v>
      </c>
      <c r="AD421" s="942">
        <v>0</v>
      </c>
      <c r="AE421" s="942">
        <v>0</v>
      </c>
      <c r="AF421" s="942">
        <v>0</v>
      </c>
      <c r="AG421" s="943">
        <f>comparaison_samebasis_villages[[#This Row],[previous idp_ind]]-comparaison_samebasis_villages[[#This Row],[actual idp_ind]]</f>
        <v>-30</v>
      </c>
      <c r="AH421" s="943">
        <f>comparaison_samebasis_villages[[#This Row],[previous ref_ind]]-comparaison_samebasis_villages[[#This Row],[actual ref_ind]]</f>
        <v>0</v>
      </c>
      <c r="AI421" s="943">
        <f>comparaison_samebasis_villages[[#This Row],[previous ret_ind]]-comparaison_samebasis_villages[[#This Row],[actual ret_ind]]</f>
        <v>0</v>
      </c>
    </row>
    <row r="422" spans="1:35" ht="15.75" customHeight="1" x14ac:dyDescent="0.3">
      <c r="A422" s="401" t="s">
        <v>31</v>
      </c>
      <c r="B422" s="401" t="s">
        <v>31</v>
      </c>
      <c r="C422" s="401" t="s">
        <v>171</v>
      </c>
      <c r="D422" s="401" t="s">
        <v>171</v>
      </c>
      <c r="E422" s="401" t="s">
        <v>934</v>
      </c>
      <c r="F422" s="5" t="s">
        <v>2064</v>
      </c>
      <c r="G422" s="401"/>
      <c r="H422" s="1093" t="s">
        <v>511</v>
      </c>
      <c r="I422" s="1216" t="s">
        <v>3112</v>
      </c>
      <c r="J422" s="403">
        <v>5</v>
      </c>
      <c r="K422" s="403">
        <v>17</v>
      </c>
      <c r="L422" s="1093" t="s">
        <v>367</v>
      </c>
      <c r="M422" s="401"/>
      <c r="O422" s="404" t="s">
        <v>31</v>
      </c>
      <c r="P422" s="404" t="s">
        <v>31</v>
      </c>
      <c r="Q422" s="404" t="s">
        <v>169</v>
      </c>
      <c r="R422" s="404" t="s">
        <v>169</v>
      </c>
      <c r="S422" s="404" t="s">
        <v>2567</v>
      </c>
      <c r="T422" s="404" t="s">
        <v>3001</v>
      </c>
      <c r="U422" s="941">
        <v>0</v>
      </c>
      <c r="V422" s="941">
        <v>0</v>
      </c>
      <c r="W422" s="941">
        <v>0</v>
      </c>
      <c r="X422" s="941">
        <v>0</v>
      </c>
      <c r="Y422" s="941">
        <v>0</v>
      </c>
      <c r="Z422" s="941">
        <v>0</v>
      </c>
      <c r="AA422" s="942">
        <v>0</v>
      </c>
      <c r="AB422" s="942">
        <v>0</v>
      </c>
      <c r="AC422" s="942">
        <v>0</v>
      </c>
      <c r="AD422" s="942">
        <v>0</v>
      </c>
      <c r="AE422" s="942">
        <v>0</v>
      </c>
      <c r="AF422" s="942">
        <v>0</v>
      </c>
      <c r="AG422" s="943">
        <f>comparaison_samebasis_villages[[#This Row],[previous idp_ind]]-comparaison_samebasis_villages[[#This Row],[actual idp_ind]]</f>
        <v>0</v>
      </c>
      <c r="AH422" s="943">
        <f>comparaison_samebasis_villages[[#This Row],[previous ref_ind]]-comparaison_samebasis_villages[[#This Row],[actual ref_ind]]</f>
        <v>0</v>
      </c>
      <c r="AI422" s="943">
        <f>comparaison_samebasis_villages[[#This Row],[previous ret_ind]]-comparaison_samebasis_villages[[#This Row],[actual ret_ind]]</f>
        <v>0</v>
      </c>
    </row>
    <row r="423" spans="1:35" ht="15.75" customHeight="1" x14ac:dyDescent="0.3">
      <c r="A423" s="401" t="s">
        <v>32</v>
      </c>
      <c r="B423" s="401" t="s">
        <v>32</v>
      </c>
      <c r="C423" s="401" t="s">
        <v>178</v>
      </c>
      <c r="D423" s="401" t="s">
        <v>178</v>
      </c>
      <c r="E423" s="401" t="s">
        <v>3230</v>
      </c>
      <c r="F423" s="5" t="s">
        <v>2790</v>
      </c>
      <c r="G423" s="401"/>
      <c r="H423" s="1093" t="s">
        <v>511</v>
      </c>
      <c r="I423" s="1216" t="s">
        <v>3111</v>
      </c>
      <c r="J423" s="403">
        <v>5</v>
      </c>
      <c r="K423" s="403">
        <v>40</v>
      </c>
      <c r="L423" s="1093" t="s">
        <v>365</v>
      </c>
      <c r="M423" s="401"/>
      <c r="O423" s="404" t="s">
        <v>31</v>
      </c>
      <c r="P423" s="404" t="s">
        <v>31</v>
      </c>
      <c r="Q423" s="404" t="s">
        <v>169</v>
      </c>
      <c r="R423" s="404" t="s">
        <v>169</v>
      </c>
      <c r="S423" s="404" t="s">
        <v>1734</v>
      </c>
      <c r="T423" s="404" t="s">
        <v>1731</v>
      </c>
      <c r="U423" s="941">
        <v>15</v>
      </c>
      <c r="V423" s="941">
        <v>82</v>
      </c>
      <c r="W423" s="941">
        <v>6</v>
      </c>
      <c r="X423" s="941">
        <v>42</v>
      </c>
      <c r="Y423" s="941">
        <v>0</v>
      </c>
      <c r="Z423" s="941">
        <v>0</v>
      </c>
      <c r="AA423" s="942">
        <v>19</v>
      </c>
      <c r="AB423" s="942">
        <v>108</v>
      </c>
      <c r="AC423" s="942">
        <v>6</v>
      </c>
      <c r="AD423" s="942">
        <v>42</v>
      </c>
      <c r="AE423" s="942">
        <v>0</v>
      </c>
      <c r="AF423" s="942">
        <v>0</v>
      </c>
      <c r="AG423" s="943">
        <f>comparaison_samebasis_villages[[#This Row],[previous idp_ind]]-comparaison_samebasis_villages[[#This Row],[actual idp_ind]]</f>
        <v>26</v>
      </c>
      <c r="AH423" s="943">
        <f>comparaison_samebasis_villages[[#This Row],[previous ref_ind]]-comparaison_samebasis_villages[[#This Row],[actual ref_ind]]</f>
        <v>0</v>
      </c>
      <c r="AI423" s="943">
        <f>comparaison_samebasis_villages[[#This Row],[previous ret_ind]]-comparaison_samebasis_villages[[#This Row],[actual ret_ind]]</f>
        <v>0</v>
      </c>
    </row>
    <row r="424" spans="1:35" ht="15.75" customHeight="1" x14ac:dyDescent="0.3">
      <c r="A424" s="401" t="s">
        <v>32</v>
      </c>
      <c r="B424" s="401" t="s">
        <v>32</v>
      </c>
      <c r="C424" s="401" t="s">
        <v>178</v>
      </c>
      <c r="D424" s="401" t="s">
        <v>178</v>
      </c>
      <c r="E424" s="401" t="s">
        <v>3230</v>
      </c>
      <c r="F424" s="5" t="s">
        <v>2790</v>
      </c>
      <c r="G424" s="401"/>
      <c r="H424" s="1093" t="s">
        <v>511</v>
      </c>
      <c r="I424" s="1216" t="s">
        <v>3112</v>
      </c>
      <c r="J424" s="403">
        <v>27</v>
      </c>
      <c r="K424" s="403">
        <v>175</v>
      </c>
      <c r="L424" s="1093" t="s">
        <v>365</v>
      </c>
      <c r="M424" s="401"/>
      <c r="O424" s="404" t="s">
        <v>31</v>
      </c>
      <c r="P424" s="404" t="s">
        <v>31</v>
      </c>
      <c r="Q424" s="404" t="s">
        <v>169</v>
      </c>
      <c r="R424" s="404" t="s">
        <v>169</v>
      </c>
      <c r="S424" s="404" t="s">
        <v>1565</v>
      </c>
      <c r="T424" s="404" t="s">
        <v>2885</v>
      </c>
      <c r="U424" s="941">
        <v>0</v>
      </c>
      <c r="V424" s="941">
        <v>0</v>
      </c>
      <c r="W424" s="941">
        <v>0</v>
      </c>
      <c r="X424" s="941">
        <v>0</v>
      </c>
      <c r="Y424" s="941">
        <v>0</v>
      </c>
      <c r="Z424" s="941">
        <v>0</v>
      </c>
      <c r="AA424" s="942">
        <v>58</v>
      </c>
      <c r="AB424" s="942">
        <v>327</v>
      </c>
      <c r="AC424" s="942">
        <v>9</v>
      </c>
      <c r="AD424" s="942">
        <v>72</v>
      </c>
      <c r="AE424" s="942">
        <v>0</v>
      </c>
      <c r="AF424" s="942">
        <v>0</v>
      </c>
      <c r="AG424" s="943">
        <f>comparaison_samebasis_villages[[#This Row],[previous idp_ind]]-comparaison_samebasis_villages[[#This Row],[actual idp_ind]]</f>
        <v>327</v>
      </c>
      <c r="AH424" s="943">
        <f>comparaison_samebasis_villages[[#This Row],[previous ref_ind]]-comparaison_samebasis_villages[[#This Row],[actual ref_ind]]</f>
        <v>72</v>
      </c>
      <c r="AI424" s="943">
        <f>comparaison_samebasis_villages[[#This Row],[previous ret_ind]]-comparaison_samebasis_villages[[#This Row],[actual ret_ind]]</f>
        <v>0</v>
      </c>
    </row>
    <row r="425" spans="1:35" ht="15.75" customHeight="1" x14ac:dyDescent="0.3">
      <c r="A425" s="401" t="s">
        <v>31</v>
      </c>
      <c r="B425" s="401" t="s">
        <v>31</v>
      </c>
      <c r="C425" s="401" t="s">
        <v>2797</v>
      </c>
      <c r="D425" s="401" t="s">
        <v>3898</v>
      </c>
      <c r="E425" s="401" t="s">
        <v>2538</v>
      </c>
      <c r="F425" s="5" t="s">
        <v>1485</v>
      </c>
      <c r="G425" s="401"/>
      <c r="H425" s="1093" t="s">
        <v>511</v>
      </c>
      <c r="I425" s="1216" t="s">
        <v>3033</v>
      </c>
      <c r="J425" s="403">
        <v>90</v>
      </c>
      <c r="K425" s="403">
        <v>472</v>
      </c>
      <c r="L425" s="1093" t="s">
        <v>365</v>
      </c>
      <c r="M425" s="401"/>
      <c r="O425" s="404" t="s">
        <v>31</v>
      </c>
      <c r="P425" s="404" t="s">
        <v>31</v>
      </c>
      <c r="Q425" s="404" t="s">
        <v>169</v>
      </c>
      <c r="R425" s="404" t="s">
        <v>169</v>
      </c>
      <c r="S425" s="404" t="s">
        <v>1475</v>
      </c>
      <c r="T425" s="404" t="s">
        <v>1131</v>
      </c>
      <c r="U425" s="941">
        <v>18</v>
      </c>
      <c r="V425" s="941">
        <v>138</v>
      </c>
      <c r="W425" s="941">
        <v>0</v>
      </c>
      <c r="X425" s="941">
        <v>0</v>
      </c>
      <c r="Y425" s="941">
        <v>0</v>
      </c>
      <c r="Z425" s="941">
        <v>0</v>
      </c>
      <c r="AA425" s="942">
        <v>18</v>
      </c>
      <c r="AB425" s="942">
        <v>138</v>
      </c>
      <c r="AC425" s="942">
        <v>0</v>
      </c>
      <c r="AD425" s="942">
        <v>0</v>
      </c>
      <c r="AE425" s="942">
        <v>0</v>
      </c>
      <c r="AF425" s="942">
        <v>0</v>
      </c>
      <c r="AG425" s="943">
        <f>comparaison_samebasis_villages[[#This Row],[previous idp_ind]]-comparaison_samebasis_villages[[#This Row],[actual idp_ind]]</f>
        <v>0</v>
      </c>
      <c r="AH425" s="943">
        <f>comparaison_samebasis_villages[[#This Row],[previous ref_ind]]-comparaison_samebasis_villages[[#This Row],[actual ref_ind]]</f>
        <v>0</v>
      </c>
      <c r="AI425" s="943">
        <f>comparaison_samebasis_villages[[#This Row],[previous ret_ind]]-comparaison_samebasis_villages[[#This Row],[actual ret_ind]]</f>
        <v>0</v>
      </c>
    </row>
    <row r="426" spans="1:35" ht="15.75" customHeight="1" x14ac:dyDescent="0.3">
      <c r="A426" s="401" t="s">
        <v>35</v>
      </c>
      <c r="B426" s="401" t="s">
        <v>35</v>
      </c>
      <c r="C426" s="401" t="s">
        <v>193</v>
      </c>
      <c r="D426" s="401" t="s">
        <v>3983</v>
      </c>
      <c r="E426" s="401" t="s">
        <v>2965</v>
      </c>
      <c r="F426" s="401" t="s">
        <v>3295</v>
      </c>
      <c r="G426" s="401"/>
      <c r="H426" s="1093" t="s">
        <v>511</v>
      </c>
      <c r="I426" s="1216" t="s">
        <v>3112</v>
      </c>
      <c r="J426" s="403">
        <v>6</v>
      </c>
      <c r="K426" s="403">
        <v>27</v>
      </c>
      <c r="L426" s="1093" t="s">
        <v>369</v>
      </c>
      <c r="M426" s="401"/>
      <c r="O426" s="404" t="s">
        <v>31</v>
      </c>
      <c r="P426" s="404" t="s">
        <v>31</v>
      </c>
      <c r="Q426" s="404" t="s">
        <v>169</v>
      </c>
      <c r="R426" s="404" t="s">
        <v>169</v>
      </c>
      <c r="S426" s="404" t="s">
        <v>815</v>
      </c>
      <c r="T426" s="404" t="s">
        <v>2967</v>
      </c>
      <c r="U426" s="941">
        <v>7</v>
      </c>
      <c r="V426" s="941">
        <v>72</v>
      </c>
      <c r="W426" s="941">
        <v>0</v>
      </c>
      <c r="X426" s="941">
        <v>0</v>
      </c>
      <c r="Y426" s="941">
        <v>0</v>
      </c>
      <c r="Z426" s="941">
        <v>0</v>
      </c>
      <c r="AA426" s="942">
        <v>7</v>
      </c>
      <c r="AB426" s="942">
        <v>72</v>
      </c>
      <c r="AC426" s="942">
        <v>0</v>
      </c>
      <c r="AD426" s="942">
        <v>0</v>
      </c>
      <c r="AE426" s="942">
        <v>0</v>
      </c>
      <c r="AF426" s="942">
        <v>0</v>
      </c>
      <c r="AG426" s="943">
        <f>comparaison_samebasis_villages[[#This Row],[previous idp_ind]]-comparaison_samebasis_villages[[#This Row],[actual idp_ind]]</f>
        <v>0</v>
      </c>
      <c r="AH426" s="943">
        <f>comparaison_samebasis_villages[[#This Row],[previous ref_ind]]-comparaison_samebasis_villages[[#This Row],[actual ref_ind]]</f>
        <v>0</v>
      </c>
      <c r="AI426" s="943">
        <f>comparaison_samebasis_villages[[#This Row],[previous ret_ind]]-comparaison_samebasis_villages[[#This Row],[actual ret_ind]]</f>
        <v>0</v>
      </c>
    </row>
    <row r="427" spans="1:35" ht="15.75" customHeight="1" x14ac:dyDescent="0.3">
      <c r="A427" s="401" t="s">
        <v>35</v>
      </c>
      <c r="B427" s="401" t="s">
        <v>35</v>
      </c>
      <c r="C427" s="401" t="s">
        <v>193</v>
      </c>
      <c r="D427" s="401" t="s">
        <v>3983</v>
      </c>
      <c r="E427" s="401" t="s">
        <v>1630</v>
      </c>
      <c r="F427" s="5" t="s">
        <v>1631</v>
      </c>
      <c r="G427" s="401"/>
      <c r="H427" s="1093" t="s">
        <v>511</v>
      </c>
      <c r="I427" s="1216" t="s">
        <v>3033</v>
      </c>
      <c r="J427" s="403">
        <v>13</v>
      </c>
      <c r="K427" s="403">
        <v>68</v>
      </c>
      <c r="L427" s="1093" t="s">
        <v>365</v>
      </c>
      <c r="M427" s="401"/>
      <c r="O427" s="404" t="s">
        <v>31</v>
      </c>
      <c r="P427" s="404" t="s">
        <v>31</v>
      </c>
      <c r="Q427" s="404" t="s">
        <v>169</v>
      </c>
      <c r="R427" s="404" t="s">
        <v>169</v>
      </c>
      <c r="S427" s="404" t="s">
        <v>1094</v>
      </c>
      <c r="T427" s="404" t="s">
        <v>2968</v>
      </c>
      <c r="U427" s="941">
        <v>14</v>
      </c>
      <c r="V427" s="941">
        <v>85</v>
      </c>
      <c r="W427" s="941">
        <v>44</v>
      </c>
      <c r="X427" s="941">
        <v>244</v>
      </c>
      <c r="Y427" s="941">
        <v>0</v>
      </c>
      <c r="Z427" s="941">
        <v>0</v>
      </c>
      <c r="AA427" s="942">
        <v>11</v>
      </c>
      <c r="AB427" s="942">
        <v>73</v>
      </c>
      <c r="AC427" s="942">
        <v>44</v>
      </c>
      <c r="AD427" s="942">
        <v>244</v>
      </c>
      <c r="AE427" s="942">
        <v>0</v>
      </c>
      <c r="AF427" s="942">
        <v>0</v>
      </c>
      <c r="AG427" s="943">
        <f>comparaison_samebasis_villages[[#This Row],[previous idp_ind]]-comparaison_samebasis_villages[[#This Row],[actual idp_ind]]</f>
        <v>-12</v>
      </c>
      <c r="AH427" s="943">
        <f>comparaison_samebasis_villages[[#This Row],[previous ref_ind]]-comparaison_samebasis_villages[[#This Row],[actual ref_ind]]</f>
        <v>0</v>
      </c>
      <c r="AI427" s="943">
        <f>comparaison_samebasis_villages[[#This Row],[previous ret_ind]]-comparaison_samebasis_villages[[#This Row],[actual ret_ind]]</f>
        <v>0</v>
      </c>
    </row>
    <row r="428" spans="1:35" ht="15.75" customHeight="1" x14ac:dyDescent="0.3">
      <c r="A428" s="401" t="s">
        <v>35</v>
      </c>
      <c r="B428" s="401" t="s">
        <v>35</v>
      </c>
      <c r="C428" s="401" t="s">
        <v>193</v>
      </c>
      <c r="D428" s="401" t="s">
        <v>3983</v>
      </c>
      <c r="E428" s="401" t="s">
        <v>3030</v>
      </c>
      <c r="F428" s="5" t="s">
        <v>3092</v>
      </c>
      <c r="G428" s="401"/>
      <c r="H428" s="1093" t="s">
        <v>511</v>
      </c>
      <c r="I428" s="1216" t="s">
        <v>3033</v>
      </c>
      <c r="J428" s="403">
        <v>32</v>
      </c>
      <c r="K428" s="403">
        <v>161</v>
      </c>
      <c r="L428" s="1093" t="s">
        <v>365</v>
      </c>
      <c r="M428" s="401"/>
      <c r="O428" s="404" t="s">
        <v>31</v>
      </c>
      <c r="P428" s="404" t="s">
        <v>31</v>
      </c>
      <c r="Q428" s="404" t="s">
        <v>169</v>
      </c>
      <c r="R428" s="404" t="s">
        <v>169</v>
      </c>
      <c r="S428" s="404" t="s">
        <v>817</v>
      </c>
      <c r="T428" s="404" t="s">
        <v>1268</v>
      </c>
      <c r="U428" s="941">
        <v>31</v>
      </c>
      <c r="V428" s="941">
        <v>207</v>
      </c>
      <c r="W428" s="941">
        <v>0</v>
      </c>
      <c r="X428" s="941">
        <v>0</v>
      </c>
      <c r="Y428" s="941">
        <v>0</v>
      </c>
      <c r="Z428" s="941">
        <v>0</v>
      </c>
      <c r="AA428" s="942">
        <v>31</v>
      </c>
      <c r="AB428" s="942">
        <v>207</v>
      </c>
      <c r="AC428" s="942">
        <v>0</v>
      </c>
      <c r="AD428" s="942">
        <v>0</v>
      </c>
      <c r="AE428" s="942">
        <v>0</v>
      </c>
      <c r="AF428" s="942">
        <v>0</v>
      </c>
      <c r="AG428" s="943">
        <f>comparaison_samebasis_villages[[#This Row],[previous idp_ind]]-comparaison_samebasis_villages[[#This Row],[actual idp_ind]]</f>
        <v>0</v>
      </c>
      <c r="AH428" s="943">
        <f>comparaison_samebasis_villages[[#This Row],[previous ref_ind]]-comparaison_samebasis_villages[[#This Row],[actual ref_ind]]</f>
        <v>0</v>
      </c>
      <c r="AI428" s="943">
        <f>comparaison_samebasis_villages[[#This Row],[previous ret_ind]]-comparaison_samebasis_villages[[#This Row],[actual ret_ind]]</f>
        <v>0</v>
      </c>
    </row>
    <row r="429" spans="1:35" ht="15.75" customHeight="1" x14ac:dyDescent="0.3">
      <c r="A429" s="401" t="s">
        <v>35</v>
      </c>
      <c r="B429" s="401" t="s">
        <v>35</v>
      </c>
      <c r="C429" s="401" t="s">
        <v>193</v>
      </c>
      <c r="D429" s="401" t="s">
        <v>3983</v>
      </c>
      <c r="E429" s="401" t="s">
        <v>3030</v>
      </c>
      <c r="F429" s="5" t="s">
        <v>3092</v>
      </c>
      <c r="G429" s="401"/>
      <c r="H429" s="1093" t="s">
        <v>511</v>
      </c>
      <c r="I429" s="1216" t="s">
        <v>3110</v>
      </c>
      <c r="J429" s="403">
        <v>0</v>
      </c>
      <c r="K429" s="403">
        <v>1</v>
      </c>
      <c r="L429" s="1093" t="s">
        <v>365</v>
      </c>
      <c r="M429" s="401"/>
      <c r="O429" s="399" t="s">
        <v>31</v>
      </c>
      <c r="P429" s="399" t="s">
        <v>31</v>
      </c>
      <c r="Q429" s="399" t="s">
        <v>169</v>
      </c>
      <c r="R429" s="399" t="s">
        <v>169</v>
      </c>
      <c r="S429" s="399" t="s">
        <v>1563</v>
      </c>
      <c r="T429" s="399" t="s">
        <v>2566</v>
      </c>
      <c r="U429" s="941">
        <v>59</v>
      </c>
      <c r="V429" s="941">
        <v>309</v>
      </c>
      <c r="W429" s="941">
        <v>50</v>
      </c>
      <c r="X429" s="941">
        <v>198</v>
      </c>
      <c r="Y429" s="941">
        <v>58</v>
      </c>
      <c r="Z429" s="941">
        <v>58</v>
      </c>
      <c r="AA429" s="942">
        <v>89</v>
      </c>
      <c r="AB429" s="942">
        <v>478</v>
      </c>
      <c r="AC429" s="942">
        <v>50</v>
      </c>
      <c r="AD429" s="942">
        <v>198</v>
      </c>
      <c r="AE429" s="942">
        <v>5</v>
      </c>
      <c r="AF429" s="942">
        <v>26</v>
      </c>
      <c r="AG429" s="943">
        <f>comparaison_samebasis_villages[[#This Row],[previous idp_ind]]-comparaison_samebasis_villages[[#This Row],[actual idp_ind]]</f>
        <v>169</v>
      </c>
      <c r="AH429" s="943">
        <f>comparaison_samebasis_villages[[#This Row],[previous ref_ind]]-comparaison_samebasis_villages[[#This Row],[actual ref_ind]]</f>
        <v>0</v>
      </c>
      <c r="AI429" s="943">
        <f>comparaison_samebasis_villages[[#This Row],[previous ret_ind]]-comparaison_samebasis_villages[[#This Row],[actual ret_ind]]</f>
        <v>-32</v>
      </c>
    </row>
    <row r="430" spans="1:35" ht="15.75" customHeight="1" x14ac:dyDescent="0.3">
      <c r="A430" s="401" t="s">
        <v>31</v>
      </c>
      <c r="B430" s="401" t="s">
        <v>31</v>
      </c>
      <c r="C430" s="401" t="s">
        <v>170</v>
      </c>
      <c r="D430" s="401" t="s">
        <v>170</v>
      </c>
      <c r="E430" s="401" t="s">
        <v>957</v>
      </c>
      <c r="F430" s="5" t="s">
        <v>2006</v>
      </c>
      <c r="G430" s="401"/>
      <c r="H430" s="1093" t="s">
        <v>511</v>
      </c>
      <c r="I430" s="1216" t="s">
        <v>3112</v>
      </c>
      <c r="J430" s="403">
        <v>4</v>
      </c>
      <c r="K430" s="403">
        <v>30</v>
      </c>
      <c r="L430" s="1093" t="s">
        <v>365</v>
      </c>
      <c r="M430" s="401"/>
      <c r="O430" s="404" t="s">
        <v>31</v>
      </c>
      <c r="P430" s="404" t="s">
        <v>31</v>
      </c>
      <c r="Q430" s="404" t="s">
        <v>169</v>
      </c>
      <c r="R430" s="404" t="s">
        <v>169</v>
      </c>
      <c r="S430" s="404" t="s">
        <v>1082</v>
      </c>
      <c r="T430" s="404" t="s">
        <v>1733</v>
      </c>
      <c r="U430" s="941">
        <v>98</v>
      </c>
      <c r="V430" s="941">
        <v>492</v>
      </c>
      <c r="W430" s="941">
        <v>104</v>
      </c>
      <c r="X430" s="941">
        <v>525</v>
      </c>
      <c r="Y430" s="941">
        <v>0</v>
      </c>
      <c r="Z430" s="941">
        <v>0</v>
      </c>
      <c r="AA430" s="942">
        <v>104</v>
      </c>
      <c r="AB430" s="942">
        <v>525</v>
      </c>
      <c r="AC430" s="942">
        <v>52</v>
      </c>
      <c r="AD430" s="942">
        <v>300</v>
      </c>
      <c r="AE430" s="942">
        <v>0</v>
      </c>
      <c r="AF430" s="942">
        <v>0</v>
      </c>
      <c r="AG430" s="943">
        <f>comparaison_samebasis_villages[[#This Row],[previous idp_ind]]-comparaison_samebasis_villages[[#This Row],[actual idp_ind]]</f>
        <v>33</v>
      </c>
      <c r="AH430" s="943">
        <f>comparaison_samebasis_villages[[#This Row],[previous ref_ind]]-comparaison_samebasis_villages[[#This Row],[actual ref_ind]]</f>
        <v>-225</v>
      </c>
      <c r="AI430" s="943">
        <f>comparaison_samebasis_villages[[#This Row],[previous ret_ind]]-comparaison_samebasis_villages[[#This Row],[actual ret_ind]]</f>
        <v>0</v>
      </c>
    </row>
    <row r="431" spans="1:35" ht="15.75" customHeight="1" x14ac:dyDescent="0.3">
      <c r="A431" s="401" t="s">
        <v>31</v>
      </c>
      <c r="B431" s="401" t="s">
        <v>31</v>
      </c>
      <c r="C431" s="401" t="s">
        <v>170</v>
      </c>
      <c r="D431" s="401" t="s">
        <v>170</v>
      </c>
      <c r="E431" s="401" t="s">
        <v>1019</v>
      </c>
      <c r="F431" s="5" t="s">
        <v>1855</v>
      </c>
      <c r="G431" s="401"/>
      <c r="H431" s="1093" t="s">
        <v>511</v>
      </c>
      <c r="I431" s="1216" t="s">
        <v>3112</v>
      </c>
      <c r="J431" s="403">
        <v>30</v>
      </c>
      <c r="K431" s="403">
        <v>150</v>
      </c>
      <c r="L431" s="1093" t="s">
        <v>365</v>
      </c>
      <c r="M431" s="401"/>
      <c r="O431" s="404" t="s">
        <v>31</v>
      </c>
      <c r="P431" s="404" t="s">
        <v>31</v>
      </c>
      <c r="Q431" s="404" t="s">
        <v>169</v>
      </c>
      <c r="R431" s="404" t="s">
        <v>169</v>
      </c>
      <c r="S431" s="404" t="s">
        <v>1096</v>
      </c>
      <c r="T431" s="404" t="s">
        <v>1564</v>
      </c>
      <c r="U431" s="941">
        <v>98</v>
      </c>
      <c r="V431" s="941">
        <v>552</v>
      </c>
      <c r="W431" s="941">
        <v>40</v>
      </c>
      <c r="X431" s="941">
        <v>119</v>
      </c>
      <c r="Y431" s="941">
        <v>0</v>
      </c>
      <c r="Z431" s="941">
        <v>0</v>
      </c>
      <c r="AA431" s="942">
        <v>101</v>
      </c>
      <c r="AB431" s="942">
        <v>565</v>
      </c>
      <c r="AC431" s="942">
        <v>40</v>
      </c>
      <c r="AD431" s="942">
        <v>119</v>
      </c>
      <c r="AE431" s="942">
        <v>0</v>
      </c>
      <c r="AF431" s="942">
        <v>0</v>
      </c>
      <c r="AG431" s="943">
        <f>comparaison_samebasis_villages[[#This Row],[previous idp_ind]]-comparaison_samebasis_villages[[#This Row],[actual idp_ind]]</f>
        <v>13</v>
      </c>
      <c r="AH431" s="943">
        <f>comparaison_samebasis_villages[[#This Row],[previous ref_ind]]-comparaison_samebasis_villages[[#This Row],[actual ref_ind]]</f>
        <v>0</v>
      </c>
      <c r="AI431" s="943">
        <f>comparaison_samebasis_villages[[#This Row],[previous ret_ind]]-comparaison_samebasis_villages[[#This Row],[actual ret_ind]]</f>
        <v>0</v>
      </c>
    </row>
    <row r="432" spans="1:35" ht="15.75" customHeight="1" x14ac:dyDescent="0.3">
      <c r="A432" s="401" t="s">
        <v>31</v>
      </c>
      <c r="B432" s="401" t="s">
        <v>31</v>
      </c>
      <c r="C432" s="401" t="s">
        <v>169</v>
      </c>
      <c r="D432" s="401" t="s">
        <v>169</v>
      </c>
      <c r="E432" s="401" t="s">
        <v>2904</v>
      </c>
      <c r="F432" s="5" t="s">
        <v>2333</v>
      </c>
      <c r="G432" s="401"/>
      <c r="H432" s="1093" t="s">
        <v>511</v>
      </c>
      <c r="I432" s="1216" t="s">
        <v>3111</v>
      </c>
      <c r="J432" s="403">
        <v>83</v>
      </c>
      <c r="K432" s="403">
        <v>215</v>
      </c>
      <c r="L432" s="1093" t="s">
        <v>367</v>
      </c>
      <c r="M432" s="401"/>
      <c r="O432" s="404" t="s">
        <v>31</v>
      </c>
      <c r="P432" s="404" t="s">
        <v>31</v>
      </c>
      <c r="Q432" s="404" t="s">
        <v>169</v>
      </c>
      <c r="R432" s="404" t="s">
        <v>169</v>
      </c>
      <c r="S432" s="404" t="s">
        <v>1080</v>
      </c>
      <c r="T432" s="404" t="s">
        <v>3019</v>
      </c>
      <c r="U432" s="941">
        <v>18</v>
      </c>
      <c r="V432" s="941">
        <v>142</v>
      </c>
      <c r="W432" s="941">
        <v>5</v>
      </c>
      <c r="X432" s="941">
        <v>40</v>
      </c>
      <c r="Y432" s="941">
        <v>0</v>
      </c>
      <c r="Z432" s="941">
        <v>0</v>
      </c>
      <c r="AA432" s="942">
        <v>18</v>
      </c>
      <c r="AB432" s="942">
        <v>142</v>
      </c>
      <c r="AC432" s="942">
        <v>5</v>
      </c>
      <c r="AD432" s="942">
        <v>40</v>
      </c>
      <c r="AE432" s="942">
        <v>0</v>
      </c>
      <c r="AF432" s="942">
        <v>0</v>
      </c>
      <c r="AG432" s="943">
        <f>comparaison_samebasis_villages[[#This Row],[previous idp_ind]]-comparaison_samebasis_villages[[#This Row],[actual idp_ind]]</f>
        <v>0</v>
      </c>
      <c r="AH432" s="943">
        <f>comparaison_samebasis_villages[[#This Row],[previous ref_ind]]-comparaison_samebasis_villages[[#This Row],[actual ref_ind]]</f>
        <v>0</v>
      </c>
      <c r="AI432" s="943">
        <f>comparaison_samebasis_villages[[#This Row],[previous ret_ind]]-comparaison_samebasis_villages[[#This Row],[actual ret_ind]]</f>
        <v>0</v>
      </c>
    </row>
    <row r="433" spans="1:35" ht="15.75" customHeight="1" x14ac:dyDescent="0.3">
      <c r="A433" s="401" t="s">
        <v>31</v>
      </c>
      <c r="B433" s="401" t="s">
        <v>31</v>
      </c>
      <c r="C433" s="401" t="s">
        <v>169</v>
      </c>
      <c r="D433" s="401" t="s">
        <v>169</v>
      </c>
      <c r="E433" s="401" t="s">
        <v>2904</v>
      </c>
      <c r="F433" s="5" t="s">
        <v>2333</v>
      </c>
      <c r="G433" s="401"/>
      <c r="H433" s="1093" t="s">
        <v>511</v>
      </c>
      <c r="I433" s="1216" t="s">
        <v>3112</v>
      </c>
      <c r="J433" s="403">
        <v>20</v>
      </c>
      <c r="K433" s="403">
        <v>100</v>
      </c>
      <c r="L433" s="1093" t="s">
        <v>367</v>
      </c>
      <c r="M433" s="401"/>
      <c r="O433" s="399" t="s">
        <v>31</v>
      </c>
      <c r="P433" s="399" t="s">
        <v>31</v>
      </c>
      <c r="Q433" s="399" t="s">
        <v>169</v>
      </c>
      <c r="R433" s="399" t="s">
        <v>169</v>
      </c>
      <c r="S433" s="399" t="s">
        <v>2569</v>
      </c>
      <c r="T433" s="399" t="s">
        <v>1474</v>
      </c>
      <c r="U433" s="941">
        <v>0</v>
      </c>
      <c r="V433" s="941">
        <v>0</v>
      </c>
      <c r="W433" s="941">
        <v>2</v>
      </c>
      <c r="X433" s="941">
        <v>9</v>
      </c>
      <c r="Y433" s="941">
        <v>100</v>
      </c>
      <c r="Z433" s="941">
        <v>100</v>
      </c>
      <c r="AA433" s="942">
        <v>0</v>
      </c>
      <c r="AB433" s="942">
        <v>0</v>
      </c>
      <c r="AC433" s="942">
        <v>0</v>
      </c>
      <c r="AD433" s="942">
        <v>0</v>
      </c>
      <c r="AE433" s="942">
        <v>102</v>
      </c>
      <c r="AF433" s="942">
        <v>500</v>
      </c>
      <c r="AG433" s="943">
        <f>comparaison_samebasis_villages[[#This Row],[previous idp_ind]]-comparaison_samebasis_villages[[#This Row],[actual idp_ind]]</f>
        <v>0</v>
      </c>
      <c r="AH433" s="943">
        <f>comparaison_samebasis_villages[[#This Row],[previous ref_ind]]-comparaison_samebasis_villages[[#This Row],[actual ref_ind]]</f>
        <v>-9</v>
      </c>
      <c r="AI433" s="943">
        <f>comparaison_samebasis_villages[[#This Row],[previous ret_ind]]-comparaison_samebasis_villages[[#This Row],[actual ret_ind]]</f>
        <v>400</v>
      </c>
    </row>
    <row r="434" spans="1:35" ht="15.75" customHeight="1" x14ac:dyDescent="0.3">
      <c r="A434" s="401" t="s">
        <v>31</v>
      </c>
      <c r="B434" s="401" t="s">
        <v>31</v>
      </c>
      <c r="C434" s="401" t="s">
        <v>169</v>
      </c>
      <c r="D434" s="401" t="s">
        <v>169</v>
      </c>
      <c r="E434" s="401" t="s">
        <v>2942</v>
      </c>
      <c r="F434" s="5" t="s">
        <v>830</v>
      </c>
      <c r="G434" s="401"/>
      <c r="H434" s="1093" t="s">
        <v>511</v>
      </c>
      <c r="I434" s="1216" t="s">
        <v>3112</v>
      </c>
      <c r="J434" s="403">
        <v>10</v>
      </c>
      <c r="K434" s="403">
        <v>54</v>
      </c>
      <c r="L434" s="1093" t="s">
        <v>367</v>
      </c>
      <c r="M434" s="401"/>
      <c r="O434" s="404" t="s">
        <v>31</v>
      </c>
      <c r="P434" s="404" t="s">
        <v>31</v>
      </c>
      <c r="Q434" s="404" t="s">
        <v>169</v>
      </c>
      <c r="R434" s="404" t="s">
        <v>169</v>
      </c>
      <c r="S434" s="404" t="s">
        <v>1553</v>
      </c>
      <c r="T434" s="404" t="s">
        <v>814</v>
      </c>
      <c r="U434" s="941">
        <v>85</v>
      </c>
      <c r="V434" s="941">
        <v>242</v>
      </c>
      <c r="W434" s="941">
        <v>0</v>
      </c>
      <c r="X434" s="941">
        <v>0</v>
      </c>
      <c r="Y434" s="941">
        <v>45</v>
      </c>
      <c r="Z434" s="941">
        <v>45</v>
      </c>
      <c r="AA434" s="942">
        <v>85</v>
      </c>
      <c r="AB434" s="942">
        <v>239</v>
      </c>
      <c r="AC434" s="942">
        <v>0</v>
      </c>
      <c r="AD434" s="942">
        <v>0</v>
      </c>
      <c r="AE434" s="942">
        <v>45</v>
      </c>
      <c r="AF434" s="942">
        <v>150</v>
      </c>
      <c r="AG434" s="943">
        <f>comparaison_samebasis_villages[[#This Row],[previous idp_ind]]-comparaison_samebasis_villages[[#This Row],[actual idp_ind]]</f>
        <v>-3</v>
      </c>
      <c r="AH434" s="943">
        <f>comparaison_samebasis_villages[[#This Row],[previous ref_ind]]-comparaison_samebasis_villages[[#This Row],[actual ref_ind]]</f>
        <v>0</v>
      </c>
      <c r="AI434" s="943">
        <f>comparaison_samebasis_villages[[#This Row],[previous ret_ind]]-comparaison_samebasis_villages[[#This Row],[actual ret_ind]]</f>
        <v>105</v>
      </c>
    </row>
    <row r="435" spans="1:35" ht="15.75" customHeight="1" x14ac:dyDescent="0.3">
      <c r="A435" s="401" t="s">
        <v>31</v>
      </c>
      <c r="B435" s="401" t="s">
        <v>31</v>
      </c>
      <c r="C435" s="401" t="s">
        <v>172</v>
      </c>
      <c r="D435" s="401" t="s">
        <v>172</v>
      </c>
      <c r="E435" s="401" t="s">
        <v>1866</v>
      </c>
      <c r="F435" s="5" t="s">
        <v>708</v>
      </c>
      <c r="G435" s="401"/>
      <c r="H435" s="1093" t="s">
        <v>511</v>
      </c>
      <c r="I435" s="1216" t="s">
        <v>3033</v>
      </c>
      <c r="J435" s="403">
        <v>5</v>
      </c>
      <c r="K435" s="403">
        <v>21</v>
      </c>
      <c r="L435" s="1093" t="s">
        <v>367</v>
      </c>
      <c r="M435" s="401"/>
      <c r="O435" s="404" t="s">
        <v>31</v>
      </c>
      <c r="P435" s="404" t="s">
        <v>31</v>
      </c>
      <c r="Q435" s="404" t="s">
        <v>169</v>
      </c>
      <c r="R435" s="404" t="s">
        <v>169</v>
      </c>
      <c r="S435" s="404" t="s">
        <v>1504</v>
      </c>
      <c r="T435" s="404" t="s">
        <v>1093</v>
      </c>
      <c r="U435" s="941">
        <v>0</v>
      </c>
      <c r="V435" s="941">
        <v>0</v>
      </c>
      <c r="W435" s="941">
        <v>0</v>
      </c>
      <c r="X435" s="941">
        <v>0</v>
      </c>
      <c r="Y435" s="941">
        <v>44</v>
      </c>
      <c r="Z435" s="941">
        <v>44</v>
      </c>
      <c r="AA435" s="942">
        <v>0</v>
      </c>
      <c r="AB435" s="942">
        <v>0</v>
      </c>
      <c r="AC435" s="942">
        <v>0</v>
      </c>
      <c r="AD435" s="942">
        <v>0</v>
      </c>
      <c r="AE435" s="942">
        <v>44</v>
      </c>
      <c r="AF435" s="942">
        <v>321</v>
      </c>
      <c r="AG435" s="943">
        <f>comparaison_samebasis_villages[[#This Row],[previous idp_ind]]-comparaison_samebasis_villages[[#This Row],[actual idp_ind]]</f>
        <v>0</v>
      </c>
      <c r="AH435" s="943">
        <f>comparaison_samebasis_villages[[#This Row],[previous ref_ind]]-comparaison_samebasis_villages[[#This Row],[actual ref_ind]]</f>
        <v>0</v>
      </c>
      <c r="AI435" s="943">
        <f>comparaison_samebasis_villages[[#This Row],[previous ret_ind]]-comparaison_samebasis_villages[[#This Row],[actual ret_ind]]</f>
        <v>277</v>
      </c>
    </row>
    <row r="436" spans="1:35" ht="15.75" customHeight="1" x14ac:dyDescent="0.3">
      <c r="A436" s="401" t="s">
        <v>35</v>
      </c>
      <c r="B436" s="401" t="s">
        <v>35</v>
      </c>
      <c r="C436" s="401" t="s">
        <v>195</v>
      </c>
      <c r="D436" s="401" t="s">
        <v>195</v>
      </c>
      <c r="E436" s="401" t="s">
        <v>1806</v>
      </c>
      <c r="F436" s="5" t="s">
        <v>1807</v>
      </c>
      <c r="G436" s="401"/>
      <c r="H436" s="1093" t="s">
        <v>511</v>
      </c>
      <c r="I436" s="1216" t="s">
        <v>3033</v>
      </c>
      <c r="J436" s="403">
        <v>156</v>
      </c>
      <c r="K436" s="403">
        <v>1236</v>
      </c>
      <c r="L436" s="1093" t="s">
        <v>365</v>
      </c>
      <c r="M436" s="401"/>
      <c r="O436" s="404" t="s">
        <v>31</v>
      </c>
      <c r="P436" s="404" t="s">
        <v>31</v>
      </c>
      <c r="Q436" s="404" t="s">
        <v>169</v>
      </c>
      <c r="R436" s="404" t="s">
        <v>169</v>
      </c>
      <c r="S436" s="404" t="s">
        <v>1645</v>
      </c>
      <c r="T436" s="404" t="s">
        <v>816</v>
      </c>
      <c r="U436" s="941">
        <v>0</v>
      </c>
      <c r="V436" s="941">
        <v>0</v>
      </c>
      <c r="W436" s="941">
        <v>0</v>
      </c>
      <c r="X436" s="941">
        <v>0</v>
      </c>
      <c r="Y436" s="941">
        <v>0</v>
      </c>
      <c r="Z436" s="941">
        <v>0</v>
      </c>
      <c r="AA436" s="942">
        <v>61</v>
      </c>
      <c r="AB436" s="942">
        <v>292</v>
      </c>
      <c r="AC436" s="942">
        <v>15</v>
      </c>
      <c r="AD436" s="942">
        <v>79</v>
      </c>
      <c r="AE436" s="942">
        <v>0</v>
      </c>
      <c r="AF436" s="942">
        <v>0</v>
      </c>
      <c r="AG436" s="943">
        <f>comparaison_samebasis_villages[[#This Row],[previous idp_ind]]-comparaison_samebasis_villages[[#This Row],[actual idp_ind]]</f>
        <v>292</v>
      </c>
      <c r="AH436" s="943">
        <f>comparaison_samebasis_villages[[#This Row],[previous ref_ind]]-comparaison_samebasis_villages[[#This Row],[actual ref_ind]]</f>
        <v>79</v>
      </c>
      <c r="AI436" s="943">
        <f>comparaison_samebasis_villages[[#This Row],[previous ret_ind]]-comparaison_samebasis_villages[[#This Row],[actual ret_ind]]</f>
        <v>0</v>
      </c>
    </row>
    <row r="437" spans="1:35" ht="15.75" customHeight="1" x14ac:dyDescent="0.3">
      <c r="A437" s="401" t="s">
        <v>31</v>
      </c>
      <c r="B437" s="401" t="s">
        <v>31</v>
      </c>
      <c r="C437" s="401" t="s">
        <v>167</v>
      </c>
      <c r="D437" s="401" t="s">
        <v>167</v>
      </c>
      <c r="E437" s="401" t="s">
        <v>1833</v>
      </c>
      <c r="F437" s="5" t="s">
        <v>1938</v>
      </c>
      <c r="G437" s="401"/>
      <c r="H437" s="1093" t="s">
        <v>511</v>
      </c>
      <c r="I437" s="1216" t="s">
        <v>3033</v>
      </c>
      <c r="J437" s="403">
        <v>5</v>
      </c>
      <c r="K437" s="403">
        <v>17</v>
      </c>
      <c r="L437" s="1093" t="s">
        <v>365</v>
      </c>
      <c r="M437" s="401"/>
      <c r="O437" s="404" t="s">
        <v>31</v>
      </c>
      <c r="P437" s="404" t="s">
        <v>31</v>
      </c>
      <c r="Q437" s="404" t="s">
        <v>169</v>
      </c>
      <c r="R437" s="404" t="s">
        <v>169</v>
      </c>
      <c r="S437" s="404" t="s">
        <v>2571</v>
      </c>
      <c r="T437" s="404" t="s">
        <v>1562</v>
      </c>
      <c r="U437" s="941">
        <v>29</v>
      </c>
      <c r="V437" s="941">
        <v>137</v>
      </c>
      <c r="W437" s="941">
        <v>0</v>
      </c>
      <c r="X437" s="941">
        <v>0</v>
      </c>
      <c r="Y437" s="941">
        <v>32</v>
      </c>
      <c r="Z437" s="941">
        <v>32</v>
      </c>
      <c r="AA437" s="942">
        <v>22</v>
      </c>
      <c r="AB437" s="942">
        <v>107</v>
      </c>
      <c r="AC437" s="942">
        <v>0</v>
      </c>
      <c r="AD437" s="942">
        <v>0</v>
      </c>
      <c r="AE437" s="942">
        <v>42</v>
      </c>
      <c r="AF437" s="942">
        <v>303</v>
      </c>
      <c r="AG437" s="943">
        <f>comparaison_samebasis_villages[[#This Row],[previous idp_ind]]-comparaison_samebasis_villages[[#This Row],[actual idp_ind]]</f>
        <v>-30</v>
      </c>
      <c r="AH437" s="943">
        <f>comparaison_samebasis_villages[[#This Row],[previous ref_ind]]-comparaison_samebasis_villages[[#This Row],[actual ref_ind]]</f>
        <v>0</v>
      </c>
      <c r="AI437" s="943">
        <f>comparaison_samebasis_villages[[#This Row],[previous ret_ind]]-comparaison_samebasis_villages[[#This Row],[actual ret_ind]]</f>
        <v>271</v>
      </c>
    </row>
    <row r="438" spans="1:35" ht="15.75" customHeight="1" x14ac:dyDescent="0.3">
      <c r="A438" s="401" t="s">
        <v>32</v>
      </c>
      <c r="B438" s="401" t="s">
        <v>32</v>
      </c>
      <c r="C438" s="401" t="s">
        <v>176</v>
      </c>
      <c r="D438" s="401" t="s">
        <v>176</v>
      </c>
      <c r="E438" s="401" t="s">
        <v>550</v>
      </c>
      <c r="F438" s="5" t="s">
        <v>3141</v>
      </c>
      <c r="G438" s="401" t="s">
        <v>3141</v>
      </c>
      <c r="H438" s="1093" t="s">
        <v>511</v>
      </c>
      <c r="I438" s="1216" t="s">
        <v>3112</v>
      </c>
      <c r="J438" s="403">
        <v>937</v>
      </c>
      <c r="K438" s="403">
        <v>8433</v>
      </c>
      <c r="L438" s="1093" t="s">
        <v>367</v>
      </c>
      <c r="M438" s="401"/>
      <c r="O438" s="404" t="s">
        <v>31</v>
      </c>
      <c r="P438" s="404" t="s">
        <v>31</v>
      </c>
      <c r="Q438" s="404" t="s">
        <v>169</v>
      </c>
      <c r="R438" s="404" t="s">
        <v>169</v>
      </c>
      <c r="S438" s="404" t="s">
        <v>1551</v>
      </c>
      <c r="T438" s="404" t="s">
        <v>1081</v>
      </c>
      <c r="U438" s="941">
        <v>87</v>
      </c>
      <c r="V438" s="941">
        <v>429</v>
      </c>
      <c r="W438" s="941">
        <v>2</v>
      </c>
      <c r="X438" s="941">
        <v>12</v>
      </c>
      <c r="Y438" s="941">
        <v>0</v>
      </c>
      <c r="Z438" s="941">
        <v>0</v>
      </c>
      <c r="AA438" s="942">
        <v>52</v>
      </c>
      <c r="AB438" s="942">
        <v>226</v>
      </c>
      <c r="AC438" s="942">
        <v>0</v>
      </c>
      <c r="AD438" s="942">
        <v>0</v>
      </c>
      <c r="AE438" s="942">
        <v>0</v>
      </c>
      <c r="AF438" s="942">
        <v>0</v>
      </c>
      <c r="AG438" s="943">
        <f>comparaison_samebasis_villages[[#This Row],[previous idp_ind]]-comparaison_samebasis_villages[[#This Row],[actual idp_ind]]</f>
        <v>-203</v>
      </c>
      <c r="AH438" s="943">
        <f>comparaison_samebasis_villages[[#This Row],[previous ref_ind]]-comparaison_samebasis_villages[[#This Row],[actual ref_ind]]</f>
        <v>-12</v>
      </c>
      <c r="AI438" s="943">
        <f>comparaison_samebasis_villages[[#This Row],[previous ret_ind]]-comparaison_samebasis_villages[[#This Row],[actual ret_ind]]</f>
        <v>0</v>
      </c>
    </row>
    <row r="439" spans="1:35" ht="15.75" customHeight="1" x14ac:dyDescent="0.3">
      <c r="A439" s="401" t="s">
        <v>32</v>
      </c>
      <c r="B439" s="401" t="s">
        <v>32</v>
      </c>
      <c r="C439" s="401" t="s">
        <v>176</v>
      </c>
      <c r="D439" s="401" t="s">
        <v>176</v>
      </c>
      <c r="E439" s="401" t="s">
        <v>2336</v>
      </c>
      <c r="F439" s="5" t="s">
        <v>2337</v>
      </c>
      <c r="G439" s="401"/>
      <c r="H439" s="1093" t="s">
        <v>511</v>
      </c>
      <c r="I439" s="1216" t="s">
        <v>3112</v>
      </c>
      <c r="J439" s="403">
        <v>417</v>
      </c>
      <c r="K439" s="403">
        <v>2140</v>
      </c>
      <c r="L439" s="1093" t="s">
        <v>367</v>
      </c>
      <c r="M439" s="401"/>
      <c r="O439" s="404" t="s">
        <v>31</v>
      </c>
      <c r="P439" s="404" t="s">
        <v>31</v>
      </c>
      <c r="Q439" s="404" t="s">
        <v>169</v>
      </c>
      <c r="R439" s="404" t="s">
        <v>169</v>
      </c>
      <c r="S439" s="404" t="s">
        <v>2573</v>
      </c>
      <c r="T439" s="404" t="s">
        <v>1095</v>
      </c>
      <c r="U439" s="941">
        <v>17</v>
      </c>
      <c r="V439" s="941">
        <v>107</v>
      </c>
      <c r="W439" s="941">
        <v>0</v>
      </c>
      <c r="X439" s="941">
        <v>0</v>
      </c>
      <c r="Y439" s="941">
        <v>11</v>
      </c>
      <c r="Z439" s="941">
        <v>11</v>
      </c>
      <c r="AA439" s="942">
        <v>17</v>
      </c>
      <c r="AB439" s="942">
        <v>107</v>
      </c>
      <c r="AC439" s="942">
        <v>0</v>
      </c>
      <c r="AD439" s="942">
        <v>0</v>
      </c>
      <c r="AE439" s="942">
        <v>50</v>
      </c>
      <c r="AF439" s="942">
        <v>400</v>
      </c>
      <c r="AG439" s="943">
        <f>comparaison_samebasis_villages[[#This Row],[previous idp_ind]]-comparaison_samebasis_villages[[#This Row],[actual idp_ind]]</f>
        <v>0</v>
      </c>
      <c r="AH439" s="943">
        <f>comparaison_samebasis_villages[[#This Row],[previous ref_ind]]-comparaison_samebasis_villages[[#This Row],[actual ref_ind]]</f>
        <v>0</v>
      </c>
      <c r="AI439" s="943">
        <f>comparaison_samebasis_villages[[#This Row],[previous ret_ind]]-comparaison_samebasis_villages[[#This Row],[actual ret_ind]]</f>
        <v>389</v>
      </c>
    </row>
    <row r="440" spans="1:35" ht="15.75" customHeight="1" x14ac:dyDescent="0.3">
      <c r="A440" s="401" t="s">
        <v>32</v>
      </c>
      <c r="B440" s="401" t="s">
        <v>32</v>
      </c>
      <c r="C440" s="401" t="s">
        <v>177</v>
      </c>
      <c r="D440" s="401" t="s">
        <v>177</v>
      </c>
      <c r="E440" s="401" t="s">
        <v>778</v>
      </c>
      <c r="F440" s="5" t="s">
        <v>779</v>
      </c>
      <c r="G440" s="401"/>
      <c r="H440" s="1093" t="s">
        <v>511</v>
      </c>
      <c r="I440" s="1216" t="s">
        <v>3112</v>
      </c>
      <c r="J440" s="403">
        <v>93</v>
      </c>
      <c r="K440" s="403">
        <v>920</v>
      </c>
      <c r="L440" s="1093" t="s">
        <v>367</v>
      </c>
      <c r="M440" s="401"/>
      <c r="O440" s="404" t="s">
        <v>31</v>
      </c>
      <c r="P440" s="404" t="s">
        <v>31</v>
      </c>
      <c r="Q440" s="404" t="s">
        <v>169</v>
      </c>
      <c r="R440" s="404" t="s">
        <v>169</v>
      </c>
      <c r="S440" s="404" t="s">
        <v>1521</v>
      </c>
      <c r="T440" s="404" t="s">
        <v>1079</v>
      </c>
      <c r="U440" s="941">
        <v>33</v>
      </c>
      <c r="V440" s="941">
        <v>209</v>
      </c>
      <c r="W440" s="941">
        <v>0</v>
      </c>
      <c r="X440" s="941">
        <v>0</v>
      </c>
      <c r="Y440" s="941">
        <v>0</v>
      </c>
      <c r="Z440" s="941">
        <v>0</v>
      </c>
      <c r="AA440" s="942">
        <v>33</v>
      </c>
      <c r="AB440" s="942">
        <v>209</v>
      </c>
      <c r="AC440" s="942">
        <v>0</v>
      </c>
      <c r="AD440" s="942">
        <v>0</v>
      </c>
      <c r="AE440" s="942">
        <v>26</v>
      </c>
      <c r="AF440" s="942">
        <v>99</v>
      </c>
      <c r="AG440" s="943">
        <f>comparaison_samebasis_villages[[#This Row],[previous idp_ind]]-comparaison_samebasis_villages[[#This Row],[actual idp_ind]]</f>
        <v>0</v>
      </c>
      <c r="AH440" s="943">
        <f>comparaison_samebasis_villages[[#This Row],[previous ref_ind]]-comparaison_samebasis_villages[[#This Row],[actual ref_ind]]</f>
        <v>0</v>
      </c>
      <c r="AI440" s="943">
        <f>comparaison_samebasis_villages[[#This Row],[previous ret_ind]]-comparaison_samebasis_villages[[#This Row],[actual ret_ind]]</f>
        <v>99</v>
      </c>
    </row>
    <row r="441" spans="1:35" ht="15.75" customHeight="1" x14ac:dyDescent="0.3">
      <c r="A441" s="401" t="s">
        <v>32</v>
      </c>
      <c r="B441" s="401" t="s">
        <v>32</v>
      </c>
      <c r="C441" s="401" t="s">
        <v>177</v>
      </c>
      <c r="D441" s="401" t="s">
        <v>177</v>
      </c>
      <c r="E441" s="401" t="s">
        <v>3206</v>
      </c>
      <c r="F441" s="5" t="s">
        <v>1696</v>
      </c>
      <c r="G441" s="401"/>
      <c r="H441" s="1093" t="s">
        <v>511</v>
      </c>
      <c r="I441" s="1216" t="s">
        <v>3112</v>
      </c>
      <c r="J441" s="403">
        <v>34</v>
      </c>
      <c r="K441" s="403">
        <v>183</v>
      </c>
      <c r="L441" s="1093" t="s">
        <v>367</v>
      </c>
      <c r="M441" s="401"/>
      <c r="O441" s="404" t="s">
        <v>31</v>
      </c>
      <c r="P441" s="404" t="s">
        <v>31</v>
      </c>
      <c r="Q441" s="404" t="s">
        <v>169</v>
      </c>
      <c r="R441" s="404" t="s">
        <v>169</v>
      </c>
      <c r="S441" s="404" t="s">
        <v>1523</v>
      </c>
      <c r="T441" s="404" t="s">
        <v>2568</v>
      </c>
      <c r="U441" s="941">
        <v>34</v>
      </c>
      <c r="V441" s="941">
        <v>139</v>
      </c>
      <c r="W441" s="941">
        <v>0</v>
      </c>
      <c r="X441" s="941">
        <v>0</v>
      </c>
      <c r="Y441" s="941">
        <v>0</v>
      </c>
      <c r="Z441" s="941">
        <v>0</v>
      </c>
      <c r="AA441" s="942">
        <v>34</v>
      </c>
      <c r="AB441" s="942">
        <v>139</v>
      </c>
      <c r="AC441" s="942">
        <v>0</v>
      </c>
      <c r="AD441" s="942">
        <v>0</v>
      </c>
      <c r="AE441" s="942">
        <v>0</v>
      </c>
      <c r="AF441" s="942">
        <v>0</v>
      </c>
      <c r="AG441" s="943">
        <f>comparaison_samebasis_villages[[#This Row],[previous idp_ind]]-comparaison_samebasis_villages[[#This Row],[actual idp_ind]]</f>
        <v>0</v>
      </c>
      <c r="AH441" s="943">
        <f>comparaison_samebasis_villages[[#This Row],[previous ref_ind]]-comparaison_samebasis_villages[[#This Row],[actual ref_ind]]</f>
        <v>0</v>
      </c>
      <c r="AI441" s="943">
        <f>comparaison_samebasis_villages[[#This Row],[previous ret_ind]]-comparaison_samebasis_villages[[#This Row],[actual ret_ind]]</f>
        <v>0</v>
      </c>
    </row>
    <row r="442" spans="1:35" ht="15.75" customHeight="1" x14ac:dyDescent="0.3">
      <c r="A442" s="401" t="s">
        <v>34</v>
      </c>
      <c r="B442" s="401" t="s">
        <v>34</v>
      </c>
      <c r="C442" s="401" t="s">
        <v>187</v>
      </c>
      <c r="D442" s="401" t="s">
        <v>187</v>
      </c>
      <c r="E442" s="401" t="s">
        <v>1240</v>
      </c>
      <c r="F442" s="5" t="s">
        <v>1241</v>
      </c>
      <c r="G442" s="401"/>
      <c r="H442" s="1093" t="s">
        <v>511</v>
      </c>
      <c r="I442" s="1216" t="s">
        <v>3033</v>
      </c>
      <c r="J442" s="403">
        <v>1589</v>
      </c>
      <c r="K442" s="403">
        <v>11690</v>
      </c>
      <c r="L442" s="1093" t="s">
        <v>367</v>
      </c>
      <c r="M442" s="401"/>
      <c r="O442" s="404" t="s">
        <v>31</v>
      </c>
      <c r="P442" s="404" t="s">
        <v>31</v>
      </c>
      <c r="Q442" s="404" t="s">
        <v>169</v>
      </c>
      <c r="R442" s="404" t="s">
        <v>169</v>
      </c>
      <c r="S442" s="404" t="s">
        <v>1642</v>
      </c>
      <c r="T442" s="404" t="s">
        <v>1552</v>
      </c>
      <c r="U442" s="941">
        <v>85</v>
      </c>
      <c r="V442" s="941">
        <v>354</v>
      </c>
      <c r="W442" s="941">
        <v>0</v>
      </c>
      <c r="X442" s="941">
        <v>0</v>
      </c>
      <c r="Y442" s="941">
        <v>75</v>
      </c>
      <c r="Z442" s="941">
        <v>75</v>
      </c>
      <c r="AA442" s="942">
        <v>85</v>
      </c>
      <c r="AB442" s="942">
        <v>350</v>
      </c>
      <c r="AC442" s="942">
        <v>0</v>
      </c>
      <c r="AD442" s="942">
        <v>0</v>
      </c>
      <c r="AE442" s="942">
        <v>75</v>
      </c>
      <c r="AF442" s="942">
        <v>395</v>
      </c>
      <c r="AG442" s="943">
        <f>comparaison_samebasis_villages[[#This Row],[previous idp_ind]]-comparaison_samebasis_villages[[#This Row],[actual idp_ind]]</f>
        <v>-4</v>
      </c>
      <c r="AH442" s="943">
        <f>comparaison_samebasis_villages[[#This Row],[previous ref_ind]]-comparaison_samebasis_villages[[#This Row],[actual ref_ind]]</f>
        <v>0</v>
      </c>
      <c r="AI442" s="943">
        <f>comparaison_samebasis_villages[[#This Row],[previous ret_ind]]-comparaison_samebasis_villages[[#This Row],[actual ret_ind]]</f>
        <v>320</v>
      </c>
    </row>
    <row r="443" spans="1:35" ht="15.75" customHeight="1" x14ac:dyDescent="0.3">
      <c r="A443" s="401" t="s">
        <v>34</v>
      </c>
      <c r="B443" s="401" t="s">
        <v>34</v>
      </c>
      <c r="C443" s="401" t="s">
        <v>187</v>
      </c>
      <c r="D443" s="401" t="s">
        <v>187</v>
      </c>
      <c r="E443" s="401" t="s">
        <v>1240</v>
      </c>
      <c r="F443" s="5" t="s">
        <v>1241</v>
      </c>
      <c r="G443" s="401"/>
      <c r="H443" s="1093" t="s">
        <v>511</v>
      </c>
      <c r="I443" s="1216" t="s">
        <v>3109</v>
      </c>
      <c r="J443" s="403">
        <v>0</v>
      </c>
      <c r="K443" s="403">
        <v>18</v>
      </c>
      <c r="L443" s="1093" t="s">
        <v>367</v>
      </c>
      <c r="M443" s="401"/>
      <c r="O443" s="404" t="s">
        <v>31</v>
      </c>
      <c r="P443" s="404" t="s">
        <v>31</v>
      </c>
      <c r="Q443" s="404" t="s">
        <v>169</v>
      </c>
      <c r="R443" s="404" t="s">
        <v>169</v>
      </c>
      <c r="S443" s="404" t="s">
        <v>2575</v>
      </c>
      <c r="T443" s="404" t="s">
        <v>1503</v>
      </c>
      <c r="U443" s="941">
        <v>0</v>
      </c>
      <c r="V443" s="941">
        <v>0</v>
      </c>
      <c r="W443" s="941">
        <v>0</v>
      </c>
      <c r="X443" s="941">
        <v>0</v>
      </c>
      <c r="Y443" s="941">
        <v>0</v>
      </c>
      <c r="Z443" s="941">
        <v>0</v>
      </c>
      <c r="AA443" s="942">
        <v>0</v>
      </c>
      <c r="AB443" s="942">
        <v>0</v>
      </c>
      <c r="AC443" s="942">
        <v>0</v>
      </c>
      <c r="AD443" s="942">
        <v>0</v>
      </c>
      <c r="AE443" s="942">
        <v>0</v>
      </c>
      <c r="AF443" s="942">
        <v>0</v>
      </c>
      <c r="AG443" s="943">
        <f>comparaison_samebasis_villages[[#This Row],[previous idp_ind]]-comparaison_samebasis_villages[[#This Row],[actual idp_ind]]</f>
        <v>0</v>
      </c>
      <c r="AH443" s="943">
        <f>comparaison_samebasis_villages[[#This Row],[previous ref_ind]]-comparaison_samebasis_villages[[#This Row],[actual ref_ind]]</f>
        <v>0</v>
      </c>
      <c r="AI443" s="943">
        <f>comparaison_samebasis_villages[[#This Row],[previous ret_ind]]-comparaison_samebasis_villages[[#This Row],[actual ret_ind]]</f>
        <v>0</v>
      </c>
    </row>
    <row r="444" spans="1:35" ht="15.75" customHeight="1" x14ac:dyDescent="0.3">
      <c r="A444" s="401" t="s">
        <v>34</v>
      </c>
      <c r="B444" s="401" t="s">
        <v>34</v>
      </c>
      <c r="C444" s="401" t="s">
        <v>187</v>
      </c>
      <c r="D444" s="401" t="s">
        <v>187</v>
      </c>
      <c r="E444" s="401" t="s">
        <v>1240</v>
      </c>
      <c r="F444" s="5" t="s">
        <v>1241</v>
      </c>
      <c r="G444" s="401"/>
      <c r="H444" s="1093" t="s">
        <v>511</v>
      </c>
      <c r="I444" s="1216" t="s">
        <v>3110</v>
      </c>
      <c r="J444" s="403">
        <v>115</v>
      </c>
      <c r="K444" s="403">
        <v>768</v>
      </c>
      <c r="L444" s="1093" t="s">
        <v>367</v>
      </c>
      <c r="M444" s="401"/>
      <c r="O444" s="404" t="s">
        <v>31</v>
      </c>
      <c r="P444" s="404" t="s">
        <v>31</v>
      </c>
      <c r="Q444" s="404" t="s">
        <v>169</v>
      </c>
      <c r="R444" s="404" t="s">
        <v>169</v>
      </c>
      <c r="S444" s="404" t="s">
        <v>1640</v>
      </c>
      <c r="T444" s="404" t="s">
        <v>1644</v>
      </c>
      <c r="U444" s="941">
        <v>9</v>
      </c>
      <c r="V444" s="941">
        <v>61</v>
      </c>
      <c r="W444" s="941">
        <v>0</v>
      </c>
      <c r="X444" s="941">
        <v>0</v>
      </c>
      <c r="Y444" s="941">
        <v>60</v>
      </c>
      <c r="Z444" s="941">
        <v>60</v>
      </c>
      <c r="AA444" s="942">
        <v>9</v>
      </c>
      <c r="AB444" s="942">
        <v>61</v>
      </c>
      <c r="AC444" s="942">
        <v>0</v>
      </c>
      <c r="AD444" s="942">
        <v>0</v>
      </c>
      <c r="AE444" s="942">
        <v>60</v>
      </c>
      <c r="AF444" s="942">
        <v>350</v>
      </c>
      <c r="AG444" s="943">
        <f>comparaison_samebasis_villages[[#This Row],[previous idp_ind]]-comparaison_samebasis_villages[[#This Row],[actual idp_ind]]</f>
        <v>0</v>
      </c>
      <c r="AH444" s="943">
        <f>comparaison_samebasis_villages[[#This Row],[previous ref_ind]]-comparaison_samebasis_villages[[#This Row],[actual ref_ind]]</f>
        <v>0</v>
      </c>
      <c r="AI444" s="943">
        <f>comparaison_samebasis_villages[[#This Row],[previous ret_ind]]-comparaison_samebasis_villages[[#This Row],[actual ret_ind]]</f>
        <v>290</v>
      </c>
    </row>
    <row r="445" spans="1:35" ht="15.75" customHeight="1" x14ac:dyDescent="0.3">
      <c r="A445" s="401" t="s">
        <v>34</v>
      </c>
      <c r="B445" s="401" t="s">
        <v>34</v>
      </c>
      <c r="C445" s="401" t="s">
        <v>187</v>
      </c>
      <c r="D445" s="401" t="s">
        <v>187</v>
      </c>
      <c r="E445" s="401" t="s">
        <v>1240</v>
      </c>
      <c r="F445" s="5" t="s">
        <v>1241</v>
      </c>
      <c r="G445" s="401"/>
      <c r="H445" s="1093" t="s">
        <v>511</v>
      </c>
      <c r="I445" s="1216" t="s">
        <v>3111</v>
      </c>
      <c r="J445" s="403">
        <v>20</v>
      </c>
      <c r="K445" s="403">
        <v>100</v>
      </c>
      <c r="L445" s="1093" t="s">
        <v>367</v>
      </c>
      <c r="M445" s="401"/>
      <c r="O445" s="404" t="s">
        <v>31</v>
      </c>
      <c r="P445" s="404" t="s">
        <v>31</v>
      </c>
      <c r="Q445" s="404" t="s">
        <v>169</v>
      </c>
      <c r="R445" s="404" t="s">
        <v>169</v>
      </c>
      <c r="S445" s="404" t="s">
        <v>1447</v>
      </c>
      <c r="T445" s="404" t="s">
        <v>2570</v>
      </c>
      <c r="U445" s="941">
        <v>35</v>
      </c>
      <c r="V445" s="941">
        <v>114</v>
      </c>
      <c r="W445" s="941">
        <v>0</v>
      </c>
      <c r="X445" s="941">
        <v>0</v>
      </c>
      <c r="Y445" s="941">
        <v>0</v>
      </c>
      <c r="Z445" s="941">
        <v>0</v>
      </c>
      <c r="AA445" s="942">
        <v>4</v>
      </c>
      <c r="AB445" s="942">
        <v>60</v>
      </c>
      <c r="AC445" s="942">
        <v>0</v>
      </c>
      <c r="AD445" s="942">
        <v>0</v>
      </c>
      <c r="AE445" s="942">
        <v>0</v>
      </c>
      <c r="AF445" s="942">
        <v>0</v>
      </c>
      <c r="AG445" s="943">
        <f>comparaison_samebasis_villages[[#This Row],[previous idp_ind]]-comparaison_samebasis_villages[[#This Row],[actual idp_ind]]</f>
        <v>-54</v>
      </c>
      <c r="AH445" s="943">
        <f>comparaison_samebasis_villages[[#This Row],[previous ref_ind]]-comparaison_samebasis_villages[[#This Row],[actual ref_ind]]</f>
        <v>0</v>
      </c>
      <c r="AI445" s="943">
        <f>comparaison_samebasis_villages[[#This Row],[previous ret_ind]]-comparaison_samebasis_villages[[#This Row],[actual ret_ind]]</f>
        <v>0</v>
      </c>
    </row>
    <row r="446" spans="1:35" ht="15.75" customHeight="1" x14ac:dyDescent="0.3">
      <c r="A446" s="401" t="s">
        <v>34</v>
      </c>
      <c r="B446" s="401" t="s">
        <v>34</v>
      </c>
      <c r="C446" s="401" t="s">
        <v>187</v>
      </c>
      <c r="D446" s="401" t="s">
        <v>187</v>
      </c>
      <c r="E446" s="401" t="s">
        <v>1240</v>
      </c>
      <c r="F446" s="5" t="s">
        <v>1241</v>
      </c>
      <c r="G446" s="401"/>
      <c r="H446" s="1093" t="s">
        <v>511</v>
      </c>
      <c r="I446" s="1216" t="s">
        <v>3112</v>
      </c>
      <c r="J446" s="403">
        <v>0</v>
      </c>
      <c r="K446" s="403">
        <v>30</v>
      </c>
      <c r="L446" s="1093" t="s">
        <v>367</v>
      </c>
      <c r="M446" s="401"/>
      <c r="O446" s="404" t="s">
        <v>31</v>
      </c>
      <c r="P446" s="404" t="s">
        <v>31</v>
      </c>
      <c r="Q446" s="404" t="s">
        <v>169</v>
      </c>
      <c r="R446" s="404" t="s">
        <v>169</v>
      </c>
      <c r="S446" s="404" t="s">
        <v>828</v>
      </c>
      <c r="T446" s="404" t="s">
        <v>1550</v>
      </c>
      <c r="U446" s="941">
        <v>22</v>
      </c>
      <c r="V446" s="941">
        <v>148</v>
      </c>
      <c r="W446" s="941">
        <v>0</v>
      </c>
      <c r="X446" s="941">
        <v>0</v>
      </c>
      <c r="Y446" s="941">
        <v>65</v>
      </c>
      <c r="Z446" s="941">
        <v>65</v>
      </c>
      <c r="AA446" s="942">
        <v>22</v>
      </c>
      <c r="AB446" s="942">
        <v>148</v>
      </c>
      <c r="AC446" s="942">
        <v>0</v>
      </c>
      <c r="AD446" s="942">
        <v>0</v>
      </c>
      <c r="AE446" s="942">
        <v>65</v>
      </c>
      <c r="AF446" s="942">
        <v>400</v>
      </c>
      <c r="AG446" s="943">
        <f>comparaison_samebasis_villages[[#This Row],[previous idp_ind]]-comparaison_samebasis_villages[[#This Row],[actual idp_ind]]</f>
        <v>0</v>
      </c>
      <c r="AH446" s="943">
        <f>comparaison_samebasis_villages[[#This Row],[previous ref_ind]]-comparaison_samebasis_villages[[#This Row],[actual ref_ind]]</f>
        <v>0</v>
      </c>
      <c r="AI446" s="943">
        <f>comparaison_samebasis_villages[[#This Row],[previous ret_ind]]-comparaison_samebasis_villages[[#This Row],[actual ret_ind]]</f>
        <v>335</v>
      </c>
    </row>
    <row r="447" spans="1:35" ht="15.75" customHeight="1" x14ac:dyDescent="0.3">
      <c r="A447" s="401" t="s">
        <v>31</v>
      </c>
      <c r="B447" s="401" t="s">
        <v>31</v>
      </c>
      <c r="C447" s="401" t="s">
        <v>166</v>
      </c>
      <c r="D447" s="401" t="s">
        <v>166</v>
      </c>
      <c r="E447" s="401" t="s">
        <v>2493</v>
      </c>
      <c r="F447" s="5" t="s">
        <v>1559</v>
      </c>
      <c r="G447" s="401"/>
      <c r="H447" s="1093" t="s">
        <v>511</v>
      </c>
      <c r="I447" s="1216" t="s">
        <v>3033</v>
      </c>
      <c r="J447" s="403">
        <v>1302</v>
      </c>
      <c r="K447" s="403">
        <v>9935</v>
      </c>
      <c r="L447" s="1093" t="s">
        <v>367</v>
      </c>
      <c r="M447" s="401"/>
      <c r="O447" s="404" t="s">
        <v>31</v>
      </c>
      <c r="P447" s="404" t="s">
        <v>31</v>
      </c>
      <c r="Q447" s="404" t="s">
        <v>169</v>
      </c>
      <c r="R447" s="404" t="s">
        <v>169</v>
      </c>
      <c r="S447" s="404" t="s">
        <v>1271</v>
      </c>
      <c r="T447" s="404" t="s">
        <v>2572</v>
      </c>
      <c r="U447" s="941">
        <v>16</v>
      </c>
      <c r="V447" s="941">
        <v>117</v>
      </c>
      <c r="W447" s="941">
        <v>18</v>
      </c>
      <c r="X447" s="941">
        <v>205</v>
      </c>
      <c r="Y447" s="941">
        <v>0</v>
      </c>
      <c r="Z447" s="941">
        <v>0</v>
      </c>
      <c r="AA447" s="942">
        <v>16</v>
      </c>
      <c r="AB447" s="942">
        <v>117</v>
      </c>
      <c r="AC447" s="942">
        <v>18</v>
      </c>
      <c r="AD447" s="942">
        <v>205</v>
      </c>
      <c r="AE447" s="942">
        <v>0</v>
      </c>
      <c r="AF447" s="942">
        <v>0</v>
      </c>
      <c r="AG447" s="943">
        <f>comparaison_samebasis_villages[[#This Row],[previous idp_ind]]-comparaison_samebasis_villages[[#This Row],[actual idp_ind]]</f>
        <v>0</v>
      </c>
      <c r="AH447" s="943">
        <f>comparaison_samebasis_villages[[#This Row],[previous ref_ind]]-comparaison_samebasis_villages[[#This Row],[actual ref_ind]]</f>
        <v>0</v>
      </c>
      <c r="AI447" s="943">
        <f>comparaison_samebasis_villages[[#This Row],[previous ret_ind]]-comparaison_samebasis_villages[[#This Row],[actual ret_ind]]</f>
        <v>0</v>
      </c>
    </row>
    <row r="448" spans="1:35" ht="15.75" customHeight="1" x14ac:dyDescent="0.3">
      <c r="A448" s="401" t="s">
        <v>31</v>
      </c>
      <c r="B448" s="401" t="s">
        <v>31</v>
      </c>
      <c r="C448" s="401" t="s">
        <v>166</v>
      </c>
      <c r="D448" s="401" t="s">
        <v>166</v>
      </c>
      <c r="E448" s="401" t="s">
        <v>2493</v>
      </c>
      <c r="F448" s="5" t="s">
        <v>1559</v>
      </c>
      <c r="G448" s="401"/>
      <c r="H448" s="1093" t="s">
        <v>511</v>
      </c>
      <c r="I448" s="1216" t="s">
        <v>3109</v>
      </c>
      <c r="J448" s="403">
        <v>39</v>
      </c>
      <c r="K448" s="403">
        <v>235</v>
      </c>
      <c r="L448" s="1093" t="s">
        <v>367</v>
      </c>
      <c r="M448" s="401"/>
      <c r="O448" s="404" t="s">
        <v>31</v>
      </c>
      <c r="P448" s="404" t="s">
        <v>31</v>
      </c>
      <c r="Q448" s="404" t="s">
        <v>169</v>
      </c>
      <c r="R448" s="404" t="s">
        <v>169</v>
      </c>
      <c r="S448" s="404" t="s">
        <v>1128</v>
      </c>
      <c r="T448" s="404" t="s">
        <v>1520</v>
      </c>
      <c r="U448" s="941">
        <v>15</v>
      </c>
      <c r="V448" s="941">
        <v>31</v>
      </c>
      <c r="W448" s="941">
        <v>20</v>
      </c>
      <c r="X448" s="941">
        <v>130</v>
      </c>
      <c r="Y448" s="941">
        <v>0</v>
      </c>
      <c r="Z448" s="941">
        <v>0</v>
      </c>
      <c r="AA448" s="942">
        <v>15</v>
      </c>
      <c r="AB448" s="942">
        <v>31</v>
      </c>
      <c r="AC448" s="942">
        <v>20</v>
      </c>
      <c r="AD448" s="942">
        <v>130</v>
      </c>
      <c r="AE448" s="942">
        <v>0</v>
      </c>
      <c r="AF448" s="942">
        <v>0</v>
      </c>
      <c r="AG448" s="943">
        <f>comparaison_samebasis_villages[[#This Row],[previous idp_ind]]-comparaison_samebasis_villages[[#This Row],[actual idp_ind]]</f>
        <v>0</v>
      </c>
      <c r="AH448" s="943">
        <f>comparaison_samebasis_villages[[#This Row],[previous ref_ind]]-comparaison_samebasis_villages[[#This Row],[actual ref_ind]]</f>
        <v>0</v>
      </c>
      <c r="AI448" s="943">
        <f>comparaison_samebasis_villages[[#This Row],[previous ret_ind]]-comparaison_samebasis_villages[[#This Row],[actual ret_ind]]</f>
        <v>0</v>
      </c>
    </row>
    <row r="449" spans="1:35" ht="15.75" customHeight="1" x14ac:dyDescent="0.3">
      <c r="A449" s="401" t="s">
        <v>31</v>
      </c>
      <c r="B449" s="401" t="s">
        <v>31</v>
      </c>
      <c r="C449" s="401" t="s">
        <v>166</v>
      </c>
      <c r="D449" s="401" t="s">
        <v>166</v>
      </c>
      <c r="E449" s="401" t="s">
        <v>2493</v>
      </c>
      <c r="F449" s="5" t="s">
        <v>1559</v>
      </c>
      <c r="G449" s="401"/>
      <c r="H449" s="1093" t="s">
        <v>511</v>
      </c>
      <c r="I449" s="1216" t="s">
        <v>3110</v>
      </c>
      <c r="J449" s="403">
        <v>43</v>
      </c>
      <c r="K449" s="403">
        <v>321</v>
      </c>
      <c r="L449" s="1093" t="s">
        <v>365</v>
      </c>
      <c r="M449" s="401"/>
      <c r="O449" s="404" t="s">
        <v>31</v>
      </c>
      <c r="P449" s="404" t="s">
        <v>31</v>
      </c>
      <c r="Q449" s="404" t="s">
        <v>169</v>
      </c>
      <c r="R449" s="404" t="s">
        <v>169</v>
      </c>
      <c r="S449" s="404" t="s">
        <v>1473</v>
      </c>
      <c r="T449" s="404" t="s">
        <v>1522</v>
      </c>
      <c r="U449" s="941">
        <v>0</v>
      </c>
      <c r="V449" s="941">
        <v>0</v>
      </c>
      <c r="W449" s="941">
        <v>0</v>
      </c>
      <c r="X449" s="941">
        <v>0</v>
      </c>
      <c r="Y449" s="941">
        <v>0</v>
      </c>
      <c r="Z449" s="941">
        <v>0</v>
      </c>
      <c r="AA449" s="942">
        <v>78</v>
      </c>
      <c r="AB449" s="942">
        <v>640</v>
      </c>
      <c r="AC449" s="942">
        <v>44</v>
      </c>
      <c r="AD449" s="942">
        <v>254</v>
      </c>
      <c r="AE449" s="942">
        <v>0</v>
      </c>
      <c r="AF449" s="942">
        <v>0</v>
      </c>
      <c r="AG449" s="943">
        <f>comparaison_samebasis_villages[[#This Row],[previous idp_ind]]-comparaison_samebasis_villages[[#This Row],[actual idp_ind]]</f>
        <v>640</v>
      </c>
      <c r="AH449" s="943">
        <f>comparaison_samebasis_villages[[#This Row],[previous ref_ind]]-comparaison_samebasis_villages[[#This Row],[actual ref_ind]]</f>
        <v>254</v>
      </c>
      <c r="AI449" s="943">
        <f>comparaison_samebasis_villages[[#This Row],[previous ret_ind]]-comparaison_samebasis_villages[[#This Row],[actual ret_ind]]</f>
        <v>0</v>
      </c>
    </row>
    <row r="450" spans="1:35" ht="15.75" customHeight="1" x14ac:dyDescent="0.3">
      <c r="A450" s="401" t="s">
        <v>31</v>
      </c>
      <c r="B450" s="401" t="s">
        <v>31</v>
      </c>
      <c r="C450" s="401" t="s">
        <v>166</v>
      </c>
      <c r="D450" s="401" t="s">
        <v>166</v>
      </c>
      <c r="E450" s="401" t="s">
        <v>2493</v>
      </c>
      <c r="F450" s="5" t="s">
        <v>1559</v>
      </c>
      <c r="G450" s="401"/>
      <c r="H450" s="1093" t="s">
        <v>511</v>
      </c>
      <c r="I450" s="1216" t="s">
        <v>3111</v>
      </c>
      <c r="J450" s="403">
        <v>2</v>
      </c>
      <c r="K450" s="403">
        <v>13</v>
      </c>
      <c r="L450" s="1093" t="s">
        <v>371</v>
      </c>
      <c r="M450" s="401"/>
      <c r="O450" s="404" t="s">
        <v>31</v>
      </c>
      <c r="P450" s="404" t="s">
        <v>31</v>
      </c>
      <c r="Q450" s="404" t="s">
        <v>169</v>
      </c>
      <c r="R450" s="404" t="s">
        <v>169</v>
      </c>
      <c r="S450" s="404" t="s">
        <v>1130</v>
      </c>
      <c r="T450" s="404" t="s">
        <v>1641</v>
      </c>
      <c r="U450" s="941">
        <v>8</v>
      </c>
      <c r="V450" s="941">
        <v>53</v>
      </c>
      <c r="W450" s="941">
        <v>6</v>
      </c>
      <c r="X450" s="941">
        <v>29</v>
      </c>
      <c r="Y450" s="941">
        <v>0</v>
      </c>
      <c r="Z450" s="941">
        <v>0</v>
      </c>
      <c r="AA450" s="942">
        <v>8</v>
      </c>
      <c r="AB450" s="942">
        <v>53</v>
      </c>
      <c r="AC450" s="942">
        <v>6</v>
      </c>
      <c r="AD450" s="942">
        <v>29</v>
      </c>
      <c r="AE450" s="942">
        <v>0</v>
      </c>
      <c r="AF450" s="942">
        <v>0</v>
      </c>
      <c r="AG450" s="943">
        <f>comparaison_samebasis_villages[[#This Row],[previous idp_ind]]-comparaison_samebasis_villages[[#This Row],[actual idp_ind]]</f>
        <v>0</v>
      </c>
      <c r="AH450" s="943">
        <f>comparaison_samebasis_villages[[#This Row],[previous ref_ind]]-comparaison_samebasis_villages[[#This Row],[actual ref_ind]]</f>
        <v>0</v>
      </c>
      <c r="AI450" s="943">
        <f>comparaison_samebasis_villages[[#This Row],[previous ret_ind]]-comparaison_samebasis_villages[[#This Row],[actual ret_ind]]</f>
        <v>0</v>
      </c>
    </row>
    <row r="451" spans="1:35" ht="15.75" customHeight="1" x14ac:dyDescent="0.3">
      <c r="A451" s="401" t="s">
        <v>31</v>
      </c>
      <c r="B451" s="401" t="s">
        <v>31</v>
      </c>
      <c r="C451" s="401" t="s">
        <v>172</v>
      </c>
      <c r="D451" s="401" t="s">
        <v>172</v>
      </c>
      <c r="E451" s="401" t="s">
        <v>1999</v>
      </c>
      <c r="F451" s="5" t="s">
        <v>2697</v>
      </c>
      <c r="G451" s="401"/>
      <c r="H451" s="1093" t="s">
        <v>511</v>
      </c>
      <c r="I451" s="1216" t="s">
        <v>3112</v>
      </c>
      <c r="J451" s="403">
        <v>15</v>
      </c>
      <c r="K451" s="403">
        <v>102</v>
      </c>
      <c r="L451" s="1093" t="s">
        <v>365</v>
      </c>
      <c r="M451" s="401"/>
      <c r="O451" s="404" t="s">
        <v>31</v>
      </c>
      <c r="P451" s="404" t="s">
        <v>31</v>
      </c>
      <c r="Q451" s="404" t="s">
        <v>169</v>
      </c>
      <c r="R451" s="404" t="s">
        <v>169</v>
      </c>
      <c r="S451" s="404" t="s">
        <v>613</v>
      </c>
      <c r="T451" s="404" t="s">
        <v>2574</v>
      </c>
      <c r="U451" s="941">
        <v>8</v>
      </c>
      <c r="V451" s="941">
        <v>39</v>
      </c>
      <c r="W451" s="941">
        <v>22</v>
      </c>
      <c r="X451" s="941">
        <v>113</v>
      </c>
      <c r="Y451" s="941">
        <v>49</v>
      </c>
      <c r="Z451" s="941">
        <v>49</v>
      </c>
      <c r="AA451" s="942">
        <v>0</v>
      </c>
      <c r="AB451" s="942">
        <v>0</v>
      </c>
      <c r="AC451" s="942">
        <v>22</v>
      </c>
      <c r="AD451" s="942">
        <v>113</v>
      </c>
      <c r="AE451" s="942">
        <v>49</v>
      </c>
      <c r="AF451" s="942">
        <v>450</v>
      </c>
      <c r="AG451" s="943">
        <f>comparaison_samebasis_villages[[#This Row],[previous idp_ind]]-comparaison_samebasis_villages[[#This Row],[actual idp_ind]]</f>
        <v>-39</v>
      </c>
      <c r="AH451" s="943">
        <f>comparaison_samebasis_villages[[#This Row],[previous ref_ind]]-comparaison_samebasis_villages[[#This Row],[actual ref_ind]]</f>
        <v>0</v>
      </c>
      <c r="AI451" s="943">
        <f>comparaison_samebasis_villages[[#This Row],[previous ret_ind]]-comparaison_samebasis_villages[[#This Row],[actual ret_ind]]</f>
        <v>401</v>
      </c>
    </row>
    <row r="452" spans="1:35" ht="15.75" customHeight="1" x14ac:dyDescent="0.3">
      <c r="A452" s="401" t="s">
        <v>32</v>
      </c>
      <c r="B452" s="401" t="s">
        <v>32</v>
      </c>
      <c r="C452" s="401" t="s">
        <v>178</v>
      </c>
      <c r="D452" s="401" t="s">
        <v>178</v>
      </c>
      <c r="E452" s="401" t="s">
        <v>1015</v>
      </c>
      <c r="F452" s="5" t="s">
        <v>1016</v>
      </c>
      <c r="G452" s="401"/>
      <c r="H452" s="1093" t="s">
        <v>511</v>
      </c>
      <c r="I452" s="1216" t="s">
        <v>3112</v>
      </c>
      <c r="J452" s="403">
        <v>12</v>
      </c>
      <c r="K452" s="403">
        <v>100</v>
      </c>
      <c r="L452" s="1093" t="s">
        <v>369</v>
      </c>
      <c r="M452" s="401"/>
      <c r="O452" s="404" t="s">
        <v>31</v>
      </c>
      <c r="P452" s="404" t="s">
        <v>31</v>
      </c>
      <c r="Q452" s="404" t="s">
        <v>169</v>
      </c>
      <c r="R452" s="404" t="s">
        <v>169</v>
      </c>
      <c r="S452" s="404" t="s">
        <v>841</v>
      </c>
      <c r="T452" s="404" t="s">
        <v>1639</v>
      </c>
      <c r="U452" s="941">
        <v>22</v>
      </c>
      <c r="V452" s="941">
        <v>90</v>
      </c>
      <c r="W452" s="941">
        <v>30</v>
      </c>
      <c r="X452" s="941">
        <v>100</v>
      </c>
      <c r="Y452" s="941">
        <v>0</v>
      </c>
      <c r="Z452" s="941">
        <v>0</v>
      </c>
      <c r="AA452" s="942">
        <v>22</v>
      </c>
      <c r="AB452" s="942">
        <v>90</v>
      </c>
      <c r="AC452" s="942">
        <v>30</v>
      </c>
      <c r="AD452" s="942">
        <v>100</v>
      </c>
      <c r="AE452" s="942">
        <v>0</v>
      </c>
      <c r="AF452" s="942">
        <v>0</v>
      </c>
      <c r="AG452" s="943">
        <f>comparaison_samebasis_villages[[#This Row],[previous idp_ind]]-comparaison_samebasis_villages[[#This Row],[actual idp_ind]]</f>
        <v>0</v>
      </c>
      <c r="AH452" s="943">
        <f>comparaison_samebasis_villages[[#This Row],[previous ref_ind]]-comparaison_samebasis_villages[[#This Row],[actual ref_ind]]</f>
        <v>0</v>
      </c>
      <c r="AI452" s="943">
        <f>comparaison_samebasis_villages[[#This Row],[previous ret_ind]]-comparaison_samebasis_villages[[#This Row],[actual ret_ind]]</f>
        <v>0</v>
      </c>
    </row>
    <row r="453" spans="1:35" ht="15.75" customHeight="1" x14ac:dyDescent="0.3">
      <c r="A453" s="401" t="s">
        <v>32</v>
      </c>
      <c r="B453" s="401" t="s">
        <v>32</v>
      </c>
      <c r="C453" s="401" t="s">
        <v>178</v>
      </c>
      <c r="D453" s="401" t="s">
        <v>178</v>
      </c>
      <c r="E453" s="401" t="s">
        <v>3214</v>
      </c>
      <c r="F453" s="5" t="s">
        <v>2780</v>
      </c>
      <c r="G453" s="401"/>
      <c r="H453" s="1093" t="s">
        <v>511</v>
      </c>
      <c r="I453" s="1216" t="s">
        <v>3112</v>
      </c>
      <c r="J453" s="403">
        <v>12</v>
      </c>
      <c r="K453" s="403">
        <v>123</v>
      </c>
      <c r="L453" s="1093" t="s">
        <v>367</v>
      </c>
      <c r="M453" s="401"/>
      <c r="O453" s="404" t="s">
        <v>31</v>
      </c>
      <c r="P453" s="404" t="s">
        <v>31</v>
      </c>
      <c r="Q453" s="404" t="s">
        <v>169</v>
      </c>
      <c r="R453" s="404" t="s">
        <v>169</v>
      </c>
      <c r="S453" s="404" t="s">
        <v>1469</v>
      </c>
      <c r="T453" s="404" t="s">
        <v>1446</v>
      </c>
      <c r="U453" s="941">
        <v>35</v>
      </c>
      <c r="V453" s="941">
        <v>370</v>
      </c>
      <c r="W453" s="941">
        <v>0</v>
      </c>
      <c r="X453" s="941">
        <v>0</v>
      </c>
      <c r="Y453" s="941">
        <v>5</v>
      </c>
      <c r="Z453" s="941">
        <v>5</v>
      </c>
      <c r="AA453" s="942">
        <v>40</v>
      </c>
      <c r="AB453" s="942">
        <v>390</v>
      </c>
      <c r="AC453" s="942">
        <v>0</v>
      </c>
      <c r="AD453" s="942">
        <v>0</v>
      </c>
      <c r="AE453" s="942">
        <v>0</v>
      </c>
      <c r="AF453" s="942">
        <v>0</v>
      </c>
      <c r="AG453" s="943">
        <f>comparaison_samebasis_villages[[#This Row],[previous idp_ind]]-comparaison_samebasis_villages[[#This Row],[actual idp_ind]]</f>
        <v>20</v>
      </c>
      <c r="AH453" s="943">
        <f>comparaison_samebasis_villages[[#This Row],[previous ref_ind]]-comparaison_samebasis_villages[[#This Row],[actual ref_ind]]</f>
        <v>0</v>
      </c>
      <c r="AI453" s="943">
        <f>comparaison_samebasis_villages[[#This Row],[previous ret_ind]]-comparaison_samebasis_villages[[#This Row],[actual ret_ind]]</f>
        <v>-5</v>
      </c>
    </row>
    <row r="454" spans="1:35" ht="15.75" customHeight="1" x14ac:dyDescent="0.3">
      <c r="A454" s="401" t="s">
        <v>32</v>
      </c>
      <c r="B454" s="401" t="s">
        <v>32</v>
      </c>
      <c r="C454" s="401" t="s">
        <v>178</v>
      </c>
      <c r="D454" s="401" t="s">
        <v>178</v>
      </c>
      <c r="E454" s="401" t="s">
        <v>3216</v>
      </c>
      <c r="F454" s="5" t="s">
        <v>2776</v>
      </c>
      <c r="G454" s="401"/>
      <c r="H454" s="1093" t="s">
        <v>511</v>
      </c>
      <c r="I454" s="1216" t="s">
        <v>3112</v>
      </c>
      <c r="J454" s="403">
        <v>3</v>
      </c>
      <c r="K454" s="403">
        <v>18</v>
      </c>
      <c r="L454" s="1093" t="s">
        <v>367</v>
      </c>
      <c r="M454" s="401"/>
      <c r="O454" s="404" t="s">
        <v>31</v>
      </c>
      <c r="P454" s="404" t="s">
        <v>31</v>
      </c>
      <c r="Q454" s="404" t="s">
        <v>169</v>
      </c>
      <c r="R454" s="404" t="s">
        <v>169</v>
      </c>
      <c r="S454" s="404" t="s">
        <v>904</v>
      </c>
      <c r="T454" s="404" t="s">
        <v>827</v>
      </c>
      <c r="U454" s="941">
        <v>153</v>
      </c>
      <c r="V454" s="941">
        <v>1332</v>
      </c>
      <c r="W454" s="941">
        <v>115</v>
      </c>
      <c r="X454" s="941">
        <v>674</v>
      </c>
      <c r="Y454" s="941">
        <v>0</v>
      </c>
      <c r="Z454" s="941">
        <v>0</v>
      </c>
      <c r="AA454" s="942">
        <v>153</v>
      </c>
      <c r="AB454" s="942">
        <v>1332</v>
      </c>
      <c r="AC454" s="942">
        <v>115</v>
      </c>
      <c r="AD454" s="942">
        <v>674</v>
      </c>
      <c r="AE454" s="942">
        <v>0</v>
      </c>
      <c r="AF454" s="942">
        <v>0</v>
      </c>
      <c r="AG454" s="943">
        <f>comparaison_samebasis_villages[[#This Row],[previous idp_ind]]-comparaison_samebasis_villages[[#This Row],[actual idp_ind]]</f>
        <v>0</v>
      </c>
      <c r="AH454" s="943">
        <f>comparaison_samebasis_villages[[#This Row],[previous ref_ind]]-comparaison_samebasis_villages[[#This Row],[actual ref_ind]]</f>
        <v>0</v>
      </c>
      <c r="AI454" s="943">
        <f>comparaison_samebasis_villages[[#This Row],[previous ret_ind]]-comparaison_samebasis_villages[[#This Row],[actual ret_ind]]</f>
        <v>0</v>
      </c>
    </row>
    <row r="455" spans="1:35" ht="15.75" customHeight="1" x14ac:dyDescent="0.3">
      <c r="A455" s="401" t="s">
        <v>32</v>
      </c>
      <c r="B455" s="401" t="s">
        <v>32</v>
      </c>
      <c r="C455" s="401" t="s">
        <v>178</v>
      </c>
      <c r="D455" s="401" t="s">
        <v>178</v>
      </c>
      <c r="E455" s="401" t="s">
        <v>544</v>
      </c>
      <c r="F455" s="5" t="s">
        <v>545</v>
      </c>
      <c r="G455" s="401"/>
      <c r="H455" s="1093" t="s">
        <v>511</v>
      </c>
      <c r="I455" s="1216" t="s">
        <v>3112</v>
      </c>
      <c r="J455" s="403">
        <v>23</v>
      </c>
      <c r="K455" s="403">
        <v>162</v>
      </c>
      <c r="L455" s="1093" t="s">
        <v>367</v>
      </c>
      <c r="M455" s="401"/>
      <c r="O455" s="404" t="s">
        <v>31</v>
      </c>
      <c r="P455" s="404" t="s">
        <v>31</v>
      </c>
      <c r="Q455" s="404" t="s">
        <v>169</v>
      </c>
      <c r="R455" s="404" t="s">
        <v>169</v>
      </c>
      <c r="S455" s="404" t="s">
        <v>1634</v>
      </c>
      <c r="T455" s="404" t="s">
        <v>3016</v>
      </c>
      <c r="U455" s="941">
        <v>11</v>
      </c>
      <c r="V455" s="941">
        <v>42</v>
      </c>
      <c r="W455" s="941">
        <v>32</v>
      </c>
      <c r="X455" s="941">
        <v>224</v>
      </c>
      <c r="Y455" s="941">
        <v>44</v>
      </c>
      <c r="Z455" s="941">
        <v>44</v>
      </c>
      <c r="AA455" s="942">
        <v>11</v>
      </c>
      <c r="AB455" s="942">
        <v>42</v>
      </c>
      <c r="AC455" s="942">
        <v>0</v>
      </c>
      <c r="AD455" s="942">
        <v>0</v>
      </c>
      <c r="AE455" s="942">
        <v>7</v>
      </c>
      <c r="AF455" s="942">
        <v>19</v>
      </c>
      <c r="AG455" s="943">
        <f>comparaison_samebasis_villages[[#This Row],[previous idp_ind]]-comparaison_samebasis_villages[[#This Row],[actual idp_ind]]</f>
        <v>0</v>
      </c>
      <c r="AH455" s="943">
        <f>comparaison_samebasis_villages[[#This Row],[previous ref_ind]]-comparaison_samebasis_villages[[#This Row],[actual ref_ind]]</f>
        <v>-224</v>
      </c>
      <c r="AI455" s="943">
        <f>comparaison_samebasis_villages[[#This Row],[previous ret_ind]]-comparaison_samebasis_villages[[#This Row],[actual ret_ind]]</f>
        <v>-25</v>
      </c>
    </row>
    <row r="456" spans="1:35" ht="15.75" customHeight="1" x14ac:dyDescent="0.3">
      <c r="A456" s="401" t="s">
        <v>32</v>
      </c>
      <c r="B456" s="401" t="s">
        <v>32</v>
      </c>
      <c r="C456" s="401" t="s">
        <v>178</v>
      </c>
      <c r="D456" s="401" t="s">
        <v>178</v>
      </c>
      <c r="E456" s="401" t="s">
        <v>544</v>
      </c>
      <c r="F456" s="5" t="s">
        <v>545</v>
      </c>
      <c r="G456" s="401"/>
      <c r="H456" s="1093" t="s">
        <v>511</v>
      </c>
      <c r="I456" s="1216" t="s">
        <v>3111</v>
      </c>
      <c r="J456" s="403">
        <v>15</v>
      </c>
      <c r="K456" s="403">
        <v>90</v>
      </c>
      <c r="L456" s="1093" t="s">
        <v>367</v>
      </c>
      <c r="M456" s="401"/>
      <c r="O456" s="404" t="s">
        <v>31</v>
      </c>
      <c r="P456" s="404" t="s">
        <v>31</v>
      </c>
      <c r="Q456" s="404" t="s">
        <v>169</v>
      </c>
      <c r="R456" s="404" t="s">
        <v>169</v>
      </c>
      <c r="S456" s="404" t="s">
        <v>674</v>
      </c>
      <c r="T456" s="404" t="s">
        <v>1270</v>
      </c>
      <c r="U456" s="941">
        <v>7</v>
      </c>
      <c r="V456" s="941">
        <v>65</v>
      </c>
      <c r="W456" s="941">
        <v>0</v>
      </c>
      <c r="X456" s="941">
        <v>0</v>
      </c>
      <c r="Y456" s="941">
        <v>150</v>
      </c>
      <c r="Z456" s="941">
        <v>150</v>
      </c>
      <c r="AA456" s="942">
        <v>7</v>
      </c>
      <c r="AB456" s="942">
        <v>65</v>
      </c>
      <c r="AC456" s="942">
        <v>0</v>
      </c>
      <c r="AD456" s="942">
        <v>0</v>
      </c>
      <c r="AE456" s="942">
        <v>150</v>
      </c>
      <c r="AF456" s="942">
        <v>623</v>
      </c>
      <c r="AG456" s="943">
        <f>comparaison_samebasis_villages[[#This Row],[previous idp_ind]]-comparaison_samebasis_villages[[#This Row],[actual idp_ind]]</f>
        <v>0</v>
      </c>
      <c r="AH456" s="943">
        <f>comparaison_samebasis_villages[[#This Row],[previous ref_ind]]-comparaison_samebasis_villages[[#This Row],[actual ref_ind]]</f>
        <v>0</v>
      </c>
      <c r="AI456" s="943">
        <f>comparaison_samebasis_villages[[#This Row],[previous ret_ind]]-comparaison_samebasis_villages[[#This Row],[actual ret_ind]]</f>
        <v>473</v>
      </c>
    </row>
    <row r="457" spans="1:35" ht="15.75" customHeight="1" x14ac:dyDescent="0.3">
      <c r="A457" s="401" t="s">
        <v>32</v>
      </c>
      <c r="B457" s="401" t="s">
        <v>32</v>
      </c>
      <c r="C457" s="401" t="s">
        <v>178</v>
      </c>
      <c r="D457" s="401" t="s">
        <v>178</v>
      </c>
      <c r="E457" s="401" t="s">
        <v>3219</v>
      </c>
      <c r="F457" s="5" t="s">
        <v>2787</v>
      </c>
      <c r="G457" s="401"/>
      <c r="H457" s="1093" t="s">
        <v>511</v>
      </c>
      <c r="I457" s="1216" t="s">
        <v>3111</v>
      </c>
      <c r="J457" s="403">
        <v>7</v>
      </c>
      <c r="K457" s="403">
        <v>27</v>
      </c>
      <c r="L457" s="1093" t="s">
        <v>371</v>
      </c>
      <c r="M457" s="401"/>
      <c r="O457" s="404" t="s">
        <v>31</v>
      </c>
      <c r="P457" s="404" t="s">
        <v>31</v>
      </c>
      <c r="Q457" s="404" t="s">
        <v>169</v>
      </c>
      <c r="R457" s="404" t="s">
        <v>169</v>
      </c>
      <c r="S457" s="404" t="s">
        <v>677</v>
      </c>
      <c r="T457" s="404" t="s">
        <v>1127</v>
      </c>
      <c r="U457" s="941">
        <v>21</v>
      </c>
      <c r="V457" s="941">
        <v>198</v>
      </c>
      <c r="W457" s="941">
        <v>0</v>
      </c>
      <c r="X457" s="941">
        <v>0</v>
      </c>
      <c r="Y457" s="941">
        <v>20</v>
      </c>
      <c r="Z457" s="941">
        <v>20</v>
      </c>
      <c r="AA457" s="942">
        <v>21</v>
      </c>
      <c r="AB457" s="942">
        <v>193</v>
      </c>
      <c r="AC457" s="942">
        <v>0</v>
      </c>
      <c r="AD457" s="942">
        <v>0</v>
      </c>
      <c r="AE457" s="942">
        <v>20</v>
      </c>
      <c r="AF457" s="942">
        <v>100</v>
      </c>
      <c r="AG457" s="943">
        <f>comparaison_samebasis_villages[[#This Row],[previous idp_ind]]-comparaison_samebasis_villages[[#This Row],[actual idp_ind]]</f>
        <v>-5</v>
      </c>
      <c r="AH457" s="943">
        <f>comparaison_samebasis_villages[[#This Row],[previous ref_ind]]-comparaison_samebasis_villages[[#This Row],[actual ref_ind]]</f>
        <v>0</v>
      </c>
      <c r="AI457" s="943">
        <f>comparaison_samebasis_villages[[#This Row],[previous ret_ind]]-comparaison_samebasis_villages[[#This Row],[actual ret_ind]]</f>
        <v>80</v>
      </c>
    </row>
    <row r="458" spans="1:35" ht="15.75" customHeight="1" x14ac:dyDescent="0.3">
      <c r="A458" s="401" t="s">
        <v>32</v>
      </c>
      <c r="B458" s="401" t="s">
        <v>32</v>
      </c>
      <c r="C458" s="401" t="s">
        <v>178</v>
      </c>
      <c r="D458" s="401" t="s">
        <v>178</v>
      </c>
      <c r="E458" s="401" t="s">
        <v>3219</v>
      </c>
      <c r="F458" s="5" t="s">
        <v>2787</v>
      </c>
      <c r="G458" s="401"/>
      <c r="H458" s="1093" t="s">
        <v>511</v>
      </c>
      <c r="I458" s="1216" t="s">
        <v>3112</v>
      </c>
      <c r="J458" s="403">
        <v>35</v>
      </c>
      <c r="K458" s="403">
        <v>103</v>
      </c>
      <c r="L458" s="1093" t="s">
        <v>365</v>
      </c>
      <c r="M458" s="401"/>
      <c r="O458" s="404" t="s">
        <v>31</v>
      </c>
      <c r="P458" s="404" t="s">
        <v>31</v>
      </c>
      <c r="Q458" s="404" t="s">
        <v>169</v>
      </c>
      <c r="R458" s="404" t="s">
        <v>169</v>
      </c>
      <c r="S458" s="404" t="s">
        <v>2376</v>
      </c>
      <c r="T458" s="404" t="s">
        <v>1472</v>
      </c>
      <c r="U458" s="941">
        <v>0</v>
      </c>
      <c r="V458" s="941">
        <v>0</v>
      </c>
      <c r="W458" s="941">
        <v>0</v>
      </c>
      <c r="X458" s="941">
        <v>0</v>
      </c>
      <c r="Y458" s="941">
        <v>204</v>
      </c>
      <c r="Z458" s="941">
        <v>204</v>
      </c>
      <c r="AA458" s="942">
        <v>0</v>
      </c>
      <c r="AB458" s="942">
        <v>0</v>
      </c>
      <c r="AC458" s="942">
        <v>0</v>
      </c>
      <c r="AD458" s="942">
        <v>0</v>
      </c>
      <c r="AE458" s="942">
        <v>201</v>
      </c>
      <c r="AF458" s="942">
        <v>1500</v>
      </c>
      <c r="AG458" s="943">
        <f>comparaison_samebasis_villages[[#This Row],[previous idp_ind]]-comparaison_samebasis_villages[[#This Row],[actual idp_ind]]</f>
        <v>0</v>
      </c>
      <c r="AH458" s="943">
        <f>comparaison_samebasis_villages[[#This Row],[previous ref_ind]]-comparaison_samebasis_villages[[#This Row],[actual ref_ind]]</f>
        <v>0</v>
      </c>
      <c r="AI458" s="943">
        <f>comparaison_samebasis_villages[[#This Row],[previous ret_ind]]-comparaison_samebasis_villages[[#This Row],[actual ret_ind]]</f>
        <v>1296</v>
      </c>
    </row>
    <row r="459" spans="1:35" ht="15.75" customHeight="1" x14ac:dyDescent="0.3">
      <c r="A459" s="401" t="s">
        <v>32</v>
      </c>
      <c r="B459" s="401" t="s">
        <v>32</v>
      </c>
      <c r="C459" s="401" t="s">
        <v>178</v>
      </c>
      <c r="D459" s="401" t="s">
        <v>178</v>
      </c>
      <c r="E459" s="401" t="s">
        <v>3316</v>
      </c>
      <c r="F459" s="5" t="s">
        <v>2782</v>
      </c>
      <c r="G459" s="401"/>
      <c r="H459" s="1093" t="s">
        <v>511</v>
      </c>
      <c r="I459" s="1216" t="s">
        <v>3111</v>
      </c>
      <c r="J459" s="403">
        <v>20</v>
      </c>
      <c r="K459" s="403">
        <v>158</v>
      </c>
      <c r="L459" s="1093" t="s">
        <v>365</v>
      </c>
      <c r="M459" s="401"/>
      <c r="O459" s="404" t="s">
        <v>31</v>
      </c>
      <c r="P459" s="404" t="s">
        <v>31</v>
      </c>
      <c r="Q459" s="404" t="s">
        <v>169</v>
      </c>
      <c r="R459" s="404" t="s">
        <v>169</v>
      </c>
      <c r="S459" s="404" t="s">
        <v>1561</v>
      </c>
      <c r="T459" s="404" t="s">
        <v>1129</v>
      </c>
      <c r="U459" s="941">
        <v>81</v>
      </c>
      <c r="V459" s="941">
        <v>635</v>
      </c>
      <c r="W459" s="941">
        <v>0</v>
      </c>
      <c r="X459" s="941">
        <v>0</v>
      </c>
      <c r="Y459" s="941">
        <v>0</v>
      </c>
      <c r="Z459" s="941">
        <v>0</v>
      </c>
      <c r="AA459" s="942">
        <v>81</v>
      </c>
      <c r="AB459" s="942">
        <v>635</v>
      </c>
      <c r="AC459" s="942">
        <v>0</v>
      </c>
      <c r="AD459" s="942">
        <v>0</v>
      </c>
      <c r="AE459" s="942">
        <v>0</v>
      </c>
      <c r="AF459" s="942">
        <v>0</v>
      </c>
      <c r="AG459" s="943">
        <f>comparaison_samebasis_villages[[#This Row],[previous idp_ind]]-comparaison_samebasis_villages[[#This Row],[actual idp_ind]]</f>
        <v>0</v>
      </c>
      <c r="AH459" s="943">
        <f>comparaison_samebasis_villages[[#This Row],[previous ref_ind]]-comparaison_samebasis_villages[[#This Row],[actual ref_ind]]</f>
        <v>0</v>
      </c>
      <c r="AI459" s="943">
        <f>comparaison_samebasis_villages[[#This Row],[previous ret_ind]]-comparaison_samebasis_villages[[#This Row],[actual ret_ind]]</f>
        <v>0</v>
      </c>
    </row>
    <row r="460" spans="1:35" ht="15.75" customHeight="1" x14ac:dyDescent="0.3">
      <c r="A460" s="401" t="s">
        <v>32</v>
      </c>
      <c r="B460" s="401" t="s">
        <v>32</v>
      </c>
      <c r="C460" s="401" t="s">
        <v>178</v>
      </c>
      <c r="D460" s="401" t="s">
        <v>178</v>
      </c>
      <c r="E460" s="401" t="s">
        <v>3316</v>
      </c>
      <c r="F460" s="5" t="s">
        <v>2782</v>
      </c>
      <c r="G460" s="401"/>
      <c r="H460" s="1093" t="s">
        <v>511</v>
      </c>
      <c r="I460" s="1216" t="s">
        <v>3112</v>
      </c>
      <c r="J460" s="403">
        <v>42</v>
      </c>
      <c r="K460" s="403">
        <v>326</v>
      </c>
      <c r="L460" s="1093" t="s">
        <v>369</v>
      </c>
      <c r="M460" s="401"/>
      <c r="O460" s="404" t="s">
        <v>31</v>
      </c>
      <c r="P460" s="404" t="s">
        <v>31</v>
      </c>
      <c r="Q460" s="404" t="s">
        <v>169</v>
      </c>
      <c r="R460" s="404" t="s">
        <v>169</v>
      </c>
      <c r="S460" s="404" t="s">
        <v>1560</v>
      </c>
      <c r="T460" s="404" t="s">
        <v>2577</v>
      </c>
      <c r="U460" s="941">
        <v>25</v>
      </c>
      <c r="V460" s="941">
        <v>215</v>
      </c>
      <c r="W460" s="941">
        <v>0</v>
      </c>
      <c r="X460" s="941">
        <v>0</v>
      </c>
      <c r="Y460" s="941">
        <v>0</v>
      </c>
      <c r="Z460" s="941">
        <v>0</v>
      </c>
      <c r="AA460" s="942">
        <v>25</v>
      </c>
      <c r="AB460" s="942">
        <v>215</v>
      </c>
      <c r="AC460" s="942">
        <v>0</v>
      </c>
      <c r="AD460" s="942">
        <v>0</v>
      </c>
      <c r="AE460" s="942">
        <v>0</v>
      </c>
      <c r="AF460" s="942">
        <v>0</v>
      </c>
      <c r="AG460" s="943">
        <f>comparaison_samebasis_villages[[#This Row],[previous idp_ind]]-comparaison_samebasis_villages[[#This Row],[actual idp_ind]]</f>
        <v>0</v>
      </c>
      <c r="AH460" s="943">
        <f>comparaison_samebasis_villages[[#This Row],[previous ref_ind]]-comparaison_samebasis_villages[[#This Row],[actual ref_ind]]</f>
        <v>0</v>
      </c>
      <c r="AI460" s="943">
        <f>comparaison_samebasis_villages[[#This Row],[previous ret_ind]]-comparaison_samebasis_villages[[#This Row],[actual ret_ind]]</f>
        <v>0</v>
      </c>
    </row>
    <row r="461" spans="1:35" ht="15.75" customHeight="1" x14ac:dyDescent="0.3">
      <c r="A461" s="401" t="s">
        <v>32</v>
      </c>
      <c r="B461" s="401" t="s">
        <v>32</v>
      </c>
      <c r="C461" s="401" t="s">
        <v>178</v>
      </c>
      <c r="D461" s="401" t="s">
        <v>178</v>
      </c>
      <c r="E461" s="401" t="s">
        <v>3194</v>
      </c>
      <c r="F461" s="5" t="s">
        <v>2792</v>
      </c>
      <c r="G461" s="401"/>
      <c r="H461" s="1093" t="s">
        <v>511</v>
      </c>
      <c r="I461" s="1216" t="s">
        <v>3111</v>
      </c>
      <c r="J461" s="403">
        <v>30</v>
      </c>
      <c r="K461" s="403">
        <v>237</v>
      </c>
      <c r="L461" s="1093" t="s">
        <v>371</v>
      </c>
      <c r="M461" s="1176"/>
      <c r="O461" s="404" t="s">
        <v>31</v>
      </c>
      <c r="P461" s="404" t="s">
        <v>31</v>
      </c>
      <c r="Q461" s="404" t="s">
        <v>169</v>
      </c>
      <c r="R461" s="404" t="s">
        <v>169</v>
      </c>
      <c r="S461" s="404" t="s">
        <v>2377</v>
      </c>
      <c r="T461" s="404" t="s">
        <v>1646</v>
      </c>
      <c r="U461" s="941">
        <v>0</v>
      </c>
      <c r="V461" s="941">
        <v>0</v>
      </c>
      <c r="W461" s="941">
        <v>0</v>
      </c>
      <c r="X461" s="941">
        <v>0</v>
      </c>
      <c r="Y461" s="941">
        <v>56</v>
      </c>
      <c r="Z461" s="941">
        <v>56</v>
      </c>
      <c r="AA461" s="942">
        <v>0</v>
      </c>
      <c r="AB461" s="942">
        <v>0</v>
      </c>
      <c r="AC461" s="942">
        <v>0</v>
      </c>
      <c r="AD461" s="942">
        <v>0</v>
      </c>
      <c r="AE461" s="942">
        <v>0</v>
      </c>
      <c r="AF461" s="942">
        <v>0</v>
      </c>
      <c r="AG461" s="943">
        <f>comparaison_samebasis_villages[[#This Row],[previous idp_ind]]-comparaison_samebasis_villages[[#This Row],[actual idp_ind]]</f>
        <v>0</v>
      </c>
      <c r="AH461" s="943">
        <f>comparaison_samebasis_villages[[#This Row],[previous ref_ind]]-comparaison_samebasis_villages[[#This Row],[actual ref_ind]]</f>
        <v>0</v>
      </c>
      <c r="AI461" s="943">
        <f>comparaison_samebasis_villages[[#This Row],[previous ret_ind]]-comparaison_samebasis_villages[[#This Row],[actual ret_ind]]</f>
        <v>-56</v>
      </c>
    </row>
    <row r="462" spans="1:35" ht="15.75" customHeight="1" x14ac:dyDescent="0.3">
      <c r="A462" s="401" t="s">
        <v>32</v>
      </c>
      <c r="B462" s="401" t="s">
        <v>32</v>
      </c>
      <c r="C462" s="401" t="s">
        <v>178</v>
      </c>
      <c r="D462" s="401" t="s">
        <v>178</v>
      </c>
      <c r="E462" s="401" t="s">
        <v>3194</v>
      </c>
      <c r="F462" s="5" t="s">
        <v>2792</v>
      </c>
      <c r="G462" s="401"/>
      <c r="H462" s="1093" t="s">
        <v>511</v>
      </c>
      <c r="I462" s="1216" t="s">
        <v>3112</v>
      </c>
      <c r="J462" s="403">
        <v>130</v>
      </c>
      <c r="K462" s="403">
        <v>963</v>
      </c>
      <c r="L462" s="1093" t="s">
        <v>367</v>
      </c>
      <c r="M462" s="401"/>
      <c r="O462" s="404" t="s">
        <v>31</v>
      </c>
      <c r="P462" s="404" t="s">
        <v>31</v>
      </c>
      <c r="Q462" s="404" t="s">
        <v>169</v>
      </c>
      <c r="R462" s="404" t="s">
        <v>169</v>
      </c>
      <c r="S462" s="404" t="s">
        <v>1470</v>
      </c>
      <c r="T462" s="404" t="s">
        <v>1468</v>
      </c>
      <c r="U462" s="941">
        <v>3</v>
      </c>
      <c r="V462" s="941">
        <v>18</v>
      </c>
      <c r="W462" s="941">
        <v>0</v>
      </c>
      <c r="X462" s="941">
        <v>0</v>
      </c>
      <c r="Y462" s="941">
        <v>0</v>
      </c>
      <c r="Z462" s="941">
        <v>0</v>
      </c>
      <c r="AA462" s="942">
        <v>3</v>
      </c>
      <c r="AB462" s="942">
        <v>18</v>
      </c>
      <c r="AC462" s="942">
        <v>0</v>
      </c>
      <c r="AD462" s="942">
        <v>0</v>
      </c>
      <c r="AE462" s="942">
        <v>0</v>
      </c>
      <c r="AF462" s="942">
        <v>0</v>
      </c>
      <c r="AG462" s="943">
        <f>comparaison_samebasis_villages[[#This Row],[previous idp_ind]]-comparaison_samebasis_villages[[#This Row],[actual idp_ind]]</f>
        <v>0</v>
      </c>
      <c r="AH462" s="943">
        <f>comparaison_samebasis_villages[[#This Row],[previous ref_ind]]-comparaison_samebasis_villages[[#This Row],[actual ref_ind]]</f>
        <v>0</v>
      </c>
      <c r="AI462" s="943">
        <f>comparaison_samebasis_villages[[#This Row],[previous ret_ind]]-comparaison_samebasis_villages[[#This Row],[actual ret_ind]]</f>
        <v>0</v>
      </c>
    </row>
    <row r="463" spans="1:35" ht="15.75" customHeight="1" x14ac:dyDescent="0.3">
      <c r="A463" s="401" t="s">
        <v>32</v>
      </c>
      <c r="B463" s="401" t="s">
        <v>32</v>
      </c>
      <c r="C463" s="401" t="s">
        <v>178</v>
      </c>
      <c r="D463" s="401" t="s">
        <v>178</v>
      </c>
      <c r="E463" s="401" t="s">
        <v>3317</v>
      </c>
      <c r="F463" s="5" t="s">
        <v>2788</v>
      </c>
      <c r="G463" s="401"/>
      <c r="H463" s="1093" t="s">
        <v>511</v>
      </c>
      <c r="I463" s="1216" t="s">
        <v>3111</v>
      </c>
      <c r="J463" s="403">
        <v>7</v>
      </c>
      <c r="K463" s="403">
        <v>46</v>
      </c>
      <c r="L463" s="1093" t="s">
        <v>371</v>
      </c>
      <c r="M463" s="401"/>
      <c r="O463" s="404" t="s">
        <v>31</v>
      </c>
      <c r="P463" s="404" t="s">
        <v>31</v>
      </c>
      <c r="Q463" s="404" t="s">
        <v>169</v>
      </c>
      <c r="R463" s="404" t="s">
        <v>169</v>
      </c>
      <c r="S463" s="404" t="s">
        <v>1471</v>
      </c>
      <c r="T463" s="404" t="s">
        <v>1135</v>
      </c>
      <c r="U463" s="941">
        <v>30</v>
      </c>
      <c r="V463" s="941">
        <v>183</v>
      </c>
      <c r="W463" s="941">
        <v>0</v>
      </c>
      <c r="X463" s="941">
        <v>0</v>
      </c>
      <c r="Y463" s="941">
        <v>0</v>
      </c>
      <c r="Z463" s="941">
        <v>0</v>
      </c>
      <c r="AA463" s="942">
        <v>35</v>
      </c>
      <c r="AB463" s="942">
        <v>203</v>
      </c>
      <c r="AC463" s="942">
        <v>0</v>
      </c>
      <c r="AD463" s="942">
        <v>0</v>
      </c>
      <c r="AE463" s="942">
        <v>0</v>
      </c>
      <c r="AF463" s="942">
        <v>0</v>
      </c>
      <c r="AG463" s="943">
        <f>comparaison_samebasis_villages[[#This Row],[previous idp_ind]]-comparaison_samebasis_villages[[#This Row],[actual idp_ind]]</f>
        <v>20</v>
      </c>
      <c r="AH463" s="943">
        <f>comparaison_samebasis_villages[[#This Row],[previous ref_ind]]-comparaison_samebasis_villages[[#This Row],[actual ref_ind]]</f>
        <v>0</v>
      </c>
      <c r="AI463" s="943">
        <f>comparaison_samebasis_villages[[#This Row],[previous ret_ind]]-comparaison_samebasis_villages[[#This Row],[actual ret_ind]]</f>
        <v>0</v>
      </c>
    </row>
    <row r="464" spans="1:35" ht="15.75" customHeight="1" x14ac:dyDescent="0.3">
      <c r="A464" s="401" t="s">
        <v>32</v>
      </c>
      <c r="B464" s="401" t="s">
        <v>32</v>
      </c>
      <c r="C464" s="401" t="s">
        <v>178</v>
      </c>
      <c r="D464" s="401" t="s">
        <v>178</v>
      </c>
      <c r="E464" s="401" t="s">
        <v>3317</v>
      </c>
      <c r="F464" s="5" t="s">
        <v>2788</v>
      </c>
      <c r="G464" s="401"/>
      <c r="H464" s="1093" t="s">
        <v>511</v>
      </c>
      <c r="I464" s="1216" t="s">
        <v>3112</v>
      </c>
      <c r="J464" s="403">
        <v>0</v>
      </c>
      <c r="K464" s="403">
        <v>1</v>
      </c>
      <c r="L464" s="1093" t="s">
        <v>365</v>
      </c>
      <c r="M464" s="401"/>
      <c r="O464" s="404" t="s">
        <v>31</v>
      </c>
      <c r="P464" s="404" t="s">
        <v>31</v>
      </c>
      <c r="Q464" s="404" t="s">
        <v>169</v>
      </c>
      <c r="R464" s="404" t="s">
        <v>169</v>
      </c>
      <c r="S464" s="404" t="s">
        <v>2315</v>
      </c>
      <c r="T464" s="404" t="s">
        <v>2836</v>
      </c>
      <c r="U464" s="941">
        <v>0</v>
      </c>
      <c r="V464" s="941">
        <v>0</v>
      </c>
      <c r="W464" s="941">
        <v>0</v>
      </c>
      <c r="X464" s="941">
        <v>0</v>
      </c>
      <c r="Y464" s="941">
        <v>0</v>
      </c>
      <c r="Z464" s="941">
        <v>0</v>
      </c>
      <c r="AA464" s="942">
        <v>0</v>
      </c>
      <c r="AB464" s="942">
        <v>0</v>
      </c>
      <c r="AC464" s="942">
        <v>0</v>
      </c>
      <c r="AD464" s="942">
        <v>0</v>
      </c>
      <c r="AE464" s="942">
        <v>22</v>
      </c>
      <c r="AF464" s="942">
        <v>85</v>
      </c>
      <c r="AG464" s="943">
        <f>comparaison_samebasis_villages[[#This Row],[previous idp_ind]]-comparaison_samebasis_villages[[#This Row],[actual idp_ind]]</f>
        <v>0</v>
      </c>
      <c r="AH464" s="943">
        <f>comparaison_samebasis_villages[[#This Row],[previous ref_ind]]-comparaison_samebasis_villages[[#This Row],[actual ref_ind]]</f>
        <v>0</v>
      </c>
      <c r="AI464" s="943">
        <f>comparaison_samebasis_villages[[#This Row],[previous ret_ind]]-comparaison_samebasis_villages[[#This Row],[actual ret_ind]]</f>
        <v>85</v>
      </c>
    </row>
    <row r="465" spans="1:35" ht="15.75" customHeight="1" x14ac:dyDescent="0.3">
      <c r="A465" s="401" t="s">
        <v>32</v>
      </c>
      <c r="B465" s="401" t="s">
        <v>32</v>
      </c>
      <c r="C465" s="401" t="s">
        <v>178</v>
      </c>
      <c r="D465" s="401" t="s">
        <v>178</v>
      </c>
      <c r="E465" s="401" t="s">
        <v>3215</v>
      </c>
      <c r="F465" s="5" t="s">
        <v>2785</v>
      </c>
      <c r="G465" s="401"/>
      <c r="H465" s="1093" t="s">
        <v>511</v>
      </c>
      <c r="I465" s="1216" t="s">
        <v>3111</v>
      </c>
      <c r="J465" s="403">
        <v>15</v>
      </c>
      <c r="K465" s="403">
        <v>37</v>
      </c>
      <c r="L465" s="1093" t="s">
        <v>367</v>
      </c>
      <c r="M465" s="401"/>
      <c r="O465" s="404" t="s">
        <v>31</v>
      </c>
      <c r="P465" s="404" t="s">
        <v>31</v>
      </c>
      <c r="Q465" s="404" t="s">
        <v>169</v>
      </c>
      <c r="R465" s="404" t="s">
        <v>169</v>
      </c>
      <c r="S465" s="404" t="s">
        <v>1124</v>
      </c>
      <c r="T465" s="404" t="s">
        <v>2838</v>
      </c>
      <c r="U465" s="941">
        <v>6</v>
      </c>
      <c r="V465" s="941">
        <v>40</v>
      </c>
      <c r="W465" s="941">
        <v>0</v>
      </c>
      <c r="X465" s="941">
        <v>0</v>
      </c>
      <c r="Y465" s="941">
        <v>0</v>
      </c>
      <c r="Z465" s="941">
        <v>0</v>
      </c>
      <c r="AA465" s="942">
        <v>6</v>
      </c>
      <c r="AB465" s="942">
        <v>40</v>
      </c>
      <c r="AC465" s="942">
        <v>0</v>
      </c>
      <c r="AD465" s="942">
        <v>0</v>
      </c>
      <c r="AE465" s="942">
        <v>0</v>
      </c>
      <c r="AF465" s="942">
        <v>0</v>
      </c>
      <c r="AG465" s="943">
        <f>comparaison_samebasis_villages[[#This Row],[previous idp_ind]]-comparaison_samebasis_villages[[#This Row],[actual idp_ind]]</f>
        <v>0</v>
      </c>
      <c r="AH465" s="943">
        <f>comparaison_samebasis_villages[[#This Row],[previous ref_ind]]-comparaison_samebasis_villages[[#This Row],[actual ref_ind]]</f>
        <v>0</v>
      </c>
      <c r="AI465" s="943">
        <f>comparaison_samebasis_villages[[#This Row],[previous ret_ind]]-comparaison_samebasis_villages[[#This Row],[actual ret_ind]]</f>
        <v>0</v>
      </c>
    </row>
    <row r="466" spans="1:35" ht="15.75" customHeight="1" x14ac:dyDescent="0.3">
      <c r="A466" s="401" t="s">
        <v>32</v>
      </c>
      <c r="B466" s="401" t="s">
        <v>32</v>
      </c>
      <c r="C466" s="401" t="s">
        <v>178</v>
      </c>
      <c r="D466" s="401" t="s">
        <v>178</v>
      </c>
      <c r="E466" s="401" t="s">
        <v>3215</v>
      </c>
      <c r="F466" s="5" t="s">
        <v>2785</v>
      </c>
      <c r="G466" s="401"/>
      <c r="H466" s="1093" t="s">
        <v>511</v>
      </c>
      <c r="I466" s="1216" t="s">
        <v>3112</v>
      </c>
      <c r="J466" s="403">
        <v>5</v>
      </c>
      <c r="K466" s="403">
        <v>63</v>
      </c>
      <c r="L466" s="1093" t="s">
        <v>371</v>
      </c>
      <c r="M466" s="401"/>
      <c r="O466" s="404" t="s">
        <v>31</v>
      </c>
      <c r="P466" s="404" t="s">
        <v>31</v>
      </c>
      <c r="Q466" s="404" t="s">
        <v>169</v>
      </c>
      <c r="R466" s="404" t="s">
        <v>169</v>
      </c>
      <c r="S466" s="404" t="s">
        <v>2055</v>
      </c>
      <c r="T466" s="404" t="s">
        <v>2844</v>
      </c>
      <c r="U466" s="941">
        <v>0</v>
      </c>
      <c r="V466" s="941">
        <v>0</v>
      </c>
      <c r="W466" s="941">
        <v>0</v>
      </c>
      <c r="X466" s="941">
        <v>0</v>
      </c>
      <c r="Y466" s="941">
        <v>250</v>
      </c>
      <c r="Z466" s="941">
        <v>250</v>
      </c>
      <c r="AA466" s="942">
        <v>0</v>
      </c>
      <c r="AB466" s="942">
        <v>0</v>
      </c>
      <c r="AC466" s="942">
        <v>0</v>
      </c>
      <c r="AD466" s="942">
        <v>0</v>
      </c>
      <c r="AE466" s="942">
        <v>0</v>
      </c>
      <c r="AF466" s="942">
        <v>0</v>
      </c>
      <c r="AG466" s="943">
        <f>comparaison_samebasis_villages[[#This Row],[previous idp_ind]]-comparaison_samebasis_villages[[#This Row],[actual idp_ind]]</f>
        <v>0</v>
      </c>
      <c r="AH466" s="943">
        <f>comparaison_samebasis_villages[[#This Row],[previous ref_ind]]-comparaison_samebasis_villages[[#This Row],[actual ref_ind]]</f>
        <v>0</v>
      </c>
      <c r="AI466" s="943">
        <f>comparaison_samebasis_villages[[#This Row],[previous ret_ind]]-comparaison_samebasis_villages[[#This Row],[actual ret_ind]]</f>
        <v>-250</v>
      </c>
    </row>
    <row r="467" spans="1:35" ht="15.75" customHeight="1" x14ac:dyDescent="0.3">
      <c r="A467" s="401" t="s">
        <v>32</v>
      </c>
      <c r="B467" s="401" t="s">
        <v>32</v>
      </c>
      <c r="C467" s="401" t="s">
        <v>178</v>
      </c>
      <c r="D467" s="401" t="s">
        <v>178</v>
      </c>
      <c r="E467" s="401" t="s">
        <v>3228</v>
      </c>
      <c r="F467" s="5" t="s">
        <v>2777</v>
      </c>
      <c r="G467" s="401"/>
      <c r="H467" s="1093" t="s">
        <v>511</v>
      </c>
      <c r="I467" s="1216" t="s">
        <v>3111</v>
      </c>
      <c r="J467" s="403">
        <v>10</v>
      </c>
      <c r="K467" s="403">
        <v>50</v>
      </c>
      <c r="L467" s="1093" t="s">
        <v>367</v>
      </c>
      <c r="M467" s="401"/>
      <c r="O467" s="404" t="s">
        <v>31</v>
      </c>
      <c r="P467" s="404" t="s">
        <v>31</v>
      </c>
      <c r="Q467" s="404" t="s">
        <v>169</v>
      </c>
      <c r="R467" s="404" t="s">
        <v>169</v>
      </c>
      <c r="S467" s="404" t="s">
        <v>2262</v>
      </c>
      <c r="T467" s="404" t="s">
        <v>2846</v>
      </c>
      <c r="U467" s="941">
        <v>0</v>
      </c>
      <c r="V467" s="941">
        <v>0</v>
      </c>
      <c r="W467" s="941">
        <v>0</v>
      </c>
      <c r="X467" s="941">
        <v>0</v>
      </c>
      <c r="Y467" s="941">
        <v>66</v>
      </c>
      <c r="Z467" s="941">
        <v>66</v>
      </c>
      <c r="AA467" s="942">
        <v>0</v>
      </c>
      <c r="AB467" s="942">
        <v>0</v>
      </c>
      <c r="AC467" s="942">
        <v>0</v>
      </c>
      <c r="AD467" s="942">
        <v>0</v>
      </c>
      <c r="AE467" s="942">
        <v>65</v>
      </c>
      <c r="AF467" s="942">
        <v>150</v>
      </c>
      <c r="AG467" s="943">
        <f>comparaison_samebasis_villages[[#This Row],[previous idp_ind]]-comparaison_samebasis_villages[[#This Row],[actual idp_ind]]</f>
        <v>0</v>
      </c>
      <c r="AH467" s="943">
        <f>comparaison_samebasis_villages[[#This Row],[previous ref_ind]]-comparaison_samebasis_villages[[#This Row],[actual ref_ind]]</f>
        <v>0</v>
      </c>
      <c r="AI467" s="943">
        <f>comparaison_samebasis_villages[[#This Row],[previous ret_ind]]-comparaison_samebasis_villages[[#This Row],[actual ret_ind]]</f>
        <v>84</v>
      </c>
    </row>
    <row r="468" spans="1:35" ht="15.75" customHeight="1" x14ac:dyDescent="0.3">
      <c r="A468" s="401" t="s">
        <v>32</v>
      </c>
      <c r="B468" s="401" t="s">
        <v>32</v>
      </c>
      <c r="C468" s="401" t="s">
        <v>178</v>
      </c>
      <c r="D468" s="401" t="s">
        <v>178</v>
      </c>
      <c r="E468" s="401" t="s">
        <v>3228</v>
      </c>
      <c r="F468" s="5" t="s">
        <v>2777</v>
      </c>
      <c r="G468" s="401"/>
      <c r="H468" s="1093" t="s">
        <v>511</v>
      </c>
      <c r="I468" s="1216" t="s">
        <v>3112</v>
      </c>
      <c r="J468" s="403">
        <v>11</v>
      </c>
      <c r="K468" s="403">
        <v>77</v>
      </c>
      <c r="L468" s="1093" t="s">
        <v>371</v>
      </c>
      <c r="M468" s="401"/>
      <c r="O468" s="404" t="s">
        <v>31</v>
      </c>
      <c r="P468" s="404" t="s">
        <v>31</v>
      </c>
      <c r="Q468" s="404" t="s">
        <v>169</v>
      </c>
      <c r="R468" s="404" t="s">
        <v>169</v>
      </c>
      <c r="S468" s="404" t="s">
        <v>2276</v>
      </c>
      <c r="T468" s="404" t="s">
        <v>2858</v>
      </c>
      <c r="U468" s="941">
        <v>0</v>
      </c>
      <c r="V468" s="941">
        <v>0</v>
      </c>
      <c r="W468" s="941">
        <v>0</v>
      </c>
      <c r="X468" s="941">
        <v>0</v>
      </c>
      <c r="Y468" s="941">
        <v>146</v>
      </c>
      <c r="Z468" s="941">
        <v>146</v>
      </c>
      <c r="AA468" s="942">
        <v>0</v>
      </c>
      <c r="AB468" s="942">
        <v>0</v>
      </c>
      <c r="AC468" s="942">
        <v>0</v>
      </c>
      <c r="AD468" s="942">
        <v>0</v>
      </c>
      <c r="AE468" s="942">
        <v>146</v>
      </c>
      <c r="AF468" s="942">
        <v>800</v>
      </c>
      <c r="AG468" s="943">
        <f>comparaison_samebasis_villages[[#This Row],[previous idp_ind]]-comparaison_samebasis_villages[[#This Row],[actual idp_ind]]</f>
        <v>0</v>
      </c>
      <c r="AH468" s="943">
        <f>comparaison_samebasis_villages[[#This Row],[previous ref_ind]]-comparaison_samebasis_villages[[#This Row],[actual ref_ind]]</f>
        <v>0</v>
      </c>
      <c r="AI468" s="943">
        <f>comparaison_samebasis_villages[[#This Row],[previous ret_ind]]-comparaison_samebasis_villages[[#This Row],[actual ret_ind]]</f>
        <v>654</v>
      </c>
    </row>
    <row r="469" spans="1:35" ht="15.75" customHeight="1" x14ac:dyDescent="0.3">
      <c r="A469" s="401" t="s">
        <v>32</v>
      </c>
      <c r="B469" s="401" t="s">
        <v>32</v>
      </c>
      <c r="C469" s="401" t="s">
        <v>178</v>
      </c>
      <c r="D469" s="401" t="s">
        <v>178</v>
      </c>
      <c r="E469" s="401" t="s">
        <v>3229</v>
      </c>
      <c r="F469" s="5" t="s">
        <v>2781</v>
      </c>
      <c r="G469" s="401"/>
      <c r="H469" s="1093" t="s">
        <v>511</v>
      </c>
      <c r="I469" s="1216" t="s">
        <v>3111</v>
      </c>
      <c r="J469" s="403">
        <v>13</v>
      </c>
      <c r="K469" s="403">
        <v>60</v>
      </c>
      <c r="L469" s="1093" t="s">
        <v>365</v>
      </c>
      <c r="M469" s="401"/>
      <c r="O469" s="404" t="s">
        <v>31</v>
      </c>
      <c r="P469" s="404" t="s">
        <v>31</v>
      </c>
      <c r="Q469" s="404" t="s">
        <v>169</v>
      </c>
      <c r="R469" s="404" t="s">
        <v>169</v>
      </c>
      <c r="S469" s="404" t="s">
        <v>2261</v>
      </c>
      <c r="T469" s="404" t="s">
        <v>2872</v>
      </c>
      <c r="U469" s="941">
        <v>0</v>
      </c>
      <c r="V469" s="941">
        <v>0</v>
      </c>
      <c r="W469" s="941">
        <v>0</v>
      </c>
      <c r="X469" s="941">
        <v>0</v>
      </c>
      <c r="Y469" s="941">
        <v>64</v>
      </c>
      <c r="Z469" s="941">
        <v>64</v>
      </c>
      <c r="AA469" s="942">
        <v>0</v>
      </c>
      <c r="AB469" s="942">
        <v>0</v>
      </c>
      <c r="AC469" s="942">
        <v>0</v>
      </c>
      <c r="AD469" s="942">
        <v>0</v>
      </c>
      <c r="AE469" s="942">
        <v>64</v>
      </c>
      <c r="AF469" s="942">
        <v>500</v>
      </c>
      <c r="AG469" s="943">
        <f>comparaison_samebasis_villages[[#This Row],[previous idp_ind]]-comparaison_samebasis_villages[[#This Row],[actual idp_ind]]</f>
        <v>0</v>
      </c>
      <c r="AH469" s="943">
        <f>comparaison_samebasis_villages[[#This Row],[previous ref_ind]]-comparaison_samebasis_villages[[#This Row],[actual ref_ind]]</f>
        <v>0</v>
      </c>
      <c r="AI469" s="943">
        <f>comparaison_samebasis_villages[[#This Row],[previous ret_ind]]-comparaison_samebasis_villages[[#This Row],[actual ret_ind]]</f>
        <v>436</v>
      </c>
    </row>
    <row r="470" spans="1:35" ht="15.75" customHeight="1" x14ac:dyDescent="0.3">
      <c r="A470" s="401" t="s">
        <v>32</v>
      </c>
      <c r="B470" s="401" t="s">
        <v>32</v>
      </c>
      <c r="C470" s="401" t="s">
        <v>178</v>
      </c>
      <c r="D470" s="401" t="s">
        <v>178</v>
      </c>
      <c r="E470" s="401" t="s">
        <v>3229</v>
      </c>
      <c r="F470" s="5" t="s">
        <v>2781</v>
      </c>
      <c r="G470" s="401"/>
      <c r="H470" s="1093" t="s">
        <v>511</v>
      </c>
      <c r="I470" s="1216" t="s">
        <v>3112</v>
      </c>
      <c r="J470" s="403">
        <v>7</v>
      </c>
      <c r="K470" s="403">
        <v>59</v>
      </c>
      <c r="L470" s="1093" t="s">
        <v>371</v>
      </c>
      <c r="M470" s="401"/>
      <c r="O470" s="404" t="s">
        <v>31</v>
      </c>
      <c r="P470" s="404" t="s">
        <v>31</v>
      </c>
      <c r="Q470" s="404" t="s">
        <v>169</v>
      </c>
      <c r="R470" s="404" t="s">
        <v>169</v>
      </c>
      <c r="S470" s="404" t="s">
        <v>888</v>
      </c>
      <c r="T470" s="404" t="s">
        <v>2875</v>
      </c>
      <c r="U470" s="941">
        <v>5</v>
      </c>
      <c r="V470" s="941">
        <v>21</v>
      </c>
      <c r="W470" s="941">
        <v>0</v>
      </c>
      <c r="X470" s="941">
        <v>0</v>
      </c>
      <c r="Y470" s="941">
        <v>15</v>
      </c>
      <c r="Z470" s="941">
        <v>15</v>
      </c>
      <c r="AA470" s="942">
        <v>5</v>
      </c>
      <c r="AB470" s="942">
        <v>20</v>
      </c>
      <c r="AC470" s="942">
        <v>0</v>
      </c>
      <c r="AD470" s="942">
        <v>0</v>
      </c>
      <c r="AE470" s="942">
        <v>15</v>
      </c>
      <c r="AF470" s="942">
        <v>65</v>
      </c>
      <c r="AG470" s="943">
        <f>comparaison_samebasis_villages[[#This Row],[previous idp_ind]]-comparaison_samebasis_villages[[#This Row],[actual idp_ind]]</f>
        <v>-1</v>
      </c>
      <c r="AH470" s="943">
        <f>comparaison_samebasis_villages[[#This Row],[previous ref_ind]]-comparaison_samebasis_villages[[#This Row],[actual ref_ind]]</f>
        <v>0</v>
      </c>
      <c r="AI470" s="943">
        <f>comparaison_samebasis_villages[[#This Row],[previous ret_ind]]-comparaison_samebasis_villages[[#This Row],[actual ret_ind]]</f>
        <v>50</v>
      </c>
    </row>
    <row r="471" spans="1:35" ht="15.75" customHeight="1" x14ac:dyDescent="0.3">
      <c r="A471" s="401" t="s">
        <v>32</v>
      </c>
      <c r="B471" s="401" t="s">
        <v>32</v>
      </c>
      <c r="C471" s="401" t="s">
        <v>178</v>
      </c>
      <c r="D471" s="401" t="s">
        <v>178</v>
      </c>
      <c r="E471" s="401" t="s">
        <v>3231</v>
      </c>
      <c r="F471" s="5" t="s">
        <v>2778</v>
      </c>
      <c r="G471" s="401"/>
      <c r="H471" s="1093" t="s">
        <v>511</v>
      </c>
      <c r="I471" s="1216" t="s">
        <v>3111</v>
      </c>
      <c r="J471" s="403">
        <v>23</v>
      </c>
      <c r="K471" s="403">
        <v>100</v>
      </c>
      <c r="L471" s="1093" t="s">
        <v>365</v>
      </c>
      <c r="M471" s="401"/>
      <c r="O471" s="404" t="s">
        <v>31</v>
      </c>
      <c r="P471" s="404" t="s">
        <v>31</v>
      </c>
      <c r="Q471" s="404" t="s">
        <v>169</v>
      </c>
      <c r="R471" s="404" t="s">
        <v>169</v>
      </c>
      <c r="S471" s="404" t="s">
        <v>2314</v>
      </c>
      <c r="T471" s="404" t="s">
        <v>2881</v>
      </c>
      <c r="U471" s="941">
        <v>0</v>
      </c>
      <c r="V471" s="941">
        <v>0</v>
      </c>
      <c r="W471" s="941">
        <v>0</v>
      </c>
      <c r="X471" s="941">
        <v>0</v>
      </c>
      <c r="Y471" s="941">
        <v>37</v>
      </c>
      <c r="Z471" s="941">
        <v>37</v>
      </c>
      <c r="AA471" s="942">
        <v>0</v>
      </c>
      <c r="AB471" s="942">
        <v>0</v>
      </c>
      <c r="AC471" s="942">
        <v>0</v>
      </c>
      <c r="AD471" s="942">
        <v>0</v>
      </c>
      <c r="AE471" s="942">
        <v>37</v>
      </c>
      <c r="AF471" s="942">
        <v>189</v>
      </c>
      <c r="AG471" s="943">
        <f>comparaison_samebasis_villages[[#This Row],[previous idp_ind]]-comparaison_samebasis_villages[[#This Row],[actual idp_ind]]</f>
        <v>0</v>
      </c>
      <c r="AH471" s="943">
        <f>comparaison_samebasis_villages[[#This Row],[previous ref_ind]]-comparaison_samebasis_villages[[#This Row],[actual ref_ind]]</f>
        <v>0</v>
      </c>
      <c r="AI471" s="943">
        <f>comparaison_samebasis_villages[[#This Row],[previous ret_ind]]-comparaison_samebasis_villages[[#This Row],[actual ret_ind]]</f>
        <v>152</v>
      </c>
    </row>
    <row r="472" spans="1:35" ht="15.75" customHeight="1" x14ac:dyDescent="0.3">
      <c r="A472" s="401" t="s">
        <v>32</v>
      </c>
      <c r="B472" s="401" t="s">
        <v>32</v>
      </c>
      <c r="C472" s="401" t="s">
        <v>178</v>
      </c>
      <c r="D472" s="401" t="s">
        <v>178</v>
      </c>
      <c r="E472" s="401" t="s">
        <v>3231</v>
      </c>
      <c r="F472" s="5" t="s">
        <v>2778</v>
      </c>
      <c r="G472" s="401"/>
      <c r="H472" s="1093" t="s">
        <v>511</v>
      </c>
      <c r="I472" s="1216" t="s">
        <v>3112</v>
      </c>
      <c r="J472" s="403">
        <v>18</v>
      </c>
      <c r="K472" s="403">
        <v>183</v>
      </c>
      <c r="L472" s="1093" t="s">
        <v>371</v>
      </c>
      <c r="M472" s="401"/>
      <c r="O472" s="404" t="s">
        <v>31</v>
      </c>
      <c r="P472" s="404" t="s">
        <v>31</v>
      </c>
      <c r="Q472" s="404" t="s">
        <v>169</v>
      </c>
      <c r="R472" s="404" t="s">
        <v>169</v>
      </c>
      <c r="S472" s="404" t="s">
        <v>1280</v>
      </c>
      <c r="T472" s="404" t="s">
        <v>2897</v>
      </c>
      <c r="U472" s="941">
        <v>10</v>
      </c>
      <c r="V472" s="941">
        <v>50</v>
      </c>
      <c r="W472" s="941">
        <v>0</v>
      </c>
      <c r="X472" s="941">
        <v>0</v>
      </c>
      <c r="Y472" s="941">
        <v>0</v>
      </c>
      <c r="Z472" s="941">
        <v>0</v>
      </c>
      <c r="AA472" s="942">
        <v>10</v>
      </c>
      <c r="AB472" s="942">
        <v>50</v>
      </c>
      <c r="AC472" s="942">
        <v>0</v>
      </c>
      <c r="AD472" s="942">
        <v>0</v>
      </c>
      <c r="AE472" s="942">
        <v>0</v>
      </c>
      <c r="AF472" s="942">
        <v>0</v>
      </c>
      <c r="AG472" s="943">
        <f>comparaison_samebasis_villages[[#This Row],[previous idp_ind]]-comparaison_samebasis_villages[[#This Row],[actual idp_ind]]</f>
        <v>0</v>
      </c>
      <c r="AH472" s="943">
        <f>comparaison_samebasis_villages[[#This Row],[previous ref_ind]]-comparaison_samebasis_villages[[#This Row],[actual ref_ind]]</f>
        <v>0</v>
      </c>
      <c r="AI472" s="943">
        <f>comparaison_samebasis_villages[[#This Row],[previous ret_ind]]-comparaison_samebasis_villages[[#This Row],[actual ret_ind]]</f>
        <v>0</v>
      </c>
    </row>
    <row r="473" spans="1:35" ht="15.75" customHeight="1" x14ac:dyDescent="0.3">
      <c r="A473" s="401" t="s">
        <v>32</v>
      </c>
      <c r="B473" s="401" t="s">
        <v>32</v>
      </c>
      <c r="C473" s="401" t="s">
        <v>177</v>
      </c>
      <c r="D473" s="401" t="s">
        <v>177</v>
      </c>
      <c r="E473" s="401" t="s">
        <v>1695</v>
      </c>
      <c r="F473" s="5" t="s">
        <v>1259</v>
      </c>
      <c r="G473" s="401"/>
      <c r="H473" s="1093" t="s">
        <v>511</v>
      </c>
      <c r="I473" s="1216" t="s">
        <v>3112</v>
      </c>
      <c r="J473" s="403">
        <v>62</v>
      </c>
      <c r="K473" s="403">
        <v>646</v>
      </c>
      <c r="L473" s="1093" t="s">
        <v>367</v>
      </c>
      <c r="M473" s="401"/>
      <c r="O473" s="404" t="s">
        <v>31</v>
      </c>
      <c r="P473" s="404" t="s">
        <v>31</v>
      </c>
      <c r="Q473" s="404" t="s">
        <v>169</v>
      </c>
      <c r="R473" s="404" t="s">
        <v>169</v>
      </c>
      <c r="S473" s="1185" t="s">
        <v>2380</v>
      </c>
      <c r="T473" s="1185" t="s">
        <v>2898</v>
      </c>
      <c r="U473" s="941">
        <v>0</v>
      </c>
      <c r="V473" s="941">
        <v>0</v>
      </c>
      <c r="W473" s="941">
        <v>0</v>
      </c>
      <c r="X473" s="941">
        <v>0</v>
      </c>
      <c r="Y473" s="941">
        <v>0</v>
      </c>
      <c r="Z473" s="941">
        <v>0</v>
      </c>
      <c r="AA473" s="942">
        <v>0</v>
      </c>
      <c r="AB473" s="942">
        <v>0</v>
      </c>
      <c r="AC473" s="942">
        <v>0</v>
      </c>
      <c r="AD473" s="942">
        <v>0</v>
      </c>
      <c r="AE473" s="942">
        <v>0</v>
      </c>
      <c r="AF473" s="942">
        <v>0</v>
      </c>
      <c r="AG473" s="943">
        <f>comparaison_samebasis_villages[[#This Row],[previous idp_ind]]-comparaison_samebasis_villages[[#This Row],[actual idp_ind]]</f>
        <v>0</v>
      </c>
      <c r="AH473" s="943">
        <f>comparaison_samebasis_villages[[#This Row],[previous ref_ind]]-comparaison_samebasis_villages[[#This Row],[actual ref_ind]]</f>
        <v>0</v>
      </c>
      <c r="AI473" s="943">
        <f>comparaison_samebasis_villages[[#This Row],[previous ret_ind]]-comparaison_samebasis_villages[[#This Row],[actual ret_ind]]</f>
        <v>0</v>
      </c>
    </row>
    <row r="474" spans="1:35" ht="15.75" customHeight="1" x14ac:dyDescent="0.3">
      <c r="A474" s="401" t="s">
        <v>32</v>
      </c>
      <c r="B474" s="401" t="s">
        <v>32</v>
      </c>
      <c r="C474" s="401" t="s">
        <v>177</v>
      </c>
      <c r="D474" s="401" t="s">
        <v>177</v>
      </c>
      <c r="E474" s="401" t="s">
        <v>1258</v>
      </c>
      <c r="F474" s="5" t="s">
        <v>887</v>
      </c>
      <c r="G474" s="401"/>
      <c r="H474" s="1093" t="s">
        <v>511</v>
      </c>
      <c r="I474" s="1216" t="s">
        <v>3112</v>
      </c>
      <c r="J474" s="403">
        <v>67</v>
      </c>
      <c r="K474" s="403">
        <v>565</v>
      </c>
      <c r="L474" s="1093" t="s">
        <v>367</v>
      </c>
      <c r="M474" s="401"/>
      <c r="O474" s="404" t="s">
        <v>31</v>
      </c>
      <c r="P474" s="404" t="s">
        <v>31</v>
      </c>
      <c r="Q474" s="1145" t="s">
        <v>169</v>
      </c>
      <c r="R474" s="1145" t="s">
        <v>169</v>
      </c>
      <c r="S474" s="404" t="s">
        <v>1465</v>
      </c>
      <c r="T474" s="404" t="s">
        <v>2903</v>
      </c>
      <c r="U474" s="941">
        <v>30</v>
      </c>
      <c r="V474" s="941">
        <v>150</v>
      </c>
      <c r="W474" s="941">
        <v>0</v>
      </c>
      <c r="X474" s="941">
        <v>0</v>
      </c>
      <c r="Y474" s="941">
        <v>0</v>
      </c>
      <c r="Z474" s="941">
        <v>0</v>
      </c>
      <c r="AA474" s="942">
        <v>30</v>
      </c>
      <c r="AB474" s="942">
        <v>150</v>
      </c>
      <c r="AC474" s="942">
        <v>0</v>
      </c>
      <c r="AD474" s="942">
        <v>0</v>
      </c>
      <c r="AE474" s="942">
        <v>0</v>
      </c>
      <c r="AF474" s="942">
        <v>0</v>
      </c>
      <c r="AG474" s="943">
        <f>comparaison_samebasis_villages[[#This Row],[previous idp_ind]]-comparaison_samebasis_villages[[#This Row],[actual idp_ind]]</f>
        <v>0</v>
      </c>
      <c r="AH474" s="943">
        <f>comparaison_samebasis_villages[[#This Row],[previous ref_ind]]-comparaison_samebasis_villages[[#This Row],[actual ref_ind]]</f>
        <v>0</v>
      </c>
      <c r="AI474" s="943">
        <f>comparaison_samebasis_villages[[#This Row],[previous ret_ind]]-comparaison_samebasis_villages[[#This Row],[actual ret_ind]]</f>
        <v>0</v>
      </c>
    </row>
    <row r="475" spans="1:35" ht="15.75" customHeight="1" x14ac:dyDescent="0.3">
      <c r="A475" s="401" t="s">
        <v>32</v>
      </c>
      <c r="B475" s="401" t="s">
        <v>32</v>
      </c>
      <c r="C475" s="401" t="s">
        <v>177</v>
      </c>
      <c r="D475" s="401" t="s">
        <v>177</v>
      </c>
      <c r="E475" s="401" t="s">
        <v>886</v>
      </c>
      <c r="F475" s="5" t="s">
        <v>1041</v>
      </c>
      <c r="G475" s="401"/>
      <c r="H475" s="1093" t="s">
        <v>511</v>
      </c>
      <c r="I475" s="1216" t="s">
        <v>3112</v>
      </c>
      <c r="J475" s="403">
        <v>75</v>
      </c>
      <c r="K475" s="403">
        <v>900</v>
      </c>
      <c r="L475" s="1093" t="s">
        <v>367</v>
      </c>
      <c r="M475" s="401"/>
      <c r="O475" s="404" t="s">
        <v>31</v>
      </c>
      <c r="P475" s="404" t="s">
        <v>31</v>
      </c>
      <c r="Q475" s="1145" t="s">
        <v>169</v>
      </c>
      <c r="R475" s="1145" t="s">
        <v>169</v>
      </c>
      <c r="S475" s="404" t="s">
        <v>1619</v>
      </c>
      <c r="T475" s="404" t="s">
        <v>2906</v>
      </c>
      <c r="U475" s="941">
        <v>0</v>
      </c>
      <c r="V475" s="941">
        <v>0</v>
      </c>
      <c r="W475" s="941">
        <v>0</v>
      </c>
      <c r="X475" s="941">
        <v>0</v>
      </c>
      <c r="Y475" s="941">
        <v>0</v>
      </c>
      <c r="Z475" s="941">
        <v>0</v>
      </c>
      <c r="AA475" s="942">
        <v>0</v>
      </c>
      <c r="AB475" s="942">
        <v>0</v>
      </c>
      <c r="AC475" s="942">
        <v>0</v>
      </c>
      <c r="AD475" s="942">
        <v>0</v>
      </c>
      <c r="AE475" s="942">
        <v>0</v>
      </c>
      <c r="AF475" s="942">
        <v>0</v>
      </c>
      <c r="AG475" s="943">
        <f>comparaison_samebasis_villages[[#This Row],[previous idp_ind]]-comparaison_samebasis_villages[[#This Row],[actual idp_ind]]</f>
        <v>0</v>
      </c>
      <c r="AH475" s="943">
        <f>comparaison_samebasis_villages[[#This Row],[previous ref_ind]]-comparaison_samebasis_villages[[#This Row],[actual ref_ind]]</f>
        <v>0</v>
      </c>
      <c r="AI475" s="943">
        <f>comparaison_samebasis_villages[[#This Row],[previous ret_ind]]-comparaison_samebasis_villages[[#This Row],[actual ret_ind]]</f>
        <v>0</v>
      </c>
    </row>
    <row r="476" spans="1:35" ht="15.75" customHeight="1" x14ac:dyDescent="0.3">
      <c r="A476" s="401" t="s">
        <v>31</v>
      </c>
      <c r="B476" s="401" t="s">
        <v>31</v>
      </c>
      <c r="C476" s="401" t="s">
        <v>166</v>
      </c>
      <c r="D476" s="401" t="s">
        <v>166</v>
      </c>
      <c r="E476" s="401" t="s">
        <v>2503</v>
      </c>
      <c r="F476" s="5" t="s">
        <v>1549</v>
      </c>
      <c r="G476" s="401"/>
      <c r="H476" s="1093" t="s">
        <v>511</v>
      </c>
      <c r="I476" s="1216" t="s">
        <v>3033</v>
      </c>
      <c r="J476" s="403">
        <v>197</v>
      </c>
      <c r="K476" s="403">
        <v>1427</v>
      </c>
      <c r="L476" s="1093" t="s">
        <v>367</v>
      </c>
      <c r="M476" s="401"/>
      <c r="O476" s="404" t="s">
        <v>31</v>
      </c>
      <c r="P476" s="404" t="s">
        <v>31</v>
      </c>
      <c r="Q476" s="404" t="s">
        <v>169</v>
      </c>
      <c r="R476" s="404" t="s">
        <v>169</v>
      </c>
      <c r="S476" s="404" t="s">
        <v>1180</v>
      </c>
      <c r="T476" s="404" t="s">
        <v>2908</v>
      </c>
      <c r="U476" s="941">
        <v>10</v>
      </c>
      <c r="V476" s="941">
        <v>73</v>
      </c>
      <c r="W476" s="941">
        <v>0</v>
      </c>
      <c r="X476" s="941">
        <v>0</v>
      </c>
      <c r="Y476" s="941">
        <v>0</v>
      </c>
      <c r="Z476" s="941">
        <v>0</v>
      </c>
      <c r="AA476" s="942">
        <v>10</v>
      </c>
      <c r="AB476" s="942">
        <v>73</v>
      </c>
      <c r="AC476" s="942">
        <v>0</v>
      </c>
      <c r="AD476" s="942">
        <v>0</v>
      </c>
      <c r="AE476" s="942">
        <v>0</v>
      </c>
      <c r="AF476" s="942">
        <v>0</v>
      </c>
      <c r="AG476" s="943">
        <f>comparaison_samebasis_villages[[#This Row],[previous idp_ind]]-comparaison_samebasis_villages[[#This Row],[actual idp_ind]]</f>
        <v>0</v>
      </c>
      <c r="AH476" s="943">
        <f>comparaison_samebasis_villages[[#This Row],[previous ref_ind]]-comparaison_samebasis_villages[[#This Row],[actual ref_ind]]</f>
        <v>0</v>
      </c>
      <c r="AI476" s="943">
        <f>comparaison_samebasis_villages[[#This Row],[previous ret_ind]]-comparaison_samebasis_villages[[#This Row],[actual ret_ind]]</f>
        <v>0</v>
      </c>
    </row>
    <row r="477" spans="1:35" ht="15.75" customHeight="1" x14ac:dyDescent="0.3">
      <c r="A477" s="401" t="s">
        <v>32</v>
      </c>
      <c r="B477" s="401" t="s">
        <v>32</v>
      </c>
      <c r="C477" s="401" t="s">
        <v>177</v>
      </c>
      <c r="D477" s="401" t="s">
        <v>177</v>
      </c>
      <c r="E477" s="401" t="s">
        <v>1040</v>
      </c>
      <c r="F477" s="5" t="s">
        <v>2287</v>
      </c>
      <c r="G477" s="401"/>
      <c r="H477" s="1093" t="s">
        <v>511</v>
      </c>
      <c r="I477" s="1216" t="s">
        <v>3033</v>
      </c>
      <c r="J477" s="403">
        <v>59</v>
      </c>
      <c r="K477" s="403">
        <v>181</v>
      </c>
      <c r="L477" s="1093" t="s">
        <v>367</v>
      </c>
      <c r="M477" s="401"/>
      <c r="O477" s="404" t="s">
        <v>31</v>
      </c>
      <c r="P477" s="404" t="s">
        <v>31</v>
      </c>
      <c r="Q477" s="404" t="s">
        <v>169</v>
      </c>
      <c r="R477" s="404" t="s">
        <v>169</v>
      </c>
      <c r="S477" s="404" t="s">
        <v>826</v>
      </c>
      <c r="T477" s="404" t="s">
        <v>2909</v>
      </c>
      <c r="U477" s="941">
        <v>25</v>
      </c>
      <c r="V477" s="941">
        <v>135</v>
      </c>
      <c r="W477" s="941">
        <v>0</v>
      </c>
      <c r="X477" s="941">
        <v>0</v>
      </c>
      <c r="Y477" s="941">
        <v>0</v>
      </c>
      <c r="Z477" s="941">
        <v>0</v>
      </c>
      <c r="AA477" s="942">
        <v>9</v>
      </c>
      <c r="AB477" s="942">
        <v>50</v>
      </c>
      <c r="AC477" s="942">
        <v>0</v>
      </c>
      <c r="AD477" s="942">
        <v>0</v>
      </c>
      <c r="AE477" s="942">
        <v>0</v>
      </c>
      <c r="AF477" s="942">
        <v>0</v>
      </c>
      <c r="AG477" s="943">
        <f>comparaison_samebasis_villages[[#This Row],[previous idp_ind]]-comparaison_samebasis_villages[[#This Row],[actual idp_ind]]</f>
        <v>-85</v>
      </c>
      <c r="AH477" s="943">
        <f>comparaison_samebasis_villages[[#This Row],[previous ref_ind]]-comparaison_samebasis_villages[[#This Row],[actual ref_ind]]</f>
        <v>0</v>
      </c>
      <c r="AI477" s="943">
        <f>comparaison_samebasis_villages[[#This Row],[previous ret_ind]]-comparaison_samebasis_villages[[#This Row],[actual ret_ind]]</f>
        <v>0</v>
      </c>
    </row>
    <row r="478" spans="1:35" ht="15.75" customHeight="1" x14ac:dyDescent="0.3">
      <c r="A478" s="401" t="s">
        <v>32</v>
      </c>
      <c r="B478" s="401" t="s">
        <v>32</v>
      </c>
      <c r="C478" s="401" t="s">
        <v>177</v>
      </c>
      <c r="D478" s="401" t="s">
        <v>177</v>
      </c>
      <c r="E478" s="401" t="s">
        <v>1040</v>
      </c>
      <c r="F478" s="5" t="s">
        <v>2287</v>
      </c>
      <c r="G478" s="401"/>
      <c r="H478" s="1093" t="s">
        <v>511</v>
      </c>
      <c r="I478" s="1216" t="s">
        <v>3111</v>
      </c>
      <c r="J478" s="403">
        <v>0</v>
      </c>
      <c r="K478" s="403">
        <v>4</v>
      </c>
      <c r="L478" s="1093" t="s">
        <v>367</v>
      </c>
      <c r="M478" s="401"/>
      <c r="O478" s="404" t="s">
        <v>31</v>
      </c>
      <c r="P478" s="404" t="s">
        <v>31</v>
      </c>
      <c r="Q478" s="404" t="s">
        <v>169</v>
      </c>
      <c r="R478" s="404" t="s">
        <v>169</v>
      </c>
      <c r="S478" s="404" t="s">
        <v>2277</v>
      </c>
      <c r="T478" s="404" t="s">
        <v>2912</v>
      </c>
      <c r="U478" s="941">
        <v>0</v>
      </c>
      <c r="V478" s="941">
        <v>0</v>
      </c>
      <c r="W478" s="941">
        <v>0</v>
      </c>
      <c r="X478" s="941">
        <v>0</v>
      </c>
      <c r="Y478" s="941">
        <v>500</v>
      </c>
      <c r="Z478" s="941">
        <v>500</v>
      </c>
      <c r="AA478" s="942">
        <v>0</v>
      </c>
      <c r="AB478" s="942">
        <v>0</v>
      </c>
      <c r="AC478" s="942">
        <v>0</v>
      </c>
      <c r="AD478" s="942">
        <v>0</v>
      </c>
      <c r="AE478" s="942">
        <v>500</v>
      </c>
      <c r="AF478" s="942">
        <v>3500</v>
      </c>
      <c r="AG478" s="943">
        <f>comparaison_samebasis_villages[[#This Row],[previous idp_ind]]-comparaison_samebasis_villages[[#This Row],[actual idp_ind]]</f>
        <v>0</v>
      </c>
      <c r="AH478" s="943">
        <f>comparaison_samebasis_villages[[#This Row],[previous ref_ind]]-comparaison_samebasis_villages[[#This Row],[actual ref_ind]]</f>
        <v>0</v>
      </c>
      <c r="AI478" s="943">
        <f>comparaison_samebasis_villages[[#This Row],[previous ret_ind]]-comparaison_samebasis_villages[[#This Row],[actual ret_ind]]</f>
        <v>3000</v>
      </c>
    </row>
    <row r="479" spans="1:35" ht="15.75" customHeight="1" x14ac:dyDescent="0.3">
      <c r="A479" s="401" t="s">
        <v>35</v>
      </c>
      <c r="B479" s="401" t="s">
        <v>35</v>
      </c>
      <c r="C479" s="401" t="s">
        <v>196</v>
      </c>
      <c r="D479" s="401" t="s">
        <v>3984</v>
      </c>
      <c r="E479" s="401" t="s">
        <v>569</v>
      </c>
      <c r="F479" s="5" t="s">
        <v>570</v>
      </c>
      <c r="G479" s="401"/>
      <c r="H479" s="1093" t="s">
        <v>511</v>
      </c>
      <c r="I479" s="1216" t="s">
        <v>3112</v>
      </c>
      <c r="J479" s="403">
        <v>1</v>
      </c>
      <c r="K479" s="403">
        <v>3</v>
      </c>
      <c r="L479" s="1093" t="s">
        <v>367</v>
      </c>
      <c r="M479" s="401"/>
      <c r="O479" s="404" t="s">
        <v>31</v>
      </c>
      <c r="P479" s="404" t="s">
        <v>31</v>
      </c>
      <c r="Q479" s="404" t="s">
        <v>169</v>
      </c>
      <c r="R479" s="404" t="s">
        <v>169</v>
      </c>
      <c r="S479" s="404" t="s">
        <v>2381</v>
      </c>
      <c r="T479" s="404" t="s">
        <v>2922</v>
      </c>
      <c r="U479" s="941">
        <v>0</v>
      </c>
      <c r="V479" s="941">
        <v>0</v>
      </c>
      <c r="W479" s="941">
        <v>0</v>
      </c>
      <c r="X479" s="941">
        <v>0</v>
      </c>
      <c r="Y479" s="941">
        <v>0</v>
      </c>
      <c r="Z479" s="941">
        <v>0</v>
      </c>
      <c r="AA479" s="942">
        <v>0</v>
      </c>
      <c r="AB479" s="942">
        <v>0</v>
      </c>
      <c r="AC479" s="942">
        <v>0</v>
      </c>
      <c r="AD479" s="942">
        <v>0</v>
      </c>
      <c r="AE479" s="942">
        <v>0</v>
      </c>
      <c r="AF479" s="942">
        <v>0</v>
      </c>
      <c r="AG479" s="943">
        <f>comparaison_samebasis_villages[[#This Row],[previous idp_ind]]-comparaison_samebasis_villages[[#This Row],[actual idp_ind]]</f>
        <v>0</v>
      </c>
      <c r="AH479" s="943">
        <f>comparaison_samebasis_villages[[#This Row],[previous ref_ind]]-comparaison_samebasis_villages[[#This Row],[actual ref_ind]]</f>
        <v>0</v>
      </c>
      <c r="AI479" s="943">
        <f>comparaison_samebasis_villages[[#This Row],[previous ret_ind]]-comparaison_samebasis_villages[[#This Row],[actual ret_ind]]</f>
        <v>0</v>
      </c>
    </row>
    <row r="480" spans="1:35" ht="15.75" customHeight="1" x14ac:dyDescent="0.3">
      <c r="A480" s="401" t="s">
        <v>35</v>
      </c>
      <c r="B480" s="401" t="s">
        <v>35</v>
      </c>
      <c r="C480" s="401" t="s">
        <v>196</v>
      </c>
      <c r="D480" s="401" t="s">
        <v>3984</v>
      </c>
      <c r="E480" s="401" t="s">
        <v>2110</v>
      </c>
      <c r="F480" s="5" t="s">
        <v>2111</v>
      </c>
      <c r="G480" s="401"/>
      <c r="H480" s="1093" t="s">
        <v>511</v>
      </c>
      <c r="I480" s="1216" t="s">
        <v>3111</v>
      </c>
      <c r="J480" s="403">
        <v>4</v>
      </c>
      <c r="K480" s="403">
        <v>25</v>
      </c>
      <c r="L480" s="1093" t="s">
        <v>365</v>
      </c>
      <c r="M480" s="401"/>
      <c r="O480" s="404" t="s">
        <v>31</v>
      </c>
      <c r="P480" s="404" t="s">
        <v>31</v>
      </c>
      <c r="Q480" s="1145" t="s">
        <v>169</v>
      </c>
      <c r="R480" s="1145" t="s">
        <v>169</v>
      </c>
      <c r="S480" s="404" t="s">
        <v>1008</v>
      </c>
      <c r="T480" s="404" t="s">
        <v>2923</v>
      </c>
      <c r="U480" s="941">
        <v>35</v>
      </c>
      <c r="V480" s="941">
        <v>100</v>
      </c>
      <c r="W480" s="941">
        <v>10</v>
      </c>
      <c r="X480" s="941">
        <v>80</v>
      </c>
      <c r="Y480" s="941">
        <v>35</v>
      </c>
      <c r="Z480" s="941">
        <v>35</v>
      </c>
      <c r="AA480" s="942">
        <v>35</v>
      </c>
      <c r="AB480" s="942">
        <v>100</v>
      </c>
      <c r="AC480" s="942">
        <v>0</v>
      </c>
      <c r="AD480" s="942">
        <v>0</v>
      </c>
      <c r="AE480" s="942">
        <v>20</v>
      </c>
      <c r="AF480" s="942">
        <v>50</v>
      </c>
      <c r="AG480" s="943">
        <f>comparaison_samebasis_villages[[#This Row],[previous idp_ind]]-comparaison_samebasis_villages[[#This Row],[actual idp_ind]]</f>
        <v>0</v>
      </c>
      <c r="AH480" s="943">
        <f>comparaison_samebasis_villages[[#This Row],[previous ref_ind]]-comparaison_samebasis_villages[[#This Row],[actual ref_ind]]</f>
        <v>-80</v>
      </c>
      <c r="AI480" s="943">
        <f>comparaison_samebasis_villages[[#This Row],[previous ret_ind]]-comparaison_samebasis_villages[[#This Row],[actual ret_ind]]</f>
        <v>15</v>
      </c>
    </row>
    <row r="481" spans="1:35" ht="15.75" customHeight="1" x14ac:dyDescent="0.3">
      <c r="A481" s="401" t="s">
        <v>35</v>
      </c>
      <c r="B481" s="401" t="s">
        <v>35</v>
      </c>
      <c r="C481" s="401" t="s">
        <v>196</v>
      </c>
      <c r="D481" s="401" t="s">
        <v>3984</v>
      </c>
      <c r="E481" s="401" t="s">
        <v>2110</v>
      </c>
      <c r="F481" s="5" t="s">
        <v>2111</v>
      </c>
      <c r="G481" s="401"/>
      <c r="H481" s="1093" t="s">
        <v>511</v>
      </c>
      <c r="I481" s="1216" t="s">
        <v>3112</v>
      </c>
      <c r="J481" s="403">
        <v>1</v>
      </c>
      <c r="K481" s="403">
        <v>3</v>
      </c>
      <c r="L481" s="1093" t="s">
        <v>367</v>
      </c>
      <c r="M481" s="401"/>
      <c r="O481" s="404" t="s">
        <v>31</v>
      </c>
      <c r="P481" s="404" t="s">
        <v>31</v>
      </c>
      <c r="Q481" s="404" t="s">
        <v>169</v>
      </c>
      <c r="R481" s="404" t="s">
        <v>169</v>
      </c>
      <c r="S481" s="404" t="s">
        <v>1009</v>
      </c>
      <c r="T481" s="404" t="s">
        <v>3094</v>
      </c>
      <c r="U481" s="941">
        <v>25</v>
      </c>
      <c r="V481" s="941">
        <v>53</v>
      </c>
      <c r="W481" s="941">
        <v>1</v>
      </c>
      <c r="X481" s="941">
        <v>7</v>
      </c>
      <c r="Y481" s="941">
        <v>0</v>
      </c>
      <c r="Z481" s="941">
        <v>0</v>
      </c>
      <c r="AA481" s="942">
        <v>25</v>
      </c>
      <c r="AB481" s="942">
        <v>53</v>
      </c>
      <c r="AC481" s="942">
        <v>0</v>
      </c>
      <c r="AD481" s="942">
        <v>0</v>
      </c>
      <c r="AE481" s="942">
        <v>6</v>
      </c>
      <c r="AF481" s="942">
        <v>38</v>
      </c>
      <c r="AG481" s="943">
        <f>comparaison_samebasis_villages[[#This Row],[previous idp_ind]]-comparaison_samebasis_villages[[#This Row],[actual idp_ind]]</f>
        <v>0</v>
      </c>
      <c r="AH481" s="943">
        <f>comparaison_samebasis_villages[[#This Row],[previous ref_ind]]-comparaison_samebasis_villages[[#This Row],[actual ref_ind]]</f>
        <v>-7</v>
      </c>
      <c r="AI481" s="943">
        <f>comparaison_samebasis_villages[[#This Row],[previous ret_ind]]-comparaison_samebasis_villages[[#This Row],[actual ret_ind]]</f>
        <v>38</v>
      </c>
    </row>
    <row r="482" spans="1:35" ht="15.75" customHeight="1" x14ac:dyDescent="0.3">
      <c r="A482" s="401" t="s">
        <v>35</v>
      </c>
      <c r="B482" s="401" t="s">
        <v>35</v>
      </c>
      <c r="C482" s="401" t="s">
        <v>196</v>
      </c>
      <c r="D482" s="401" t="s">
        <v>3984</v>
      </c>
      <c r="E482" s="401" t="s">
        <v>2108</v>
      </c>
      <c r="F482" s="5" t="s">
        <v>2109</v>
      </c>
      <c r="G482" s="401"/>
      <c r="H482" s="1093" t="s">
        <v>511</v>
      </c>
      <c r="I482" s="1216" t="s">
        <v>3111</v>
      </c>
      <c r="J482" s="403">
        <v>14</v>
      </c>
      <c r="K482" s="403">
        <v>42</v>
      </c>
      <c r="L482" s="1093" t="s">
        <v>367</v>
      </c>
      <c r="M482" s="401"/>
      <c r="O482" s="399" t="s">
        <v>31</v>
      </c>
      <c r="P482" s="399" t="s">
        <v>31</v>
      </c>
      <c r="Q482" s="399" t="s">
        <v>169</v>
      </c>
      <c r="R482" s="399" t="s">
        <v>169</v>
      </c>
      <c r="S482" s="399" t="s">
        <v>2223</v>
      </c>
      <c r="T482" s="399" t="s">
        <v>2931</v>
      </c>
      <c r="U482" s="941">
        <v>0</v>
      </c>
      <c r="V482" s="941">
        <v>0</v>
      </c>
      <c r="W482" s="941">
        <v>2</v>
      </c>
      <c r="X482" s="941">
        <v>2</v>
      </c>
      <c r="Y482" s="941">
        <v>100</v>
      </c>
      <c r="Z482" s="941">
        <v>100</v>
      </c>
      <c r="AA482" s="942">
        <v>0</v>
      </c>
      <c r="AB482" s="942">
        <v>0</v>
      </c>
      <c r="AC482" s="942">
        <v>2</v>
      </c>
      <c r="AD482" s="942">
        <v>2</v>
      </c>
      <c r="AE482" s="942">
        <v>85</v>
      </c>
      <c r="AF482" s="942">
        <v>664</v>
      </c>
      <c r="AG482" s="943">
        <f>comparaison_samebasis_villages[[#This Row],[previous idp_ind]]-comparaison_samebasis_villages[[#This Row],[actual idp_ind]]</f>
        <v>0</v>
      </c>
      <c r="AH482" s="943">
        <f>comparaison_samebasis_villages[[#This Row],[previous ref_ind]]-comparaison_samebasis_villages[[#This Row],[actual ref_ind]]</f>
        <v>0</v>
      </c>
      <c r="AI482" s="943">
        <f>comparaison_samebasis_villages[[#This Row],[previous ret_ind]]-comparaison_samebasis_villages[[#This Row],[actual ret_ind]]</f>
        <v>564</v>
      </c>
    </row>
    <row r="483" spans="1:35" ht="15.75" customHeight="1" x14ac:dyDescent="0.3">
      <c r="A483" s="401" t="s">
        <v>35</v>
      </c>
      <c r="B483" s="401" t="s">
        <v>35</v>
      </c>
      <c r="C483" s="401" t="s">
        <v>196</v>
      </c>
      <c r="D483" s="401" t="s">
        <v>3984</v>
      </c>
      <c r="E483" s="401" t="s">
        <v>2108</v>
      </c>
      <c r="F483" s="5" t="s">
        <v>2109</v>
      </c>
      <c r="G483" s="401"/>
      <c r="H483" s="1093" t="s">
        <v>511</v>
      </c>
      <c r="I483" s="1216" t="s">
        <v>3112</v>
      </c>
      <c r="J483" s="403">
        <v>1</v>
      </c>
      <c r="K483" s="403">
        <v>4</v>
      </c>
      <c r="L483" s="1093" t="s">
        <v>367</v>
      </c>
      <c r="M483" s="401"/>
      <c r="O483" s="404" t="s">
        <v>31</v>
      </c>
      <c r="P483" s="404" t="s">
        <v>31</v>
      </c>
      <c r="Q483" s="404" t="s">
        <v>169</v>
      </c>
      <c r="R483" s="404" t="s">
        <v>169</v>
      </c>
      <c r="S483" s="404" t="s">
        <v>2305</v>
      </c>
      <c r="T483" s="404" t="s">
        <v>2933</v>
      </c>
      <c r="U483" s="941">
        <v>0</v>
      </c>
      <c r="V483" s="941">
        <v>0</v>
      </c>
      <c r="W483" s="941">
        <v>0</v>
      </c>
      <c r="X483" s="941">
        <v>0</v>
      </c>
      <c r="Y483" s="941">
        <v>0</v>
      </c>
      <c r="Z483" s="941">
        <v>0</v>
      </c>
      <c r="AA483" s="942">
        <v>0</v>
      </c>
      <c r="AB483" s="942">
        <v>0</v>
      </c>
      <c r="AC483" s="942">
        <v>0</v>
      </c>
      <c r="AD483" s="942">
        <v>0</v>
      </c>
      <c r="AE483" s="942">
        <v>52</v>
      </c>
      <c r="AF483" s="942">
        <v>200</v>
      </c>
      <c r="AG483" s="943">
        <f>comparaison_samebasis_villages[[#This Row],[previous idp_ind]]-comparaison_samebasis_villages[[#This Row],[actual idp_ind]]</f>
        <v>0</v>
      </c>
      <c r="AH483" s="943">
        <f>comparaison_samebasis_villages[[#This Row],[previous ref_ind]]-comparaison_samebasis_villages[[#This Row],[actual ref_ind]]</f>
        <v>0</v>
      </c>
      <c r="AI483" s="943">
        <f>comparaison_samebasis_villages[[#This Row],[previous ret_ind]]-comparaison_samebasis_villages[[#This Row],[actual ret_ind]]</f>
        <v>200</v>
      </c>
    </row>
    <row r="484" spans="1:35" ht="15.75" customHeight="1" x14ac:dyDescent="0.3">
      <c r="A484" s="401" t="s">
        <v>35</v>
      </c>
      <c r="B484" s="401" t="s">
        <v>35</v>
      </c>
      <c r="C484" s="401" t="s">
        <v>195</v>
      </c>
      <c r="D484" s="401" t="s">
        <v>195</v>
      </c>
      <c r="E484" s="401" t="s">
        <v>3213</v>
      </c>
      <c r="F484" s="5" t="s">
        <v>3070</v>
      </c>
      <c r="G484" s="401"/>
      <c r="H484" s="1093" t="s">
        <v>511</v>
      </c>
      <c r="I484" s="1216" t="s">
        <v>3112</v>
      </c>
      <c r="J484" s="403">
        <v>20</v>
      </c>
      <c r="K484" s="403">
        <v>90</v>
      </c>
      <c r="L484" s="1093" t="s">
        <v>367</v>
      </c>
      <c r="M484" s="401"/>
      <c r="O484" s="404" t="s">
        <v>31</v>
      </c>
      <c r="P484" s="404" t="s">
        <v>31</v>
      </c>
      <c r="Q484" s="404" t="s">
        <v>169</v>
      </c>
      <c r="R484" s="404" t="s">
        <v>169</v>
      </c>
      <c r="S484" s="404" t="s">
        <v>2296</v>
      </c>
      <c r="T484" s="404" t="s">
        <v>2939</v>
      </c>
      <c r="U484" s="941">
        <v>0</v>
      </c>
      <c r="V484" s="941">
        <v>0</v>
      </c>
      <c r="W484" s="941">
        <v>0</v>
      </c>
      <c r="X484" s="941">
        <v>0</v>
      </c>
      <c r="Y484" s="941">
        <v>56</v>
      </c>
      <c r="Z484" s="941">
        <v>56</v>
      </c>
      <c r="AA484" s="942">
        <v>0</v>
      </c>
      <c r="AB484" s="942">
        <v>0</v>
      </c>
      <c r="AC484" s="942">
        <v>0</v>
      </c>
      <c r="AD484" s="942">
        <v>0</v>
      </c>
      <c r="AE484" s="942">
        <v>56</v>
      </c>
      <c r="AF484" s="942">
        <v>247</v>
      </c>
      <c r="AG484" s="943">
        <f>comparaison_samebasis_villages[[#This Row],[previous idp_ind]]-comparaison_samebasis_villages[[#This Row],[actual idp_ind]]</f>
        <v>0</v>
      </c>
      <c r="AH484" s="943">
        <f>comparaison_samebasis_villages[[#This Row],[previous ref_ind]]-comparaison_samebasis_villages[[#This Row],[actual ref_ind]]</f>
        <v>0</v>
      </c>
      <c r="AI484" s="943">
        <f>comparaison_samebasis_villages[[#This Row],[previous ret_ind]]-comparaison_samebasis_villages[[#This Row],[actual ret_ind]]</f>
        <v>191</v>
      </c>
    </row>
    <row r="485" spans="1:35" ht="15.75" customHeight="1" x14ac:dyDescent="0.3">
      <c r="A485" s="401" t="s">
        <v>35</v>
      </c>
      <c r="B485" s="401" t="s">
        <v>35</v>
      </c>
      <c r="C485" s="401" t="s">
        <v>196</v>
      </c>
      <c r="D485" s="401" t="s">
        <v>3984</v>
      </c>
      <c r="E485" s="401" t="s">
        <v>2689</v>
      </c>
      <c r="F485" s="5" t="s">
        <v>672</v>
      </c>
      <c r="G485" s="401"/>
      <c r="H485" s="1093" t="s">
        <v>511</v>
      </c>
      <c r="I485" s="1216" t="s">
        <v>3111</v>
      </c>
      <c r="J485" s="403">
        <v>14</v>
      </c>
      <c r="K485" s="403">
        <v>66</v>
      </c>
      <c r="L485" s="1093" t="s">
        <v>367</v>
      </c>
      <c r="M485" s="401"/>
      <c r="O485" s="404" t="s">
        <v>31</v>
      </c>
      <c r="P485" s="404" t="s">
        <v>31</v>
      </c>
      <c r="Q485" s="404" t="s">
        <v>169</v>
      </c>
      <c r="R485" s="404" t="s">
        <v>169</v>
      </c>
      <c r="S485" s="404" t="s">
        <v>830</v>
      </c>
      <c r="T485" s="404" t="s">
        <v>2942</v>
      </c>
      <c r="U485" s="941">
        <v>35</v>
      </c>
      <c r="V485" s="941">
        <v>80</v>
      </c>
      <c r="W485" s="941">
        <v>5</v>
      </c>
      <c r="X485" s="941">
        <v>35</v>
      </c>
      <c r="Y485" s="941">
        <v>10</v>
      </c>
      <c r="Z485" s="941">
        <v>10</v>
      </c>
      <c r="AA485" s="942">
        <v>35</v>
      </c>
      <c r="AB485" s="942">
        <v>80</v>
      </c>
      <c r="AC485" s="942">
        <v>0</v>
      </c>
      <c r="AD485" s="942">
        <v>0</v>
      </c>
      <c r="AE485" s="942">
        <v>0</v>
      </c>
      <c r="AF485" s="942">
        <v>0</v>
      </c>
      <c r="AG485" s="943">
        <f>comparaison_samebasis_villages[[#This Row],[previous idp_ind]]-comparaison_samebasis_villages[[#This Row],[actual idp_ind]]</f>
        <v>0</v>
      </c>
      <c r="AH485" s="943">
        <f>comparaison_samebasis_villages[[#This Row],[previous ref_ind]]-comparaison_samebasis_villages[[#This Row],[actual ref_ind]]</f>
        <v>-35</v>
      </c>
      <c r="AI485" s="943">
        <f>comparaison_samebasis_villages[[#This Row],[previous ret_ind]]-comparaison_samebasis_villages[[#This Row],[actual ret_ind]]</f>
        <v>-10</v>
      </c>
    </row>
    <row r="486" spans="1:35" ht="15.75" customHeight="1" x14ac:dyDescent="0.3">
      <c r="A486" s="401" t="s">
        <v>35</v>
      </c>
      <c r="B486" s="401" t="s">
        <v>35</v>
      </c>
      <c r="C486" s="401" t="s">
        <v>196</v>
      </c>
      <c r="D486" s="401" t="s">
        <v>3984</v>
      </c>
      <c r="E486" s="401" t="s">
        <v>2689</v>
      </c>
      <c r="F486" s="5" t="s">
        <v>672</v>
      </c>
      <c r="G486" s="401"/>
      <c r="H486" s="1093" t="s">
        <v>511</v>
      </c>
      <c r="I486" s="1216" t="s">
        <v>3112</v>
      </c>
      <c r="J486" s="403">
        <v>3</v>
      </c>
      <c r="K486" s="403">
        <v>23</v>
      </c>
      <c r="L486" s="1093" t="s">
        <v>367</v>
      </c>
      <c r="M486" s="401"/>
      <c r="O486" s="404" t="s">
        <v>31</v>
      </c>
      <c r="P486" s="404" t="s">
        <v>31</v>
      </c>
      <c r="Q486" s="404" t="s">
        <v>169</v>
      </c>
      <c r="R486" s="404" t="s">
        <v>169</v>
      </c>
      <c r="S486" s="404" t="s">
        <v>1524</v>
      </c>
      <c r="T486" s="404" t="s">
        <v>2948</v>
      </c>
      <c r="U486" s="941">
        <v>10</v>
      </c>
      <c r="V486" s="941">
        <v>55</v>
      </c>
      <c r="W486" s="941">
        <v>0</v>
      </c>
      <c r="X486" s="941">
        <v>0</v>
      </c>
      <c r="Y486" s="941">
        <v>4</v>
      </c>
      <c r="Z486" s="941">
        <v>4</v>
      </c>
      <c r="AA486" s="942">
        <v>10</v>
      </c>
      <c r="AB486" s="942">
        <v>55</v>
      </c>
      <c r="AC486" s="942">
        <v>0</v>
      </c>
      <c r="AD486" s="942">
        <v>0</v>
      </c>
      <c r="AE486" s="942">
        <v>0</v>
      </c>
      <c r="AF486" s="942">
        <v>0</v>
      </c>
      <c r="AG486" s="943">
        <f>comparaison_samebasis_villages[[#This Row],[previous idp_ind]]-comparaison_samebasis_villages[[#This Row],[actual idp_ind]]</f>
        <v>0</v>
      </c>
      <c r="AH486" s="943">
        <f>comparaison_samebasis_villages[[#This Row],[previous ref_ind]]-comparaison_samebasis_villages[[#This Row],[actual ref_ind]]</f>
        <v>0</v>
      </c>
      <c r="AI486" s="943">
        <f>comparaison_samebasis_villages[[#This Row],[previous ret_ind]]-comparaison_samebasis_villages[[#This Row],[actual ret_ind]]</f>
        <v>-4</v>
      </c>
    </row>
    <row r="487" spans="1:35" ht="15.75" customHeight="1" x14ac:dyDescent="0.3">
      <c r="A487" s="401" t="s">
        <v>35</v>
      </c>
      <c r="B487" s="401" t="s">
        <v>35</v>
      </c>
      <c r="C487" s="401" t="s">
        <v>196</v>
      </c>
      <c r="D487" s="401" t="s">
        <v>3984</v>
      </c>
      <c r="E487" s="401" t="s">
        <v>2987</v>
      </c>
      <c r="F487" s="5" t="s">
        <v>2690</v>
      </c>
      <c r="G487" s="401"/>
      <c r="H487" s="1093" t="s">
        <v>511</v>
      </c>
      <c r="I487" s="1216" t="s">
        <v>3111</v>
      </c>
      <c r="J487" s="403">
        <v>4</v>
      </c>
      <c r="K487" s="403">
        <v>29</v>
      </c>
      <c r="L487" s="1093" t="s">
        <v>367</v>
      </c>
      <c r="M487" s="401"/>
      <c r="O487" s="404" t="s">
        <v>31</v>
      </c>
      <c r="P487" s="404" t="s">
        <v>31</v>
      </c>
      <c r="Q487" s="404" t="s">
        <v>169</v>
      </c>
      <c r="R487" s="404" t="s">
        <v>169</v>
      </c>
      <c r="S487" s="404" t="s">
        <v>829</v>
      </c>
      <c r="T487" s="404" t="s">
        <v>2951</v>
      </c>
      <c r="U487" s="941">
        <v>20</v>
      </c>
      <c r="V487" s="941">
        <v>75</v>
      </c>
      <c r="W487" s="941">
        <v>4</v>
      </c>
      <c r="X487" s="941">
        <v>16</v>
      </c>
      <c r="Y487" s="941">
        <v>29</v>
      </c>
      <c r="Z487" s="941">
        <v>29</v>
      </c>
      <c r="AA487" s="942">
        <v>20</v>
      </c>
      <c r="AB487" s="942">
        <v>73</v>
      </c>
      <c r="AC487" s="942">
        <v>0</v>
      </c>
      <c r="AD487" s="942">
        <v>0</v>
      </c>
      <c r="AE487" s="942">
        <v>11</v>
      </c>
      <c r="AF487" s="942">
        <v>93</v>
      </c>
      <c r="AG487" s="943">
        <f>comparaison_samebasis_villages[[#This Row],[previous idp_ind]]-comparaison_samebasis_villages[[#This Row],[actual idp_ind]]</f>
        <v>-2</v>
      </c>
      <c r="AH487" s="943">
        <f>comparaison_samebasis_villages[[#This Row],[previous ref_ind]]-comparaison_samebasis_villages[[#This Row],[actual ref_ind]]</f>
        <v>-16</v>
      </c>
      <c r="AI487" s="943">
        <f>comparaison_samebasis_villages[[#This Row],[previous ret_ind]]-comparaison_samebasis_villages[[#This Row],[actual ret_ind]]</f>
        <v>64</v>
      </c>
    </row>
    <row r="488" spans="1:35" ht="15.75" customHeight="1" x14ac:dyDescent="0.3">
      <c r="A488" s="401" t="s">
        <v>35</v>
      </c>
      <c r="B488" s="401" t="s">
        <v>35</v>
      </c>
      <c r="C488" s="401" t="s">
        <v>196</v>
      </c>
      <c r="D488" s="401" t="s">
        <v>3984</v>
      </c>
      <c r="E488" s="401" t="s">
        <v>2987</v>
      </c>
      <c r="F488" s="5" t="s">
        <v>2690</v>
      </c>
      <c r="G488" s="401"/>
      <c r="H488" s="1093" t="s">
        <v>511</v>
      </c>
      <c r="I488" s="1216" t="s">
        <v>3112</v>
      </c>
      <c r="J488" s="403">
        <v>1</v>
      </c>
      <c r="K488" s="403">
        <v>8</v>
      </c>
      <c r="L488" s="1093" t="s">
        <v>367</v>
      </c>
      <c r="M488" s="401"/>
      <c r="O488" s="404" t="s">
        <v>31</v>
      </c>
      <c r="P488" s="404" t="s">
        <v>31</v>
      </c>
      <c r="Q488" s="404" t="s">
        <v>169</v>
      </c>
      <c r="R488" s="404" t="s">
        <v>169</v>
      </c>
      <c r="S488" s="404" t="s">
        <v>1633</v>
      </c>
      <c r="T488" s="404" t="s">
        <v>2981</v>
      </c>
      <c r="U488" s="941">
        <v>10</v>
      </c>
      <c r="V488" s="941">
        <v>50</v>
      </c>
      <c r="W488" s="941">
        <v>11</v>
      </c>
      <c r="X488" s="941">
        <v>48</v>
      </c>
      <c r="Y488" s="941">
        <v>5</v>
      </c>
      <c r="Z488" s="941">
        <v>5</v>
      </c>
      <c r="AA488" s="942">
        <v>10</v>
      </c>
      <c r="AB488" s="942">
        <v>50</v>
      </c>
      <c r="AC488" s="942">
        <v>0</v>
      </c>
      <c r="AD488" s="942">
        <v>0</v>
      </c>
      <c r="AE488" s="942">
        <v>5</v>
      </c>
      <c r="AF488" s="942">
        <v>30</v>
      </c>
      <c r="AG488" s="943">
        <f>comparaison_samebasis_villages[[#This Row],[previous idp_ind]]-comparaison_samebasis_villages[[#This Row],[actual idp_ind]]</f>
        <v>0</v>
      </c>
      <c r="AH488" s="943">
        <f>comparaison_samebasis_villages[[#This Row],[previous ref_ind]]-comparaison_samebasis_villages[[#This Row],[actual ref_ind]]</f>
        <v>-48</v>
      </c>
      <c r="AI488" s="943">
        <f>comparaison_samebasis_villages[[#This Row],[previous ret_ind]]-comparaison_samebasis_villages[[#This Row],[actual ret_ind]]</f>
        <v>25</v>
      </c>
    </row>
    <row r="489" spans="1:35" ht="15.75" customHeight="1" x14ac:dyDescent="0.3">
      <c r="A489" s="401" t="s">
        <v>35</v>
      </c>
      <c r="B489" s="401" t="s">
        <v>35</v>
      </c>
      <c r="C489" s="401" t="s">
        <v>196</v>
      </c>
      <c r="D489" s="401" t="s">
        <v>3984</v>
      </c>
      <c r="E489" s="401" t="s">
        <v>671</v>
      </c>
      <c r="F489" s="5" t="s">
        <v>2107</v>
      </c>
      <c r="G489" s="401"/>
      <c r="H489" s="1093" t="s">
        <v>511</v>
      </c>
      <c r="I489" s="1216" t="s">
        <v>3112</v>
      </c>
      <c r="J489" s="403">
        <v>2</v>
      </c>
      <c r="K489" s="403">
        <v>13</v>
      </c>
      <c r="L489" s="1093" t="s">
        <v>367</v>
      </c>
      <c r="M489" s="401"/>
      <c r="O489" s="404" t="s">
        <v>31</v>
      </c>
      <c r="P489" s="404" t="s">
        <v>31</v>
      </c>
      <c r="Q489" s="404" t="s">
        <v>169</v>
      </c>
      <c r="R489" s="404" t="s">
        <v>169</v>
      </c>
      <c r="S489" s="404" t="s">
        <v>2385</v>
      </c>
      <c r="T489" s="404" t="s">
        <v>3012</v>
      </c>
      <c r="U489" s="941">
        <v>0</v>
      </c>
      <c r="V489" s="941">
        <v>0</v>
      </c>
      <c r="W489" s="941">
        <v>0</v>
      </c>
      <c r="X489" s="941">
        <v>0</v>
      </c>
      <c r="Y489" s="941">
        <v>125</v>
      </c>
      <c r="Z489" s="941">
        <v>125</v>
      </c>
      <c r="AA489" s="942">
        <v>0</v>
      </c>
      <c r="AB489" s="942">
        <v>0</v>
      </c>
      <c r="AC489" s="942">
        <v>0</v>
      </c>
      <c r="AD489" s="942">
        <v>0</v>
      </c>
      <c r="AE489" s="942">
        <v>38</v>
      </c>
      <c r="AF489" s="942">
        <v>400</v>
      </c>
      <c r="AG489" s="943">
        <f>comparaison_samebasis_villages[[#This Row],[previous idp_ind]]-comparaison_samebasis_villages[[#This Row],[actual idp_ind]]</f>
        <v>0</v>
      </c>
      <c r="AH489" s="943">
        <f>comparaison_samebasis_villages[[#This Row],[previous ref_ind]]-comparaison_samebasis_villages[[#This Row],[actual ref_ind]]</f>
        <v>0</v>
      </c>
      <c r="AI489" s="943">
        <f>comparaison_samebasis_villages[[#This Row],[previous ret_ind]]-comparaison_samebasis_villages[[#This Row],[actual ret_ind]]</f>
        <v>275</v>
      </c>
    </row>
    <row r="490" spans="1:35" ht="15.75" customHeight="1" x14ac:dyDescent="0.3">
      <c r="A490" s="401" t="s">
        <v>31</v>
      </c>
      <c r="B490" s="401" t="s">
        <v>31</v>
      </c>
      <c r="C490" s="401" t="s">
        <v>170</v>
      </c>
      <c r="D490" s="401" t="s">
        <v>170</v>
      </c>
      <c r="E490" s="401" t="s">
        <v>879</v>
      </c>
      <c r="F490" s="5" t="s">
        <v>958</v>
      </c>
      <c r="G490" s="401"/>
      <c r="H490" s="1093" t="s">
        <v>511</v>
      </c>
      <c r="I490" s="1216" t="s">
        <v>3112</v>
      </c>
      <c r="J490" s="403">
        <v>2</v>
      </c>
      <c r="K490" s="403">
        <v>15</v>
      </c>
      <c r="L490" s="1093" t="s">
        <v>365</v>
      </c>
      <c r="M490" s="401"/>
      <c r="O490" s="404" t="s">
        <v>31</v>
      </c>
      <c r="P490" s="404" t="s">
        <v>31</v>
      </c>
      <c r="Q490" s="404" t="s">
        <v>169</v>
      </c>
      <c r="R490" s="404" t="s">
        <v>169</v>
      </c>
      <c r="S490" s="404" t="s">
        <v>2327</v>
      </c>
      <c r="T490" s="404" t="s">
        <v>3024</v>
      </c>
      <c r="U490" s="941">
        <v>0</v>
      </c>
      <c r="V490" s="941">
        <v>0</v>
      </c>
      <c r="W490" s="941">
        <v>0</v>
      </c>
      <c r="X490" s="941">
        <v>0</v>
      </c>
      <c r="Y490" s="941">
        <v>179</v>
      </c>
      <c r="Z490" s="941">
        <v>179</v>
      </c>
      <c r="AA490" s="942">
        <v>0</v>
      </c>
      <c r="AB490" s="942">
        <v>0</v>
      </c>
      <c r="AC490" s="942">
        <v>0</v>
      </c>
      <c r="AD490" s="942">
        <v>0</v>
      </c>
      <c r="AE490" s="942">
        <v>179</v>
      </c>
      <c r="AF490" s="942">
        <v>1130</v>
      </c>
      <c r="AG490" s="943">
        <f>comparaison_samebasis_villages[[#This Row],[previous idp_ind]]-comparaison_samebasis_villages[[#This Row],[actual idp_ind]]</f>
        <v>0</v>
      </c>
      <c r="AH490" s="943">
        <f>comparaison_samebasis_villages[[#This Row],[previous ref_ind]]-comparaison_samebasis_villages[[#This Row],[actual ref_ind]]</f>
        <v>0</v>
      </c>
      <c r="AI490" s="943">
        <f>comparaison_samebasis_villages[[#This Row],[previous ret_ind]]-comparaison_samebasis_villages[[#This Row],[actual ret_ind]]</f>
        <v>951</v>
      </c>
    </row>
    <row r="491" spans="1:35" ht="15.75" customHeight="1" x14ac:dyDescent="0.3">
      <c r="A491" s="401" t="s">
        <v>34</v>
      </c>
      <c r="B491" s="401" t="s">
        <v>34</v>
      </c>
      <c r="C491" s="401" t="s">
        <v>187</v>
      </c>
      <c r="D491" s="401" t="s">
        <v>187</v>
      </c>
      <c r="E491" s="401" t="s">
        <v>3005</v>
      </c>
      <c r="F491" s="5" t="s">
        <v>1612</v>
      </c>
      <c r="G491" s="401"/>
      <c r="H491" s="1093" t="s">
        <v>511</v>
      </c>
      <c r="I491" s="1216" t="s">
        <v>3110</v>
      </c>
      <c r="J491" s="403">
        <v>40</v>
      </c>
      <c r="K491" s="403">
        <v>314</v>
      </c>
      <c r="L491" s="1093" t="s">
        <v>367</v>
      </c>
      <c r="M491" s="401"/>
      <c r="O491" s="404" t="s">
        <v>31</v>
      </c>
      <c r="P491" s="404" t="s">
        <v>31</v>
      </c>
      <c r="Q491" s="404" t="s">
        <v>169</v>
      </c>
      <c r="R491" s="404" t="s">
        <v>169</v>
      </c>
      <c r="S491" s="404" t="s">
        <v>2328</v>
      </c>
      <c r="T491" s="404" t="s">
        <v>2822</v>
      </c>
      <c r="U491" s="941">
        <v>0</v>
      </c>
      <c r="V491" s="941">
        <v>0</v>
      </c>
      <c r="W491" s="941">
        <v>0</v>
      </c>
      <c r="X491" s="941">
        <v>0</v>
      </c>
      <c r="Y491" s="941">
        <v>0</v>
      </c>
      <c r="Z491" s="941">
        <v>0</v>
      </c>
      <c r="AA491" s="942">
        <v>0</v>
      </c>
      <c r="AB491" s="942">
        <v>0</v>
      </c>
      <c r="AC491" s="942">
        <v>0</v>
      </c>
      <c r="AD491" s="942">
        <v>0</v>
      </c>
      <c r="AE491" s="942">
        <v>42</v>
      </c>
      <c r="AF491" s="942">
        <v>327</v>
      </c>
      <c r="AG491" s="943">
        <f>comparaison_samebasis_villages[[#This Row],[previous idp_ind]]-comparaison_samebasis_villages[[#This Row],[actual idp_ind]]</f>
        <v>0</v>
      </c>
      <c r="AH491" s="943">
        <f>comparaison_samebasis_villages[[#This Row],[previous ref_ind]]-comparaison_samebasis_villages[[#This Row],[actual ref_ind]]</f>
        <v>0</v>
      </c>
      <c r="AI491" s="943">
        <f>comparaison_samebasis_villages[[#This Row],[previous ret_ind]]-comparaison_samebasis_villages[[#This Row],[actual ret_ind]]</f>
        <v>327</v>
      </c>
    </row>
    <row r="492" spans="1:35" ht="15.75" customHeight="1" x14ac:dyDescent="0.3">
      <c r="A492" s="401" t="s">
        <v>35</v>
      </c>
      <c r="B492" s="401" t="s">
        <v>35</v>
      </c>
      <c r="C492" s="401" t="s">
        <v>195</v>
      </c>
      <c r="D492" s="401" t="s">
        <v>195</v>
      </c>
      <c r="E492" s="401" t="s">
        <v>1749</v>
      </c>
      <c r="F492" s="5" t="s">
        <v>1750</v>
      </c>
      <c r="G492" s="401"/>
      <c r="H492" s="1093" t="s">
        <v>511</v>
      </c>
      <c r="I492" s="1216" t="s">
        <v>3033</v>
      </c>
      <c r="J492" s="403">
        <v>5</v>
      </c>
      <c r="K492" s="403">
        <v>35</v>
      </c>
      <c r="L492" s="1093" t="s">
        <v>367</v>
      </c>
      <c r="M492" s="401"/>
      <c r="O492" s="399" t="s">
        <v>31</v>
      </c>
      <c r="P492" s="399" t="s">
        <v>31</v>
      </c>
      <c r="Q492" s="399" t="s">
        <v>169</v>
      </c>
      <c r="R492" s="399" t="s">
        <v>169</v>
      </c>
      <c r="S492" s="399" t="s">
        <v>2329</v>
      </c>
      <c r="T492" s="399" t="s">
        <v>2988</v>
      </c>
      <c r="U492" s="941">
        <v>0</v>
      </c>
      <c r="V492" s="941">
        <v>0</v>
      </c>
      <c r="W492" s="941">
        <v>0</v>
      </c>
      <c r="X492" s="941">
        <v>0</v>
      </c>
      <c r="Y492" s="941">
        <v>0</v>
      </c>
      <c r="Z492" s="941">
        <v>0</v>
      </c>
      <c r="AA492" s="942">
        <v>0</v>
      </c>
      <c r="AB492" s="942">
        <v>0</v>
      </c>
      <c r="AC492" s="942">
        <v>0</v>
      </c>
      <c r="AD492" s="942">
        <v>0</v>
      </c>
      <c r="AE492" s="942">
        <v>30</v>
      </c>
      <c r="AF492" s="942">
        <v>154</v>
      </c>
      <c r="AG492" s="943">
        <f>comparaison_samebasis_villages[[#This Row],[previous idp_ind]]-comparaison_samebasis_villages[[#This Row],[actual idp_ind]]</f>
        <v>0</v>
      </c>
      <c r="AH492" s="943">
        <f>comparaison_samebasis_villages[[#This Row],[previous ref_ind]]-comparaison_samebasis_villages[[#This Row],[actual ref_ind]]</f>
        <v>0</v>
      </c>
      <c r="AI492" s="943">
        <f>comparaison_samebasis_villages[[#This Row],[previous ret_ind]]-comparaison_samebasis_villages[[#This Row],[actual ret_ind]]</f>
        <v>154</v>
      </c>
    </row>
    <row r="493" spans="1:35" ht="15.75" customHeight="1" x14ac:dyDescent="0.3">
      <c r="A493" s="401" t="s">
        <v>35</v>
      </c>
      <c r="B493" s="401" t="s">
        <v>35</v>
      </c>
      <c r="C493" s="401" t="s">
        <v>195</v>
      </c>
      <c r="D493" s="401" t="s">
        <v>195</v>
      </c>
      <c r="E493" s="401" t="s">
        <v>1749</v>
      </c>
      <c r="F493" s="5" t="s">
        <v>1750</v>
      </c>
      <c r="G493" s="401"/>
      <c r="H493" s="1093" t="s">
        <v>511</v>
      </c>
      <c r="I493" s="1216" t="s">
        <v>3110</v>
      </c>
      <c r="J493" s="403">
        <v>1</v>
      </c>
      <c r="K493" s="403">
        <v>1</v>
      </c>
      <c r="L493" s="1093" t="s">
        <v>367</v>
      </c>
      <c r="M493" s="401"/>
      <c r="O493" s="404" t="s">
        <v>31</v>
      </c>
      <c r="P493" s="404" t="s">
        <v>31</v>
      </c>
      <c r="Q493" s="404" t="s">
        <v>169</v>
      </c>
      <c r="R493" s="404" t="s">
        <v>169</v>
      </c>
      <c r="S493" s="404" t="s">
        <v>2330</v>
      </c>
      <c r="T493" s="404" t="s">
        <v>2992</v>
      </c>
      <c r="U493" s="941">
        <v>0</v>
      </c>
      <c r="V493" s="941">
        <v>0</v>
      </c>
      <c r="W493" s="941">
        <v>0</v>
      </c>
      <c r="X493" s="941">
        <v>0</v>
      </c>
      <c r="Y493" s="941">
        <v>43</v>
      </c>
      <c r="Z493" s="941">
        <v>43</v>
      </c>
      <c r="AA493" s="942">
        <v>0</v>
      </c>
      <c r="AB493" s="942">
        <v>0</v>
      </c>
      <c r="AC493" s="942">
        <v>0</v>
      </c>
      <c r="AD493" s="942">
        <v>0</v>
      </c>
      <c r="AE493" s="942">
        <v>42</v>
      </c>
      <c r="AF493" s="942">
        <v>333</v>
      </c>
      <c r="AG493" s="943">
        <f>comparaison_samebasis_villages[[#This Row],[previous idp_ind]]-comparaison_samebasis_villages[[#This Row],[actual idp_ind]]</f>
        <v>0</v>
      </c>
      <c r="AH493" s="943">
        <f>comparaison_samebasis_villages[[#This Row],[previous ref_ind]]-comparaison_samebasis_villages[[#This Row],[actual ref_ind]]</f>
        <v>0</v>
      </c>
      <c r="AI493" s="943">
        <f>comparaison_samebasis_villages[[#This Row],[previous ret_ind]]-comparaison_samebasis_villages[[#This Row],[actual ret_ind]]</f>
        <v>290</v>
      </c>
    </row>
    <row r="494" spans="1:35" ht="15.75" customHeight="1" x14ac:dyDescent="0.3">
      <c r="A494" s="401" t="s">
        <v>34</v>
      </c>
      <c r="B494" s="401" t="s">
        <v>34</v>
      </c>
      <c r="C494" s="401" t="s">
        <v>187</v>
      </c>
      <c r="D494" s="401" t="s">
        <v>187</v>
      </c>
      <c r="E494" s="401" t="s">
        <v>3017</v>
      </c>
      <c r="F494" s="5" t="s">
        <v>1616</v>
      </c>
      <c r="G494" s="401"/>
      <c r="H494" s="1093" t="s">
        <v>511</v>
      </c>
      <c r="I494" s="1216" t="s">
        <v>3110</v>
      </c>
      <c r="J494" s="403">
        <v>10</v>
      </c>
      <c r="K494" s="403">
        <v>50</v>
      </c>
      <c r="L494" s="1093" t="s">
        <v>367</v>
      </c>
      <c r="M494" s="401"/>
      <c r="O494" s="404" t="s">
        <v>31</v>
      </c>
      <c r="P494" s="404" t="s">
        <v>31</v>
      </c>
      <c r="Q494" s="404" t="s">
        <v>169</v>
      </c>
      <c r="R494" s="404" t="s">
        <v>169</v>
      </c>
      <c r="S494" s="404" t="s">
        <v>2331</v>
      </c>
      <c r="T494" s="404" t="s">
        <v>2990</v>
      </c>
      <c r="U494" s="941">
        <v>15</v>
      </c>
      <c r="V494" s="941">
        <v>20</v>
      </c>
      <c r="W494" s="941">
        <v>0</v>
      </c>
      <c r="X494" s="941">
        <v>0</v>
      </c>
      <c r="Y494" s="941">
        <v>15</v>
      </c>
      <c r="Z494" s="941">
        <v>15</v>
      </c>
      <c r="AA494" s="942">
        <v>15</v>
      </c>
      <c r="AB494" s="942">
        <v>20</v>
      </c>
      <c r="AC494" s="942">
        <v>0</v>
      </c>
      <c r="AD494" s="942">
        <v>0</v>
      </c>
      <c r="AE494" s="942">
        <v>5</v>
      </c>
      <c r="AF494" s="942">
        <v>15</v>
      </c>
      <c r="AG494" s="943">
        <f>comparaison_samebasis_villages[[#This Row],[previous idp_ind]]-comparaison_samebasis_villages[[#This Row],[actual idp_ind]]</f>
        <v>0</v>
      </c>
      <c r="AH494" s="943">
        <f>comparaison_samebasis_villages[[#This Row],[previous ref_ind]]-comparaison_samebasis_villages[[#This Row],[actual ref_ind]]</f>
        <v>0</v>
      </c>
      <c r="AI494" s="943">
        <f>comparaison_samebasis_villages[[#This Row],[previous ret_ind]]-comparaison_samebasis_villages[[#This Row],[actual ret_ind]]</f>
        <v>0</v>
      </c>
    </row>
    <row r="495" spans="1:35" ht="15.75" customHeight="1" x14ac:dyDescent="0.3">
      <c r="A495" s="401" t="s">
        <v>34</v>
      </c>
      <c r="B495" s="401" t="s">
        <v>34</v>
      </c>
      <c r="C495" s="401" t="s">
        <v>187</v>
      </c>
      <c r="D495" s="401" t="s">
        <v>187</v>
      </c>
      <c r="E495" s="401" t="s">
        <v>3017</v>
      </c>
      <c r="F495" s="5" t="s">
        <v>1616</v>
      </c>
      <c r="G495" s="401"/>
      <c r="H495" s="1093" t="s">
        <v>511</v>
      </c>
      <c r="I495" s="1216" t="s">
        <v>3109</v>
      </c>
      <c r="J495" s="403">
        <v>0</v>
      </c>
      <c r="K495" s="403">
        <v>12</v>
      </c>
      <c r="L495" s="1093" t="s">
        <v>367</v>
      </c>
      <c r="M495" s="401"/>
      <c r="O495" s="404" t="s">
        <v>31</v>
      </c>
      <c r="P495" s="404" t="s">
        <v>31</v>
      </c>
      <c r="Q495" s="404" t="s">
        <v>169</v>
      </c>
      <c r="R495" s="404" t="s">
        <v>169</v>
      </c>
      <c r="S495" s="404" t="s">
        <v>2332</v>
      </c>
      <c r="T495" s="404" t="s">
        <v>2977</v>
      </c>
      <c r="U495" s="941">
        <v>0</v>
      </c>
      <c r="V495" s="941">
        <v>0</v>
      </c>
      <c r="W495" s="941">
        <v>200</v>
      </c>
      <c r="X495" s="941">
        <v>1050</v>
      </c>
      <c r="Y495" s="941">
        <v>0</v>
      </c>
      <c r="Z495" s="941">
        <v>0</v>
      </c>
      <c r="AA495" s="942">
        <v>32</v>
      </c>
      <c r="AB495" s="942">
        <v>65</v>
      </c>
      <c r="AC495" s="942">
        <v>0</v>
      </c>
      <c r="AD495" s="942">
        <v>0</v>
      </c>
      <c r="AE495" s="942">
        <v>10</v>
      </c>
      <c r="AF495" s="942">
        <v>25</v>
      </c>
      <c r="AG495" s="943">
        <f>comparaison_samebasis_villages[[#This Row],[previous idp_ind]]-comparaison_samebasis_villages[[#This Row],[actual idp_ind]]</f>
        <v>65</v>
      </c>
      <c r="AH495" s="943">
        <f>comparaison_samebasis_villages[[#This Row],[previous ref_ind]]-comparaison_samebasis_villages[[#This Row],[actual ref_ind]]</f>
        <v>-1050</v>
      </c>
      <c r="AI495" s="943">
        <f>comparaison_samebasis_villages[[#This Row],[previous ret_ind]]-comparaison_samebasis_villages[[#This Row],[actual ret_ind]]</f>
        <v>25</v>
      </c>
    </row>
    <row r="496" spans="1:35" ht="15.75" customHeight="1" x14ac:dyDescent="0.3">
      <c r="A496" s="401" t="s">
        <v>34</v>
      </c>
      <c r="B496" s="401" t="s">
        <v>34</v>
      </c>
      <c r="C496" s="401" t="s">
        <v>187</v>
      </c>
      <c r="D496" s="401" t="s">
        <v>187</v>
      </c>
      <c r="E496" s="401" t="s">
        <v>3017</v>
      </c>
      <c r="F496" s="5" t="s">
        <v>1616</v>
      </c>
      <c r="G496" s="401"/>
      <c r="H496" s="1093" t="s">
        <v>511</v>
      </c>
      <c r="I496" s="1216" t="s">
        <v>3033</v>
      </c>
      <c r="J496" s="403">
        <v>50</v>
      </c>
      <c r="K496" s="403">
        <v>304</v>
      </c>
      <c r="L496" s="1093" t="s">
        <v>367</v>
      </c>
      <c r="M496" s="401"/>
      <c r="O496" s="404" t="s">
        <v>31</v>
      </c>
      <c r="P496" s="404" t="s">
        <v>31</v>
      </c>
      <c r="Q496" s="404" t="s">
        <v>169</v>
      </c>
      <c r="R496" s="404" t="s">
        <v>169</v>
      </c>
      <c r="S496" s="404" t="s">
        <v>2333</v>
      </c>
      <c r="T496" s="404" t="s">
        <v>2904</v>
      </c>
      <c r="U496" s="941">
        <v>0</v>
      </c>
      <c r="V496" s="941">
        <v>0</v>
      </c>
      <c r="W496" s="941">
        <v>10</v>
      </c>
      <c r="X496" s="941">
        <v>40</v>
      </c>
      <c r="Y496" s="941">
        <v>103</v>
      </c>
      <c r="Z496" s="941">
        <v>103</v>
      </c>
      <c r="AA496" s="942">
        <v>0</v>
      </c>
      <c r="AB496" s="942">
        <v>0</v>
      </c>
      <c r="AC496" s="942">
        <v>0</v>
      </c>
      <c r="AD496" s="942">
        <v>0</v>
      </c>
      <c r="AE496" s="942">
        <v>83</v>
      </c>
      <c r="AF496" s="942">
        <v>215</v>
      </c>
      <c r="AG496" s="943">
        <f>comparaison_samebasis_villages[[#This Row],[previous idp_ind]]-comparaison_samebasis_villages[[#This Row],[actual idp_ind]]</f>
        <v>0</v>
      </c>
      <c r="AH496" s="943">
        <f>comparaison_samebasis_villages[[#This Row],[previous ref_ind]]-comparaison_samebasis_villages[[#This Row],[actual ref_ind]]</f>
        <v>-40</v>
      </c>
      <c r="AI496" s="943">
        <f>comparaison_samebasis_villages[[#This Row],[previous ret_ind]]-comparaison_samebasis_villages[[#This Row],[actual ret_ind]]</f>
        <v>112</v>
      </c>
    </row>
    <row r="497" spans="1:35" ht="15.75" customHeight="1" x14ac:dyDescent="0.3">
      <c r="A497" s="401" t="s">
        <v>34</v>
      </c>
      <c r="B497" s="401" t="s">
        <v>34</v>
      </c>
      <c r="C497" s="401" t="s">
        <v>187</v>
      </c>
      <c r="D497" s="401" t="s">
        <v>187</v>
      </c>
      <c r="E497" s="401" t="s">
        <v>3017</v>
      </c>
      <c r="F497" s="5" t="s">
        <v>1616</v>
      </c>
      <c r="G497" s="401"/>
      <c r="H497" s="1093" t="s">
        <v>511</v>
      </c>
      <c r="I497" s="1216" t="s">
        <v>3111</v>
      </c>
      <c r="J497" s="403">
        <v>15</v>
      </c>
      <c r="K497" s="403">
        <v>80</v>
      </c>
      <c r="L497" s="1093" t="s">
        <v>367</v>
      </c>
      <c r="M497" s="401"/>
      <c r="O497" s="399" t="s">
        <v>31</v>
      </c>
      <c r="P497" s="399" t="s">
        <v>31</v>
      </c>
      <c r="Q497" s="399" t="s">
        <v>169</v>
      </c>
      <c r="R497" s="399" t="s">
        <v>169</v>
      </c>
      <c r="S497" s="399" t="s">
        <v>2334</v>
      </c>
      <c r="T497" s="399" t="s">
        <v>3002</v>
      </c>
      <c r="U497" s="941">
        <v>0</v>
      </c>
      <c r="V497" s="941">
        <v>0</v>
      </c>
      <c r="W497" s="941">
        <v>0</v>
      </c>
      <c r="X497" s="941">
        <v>0</v>
      </c>
      <c r="Y497" s="941">
        <v>127</v>
      </c>
      <c r="Z497" s="941">
        <v>127</v>
      </c>
      <c r="AA497" s="942">
        <v>0</v>
      </c>
      <c r="AB497" s="942">
        <v>0</v>
      </c>
      <c r="AC497" s="942">
        <v>0</v>
      </c>
      <c r="AD497" s="942">
        <v>0</v>
      </c>
      <c r="AE497" s="942">
        <v>127</v>
      </c>
      <c r="AF497" s="942">
        <v>250</v>
      </c>
      <c r="AG497" s="943">
        <f>comparaison_samebasis_villages[[#This Row],[previous idp_ind]]-comparaison_samebasis_villages[[#This Row],[actual idp_ind]]</f>
        <v>0</v>
      </c>
      <c r="AH497" s="943">
        <f>comparaison_samebasis_villages[[#This Row],[previous ref_ind]]-comparaison_samebasis_villages[[#This Row],[actual ref_ind]]</f>
        <v>0</v>
      </c>
      <c r="AI497" s="943">
        <f>comparaison_samebasis_villages[[#This Row],[previous ret_ind]]-comparaison_samebasis_villages[[#This Row],[actual ret_ind]]</f>
        <v>123</v>
      </c>
    </row>
    <row r="498" spans="1:35" ht="15.75" customHeight="1" x14ac:dyDescent="0.3">
      <c r="A498" s="401" t="s">
        <v>34</v>
      </c>
      <c r="B498" s="401" t="s">
        <v>34</v>
      </c>
      <c r="C498" s="401" t="s">
        <v>187</v>
      </c>
      <c r="D498" s="401" t="s">
        <v>187</v>
      </c>
      <c r="E498" s="401" t="s">
        <v>3017</v>
      </c>
      <c r="F498" s="5" t="s">
        <v>1616</v>
      </c>
      <c r="G498" s="401"/>
      <c r="H498" s="1093" t="s">
        <v>511</v>
      </c>
      <c r="I498" s="1216" t="s">
        <v>3112</v>
      </c>
      <c r="J498" s="403">
        <v>0</v>
      </c>
      <c r="K498" s="403">
        <v>6</v>
      </c>
      <c r="L498" s="1093" t="s">
        <v>367</v>
      </c>
      <c r="M498" s="401"/>
      <c r="O498" s="399" t="s">
        <v>31</v>
      </c>
      <c r="P498" s="399" t="s">
        <v>31</v>
      </c>
      <c r="Q498" s="399" t="s">
        <v>169</v>
      </c>
      <c r="R498" s="399" t="s">
        <v>169</v>
      </c>
      <c r="S498" s="399" t="s">
        <v>2335</v>
      </c>
      <c r="T498" s="399" t="s">
        <v>2976</v>
      </c>
      <c r="U498" s="941">
        <v>0</v>
      </c>
      <c r="V498" s="941">
        <v>0</v>
      </c>
      <c r="W498" s="941">
        <v>0</v>
      </c>
      <c r="X498" s="941">
        <v>0</v>
      </c>
      <c r="Y498" s="941">
        <v>52</v>
      </c>
      <c r="Z498" s="941">
        <v>52</v>
      </c>
      <c r="AA498" s="942">
        <v>0</v>
      </c>
      <c r="AB498" s="942">
        <v>0</v>
      </c>
      <c r="AC498" s="942">
        <v>0</v>
      </c>
      <c r="AD498" s="942">
        <v>0</v>
      </c>
      <c r="AE498" s="942">
        <v>44</v>
      </c>
      <c r="AF498" s="942">
        <v>250</v>
      </c>
      <c r="AG498" s="943">
        <f>comparaison_samebasis_villages[[#This Row],[previous idp_ind]]-comparaison_samebasis_villages[[#This Row],[actual idp_ind]]</f>
        <v>0</v>
      </c>
      <c r="AH498" s="943">
        <f>comparaison_samebasis_villages[[#This Row],[previous ref_ind]]-comparaison_samebasis_villages[[#This Row],[actual ref_ind]]</f>
        <v>0</v>
      </c>
      <c r="AI498" s="943">
        <f>comparaison_samebasis_villages[[#This Row],[previous ret_ind]]-comparaison_samebasis_villages[[#This Row],[actual ret_ind]]</f>
        <v>198</v>
      </c>
    </row>
    <row r="499" spans="1:35" ht="15.75" customHeight="1" x14ac:dyDescent="0.3">
      <c r="A499" s="401" t="s">
        <v>32</v>
      </c>
      <c r="B499" s="401" t="s">
        <v>32</v>
      </c>
      <c r="C499" s="1126" t="s">
        <v>177</v>
      </c>
      <c r="D499" s="1126" t="s">
        <v>177</v>
      </c>
      <c r="E499" s="401" t="s">
        <v>1651</v>
      </c>
      <c r="F499" s="5" t="s">
        <v>1650</v>
      </c>
      <c r="G499" s="401"/>
      <c r="H499" s="1093" t="s">
        <v>511</v>
      </c>
      <c r="I499" s="1216" t="s">
        <v>3109</v>
      </c>
      <c r="J499" s="403">
        <v>45</v>
      </c>
      <c r="K499" s="403">
        <v>295</v>
      </c>
      <c r="L499" s="1093" t="s">
        <v>367</v>
      </c>
      <c r="M499" s="401"/>
      <c r="O499" s="404" t="s">
        <v>31</v>
      </c>
      <c r="P499" s="404" t="s">
        <v>31</v>
      </c>
      <c r="Q499" s="404" t="s">
        <v>169</v>
      </c>
      <c r="R499" s="404" t="s">
        <v>169</v>
      </c>
      <c r="S499" s="404" t="s">
        <v>2338</v>
      </c>
      <c r="T499" s="404" t="s">
        <v>2842</v>
      </c>
      <c r="U499" s="941">
        <v>0</v>
      </c>
      <c r="V499" s="941">
        <v>0</v>
      </c>
      <c r="W499" s="941">
        <v>0</v>
      </c>
      <c r="X499" s="941">
        <v>0</v>
      </c>
      <c r="Y499" s="941">
        <v>122</v>
      </c>
      <c r="Z499" s="941">
        <v>122</v>
      </c>
      <c r="AA499" s="942">
        <v>0</v>
      </c>
      <c r="AB499" s="942">
        <v>0</v>
      </c>
      <c r="AC499" s="942">
        <v>0</v>
      </c>
      <c r="AD499" s="942">
        <v>0</v>
      </c>
      <c r="AE499" s="942">
        <v>122</v>
      </c>
      <c r="AF499" s="942">
        <v>800</v>
      </c>
      <c r="AG499" s="943">
        <f>comparaison_samebasis_villages[[#This Row],[previous idp_ind]]-comparaison_samebasis_villages[[#This Row],[actual idp_ind]]</f>
        <v>0</v>
      </c>
      <c r="AH499" s="943">
        <f>comparaison_samebasis_villages[[#This Row],[previous ref_ind]]-comparaison_samebasis_villages[[#This Row],[actual ref_ind]]</f>
        <v>0</v>
      </c>
      <c r="AI499" s="943">
        <f>comparaison_samebasis_villages[[#This Row],[previous ret_ind]]-comparaison_samebasis_villages[[#This Row],[actual ret_ind]]</f>
        <v>678</v>
      </c>
    </row>
    <row r="500" spans="1:35" ht="15.75" customHeight="1" x14ac:dyDescent="0.3">
      <c r="A500" s="401" t="s">
        <v>32</v>
      </c>
      <c r="B500" s="401" t="s">
        <v>32</v>
      </c>
      <c r="C500" s="1126" t="s">
        <v>177</v>
      </c>
      <c r="D500" s="1126" t="s">
        <v>177</v>
      </c>
      <c r="E500" s="401" t="s">
        <v>1649</v>
      </c>
      <c r="F500" s="5" t="s">
        <v>2285</v>
      </c>
      <c r="G500" s="401"/>
      <c r="H500" s="1093" t="s">
        <v>511</v>
      </c>
      <c r="I500" s="1216" t="s">
        <v>3112</v>
      </c>
      <c r="J500" s="403">
        <v>122</v>
      </c>
      <c r="K500" s="403">
        <v>642</v>
      </c>
      <c r="L500" s="1093" t="s">
        <v>367</v>
      </c>
      <c r="M500" s="401"/>
      <c r="O500" s="404" t="s">
        <v>31</v>
      </c>
      <c r="P500" s="404" t="s">
        <v>31</v>
      </c>
      <c r="Q500" s="404" t="s">
        <v>169</v>
      </c>
      <c r="R500" s="404" t="s">
        <v>169</v>
      </c>
      <c r="S500" s="404" t="s">
        <v>2339</v>
      </c>
      <c r="T500" s="404" t="s">
        <v>2998</v>
      </c>
      <c r="U500" s="941">
        <v>0</v>
      </c>
      <c r="V500" s="941">
        <v>0</v>
      </c>
      <c r="W500" s="941">
        <v>0</v>
      </c>
      <c r="X500" s="941">
        <v>0</v>
      </c>
      <c r="Y500" s="941">
        <v>126</v>
      </c>
      <c r="Z500" s="941">
        <v>126</v>
      </c>
      <c r="AA500" s="942">
        <v>0</v>
      </c>
      <c r="AB500" s="942">
        <v>0</v>
      </c>
      <c r="AC500" s="942">
        <v>0</v>
      </c>
      <c r="AD500" s="942">
        <v>0</v>
      </c>
      <c r="AE500" s="942">
        <v>126</v>
      </c>
      <c r="AF500" s="942">
        <v>400</v>
      </c>
      <c r="AG500" s="943">
        <f>comparaison_samebasis_villages[[#This Row],[previous idp_ind]]-comparaison_samebasis_villages[[#This Row],[actual idp_ind]]</f>
        <v>0</v>
      </c>
      <c r="AH500" s="943">
        <f>comparaison_samebasis_villages[[#This Row],[previous ref_ind]]-comparaison_samebasis_villages[[#This Row],[actual ref_ind]]</f>
        <v>0</v>
      </c>
      <c r="AI500" s="943">
        <f>comparaison_samebasis_villages[[#This Row],[previous ret_ind]]-comparaison_samebasis_villages[[#This Row],[actual ret_ind]]</f>
        <v>274</v>
      </c>
    </row>
    <row r="501" spans="1:35" ht="15.75" customHeight="1" x14ac:dyDescent="0.3">
      <c r="A501" s="401" t="s">
        <v>32</v>
      </c>
      <c r="B501" s="401" t="s">
        <v>32</v>
      </c>
      <c r="C501" s="1126" t="s">
        <v>177</v>
      </c>
      <c r="D501" s="1126" t="s">
        <v>177</v>
      </c>
      <c r="E501" s="401" t="s">
        <v>2284</v>
      </c>
      <c r="F501" s="5" t="s">
        <v>2248</v>
      </c>
      <c r="G501" s="401"/>
      <c r="H501" s="1093" t="s">
        <v>511</v>
      </c>
      <c r="I501" s="1216" t="s">
        <v>3112</v>
      </c>
      <c r="J501" s="403">
        <v>122</v>
      </c>
      <c r="K501" s="403">
        <v>841</v>
      </c>
      <c r="L501" s="1093" t="s">
        <v>367</v>
      </c>
      <c r="M501" s="401"/>
      <c r="O501" s="404" t="s">
        <v>31</v>
      </c>
      <c r="P501" s="404" t="s">
        <v>31</v>
      </c>
      <c r="Q501" s="404" t="s">
        <v>169</v>
      </c>
      <c r="R501" s="404" t="s">
        <v>169</v>
      </c>
      <c r="S501" s="404" t="s">
        <v>2340</v>
      </c>
      <c r="T501" s="404" t="s">
        <v>2959</v>
      </c>
      <c r="U501" s="941">
        <v>0</v>
      </c>
      <c r="V501" s="941">
        <v>0</v>
      </c>
      <c r="W501" s="941">
        <v>0</v>
      </c>
      <c r="X501" s="941">
        <v>0</v>
      </c>
      <c r="Y501" s="941">
        <v>196</v>
      </c>
      <c r="Z501" s="941">
        <v>196</v>
      </c>
      <c r="AA501" s="942">
        <v>0</v>
      </c>
      <c r="AB501" s="942">
        <v>0</v>
      </c>
      <c r="AC501" s="942">
        <v>0</v>
      </c>
      <c r="AD501" s="942">
        <v>0</v>
      </c>
      <c r="AE501" s="942">
        <v>196</v>
      </c>
      <c r="AF501" s="942">
        <v>680</v>
      </c>
      <c r="AG501" s="943">
        <f>comparaison_samebasis_villages[[#This Row],[previous idp_ind]]-comparaison_samebasis_villages[[#This Row],[actual idp_ind]]</f>
        <v>0</v>
      </c>
      <c r="AH501" s="943">
        <f>comparaison_samebasis_villages[[#This Row],[previous ref_ind]]-comparaison_samebasis_villages[[#This Row],[actual ref_ind]]</f>
        <v>0</v>
      </c>
      <c r="AI501" s="943">
        <f>comparaison_samebasis_villages[[#This Row],[previous ret_ind]]-comparaison_samebasis_villages[[#This Row],[actual ret_ind]]</f>
        <v>484</v>
      </c>
    </row>
    <row r="502" spans="1:35" ht="15.75" customHeight="1" x14ac:dyDescent="0.3">
      <c r="A502" s="401" t="s">
        <v>32</v>
      </c>
      <c r="B502" s="401" t="s">
        <v>32</v>
      </c>
      <c r="C502" s="1126" t="s">
        <v>177</v>
      </c>
      <c r="D502" s="1126" t="s">
        <v>177</v>
      </c>
      <c r="E502" s="401" t="s">
        <v>2247</v>
      </c>
      <c r="F502" s="5" t="s">
        <v>2775</v>
      </c>
      <c r="G502" s="401"/>
      <c r="H502" s="1093" t="s">
        <v>511</v>
      </c>
      <c r="I502" s="1216" t="s">
        <v>3111</v>
      </c>
      <c r="J502" s="403">
        <v>150</v>
      </c>
      <c r="K502" s="403">
        <v>511</v>
      </c>
      <c r="L502" s="1093" t="s">
        <v>367</v>
      </c>
      <c r="M502" s="401"/>
      <c r="O502" s="404" t="s">
        <v>31</v>
      </c>
      <c r="P502" s="404" t="s">
        <v>31</v>
      </c>
      <c r="Q502" s="404" t="s">
        <v>169</v>
      </c>
      <c r="R502" s="404" t="s">
        <v>169</v>
      </c>
      <c r="S502" s="404" t="s">
        <v>2341</v>
      </c>
      <c r="T502" s="404" t="s">
        <v>3029</v>
      </c>
      <c r="U502" s="941">
        <v>0</v>
      </c>
      <c r="V502" s="941">
        <v>0</v>
      </c>
      <c r="W502" s="941">
        <v>0</v>
      </c>
      <c r="X502" s="941">
        <v>0</v>
      </c>
      <c r="Y502" s="941">
        <v>5</v>
      </c>
      <c r="Z502" s="941">
        <v>5</v>
      </c>
      <c r="AA502" s="942">
        <v>0</v>
      </c>
      <c r="AB502" s="942">
        <v>0</v>
      </c>
      <c r="AC502" s="942">
        <v>0</v>
      </c>
      <c r="AD502" s="942">
        <v>0</v>
      </c>
      <c r="AE502" s="942">
        <v>208</v>
      </c>
      <c r="AF502" s="942">
        <v>1623</v>
      </c>
      <c r="AG502" s="943">
        <f>comparaison_samebasis_villages[[#This Row],[previous idp_ind]]-comparaison_samebasis_villages[[#This Row],[actual idp_ind]]</f>
        <v>0</v>
      </c>
      <c r="AH502" s="943">
        <f>comparaison_samebasis_villages[[#This Row],[previous ref_ind]]-comparaison_samebasis_villages[[#This Row],[actual ref_ind]]</f>
        <v>0</v>
      </c>
      <c r="AI502" s="943">
        <f>comparaison_samebasis_villages[[#This Row],[previous ret_ind]]-comparaison_samebasis_villages[[#This Row],[actual ret_ind]]</f>
        <v>1618</v>
      </c>
    </row>
    <row r="503" spans="1:35" ht="15.75" customHeight="1" x14ac:dyDescent="0.3">
      <c r="A503" s="401" t="s">
        <v>32</v>
      </c>
      <c r="B503" s="401" t="s">
        <v>32</v>
      </c>
      <c r="C503" s="401" t="s">
        <v>177</v>
      </c>
      <c r="D503" s="401" t="s">
        <v>177</v>
      </c>
      <c r="E503" s="401" t="s">
        <v>2247</v>
      </c>
      <c r="F503" s="5" t="s">
        <v>2775</v>
      </c>
      <c r="G503" s="401"/>
      <c r="H503" s="1093" t="s">
        <v>511</v>
      </c>
      <c r="I503" s="1216" t="s">
        <v>3112</v>
      </c>
      <c r="J503" s="403">
        <v>30</v>
      </c>
      <c r="K503" s="403">
        <v>450</v>
      </c>
      <c r="L503" s="1093" t="s">
        <v>367</v>
      </c>
      <c r="M503" s="401"/>
      <c r="O503" s="404" t="s">
        <v>31</v>
      </c>
      <c r="P503" s="404" t="s">
        <v>31</v>
      </c>
      <c r="Q503" s="404" t="s">
        <v>169</v>
      </c>
      <c r="R503" s="404" t="s">
        <v>169</v>
      </c>
      <c r="S503" s="404" t="s">
        <v>2342</v>
      </c>
      <c r="T503" s="404" t="s">
        <v>2866</v>
      </c>
      <c r="U503" s="941">
        <v>25</v>
      </c>
      <c r="V503" s="941">
        <v>250</v>
      </c>
      <c r="W503" s="941">
        <v>0</v>
      </c>
      <c r="X503" s="941">
        <v>0</v>
      </c>
      <c r="Y503" s="941">
        <v>5</v>
      </c>
      <c r="Z503" s="941">
        <v>5</v>
      </c>
      <c r="AA503" s="942">
        <v>0</v>
      </c>
      <c r="AB503" s="942">
        <v>0</v>
      </c>
      <c r="AC503" s="942">
        <v>0</v>
      </c>
      <c r="AD503" s="942">
        <v>0</v>
      </c>
      <c r="AE503" s="942">
        <v>101</v>
      </c>
      <c r="AF503" s="942">
        <v>640</v>
      </c>
      <c r="AG503" s="943">
        <f>comparaison_samebasis_villages[[#This Row],[previous idp_ind]]-comparaison_samebasis_villages[[#This Row],[actual idp_ind]]</f>
        <v>-250</v>
      </c>
      <c r="AH503" s="943">
        <f>comparaison_samebasis_villages[[#This Row],[previous ref_ind]]-comparaison_samebasis_villages[[#This Row],[actual ref_ind]]</f>
        <v>0</v>
      </c>
      <c r="AI503" s="943">
        <f>comparaison_samebasis_villages[[#This Row],[previous ret_ind]]-comparaison_samebasis_villages[[#This Row],[actual ret_ind]]</f>
        <v>635</v>
      </c>
    </row>
    <row r="504" spans="1:35" ht="15.75" customHeight="1" x14ac:dyDescent="0.3">
      <c r="A504" s="401" t="s">
        <v>31</v>
      </c>
      <c r="B504" s="401" t="s">
        <v>31</v>
      </c>
      <c r="C504" s="401" t="s">
        <v>169</v>
      </c>
      <c r="D504" s="401" t="s">
        <v>169</v>
      </c>
      <c r="E504" s="401" t="s">
        <v>2566</v>
      </c>
      <c r="F504" s="5" t="s">
        <v>1563</v>
      </c>
      <c r="G504" s="401"/>
      <c r="H504" s="1093" t="s">
        <v>511</v>
      </c>
      <c r="I504" s="1216" t="s">
        <v>3111</v>
      </c>
      <c r="J504" s="403">
        <v>58</v>
      </c>
      <c r="K504" s="403">
        <v>581</v>
      </c>
      <c r="L504" s="1093" t="s">
        <v>367</v>
      </c>
      <c r="M504" s="401"/>
      <c r="O504" s="404" t="s">
        <v>31</v>
      </c>
      <c r="P504" s="404" t="s">
        <v>31</v>
      </c>
      <c r="Q504" s="404" t="s">
        <v>169</v>
      </c>
      <c r="R504" s="404" t="s">
        <v>169</v>
      </c>
      <c r="S504" s="404" t="s">
        <v>2343</v>
      </c>
      <c r="T504" s="404" t="s">
        <v>2894</v>
      </c>
      <c r="U504" s="941">
        <v>0</v>
      </c>
      <c r="V504" s="941">
        <v>0</v>
      </c>
      <c r="W504" s="941">
        <v>17</v>
      </c>
      <c r="X504" s="941">
        <v>72</v>
      </c>
      <c r="Y504" s="941">
        <v>89</v>
      </c>
      <c r="Z504" s="941">
        <v>89</v>
      </c>
      <c r="AA504" s="942">
        <v>0</v>
      </c>
      <c r="AB504" s="942">
        <v>0</v>
      </c>
      <c r="AC504" s="942">
        <v>0</v>
      </c>
      <c r="AD504" s="942">
        <v>0</v>
      </c>
      <c r="AE504" s="942">
        <v>56</v>
      </c>
      <c r="AF504" s="942">
        <v>459</v>
      </c>
      <c r="AG504" s="943">
        <f>comparaison_samebasis_villages[[#This Row],[previous idp_ind]]-comparaison_samebasis_villages[[#This Row],[actual idp_ind]]</f>
        <v>0</v>
      </c>
      <c r="AH504" s="943">
        <f>comparaison_samebasis_villages[[#This Row],[previous ref_ind]]-comparaison_samebasis_villages[[#This Row],[actual ref_ind]]</f>
        <v>-72</v>
      </c>
      <c r="AI504" s="943">
        <f>comparaison_samebasis_villages[[#This Row],[previous ret_ind]]-comparaison_samebasis_villages[[#This Row],[actual ret_ind]]</f>
        <v>370</v>
      </c>
    </row>
    <row r="505" spans="1:35" ht="15.75" customHeight="1" x14ac:dyDescent="0.3">
      <c r="A505" s="401" t="s">
        <v>31</v>
      </c>
      <c r="B505" s="401" t="s">
        <v>31</v>
      </c>
      <c r="C505" s="401" t="s">
        <v>169</v>
      </c>
      <c r="D505" s="401" t="s">
        <v>169</v>
      </c>
      <c r="E505" s="401" t="s">
        <v>2844</v>
      </c>
      <c r="F505" s="5" t="s">
        <v>2055</v>
      </c>
      <c r="G505" s="401"/>
      <c r="H505" s="1093" t="s">
        <v>511</v>
      </c>
      <c r="I505" s="1216" t="s">
        <v>3111</v>
      </c>
      <c r="J505" s="403">
        <v>250</v>
      </c>
      <c r="K505" s="403">
        <v>2000</v>
      </c>
      <c r="L505" s="1093" t="s">
        <v>367</v>
      </c>
      <c r="M505" s="401"/>
      <c r="O505" s="404" t="s">
        <v>31</v>
      </c>
      <c r="P505" s="404" t="s">
        <v>31</v>
      </c>
      <c r="Q505" s="404" t="s">
        <v>169</v>
      </c>
      <c r="R505" s="404" t="s">
        <v>169</v>
      </c>
      <c r="S505" s="404" t="s">
        <v>2344</v>
      </c>
      <c r="T505" s="404" t="s">
        <v>2941</v>
      </c>
      <c r="U505" s="941">
        <v>3</v>
      </c>
      <c r="V505" s="941">
        <v>9</v>
      </c>
      <c r="W505" s="941">
        <v>0</v>
      </c>
      <c r="X505" s="941">
        <v>0</v>
      </c>
      <c r="Y505" s="941">
        <v>0</v>
      </c>
      <c r="Z505" s="941">
        <v>0</v>
      </c>
      <c r="AA505" s="942">
        <v>0</v>
      </c>
      <c r="AB505" s="942">
        <v>0</v>
      </c>
      <c r="AC505" s="942">
        <v>0</v>
      </c>
      <c r="AD505" s="942">
        <v>0</v>
      </c>
      <c r="AE505" s="942">
        <v>60</v>
      </c>
      <c r="AF505" s="942">
        <v>200</v>
      </c>
      <c r="AG505" s="943">
        <f>comparaison_samebasis_villages[[#This Row],[previous idp_ind]]-comparaison_samebasis_villages[[#This Row],[actual idp_ind]]</f>
        <v>-9</v>
      </c>
      <c r="AH505" s="943">
        <f>comparaison_samebasis_villages[[#This Row],[previous ref_ind]]-comparaison_samebasis_villages[[#This Row],[actual ref_ind]]</f>
        <v>0</v>
      </c>
      <c r="AI505" s="943">
        <f>comparaison_samebasis_villages[[#This Row],[previous ret_ind]]-comparaison_samebasis_villages[[#This Row],[actual ret_ind]]</f>
        <v>200</v>
      </c>
    </row>
    <row r="506" spans="1:35" ht="15.75" customHeight="1" x14ac:dyDescent="0.3">
      <c r="A506" s="401" t="s">
        <v>35</v>
      </c>
      <c r="B506" s="401" t="s">
        <v>35</v>
      </c>
      <c r="C506" s="401" t="s">
        <v>195</v>
      </c>
      <c r="D506" s="401" t="s">
        <v>195</v>
      </c>
      <c r="E506" s="401" t="s">
        <v>2950</v>
      </c>
      <c r="F506" s="5" t="s">
        <v>2066</v>
      </c>
      <c r="G506" s="401"/>
      <c r="H506" s="1093" t="s">
        <v>511</v>
      </c>
      <c r="I506" s="1216" t="s">
        <v>3033</v>
      </c>
      <c r="J506" s="403">
        <v>98</v>
      </c>
      <c r="K506" s="403">
        <v>136</v>
      </c>
      <c r="L506" s="1093" t="s">
        <v>367</v>
      </c>
      <c r="M506" s="401"/>
      <c r="O506" s="404" t="s">
        <v>31</v>
      </c>
      <c r="P506" s="404" t="s">
        <v>31</v>
      </c>
      <c r="Q506" s="404" t="s">
        <v>169</v>
      </c>
      <c r="R506" s="404" t="s">
        <v>169</v>
      </c>
      <c r="S506" s="404" t="s">
        <v>2345</v>
      </c>
      <c r="T506" s="404" t="s">
        <v>2848</v>
      </c>
      <c r="U506" s="941">
        <v>0</v>
      </c>
      <c r="V506" s="941">
        <v>0</v>
      </c>
      <c r="W506" s="941">
        <v>0</v>
      </c>
      <c r="X506" s="941">
        <v>0</v>
      </c>
      <c r="Y506" s="941">
        <v>28</v>
      </c>
      <c r="Z506" s="941">
        <v>28</v>
      </c>
      <c r="AA506" s="942">
        <v>0</v>
      </c>
      <c r="AB506" s="942">
        <v>0</v>
      </c>
      <c r="AC506" s="942">
        <v>0</v>
      </c>
      <c r="AD506" s="942">
        <v>0</v>
      </c>
      <c r="AE506" s="942">
        <v>25</v>
      </c>
      <c r="AF506" s="942">
        <v>101</v>
      </c>
      <c r="AG506" s="943">
        <f>comparaison_samebasis_villages[[#This Row],[previous idp_ind]]-comparaison_samebasis_villages[[#This Row],[actual idp_ind]]</f>
        <v>0</v>
      </c>
      <c r="AH506" s="943">
        <f>comparaison_samebasis_villages[[#This Row],[previous ref_ind]]-comparaison_samebasis_villages[[#This Row],[actual ref_ind]]</f>
        <v>0</v>
      </c>
      <c r="AI506" s="943">
        <f>comparaison_samebasis_villages[[#This Row],[previous ret_ind]]-comparaison_samebasis_villages[[#This Row],[actual ret_ind]]</f>
        <v>73</v>
      </c>
    </row>
    <row r="507" spans="1:35" ht="15.75" customHeight="1" x14ac:dyDescent="0.3">
      <c r="A507" s="401" t="s">
        <v>35</v>
      </c>
      <c r="B507" s="401" t="s">
        <v>35</v>
      </c>
      <c r="C507" s="401" t="s">
        <v>195</v>
      </c>
      <c r="D507" s="401" t="s">
        <v>195</v>
      </c>
      <c r="E507" s="401" t="s">
        <v>2950</v>
      </c>
      <c r="F507" s="5" t="s">
        <v>2066</v>
      </c>
      <c r="G507" s="401"/>
      <c r="H507" s="1093" t="s">
        <v>511</v>
      </c>
      <c r="I507" s="1216" t="s">
        <v>3110</v>
      </c>
      <c r="J507" s="403">
        <v>4</v>
      </c>
      <c r="K507" s="403">
        <v>18</v>
      </c>
      <c r="L507" s="1093" t="s">
        <v>367</v>
      </c>
      <c r="M507" s="401"/>
      <c r="O507" s="404" t="s">
        <v>31</v>
      </c>
      <c r="P507" s="404" t="s">
        <v>31</v>
      </c>
      <c r="Q507" s="404" t="s">
        <v>169</v>
      </c>
      <c r="R507" s="404" t="s">
        <v>169</v>
      </c>
      <c r="S507" s="404" t="s">
        <v>2346</v>
      </c>
      <c r="T507" s="404" t="s">
        <v>2870</v>
      </c>
      <c r="U507" s="941">
        <v>0</v>
      </c>
      <c r="V507" s="941">
        <v>0</v>
      </c>
      <c r="W507" s="941">
        <v>0</v>
      </c>
      <c r="X507" s="941">
        <v>0</v>
      </c>
      <c r="Y507" s="941">
        <v>20</v>
      </c>
      <c r="Z507" s="941">
        <v>20</v>
      </c>
      <c r="AA507" s="942">
        <v>0</v>
      </c>
      <c r="AB507" s="942">
        <v>0</v>
      </c>
      <c r="AC507" s="942">
        <v>0</v>
      </c>
      <c r="AD507" s="942">
        <v>0</v>
      </c>
      <c r="AE507" s="942">
        <v>16</v>
      </c>
      <c r="AF507" s="942">
        <v>57</v>
      </c>
      <c r="AG507" s="943">
        <f>comparaison_samebasis_villages[[#This Row],[previous idp_ind]]-comparaison_samebasis_villages[[#This Row],[actual idp_ind]]</f>
        <v>0</v>
      </c>
      <c r="AH507" s="943">
        <f>comparaison_samebasis_villages[[#This Row],[previous ref_ind]]-comparaison_samebasis_villages[[#This Row],[actual ref_ind]]</f>
        <v>0</v>
      </c>
      <c r="AI507" s="943">
        <f>comparaison_samebasis_villages[[#This Row],[previous ret_ind]]-comparaison_samebasis_villages[[#This Row],[actual ret_ind]]</f>
        <v>37</v>
      </c>
    </row>
    <row r="508" spans="1:35" ht="15.75" customHeight="1" x14ac:dyDescent="0.3">
      <c r="A508" s="401" t="s">
        <v>35</v>
      </c>
      <c r="B508" s="401" t="s">
        <v>35</v>
      </c>
      <c r="C508" s="401" t="s">
        <v>195</v>
      </c>
      <c r="D508" s="401" t="s">
        <v>195</v>
      </c>
      <c r="E508" s="401" t="s">
        <v>1032</v>
      </c>
      <c r="F508" s="5" t="s">
        <v>1837</v>
      </c>
      <c r="G508" s="401"/>
      <c r="H508" s="1093" t="s">
        <v>511</v>
      </c>
      <c r="I508" s="1216" t="s">
        <v>3033</v>
      </c>
      <c r="J508" s="403">
        <v>1</v>
      </c>
      <c r="K508" s="403">
        <v>14</v>
      </c>
      <c r="L508" s="1093" t="s">
        <v>377</v>
      </c>
      <c r="M508" s="401"/>
      <c r="O508" s="404" t="s">
        <v>31</v>
      </c>
      <c r="P508" s="404" t="s">
        <v>31</v>
      </c>
      <c r="Q508" s="404" t="s">
        <v>169</v>
      </c>
      <c r="R508" s="404" t="s">
        <v>169</v>
      </c>
      <c r="S508" s="404" t="s">
        <v>2347</v>
      </c>
      <c r="T508" s="404" t="s">
        <v>2815</v>
      </c>
      <c r="U508" s="941">
        <v>0</v>
      </c>
      <c r="V508" s="941">
        <v>0</v>
      </c>
      <c r="W508" s="941">
        <v>0</v>
      </c>
      <c r="X508" s="941">
        <v>0</v>
      </c>
      <c r="Y508" s="941">
        <v>24</v>
      </c>
      <c r="Z508" s="941">
        <v>24</v>
      </c>
      <c r="AA508" s="942">
        <v>0</v>
      </c>
      <c r="AB508" s="942">
        <v>0</v>
      </c>
      <c r="AC508" s="942">
        <v>0</v>
      </c>
      <c r="AD508" s="942">
        <v>0</v>
      </c>
      <c r="AE508" s="942">
        <v>22</v>
      </c>
      <c r="AF508" s="942">
        <v>100</v>
      </c>
      <c r="AG508" s="943">
        <f>comparaison_samebasis_villages[[#This Row],[previous idp_ind]]-comparaison_samebasis_villages[[#This Row],[actual idp_ind]]</f>
        <v>0</v>
      </c>
      <c r="AH508" s="943">
        <f>comparaison_samebasis_villages[[#This Row],[previous ref_ind]]-comparaison_samebasis_villages[[#This Row],[actual ref_ind]]</f>
        <v>0</v>
      </c>
      <c r="AI508" s="943">
        <f>comparaison_samebasis_villages[[#This Row],[previous ret_ind]]-comparaison_samebasis_villages[[#This Row],[actual ret_ind]]</f>
        <v>76</v>
      </c>
    </row>
    <row r="509" spans="1:35" ht="15.75" customHeight="1" x14ac:dyDescent="0.3">
      <c r="A509" s="401" t="s">
        <v>31</v>
      </c>
      <c r="B509" s="401" t="s">
        <v>31</v>
      </c>
      <c r="C509" s="401" t="s">
        <v>173</v>
      </c>
      <c r="D509" s="401" t="s">
        <v>173</v>
      </c>
      <c r="E509" s="401" t="s">
        <v>1604</v>
      </c>
      <c r="F509" s="5" t="s">
        <v>1112</v>
      </c>
      <c r="G509" s="401"/>
      <c r="H509" s="1093" t="s">
        <v>511</v>
      </c>
      <c r="I509" s="1216" t="s">
        <v>3111</v>
      </c>
      <c r="J509" s="403">
        <v>5</v>
      </c>
      <c r="K509" s="403">
        <v>52</v>
      </c>
      <c r="L509" s="1093" t="s">
        <v>371</v>
      </c>
      <c r="M509" s="401"/>
      <c r="O509" s="404" t="s">
        <v>31</v>
      </c>
      <c r="P509" s="404" t="s">
        <v>31</v>
      </c>
      <c r="Q509" s="404" t="s">
        <v>169</v>
      </c>
      <c r="R509" s="404" t="s">
        <v>169</v>
      </c>
      <c r="S509" s="404" t="s">
        <v>2348</v>
      </c>
      <c r="T509" s="404" t="s">
        <v>2814</v>
      </c>
      <c r="U509" s="941">
        <v>0</v>
      </c>
      <c r="V509" s="941">
        <v>0</v>
      </c>
      <c r="W509" s="941">
        <v>0</v>
      </c>
      <c r="X509" s="941">
        <v>0</v>
      </c>
      <c r="Y509" s="941">
        <v>33</v>
      </c>
      <c r="Z509" s="941">
        <v>33</v>
      </c>
      <c r="AA509" s="942">
        <v>0</v>
      </c>
      <c r="AB509" s="942">
        <v>0</v>
      </c>
      <c r="AC509" s="942">
        <v>0</v>
      </c>
      <c r="AD509" s="942">
        <v>0</v>
      </c>
      <c r="AE509" s="942">
        <v>25</v>
      </c>
      <c r="AF509" s="942">
        <v>325</v>
      </c>
      <c r="AG509" s="943">
        <f>comparaison_samebasis_villages[[#This Row],[previous idp_ind]]-comparaison_samebasis_villages[[#This Row],[actual idp_ind]]</f>
        <v>0</v>
      </c>
      <c r="AH509" s="943">
        <f>comparaison_samebasis_villages[[#This Row],[previous ref_ind]]-comparaison_samebasis_villages[[#This Row],[actual ref_ind]]</f>
        <v>0</v>
      </c>
      <c r="AI509" s="943">
        <f>comparaison_samebasis_villages[[#This Row],[previous ret_ind]]-comparaison_samebasis_villages[[#This Row],[actual ret_ind]]</f>
        <v>292</v>
      </c>
    </row>
    <row r="510" spans="1:35" ht="15.75" customHeight="1" x14ac:dyDescent="0.3">
      <c r="A510" s="401" t="s">
        <v>31</v>
      </c>
      <c r="B510" s="401" t="s">
        <v>31</v>
      </c>
      <c r="C510" s="401" t="s">
        <v>173</v>
      </c>
      <c r="D510" s="401" t="s">
        <v>173</v>
      </c>
      <c r="E510" s="401" t="s">
        <v>1105</v>
      </c>
      <c r="F510" s="5" t="s">
        <v>832</v>
      </c>
      <c r="G510" s="401"/>
      <c r="H510" s="1093" t="s">
        <v>511</v>
      </c>
      <c r="I510" s="1216" t="s">
        <v>3111</v>
      </c>
      <c r="J510" s="403">
        <v>20</v>
      </c>
      <c r="K510" s="403">
        <v>100</v>
      </c>
      <c r="L510" s="1093" t="s">
        <v>371</v>
      </c>
      <c r="M510" s="401"/>
      <c r="O510" s="404" t="s">
        <v>31</v>
      </c>
      <c r="P510" s="404" t="s">
        <v>31</v>
      </c>
      <c r="Q510" s="404" t="s">
        <v>169</v>
      </c>
      <c r="R510" s="404" t="s">
        <v>169</v>
      </c>
      <c r="S510" s="404" t="s">
        <v>2349</v>
      </c>
      <c r="T510" s="404" t="s">
        <v>2841</v>
      </c>
      <c r="U510" s="941">
        <v>0</v>
      </c>
      <c r="V510" s="941">
        <v>0</v>
      </c>
      <c r="W510" s="941">
        <v>0</v>
      </c>
      <c r="X510" s="941">
        <v>0</v>
      </c>
      <c r="Y510" s="941">
        <v>27</v>
      </c>
      <c r="Z510" s="941">
        <v>27</v>
      </c>
      <c r="AA510" s="942">
        <v>0</v>
      </c>
      <c r="AB510" s="942">
        <v>0</v>
      </c>
      <c r="AC510" s="942">
        <v>0</v>
      </c>
      <c r="AD510" s="942">
        <v>0</v>
      </c>
      <c r="AE510" s="942">
        <v>27</v>
      </c>
      <c r="AF510" s="942">
        <v>210</v>
      </c>
      <c r="AG510" s="943">
        <f>comparaison_samebasis_villages[[#This Row],[previous idp_ind]]-comparaison_samebasis_villages[[#This Row],[actual idp_ind]]</f>
        <v>0</v>
      </c>
      <c r="AH510" s="943">
        <f>comparaison_samebasis_villages[[#This Row],[previous ref_ind]]-comparaison_samebasis_villages[[#This Row],[actual ref_ind]]</f>
        <v>0</v>
      </c>
      <c r="AI510" s="943">
        <f>comparaison_samebasis_villages[[#This Row],[previous ret_ind]]-comparaison_samebasis_villages[[#This Row],[actual ret_ind]]</f>
        <v>183</v>
      </c>
    </row>
    <row r="511" spans="1:35" ht="15.75" customHeight="1" x14ac:dyDescent="0.3">
      <c r="A511" s="401" t="s">
        <v>31</v>
      </c>
      <c r="B511" s="401" t="s">
        <v>31</v>
      </c>
      <c r="C511" s="401" t="s">
        <v>173</v>
      </c>
      <c r="D511" s="401" t="s">
        <v>173</v>
      </c>
      <c r="E511" s="401" t="s">
        <v>559</v>
      </c>
      <c r="F511" s="5" t="s">
        <v>1442</v>
      </c>
      <c r="G511" s="401"/>
      <c r="H511" s="1093" t="s">
        <v>511</v>
      </c>
      <c r="I511" s="1216" t="s">
        <v>3112</v>
      </c>
      <c r="J511" s="403">
        <v>4</v>
      </c>
      <c r="K511" s="403">
        <v>28</v>
      </c>
      <c r="L511" s="1093" t="s">
        <v>365</v>
      </c>
      <c r="M511" s="401"/>
      <c r="O511" s="404" t="s">
        <v>31</v>
      </c>
      <c r="P511" s="404" t="s">
        <v>31</v>
      </c>
      <c r="Q511" s="404" t="s">
        <v>169</v>
      </c>
      <c r="R511" s="404" t="s">
        <v>169</v>
      </c>
      <c r="S511" s="404" t="s">
        <v>2386</v>
      </c>
      <c r="T511" s="404" t="s">
        <v>2840</v>
      </c>
      <c r="U511" s="941">
        <v>0</v>
      </c>
      <c r="V511" s="941">
        <v>0</v>
      </c>
      <c r="W511" s="941">
        <v>5</v>
      </c>
      <c r="X511" s="941">
        <v>10</v>
      </c>
      <c r="Y511" s="941">
        <v>0</v>
      </c>
      <c r="Z511" s="941">
        <v>0</v>
      </c>
      <c r="AA511" s="942">
        <v>0</v>
      </c>
      <c r="AB511" s="942">
        <v>0</v>
      </c>
      <c r="AC511" s="942">
        <v>0</v>
      </c>
      <c r="AD511" s="942">
        <v>0</v>
      </c>
      <c r="AE511" s="942">
        <v>90</v>
      </c>
      <c r="AF511" s="942">
        <v>350</v>
      </c>
      <c r="AG511" s="943">
        <f>comparaison_samebasis_villages[[#This Row],[previous idp_ind]]-comparaison_samebasis_villages[[#This Row],[actual idp_ind]]</f>
        <v>0</v>
      </c>
      <c r="AH511" s="943">
        <f>comparaison_samebasis_villages[[#This Row],[previous ref_ind]]-comparaison_samebasis_villages[[#This Row],[actual ref_ind]]</f>
        <v>-10</v>
      </c>
      <c r="AI511" s="943">
        <f>comparaison_samebasis_villages[[#This Row],[previous ret_ind]]-comparaison_samebasis_villages[[#This Row],[actual ret_ind]]</f>
        <v>350</v>
      </c>
    </row>
    <row r="512" spans="1:35" ht="15.75" customHeight="1" x14ac:dyDescent="0.3">
      <c r="A512" s="401" t="s">
        <v>35</v>
      </c>
      <c r="B512" s="401" t="s">
        <v>35</v>
      </c>
      <c r="C512" s="401" t="s">
        <v>195</v>
      </c>
      <c r="D512" s="401" t="s">
        <v>195</v>
      </c>
      <c r="E512" s="401" t="s">
        <v>1620</v>
      </c>
      <c r="F512" s="5" t="s">
        <v>2096</v>
      </c>
      <c r="G512" s="401"/>
      <c r="H512" s="1093" t="s">
        <v>511</v>
      </c>
      <c r="I512" s="1216" t="s">
        <v>3109</v>
      </c>
      <c r="J512" s="403">
        <v>70</v>
      </c>
      <c r="K512" s="403">
        <v>356</v>
      </c>
      <c r="L512" s="1093" t="s">
        <v>377</v>
      </c>
      <c r="M512" s="401"/>
      <c r="O512" s="404" t="s">
        <v>31</v>
      </c>
      <c r="P512" s="404" t="s">
        <v>31</v>
      </c>
      <c r="Q512" s="404" t="s">
        <v>169</v>
      </c>
      <c r="R512" s="404" t="s">
        <v>169</v>
      </c>
      <c r="S512" s="404" t="s">
        <v>2350</v>
      </c>
      <c r="T512" s="404" t="s">
        <v>2816</v>
      </c>
      <c r="U512" s="941">
        <v>0</v>
      </c>
      <c r="V512" s="941">
        <v>0</v>
      </c>
      <c r="W512" s="941">
        <v>4</v>
      </c>
      <c r="X512" s="941">
        <v>9</v>
      </c>
      <c r="Y512" s="941">
        <v>0</v>
      </c>
      <c r="Z512" s="941">
        <v>0</v>
      </c>
      <c r="AA512" s="942">
        <v>0</v>
      </c>
      <c r="AB512" s="942">
        <v>0</v>
      </c>
      <c r="AC512" s="942">
        <v>0</v>
      </c>
      <c r="AD512" s="942">
        <v>0</v>
      </c>
      <c r="AE512" s="942">
        <v>42</v>
      </c>
      <c r="AF512" s="942">
        <v>95</v>
      </c>
      <c r="AG512" s="943">
        <f>comparaison_samebasis_villages[[#This Row],[previous idp_ind]]-comparaison_samebasis_villages[[#This Row],[actual idp_ind]]</f>
        <v>0</v>
      </c>
      <c r="AH512" s="943">
        <f>comparaison_samebasis_villages[[#This Row],[previous ref_ind]]-comparaison_samebasis_villages[[#This Row],[actual ref_ind]]</f>
        <v>-9</v>
      </c>
      <c r="AI512" s="943">
        <f>comparaison_samebasis_villages[[#This Row],[previous ret_ind]]-comparaison_samebasis_villages[[#This Row],[actual ret_ind]]</f>
        <v>95</v>
      </c>
    </row>
    <row r="513" spans="1:35" ht="15.75" customHeight="1" x14ac:dyDescent="0.3">
      <c r="A513" s="401" t="s">
        <v>32</v>
      </c>
      <c r="B513" s="401" t="s">
        <v>32</v>
      </c>
      <c r="C513" s="401" t="s">
        <v>178</v>
      </c>
      <c r="D513" s="401" t="s">
        <v>178</v>
      </c>
      <c r="E513" s="401" t="s">
        <v>963</v>
      </c>
      <c r="F513" s="5" t="s">
        <v>3304</v>
      </c>
      <c r="G513" s="401"/>
      <c r="H513" s="1093" t="s">
        <v>511</v>
      </c>
      <c r="I513" s="1216" t="s">
        <v>3033</v>
      </c>
      <c r="J513" s="403">
        <v>29</v>
      </c>
      <c r="K513" s="403">
        <v>203</v>
      </c>
      <c r="L513" s="1093" t="s">
        <v>367</v>
      </c>
      <c r="M513" s="401"/>
      <c r="O513" s="404" t="s">
        <v>31</v>
      </c>
      <c r="P513" s="404" t="s">
        <v>31</v>
      </c>
      <c r="Q513" s="404" t="s">
        <v>169</v>
      </c>
      <c r="R513" s="404" t="s">
        <v>169</v>
      </c>
      <c r="S513" s="404" t="s">
        <v>2351</v>
      </c>
      <c r="T513" s="404" t="s">
        <v>2817</v>
      </c>
      <c r="U513" s="941">
        <v>0</v>
      </c>
      <c r="V513" s="941">
        <v>0</v>
      </c>
      <c r="W513" s="941">
        <v>0</v>
      </c>
      <c r="X513" s="941">
        <v>0</v>
      </c>
      <c r="Y513" s="941">
        <v>16</v>
      </c>
      <c r="Z513" s="941">
        <v>16</v>
      </c>
      <c r="AA513" s="942">
        <v>0</v>
      </c>
      <c r="AB513" s="942">
        <v>0</v>
      </c>
      <c r="AC513" s="942">
        <v>0</v>
      </c>
      <c r="AD513" s="942">
        <v>0</v>
      </c>
      <c r="AE513" s="942">
        <v>42</v>
      </c>
      <c r="AF513" s="942">
        <v>168</v>
      </c>
      <c r="AG513" s="943">
        <f>comparaison_samebasis_villages[[#This Row],[previous idp_ind]]-comparaison_samebasis_villages[[#This Row],[actual idp_ind]]</f>
        <v>0</v>
      </c>
      <c r="AH513" s="943">
        <f>comparaison_samebasis_villages[[#This Row],[previous ref_ind]]-comparaison_samebasis_villages[[#This Row],[actual ref_ind]]</f>
        <v>0</v>
      </c>
      <c r="AI513" s="943">
        <f>comparaison_samebasis_villages[[#This Row],[previous ret_ind]]-comparaison_samebasis_villages[[#This Row],[actual ret_ind]]</f>
        <v>152</v>
      </c>
    </row>
    <row r="514" spans="1:35" ht="15.75" customHeight="1" x14ac:dyDescent="0.3">
      <c r="A514" s="401" t="s">
        <v>32</v>
      </c>
      <c r="B514" s="401" t="s">
        <v>32</v>
      </c>
      <c r="C514" s="401" t="s">
        <v>178</v>
      </c>
      <c r="D514" s="401" t="s">
        <v>178</v>
      </c>
      <c r="E514" s="401" t="s">
        <v>963</v>
      </c>
      <c r="F514" s="5" t="s">
        <v>3304</v>
      </c>
      <c r="G514" s="401"/>
      <c r="H514" s="1093" t="s">
        <v>511</v>
      </c>
      <c r="I514" s="1216" t="s">
        <v>3109</v>
      </c>
      <c r="J514" s="403">
        <v>0</v>
      </c>
      <c r="K514" s="403">
        <v>18</v>
      </c>
      <c r="L514" s="1093" t="s">
        <v>367</v>
      </c>
      <c r="M514" s="401"/>
      <c r="O514" s="404" t="s">
        <v>31</v>
      </c>
      <c r="P514" s="404" t="s">
        <v>31</v>
      </c>
      <c r="Q514" s="404" t="s">
        <v>169</v>
      </c>
      <c r="R514" s="404" t="s">
        <v>169</v>
      </c>
      <c r="S514" s="404" t="s">
        <v>2352</v>
      </c>
      <c r="T514" s="404" t="s">
        <v>2847</v>
      </c>
      <c r="U514" s="941">
        <v>0</v>
      </c>
      <c r="V514" s="941">
        <v>0</v>
      </c>
      <c r="W514" s="941">
        <v>0</v>
      </c>
      <c r="X514" s="941">
        <v>0</v>
      </c>
      <c r="Y514" s="941">
        <v>84</v>
      </c>
      <c r="Z514" s="941">
        <v>84</v>
      </c>
      <c r="AA514" s="942">
        <v>0</v>
      </c>
      <c r="AB514" s="942">
        <v>0</v>
      </c>
      <c r="AC514" s="942">
        <v>0</v>
      </c>
      <c r="AD514" s="942">
        <v>0</v>
      </c>
      <c r="AE514" s="942">
        <v>80</v>
      </c>
      <c r="AF514" s="942">
        <v>600</v>
      </c>
      <c r="AG514" s="943">
        <f>comparaison_samebasis_villages[[#This Row],[previous idp_ind]]-comparaison_samebasis_villages[[#This Row],[actual idp_ind]]</f>
        <v>0</v>
      </c>
      <c r="AH514" s="943">
        <f>comparaison_samebasis_villages[[#This Row],[previous ref_ind]]-comparaison_samebasis_villages[[#This Row],[actual ref_ind]]</f>
        <v>0</v>
      </c>
      <c r="AI514" s="943">
        <f>comparaison_samebasis_villages[[#This Row],[previous ret_ind]]-comparaison_samebasis_villages[[#This Row],[actual ret_ind]]</f>
        <v>516</v>
      </c>
    </row>
    <row r="515" spans="1:35" ht="15.75" customHeight="1" x14ac:dyDescent="0.3">
      <c r="A515" s="401" t="s">
        <v>32</v>
      </c>
      <c r="B515" s="401" t="s">
        <v>32</v>
      </c>
      <c r="C515" s="401" t="s">
        <v>178</v>
      </c>
      <c r="D515" s="401" t="s">
        <v>178</v>
      </c>
      <c r="E515" s="401" t="s">
        <v>963</v>
      </c>
      <c r="F515" s="5" t="s">
        <v>3304</v>
      </c>
      <c r="G515" s="401"/>
      <c r="H515" s="1093" t="s">
        <v>511</v>
      </c>
      <c r="I515" s="1216" t="s">
        <v>3110</v>
      </c>
      <c r="J515" s="403">
        <v>0</v>
      </c>
      <c r="K515" s="403">
        <v>6</v>
      </c>
      <c r="L515" s="1093" t="s">
        <v>367</v>
      </c>
      <c r="M515" s="401"/>
      <c r="O515" s="404" t="s">
        <v>31</v>
      </c>
      <c r="P515" s="404" t="s">
        <v>31</v>
      </c>
      <c r="Q515" s="404" t="s">
        <v>169</v>
      </c>
      <c r="R515" s="404" t="s">
        <v>169</v>
      </c>
      <c r="S515" s="404" t="s">
        <v>2353</v>
      </c>
      <c r="T515" s="404" t="s">
        <v>2833</v>
      </c>
      <c r="U515" s="941">
        <v>0</v>
      </c>
      <c r="V515" s="941">
        <v>0</v>
      </c>
      <c r="W515" s="941">
        <v>0</v>
      </c>
      <c r="X515" s="941">
        <v>0</v>
      </c>
      <c r="Y515" s="941">
        <v>13</v>
      </c>
      <c r="Z515" s="941">
        <v>13</v>
      </c>
      <c r="AA515" s="942">
        <v>0</v>
      </c>
      <c r="AB515" s="942">
        <v>0</v>
      </c>
      <c r="AC515" s="942">
        <v>0</v>
      </c>
      <c r="AD515" s="942">
        <v>0</v>
      </c>
      <c r="AE515" s="942">
        <v>8</v>
      </c>
      <c r="AF515" s="942">
        <v>58</v>
      </c>
      <c r="AG515" s="943">
        <f>comparaison_samebasis_villages[[#This Row],[previous idp_ind]]-comparaison_samebasis_villages[[#This Row],[actual idp_ind]]</f>
        <v>0</v>
      </c>
      <c r="AH515" s="943">
        <f>comparaison_samebasis_villages[[#This Row],[previous ref_ind]]-comparaison_samebasis_villages[[#This Row],[actual ref_ind]]</f>
        <v>0</v>
      </c>
      <c r="AI515" s="943">
        <f>comparaison_samebasis_villages[[#This Row],[previous ret_ind]]-comparaison_samebasis_villages[[#This Row],[actual ret_ind]]</f>
        <v>45</v>
      </c>
    </row>
    <row r="516" spans="1:35" ht="15.75" customHeight="1" x14ac:dyDescent="0.3">
      <c r="A516" s="401" t="s">
        <v>32</v>
      </c>
      <c r="B516" s="401" t="s">
        <v>32</v>
      </c>
      <c r="C516" s="401" t="s">
        <v>178</v>
      </c>
      <c r="D516" s="401" t="s">
        <v>178</v>
      </c>
      <c r="E516" s="401" t="s">
        <v>963</v>
      </c>
      <c r="F516" s="5" t="s">
        <v>3304</v>
      </c>
      <c r="G516" s="401"/>
      <c r="H516" s="1093" t="s">
        <v>511</v>
      </c>
      <c r="I516" s="1216" t="s">
        <v>3111</v>
      </c>
      <c r="J516" s="403">
        <v>0</v>
      </c>
      <c r="K516" s="403">
        <v>4</v>
      </c>
      <c r="L516" s="1093" t="s">
        <v>367</v>
      </c>
      <c r="M516" s="401"/>
      <c r="O516" s="399" t="s">
        <v>31</v>
      </c>
      <c r="P516" s="399" t="s">
        <v>31</v>
      </c>
      <c r="Q516" s="399" t="s">
        <v>169</v>
      </c>
      <c r="R516" s="399" t="s">
        <v>169</v>
      </c>
      <c r="S516" s="399" t="s">
        <v>2354</v>
      </c>
      <c r="T516" s="399" t="s">
        <v>2808</v>
      </c>
      <c r="U516" s="941">
        <v>0</v>
      </c>
      <c r="V516" s="941">
        <v>0</v>
      </c>
      <c r="W516" s="941">
        <v>10</v>
      </c>
      <c r="X516" s="941">
        <v>36</v>
      </c>
      <c r="Y516" s="941">
        <v>61</v>
      </c>
      <c r="Z516" s="941">
        <v>61</v>
      </c>
      <c r="AA516" s="942">
        <v>0</v>
      </c>
      <c r="AB516" s="942">
        <v>0</v>
      </c>
      <c r="AC516" s="942">
        <v>0</v>
      </c>
      <c r="AD516" s="942">
        <v>0</v>
      </c>
      <c r="AE516" s="942">
        <v>46</v>
      </c>
      <c r="AF516" s="942">
        <v>180</v>
      </c>
      <c r="AG516" s="943">
        <f>comparaison_samebasis_villages[[#This Row],[previous idp_ind]]-comparaison_samebasis_villages[[#This Row],[actual idp_ind]]</f>
        <v>0</v>
      </c>
      <c r="AH516" s="943">
        <f>comparaison_samebasis_villages[[#This Row],[previous ref_ind]]-comparaison_samebasis_villages[[#This Row],[actual ref_ind]]</f>
        <v>-36</v>
      </c>
      <c r="AI516" s="943">
        <f>comparaison_samebasis_villages[[#This Row],[previous ret_ind]]-comparaison_samebasis_villages[[#This Row],[actual ret_ind]]</f>
        <v>119</v>
      </c>
    </row>
    <row r="517" spans="1:35" ht="15.75" customHeight="1" x14ac:dyDescent="0.3">
      <c r="A517" s="401" t="s">
        <v>32</v>
      </c>
      <c r="B517" s="401" t="s">
        <v>32</v>
      </c>
      <c r="C517" s="401" t="s">
        <v>178</v>
      </c>
      <c r="D517" s="401" t="s">
        <v>178</v>
      </c>
      <c r="E517" s="401" t="s">
        <v>963</v>
      </c>
      <c r="F517" s="5" t="s">
        <v>3304</v>
      </c>
      <c r="G517" s="401"/>
      <c r="H517" s="1093" t="s">
        <v>511</v>
      </c>
      <c r="I517" s="1216" t="s">
        <v>3112</v>
      </c>
      <c r="J517" s="403">
        <v>0</v>
      </c>
      <c r="K517" s="403">
        <v>2</v>
      </c>
      <c r="L517" s="1093" t="s">
        <v>367</v>
      </c>
      <c r="M517" s="401"/>
      <c r="O517" s="404" t="s">
        <v>31</v>
      </c>
      <c r="P517" s="404" t="s">
        <v>31</v>
      </c>
      <c r="Q517" s="404" t="s">
        <v>169</v>
      </c>
      <c r="R517" s="404" t="s">
        <v>169</v>
      </c>
      <c r="S517" s="404" t="s">
        <v>2355</v>
      </c>
      <c r="T517" s="404" t="s">
        <v>2969</v>
      </c>
      <c r="U517" s="941">
        <v>0</v>
      </c>
      <c r="V517" s="941">
        <v>0</v>
      </c>
      <c r="W517" s="941">
        <v>0</v>
      </c>
      <c r="X517" s="941">
        <v>0</v>
      </c>
      <c r="Y517" s="941">
        <v>51</v>
      </c>
      <c r="Z517" s="941">
        <v>51</v>
      </c>
      <c r="AA517" s="942">
        <v>0</v>
      </c>
      <c r="AB517" s="942">
        <v>0</v>
      </c>
      <c r="AC517" s="942">
        <v>0</v>
      </c>
      <c r="AD517" s="942">
        <v>0</v>
      </c>
      <c r="AE517" s="942">
        <v>48</v>
      </c>
      <c r="AF517" s="942">
        <v>300</v>
      </c>
      <c r="AG517" s="943">
        <f>comparaison_samebasis_villages[[#This Row],[previous idp_ind]]-comparaison_samebasis_villages[[#This Row],[actual idp_ind]]</f>
        <v>0</v>
      </c>
      <c r="AH517" s="943">
        <f>comparaison_samebasis_villages[[#This Row],[previous ref_ind]]-comparaison_samebasis_villages[[#This Row],[actual ref_ind]]</f>
        <v>0</v>
      </c>
      <c r="AI517" s="943">
        <f>comparaison_samebasis_villages[[#This Row],[previous ret_ind]]-comparaison_samebasis_villages[[#This Row],[actual ret_ind]]</f>
        <v>249</v>
      </c>
    </row>
    <row r="518" spans="1:35" ht="15.75" customHeight="1" x14ac:dyDescent="0.3">
      <c r="A518" s="401" t="s">
        <v>32</v>
      </c>
      <c r="B518" s="401" t="s">
        <v>32</v>
      </c>
      <c r="C518" s="401" t="s">
        <v>178</v>
      </c>
      <c r="D518" s="401" t="s">
        <v>178</v>
      </c>
      <c r="E518" s="401" t="s">
        <v>550</v>
      </c>
      <c r="F518" s="5" t="s">
        <v>3145</v>
      </c>
      <c r="G518" s="401" t="s">
        <v>3145</v>
      </c>
      <c r="H518" s="1093" t="s">
        <v>511</v>
      </c>
      <c r="I518" s="1216" t="s">
        <v>3112</v>
      </c>
      <c r="J518" s="403">
        <v>23</v>
      </c>
      <c r="K518" s="403">
        <v>175</v>
      </c>
      <c r="L518" s="1093" t="s">
        <v>365</v>
      </c>
      <c r="M518" s="401"/>
      <c r="O518" s="404" t="s">
        <v>31</v>
      </c>
      <c r="P518" s="404" t="s">
        <v>31</v>
      </c>
      <c r="Q518" s="404" t="s">
        <v>169</v>
      </c>
      <c r="R518" s="404" t="s">
        <v>169</v>
      </c>
      <c r="S518" s="404" t="s">
        <v>2356</v>
      </c>
      <c r="T518" s="404" t="s">
        <v>2989</v>
      </c>
      <c r="U518" s="941">
        <v>0</v>
      </c>
      <c r="V518" s="941">
        <v>0</v>
      </c>
      <c r="W518" s="941">
        <v>0</v>
      </c>
      <c r="X518" s="941">
        <v>0</v>
      </c>
      <c r="Y518" s="941">
        <v>99</v>
      </c>
      <c r="Z518" s="941">
        <v>99</v>
      </c>
      <c r="AA518" s="942">
        <v>0</v>
      </c>
      <c r="AB518" s="942">
        <v>0</v>
      </c>
      <c r="AC518" s="942">
        <v>0</v>
      </c>
      <c r="AD518" s="942">
        <v>0</v>
      </c>
      <c r="AE518" s="942">
        <v>85</v>
      </c>
      <c r="AF518" s="942">
        <v>520</v>
      </c>
      <c r="AG518" s="943">
        <f>comparaison_samebasis_villages[[#This Row],[previous idp_ind]]-comparaison_samebasis_villages[[#This Row],[actual idp_ind]]</f>
        <v>0</v>
      </c>
      <c r="AH518" s="943">
        <f>comparaison_samebasis_villages[[#This Row],[previous ref_ind]]-comparaison_samebasis_villages[[#This Row],[actual ref_ind]]</f>
        <v>0</v>
      </c>
      <c r="AI518" s="943">
        <f>comparaison_samebasis_villages[[#This Row],[previous ret_ind]]-comparaison_samebasis_villages[[#This Row],[actual ret_ind]]</f>
        <v>421</v>
      </c>
    </row>
    <row r="519" spans="1:35" ht="15.75" customHeight="1" x14ac:dyDescent="0.3">
      <c r="A519" s="401" t="s">
        <v>35</v>
      </c>
      <c r="B519" s="401" t="s">
        <v>35</v>
      </c>
      <c r="C519" s="401" t="s">
        <v>195</v>
      </c>
      <c r="D519" s="401" t="s">
        <v>195</v>
      </c>
      <c r="E519" s="401" t="s">
        <v>2921</v>
      </c>
      <c r="F519" s="5" t="s">
        <v>2094</v>
      </c>
      <c r="G519" s="401"/>
      <c r="H519" s="1093" t="s">
        <v>511</v>
      </c>
      <c r="I519" s="1216" t="s">
        <v>3033</v>
      </c>
      <c r="J519" s="403">
        <v>70</v>
      </c>
      <c r="K519" s="403">
        <v>356</v>
      </c>
      <c r="L519" s="1093" t="s">
        <v>377</v>
      </c>
      <c r="M519" s="401"/>
      <c r="O519" s="404" t="s">
        <v>31</v>
      </c>
      <c r="P519" s="404" t="s">
        <v>31</v>
      </c>
      <c r="Q519" s="404" t="s">
        <v>169</v>
      </c>
      <c r="R519" s="404" t="s">
        <v>169</v>
      </c>
      <c r="S519" s="404" t="s">
        <v>2357</v>
      </c>
      <c r="T519" s="404" t="s">
        <v>2991</v>
      </c>
      <c r="U519" s="941">
        <v>0</v>
      </c>
      <c r="V519" s="941">
        <v>0</v>
      </c>
      <c r="W519" s="941">
        <v>0</v>
      </c>
      <c r="X519" s="941">
        <v>0</v>
      </c>
      <c r="Y519" s="941">
        <v>0</v>
      </c>
      <c r="Z519" s="941">
        <v>0</v>
      </c>
      <c r="AA519" s="942">
        <v>0</v>
      </c>
      <c r="AB519" s="942">
        <v>0</v>
      </c>
      <c r="AC519" s="942">
        <v>0</v>
      </c>
      <c r="AD519" s="942">
        <v>0</v>
      </c>
      <c r="AE519" s="942">
        <v>13</v>
      </c>
      <c r="AF519" s="942">
        <v>65</v>
      </c>
      <c r="AG519" s="943">
        <f>comparaison_samebasis_villages[[#This Row],[previous idp_ind]]-comparaison_samebasis_villages[[#This Row],[actual idp_ind]]</f>
        <v>0</v>
      </c>
      <c r="AH519" s="943">
        <f>comparaison_samebasis_villages[[#This Row],[previous ref_ind]]-comparaison_samebasis_villages[[#This Row],[actual ref_ind]]</f>
        <v>0</v>
      </c>
      <c r="AI519" s="943">
        <f>comparaison_samebasis_villages[[#This Row],[previous ret_ind]]-comparaison_samebasis_villages[[#This Row],[actual ret_ind]]</f>
        <v>65</v>
      </c>
    </row>
    <row r="520" spans="1:35" ht="15.75" customHeight="1" x14ac:dyDescent="0.3">
      <c r="A520" s="401" t="s">
        <v>35</v>
      </c>
      <c r="B520" s="401" t="s">
        <v>35</v>
      </c>
      <c r="C520" s="401" t="s">
        <v>195</v>
      </c>
      <c r="D520" s="401" t="s">
        <v>195</v>
      </c>
      <c r="E520" s="401" t="s">
        <v>3023</v>
      </c>
      <c r="F520" s="5" t="s">
        <v>1797</v>
      </c>
      <c r="G520" s="401"/>
      <c r="H520" s="1093" t="s">
        <v>511</v>
      </c>
      <c r="I520" s="1216" t="s">
        <v>3033</v>
      </c>
      <c r="J520" s="403">
        <v>19</v>
      </c>
      <c r="K520" s="403">
        <v>75</v>
      </c>
      <c r="L520" s="1093" t="s">
        <v>377</v>
      </c>
      <c r="M520" s="401"/>
      <c r="O520" s="404" t="s">
        <v>31</v>
      </c>
      <c r="P520" s="404" t="s">
        <v>31</v>
      </c>
      <c r="Q520" s="404" t="s">
        <v>169</v>
      </c>
      <c r="R520" s="404" t="s">
        <v>169</v>
      </c>
      <c r="S520" s="404" t="s">
        <v>2358</v>
      </c>
      <c r="T520" s="404" t="s">
        <v>2860</v>
      </c>
      <c r="U520" s="941">
        <v>0</v>
      </c>
      <c r="V520" s="941">
        <v>0</v>
      </c>
      <c r="W520" s="941">
        <v>0</v>
      </c>
      <c r="X520" s="941">
        <v>0</v>
      </c>
      <c r="Y520" s="941">
        <v>68</v>
      </c>
      <c r="Z520" s="941">
        <v>68</v>
      </c>
      <c r="AA520" s="942">
        <v>0</v>
      </c>
      <c r="AB520" s="942">
        <v>0</v>
      </c>
      <c r="AC520" s="942">
        <v>0</v>
      </c>
      <c r="AD520" s="942">
        <v>0</v>
      </c>
      <c r="AE520" s="942">
        <v>68</v>
      </c>
      <c r="AF520" s="942">
        <v>291</v>
      </c>
      <c r="AG520" s="943">
        <f>comparaison_samebasis_villages[[#This Row],[previous idp_ind]]-comparaison_samebasis_villages[[#This Row],[actual idp_ind]]</f>
        <v>0</v>
      </c>
      <c r="AH520" s="943">
        <f>comparaison_samebasis_villages[[#This Row],[previous ref_ind]]-comparaison_samebasis_villages[[#This Row],[actual ref_ind]]</f>
        <v>0</v>
      </c>
      <c r="AI520" s="943">
        <f>comparaison_samebasis_villages[[#This Row],[previous ret_ind]]-comparaison_samebasis_villages[[#This Row],[actual ret_ind]]</f>
        <v>223</v>
      </c>
    </row>
    <row r="521" spans="1:35" ht="15.75" customHeight="1" x14ac:dyDescent="0.3">
      <c r="A521" s="401" t="s">
        <v>31</v>
      </c>
      <c r="B521" s="401" t="s">
        <v>31</v>
      </c>
      <c r="C521" s="401" t="s">
        <v>166</v>
      </c>
      <c r="D521" s="401" t="s">
        <v>166</v>
      </c>
      <c r="E521" s="401" t="s">
        <v>550</v>
      </c>
      <c r="F521" s="5" t="s">
        <v>3146</v>
      </c>
      <c r="G521" s="401" t="s">
        <v>3146</v>
      </c>
      <c r="H521" s="1093" t="s">
        <v>511</v>
      </c>
      <c r="I521" s="1216" t="s">
        <v>3112</v>
      </c>
      <c r="J521" s="403">
        <v>12</v>
      </c>
      <c r="K521" s="403">
        <v>67</v>
      </c>
      <c r="L521" s="1093" t="s">
        <v>367</v>
      </c>
      <c r="M521" s="401"/>
      <c r="O521" s="404" t="s">
        <v>31</v>
      </c>
      <c r="P521" s="404" t="s">
        <v>31</v>
      </c>
      <c r="Q521" s="1145" t="s">
        <v>169</v>
      </c>
      <c r="R521" s="1145" t="s">
        <v>169</v>
      </c>
      <c r="S521" s="404" t="s">
        <v>3090</v>
      </c>
      <c r="T521" s="404" t="s">
        <v>2803</v>
      </c>
      <c r="U521" s="941">
        <v>0</v>
      </c>
      <c r="V521" s="941">
        <v>0</v>
      </c>
      <c r="W521" s="941">
        <v>0</v>
      </c>
      <c r="X521" s="941">
        <v>0</v>
      </c>
      <c r="Y521" s="941">
        <v>1</v>
      </c>
      <c r="Z521" s="941">
        <v>1</v>
      </c>
      <c r="AA521" s="942">
        <v>0</v>
      </c>
      <c r="AB521" s="942">
        <v>0</v>
      </c>
      <c r="AC521" s="942">
        <v>0</v>
      </c>
      <c r="AD521" s="942">
        <v>0</v>
      </c>
      <c r="AE521" s="942">
        <v>49</v>
      </c>
      <c r="AF521" s="942">
        <v>380</v>
      </c>
      <c r="AG521" s="943">
        <f>comparaison_samebasis_villages[[#This Row],[previous idp_ind]]-comparaison_samebasis_villages[[#This Row],[actual idp_ind]]</f>
        <v>0</v>
      </c>
      <c r="AH521" s="943">
        <f>comparaison_samebasis_villages[[#This Row],[previous ref_ind]]-comparaison_samebasis_villages[[#This Row],[actual ref_ind]]</f>
        <v>0</v>
      </c>
      <c r="AI521" s="943">
        <f>comparaison_samebasis_villages[[#This Row],[previous ret_ind]]-comparaison_samebasis_villages[[#This Row],[actual ret_ind]]</f>
        <v>379</v>
      </c>
    </row>
    <row r="522" spans="1:35" ht="15.75" customHeight="1" x14ac:dyDescent="0.3">
      <c r="A522" s="401" t="s">
        <v>35</v>
      </c>
      <c r="B522" s="401" t="s">
        <v>35</v>
      </c>
      <c r="C522" s="401" t="s">
        <v>195</v>
      </c>
      <c r="D522" s="401" t="s">
        <v>195</v>
      </c>
      <c r="E522" s="401" t="s">
        <v>1622</v>
      </c>
      <c r="F522" s="5" t="s">
        <v>1942</v>
      </c>
      <c r="G522" s="401"/>
      <c r="H522" s="1093" t="s">
        <v>511</v>
      </c>
      <c r="I522" s="1216" t="s">
        <v>3112</v>
      </c>
      <c r="J522" s="403">
        <v>2</v>
      </c>
      <c r="K522" s="403">
        <v>18</v>
      </c>
      <c r="L522" s="1093" t="s">
        <v>367</v>
      </c>
      <c r="M522" s="401"/>
      <c r="O522" s="404" t="s">
        <v>31</v>
      </c>
      <c r="P522" s="404" t="s">
        <v>31</v>
      </c>
      <c r="Q522" s="404" t="s">
        <v>169</v>
      </c>
      <c r="R522" s="404" t="s">
        <v>169</v>
      </c>
      <c r="S522" s="404" t="s">
        <v>2359</v>
      </c>
      <c r="T522" s="404" t="s">
        <v>2971</v>
      </c>
      <c r="U522" s="941">
        <v>0</v>
      </c>
      <c r="V522" s="941">
        <v>0</v>
      </c>
      <c r="W522" s="941">
        <v>0</v>
      </c>
      <c r="X522" s="941">
        <v>0</v>
      </c>
      <c r="Y522" s="941">
        <v>66</v>
      </c>
      <c r="Z522" s="941">
        <v>66</v>
      </c>
      <c r="AA522" s="942">
        <v>0</v>
      </c>
      <c r="AB522" s="942">
        <v>0</v>
      </c>
      <c r="AC522" s="942">
        <v>0</v>
      </c>
      <c r="AD522" s="942">
        <v>0</v>
      </c>
      <c r="AE522" s="942">
        <v>60</v>
      </c>
      <c r="AF522" s="942">
        <v>100</v>
      </c>
      <c r="AG522" s="943">
        <f>comparaison_samebasis_villages[[#This Row],[previous idp_ind]]-comparaison_samebasis_villages[[#This Row],[actual idp_ind]]</f>
        <v>0</v>
      </c>
      <c r="AH522" s="943">
        <f>comparaison_samebasis_villages[[#This Row],[previous ref_ind]]-comparaison_samebasis_villages[[#This Row],[actual ref_ind]]</f>
        <v>0</v>
      </c>
      <c r="AI522" s="943">
        <f>comparaison_samebasis_villages[[#This Row],[previous ret_ind]]-comparaison_samebasis_villages[[#This Row],[actual ret_ind]]</f>
        <v>34</v>
      </c>
    </row>
    <row r="523" spans="1:35" ht="15.75" customHeight="1" x14ac:dyDescent="0.3">
      <c r="A523" s="401" t="s">
        <v>35</v>
      </c>
      <c r="B523" s="401" t="s">
        <v>35</v>
      </c>
      <c r="C523" s="401" t="s">
        <v>195</v>
      </c>
      <c r="D523" s="401" t="s">
        <v>195</v>
      </c>
      <c r="E523" s="401" t="s">
        <v>1747</v>
      </c>
      <c r="F523" s="5" t="s">
        <v>1748</v>
      </c>
      <c r="G523" s="401"/>
      <c r="H523" s="1093" t="s">
        <v>511</v>
      </c>
      <c r="I523" s="1216" t="s">
        <v>3033</v>
      </c>
      <c r="J523" s="403">
        <v>8</v>
      </c>
      <c r="K523" s="403">
        <v>50</v>
      </c>
      <c r="L523" s="1093" t="s">
        <v>377</v>
      </c>
      <c r="M523" s="401"/>
      <c r="O523" s="404" t="s">
        <v>31</v>
      </c>
      <c r="P523" s="404" t="s">
        <v>31</v>
      </c>
      <c r="Q523" s="404" t="s">
        <v>169</v>
      </c>
      <c r="R523" s="404" t="s">
        <v>169</v>
      </c>
      <c r="S523" s="404" t="s">
        <v>3082</v>
      </c>
      <c r="T523" s="404" t="s">
        <v>2859</v>
      </c>
      <c r="U523" s="941">
        <v>0</v>
      </c>
      <c r="V523" s="941">
        <v>0</v>
      </c>
      <c r="W523" s="941">
        <v>0</v>
      </c>
      <c r="X523" s="941">
        <v>0</v>
      </c>
      <c r="Y523" s="941">
        <v>23</v>
      </c>
      <c r="Z523" s="941">
        <v>23</v>
      </c>
      <c r="AA523" s="942">
        <v>0</v>
      </c>
      <c r="AB523" s="942">
        <v>0</v>
      </c>
      <c r="AC523" s="942">
        <v>0</v>
      </c>
      <c r="AD523" s="942">
        <v>0</v>
      </c>
      <c r="AE523" s="942">
        <v>23</v>
      </c>
      <c r="AF523" s="942">
        <v>100</v>
      </c>
      <c r="AG523" s="943">
        <f>comparaison_samebasis_villages[[#This Row],[previous idp_ind]]-comparaison_samebasis_villages[[#This Row],[actual idp_ind]]</f>
        <v>0</v>
      </c>
      <c r="AH523" s="943">
        <f>comparaison_samebasis_villages[[#This Row],[previous ref_ind]]-comparaison_samebasis_villages[[#This Row],[actual ref_ind]]</f>
        <v>0</v>
      </c>
      <c r="AI523" s="943">
        <f>comparaison_samebasis_villages[[#This Row],[previous ret_ind]]-comparaison_samebasis_villages[[#This Row],[actual ret_ind]]</f>
        <v>77</v>
      </c>
    </row>
    <row r="524" spans="1:35" ht="15.75" customHeight="1" x14ac:dyDescent="0.3">
      <c r="A524" s="401" t="s">
        <v>35</v>
      </c>
      <c r="B524" s="401" t="s">
        <v>35</v>
      </c>
      <c r="C524" s="401" t="s">
        <v>195</v>
      </c>
      <c r="D524" s="401" t="s">
        <v>195</v>
      </c>
      <c r="E524" s="401" t="s">
        <v>1906</v>
      </c>
      <c r="F524" s="5" t="s">
        <v>1839</v>
      </c>
      <c r="G524" s="401"/>
      <c r="H524" s="1093" t="s">
        <v>511</v>
      </c>
      <c r="I524" s="1216" t="s">
        <v>3033</v>
      </c>
      <c r="J524" s="403">
        <v>3</v>
      </c>
      <c r="K524" s="403">
        <v>9</v>
      </c>
      <c r="L524" s="1093" t="s">
        <v>377</v>
      </c>
      <c r="M524" s="401"/>
      <c r="O524" s="404" t="s">
        <v>31</v>
      </c>
      <c r="P524" s="404" t="s">
        <v>31</v>
      </c>
      <c r="Q524" s="404" t="s">
        <v>169</v>
      </c>
      <c r="R524" s="404" t="s">
        <v>169</v>
      </c>
      <c r="S524" s="404" t="s">
        <v>3077</v>
      </c>
      <c r="T524" s="404" t="s">
        <v>3195</v>
      </c>
      <c r="U524" s="941">
        <v>0</v>
      </c>
      <c r="V524" s="941">
        <v>0</v>
      </c>
      <c r="W524" s="941">
        <v>0</v>
      </c>
      <c r="X524" s="941">
        <v>0</v>
      </c>
      <c r="Y524" s="941">
        <v>100</v>
      </c>
      <c r="Z524" s="941">
        <v>100</v>
      </c>
      <c r="AA524" s="942">
        <v>0</v>
      </c>
      <c r="AB524" s="942">
        <v>0</v>
      </c>
      <c r="AC524" s="942">
        <v>0</v>
      </c>
      <c r="AD524" s="942">
        <v>0</v>
      </c>
      <c r="AE524" s="942">
        <v>90</v>
      </c>
      <c r="AF524" s="942">
        <v>360</v>
      </c>
      <c r="AG524" s="943">
        <f>comparaison_samebasis_villages[[#This Row],[previous idp_ind]]-comparaison_samebasis_villages[[#This Row],[actual idp_ind]]</f>
        <v>0</v>
      </c>
      <c r="AH524" s="943">
        <f>comparaison_samebasis_villages[[#This Row],[previous ref_ind]]-comparaison_samebasis_villages[[#This Row],[actual ref_ind]]</f>
        <v>0</v>
      </c>
      <c r="AI524" s="943">
        <f>comparaison_samebasis_villages[[#This Row],[previous ret_ind]]-comparaison_samebasis_villages[[#This Row],[actual ret_ind]]</f>
        <v>260</v>
      </c>
    </row>
    <row r="525" spans="1:35" ht="15.75" customHeight="1" x14ac:dyDescent="0.3">
      <c r="A525" s="401" t="s">
        <v>31</v>
      </c>
      <c r="B525" s="401" t="s">
        <v>31</v>
      </c>
      <c r="C525" s="401" t="s">
        <v>172</v>
      </c>
      <c r="D525" s="401" t="s">
        <v>172</v>
      </c>
      <c r="E525" s="401" t="s">
        <v>2887</v>
      </c>
      <c r="F525" s="5" t="s">
        <v>1165</v>
      </c>
      <c r="G525" s="401"/>
      <c r="H525" s="1093" t="s">
        <v>511</v>
      </c>
      <c r="I525" s="1216" t="s">
        <v>3033</v>
      </c>
      <c r="J525" s="403">
        <v>17</v>
      </c>
      <c r="K525" s="403">
        <v>93</v>
      </c>
      <c r="L525" s="1093" t="s">
        <v>377</v>
      </c>
      <c r="M525" s="401"/>
      <c r="O525" s="399" t="s">
        <v>31</v>
      </c>
      <c r="P525" s="399" t="s">
        <v>31</v>
      </c>
      <c r="Q525" s="399" t="s">
        <v>169</v>
      </c>
      <c r="R525" s="399" t="s">
        <v>169</v>
      </c>
      <c r="S525" s="399" t="s">
        <v>3075</v>
      </c>
      <c r="T525" s="399" t="s">
        <v>3198</v>
      </c>
      <c r="U525" s="941">
        <v>0</v>
      </c>
      <c r="V525" s="941">
        <v>0</v>
      </c>
      <c r="W525" s="941">
        <v>0</v>
      </c>
      <c r="X525" s="941">
        <v>0</v>
      </c>
      <c r="Y525" s="941">
        <v>21</v>
      </c>
      <c r="Z525" s="941">
        <v>21</v>
      </c>
      <c r="AA525" s="942">
        <v>0</v>
      </c>
      <c r="AB525" s="942">
        <v>0</v>
      </c>
      <c r="AC525" s="942">
        <v>0</v>
      </c>
      <c r="AD525" s="942">
        <v>0</v>
      </c>
      <c r="AE525" s="942">
        <v>20</v>
      </c>
      <c r="AF525" s="942">
        <v>60</v>
      </c>
      <c r="AG525" s="943">
        <f>comparaison_samebasis_villages[[#This Row],[previous idp_ind]]-comparaison_samebasis_villages[[#This Row],[actual idp_ind]]</f>
        <v>0</v>
      </c>
      <c r="AH525" s="943">
        <f>comparaison_samebasis_villages[[#This Row],[previous ref_ind]]-comparaison_samebasis_villages[[#This Row],[actual ref_ind]]</f>
        <v>0</v>
      </c>
      <c r="AI525" s="943">
        <f>comparaison_samebasis_villages[[#This Row],[previous ret_ind]]-comparaison_samebasis_villages[[#This Row],[actual ret_ind]]</f>
        <v>39</v>
      </c>
    </row>
    <row r="526" spans="1:35" ht="15.75" customHeight="1" x14ac:dyDescent="0.3">
      <c r="A526" s="401" t="s">
        <v>31</v>
      </c>
      <c r="B526" s="401" t="s">
        <v>31</v>
      </c>
      <c r="C526" s="401" t="s">
        <v>172</v>
      </c>
      <c r="D526" s="401" t="s">
        <v>172</v>
      </c>
      <c r="E526" s="401" t="s">
        <v>2887</v>
      </c>
      <c r="F526" s="5" t="s">
        <v>1165</v>
      </c>
      <c r="G526" s="401"/>
      <c r="H526" s="1093" t="s">
        <v>511</v>
      </c>
      <c r="I526" s="1216" t="s">
        <v>3112</v>
      </c>
      <c r="J526" s="403">
        <v>0</v>
      </c>
      <c r="K526" s="403">
        <v>5</v>
      </c>
      <c r="L526" s="1093" t="s">
        <v>377</v>
      </c>
      <c r="M526" s="401"/>
      <c r="O526" s="404" t="s">
        <v>31</v>
      </c>
      <c r="P526" s="404" t="s">
        <v>31</v>
      </c>
      <c r="Q526" s="404" t="s">
        <v>169</v>
      </c>
      <c r="R526" s="404" t="s">
        <v>169</v>
      </c>
      <c r="S526" s="404" t="s">
        <v>3074</v>
      </c>
      <c r="T526" s="404" t="s">
        <v>3199</v>
      </c>
      <c r="U526" s="941">
        <v>0</v>
      </c>
      <c r="V526" s="941">
        <v>0</v>
      </c>
      <c r="W526" s="941">
        <v>0</v>
      </c>
      <c r="X526" s="941">
        <v>0</v>
      </c>
      <c r="Y526" s="941">
        <v>0</v>
      </c>
      <c r="Z526" s="941">
        <v>0</v>
      </c>
      <c r="AA526" s="942">
        <v>0</v>
      </c>
      <c r="AB526" s="942">
        <v>0</v>
      </c>
      <c r="AC526" s="942">
        <v>0</v>
      </c>
      <c r="AD526" s="942">
        <v>0</v>
      </c>
      <c r="AE526" s="942">
        <v>25</v>
      </c>
      <c r="AF526" s="942">
        <v>350</v>
      </c>
      <c r="AG526" s="943">
        <f>comparaison_samebasis_villages[[#This Row],[previous idp_ind]]-comparaison_samebasis_villages[[#This Row],[actual idp_ind]]</f>
        <v>0</v>
      </c>
      <c r="AH526" s="943">
        <f>comparaison_samebasis_villages[[#This Row],[previous ref_ind]]-comparaison_samebasis_villages[[#This Row],[actual ref_ind]]</f>
        <v>0</v>
      </c>
      <c r="AI526" s="943">
        <f>comparaison_samebasis_villages[[#This Row],[previous ret_ind]]-comparaison_samebasis_villages[[#This Row],[actual ret_ind]]</f>
        <v>350</v>
      </c>
    </row>
    <row r="527" spans="1:35" ht="15.75" customHeight="1" x14ac:dyDescent="0.3">
      <c r="A527" s="401" t="s">
        <v>33</v>
      </c>
      <c r="B527" s="401" t="s">
        <v>33</v>
      </c>
      <c r="C527" s="401" t="s">
        <v>183</v>
      </c>
      <c r="D527" s="401" t="s">
        <v>183</v>
      </c>
      <c r="E527" s="401" t="s">
        <v>726</v>
      </c>
      <c r="F527" s="5" t="s">
        <v>727</v>
      </c>
      <c r="G527" s="401"/>
      <c r="H527" s="1093" t="s">
        <v>511</v>
      </c>
      <c r="I527" s="1216" t="s">
        <v>3033</v>
      </c>
      <c r="J527" s="403">
        <v>2</v>
      </c>
      <c r="K527" s="403">
        <v>9</v>
      </c>
      <c r="L527" s="1093" t="s">
        <v>365</v>
      </c>
      <c r="M527" s="401"/>
      <c r="O527" s="404" t="s">
        <v>31</v>
      </c>
      <c r="P527" s="404" t="s">
        <v>31</v>
      </c>
      <c r="Q527" s="404" t="s">
        <v>169</v>
      </c>
      <c r="R527" s="404" t="s">
        <v>169</v>
      </c>
      <c r="S527" s="404" t="s">
        <v>3088</v>
      </c>
      <c r="T527" s="404" t="s">
        <v>3200</v>
      </c>
      <c r="U527" s="941">
        <v>0</v>
      </c>
      <c r="V527" s="941">
        <v>0</v>
      </c>
      <c r="W527" s="941">
        <v>0</v>
      </c>
      <c r="X527" s="941">
        <v>0</v>
      </c>
      <c r="Y527" s="941">
        <v>18</v>
      </c>
      <c r="Z527" s="941">
        <v>18</v>
      </c>
      <c r="AA527" s="942">
        <v>0</v>
      </c>
      <c r="AB527" s="942">
        <v>0</v>
      </c>
      <c r="AC527" s="942">
        <v>0</v>
      </c>
      <c r="AD527" s="942">
        <v>0</v>
      </c>
      <c r="AE527" s="942">
        <v>18</v>
      </c>
      <c r="AF527" s="942">
        <v>40</v>
      </c>
      <c r="AG527" s="943">
        <f>comparaison_samebasis_villages[[#This Row],[previous idp_ind]]-comparaison_samebasis_villages[[#This Row],[actual idp_ind]]</f>
        <v>0</v>
      </c>
      <c r="AH527" s="943">
        <f>comparaison_samebasis_villages[[#This Row],[previous ref_ind]]-comparaison_samebasis_villages[[#This Row],[actual ref_ind]]</f>
        <v>0</v>
      </c>
      <c r="AI527" s="943">
        <f>comparaison_samebasis_villages[[#This Row],[previous ret_ind]]-comparaison_samebasis_villages[[#This Row],[actual ret_ind]]</f>
        <v>22</v>
      </c>
    </row>
    <row r="528" spans="1:35" ht="15.75" customHeight="1" x14ac:dyDescent="0.3">
      <c r="A528" s="401" t="s">
        <v>31</v>
      </c>
      <c r="B528" s="401" t="s">
        <v>31</v>
      </c>
      <c r="C528" s="401" t="s">
        <v>169</v>
      </c>
      <c r="D528" s="401" t="s">
        <v>169</v>
      </c>
      <c r="E528" s="401" t="s">
        <v>1474</v>
      </c>
      <c r="F528" s="5" t="s">
        <v>2569</v>
      </c>
      <c r="G528" s="401"/>
      <c r="H528" s="1093" t="s">
        <v>511</v>
      </c>
      <c r="I528" s="1216" t="s">
        <v>3111</v>
      </c>
      <c r="J528" s="403">
        <v>100</v>
      </c>
      <c r="K528" s="403">
        <v>491</v>
      </c>
      <c r="L528" s="1093" t="s">
        <v>365</v>
      </c>
      <c r="M528" s="401"/>
      <c r="O528" s="404" t="s">
        <v>31</v>
      </c>
      <c r="P528" s="404" t="s">
        <v>31</v>
      </c>
      <c r="Q528" s="404" t="s">
        <v>169</v>
      </c>
      <c r="R528" s="404" t="s">
        <v>169</v>
      </c>
      <c r="S528" s="404" t="s">
        <v>3065</v>
      </c>
      <c r="T528" s="404" t="s">
        <v>3202</v>
      </c>
      <c r="U528" s="941">
        <v>0</v>
      </c>
      <c r="V528" s="941">
        <v>0</v>
      </c>
      <c r="W528" s="941">
        <v>0</v>
      </c>
      <c r="X528" s="941">
        <v>0</v>
      </c>
      <c r="Y528" s="941">
        <v>64</v>
      </c>
      <c r="Z528" s="941">
        <v>64</v>
      </c>
      <c r="AA528" s="942">
        <v>0</v>
      </c>
      <c r="AB528" s="942">
        <v>0</v>
      </c>
      <c r="AC528" s="942">
        <v>0</v>
      </c>
      <c r="AD528" s="942">
        <v>0</v>
      </c>
      <c r="AE528" s="942">
        <v>57</v>
      </c>
      <c r="AF528" s="942">
        <v>450</v>
      </c>
      <c r="AG528" s="943">
        <f>comparaison_samebasis_villages[[#This Row],[previous idp_ind]]-comparaison_samebasis_villages[[#This Row],[actual idp_ind]]</f>
        <v>0</v>
      </c>
      <c r="AH528" s="943">
        <f>comparaison_samebasis_villages[[#This Row],[previous ref_ind]]-comparaison_samebasis_villages[[#This Row],[actual ref_ind]]</f>
        <v>0</v>
      </c>
      <c r="AI528" s="943">
        <f>comparaison_samebasis_villages[[#This Row],[previous ret_ind]]-comparaison_samebasis_villages[[#This Row],[actual ret_ind]]</f>
        <v>386</v>
      </c>
    </row>
    <row r="529" spans="1:35" ht="15.75" customHeight="1" x14ac:dyDescent="0.3">
      <c r="A529" s="401" t="s">
        <v>31</v>
      </c>
      <c r="B529" s="401" t="s">
        <v>31</v>
      </c>
      <c r="C529" s="401" t="s">
        <v>169</v>
      </c>
      <c r="D529" s="401" t="s">
        <v>169</v>
      </c>
      <c r="E529" s="401" t="s">
        <v>2912</v>
      </c>
      <c r="F529" s="5" t="s">
        <v>2277</v>
      </c>
      <c r="G529" s="401"/>
      <c r="H529" s="1093" t="s">
        <v>511</v>
      </c>
      <c r="I529" s="1216" t="s">
        <v>3111</v>
      </c>
      <c r="J529" s="403">
        <v>496</v>
      </c>
      <c r="K529" s="403">
        <v>3490</v>
      </c>
      <c r="L529" s="1093" t="s">
        <v>365</v>
      </c>
      <c r="M529" s="401"/>
      <c r="O529" s="404" t="s">
        <v>31</v>
      </c>
      <c r="P529" s="404" t="s">
        <v>31</v>
      </c>
      <c r="Q529" s="404" t="s">
        <v>169</v>
      </c>
      <c r="R529" s="404" t="s">
        <v>169</v>
      </c>
      <c r="S529" s="404" t="s">
        <v>3072</v>
      </c>
      <c r="T529" s="404" t="s">
        <v>3203</v>
      </c>
      <c r="U529" s="941">
        <v>0</v>
      </c>
      <c r="V529" s="941">
        <v>0</v>
      </c>
      <c r="W529" s="941">
        <v>0</v>
      </c>
      <c r="X529" s="941">
        <v>0</v>
      </c>
      <c r="Y529" s="941">
        <v>46</v>
      </c>
      <c r="Z529" s="941">
        <v>46</v>
      </c>
      <c r="AA529" s="942">
        <v>0</v>
      </c>
      <c r="AB529" s="942">
        <v>0</v>
      </c>
      <c r="AC529" s="942">
        <v>0</v>
      </c>
      <c r="AD529" s="942">
        <v>0</v>
      </c>
      <c r="AE529" s="942">
        <v>46</v>
      </c>
      <c r="AF529" s="942">
        <v>300</v>
      </c>
      <c r="AG529" s="943">
        <f>comparaison_samebasis_villages[[#This Row],[previous idp_ind]]-comparaison_samebasis_villages[[#This Row],[actual idp_ind]]</f>
        <v>0</v>
      </c>
      <c r="AH529" s="943">
        <f>comparaison_samebasis_villages[[#This Row],[previous ref_ind]]-comparaison_samebasis_villages[[#This Row],[actual ref_ind]]</f>
        <v>0</v>
      </c>
      <c r="AI529" s="943">
        <f>comparaison_samebasis_villages[[#This Row],[previous ret_ind]]-comparaison_samebasis_villages[[#This Row],[actual ret_ind]]</f>
        <v>254</v>
      </c>
    </row>
    <row r="530" spans="1:35" ht="15.75" customHeight="1" x14ac:dyDescent="0.3">
      <c r="A530" s="401" t="s">
        <v>31</v>
      </c>
      <c r="B530" s="401" t="s">
        <v>31</v>
      </c>
      <c r="C530" s="401" t="s">
        <v>169</v>
      </c>
      <c r="D530" s="401" t="s">
        <v>169</v>
      </c>
      <c r="E530" s="401" t="s">
        <v>2912</v>
      </c>
      <c r="F530" s="5" t="s">
        <v>2277</v>
      </c>
      <c r="G530" s="401"/>
      <c r="H530" s="1093" t="s">
        <v>511</v>
      </c>
      <c r="I530" s="1216" t="s">
        <v>3112</v>
      </c>
      <c r="J530" s="403">
        <v>4</v>
      </c>
      <c r="K530" s="403">
        <v>10</v>
      </c>
      <c r="L530" s="1093" t="s">
        <v>365</v>
      </c>
      <c r="M530" s="401"/>
      <c r="O530" s="404" t="s">
        <v>31</v>
      </c>
      <c r="P530" s="404" t="s">
        <v>31</v>
      </c>
      <c r="Q530" s="404" t="s">
        <v>169</v>
      </c>
      <c r="R530" s="404" t="s">
        <v>169</v>
      </c>
      <c r="S530" s="404" t="s">
        <v>3076</v>
      </c>
      <c r="T530" s="404" t="s">
        <v>3204</v>
      </c>
      <c r="U530" s="941">
        <v>0</v>
      </c>
      <c r="V530" s="941">
        <v>0</v>
      </c>
      <c r="W530" s="941">
        <v>0</v>
      </c>
      <c r="X530" s="941">
        <v>0</v>
      </c>
      <c r="Y530" s="941">
        <v>71</v>
      </c>
      <c r="Z530" s="941">
        <v>71</v>
      </c>
      <c r="AA530" s="942">
        <v>0</v>
      </c>
      <c r="AB530" s="942">
        <v>0</v>
      </c>
      <c r="AC530" s="942">
        <v>0</v>
      </c>
      <c r="AD530" s="942">
        <v>0</v>
      </c>
      <c r="AE530" s="942">
        <v>58</v>
      </c>
      <c r="AF530" s="942">
        <v>316</v>
      </c>
      <c r="AG530" s="943">
        <f>comparaison_samebasis_villages[[#This Row],[previous idp_ind]]-comparaison_samebasis_villages[[#This Row],[actual idp_ind]]</f>
        <v>0</v>
      </c>
      <c r="AH530" s="943">
        <f>comparaison_samebasis_villages[[#This Row],[previous ref_ind]]-comparaison_samebasis_villages[[#This Row],[actual ref_ind]]</f>
        <v>0</v>
      </c>
      <c r="AI530" s="943">
        <f>comparaison_samebasis_villages[[#This Row],[previous ret_ind]]-comparaison_samebasis_villages[[#This Row],[actual ret_ind]]</f>
        <v>245</v>
      </c>
    </row>
    <row r="531" spans="1:35" ht="15.75" customHeight="1" x14ac:dyDescent="0.3">
      <c r="A531" s="401" t="s">
        <v>31</v>
      </c>
      <c r="B531" s="401" t="s">
        <v>31</v>
      </c>
      <c r="C531" s="401" t="s">
        <v>169</v>
      </c>
      <c r="D531" s="401" t="s">
        <v>169</v>
      </c>
      <c r="E531" s="401" t="s">
        <v>2872</v>
      </c>
      <c r="F531" s="5" t="s">
        <v>2261</v>
      </c>
      <c r="G531" s="401"/>
      <c r="H531" s="1093" t="s">
        <v>511</v>
      </c>
      <c r="I531" s="1216" t="s">
        <v>3111</v>
      </c>
      <c r="J531" s="403">
        <v>64</v>
      </c>
      <c r="K531" s="403">
        <v>500</v>
      </c>
      <c r="L531" s="1093" t="s">
        <v>365</v>
      </c>
      <c r="M531" s="401"/>
      <c r="O531" s="404" t="s">
        <v>31</v>
      </c>
      <c r="P531" s="404" t="s">
        <v>31</v>
      </c>
      <c r="Q531" s="404" t="s">
        <v>169</v>
      </c>
      <c r="R531" s="404" t="s">
        <v>169</v>
      </c>
      <c r="S531" s="404" t="s">
        <v>3087</v>
      </c>
      <c r="T531" s="404" t="s">
        <v>3205</v>
      </c>
      <c r="U531" s="941">
        <v>0</v>
      </c>
      <c r="V531" s="941">
        <v>0</v>
      </c>
      <c r="W531" s="941">
        <v>0</v>
      </c>
      <c r="X531" s="941">
        <v>0</v>
      </c>
      <c r="Y531" s="941">
        <v>28</v>
      </c>
      <c r="Z531" s="941">
        <v>28</v>
      </c>
      <c r="AA531" s="942">
        <v>0</v>
      </c>
      <c r="AB531" s="942">
        <v>0</v>
      </c>
      <c r="AC531" s="942">
        <v>0</v>
      </c>
      <c r="AD531" s="942">
        <v>0</v>
      </c>
      <c r="AE531" s="942">
        <v>28</v>
      </c>
      <c r="AF531" s="942">
        <v>208</v>
      </c>
      <c r="AG531" s="943">
        <f>comparaison_samebasis_villages[[#This Row],[previous idp_ind]]-comparaison_samebasis_villages[[#This Row],[actual idp_ind]]</f>
        <v>0</v>
      </c>
      <c r="AH531" s="943">
        <f>comparaison_samebasis_villages[[#This Row],[previous ref_ind]]-comparaison_samebasis_villages[[#This Row],[actual ref_ind]]</f>
        <v>0</v>
      </c>
      <c r="AI531" s="943">
        <f>comparaison_samebasis_villages[[#This Row],[previous ret_ind]]-comparaison_samebasis_villages[[#This Row],[actual ret_ind]]</f>
        <v>180</v>
      </c>
    </row>
    <row r="532" spans="1:35" ht="15.75" customHeight="1" x14ac:dyDescent="0.3">
      <c r="A532" s="401" t="s">
        <v>31</v>
      </c>
      <c r="B532" s="401" t="s">
        <v>31</v>
      </c>
      <c r="C532" s="401" t="s">
        <v>169</v>
      </c>
      <c r="D532" s="401" t="s">
        <v>169</v>
      </c>
      <c r="E532" s="401" t="s">
        <v>3203</v>
      </c>
      <c r="F532" s="5" t="s">
        <v>3072</v>
      </c>
      <c r="G532" s="401"/>
      <c r="H532" s="1093" t="s">
        <v>511</v>
      </c>
      <c r="I532" s="1216" t="s">
        <v>3111</v>
      </c>
      <c r="J532" s="403">
        <v>46</v>
      </c>
      <c r="K532" s="403">
        <v>300</v>
      </c>
      <c r="L532" s="1093" t="s">
        <v>365</v>
      </c>
      <c r="M532" s="401"/>
      <c r="O532" s="404" t="s">
        <v>31</v>
      </c>
      <c r="P532" s="404" t="s">
        <v>31</v>
      </c>
      <c r="Q532" s="404" t="s">
        <v>169</v>
      </c>
      <c r="R532" s="404" t="s">
        <v>169</v>
      </c>
      <c r="S532" s="404" t="s">
        <v>3085</v>
      </c>
      <c r="T532" s="404" t="s">
        <v>3209</v>
      </c>
      <c r="U532" s="941">
        <v>0</v>
      </c>
      <c r="V532" s="941">
        <v>0</v>
      </c>
      <c r="W532" s="941">
        <v>0</v>
      </c>
      <c r="X532" s="941">
        <v>0</v>
      </c>
      <c r="Y532" s="941">
        <v>47</v>
      </c>
      <c r="Z532" s="941">
        <v>47</v>
      </c>
      <c r="AA532" s="942">
        <v>0</v>
      </c>
      <c r="AB532" s="942">
        <v>0</v>
      </c>
      <c r="AC532" s="942">
        <v>0</v>
      </c>
      <c r="AD532" s="942">
        <v>0</v>
      </c>
      <c r="AE532" s="942">
        <v>47</v>
      </c>
      <c r="AF532" s="942">
        <v>211</v>
      </c>
      <c r="AG532" s="943">
        <f>comparaison_samebasis_villages[[#This Row],[previous idp_ind]]-comparaison_samebasis_villages[[#This Row],[actual idp_ind]]</f>
        <v>0</v>
      </c>
      <c r="AH532" s="943">
        <f>comparaison_samebasis_villages[[#This Row],[previous ref_ind]]-comparaison_samebasis_villages[[#This Row],[actual ref_ind]]</f>
        <v>0</v>
      </c>
      <c r="AI532" s="943">
        <f>comparaison_samebasis_villages[[#This Row],[previous ret_ind]]-comparaison_samebasis_villages[[#This Row],[actual ret_ind]]</f>
        <v>164</v>
      </c>
    </row>
    <row r="533" spans="1:35" ht="15.75" customHeight="1" x14ac:dyDescent="0.3">
      <c r="A533" s="401" t="s">
        <v>31</v>
      </c>
      <c r="B533" s="401" t="s">
        <v>31</v>
      </c>
      <c r="C533" s="401" t="s">
        <v>169</v>
      </c>
      <c r="D533" s="401" t="s">
        <v>169</v>
      </c>
      <c r="E533" s="401" t="s">
        <v>3226</v>
      </c>
      <c r="F533" s="5" t="s">
        <v>3071</v>
      </c>
      <c r="G533" s="401"/>
      <c r="H533" s="1093" t="s">
        <v>511</v>
      </c>
      <c r="I533" s="1216" t="s">
        <v>3111</v>
      </c>
      <c r="J533" s="403">
        <v>44</v>
      </c>
      <c r="K533" s="403">
        <v>352</v>
      </c>
      <c r="L533" s="1093" t="s">
        <v>365</v>
      </c>
      <c r="M533" s="401"/>
      <c r="O533" s="404" t="s">
        <v>31</v>
      </c>
      <c r="P533" s="404" t="s">
        <v>31</v>
      </c>
      <c r="Q533" s="404" t="s">
        <v>169</v>
      </c>
      <c r="R533" s="404" t="s">
        <v>169</v>
      </c>
      <c r="S533" s="404" t="s">
        <v>3086</v>
      </c>
      <c r="T533" s="404" t="s">
        <v>3210</v>
      </c>
      <c r="U533" s="941">
        <v>0</v>
      </c>
      <c r="V533" s="941">
        <v>0</v>
      </c>
      <c r="W533" s="941">
        <v>0</v>
      </c>
      <c r="X533" s="941">
        <v>0</v>
      </c>
      <c r="Y533" s="941">
        <v>46</v>
      </c>
      <c r="Z533" s="941">
        <v>46</v>
      </c>
      <c r="AA533" s="942">
        <v>0</v>
      </c>
      <c r="AB533" s="942">
        <v>0</v>
      </c>
      <c r="AC533" s="942">
        <v>0</v>
      </c>
      <c r="AD533" s="942">
        <v>0</v>
      </c>
      <c r="AE533" s="942">
        <v>46</v>
      </c>
      <c r="AF533" s="942">
        <v>200</v>
      </c>
      <c r="AG533" s="943">
        <f>comparaison_samebasis_villages[[#This Row],[previous idp_ind]]-comparaison_samebasis_villages[[#This Row],[actual idp_ind]]</f>
        <v>0</v>
      </c>
      <c r="AH533" s="943">
        <f>comparaison_samebasis_villages[[#This Row],[previous ref_ind]]-comparaison_samebasis_villages[[#This Row],[actual ref_ind]]</f>
        <v>0</v>
      </c>
      <c r="AI533" s="943">
        <f>comparaison_samebasis_villages[[#This Row],[previous ret_ind]]-comparaison_samebasis_villages[[#This Row],[actual ret_ind]]</f>
        <v>154</v>
      </c>
    </row>
    <row r="534" spans="1:35" ht="15.75" customHeight="1" x14ac:dyDescent="0.3">
      <c r="A534" s="401" t="s">
        <v>31</v>
      </c>
      <c r="B534" s="401" t="s">
        <v>31</v>
      </c>
      <c r="C534" s="401" t="s">
        <v>169</v>
      </c>
      <c r="D534" s="401" t="s">
        <v>169</v>
      </c>
      <c r="E534" s="401" t="s">
        <v>3226</v>
      </c>
      <c r="F534" s="5" t="s">
        <v>3071</v>
      </c>
      <c r="G534" s="401"/>
      <c r="H534" s="1093" t="s">
        <v>511</v>
      </c>
      <c r="I534" s="1216" t="s">
        <v>3112</v>
      </c>
      <c r="J534" s="403">
        <v>2</v>
      </c>
      <c r="K534" s="403">
        <v>8</v>
      </c>
      <c r="L534" s="1093" t="s">
        <v>367</v>
      </c>
      <c r="M534" s="401"/>
      <c r="O534" s="404" t="s">
        <v>31</v>
      </c>
      <c r="P534" s="404" t="s">
        <v>31</v>
      </c>
      <c r="Q534" s="404" t="s">
        <v>169</v>
      </c>
      <c r="R534" s="404" t="s">
        <v>169</v>
      </c>
      <c r="S534" s="404" t="s">
        <v>3079</v>
      </c>
      <c r="T534" s="404" t="s">
        <v>3212</v>
      </c>
      <c r="U534" s="941">
        <v>0</v>
      </c>
      <c r="V534" s="941">
        <v>0</v>
      </c>
      <c r="W534" s="941">
        <v>0</v>
      </c>
      <c r="X534" s="941">
        <v>0</v>
      </c>
      <c r="Y534" s="941">
        <v>0</v>
      </c>
      <c r="Z534" s="941">
        <v>0</v>
      </c>
      <c r="AA534" s="942">
        <v>0</v>
      </c>
      <c r="AB534" s="942">
        <v>0</v>
      </c>
      <c r="AC534" s="942">
        <v>0</v>
      </c>
      <c r="AD534" s="942">
        <v>0</v>
      </c>
      <c r="AE534" s="942">
        <v>60</v>
      </c>
      <c r="AF534" s="942">
        <v>200</v>
      </c>
      <c r="AG534" s="943">
        <f>comparaison_samebasis_villages[[#This Row],[previous idp_ind]]-comparaison_samebasis_villages[[#This Row],[actual idp_ind]]</f>
        <v>0</v>
      </c>
      <c r="AH534" s="943">
        <f>comparaison_samebasis_villages[[#This Row],[previous ref_ind]]-comparaison_samebasis_villages[[#This Row],[actual ref_ind]]</f>
        <v>0</v>
      </c>
      <c r="AI534" s="943">
        <f>comparaison_samebasis_villages[[#This Row],[previous ret_ind]]-comparaison_samebasis_villages[[#This Row],[actual ret_ind]]</f>
        <v>200</v>
      </c>
    </row>
    <row r="535" spans="1:35" ht="15.75" customHeight="1" x14ac:dyDescent="0.3">
      <c r="A535" s="401" t="s">
        <v>31</v>
      </c>
      <c r="B535" s="401" t="s">
        <v>31</v>
      </c>
      <c r="C535" s="401" t="s">
        <v>169</v>
      </c>
      <c r="D535" s="401" t="s">
        <v>169</v>
      </c>
      <c r="E535" s="401" t="s">
        <v>1472</v>
      </c>
      <c r="F535" s="5" t="s">
        <v>2376</v>
      </c>
      <c r="G535" s="401"/>
      <c r="H535" s="1093" t="s">
        <v>511</v>
      </c>
      <c r="I535" s="1216" t="s">
        <v>3111</v>
      </c>
      <c r="J535" s="403">
        <v>201</v>
      </c>
      <c r="K535" s="403">
        <v>1500</v>
      </c>
      <c r="L535" s="1093" t="s">
        <v>367</v>
      </c>
      <c r="M535" s="401"/>
      <c r="O535" s="404" t="s">
        <v>31</v>
      </c>
      <c r="P535" s="404" t="s">
        <v>31</v>
      </c>
      <c r="Q535" s="404" t="s">
        <v>169</v>
      </c>
      <c r="R535" s="404" t="s">
        <v>169</v>
      </c>
      <c r="S535" s="404" t="s">
        <v>3073</v>
      </c>
      <c r="T535" s="404" t="s">
        <v>3217</v>
      </c>
      <c r="U535" s="941">
        <v>0</v>
      </c>
      <c r="V535" s="941">
        <v>0</v>
      </c>
      <c r="W535" s="941">
        <v>0</v>
      </c>
      <c r="X535" s="941">
        <v>0</v>
      </c>
      <c r="Y535" s="941">
        <v>19</v>
      </c>
      <c r="Z535" s="941">
        <v>19</v>
      </c>
      <c r="AA535" s="942">
        <v>0</v>
      </c>
      <c r="AB535" s="942">
        <v>0</v>
      </c>
      <c r="AC535" s="942">
        <v>0</v>
      </c>
      <c r="AD535" s="942">
        <v>0</v>
      </c>
      <c r="AE535" s="942">
        <v>19</v>
      </c>
      <c r="AF535" s="942">
        <v>100</v>
      </c>
      <c r="AG535" s="943">
        <f>comparaison_samebasis_villages[[#This Row],[previous idp_ind]]-comparaison_samebasis_villages[[#This Row],[actual idp_ind]]</f>
        <v>0</v>
      </c>
      <c r="AH535" s="943">
        <f>comparaison_samebasis_villages[[#This Row],[previous ref_ind]]-comparaison_samebasis_villages[[#This Row],[actual ref_ind]]</f>
        <v>0</v>
      </c>
      <c r="AI535" s="943">
        <f>comparaison_samebasis_villages[[#This Row],[previous ret_ind]]-comparaison_samebasis_villages[[#This Row],[actual ret_ind]]</f>
        <v>81</v>
      </c>
    </row>
    <row r="536" spans="1:35" ht="15.75" customHeight="1" x14ac:dyDescent="0.3">
      <c r="A536" s="401" t="s">
        <v>31</v>
      </c>
      <c r="B536" s="401" t="s">
        <v>31</v>
      </c>
      <c r="C536" s="401" t="s">
        <v>169</v>
      </c>
      <c r="D536" s="401" t="s">
        <v>169</v>
      </c>
      <c r="E536" s="401" t="s">
        <v>1472</v>
      </c>
      <c r="F536" s="5" t="s">
        <v>2376</v>
      </c>
      <c r="G536" s="401"/>
      <c r="H536" s="1093" t="s">
        <v>511</v>
      </c>
      <c r="I536" s="1216" t="s">
        <v>3112</v>
      </c>
      <c r="J536" s="403">
        <v>3</v>
      </c>
      <c r="K536" s="403">
        <v>10</v>
      </c>
      <c r="L536" s="1093" t="s">
        <v>365</v>
      </c>
      <c r="M536" s="401"/>
      <c r="O536" s="404" t="s">
        <v>31</v>
      </c>
      <c r="P536" s="404" t="s">
        <v>31</v>
      </c>
      <c r="Q536" s="404" t="s">
        <v>169</v>
      </c>
      <c r="R536" s="404" t="s">
        <v>169</v>
      </c>
      <c r="S536" s="404" t="s">
        <v>3067</v>
      </c>
      <c r="T536" s="404" t="s">
        <v>3222</v>
      </c>
      <c r="U536" s="941">
        <v>0</v>
      </c>
      <c r="V536" s="941">
        <v>0</v>
      </c>
      <c r="W536" s="941">
        <v>0</v>
      </c>
      <c r="X536" s="941">
        <v>0</v>
      </c>
      <c r="Y536" s="941">
        <v>35</v>
      </c>
      <c r="Z536" s="941">
        <v>35</v>
      </c>
      <c r="AA536" s="942">
        <v>0</v>
      </c>
      <c r="AB536" s="942">
        <v>0</v>
      </c>
      <c r="AC536" s="942">
        <v>0</v>
      </c>
      <c r="AD536" s="942">
        <v>0</v>
      </c>
      <c r="AE536" s="942">
        <v>35</v>
      </c>
      <c r="AF536" s="942">
        <v>350</v>
      </c>
      <c r="AG536" s="943">
        <f>comparaison_samebasis_villages[[#This Row],[previous idp_ind]]-comparaison_samebasis_villages[[#This Row],[actual idp_ind]]</f>
        <v>0</v>
      </c>
      <c r="AH536" s="943">
        <f>comparaison_samebasis_villages[[#This Row],[previous ref_ind]]-comparaison_samebasis_villages[[#This Row],[actual ref_ind]]</f>
        <v>0</v>
      </c>
      <c r="AI536" s="943">
        <f>comparaison_samebasis_villages[[#This Row],[previous ret_ind]]-comparaison_samebasis_villages[[#This Row],[actual ret_ind]]</f>
        <v>315</v>
      </c>
    </row>
    <row r="537" spans="1:35" ht="15.75" customHeight="1" x14ac:dyDescent="0.3">
      <c r="A537" s="401" t="s">
        <v>31</v>
      </c>
      <c r="B537" s="401" t="s">
        <v>31</v>
      </c>
      <c r="C537" s="401" t="s">
        <v>169</v>
      </c>
      <c r="D537" s="401" t="s">
        <v>169</v>
      </c>
      <c r="E537" s="401" t="s">
        <v>2939</v>
      </c>
      <c r="F537" s="5" t="s">
        <v>2296</v>
      </c>
      <c r="G537" s="401"/>
      <c r="H537" s="1093" t="s">
        <v>511</v>
      </c>
      <c r="I537" s="1216" t="s">
        <v>3111</v>
      </c>
      <c r="J537" s="403">
        <v>56</v>
      </c>
      <c r="K537" s="403">
        <v>247</v>
      </c>
      <c r="L537" s="1093" t="s">
        <v>365</v>
      </c>
      <c r="M537" s="401"/>
      <c r="O537" s="404" t="s">
        <v>31</v>
      </c>
      <c r="P537" s="404" t="s">
        <v>31</v>
      </c>
      <c r="Q537" s="404" t="s">
        <v>169</v>
      </c>
      <c r="R537" s="404" t="s">
        <v>169</v>
      </c>
      <c r="S537" s="404" t="s">
        <v>3066</v>
      </c>
      <c r="T537" s="404" t="s">
        <v>3223</v>
      </c>
      <c r="U537" s="941">
        <v>0</v>
      </c>
      <c r="V537" s="941">
        <v>0</v>
      </c>
      <c r="W537" s="941">
        <v>0</v>
      </c>
      <c r="X537" s="941">
        <v>0</v>
      </c>
      <c r="Y537" s="941">
        <v>0</v>
      </c>
      <c r="Z537" s="941">
        <v>0</v>
      </c>
      <c r="AA537" s="942">
        <v>0</v>
      </c>
      <c r="AB537" s="942">
        <v>0</v>
      </c>
      <c r="AC537" s="942">
        <v>0</v>
      </c>
      <c r="AD537" s="942">
        <v>0</v>
      </c>
      <c r="AE537" s="942">
        <v>60</v>
      </c>
      <c r="AF537" s="942">
        <v>300</v>
      </c>
      <c r="AG537" s="943">
        <f>comparaison_samebasis_villages[[#This Row],[previous idp_ind]]-comparaison_samebasis_villages[[#This Row],[actual idp_ind]]</f>
        <v>0</v>
      </c>
      <c r="AH537" s="943">
        <f>comparaison_samebasis_villages[[#This Row],[previous ref_ind]]-comparaison_samebasis_villages[[#This Row],[actual ref_ind]]</f>
        <v>0</v>
      </c>
      <c r="AI537" s="943">
        <f>comparaison_samebasis_villages[[#This Row],[previous ret_ind]]-comparaison_samebasis_villages[[#This Row],[actual ret_ind]]</f>
        <v>300</v>
      </c>
    </row>
    <row r="538" spans="1:35" ht="15.75" customHeight="1" x14ac:dyDescent="0.3">
      <c r="A538" s="401" t="s">
        <v>31</v>
      </c>
      <c r="B538" s="401" t="s">
        <v>31</v>
      </c>
      <c r="C538" s="401" t="s">
        <v>169</v>
      </c>
      <c r="D538" s="401" t="s">
        <v>169</v>
      </c>
      <c r="E538" s="401" t="s">
        <v>2881</v>
      </c>
      <c r="F538" s="5" t="s">
        <v>2314</v>
      </c>
      <c r="G538" s="401"/>
      <c r="H538" s="1093" t="s">
        <v>511</v>
      </c>
      <c r="I538" s="1216" t="s">
        <v>3111</v>
      </c>
      <c r="J538" s="403">
        <v>37</v>
      </c>
      <c r="K538" s="403">
        <v>189</v>
      </c>
      <c r="L538" s="1093" t="s">
        <v>365</v>
      </c>
      <c r="M538" s="401"/>
      <c r="O538" s="404" t="s">
        <v>31</v>
      </c>
      <c r="P538" s="404" t="s">
        <v>31</v>
      </c>
      <c r="Q538" s="404" t="s">
        <v>169</v>
      </c>
      <c r="R538" s="404" t="s">
        <v>169</v>
      </c>
      <c r="S538" s="404" t="s">
        <v>3071</v>
      </c>
      <c r="T538" s="404" t="s">
        <v>3226</v>
      </c>
      <c r="U538" s="941">
        <v>0</v>
      </c>
      <c r="V538" s="941">
        <v>0</v>
      </c>
      <c r="W538" s="941">
        <v>0</v>
      </c>
      <c r="X538" s="941">
        <v>0</v>
      </c>
      <c r="Y538" s="941">
        <v>46</v>
      </c>
      <c r="Z538" s="941">
        <v>46</v>
      </c>
      <c r="AA538" s="942">
        <v>0</v>
      </c>
      <c r="AB538" s="942">
        <v>0</v>
      </c>
      <c r="AC538" s="942">
        <v>0</v>
      </c>
      <c r="AD538" s="942">
        <v>0</v>
      </c>
      <c r="AE538" s="942">
        <v>46</v>
      </c>
      <c r="AF538" s="942">
        <v>360</v>
      </c>
      <c r="AG538" s="943">
        <f>comparaison_samebasis_villages[[#This Row],[previous idp_ind]]-comparaison_samebasis_villages[[#This Row],[actual idp_ind]]</f>
        <v>0</v>
      </c>
      <c r="AH538" s="943">
        <f>comparaison_samebasis_villages[[#This Row],[previous ref_ind]]-comparaison_samebasis_villages[[#This Row],[actual ref_ind]]</f>
        <v>0</v>
      </c>
      <c r="AI538" s="943">
        <f>comparaison_samebasis_villages[[#This Row],[previous ret_ind]]-comparaison_samebasis_villages[[#This Row],[actual ret_ind]]</f>
        <v>314</v>
      </c>
    </row>
    <row r="539" spans="1:35" ht="15.75" customHeight="1" x14ac:dyDescent="0.3">
      <c r="A539" s="401" t="s">
        <v>35</v>
      </c>
      <c r="B539" s="401" t="s">
        <v>35</v>
      </c>
      <c r="C539" s="1126" t="s">
        <v>193</v>
      </c>
      <c r="D539" s="1126" t="s">
        <v>3983</v>
      </c>
      <c r="E539" s="401" t="s">
        <v>2902</v>
      </c>
      <c r="F539" s="5" t="s">
        <v>1643</v>
      </c>
      <c r="G539" s="401"/>
      <c r="H539" s="1093" t="s">
        <v>511</v>
      </c>
      <c r="I539" s="1216" t="s">
        <v>3033</v>
      </c>
      <c r="J539" s="403">
        <v>16</v>
      </c>
      <c r="K539" s="403">
        <v>126</v>
      </c>
      <c r="L539" s="1093" t="s">
        <v>367</v>
      </c>
      <c r="M539" s="401"/>
      <c r="O539" s="404" t="s">
        <v>31</v>
      </c>
      <c r="P539" s="404" t="s">
        <v>31</v>
      </c>
      <c r="Q539" s="404" t="s">
        <v>169</v>
      </c>
      <c r="R539" s="404" t="s">
        <v>169</v>
      </c>
      <c r="S539" s="404" t="s">
        <v>3083</v>
      </c>
      <c r="T539" s="404" t="s">
        <v>3319</v>
      </c>
      <c r="U539" s="941">
        <v>0</v>
      </c>
      <c r="V539" s="941">
        <v>0</v>
      </c>
      <c r="W539" s="941">
        <v>0</v>
      </c>
      <c r="X539" s="941">
        <v>0</v>
      </c>
      <c r="Y539" s="941">
        <v>10</v>
      </c>
      <c r="Z539" s="941">
        <v>10</v>
      </c>
      <c r="AA539" s="942">
        <v>0</v>
      </c>
      <c r="AB539" s="942">
        <v>0</v>
      </c>
      <c r="AC539" s="942">
        <v>0</v>
      </c>
      <c r="AD539" s="942">
        <v>0</v>
      </c>
      <c r="AE539" s="942">
        <v>10</v>
      </c>
      <c r="AF539" s="942">
        <v>61</v>
      </c>
      <c r="AG539" s="943">
        <f>comparaison_samebasis_villages[[#This Row],[previous idp_ind]]-comparaison_samebasis_villages[[#This Row],[actual idp_ind]]</f>
        <v>0</v>
      </c>
      <c r="AH539" s="943">
        <f>comparaison_samebasis_villages[[#This Row],[previous ref_ind]]-comparaison_samebasis_villages[[#This Row],[actual ref_ind]]</f>
        <v>0</v>
      </c>
      <c r="AI539" s="943">
        <f>comparaison_samebasis_villages[[#This Row],[previous ret_ind]]-comparaison_samebasis_villages[[#This Row],[actual ret_ind]]</f>
        <v>51</v>
      </c>
    </row>
    <row r="540" spans="1:35" ht="15.75" customHeight="1" x14ac:dyDescent="0.3">
      <c r="A540" s="401" t="s">
        <v>31</v>
      </c>
      <c r="B540" s="401" t="s">
        <v>31</v>
      </c>
      <c r="C540" s="1126" t="s">
        <v>169</v>
      </c>
      <c r="D540" s="1126" t="s">
        <v>169</v>
      </c>
      <c r="E540" s="401" t="s">
        <v>2842</v>
      </c>
      <c r="F540" s="5" t="s">
        <v>2338</v>
      </c>
      <c r="G540" s="401"/>
      <c r="H540" s="1093" t="s">
        <v>511</v>
      </c>
      <c r="I540" s="1216" t="s">
        <v>3111</v>
      </c>
      <c r="J540" s="403">
        <v>122</v>
      </c>
      <c r="K540" s="403">
        <v>800</v>
      </c>
      <c r="L540" s="1093" t="s">
        <v>365</v>
      </c>
      <c r="M540" s="401"/>
      <c r="O540" s="404" t="s">
        <v>31</v>
      </c>
      <c r="P540" s="404" t="s">
        <v>31</v>
      </c>
      <c r="Q540" s="404" t="s">
        <v>169</v>
      </c>
      <c r="R540" s="404" t="s">
        <v>169</v>
      </c>
      <c r="S540" s="404" t="s">
        <v>3084</v>
      </c>
      <c r="T540" s="404" t="s">
        <v>3320</v>
      </c>
      <c r="U540" s="941">
        <v>0</v>
      </c>
      <c r="V540" s="941">
        <v>0</v>
      </c>
      <c r="W540" s="941">
        <v>0</v>
      </c>
      <c r="X540" s="941">
        <v>0</v>
      </c>
      <c r="Y540" s="941">
        <v>20</v>
      </c>
      <c r="Z540" s="941">
        <v>20</v>
      </c>
      <c r="AA540" s="942">
        <v>0</v>
      </c>
      <c r="AB540" s="942">
        <v>0</v>
      </c>
      <c r="AC540" s="942">
        <v>0</v>
      </c>
      <c r="AD540" s="942">
        <v>0</v>
      </c>
      <c r="AE540" s="942">
        <v>20</v>
      </c>
      <c r="AF540" s="942">
        <v>95</v>
      </c>
      <c r="AG540" s="943">
        <f>comparaison_samebasis_villages[[#This Row],[previous idp_ind]]-comparaison_samebasis_villages[[#This Row],[actual idp_ind]]</f>
        <v>0</v>
      </c>
      <c r="AH540" s="943">
        <f>comparaison_samebasis_villages[[#This Row],[previous ref_ind]]-comparaison_samebasis_villages[[#This Row],[actual ref_ind]]</f>
        <v>0</v>
      </c>
      <c r="AI540" s="943">
        <f>comparaison_samebasis_villages[[#This Row],[previous ret_ind]]-comparaison_samebasis_villages[[#This Row],[actual ret_ind]]</f>
        <v>75</v>
      </c>
    </row>
    <row r="541" spans="1:35" ht="15.75" customHeight="1" x14ac:dyDescent="0.3">
      <c r="A541" s="401" t="s">
        <v>31</v>
      </c>
      <c r="B541" s="401" t="s">
        <v>31</v>
      </c>
      <c r="C541" s="401" t="s">
        <v>169</v>
      </c>
      <c r="D541" s="401" t="s">
        <v>169</v>
      </c>
      <c r="E541" s="401" t="s">
        <v>3222</v>
      </c>
      <c r="F541" s="5" t="s">
        <v>3067</v>
      </c>
      <c r="G541" s="401"/>
      <c r="H541" s="1093" t="s">
        <v>511</v>
      </c>
      <c r="I541" s="1216" t="s">
        <v>3111</v>
      </c>
      <c r="J541" s="403">
        <v>35</v>
      </c>
      <c r="K541" s="403">
        <v>350</v>
      </c>
      <c r="L541" s="1093" t="s">
        <v>365</v>
      </c>
      <c r="M541" s="401"/>
      <c r="O541" s="399" t="s">
        <v>32</v>
      </c>
      <c r="P541" s="399" t="s">
        <v>32</v>
      </c>
      <c r="Q541" s="399" t="s">
        <v>178</v>
      </c>
      <c r="R541" s="399" t="s">
        <v>178</v>
      </c>
      <c r="S541" s="399" t="s">
        <v>1719</v>
      </c>
      <c r="T541" s="399" t="s">
        <v>1718</v>
      </c>
      <c r="U541" s="941">
        <v>31</v>
      </c>
      <c r="V541" s="941">
        <v>171</v>
      </c>
      <c r="W541" s="941">
        <v>0</v>
      </c>
      <c r="X541" s="941">
        <v>0</v>
      </c>
      <c r="Y541" s="941">
        <v>0</v>
      </c>
      <c r="Z541" s="941">
        <v>0</v>
      </c>
      <c r="AA541" s="942">
        <v>31</v>
      </c>
      <c r="AB541" s="942">
        <v>166</v>
      </c>
      <c r="AC541" s="942">
        <v>0</v>
      </c>
      <c r="AD541" s="942">
        <v>0</v>
      </c>
      <c r="AE541" s="942">
        <v>0</v>
      </c>
      <c r="AF541" s="942">
        <v>0</v>
      </c>
      <c r="AG541" s="943">
        <f>comparaison_samebasis_villages[[#This Row],[previous idp_ind]]-comparaison_samebasis_villages[[#This Row],[actual idp_ind]]</f>
        <v>-5</v>
      </c>
      <c r="AH541" s="943">
        <f>comparaison_samebasis_villages[[#This Row],[previous ref_ind]]-comparaison_samebasis_villages[[#This Row],[actual ref_ind]]</f>
        <v>0</v>
      </c>
      <c r="AI541" s="943">
        <f>comparaison_samebasis_villages[[#This Row],[previous ret_ind]]-comparaison_samebasis_villages[[#This Row],[actual ret_ind]]</f>
        <v>0</v>
      </c>
    </row>
    <row r="542" spans="1:35" ht="15.75" customHeight="1" x14ac:dyDescent="0.3">
      <c r="A542" s="401" t="s">
        <v>31</v>
      </c>
      <c r="B542" s="401" t="s">
        <v>31</v>
      </c>
      <c r="C542" s="401" t="s">
        <v>169</v>
      </c>
      <c r="D542" s="401" t="s">
        <v>169</v>
      </c>
      <c r="E542" s="401" t="s">
        <v>3222</v>
      </c>
      <c r="F542" s="5" t="s">
        <v>3067</v>
      </c>
      <c r="G542" s="401"/>
      <c r="H542" s="1093" t="s">
        <v>511</v>
      </c>
      <c r="I542" s="1216" t="s">
        <v>3112</v>
      </c>
      <c r="J542" s="403">
        <v>0</v>
      </c>
      <c r="K542" s="403">
        <v>10</v>
      </c>
      <c r="L542" s="1093" t="s">
        <v>365</v>
      </c>
      <c r="M542" s="401"/>
      <c r="O542" s="404" t="s">
        <v>32</v>
      </c>
      <c r="P542" s="404" t="s">
        <v>32</v>
      </c>
      <c r="Q542" s="404" t="s">
        <v>178</v>
      </c>
      <c r="R542" s="404" t="s">
        <v>178</v>
      </c>
      <c r="S542" s="404" t="s">
        <v>762</v>
      </c>
      <c r="T542" s="404" t="s">
        <v>761</v>
      </c>
      <c r="U542" s="941">
        <v>102</v>
      </c>
      <c r="V542" s="941">
        <v>1670</v>
      </c>
      <c r="W542" s="941">
        <v>0</v>
      </c>
      <c r="X542" s="941">
        <v>0</v>
      </c>
      <c r="Y542" s="941">
        <v>0</v>
      </c>
      <c r="Z542" s="941">
        <v>0</v>
      </c>
      <c r="AA542" s="942">
        <v>102</v>
      </c>
      <c r="AB542" s="942">
        <v>1651</v>
      </c>
      <c r="AC542" s="942">
        <v>0</v>
      </c>
      <c r="AD542" s="942">
        <v>0</v>
      </c>
      <c r="AE542" s="942">
        <v>0</v>
      </c>
      <c r="AF542" s="942">
        <v>0</v>
      </c>
      <c r="AG542" s="943">
        <f>comparaison_samebasis_villages[[#This Row],[previous idp_ind]]-comparaison_samebasis_villages[[#This Row],[actual idp_ind]]</f>
        <v>-19</v>
      </c>
      <c r="AH542" s="943">
        <f>comparaison_samebasis_villages[[#This Row],[previous ref_ind]]-comparaison_samebasis_villages[[#This Row],[actual ref_ind]]</f>
        <v>0</v>
      </c>
      <c r="AI542" s="943">
        <f>comparaison_samebasis_villages[[#This Row],[previous ret_ind]]-comparaison_samebasis_villages[[#This Row],[actual ret_ind]]</f>
        <v>0</v>
      </c>
    </row>
    <row r="543" spans="1:35" ht="15.75" customHeight="1" x14ac:dyDescent="0.3">
      <c r="A543" s="401" t="s">
        <v>32</v>
      </c>
      <c r="B543" s="401" t="s">
        <v>32</v>
      </c>
      <c r="C543" s="1126" t="s">
        <v>176</v>
      </c>
      <c r="D543" s="1126" t="s">
        <v>176</v>
      </c>
      <c r="E543" s="401" t="s">
        <v>1210</v>
      </c>
      <c r="F543" s="5" t="s">
        <v>1211</v>
      </c>
      <c r="G543" s="401"/>
      <c r="H543" s="1093" t="s">
        <v>511</v>
      </c>
      <c r="I543" s="1216" t="s">
        <v>3112</v>
      </c>
      <c r="J543" s="403">
        <v>16</v>
      </c>
      <c r="K543" s="403">
        <v>128</v>
      </c>
      <c r="L543" s="1093" t="s">
        <v>365</v>
      </c>
      <c r="M543" s="401"/>
      <c r="O543" s="404" t="s">
        <v>32</v>
      </c>
      <c r="P543" s="404" t="s">
        <v>32</v>
      </c>
      <c r="Q543" s="404" t="s">
        <v>178</v>
      </c>
      <c r="R543" s="404" t="s">
        <v>178</v>
      </c>
      <c r="S543" s="404" t="s">
        <v>545</v>
      </c>
      <c r="T543" s="404" t="s">
        <v>544</v>
      </c>
      <c r="U543" s="941">
        <v>60</v>
      </c>
      <c r="V543" s="941">
        <v>560</v>
      </c>
      <c r="W543" s="941">
        <v>0</v>
      </c>
      <c r="X543" s="941">
        <v>0</v>
      </c>
      <c r="Y543" s="941">
        <v>38</v>
      </c>
      <c r="Z543" s="941">
        <v>38</v>
      </c>
      <c r="AA543" s="942">
        <v>60</v>
      </c>
      <c r="AB543" s="942">
        <v>556</v>
      </c>
      <c r="AC543" s="942">
        <v>0</v>
      </c>
      <c r="AD543" s="942">
        <v>0</v>
      </c>
      <c r="AE543" s="942">
        <v>15</v>
      </c>
      <c r="AF543" s="942">
        <v>90</v>
      </c>
      <c r="AG543" s="943">
        <f>comparaison_samebasis_villages[[#This Row],[previous idp_ind]]-comparaison_samebasis_villages[[#This Row],[actual idp_ind]]</f>
        <v>-4</v>
      </c>
      <c r="AH543" s="943">
        <f>comparaison_samebasis_villages[[#This Row],[previous ref_ind]]-comparaison_samebasis_villages[[#This Row],[actual ref_ind]]</f>
        <v>0</v>
      </c>
      <c r="AI543" s="943">
        <f>comparaison_samebasis_villages[[#This Row],[previous ret_ind]]-comparaison_samebasis_villages[[#This Row],[actual ret_ind]]</f>
        <v>52</v>
      </c>
    </row>
    <row r="544" spans="1:35" ht="15.75" customHeight="1" x14ac:dyDescent="0.3">
      <c r="A544" s="401" t="s">
        <v>32</v>
      </c>
      <c r="B544" s="401" t="s">
        <v>32</v>
      </c>
      <c r="C544" s="401" t="s">
        <v>176</v>
      </c>
      <c r="D544" s="401" t="s">
        <v>176</v>
      </c>
      <c r="E544" s="401" t="s">
        <v>1060</v>
      </c>
      <c r="F544" s="5" t="s">
        <v>1061</v>
      </c>
      <c r="G544" s="401"/>
      <c r="H544" s="1093" t="s">
        <v>511</v>
      </c>
      <c r="I544" s="1216" t="s">
        <v>3112</v>
      </c>
      <c r="J544" s="403">
        <v>45</v>
      </c>
      <c r="K544" s="403">
        <v>284</v>
      </c>
      <c r="L544" s="1093" t="s">
        <v>365</v>
      </c>
      <c r="M544" s="401"/>
      <c r="O544" s="404" t="s">
        <v>32</v>
      </c>
      <c r="P544" s="404" t="s">
        <v>32</v>
      </c>
      <c r="Q544" s="404" t="s">
        <v>178</v>
      </c>
      <c r="R544" s="404" t="s">
        <v>178</v>
      </c>
      <c r="S544" s="404" t="s">
        <v>1736</v>
      </c>
      <c r="T544" s="404" t="s">
        <v>1735</v>
      </c>
      <c r="U544" s="941">
        <v>46</v>
      </c>
      <c r="V544" s="941">
        <v>351</v>
      </c>
      <c r="W544" s="941">
        <v>0</v>
      </c>
      <c r="X544" s="941">
        <v>0</v>
      </c>
      <c r="Y544" s="941">
        <v>0</v>
      </c>
      <c r="Z544" s="941">
        <v>0</v>
      </c>
      <c r="AA544" s="942">
        <v>46</v>
      </c>
      <c r="AB544" s="942">
        <v>346</v>
      </c>
      <c r="AC544" s="942">
        <v>0</v>
      </c>
      <c r="AD544" s="942">
        <v>0</v>
      </c>
      <c r="AE544" s="942">
        <v>0</v>
      </c>
      <c r="AF544" s="942">
        <v>0</v>
      </c>
      <c r="AG544" s="943">
        <f>comparaison_samebasis_villages[[#This Row],[previous idp_ind]]-comparaison_samebasis_villages[[#This Row],[actual idp_ind]]</f>
        <v>-5</v>
      </c>
      <c r="AH544" s="943">
        <f>comparaison_samebasis_villages[[#This Row],[previous ref_ind]]-comparaison_samebasis_villages[[#This Row],[actual ref_ind]]</f>
        <v>0</v>
      </c>
      <c r="AI544" s="943">
        <f>comparaison_samebasis_villages[[#This Row],[previous ret_ind]]-comparaison_samebasis_villages[[#This Row],[actual ret_ind]]</f>
        <v>0</v>
      </c>
    </row>
    <row r="545" spans="1:35" ht="15.75" customHeight="1" x14ac:dyDescent="0.3">
      <c r="A545" s="401" t="s">
        <v>32</v>
      </c>
      <c r="B545" s="401" t="s">
        <v>32</v>
      </c>
      <c r="C545" s="401" t="s">
        <v>176</v>
      </c>
      <c r="D545" s="401" t="s">
        <v>176</v>
      </c>
      <c r="E545" s="401" t="s">
        <v>2281</v>
      </c>
      <c r="F545" s="5" t="s">
        <v>2282</v>
      </c>
      <c r="G545" s="401"/>
      <c r="H545" s="1093" t="s">
        <v>511</v>
      </c>
      <c r="I545" s="1216" t="s">
        <v>3112</v>
      </c>
      <c r="J545" s="403">
        <v>13</v>
      </c>
      <c r="K545" s="403">
        <v>111</v>
      </c>
      <c r="L545" s="1093" t="s">
        <v>365</v>
      </c>
      <c r="M545" s="401"/>
      <c r="O545" s="404" t="s">
        <v>32</v>
      </c>
      <c r="P545" s="404" t="s">
        <v>32</v>
      </c>
      <c r="Q545" s="404" t="s">
        <v>178</v>
      </c>
      <c r="R545" s="404" t="s">
        <v>178</v>
      </c>
      <c r="S545" s="404" t="s">
        <v>1018</v>
      </c>
      <c r="T545" s="404" t="s">
        <v>1017</v>
      </c>
      <c r="U545" s="941">
        <v>193</v>
      </c>
      <c r="V545" s="941">
        <v>1640</v>
      </c>
      <c r="W545" s="941">
        <v>0</v>
      </c>
      <c r="X545" s="941">
        <v>0</v>
      </c>
      <c r="Y545" s="941">
        <v>0</v>
      </c>
      <c r="Z545" s="941">
        <v>0</v>
      </c>
      <c r="AA545" s="942">
        <v>193</v>
      </c>
      <c r="AB545" s="942">
        <v>1622</v>
      </c>
      <c r="AC545" s="942">
        <v>0</v>
      </c>
      <c r="AD545" s="942">
        <v>0</v>
      </c>
      <c r="AE545" s="942">
        <v>0</v>
      </c>
      <c r="AF545" s="942">
        <v>0</v>
      </c>
      <c r="AG545" s="943">
        <f>comparaison_samebasis_villages[[#This Row],[previous idp_ind]]-comparaison_samebasis_villages[[#This Row],[actual idp_ind]]</f>
        <v>-18</v>
      </c>
      <c r="AH545" s="943">
        <f>comparaison_samebasis_villages[[#This Row],[previous ref_ind]]-comparaison_samebasis_villages[[#This Row],[actual ref_ind]]</f>
        <v>0</v>
      </c>
      <c r="AI545" s="943">
        <f>comparaison_samebasis_villages[[#This Row],[previous ret_ind]]-comparaison_samebasis_villages[[#This Row],[actual ret_ind]]</f>
        <v>0</v>
      </c>
    </row>
    <row r="546" spans="1:35" ht="15.75" customHeight="1" x14ac:dyDescent="0.3">
      <c r="A546" s="401" t="s">
        <v>32</v>
      </c>
      <c r="B546" s="401" t="s">
        <v>32</v>
      </c>
      <c r="C546" s="401" t="s">
        <v>176</v>
      </c>
      <c r="D546" s="401" t="s">
        <v>176</v>
      </c>
      <c r="E546" s="401" t="s">
        <v>1535</v>
      </c>
      <c r="F546" s="5" t="s">
        <v>1536</v>
      </c>
      <c r="G546" s="401"/>
      <c r="H546" s="1093" t="s">
        <v>511</v>
      </c>
      <c r="I546" s="1216" t="s">
        <v>3112</v>
      </c>
      <c r="J546" s="403">
        <v>11</v>
      </c>
      <c r="K546" s="403">
        <v>129</v>
      </c>
      <c r="L546" s="1093" t="s">
        <v>371</v>
      </c>
      <c r="M546" s="401"/>
      <c r="O546" s="404" t="s">
        <v>32</v>
      </c>
      <c r="P546" s="404" t="s">
        <v>32</v>
      </c>
      <c r="Q546" s="404" t="s">
        <v>178</v>
      </c>
      <c r="R546" s="404" t="s">
        <v>178</v>
      </c>
      <c r="S546" s="404" t="s">
        <v>964</v>
      </c>
      <c r="T546" s="404" t="s">
        <v>963</v>
      </c>
      <c r="U546" s="941">
        <v>37</v>
      </c>
      <c r="V546" s="941">
        <v>215</v>
      </c>
      <c r="W546" s="941">
        <v>0</v>
      </c>
      <c r="X546" s="941">
        <v>0</v>
      </c>
      <c r="Y546" s="941">
        <v>29</v>
      </c>
      <c r="Z546" s="941">
        <v>29</v>
      </c>
      <c r="AA546" s="942">
        <v>37</v>
      </c>
      <c r="AB546" s="942">
        <v>213</v>
      </c>
      <c r="AC546" s="942">
        <v>0</v>
      </c>
      <c r="AD546" s="942">
        <v>0</v>
      </c>
      <c r="AE546" s="942">
        <v>29</v>
      </c>
      <c r="AF546" s="942">
        <v>231</v>
      </c>
      <c r="AG546" s="943">
        <f>comparaison_samebasis_villages[[#This Row],[previous idp_ind]]-comparaison_samebasis_villages[[#This Row],[actual idp_ind]]</f>
        <v>-2</v>
      </c>
      <c r="AH546" s="943">
        <f>comparaison_samebasis_villages[[#This Row],[previous ref_ind]]-comparaison_samebasis_villages[[#This Row],[actual ref_ind]]</f>
        <v>0</v>
      </c>
      <c r="AI546" s="943">
        <f>comparaison_samebasis_villages[[#This Row],[previous ret_ind]]-comparaison_samebasis_villages[[#This Row],[actual ret_ind]]</f>
        <v>202</v>
      </c>
    </row>
    <row r="547" spans="1:35" ht="15.75" customHeight="1" x14ac:dyDescent="0.3">
      <c r="A547" s="401" t="s">
        <v>32</v>
      </c>
      <c r="B547" s="401" t="s">
        <v>32</v>
      </c>
      <c r="C547" s="401" t="s">
        <v>176</v>
      </c>
      <c r="D547" s="401" t="s">
        <v>176</v>
      </c>
      <c r="E547" s="401" t="s">
        <v>2255</v>
      </c>
      <c r="F547" s="5" t="s">
        <v>2256</v>
      </c>
      <c r="G547" s="401"/>
      <c r="H547" s="1093" t="s">
        <v>511</v>
      </c>
      <c r="I547" s="1216" t="s">
        <v>3112</v>
      </c>
      <c r="J547" s="403">
        <v>45</v>
      </c>
      <c r="K547" s="403">
        <v>306</v>
      </c>
      <c r="L547" s="1093" t="s">
        <v>371</v>
      </c>
      <c r="M547" s="401"/>
      <c r="O547" s="404" t="s">
        <v>32</v>
      </c>
      <c r="P547" s="404" t="s">
        <v>32</v>
      </c>
      <c r="Q547" s="404" t="s">
        <v>178</v>
      </c>
      <c r="R547" s="404" t="s">
        <v>178</v>
      </c>
      <c r="S547" s="404" t="s">
        <v>931</v>
      </c>
      <c r="T547" s="404" t="s">
        <v>930</v>
      </c>
      <c r="U547" s="941">
        <v>49</v>
      </c>
      <c r="V547" s="941">
        <v>324</v>
      </c>
      <c r="W547" s="941">
        <v>0</v>
      </c>
      <c r="X547" s="941">
        <v>0</v>
      </c>
      <c r="Y547" s="941">
        <v>0</v>
      </c>
      <c r="Z547" s="941">
        <v>0</v>
      </c>
      <c r="AA547" s="942">
        <v>0</v>
      </c>
      <c r="AB547" s="942">
        <v>0</v>
      </c>
      <c r="AC547" s="942">
        <v>0</v>
      </c>
      <c r="AD547" s="942">
        <v>0</v>
      </c>
      <c r="AE547" s="942">
        <v>49</v>
      </c>
      <c r="AF547" s="942">
        <v>315</v>
      </c>
      <c r="AG547" s="943">
        <f>comparaison_samebasis_villages[[#This Row],[previous idp_ind]]-comparaison_samebasis_villages[[#This Row],[actual idp_ind]]</f>
        <v>-324</v>
      </c>
      <c r="AH547" s="943">
        <f>comparaison_samebasis_villages[[#This Row],[previous ref_ind]]-comparaison_samebasis_villages[[#This Row],[actual ref_ind]]</f>
        <v>0</v>
      </c>
      <c r="AI547" s="943">
        <f>comparaison_samebasis_villages[[#This Row],[previous ret_ind]]-comparaison_samebasis_villages[[#This Row],[actual ret_ind]]</f>
        <v>315</v>
      </c>
    </row>
    <row r="548" spans="1:35" ht="15.75" customHeight="1" x14ac:dyDescent="0.3">
      <c r="A548" s="401" t="s">
        <v>32</v>
      </c>
      <c r="B548" s="401" t="s">
        <v>32</v>
      </c>
      <c r="C548" s="401" t="s">
        <v>176</v>
      </c>
      <c r="D548" s="401" t="s">
        <v>176</v>
      </c>
      <c r="E548" s="401" t="s">
        <v>2267</v>
      </c>
      <c r="F548" s="5" t="s">
        <v>2268</v>
      </c>
      <c r="G548" s="401"/>
      <c r="H548" s="1093" t="s">
        <v>511</v>
      </c>
      <c r="I548" s="1216" t="s">
        <v>3112</v>
      </c>
      <c r="J548" s="403">
        <v>9</v>
      </c>
      <c r="K548" s="403">
        <v>97</v>
      </c>
      <c r="L548" s="1093" t="s">
        <v>365</v>
      </c>
      <c r="M548" s="401"/>
      <c r="O548" s="404" t="s">
        <v>32</v>
      </c>
      <c r="P548" s="404" t="s">
        <v>32</v>
      </c>
      <c r="Q548" s="404" t="s">
        <v>178</v>
      </c>
      <c r="R548" s="404" t="s">
        <v>178</v>
      </c>
      <c r="S548" s="404" t="s">
        <v>2252</v>
      </c>
      <c r="T548" s="404" t="s">
        <v>2251</v>
      </c>
      <c r="U548" s="941">
        <v>0</v>
      </c>
      <c r="V548" s="941">
        <v>0</v>
      </c>
      <c r="W548" s="941">
        <v>0</v>
      </c>
      <c r="X548" s="941">
        <v>0</v>
      </c>
      <c r="Y548" s="941">
        <v>177</v>
      </c>
      <c r="Z548" s="941">
        <v>177</v>
      </c>
      <c r="AA548" s="942">
        <v>0</v>
      </c>
      <c r="AB548" s="942">
        <v>0</v>
      </c>
      <c r="AC548" s="942">
        <v>0</v>
      </c>
      <c r="AD548" s="942">
        <v>0</v>
      </c>
      <c r="AE548" s="942">
        <v>177</v>
      </c>
      <c r="AF548" s="942">
        <v>2542</v>
      </c>
      <c r="AG548" s="943">
        <f>comparaison_samebasis_villages[[#This Row],[previous idp_ind]]-comparaison_samebasis_villages[[#This Row],[actual idp_ind]]</f>
        <v>0</v>
      </c>
      <c r="AH548" s="943">
        <f>comparaison_samebasis_villages[[#This Row],[previous ref_ind]]-comparaison_samebasis_villages[[#This Row],[actual ref_ind]]</f>
        <v>0</v>
      </c>
      <c r="AI548" s="943">
        <f>comparaison_samebasis_villages[[#This Row],[previous ret_ind]]-comparaison_samebasis_villages[[#This Row],[actual ret_ind]]</f>
        <v>2365</v>
      </c>
    </row>
    <row r="549" spans="1:35" ht="15.75" customHeight="1" x14ac:dyDescent="0.3">
      <c r="A549" s="401" t="s">
        <v>32</v>
      </c>
      <c r="B549" s="401" t="s">
        <v>32</v>
      </c>
      <c r="C549" s="401" t="s">
        <v>176</v>
      </c>
      <c r="D549" s="401" t="s">
        <v>176</v>
      </c>
      <c r="E549" s="401" t="s">
        <v>2308</v>
      </c>
      <c r="F549" s="5" t="s">
        <v>2309</v>
      </c>
      <c r="G549" s="401"/>
      <c r="H549" s="1093" t="s">
        <v>511</v>
      </c>
      <c r="I549" s="1216" t="s">
        <v>3112</v>
      </c>
      <c r="J549" s="403">
        <v>13</v>
      </c>
      <c r="K549" s="403">
        <v>118</v>
      </c>
      <c r="L549" s="1093" t="s">
        <v>365</v>
      </c>
      <c r="M549" s="401"/>
      <c r="O549" s="404" t="s">
        <v>32</v>
      </c>
      <c r="P549" s="404" t="s">
        <v>32</v>
      </c>
      <c r="Q549" s="404" t="s">
        <v>178</v>
      </c>
      <c r="R549" s="404" t="s">
        <v>178</v>
      </c>
      <c r="S549" s="404" t="s">
        <v>1016</v>
      </c>
      <c r="T549" s="404" t="s">
        <v>1015</v>
      </c>
      <c r="U549" s="941">
        <v>10</v>
      </c>
      <c r="V549" s="941">
        <v>56</v>
      </c>
      <c r="W549" s="941">
        <v>0</v>
      </c>
      <c r="X549" s="941">
        <v>0</v>
      </c>
      <c r="Y549" s="941">
        <v>12</v>
      </c>
      <c r="Z549" s="941">
        <v>12</v>
      </c>
      <c r="AA549" s="942">
        <v>10</v>
      </c>
      <c r="AB549" s="942">
        <v>56</v>
      </c>
      <c r="AC549" s="942">
        <v>0</v>
      </c>
      <c r="AD549" s="942">
        <v>0</v>
      </c>
      <c r="AE549" s="942">
        <v>0</v>
      </c>
      <c r="AF549" s="942">
        <v>0</v>
      </c>
      <c r="AG549" s="943">
        <f>comparaison_samebasis_villages[[#This Row],[previous idp_ind]]-comparaison_samebasis_villages[[#This Row],[actual idp_ind]]</f>
        <v>0</v>
      </c>
      <c r="AH549" s="943">
        <f>comparaison_samebasis_villages[[#This Row],[previous ref_ind]]-comparaison_samebasis_villages[[#This Row],[actual ref_ind]]</f>
        <v>0</v>
      </c>
      <c r="AI549" s="943">
        <f>comparaison_samebasis_villages[[#This Row],[previous ret_ind]]-comparaison_samebasis_villages[[#This Row],[actual ret_ind]]</f>
        <v>-12</v>
      </c>
    </row>
    <row r="550" spans="1:35" ht="15.75" customHeight="1" x14ac:dyDescent="0.3">
      <c r="A550" s="401" t="s">
        <v>32</v>
      </c>
      <c r="B550" s="401" t="s">
        <v>32</v>
      </c>
      <c r="C550" s="401" t="s">
        <v>176</v>
      </c>
      <c r="D550" s="401" t="s">
        <v>176</v>
      </c>
      <c r="E550" s="401" t="s">
        <v>2269</v>
      </c>
      <c r="F550" s="5" t="s">
        <v>2270</v>
      </c>
      <c r="G550" s="401"/>
      <c r="H550" s="1093" t="s">
        <v>511</v>
      </c>
      <c r="I550" s="1216" t="s">
        <v>3112</v>
      </c>
      <c r="J550" s="403">
        <v>45</v>
      </c>
      <c r="K550" s="403">
        <v>278</v>
      </c>
      <c r="L550" s="1093" t="s">
        <v>365</v>
      </c>
      <c r="M550" s="401"/>
      <c r="O550" s="404" t="s">
        <v>32</v>
      </c>
      <c r="P550" s="404" t="s">
        <v>32</v>
      </c>
      <c r="Q550" s="404" t="s">
        <v>178</v>
      </c>
      <c r="R550" s="404" t="s">
        <v>178</v>
      </c>
      <c r="S550" s="404" t="s">
        <v>2258</v>
      </c>
      <c r="T550" s="404" t="s">
        <v>2257</v>
      </c>
      <c r="U550" s="941">
        <v>0</v>
      </c>
      <c r="V550" s="941">
        <v>0</v>
      </c>
      <c r="W550" s="941">
        <v>0</v>
      </c>
      <c r="X550" s="941">
        <v>0</v>
      </c>
      <c r="Y550" s="941">
        <v>29</v>
      </c>
      <c r="Z550" s="941">
        <v>29</v>
      </c>
      <c r="AA550" s="942">
        <v>29</v>
      </c>
      <c r="AB550" s="942">
        <v>288</v>
      </c>
      <c r="AC550" s="942">
        <v>0</v>
      </c>
      <c r="AD550" s="942">
        <v>0</v>
      </c>
      <c r="AE550" s="942">
        <v>29</v>
      </c>
      <c r="AF550" s="942">
        <v>288</v>
      </c>
      <c r="AG550" s="943">
        <f>comparaison_samebasis_villages[[#This Row],[previous idp_ind]]-comparaison_samebasis_villages[[#This Row],[actual idp_ind]]</f>
        <v>288</v>
      </c>
      <c r="AH550" s="943">
        <f>comparaison_samebasis_villages[[#This Row],[previous ref_ind]]-comparaison_samebasis_villages[[#This Row],[actual ref_ind]]</f>
        <v>0</v>
      </c>
      <c r="AI550" s="943">
        <f>comparaison_samebasis_villages[[#This Row],[previous ret_ind]]-comparaison_samebasis_villages[[#This Row],[actual ret_ind]]</f>
        <v>259</v>
      </c>
    </row>
    <row r="551" spans="1:35" ht="15.75" customHeight="1" x14ac:dyDescent="0.3">
      <c r="A551" s="401" t="s">
        <v>32</v>
      </c>
      <c r="B551" s="401" t="s">
        <v>32</v>
      </c>
      <c r="C551" s="401" t="s">
        <v>176</v>
      </c>
      <c r="D551" s="401" t="s">
        <v>176</v>
      </c>
      <c r="E551" s="401" t="s">
        <v>2310</v>
      </c>
      <c r="F551" s="5" t="s">
        <v>2311</v>
      </c>
      <c r="G551" s="401"/>
      <c r="H551" s="1093" t="s">
        <v>511</v>
      </c>
      <c r="I551" s="1216" t="s">
        <v>3112</v>
      </c>
      <c r="J551" s="403">
        <v>23</v>
      </c>
      <c r="K551" s="403">
        <v>160</v>
      </c>
      <c r="L551" s="1093" t="s">
        <v>365</v>
      </c>
      <c r="M551" s="401"/>
      <c r="O551" s="404" t="s">
        <v>32</v>
      </c>
      <c r="P551" s="404" t="s">
        <v>32</v>
      </c>
      <c r="Q551" s="404" t="s">
        <v>178</v>
      </c>
      <c r="R551" s="404" t="s">
        <v>178</v>
      </c>
      <c r="S551" s="404" t="s">
        <v>1261</v>
      </c>
      <c r="T551" s="404" t="s">
        <v>1260</v>
      </c>
      <c r="U551" s="941">
        <v>12</v>
      </c>
      <c r="V551" s="941">
        <v>148</v>
      </c>
      <c r="W551" s="941">
        <v>0</v>
      </c>
      <c r="X551" s="941">
        <v>0</v>
      </c>
      <c r="Y551" s="941">
        <v>0</v>
      </c>
      <c r="Z551" s="941">
        <v>0</v>
      </c>
      <c r="AA551" s="942">
        <v>12</v>
      </c>
      <c r="AB551" s="942">
        <v>141</v>
      </c>
      <c r="AC551" s="942">
        <v>0</v>
      </c>
      <c r="AD551" s="942">
        <v>0</v>
      </c>
      <c r="AE551" s="942">
        <v>0</v>
      </c>
      <c r="AF551" s="942">
        <v>0</v>
      </c>
      <c r="AG551" s="943">
        <f>comparaison_samebasis_villages[[#This Row],[previous idp_ind]]-comparaison_samebasis_villages[[#This Row],[actual idp_ind]]</f>
        <v>-7</v>
      </c>
      <c r="AH551" s="943">
        <f>comparaison_samebasis_villages[[#This Row],[previous ref_ind]]-comparaison_samebasis_villages[[#This Row],[actual ref_ind]]</f>
        <v>0</v>
      </c>
      <c r="AI551" s="943">
        <f>comparaison_samebasis_villages[[#This Row],[previous ret_ind]]-comparaison_samebasis_villages[[#This Row],[actual ret_ind]]</f>
        <v>0</v>
      </c>
    </row>
    <row r="552" spans="1:35" ht="15.75" customHeight="1" x14ac:dyDescent="0.3">
      <c r="A552" s="401" t="s">
        <v>32</v>
      </c>
      <c r="B552" s="401" t="s">
        <v>32</v>
      </c>
      <c r="C552" s="401" t="s">
        <v>176</v>
      </c>
      <c r="D552" s="401" t="s">
        <v>176</v>
      </c>
      <c r="E552" s="401" t="s">
        <v>2310</v>
      </c>
      <c r="F552" s="5" t="s">
        <v>2311</v>
      </c>
      <c r="G552" s="401"/>
      <c r="H552" s="1093" t="s">
        <v>511</v>
      </c>
      <c r="I552" s="1216" t="s">
        <v>3111</v>
      </c>
      <c r="J552" s="403">
        <v>0</v>
      </c>
      <c r="K552" s="403">
        <v>7</v>
      </c>
      <c r="L552" s="1093" t="s">
        <v>365</v>
      </c>
      <c r="M552" s="401"/>
      <c r="O552" s="404" t="s">
        <v>32</v>
      </c>
      <c r="P552" s="404" t="s">
        <v>32</v>
      </c>
      <c r="Q552" s="404" t="s">
        <v>178</v>
      </c>
      <c r="R552" s="404" t="s">
        <v>178</v>
      </c>
      <c r="S552" s="404" t="s">
        <v>2579</v>
      </c>
      <c r="T552" s="404" t="s">
        <v>2578</v>
      </c>
      <c r="U552" s="941">
        <v>0</v>
      </c>
      <c r="V552" s="941">
        <v>0</v>
      </c>
      <c r="W552" s="941">
        <v>0</v>
      </c>
      <c r="X552" s="941">
        <v>0</v>
      </c>
      <c r="Y552" s="941">
        <v>0</v>
      </c>
      <c r="Z552" s="941">
        <v>0</v>
      </c>
      <c r="AA552" s="942">
        <v>0</v>
      </c>
      <c r="AB552" s="942">
        <v>0</v>
      </c>
      <c r="AC552" s="942">
        <v>0</v>
      </c>
      <c r="AD552" s="942">
        <v>0</v>
      </c>
      <c r="AE552" s="942">
        <v>0</v>
      </c>
      <c r="AF552" s="942">
        <v>0</v>
      </c>
      <c r="AG552" s="943">
        <f>comparaison_samebasis_villages[[#This Row],[previous idp_ind]]-comparaison_samebasis_villages[[#This Row],[actual idp_ind]]</f>
        <v>0</v>
      </c>
      <c r="AH552" s="943">
        <f>comparaison_samebasis_villages[[#This Row],[previous ref_ind]]-comparaison_samebasis_villages[[#This Row],[actual ref_ind]]</f>
        <v>0</v>
      </c>
      <c r="AI552" s="943">
        <f>comparaison_samebasis_villages[[#This Row],[previous ret_ind]]-comparaison_samebasis_villages[[#This Row],[actual ret_ind]]</f>
        <v>0</v>
      </c>
    </row>
    <row r="553" spans="1:35" ht="15.75" customHeight="1" x14ac:dyDescent="0.3">
      <c r="A553" s="401" t="s">
        <v>32</v>
      </c>
      <c r="B553" s="401" t="s">
        <v>32</v>
      </c>
      <c r="C553" s="401" t="s">
        <v>176</v>
      </c>
      <c r="D553" s="401" t="s">
        <v>176</v>
      </c>
      <c r="E553" s="401" t="s">
        <v>2299</v>
      </c>
      <c r="F553" s="5" t="s">
        <v>2300</v>
      </c>
      <c r="G553" s="401"/>
      <c r="H553" s="1093" t="s">
        <v>511</v>
      </c>
      <c r="I553" s="1216" t="s">
        <v>3111</v>
      </c>
      <c r="J553" s="403">
        <v>27</v>
      </c>
      <c r="K553" s="403">
        <v>197</v>
      </c>
      <c r="L553" s="1093" t="s">
        <v>365</v>
      </c>
      <c r="M553" s="401"/>
      <c r="O553" s="404" t="s">
        <v>32</v>
      </c>
      <c r="P553" s="404" t="s">
        <v>32</v>
      </c>
      <c r="Q553" s="404" t="s">
        <v>178</v>
      </c>
      <c r="R553" s="404" t="s">
        <v>178</v>
      </c>
      <c r="S553" s="404" t="s">
        <v>2581</v>
      </c>
      <c r="T553" s="404" t="s">
        <v>2580</v>
      </c>
      <c r="U553" s="941">
        <v>0</v>
      </c>
      <c r="V553" s="941">
        <v>0</v>
      </c>
      <c r="W553" s="941">
        <v>0</v>
      </c>
      <c r="X553" s="941">
        <v>0</v>
      </c>
      <c r="Y553" s="941">
        <v>0</v>
      </c>
      <c r="Z553" s="941">
        <v>0</v>
      </c>
      <c r="AA553" s="942">
        <v>0</v>
      </c>
      <c r="AB553" s="942">
        <v>0</v>
      </c>
      <c r="AC553" s="942">
        <v>0</v>
      </c>
      <c r="AD553" s="942">
        <v>0</v>
      </c>
      <c r="AE553" s="942">
        <v>0</v>
      </c>
      <c r="AF553" s="942">
        <v>0</v>
      </c>
      <c r="AG553" s="943">
        <f>comparaison_samebasis_villages[[#This Row],[previous idp_ind]]-comparaison_samebasis_villages[[#This Row],[actual idp_ind]]</f>
        <v>0</v>
      </c>
      <c r="AH553" s="943">
        <f>comparaison_samebasis_villages[[#This Row],[previous ref_ind]]-comparaison_samebasis_villages[[#This Row],[actual ref_ind]]</f>
        <v>0</v>
      </c>
      <c r="AI553" s="943">
        <f>comparaison_samebasis_villages[[#This Row],[previous ret_ind]]-comparaison_samebasis_villages[[#This Row],[actual ret_ind]]</f>
        <v>0</v>
      </c>
    </row>
    <row r="554" spans="1:35" ht="15.75" customHeight="1" x14ac:dyDescent="0.3">
      <c r="A554" s="401" t="s">
        <v>32</v>
      </c>
      <c r="B554" s="401" t="s">
        <v>32</v>
      </c>
      <c r="C554" s="401" t="s">
        <v>176</v>
      </c>
      <c r="D554" s="401" t="s">
        <v>176</v>
      </c>
      <c r="E554" s="401" t="s">
        <v>2299</v>
      </c>
      <c r="F554" s="5" t="s">
        <v>2300</v>
      </c>
      <c r="G554" s="401"/>
      <c r="H554" s="1093" t="s">
        <v>511</v>
      </c>
      <c r="I554" s="1216" t="s">
        <v>3112</v>
      </c>
      <c r="J554" s="403">
        <v>6</v>
      </c>
      <c r="K554" s="403">
        <v>60</v>
      </c>
      <c r="L554" s="1093" t="s">
        <v>365</v>
      </c>
      <c r="M554" s="401"/>
      <c r="O554" s="404" t="s">
        <v>32</v>
      </c>
      <c r="P554" s="404" t="s">
        <v>32</v>
      </c>
      <c r="Q554" s="404" t="s">
        <v>178</v>
      </c>
      <c r="R554" s="404" t="s">
        <v>178</v>
      </c>
      <c r="S554" s="404" t="s">
        <v>896</v>
      </c>
      <c r="T554" s="404" t="s">
        <v>895</v>
      </c>
      <c r="U554" s="941">
        <v>30</v>
      </c>
      <c r="V554" s="941">
        <v>270</v>
      </c>
      <c r="W554" s="941">
        <v>0</v>
      </c>
      <c r="X554" s="941">
        <v>0</v>
      </c>
      <c r="Y554" s="941">
        <v>0</v>
      </c>
      <c r="Z554" s="941">
        <v>0</v>
      </c>
      <c r="AA554" s="942">
        <v>30</v>
      </c>
      <c r="AB554" s="942">
        <v>259</v>
      </c>
      <c r="AC554" s="942">
        <v>0</v>
      </c>
      <c r="AD554" s="942">
        <v>0</v>
      </c>
      <c r="AE554" s="942">
        <v>0</v>
      </c>
      <c r="AF554" s="942">
        <v>0</v>
      </c>
      <c r="AG554" s="943">
        <f>comparaison_samebasis_villages[[#This Row],[previous idp_ind]]-comparaison_samebasis_villages[[#This Row],[actual idp_ind]]</f>
        <v>-11</v>
      </c>
      <c r="AH554" s="943">
        <f>comparaison_samebasis_villages[[#This Row],[previous ref_ind]]-comparaison_samebasis_villages[[#This Row],[actual ref_ind]]</f>
        <v>0</v>
      </c>
      <c r="AI554" s="943">
        <f>comparaison_samebasis_villages[[#This Row],[previous ret_ind]]-comparaison_samebasis_villages[[#This Row],[actual ret_ind]]</f>
        <v>0</v>
      </c>
    </row>
    <row r="555" spans="1:35" ht="15.75" customHeight="1" x14ac:dyDescent="0.3">
      <c r="A555" s="401" t="s">
        <v>32</v>
      </c>
      <c r="B555" s="401" t="s">
        <v>32</v>
      </c>
      <c r="C555" s="401" t="s">
        <v>175</v>
      </c>
      <c r="D555" s="401" t="s">
        <v>175</v>
      </c>
      <c r="E555" s="401" t="s">
        <v>1137</v>
      </c>
      <c r="F555" s="5" t="s">
        <v>1138</v>
      </c>
      <c r="G555" s="401"/>
      <c r="H555" s="1093" t="s">
        <v>511</v>
      </c>
      <c r="I555" s="1216" t="s">
        <v>3112</v>
      </c>
      <c r="J555" s="403">
        <v>550</v>
      </c>
      <c r="K555" s="403">
        <v>3200</v>
      </c>
      <c r="L555" s="1093" t="s">
        <v>367</v>
      </c>
      <c r="M555" s="401"/>
      <c r="O555" s="404" t="s">
        <v>32</v>
      </c>
      <c r="P555" s="404" t="s">
        <v>32</v>
      </c>
      <c r="Q555" s="404" t="s">
        <v>178</v>
      </c>
      <c r="R555" s="404" t="s">
        <v>178</v>
      </c>
      <c r="S555" s="404" t="s">
        <v>2583</v>
      </c>
      <c r="T555" s="404" t="s">
        <v>2582</v>
      </c>
      <c r="U555" s="941">
        <v>0</v>
      </c>
      <c r="V555" s="941">
        <v>0</v>
      </c>
      <c r="W555" s="941">
        <v>0</v>
      </c>
      <c r="X555" s="941">
        <v>0</v>
      </c>
      <c r="Y555" s="941">
        <v>0</v>
      </c>
      <c r="Z555" s="941">
        <v>0</v>
      </c>
      <c r="AA555" s="942">
        <v>0</v>
      </c>
      <c r="AB555" s="942">
        <v>0</v>
      </c>
      <c r="AC555" s="942">
        <v>0</v>
      </c>
      <c r="AD555" s="942">
        <v>0</v>
      </c>
      <c r="AE555" s="942">
        <v>0</v>
      </c>
      <c r="AF555" s="942">
        <v>0</v>
      </c>
      <c r="AG555" s="943">
        <f>comparaison_samebasis_villages[[#This Row],[previous idp_ind]]-comparaison_samebasis_villages[[#This Row],[actual idp_ind]]</f>
        <v>0</v>
      </c>
      <c r="AH555" s="943">
        <f>comparaison_samebasis_villages[[#This Row],[previous ref_ind]]-comparaison_samebasis_villages[[#This Row],[actual ref_ind]]</f>
        <v>0</v>
      </c>
      <c r="AI555" s="943">
        <f>comparaison_samebasis_villages[[#This Row],[previous ret_ind]]-comparaison_samebasis_villages[[#This Row],[actual ret_ind]]</f>
        <v>0</v>
      </c>
    </row>
    <row r="556" spans="1:35" ht="15.75" customHeight="1" x14ac:dyDescent="0.3">
      <c r="A556" s="401" t="s">
        <v>32</v>
      </c>
      <c r="B556" s="401" t="s">
        <v>32</v>
      </c>
      <c r="C556" s="401" t="s">
        <v>175</v>
      </c>
      <c r="D556" s="401" t="s">
        <v>175</v>
      </c>
      <c r="E556" s="401" t="s">
        <v>1758</v>
      </c>
      <c r="F556" s="5" t="s">
        <v>1759</v>
      </c>
      <c r="G556" s="401"/>
      <c r="H556" s="1093" t="s">
        <v>511</v>
      </c>
      <c r="I556" s="1216" t="s">
        <v>3112</v>
      </c>
      <c r="J556" s="403">
        <v>75</v>
      </c>
      <c r="K556" s="403">
        <v>310</v>
      </c>
      <c r="L556" s="1093" t="s">
        <v>367</v>
      </c>
      <c r="M556" s="401"/>
      <c r="O556" s="404" t="s">
        <v>32</v>
      </c>
      <c r="P556" s="404" t="s">
        <v>32</v>
      </c>
      <c r="Q556" s="404" t="s">
        <v>178</v>
      </c>
      <c r="R556" s="404" t="s">
        <v>178</v>
      </c>
      <c r="S556" s="404" t="s">
        <v>2585</v>
      </c>
      <c r="T556" s="404" t="s">
        <v>2584</v>
      </c>
      <c r="U556" s="941">
        <v>0</v>
      </c>
      <c r="V556" s="941">
        <v>0</v>
      </c>
      <c r="W556" s="941">
        <v>0</v>
      </c>
      <c r="X556" s="941">
        <v>0</v>
      </c>
      <c r="Y556" s="941">
        <v>0</v>
      </c>
      <c r="Z556" s="941">
        <v>0</v>
      </c>
      <c r="AA556" s="942">
        <v>0</v>
      </c>
      <c r="AB556" s="942">
        <v>0</v>
      </c>
      <c r="AC556" s="942">
        <v>0</v>
      </c>
      <c r="AD556" s="942">
        <v>0</v>
      </c>
      <c r="AE556" s="942">
        <v>0</v>
      </c>
      <c r="AF556" s="942">
        <v>0</v>
      </c>
      <c r="AG556" s="943">
        <f>comparaison_samebasis_villages[[#This Row],[previous idp_ind]]-comparaison_samebasis_villages[[#This Row],[actual idp_ind]]</f>
        <v>0</v>
      </c>
      <c r="AH556" s="943">
        <f>comparaison_samebasis_villages[[#This Row],[previous ref_ind]]-comparaison_samebasis_villages[[#This Row],[actual ref_ind]]</f>
        <v>0</v>
      </c>
      <c r="AI556" s="943">
        <f>comparaison_samebasis_villages[[#This Row],[previous ret_ind]]-comparaison_samebasis_villages[[#This Row],[actual ret_ind]]</f>
        <v>0</v>
      </c>
    </row>
    <row r="557" spans="1:35" ht="15.75" customHeight="1" x14ac:dyDescent="0.3">
      <c r="A557" s="401" t="s">
        <v>32</v>
      </c>
      <c r="B557" s="401" t="s">
        <v>32</v>
      </c>
      <c r="C557" s="401" t="s">
        <v>175</v>
      </c>
      <c r="D557" s="401" t="s">
        <v>175</v>
      </c>
      <c r="E557" s="401" t="s">
        <v>1762</v>
      </c>
      <c r="F557" s="5" t="s">
        <v>1763</v>
      </c>
      <c r="G557" s="401"/>
      <c r="H557" s="1093" t="s">
        <v>511</v>
      </c>
      <c r="I557" s="1216" t="s">
        <v>3112</v>
      </c>
      <c r="J557" s="403">
        <v>360</v>
      </c>
      <c r="K557" s="403">
        <v>1900</v>
      </c>
      <c r="L557" s="1093" t="s">
        <v>367</v>
      </c>
      <c r="M557" s="401"/>
      <c r="O557" s="404" t="s">
        <v>32</v>
      </c>
      <c r="P557" s="404" t="s">
        <v>32</v>
      </c>
      <c r="Q557" s="404" t="s">
        <v>178</v>
      </c>
      <c r="R557" s="404" t="s">
        <v>178</v>
      </c>
      <c r="S557" s="404" t="s">
        <v>2587</v>
      </c>
      <c r="T557" s="404" t="s">
        <v>2586</v>
      </c>
      <c r="U557" s="941">
        <v>0</v>
      </c>
      <c r="V557" s="941">
        <v>0</v>
      </c>
      <c r="W557" s="941">
        <v>0</v>
      </c>
      <c r="X557" s="941">
        <v>0</v>
      </c>
      <c r="Y557" s="941">
        <v>0</v>
      </c>
      <c r="Z557" s="941">
        <v>0</v>
      </c>
      <c r="AA557" s="942">
        <v>0</v>
      </c>
      <c r="AB557" s="942">
        <v>0</v>
      </c>
      <c r="AC557" s="942">
        <v>0</v>
      </c>
      <c r="AD557" s="942">
        <v>0</v>
      </c>
      <c r="AE557" s="942">
        <v>0</v>
      </c>
      <c r="AF557" s="942">
        <v>0</v>
      </c>
      <c r="AG557" s="943">
        <f>comparaison_samebasis_villages[[#This Row],[previous idp_ind]]-comparaison_samebasis_villages[[#This Row],[actual idp_ind]]</f>
        <v>0</v>
      </c>
      <c r="AH557" s="943">
        <f>comparaison_samebasis_villages[[#This Row],[previous ref_ind]]-comparaison_samebasis_villages[[#This Row],[actual ref_ind]]</f>
        <v>0</v>
      </c>
      <c r="AI557" s="943">
        <f>comparaison_samebasis_villages[[#This Row],[previous ret_ind]]-comparaison_samebasis_villages[[#This Row],[actual ret_ind]]</f>
        <v>0</v>
      </c>
    </row>
    <row r="558" spans="1:35" ht="15.75" customHeight="1" x14ac:dyDescent="0.3">
      <c r="A558" s="401" t="s">
        <v>32</v>
      </c>
      <c r="B558" s="401" t="s">
        <v>32</v>
      </c>
      <c r="C558" s="401" t="s">
        <v>175</v>
      </c>
      <c r="D558" s="401" t="s">
        <v>175</v>
      </c>
      <c r="E558" s="401" t="s">
        <v>1769</v>
      </c>
      <c r="F558" s="5" t="s">
        <v>1770</v>
      </c>
      <c r="G558" s="401"/>
      <c r="H558" s="1093" t="s">
        <v>511</v>
      </c>
      <c r="I558" s="1216" t="s">
        <v>3112</v>
      </c>
      <c r="J558" s="403">
        <v>390</v>
      </c>
      <c r="K558" s="403">
        <v>2800</v>
      </c>
      <c r="L558" s="1093" t="s">
        <v>367</v>
      </c>
      <c r="M558" s="401"/>
      <c r="O558" s="404" t="s">
        <v>32</v>
      </c>
      <c r="P558" s="404" t="s">
        <v>32</v>
      </c>
      <c r="Q558" s="404" t="s">
        <v>178</v>
      </c>
      <c r="R558" s="404" t="s">
        <v>178</v>
      </c>
      <c r="S558" s="404" t="s">
        <v>2295</v>
      </c>
      <c r="T558" s="404" t="s">
        <v>2294</v>
      </c>
      <c r="U558" s="941">
        <v>0</v>
      </c>
      <c r="V558" s="941">
        <v>0</v>
      </c>
      <c r="W558" s="941">
        <v>0</v>
      </c>
      <c r="X558" s="941">
        <v>0</v>
      </c>
      <c r="Y558" s="941">
        <v>19</v>
      </c>
      <c r="Z558" s="941">
        <v>19</v>
      </c>
      <c r="AA558" s="942">
        <v>0</v>
      </c>
      <c r="AB558" s="942">
        <v>0</v>
      </c>
      <c r="AC558" s="942">
        <v>0</v>
      </c>
      <c r="AD558" s="942">
        <v>0</v>
      </c>
      <c r="AE558" s="942">
        <v>17</v>
      </c>
      <c r="AF558" s="942">
        <v>198</v>
      </c>
      <c r="AG558" s="943">
        <f>comparaison_samebasis_villages[[#This Row],[previous idp_ind]]-comparaison_samebasis_villages[[#This Row],[actual idp_ind]]</f>
        <v>0</v>
      </c>
      <c r="AH558" s="943">
        <f>comparaison_samebasis_villages[[#This Row],[previous ref_ind]]-comparaison_samebasis_villages[[#This Row],[actual ref_ind]]</f>
        <v>0</v>
      </c>
      <c r="AI558" s="943">
        <f>comparaison_samebasis_villages[[#This Row],[previous ret_ind]]-comparaison_samebasis_villages[[#This Row],[actual ret_ind]]</f>
        <v>179</v>
      </c>
    </row>
    <row r="559" spans="1:35" ht="15.75" customHeight="1" x14ac:dyDescent="0.3">
      <c r="A559" s="401" t="s">
        <v>31</v>
      </c>
      <c r="B559" s="401" t="s">
        <v>31</v>
      </c>
      <c r="C559" s="401" t="s">
        <v>169</v>
      </c>
      <c r="D559" s="401" t="s">
        <v>169</v>
      </c>
      <c r="E559" s="401" t="s">
        <v>2998</v>
      </c>
      <c r="F559" s="5" t="s">
        <v>2339</v>
      </c>
      <c r="G559" s="401"/>
      <c r="H559" s="1093" t="s">
        <v>511</v>
      </c>
      <c r="I559" s="1216" t="s">
        <v>3111</v>
      </c>
      <c r="J559" s="403">
        <v>126</v>
      </c>
      <c r="K559" s="403">
        <v>402</v>
      </c>
      <c r="L559" s="1093" t="s">
        <v>365</v>
      </c>
      <c r="M559" s="401"/>
      <c r="O559" s="404" t="s">
        <v>32</v>
      </c>
      <c r="P559" s="404" t="s">
        <v>32</v>
      </c>
      <c r="Q559" s="404" t="s">
        <v>178</v>
      </c>
      <c r="R559" s="404" t="s">
        <v>178</v>
      </c>
      <c r="S559" s="404" t="s">
        <v>2792</v>
      </c>
      <c r="T559" s="404" t="s">
        <v>3194</v>
      </c>
      <c r="U559" s="941">
        <v>0</v>
      </c>
      <c r="V559" s="941">
        <v>0</v>
      </c>
      <c r="W559" s="941">
        <v>0</v>
      </c>
      <c r="X559" s="941">
        <v>0</v>
      </c>
      <c r="Y559" s="941">
        <v>160</v>
      </c>
      <c r="Z559" s="941">
        <v>160</v>
      </c>
      <c r="AA559" s="942">
        <v>0</v>
      </c>
      <c r="AB559" s="942">
        <v>0</v>
      </c>
      <c r="AC559" s="942">
        <v>0</v>
      </c>
      <c r="AD559" s="942">
        <v>0</v>
      </c>
      <c r="AE559" s="942">
        <v>30</v>
      </c>
      <c r="AF559" s="942">
        <v>237</v>
      </c>
      <c r="AG559" s="943">
        <f>comparaison_samebasis_villages[[#This Row],[previous idp_ind]]-comparaison_samebasis_villages[[#This Row],[actual idp_ind]]</f>
        <v>0</v>
      </c>
      <c r="AH559" s="943">
        <f>comparaison_samebasis_villages[[#This Row],[previous ref_ind]]-comparaison_samebasis_villages[[#This Row],[actual ref_ind]]</f>
        <v>0</v>
      </c>
      <c r="AI559" s="943">
        <f>comparaison_samebasis_villages[[#This Row],[previous ret_ind]]-comparaison_samebasis_villages[[#This Row],[actual ret_ind]]</f>
        <v>77</v>
      </c>
    </row>
    <row r="560" spans="1:35" ht="15.75" customHeight="1" x14ac:dyDescent="0.3">
      <c r="A560" s="401" t="s">
        <v>31</v>
      </c>
      <c r="B560" s="401" t="s">
        <v>31</v>
      </c>
      <c r="C560" s="401" t="s">
        <v>169</v>
      </c>
      <c r="D560" s="401" t="s">
        <v>169</v>
      </c>
      <c r="E560" s="401" t="s">
        <v>1093</v>
      </c>
      <c r="F560" s="5" t="s">
        <v>1504</v>
      </c>
      <c r="G560" s="401"/>
      <c r="H560" s="1093" t="s">
        <v>511</v>
      </c>
      <c r="I560" s="1216" t="s">
        <v>3111</v>
      </c>
      <c r="J560" s="403">
        <v>44</v>
      </c>
      <c r="K560" s="403">
        <v>321</v>
      </c>
      <c r="L560" s="1093" t="s">
        <v>365</v>
      </c>
      <c r="M560" s="401"/>
      <c r="O560" s="404" t="s">
        <v>32</v>
      </c>
      <c r="P560" s="404" t="s">
        <v>32</v>
      </c>
      <c r="Q560" s="404" t="s">
        <v>178</v>
      </c>
      <c r="R560" s="404" t="s">
        <v>178</v>
      </c>
      <c r="S560" s="404" t="s">
        <v>2784</v>
      </c>
      <c r="T560" s="404" t="s">
        <v>3197</v>
      </c>
      <c r="U560" s="941">
        <v>0</v>
      </c>
      <c r="V560" s="941">
        <v>0</v>
      </c>
      <c r="W560" s="941">
        <v>0</v>
      </c>
      <c r="X560" s="941">
        <v>0</v>
      </c>
      <c r="Y560" s="941">
        <v>45</v>
      </c>
      <c r="Z560" s="941">
        <v>45</v>
      </c>
      <c r="AA560" s="942">
        <v>0</v>
      </c>
      <c r="AB560" s="942">
        <v>0</v>
      </c>
      <c r="AC560" s="942">
        <v>0</v>
      </c>
      <c r="AD560" s="942">
        <v>0</v>
      </c>
      <c r="AE560" s="942">
        <v>38</v>
      </c>
      <c r="AF560" s="942">
        <v>200</v>
      </c>
      <c r="AG560" s="943">
        <f>comparaison_samebasis_villages[[#This Row],[previous idp_ind]]-comparaison_samebasis_villages[[#This Row],[actual idp_ind]]</f>
        <v>0</v>
      </c>
      <c r="AH560" s="943">
        <f>comparaison_samebasis_villages[[#This Row],[previous ref_ind]]-comparaison_samebasis_villages[[#This Row],[actual ref_ind]]</f>
        <v>0</v>
      </c>
      <c r="AI560" s="943">
        <f>comparaison_samebasis_villages[[#This Row],[previous ret_ind]]-comparaison_samebasis_villages[[#This Row],[actual ret_ind]]</f>
        <v>155</v>
      </c>
    </row>
    <row r="561" spans="1:35" ht="15.75" customHeight="1" x14ac:dyDescent="0.3">
      <c r="A561" s="401" t="s">
        <v>31</v>
      </c>
      <c r="B561" s="401" t="s">
        <v>31</v>
      </c>
      <c r="C561" s="401" t="s">
        <v>169</v>
      </c>
      <c r="D561" s="401" t="s">
        <v>169</v>
      </c>
      <c r="E561" s="401" t="s">
        <v>814</v>
      </c>
      <c r="F561" s="401" t="s">
        <v>1553</v>
      </c>
      <c r="G561" s="401"/>
      <c r="H561" s="1093" t="s">
        <v>511</v>
      </c>
      <c r="I561" s="1216" t="s">
        <v>3111</v>
      </c>
      <c r="J561" s="403">
        <v>45</v>
      </c>
      <c r="K561" s="403">
        <v>150</v>
      </c>
      <c r="L561" s="1093" t="s">
        <v>365</v>
      </c>
      <c r="M561" s="401"/>
      <c r="O561" s="404" t="s">
        <v>32</v>
      </c>
      <c r="P561" s="404" t="s">
        <v>32</v>
      </c>
      <c r="Q561" s="404" t="s">
        <v>178</v>
      </c>
      <c r="R561" s="404" t="s">
        <v>178</v>
      </c>
      <c r="S561" s="404" t="s">
        <v>2780</v>
      </c>
      <c r="T561" s="404" t="s">
        <v>3214</v>
      </c>
      <c r="U561" s="941">
        <v>0</v>
      </c>
      <c r="V561" s="941">
        <v>0</v>
      </c>
      <c r="W561" s="941">
        <v>0</v>
      </c>
      <c r="X561" s="941">
        <v>0</v>
      </c>
      <c r="Y561" s="941">
        <v>12</v>
      </c>
      <c r="Z561" s="941">
        <v>12</v>
      </c>
      <c r="AA561" s="942">
        <v>0</v>
      </c>
      <c r="AB561" s="942">
        <v>0</v>
      </c>
      <c r="AC561" s="942">
        <v>0</v>
      </c>
      <c r="AD561" s="942">
        <v>0</v>
      </c>
      <c r="AE561" s="942">
        <v>5</v>
      </c>
      <c r="AF561" s="942">
        <v>40</v>
      </c>
      <c r="AG561" s="943">
        <f>comparaison_samebasis_villages[[#This Row],[previous idp_ind]]-comparaison_samebasis_villages[[#This Row],[actual idp_ind]]</f>
        <v>0</v>
      </c>
      <c r="AH561" s="943">
        <f>comparaison_samebasis_villages[[#This Row],[previous ref_ind]]-comparaison_samebasis_villages[[#This Row],[actual ref_ind]]</f>
        <v>0</v>
      </c>
      <c r="AI561" s="943">
        <f>comparaison_samebasis_villages[[#This Row],[previous ret_ind]]-comparaison_samebasis_villages[[#This Row],[actual ret_ind]]</f>
        <v>28</v>
      </c>
    </row>
    <row r="562" spans="1:35" ht="15.75" customHeight="1" x14ac:dyDescent="0.3">
      <c r="A562" s="401" t="s">
        <v>31</v>
      </c>
      <c r="B562" s="401" t="s">
        <v>31</v>
      </c>
      <c r="C562" s="401" t="s">
        <v>169</v>
      </c>
      <c r="D562" s="401" t="s">
        <v>169</v>
      </c>
      <c r="E562" s="401" t="s">
        <v>1552</v>
      </c>
      <c r="F562" s="5" t="s">
        <v>1642</v>
      </c>
      <c r="G562" s="401"/>
      <c r="H562" s="1093" t="s">
        <v>511</v>
      </c>
      <c r="I562" s="1216" t="s">
        <v>3111</v>
      </c>
      <c r="J562" s="403">
        <v>75</v>
      </c>
      <c r="K562" s="403">
        <v>395</v>
      </c>
      <c r="L562" s="1093" t="s">
        <v>365</v>
      </c>
      <c r="M562" s="401"/>
      <c r="O562" s="399" t="s">
        <v>32</v>
      </c>
      <c r="P562" s="399" t="s">
        <v>32</v>
      </c>
      <c r="Q562" s="399" t="s">
        <v>178</v>
      </c>
      <c r="R562" s="399" t="s">
        <v>178</v>
      </c>
      <c r="S562" s="399" t="s">
        <v>2785</v>
      </c>
      <c r="T562" s="399" t="s">
        <v>3215</v>
      </c>
      <c r="U562" s="941">
        <v>0</v>
      </c>
      <c r="V562" s="941">
        <v>0</v>
      </c>
      <c r="W562" s="941">
        <v>0</v>
      </c>
      <c r="X562" s="941">
        <v>0</v>
      </c>
      <c r="Y562" s="941">
        <v>20</v>
      </c>
      <c r="Z562" s="941">
        <v>20</v>
      </c>
      <c r="AA562" s="942">
        <v>0</v>
      </c>
      <c r="AB562" s="942">
        <v>0</v>
      </c>
      <c r="AC562" s="942">
        <v>0</v>
      </c>
      <c r="AD562" s="942">
        <v>0</v>
      </c>
      <c r="AE562" s="942">
        <v>15</v>
      </c>
      <c r="AF562" s="942">
        <v>37</v>
      </c>
      <c r="AG562" s="943">
        <f>comparaison_samebasis_villages[[#This Row],[previous idp_ind]]-comparaison_samebasis_villages[[#This Row],[actual idp_ind]]</f>
        <v>0</v>
      </c>
      <c r="AH562" s="943">
        <f>comparaison_samebasis_villages[[#This Row],[previous ref_ind]]-comparaison_samebasis_villages[[#This Row],[actual ref_ind]]</f>
        <v>0</v>
      </c>
      <c r="AI562" s="943">
        <f>comparaison_samebasis_villages[[#This Row],[previous ret_ind]]-comparaison_samebasis_villages[[#This Row],[actual ret_ind]]</f>
        <v>17</v>
      </c>
    </row>
    <row r="563" spans="1:35" ht="15.75" customHeight="1" x14ac:dyDescent="0.3">
      <c r="A563" s="401" t="s">
        <v>31</v>
      </c>
      <c r="B563" s="401" t="s">
        <v>31</v>
      </c>
      <c r="C563" s="401" t="s">
        <v>169</v>
      </c>
      <c r="D563" s="401" t="s">
        <v>169</v>
      </c>
      <c r="E563" s="401" t="s">
        <v>1644</v>
      </c>
      <c r="F563" s="5" t="s">
        <v>1640</v>
      </c>
      <c r="G563" s="401"/>
      <c r="H563" s="1093" t="s">
        <v>511</v>
      </c>
      <c r="I563" s="1216" t="s">
        <v>3111</v>
      </c>
      <c r="J563" s="403">
        <v>60</v>
      </c>
      <c r="K563" s="403">
        <v>352</v>
      </c>
      <c r="L563" s="1093" t="s">
        <v>367</v>
      </c>
      <c r="M563" s="401"/>
      <c r="O563" s="404" t="s">
        <v>32</v>
      </c>
      <c r="P563" s="404" t="s">
        <v>32</v>
      </c>
      <c r="Q563" s="404" t="s">
        <v>178</v>
      </c>
      <c r="R563" s="404" t="s">
        <v>178</v>
      </c>
      <c r="S563" s="404" t="s">
        <v>2776</v>
      </c>
      <c r="T563" s="404" t="s">
        <v>3216</v>
      </c>
      <c r="U563" s="941">
        <v>0</v>
      </c>
      <c r="V563" s="941">
        <v>0</v>
      </c>
      <c r="W563" s="941">
        <v>0</v>
      </c>
      <c r="X563" s="941">
        <v>0</v>
      </c>
      <c r="Y563" s="941">
        <v>3</v>
      </c>
      <c r="Z563" s="941">
        <v>3</v>
      </c>
      <c r="AA563" s="942">
        <v>0</v>
      </c>
      <c r="AB563" s="942">
        <v>0</v>
      </c>
      <c r="AC563" s="942">
        <v>0</v>
      </c>
      <c r="AD563" s="942">
        <v>0</v>
      </c>
      <c r="AE563" s="942">
        <v>0</v>
      </c>
      <c r="AF563" s="942">
        <v>0</v>
      </c>
      <c r="AG563" s="943">
        <f>comparaison_samebasis_villages[[#This Row],[previous idp_ind]]-comparaison_samebasis_villages[[#This Row],[actual idp_ind]]</f>
        <v>0</v>
      </c>
      <c r="AH563" s="943">
        <f>comparaison_samebasis_villages[[#This Row],[previous ref_ind]]-comparaison_samebasis_villages[[#This Row],[actual ref_ind]]</f>
        <v>0</v>
      </c>
      <c r="AI563" s="943">
        <f>comparaison_samebasis_villages[[#This Row],[previous ret_ind]]-comparaison_samebasis_villages[[#This Row],[actual ret_ind]]</f>
        <v>-3</v>
      </c>
    </row>
    <row r="564" spans="1:35" ht="15.75" customHeight="1" x14ac:dyDescent="0.3">
      <c r="A564" s="401" t="s">
        <v>32</v>
      </c>
      <c r="B564" s="401" t="s">
        <v>32</v>
      </c>
      <c r="C564" s="401" t="s">
        <v>175</v>
      </c>
      <c r="D564" s="401" t="s">
        <v>175</v>
      </c>
      <c r="E564" s="401" t="s">
        <v>1478</v>
      </c>
      <c r="F564" s="5" t="s">
        <v>1479</v>
      </c>
      <c r="G564" s="401"/>
      <c r="H564" s="1093" t="s">
        <v>511</v>
      </c>
      <c r="I564" s="1216" t="s">
        <v>3112</v>
      </c>
      <c r="J564" s="403">
        <v>65</v>
      </c>
      <c r="K564" s="403">
        <v>405</v>
      </c>
      <c r="L564" s="1093" t="s">
        <v>367</v>
      </c>
      <c r="M564" s="401"/>
      <c r="O564" s="404" t="s">
        <v>32</v>
      </c>
      <c r="P564" s="404" t="s">
        <v>32</v>
      </c>
      <c r="Q564" s="404" t="s">
        <v>178</v>
      </c>
      <c r="R564" s="404" t="s">
        <v>178</v>
      </c>
      <c r="S564" s="404" t="s">
        <v>2787</v>
      </c>
      <c r="T564" s="404" t="s">
        <v>3219</v>
      </c>
      <c r="U564" s="941">
        <v>0</v>
      </c>
      <c r="V564" s="941">
        <v>0</v>
      </c>
      <c r="W564" s="941">
        <v>0</v>
      </c>
      <c r="X564" s="941">
        <v>0</v>
      </c>
      <c r="Y564" s="941">
        <v>42</v>
      </c>
      <c r="Z564" s="941">
        <v>42</v>
      </c>
      <c r="AA564" s="942">
        <v>0</v>
      </c>
      <c r="AB564" s="942">
        <v>0</v>
      </c>
      <c r="AC564" s="942">
        <v>0</v>
      </c>
      <c r="AD564" s="942">
        <v>0</v>
      </c>
      <c r="AE564" s="942">
        <v>7</v>
      </c>
      <c r="AF564" s="942">
        <v>27</v>
      </c>
      <c r="AG564" s="943">
        <f>comparaison_samebasis_villages[[#This Row],[previous idp_ind]]-comparaison_samebasis_villages[[#This Row],[actual idp_ind]]</f>
        <v>0</v>
      </c>
      <c r="AH564" s="943">
        <f>comparaison_samebasis_villages[[#This Row],[previous ref_ind]]-comparaison_samebasis_villages[[#This Row],[actual ref_ind]]</f>
        <v>0</v>
      </c>
      <c r="AI564" s="943">
        <f>comparaison_samebasis_villages[[#This Row],[previous ret_ind]]-comparaison_samebasis_villages[[#This Row],[actual ret_ind]]</f>
        <v>-15</v>
      </c>
    </row>
    <row r="565" spans="1:35" ht="15.75" customHeight="1" x14ac:dyDescent="0.3">
      <c r="A565" s="401" t="s">
        <v>32</v>
      </c>
      <c r="B565" s="401" t="s">
        <v>32</v>
      </c>
      <c r="C565" s="401" t="s">
        <v>175</v>
      </c>
      <c r="D565" s="401" t="s">
        <v>175</v>
      </c>
      <c r="E565" s="401" t="s">
        <v>1476</v>
      </c>
      <c r="F565" s="5" t="s">
        <v>1477</v>
      </c>
      <c r="G565" s="401"/>
      <c r="H565" s="1093" t="s">
        <v>511</v>
      </c>
      <c r="I565" s="1216" t="s">
        <v>3112</v>
      </c>
      <c r="J565" s="403">
        <v>90</v>
      </c>
      <c r="K565" s="403">
        <v>600</v>
      </c>
      <c r="L565" s="1093" t="s">
        <v>367</v>
      </c>
      <c r="M565" s="401"/>
      <c r="O565" s="404" t="s">
        <v>32</v>
      </c>
      <c r="P565" s="404" t="s">
        <v>32</v>
      </c>
      <c r="Q565" s="404" t="s">
        <v>178</v>
      </c>
      <c r="R565" s="404" t="s">
        <v>178</v>
      </c>
      <c r="S565" s="404" t="s">
        <v>2789</v>
      </c>
      <c r="T565" s="404" t="s">
        <v>3220</v>
      </c>
      <c r="U565" s="941">
        <v>0</v>
      </c>
      <c r="V565" s="941">
        <v>0</v>
      </c>
      <c r="W565" s="941">
        <v>0</v>
      </c>
      <c r="X565" s="941">
        <v>0</v>
      </c>
      <c r="Y565" s="941">
        <v>160</v>
      </c>
      <c r="Z565" s="941">
        <v>160</v>
      </c>
      <c r="AA565" s="942">
        <v>0</v>
      </c>
      <c r="AB565" s="942">
        <v>0</v>
      </c>
      <c r="AC565" s="942">
        <v>0</v>
      </c>
      <c r="AD565" s="942">
        <v>0</v>
      </c>
      <c r="AE565" s="942">
        <v>25</v>
      </c>
      <c r="AF565" s="942">
        <v>200</v>
      </c>
      <c r="AG565" s="943">
        <f>comparaison_samebasis_villages[[#This Row],[previous idp_ind]]-comparaison_samebasis_villages[[#This Row],[actual idp_ind]]</f>
        <v>0</v>
      </c>
      <c r="AH565" s="943">
        <f>comparaison_samebasis_villages[[#This Row],[previous ref_ind]]-comparaison_samebasis_villages[[#This Row],[actual ref_ind]]</f>
        <v>0</v>
      </c>
      <c r="AI565" s="943">
        <f>comparaison_samebasis_villages[[#This Row],[previous ret_ind]]-comparaison_samebasis_villages[[#This Row],[actual ret_ind]]</f>
        <v>40</v>
      </c>
    </row>
    <row r="566" spans="1:35" ht="15.75" customHeight="1" x14ac:dyDescent="0.3">
      <c r="A566" s="401" t="s">
        <v>32</v>
      </c>
      <c r="B566" s="401" t="s">
        <v>32</v>
      </c>
      <c r="C566" s="401" t="s">
        <v>175</v>
      </c>
      <c r="D566" s="401" t="s">
        <v>175</v>
      </c>
      <c r="E566" s="401" t="s">
        <v>550</v>
      </c>
      <c r="F566" s="5" t="s">
        <v>3149</v>
      </c>
      <c r="G566" s="401" t="s">
        <v>3149</v>
      </c>
      <c r="H566" s="1093" t="s">
        <v>511</v>
      </c>
      <c r="I566" s="1216" t="s">
        <v>3112</v>
      </c>
      <c r="J566" s="403">
        <v>50</v>
      </c>
      <c r="K566" s="403">
        <v>311</v>
      </c>
      <c r="L566" s="1093" t="s">
        <v>367</v>
      </c>
      <c r="M566" s="401"/>
      <c r="O566" s="404" t="s">
        <v>32</v>
      </c>
      <c r="P566" s="404" t="s">
        <v>32</v>
      </c>
      <c r="Q566" s="404" t="s">
        <v>178</v>
      </c>
      <c r="R566" s="404" t="s">
        <v>178</v>
      </c>
      <c r="S566" s="404" t="s">
        <v>2779</v>
      </c>
      <c r="T566" s="404" t="s">
        <v>3224</v>
      </c>
      <c r="U566" s="941">
        <v>0</v>
      </c>
      <c r="V566" s="941">
        <v>0</v>
      </c>
      <c r="W566" s="941">
        <v>0</v>
      </c>
      <c r="X566" s="941">
        <v>0</v>
      </c>
      <c r="Y566" s="941">
        <v>13</v>
      </c>
      <c r="Z566" s="941">
        <v>13</v>
      </c>
      <c r="AA566" s="942">
        <v>0</v>
      </c>
      <c r="AB566" s="942">
        <v>0</v>
      </c>
      <c r="AC566" s="942">
        <v>0</v>
      </c>
      <c r="AD566" s="942">
        <v>0</v>
      </c>
      <c r="AE566" s="942">
        <v>13</v>
      </c>
      <c r="AF566" s="942">
        <v>80</v>
      </c>
      <c r="AG566" s="943">
        <f>comparaison_samebasis_villages[[#This Row],[previous idp_ind]]-comparaison_samebasis_villages[[#This Row],[actual idp_ind]]</f>
        <v>0</v>
      </c>
      <c r="AH566" s="943">
        <f>comparaison_samebasis_villages[[#This Row],[previous ref_ind]]-comparaison_samebasis_villages[[#This Row],[actual ref_ind]]</f>
        <v>0</v>
      </c>
      <c r="AI566" s="943">
        <f>comparaison_samebasis_villages[[#This Row],[previous ret_ind]]-comparaison_samebasis_villages[[#This Row],[actual ret_ind]]</f>
        <v>67</v>
      </c>
    </row>
    <row r="567" spans="1:35" ht="15.75" customHeight="1" x14ac:dyDescent="0.3">
      <c r="A567" s="401" t="s">
        <v>32</v>
      </c>
      <c r="B567" s="401" t="s">
        <v>32</v>
      </c>
      <c r="C567" s="401" t="s">
        <v>175</v>
      </c>
      <c r="D567" s="401" t="s">
        <v>175</v>
      </c>
      <c r="E567" s="401" t="s">
        <v>1771</v>
      </c>
      <c r="F567" s="5" t="s">
        <v>1772</v>
      </c>
      <c r="G567" s="401"/>
      <c r="H567" s="1093" t="s">
        <v>511</v>
      </c>
      <c r="I567" s="1216" t="s">
        <v>3112</v>
      </c>
      <c r="J567" s="403">
        <v>121</v>
      </c>
      <c r="K567" s="403">
        <v>1350</v>
      </c>
      <c r="L567" s="1093" t="s">
        <v>367</v>
      </c>
      <c r="M567" s="401"/>
      <c r="O567" s="404" t="s">
        <v>32</v>
      </c>
      <c r="P567" s="404" t="s">
        <v>32</v>
      </c>
      <c r="Q567" s="404" t="s">
        <v>178</v>
      </c>
      <c r="R567" s="404" t="s">
        <v>178</v>
      </c>
      <c r="S567" s="404" t="s">
        <v>2777</v>
      </c>
      <c r="T567" s="404" t="s">
        <v>3228</v>
      </c>
      <c r="U567" s="941">
        <v>0</v>
      </c>
      <c r="V567" s="941">
        <v>0</v>
      </c>
      <c r="W567" s="941">
        <v>0</v>
      </c>
      <c r="X567" s="941">
        <v>0</v>
      </c>
      <c r="Y567" s="941">
        <v>21</v>
      </c>
      <c r="Z567" s="941">
        <v>21</v>
      </c>
      <c r="AA567" s="942">
        <v>0</v>
      </c>
      <c r="AB567" s="942">
        <v>0</v>
      </c>
      <c r="AC567" s="942">
        <v>0</v>
      </c>
      <c r="AD567" s="942">
        <v>0</v>
      </c>
      <c r="AE567" s="942">
        <v>10</v>
      </c>
      <c r="AF567" s="942">
        <v>50</v>
      </c>
      <c r="AG567" s="943">
        <f>comparaison_samebasis_villages[[#This Row],[previous idp_ind]]-comparaison_samebasis_villages[[#This Row],[actual idp_ind]]</f>
        <v>0</v>
      </c>
      <c r="AH567" s="943">
        <f>comparaison_samebasis_villages[[#This Row],[previous ref_ind]]-comparaison_samebasis_villages[[#This Row],[actual ref_ind]]</f>
        <v>0</v>
      </c>
      <c r="AI567" s="943">
        <f>comparaison_samebasis_villages[[#This Row],[previous ret_ind]]-comparaison_samebasis_villages[[#This Row],[actual ret_ind]]</f>
        <v>29</v>
      </c>
    </row>
    <row r="568" spans="1:35" ht="15.75" customHeight="1" x14ac:dyDescent="0.3">
      <c r="A568" s="401" t="s">
        <v>32</v>
      </c>
      <c r="B568" s="401" t="s">
        <v>32</v>
      </c>
      <c r="C568" s="401" t="s">
        <v>176</v>
      </c>
      <c r="D568" s="401" t="s">
        <v>176</v>
      </c>
      <c r="E568" s="401" t="s">
        <v>550</v>
      </c>
      <c r="F568" s="5" t="s">
        <v>3150</v>
      </c>
      <c r="G568" s="401" t="s">
        <v>3150</v>
      </c>
      <c r="H568" s="1093" t="s">
        <v>511</v>
      </c>
      <c r="I568" s="1216" t="s">
        <v>3112</v>
      </c>
      <c r="J568" s="403">
        <v>25</v>
      </c>
      <c r="K568" s="403">
        <v>280</v>
      </c>
      <c r="L568" s="1093" t="s">
        <v>365</v>
      </c>
      <c r="M568" s="401"/>
      <c r="O568" s="404" t="s">
        <v>32</v>
      </c>
      <c r="P568" s="404" t="s">
        <v>32</v>
      </c>
      <c r="Q568" s="404" t="s">
        <v>178</v>
      </c>
      <c r="R568" s="404" t="s">
        <v>178</v>
      </c>
      <c r="S568" s="404" t="s">
        <v>2781</v>
      </c>
      <c r="T568" s="404" t="s">
        <v>3229</v>
      </c>
      <c r="U568" s="941">
        <v>0</v>
      </c>
      <c r="V568" s="941">
        <v>0</v>
      </c>
      <c r="W568" s="941">
        <v>0</v>
      </c>
      <c r="X568" s="941">
        <v>0</v>
      </c>
      <c r="Y568" s="941">
        <v>20</v>
      </c>
      <c r="Z568" s="941">
        <v>20</v>
      </c>
      <c r="AA568" s="942">
        <v>0</v>
      </c>
      <c r="AB568" s="942">
        <v>0</v>
      </c>
      <c r="AC568" s="942">
        <v>0</v>
      </c>
      <c r="AD568" s="942">
        <v>0</v>
      </c>
      <c r="AE568" s="942">
        <v>13</v>
      </c>
      <c r="AF568" s="942">
        <v>60</v>
      </c>
      <c r="AG568" s="943">
        <f>comparaison_samebasis_villages[[#This Row],[previous idp_ind]]-comparaison_samebasis_villages[[#This Row],[actual idp_ind]]</f>
        <v>0</v>
      </c>
      <c r="AH568" s="943">
        <f>comparaison_samebasis_villages[[#This Row],[previous ref_ind]]-comparaison_samebasis_villages[[#This Row],[actual ref_ind]]</f>
        <v>0</v>
      </c>
      <c r="AI568" s="943">
        <f>comparaison_samebasis_villages[[#This Row],[previous ret_ind]]-comparaison_samebasis_villages[[#This Row],[actual ret_ind]]</f>
        <v>40</v>
      </c>
    </row>
    <row r="569" spans="1:35" ht="15.75" customHeight="1" x14ac:dyDescent="0.3">
      <c r="A569" s="401" t="s">
        <v>32</v>
      </c>
      <c r="B569" s="401" t="s">
        <v>32</v>
      </c>
      <c r="C569" s="401" t="s">
        <v>176</v>
      </c>
      <c r="D569" s="401" t="s">
        <v>176</v>
      </c>
      <c r="E569" s="401" t="s">
        <v>550</v>
      </c>
      <c r="F569" s="5" t="s">
        <v>3150</v>
      </c>
      <c r="G569" s="401" t="s">
        <v>3150</v>
      </c>
      <c r="H569" s="1093" t="s">
        <v>511</v>
      </c>
      <c r="I569" s="1216" t="s">
        <v>3111</v>
      </c>
      <c r="J569" s="403">
        <v>10</v>
      </c>
      <c r="K569" s="403">
        <v>100</v>
      </c>
      <c r="L569" s="1093" t="s">
        <v>365</v>
      </c>
      <c r="M569" s="401"/>
      <c r="O569" s="404" t="s">
        <v>32</v>
      </c>
      <c r="P569" s="404" t="s">
        <v>32</v>
      </c>
      <c r="Q569" s="404" t="s">
        <v>178</v>
      </c>
      <c r="R569" s="404" t="s">
        <v>178</v>
      </c>
      <c r="S569" s="404" t="s">
        <v>2790</v>
      </c>
      <c r="T569" s="404" t="s">
        <v>3230</v>
      </c>
      <c r="U569" s="941">
        <v>0</v>
      </c>
      <c r="V569" s="941">
        <v>0</v>
      </c>
      <c r="W569" s="941">
        <v>0</v>
      </c>
      <c r="X569" s="941">
        <v>0</v>
      </c>
      <c r="Y569" s="941">
        <v>32</v>
      </c>
      <c r="Z569" s="941">
        <v>32</v>
      </c>
      <c r="AA569" s="942">
        <v>0</v>
      </c>
      <c r="AB569" s="942">
        <v>0</v>
      </c>
      <c r="AC569" s="942">
        <v>0</v>
      </c>
      <c r="AD569" s="942">
        <v>0</v>
      </c>
      <c r="AE569" s="942">
        <v>5</v>
      </c>
      <c r="AF569" s="942">
        <v>40</v>
      </c>
      <c r="AG569" s="943">
        <f>comparaison_samebasis_villages[[#This Row],[previous idp_ind]]-comparaison_samebasis_villages[[#This Row],[actual idp_ind]]</f>
        <v>0</v>
      </c>
      <c r="AH569" s="943">
        <f>comparaison_samebasis_villages[[#This Row],[previous ref_ind]]-comparaison_samebasis_villages[[#This Row],[actual ref_ind]]</f>
        <v>0</v>
      </c>
      <c r="AI569" s="943">
        <f>comparaison_samebasis_villages[[#This Row],[previous ret_ind]]-comparaison_samebasis_villages[[#This Row],[actual ret_ind]]</f>
        <v>8</v>
      </c>
    </row>
    <row r="570" spans="1:35" ht="15.75" customHeight="1" x14ac:dyDescent="0.3">
      <c r="A570" s="401" t="s">
        <v>32</v>
      </c>
      <c r="B570" s="401" t="s">
        <v>32</v>
      </c>
      <c r="C570" s="401" t="s">
        <v>176</v>
      </c>
      <c r="D570" s="401" t="s">
        <v>176</v>
      </c>
      <c r="E570" s="401" t="s">
        <v>550</v>
      </c>
      <c r="F570" s="5" t="s">
        <v>3150</v>
      </c>
      <c r="G570" s="401" t="s">
        <v>3150</v>
      </c>
      <c r="H570" s="1093" t="s">
        <v>511</v>
      </c>
      <c r="I570" s="1216" t="s">
        <v>3110</v>
      </c>
      <c r="J570" s="403">
        <v>5</v>
      </c>
      <c r="K570" s="403">
        <v>35</v>
      </c>
      <c r="L570" s="1093" t="s">
        <v>365</v>
      </c>
      <c r="M570" s="401"/>
      <c r="O570" s="404" t="s">
        <v>32</v>
      </c>
      <c r="P570" s="404" t="s">
        <v>32</v>
      </c>
      <c r="Q570" s="404" t="s">
        <v>178</v>
      </c>
      <c r="R570" s="404" t="s">
        <v>178</v>
      </c>
      <c r="S570" s="404" t="s">
        <v>2778</v>
      </c>
      <c r="T570" s="404" t="s">
        <v>3231</v>
      </c>
      <c r="U570" s="941">
        <v>0</v>
      </c>
      <c r="V570" s="941">
        <v>0</v>
      </c>
      <c r="W570" s="941">
        <v>0</v>
      </c>
      <c r="X570" s="941">
        <v>0</v>
      </c>
      <c r="Y570" s="941">
        <v>41</v>
      </c>
      <c r="Z570" s="941">
        <v>41</v>
      </c>
      <c r="AA570" s="942">
        <v>0</v>
      </c>
      <c r="AB570" s="942">
        <v>0</v>
      </c>
      <c r="AC570" s="942">
        <v>0</v>
      </c>
      <c r="AD570" s="942">
        <v>0</v>
      </c>
      <c r="AE570" s="942">
        <v>23</v>
      </c>
      <c r="AF570" s="942">
        <v>100</v>
      </c>
      <c r="AG570" s="943">
        <f>comparaison_samebasis_villages[[#This Row],[previous idp_ind]]-comparaison_samebasis_villages[[#This Row],[actual idp_ind]]</f>
        <v>0</v>
      </c>
      <c r="AH570" s="943">
        <f>comparaison_samebasis_villages[[#This Row],[previous ref_ind]]-comparaison_samebasis_villages[[#This Row],[actual ref_ind]]</f>
        <v>0</v>
      </c>
      <c r="AI570" s="943">
        <f>comparaison_samebasis_villages[[#This Row],[previous ret_ind]]-comparaison_samebasis_villages[[#This Row],[actual ret_ind]]</f>
        <v>59</v>
      </c>
    </row>
    <row r="571" spans="1:35" ht="15.75" customHeight="1" x14ac:dyDescent="0.3">
      <c r="A571" s="401" t="s">
        <v>32</v>
      </c>
      <c r="B571" s="401" t="s">
        <v>32</v>
      </c>
      <c r="C571" s="401" t="s">
        <v>176</v>
      </c>
      <c r="D571" s="401" t="s">
        <v>176</v>
      </c>
      <c r="E571" s="401" t="s">
        <v>550</v>
      </c>
      <c r="F571" s="5" t="s">
        <v>3152</v>
      </c>
      <c r="G571" s="401" t="s">
        <v>3152</v>
      </c>
      <c r="H571" s="1093" t="s">
        <v>511</v>
      </c>
      <c r="I571" s="1216" t="s">
        <v>3112</v>
      </c>
      <c r="J571" s="403">
        <v>0</v>
      </c>
      <c r="K571" s="403">
        <v>4</v>
      </c>
      <c r="L571" s="1093" t="s">
        <v>371</v>
      </c>
      <c r="M571" s="401"/>
      <c r="O571" s="404" t="s">
        <v>32</v>
      </c>
      <c r="P571" s="404" t="s">
        <v>32</v>
      </c>
      <c r="Q571" s="404" t="s">
        <v>178</v>
      </c>
      <c r="R571" s="404" t="s">
        <v>178</v>
      </c>
      <c r="S571" s="404" t="s">
        <v>2782</v>
      </c>
      <c r="T571" s="404" t="s">
        <v>3316</v>
      </c>
      <c r="U571" s="941">
        <v>0</v>
      </c>
      <c r="V571" s="941">
        <v>0</v>
      </c>
      <c r="W571" s="941">
        <v>0</v>
      </c>
      <c r="X571" s="941">
        <v>0</v>
      </c>
      <c r="Y571" s="941">
        <v>62</v>
      </c>
      <c r="Z571" s="941">
        <v>62</v>
      </c>
      <c r="AA571" s="942">
        <v>0</v>
      </c>
      <c r="AB571" s="942">
        <v>0</v>
      </c>
      <c r="AC571" s="942">
        <v>0</v>
      </c>
      <c r="AD571" s="942">
        <v>0</v>
      </c>
      <c r="AE571" s="942">
        <v>20</v>
      </c>
      <c r="AF571" s="942">
        <v>158</v>
      </c>
      <c r="AG571" s="943">
        <f>comparaison_samebasis_villages[[#This Row],[previous idp_ind]]-comparaison_samebasis_villages[[#This Row],[actual idp_ind]]</f>
        <v>0</v>
      </c>
      <c r="AH571" s="943">
        <f>comparaison_samebasis_villages[[#This Row],[previous ref_ind]]-comparaison_samebasis_villages[[#This Row],[actual ref_ind]]</f>
        <v>0</v>
      </c>
      <c r="AI571" s="943">
        <f>comparaison_samebasis_villages[[#This Row],[previous ret_ind]]-comparaison_samebasis_villages[[#This Row],[actual ret_ind]]</f>
        <v>96</v>
      </c>
    </row>
    <row r="572" spans="1:35" ht="15.75" customHeight="1" x14ac:dyDescent="0.3">
      <c r="A572" s="401" t="s">
        <v>32</v>
      </c>
      <c r="B572" s="401" t="s">
        <v>32</v>
      </c>
      <c r="C572" s="401" t="s">
        <v>176</v>
      </c>
      <c r="D572" s="401" t="s">
        <v>176</v>
      </c>
      <c r="E572" s="401" t="s">
        <v>550</v>
      </c>
      <c r="F572" s="5" t="s">
        <v>3152</v>
      </c>
      <c r="G572" s="401" t="s">
        <v>3152</v>
      </c>
      <c r="H572" s="1093" t="s">
        <v>511</v>
      </c>
      <c r="I572" s="1216" t="s">
        <v>3111</v>
      </c>
      <c r="J572" s="403">
        <v>20</v>
      </c>
      <c r="K572" s="403">
        <v>190</v>
      </c>
      <c r="L572" s="1093" t="s">
        <v>371</v>
      </c>
      <c r="M572" s="401"/>
      <c r="O572" s="404" t="s">
        <v>32</v>
      </c>
      <c r="P572" s="404" t="s">
        <v>32</v>
      </c>
      <c r="Q572" s="404" t="s">
        <v>178</v>
      </c>
      <c r="R572" s="404" t="s">
        <v>178</v>
      </c>
      <c r="S572" s="404" t="s">
        <v>2788</v>
      </c>
      <c r="T572" s="404" t="s">
        <v>3317</v>
      </c>
      <c r="U572" s="941">
        <v>0</v>
      </c>
      <c r="V572" s="941">
        <v>0</v>
      </c>
      <c r="W572" s="941">
        <v>0</v>
      </c>
      <c r="X572" s="941">
        <v>0</v>
      </c>
      <c r="Y572" s="941">
        <v>7</v>
      </c>
      <c r="Z572" s="941">
        <v>7</v>
      </c>
      <c r="AA572" s="942">
        <v>0</v>
      </c>
      <c r="AB572" s="942">
        <v>0</v>
      </c>
      <c r="AC572" s="942">
        <v>0</v>
      </c>
      <c r="AD572" s="942">
        <v>0</v>
      </c>
      <c r="AE572" s="942">
        <v>7</v>
      </c>
      <c r="AF572" s="942">
        <v>47</v>
      </c>
      <c r="AG572" s="943">
        <f>comparaison_samebasis_villages[[#This Row],[previous idp_ind]]-comparaison_samebasis_villages[[#This Row],[actual idp_ind]]</f>
        <v>0</v>
      </c>
      <c r="AH572" s="943">
        <f>comparaison_samebasis_villages[[#This Row],[previous ref_ind]]-comparaison_samebasis_villages[[#This Row],[actual ref_ind]]</f>
        <v>0</v>
      </c>
      <c r="AI572" s="943">
        <f>comparaison_samebasis_villages[[#This Row],[previous ret_ind]]-comparaison_samebasis_villages[[#This Row],[actual ret_ind]]</f>
        <v>40</v>
      </c>
    </row>
    <row r="573" spans="1:35" ht="15.75" customHeight="1" x14ac:dyDescent="0.3">
      <c r="A573" s="401" t="s">
        <v>32</v>
      </c>
      <c r="B573" s="401" t="s">
        <v>32</v>
      </c>
      <c r="C573" s="401" t="s">
        <v>176</v>
      </c>
      <c r="D573" s="401" t="s">
        <v>176</v>
      </c>
      <c r="E573" s="401" t="s">
        <v>2265</v>
      </c>
      <c r="F573" s="5" t="s">
        <v>2266</v>
      </c>
      <c r="G573" s="401"/>
      <c r="H573" s="1093" t="s">
        <v>511</v>
      </c>
      <c r="I573" s="1216" t="s">
        <v>3112</v>
      </c>
      <c r="J573" s="403">
        <v>34</v>
      </c>
      <c r="K573" s="403">
        <v>184</v>
      </c>
      <c r="L573" s="1093" t="s">
        <v>365</v>
      </c>
      <c r="M573" s="401"/>
      <c r="O573" s="404" t="s">
        <v>31</v>
      </c>
      <c r="P573" s="404" t="s">
        <v>31</v>
      </c>
      <c r="Q573" s="404" t="s">
        <v>171</v>
      </c>
      <c r="R573" s="404" t="s">
        <v>171</v>
      </c>
      <c r="S573" s="404" t="s">
        <v>2589</v>
      </c>
      <c r="T573" s="404" t="s">
        <v>2588</v>
      </c>
      <c r="U573" s="941">
        <v>20</v>
      </c>
      <c r="V573" s="941">
        <v>100</v>
      </c>
      <c r="W573" s="941">
        <v>0</v>
      </c>
      <c r="X573" s="941">
        <v>0</v>
      </c>
      <c r="Y573" s="941">
        <v>0</v>
      </c>
      <c r="Z573" s="941">
        <v>0</v>
      </c>
      <c r="AA573" s="942">
        <v>20</v>
      </c>
      <c r="AB573" s="942">
        <v>100</v>
      </c>
      <c r="AC573" s="942">
        <v>0</v>
      </c>
      <c r="AD573" s="942">
        <v>0</v>
      </c>
      <c r="AE573" s="942">
        <v>0</v>
      </c>
      <c r="AF573" s="942">
        <v>0</v>
      </c>
      <c r="AG573" s="943">
        <f>comparaison_samebasis_villages[[#This Row],[previous idp_ind]]-comparaison_samebasis_villages[[#This Row],[actual idp_ind]]</f>
        <v>0</v>
      </c>
      <c r="AH573" s="943">
        <f>comparaison_samebasis_villages[[#This Row],[previous ref_ind]]-comparaison_samebasis_villages[[#This Row],[actual ref_ind]]</f>
        <v>0</v>
      </c>
      <c r="AI573" s="943">
        <f>comparaison_samebasis_villages[[#This Row],[previous ret_ind]]-comparaison_samebasis_villages[[#This Row],[actual ret_ind]]</f>
        <v>0</v>
      </c>
    </row>
    <row r="574" spans="1:35" ht="15.75" customHeight="1" x14ac:dyDescent="0.3">
      <c r="A574" s="401" t="s">
        <v>32</v>
      </c>
      <c r="B574" s="401" t="s">
        <v>32</v>
      </c>
      <c r="C574" s="401" t="s">
        <v>176</v>
      </c>
      <c r="D574" s="401" t="s">
        <v>176</v>
      </c>
      <c r="E574" s="401" t="s">
        <v>550</v>
      </c>
      <c r="F574" s="5" t="s">
        <v>3153</v>
      </c>
      <c r="G574" s="401" t="s">
        <v>3153</v>
      </c>
      <c r="H574" s="1093" t="s">
        <v>511</v>
      </c>
      <c r="I574" s="1216" t="s">
        <v>3112</v>
      </c>
      <c r="J574" s="403">
        <v>6</v>
      </c>
      <c r="K574" s="403">
        <v>70</v>
      </c>
      <c r="L574" s="1093" t="s">
        <v>365</v>
      </c>
      <c r="M574" s="401"/>
      <c r="O574" s="404" t="s">
        <v>31</v>
      </c>
      <c r="P574" s="404" t="s">
        <v>31</v>
      </c>
      <c r="Q574" s="404" t="s">
        <v>171</v>
      </c>
      <c r="R574" s="404" t="s">
        <v>171</v>
      </c>
      <c r="S574" s="404" t="s">
        <v>1321</v>
      </c>
      <c r="T574" s="404" t="s">
        <v>1320</v>
      </c>
      <c r="U574" s="941">
        <v>16</v>
      </c>
      <c r="V574" s="941">
        <v>92</v>
      </c>
      <c r="W574" s="941">
        <v>25</v>
      </c>
      <c r="X574" s="941">
        <v>76</v>
      </c>
      <c r="Y574" s="941">
        <v>4</v>
      </c>
      <c r="Z574" s="941">
        <v>4</v>
      </c>
      <c r="AA574" s="942">
        <v>10</v>
      </c>
      <c r="AB574" s="942">
        <v>57</v>
      </c>
      <c r="AC574" s="942">
        <v>25</v>
      </c>
      <c r="AD574" s="942">
        <v>76</v>
      </c>
      <c r="AE574" s="942">
        <v>4</v>
      </c>
      <c r="AF574" s="942">
        <v>28</v>
      </c>
      <c r="AG574" s="943">
        <f>comparaison_samebasis_villages[[#This Row],[previous idp_ind]]-comparaison_samebasis_villages[[#This Row],[actual idp_ind]]</f>
        <v>-35</v>
      </c>
      <c r="AH574" s="943">
        <f>comparaison_samebasis_villages[[#This Row],[previous ref_ind]]-comparaison_samebasis_villages[[#This Row],[actual ref_ind]]</f>
        <v>0</v>
      </c>
      <c r="AI574" s="943">
        <f>comparaison_samebasis_villages[[#This Row],[previous ret_ind]]-comparaison_samebasis_villages[[#This Row],[actual ret_ind]]</f>
        <v>24</v>
      </c>
    </row>
    <row r="575" spans="1:35" ht="15.75" customHeight="1" x14ac:dyDescent="0.3">
      <c r="A575" s="401" t="s">
        <v>31</v>
      </c>
      <c r="B575" s="401" t="s">
        <v>31</v>
      </c>
      <c r="C575" s="401" t="s">
        <v>170</v>
      </c>
      <c r="D575" s="401" t="s">
        <v>170</v>
      </c>
      <c r="E575" s="401" t="s">
        <v>1367</v>
      </c>
      <c r="F575" s="5" t="s">
        <v>1368</v>
      </c>
      <c r="G575" s="401"/>
      <c r="H575" s="1093" t="s">
        <v>511</v>
      </c>
      <c r="I575" s="1216" t="s">
        <v>3112</v>
      </c>
      <c r="J575" s="403">
        <v>3</v>
      </c>
      <c r="K575" s="403">
        <v>15</v>
      </c>
      <c r="L575" s="1093" t="s">
        <v>383</v>
      </c>
      <c r="M575" s="401" t="s">
        <v>3371</v>
      </c>
      <c r="O575" s="399" t="s">
        <v>31</v>
      </c>
      <c r="P575" s="399" t="s">
        <v>31</v>
      </c>
      <c r="Q575" s="399" t="s">
        <v>171</v>
      </c>
      <c r="R575" s="399" t="s">
        <v>171</v>
      </c>
      <c r="S575" s="399" t="s">
        <v>1319</v>
      </c>
      <c r="T575" s="399" t="s">
        <v>1318</v>
      </c>
      <c r="U575" s="941">
        <v>936</v>
      </c>
      <c r="V575" s="941">
        <v>8361</v>
      </c>
      <c r="W575" s="941">
        <v>52</v>
      </c>
      <c r="X575" s="941">
        <v>474</v>
      </c>
      <c r="Y575" s="941">
        <v>887</v>
      </c>
      <c r="Z575" s="941">
        <v>887</v>
      </c>
      <c r="AA575" s="942">
        <v>931</v>
      </c>
      <c r="AB575" s="942">
        <v>8346</v>
      </c>
      <c r="AC575" s="942">
        <v>52</v>
      </c>
      <c r="AD575" s="942">
        <v>474</v>
      </c>
      <c r="AE575" s="942">
        <v>887</v>
      </c>
      <c r="AF575" s="942">
        <v>7299</v>
      </c>
      <c r="AG575" s="943">
        <f>comparaison_samebasis_villages[[#This Row],[previous idp_ind]]-comparaison_samebasis_villages[[#This Row],[actual idp_ind]]</f>
        <v>-15</v>
      </c>
      <c r="AH575" s="943">
        <f>comparaison_samebasis_villages[[#This Row],[previous ref_ind]]-comparaison_samebasis_villages[[#This Row],[actual ref_ind]]</f>
        <v>0</v>
      </c>
      <c r="AI575" s="943">
        <f>comparaison_samebasis_villages[[#This Row],[previous ret_ind]]-comparaison_samebasis_villages[[#This Row],[actual ret_ind]]</f>
        <v>6412</v>
      </c>
    </row>
    <row r="576" spans="1:35" ht="15.75" customHeight="1" x14ac:dyDescent="0.3">
      <c r="A576" s="401" t="s">
        <v>32</v>
      </c>
      <c r="B576" s="401" t="s">
        <v>32</v>
      </c>
      <c r="C576" s="401" t="s">
        <v>176</v>
      </c>
      <c r="D576" s="401" t="s">
        <v>176</v>
      </c>
      <c r="E576" s="401" t="s">
        <v>2233</v>
      </c>
      <c r="F576" s="5" t="s">
        <v>2234</v>
      </c>
      <c r="G576" s="401"/>
      <c r="H576" s="1093" t="s">
        <v>511</v>
      </c>
      <c r="I576" s="1216" t="s">
        <v>3112</v>
      </c>
      <c r="J576" s="403">
        <v>42</v>
      </c>
      <c r="K576" s="403">
        <v>340</v>
      </c>
      <c r="L576" s="1093" t="s">
        <v>365</v>
      </c>
      <c r="M576" s="401"/>
      <c r="O576" s="399" t="s">
        <v>31</v>
      </c>
      <c r="P576" s="399" t="s">
        <v>31</v>
      </c>
      <c r="Q576" s="399" t="s">
        <v>171</v>
      </c>
      <c r="R576" s="399" t="s">
        <v>171</v>
      </c>
      <c r="S576" s="399" t="s">
        <v>1304</v>
      </c>
      <c r="T576" s="399" t="s">
        <v>1303</v>
      </c>
      <c r="U576" s="941">
        <v>443</v>
      </c>
      <c r="V576" s="941">
        <v>3791</v>
      </c>
      <c r="W576" s="941">
        <v>397</v>
      </c>
      <c r="X576" s="941">
        <v>3500</v>
      </c>
      <c r="Y576" s="941">
        <v>0</v>
      </c>
      <c r="Z576" s="941">
        <v>0</v>
      </c>
      <c r="AA576" s="942">
        <v>440</v>
      </c>
      <c r="AB576" s="942">
        <v>3776</v>
      </c>
      <c r="AC576" s="942">
        <v>398</v>
      </c>
      <c r="AD576" s="942">
        <v>3503</v>
      </c>
      <c r="AE576" s="942">
        <v>0</v>
      </c>
      <c r="AF576" s="942">
        <v>0</v>
      </c>
      <c r="AG576" s="943">
        <f>comparaison_samebasis_villages[[#This Row],[previous idp_ind]]-comparaison_samebasis_villages[[#This Row],[actual idp_ind]]</f>
        <v>-15</v>
      </c>
      <c r="AH576" s="943">
        <f>comparaison_samebasis_villages[[#This Row],[previous ref_ind]]-comparaison_samebasis_villages[[#This Row],[actual ref_ind]]</f>
        <v>3</v>
      </c>
      <c r="AI576" s="943">
        <f>comparaison_samebasis_villages[[#This Row],[previous ret_ind]]-comparaison_samebasis_villages[[#This Row],[actual ret_ind]]</f>
        <v>0</v>
      </c>
    </row>
    <row r="577" spans="1:35" ht="15.75" customHeight="1" x14ac:dyDescent="0.3">
      <c r="A577" s="401" t="s">
        <v>32</v>
      </c>
      <c r="B577" s="401" t="s">
        <v>32</v>
      </c>
      <c r="C577" s="401" t="s">
        <v>176</v>
      </c>
      <c r="D577" s="401" t="s">
        <v>176</v>
      </c>
      <c r="E577" s="401" t="s">
        <v>1739</v>
      </c>
      <c r="F577" s="5" t="s">
        <v>1740</v>
      </c>
      <c r="G577" s="401"/>
      <c r="H577" s="1093" t="s">
        <v>511</v>
      </c>
      <c r="I577" s="1216" t="s">
        <v>3033</v>
      </c>
      <c r="J577" s="403">
        <v>535</v>
      </c>
      <c r="K577" s="403">
        <v>4240</v>
      </c>
      <c r="L577" s="1093" t="s">
        <v>365</v>
      </c>
      <c r="M577" s="401"/>
      <c r="O577" s="399" t="s">
        <v>31</v>
      </c>
      <c r="P577" s="399" t="s">
        <v>31</v>
      </c>
      <c r="Q577" s="399" t="s">
        <v>171</v>
      </c>
      <c r="R577" s="399" t="s">
        <v>171</v>
      </c>
      <c r="S577" s="399" t="s">
        <v>2591</v>
      </c>
      <c r="T577" s="399" t="s">
        <v>2590</v>
      </c>
      <c r="U577" s="941">
        <v>0</v>
      </c>
      <c r="V577" s="941">
        <v>0</v>
      </c>
      <c r="W577" s="941">
        <v>0</v>
      </c>
      <c r="X577" s="941">
        <v>0</v>
      </c>
      <c r="Y577" s="941">
        <v>0</v>
      </c>
      <c r="Z577" s="941">
        <v>0</v>
      </c>
      <c r="AA577" s="942">
        <v>0</v>
      </c>
      <c r="AB577" s="942">
        <v>0</v>
      </c>
      <c r="AC577" s="942">
        <v>0</v>
      </c>
      <c r="AD577" s="942">
        <v>0</v>
      </c>
      <c r="AE577" s="942">
        <v>0</v>
      </c>
      <c r="AF577" s="942">
        <v>0</v>
      </c>
      <c r="AG577" s="943">
        <f>comparaison_samebasis_villages[[#This Row],[previous idp_ind]]-comparaison_samebasis_villages[[#This Row],[actual idp_ind]]</f>
        <v>0</v>
      </c>
      <c r="AH577" s="943">
        <f>comparaison_samebasis_villages[[#This Row],[previous ref_ind]]-comparaison_samebasis_villages[[#This Row],[actual ref_ind]]</f>
        <v>0</v>
      </c>
      <c r="AI577" s="943">
        <f>comparaison_samebasis_villages[[#This Row],[previous ret_ind]]-comparaison_samebasis_villages[[#This Row],[actual ret_ind]]</f>
        <v>0</v>
      </c>
    </row>
    <row r="578" spans="1:35" ht="15.75" customHeight="1" x14ac:dyDescent="0.3">
      <c r="A578" s="401" t="s">
        <v>32</v>
      </c>
      <c r="B578" s="401" t="s">
        <v>32</v>
      </c>
      <c r="C578" s="401" t="s">
        <v>176</v>
      </c>
      <c r="D578" s="401" t="s">
        <v>176</v>
      </c>
      <c r="E578" s="401" t="s">
        <v>1739</v>
      </c>
      <c r="F578" s="5" t="s">
        <v>1740</v>
      </c>
      <c r="G578" s="401"/>
      <c r="H578" s="1093" t="s">
        <v>511</v>
      </c>
      <c r="I578" s="1216" t="s">
        <v>3112</v>
      </c>
      <c r="J578" s="403">
        <v>13</v>
      </c>
      <c r="K578" s="403">
        <v>90</v>
      </c>
      <c r="L578" s="1093" t="s">
        <v>365</v>
      </c>
      <c r="M578" s="401"/>
      <c r="O578" s="404" t="s">
        <v>31</v>
      </c>
      <c r="P578" s="404" t="s">
        <v>31</v>
      </c>
      <c r="Q578" s="404" t="s">
        <v>171</v>
      </c>
      <c r="R578" s="404" t="s">
        <v>171</v>
      </c>
      <c r="S578" s="404" t="s">
        <v>1245</v>
      </c>
      <c r="T578" s="404" t="s">
        <v>1244</v>
      </c>
      <c r="U578" s="941">
        <v>50</v>
      </c>
      <c r="V578" s="941">
        <v>210</v>
      </c>
      <c r="W578" s="941">
        <v>0</v>
      </c>
      <c r="X578" s="941">
        <v>0</v>
      </c>
      <c r="Y578" s="941">
        <v>0</v>
      </c>
      <c r="Z578" s="941">
        <v>0</v>
      </c>
      <c r="AA578" s="942">
        <v>0</v>
      </c>
      <c r="AB578" s="942">
        <v>0</v>
      </c>
      <c r="AC578" s="942">
        <v>0</v>
      </c>
      <c r="AD578" s="942">
        <v>0</v>
      </c>
      <c r="AE578" s="942">
        <v>0</v>
      </c>
      <c r="AF578" s="942">
        <v>0</v>
      </c>
      <c r="AG578" s="943">
        <f>comparaison_samebasis_villages[[#This Row],[previous idp_ind]]-comparaison_samebasis_villages[[#This Row],[actual idp_ind]]</f>
        <v>-210</v>
      </c>
      <c r="AH578" s="943">
        <f>comparaison_samebasis_villages[[#This Row],[previous ref_ind]]-comparaison_samebasis_villages[[#This Row],[actual ref_ind]]</f>
        <v>0</v>
      </c>
      <c r="AI578" s="943">
        <f>comparaison_samebasis_villages[[#This Row],[previous ret_ind]]-comparaison_samebasis_villages[[#This Row],[actual ret_ind]]</f>
        <v>0</v>
      </c>
    </row>
    <row r="579" spans="1:35" ht="15.75" customHeight="1" x14ac:dyDescent="0.3">
      <c r="A579" s="401" t="s">
        <v>32</v>
      </c>
      <c r="B579" s="401" t="s">
        <v>32</v>
      </c>
      <c r="C579" s="401" t="s">
        <v>176</v>
      </c>
      <c r="D579" s="401" t="s">
        <v>176</v>
      </c>
      <c r="E579" s="401" t="s">
        <v>1739</v>
      </c>
      <c r="F579" s="5" t="s">
        <v>1740</v>
      </c>
      <c r="G579" s="401"/>
      <c r="H579" s="1093" t="s">
        <v>511</v>
      </c>
      <c r="I579" s="1216" t="s">
        <v>3111</v>
      </c>
      <c r="J579" s="403">
        <v>0</v>
      </c>
      <c r="K579" s="403">
        <v>8</v>
      </c>
      <c r="L579" s="1093" t="s">
        <v>365</v>
      </c>
      <c r="M579" s="401"/>
      <c r="O579" s="404" t="s">
        <v>31</v>
      </c>
      <c r="P579" s="404" t="s">
        <v>31</v>
      </c>
      <c r="Q579" s="404" t="s">
        <v>171</v>
      </c>
      <c r="R579" s="404" t="s">
        <v>171</v>
      </c>
      <c r="S579" s="404" t="s">
        <v>1251</v>
      </c>
      <c r="T579" s="404" t="s">
        <v>1250</v>
      </c>
      <c r="U579" s="941">
        <v>11</v>
      </c>
      <c r="V579" s="941">
        <v>53</v>
      </c>
      <c r="W579" s="941">
        <v>2</v>
      </c>
      <c r="X579" s="941">
        <v>13</v>
      </c>
      <c r="Y579" s="941">
        <v>0</v>
      </c>
      <c r="Z579" s="941">
        <v>0</v>
      </c>
      <c r="AA579" s="942">
        <v>8</v>
      </c>
      <c r="AB579" s="942">
        <v>38</v>
      </c>
      <c r="AC579" s="942">
        <v>2</v>
      </c>
      <c r="AD579" s="942">
        <v>13</v>
      </c>
      <c r="AE579" s="942">
        <v>0</v>
      </c>
      <c r="AF579" s="942">
        <v>0</v>
      </c>
      <c r="AG579" s="943">
        <f>comparaison_samebasis_villages[[#This Row],[previous idp_ind]]-comparaison_samebasis_villages[[#This Row],[actual idp_ind]]</f>
        <v>-15</v>
      </c>
      <c r="AH579" s="943">
        <f>comparaison_samebasis_villages[[#This Row],[previous ref_ind]]-comparaison_samebasis_villages[[#This Row],[actual ref_ind]]</f>
        <v>0</v>
      </c>
      <c r="AI579" s="943">
        <f>comparaison_samebasis_villages[[#This Row],[previous ret_ind]]-comparaison_samebasis_villages[[#This Row],[actual ret_ind]]</f>
        <v>0</v>
      </c>
    </row>
    <row r="580" spans="1:35" ht="15.75" customHeight="1" x14ac:dyDescent="0.3">
      <c r="A580" s="401" t="s">
        <v>31</v>
      </c>
      <c r="B580" s="401" t="s">
        <v>31</v>
      </c>
      <c r="C580" s="401" t="s">
        <v>169</v>
      </c>
      <c r="D580" s="401" t="s">
        <v>169</v>
      </c>
      <c r="E580" s="401" t="s">
        <v>3204</v>
      </c>
      <c r="F580" s="5" t="s">
        <v>3076</v>
      </c>
      <c r="G580" s="401"/>
      <c r="H580" s="1093" t="s">
        <v>511</v>
      </c>
      <c r="I580" s="1216" t="s">
        <v>3111</v>
      </c>
      <c r="J580" s="403">
        <v>58</v>
      </c>
      <c r="K580" s="403">
        <v>316</v>
      </c>
      <c r="L580" s="1093" t="s">
        <v>367</v>
      </c>
      <c r="M580" s="401"/>
      <c r="O580" s="404" t="s">
        <v>31</v>
      </c>
      <c r="P580" s="404" t="s">
        <v>31</v>
      </c>
      <c r="Q580" s="404" t="s">
        <v>171</v>
      </c>
      <c r="R580" s="404" t="s">
        <v>171</v>
      </c>
      <c r="S580" s="404" t="s">
        <v>857</v>
      </c>
      <c r="T580" s="404" t="s">
        <v>856</v>
      </c>
      <c r="U580" s="941">
        <v>66</v>
      </c>
      <c r="V580" s="941">
        <v>552</v>
      </c>
      <c r="W580" s="941">
        <v>0</v>
      </c>
      <c r="X580" s="941">
        <v>0</v>
      </c>
      <c r="Y580" s="941">
        <v>0</v>
      </c>
      <c r="Z580" s="941">
        <v>0</v>
      </c>
      <c r="AA580" s="942">
        <v>66</v>
      </c>
      <c r="AB580" s="942">
        <v>552</v>
      </c>
      <c r="AC580" s="942">
        <v>0</v>
      </c>
      <c r="AD580" s="942">
        <v>0</v>
      </c>
      <c r="AE580" s="942">
        <v>0</v>
      </c>
      <c r="AF580" s="942">
        <v>0</v>
      </c>
      <c r="AG580" s="943">
        <f>comparaison_samebasis_villages[[#This Row],[previous idp_ind]]-comparaison_samebasis_villages[[#This Row],[actual idp_ind]]</f>
        <v>0</v>
      </c>
      <c r="AH580" s="943">
        <f>comparaison_samebasis_villages[[#This Row],[previous ref_ind]]-comparaison_samebasis_villages[[#This Row],[actual ref_ind]]</f>
        <v>0</v>
      </c>
      <c r="AI580" s="943">
        <f>comparaison_samebasis_villages[[#This Row],[previous ret_ind]]-comparaison_samebasis_villages[[#This Row],[actual ret_ind]]</f>
        <v>0</v>
      </c>
    </row>
    <row r="581" spans="1:35" ht="15.75" customHeight="1" x14ac:dyDescent="0.3">
      <c r="A581" s="401" t="s">
        <v>31</v>
      </c>
      <c r="B581" s="401" t="s">
        <v>31</v>
      </c>
      <c r="C581" s="401" t="s">
        <v>169</v>
      </c>
      <c r="D581" s="401" t="s">
        <v>169</v>
      </c>
      <c r="E581" s="401" t="s">
        <v>3204</v>
      </c>
      <c r="F581" s="5" t="s">
        <v>3076</v>
      </c>
      <c r="G581" s="401"/>
      <c r="H581" s="1093" t="s">
        <v>511</v>
      </c>
      <c r="I581" s="1216" t="s">
        <v>3112</v>
      </c>
      <c r="J581" s="403">
        <v>13</v>
      </c>
      <c r="K581" s="403">
        <v>90</v>
      </c>
      <c r="L581" s="1093" t="s">
        <v>367</v>
      </c>
      <c r="M581" s="401"/>
      <c r="O581" s="399" t="s">
        <v>31</v>
      </c>
      <c r="P581" s="399" t="s">
        <v>31</v>
      </c>
      <c r="Q581" s="399" t="s">
        <v>171</v>
      </c>
      <c r="R581" s="399" t="s">
        <v>171</v>
      </c>
      <c r="S581" s="399" t="s">
        <v>862</v>
      </c>
      <c r="T581" s="399" t="s">
        <v>861</v>
      </c>
      <c r="U581" s="941">
        <v>10</v>
      </c>
      <c r="V581" s="941">
        <v>69</v>
      </c>
      <c r="W581" s="941">
        <v>0</v>
      </c>
      <c r="X581" s="941">
        <v>0</v>
      </c>
      <c r="Y581" s="941">
        <v>0</v>
      </c>
      <c r="Z581" s="941">
        <v>0</v>
      </c>
      <c r="AA581" s="942">
        <v>10</v>
      </c>
      <c r="AB581" s="942">
        <v>69</v>
      </c>
      <c r="AC581" s="942">
        <v>0</v>
      </c>
      <c r="AD581" s="942">
        <v>0</v>
      </c>
      <c r="AE581" s="942">
        <v>0</v>
      </c>
      <c r="AF581" s="942">
        <v>0</v>
      </c>
      <c r="AG581" s="943">
        <f>comparaison_samebasis_villages[[#This Row],[previous idp_ind]]-comparaison_samebasis_villages[[#This Row],[actual idp_ind]]</f>
        <v>0</v>
      </c>
      <c r="AH581" s="943">
        <f>comparaison_samebasis_villages[[#This Row],[previous ref_ind]]-comparaison_samebasis_villages[[#This Row],[actual ref_ind]]</f>
        <v>0</v>
      </c>
      <c r="AI581" s="943">
        <f>comparaison_samebasis_villages[[#This Row],[previous ret_ind]]-comparaison_samebasis_villages[[#This Row],[actual ret_ind]]</f>
        <v>0</v>
      </c>
    </row>
    <row r="582" spans="1:35" ht="15.75" customHeight="1" x14ac:dyDescent="0.3">
      <c r="A582" s="401" t="s">
        <v>31</v>
      </c>
      <c r="B582" s="401" t="s">
        <v>31</v>
      </c>
      <c r="C582" s="401" t="s">
        <v>169</v>
      </c>
      <c r="D582" s="401" t="s">
        <v>169</v>
      </c>
      <c r="E582" s="401" t="s">
        <v>2990</v>
      </c>
      <c r="F582" s="5" t="s">
        <v>2331</v>
      </c>
      <c r="G582" s="401"/>
      <c r="H582" s="1093" t="s">
        <v>511</v>
      </c>
      <c r="I582" s="1216" t="s">
        <v>3111</v>
      </c>
      <c r="J582" s="403">
        <v>5</v>
      </c>
      <c r="K582" s="403">
        <v>15</v>
      </c>
      <c r="L582" s="1093" t="s">
        <v>367</v>
      </c>
      <c r="M582" s="401"/>
      <c r="O582" s="404" t="s">
        <v>31</v>
      </c>
      <c r="P582" s="404" t="s">
        <v>31</v>
      </c>
      <c r="Q582" s="404" t="s">
        <v>171</v>
      </c>
      <c r="R582" s="404" t="s">
        <v>171</v>
      </c>
      <c r="S582" s="404" t="s">
        <v>1156</v>
      </c>
      <c r="T582" s="404" t="s">
        <v>1155</v>
      </c>
      <c r="U582" s="941">
        <v>5</v>
      </c>
      <c r="V582" s="941">
        <v>22</v>
      </c>
      <c r="W582" s="941">
        <v>10</v>
      </c>
      <c r="X582" s="941">
        <v>40</v>
      </c>
      <c r="Y582" s="941">
        <v>0</v>
      </c>
      <c r="Z582" s="941">
        <v>0</v>
      </c>
      <c r="AA582" s="942">
        <v>15</v>
      </c>
      <c r="AB582" s="942">
        <v>75</v>
      </c>
      <c r="AC582" s="942">
        <v>10</v>
      </c>
      <c r="AD582" s="942">
        <v>49</v>
      </c>
      <c r="AE582" s="942">
        <v>3</v>
      </c>
      <c r="AF582" s="942">
        <v>17</v>
      </c>
      <c r="AG582" s="943">
        <f>comparaison_samebasis_villages[[#This Row],[previous idp_ind]]-comparaison_samebasis_villages[[#This Row],[actual idp_ind]]</f>
        <v>53</v>
      </c>
      <c r="AH582" s="943">
        <f>comparaison_samebasis_villages[[#This Row],[previous ref_ind]]-comparaison_samebasis_villages[[#This Row],[actual ref_ind]]</f>
        <v>9</v>
      </c>
      <c r="AI582" s="943">
        <f>comparaison_samebasis_villages[[#This Row],[previous ret_ind]]-comparaison_samebasis_villages[[#This Row],[actual ret_ind]]</f>
        <v>17</v>
      </c>
    </row>
    <row r="583" spans="1:35" ht="15.75" customHeight="1" x14ac:dyDescent="0.3">
      <c r="A583" s="401" t="s">
        <v>31</v>
      </c>
      <c r="B583" s="401" t="s">
        <v>31</v>
      </c>
      <c r="C583" s="401" t="s">
        <v>169</v>
      </c>
      <c r="D583" s="401" t="s">
        <v>169</v>
      </c>
      <c r="E583" s="401" t="s">
        <v>2990</v>
      </c>
      <c r="F583" s="5" t="s">
        <v>2331</v>
      </c>
      <c r="G583" s="401"/>
      <c r="H583" s="1093" t="s">
        <v>511</v>
      </c>
      <c r="I583" s="1216" t="s">
        <v>3112</v>
      </c>
      <c r="J583" s="403">
        <v>10</v>
      </c>
      <c r="K583" s="403">
        <v>92</v>
      </c>
      <c r="L583" s="1093" t="s">
        <v>367</v>
      </c>
      <c r="M583" s="401"/>
      <c r="O583" s="399" t="s">
        <v>31</v>
      </c>
      <c r="P583" s="399" t="s">
        <v>31</v>
      </c>
      <c r="Q583" s="399" t="s">
        <v>171</v>
      </c>
      <c r="R583" s="399" t="s">
        <v>171</v>
      </c>
      <c r="S583" s="399" t="s">
        <v>1880</v>
      </c>
      <c r="T583" s="399" t="s">
        <v>1879</v>
      </c>
      <c r="U583" s="941">
        <v>16</v>
      </c>
      <c r="V583" s="941">
        <v>109</v>
      </c>
      <c r="W583" s="941">
        <v>0</v>
      </c>
      <c r="X583" s="941">
        <v>0</v>
      </c>
      <c r="Y583" s="941">
        <v>0</v>
      </c>
      <c r="Z583" s="941">
        <v>0</v>
      </c>
      <c r="AA583" s="942">
        <v>16</v>
      </c>
      <c r="AB583" s="942">
        <v>109</v>
      </c>
      <c r="AC583" s="942">
        <v>0</v>
      </c>
      <c r="AD583" s="942">
        <v>0</v>
      </c>
      <c r="AE583" s="942">
        <v>0</v>
      </c>
      <c r="AF583" s="942">
        <v>0</v>
      </c>
      <c r="AG583" s="943">
        <f>comparaison_samebasis_villages[[#This Row],[previous idp_ind]]-comparaison_samebasis_villages[[#This Row],[actual idp_ind]]</f>
        <v>0</v>
      </c>
      <c r="AH583" s="943">
        <f>comparaison_samebasis_villages[[#This Row],[previous ref_ind]]-comparaison_samebasis_villages[[#This Row],[actual ref_ind]]</f>
        <v>0</v>
      </c>
      <c r="AI583" s="943">
        <f>comparaison_samebasis_villages[[#This Row],[previous ret_ind]]-comparaison_samebasis_villages[[#This Row],[actual ret_ind]]</f>
        <v>0</v>
      </c>
    </row>
    <row r="584" spans="1:35" ht="15.75" customHeight="1" x14ac:dyDescent="0.3">
      <c r="A584" s="401" t="s">
        <v>32</v>
      </c>
      <c r="B584" s="401" t="s">
        <v>32</v>
      </c>
      <c r="C584" s="401" t="s">
        <v>181</v>
      </c>
      <c r="D584" s="401" t="s">
        <v>181</v>
      </c>
      <c r="E584" s="401" t="s">
        <v>1664</v>
      </c>
      <c r="F584" s="5" t="s">
        <v>1665</v>
      </c>
      <c r="G584" s="401"/>
      <c r="H584" s="1093" t="s">
        <v>511</v>
      </c>
      <c r="I584" s="1216" t="s">
        <v>3112</v>
      </c>
      <c r="J584" s="403">
        <v>172</v>
      </c>
      <c r="K584" s="403">
        <v>860</v>
      </c>
      <c r="L584" s="1093" t="s">
        <v>375</v>
      </c>
      <c r="M584" s="401"/>
      <c r="O584" s="399" t="s">
        <v>31</v>
      </c>
      <c r="P584" s="399" t="s">
        <v>31</v>
      </c>
      <c r="Q584" s="399" t="s">
        <v>171</v>
      </c>
      <c r="R584" s="399" t="s">
        <v>171</v>
      </c>
      <c r="S584" s="399" t="s">
        <v>1899</v>
      </c>
      <c r="T584" s="399" t="s">
        <v>1898</v>
      </c>
      <c r="U584" s="941">
        <v>8</v>
      </c>
      <c r="V584" s="941">
        <v>38</v>
      </c>
      <c r="W584" s="941">
        <v>8</v>
      </c>
      <c r="X584" s="941">
        <v>9</v>
      </c>
      <c r="Y584" s="941">
        <v>0</v>
      </c>
      <c r="Z584" s="941">
        <v>0</v>
      </c>
      <c r="AA584" s="942">
        <v>6</v>
      </c>
      <c r="AB584" s="942">
        <v>25</v>
      </c>
      <c r="AC584" s="942">
        <v>8</v>
      </c>
      <c r="AD584" s="942">
        <v>12</v>
      </c>
      <c r="AE584" s="942">
        <v>0</v>
      </c>
      <c r="AF584" s="942">
        <v>0</v>
      </c>
      <c r="AG584" s="943">
        <f>comparaison_samebasis_villages[[#This Row],[previous idp_ind]]-comparaison_samebasis_villages[[#This Row],[actual idp_ind]]</f>
        <v>-13</v>
      </c>
      <c r="AH584" s="943">
        <f>comparaison_samebasis_villages[[#This Row],[previous ref_ind]]-comparaison_samebasis_villages[[#This Row],[actual ref_ind]]</f>
        <v>3</v>
      </c>
      <c r="AI584" s="943">
        <f>comparaison_samebasis_villages[[#This Row],[previous ret_ind]]-comparaison_samebasis_villages[[#This Row],[actual ret_ind]]</f>
        <v>0</v>
      </c>
    </row>
    <row r="585" spans="1:35" ht="15.75" customHeight="1" x14ac:dyDescent="0.3">
      <c r="A585" s="401" t="s">
        <v>32</v>
      </c>
      <c r="B585" s="401" t="s">
        <v>32</v>
      </c>
      <c r="C585" s="401" t="s">
        <v>181</v>
      </c>
      <c r="D585" s="401" t="s">
        <v>181</v>
      </c>
      <c r="E585" s="401" t="s">
        <v>2320</v>
      </c>
      <c r="F585" s="5" t="s">
        <v>821</v>
      </c>
      <c r="G585" s="401"/>
      <c r="H585" s="1093" t="s">
        <v>511</v>
      </c>
      <c r="I585" s="1216" t="s">
        <v>3033</v>
      </c>
      <c r="J585" s="403">
        <v>4</v>
      </c>
      <c r="K585" s="403">
        <v>26</v>
      </c>
      <c r="L585" s="1093" t="s">
        <v>367</v>
      </c>
      <c r="M585" s="401"/>
      <c r="O585" s="404" t="s">
        <v>31</v>
      </c>
      <c r="P585" s="404" t="s">
        <v>31</v>
      </c>
      <c r="Q585" s="404" t="s">
        <v>171</v>
      </c>
      <c r="R585" s="404" t="s">
        <v>171</v>
      </c>
      <c r="S585" s="404" t="s">
        <v>821</v>
      </c>
      <c r="T585" s="404" t="s">
        <v>820</v>
      </c>
      <c r="U585" s="941">
        <v>4</v>
      </c>
      <c r="V585" s="941">
        <v>37</v>
      </c>
      <c r="W585" s="941">
        <v>0</v>
      </c>
      <c r="X585" s="941">
        <v>0</v>
      </c>
      <c r="Y585" s="941">
        <v>0</v>
      </c>
      <c r="Z585" s="941">
        <v>0</v>
      </c>
      <c r="AA585" s="942">
        <v>4</v>
      </c>
      <c r="AB585" s="942">
        <v>37</v>
      </c>
      <c r="AC585" s="942">
        <v>0</v>
      </c>
      <c r="AD585" s="942">
        <v>0</v>
      </c>
      <c r="AE585" s="942">
        <v>0</v>
      </c>
      <c r="AF585" s="942">
        <v>0</v>
      </c>
      <c r="AG585" s="943">
        <f>comparaison_samebasis_villages[[#This Row],[previous idp_ind]]-comparaison_samebasis_villages[[#This Row],[actual idp_ind]]</f>
        <v>0</v>
      </c>
      <c r="AH585" s="943">
        <f>comparaison_samebasis_villages[[#This Row],[previous ref_ind]]-comparaison_samebasis_villages[[#This Row],[actual ref_ind]]</f>
        <v>0</v>
      </c>
      <c r="AI585" s="943">
        <f>comparaison_samebasis_villages[[#This Row],[previous ret_ind]]-comparaison_samebasis_villages[[#This Row],[actual ret_ind]]</f>
        <v>0</v>
      </c>
    </row>
    <row r="586" spans="1:35" ht="15.75" customHeight="1" x14ac:dyDescent="0.3">
      <c r="A586" s="401" t="s">
        <v>32</v>
      </c>
      <c r="B586" s="401" t="s">
        <v>32</v>
      </c>
      <c r="C586" s="401" t="s">
        <v>181</v>
      </c>
      <c r="D586" s="401" t="s">
        <v>181</v>
      </c>
      <c r="E586" s="401" t="s">
        <v>2320</v>
      </c>
      <c r="F586" s="5" t="s">
        <v>821</v>
      </c>
      <c r="G586" s="401"/>
      <c r="H586" s="1093" t="s">
        <v>511</v>
      </c>
      <c r="I586" s="1216" t="s">
        <v>3109</v>
      </c>
      <c r="J586" s="403">
        <v>1</v>
      </c>
      <c r="K586" s="403">
        <v>1</v>
      </c>
      <c r="L586" s="1093" t="s">
        <v>365</v>
      </c>
      <c r="M586" s="401"/>
      <c r="O586" s="404" t="s">
        <v>31</v>
      </c>
      <c r="P586" s="404" t="s">
        <v>31</v>
      </c>
      <c r="Q586" s="404" t="s">
        <v>171</v>
      </c>
      <c r="R586" s="404" t="s">
        <v>171</v>
      </c>
      <c r="S586" s="404" t="s">
        <v>1979</v>
      </c>
      <c r="T586" s="404" t="s">
        <v>1978</v>
      </c>
      <c r="U586" s="941">
        <v>20</v>
      </c>
      <c r="V586" s="941">
        <v>123</v>
      </c>
      <c r="W586" s="941">
        <v>0</v>
      </c>
      <c r="X586" s="941">
        <v>0</v>
      </c>
      <c r="Y586" s="941">
        <v>0</v>
      </c>
      <c r="Z586" s="941">
        <v>0</v>
      </c>
      <c r="AA586" s="942">
        <v>20</v>
      </c>
      <c r="AB586" s="942">
        <v>123</v>
      </c>
      <c r="AC586" s="942">
        <v>0</v>
      </c>
      <c r="AD586" s="942">
        <v>0</v>
      </c>
      <c r="AE586" s="942">
        <v>0</v>
      </c>
      <c r="AF586" s="942">
        <v>0</v>
      </c>
      <c r="AG586" s="943">
        <f>comparaison_samebasis_villages[[#This Row],[previous idp_ind]]-comparaison_samebasis_villages[[#This Row],[actual idp_ind]]</f>
        <v>0</v>
      </c>
      <c r="AH586" s="943">
        <f>comparaison_samebasis_villages[[#This Row],[previous ref_ind]]-comparaison_samebasis_villages[[#This Row],[actual ref_ind]]</f>
        <v>0</v>
      </c>
      <c r="AI586" s="943">
        <f>comparaison_samebasis_villages[[#This Row],[previous ret_ind]]-comparaison_samebasis_villages[[#This Row],[actual ret_ind]]</f>
        <v>0</v>
      </c>
    </row>
    <row r="587" spans="1:35" ht="15.75" customHeight="1" x14ac:dyDescent="0.3">
      <c r="A587" s="401" t="s">
        <v>32</v>
      </c>
      <c r="B587" s="401" t="s">
        <v>32</v>
      </c>
      <c r="C587" s="401" t="s">
        <v>181</v>
      </c>
      <c r="D587" s="401" t="s">
        <v>181</v>
      </c>
      <c r="E587" s="401" t="s">
        <v>2320</v>
      </c>
      <c r="F587" s="5" t="s">
        <v>821</v>
      </c>
      <c r="G587" s="401"/>
      <c r="H587" s="1093" t="s">
        <v>511</v>
      </c>
      <c r="I587" s="1216" t="s">
        <v>3112</v>
      </c>
      <c r="J587" s="403">
        <v>0</v>
      </c>
      <c r="K587" s="403">
        <v>2</v>
      </c>
      <c r="L587" s="1093" t="s">
        <v>367</v>
      </c>
      <c r="M587" s="401"/>
      <c r="O587" s="404" t="s">
        <v>31</v>
      </c>
      <c r="P587" s="404" t="s">
        <v>31</v>
      </c>
      <c r="Q587" s="404" t="s">
        <v>171</v>
      </c>
      <c r="R587" s="404" t="s">
        <v>171</v>
      </c>
      <c r="S587" s="404" t="s">
        <v>1541</v>
      </c>
      <c r="T587" s="404" t="s">
        <v>1540</v>
      </c>
      <c r="U587" s="941">
        <v>153</v>
      </c>
      <c r="V587" s="941">
        <v>837</v>
      </c>
      <c r="W587" s="941">
        <v>65</v>
      </c>
      <c r="X587" s="941">
        <v>470</v>
      </c>
      <c r="Y587" s="941">
        <v>0</v>
      </c>
      <c r="Z587" s="941">
        <v>0</v>
      </c>
      <c r="AA587" s="942">
        <v>153</v>
      </c>
      <c r="AB587" s="942">
        <v>837</v>
      </c>
      <c r="AC587" s="942">
        <v>65</v>
      </c>
      <c r="AD587" s="942">
        <v>470</v>
      </c>
      <c r="AE587" s="942">
        <v>0</v>
      </c>
      <c r="AF587" s="942">
        <v>0</v>
      </c>
      <c r="AG587" s="943">
        <f>comparaison_samebasis_villages[[#This Row],[previous idp_ind]]-comparaison_samebasis_villages[[#This Row],[actual idp_ind]]</f>
        <v>0</v>
      </c>
      <c r="AH587" s="943">
        <f>comparaison_samebasis_villages[[#This Row],[previous ref_ind]]-comparaison_samebasis_villages[[#This Row],[actual ref_ind]]</f>
        <v>0</v>
      </c>
      <c r="AI587" s="943">
        <f>comparaison_samebasis_villages[[#This Row],[previous ret_ind]]-comparaison_samebasis_villages[[#This Row],[actual ret_ind]]</f>
        <v>0</v>
      </c>
    </row>
    <row r="588" spans="1:35" ht="15.75" customHeight="1" x14ac:dyDescent="0.3">
      <c r="A588" s="401" t="s">
        <v>32</v>
      </c>
      <c r="B588" s="401" t="s">
        <v>32</v>
      </c>
      <c r="C588" s="401" t="s">
        <v>181</v>
      </c>
      <c r="D588" s="401" t="s">
        <v>181</v>
      </c>
      <c r="E588" s="401" t="s">
        <v>550</v>
      </c>
      <c r="F588" s="5" t="s">
        <v>3155</v>
      </c>
      <c r="G588" s="401" t="s">
        <v>3155</v>
      </c>
      <c r="H588" s="1093" t="s">
        <v>511</v>
      </c>
      <c r="I588" s="1216" t="s">
        <v>3112</v>
      </c>
      <c r="J588" s="403">
        <v>141</v>
      </c>
      <c r="K588" s="403">
        <v>1742</v>
      </c>
      <c r="L588" s="1093" t="s">
        <v>375</v>
      </c>
      <c r="M588" s="401"/>
      <c r="O588" s="404" t="s">
        <v>31</v>
      </c>
      <c r="P588" s="404" t="s">
        <v>31</v>
      </c>
      <c r="Q588" s="404" t="s">
        <v>171</v>
      </c>
      <c r="R588" s="404" t="s">
        <v>171</v>
      </c>
      <c r="S588" s="404" t="s">
        <v>1148</v>
      </c>
      <c r="T588" s="404" t="s">
        <v>1147</v>
      </c>
      <c r="U588" s="941">
        <v>86</v>
      </c>
      <c r="V588" s="941">
        <v>300</v>
      </c>
      <c r="W588" s="941">
        <v>95</v>
      </c>
      <c r="X588" s="941">
        <v>845</v>
      </c>
      <c r="Y588" s="941">
        <v>6</v>
      </c>
      <c r="Z588" s="941">
        <v>6</v>
      </c>
      <c r="AA588" s="942">
        <v>86</v>
      </c>
      <c r="AB588" s="942">
        <v>407</v>
      </c>
      <c r="AC588" s="942">
        <v>295</v>
      </c>
      <c r="AD588" s="942">
        <v>2451</v>
      </c>
      <c r="AE588" s="942">
        <v>14</v>
      </c>
      <c r="AF588" s="942">
        <v>58</v>
      </c>
      <c r="AG588" s="943">
        <f>comparaison_samebasis_villages[[#This Row],[previous idp_ind]]-comparaison_samebasis_villages[[#This Row],[actual idp_ind]]</f>
        <v>107</v>
      </c>
      <c r="AH588" s="943">
        <f>comparaison_samebasis_villages[[#This Row],[previous ref_ind]]-comparaison_samebasis_villages[[#This Row],[actual ref_ind]]</f>
        <v>1606</v>
      </c>
      <c r="AI588" s="943">
        <f>comparaison_samebasis_villages[[#This Row],[previous ret_ind]]-comparaison_samebasis_villages[[#This Row],[actual ret_ind]]</f>
        <v>52</v>
      </c>
    </row>
    <row r="589" spans="1:35" ht="15.75" customHeight="1" x14ac:dyDescent="0.3">
      <c r="A589" s="401" t="s">
        <v>32</v>
      </c>
      <c r="B589" s="401" t="s">
        <v>32</v>
      </c>
      <c r="C589" s="401" t="s">
        <v>174</v>
      </c>
      <c r="D589" s="401" t="s">
        <v>174</v>
      </c>
      <c r="E589" s="401" t="s">
        <v>1659</v>
      </c>
      <c r="F589" s="5" t="s">
        <v>1660</v>
      </c>
      <c r="G589" s="401"/>
      <c r="H589" s="1093" t="s">
        <v>511</v>
      </c>
      <c r="I589" s="1216" t="s">
        <v>3112</v>
      </c>
      <c r="J589" s="403">
        <v>12</v>
      </c>
      <c r="K589" s="403">
        <v>68</v>
      </c>
      <c r="L589" s="1093" t="s">
        <v>365</v>
      </c>
      <c r="M589" s="401"/>
      <c r="O589" s="404" t="s">
        <v>31</v>
      </c>
      <c r="P589" s="404" t="s">
        <v>31</v>
      </c>
      <c r="Q589" s="404" t="s">
        <v>171</v>
      </c>
      <c r="R589" s="404" t="s">
        <v>171</v>
      </c>
      <c r="S589" s="404" t="s">
        <v>1277</v>
      </c>
      <c r="T589" s="404" t="s">
        <v>2823</v>
      </c>
      <c r="U589" s="941">
        <v>7</v>
      </c>
      <c r="V589" s="941">
        <v>20</v>
      </c>
      <c r="W589" s="941">
        <v>0</v>
      </c>
      <c r="X589" s="941">
        <v>0</v>
      </c>
      <c r="Y589" s="941">
        <v>0</v>
      </c>
      <c r="Z589" s="941">
        <v>0</v>
      </c>
      <c r="AA589" s="942">
        <v>5</v>
      </c>
      <c r="AB589" s="942">
        <v>20</v>
      </c>
      <c r="AC589" s="942">
        <v>0</v>
      </c>
      <c r="AD589" s="942">
        <v>0</v>
      </c>
      <c r="AE589" s="942">
        <v>0</v>
      </c>
      <c r="AF589" s="942">
        <v>0</v>
      </c>
      <c r="AG589" s="943">
        <f>comparaison_samebasis_villages[[#This Row],[previous idp_ind]]-comparaison_samebasis_villages[[#This Row],[actual idp_ind]]</f>
        <v>0</v>
      </c>
      <c r="AH589" s="943">
        <f>comparaison_samebasis_villages[[#This Row],[previous ref_ind]]-comparaison_samebasis_villages[[#This Row],[actual ref_ind]]</f>
        <v>0</v>
      </c>
      <c r="AI589" s="943">
        <f>comparaison_samebasis_villages[[#This Row],[previous ret_ind]]-comparaison_samebasis_villages[[#This Row],[actual ret_ind]]</f>
        <v>0</v>
      </c>
    </row>
    <row r="590" spans="1:35" ht="15.75" customHeight="1" x14ac:dyDescent="0.3">
      <c r="A590" s="401" t="s">
        <v>32</v>
      </c>
      <c r="B590" s="401" t="s">
        <v>32</v>
      </c>
      <c r="C590" s="401" t="s">
        <v>180</v>
      </c>
      <c r="D590" s="401" t="s">
        <v>180</v>
      </c>
      <c r="E590" s="401" t="s">
        <v>550</v>
      </c>
      <c r="F590" s="5" t="s">
        <v>3156</v>
      </c>
      <c r="G590" s="401" t="s">
        <v>3156</v>
      </c>
      <c r="H590" s="1093" t="s">
        <v>511</v>
      </c>
      <c r="I590" s="1216" t="s">
        <v>3112</v>
      </c>
      <c r="J590" s="403">
        <v>776</v>
      </c>
      <c r="K590" s="403">
        <v>6208</v>
      </c>
      <c r="L590" s="1093" t="s">
        <v>379</v>
      </c>
      <c r="M590" s="401"/>
      <c r="O590" s="404" t="s">
        <v>31</v>
      </c>
      <c r="P590" s="404" t="s">
        <v>31</v>
      </c>
      <c r="Q590" s="404" t="s">
        <v>171</v>
      </c>
      <c r="R590" s="404" t="s">
        <v>171</v>
      </c>
      <c r="S590" s="404" t="s">
        <v>1897</v>
      </c>
      <c r="T590" s="404" t="s">
        <v>1276</v>
      </c>
      <c r="U590" s="941">
        <v>14</v>
      </c>
      <c r="V590" s="941">
        <v>70</v>
      </c>
      <c r="W590" s="941">
        <v>51</v>
      </c>
      <c r="X590" s="941">
        <v>431</v>
      </c>
      <c r="Y590" s="941">
        <v>0</v>
      </c>
      <c r="Z590" s="941">
        <v>0</v>
      </c>
      <c r="AA590" s="942">
        <v>3</v>
      </c>
      <c r="AB590" s="942">
        <v>11</v>
      </c>
      <c r="AC590" s="942">
        <v>7</v>
      </c>
      <c r="AD590" s="942">
        <v>25</v>
      </c>
      <c r="AE590" s="942">
        <v>0</v>
      </c>
      <c r="AF590" s="942">
        <v>0</v>
      </c>
      <c r="AG590" s="943">
        <f>comparaison_samebasis_villages[[#This Row],[previous idp_ind]]-comparaison_samebasis_villages[[#This Row],[actual idp_ind]]</f>
        <v>-59</v>
      </c>
      <c r="AH590" s="943">
        <f>comparaison_samebasis_villages[[#This Row],[previous ref_ind]]-comparaison_samebasis_villages[[#This Row],[actual ref_ind]]</f>
        <v>-406</v>
      </c>
      <c r="AI590" s="943">
        <f>comparaison_samebasis_villages[[#This Row],[previous ret_ind]]-comparaison_samebasis_villages[[#This Row],[actual ret_ind]]</f>
        <v>0</v>
      </c>
    </row>
    <row r="591" spans="1:35" ht="15.75" customHeight="1" x14ac:dyDescent="0.3">
      <c r="A591" s="401" t="s">
        <v>32</v>
      </c>
      <c r="B591" s="401" t="s">
        <v>32</v>
      </c>
      <c r="C591" s="401" t="s">
        <v>180</v>
      </c>
      <c r="D591" s="401" t="s">
        <v>180</v>
      </c>
      <c r="E591" s="401" t="s">
        <v>1656</v>
      </c>
      <c r="F591" s="5" t="s">
        <v>1657</v>
      </c>
      <c r="G591" s="401"/>
      <c r="H591" s="1093" t="s">
        <v>511</v>
      </c>
      <c r="I591" s="1216" t="s">
        <v>3112</v>
      </c>
      <c r="J591" s="403">
        <v>50</v>
      </c>
      <c r="K591" s="403">
        <v>800</v>
      </c>
      <c r="L591" s="1093" t="s">
        <v>367</v>
      </c>
      <c r="M591" s="401"/>
      <c r="O591" s="404" t="s">
        <v>31</v>
      </c>
      <c r="P591" s="404" t="s">
        <v>31</v>
      </c>
      <c r="Q591" s="404" t="s">
        <v>171</v>
      </c>
      <c r="R591" s="404" t="s">
        <v>171</v>
      </c>
      <c r="S591" s="404" t="s">
        <v>1338</v>
      </c>
      <c r="T591" s="404" t="s">
        <v>1896</v>
      </c>
      <c r="U591" s="941">
        <v>7</v>
      </c>
      <c r="V591" s="941">
        <v>30</v>
      </c>
      <c r="W591" s="941">
        <v>13</v>
      </c>
      <c r="X591" s="941">
        <v>68</v>
      </c>
      <c r="Y591" s="941">
        <v>0</v>
      </c>
      <c r="Z591" s="941">
        <v>0</v>
      </c>
      <c r="AA591" s="942">
        <v>6</v>
      </c>
      <c r="AB591" s="942">
        <v>28</v>
      </c>
      <c r="AC591" s="942">
        <v>18</v>
      </c>
      <c r="AD591" s="942">
        <v>68</v>
      </c>
      <c r="AE591" s="942">
        <v>0</v>
      </c>
      <c r="AF591" s="942">
        <v>0</v>
      </c>
      <c r="AG591" s="943">
        <f>comparaison_samebasis_villages[[#This Row],[previous idp_ind]]-comparaison_samebasis_villages[[#This Row],[actual idp_ind]]</f>
        <v>-2</v>
      </c>
      <c r="AH591" s="943">
        <f>comparaison_samebasis_villages[[#This Row],[previous ref_ind]]-comparaison_samebasis_villages[[#This Row],[actual ref_ind]]</f>
        <v>0</v>
      </c>
      <c r="AI591" s="943">
        <f>comparaison_samebasis_villages[[#This Row],[previous ret_ind]]-comparaison_samebasis_villages[[#This Row],[actual ret_ind]]</f>
        <v>0</v>
      </c>
    </row>
    <row r="592" spans="1:35" ht="15.75" customHeight="1" x14ac:dyDescent="0.3">
      <c r="A592" s="401" t="s">
        <v>32</v>
      </c>
      <c r="B592" s="401" t="s">
        <v>32</v>
      </c>
      <c r="C592" s="401" t="s">
        <v>180</v>
      </c>
      <c r="D592" s="401" t="s">
        <v>180</v>
      </c>
      <c r="E592" s="401" t="s">
        <v>550</v>
      </c>
      <c r="F592" s="5" t="s">
        <v>3157</v>
      </c>
      <c r="G592" s="401" t="s">
        <v>3157</v>
      </c>
      <c r="H592" s="1093" t="s">
        <v>511</v>
      </c>
      <c r="I592" s="1216" t="s">
        <v>3112</v>
      </c>
      <c r="J592" s="403">
        <v>1098</v>
      </c>
      <c r="K592" s="403">
        <v>7686</v>
      </c>
      <c r="L592" s="1093" t="s">
        <v>371</v>
      </c>
      <c r="M592" s="401"/>
      <c r="O592" s="404" t="s">
        <v>31</v>
      </c>
      <c r="P592" s="404" t="s">
        <v>31</v>
      </c>
      <c r="Q592" s="404" t="s">
        <v>171</v>
      </c>
      <c r="R592" s="404" t="s">
        <v>171</v>
      </c>
      <c r="S592" s="404" t="s">
        <v>1426</v>
      </c>
      <c r="T592" s="404" t="s">
        <v>1337</v>
      </c>
      <c r="U592" s="941">
        <v>40</v>
      </c>
      <c r="V592" s="941">
        <v>301</v>
      </c>
      <c r="W592" s="941">
        <v>185</v>
      </c>
      <c r="X592" s="941">
        <v>1122</v>
      </c>
      <c r="Y592" s="941">
        <v>10</v>
      </c>
      <c r="Z592" s="941">
        <v>10</v>
      </c>
      <c r="AA592" s="942">
        <v>40</v>
      </c>
      <c r="AB592" s="942">
        <v>301</v>
      </c>
      <c r="AC592" s="942">
        <v>185</v>
      </c>
      <c r="AD592" s="942">
        <v>1122</v>
      </c>
      <c r="AE592" s="942">
        <v>10</v>
      </c>
      <c r="AF592" s="942">
        <v>51</v>
      </c>
      <c r="AG592" s="943">
        <f>comparaison_samebasis_villages[[#This Row],[previous idp_ind]]-comparaison_samebasis_villages[[#This Row],[actual idp_ind]]</f>
        <v>0</v>
      </c>
      <c r="AH592" s="943">
        <f>comparaison_samebasis_villages[[#This Row],[previous ref_ind]]-comparaison_samebasis_villages[[#This Row],[actual ref_ind]]</f>
        <v>0</v>
      </c>
      <c r="AI592" s="943">
        <f>comparaison_samebasis_villages[[#This Row],[previous ret_ind]]-comparaison_samebasis_villages[[#This Row],[actual ret_ind]]</f>
        <v>41</v>
      </c>
    </row>
    <row r="593" spans="1:35" ht="15.75" customHeight="1" x14ac:dyDescent="0.3">
      <c r="A593" s="401" t="s">
        <v>32</v>
      </c>
      <c r="B593" s="401" t="s">
        <v>32</v>
      </c>
      <c r="C593" s="401" t="s">
        <v>180</v>
      </c>
      <c r="D593" s="401" t="s">
        <v>180</v>
      </c>
      <c r="E593" s="401" t="s">
        <v>550</v>
      </c>
      <c r="F593" s="5" t="s">
        <v>3158</v>
      </c>
      <c r="G593" s="401" t="s">
        <v>3158</v>
      </c>
      <c r="H593" s="1093" t="s">
        <v>511</v>
      </c>
      <c r="I593" s="1216" t="s">
        <v>3112</v>
      </c>
      <c r="J593" s="403">
        <v>441</v>
      </c>
      <c r="K593" s="403">
        <v>5292</v>
      </c>
      <c r="L593" s="1093" t="s">
        <v>371</v>
      </c>
      <c r="M593" s="401"/>
      <c r="O593" s="404" t="s">
        <v>31</v>
      </c>
      <c r="P593" s="404" t="s">
        <v>31</v>
      </c>
      <c r="Q593" s="404" t="s">
        <v>171</v>
      </c>
      <c r="R593" s="404" t="s">
        <v>171</v>
      </c>
      <c r="S593" s="404" t="s">
        <v>1801</v>
      </c>
      <c r="T593" s="404" t="s">
        <v>1425</v>
      </c>
      <c r="U593" s="941">
        <v>13</v>
      </c>
      <c r="V593" s="941">
        <v>39</v>
      </c>
      <c r="W593" s="941">
        <v>0</v>
      </c>
      <c r="X593" s="941">
        <v>0</v>
      </c>
      <c r="Y593" s="941">
        <v>0</v>
      </c>
      <c r="Z593" s="941">
        <v>0</v>
      </c>
      <c r="AA593" s="942">
        <v>13</v>
      </c>
      <c r="AB593" s="942">
        <v>39</v>
      </c>
      <c r="AC593" s="942">
        <v>0</v>
      </c>
      <c r="AD593" s="942">
        <v>0</v>
      </c>
      <c r="AE593" s="942">
        <v>1</v>
      </c>
      <c r="AF593" s="942">
        <v>13</v>
      </c>
      <c r="AG593" s="943">
        <f>comparaison_samebasis_villages[[#This Row],[previous idp_ind]]-comparaison_samebasis_villages[[#This Row],[actual idp_ind]]</f>
        <v>0</v>
      </c>
      <c r="AH593" s="943">
        <f>comparaison_samebasis_villages[[#This Row],[previous ref_ind]]-comparaison_samebasis_villages[[#This Row],[actual ref_ind]]</f>
        <v>0</v>
      </c>
      <c r="AI593" s="943">
        <f>comparaison_samebasis_villages[[#This Row],[previous ret_ind]]-comparaison_samebasis_villages[[#This Row],[actual ret_ind]]</f>
        <v>13</v>
      </c>
    </row>
    <row r="594" spans="1:35" ht="15.75" customHeight="1" x14ac:dyDescent="0.3">
      <c r="A594" s="401" t="s">
        <v>32</v>
      </c>
      <c r="B594" s="401" t="s">
        <v>32</v>
      </c>
      <c r="C594" s="401" t="s">
        <v>180</v>
      </c>
      <c r="D594" s="401" t="s">
        <v>180</v>
      </c>
      <c r="E594" s="401" t="s">
        <v>550</v>
      </c>
      <c r="F594" s="5" t="s">
        <v>3159</v>
      </c>
      <c r="G594" s="401" t="s">
        <v>3159</v>
      </c>
      <c r="H594" s="1093" t="s">
        <v>511</v>
      </c>
      <c r="I594" s="1216" t="s">
        <v>3112</v>
      </c>
      <c r="J594" s="403">
        <v>698</v>
      </c>
      <c r="K594" s="403">
        <v>6980</v>
      </c>
      <c r="L594" s="1093" t="s">
        <v>379</v>
      </c>
      <c r="M594" s="401"/>
      <c r="O594" s="404" t="s">
        <v>31</v>
      </c>
      <c r="P594" s="404" t="s">
        <v>31</v>
      </c>
      <c r="Q594" s="404" t="s">
        <v>171</v>
      </c>
      <c r="R594" s="404" t="s">
        <v>171</v>
      </c>
      <c r="S594" s="404" t="s">
        <v>2023</v>
      </c>
      <c r="T594" s="404" t="s">
        <v>1800</v>
      </c>
      <c r="U594" s="941">
        <v>9</v>
      </c>
      <c r="V594" s="941">
        <v>37</v>
      </c>
      <c r="W594" s="941">
        <v>0</v>
      </c>
      <c r="X594" s="941">
        <v>0</v>
      </c>
      <c r="Y594" s="941">
        <v>0</v>
      </c>
      <c r="Z594" s="941">
        <v>0</v>
      </c>
      <c r="AA594" s="942">
        <v>11</v>
      </c>
      <c r="AB594" s="942">
        <v>55</v>
      </c>
      <c r="AC594" s="942">
        <v>0</v>
      </c>
      <c r="AD594" s="942">
        <v>0</v>
      </c>
      <c r="AE594" s="942">
        <v>0</v>
      </c>
      <c r="AF594" s="942">
        <v>0</v>
      </c>
      <c r="AG594" s="943">
        <f>comparaison_samebasis_villages[[#This Row],[previous idp_ind]]-comparaison_samebasis_villages[[#This Row],[actual idp_ind]]</f>
        <v>18</v>
      </c>
      <c r="AH594" s="943">
        <f>comparaison_samebasis_villages[[#This Row],[previous ref_ind]]-comparaison_samebasis_villages[[#This Row],[actual ref_ind]]</f>
        <v>0</v>
      </c>
      <c r="AI594" s="943">
        <f>comparaison_samebasis_villages[[#This Row],[previous ret_ind]]-comparaison_samebasis_villages[[#This Row],[actual ret_ind]]</f>
        <v>0</v>
      </c>
    </row>
    <row r="595" spans="1:35" ht="15.75" customHeight="1" x14ac:dyDescent="0.3">
      <c r="A595" s="401" t="s">
        <v>32</v>
      </c>
      <c r="B595" s="401" t="s">
        <v>32</v>
      </c>
      <c r="C595" s="401" t="s">
        <v>180</v>
      </c>
      <c r="D595" s="401" t="s">
        <v>180</v>
      </c>
      <c r="E595" s="401" t="s">
        <v>550</v>
      </c>
      <c r="F595" s="5" t="s">
        <v>3160</v>
      </c>
      <c r="G595" s="401" t="s">
        <v>3160</v>
      </c>
      <c r="H595" s="1093" t="s">
        <v>511</v>
      </c>
      <c r="I595" s="1216" t="s">
        <v>3112</v>
      </c>
      <c r="J595" s="403">
        <v>1227</v>
      </c>
      <c r="K595" s="403">
        <v>9816</v>
      </c>
      <c r="L595" s="1093" t="s">
        <v>371</v>
      </c>
      <c r="M595" s="401"/>
      <c r="O595" s="404" t="s">
        <v>31</v>
      </c>
      <c r="P595" s="404" t="s">
        <v>31</v>
      </c>
      <c r="Q595" s="404" t="s">
        <v>171</v>
      </c>
      <c r="R595" s="404" t="s">
        <v>171</v>
      </c>
      <c r="S595" s="404" t="s">
        <v>1752</v>
      </c>
      <c r="T595" s="404" t="s">
        <v>2022</v>
      </c>
      <c r="U595" s="941">
        <v>50</v>
      </c>
      <c r="V595" s="941">
        <v>369</v>
      </c>
      <c r="W595" s="941">
        <v>5</v>
      </c>
      <c r="X595" s="941">
        <v>27</v>
      </c>
      <c r="Y595" s="941">
        <v>35</v>
      </c>
      <c r="Z595" s="941">
        <v>35</v>
      </c>
      <c r="AA595" s="942">
        <v>49</v>
      </c>
      <c r="AB595" s="942">
        <v>367</v>
      </c>
      <c r="AC595" s="942">
        <v>5</v>
      </c>
      <c r="AD595" s="942">
        <v>27</v>
      </c>
      <c r="AE595" s="942">
        <v>35</v>
      </c>
      <c r="AF595" s="942">
        <v>220</v>
      </c>
      <c r="AG595" s="943">
        <f>comparaison_samebasis_villages[[#This Row],[previous idp_ind]]-comparaison_samebasis_villages[[#This Row],[actual idp_ind]]</f>
        <v>-2</v>
      </c>
      <c r="AH595" s="943">
        <f>comparaison_samebasis_villages[[#This Row],[previous ref_ind]]-comparaison_samebasis_villages[[#This Row],[actual ref_ind]]</f>
        <v>0</v>
      </c>
      <c r="AI595" s="943">
        <f>comparaison_samebasis_villages[[#This Row],[previous ret_ind]]-comparaison_samebasis_villages[[#This Row],[actual ret_ind]]</f>
        <v>185</v>
      </c>
    </row>
    <row r="596" spans="1:35" ht="15.75" customHeight="1" x14ac:dyDescent="0.3">
      <c r="A596" s="401" t="s">
        <v>32</v>
      </c>
      <c r="B596" s="401" t="s">
        <v>32</v>
      </c>
      <c r="C596" s="401" t="s">
        <v>181</v>
      </c>
      <c r="D596" s="401" t="s">
        <v>181</v>
      </c>
      <c r="E596" s="401" t="s">
        <v>1669</v>
      </c>
      <c r="F596" s="5" t="s">
        <v>1670</v>
      </c>
      <c r="G596" s="401"/>
      <c r="H596" s="1093" t="s">
        <v>511</v>
      </c>
      <c r="I596" s="1216" t="s">
        <v>3112</v>
      </c>
      <c r="J596" s="403">
        <v>94</v>
      </c>
      <c r="K596" s="403">
        <v>465</v>
      </c>
      <c r="L596" s="1093" t="s">
        <v>377</v>
      </c>
      <c r="M596" s="401"/>
      <c r="O596" s="404" t="s">
        <v>31</v>
      </c>
      <c r="P596" s="404" t="s">
        <v>31</v>
      </c>
      <c r="Q596" s="404" t="s">
        <v>171</v>
      </c>
      <c r="R596" s="404" t="s">
        <v>171</v>
      </c>
      <c r="S596" s="404" t="s">
        <v>860</v>
      </c>
      <c r="T596" s="404" t="s">
        <v>1751</v>
      </c>
      <c r="U596" s="941">
        <v>6</v>
      </c>
      <c r="V596" s="941">
        <v>50</v>
      </c>
      <c r="W596" s="941">
        <v>0</v>
      </c>
      <c r="X596" s="941">
        <v>0</v>
      </c>
      <c r="Y596" s="941">
        <v>0</v>
      </c>
      <c r="Z596" s="941">
        <v>0</v>
      </c>
      <c r="AA596" s="942">
        <v>6</v>
      </c>
      <c r="AB596" s="942">
        <v>50</v>
      </c>
      <c r="AC596" s="942">
        <v>0</v>
      </c>
      <c r="AD596" s="942">
        <v>0</v>
      </c>
      <c r="AE596" s="942">
        <v>3</v>
      </c>
      <c r="AF596" s="942">
        <v>27</v>
      </c>
      <c r="AG596" s="943">
        <f>comparaison_samebasis_villages[[#This Row],[previous idp_ind]]-comparaison_samebasis_villages[[#This Row],[actual idp_ind]]</f>
        <v>0</v>
      </c>
      <c r="AH596" s="943">
        <f>comparaison_samebasis_villages[[#This Row],[previous ref_ind]]-comparaison_samebasis_villages[[#This Row],[actual ref_ind]]</f>
        <v>0</v>
      </c>
      <c r="AI596" s="943">
        <f>comparaison_samebasis_villages[[#This Row],[previous ret_ind]]-comparaison_samebasis_villages[[#This Row],[actual ret_ind]]</f>
        <v>27</v>
      </c>
    </row>
    <row r="597" spans="1:35" ht="15.75" customHeight="1" x14ac:dyDescent="0.3">
      <c r="A597" s="401" t="s">
        <v>32</v>
      </c>
      <c r="B597" s="401" t="s">
        <v>32</v>
      </c>
      <c r="C597" s="401" t="s">
        <v>181</v>
      </c>
      <c r="D597" s="401" t="s">
        <v>181</v>
      </c>
      <c r="E597" s="401" t="s">
        <v>1671</v>
      </c>
      <c r="F597" s="5" t="s">
        <v>1672</v>
      </c>
      <c r="G597" s="401"/>
      <c r="H597" s="1093" t="s">
        <v>511</v>
      </c>
      <c r="I597" s="1216" t="s">
        <v>3112</v>
      </c>
      <c r="J597" s="403">
        <v>72</v>
      </c>
      <c r="K597" s="403">
        <v>364</v>
      </c>
      <c r="L597" s="1093" t="s">
        <v>367</v>
      </c>
      <c r="M597" s="401"/>
      <c r="O597" s="404" t="s">
        <v>31</v>
      </c>
      <c r="P597" s="404" t="s">
        <v>31</v>
      </c>
      <c r="Q597" s="404" t="s">
        <v>171</v>
      </c>
      <c r="R597" s="404" t="s">
        <v>171</v>
      </c>
      <c r="S597" s="404" t="s">
        <v>1799</v>
      </c>
      <c r="T597" s="404" t="s">
        <v>859</v>
      </c>
      <c r="U597" s="941">
        <v>27</v>
      </c>
      <c r="V597" s="941">
        <v>90</v>
      </c>
      <c r="W597" s="941">
        <v>0</v>
      </c>
      <c r="X597" s="941">
        <v>0</v>
      </c>
      <c r="Y597" s="941">
        <v>0</v>
      </c>
      <c r="Z597" s="941">
        <v>0</v>
      </c>
      <c r="AA597" s="942">
        <v>17</v>
      </c>
      <c r="AB597" s="942">
        <v>89</v>
      </c>
      <c r="AC597" s="942">
        <v>0</v>
      </c>
      <c r="AD597" s="942">
        <v>0</v>
      </c>
      <c r="AE597" s="942">
        <v>0</v>
      </c>
      <c r="AF597" s="942">
        <v>0</v>
      </c>
      <c r="AG597" s="943">
        <f>comparaison_samebasis_villages[[#This Row],[previous idp_ind]]-comparaison_samebasis_villages[[#This Row],[actual idp_ind]]</f>
        <v>-1</v>
      </c>
      <c r="AH597" s="943">
        <f>comparaison_samebasis_villages[[#This Row],[previous ref_ind]]-comparaison_samebasis_villages[[#This Row],[actual ref_ind]]</f>
        <v>0</v>
      </c>
      <c r="AI597" s="943">
        <f>comparaison_samebasis_villages[[#This Row],[previous ret_ind]]-comparaison_samebasis_villages[[#This Row],[actual ret_ind]]</f>
        <v>0</v>
      </c>
    </row>
    <row r="598" spans="1:35" ht="15.75" customHeight="1" x14ac:dyDescent="0.3">
      <c r="A598" s="401" t="s">
        <v>31</v>
      </c>
      <c r="B598" s="401" t="s">
        <v>31</v>
      </c>
      <c r="C598" s="401" t="s">
        <v>169</v>
      </c>
      <c r="D598" s="401" t="s">
        <v>169</v>
      </c>
      <c r="E598" s="401" t="s">
        <v>2814</v>
      </c>
      <c r="F598" s="5" t="s">
        <v>2348</v>
      </c>
      <c r="G598" s="401"/>
      <c r="H598" s="1093" t="s">
        <v>511</v>
      </c>
      <c r="I598" s="1216" t="s">
        <v>3111</v>
      </c>
      <c r="J598" s="403">
        <v>25</v>
      </c>
      <c r="K598" s="403">
        <v>325</v>
      </c>
      <c r="L598" s="1093" t="s">
        <v>365</v>
      </c>
      <c r="M598" s="401"/>
      <c r="O598" s="404" t="s">
        <v>31</v>
      </c>
      <c r="P598" s="404" t="s">
        <v>31</v>
      </c>
      <c r="Q598" s="404" t="s">
        <v>171</v>
      </c>
      <c r="R598" s="404" t="s">
        <v>171</v>
      </c>
      <c r="S598" s="404" t="s">
        <v>2593</v>
      </c>
      <c r="T598" s="404" t="s">
        <v>1798</v>
      </c>
      <c r="U598" s="941">
        <v>0</v>
      </c>
      <c r="V598" s="941">
        <v>0</v>
      </c>
      <c r="W598" s="941">
        <v>0</v>
      </c>
      <c r="X598" s="941">
        <v>0</v>
      </c>
      <c r="Y598" s="941">
        <v>0</v>
      </c>
      <c r="Z598" s="941">
        <v>0</v>
      </c>
      <c r="AA598" s="942">
        <v>0</v>
      </c>
      <c r="AB598" s="942">
        <v>0</v>
      </c>
      <c r="AC598" s="942">
        <v>0</v>
      </c>
      <c r="AD598" s="942">
        <v>0</v>
      </c>
      <c r="AE598" s="942">
        <v>0</v>
      </c>
      <c r="AF598" s="942">
        <v>0</v>
      </c>
      <c r="AG598" s="943">
        <f>comparaison_samebasis_villages[[#This Row],[previous idp_ind]]-comparaison_samebasis_villages[[#This Row],[actual idp_ind]]</f>
        <v>0</v>
      </c>
      <c r="AH598" s="943">
        <f>comparaison_samebasis_villages[[#This Row],[previous ref_ind]]-comparaison_samebasis_villages[[#This Row],[actual ref_ind]]</f>
        <v>0</v>
      </c>
      <c r="AI598" s="943">
        <f>comparaison_samebasis_villages[[#This Row],[previous ret_ind]]-comparaison_samebasis_villages[[#This Row],[actual ret_ind]]</f>
        <v>0</v>
      </c>
    </row>
    <row r="599" spans="1:35" ht="15.75" customHeight="1" x14ac:dyDescent="0.3">
      <c r="A599" s="401" t="s">
        <v>31</v>
      </c>
      <c r="B599" s="401" t="s">
        <v>31</v>
      </c>
      <c r="C599" s="401" t="s">
        <v>169</v>
      </c>
      <c r="D599" s="401" t="s">
        <v>169</v>
      </c>
      <c r="E599" s="401" t="s">
        <v>2814</v>
      </c>
      <c r="F599" s="5" t="s">
        <v>2348</v>
      </c>
      <c r="G599" s="401"/>
      <c r="H599" s="1093" t="s">
        <v>511</v>
      </c>
      <c r="I599" s="1216" t="s">
        <v>3112</v>
      </c>
      <c r="J599" s="403">
        <v>8</v>
      </c>
      <c r="K599" s="403">
        <v>66</v>
      </c>
      <c r="L599" s="1093" t="s">
        <v>365</v>
      </c>
      <c r="M599" s="401"/>
      <c r="O599" s="404" t="s">
        <v>31</v>
      </c>
      <c r="P599" s="404" t="s">
        <v>31</v>
      </c>
      <c r="Q599" s="404" t="s">
        <v>171</v>
      </c>
      <c r="R599" s="404" t="s">
        <v>171</v>
      </c>
      <c r="S599" s="404" t="s">
        <v>1754</v>
      </c>
      <c r="T599" s="404" t="s">
        <v>2851</v>
      </c>
      <c r="U599" s="941">
        <v>2</v>
      </c>
      <c r="V599" s="941">
        <v>8</v>
      </c>
      <c r="W599" s="941">
        <v>0</v>
      </c>
      <c r="X599" s="941">
        <v>0</v>
      </c>
      <c r="Y599" s="941">
        <v>0</v>
      </c>
      <c r="Z599" s="941">
        <v>0</v>
      </c>
      <c r="AA599" s="942">
        <v>196</v>
      </c>
      <c r="AB599" s="942">
        <v>1212</v>
      </c>
      <c r="AC599" s="942">
        <v>5</v>
      </c>
      <c r="AD599" s="942">
        <v>75</v>
      </c>
      <c r="AE599" s="942">
        <v>82</v>
      </c>
      <c r="AF599" s="942">
        <v>413</v>
      </c>
      <c r="AG599" s="943">
        <f>comparaison_samebasis_villages[[#This Row],[previous idp_ind]]-comparaison_samebasis_villages[[#This Row],[actual idp_ind]]</f>
        <v>1204</v>
      </c>
      <c r="AH599" s="943">
        <f>comparaison_samebasis_villages[[#This Row],[previous ref_ind]]-comparaison_samebasis_villages[[#This Row],[actual ref_ind]]</f>
        <v>75</v>
      </c>
      <c r="AI599" s="943">
        <f>comparaison_samebasis_villages[[#This Row],[previous ret_ind]]-comparaison_samebasis_villages[[#This Row],[actual ret_ind]]</f>
        <v>413</v>
      </c>
    </row>
    <row r="600" spans="1:35" ht="15.75" customHeight="1" x14ac:dyDescent="0.3">
      <c r="A600" s="401" t="s">
        <v>31</v>
      </c>
      <c r="B600" s="401" t="s">
        <v>31</v>
      </c>
      <c r="C600" s="401" t="s">
        <v>169</v>
      </c>
      <c r="D600" s="401" t="s">
        <v>169</v>
      </c>
      <c r="E600" s="401" t="s">
        <v>2971</v>
      </c>
      <c r="F600" s="5" t="s">
        <v>2359</v>
      </c>
      <c r="G600" s="401"/>
      <c r="H600" s="1093" t="s">
        <v>511</v>
      </c>
      <c r="I600" s="1216" t="s">
        <v>3111</v>
      </c>
      <c r="J600" s="403">
        <v>60</v>
      </c>
      <c r="K600" s="403">
        <v>100</v>
      </c>
      <c r="L600" s="1093" t="s">
        <v>365</v>
      </c>
      <c r="M600" s="401"/>
      <c r="O600" s="404" t="s">
        <v>31</v>
      </c>
      <c r="P600" s="404" t="s">
        <v>31</v>
      </c>
      <c r="Q600" s="404" t="s">
        <v>171</v>
      </c>
      <c r="R600" s="404" t="s">
        <v>171</v>
      </c>
      <c r="S600" s="404" t="s">
        <v>1964</v>
      </c>
      <c r="T600" s="404" t="s">
        <v>2592</v>
      </c>
      <c r="U600" s="941">
        <v>9</v>
      </c>
      <c r="V600" s="941">
        <v>71</v>
      </c>
      <c r="W600" s="941">
        <v>0</v>
      </c>
      <c r="X600" s="941">
        <v>0</v>
      </c>
      <c r="Y600" s="941">
        <v>0</v>
      </c>
      <c r="Z600" s="941">
        <v>0</v>
      </c>
      <c r="AA600" s="942">
        <v>9</v>
      </c>
      <c r="AB600" s="942">
        <v>71</v>
      </c>
      <c r="AC600" s="942">
        <v>48</v>
      </c>
      <c r="AD600" s="942">
        <v>231</v>
      </c>
      <c r="AE600" s="942">
        <v>6</v>
      </c>
      <c r="AF600" s="942">
        <v>39</v>
      </c>
      <c r="AG600" s="943">
        <f>comparaison_samebasis_villages[[#This Row],[previous idp_ind]]-comparaison_samebasis_villages[[#This Row],[actual idp_ind]]</f>
        <v>0</v>
      </c>
      <c r="AH600" s="943">
        <f>comparaison_samebasis_villages[[#This Row],[previous ref_ind]]-comparaison_samebasis_villages[[#This Row],[actual ref_ind]]</f>
        <v>231</v>
      </c>
      <c r="AI600" s="943">
        <f>comparaison_samebasis_villages[[#This Row],[previous ret_ind]]-comparaison_samebasis_villages[[#This Row],[actual ret_ind]]</f>
        <v>39</v>
      </c>
    </row>
    <row r="601" spans="1:35" ht="15.75" customHeight="1" x14ac:dyDescent="0.3">
      <c r="A601" s="401" t="s">
        <v>31</v>
      </c>
      <c r="B601" s="401" t="s">
        <v>31</v>
      </c>
      <c r="C601" s="401" t="s">
        <v>169</v>
      </c>
      <c r="D601" s="401" t="s">
        <v>169</v>
      </c>
      <c r="E601" s="401" t="s">
        <v>2971</v>
      </c>
      <c r="F601" s="5" t="s">
        <v>2359</v>
      </c>
      <c r="G601" s="401"/>
      <c r="H601" s="1093" t="s">
        <v>511</v>
      </c>
      <c r="I601" s="1216" t="s">
        <v>3112</v>
      </c>
      <c r="J601" s="403">
        <v>6</v>
      </c>
      <c r="K601" s="403">
        <v>27</v>
      </c>
      <c r="L601" s="1093" t="s">
        <v>365</v>
      </c>
      <c r="M601" s="401"/>
      <c r="O601" s="404" t="s">
        <v>31</v>
      </c>
      <c r="P601" s="404" t="s">
        <v>31</v>
      </c>
      <c r="Q601" s="404" t="s">
        <v>171</v>
      </c>
      <c r="R601" s="404" t="s">
        <v>171</v>
      </c>
      <c r="S601" s="404" t="s">
        <v>1340</v>
      </c>
      <c r="T601" s="404" t="s">
        <v>2856</v>
      </c>
      <c r="U601" s="941">
        <v>15</v>
      </c>
      <c r="V601" s="941">
        <v>87</v>
      </c>
      <c r="W601" s="941">
        <v>10</v>
      </c>
      <c r="X601" s="941">
        <v>45</v>
      </c>
      <c r="Y601" s="941">
        <v>0</v>
      </c>
      <c r="Z601" s="941">
        <v>0</v>
      </c>
      <c r="AA601" s="942">
        <v>10</v>
      </c>
      <c r="AB601" s="942">
        <v>41</v>
      </c>
      <c r="AC601" s="942">
        <v>28</v>
      </c>
      <c r="AD601" s="942">
        <v>91</v>
      </c>
      <c r="AE601" s="942">
        <v>0</v>
      </c>
      <c r="AF601" s="942">
        <v>0</v>
      </c>
      <c r="AG601" s="943">
        <f>comparaison_samebasis_villages[[#This Row],[previous idp_ind]]-comparaison_samebasis_villages[[#This Row],[actual idp_ind]]</f>
        <v>-46</v>
      </c>
      <c r="AH601" s="943">
        <f>comparaison_samebasis_villages[[#This Row],[previous ref_ind]]-comparaison_samebasis_villages[[#This Row],[actual ref_ind]]</f>
        <v>46</v>
      </c>
      <c r="AI601" s="943">
        <f>comparaison_samebasis_villages[[#This Row],[previous ret_ind]]-comparaison_samebasis_villages[[#This Row],[actual ret_ind]]</f>
        <v>0</v>
      </c>
    </row>
    <row r="602" spans="1:35" ht="15.75" customHeight="1" x14ac:dyDescent="0.3">
      <c r="A602" s="401" t="s">
        <v>31</v>
      </c>
      <c r="B602" s="401" t="s">
        <v>31</v>
      </c>
      <c r="C602" s="401" t="s">
        <v>169</v>
      </c>
      <c r="D602" s="401" t="s">
        <v>169</v>
      </c>
      <c r="E602" s="401" t="s">
        <v>2858</v>
      </c>
      <c r="F602" s="5" t="s">
        <v>2276</v>
      </c>
      <c r="G602" s="401"/>
      <c r="H602" s="1093" t="s">
        <v>511</v>
      </c>
      <c r="I602" s="1216" t="s">
        <v>3111</v>
      </c>
      <c r="J602" s="403">
        <v>146</v>
      </c>
      <c r="K602" s="403">
        <v>800</v>
      </c>
      <c r="L602" s="1093" t="s">
        <v>365</v>
      </c>
      <c r="M602" s="401"/>
      <c r="O602" s="404" t="s">
        <v>31</v>
      </c>
      <c r="P602" s="404" t="s">
        <v>31</v>
      </c>
      <c r="Q602" s="404" t="s">
        <v>171</v>
      </c>
      <c r="R602" s="404" t="s">
        <v>171</v>
      </c>
      <c r="S602" s="404" t="s">
        <v>1300</v>
      </c>
      <c r="T602" s="404" t="s">
        <v>1753</v>
      </c>
      <c r="U602" s="941">
        <v>9</v>
      </c>
      <c r="V602" s="941">
        <v>79</v>
      </c>
      <c r="W602" s="941">
        <v>0</v>
      </c>
      <c r="X602" s="941">
        <v>0</v>
      </c>
      <c r="Y602" s="941">
        <v>0</v>
      </c>
      <c r="Z602" s="941">
        <v>0</v>
      </c>
      <c r="AA602" s="942">
        <v>9</v>
      </c>
      <c r="AB602" s="942">
        <v>79</v>
      </c>
      <c r="AC602" s="942">
        <v>0</v>
      </c>
      <c r="AD602" s="942">
        <v>0</v>
      </c>
      <c r="AE602" s="942">
        <v>0</v>
      </c>
      <c r="AF602" s="942">
        <v>0</v>
      </c>
      <c r="AG602" s="943">
        <f>comparaison_samebasis_villages[[#This Row],[previous idp_ind]]-comparaison_samebasis_villages[[#This Row],[actual idp_ind]]</f>
        <v>0</v>
      </c>
      <c r="AH602" s="943">
        <f>comparaison_samebasis_villages[[#This Row],[previous ref_ind]]-comparaison_samebasis_villages[[#This Row],[actual ref_ind]]</f>
        <v>0</v>
      </c>
      <c r="AI602" s="943">
        <f>comparaison_samebasis_villages[[#This Row],[previous ret_ind]]-comparaison_samebasis_villages[[#This Row],[actual ret_ind]]</f>
        <v>0</v>
      </c>
    </row>
    <row r="603" spans="1:35" ht="15.75" customHeight="1" x14ac:dyDescent="0.3">
      <c r="A603" s="401" t="s">
        <v>31</v>
      </c>
      <c r="B603" s="401" t="s">
        <v>31</v>
      </c>
      <c r="C603" s="401" t="s">
        <v>169</v>
      </c>
      <c r="D603" s="401" t="s">
        <v>169</v>
      </c>
      <c r="E603" s="401" t="s">
        <v>2841</v>
      </c>
      <c r="F603" s="5" t="s">
        <v>2349</v>
      </c>
      <c r="G603" s="401"/>
      <c r="H603" s="1093" t="s">
        <v>511</v>
      </c>
      <c r="I603" s="1216" t="s">
        <v>3111</v>
      </c>
      <c r="J603" s="403">
        <v>27</v>
      </c>
      <c r="K603" s="403">
        <v>210</v>
      </c>
      <c r="L603" s="1093" t="s">
        <v>365</v>
      </c>
      <c r="M603" s="401"/>
      <c r="O603" s="404" t="s">
        <v>31</v>
      </c>
      <c r="P603" s="404" t="s">
        <v>31</v>
      </c>
      <c r="Q603" s="404" t="s">
        <v>171</v>
      </c>
      <c r="R603" s="404" t="s">
        <v>171</v>
      </c>
      <c r="S603" s="404" t="s">
        <v>975</v>
      </c>
      <c r="T603" s="404" t="s">
        <v>1963</v>
      </c>
      <c r="U603" s="941">
        <v>56</v>
      </c>
      <c r="V603" s="941">
        <v>200</v>
      </c>
      <c r="W603" s="941">
        <v>0</v>
      </c>
      <c r="X603" s="941">
        <v>0</v>
      </c>
      <c r="Y603" s="941">
        <v>0</v>
      </c>
      <c r="Z603" s="941">
        <v>0</v>
      </c>
      <c r="AA603" s="942">
        <v>13</v>
      </c>
      <c r="AB603" s="942">
        <v>100</v>
      </c>
      <c r="AC603" s="942">
        <v>0</v>
      </c>
      <c r="AD603" s="942">
        <v>0</v>
      </c>
      <c r="AE603" s="942">
        <v>0</v>
      </c>
      <c r="AF603" s="942">
        <v>0</v>
      </c>
      <c r="AG603" s="943">
        <f>comparaison_samebasis_villages[[#This Row],[previous idp_ind]]-comparaison_samebasis_villages[[#This Row],[actual idp_ind]]</f>
        <v>-100</v>
      </c>
      <c r="AH603" s="943">
        <f>comparaison_samebasis_villages[[#This Row],[previous ref_ind]]-comparaison_samebasis_villages[[#This Row],[actual ref_ind]]</f>
        <v>0</v>
      </c>
      <c r="AI603" s="943">
        <f>comparaison_samebasis_villages[[#This Row],[previous ret_ind]]-comparaison_samebasis_villages[[#This Row],[actual ret_ind]]</f>
        <v>0</v>
      </c>
    </row>
    <row r="604" spans="1:35" ht="15.75" customHeight="1" x14ac:dyDescent="0.3">
      <c r="A604" s="401" t="s">
        <v>32</v>
      </c>
      <c r="B604" s="401" t="s">
        <v>32</v>
      </c>
      <c r="C604" s="401" t="s">
        <v>175</v>
      </c>
      <c r="D604" s="401" t="s">
        <v>175</v>
      </c>
      <c r="E604" s="401" t="s">
        <v>550</v>
      </c>
      <c r="F604" s="5" t="s">
        <v>3161</v>
      </c>
      <c r="G604" s="401" t="s">
        <v>3161</v>
      </c>
      <c r="H604" s="1093" t="s">
        <v>511</v>
      </c>
      <c r="I604" s="1216" t="s">
        <v>3112</v>
      </c>
      <c r="J604" s="403">
        <v>50</v>
      </c>
      <c r="K604" s="403">
        <v>450</v>
      </c>
      <c r="L604" s="1093" t="s">
        <v>367</v>
      </c>
      <c r="M604" s="401"/>
      <c r="O604" s="404" t="s">
        <v>31</v>
      </c>
      <c r="P604" s="404" t="s">
        <v>31</v>
      </c>
      <c r="Q604" s="404" t="s">
        <v>171</v>
      </c>
      <c r="R604" s="404" t="s">
        <v>171</v>
      </c>
      <c r="S604" s="404" t="s">
        <v>848</v>
      </c>
      <c r="T604" s="404" t="s">
        <v>1339</v>
      </c>
      <c r="U604" s="941">
        <v>27</v>
      </c>
      <c r="V604" s="941">
        <v>123</v>
      </c>
      <c r="W604" s="941">
        <v>3</v>
      </c>
      <c r="X604" s="941">
        <v>21</v>
      </c>
      <c r="Y604" s="941">
        <v>0</v>
      </c>
      <c r="Z604" s="941">
        <v>0</v>
      </c>
      <c r="AA604" s="942">
        <v>10</v>
      </c>
      <c r="AB604" s="942">
        <v>73</v>
      </c>
      <c r="AC604" s="942">
        <v>3</v>
      </c>
      <c r="AD604" s="942">
        <v>21</v>
      </c>
      <c r="AE604" s="942">
        <v>0</v>
      </c>
      <c r="AF604" s="942">
        <v>0</v>
      </c>
      <c r="AG604" s="943">
        <f>comparaison_samebasis_villages[[#This Row],[previous idp_ind]]-comparaison_samebasis_villages[[#This Row],[actual idp_ind]]</f>
        <v>-50</v>
      </c>
      <c r="AH604" s="943">
        <f>comparaison_samebasis_villages[[#This Row],[previous ref_ind]]-comparaison_samebasis_villages[[#This Row],[actual ref_ind]]</f>
        <v>0</v>
      </c>
      <c r="AI604" s="943">
        <f>comparaison_samebasis_villages[[#This Row],[previous ret_ind]]-comparaison_samebasis_villages[[#This Row],[actual ret_ind]]</f>
        <v>0</v>
      </c>
    </row>
    <row r="605" spans="1:35" ht="15.75" customHeight="1" x14ac:dyDescent="0.3">
      <c r="A605" s="401" t="s">
        <v>32</v>
      </c>
      <c r="B605" s="401" t="s">
        <v>32</v>
      </c>
      <c r="C605" s="401" t="s">
        <v>179</v>
      </c>
      <c r="D605" s="401" t="s">
        <v>179</v>
      </c>
      <c r="E605" s="401" t="s">
        <v>2318</v>
      </c>
      <c r="F605" s="5" t="s">
        <v>2319</v>
      </c>
      <c r="G605" s="401"/>
      <c r="H605" s="1093" t="s">
        <v>511</v>
      </c>
      <c r="I605" s="1216" t="s">
        <v>3033</v>
      </c>
      <c r="J605" s="403">
        <v>15</v>
      </c>
      <c r="K605" s="403">
        <v>102</v>
      </c>
      <c r="L605" s="1093" t="s">
        <v>367</v>
      </c>
      <c r="M605" s="401"/>
      <c r="O605" s="404" t="s">
        <v>31</v>
      </c>
      <c r="P605" s="404" t="s">
        <v>31</v>
      </c>
      <c r="Q605" s="404" t="s">
        <v>171</v>
      </c>
      <c r="R605" s="404" t="s">
        <v>171</v>
      </c>
      <c r="S605" s="404" t="s">
        <v>1975</v>
      </c>
      <c r="T605" s="404" t="s">
        <v>1299</v>
      </c>
      <c r="U605" s="941">
        <v>29</v>
      </c>
      <c r="V605" s="941">
        <v>85</v>
      </c>
      <c r="W605" s="941">
        <v>0</v>
      </c>
      <c r="X605" s="941">
        <v>0</v>
      </c>
      <c r="Y605" s="941">
        <v>0</v>
      </c>
      <c r="Z605" s="941">
        <v>0</v>
      </c>
      <c r="AA605" s="942">
        <v>0</v>
      </c>
      <c r="AB605" s="942">
        <v>0</v>
      </c>
      <c r="AC605" s="942">
        <v>0</v>
      </c>
      <c r="AD605" s="942">
        <v>0</v>
      </c>
      <c r="AE605" s="942">
        <v>0</v>
      </c>
      <c r="AF605" s="942">
        <v>0</v>
      </c>
      <c r="AG605" s="943">
        <f>comparaison_samebasis_villages[[#This Row],[previous idp_ind]]-comparaison_samebasis_villages[[#This Row],[actual idp_ind]]</f>
        <v>-85</v>
      </c>
      <c r="AH605" s="943">
        <f>comparaison_samebasis_villages[[#This Row],[previous ref_ind]]-comparaison_samebasis_villages[[#This Row],[actual ref_ind]]</f>
        <v>0</v>
      </c>
      <c r="AI605" s="943">
        <f>comparaison_samebasis_villages[[#This Row],[previous ret_ind]]-comparaison_samebasis_villages[[#This Row],[actual ret_ind]]</f>
        <v>0</v>
      </c>
    </row>
    <row r="606" spans="1:35" ht="15.75" customHeight="1" x14ac:dyDescent="0.3">
      <c r="A606" s="401" t="s">
        <v>32</v>
      </c>
      <c r="B606" s="401" t="s">
        <v>32</v>
      </c>
      <c r="C606" s="401" t="s">
        <v>179</v>
      </c>
      <c r="D606" s="401" t="s">
        <v>179</v>
      </c>
      <c r="E606" s="401" t="s">
        <v>2321</v>
      </c>
      <c r="F606" s="5" t="s">
        <v>2322</v>
      </c>
      <c r="G606" s="401"/>
      <c r="H606" s="1093" t="s">
        <v>511</v>
      </c>
      <c r="I606" s="1216" t="s">
        <v>3112</v>
      </c>
      <c r="J606" s="403">
        <v>76</v>
      </c>
      <c r="K606" s="403">
        <v>480</v>
      </c>
      <c r="L606" s="1093" t="s">
        <v>367</v>
      </c>
      <c r="M606" s="401"/>
      <c r="O606" s="404" t="s">
        <v>31</v>
      </c>
      <c r="P606" s="404" t="s">
        <v>31</v>
      </c>
      <c r="Q606" s="404" t="s">
        <v>171</v>
      </c>
      <c r="R606" s="404" t="s">
        <v>171</v>
      </c>
      <c r="S606" s="404" t="s">
        <v>843</v>
      </c>
      <c r="T606" s="404" t="s">
        <v>974</v>
      </c>
      <c r="U606" s="941">
        <v>12</v>
      </c>
      <c r="V606" s="941">
        <v>157</v>
      </c>
      <c r="W606" s="941">
        <v>0</v>
      </c>
      <c r="X606" s="941">
        <v>0</v>
      </c>
      <c r="Y606" s="941">
        <v>0</v>
      </c>
      <c r="Z606" s="941">
        <v>0</v>
      </c>
      <c r="AA606" s="942">
        <v>12</v>
      </c>
      <c r="AB606" s="942">
        <v>32</v>
      </c>
      <c r="AC606" s="942">
        <v>0</v>
      </c>
      <c r="AD606" s="942">
        <v>0</v>
      </c>
      <c r="AE606" s="942">
        <v>0</v>
      </c>
      <c r="AF606" s="942">
        <v>0</v>
      </c>
      <c r="AG606" s="943">
        <f>comparaison_samebasis_villages[[#This Row],[previous idp_ind]]-comparaison_samebasis_villages[[#This Row],[actual idp_ind]]</f>
        <v>-125</v>
      </c>
      <c r="AH606" s="943">
        <f>comparaison_samebasis_villages[[#This Row],[previous ref_ind]]-comparaison_samebasis_villages[[#This Row],[actual ref_ind]]</f>
        <v>0</v>
      </c>
      <c r="AI606" s="943">
        <f>comparaison_samebasis_villages[[#This Row],[previous ret_ind]]-comparaison_samebasis_villages[[#This Row],[actual ret_ind]]</f>
        <v>0</v>
      </c>
    </row>
    <row r="607" spans="1:35" ht="15.75" customHeight="1" x14ac:dyDescent="0.3">
      <c r="A607" s="401" t="s">
        <v>32</v>
      </c>
      <c r="B607" s="401" t="s">
        <v>32</v>
      </c>
      <c r="C607" s="401" t="s">
        <v>179</v>
      </c>
      <c r="D607" s="401" t="s">
        <v>179</v>
      </c>
      <c r="E607" s="401" t="s">
        <v>2316</v>
      </c>
      <c r="F607" s="5" t="s">
        <v>2317</v>
      </c>
      <c r="G607" s="401"/>
      <c r="H607" s="1093" t="s">
        <v>511</v>
      </c>
      <c r="I607" s="1216" t="s">
        <v>3033</v>
      </c>
      <c r="J607" s="403">
        <v>50</v>
      </c>
      <c r="K607" s="403">
        <v>250</v>
      </c>
      <c r="L607" s="1093" t="s">
        <v>367</v>
      </c>
      <c r="M607" s="401"/>
      <c r="O607" s="404" t="s">
        <v>31</v>
      </c>
      <c r="P607" s="404" t="s">
        <v>31</v>
      </c>
      <c r="Q607" s="404" t="s">
        <v>171</v>
      </c>
      <c r="R607" s="404" t="s">
        <v>171</v>
      </c>
      <c r="S607" s="404" t="s">
        <v>2595</v>
      </c>
      <c r="T607" s="404" t="s">
        <v>847</v>
      </c>
      <c r="U607" s="941">
        <v>0</v>
      </c>
      <c r="V607" s="941">
        <v>0</v>
      </c>
      <c r="W607" s="941">
        <v>0</v>
      </c>
      <c r="X607" s="941">
        <v>0</v>
      </c>
      <c r="Y607" s="941">
        <v>0</v>
      </c>
      <c r="Z607" s="941">
        <v>0</v>
      </c>
      <c r="AA607" s="942">
        <v>0</v>
      </c>
      <c r="AB607" s="942">
        <v>0</v>
      </c>
      <c r="AC607" s="942">
        <v>0</v>
      </c>
      <c r="AD607" s="942">
        <v>0</v>
      </c>
      <c r="AE607" s="942">
        <v>0</v>
      </c>
      <c r="AF607" s="942">
        <v>0</v>
      </c>
      <c r="AG607" s="943">
        <f>comparaison_samebasis_villages[[#This Row],[previous idp_ind]]-comparaison_samebasis_villages[[#This Row],[actual idp_ind]]</f>
        <v>0</v>
      </c>
      <c r="AH607" s="943">
        <f>comparaison_samebasis_villages[[#This Row],[previous ref_ind]]-comparaison_samebasis_villages[[#This Row],[actual ref_ind]]</f>
        <v>0</v>
      </c>
      <c r="AI607" s="943">
        <f>comparaison_samebasis_villages[[#This Row],[previous ret_ind]]-comparaison_samebasis_villages[[#This Row],[actual ret_ind]]</f>
        <v>0</v>
      </c>
    </row>
    <row r="608" spans="1:35" ht="15.75" customHeight="1" x14ac:dyDescent="0.3">
      <c r="A608" s="401" t="s">
        <v>32</v>
      </c>
      <c r="B608" s="401" t="s">
        <v>32</v>
      </c>
      <c r="C608" s="401" t="s">
        <v>179</v>
      </c>
      <c r="D608" s="401" t="s">
        <v>179</v>
      </c>
      <c r="E608" s="401" t="s">
        <v>2316</v>
      </c>
      <c r="F608" s="5" t="s">
        <v>2317</v>
      </c>
      <c r="G608" s="401"/>
      <c r="H608" s="1093" t="s">
        <v>511</v>
      </c>
      <c r="I608" s="1216" t="s">
        <v>3109</v>
      </c>
      <c r="J608" s="403">
        <v>0</v>
      </c>
      <c r="K608" s="403">
        <v>10</v>
      </c>
      <c r="L608" s="1093" t="s">
        <v>367</v>
      </c>
      <c r="M608" s="401"/>
      <c r="O608" s="404" t="s">
        <v>31</v>
      </c>
      <c r="P608" s="404" t="s">
        <v>31</v>
      </c>
      <c r="Q608" s="404" t="s">
        <v>171</v>
      </c>
      <c r="R608" s="404" t="s">
        <v>171</v>
      </c>
      <c r="S608" s="404" t="s">
        <v>1817</v>
      </c>
      <c r="T608" s="404" t="s">
        <v>1974</v>
      </c>
      <c r="U608" s="941">
        <v>14</v>
      </c>
      <c r="V608" s="941">
        <v>68</v>
      </c>
      <c r="W608" s="941">
        <v>10</v>
      </c>
      <c r="X608" s="941">
        <v>36</v>
      </c>
      <c r="Y608" s="941">
        <v>0</v>
      </c>
      <c r="Z608" s="941">
        <v>0</v>
      </c>
      <c r="AA608" s="942">
        <v>10</v>
      </c>
      <c r="AB608" s="942">
        <v>59</v>
      </c>
      <c r="AC608" s="942">
        <v>5</v>
      </c>
      <c r="AD608" s="942">
        <v>21</v>
      </c>
      <c r="AE608" s="942">
        <v>0</v>
      </c>
      <c r="AF608" s="942">
        <v>0</v>
      </c>
      <c r="AG608" s="943">
        <f>comparaison_samebasis_villages[[#This Row],[previous idp_ind]]-comparaison_samebasis_villages[[#This Row],[actual idp_ind]]</f>
        <v>-9</v>
      </c>
      <c r="AH608" s="943">
        <f>comparaison_samebasis_villages[[#This Row],[previous ref_ind]]-comparaison_samebasis_villages[[#This Row],[actual ref_ind]]</f>
        <v>-15</v>
      </c>
      <c r="AI608" s="943">
        <f>comparaison_samebasis_villages[[#This Row],[previous ret_ind]]-comparaison_samebasis_villages[[#This Row],[actual ret_ind]]</f>
        <v>0</v>
      </c>
    </row>
    <row r="609" spans="1:35" ht="15.75" customHeight="1" x14ac:dyDescent="0.3">
      <c r="A609" s="401" t="s">
        <v>31</v>
      </c>
      <c r="B609" s="401" t="s">
        <v>31</v>
      </c>
      <c r="C609" s="401" t="s">
        <v>169</v>
      </c>
      <c r="D609" s="401" t="s">
        <v>169</v>
      </c>
      <c r="E609" s="401" t="s">
        <v>3002</v>
      </c>
      <c r="F609" s="5" t="s">
        <v>2334</v>
      </c>
      <c r="G609" s="401"/>
      <c r="H609" s="1093" t="s">
        <v>511</v>
      </c>
      <c r="I609" s="1216" t="s">
        <v>3111</v>
      </c>
      <c r="J609" s="403">
        <v>127</v>
      </c>
      <c r="K609" s="403">
        <v>255</v>
      </c>
      <c r="L609" s="1093" t="s">
        <v>365</v>
      </c>
      <c r="M609" s="401"/>
      <c r="O609" s="404" t="s">
        <v>31</v>
      </c>
      <c r="P609" s="404" t="s">
        <v>31</v>
      </c>
      <c r="Q609" s="404" t="s">
        <v>171</v>
      </c>
      <c r="R609" s="404" t="s">
        <v>171</v>
      </c>
      <c r="S609" s="404" t="s">
        <v>1876</v>
      </c>
      <c r="T609" s="404" t="s">
        <v>2876</v>
      </c>
      <c r="U609" s="941">
        <v>2</v>
      </c>
      <c r="V609" s="941">
        <v>15</v>
      </c>
      <c r="W609" s="941">
        <v>9</v>
      </c>
      <c r="X609" s="941">
        <v>82</v>
      </c>
      <c r="Y609" s="941">
        <v>0</v>
      </c>
      <c r="Z609" s="941">
        <v>0</v>
      </c>
      <c r="AA609" s="942">
        <v>2</v>
      </c>
      <c r="AB609" s="942">
        <v>15</v>
      </c>
      <c r="AC609" s="942">
        <v>9</v>
      </c>
      <c r="AD609" s="942">
        <v>82</v>
      </c>
      <c r="AE609" s="942">
        <v>0</v>
      </c>
      <c r="AF609" s="942">
        <v>0</v>
      </c>
      <c r="AG609" s="943">
        <f>comparaison_samebasis_villages[[#This Row],[previous idp_ind]]-comparaison_samebasis_villages[[#This Row],[actual idp_ind]]</f>
        <v>0</v>
      </c>
      <c r="AH609" s="943">
        <f>comparaison_samebasis_villages[[#This Row],[previous ref_ind]]-comparaison_samebasis_villages[[#This Row],[actual ref_ind]]</f>
        <v>0</v>
      </c>
      <c r="AI609" s="943">
        <f>comparaison_samebasis_villages[[#This Row],[previous ret_ind]]-comparaison_samebasis_villages[[#This Row],[actual ret_ind]]</f>
        <v>0</v>
      </c>
    </row>
    <row r="610" spans="1:35" ht="15.75" customHeight="1" x14ac:dyDescent="0.3">
      <c r="A610" s="401" t="s">
        <v>31</v>
      </c>
      <c r="B610" s="401" t="s">
        <v>31</v>
      </c>
      <c r="C610" s="401" t="s">
        <v>169</v>
      </c>
      <c r="D610" s="401" t="s">
        <v>169</v>
      </c>
      <c r="E610" s="401" t="s">
        <v>2959</v>
      </c>
      <c r="F610" s="5" t="s">
        <v>2340</v>
      </c>
      <c r="G610" s="401"/>
      <c r="H610" s="1093" t="s">
        <v>511</v>
      </c>
      <c r="I610" s="1216" t="s">
        <v>3111</v>
      </c>
      <c r="J610" s="403">
        <v>196</v>
      </c>
      <c r="K610" s="403">
        <v>685</v>
      </c>
      <c r="L610" s="1093" t="s">
        <v>365</v>
      </c>
      <c r="M610" s="401"/>
      <c r="O610" s="404" t="s">
        <v>31</v>
      </c>
      <c r="P610" s="404" t="s">
        <v>31</v>
      </c>
      <c r="Q610" s="404" t="s">
        <v>171</v>
      </c>
      <c r="R610" s="404" t="s">
        <v>171</v>
      </c>
      <c r="S610" s="404" t="s">
        <v>1292</v>
      </c>
      <c r="T610" s="404" t="s">
        <v>2877</v>
      </c>
      <c r="U610" s="941">
        <v>19</v>
      </c>
      <c r="V610" s="941">
        <v>107</v>
      </c>
      <c r="W610" s="941">
        <v>0</v>
      </c>
      <c r="X610" s="941">
        <v>0</v>
      </c>
      <c r="Y610" s="941">
        <v>0</v>
      </c>
      <c r="Z610" s="941">
        <v>0</v>
      </c>
      <c r="AA610" s="942">
        <v>13</v>
      </c>
      <c r="AB610" s="942">
        <v>92</v>
      </c>
      <c r="AC610" s="942">
        <v>0</v>
      </c>
      <c r="AD610" s="942">
        <v>0</v>
      </c>
      <c r="AE610" s="942">
        <v>0</v>
      </c>
      <c r="AF610" s="942">
        <v>0</v>
      </c>
      <c r="AG610" s="943">
        <f>comparaison_samebasis_villages[[#This Row],[previous idp_ind]]-comparaison_samebasis_villages[[#This Row],[actual idp_ind]]</f>
        <v>-15</v>
      </c>
      <c r="AH610" s="943">
        <f>comparaison_samebasis_villages[[#This Row],[previous ref_ind]]-comparaison_samebasis_villages[[#This Row],[actual ref_ind]]</f>
        <v>0</v>
      </c>
      <c r="AI610" s="943">
        <f>comparaison_samebasis_villages[[#This Row],[previous ret_ind]]-comparaison_samebasis_villages[[#This Row],[actual ret_ind]]</f>
        <v>0</v>
      </c>
    </row>
    <row r="611" spans="1:35" ht="15.75" customHeight="1" x14ac:dyDescent="0.3">
      <c r="A611" s="401" t="s">
        <v>31</v>
      </c>
      <c r="B611" s="401" t="s">
        <v>31</v>
      </c>
      <c r="C611" s="401" t="s">
        <v>169</v>
      </c>
      <c r="D611" s="401" t="s">
        <v>169</v>
      </c>
      <c r="E611" s="401" t="s">
        <v>3198</v>
      </c>
      <c r="F611" s="5" t="s">
        <v>3075</v>
      </c>
      <c r="G611" s="401"/>
      <c r="H611" s="1093" t="s">
        <v>511</v>
      </c>
      <c r="I611" s="1216" t="s">
        <v>3111</v>
      </c>
      <c r="J611" s="403">
        <v>20</v>
      </c>
      <c r="K611" s="403">
        <v>60</v>
      </c>
      <c r="L611" s="1093" t="s">
        <v>371</v>
      </c>
      <c r="M611" s="401"/>
      <c r="O611" s="404" t="s">
        <v>31</v>
      </c>
      <c r="P611" s="404" t="s">
        <v>31</v>
      </c>
      <c r="Q611" s="404" t="s">
        <v>171</v>
      </c>
      <c r="R611" s="404" t="s">
        <v>171</v>
      </c>
      <c r="S611" s="404" t="s">
        <v>1255</v>
      </c>
      <c r="T611" s="404" t="s">
        <v>842</v>
      </c>
      <c r="U611" s="941">
        <v>39</v>
      </c>
      <c r="V611" s="941">
        <v>247</v>
      </c>
      <c r="W611" s="941">
        <v>0</v>
      </c>
      <c r="X611" s="941">
        <v>0</v>
      </c>
      <c r="Y611" s="941">
        <v>0</v>
      </c>
      <c r="Z611" s="941">
        <v>0</v>
      </c>
      <c r="AA611" s="942">
        <v>39</v>
      </c>
      <c r="AB611" s="942">
        <v>247</v>
      </c>
      <c r="AC611" s="942">
        <v>6</v>
      </c>
      <c r="AD611" s="942">
        <v>44</v>
      </c>
      <c r="AE611" s="942">
        <v>0</v>
      </c>
      <c r="AF611" s="942">
        <v>0</v>
      </c>
      <c r="AG611" s="943">
        <f>comparaison_samebasis_villages[[#This Row],[previous idp_ind]]-comparaison_samebasis_villages[[#This Row],[actual idp_ind]]</f>
        <v>0</v>
      </c>
      <c r="AH611" s="943">
        <f>comparaison_samebasis_villages[[#This Row],[previous ref_ind]]-comparaison_samebasis_villages[[#This Row],[actual ref_ind]]</f>
        <v>44</v>
      </c>
      <c r="AI611" s="943">
        <f>comparaison_samebasis_villages[[#This Row],[previous ret_ind]]-comparaison_samebasis_villages[[#This Row],[actual ret_ind]]</f>
        <v>0</v>
      </c>
    </row>
    <row r="612" spans="1:35" ht="15.75" customHeight="1" x14ac:dyDescent="0.3">
      <c r="A612" s="401" t="s">
        <v>31</v>
      </c>
      <c r="B612" s="401" t="s">
        <v>31</v>
      </c>
      <c r="C612" s="401" t="s">
        <v>169</v>
      </c>
      <c r="D612" s="401" t="s">
        <v>169</v>
      </c>
      <c r="E612" s="401" t="s">
        <v>3198</v>
      </c>
      <c r="F612" s="5" t="s">
        <v>3075</v>
      </c>
      <c r="G612" s="401"/>
      <c r="H612" s="1093" t="s">
        <v>511</v>
      </c>
      <c r="I612" s="1216" t="s">
        <v>3112</v>
      </c>
      <c r="J612" s="403">
        <v>1</v>
      </c>
      <c r="K612" s="403">
        <v>6</v>
      </c>
      <c r="L612" s="1093" t="s">
        <v>369</v>
      </c>
      <c r="M612" s="401"/>
      <c r="O612" s="399" t="s">
        <v>31</v>
      </c>
      <c r="P612" s="399" t="s">
        <v>31</v>
      </c>
      <c r="Q612" s="399" t="s">
        <v>171</v>
      </c>
      <c r="R612" s="399" t="s">
        <v>171</v>
      </c>
      <c r="S612" s="399" t="s">
        <v>1832</v>
      </c>
      <c r="T612" s="399" t="s">
        <v>2594</v>
      </c>
      <c r="U612" s="941">
        <v>10</v>
      </c>
      <c r="V612" s="941">
        <v>82</v>
      </c>
      <c r="W612" s="941">
        <v>12</v>
      </c>
      <c r="X612" s="941">
        <v>59</v>
      </c>
      <c r="Y612" s="941">
        <v>0</v>
      </c>
      <c r="Z612" s="941">
        <v>0</v>
      </c>
      <c r="AA612" s="942">
        <v>10</v>
      </c>
      <c r="AB612" s="942">
        <v>76</v>
      </c>
      <c r="AC612" s="942">
        <v>12</v>
      </c>
      <c r="AD612" s="942">
        <v>59</v>
      </c>
      <c r="AE612" s="942">
        <v>0</v>
      </c>
      <c r="AF612" s="942">
        <v>0</v>
      </c>
      <c r="AG612" s="943">
        <f>comparaison_samebasis_villages[[#This Row],[previous idp_ind]]-comparaison_samebasis_villages[[#This Row],[actual idp_ind]]</f>
        <v>-6</v>
      </c>
      <c r="AH612" s="943">
        <f>comparaison_samebasis_villages[[#This Row],[previous ref_ind]]-comparaison_samebasis_villages[[#This Row],[actual ref_ind]]</f>
        <v>0</v>
      </c>
      <c r="AI612" s="943">
        <f>comparaison_samebasis_villages[[#This Row],[previous ret_ind]]-comparaison_samebasis_villages[[#This Row],[actual ret_ind]]</f>
        <v>0</v>
      </c>
    </row>
    <row r="613" spans="1:35" ht="15.75" customHeight="1" x14ac:dyDescent="0.3">
      <c r="A613" s="401" t="s">
        <v>31</v>
      </c>
      <c r="B613" s="401" t="s">
        <v>31</v>
      </c>
      <c r="C613" s="401" t="s">
        <v>169</v>
      </c>
      <c r="D613" s="401" t="s">
        <v>169</v>
      </c>
      <c r="E613" s="401" t="s">
        <v>2846</v>
      </c>
      <c r="F613" s="5" t="s">
        <v>2262</v>
      </c>
      <c r="G613" s="401"/>
      <c r="H613" s="1093" t="s">
        <v>511</v>
      </c>
      <c r="I613" s="1216" t="s">
        <v>3111</v>
      </c>
      <c r="J613" s="403">
        <v>65</v>
      </c>
      <c r="K613" s="403">
        <v>150</v>
      </c>
      <c r="L613" s="1093" t="s">
        <v>367</v>
      </c>
      <c r="M613" s="401"/>
      <c r="O613" s="404" t="s">
        <v>31</v>
      </c>
      <c r="P613" s="404" t="s">
        <v>31</v>
      </c>
      <c r="Q613" s="404" t="s">
        <v>171</v>
      </c>
      <c r="R613" s="404" t="s">
        <v>171</v>
      </c>
      <c r="S613" s="404" t="s">
        <v>2597</v>
      </c>
      <c r="T613" s="404" t="s">
        <v>1816</v>
      </c>
      <c r="U613" s="941">
        <v>0</v>
      </c>
      <c r="V613" s="941">
        <v>0</v>
      </c>
      <c r="W613" s="941">
        <v>20</v>
      </c>
      <c r="X613" s="941">
        <v>140</v>
      </c>
      <c r="Y613" s="941">
        <v>0</v>
      </c>
      <c r="Z613" s="941">
        <v>0</v>
      </c>
      <c r="AA613" s="942">
        <v>0</v>
      </c>
      <c r="AB613" s="942">
        <v>0</v>
      </c>
      <c r="AC613" s="942">
        <v>0</v>
      </c>
      <c r="AD613" s="942">
        <v>0</v>
      </c>
      <c r="AE613" s="942">
        <v>0</v>
      </c>
      <c r="AF613" s="942">
        <v>0</v>
      </c>
      <c r="AG613" s="943">
        <f>comparaison_samebasis_villages[[#This Row],[previous idp_ind]]-comparaison_samebasis_villages[[#This Row],[actual idp_ind]]</f>
        <v>0</v>
      </c>
      <c r="AH613" s="943">
        <f>comparaison_samebasis_villages[[#This Row],[previous ref_ind]]-comparaison_samebasis_villages[[#This Row],[actual ref_ind]]</f>
        <v>-140</v>
      </c>
      <c r="AI613" s="943">
        <f>comparaison_samebasis_villages[[#This Row],[previous ret_ind]]-comparaison_samebasis_villages[[#This Row],[actual ret_ind]]</f>
        <v>0</v>
      </c>
    </row>
    <row r="614" spans="1:35" ht="15.75" customHeight="1" x14ac:dyDescent="0.3">
      <c r="A614" s="401" t="s">
        <v>31</v>
      </c>
      <c r="B614" s="401" t="s">
        <v>31</v>
      </c>
      <c r="C614" s="401" t="s">
        <v>169</v>
      </c>
      <c r="D614" s="401" t="s">
        <v>169</v>
      </c>
      <c r="E614" s="401" t="s">
        <v>2846</v>
      </c>
      <c r="F614" s="5" t="s">
        <v>2262</v>
      </c>
      <c r="G614" s="401"/>
      <c r="H614" s="1093" t="s">
        <v>511</v>
      </c>
      <c r="I614" s="1216" t="s">
        <v>3112</v>
      </c>
      <c r="J614" s="403">
        <v>1</v>
      </c>
      <c r="K614" s="403">
        <v>4</v>
      </c>
      <c r="L614" s="1093" t="s">
        <v>365</v>
      </c>
      <c r="M614" s="401"/>
      <c r="O614" s="399" t="s">
        <v>31</v>
      </c>
      <c r="P614" s="399" t="s">
        <v>31</v>
      </c>
      <c r="Q614" s="399" t="s">
        <v>171</v>
      </c>
      <c r="R614" s="399" t="s">
        <v>171</v>
      </c>
      <c r="S614" s="399" t="s">
        <v>2021</v>
      </c>
      <c r="T614" s="399" t="s">
        <v>1875</v>
      </c>
      <c r="U614" s="941">
        <v>20</v>
      </c>
      <c r="V614" s="941">
        <v>115</v>
      </c>
      <c r="W614" s="941">
        <v>12</v>
      </c>
      <c r="X614" s="941">
        <v>59</v>
      </c>
      <c r="Y614" s="941">
        <v>0</v>
      </c>
      <c r="Z614" s="941">
        <v>0</v>
      </c>
      <c r="AA614" s="942">
        <v>2</v>
      </c>
      <c r="AB614" s="942">
        <v>15</v>
      </c>
      <c r="AC614" s="942">
        <v>0</v>
      </c>
      <c r="AD614" s="942">
        <v>0</v>
      </c>
      <c r="AE614" s="942">
        <v>0</v>
      </c>
      <c r="AF614" s="942">
        <v>0</v>
      </c>
      <c r="AG614" s="943">
        <f>comparaison_samebasis_villages[[#This Row],[previous idp_ind]]-comparaison_samebasis_villages[[#This Row],[actual idp_ind]]</f>
        <v>-100</v>
      </c>
      <c r="AH614" s="943">
        <f>comparaison_samebasis_villages[[#This Row],[previous ref_ind]]-comparaison_samebasis_villages[[#This Row],[actual ref_ind]]</f>
        <v>-59</v>
      </c>
      <c r="AI614" s="943">
        <f>comparaison_samebasis_villages[[#This Row],[previous ret_ind]]-comparaison_samebasis_villages[[#This Row],[actual ret_ind]]</f>
        <v>0</v>
      </c>
    </row>
    <row r="615" spans="1:35" ht="15.75" customHeight="1" x14ac:dyDescent="0.3">
      <c r="A615" s="401" t="s">
        <v>31</v>
      </c>
      <c r="B615" s="401" t="s">
        <v>31</v>
      </c>
      <c r="C615" s="401" t="s">
        <v>169</v>
      </c>
      <c r="D615" s="401" t="s">
        <v>169</v>
      </c>
      <c r="E615" s="401" t="s">
        <v>3200</v>
      </c>
      <c r="F615" s="5" t="s">
        <v>3088</v>
      </c>
      <c r="G615" s="401"/>
      <c r="H615" s="1093" t="s">
        <v>511</v>
      </c>
      <c r="I615" s="1216" t="s">
        <v>3111</v>
      </c>
      <c r="J615" s="403">
        <v>18</v>
      </c>
      <c r="K615" s="403">
        <v>40</v>
      </c>
      <c r="L615" s="1093" t="s">
        <v>365</v>
      </c>
      <c r="M615" s="401"/>
      <c r="O615" s="404" t="s">
        <v>31</v>
      </c>
      <c r="P615" s="404" t="s">
        <v>31</v>
      </c>
      <c r="Q615" s="404" t="s">
        <v>171</v>
      </c>
      <c r="R615" s="404" t="s">
        <v>171</v>
      </c>
      <c r="S615" s="404" t="s">
        <v>2599</v>
      </c>
      <c r="T615" s="404" t="s">
        <v>1291</v>
      </c>
      <c r="U615" s="941">
        <v>0</v>
      </c>
      <c r="V615" s="941">
        <v>0</v>
      </c>
      <c r="W615" s="941">
        <v>0</v>
      </c>
      <c r="X615" s="941">
        <v>0</v>
      </c>
      <c r="Y615" s="941">
        <v>0</v>
      </c>
      <c r="Z615" s="941">
        <v>0</v>
      </c>
      <c r="AA615" s="942">
        <v>0</v>
      </c>
      <c r="AB615" s="942">
        <v>0</v>
      </c>
      <c r="AC615" s="942">
        <v>0</v>
      </c>
      <c r="AD615" s="942">
        <v>0</v>
      </c>
      <c r="AE615" s="942">
        <v>0</v>
      </c>
      <c r="AF615" s="942">
        <v>0</v>
      </c>
      <c r="AG615" s="943">
        <f>comparaison_samebasis_villages[[#This Row],[previous idp_ind]]-comparaison_samebasis_villages[[#This Row],[actual idp_ind]]</f>
        <v>0</v>
      </c>
      <c r="AH615" s="943">
        <f>comparaison_samebasis_villages[[#This Row],[previous ref_ind]]-comparaison_samebasis_villages[[#This Row],[actual ref_ind]]</f>
        <v>0</v>
      </c>
      <c r="AI615" s="943">
        <f>comparaison_samebasis_villages[[#This Row],[previous ret_ind]]-comparaison_samebasis_villages[[#This Row],[actual ret_ind]]</f>
        <v>0</v>
      </c>
    </row>
    <row r="616" spans="1:35" ht="15.75" customHeight="1" x14ac:dyDescent="0.3">
      <c r="A616" s="401" t="s">
        <v>31</v>
      </c>
      <c r="B616" s="401" t="s">
        <v>31</v>
      </c>
      <c r="C616" s="401" t="s">
        <v>169</v>
      </c>
      <c r="D616" s="401" t="s">
        <v>169</v>
      </c>
      <c r="E616" s="401" t="s">
        <v>1127</v>
      </c>
      <c r="F616" s="5" t="s">
        <v>677</v>
      </c>
      <c r="G616" s="401"/>
      <c r="H616" s="1093" t="s">
        <v>511</v>
      </c>
      <c r="I616" s="1216" t="s">
        <v>3111</v>
      </c>
      <c r="J616" s="403">
        <v>20</v>
      </c>
      <c r="K616" s="403">
        <v>100</v>
      </c>
      <c r="L616" s="1093" t="s">
        <v>367</v>
      </c>
      <c r="M616" s="401"/>
      <c r="O616" s="404" t="s">
        <v>31</v>
      </c>
      <c r="P616" s="404" t="s">
        <v>31</v>
      </c>
      <c r="Q616" s="404" t="s">
        <v>171</v>
      </c>
      <c r="R616" s="404" t="s">
        <v>171</v>
      </c>
      <c r="S616" s="404" t="s">
        <v>2088</v>
      </c>
      <c r="T616" s="404" t="s">
        <v>1254</v>
      </c>
      <c r="U616" s="941">
        <v>19</v>
      </c>
      <c r="V616" s="941">
        <v>171</v>
      </c>
      <c r="W616" s="941">
        <v>0</v>
      </c>
      <c r="X616" s="941">
        <v>0</v>
      </c>
      <c r="Y616" s="941">
        <v>0</v>
      </c>
      <c r="Z616" s="941">
        <v>0</v>
      </c>
      <c r="AA616" s="942">
        <v>19</v>
      </c>
      <c r="AB616" s="942">
        <v>171</v>
      </c>
      <c r="AC616" s="942">
        <v>0</v>
      </c>
      <c r="AD616" s="942">
        <v>0</v>
      </c>
      <c r="AE616" s="942">
        <v>0</v>
      </c>
      <c r="AF616" s="942">
        <v>0</v>
      </c>
      <c r="AG616" s="943">
        <f>comparaison_samebasis_villages[[#This Row],[previous idp_ind]]-comparaison_samebasis_villages[[#This Row],[actual idp_ind]]</f>
        <v>0</v>
      </c>
      <c r="AH616" s="943">
        <f>comparaison_samebasis_villages[[#This Row],[previous ref_ind]]-comparaison_samebasis_villages[[#This Row],[actual ref_ind]]</f>
        <v>0</v>
      </c>
      <c r="AI616" s="943">
        <f>comparaison_samebasis_villages[[#This Row],[previous ret_ind]]-comparaison_samebasis_villages[[#This Row],[actual ret_ind]]</f>
        <v>0</v>
      </c>
    </row>
    <row r="617" spans="1:35" ht="15.75" customHeight="1" x14ac:dyDescent="0.3">
      <c r="A617" s="401" t="s">
        <v>31</v>
      </c>
      <c r="B617" s="401" t="s">
        <v>31</v>
      </c>
      <c r="C617" s="401" t="s">
        <v>169</v>
      </c>
      <c r="D617" s="401" t="s">
        <v>169</v>
      </c>
      <c r="E617" s="401" t="s">
        <v>1270</v>
      </c>
      <c r="F617" s="5" t="s">
        <v>674</v>
      </c>
      <c r="G617" s="401"/>
      <c r="H617" s="1093" t="s">
        <v>511</v>
      </c>
      <c r="I617" s="1216" t="s">
        <v>3112</v>
      </c>
      <c r="J617" s="403">
        <v>150</v>
      </c>
      <c r="K617" s="403">
        <v>629</v>
      </c>
      <c r="L617" s="1093" t="s">
        <v>367</v>
      </c>
      <c r="M617" s="401"/>
      <c r="O617" s="399" t="s">
        <v>31</v>
      </c>
      <c r="P617" s="399" t="s">
        <v>31</v>
      </c>
      <c r="Q617" s="399" t="s">
        <v>171</v>
      </c>
      <c r="R617" s="399" t="s">
        <v>171</v>
      </c>
      <c r="S617" s="399" t="s">
        <v>1397</v>
      </c>
      <c r="T617" s="399" t="s">
        <v>1831</v>
      </c>
      <c r="U617" s="941">
        <v>11</v>
      </c>
      <c r="V617" s="941">
        <v>60</v>
      </c>
      <c r="W617" s="941">
        <v>0</v>
      </c>
      <c r="X617" s="941">
        <v>0</v>
      </c>
      <c r="Y617" s="941">
        <v>0</v>
      </c>
      <c r="Z617" s="941">
        <v>0</v>
      </c>
      <c r="AA617" s="942">
        <v>13</v>
      </c>
      <c r="AB617" s="942">
        <v>66</v>
      </c>
      <c r="AC617" s="942">
        <v>0</v>
      </c>
      <c r="AD617" s="942">
        <v>0</v>
      </c>
      <c r="AE617" s="942">
        <v>0</v>
      </c>
      <c r="AF617" s="942">
        <v>0</v>
      </c>
      <c r="AG617" s="943">
        <f>comparaison_samebasis_villages[[#This Row],[previous idp_ind]]-comparaison_samebasis_villages[[#This Row],[actual idp_ind]]</f>
        <v>6</v>
      </c>
      <c r="AH617" s="943">
        <f>comparaison_samebasis_villages[[#This Row],[previous ref_ind]]-comparaison_samebasis_villages[[#This Row],[actual ref_ind]]</f>
        <v>0</v>
      </c>
      <c r="AI617" s="943">
        <f>comparaison_samebasis_villages[[#This Row],[previous ret_ind]]-comparaison_samebasis_villages[[#This Row],[actual ret_ind]]</f>
        <v>0</v>
      </c>
    </row>
    <row r="618" spans="1:35" ht="15.75" customHeight="1" x14ac:dyDescent="0.3">
      <c r="A618" s="401" t="s">
        <v>31</v>
      </c>
      <c r="B618" s="401" t="s">
        <v>31</v>
      </c>
      <c r="C618" s="401" t="s">
        <v>169</v>
      </c>
      <c r="D618" s="401" t="s">
        <v>169</v>
      </c>
      <c r="E618" s="401" t="s">
        <v>1647</v>
      </c>
      <c r="F618" s="5" t="s">
        <v>676</v>
      </c>
      <c r="G618" s="401"/>
      <c r="H618" s="1093" t="s">
        <v>511</v>
      </c>
      <c r="I618" s="1216" t="s">
        <v>3111</v>
      </c>
      <c r="J618" s="403">
        <v>51</v>
      </c>
      <c r="K618" s="403">
        <v>249</v>
      </c>
      <c r="L618" s="1093" t="s">
        <v>367</v>
      </c>
      <c r="M618" s="401"/>
      <c r="O618" s="404" t="s">
        <v>31</v>
      </c>
      <c r="P618" s="404" t="s">
        <v>31</v>
      </c>
      <c r="Q618" s="404" t="s">
        <v>171</v>
      </c>
      <c r="R618" s="404" t="s">
        <v>171</v>
      </c>
      <c r="S618" s="404" t="s">
        <v>1915</v>
      </c>
      <c r="T618" s="404" t="s">
        <v>2596</v>
      </c>
      <c r="U618" s="941">
        <v>20</v>
      </c>
      <c r="V618" s="941">
        <v>121</v>
      </c>
      <c r="W618" s="941">
        <v>0</v>
      </c>
      <c r="X618" s="941">
        <v>0</v>
      </c>
      <c r="Y618" s="941">
        <v>0</v>
      </c>
      <c r="Z618" s="941">
        <v>0</v>
      </c>
      <c r="AA618" s="942">
        <v>20</v>
      </c>
      <c r="AB618" s="942">
        <v>121</v>
      </c>
      <c r="AC618" s="942">
        <v>0</v>
      </c>
      <c r="AD618" s="942">
        <v>0</v>
      </c>
      <c r="AE618" s="942">
        <v>0</v>
      </c>
      <c r="AF618" s="942">
        <v>0</v>
      </c>
      <c r="AG618" s="943">
        <f>comparaison_samebasis_villages[[#This Row],[previous idp_ind]]-comparaison_samebasis_villages[[#This Row],[actual idp_ind]]</f>
        <v>0</v>
      </c>
      <c r="AH618" s="943">
        <f>comparaison_samebasis_villages[[#This Row],[previous ref_ind]]-comparaison_samebasis_villages[[#This Row],[actual ref_ind]]</f>
        <v>0</v>
      </c>
      <c r="AI618" s="943">
        <f>comparaison_samebasis_villages[[#This Row],[previous ret_ind]]-comparaison_samebasis_villages[[#This Row],[actual ret_ind]]</f>
        <v>0</v>
      </c>
    </row>
    <row r="619" spans="1:35" ht="15.75" customHeight="1" x14ac:dyDescent="0.3">
      <c r="A619" s="401" t="s">
        <v>31</v>
      </c>
      <c r="B619" s="401" t="s">
        <v>31</v>
      </c>
      <c r="C619" s="401" t="s">
        <v>170</v>
      </c>
      <c r="D619" s="401" t="s">
        <v>170</v>
      </c>
      <c r="E619" s="401" t="s">
        <v>873</v>
      </c>
      <c r="F619" s="5" t="s">
        <v>1502</v>
      </c>
      <c r="G619" s="401"/>
      <c r="H619" s="1093" t="s">
        <v>511</v>
      </c>
      <c r="I619" s="1216" t="s">
        <v>3112</v>
      </c>
      <c r="J619" s="403">
        <v>100</v>
      </c>
      <c r="K619" s="403">
        <v>445</v>
      </c>
      <c r="L619" s="1093" t="s">
        <v>373</v>
      </c>
      <c r="M619" s="401"/>
      <c r="O619" s="404" t="s">
        <v>31</v>
      </c>
      <c r="P619" s="404" t="s">
        <v>31</v>
      </c>
      <c r="Q619" s="404" t="s">
        <v>171</v>
      </c>
      <c r="R619" s="404" t="s">
        <v>171</v>
      </c>
      <c r="S619" s="404" t="s">
        <v>1919</v>
      </c>
      <c r="T619" s="404" t="s">
        <v>2020</v>
      </c>
      <c r="U619" s="941">
        <v>5</v>
      </c>
      <c r="V619" s="941">
        <v>32</v>
      </c>
      <c r="W619" s="941">
        <v>0</v>
      </c>
      <c r="X619" s="941">
        <v>0</v>
      </c>
      <c r="Y619" s="941">
        <v>0</v>
      </c>
      <c r="Z619" s="941">
        <v>0</v>
      </c>
      <c r="AA619" s="942">
        <v>3</v>
      </c>
      <c r="AB619" s="942">
        <v>25</v>
      </c>
      <c r="AC619" s="942">
        <v>0</v>
      </c>
      <c r="AD619" s="942">
        <v>0</v>
      </c>
      <c r="AE619" s="942">
        <v>0</v>
      </c>
      <c r="AF619" s="942">
        <v>0</v>
      </c>
      <c r="AG619" s="943">
        <f>comparaison_samebasis_villages[[#This Row],[previous idp_ind]]-comparaison_samebasis_villages[[#This Row],[actual idp_ind]]</f>
        <v>-7</v>
      </c>
      <c r="AH619" s="943">
        <f>comparaison_samebasis_villages[[#This Row],[previous ref_ind]]-comparaison_samebasis_villages[[#This Row],[actual ref_ind]]</f>
        <v>0</v>
      </c>
      <c r="AI619" s="943">
        <f>comparaison_samebasis_villages[[#This Row],[previous ret_ind]]-comparaison_samebasis_villages[[#This Row],[actual ret_ind]]</f>
        <v>0</v>
      </c>
    </row>
    <row r="620" spans="1:35" ht="15.75" customHeight="1" x14ac:dyDescent="0.3">
      <c r="A620" s="401" t="s">
        <v>32</v>
      </c>
      <c r="B620" s="401" t="s">
        <v>32</v>
      </c>
      <c r="C620" s="401" t="s">
        <v>179</v>
      </c>
      <c r="D620" s="401" t="s">
        <v>179</v>
      </c>
      <c r="E620" s="401" t="s">
        <v>1667</v>
      </c>
      <c r="F620" s="5" t="s">
        <v>1668</v>
      </c>
      <c r="G620" s="401"/>
      <c r="H620" s="1093" t="s">
        <v>511</v>
      </c>
      <c r="I620" s="1216" t="s">
        <v>3033</v>
      </c>
      <c r="J620" s="403">
        <v>18</v>
      </c>
      <c r="K620" s="403">
        <v>248</v>
      </c>
      <c r="L620" s="1093" t="s">
        <v>367</v>
      </c>
      <c r="M620" s="401"/>
      <c r="O620" s="404" t="s">
        <v>31</v>
      </c>
      <c r="P620" s="404" t="s">
        <v>31</v>
      </c>
      <c r="Q620" s="404" t="s">
        <v>171</v>
      </c>
      <c r="R620" s="404" t="s">
        <v>171</v>
      </c>
      <c r="S620" s="404" t="s">
        <v>1049</v>
      </c>
      <c r="T620" s="404" t="s">
        <v>2598</v>
      </c>
      <c r="U620" s="941">
        <v>27</v>
      </c>
      <c r="V620" s="941">
        <v>245</v>
      </c>
      <c r="W620" s="941">
        <v>0</v>
      </c>
      <c r="X620" s="941">
        <v>0</v>
      </c>
      <c r="Y620" s="941">
        <v>0</v>
      </c>
      <c r="Z620" s="941">
        <v>0</v>
      </c>
      <c r="AA620" s="942">
        <v>23</v>
      </c>
      <c r="AB620" s="942">
        <v>232</v>
      </c>
      <c r="AC620" s="942">
        <v>0</v>
      </c>
      <c r="AD620" s="942">
        <v>0</v>
      </c>
      <c r="AE620" s="942">
        <v>0</v>
      </c>
      <c r="AF620" s="942">
        <v>0</v>
      </c>
      <c r="AG620" s="943">
        <f>comparaison_samebasis_villages[[#This Row],[previous idp_ind]]-comparaison_samebasis_villages[[#This Row],[actual idp_ind]]</f>
        <v>-13</v>
      </c>
      <c r="AH620" s="943">
        <f>comparaison_samebasis_villages[[#This Row],[previous ref_ind]]-comparaison_samebasis_villages[[#This Row],[actual ref_ind]]</f>
        <v>0</v>
      </c>
      <c r="AI620" s="943">
        <f>comparaison_samebasis_villages[[#This Row],[previous ret_ind]]-comparaison_samebasis_villages[[#This Row],[actual ret_ind]]</f>
        <v>0</v>
      </c>
    </row>
    <row r="621" spans="1:35" ht="15.75" customHeight="1" x14ac:dyDescent="0.3">
      <c r="A621" s="401" t="s">
        <v>32</v>
      </c>
      <c r="B621" s="401" t="s">
        <v>32</v>
      </c>
      <c r="C621" s="401" t="s">
        <v>179</v>
      </c>
      <c r="D621" s="401" t="s">
        <v>179</v>
      </c>
      <c r="E621" s="401" t="s">
        <v>1667</v>
      </c>
      <c r="F621" s="5" t="s">
        <v>1668</v>
      </c>
      <c r="G621" s="401"/>
      <c r="H621" s="1093" t="s">
        <v>511</v>
      </c>
      <c r="I621" s="1216" t="s">
        <v>3109</v>
      </c>
      <c r="J621" s="403">
        <v>0</v>
      </c>
      <c r="K621" s="403">
        <v>2</v>
      </c>
      <c r="L621" s="1093" t="s">
        <v>367</v>
      </c>
      <c r="M621" s="401"/>
      <c r="O621" s="404" t="s">
        <v>31</v>
      </c>
      <c r="P621" s="404" t="s">
        <v>31</v>
      </c>
      <c r="Q621" s="404" t="s">
        <v>171</v>
      </c>
      <c r="R621" s="404" t="s">
        <v>171</v>
      </c>
      <c r="S621" s="404" t="s">
        <v>1746</v>
      </c>
      <c r="T621" s="404" t="s">
        <v>2087</v>
      </c>
      <c r="U621" s="941">
        <v>21</v>
      </c>
      <c r="V621" s="941">
        <v>175</v>
      </c>
      <c r="W621" s="941">
        <v>15</v>
      </c>
      <c r="X621" s="941">
        <v>139</v>
      </c>
      <c r="Y621" s="941">
        <v>0</v>
      </c>
      <c r="Z621" s="941">
        <v>0</v>
      </c>
      <c r="AA621" s="942">
        <v>21</v>
      </c>
      <c r="AB621" s="942">
        <v>175</v>
      </c>
      <c r="AC621" s="942">
        <v>15</v>
      </c>
      <c r="AD621" s="942">
        <v>139</v>
      </c>
      <c r="AE621" s="942">
        <v>0</v>
      </c>
      <c r="AF621" s="942">
        <v>0</v>
      </c>
      <c r="AG621" s="943">
        <f>comparaison_samebasis_villages[[#This Row],[previous idp_ind]]-comparaison_samebasis_villages[[#This Row],[actual idp_ind]]</f>
        <v>0</v>
      </c>
      <c r="AH621" s="943">
        <f>comparaison_samebasis_villages[[#This Row],[previous ref_ind]]-comparaison_samebasis_villages[[#This Row],[actual ref_ind]]</f>
        <v>0</v>
      </c>
      <c r="AI621" s="943">
        <f>comparaison_samebasis_villages[[#This Row],[previous ret_ind]]-comparaison_samebasis_villages[[#This Row],[actual ret_ind]]</f>
        <v>0</v>
      </c>
    </row>
    <row r="622" spans="1:35" ht="15.75" customHeight="1" x14ac:dyDescent="0.3">
      <c r="A622" s="401" t="s">
        <v>32</v>
      </c>
      <c r="B622" s="401" t="s">
        <v>32</v>
      </c>
      <c r="C622" s="401" t="s">
        <v>179</v>
      </c>
      <c r="D622" s="401" t="s">
        <v>179</v>
      </c>
      <c r="E622" s="401" t="s">
        <v>2323</v>
      </c>
      <c r="F622" s="5" t="s">
        <v>2324</v>
      </c>
      <c r="G622" s="401"/>
      <c r="H622" s="1093" t="s">
        <v>511</v>
      </c>
      <c r="I622" s="1216" t="s">
        <v>3112</v>
      </c>
      <c r="J622" s="403">
        <v>50</v>
      </c>
      <c r="K622" s="403">
        <v>475</v>
      </c>
      <c r="L622" s="1093" t="s">
        <v>367</v>
      </c>
      <c r="M622" s="401"/>
      <c r="O622" s="404" t="s">
        <v>31</v>
      </c>
      <c r="P622" s="404" t="s">
        <v>31</v>
      </c>
      <c r="Q622" s="404" t="s">
        <v>171</v>
      </c>
      <c r="R622" s="404" t="s">
        <v>171</v>
      </c>
      <c r="S622" s="404" t="s">
        <v>1940</v>
      </c>
      <c r="T622" s="404" t="s">
        <v>1396</v>
      </c>
      <c r="U622" s="941">
        <v>27</v>
      </c>
      <c r="V622" s="941">
        <v>145</v>
      </c>
      <c r="W622" s="941">
        <v>17</v>
      </c>
      <c r="X622" s="941">
        <v>87</v>
      </c>
      <c r="Y622" s="941">
        <v>0</v>
      </c>
      <c r="Z622" s="941">
        <v>0</v>
      </c>
      <c r="AA622" s="942">
        <v>27</v>
      </c>
      <c r="AB622" s="942">
        <v>145</v>
      </c>
      <c r="AC622" s="942">
        <v>17</v>
      </c>
      <c r="AD622" s="942">
        <v>87</v>
      </c>
      <c r="AE622" s="942">
        <v>0</v>
      </c>
      <c r="AF622" s="942">
        <v>0</v>
      </c>
      <c r="AG622" s="943">
        <f>comparaison_samebasis_villages[[#This Row],[previous idp_ind]]-comparaison_samebasis_villages[[#This Row],[actual idp_ind]]</f>
        <v>0</v>
      </c>
      <c r="AH622" s="943">
        <f>comparaison_samebasis_villages[[#This Row],[previous ref_ind]]-comparaison_samebasis_villages[[#This Row],[actual ref_ind]]</f>
        <v>0</v>
      </c>
      <c r="AI622" s="943">
        <f>comparaison_samebasis_villages[[#This Row],[previous ret_ind]]-comparaison_samebasis_villages[[#This Row],[actual ret_ind]]</f>
        <v>0</v>
      </c>
    </row>
    <row r="623" spans="1:35" ht="15.75" customHeight="1" x14ac:dyDescent="0.3">
      <c r="A623" s="401" t="s">
        <v>31</v>
      </c>
      <c r="B623" s="401" t="s">
        <v>31</v>
      </c>
      <c r="C623" s="401" t="s">
        <v>171</v>
      </c>
      <c r="D623" s="401" t="s">
        <v>171</v>
      </c>
      <c r="E623" s="401" t="s">
        <v>1920</v>
      </c>
      <c r="F623" s="5" t="s">
        <v>1323</v>
      </c>
      <c r="G623" s="401"/>
      <c r="H623" s="1093" t="s">
        <v>511</v>
      </c>
      <c r="I623" s="1216" t="s">
        <v>3112</v>
      </c>
      <c r="J623" s="403">
        <v>10</v>
      </c>
      <c r="K623" s="403">
        <v>45</v>
      </c>
      <c r="L623" s="1093" t="s">
        <v>365</v>
      </c>
      <c r="M623" s="401"/>
      <c r="O623" s="404" t="s">
        <v>31</v>
      </c>
      <c r="P623" s="404" t="s">
        <v>31</v>
      </c>
      <c r="Q623" s="404" t="s">
        <v>171</v>
      </c>
      <c r="R623" s="404" t="s">
        <v>171</v>
      </c>
      <c r="S623" s="404" t="s">
        <v>1263</v>
      </c>
      <c r="T623" s="404" t="s">
        <v>1914</v>
      </c>
      <c r="U623" s="941">
        <v>27</v>
      </c>
      <c r="V623" s="941">
        <v>164</v>
      </c>
      <c r="W623" s="941">
        <v>0</v>
      </c>
      <c r="X623" s="941">
        <v>0</v>
      </c>
      <c r="Y623" s="941">
        <v>0</v>
      </c>
      <c r="Z623" s="941">
        <v>0</v>
      </c>
      <c r="AA623" s="942">
        <v>21</v>
      </c>
      <c r="AB623" s="942">
        <v>137</v>
      </c>
      <c r="AC623" s="942">
        <v>0</v>
      </c>
      <c r="AD623" s="942">
        <v>0</v>
      </c>
      <c r="AE623" s="942">
        <v>0</v>
      </c>
      <c r="AF623" s="942">
        <v>0</v>
      </c>
      <c r="AG623" s="943">
        <f>comparaison_samebasis_villages[[#This Row],[previous idp_ind]]-comparaison_samebasis_villages[[#This Row],[actual idp_ind]]</f>
        <v>-27</v>
      </c>
      <c r="AH623" s="943">
        <f>comparaison_samebasis_villages[[#This Row],[previous ref_ind]]-comparaison_samebasis_villages[[#This Row],[actual ref_ind]]</f>
        <v>0</v>
      </c>
      <c r="AI623" s="943">
        <f>comparaison_samebasis_villages[[#This Row],[previous ret_ind]]-comparaison_samebasis_villages[[#This Row],[actual ret_ind]]</f>
        <v>0</v>
      </c>
    </row>
    <row r="624" spans="1:35" ht="15.75" customHeight="1" x14ac:dyDescent="0.3">
      <c r="A624" s="401" t="s">
        <v>32</v>
      </c>
      <c r="B624" s="401" t="s">
        <v>32</v>
      </c>
      <c r="C624" s="401" t="s">
        <v>178</v>
      </c>
      <c r="D624" s="401" t="s">
        <v>178</v>
      </c>
      <c r="E624" s="401" t="s">
        <v>3220</v>
      </c>
      <c r="F624" s="5" t="s">
        <v>2789</v>
      </c>
      <c r="G624" s="401"/>
      <c r="H624" s="1093" t="s">
        <v>511</v>
      </c>
      <c r="I624" s="1216" t="s">
        <v>3111</v>
      </c>
      <c r="J624" s="403">
        <v>25</v>
      </c>
      <c r="K624" s="403">
        <v>200</v>
      </c>
      <c r="L624" s="1093" t="s">
        <v>365</v>
      </c>
      <c r="M624" s="401"/>
      <c r="O624" s="404" t="s">
        <v>31</v>
      </c>
      <c r="P624" s="404" t="s">
        <v>31</v>
      </c>
      <c r="Q624" s="404" t="s">
        <v>171</v>
      </c>
      <c r="R624" s="404" t="s">
        <v>171</v>
      </c>
      <c r="S624" s="404" t="s">
        <v>1994</v>
      </c>
      <c r="T624" s="404" t="s">
        <v>1918</v>
      </c>
      <c r="U624" s="941">
        <v>19</v>
      </c>
      <c r="V624" s="941">
        <v>98</v>
      </c>
      <c r="W624" s="941">
        <v>0</v>
      </c>
      <c r="X624" s="941">
        <v>0</v>
      </c>
      <c r="Y624" s="941">
        <v>0</v>
      </c>
      <c r="Z624" s="941">
        <v>0</v>
      </c>
      <c r="AA624" s="942">
        <v>14</v>
      </c>
      <c r="AB624" s="942">
        <v>88</v>
      </c>
      <c r="AC624" s="942">
        <v>0</v>
      </c>
      <c r="AD624" s="942">
        <v>0</v>
      </c>
      <c r="AE624" s="942">
        <v>0</v>
      </c>
      <c r="AF624" s="942">
        <v>0</v>
      </c>
      <c r="AG624" s="943">
        <f>comparaison_samebasis_villages[[#This Row],[previous idp_ind]]-comparaison_samebasis_villages[[#This Row],[actual idp_ind]]</f>
        <v>-10</v>
      </c>
      <c r="AH624" s="943">
        <f>comparaison_samebasis_villages[[#This Row],[previous ref_ind]]-comparaison_samebasis_villages[[#This Row],[actual ref_ind]]</f>
        <v>0</v>
      </c>
      <c r="AI624" s="943">
        <f>comparaison_samebasis_villages[[#This Row],[previous ret_ind]]-comparaison_samebasis_villages[[#This Row],[actual ret_ind]]</f>
        <v>0</v>
      </c>
    </row>
    <row r="625" spans="1:35" ht="15.75" customHeight="1" x14ac:dyDescent="0.3">
      <c r="A625" s="401" t="s">
        <v>32</v>
      </c>
      <c r="B625" s="401" t="s">
        <v>32</v>
      </c>
      <c r="C625" s="401" t="s">
        <v>178</v>
      </c>
      <c r="D625" s="401" t="s">
        <v>178</v>
      </c>
      <c r="E625" s="401" t="s">
        <v>3220</v>
      </c>
      <c r="F625" s="5" t="s">
        <v>2789</v>
      </c>
      <c r="G625" s="401"/>
      <c r="H625" s="1093" t="s">
        <v>511</v>
      </c>
      <c r="I625" s="1216" t="s">
        <v>3112</v>
      </c>
      <c r="J625" s="403">
        <v>135</v>
      </c>
      <c r="K625" s="403">
        <v>1300</v>
      </c>
      <c r="L625" s="1093" t="s">
        <v>365</v>
      </c>
      <c r="M625" s="401"/>
      <c r="O625" s="399" t="s">
        <v>31</v>
      </c>
      <c r="P625" s="399" t="s">
        <v>31</v>
      </c>
      <c r="Q625" s="399" t="s">
        <v>171</v>
      </c>
      <c r="R625" s="399" t="s">
        <v>171</v>
      </c>
      <c r="S625" s="399" t="s">
        <v>745</v>
      </c>
      <c r="T625" s="399" t="s">
        <v>1048</v>
      </c>
      <c r="U625" s="941">
        <v>211</v>
      </c>
      <c r="V625" s="941">
        <v>847</v>
      </c>
      <c r="W625" s="941">
        <v>0</v>
      </c>
      <c r="X625" s="941">
        <v>0</v>
      </c>
      <c r="Y625" s="941">
        <v>0</v>
      </c>
      <c r="Z625" s="941">
        <v>0</v>
      </c>
      <c r="AA625" s="942">
        <v>211</v>
      </c>
      <c r="AB625" s="942">
        <v>847</v>
      </c>
      <c r="AC625" s="942">
        <v>0</v>
      </c>
      <c r="AD625" s="942">
        <v>0</v>
      </c>
      <c r="AE625" s="942">
        <v>0</v>
      </c>
      <c r="AF625" s="942">
        <v>0</v>
      </c>
      <c r="AG625" s="943">
        <f>comparaison_samebasis_villages[[#This Row],[previous idp_ind]]-comparaison_samebasis_villages[[#This Row],[actual idp_ind]]</f>
        <v>0</v>
      </c>
      <c r="AH625" s="943">
        <f>comparaison_samebasis_villages[[#This Row],[previous ref_ind]]-comparaison_samebasis_villages[[#This Row],[actual ref_ind]]</f>
        <v>0</v>
      </c>
      <c r="AI625" s="943">
        <f>comparaison_samebasis_villages[[#This Row],[previous ret_ind]]-comparaison_samebasis_villages[[#This Row],[actual ret_ind]]</f>
        <v>0</v>
      </c>
    </row>
    <row r="626" spans="1:35" ht="15.75" customHeight="1" x14ac:dyDescent="0.3">
      <c r="A626" s="401" t="s">
        <v>34</v>
      </c>
      <c r="B626" s="401" t="s">
        <v>34</v>
      </c>
      <c r="C626" s="401" t="s">
        <v>187</v>
      </c>
      <c r="D626" s="401" t="s">
        <v>187</v>
      </c>
      <c r="E626" s="401" t="s">
        <v>952</v>
      </c>
      <c r="F626" s="5" t="s">
        <v>1239</v>
      </c>
      <c r="G626" s="401"/>
      <c r="H626" s="1093" t="s">
        <v>511</v>
      </c>
      <c r="I626" s="1216" t="s">
        <v>3109</v>
      </c>
      <c r="J626" s="403">
        <v>5</v>
      </c>
      <c r="K626" s="403">
        <v>25</v>
      </c>
      <c r="L626" s="1093" t="s">
        <v>365</v>
      </c>
      <c r="M626" s="401"/>
      <c r="O626" s="404" t="s">
        <v>31</v>
      </c>
      <c r="P626" s="404" t="s">
        <v>31</v>
      </c>
      <c r="Q626" s="404" t="s">
        <v>171</v>
      </c>
      <c r="R626" s="404" t="s">
        <v>171</v>
      </c>
      <c r="S626" s="404" t="s">
        <v>933</v>
      </c>
      <c r="T626" s="404" t="s">
        <v>1745</v>
      </c>
      <c r="U626" s="941">
        <v>4</v>
      </c>
      <c r="V626" s="941">
        <v>15</v>
      </c>
      <c r="W626" s="941">
        <v>0</v>
      </c>
      <c r="X626" s="941">
        <v>0</v>
      </c>
      <c r="Y626" s="941">
        <v>0</v>
      </c>
      <c r="Z626" s="941">
        <v>0</v>
      </c>
      <c r="AA626" s="942">
        <v>4</v>
      </c>
      <c r="AB626" s="942">
        <v>12</v>
      </c>
      <c r="AC626" s="942">
        <v>0</v>
      </c>
      <c r="AD626" s="942">
        <v>0</v>
      </c>
      <c r="AE626" s="942">
        <v>0</v>
      </c>
      <c r="AF626" s="942">
        <v>0</v>
      </c>
      <c r="AG626" s="943">
        <f>comparaison_samebasis_villages[[#This Row],[previous idp_ind]]-comparaison_samebasis_villages[[#This Row],[actual idp_ind]]</f>
        <v>-3</v>
      </c>
      <c r="AH626" s="943">
        <f>comparaison_samebasis_villages[[#This Row],[previous ref_ind]]-comparaison_samebasis_villages[[#This Row],[actual ref_ind]]</f>
        <v>0</v>
      </c>
      <c r="AI626" s="943">
        <f>comparaison_samebasis_villages[[#This Row],[previous ret_ind]]-comparaison_samebasis_villages[[#This Row],[actual ret_ind]]</f>
        <v>0</v>
      </c>
    </row>
    <row r="627" spans="1:35" ht="15.75" customHeight="1" x14ac:dyDescent="0.3">
      <c r="A627" s="401" t="s">
        <v>34</v>
      </c>
      <c r="B627" s="401" t="s">
        <v>34</v>
      </c>
      <c r="C627" s="401" t="s">
        <v>187</v>
      </c>
      <c r="D627" s="401" t="s">
        <v>187</v>
      </c>
      <c r="E627" s="401" t="s">
        <v>952</v>
      </c>
      <c r="F627" s="5" t="s">
        <v>1239</v>
      </c>
      <c r="G627" s="401"/>
      <c r="H627" s="1093" t="s">
        <v>511</v>
      </c>
      <c r="I627" s="1216" t="s">
        <v>3111</v>
      </c>
      <c r="J627" s="403">
        <v>10</v>
      </c>
      <c r="K627" s="403">
        <v>50</v>
      </c>
      <c r="L627" s="1093" t="s">
        <v>367</v>
      </c>
      <c r="M627" s="401"/>
      <c r="O627" s="404" t="s">
        <v>31</v>
      </c>
      <c r="P627" s="404" t="s">
        <v>31</v>
      </c>
      <c r="Q627" s="404" t="s">
        <v>171</v>
      </c>
      <c r="R627" s="404" t="s">
        <v>171</v>
      </c>
      <c r="S627" s="404" t="s">
        <v>935</v>
      </c>
      <c r="T627" s="404" t="s">
        <v>1939</v>
      </c>
      <c r="U627" s="941">
        <v>10</v>
      </c>
      <c r="V627" s="941">
        <v>56</v>
      </c>
      <c r="W627" s="941">
        <v>0</v>
      </c>
      <c r="X627" s="941">
        <v>0</v>
      </c>
      <c r="Y627" s="941">
        <v>0</v>
      </c>
      <c r="Z627" s="941">
        <v>0</v>
      </c>
      <c r="AA627" s="942">
        <v>3</v>
      </c>
      <c r="AB627" s="942">
        <v>20</v>
      </c>
      <c r="AC627" s="942">
        <v>0</v>
      </c>
      <c r="AD627" s="942">
        <v>0</v>
      </c>
      <c r="AE627" s="942">
        <v>0</v>
      </c>
      <c r="AF627" s="942">
        <v>0</v>
      </c>
      <c r="AG627" s="943">
        <f>comparaison_samebasis_villages[[#This Row],[previous idp_ind]]-comparaison_samebasis_villages[[#This Row],[actual idp_ind]]</f>
        <v>-36</v>
      </c>
      <c r="AH627" s="943">
        <f>comparaison_samebasis_villages[[#This Row],[previous ref_ind]]-comparaison_samebasis_villages[[#This Row],[actual ref_ind]]</f>
        <v>0</v>
      </c>
      <c r="AI627" s="943">
        <f>comparaison_samebasis_villages[[#This Row],[previous ret_ind]]-comparaison_samebasis_villages[[#This Row],[actual ret_ind]]</f>
        <v>0</v>
      </c>
    </row>
    <row r="628" spans="1:35" ht="15.75" customHeight="1" x14ac:dyDescent="0.3">
      <c r="A628" s="401" t="s">
        <v>34</v>
      </c>
      <c r="B628" s="401" t="s">
        <v>34</v>
      </c>
      <c r="C628" s="401" t="s">
        <v>187</v>
      </c>
      <c r="D628" s="401" t="s">
        <v>187</v>
      </c>
      <c r="E628" s="401" t="s">
        <v>952</v>
      </c>
      <c r="F628" s="5" t="s">
        <v>1239</v>
      </c>
      <c r="G628" s="401"/>
      <c r="H628" s="1093" t="s">
        <v>511</v>
      </c>
      <c r="I628" s="1216" t="s">
        <v>3112</v>
      </c>
      <c r="J628" s="403">
        <v>0</v>
      </c>
      <c r="K628" s="403">
        <v>16</v>
      </c>
      <c r="L628" s="1093" t="s">
        <v>365</v>
      </c>
      <c r="M628" s="401"/>
      <c r="O628" s="404" t="s">
        <v>31</v>
      </c>
      <c r="P628" s="404" t="s">
        <v>31</v>
      </c>
      <c r="Q628" s="404" t="s">
        <v>171</v>
      </c>
      <c r="R628" s="404" t="s">
        <v>171</v>
      </c>
      <c r="S628" s="404" t="s">
        <v>1853</v>
      </c>
      <c r="T628" s="404" t="s">
        <v>2927</v>
      </c>
      <c r="U628" s="941">
        <v>20</v>
      </c>
      <c r="V628" s="941">
        <v>56</v>
      </c>
      <c r="W628" s="941">
        <v>0</v>
      </c>
      <c r="X628" s="941">
        <v>0</v>
      </c>
      <c r="Y628" s="941">
        <v>0</v>
      </c>
      <c r="Z628" s="941">
        <v>0</v>
      </c>
      <c r="AA628" s="942">
        <v>20</v>
      </c>
      <c r="AB628" s="942">
        <v>56</v>
      </c>
      <c r="AC628" s="942">
        <v>0</v>
      </c>
      <c r="AD628" s="942">
        <v>0</v>
      </c>
      <c r="AE628" s="942">
        <v>0</v>
      </c>
      <c r="AF628" s="942">
        <v>0</v>
      </c>
      <c r="AG628" s="943">
        <f>comparaison_samebasis_villages[[#This Row],[previous idp_ind]]-comparaison_samebasis_villages[[#This Row],[actual idp_ind]]</f>
        <v>0</v>
      </c>
      <c r="AH628" s="943">
        <f>comparaison_samebasis_villages[[#This Row],[previous ref_ind]]-comparaison_samebasis_villages[[#This Row],[actual ref_ind]]</f>
        <v>0</v>
      </c>
      <c r="AI628" s="943">
        <f>comparaison_samebasis_villages[[#This Row],[previous ret_ind]]-comparaison_samebasis_villages[[#This Row],[actual ret_ind]]</f>
        <v>0</v>
      </c>
    </row>
    <row r="629" spans="1:35" ht="15.75" customHeight="1" x14ac:dyDescent="0.3">
      <c r="A629" s="401" t="s">
        <v>34</v>
      </c>
      <c r="B629" s="401" t="s">
        <v>34</v>
      </c>
      <c r="C629" s="401" t="s">
        <v>187</v>
      </c>
      <c r="D629" s="401" t="s">
        <v>187</v>
      </c>
      <c r="E629" s="401" t="s">
        <v>952</v>
      </c>
      <c r="F629" s="5" t="s">
        <v>1239</v>
      </c>
      <c r="G629" s="401"/>
      <c r="H629" s="1093" t="s">
        <v>511</v>
      </c>
      <c r="I629" s="1216" t="s">
        <v>3110</v>
      </c>
      <c r="J629" s="403">
        <v>0</v>
      </c>
      <c r="K629" s="403">
        <v>3</v>
      </c>
      <c r="L629" s="1093" t="s">
        <v>365</v>
      </c>
      <c r="M629" s="401"/>
      <c r="O629" s="404" t="s">
        <v>31</v>
      </c>
      <c r="P629" s="404" t="s">
        <v>31</v>
      </c>
      <c r="Q629" s="404" t="s">
        <v>171</v>
      </c>
      <c r="R629" s="404" t="s">
        <v>171</v>
      </c>
      <c r="S629" s="404" t="s">
        <v>2601</v>
      </c>
      <c r="T629" s="404" t="s">
        <v>1262</v>
      </c>
      <c r="U629" s="941">
        <v>0</v>
      </c>
      <c r="V629" s="941">
        <v>0</v>
      </c>
      <c r="W629" s="941">
        <v>0</v>
      </c>
      <c r="X629" s="941">
        <v>0</v>
      </c>
      <c r="Y629" s="941">
        <v>0</v>
      </c>
      <c r="Z629" s="941">
        <v>0</v>
      </c>
      <c r="AA629" s="942">
        <v>0</v>
      </c>
      <c r="AB629" s="942">
        <v>0</v>
      </c>
      <c r="AC629" s="942">
        <v>0</v>
      </c>
      <c r="AD629" s="942">
        <v>0</v>
      </c>
      <c r="AE629" s="942">
        <v>0</v>
      </c>
      <c r="AF629" s="942">
        <v>0</v>
      </c>
      <c r="AG629" s="943">
        <f>comparaison_samebasis_villages[[#This Row],[previous idp_ind]]-comparaison_samebasis_villages[[#This Row],[actual idp_ind]]</f>
        <v>0</v>
      </c>
      <c r="AH629" s="943">
        <f>comparaison_samebasis_villages[[#This Row],[previous ref_ind]]-comparaison_samebasis_villages[[#This Row],[actual ref_ind]]</f>
        <v>0</v>
      </c>
      <c r="AI629" s="943">
        <f>comparaison_samebasis_villages[[#This Row],[previous ret_ind]]-comparaison_samebasis_villages[[#This Row],[actual ret_ind]]</f>
        <v>0</v>
      </c>
    </row>
    <row r="630" spans="1:35" ht="15.75" customHeight="1" x14ac:dyDescent="0.3">
      <c r="A630" s="401" t="s">
        <v>31</v>
      </c>
      <c r="B630" s="401" t="s">
        <v>31</v>
      </c>
      <c r="C630" s="401" t="s">
        <v>167</v>
      </c>
      <c r="D630" s="401" t="s">
        <v>167</v>
      </c>
      <c r="E630" s="401" t="s">
        <v>2325</v>
      </c>
      <c r="F630" s="5" t="s">
        <v>2246</v>
      </c>
      <c r="G630" s="401"/>
      <c r="H630" s="1093" t="s">
        <v>511</v>
      </c>
      <c r="I630" s="1216" t="s">
        <v>3112</v>
      </c>
      <c r="J630" s="403">
        <v>30</v>
      </c>
      <c r="K630" s="403">
        <v>251</v>
      </c>
      <c r="L630" s="1093" t="s">
        <v>365</v>
      </c>
      <c r="M630" s="401"/>
      <c r="O630" s="404" t="s">
        <v>31</v>
      </c>
      <c r="P630" s="404" t="s">
        <v>31</v>
      </c>
      <c r="Q630" s="404" t="s">
        <v>171</v>
      </c>
      <c r="R630" s="404" t="s">
        <v>171</v>
      </c>
      <c r="S630" s="404" t="s">
        <v>3089</v>
      </c>
      <c r="T630" s="404" t="s">
        <v>1993</v>
      </c>
      <c r="U630" s="941">
        <v>5869</v>
      </c>
      <c r="V630" s="941">
        <v>16341</v>
      </c>
      <c r="W630" s="941">
        <v>0</v>
      </c>
      <c r="X630" s="941">
        <v>0</v>
      </c>
      <c r="Y630" s="941">
        <v>0</v>
      </c>
      <c r="Z630" s="941">
        <v>0</v>
      </c>
      <c r="AA630" s="942">
        <v>2126</v>
      </c>
      <c r="AB630" s="942">
        <v>9901</v>
      </c>
      <c r="AC630" s="942">
        <v>0</v>
      </c>
      <c r="AD630" s="942">
        <v>0</v>
      </c>
      <c r="AE630" s="942">
        <v>0</v>
      </c>
      <c r="AF630" s="942">
        <v>0</v>
      </c>
      <c r="AG630" s="943">
        <f>comparaison_samebasis_villages[[#This Row],[previous idp_ind]]-comparaison_samebasis_villages[[#This Row],[actual idp_ind]]</f>
        <v>-6440</v>
      </c>
      <c r="AH630" s="943">
        <f>comparaison_samebasis_villages[[#This Row],[previous ref_ind]]-comparaison_samebasis_villages[[#This Row],[actual ref_ind]]</f>
        <v>0</v>
      </c>
      <c r="AI630" s="943">
        <f>comparaison_samebasis_villages[[#This Row],[previous ret_ind]]-comparaison_samebasis_villages[[#This Row],[actual ret_ind]]</f>
        <v>0</v>
      </c>
    </row>
    <row r="631" spans="1:35" ht="15.75" customHeight="1" x14ac:dyDescent="0.3">
      <c r="A631" s="401" t="s">
        <v>35</v>
      </c>
      <c r="B631" s="401" t="s">
        <v>35</v>
      </c>
      <c r="C631" s="401" t="s">
        <v>193</v>
      </c>
      <c r="D631" s="401" t="s">
        <v>3983</v>
      </c>
      <c r="E631" s="401" t="s">
        <v>2680</v>
      </c>
      <c r="F631" s="5" t="s">
        <v>989</v>
      </c>
      <c r="G631" s="401"/>
      <c r="H631" s="1093" t="s">
        <v>511</v>
      </c>
      <c r="I631" s="1216" t="s">
        <v>3033</v>
      </c>
      <c r="J631" s="403">
        <v>6</v>
      </c>
      <c r="K631" s="403">
        <v>32</v>
      </c>
      <c r="L631" s="1093" t="s">
        <v>365</v>
      </c>
      <c r="M631" s="401"/>
      <c r="O631" s="404" t="s">
        <v>31</v>
      </c>
      <c r="P631" s="404" t="s">
        <v>31</v>
      </c>
      <c r="Q631" s="404" t="s">
        <v>171</v>
      </c>
      <c r="R631" s="404" t="s">
        <v>171</v>
      </c>
      <c r="S631" s="404" t="s">
        <v>1253</v>
      </c>
      <c r="T631" s="404" t="s">
        <v>922</v>
      </c>
      <c r="U631" s="941">
        <v>32</v>
      </c>
      <c r="V631" s="941">
        <v>169</v>
      </c>
      <c r="W631" s="941">
        <v>2</v>
      </c>
      <c r="X631" s="941">
        <v>5</v>
      </c>
      <c r="Y631" s="941">
        <v>0</v>
      </c>
      <c r="Z631" s="941">
        <v>0</v>
      </c>
      <c r="AA631" s="942">
        <v>27</v>
      </c>
      <c r="AB631" s="942">
        <v>146</v>
      </c>
      <c r="AC631" s="942">
        <v>5</v>
      </c>
      <c r="AD631" s="942">
        <v>33</v>
      </c>
      <c r="AE631" s="942">
        <v>2</v>
      </c>
      <c r="AF631" s="942">
        <v>6</v>
      </c>
      <c r="AG631" s="943">
        <f>comparaison_samebasis_villages[[#This Row],[previous idp_ind]]-comparaison_samebasis_villages[[#This Row],[actual idp_ind]]</f>
        <v>-23</v>
      </c>
      <c r="AH631" s="943">
        <f>comparaison_samebasis_villages[[#This Row],[previous ref_ind]]-comparaison_samebasis_villages[[#This Row],[actual ref_ind]]</f>
        <v>28</v>
      </c>
      <c r="AI631" s="943">
        <f>comparaison_samebasis_villages[[#This Row],[previous ret_ind]]-comparaison_samebasis_villages[[#This Row],[actual ret_ind]]</f>
        <v>6</v>
      </c>
    </row>
    <row r="632" spans="1:35" ht="15.75" customHeight="1" x14ac:dyDescent="0.3">
      <c r="A632" s="401" t="s">
        <v>31</v>
      </c>
      <c r="B632" s="401" t="s">
        <v>31</v>
      </c>
      <c r="C632" s="401" t="s">
        <v>170</v>
      </c>
      <c r="D632" s="401" t="s">
        <v>170</v>
      </c>
      <c r="E632" s="401" t="s">
        <v>955</v>
      </c>
      <c r="F632" s="5" t="s">
        <v>956</v>
      </c>
      <c r="G632" s="401"/>
      <c r="H632" s="1093" t="s">
        <v>511</v>
      </c>
      <c r="I632" s="1216" t="s">
        <v>3111</v>
      </c>
      <c r="J632" s="403">
        <v>107</v>
      </c>
      <c r="K632" s="403">
        <v>1022</v>
      </c>
      <c r="L632" s="1093" t="s">
        <v>367</v>
      </c>
      <c r="M632" s="401"/>
      <c r="O632" s="404" t="s">
        <v>31</v>
      </c>
      <c r="P632" s="404" t="s">
        <v>31</v>
      </c>
      <c r="Q632" s="404" t="s">
        <v>171</v>
      </c>
      <c r="R632" s="404" t="s">
        <v>171</v>
      </c>
      <c r="S632" s="404" t="s">
        <v>2603</v>
      </c>
      <c r="T632" s="404" t="s">
        <v>932</v>
      </c>
      <c r="U632" s="941">
        <v>0</v>
      </c>
      <c r="V632" s="941">
        <v>0</v>
      </c>
      <c r="W632" s="941">
        <v>0</v>
      </c>
      <c r="X632" s="941">
        <v>0</v>
      </c>
      <c r="Y632" s="941">
        <v>0</v>
      </c>
      <c r="Z632" s="941">
        <v>0</v>
      </c>
      <c r="AA632" s="942">
        <v>0</v>
      </c>
      <c r="AB632" s="942">
        <v>0</v>
      </c>
      <c r="AC632" s="942">
        <v>0</v>
      </c>
      <c r="AD632" s="942">
        <v>0</v>
      </c>
      <c r="AE632" s="942">
        <v>0</v>
      </c>
      <c r="AF632" s="942">
        <v>0</v>
      </c>
      <c r="AG632" s="943">
        <f>comparaison_samebasis_villages[[#This Row],[previous idp_ind]]-comparaison_samebasis_villages[[#This Row],[actual idp_ind]]</f>
        <v>0</v>
      </c>
      <c r="AH632" s="943">
        <f>comparaison_samebasis_villages[[#This Row],[previous ref_ind]]-comparaison_samebasis_villages[[#This Row],[actual ref_ind]]</f>
        <v>0</v>
      </c>
      <c r="AI632" s="943">
        <f>comparaison_samebasis_villages[[#This Row],[previous ret_ind]]-comparaison_samebasis_villages[[#This Row],[actual ret_ind]]</f>
        <v>0</v>
      </c>
    </row>
    <row r="633" spans="1:35" ht="15.75" customHeight="1" x14ac:dyDescent="0.3">
      <c r="A633" s="401"/>
      <c r="B633" s="401"/>
      <c r="C633" s="401"/>
      <c r="D633" s="401"/>
      <c r="E633" s="401"/>
      <c r="F633" s="5"/>
      <c r="G633" s="401"/>
      <c r="H633" s="1093"/>
      <c r="I633" s="1216"/>
      <c r="J633" s="403"/>
      <c r="K633" s="403"/>
      <c r="L633" s="1093"/>
      <c r="M633" s="401"/>
      <c r="O633" s="404" t="s">
        <v>31</v>
      </c>
      <c r="P633" s="404" t="s">
        <v>31</v>
      </c>
      <c r="Q633" s="404" t="s">
        <v>171</v>
      </c>
      <c r="R633" s="404" t="s">
        <v>171</v>
      </c>
      <c r="S633" s="404" t="s">
        <v>2064</v>
      </c>
      <c r="T633" s="404" t="s">
        <v>934</v>
      </c>
      <c r="U633" s="941">
        <v>40</v>
      </c>
      <c r="V633" s="941">
        <v>670</v>
      </c>
      <c r="W633" s="941">
        <v>5</v>
      </c>
      <c r="X633" s="941">
        <v>58</v>
      </c>
      <c r="Y633" s="941">
        <v>20</v>
      </c>
      <c r="Z633" s="941">
        <v>20</v>
      </c>
      <c r="AA633" s="942">
        <v>20</v>
      </c>
      <c r="AB633" s="942">
        <v>420</v>
      </c>
      <c r="AC633" s="942">
        <v>5</v>
      </c>
      <c r="AD633" s="942">
        <v>50</v>
      </c>
      <c r="AE633" s="942">
        <v>15</v>
      </c>
      <c r="AF633" s="942">
        <v>85</v>
      </c>
      <c r="AG633" s="943">
        <f>comparaison_samebasis_villages[[#This Row],[previous idp_ind]]-comparaison_samebasis_villages[[#This Row],[actual idp_ind]]</f>
        <v>-250</v>
      </c>
      <c r="AH633" s="943">
        <f>comparaison_samebasis_villages[[#This Row],[previous ref_ind]]-comparaison_samebasis_villages[[#This Row],[actual ref_ind]]</f>
        <v>-8</v>
      </c>
      <c r="AI633" s="943">
        <f>comparaison_samebasis_villages[[#This Row],[previous ret_ind]]-comparaison_samebasis_villages[[#This Row],[actual ret_ind]]</f>
        <v>65</v>
      </c>
    </row>
    <row r="634" spans="1:35" ht="15.75" customHeight="1" x14ac:dyDescent="0.3">
      <c r="A634" s="401"/>
      <c r="B634" s="401"/>
      <c r="C634" s="401"/>
      <c r="D634" s="401"/>
      <c r="E634" s="401"/>
      <c r="F634" s="5"/>
      <c r="G634" s="401"/>
      <c r="H634" s="1093"/>
      <c r="I634" s="1216"/>
      <c r="J634" s="403"/>
      <c r="K634" s="403"/>
      <c r="L634" s="1093"/>
      <c r="M634" s="401"/>
      <c r="O634" s="404" t="s">
        <v>31</v>
      </c>
      <c r="P634" s="404" t="s">
        <v>31</v>
      </c>
      <c r="Q634" s="404" t="s">
        <v>171</v>
      </c>
      <c r="R634" s="404" t="s">
        <v>171</v>
      </c>
      <c r="S634" s="404" t="s">
        <v>1047</v>
      </c>
      <c r="T634" s="404" t="s">
        <v>1852</v>
      </c>
      <c r="U634" s="941">
        <v>24</v>
      </c>
      <c r="V634" s="941">
        <v>347</v>
      </c>
      <c r="W634" s="941">
        <v>0</v>
      </c>
      <c r="X634" s="941">
        <v>0</v>
      </c>
      <c r="Y634" s="941">
        <v>0</v>
      </c>
      <c r="Z634" s="941">
        <v>0</v>
      </c>
      <c r="AA634" s="942">
        <v>24</v>
      </c>
      <c r="AB634" s="942">
        <v>347</v>
      </c>
      <c r="AC634" s="942">
        <v>0</v>
      </c>
      <c r="AD634" s="942">
        <v>0</v>
      </c>
      <c r="AE634" s="942">
        <v>0</v>
      </c>
      <c r="AF634" s="942">
        <v>0</v>
      </c>
      <c r="AG634" s="943">
        <f>comparaison_samebasis_villages[[#This Row],[previous idp_ind]]-comparaison_samebasis_villages[[#This Row],[actual idp_ind]]</f>
        <v>0</v>
      </c>
      <c r="AH634" s="943">
        <f>comparaison_samebasis_villages[[#This Row],[previous ref_ind]]-comparaison_samebasis_villages[[#This Row],[actual ref_ind]]</f>
        <v>0</v>
      </c>
      <c r="AI634" s="943">
        <f>comparaison_samebasis_villages[[#This Row],[previous ret_ind]]-comparaison_samebasis_villages[[#This Row],[actual ret_ind]]</f>
        <v>0</v>
      </c>
    </row>
    <row r="635" spans="1:35" ht="15.75" customHeight="1" x14ac:dyDescent="0.3">
      <c r="A635" s="401"/>
      <c r="B635" s="401"/>
      <c r="C635" s="401"/>
      <c r="D635" s="401"/>
      <c r="E635" s="401"/>
      <c r="F635" s="5"/>
      <c r="G635" s="401"/>
      <c r="H635" s="1093"/>
      <c r="I635" s="402"/>
      <c r="J635" s="403"/>
      <c r="K635" s="403"/>
      <c r="L635" s="1093"/>
      <c r="M635" s="401"/>
      <c r="O635" s="404" t="s">
        <v>31</v>
      </c>
      <c r="P635" s="404" t="s">
        <v>31</v>
      </c>
      <c r="Q635" s="404" t="s">
        <v>171</v>
      </c>
      <c r="R635" s="404" t="s">
        <v>171</v>
      </c>
      <c r="S635" s="404" t="s">
        <v>1803</v>
      </c>
      <c r="T635" s="404" t="s">
        <v>2600</v>
      </c>
      <c r="U635" s="941">
        <v>16</v>
      </c>
      <c r="V635" s="941">
        <v>120</v>
      </c>
      <c r="W635" s="941">
        <v>0</v>
      </c>
      <c r="X635" s="941">
        <v>0</v>
      </c>
      <c r="Y635" s="941">
        <v>1</v>
      </c>
      <c r="Z635" s="941">
        <v>1</v>
      </c>
      <c r="AA635" s="942">
        <v>14</v>
      </c>
      <c r="AB635" s="942">
        <v>114</v>
      </c>
      <c r="AC635" s="942">
        <v>0</v>
      </c>
      <c r="AD635" s="942">
        <v>0</v>
      </c>
      <c r="AE635" s="942">
        <v>0</v>
      </c>
      <c r="AF635" s="942">
        <v>0</v>
      </c>
      <c r="AG635" s="943">
        <f>comparaison_samebasis_villages[[#This Row],[previous idp_ind]]-comparaison_samebasis_villages[[#This Row],[actual idp_ind]]</f>
        <v>-6</v>
      </c>
      <c r="AH635" s="943">
        <f>comparaison_samebasis_villages[[#This Row],[previous ref_ind]]-comparaison_samebasis_villages[[#This Row],[actual ref_ind]]</f>
        <v>0</v>
      </c>
      <c r="AI635" s="943">
        <f>comparaison_samebasis_villages[[#This Row],[previous ret_ind]]-comparaison_samebasis_villages[[#This Row],[actual ret_ind]]</f>
        <v>-1</v>
      </c>
    </row>
    <row r="636" spans="1:35" ht="15.75" customHeight="1" x14ac:dyDescent="0.3">
      <c r="A636" s="401"/>
      <c r="B636" s="401"/>
      <c r="C636" s="401"/>
      <c r="D636" s="401"/>
      <c r="E636" s="401"/>
      <c r="F636" s="5"/>
      <c r="G636" s="401"/>
      <c r="H636" s="1093"/>
      <c r="I636" s="402"/>
      <c r="J636" s="403"/>
      <c r="K636" s="403"/>
      <c r="L636" s="1093"/>
      <c r="M636" s="401"/>
      <c r="O636" s="404" t="s">
        <v>31</v>
      </c>
      <c r="P636" s="404" t="s">
        <v>31</v>
      </c>
      <c r="Q636" s="404" t="s">
        <v>171</v>
      </c>
      <c r="R636" s="404" t="s">
        <v>171</v>
      </c>
      <c r="S636" s="404" t="s">
        <v>1921</v>
      </c>
      <c r="T636" s="404" t="s">
        <v>917</v>
      </c>
      <c r="U636" s="941">
        <v>23</v>
      </c>
      <c r="V636" s="941">
        <v>231</v>
      </c>
      <c r="W636" s="941">
        <v>0</v>
      </c>
      <c r="X636" s="941">
        <v>0</v>
      </c>
      <c r="Y636" s="941">
        <v>0</v>
      </c>
      <c r="Z636" s="941">
        <v>0</v>
      </c>
      <c r="AA636" s="942">
        <v>23</v>
      </c>
      <c r="AB636" s="942">
        <v>231</v>
      </c>
      <c r="AC636" s="942">
        <v>0</v>
      </c>
      <c r="AD636" s="942">
        <v>0</v>
      </c>
      <c r="AE636" s="942">
        <v>0</v>
      </c>
      <c r="AF636" s="942">
        <v>0</v>
      </c>
      <c r="AG636" s="943">
        <f>comparaison_samebasis_villages[[#This Row],[previous idp_ind]]-comparaison_samebasis_villages[[#This Row],[actual idp_ind]]</f>
        <v>0</v>
      </c>
      <c r="AH636" s="943">
        <f>comparaison_samebasis_villages[[#This Row],[previous ref_ind]]-comparaison_samebasis_villages[[#This Row],[actual ref_ind]]</f>
        <v>0</v>
      </c>
      <c r="AI636" s="943">
        <f>comparaison_samebasis_villages[[#This Row],[previous ret_ind]]-comparaison_samebasis_villages[[#This Row],[actual ret_ind]]</f>
        <v>0</v>
      </c>
    </row>
    <row r="637" spans="1:35" ht="15.75" customHeight="1" x14ac:dyDescent="0.3">
      <c r="A637" s="401"/>
      <c r="B637" s="401"/>
      <c r="C637" s="401"/>
      <c r="D637" s="401"/>
      <c r="E637" s="401"/>
      <c r="F637" s="5"/>
      <c r="G637" s="401"/>
      <c r="H637" s="1093"/>
      <c r="I637" s="402"/>
      <c r="J637" s="403"/>
      <c r="K637" s="403"/>
      <c r="L637" s="1176"/>
      <c r="M637" s="401"/>
      <c r="O637" s="404" t="s">
        <v>31</v>
      </c>
      <c r="P637" s="404" t="s">
        <v>31</v>
      </c>
      <c r="Q637" s="404" t="s">
        <v>171</v>
      </c>
      <c r="R637" s="404" t="s">
        <v>171</v>
      </c>
      <c r="S637" s="404" t="s">
        <v>2019</v>
      </c>
      <c r="T637" s="404" t="s">
        <v>1252</v>
      </c>
      <c r="U637" s="941">
        <v>47</v>
      </c>
      <c r="V637" s="941">
        <v>440</v>
      </c>
      <c r="W637" s="941">
        <v>0</v>
      </c>
      <c r="X637" s="941">
        <v>0</v>
      </c>
      <c r="Y637" s="941">
        <v>0</v>
      </c>
      <c r="Z637" s="941">
        <v>0</v>
      </c>
      <c r="AA637" s="942">
        <v>47</v>
      </c>
      <c r="AB637" s="942">
        <v>440</v>
      </c>
      <c r="AC637" s="942">
        <v>0</v>
      </c>
      <c r="AD637" s="942">
        <v>0</v>
      </c>
      <c r="AE637" s="942">
        <v>5</v>
      </c>
      <c r="AF637" s="942">
        <v>56</v>
      </c>
      <c r="AG637" s="943">
        <f>comparaison_samebasis_villages[[#This Row],[previous idp_ind]]-comparaison_samebasis_villages[[#This Row],[actual idp_ind]]</f>
        <v>0</v>
      </c>
      <c r="AH637" s="943">
        <f>comparaison_samebasis_villages[[#This Row],[previous ref_ind]]-comparaison_samebasis_villages[[#This Row],[actual ref_ind]]</f>
        <v>0</v>
      </c>
      <c r="AI637" s="943">
        <f>comparaison_samebasis_villages[[#This Row],[previous ret_ind]]-comparaison_samebasis_villages[[#This Row],[actual ret_ind]]</f>
        <v>56</v>
      </c>
    </row>
    <row r="638" spans="1:35" ht="15.75" customHeight="1" x14ac:dyDescent="0.3">
      <c r="A638" s="401"/>
      <c r="B638" s="401"/>
      <c r="C638" s="401"/>
      <c r="D638" s="401"/>
      <c r="E638" s="401"/>
      <c r="F638" s="5"/>
      <c r="G638" s="401"/>
      <c r="H638" s="1093"/>
      <c r="I638" s="402"/>
      <c r="J638" s="403"/>
      <c r="K638" s="403"/>
      <c r="L638" s="1093"/>
      <c r="M638" s="401"/>
      <c r="O638" s="404" t="s">
        <v>31</v>
      </c>
      <c r="P638" s="404" t="s">
        <v>31</v>
      </c>
      <c r="Q638" s="404" t="s">
        <v>171</v>
      </c>
      <c r="R638" s="404" t="s">
        <v>171</v>
      </c>
      <c r="S638" s="404" t="s">
        <v>2230</v>
      </c>
      <c r="T638" s="404" t="s">
        <v>2602</v>
      </c>
      <c r="U638" s="941">
        <v>0</v>
      </c>
      <c r="V638" s="941">
        <v>0</v>
      </c>
      <c r="W638" s="941">
        <v>0</v>
      </c>
      <c r="X638" s="941">
        <v>0</v>
      </c>
      <c r="Y638" s="941">
        <v>0</v>
      </c>
      <c r="Z638" s="941">
        <v>0</v>
      </c>
      <c r="AA638" s="942">
        <v>0</v>
      </c>
      <c r="AB638" s="942">
        <v>0</v>
      </c>
      <c r="AC638" s="942">
        <v>12</v>
      </c>
      <c r="AD638" s="942">
        <v>36</v>
      </c>
      <c r="AE638" s="942">
        <v>328</v>
      </c>
      <c r="AF638" s="942">
        <v>2549</v>
      </c>
      <c r="AG638" s="943">
        <f>comparaison_samebasis_villages[[#This Row],[previous idp_ind]]-comparaison_samebasis_villages[[#This Row],[actual idp_ind]]</f>
        <v>0</v>
      </c>
      <c r="AH638" s="943">
        <f>comparaison_samebasis_villages[[#This Row],[previous ref_ind]]-comparaison_samebasis_villages[[#This Row],[actual ref_ind]]</f>
        <v>36</v>
      </c>
      <c r="AI638" s="943">
        <f>comparaison_samebasis_villages[[#This Row],[previous ret_ind]]-comparaison_samebasis_villages[[#This Row],[actual ret_ind]]</f>
        <v>2549</v>
      </c>
    </row>
    <row r="639" spans="1:35" ht="15.75" customHeight="1" x14ac:dyDescent="0.3">
      <c r="A639" s="401"/>
      <c r="B639" s="401"/>
      <c r="C639" s="401"/>
      <c r="D639" s="401"/>
      <c r="E639" s="401"/>
      <c r="F639" s="5"/>
      <c r="G639" s="401"/>
      <c r="H639" s="1093"/>
      <c r="I639" s="402"/>
      <c r="J639" s="403"/>
      <c r="K639" s="403"/>
      <c r="L639" s="1093"/>
      <c r="M639" s="401"/>
      <c r="O639" s="404" t="s">
        <v>31</v>
      </c>
      <c r="P639" s="404" t="s">
        <v>31</v>
      </c>
      <c r="Q639" s="404" t="s">
        <v>171</v>
      </c>
      <c r="R639" s="404" t="s">
        <v>171</v>
      </c>
      <c r="S639" s="404" t="s">
        <v>937</v>
      </c>
      <c r="T639" s="404" t="s">
        <v>2063</v>
      </c>
      <c r="U639" s="941">
        <v>4</v>
      </c>
      <c r="V639" s="941">
        <v>20</v>
      </c>
      <c r="W639" s="941">
        <v>1</v>
      </c>
      <c r="X639" s="941">
        <v>6</v>
      </c>
      <c r="Y639" s="941">
        <v>0</v>
      </c>
      <c r="Z639" s="941">
        <v>0</v>
      </c>
      <c r="AA639" s="942">
        <v>4</v>
      </c>
      <c r="AB639" s="942">
        <v>15</v>
      </c>
      <c r="AC639" s="942">
        <v>2</v>
      </c>
      <c r="AD639" s="942">
        <v>4</v>
      </c>
      <c r="AE639" s="942">
        <v>0</v>
      </c>
      <c r="AF639" s="942">
        <v>0</v>
      </c>
      <c r="AG639" s="943">
        <f>comparaison_samebasis_villages[[#This Row],[previous idp_ind]]-comparaison_samebasis_villages[[#This Row],[actual idp_ind]]</f>
        <v>-5</v>
      </c>
      <c r="AH639" s="943">
        <f>comparaison_samebasis_villages[[#This Row],[previous ref_ind]]-comparaison_samebasis_villages[[#This Row],[actual ref_ind]]</f>
        <v>-2</v>
      </c>
      <c r="AI639" s="943">
        <f>comparaison_samebasis_villages[[#This Row],[previous ret_ind]]-comparaison_samebasis_villages[[#This Row],[actual ret_ind]]</f>
        <v>0</v>
      </c>
    </row>
    <row r="640" spans="1:35" ht="15.75" customHeight="1" x14ac:dyDescent="0.3">
      <c r="A640" s="401"/>
      <c r="B640" s="401"/>
      <c r="C640" s="401"/>
      <c r="D640" s="401"/>
      <c r="E640" s="401"/>
      <c r="F640" s="5"/>
      <c r="G640" s="401"/>
      <c r="H640" s="1093"/>
      <c r="I640" s="402"/>
      <c r="J640" s="403"/>
      <c r="K640" s="403"/>
      <c r="L640" s="1093"/>
      <c r="M640" s="401"/>
      <c r="O640" s="404" t="s">
        <v>31</v>
      </c>
      <c r="P640" s="404" t="s">
        <v>31</v>
      </c>
      <c r="Q640" s="404" t="s">
        <v>171</v>
      </c>
      <c r="R640" s="404" t="s">
        <v>171</v>
      </c>
      <c r="S640" s="404" t="s">
        <v>1215</v>
      </c>
      <c r="T640" s="404" t="s">
        <v>1046</v>
      </c>
      <c r="U640" s="941">
        <v>12</v>
      </c>
      <c r="V640" s="941">
        <v>74</v>
      </c>
      <c r="W640" s="941">
        <v>13</v>
      </c>
      <c r="X640" s="941">
        <v>77</v>
      </c>
      <c r="Y640" s="941">
        <v>16</v>
      </c>
      <c r="Z640" s="941">
        <v>16</v>
      </c>
      <c r="AA640" s="942">
        <v>12</v>
      </c>
      <c r="AB640" s="942">
        <v>74</v>
      </c>
      <c r="AC640" s="942">
        <v>13</v>
      </c>
      <c r="AD640" s="942">
        <v>77</v>
      </c>
      <c r="AE640" s="942">
        <v>16</v>
      </c>
      <c r="AF640" s="942">
        <v>88</v>
      </c>
      <c r="AG640" s="943">
        <f>comparaison_samebasis_villages[[#This Row],[previous idp_ind]]-comparaison_samebasis_villages[[#This Row],[actual idp_ind]]</f>
        <v>0</v>
      </c>
      <c r="AH640" s="943">
        <f>comparaison_samebasis_villages[[#This Row],[previous ref_ind]]-comparaison_samebasis_villages[[#This Row],[actual ref_ind]]</f>
        <v>0</v>
      </c>
      <c r="AI640" s="943">
        <f>comparaison_samebasis_villages[[#This Row],[previous ret_ind]]-comparaison_samebasis_villages[[#This Row],[actual ret_ind]]</f>
        <v>72</v>
      </c>
    </row>
    <row r="641" spans="1:35" ht="15.75" customHeight="1" x14ac:dyDescent="0.3">
      <c r="A641" s="401"/>
      <c r="B641" s="401"/>
      <c r="C641" s="401"/>
      <c r="D641" s="401"/>
      <c r="E641" s="401"/>
      <c r="F641" s="5"/>
      <c r="G641" s="401"/>
      <c r="H641" s="1093"/>
      <c r="I641" s="402"/>
      <c r="J641" s="403"/>
      <c r="K641" s="403"/>
      <c r="L641" s="1093"/>
      <c r="M641" s="401"/>
      <c r="O641" s="404" t="s">
        <v>31</v>
      </c>
      <c r="P641" s="404" t="s">
        <v>31</v>
      </c>
      <c r="Q641" s="404" t="s">
        <v>171</v>
      </c>
      <c r="R641" s="404" t="s">
        <v>171</v>
      </c>
      <c r="S641" s="404" t="s">
        <v>1027</v>
      </c>
      <c r="T641" s="404" t="s">
        <v>1802</v>
      </c>
      <c r="U641" s="941">
        <v>15</v>
      </c>
      <c r="V641" s="941">
        <v>98</v>
      </c>
      <c r="W641" s="941">
        <v>0</v>
      </c>
      <c r="X641" s="941">
        <v>0</v>
      </c>
      <c r="Y641" s="941">
        <v>0</v>
      </c>
      <c r="Z641" s="941">
        <v>0</v>
      </c>
      <c r="AA641" s="942">
        <v>15</v>
      </c>
      <c r="AB641" s="942">
        <v>98</v>
      </c>
      <c r="AC641" s="942">
        <v>0</v>
      </c>
      <c r="AD641" s="942">
        <v>0</v>
      </c>
      <c r="AE641" s="942">
        <v>0</v>
      </c>
      <c r="AF641" s="942">
        <v>0</v>
      </c>
      <c r="AG641" s="943">
        <f>comparaison_samebasis_villages[[#This Row],[previous idp_ind]]-comparaison_samebasis_villages[[#This Row],[actual idp_ind]]</f>
        <v>0</v>
      </c>
      <c r="AH641" s="943">
        <f>comparaison_samebasis_villages[[#This Row],[previous ref_ind]]-comparaison_samebasis_villages[[#This Row],[actual ref_ind]]</f>
        <v>0</v>
      </c>
      <c r="AI641" s="943">
        <f>comparaison_samebasis_villages[[#This Row],[previous ret_ind]]-comparaison_samebasis_villages[[#This Row],[actual ret_ind]]</f>
        <v>0</v>
      </c>
    </row>
    <row r="642" spans="1:35" ht="15.75" customHeight="1" x14ac:dyDescent="0.3">
      <c r="A642" s="401"/>
      <c r="B642" s="401"/>
      <c r="C642" s="401"/>
      <c r="D642" s="401"/>
      <c r="E642" s="401"/>
      <c r="F642" s="5"/>
      <c r="G642" s="401"/>
      <c r="H642" s="1093"/>
      <c r="I642" s="402"/>
      <c r="J642" s="403"/>
      <c r="K642" s="403"/>
      <c r="L642" s="1093"/>
      <c r="M642" s="401"/>
      <c r="O642" s="404" t="s">
        <v>31</v>
      </c>
      <c r="P642" s="404" t="s">
        <v>31</v>
      </c>
      <c r="Q642" s="404" t="s">
        <v>171</v>
      </c>
      <c r="R642" s="404" t="s">
        <v>171</v>
      </c>
      <c r="S642" s="404" t="s">
        <v>1323</v>
      </c>
      <c r="T642" s="404" t="s">
        <v>1920</v>
      </c>
      <c r="U642" s="941">
        <v>22</v>
      </c>
      <c r="V642" s="941">
        <v>170</v>
      </c>
      <c r="W642" s="941">
        <v>0</v>
      </c>
      <c r="X642" s="941">
        <v>0</v>
      </c>
      <c r="Y642" s="941">
        <v>10</v>
      </c>
      <c r="Z642" s="941">
        <v>10</v>
      </c>
      <c r="AA642" s="942">
        <v>22</v>
      </c>
      <c r="AB642" s="942">
        <v>170</v>
      </c>
      <c r="AC642" s="942">
        <v>0</v>
      </c>
      <c r="AD642" s="942">
        <v>0</v>
      </c>
      <c r="AE642" s="942">
        <v>0</v>
      </c>
      <c r="AF642" s="942">
        <v>0</v>
      </c>
      <c r="AG642" s="943">
        <f>comparaison_samebasis_villages[[#This Row],[previous idp_ind]]-comparaison_samebasis_villages[[#This Row],[actual idp_ind]]</f>
        <v>0</v>
      </c>
      <c r="AH642" s="943">
        <f>comparaison_samebasis_villages[[#This Row],[previous ref_ind]]-comparaison_samebasis_villages[[#This Row],[actual ref_ind]]</f>
        <v>0</v>
      </c>
      <c r="AI642" s="943">
        <f>comparaison_samebasis_villages[[#This Row],[previous ret_ind]]-comparaison_samebasis_villages[[#This Row],[actual ret_ind]]</f>
        <v>-10</v>
      </c>
    </row>
    <row r="643" spans="1:35" ht="15.75" customHeight="1" x14ac:dyDescent="0.3">
      <c r="A643" s="401"/>
      <c r="B643" s="401"/>
      <c r="C643" s="401"/>
      <c r="D643" s="401"/>
      <c r="E643" s="401"/>
      <c r="F643" s="5"/>
      <c r="G643" s="401"/>
      <c r="H643" s="1093"/>
      <c r="I643" s="402"/>
      <c r="J643" s="403"/>
      <c r="K643" s="403"/>
      <c r="L643" s="1093"/>
      <c r="M643" s="401"/>
      <c r="O643" s="404" t="s">
        <v>31</v>
      </c>
      <c r="P643" s="404" t="s">
        <v>31</v>
      </c>
      <c r="Q643" s="404" t="s">
        <v>171</v>
      </c>
      <c r="R643" s="404" t="s">
        <v>171</v>
      </c>
      <c r="S643" s="404" t="s">
        <v>1342</v>
      </c>
      <c r="T643" s="404" t="s">
        <v>2018</v>
      </c>
      <c r="U643" s="941">
        <v>6</v>
      </c>
      <c r="V643" s="941">
        <v>34</v>
      </c>
      <c r="W643" s="941">
        <v>6</v>
      </c>
      <c r="X643" s="941">
        <v>21</v>
      </c>
      <c r="Y643" s="941">
        <v>8</v>
      </c>
      <c r="Z643" s="941">
        <v>8</v>
      </c>
      <c r="AA643" s="942">
        <v>6</v>
      </c>
      <c r="AB643" s="942">
        <v>34</v>
      </c>
      <c r="AC643" s="942">
        <v>6</v>
      </c>
      <c r="AD643" s="942">
        <v>21</v>
      </c>
      <c r="AE643" s="942">
        <v>0</v>
      </c>
      <c r="AF643" s="942">
        <v>0</v>
      </c>
      <c r="AG643" s="943">
        <f>comparaison_samebasis_villages[[#This Row],[previous idp_ind]]-comparaison_samebasis_villages[[#This Row],[actual idp_ind]]</f>
        <v>0</v>
      </c>
      <c r="AH643" s="943">
        <f>comparaison_samebasis_villages[[#This Row],[previous ref_ind]]-comparaison_samebasis_villages[[#This Row],[actual ref_ind]]</f>
        <v>0</v>
      </c>
      <c r="AI643" s="943">
        <f>comparaison_samebasis_villages[[#This Row],[previous ret_ind]]-comparaison_samebasis_villages[[#This Row],[actual ret_ind]]</f>
        <v>-8</v>
      </c>
    </row>
    <row r="644" spans="1:35" ht="15.75" customHeight="1" x14ac:dyDescent="0.3">
      <c r="A644" s="401"/>
      <c r="B644" s="401"/>
      <c r="C644" s="401"/>
      <c r="D644" s="401"/>
      <c r="E644" s="401"/>
      <c r="F644" s="5"/>
      <c r="G644" s="401"/>
      <c r="H644" s="1093"/>
      <c r="I644" s="402"/>
      <c r="J644" s="403"/>
      <c r="K644" s="403"/>
      <c r="L644" s="1093"/>
      <c r="M644" s="401"/>
      <c r="O644" s="404" t="s">
        <v>31</v>
      </c>
      <c r="P644" s="404" t="s">
        <v>31</v>
      </c>
      <c r="Q644" s="404" t="s">
        <v>171</v>
      </c>
      <c r="R644" s="404" t="s">
        <v>171</v>
      </c>
      <c r="S644" s="404" t="s">
        <v>1967</v>
      </c>
      <c r="T644" s="404" t="s">
        <v>2229</v>
      </c>
      <c r="U644" s="941">
        <v>33</v>
      </c>
      <c r="V644" s="941">
        <v>178</v>
      </c>
      <c r="W644" s="941">
        <v>0</v>
      </c>
      <c r="X644" s="941">
        <v>0</v>
      </c>
      <c r="Y644" s="941">
        <v>0</v>
      </c>
      <c r="Z644" s="941">
        <v>0</v>
      </c>
      <c r="AA644" s="942">
        <v>28</v>
      </c>
      <c r="AB644" s="942">
        <v>163</v>
      </c>
      <c r="AC644" s="942">
        <v>0</v>
      </c>
      <c r="AD644" s="942">
        <v>0</v>
      </c>
      <c r="AE644" s="942">
        <v>0</v>
      </c>
      <c r="AF644" s="942">
        <v>0</v>
      </c>
      <c r="AG644" s="943">
        <f>comparaison_samebasis_villages[[#This Row],[previous idp_ind]]-comparaison_samebasis_villages[[#This Row],[actual idp_ind]]</f>
        <v>-15</v>
      </c>
      <c r="AH644" s="943">
        <f>comparaison_samebasis_villages[[#This Row],[previous ref_ind]]-comparaison_samebasis_villages[[#This Row],[actual ref_ind]]</f>
        <v>0</v>
      </c>
      <c r="AI644" s="943">
        <f>comparaison_samebasis_villages[[#This Row],[previous ret_ind]]-comparaison_samebasis_villages[[#This Row],[actual ret_ind]]</f>
        <v>0</v>
      </c>
    </row>
    <row r="645" spans="1:35" ht="15.75" customHeight="1" x14ac:dyDescent="0.3">
      <c r="A645" s="401"/>
      <c r="B645" s="401"/>
      <c r="C645" s="401"/>
      <c r="D645" s="401"/>
      <c r="E645" s="401"/>
      <c r="F645" s="5"/>
      <c r="G645" s="401"/>
      <c r="H645" s="1093"/>
      <c r="I645" s="402"/>
      <c r="J645" s="403"/>
      <c r="K645" s="403"/>
      <c r="L645" s="1176"/>
      <c r="M645" s="401"/>
      <c r="O645" s="404" t="s">
        <v>31</v>
      </c>
      <c r="P645" s="404" t="s">
        <v>31</v>
      </c>
      <c r="Q645" s="404" t="s">
        <v>171</v>
      </c>
      <c r="R645" s="404" t="s">
        <v>171</v>
      </c>
      <c r="S645" s="404" t="s">
        <v>912</v>
      </c>
      <c r="T645" s="404" t="s">
        <v>936</v>
      </c>
      <c r="U645" s="941">
        <v>32</v>
      </c>
      <c r="V645" s="941">
        <v>280</v>
      </c>
      <c r="W645" s="941">
        <v>0</v>
      </c>
      <c r="X645" s="941">
        <v>0</v>
      </c>
      <c r="Y645" s="941">
        <v>0</v>
      </c>
      <c r="Z645" s="941">
        <v>0</v>
      </c>
      <c r="AA645" s="942">
        <v>13</v>
      </c>
      <c r="AB645" s="942">
        <v>206</v>
      </c>
      <c r="AC645" s="942">
        <v>0</v>
      </c>
      <c r="AD645" s="942">
        <v>0</v>
      </c>
      <c r="AE645" s="942">
        <v>0</v>
      </c>
      <c r="AF645" s="942">
        <v>0</v>
      </c>
      <c r="AG645" s="943">
        <f>comparaison_samebasis_villages[[#This Row],[previous idp_ind]]-comparaison_samebasis_villages[[#This Row],[actual idp_ind]]</f>
        <v>-74</v>
      </c>
      <c r="AH645" s="943">
        <f>comparaison_samebasis_villages[[#This Row],[previous ref_ind]]-comparaison_samebasis_villages[[#This Row],[actual ref_ind]]</f>
        <v>0</v>
      </c>
      <c r="AI645" s="943">
        <f>comparaison_samebasis_villages[[#This Row],[previous ret_ind]]-comparaison_samebasis_villages[[#This Row],[actual ret_ind]]</f>
        <v>0</v>
      </c>
    </row>
    <row r="646" spans="1:35" ht="15.75" customHeight="1" x14ac:dyDescent="0.3">
      <c r="A646" s="401"/>
      <c r="B646" s="401"/>
      <c r="C646" s="401"/>
      <c r="D646" s="401"/>
      <c r="E646" s="401"/>
      <c r="F646" s="5"/>
      <c r="G646" s="401"/>
      <c r="H646" s="1093"/>
      <c r="I646" s="402"/>
      <c r="J646" s="403"/>
      <c r="K646" s="403"/>
      <c r="L646" s="1176"/>
      <c r="M646" s="401"/>
      <c r="O646" s="404" t="s">
        <v>31</v>
      </c>
      <c r="P646" s="404" t="s">
        <v>31</v>
      </c>
      <c r="Q646" s="404" t="s">
        <v>171</v>
      </c>
      <c r="R646" s="404" t="s">
        <v>171</v>
      </c>
      <c r="S646" s="404" t="s">
        <v>1809</v>
      </c>
      <c r="T646" s="404" t="s">
        <v>1214</v>
      </c>
      <c r="U646" s="941">
        <v>31</v>
      </c>
      <c r="V646" s="941">
        <v>135</v>
      </c>
      <c r="W646" s="941">
        <v>0</v>
      </c>
      <c r="X646" s="941">
        <v>0</v>
      </c>
      <c r="Y646" s="941">
        <v>0</v>
      </c>
      <c r="Z646" s="941">
        <v>0</v>
      </c>
      <c r="AA646" s="942">
        <v>31</v>
      </c>
      <c r="AB646" s="942">
        <v>135</v>
      </c>
      <c r="AC646" s="942">
        <v>0</v>
      </c>
      <c r="AD646" s="942">
        <v>0</v>
      </c>
      <c r="AE646" s="942">
        <v>0</v>
      </c>
      <c r="AF646" s="942">
        <v>0</v>
      </c>
      <c r="AG646" s="943">
        <f>comparaison_samebasis_villages[[#This Row],[previous idp_ind]]-comparaison_samebasis_villages[[#This Row],[actual idp_ind]]</f>
        <v>0</v>
      </c>
      <c r="AH646" s="943">
        <f>comparaison_samebasis_villages[[#This Row],[previous ref_ind]]-comparaison_samebasis_villages[[#This Row],[actual ref_ind]]</f>
        <v>0</v>
      </c>
      <c r="AI646" s="943">
        <f>comparaison_samebasis_villages[[#This Row],[previous ret_ind]]-comparaison_samebasis_villages[[#This Row],[actual ret_ind]]</f>
        <v>0</v>
      </c>
    </row>
    <row r="647" spans="1:35" ht="15.75" customHeight="1" x14ac:dyDescent="0.3">
      <c r="A647" s="401"/>
      <c r="B647" s="401"/>
      <c r="C647" s="401"/>
      <c r="D647" s="401"/>
      <c r="E647" s="401"/>
      <c r="F647" s="5"/>
      <c r="G647" s="401"/>
      <c r="H647" s="1093"/>
      <c r="I647" s="402"/>
      <c r="J647" s="403"/>
      <c r="K647" s="403"/>
      <c r="L647" s="1176"/>
      <c r="M647" s="401"/>
      <c r="O647" s="404" t="s">
        <v>31</v>
      </c>
      <c r="P647" s="404" t="s">
        <v>31</v>
      </c>
      <c r="Q647" s="404" t="s">
        <v>171</v>
      </c>
      <c r="R647" s="404" t="s">
        <v>171</v>
      </c>
      <c r="S647" s="404" t="s">
        <v>2134</v>
      </c>
      <c r="T647" s="404" t="s">
        <v>2975</v>
      </c>
      <c r="U647" s="941">
        <v>22</v>
      </c>
      <c r="V647" s="941">
        <v>86</v>
      </c>
      <c r="W647" s="941">
        <v>0</v>
      </c>
      <c r="X647" s="941">
        <v>0</v>
      </c>
      <c r="Y647" s="941">
        <v>0</v>
      </c>
      <c r="Z647" s="941">
        <v>0</v>
      </c>
      <c r="AA647" s="942">
        <v>11</v>
      </c>
      <c r="AB647" s="942">
        <v>55</v>
      </c>
      <c r="AC647" s="942">
        <v>0</v>
      </c>
      <c r="AD647" s="942">
        <v>0</v>
      </c>
      <c r="AE647" s="942">
        <v>0</v>
      </c>
      <c r="AF647" s="942">
        <v>0</v>
      </c>
      <c r="AG647" s="943">
        <f>comparaison_samebasis_villages[[#This Row],[previous idp_ind]]-comparaison_samebasis_villages[[#This Row],[actual idp_ind]]</f>
        <v>-31</v>
      </c>
      <c r="AH647" s="943">
        <f>comparaison_samebasis_villages[[#This Row],[previous ref_ind]]-comparaison_samebasis_villages[[#This Row],[actual ref_ind]]</f>
        <v>0</v>
      </c>
      <c r="AI647" s="943">
        <f>comparaison_samebasis_villages[[#This Row],[previous ret_ind]]-comparaison_samebasis_villages[[#This Row],[actual ret_ind]]</f>
        <v>0</v>
      </c>
    </row>
    <row r="648" spans="1:35" ht="15.75" customHeight="1" x14ac:dyDescent="0.3">
      <c r="A648" s="401"/>
      <c r="B648" s="401"/>
      <c r="C648" s="401"/>
      <c r="D648" s="401"/>
      <c r="E648" s="401"/>
      <c r="F648" s="5"/>
      <c r="G648" s="401"/>
      <c r="H648" s="1093"/>
      <c r="I648" s="402"/>
      <c r="J648" s="403"/>
      <c r="K648" s="403"/>
      <c r="L648" s="1176"/>
      <c r="M648" s="401"/>
      <c r="O648" s="404" t="s">
        <v>31</v>
      </c>
      <c r="P648" s="404" t="s">
        <v>31</v>
      </c>
      <c r="Q648" s="404" t="s">
        <v>171</v>
      </c>
      <c r="R648" s="404" t="s">
        <v>171</v>
      </c>
      <c r="S648" s="404" t="s">
        <v>1813</v>
      </c>
      <c r="T648" s="404" t="s">
        <v>1026</v>
      </c>
      <c r="U648" s="941">
        <v>23</v>
      </c>
      <c r="V648" s="941">
        <v>154</v>
      </c>
      <c r="W648" s="941">
        <v>0</v>
      </c>
      <c r="X648" s="941">
        <v>0</v>
      </c>
      <c r="Y648" s="941">
        <v>0</v>
      </c>
      <c r="Z648" s="941">
        <v>0</v>
      </c>
      <c r="AA648" s="942">
        <v>20</v>
      </c>
      <c r="AB648" s="942">
        <v>137</v>
      </c>
      <c r="AC648" s="942">
        <v>0</v>
      </c>
      <c r="AD648" s="942">
        <v>0</v>
      </c>
      <c r="AE648" s="942">
        <v>0</v>
      </c>
      <c r="AF648" s="942">
        <v>0</v>
      </c>
      <c r="AG648" s="943">
        <f>comparaison_samebasis_villages[[#This Row],[previous idp_ind]]-comparaison_samebasis_villages[[#This Row],[actual idp_ind]]</f>
        <v>-17</v>
      </c>
      <c r="AH648" s="943">
        <f>comparaison_samebasis_villages[[#This Row],[previous ref_ind]]-comparaison_samebasis_villages[[#This Row],[actual ref_ind]]</f>
        <v>0</v>
      </c>
      <c r="AI648" s="943">
        <f>comparaison_samebasis_villages[[#This Row],[previous ret_ind]]-comparaison_samebasis_villages[[#This Row],[actual ret_ind]]</f>
        <v>0</v>
      </c>
    </row>
    <row r="649" spans="1:35" ht="15.75" customHeight="1" x14ac:dyDescent="0.3">
      <c r="A649" s="401"/>
      <c r="B649" s="401"/>
      <c r="C649" s="401"/>
      <c r="D649" s="401"/>
      <c r="E649" s="401"/>
      <c r="F649" s="5"/>
      <c r="G649" s="401"/>
      <c r="H649" s="1093"/>
      <c r="I649" s="402"/>
      <c r="J649" s="403"/>
      <c r="K649" s="403"/>
      <c r="L649" s="1176"/>
      <c r="M649" s="401"/>
      <c r="O649" s="404" t="s">
        <v>31</v>
      </c>
      <c r="P649" s="404" t="s">
        <v>31</v>
      </c>
      <c r="Q649" s="404" t="s">
        <v>171</v>
      </c>
      <c r="R649" s="404" t="s">
        <v>171</v>
      </c>
      <c r="S649" s="404" t="s">
        <v>2002</v>
      </c>
      <c r="T649" s="404" t="s">
        <v>1322</v>
      </c>
      <c r="U649" s="941">
        <v>39</v>
      </c>
      <c r="V649" s="941">
        <v>250</v>
      </c>
      <c r="W649" s="941">
        <v>0</v>
      </c>
      <c r="X649" s="941">
        <v>0</v>
      </c>
      <c r="Y649" s="941">
        <v>0</v>
      </c>
      <c r="Z649" s="941">
        <v>0</v>
      </c>
      <c r="AA649" s="942">
        <v>35</v>
      </c>
      <c r="AB649" s="942">
        <v>219</v>
      </c>
      <c r="AC649" s="942">
        <v>0</v>
      </c>
      <c r="AD649" s="942">
        <v>0</v>
      </c>
      <c r="AE649" s="942">
        <v>0</v>
      </c>
      <c r="AF649" s="942">
        <v>0</v>
      </c>
      <c r="AG649" s="943">
        <f>comparaison_samebasis_villages[[#This Row],[previous idp_ind]]-comparaison_samebasis_villages[[#This Row],[actual idp_ind]]</f>
        <v>-31</v>
      </c>
      <c r="AH649" s="943">
        <f>comparaison_samebasis_villages[[#This Row],[previous ref_ind]]-comparaison_samebasis_villages[[#This Row],[actual ref_ind]]</f>
        <v>0</v>
      </c>
      <c r="AI649" s="943">
        <f>comparaison_samebasis_villages[[#This Row],[previous ret_ind]]-comparaison_samebasis_villages[[#This Row],[actual ret_ind]]</f>
        <v>0</v>
      </c>
    </row>
    <row r="650" spans="1:35" ht="15.75" customHeight="1" x14ac:dyDescent="0.3">
      <c r="A650" s="401"/>
      <c r="B650" s="401"/>
      <c r="C650" s="401"/>
      <c r="D650" s="401"/>
      <c r="E650" s="401"/>
      <c r="F650" s="5"/>
      <c r="G650" s="401"/>
      <c r="H650" s="1093"/>
      <c r="I650" s="402"/>
      <c r="J650" s="403"/>
      <c r="K650" s="403"/>
      <c r="L650" s="1176"/>
      <c r="M650" s="401"/>
      <c r="O650" s="404" t="s">
        <v>31</v>
      </c>
      <c r="P650" s="404" t="s">
        <v>31</v>
      </c>
      <c r="Q650" s="404" t="s">
        <v>171</v>
      </c>
      <c r="R650" s="404" t="s">
        <v>171</v>
      </c>
      <c r="S650" s="404" t="s">
        <v>1756</v>
      </c>
      <c r="T650" s="404" t="s">
        <v>1341</v>
      </c>
      <c r="U650" s="941">
        <v>18</v>
      </c>
      <c r="V650" s="941">
        <v>109</v>
      </c>
      <c r="W650" s="941">
        <v>6</v>
      </c>
      <c r="X650" s="941">
        <v>9</v>
      </c>
      <c r="Y650" s="941">
        <v>0</v>
      </c>
      <c r="Z650" s="941">
        <v>0</v>
      </c>
      <c r="AA650" s="942">
        <v>18</v>
      </c>
      <c r="AB650" s="942">
        <v>109</v>
      </c>
      <c r="AC650" s="942">
        <v>7</v>
      </c>
      <c r="AD650" s="942">
        <v>15</v>
      </c>
      <c r="AE650" s="942">
        <v>0</v>
      </c>
      <c r="AF650" s="942">
        <v>0</v>
      </c>
      <c r="AG650" s="943">
        <f>comparaison_samebasis_villages[[#This Row],[previous idp_ind]]-comparaison_samebasis_villages[[#This Row],[actual idp_ind]]</f>
        <v>0</v>
      </c>
      <c r="AH650" s="943">
        <f>comparaison_samebasis_villages[[#This Row],[previous ref_ind]]-comparaison_samebasis_villages[[#This Row],[actual ref_ind]]</f>
        <v>6</v>
      </c>
      <c r="AI650" s="943">
        <f>comparaison_samebasis_villages[[#This Row],[previous ret_ind]]-comparaison_samebasis_villages[[#This Row],[actual ret_ind]]</f>
        <v>0</v>
      </c>
    </row>
    <row r="651" spans="1:35" ht="15.75" customHeight="1" x14ac:dyDescent="0.3">
      <c r="A651" s="401"/>
      <c r="B651" s="401"/>
      <c r="C651" s="401"/>
      <c r="D651" s="401"/>
      <c r="E651" s="401"/>
      <c r="F651" s="5"/>
      <c r="G651" s="401"/>
      <c r="H651" s="1093"/>
      <c r="I651" s="402"/>
      <c r="J651" s="403"/>
      <c r="K651" s="403"/>
      <c r="L651" s="1176"/>
      <c r="M651" s="401"/>
      <c r="O651" s="404" t="s">
        <v>31</v>
      </c>
      <c r="P651" s="404" t="s">
        <v>31</v>
      </c>
      <c r="Q651" s="404" t="s">
        <v>171</v>
      </c>
      <c r="R651" s="404" t="s">
        <v>171</v>
      </c>
      <c r="S651" s="404" t="s">
        <v>1830</v>
      </c>
      <c r="T651" s="404" t="s">
        <v>1966</v>
      </c>
      <c r="U651" s="941">
        <v>7</v>
      </c>
      <c r="V651" s="941">
        <v>41</v>
      </c>
      <c r="W651" s="941">
        <v>9</v>
      </c>
      <c r="X651" s="941">
        <v>36</v>
      </c>
      <c r="Y651" s="941">
        <v>0</v>
      </c>
      <c r="Z651" s="941">
        <v>0</v>
      </c>
      <c r="AA651" s="942">
        <v>4</v>
      </c>
      <c r="AB651" s="942">
        <v>26</v>
      </c>
      <c r="AC651" s="942">
        <v>9</v>
      </c>
      <c r="AD651" s="942">
        <v>36</v>
      </c>
      <c r="AE651" s="942">
        <v>0</v>
      </c>
      <c r="AF651" s="942">
        <v>0</v>
      </c>
      <c r="AG651" s="943">
        <f>comparaison_samebasis_villages[[#This Row],[previous idp_ind]]-comparaison_samebasis_villages[[#This Row],[actual idp_ind]]</f>
        <v>-15</v>
      </c>
      <c r="AH651" s="943">
        <f>comparaison_samebasis_villages[[#This Row],[previous ref_ind]]-comparaison_samebasis_villages[[#This Row],[actual ref_ind]]</f>
        <v>0</v>
      </c>
      <c r="AI651" s="943">
        <f>comparaison_samebasis_villages[[#This Row],[previous ret_ind]]-comparaison_samebasis_villages[[#This Row],[actual ret_ind]]</f>
        <v>0</v>
      </c>
    </row>
    <row r="652" spans="1:35" ht="15.75" customHeight="1" x14ac:dyDescent="0.3">
      <c r="A652" s="401"/>
      <c r="B652" s="401"/>
      <c r="C652" s="401"/>
      <c r="D652" s="401"/>
      <c r="E652" s="401"/>
      <c r="F652" s="5"/>
      <c r="G652" s="401"/>
      <c r="H652" s="1093"/>
      <c r="I652" s="402"/>
      <c r="J652" s="403"/>
      <c r="K652" s="403"/>
      <c r="L652" s="1093"/>
      <c r="M652" s="401"/>
      <c r="O652" s="404" t="s">
        <v>31</v>
      </c>
      <c r="P652" s="404" t="s">
        <v>31</v>
      </c>
      <c r="Q652" s="404" t="s">
        <v>171</v>
      </c>
      <c r="R652" s="404" t="s">
        <v>171</v>
      </c>
      <c r="S652" s="404" t="s">
        <v>2605</v>
      </c>
      <c r="T652" s="404" t="s">
        <v>911</v>
      </c>
      <c r="U652" s="941">
        <v>14</v>
      </c>
      <c r="V652" s="941">
        <v>104</v>
      </c>
      <c r="W652" s="941">
        <v>4</v>
      </c>
      <c r="X652" s="941">
        <v>27</v>
      </c>
      <c r="Y652" s="941">
        <v>0</v>
      </c>
      <c r="Z652" s="941">
        <v>0</v>
      </c>
      <c r="AA652" s="942">
        <v>6</v>
      </c>
      <c r="AB652" s="942">
        <v>56</v>
      </c>
      <c r="AC652" s="942">
        <v>4</v>
      </c>
      <c r="AD652" s="942">
        <v>27</v>
      </c>
      <c r="AE652" s="942">
        <v>0</v>
      </c>
      <c r="AF652" s="942">
        <v>0</v>
      </c>
      <c r="AG652" s="943">
        <f>comparaison_samebasis_villages[[#This Row],[previous idp_ind]]-comparaison_samebasis_villages[[#This Row],[actual idp_ind]]</f>
        <v>-48</v>
      </c>
      <c r="AH652" s="943">
        <f>comparaison_samebasis_villages[[#This Row],[previous ref_ind]]-comparaison_samebasis_villages[[#This Row],[actual ref_ind]]</f>
        <v>0</v>
      </c>
      <c r="AI652" s="943">
        <f>comparaison_samebasis_villages[[#This Row],[previous ret_ind]]-comparaison_samebasis_villages[[#This Row],[actual ret_ind]]</f>
        <v>0</v>
      </c>
    </row>
    <row r="653" spans="1:35" ht="15.75" customHeight="1" x14ac:dyDescent="0.3">
      <c r="A653" s="401"/>
      <c r="B653" s="401"/>
      <c r="C653" s="401"/>
      <c r="D653" s="401"/>
      <c r="E653" s="401"/>
      <c r="F653" s="5"/>
      <c r="G653" s="401"/>
      <c r="H653" s="1093"/>
      <c r="I653" s="402"/>
      <c r="J653" s="403"/>
      <c r="K653" s="403"/>
      <c r="L653" s="1093"/>
      <c r="M653" s="401"/>
      <c r="O653" s="404" t="s">
        <v>31</v>
      </c>
      <c r="P653" s="404" t="s">
        <v>31</v>
      </c>
      <c r="Q653" s="404" t="s">
        <v>171</v>
      </c>
      <c r="R653" s="404" t="s">
        <v>171</v>
      </c>
      <c r="S653" s="404" t="s">
        <v>1821</v>
      </c>
      <c r="T653" s="404" t="s">
        <v>1808</v>
      </c>
      <c r="U653" s="941">
        <v>10</v>
      </c>
      <c r="V653" s="941">
        <v>62</v>
      </c>
      <c r="W653" s="941">
        <v>4</v>
      </c>
      <c r="X653" s="941">
        <v>29</v>
      </c>
      <c r="Y653" s="941">
        <v>0</v>
      </c>
      <c r="Z653" s="941">
        <v>0</v>
      </c>
      <c r="AA653" s="942">
        <v>5</v>
      </c>
      <c r="AB653" s="942">
        <v>42</v>
      </c>
      <c r="AC653" s="942">
        <v>4</v>
      </c>
      <c r="AD653" s="942">
        <v>29</v>
      </c>
      <c r="AE653" s="942">
        <v>0</v>
      </c>
      <c r="AF653" s="942">
        <v>0</v>
      </c>
      <c r="AG653" s="943">
        <f>comparaison_samebasis_villages[[#This Row],[previous idp_ind]]-comparaison_samebasis_villages[[#This Row],[actual idp_ind]]</f>
        <v>-20</v>
      </c>
      <c r="AH653" s="943">
        <f>comparaison_samebasis_villages[[#This Row],[previous ref_ind]]-comparaison_samebasis_villages[[#This Row],[actual ref_ind]]</f>
        <v>0</v>
      </c>
      <c r="AI653" s="943">
        <f>comparaison_samebasis_villages[[#This Row],[previous ret_ind]]-comparaison_samebasis_villages[[#This Row],[actual ret_ind]]</f>
        <v>0</v>
      </c>
    </row>
    <row r="654" spans="1:35" ht="15.75" customHeight="1" x14ac:dyDescent="0.3">
      <c r="A654" s="401"/>
      <c r="B654" s="401"/>
      <c r="C654" s="401"/>
      <c r="D654" s="401"/>
      <c r="E654" s="401"/>
      <c r="F654" s="5"/>
      <c r="G654" s="401"/>
      <c r="H654" s="1093"/>
      <c r="I654" s="402"/>
      <c r="J654" s="403"/>
      <c r="K654" s="403"/>
      <c r="L654" s="1093"/>
      <c r="M654" s="401"/>
      <c r="O654" s="404" t="s">
        <v>31</v>
      </c>
      <c r="P654" s="404" t="s">
        <v>31</v>
      </c>
      <c r="Q654" s="404" t="s">
        <v>171</v>
      </c>
      <c r="R654" s="404" t="s">
        <v>171</v>
      </c>
      <c r="S654" s="404" t="s">
        <v>1709</v>
      </c>
      <c r="T654" s="404" t="s">
        <v>2133</v>
      </c>
      <c r="U654" s="941">
        <v>37</v>
      </c>
      <c r="V654" s="941">
        <v>339</v>
      </c>
      <c r="W654" s="941">
        <v>0</v>
      </c>
      <c r="X654" s="941">
        <v>0</v>
      </c>
      <c r="Y654" s="941">
        <v>0</v>
      </c>
      <c r="Z654" s="941">
        <v>0</v>
      </c>
      <c r="AA654" s="942">
        <v>37</v>
      </c>
      <c r="AB654" s="942">
        <v>339</v>
      </c>
      <c r="AC654" s="942">
        <v>0</v>
      </c>
      <c r="AD654" s="942">
        <v>0</v>
      </c>
      <c r="AE654" s="942">
        <v>0</v>
      </c>
      <c r="AF654" s="942">
        <v>0</v>
      </c>
      <c r="AG654" s="943">
        <f>comparaison_samebasis_villages[[#This Row],[previous idp_ind]]-comparaison_samebasis_villages[[#This Row],[actual idp_ind]]</f>
        <v>0</v>
      </c>
      <c r="AH654" s="943">
        <f>comparaison_samebasis_villages[[#This Row],[previous ref_ind]]-comparaison_samebasis_villages[[#This Row],[actual ref_ind]]</f>
        <v>0</v>
      </c>
      <c r="AI654" s="943">
        <f>comparaison_samebasis_villages[[#This Row],[previous ret_ind]]-comparaison_samebasis_villages[[#This Row],[actual ret_ind]]</f>
        <v>0</v>
      </c>
    </row>
    <row r="655" spans="1:35" ht="15.75" customHeight="1" x14ac:dyDescent="0.3">
      <c r="A655" s="401"/>
      <c r="B655" s="401"/>
      <c r="C655" s="401"/>
      <c r="D655" s="401"/>
      <c r="E655" s="401"/>
      <c r="F655" s="5"/>
      <c r="G655" s="401"/>
      <c r="H655" s="1093"/>
      <c r="I655" s="402"/>
      <c r="J655" s="403"/>
      <c r="K655" s="403"/>
      <c r="L655" s="1093"/>
      <c r="M655" s="401"/>
      <c r="O655" s="404" t="s">
        <v>31</v>
      </c>
      <c r="P655" s="404" t="s">
        <v>31</v>
      </c>
      <c r="Q655" s="404" t="s">
        <v>171</v>
      </c>
      <c r="R655" s="404" t="s">
        <v>171</v>
      </c>
      <c r="S655" s="404" t="s">
        <v>2160</v>
      </c>
      <c r="T655" s="404" t="s">
        <v>1812</v>
      </c>
      <c r="U655" s="941">
        <v>0</v>
      </c>
      <c r="V655" s="941">
        <v>0</v>
      </c>
      <c r="W655" s="941">
        <v>10</v>
      </c>
      <c r="X655" s="941">
        <v>79</v>
      </c>
      <c r="Y655" s="941">
        <v>0</v>
      </c>
      <c r="Z655" s="941">
        <v>0</v>
      </c>
      <c r="AA655" s="942">
        <v>0</v>
      </c>
      <c r="AB655" s="942">
        <v>0</v>
      </c>
      <c r="AC655" s="942">
        <v>10</v>
      </c>
      <c r="AD655" s="942">
        <v>78</v>
      </c>
      <c r="AE655" s="942">
        <v>0</v>
      </c>
      <c r="AF655" s="942">
        <v>0</v>
      </c>
      <c r="AG655" s="943">
        <f>comparaison_samebasis_villages[[#This Row],[previous idp_ind]]-comparaison_samebasis_villages[[#This Row],[actual idp_ind]]</f>
        <v>0</v>
      </c>
      <c r="AH655" s="943">
        <f>comparaison_samebasis_villages[[#This Row],[previous ref_ind]]-comparaison_samebasis_villages[[#This Row],[actual ref_ind]]</f>
        <v>-1</v>
      </c>
      <c r="AI655" s="943">
        <f>comparaison_samebasis_villages[[#This Row],[previous ret_ind]]-comparaison_samebasis_villages[[#This Row],[actual ret_ind]]</f>
        <v>0</v>
      </c>
    </row>
    <row r="656" spans="1:35" ht="15.75" customHeight="1" x14ac:dyDescent="0.3">
      <c r="A656" s="401"/>
      <c r="B656" s="401"/>
      <c r="C656" s="401"/>
      <c r="D656" s="401"/>
      <c r="E656" s="401"/>
      <c r="F656" s="5"/>
      <c r="G656" s="401"/>
      <c r="H656" s="1093"/>
      <c r="I656" s="402"/>
      <c r="J656" s="403"/>
      <c r="K656" s="403"/>
      <c r="L656" s="1093"/>
      <c r="M656" s="401"/>
      <c r="O656" s="404" t="s">
        <v>31</v>
      </c>
      <c r="P656" s="404" t="s">
        <v>31</v>
      </c>
      <c r="Q656" s="404" t="s">
        <v>171</v>
      </c>
      <c r="R656" s="404" t="s">
        <v>171</v>
      </c>
      <c r="S656" s="404" t="s">
        <v>1981</v>
      </c>
      <c r="T656" s="404" t="s">
        <v>2001</v>
      </c>
      <c r="U656" s="941">
        <v>20</v>
      </c>
      <c r="V656" s="941">
        <v>189</v>
      </c>
      <c r="W656" s="941">
        <v>0</v>
      </c>
      <c r="X656" s="941">
        <v>0</v>
      </c>
      <c r="Y656" s="941">
        <v>0</v>
      </c>
      <c r="Z656" s="941">
        <v>0</v>
      </c>
      <c r="AA656" s="942">
        <v>20</v>
      </c>
      <c r="AB656" s="942">
        <v>189</v>
      </c>
      <c r="AC656" s="942">
        <v>0</v>
      </c>
      <c r="AD656" s="942">
        <v>0</v>
      </c>
      <c r="AE656" s="942">
        <v>0</v>
      </c>
      <c r="AF656" s="942">
        <v>0</v>
      </c>
      <c r="AG656" s="943">
        <f>comparaison_samebasis_villages[[#This Row],[previous idp_ind]]-comparaison_samebasis_villages[[#This Row],[actual idp_ind]]</f>
        <v>0</v>
      </c>
      <c r="AH656" s="943">
        <f>comparaison_samebasis_villages[[#This Row],[previous ref_ind]]-comparaison_samebasis_villages[[#This Row],[actual ref_ind]]</f>
        <v>0</v>
      </c>
      <c r="AI656" s="943">
        <f>comparaison_samebasis_villages[[#This Row],[previous ret_ind]]-comparaison_samebasis_villages[[#This Row],[actual ret_ind]]</f>
        <v>0</v>
      </c>
    </row>
    <row r="657" spans="1:35" ht="15.75" customHeight="1" x14ac:dyDescent="0.3">
      <c r="A657" s="401"/>
      <c r="B657" s="401"/>
      <c r="C657" s="401"/>
      <c r="D657" s="401"/>
      <c r="E657" s="401"/>
      <c r="F657" s="5"/>
      <c r="G657" s="401"/>
      <c r="H657" s="1093"/>
      <c r="I657" s="402"/>
      <c r="J657" s="403"/>
      <c r="K657" s="403"/>
      <c r="L657" s="1093"/>
      <c r="M657" s="401"/>
      <c r="O657" s="404" t="s">
        <v>31</v>
      </c>
      <c r="P657" s="404" t="s">
        <v>31</v>
      </c>
      <c r="Q657" s="404" t="s">
        <v>171</v>
      </c>
      <c r="R657" s="404" t="s">
        <v>171</v>
      </c>
      <c r="S657" s="404" t="s">
        <v>1387</v>
      </c>
      <c r="T657" s="404" t="s">
        <v>1755</v>
      </c>
      <c r="U657" s="941">
        <v>1</v>
      </c>
      <c r="V657" s="941">
        <v>9</v>
      </c>
      <c r="W657" s="941">
        <v>0</v>
      </c>
      <c r="X657" s="941">
        <v>0</v>
      </c>
      <c r="Y657" s="941">
        <v>0</v>
      </c>
      <c r="Z657" s="941">
        <v>0</v>
      </c>
      <c r="AA657" s="942">
        <v>1</v>
      </c>
      <c r="AB657" s="942">
        <v>9</v>
      </c>
      <c r="AC657" s="942">
        <v>0</v>
      </c>
      <c r="AD657" s="942">
        <v>0</v>
      </c>
      <c r="AE657" s="942">
        <v>0</v>
      </c>
      <c r="AF657" s="942">
        <v>0</v>
      </c>
      <c r="AG657" s="943">
        <f>comparaison_samebasis_villages[[#This Row],[previous idp_ind]]-comparaison_samebasis_villages[[#This Row],[actual idp_ind]]</f>
        <v>0</v>
      </c>
      <c r="AH657" s="943">
        <f>comparaison_samebasis_villages[[#This Row],[previous ref_ind]]-comparaison_samebasis_villages[[#This Row],[actual ref_ind]]</f>
        <v>0</v>
      </c>
      <c r="AI657" s="943">
        <f>comparaison_samebasis_villages[[#This Row],[previous ret_ind]]-comparaison_samebasis_villages[[#This Row],[actual ret_ind]]</f>
        <v>0</v>
      </c>
    </row>
    <row r="658" spans="1:35" ht="15.75" customHeight="1" x14ac:dyDescent="0.3">
      <c r="A658" s="401"/>
      <c r="B658" s="401"/>
      <c r="C658" s="401"/>
      <c r="D658" s="401"/>
      <c r="E658" s="401"/>
      <c r="F658" s="5"/>
      <c r="G658" s="401"/>
      <c r="H658" s="1093"/>
      <c r="I658" s="402"/>
      <c r="J658" s="403"/>
      <c r="K658" s="403"/>
      <c r="L658" s="1093"/>
      <c r="M658" s="401"/>
      <c r="O658" s="404" t="s">
        <v>31</v>
      </c>
      <c r="P658" s="404" t="s">
        <v>31</v>
      </c>
      <c r="Q658" s="404" t="s">
        <v>171</v>
      </c>
      <c r="R658" s="404" t="s">
        <v>171</v>
      </c>
      <c r="S658" s="404" t="s">
        <v>1358</v>
      </c>
      <c r="T658" s="404" t="s">
        <v>1829</v>
      </c>
      <c r="U658" s="941">
        <v>401</v>
      </c>
      <c r="V658" s="941">
        <v>1173</v>
      </c>
      <c r="W658" s="941">
        <v>18</v>
      </c>
      <c r="X658" s="941">
        <v>96</v>
      </c>
      <c r="Y658" s="941">
        <v>18</v>
      </c>
      <c r="Z658" s="941">
        <v>18</v>
      </c>
      <c r="AA658" s="942">
        <v>176</v>
      </c>
      <c r="AB658" s="942">
        <v>843</v>
      </c>
      <c r="AC658" s="942">
        <v>18</v>
      </c>
      <c r="AD658" s="942">
        <v>96</v>
      </c>
      <c r="AE658" s="942">
        <v>18</v>
      </c>
      <c r="AF658" s="942">
        <v>96</v>
      </c>
      <c r="AG658" s="943">
        <f>comparaison_samebasis_villages[[#This Row],[previous idp_ind]]-comparaison_samebasis_villages[[#This Row],[actual idp_ind]]</f>
        <v>-330</v>
      </c>
      <c r="AH658" s="943">
        <f>comparaison_samebasis_villages[[#This Row],[previous ref_ind]]-comparaison_samebasis_villages[[#This Row],[actual ref_ind]]</f>
        <v>0</v>
      </c>
      <c r="AI658" s="943">
        <f>comparaison_samebasis_villages[[#This Row],[previous ret_ind]]-comparaison_samebasis_villages[[#This Row],[actual ret_ind]]</f>
        <v>78</v>
      </c>
    </row>
    <row r="659" spans="1:35" ht="15.75" customHeight="1" x14ac:dyDescent="0.3">
      <c r="A659" s="401"/>
      <c r="B659" s="401"/>
      <c r="C659" s="401"/>
      <c r="D659" s="401"/>
      <c r="E659" s="401"/>
      <c r="F659" s="5"/>
      <c r="G659" s="401"/>
      <c r="H659" s="1093"/>
      <c r="I659" s="402"/>
      <c r="J659" s="403"/>
      <c r="K659" s="403"/>
      <c r="L659" s="1093"/>
      <c r="M659" s="401"/>
      <c r="O659" s="404" t="s">
        <v>31</v>
      </c>
      <c r="P659" s="404" t="s">
        <v>31</v>
      </c>
      <c r="Q659" s="404" t="s">
        <v>171</v>
      </c>
      <c r="R659" s="404" t="s">
        <v>171</v>
      </c>
      <c r="S659" s="404" t="s">
        <v>1217</v>
      </c>
      <c r="T659" s="404" t="s">
        <v>2604</v>
      </c>
      <c r="U659" s="941">
        <v>35</v>
      </c>
      <c r="V659" s="941">
        <v>308</v>
      </c>
      <c r="W659" s="941">
        <v>0</v>
      </c>
      <c r="X659" s="941">
        <v>0</v>
      </c>
      <c r="Y659" s="941">
        <v>0</v>
      </c>
      <c r="Z659" s="941">
        <v>0</v>
      </c>
      <c r="AA659" s="942">
        <v>50</v>
      </c>
      <c r="AB659" s="942">
        <v>300</v>
      </c>
      <c r="AC659" s="942">
        <v>0</v>
      </c>
      <c r="AD659" s="942">
        <v>0</v>
      </c>
      <c r="AE659" s="942">
        <v>0</v>
      </c>
      <c r="AF659" s="942">
        <v>0</v>
      </c>
      <c r="AG659" s="943">
        <f>comparaison_samebasis_villages[[#This Row],[previous idp_ind]]-comparaison_samebasis_villages[[#This Row],[actual idp_ind]]</f>
        <v>-8</v>
      </c>
      <c r="AH659" s="943">
        <f>comparaison_samebasis_villages[[#This Row],[previous ref_ind]]-comparaison_samebasis_villages[[#This Row],[actual ref_ind]]</f>
        <v>0</v>
      </c>
      <c r="AI659" s="943">
        <f>comparaison_samebasis_villages[[#This Row],[previous ret_ind]]-comparaison_samebasis_villages[[#This Row],[actual ret_ind]]</f>
        <v>0</v>
      </c>
    </row>
    <row r="660" spans="1:35" ht="15.75" customHeight="1" x14ac:dyDescent="0.3">
      <c r="A660" s="401"/>
      <c r="B660" s="401"/>
      <c r="C660" s="401"/>
      <c r="D660" s="401"/>
      <c r="E660" s="401"/>
      <c r="F660" s="5"/>
      <c r="G660" s="401"/>
      <c r="H660" s="1093"/>
      <c r="I660" s="402"/>
      <c r="J660" s="403"/>
      <c r="K660" s="403"/>
      <c r="L660" s="1093"/>
      <c r="M660" s="401"/>
      <c r="O660" s="404" t="s">
        <v>31</v>
      </c>
      <c r="P660" s="404" t="s">
        <v>31</v>
      </c>
      <c r="Q660" s="404" t="s">
        <v>171</v>
      </c>
      <c r="R660" s="404" t="s">
        <v>171</v>
      </c>
      <c r="S660" s="404" t="s">
        <v>1219</v>
      </c>
      <c r="T660" s="404" t="s">
        <v>1820</v>
      </c>
      <c r="U660" s="941">
        <v>51</v>
      </c>
      <c r="V660" s="941">
        <v>280</v>
      </c>
      <c r="W660" s="941">
        <v>0</v>
      </c>
      <c r="X660" s="941">
        <v>0</v>
      </c>
      <c r="Y660" s="941">
        <v>0</v>
      </c>
      <c r="Z660" s="941">
        <v>0</v>
      </c>
      <c r="AA660" s="942">
        <v>0</v>
      </c>
      <c r="AB660" s="942">
        <v>0</v>
      </c>
      <c r="AC660" s="942">
        <v>0</v>
      </c>
      <c r="AD660" s="942">
        <v>0</v>
      </c>
      <c r="AE660" s="942">
        <v>0</v>
      </c>
      <c r="AF660" s="942">
        <v>0</v>
      </c>
      <c r="AG660" s="943">
        <f>comparaison_samebasis_villages[[#This Row],[previous idp_ind]]-comparaison_samebasis_villages[[#This Row],[actual idp_ind]]</f>
        <v>-280</v>
      </c>
      <c r="AH660" s="943">
        <f>comparaison_samebasis_villages[[#This Row],[previous ref_ind]]-comparaison_samebasis_villages[[#This Row],[actual ref_ind]]</f>
        <v>0</v>
      </c>
      <c r="AI660" s="943">
        <f>comparaison_samebasis_villages[[#This Row],[previous ret_ind]]-comparaison_samebasis_villages[[#This Row],[actual ret_ind]]</f>
        <v>0</v>
      </c>
    </row>
    <row r="661" spans="1:35" ht="15.75" customHeight="1" x14ac:dyDescent="0.3">
      <c r="A661" s="401"/>
      <c r="B661" s="401"/>
      <c r="C661" s="401"/>
      <c r="D661" s="401"/>
      <c r="E661" s="401"/>
      <c r="F661" s="5"/>
      <c r="G661" s="401"/>
      <c r="H661" s="1093"/>
      <c r="I661" s="402"/>
      <c r="J661" s="403"/>
      <c r="K661" s="403"/>
      <c r="L661" s="1093"/>
      <c r="M661" s="401"/>
      <c r="O661" s="404" t="s">
        <v>31</v>
      </c>
      <c r="P661" s="404" t="s">
        <v>31</v>
      </c>
      <c r="Q661" s="404" t="s">
        <v>171</v>
      </c>
      <c r="R661" s="404" t="s">
        <v>171</v>
      </c>
      <c r="S661" s="404" t="s">
        <v>2037</v>
      </c>
      <c r="T661" s="404" t="s">
        <v>1708</v>
      </c>
      <c r="U661" s="941">
        <v>8</v>
      </c>
      <c r="V661" s="941">
        <v>35</v>
      </c>
      <c r="W661" s="941">
        <v>53</v>
      </c>
      <c r="X661" s="941">
        <v>359</v>
      </c>
      <c r="Y661" s="941">
        <v>0</v>
      </c>
      <c r="Z661" s="941">
        <v>0</v>
      </c>
      <c r="AA661" s="942">
        <v>6</v>
      </c>
      <c r="AB661" s="942">
        <v>25</v>
      </c>
      <c r="AC661" s="942">
        <v>53</v>
      </c>
      <c r="AD661" s="942">
        <v>359</v>
      </c>
      <c r="AE661" s="942">
        <v>0</v>
      </c>
      <c r="AF661" s="942">
        <v>0</v>
      </c>
      <c r="AG661" s="943">
        <f>comparaison_samebasis_villages[[#This Row],[previous idp_ind]]-comparaison_samebasis_villages[[#This Row],[actual idp_ind]]</f>
        <v>-10</v>
      </c>
      <c r="AH661" s="943">
        <f>comparaison_samebasis_villages[[#This Row],[previous ref_ind]]-comparaison_samebasis_villages[[#This Row],[actual ref_ind]]</f>
        <v>0</v>
      </c>
      <c r="AI661" s="943">
        <f>comparaison_samebasis_villages[[#This Row],[previous ret_ind]]-comparaison_samebasis_villages[[#This Row],[actual ret_ind]]</f>
        <v>0</v>
      </c>
    </row>
    <row r="662" spans="1:35" ht="15.75" customHeight="1" x14ac:dyDescent="0.3">
      <c r="A662" s="401"/>
      <c r="B662" s="401"/>
      <c r="C662" s="401"/>
      <c r="D662" s="401"/>
      <c r="E662" s="401"/>
      <c r="F662" s="5"/>
      <c r="G662" s="401"/>
      <c r="H662" s="1093"/>
      <c r="I662" s="402"/>
      <c r="J662" s="403"/>
      <c r="K662" s="403"/>
      <c r="L662" s="1093"/>
      <c r="M662" s="401"/>
      <c r="O662" s="404" t="s">
        <v>31</v>
      </c>
      <c r="P662" s="404" t="s">
        <v>31</v>
      </c>
      <c r="Q662" s="404" t="s">
        <v>171</v>
      </c>
      <c r="R662" s="404" t="s">
        <v>171</v>
      </c>
      <c r="S662" s="404" t="s">
        <v>1364</v>
      </c>
      <c r="T662" s="404" t="s">
        <v>2159</v>
      </c>
      <c r="U662" s="941">
        <v>61</v>
      </c>
      <c r="V662" s="941">
        <v>542</v>
      </c>
      <c r="W662" s="941">
        <v>0</v>
      </c>
      <c r="X662" s="941">
        <v>0</v>
      </c>
      <c r="Y662" s="941">
        <v>0</v>
      </c>
      <c r="Z662" s="941">
        <v>0</v>
      </c>
      <c r="AA662" s="942">
        <v>61</v>
      </c>
      <c r="AB662" s="942">
        <v>537</v>
      </c>
      <c r="AC662" s="942">
        <v>0</v>
      </c>
      <c r="AD662" s="942">
        <v>0</v>
      </c>
      <c r="AE662" s="942">
        <v>0</v>
      </c>
      <c r="AF662" s="942">
        <v>0</v>
      </c>
      <c r="AG662" s="943">
        <f>comparaison_samebasis_villages[[#This Row],[previous idp_ind]]-comparaison_samebasis_villages[[#This Row],[actual idp_ind]]</f>
        <v>-5</v>
      </c>
      <c r="AH662" s="943">
        <f>comparaison_samebasis_villages[[#This Row],[previous ref_ind]]-comparaison_samebasis_villages[[#This Row],[actual ref_ind]]</f>
        <v>0</v>
      </c>
      <c r="AI662" s="943">
        <f>comparaison_samebasis_villages[[#This Row],[previous ret_ind]]-comparaison_samebasis_villages[[#This Row],[actual ret_ind]]</f>
        <v>0</v>
      </c>
    </row>
    <row r="663" spans="1:35" ht="15.75" customHeight="1" x14ac:dyDescent="0.3">
      <c r="A663" s="401"/>
      <c r="B663" s="401"/>
      <c r="C663" s="401"/>
      <c r="D663" s="401"/>
      <c r="E663" s="401"/>
      <c r="F663" s="5"/>
      <c r="G663" s="401"/>
      <c r="H663" s="1093"/>
      <c r="I663" s="402"/>
      <c r="J663" s="403"/>
      <c r="K663" s="403"/>
      <c r="L663" s="1093"/>
      <c r="M663" s="401"/>
      <c r="O663" s="404" t="s">
        <v>31</v>
      </c>
      <c r="P663" s="404" t="s">
        <v>31</v>
      </c>
      <c r="Q663" s="404" t="s">
        <v>171</v>
      </c>
      <c r="R663" s="404" t="s">
        <v>171</v>
      </c>
      <c r="S663" s="1185" t="s">
        <v>1366</v>
      </c>
      <c r="T663" s="1185" t="s">
        <v>1980</v>
      </c>
      <c r="U663" s="941">
        <v>57</v>
      </c>
      <c r="V663" s="941">
        <v>555</v>
      </c>
      <c r="W663" s="941">
        <v>0</v>
      </c>
      <c r="X663" s="941">
        <v>0</v>
      </c>
      <c r="Y663" s="941">
        <v>0</v>
      </c>
      <c r="Z663" s="941">
        <v>0</v>
      </c>
      <c r="AA663" s="942">
        <v>57</v>
      </c>
      <c r="AB663" s="942">
        <v>545</v>
      </c>
      <c r="AC663" s="942">
        <v>0</v>
      </c>
      <c r="AD663" s="942">
        <v>0</v>
      </c>
      <c r="AE663" s="942">
        <v>0</v>
      </c>
      <c r="AF663" s="942">
        <v>0</v>
      </c>
      <c r="AG663" s="943">
        <f>comparaison_samebasis_villages[[#This Row],[previous idp_ind]]-comparaison_samebasis_villages[[#This Row],[actual idp_ind]]</f>
        <v>-10</v>
      </c>
      <c r="AH663" s="943">
        <f>comparaison_samebasis_villages[[#This Row],[previous ref_ind]]-comparaison_samebasis_villages[[#This Row],[actual ref_ind]]</f>
        <v>0</v>
      </c>
      <c r="AI663" s="943">
        <f>comparaison_samebasis_villages[[#This Row],[previous ret_ind]]-comparaison_samebasis_villages[[#This Row],[actual ret_ind]]</f>
        <v>0</v>
      </c>
    </row>
    <row r="664" spans="1:35" ht="15.75" customHeight="1" x14ac:dyDescent="0.3">
      <c r="A664" s="401"/>
      <c r="B664" s="401"/>
      <c r="C664" s="401"/>
      <c r="D664" s="401"/>
      <c r="E664" s="401"/>
      <c r="F664" s="5"/>
      <c r="G664" s="401"/>
      <c r="H664" s="1093"/>
      <c r="I664" s="402"/>
      <c r="J664" s="403"/>
      <c r="K664" s="403"/>
      <c r="L664" s="1093"/>
      <c r="M664" s="401"/>
      <c r="O664" s="404" t="s">
        <v>31</v>
      </c>
      <c r="P664" s="404" t="s">
        <v>31</v>
      </c>
      <c r="Q664" s="404" t="s">
        <v>171</v>
      </c>
      <c r="R664" s="404" t="s">
        <v>171</v>
      </c>
      <c r="S664" s="404" t="s">
        <v>1917</v>
      </c>
      <c r="T664" s="404" t="s">
        <v>1386</v>
      </c>
      <c r="U664" s="941">
        <v>16</v>
      </c>
      <c r="V664" s="941">
        <v>94</v>
      </c>
      <c r="W664" s="941">
        <v>0</v>
      </c>
      <c r="X664" s="941">
        <v>0</v>
      </c>
      <c r="Y664" s="941">
        <v>0</v>
      </c>
      <c r="Z664" s="941">
        <v>0</v>
      </c>
      <c r="AA664" s="942">
        <v>16</v>
      </c>
      <c r="AB664" s="942">
        <v>94</v>
      </c>
      <c r="AC664" s="942">
        <v>12</v>
      </c>
      <c r="AD664" s="942">
        <v>73</v>
      </c>
      <c r="AE664" s="942">
        <v>0</v>
      </c>
      <c r="AF664" s="942">
        <v>0</v>
      </c>
      <c r="AG664" s="943">
        <f>comparaison_samebasis_villages[[#This Row],[previous idp_ind]]-comparaison_samebasis_villages[[#This Row],[actual idp_ind]]</f>
        <v>0</v>
      </c>
      <c r="AH664" s="943">
        <f>comparaison_samebasis_villages[[#This Row],[previous ref_ind]]-comparaison_samebasis_villages[[#This Row],[actual ref_ind]]</f>
        <v>73</v>
      </c>
      <c r="AI664" s="943">
        <f>comparaison_samebasis_villages[[#This Row],[previous ret_ind]]-comparaison_samebasis_villages[[#This Row],[actual ret_ind]]</f>
        <v>0</v>
      </c>
    </row>
    <row r="665" spans="1:35" ht="15.75" customHeight="1" x14ac:dyDescent="0.3">
      <c r="A665" s="401"/>
      <c r="B665" s="401"/>
      <c r="C665" s="401"/>
      <c r="D665" s="401"/>
      <c r="E665" s="401"/>
      <c r="F665" s="5"/>
      <c r="G665" s="401"/>
      <c r="H665" s="1093"/>
      <c r="I665" s="402"/>
      <c r="J665" s="403"/>
      <c r="K665" s="403"/>
      <c r="L665" s="1093"/>
      <c r="M665" s="401"/>
      <c r="O665" s="404" t="s">
        <v>31</v>
      </c>
      <c r="P665" s="404" t="s">
        <v>31</v>
      </c>
      <c r="Q665" s="404" t="s">
        <v>171</v>
      </c>
      <c r="R665" s="404" t="s">
        <v>171</v>
      </c>
      <c r="S665" s="404" t="s">
        <v>1279</v>
      </c>
      <c r="T665" s="404" t="s">
        <v>1357</v>
      </c>
      <c r="U665" s="941">
        <v>6</v>
      </c>
      <c r="V665" s="941">
        <v>21</v>
      </c>
      <c r="W665" s="941">
        <v>0</v>
      </c>
      <c r="X665" s="941">
        <v>0</v>
      </c>
      <c r="Y665" s="941">
        <v>0</v>
      </c>
      <c r="Z665" s="941">
        <v>0</v>
      </c>
      <c r="AA665" s="942">
        <v>6</v>
      </c>
      <c r="AB665" s="942">
        <v>12</v>
      </c>
      <c r="AC665" s="942">
        <v>0</v>
      </c>
      <c r="AD665" s="942">
        <v>0</v>
      </c>
      <c r="AE665" s="942">
        <v>0</v>
      </c>
      <c r="AF665" s="942">
        <v>0</v>
      </c>
      <c r="AG665" s="943">
        <f>comparaison_samebasis_villages[[#This Row],[previous idp_ind]]-comparaison_samebasis_villages[[#This Row],[actual idp_ind]]</f>
        <v>-9</v>
      </c>
      <c r="AH665" s="943">
        <f>comparaison_samebasis_villages[[#This Row],[previous ref_ind]]-comparaison_samebasis_villages[[#This Row],[actual ref_ind]]</f>
        <v>0</v>
      </c>
      <c r="AI665" s="943">
        <f>comparaison_samebasis_villages[[#This Row],[previous ret_ind]]-comparaison_samebasis_villages[[#This Row],[actual ret_ind]]</f>
        <v>0</v>
      </c>
    </row>
    <row r="666" spans="1:35" ht="15.75" customHeight="1" x14ac:dyDescent="0.3">
      <c r="A666" s="401"/>
      <c r="B666" s="401"/>
      <c r="C666" s="401"/>
      <c r="D666" s="401"/>
      <c r="E666" s="401"/>
      <c r="F666" s="5"/>
      <c r="G666" s="401"/>
      <c r="H666" s="1093"/>
      <c r="I666" s="402"/>
      <c r="J666" s="403"/>
      <c r="K666" s="403"/>
      <c r="L666" s="1093"/>
      <c r="M666" s="401"/>
      <c r="O666" s="404" t="s">
        <v>31</v>
      </c>
      <c r="P666" s="404" t="s">
        <v>31</v>
      </c>
      <c r="Q666" s="404" t="s">
        <v>171</v>
      </c>
      <c r="R666" s="404" t="s">
        <v>171</v>
      </c>
      <c r="S666" s="404" t="s">
        <v>906</v>
      </c>
      <c r="T666" s="404" t="s">
        <v>3025</v>
      </c>
      <c r="U666" s="941">
        <v>15</v>
      </c>
      <c r="V666" s="941">
        <v>100</v>
      </c>
      <c r="W666" s="941">
        <v>8</v>
      </c>
      <c r="X666" s="941">
        <v>130</v>
      </c>
      <c r="Y666" s="941">
        <v>0</v>
      </c>
      <c r="Z666" s="941">
        <v>0</v>
      </c>
      <c r="AA666" s="942">
        <v>15</v>
      </c>
      <c r="AB666" s="942">
        <v>100</v>
      </c>
      <c r="AC666" s="942">
        <v>8</v>
      </c>
      <c r="AD666" s="942">
        <v>130</v>
      </c>
      <c r="AE666" s="942">
        <v>0</v>
      </c>
      <c r="AF666" s="942">
        <v>0</v>
      </c>
      <c r="AG666" s="943">
        <f>comparaison_samebasis_villages[[#This Row],[previous idp_ind]]-comparaison_samebasis_villages[[#This Row],[actual idp_ind]]</f>
        <v>0</v>
      </c>
      <c r="AH666" s="943">
        <f>comparaison_samebasis_villages[[#This Row],[previous ref_ind]]-comparaison_samebasis_villages[[#This Row],[actual ref_ind]]</f>
        <v>0</v>
      </c>
      <c r="AI666" s="943">
        <f>comparaison_samebasis_villages[[#This Row],[previous ret_ind]]-comparaison_samebasis_villages[[#This Row],[actual ret_ind]]</f>
        <v>0</v>
      </c>
    </row>
    <row r="667" spans="1:35" ht="15.75" customHeight="1" x14ac:dyDescent="0.3">
      <c r="A667" s="401"/>
      <c r="B667" s="401"/>
      <c r="C667" s="401"/>
      <c r="D667" s="401"/>
      <c r="E667" s="401"/>
      <c r="F667" s="5"/>
      <c r="G667" s="401"/>
      <c r="H667" s="1093"/>
      <c r="I667" s="402"/>
      <c r="J667" s="403"/>
      <c r="K667" s="403"/>
      <c r="L667" s="1093"/>
      <c r="M667" s="401"/>
      <c r="O667" s="404" t="s">
        <v>31</v>
      </c>
      <c r="P667" s="404" t="s">
        <v>31</v>
      </c>
      <c r="Q667" s="404" t="s">
        <v>171</v>
      </c>
      <c r="R667" s="404" t="s">
        <v>171</v>
      </c>
      <c r="S667" s="404" t="s">
        <v>1393</v>
      </c>
      <c r="T667" s="404" t="s">
        <v>1216</v>
      </c>
      <c r="U667" s="941">
        <v>21</v>
      </c>
      <c r="V667" s="941">
        <v>90</v>
      </c>
      <c r="W667" s="941">
        <v>0</v>
      </c>
      <c r="X667" s="941">
        <v>0</v>
      </c>
      <c r="Y667" s="941">
        <v>0</v>
      </c>
      <c r="Z667" s="941">
        <v>0</v>
      </c>
      <c r="AA667" s="942">
        <v>21</v>
      </c>
      <c r="AB667" s="942">
        <v>90</v>
      </c>
      <c r="AC667" s="942">
        <v>0</v>
      </c>
      <c r="AD667" s="942">
        <v>0</v>
      </c>
      <c r="AE667" s="942">
        <v>3</v>
      </c>
      <c r="AF667" s="942">
        <v>15</v>
      </c>
      <c r="AG667" s="943">
        <f>comparaison_samebasis_villages[[#This Row],[previous idp_ind]]-comparaison_samebasis_villages[[#This Row],[actual idp_ind]]</f>
        <v>0</v>
      </c>
      <c r="AH667" s="943">
        <f>comparaison_samebasis_villages[[#This Row],[previous ref_ind]]-comparaison_samebasis_villages[[#This Row],[actual ref_ind]]</f>
        <v>0</v>
      </c>
      <c r="AI667" s="943">
        <f>comparaison_samebasis_villages[[#This Row],[previous ret_ind]]-comparaison_samebasis_villages[[#This Row],[actual ret_ind]]</f>
        <v>15</v>
      </c>
    </row>
    <row r="668" spans="1:35" ht="15.75" customHeight="1" x14ac:dyDescent="0.3">
      <c r="A668" s="401"/>
      <c r="B668" s="401"/>
      <c r="C668" s="401"/>
      <c r="D668" s="401"/>
      <c r="E668" s="401"/>
      <c r="F668" s="5"/>
      <c r="G668" s="401"/>
      <c r="H668" s="1093"/>
      <c r="I668" s="402"/>
      <c r="J668" s="403"/>
      <c r="K668" s="403"/>
      <c r="L668" s="1093"/>
      <c r="M668" s="401"/>
      <c r="O668" s="404" t="s">
        <v>31</v>
      </c>
      <c r="P668" s="404" t="s">
        <v>31</v>
      </c>
      <c r="Q668" s="1145" t="s">
        <v>171</v>
      </c>
      <c r="R668" s="1145" t="s">
        <v>171</v>
      </c>
      <c r="S668" s="404" t="s">
        <v>1344</v>
      </c>
      <c r="T668" s="404" t="s">
        <v>1218</v>
      </c>
      <c r="U668" s="941">
        <v>14</v>
      </c>
      <c r="V668" s="941">
        <v>94</v>
      </c>
      <c r="W668" s="941">
        <v>16</v>
      </c>
      <c r="X668" s="941">
        <v>94</v>
      </c>
      <c r="Y668" s="941">
        <v>0</v>
      </c>
      <c r="Z668" s="941">
        <v>0</v>
      </c>
      <c r="AA668" s="942">
        <v>14</v>
      </c>
      <c r="AB668" s="942">
        <v>94</v>
      </c>
      <c r="AC668" s="942">
        <v>14</v>
      </c>
      <c r="AD668" s="942">
        <v>84</v>
      </c>
      <c r="AE668" s="942">
        <v>0</v>
      </c>
      <c r="AF668" s="942">
        <v>0</v>
      </c>
      <c r="AG668" s="943">
        <f>comparaison_samebasis_villages[[#This Row],[previous idp_ind]]-comparaison_samebasis_villages[[#This Row],[actual idp_ind]]</f>
        <v>0</v>
      </c>
      <c r="AH668" s="943">
        <f>comparaison_samebasis_villages[[#This Row],[previous ref_ind]]-comparaison_samebasis_villages[[#This Row],[actual ref_ind]]</f>
        <v>-10</v>
      </c>
      <c r="AI668" s="943">
        <f>comparaison_samebasis_villages[[#This Row],[previous ret_ind]]-comparaison_samebasis_villages[[#This Row],[actual ret_ind]]</f>
        <v>0</v>
      </c>
    </row>
    <row r="669" spans="1:35" ht="15.75" customHeight="1" x14ac:dyDescent="0.3">
      <c r="A669" s="401"/>
      <c r="B669" s="401"/>
      <c r="C669" s="401"/>
      <c r="D669" s="401"/>
      <c r="E669" s="401"/>
      <c r="F669" s="5"/>
      <c r="G669" s="401"/>
      <c r="H669" s="1093"/>
      <c r="I669" s="402"/>
      <c r="J669" s="403"/>
      <c r="K669" s="403"/>
      <c r="L669" s="1093"/>
      <c r="M669" s="401"/>
      <c r="O669" s="404" t="s">
        <v>31</v>
      </c>
      <c r="P669" s="404" t="s">
        <v>31</v>
      </c>
      <c r="Q669" s="404" t="s">
        <v>171</v>
      </c>
      <c r="R669" s="404" t="s">
        <v>171</v>
      </c>
      <c r="S669" s="404" t="s">
        <v>2607</v>
      </c>
      <c r="T669" s="404" t="s">
        <v>2036</v>
      </c>
      <c r="U669" s="941">
        <v>0</v>
      </c>
      <c r="V669" s="941">
        <v>0</v>
      </c>
      <c r="W669" s="941">
        <v>0</v>
      </c>
      <c r="X669" s="941">
        <v>0</v>
      </c>
      <c r="Y669" s="941">
        <v>0</v>
      </c>
      <c r="Z669" s="941">
        <v>0</v>
      </c>
      <c r="AA669" s="942">
        <v>0</v>
      </c>
      <c r="AB669" s="942">
        <v>0</v>
      </c>
      <c r="AC669" s="942">
        <v>0</v>
      </c>
      <c r="AD669" s="942">
        <v>0</v>
      </c>
      <c r="AE669" s="942">
        <v>0</v>
      </c>
      <c r="AF669" s="942">
        <v>0</v>
      </c>
      <c r="AG669" s="943">
        <f>comparaison_samebasis_villages[[#This Row],[previous idp_ind]]-comparaison_samebasis_villages[[#This Row],[actual idp_ind]]</f>
        <v>0</v>
      </c>
      <c r="AH669" s="943">
        <f>comparaison_samebasis_villages[[#This Row],[previous ref_ind]]-comparaison_samebasis_villages[[#This Row],[actual ref_ind]]</f>
        <v>0</v>
      </c>
      <c r="AI669" s="943">
        <f>comparaison_samebasis_villages[[#This Row],[previous ret_ind]]-comparaison_samebasis_villages[[#This Row],[actual ret_ind]]</f>
        <v>0</v>
      </c>
    </row>
    <row r="670" spans="1:35" ht="15.75" customHeight="1" x14ac:dyDescent="0.3">
      <c r="A670" s="401"/>
      <c r="B670" s="401"/>
      <c r="C670" s="401"/>
      <c r="D670" s="401"/>
      <c r="E670" s="401"/>
      <c r="F670" s="5"/>
      <c r="G670" s="401"/>
      <c r="H670" s="1093"/>
      <c r="I670" s="402"/>
      <c r="J670" s="403"/>
      <c r="K670" s="403"/>
      <c r="L670" s="1093"/>
      <c r="M670" s="401"/>
      <c r="O670" s="404" t="s">
        <v>31</v>
      </c>
      <c r="P670" s="404" t="s">
        <v>31</v>
      </c>
      <c r="Q670" s="404" t="s">
        <v>171</v>
      </c>
      <c r="R670" s="404" t="s">
        <v>171</v>
      </c>
      <c r="S670" s="404" t="s">
        <v>1781</v>
      </c>
      <c r="T670" s="404" t="s">
        <v>1363</v>
      </c>
      <c r="U670" s="941">
        <v>8</v>
      </c>
      <c r="V670" s="941">
        <v>65</v>
      </c>
      <c r="W670" s="941">
        <v>12</v>
      </c>
      <c r="X670" s="941">
        <v>120</v>
      </c>
      <c r="Y670" s="941">
        <v>0</v>
      </c>
      <c r="Z670" s="941">
        <v>0</v>
      </c>
      <c r="AA670" s="942">
        <v>8</v>
      </c>
      <c r="AB670" s="942">
        <v>65</v>
      </c>
      <c r="AC670" s="942">
        <v>12</v>
      </c>
      <c r="AD670" s="942">
        <v>120</v>
      </c>
      <c r="AE670" s="942">
        <v>0</v>
      </c>
      <c r="AF670" s="942">
        <v>0</v>
      </c>
      <c r="AG670" s="943">
        <f>comparaison_samebasis_villages[[#This Row],[previous idp_ind]]-comparaison_samebasis_villages[[#This Row],[actual idp_ind]]</f>
        <v>0</v>
      </c>
      <c r="AH670" s="943">
        <f>comparaison_samebasis_villages[[#This Row],[previous ref_ind]]-comparaison_samebasis_villages[[#This Row],[actual ref_ind]]</f>
        <v>0</v>
      </c>
      <c r="AI670" s="943">
        <f>comparaison_samebasis_villages[[#This Row],[previous ret_ind]]-comparaison_samebasis_villages[[#This Row],[actual ret_ind]]</f>
        <v>0</v>
      </c>
    </row>
    <row r="671" spans="1:35" ht="15.75" customHeight="1" x14ac:dyDescent="0.3">
      <c r="A671" s="401"/>
      <c r="B671" s="401"/>
      <c r="C671" s="401"/>
      <c r="D671" s="401"/>
      <c r="E671" s="401"/>
      <c r="F671" s="5"/>
      <c r="G671" s="401"/>
      <c r="H671" s="1093"/>
      <c r="I671" s="402"/>
      <c r="J671" s="403"/>
      <c r="K671" s="403"/>
      <c r="L671" s="1093"/>
      <c r="M671" s="401"/>
      <c r="O671" s="404" t="s">
        <v>31</v>
      </c>
      <c r="P671" s="404" t="s">
        <v>31</v>
      </c>
      <c r="Q671" s="404" t="s">
        <v>171</v>
      </c>
      <c r="R671" s="404" t="s">
        <v>171</v>
      </c>
      <c r="S671" s="404" t="s">
        <v>1715</v>
      </c>
      <c r="T671" s="404" t="s">
        <v>1365</v>
      </c>
      <c r="U671" s="941">
        <v>24</v>
      </c>
      <c r="V671" s="941">
        <v>167</v>
      </c>
      <c r="W671" s="941">
        <v>0</v>
      </c>
      <c r="X671" s="941">
        <v>0</v>
      </c>
      <c r="Y671" s="941">
        <v>0</v>
      </c>
      <c r="Z671" s="941">
        <v>0</v>
      </c>
      <c r="AA671" s="942">
        <v>15</v>
      </c>
      <c r="AB671" s="942">
        <v>137</v>
      </c>
      <c r="AC671" s="942">
        <v>0</v>
      </c>
      <c r="AD671" s="942">
        <v>0</v>
      </c>
      <c r="AE671" s="942">
        <v>0</v>
      </c>
      <c r="AF671" s="942">
        <v>0</v>
      </c>
      <c r="AG671" s="943">
        <f>comparaison_samebasis_villages[[#This Row],[previous idp_ind]]-comparaison_samebasis_villages[[#This Row],[actual idp_ind]]</f>
        <v>-30</v>
      </c>
      <c r="AH671" s="943">
        <f>comparaison_samebasis_villages[[#This Row],[previous ref_ind]]-comparaison_samebasis_villages[[#This Row],[actual ref_ind]]</f>
        <v>0</v>
      </c>
      <c r="AI671" s="943">
        <f>comparaison_samebasis_villages[[#This Row],[previous ret_ind]]-comparaison_samebasis_villages[[#This Row],[actual ret_ind]]</f>
        <v>0</v>
      </c>
    </row>
    <row r="672" spans="1:35" ht="15.75" customHeight="1" x14ac:dyDescent="0.3">
      <c r="A672" s="401"/>
      <c r="B672" s="401"/>
      <c r="C672" s="401"/>
      <c r="D672" s="401"/>
      <c r="E672" s="401"/>
      <c r="F672" s="5"/>
      <c r="G672" s="401"/>
      <c r="H672" s="1093"/>
      <c r="I672" s="402"/>
      <c r="J672" s="403"/>
      <c r="K672" s="403"/>
      <c r="L672" s="1093"/>
      <c r="M672" s="401"/>
      <c r="O672" s="404" t="s">
        <v>31</v>
      </c>
      <c r="P672" s="404" t="s">
        <v>31</v>
      </c>
      <c r="Q672" s="404" t="s">
        <v>171</v>
      </c>
      <c r="R672" s="404" t="s">
        <v>171</v>
      </c>
      <c r="S672" s="404" t="s">
        <v>1744</v>
      </c>
      <c r="T672" s="404" t="s">
        <v>1916</v>
      </c>
      <c r="U672" s="941">
        <v>165</v>
      </c>
      <c r="V672" s="941">
        <v>1229</v>
      </c>
      <c r="W672" s="941">
        <v>49</v>
      </c>
      <c r="X672" s="941">
        <v>341</v>
      </c>
      <c r="Y672" s="941">
        <v>0</v>
      </c>
      <c r="Z672" s="941">
        <v>0</v>
      </c>
      <c r="AA672" s="942">
        <v>165</v>
      </c>
      <c r="AB672" s="942">
        <v>1229</v>
      </c>
      <c r="AC672" s="942">
        <v>39</v>
      </c>
      <c r="AD672" s="942">
        <v>261</v>
      </c>
      <c r="AE672" s="942">
        <v>0</v>
      </c>
      <c r="AF672" s="942">
        <v>0</v>
      </c>
      <c r="AG672" s="943">
        <f>comparaison_samebasis_villages[[#This Row],[previous idp_ind]]-comparaison_samebasis_villages[[#This Row],[actual idp_ind]]</f>
        <v>0</v>
      </c>
      <c r="AH672" s="943">
        <f>comparaison_samebasis_villages[[#This Row],[previous ref_ind]]-comparaison_samebasis_villages[[#This Row],[actual ref_ind]]</f>
        <v>-80</v>
      </c>
      <c r="AI672" s="943">
        <f>comparaison_samebasis_villages[[#This Row],[previous ret_ind]]-comparaison_samebasis_villages[[#This Row],[actual ret_ind]]</f>
        <v>0</v>
      </c>
    </row>
    <row r="673" spans="1:35" ht="15.75" customHeight="1" x14ac:dyDescent="0.3">
      <c r="A673" s="401"/>
      <c r="B673" s="401"/>
      <c r="C673" s="401"/>
      <c r="D673" s="401"/>
      <c r="E673" s="401"/>
      <c r="F673" s="5"/>
      <c r="G673" s="401"/>
      <c r="H673" s="1093"/>
      <c r="I673" s="402"/>
      <c r="J673" s="403"/>
      <c r="K673" s="403"/>
      <c r="L673" s="1093"/>
      <c r="M673" s="401"/>
      <c r="O673" s="404" t="s">
        <v>31</v>
      </c>
      <c r="P673" s="404" t="s">
        <v>31</v>
      </c>
      <c r="Q673" s="404" t="s">
        <v>171</v>
      </c>
      <c r="R673" s="404" t="s">
        <v>171</v>
      </c>
      <c r="S673" s="404" t="s">
        <v>1543</v>
      </c>
      <c r="T673" s="404" t="s">
        <v>1278</v>
      </c>
      <c r="U673" s="941">
        <v>24</v>
      </c>
      <c r="V673" s="941">
        <v>182</v>
      </c>
      <c r="W673" s="941">
        <v>16</v>
      </c>
      <c r="X673" s="941">
        <v>83</v>
      </c>
      <c r="Y673" s="941">
        <v>30</v>
      </c>
      <c r="Z673" s="941">
        <v>30</v>
      </c>
      <c r="AA673" s="942">
        <v>24</v>
      </c>
      <c r="AB673" s="942">
        <v>182</v>
      </c>
      <c r="AC673" s="942">
        <v>16</v>
      </c>
      <c r="AD673" s="942">
        <v>83</v>
      </c>
      <c r="AE673" s="942">
        <v>30</v>
      </c>
      <c r="AF673" s="942">
        <v>158</v>
      </c>
      <c r="AG673" s="943">
        <f>comparaison_samebasis_villages[[#This Row],[previous idp_ind]]-comparaison_samebasis_villages[[#This Row],[actual idp_ind]]</f>
        <v>0</v>
      </c>
      <c r="AH673" s="943">
        <f>comparaison_samebasis_villages[[#This Row],[previous ref_ind]]-comparaison_samebasis_villages[[#This Row],[actual ref_ind]]</f>
        <v>0</v>
      </c>
      <c r="AI673" s="943">
        <f>comparaison_samebasis_villages[[#This Row],[previous ret_ind]]-comparaison_samebasis_villages[[#This Row],[actual ret_ind]]</f>
        <v>128</v>
      </c>
    </row>
    <row r="674" spans="1:35" ht="15.75" customHeight="1" x14ac:dyDescent="0.3">
      <c r="A674" s="401"/>
      <c r="B674" s="401"/>
      <c r="C674" s="401"/>
      <c r="D674" s="401"/>
      <c r="E674" s="401"/>
      <c r="F674" s="5"/>
      <c r="G674" s="401"/>
      <c r="H674" s="1093"/>
      <c r="I674" s="402"/>
      <c r="J674" s="403"/>
      <c r="K674" s="403"/>
      <c r="L674" s="1093"/>
      <c r="M674" s="401"/>
      <c r="O674" s="404" t="s">
        <v>31</v>
      </c>
      <c r="P674" s="404" t="s">
        <v>31</v>
      </c>
      <c r="Q674" s="404" t="s">
        <v>171</v>
      </c>
      <c r="R674" s="404" t="s">
        <v>171</v>
      </c>
      <c r="S674" s="404" t="s">
        <v>2609</v>
      </c>
      <c r="T674" s="404" t="s">
        <v>905</v>
      </c>
      <c r="U674" s="941">
        <v>0</v>
      </c>
      <c r="V674" s="941">
        <v>0</v>
      </c>
      <c r="W674" s="941">
        <v>0</v>
      </c>
      <c r="X674" s="941">
        <v>0</v>
      </c>
      <c r="Y674" s="941">
        <v>0</v>
      </c>
      <c r="Z674" s="941">
        <v>0</v>
      </c>
      <c r="AA674" s="942">
        <v>0</v>
      </c>
      <c r="AB674" s="942">
        <v>0</v>
      </c>
      <c r="AC674" s="942">
        <v>0</v>
      </c>
      <c r="AD674" s="942">
        <v>0</v>
      </c>
      <c r="AE674" s="942">
        <v>0</v>
      </c>
      <c r="AF674" s="942">
        <v>0</v>
      </c>
      <c r="AG674" s="943">
        <f>comparaison_samebasis_villages[[#This Row],[previous idp_ind]]-comparaison_samebasis_villages[[#This Row],[actual idp_ind]]</f>
        <v>0</v>
      </c>
      <c r="AH674" s="943">
        <f>comparaison_samebasis_villages[[#This Row],[previous ref_ind]]-comparaison_samebasis_villages[[#This Row],[actual ref_ind]]</f>
        <v>0</v>
      </c>
      <c r="AI674" s="943">
        <f>comparaison_samebasis_villages[[#This Row],[previous ret_ind]]-comparaison_samebasis_villages[[#This Row],[actual ret_ind]]</f>
        <v>0</v>
      </c>
    </row>
    <row r="675" spans="1:35" ht="15.75" customHeight="1" x14ac:dyDescent="0.3">
      <c r="A675" s="401"/>
      <c r="B675" s="401"/>
      <c r="C675" s="401"/>
      <c r="D675" s="401"/>
      <c r="E675" s="401"/>
      <c r="F675" s="5"/>
      <c r="G675" s="401"/>
      <c r="H675" s="1093"/>
      <c r="I675" s="402"/>
      <c r="J675" s="403"/>
      <c r="K675" s="403"/>
      <c r="L675" s="1093"/>
      <c r="M675" s="401"/>
      <c r="O675" s="404" t="s">
        <v>31</v>
      </c>
      <c r="P675" s="404" t="s">
        <v>31</v>
      </c>
      <c r="Q675" s="404" t="s">
        <v>171</v>
      </c>
      <c r="R675" s="404" t="s">
        <v>171</v>
      </c>
      <c r="S675" s="404" t="s">
        <v>1539</v>
      </c>
      <c r="T675" s="404" t="s">
        <v>1392</v>
      </c>
      <c r="U675" s="941">
        <v>130</v>
      </c>
      <c r="V675" s="941">
        <v>246</v>
      </c>
      <c r="W675" s="941">
        <v>42</v>
      </c>
      <c r="X675" s="941">
        <v>152</v>
      </c>
      <c r="Y675" s="941">
        <v>12</v>
      </c>
      <c r="Z675" s="941">
        <v>12</v>
      </c>
      <c r="AA675" s="942">
        <v>130</v>
      </c>
      <c r="AB675" s="942">
        <v>246</v>
      </c>
      <c r="AC675" s="942">
        <v>42</v>
      </c>
      <c r="AD675" s="942">
        <v>152</v>
      </c>
      <c r="AE675" s="942">
        <v>12</v>
      </c>
      <c r="AF675" s="942">
        <v>60</v>
      </c>
      <c r="AG675" s="943">
        <f>comparaison_samebasis_villages[[#This Row],[previous idp_ind]]-comparaison_samebasis_villages[[#This Row],[actual idp_ind]]</f>
        <v>0</v>
      </c>
      <c r="AH675" s="943">
        <f>comparaison_samebasis_villages[[#This Row],[previous ref_ind]]-comparaison_samebasis_villages[[#This Row],[actual ref_ind]]</f>
        <v>0</v>
      </c>
      <c r="AI675" s="943">
        <f>comparaison_samebasis_villages[[#This Row],[previous ret_ind]]-comparaison_samebasis_villages[[#This Row],[actual ret_ind]]</f>
        <v>48</v>
      </c>
    </row>
    <row r="676" spans="1:35" ht="15.75" customHeight="1" x14ac:dyDescent="0.3">
      <c r="A676" s="401"/>
      <c r="B676" s="401"/>
      <c r="C676" s="401"/>
      <c r="D676" s="401"/>
      <c r="E676" s="401"/>
      <c r="F676" s="5"/>
      <c r="G676" s="401"/>
      <c r="H676" s="1093"/>
      <c r="I676" s="402"/>
      <c r="J676" s="403"/>
      <c r="K676" s="403"/>
      <c r="L676" s="1093"/>
      <c r="M676" s="401"/>
      <c r="O676" s="404" t="s">
        <v>31</v>
      </c>
      <c r="P676" s="404" t="s">
        <v>31</v>
      </c>
      <c r="Q676" s="404" t="s">
        <v>171</v>
      </c>
      <c r="R676" s="404" t="s">
        <v>171</v>
      </c>
      <c r="S676" s="404" t="s">
        <v>1828</v>
      </c>
      <c r="T676" s="404" t="s">
        <v>1343</v>
      </c>
      <c r="U676" s="941">
        <v>6</v>
      </c>
      <c r="V676" s="941">
        <v>43</v>
      </c>
      <c r="W676" s="941">
        <v>3</v>
      </c>
      <c r="X676" s="941">
        <v>28</v>
      </c>
      <c r="Y676" s="941">
        <v>0</v>
      </c>
      <c r="Z676" s="941">
        <v>0</v>
      </c>
      <c r="AA676" s="942">
        <v>4</v>
      </c>
      <c r="AB676" s="942">
        <v>32</v>
      </c>
      <c r="AC676" s="942">
        <v>3</v>
      </c>
      <c r="AD676" s="942">
        <v>20</v>
      </c>
      <c r="AE676" s="942">
        <v>0</v>
      </c>
      <c r="AF676" s="942">
        <v>0</v>
      </c>
      <c r="AG676" s="943">
        <f>comparaison_samebasis_villages[[#This Row],[previous idp_ind]]-comparaison_samebasis_villages[[#This Row],[actual idp_ind]]</f>
        <v>-11</v>
      </c>
      <c r="AH676" s="943">
        <f>comparaison_samebasis_villages[[#This Row],[previous ref_ind]]-comparaison_samebasis_villages[[#This Row],[actual ref_ind]]</f>
        <v>-8</v>
      </c>
      <c r="AI676" s="943">
        <f>comparaison_samebasis_villages[[#This Row],[previous ret_ind]]-comparaison_samebasis_villages[[#This Row],[actual ret_ind]]</f>
        <v>0</v>
      </c>
    </row>
    <row r="677" spans="1:35" ht="15.75" customHeight="1" x14ac:dyDescent="0.3">
      <c r="A677" s="401"/>
      <c r="B677" s="401"/>
      <c r="C677" s="401"/>
      <c r="D677" s="401"/>
      <c r="E677" s="401"/>
      <c r="F677" s="5"/>
      <c r="G677" s="401"/>
      <c r="H677" s="1093"/>
      <c r="I677" s="402"/>
      <c r="J677" s="403"/>
      <c r="K677" s="403"/>
      <c r="L677" s="1093"/>
      <c r="M677" s="401"/>
      <c r="O677" s="404" t="s">
        <v>31</v>
      </c>
      <c r="P677" s="404" t="s">
        <v>31</v>
      </c>
      <c r="Q677" s="404" t="s">
        <v>171</v>
      </c>
      <c r="R677" s="404" t="s">
        <v>171</v>
      </c>
      <c r="S677" s="404" t="s">
        <v>2169</v>
      </c>
      <c r="T677" s="404" t="s">
        <v>2606</v>
      </c>
      <c r="U677" s="941">
        <v>11</v>
      </c>
      <c r="V677" s="941">
        <v>50</v>
      </c>
      <c r="W677" s="941">
        <v>9</v>
      </c>
      <c r="X677" s="941">
        <v>12</v>
      </c>
      <c r="Y677" s="941">
        <v>7</v>
      </c>
      <c r="Z677" s="941">
        <v>7</v>
      </c>
      <c r="AA677" s="942">
        <v>0</v>
      </c>
      <c r="AB677" s="942">
        <v>0</v>
      </c>
      <c r="AC677" s="942">
        <v>25</v>
      </c>
      <c r="AD677" s="942">
        <v>197</v>
      </c>
      <c r="AE677" s="942">
        <v>0</v>
      </c>
      <c r="AF677" s="942">
        <v>0</v>
      </c>
      <c r="AG677" s="943">
        <f>comparaison_samebasis_villages[[#This Row],[previous idp_ind]]-comparaison_samebasis_villages[[#This Row],[actual idp_ind]]</f>
        <v>-50</v>
      </c>
      <c r="AH677" s="943">
        <f>comparaison_samebasis_villages[[#This Row],[previous ref_ind]]-comparaison_samebasis_villages[[#This Row],[actual ref_ind]]</f>
        <v>185</v>
      </c>
      <c r="AI677" s="943">
        <f>comparaison_samebasis_villages[[#This Row],[previous ret_ind]]-comparaison_samebasis_villages[[#This Row],[actual ret_ind]]</f>
        <v>-7</v>
      </c>
    </row>
    <row r="678" spans="1:35" ht="15.75" customHeight="1" x14ac:dyDescent="0.3">
      <c r="A678" s="401"/>
      <c r="B678" s="401"/>
      <c r="C678" s="401"/>
      <c r="D678" s="401"/>
      <c r="E678" s="401"/>
      <c r="F678" s="5"/>
      <c r="G678" s="401"/>
      <c r="H678" s="1093"/>
      <c r="I678" s="402"/>
      <c r="J678" s="403"/>
      <c r="K678" s="403"/>
      <c r="L678" s="1093"/>
      <c r="M678" s="401"/>
      <c r="O678" s="404" t="s">
        <v>31</v>
      </c>
      <c r="P678" s="404" t="s">
        <v>31</v>
      </c>
      <c r="Q678" s="404" t="s">
        <v>171</v>
      </c>
      <c r="R678" s="404" t="s">
        <v>171</v>
      </c>
      <c r="S678" s="404" t="s">
        <v>2180</v>
      </c>
      <c r="T678" s="404" t="s">
        <v>2835</v>
      </c>
      <c r="U678" s="941">
        <v>10</v>
      </c>
      <c r="V678" s="941">
        <v>29</v>
      </c>
      <c r="W678" s="941">
        <v>5</v>
      </c>
      <c r="X678" s="941">
        <v>11</v>
      </c>
      <c r="Y678" s="941">
        <v>0</v>
      </c>
      <c r="Z678" s="941">
        <v>0</v>
      </c>
      <c r="AA678" s="942">
        <v>0</v>
      </c>
      <c r="AB678" s="942">
        <v>0</v>
      </c>
      <c r="AC678" s="942">
        <v>30</v>
      </c>
      <c r="AD678" s="942">
        <v>256</v>
      </c>
      <c r="AE678" s="942">
        <v>0</v>
      </c>
      <c r="AF678" s="942">
        <v>0</v>
      </c>
      <c r="AG678" s="943">
        <f>comparaison_samebasis_villages[[#This Row],[previous idp_ind]]-comparaison_samebasis_villages[[#This Row],[actual idp_ind]]</f>
        <v>-29</v>
      </c>
      <c r="AH678" s="943">
        <f>comparaison_samebasis_villages[[#This Row],[previous ref_ind]]-comparaison_samebasis_villages[[#This Row],[actual ref_ind]]</f>
        <v>245</v>
      </c>
      <c r="AI678" s="943">
        <f>comparaison_samebasis_villages[[#This Row],[previous ret_ind]]-comparaison_samebasis_villages[[#This Row],[actual ret_ind]]</f>
        <v>0</v>
      </c>
    </row>
    <row r="679" spans="1:35" ht="15.75" customHeight="1" x14ac:dyDescent="0.3">
      <c r="A679" s="401"/>
      <c r="B679" s="401"/>
      <c r="C679" s="401"/>
      <c r="D679" s="401"/>
      <c r="E679" s="401"/>
      <c r="F679" s="5"/>
      <c r="G679" s="401"/>
      <c r="H679" s="1093"/>
      <c r="I679" s="402"/>
      <c r="J679" s="403"/>
      <c r="K679" s="403"/>
      <c r="L679" s="1093"/>
      <c r="M679" s="401"/>
      <c r="O679" s="404" t="s">
        <v>31</v>
      </c>
      <c r="P679" s="404" t="s">
        <v>31</v>
      </c>
      <c r="Q679" s="404" t="s">
        <v>171</v>
      </c>
      <c r="R679" s="404" t="s">
        <v>171</v>
      </c>
      <c r="S679" s="404" t="s">
        <v>1717</v>
      </c>
      <c r="T679" s="404" t="s">
        <v>1780</v>
      </c>
      <c r="U679" s="941">
        <v>55</v>
      </c>
      <c r="V679" s="941">
        <v>265</v>
      </c>
      <c r="W679" s="941">
        <v>5</v>
      </c>
      <c r="X679" s="941">
        <v>37</v>
      </c>
      <c r="Y679" s="941">
        <v>0</v>
      </c>
      <c r="Z679" s="941">
        <v>0</v>
      </c>
      <c r="AA679" s="942">
        <v>55</v>
      </c>
      <c r="AB679" s="942">
        <v>265</v>
      </c>
      <c r="AC679" s="942">
        <v>4</v>
      </c>
      <c r="AD679" s="942">
        <v>33</v>
      </c>
      <c r="AE679" s="942">
        <v>0</v>
      </c>
      <c r="AF679" s="942">
        <v>0</v>
      </c>
      <c r="AG679" s="943">
        <f>comparaison_samebasis_villages[[#This Row],[previous idp_ind]]-comparaison_samebasis_villages[[#This Row],[actual idp_ind]]</f>
        <v>0</v>
      </c>
      <c r="AH679" s="943">
        <f>comparaison_samebasis_villages[[#This Row],[previous ref_ind]]-comparaison_samebasis_villages[[#This Row],[actual ref_ind]]</f>
        <v>-4</v>
      </c>
      <c r="AI679" s="943">
        <f>comparaison_samebasis_villages[[#This Row],[previous ret_ind]]-comparaison_samebasis_villages[[#This Row],[actual ret_ind]]</f>
        <v>0</v>
      </c>
    </row>
    <row r="680" spans="1:35" ht="15.75" customHeight="1" x14ac:dyDescent="0.3">
      <c r="A680" s="401"/>
      <c r="B680" s="401"/>
      <c r="C680" s="401"/>
      <c r="D680" s="401"/>
      <c r="E680" s="401"/>
      <c r="F680" s="5"/>
      <c r="G680" s="401"/>
      <c r="H680" s="1093"/>
      <c r="I680" s="402"/>
      <c r="J680" s="403"/>
      <c r="K680" s="403"/>
      <c r="L680" s="1093"/>
      <c r="M680" s="401"/>
      <c r="O680" s="404" t="s">
        <v>31</v>
      </c>
      <c r="P680" s="404" t="s">
        <v>31</v>
      </c>
      <c r="Q680" s="404" t="s">
        <v>171</v>
      </c>
      <c r="R680" s="404" t="s">
        <v>171</v>
      </c>
      <c r="S680" s="404" t="s">
        <v>2611</v>
      </c>
      <c r="T680" s="404" t="s">
        <v>1714</v>
      </c>
      <c r="U680" s="941">
        <v>0</v>
      </c>
      <c r="V680" s="941">
        <v>0</v>
      </c>
      <c r="W680" s="941">
        <v>0</v>
      </c>
      <c r="X680" s="941">
        <v>0</v>
      </c>
      <c r="Y680" s="941">
        <v>0</v>
      </c>
      <c r="Z680" s="941">
        <v>0</v>
      </c>
      <c r="AA680" s="942">
        <v>0</v>
      </c>
      <c r="AB680" s="942">
        <v>0</v>
      </c>
      <c r="AC680" s="942">
        <v>0</v>
      </c>
      <c r="AD680" s="942">
        <v>0</v>
      </c>
      <c r="AE680" s="942">
        <v>0</v>
      </c>
      <c r="AF680" s="942">
        <v>0</v>
      </c>
      <c r="AG680" s="943">
        <f>comparaison_samebasis_villages[[#This Row],[previous idp_ind]]-comparaison_samebasis_villages[[#This Row],[actual idp_ind]]</f>
        <v>0</v>
      </c>
      <c r="AH680" s="943">
        <f>comparaison_samebasis_villages[[#This Row],[previous ref_ind]]-comparaison_samebasis_villages[[#This Row],[actual ref_ind]]</f>
        <v>0</v>
      </c>
      <c r="AI680" s="943">
        <f>comparaison_samebasis_villages[[#This Row],[previous ret_ind]]-comparaison_samebasis_villages[[#This Row],[actual ret_ind]]</f>
        <v>0</v>
      </c>
    </row>
    <row r="681" spans="1:35" ht="15.75" customHeight="1" x14ac:dyDescent="0.3">
      <c r="A681" s="401"/>
      <c r="B681" s="401"/>
      <c r="C681" s="401"/>
      <c r="D681" s="401"/>
      <c r="E681" s="401"/>
      <c r="F681" s="5"/>
      <c r="G681" s="401"/>
      <c r="H681" s="1093"/>
      <c r="I681" s="402"/>
      <c r="J681" s="403"/>
      <c r="K681" s="403"/>
      <c r="L681" s="1093"/>
      <c r="M681" s="401"/>
      <c r="O681" s="399" t="s">
        <v>31</v>
      </c>
      <c r="P681" s="399" t="s">
        <v>31</v>
      </c>
      <c r="Q681" s="399" t="s">
        <v>171</v>
      </c>
      <c r="R681" s="399" t="s">
        <v>171</v>
      </c>
      <c r="S681" s="399" t="s">
        <v>924</v>
      </c>
      <c r="T681" s="399" t="s">
        <v>1743</v>
      </c>
      <c r="U681" s="941">
        <v>7</v>
      </c>
      <c r="V681" s="941">
        <v>107</v>
      </c>
      <c r="W681" s="941">
        <v>24</v>
      </c>
      <c r="X681" s="941">
        <v>142</v>
      </c>
      <c r="Y681" s="941">
        <v>0</v>
      </c>
      <c r="Z681" s="941">
        <v>0</v>
      </c>
      <c r="AA681" s="942">
        <v>7</v>
      </c>
      <c r="AB681" s="942">
        <v>107</v>
      </c>
      <c r="AC681" s="942">
        <v>24</v>
      </c>
      <c r="AD681" s="942">
        <v>142</v>
      </c>
      <c r="AE681" s="942">
        <v>0</v>
      </c>
      <c r="AF681" s="942">
        <v>0</v>
      </c>
      <c r="AG681" s="943">
        <f>comparaison_samebasis_villages[[#This Row],[previous idp_ind]]-comparaison_samebasis_villages[[#This Row],[actual idp_ind]]</f>
        <v>0</v>
      </c>
      <c r="AH681" s="943">
        <f>comparaison_samebasis_villages[[#This Row],[previous ref_ind]]-comparaison_samebasis_villages[[#This Row],[actual ref_ind]]</f>
        <v>0</v>
      </c>
      <c r="AI681" s="943">
        <f>comparaison_samebasis_villages[[#This Row],[previous ret_ind]]-comparaison_samebasis_villages[[#This Row],[actual ret_ind]]</f>
        <v>0</v>
      </c>
    </row>
    <row r="682" spans="1:35" ht="15.75" customHeight="1" x14ac:dyDescent="0.3">
      <c r="A682" s="401"/>
      <c r="B682" s="401"/>
      <c r="C682" s="401"/>
      <c r="D682" s="401"/>
      <c r="E682" s="401"/>
      <c r="F682" s="5"/>
      <c r="G682" s="401"/>
      <c r="H682" s="1093"/>
      <c r="I682" s="402"/>
      <c r="J682" s="403"/>
      <c r="K682" s="403"/>
      <c r="L682" s="1093"/>
      <c r="M682" s="401"/>
      <c r="O682" s="399" t="s">
        <v>31</v>
      </c>
      <c r="P682" s="399" t="s">
        <v>31</v>
      </c>
      <c r="Q682" s="399" t="s">
        <v>171</v>
      </c>
      <c r="R682" s="399" t="s">
        <v>171</v>
      </c>
      <c r="S682" s="399" t="s">
        <v>1012</v>
      </c>
      <c r="T682" s="399" t="s">
        <v>1542</v>
      </c>
      <c r="U682" s="941">
        <v>12</v>
      </c>
      <c r="V682" s="941">
        <v>87</v>
      </c>
      <c r="W682" s="941">
        <v>5</v>
      </c>
      <c r="X682" s="941">
        <v>47</v>
      </c>
      <c r="Y682" s="941">
        <v>21</v>
      </c>
      <c r="Z682" s="941">
        <v>21</v>
      </c>
      <c r="AA682" s="942">
        <v>12</v>
      </c>
      <c r="AB682" s="942">
        <v>87</v>
      </c>
      <c r="AC682" s="942">
        <v>5</v>
      </c>
      <c r="AD682" s="942">
        <v>47</v>
      </c>
      <c r="AE682" s="942">
        <v>21</v>
      </c>
      <c r="AF682" s="942">
        <v>257</v>
      </c>
      <c r="AG682" s="943">
        <f>comparaison_samebasis_villages[[#This Row],[previous idp_ind]]-comparaison_samebasis_villages[[#This Row],[actual idp_ind]]</f>
        <v>0</v>
      </c>
      <c r="AH682" s="943">
        <f>comparaison_samebasis_villages[[#This Row],[previous ref_ind]]-comparaison_samebasis_villages[[#This Row],[actual ref_ind]]</f>
        <v>0</v>
      </c>
      <c r="AI682" s="943">
        <f>comparaison_samebasis_villages[[#This Row],[previous ret_ind]]-comparaison_samebasis_villages[[#This Row],[actual ret_ind]]</f>
        <v>236</v>
      </c>
    </row>
    <row r="683" spans="1:35" ht="15.75" customHeight="1" x14ac:dyDescent="0.3">
      <c r="A683" s="401"/>
      <c r="B683" s="401"/>
      <c r="C683" s="401"/>
      <c r="D683" s="401"/>
      <c r="E683" s="401"/>
      <c r="F683" s="5"/>
      <c r="G683" s="401"/>
      <c r="H683" s="1093"/>
      <c r="I683" s="402"/>
      <c r="J683" s="403"/>
      <c r="K683" s="403"/>
      <c r="L683" s="1093"/>
      <c r="M683" s="401"/>
      <c r="O683" s="404" t="s">
        <v>31</v>
      </c>
      <c r="P683" s="404" t="s">
        <v>31</v>
      </c>
      <c r="Q683" s="404" t="s">
        <v>171</v>
      </c>
      <c r="R683" s="404" t="s">
        <v>171</v>
      </c>
      <c r="S683" s="404" t="s">
        <v>2613</v>
      </c>
      <c r="T683" s="1185" t="s">
        <v>2608</v>
      </c>
      <c r="U683" s="941">
        <v>0</v>
      </c>
      <c r="V683" s="941">
        <v>0</v>
      </c>
      <c r="W683" s="941">
        <v>0</v>
      </c>
      <c r="X683" s="941">
        <v>0</v>
      </c>
      <c r="Y683" s="941">
        <v>0</v>
      </c>
      <c r="Z683" s="941">
        <v>0</v>
      </c>
      <c r="AA683" s="942">
        <v>0</v>
      </c>
      <c r="AB683" s="942">
        <v>0</v>
      </c>
      <c r="AC683" s="942">
        <v>0</v>
      </c>
      <c r="AD683" s="942">
        <v>0</v>
      </c>
      <c r="AE683" s="942">
        <v>0</v>
      </c>
      <c r="AF683" s="942">
        <v>0</v>
      </c>
      <c r="AG683" s="943">
        <f>comparaison_samebasis_villages[[#This Row],[previous idp_ind]]-comparaison_samebasis_villages[[#This Row],[actual idp_ind]]</f>
        <v>0</v>
      </c>
      <c r="AH683" s="943">
        <f>comparaison_samebasis_villages[[#This Row],[previous ref_ind]]-comparaison_samebasis_villages[[#This Row],[actual ref_ind]]</f>
        <v>0</v>
      </c>
      <c r="AI683" s="943">
        <f>comparaison_samebasis_villages[[#This Row],[previous ret_ind]]-comparaison_samebasis_villages[[#This Row],[actual ret_ind]]</f>
        <v>0</v>
      </c>
    </row>
    <row r="684" spans="1:35" ht="15.75" customHeight="1" x14ac:dyDescent="0.3">
      <c r="A684" s="401"/>
      <c r="B684" s="401"/>
      <c r="C684" s="401"/>
      <c r="D684" s="401"/>
      <c r="E684" s="401"/>
      <c r="F684" s="5"/>
      <c r="G684" s="401"/>
      <c r="H684" s="1093"/>
      <c r="I684" s="402"/>
      <c r="J684" s="403"/>
      <c r="K684" s="403"/>
      <c r="L684" s="1093"/>
      <c r="M684" s="401"/>
      <c r="O684" s="399" t="s">
        <v>31</v>
      </c>
      <c r="P684" s="399" t="s">
        <v>31</v>
      </c>
      <c r="Q684" s="399" t="s">
        <v>171</v>
      </c>
      <c r="R684" s="399" t="s">
        <v>171</v>
      </c>
      <c r="S684" s="399" t="s">
        <v>2615</v>
      </c>
      <c r="T684" s="399" t="s">
        <v>1538</v>
      </c>
      <c r="U684" s="941">
        <v>0</v>
      </c>
      <c r="V684" s="941">
        <v>0</v>
      </c>
      <c r="W684" s="941">
        <v>0</v>
      </c>
      <c r="X684" s="941">
        <v>0</v>
      </c>
      <c r="Y684" s="941">
        <v>0</v>
      </c>
      <c r="Z684" s="941">
        <v>0</v>
      </c>
      <c r="AA684" s="942">
        <v>10</v>
      </c>
      <c r="AB684" s="942">
        <v>200</v>
      </c>
      <c r="AC684" s="942">
        <v>0</v>
      </c>
      <c r="AD684" s="942">
        <v>0</v>
      </c>
      <c r="AE684" s="942">
        <v>0</v>
      </c>
      <c r="AF684" s="942">
        <v>0</v>
      </c>
      <c r="AG684" s="943">
        <f>comparaison_samebasis_villages[[#This Row],[previous idp_ind]]-comparaison_samebasis_villages[[#This Row],[actual idp_ind]]</f>
        <v>200</v>
      </c>
      <c r="AH684" s="943">
        <f>comparaison_samebasis_villages[[#This Row],[previous ref_ind]]-comparaison_samebasis_villages[[#This Row],[actual ref_ind]]</f>
        <v>0</v>
      </c>
      <c r="AI684" s="943">
        <f>comparaison_samebasis_villages[[#This Row],[previous ret_ind]]-comparaison_samebasis_villages[[#This Row],[actual ret_ind]]</f>
        <v>0</v>
      </c>
    </row>
    <row r="685" spans="1:35" ht="15.75" customHeight="1" x14ac:dyDescent="0.3">
      <c r="A685" s="401"/>
      <c r="B685" s="401"/>
      <c r="C685" s="401"/>
      <c r="D685" s="401"/>
      <c r="E685" s="401"/>
      <c r="F685" s="5"/>
      <c r="G685" s="401"/>
      <c r="H685" s="1093"/>
      <c r="I685" s="402"/>
      <c r="J685" s="403"/>
      <c r="K685" s="403"/>
      <c r="L685" s="1093"/>
      <c r="M685" s="401"/>
      <c r="O685" s="399" t="s">
        <v>31</v>
      </c>
      <c r="P685" s="399" t="s">
        <v>31</v>
      </c>
      <c r="Q685" s="399" t="s">
        <v>171</v>
      </c>
      <c r="R685" s="399" t="s">
        <v>171</v>
      </c>
      <c r="S685" s="399" t="s">
        <v>2617</v>
      </c>
      <c r="T685" s="399" t="s">
        <v>1827</v>
      </c>
      <c r="U685" s="941">
        <v>0</v>
      </c>
      <c r="V685" s="941">
        <v>0</v>
      </c>
      <c r="W685" s="941">
        <v>0</v>
      </c>
      <c r="X685" s="941">
        <v>0</v>
      </c>
      <c r="Y685" s="941">
        <v>0</v>
      </c>
      <c r="Z685" s="941">
        <v>0</v>
      </c>
      <c r="AA685" s="942">
        <v>0</v>
      </c>
      <c r="AB685" s="942">
        <v>0</v>
      </c>
      <c r="AC685" s="942">
        <v>0</v>
      </c>
      <c r="AD685" s="942">
        <v>0</v>
      </c>
      <c r="AE685" s="942">
        <v>0</v>
      </c>
      <c r="AF685" s="942">
        <v>0</v>
      </c>
      <c r="AG685" s="943">
        <f>comparaison_samebasis_villages[[#This Row],[previous idp_ind]]-comparaison_samebasis_villages[[#This Row],[actual idp_ind]]</f>
        <v>0</v>
      </c>
      <c r="AH685" s="943">
        <f>comparaison_samebasis_villages[[#This Row],[previous ref_ind]]-comparaison_samebasis_villages[[#This Row],[actual ref_ind]]</f>
        <v>0</v>
      </c>
      <c r="AI685" s="943">
        <f>comparaison_samebasis_villages[[#This Row],[previous ret_ind]]-comparaison_samebasis_villages[[#This Row],[actual ret_ind]]</f>
        <v>0</v>
      </c>
    </row>
    <row r="686" spans="1:35" ht="15.75" customHeight="1" x14ac:dyDescent="0.3">
      <c r="A686" s="401"/>
      <c r="B686" s="401"/>
      <c r="C686" s="401"/>
      <c r="D686" s="401"/>
      <c r="E686" s="401"/>
      <c r="F686" s="5"/>
      <c r="G686" s="401"/>
      <c r="H686" s="1093"/>
      <c r="I686" s="402"/>
      <c r="J686" s="403"/>
      <c r="K686" s="403"/>
      <c r="L686" s="1093"/>
      <c r="M686" s="401"/>
      <c r="O686" s="399" t="s">
        <v>31</v>
      </c>
      <c r="P686" s="399" t="s">
        <v>31</v>
      </c>
      <c r="Q686" s="399" t="s">
        <v>171</v>
      </c>
      <c r="R686" s="399" t="s">
        <v>171</v>
      </c>
      <c r="S686" s="399" t="s">
        <v>2619</v>
      </c>
      <c r="T686" s="399" t="s">
        <v>2944</v>
      </c>
      <c r="U686" s="941">
        <v>0</v>
      </c>
      <c r="V686" s="941">
        <v>0</v>
      </c>
      <c r="W686" s="941">
        <v>0</v>
      </c>
      <c r="X686" s="941">
        <v>0</v>
      </c>
      <c r="Y686" s="941">
        <v>0</v>
      </c>
      <c r="Z686" s="941">
        <v>0</v>
      </c>
      <c r="AA686" s="942">
        <v>0</v>
      </c>
      <c r="AB686" s="942">
        <v>0</v>
      </c>
      <c r="AC686" s="942">
        <v>0</v>
      </c>
      <c r="AD686" s="942">
        <v>0</v>
      </c>
      <c r="AE686" s="942">
        <v>0</v>
      </c>
      <c r="AF686" s="942">
        <v>0</v>
      </c>
      <c r="AG686" s="943">
        <f>comparaison_samebasis_villages[[#This Row],[previous idp_ind]]-comparaison_samebasis_villages[[#This Row],[actual idp_ind]]</f>
        <v>0</v>
      </c>
      <c r="AH686" s="943">
        <f>comparaison_samebasis_villages[[#This Row],[previous ref_ind]]-comparaison_samebasis_villages[[#This Row],[actual ref_ind]]</f>
        <v>0</v>
      </c>
      <c r="AI686" s="943">
        <f>comparaison_samebasis_villages[[#This Row],[previous ret_ind]]-comparaison_samebasis_villages[[#This Row],[actual ret_ind]]</f>
        <v>0</v>
      </c>
    </row>
    <row r="687" spans="1:35" ht="15.75" customHeight="1" x14ac:dyDescent="0.3">
      <c r="A687" s="401"/>
      <c r="B687" s="401"/>
      <c r="C687" s="401"/>
      <c r="D687" s="401"/>
      <c r="E687" s="401"/>
      <c r="F687" s="5"/>
      <c r="G687" s="401"/>
      <c r="H687" s="1093"/>
      <c r="I687" s="402"/>
      <c r="J687" s="403"/>
      <c r="K687" s="403"/>
      <c r="L687" s="1093"/>
      <c r="M687" s="401"/>
      <c r="O687" s="404" t="s">
        <v>31</v>
      </c>
      <c r="P687" s="404" t="s">
        <v>31</v>
      </c>
      <c r="Q687" s="404" t="s">
        <v>171</v>
      </c>
      <c r="R687" s="404" t="s">
        <v>171</v>
      </c>
      <c r="S687" s="404" t="s">
        <v>927</v>
      </c>
      <c r="T687" s="404" t="s">
        <v>2980</v>
      </c>
      <c r="U687" s="941">
        <v>14</v>
      </c>
      <c r="V687" s="941">
        <v>110</v>
      </c>
      <c r="W687" s="941">
        <v>19</v>
      </c>
      <c r="X687" s="941">
        <v>154</v>
      </c>
      <c r="Y687" s="941">
        <v>0</v>
      </c>
      <c r="Z687" s="941">
        <v>0</v>
      </c>
      <c r="AA687" s="942">
        <v>14</v>
      </c>
      <c r="AB687" s="942">
        <v>110</v>
      </c>
      <c r="AC687" s="942">
        <v>19</v>
      </c>
      <c r="AD687" s="942">
        <v>154</v>
      </c>
      <c r="AE687" s="942">
        <v>0</v>
      </c>
      <c r="AF687" s="942">
        <v>0</v>
      </c>
      <c r="AG687" s="943">
        <f>comparaison_samebasis_villages[[#This Row],[previous idp_ind]]-comparaison_samebasis_villages[[#This Row],[actual idp_ind]]</f>
        <v>0</v>
      </c>
      <c r="AH687" s="943">
        <f>comparaison_samebasis_villages[[#This Row],[previous ref_ind]]-comparaison_samebasis_villages[[#This Row],[actual ref_ind]]</f>
        <v>0</v>
      </c>
      <c r="AI687" s="943">
        <f>comparaison_samebasis_villages[[#This Row],[previous ret_ind]]-comparaison_samebasis_villages[[#This Row],[actual ret_ind]]</f>
        <v>0</v>
      </c>
    </row>
    <row r="688" spans="1:35" ht="15.75" customHeight="1" x14ac:dyDescent="0.3">
      <c r="A688" s="401"/>
      <c r="B688" s="401"/>
      <c r="C688" s="401"/>
      <c r="D688" s="401"/>
      <c r="E688" s="401"/>
      <c r="F688" s="5"/>
      <c r="G688" s="401"/>
      <c r="H688" s="1093"/>
      <c r="I688" s="402"/>
      <c r="J688" s="403"/>
      <c r="K688" s="403"/>
      <c r="L688" s="1093"/>
      <c r="M688" s="401"/>
      <c r="O688" s="404" t="s">
        <v>31</v>
      </c>
      <c r="P688" s="404" t="s">
        <v>31</v>
      </c>
      <c r="Q688" s="404" t="s">
        <v>171</v>
      </c>
      <c r="R688" s="404" t="s">
        <v>171</v>
      </c>
      <c r="S688" s="404" t="s">
        <v>2125</v>
      </c>
      <c r="T688" s="404" t="s">
        <v>2983</v>
      </c>
      <c r="U688" s="941">
        <v>0</v>
      </c>
      <c r="V688" s="941">
        <v>0</v>
      </c>
      <c r="W688" s="941">
        <v>0</v>
      </c>
      <c r="X688" s="941">
        <v>0</v>
      </c>
      <c r="Y688" s="941">
        <v>0</v>
      </c>
      <c r="Z688" s="941">
        <v>0</v>
      </c>
      <c r="AA688" s="942">
        <v>0</v>
      </c>
      <c r="AB688" s="942">
        <v>0</v>
      </c>
      <c r="AC688" s="942">
        <v>0</v>
      </c>
      <c r="AD688" s="942">
        <v>0</v>
      </c>
      <c r="AE688" s="942">
        <v>0</v>
      </c>
      <c r="AF688" s="942">
        <v>0</v>
      </c>
      <c r="AG688" s="943">
        <f>comparaison_samebasis_villages[[#This Row],[previous idp_ind]]-comparaison_samebasis_villages[[#This Row],[actual idp_ind]]</f>
        <v>0</v>
      </c>
      <c r="AH688" s="943">
        <f>comparaison_samebasis_villages[[#This Row],[previous ref_ind]]-comparaison_samebasis_villages[[#This Row],[actual ref_ind]]</f>
        <v>0</v>
      </c>
      <c r="AI688" s="943">
        <f>comparaison_samebasis_villages[[#This Row],[previous ret_ind]]-comparaison_samebasis_villages[[#This Row],[actual ret_ind]]</f>
        <v>0</v>
      </c>
    </row>
    <row r="689" spans="1:35" ht="15.75" customHeight="1" x14ac:dyDescent="0.3">
      <c r="A689" s="401"/>
      <c r="B689" s="401"/>
      <c r="C689" s="401"/>
      <c r="D689" s="401"/>
      <c r="E689" s="401"/>
      <c r="F689" s="5"/>
      <c r="G689" s="401"/>
      <c r="H689" s="1093"/>
      <c r="I689" s="402"/>
      <c r="J689" s="403"/>
      <c r="K689" s="403"/>
      <c r="L689" s="1093"/>
      <c r="M689" s="401"/>
      <c r="O689" s="399" t="s">
        <v>31</v>
      </c>
      <c r="P689" s="399" t="s">
        <v>31</v>
      </c>
      <c r="Q689" s="399" t="s">
        <v>171</v>
      </c>
      <c r="R689" s="399" t="s">
        <v>171</v>
      </c>
      <c r="S689" s="399" t="s">
        <v>1977</v>
      </c>
      <c r="T689" s="399" t="s">
        <v>2999</v>
      </c>
      <c r="U689" s="941">
        <v>11</v>
      </c>
      <c r="V689" s="941">
        <v>57</v>
      </c>
      <c r="W689" s="941">
        <v>0</v>
      </c>
      <c r="X689" s="941">
        <v>0</v>
      </c>
      <c r="Y689" s="941">
        <v>0</v>
      </c>
      <c r="Z689" s="941">
        <v>0</v>
      </c>
      <c r="AA689" s="942">
        <v>11</v>
      </c>
      <c r="AB689" s="942">
        <v>57</v>
      </c>
      <c r="AC689" s="942">
        <v>0</v>
      </c>
      <c r="AD689" s="942">
        <v>0</v>
      </c>
      <c r="AE689" s="942">
        <v>0</v>
      </c>
      <c r="AF689" s="942">
        <v>0</v>
      </c>
      <c r="AG689" s="943">
        <f>comparaison_samebasis_villages[[#This Row],[previous idp_ind]]-comparaison_samebasis_villages[[#This Row],[actual idp_ind]]</f>
        <v>0</v>
      </c>
      <c r="AH689" s="943">
        <f>comparaison_samebasis_villages[[#This Row],[previous ref_ind]]-comparaison_samebasis_villages[[#This Row],[actual ref_ind]]</f>
        <v>0</v>
      </c>
      <c r="AI689" s="943">
        <f>comparaison_samebasis_villages[[#This Row],[previous ret_ind]]-comparaison_samebasis_villages[[#This Row],[actual ret_ind]]</f>
        <v>0</v>
      </c>
    </row>
    <row r="690" spans="1:35" ht="15.75" customHeight="1" x14ac:dyDescent="0.3">
      <c r="A690" s="401"/>
      <c r="B690" s="401"/>
      <c r="C690" s="401"/>
      <c r="D690" s="401"/>
      <c r="E690" s="401"/>
      <c r="F690" s="5"/>
      <c r="G690" s="401"/>
      <c r="H690" s="1093"/>
      <c r="I690" s="402"/>
      <c r="J690" s="403"/>
      <c r="K690" s="403"/>
      <c r="L690" s="1093"/>
      <c r="M690" s="401"/>
      <c r="O690" s="404" t="s">
        <v>31</v>
      </c>
      <c r="P690" s="404" t="s">
        <v>31</v>
      </c>
      <c r="Q690" s="404" t="s">
        <v>171</v>
      </c>
      <c r="R690" s="404" t="s">
        <v>171</v>
      </c>
      <c r="S690" s="404" t="s">
        <v>1996</v>
      </c>
      <c r="T690" s="404" t="s">
        <v>3000</v>
      </c>
      <c r="U690" s="941">
        <v>0</v>
      </c>
      <c r="V690" s="941">
        <v>0</v>
      </c>
      <c r="W690" s="941">
        <v>0</v>
      </c>
      <c r="X690" s="941">
        <v>0</v>
      </c>
      <c r="Y690" s="941">
        <v>0</v>
      </c>
      <c r="Z690" s="941">
        <v>0</v>
      </c>
      <c r="AA690" s="942">
        <v>0</v>
      </c>
      <c r="AB690" s="942">
        <v>0</v>
      </c>
      <c r="AC690" s="942">
        <v>0</v>
      </c>
      <c r="AD690" s="942">
        <v>0</v>
      </c>
      <c r="AE690" s="942">
        <v>0</v>
      </c>
      <c r="AF690" s="942">
        <v>0</v>
      </c>
      <c r="AG690" s="943">
        <f>comparaison_samebasis_villages[[#This Row],[previous idp_ind]]-comparaison_samebasis_villages[[#This Row],[actual idp_ind]]</f>
        <v>0</v>
      </c>
      <c r="AH690" s="943">
        <f>comparaison_samebasis_villages[[#This Row],[previous ref_ind]]-comparaison_samebasis_villages[[#This Row],[actual ref_ind]]</f>
        <v>0</v>
      </c>
      <c r="AI690" s="943">
        <f>comparaison_samebasis_villages[[#This Row],[previous ret_ind]]-comparaison_samebasis_villages[[#This Row],[actual ret_ind]]</f>
        <v>0</v>
      </c>
    </row>
    <row r="691" spans="1:35" ht="15.75" customHeight="1" x14ac:dyDescent="0.3">
      <c r="A691" s="401"/>
      <c r="B691" s="401"/>
      <c r="C691" s="401"/>
      <c r="D691" s="401"/>
      <c r="E691" s="401"/>
      <c r="F691" s="5"/>
      <c r="G691" s="401"/>
      <c r="H691" s="1093"/>
      <c r="I691" s="402"/>
      <c r="J691" s="403"/>
      <c r="K691" s="403"/>
      <c r="L691" s="1093"/>
      <c r="M691" s="401"/>
      <c r="O691" s="404" t="s">
        <v>31</v>
      </c>
      <c r="P691" s="404" t="s">
        <v>31</v>
      </c>
      <c r="Q691" s="404" t="s">
        <v>171</v>
      </c>
      <c r="R691" s="404" t="s">
        <v>171</v>
      </c>
      <c r="S691" s="404" t="s">
        <v>1824</v>
      </c>
      <c r="T691" s="404" t="s">
        <v>2913</v>
      </c>
      <c r="U691" s="941">
        <v>0</v>
      </c>
      <c r="V691" s="941">
        <v>0</v>
      </c>
      <c r="W691" s="941">
        <v>0</v>
      </c>
      <c r="X691" s="941">
        <v>0</v>
      </c>
      <c r="Y691" s="941">
        <v>0</v>
      </c>
      <c r="Z691" s="941">
        <v>0</v>
      </c>
      <c r="AA691" s="942">
        <v>0</v>
      </c>
      <c r="AB691" s="942">
        <v>0</v>
      </c>
      <c r="AC691" s="942">
        <v>0</v>
      </c>
      <c r="AD691" s="942">
        <v>0</v>
      </c>
      <c r="AE691" s="942">
        <v>0</v>
      </c>
      <c r="AF691" s="942">
        <v>0</v>
      </c>
      <c r="AG691" s="943">
        <f>comparaison_samebasis_villages[[#This Row],[previous idp_ind]]-comparaison_samebasis_villages[[#This Row],[actual idp_ind]]</f>
        <v>0</v>
      </c>
      <c r="AH691" s="943">
        <f>comparaison_samebasis_villages[[#This Row],[previous ref_ind]]-comparaison_samebasis_villages[[#This Row],[actual ref_ind]]</f>
        <v>0</v>
      </c>
      <c r="AI691" s="943">
        <f>comparaison_samebasis_villages[[#This Row],[previous ret_ind]]-comparaison_samebasis_villages[[#This Row],[actual ret_ind]]</f>
        <v>0</v>
      </c>
    </row>
    <row r="692" spans="1:35" ht="15.75" customHeight="1" x14ac:dyDescent="0.3">
      <c r="A692" s="401"/>
      <c r="B692" s="401"/>
      <c r="C692" s="1093"/>
      <c r="D692" s="1093"/>
      <c r="E692" s="401"/>
      <c r="F692" s="5"/>
      <c r="G692" s="401"/>
      <c r="H692" s="1093"/>
      <c r="I692" s="402"/>
      <c r="J692" s="403"/>
      <c r="K692" s="403"/>
      <c r="L692" s="1093"/>
      <c r="M692" s="401"/>
      <c r="O692" s="404" t="s">
        <v>31</v>
      </c>
      <c r="P692" s="404" t="s">
        <v>31</v>
      </c>
      <c r="Q692" s="404" t="s">
        <v>171</v>
      </c>
      <c r="R692" s="404" t="s">
        <v>171</v>
      </c>
      <c r="S692" s="404" t="s">
        <v>1895</v>
      </c>
      <c r="T692" s="404" t="s">
        <v>2893</v>
      </c>
      <c r="U692" s="941">
        <v>30</v>
      </c>
      <c r="V692" s="941">
        <v>82</v>
      </c>
      <c r="W692" s="941">
        <v>0</v>
      </c>
      <c r="X692" s="941">
        <v>0</v>
      </c>
      <c r="Y692" s="941">
        <v>0</v>
      </c>
      <c r="Z692" s="941">
        <v>0</v>
      </c>
      <c r="AA692" s="942">
        <v>0</v>
      </c>
      <c r="AB692" s="942">
        <v>0</v>
      </c>
      <c r="AC692" s="942">
        <v>0</v>
      </c>
      <c r="AD692" s="942">
        <v>0</v>
      </c>
      <c r="AE692" s="942">
        <v>0</v>
      </c>
      <c r="AF692" s="942">
        <v>0</v>
      </c>
      <c r="AG692" s="943">
        <f>comparaison_samebasis_villages[[#This Row],[previous idp_ind]]-comparaison_samebasis_villages[[#This Row],[actual idp_ind]]</f>
        <v>-82</v>
      </c>
      <c r="AH692" s="943">
        <f>comparaison_samebasis_villages[[#This Row],[previous ref_ind]]-comparaison_samebasis_villages[[#This Row],[actual ref_ind]]</f>
        <v>0</v>
      </c>
      <c r="AI692" s="943">
        <f>comparaison_samebasis_villages[[#This Row],[previous ret_ind]]-comparaison_samebasis_villages[[#This Row],[actual ret_ind]]</f>
        <v>0</v>
      </c>
    </row>
    <row r="693" spans="1:35" ht="15.75" customHeight="1" x14ac:dyDescent="0.3">
      <c r="A693" s="401"/>
      <c r="B693" s="401"/>
      <c r="C693" s="401"/>
      <c r="D693" s="401"/>
      <c r="E693" s="401"/>
      <c r="F693" s="5"/>
      <c r="G693" s="401"/>
      <c r="H693" s="1093"/>
      <c r="I693" s="402"/>
      <c r="J693" s="403"/>
      <c r="K693" s="403"/>
      <c r="L693" s="1093"/>
      <c r="M693" s="401"/>
      <c r="O693" s="404" t="s">
        <v>31</v>
      </c>
      <c r="P693" s="404" t="s">
        <v>31</v>
      </c>
      <c r="Q693" s="404" t="s">
        <v>171</v>
      </c>
      <c r="R693" s="404" t="s">
        <v>171</v>
      </c>
      <c r="S693" s="404" t="s">
        <v>2149</v>
      </c>
      <c r="T693" s="404" t="s">
        <v>2798</v>
      </c>
      <c r="U693" s="941">
        <v>2</v>
      </c>
      <c r="V693" s="941">
        <v>19</v>
      </c>
      <c r="W693" s="941">
        <v>12</v>
      </c>
      <c r="X693" s="941">
        <v>115</v>
      </c>
      <c r="Y693" s="941">
        <v>0</v>
      </c>
      <c r="Z693" s="941">
        <v>0</v>
      </c>
      <c r="AA693" s="942">
        <v>0</v>
      </c>
      <c r="AB693" s="942">
        <v>0</v>
      </c>
      <c r="AC693" s="942">
        <v>12</v>
      </c>
      <c r="AD693" s="942">
        <v>115</v>
      </c>
      <c r="AE693" s="942">
        <v>0</v>
      </c>
      <c r="AF693" s="942">
        <v>0</v>
      </c>
      <c r="AG693" s="943">
        <f>comparaison_samebasis_villages[[#This Row],[previous idp_ind]]-comparaison_samebasis_villages[[#This Row],[actual idp_ind]]</f>
        <v>-19</v>
      </c>
      <c r="AH693" s="943">
        <f>comparaison_samebasis_villages[[#This Row],[previous ref_ind]]-comparaison_samebasis_villages[[#This Row],[actual ref_ind]]</f>
        <v>0</v>
      </c>
      <c r="AI693" s="943">
        <f>comparaison_samebasis_villages[[#This Row],[previous ret_ind]]-comparaison_samebasis_villages[[#This Row],[actual ret_ind]]</f>
        <v>0</v>
      </c>
    </row>
    <row r="694" spans="1:35" ht="15.75" customHeight="1" x14ac:dyDescent="0.3">
      <c r="A694" s="401"/>
      <c r="B694" s="401"/>
      <c r="C694" s="401"/>
      <c r="D694" s="401"/>
      <c r="E694" s="401"/>
      <c r="F694" s="5"/>
      <c r="G694" s="401"/>
      <c r="H694" s="1093"/>
      <c r="I694" s="402"/>
      <c r="J694" s="403"/>
      <c r="K694" s="403"/>
      <c r="L694" s="1093"/>
      <c r="M694" s="401"/>
      <c r="O694" s="404" t="s">
        <v>31</v>
      </c>
      <c r="P694" s="404" t="s">
        <v>31</v>
      </c>
      <c r="Q694" s="404" t="s">
        <v>171</v>
      </c>
      <c r="R694" s="404" t="s">
        <v>171</v>
      </c>
      <c r="S694" s="404" t="s">
        <v>1152</v>
      </c>
      <c r="T694" s="404" t="s">
        <v>2168</v>
      </c>
      <c r="U694" s="941">
        <v>7</v>
      </c>
      <c r="V694" s="941">
        <v>30</v>
      </c>
      <c r="W694" s="941">
        <v>10</v>
      </c>
      <c r="X694" s="941">
        <v>40</v>
      </c>
      <c r="Y694" s="941">
        <v>0</v>
      </c>
      <c r="Z694" s="941">
        <v>0</v>
      </c>
      <c r="AA694" s="942">
        <v>7</v>
      </c>
      <c r="AB694" s="942">
        <v>31</v>
      </c>
      <c r="AC694" s="942">
        <v>38</v>
      </c>
      <c r="AD694" s="942">
        <v>210</v>
      </c>
      <c r="AE694" s="942">
        <v>4</v>
      </c>
      <c r="AF694" s="942">
        <v>43</v>
      </c>
      <c r="AG694" s="943">
        <f>comparaison_samebasis_villages[[#This Row],[previous idp_ind]]-comparaison_samebasis_villages[[#This Row],[actual idp_ind]]</f>
        <v>1</v>
      </c>
      <c r="AH694" s="943">
        <f>comparaison_samebasis_villages[[#This Row],[previous ref_ind]]-comparaison_samebasis_villages[[#This Row],[actual ref_ind]]</f>
        <v>170</v>
      </c>
      <c r="AI694" s="943">
        <f>comparaison_samebasis_villages[[#This Row],[previous ret_ind]]-comparaison_samebasis_villages[[#This Row],[actual ret_ind]]</f>
        <v>43</v>
      </c>
    </row>
    <row r="695" spans="1:35" ht="15.75" customHeight="1" x14ac:dyDescent="0.3">
      <c r="A695" s="401"/>
      <c r="B695" s="401"/>
      <c r="C695" s="401"/>
      <c r="D695" s="401"/>
      <c r="E695" s="401"/>
      <c r="F695" s="5"/>
      <c r="G695" s="401"/>
      <c r="H695" s="1093"/>
      <c r="I695" s="402"/>
      <c r="J695" s="403"/>
      <c r="K695" s="403"/>
      <c r="L695" s="1093"/>
      <c r="M695" s="401"/>
      <c r="O695" s="404" t="s">
        <v>31</v>
      </c>
      <c r="P695" s="404" t="s">
        <v>31</v>
      </c>
      <c r="Q695" s="404" t="s">
        <v>171</v>
      </c>
      <c r="R695" s="404" t="s">
        <v>171</v>
      </c>
      <c r="S695" s="404" t="s">
        <v>1154</v>
      </c>
      <c r="T695" s="404" t="s">
        <v>2179</v>
      </c>
      <c r="U695" s="941">
        <v>4</v>
      </c>
      <c r="V695" s="941">
        <v>30</v>
      </c>
      <c r="W695" s="941">
        <v>0</v>
      </c>
      <c r="X695" s="941">
        <v>0</v>
      </c>
      <c r="Y695" s="941">
        <v>0</v>
      </c>
      <c r="Z695" s="941">
        <v>0</v>
      </c>
      <c r="AA695" s="942">
        <v>4</v>
      </c>
      <c r="AB695" s="942">
        <v>27</v>
      </c>
      <c r="AC695" s="942">
        <v>5</v>
      </c>
      <c r="AD695" s="942">
        <v>44</v>
      </c>
      <c r="AE695" s="942">
        <v>0</v>
      </c>
      <c r="AF695" s="942">
        <v>0</v>
      </c>
      <c r="AG695" s="943">
        <f>comparaison_samebasis_villages[[#This Row],[previous idp_ind]]-comparaison_samebasis_villages[[#This Row],[actual idp_ind]]</f>
        <v>-3</v>
      </c>
      <c r="AH695" s="943">
        <f>comparaison_samebasis_villages[[#This Row],[previous ref_ind]]-comparaison_samebasis_villages[[#This Row],[actual ref_ind]]</f>
        <v>44</v>
      </c>
      <c r="AI695" s="943">
        <f>comparaison_samebasis_villages[[#This Row],[previous ret_ind]]-comparaison_samebasis_villages[[#This Row],[actual ret_ind]]</f>
        <v>0</v>
      </c>
    </row>
    <row r="696" spans="1:35" ht="15.75" customHeight="1" x14ac:dyDescent="0.3">
      <c r="A696" s="401"/>
      <c r="B696" s="401"/>
      <c r="C696" s="401"/>
      <c r="D696" s="401"/>
      <c r="E696" s="401"/>
      <c r="F696" s="5"/>
      <c r="G696" s="401"/>
      <c r="H696" s="1093"/>
      <c r="I696" s="402"/>
      <c r="J696" s="403"/>
      <c r="K696" s="403"/>
      <c r="L696" s="1093"/>
      <c r="M696" s="401"/>
      <c r="O696" s="404" t="s">
        <v>31</v>
      </c>
      <c r="P696" s="404" t="s">
        <v>31</v>
      </c>
      <c r="Q696" s="404" t="s">
        <v>171</v>
      </c>
      <c r="R696" s="404" t="s">
        <v>171</v>
      </c>
      <c r="S696" s="404" t="s">
        <v>2213</v>
      </c>
      <c r="T696" s="404" t="s">
        <v>1716</v>
      </c>
      <c r="U696" s="941">
        <v>0</v>
      </c>
      <c r="V696" s="941">
        <v>0</v>
      </c>
      <c r="W696" s="941">
        <v>22</v>
      </c>
      <c r="X696" s="941">
        <v>180</v>
      </c>
      <c r="Y696" s="941">
        <v>0</v>
      </c>
      <c r="Z696" s="941">
        <v>0</v>
      </c>
      <c r="AA696" s="942">
        <v>0</v>
      </c>
      <c r="AB696" s="942">
        <v>0</v>
      </c>
      <c r="AC696" s="942">
        <v>0</v>
      </c>
      <c r="AD696" s="942">
        <v>0</v>
      </c>
      <c r="AE696" s="942">
        <v>0</v>
      </c>
      <c r="AF696" s="942">
        <v>0</v>
      </c>
      <c r="AG696" s="943">
        <f>comparaison_samebasis_villages[[#This Row],[previous idp_ind]]-comparaison_samebasis_villages[[#This Row],[actual idp_ind]]</f>
        <v>0</v>
      </c>
      <c r="AH696" s="943">
        <f>comparaison_samebasis_villages[[#This Row],[previous ref_ind]]-comparaison_samebasis_villages[[#This Row],[actual ref_ind]]</f>
        <v>-180</v>
      </c>
      <c r="AI696" s="943">
        <f>comparaison_samebasis_villages[[#This Row],[previous ret_ind]]-comparaison_samebasis_villages[[#This Row],[actual ret_ind]]</f>
        <v>0</v>
      </c>
    </row>
    <row r="697" spans="1:35" ht="15.75" customHeight="1" x14ac:dyDescent="0.3">
      <c r="A697" s="401"/>
      <c r="B697" s="401"/>
      <c r="C697" s="401"/>
      <c r="D697" s="401"/>
      <c r="E697" s="401"/>
      <c r="F697" s="5"/>
      <c r="G697" s="401"/>
      <c r="H697" s="1093"/>
      <c r="I697" s="402"/>
      <c r="J697" s="403"/>
      <c r="K697" s="403"/>
      <c r="L697" s="1093"/>
      <c r="M697" s="401"/>
      <c r="O697" s="404" t="s">
        <v>31</v>
      </c>
      <c r="P697" s="404" t="s">
        <v>31</v>
      </c>
      <c r="Q697" s="404" t="s">
        <v>171</v>
      </c>
      <c r="R697" s="404" t="s">
        <v>171</v>
      </c>
      <c r="S697" s="404" t="s">
        <v>1150</v>
      </c>
      <c r="T697" s="404" t="s">
        <v>2610</v>
      </c>
      <c r="U697" s="941">
        <v>5</v>
      </c>
      <c r="V697" s="941">
        <v>15</v>
      </c>
      <c r="W697" s="941">
        <v>3</v>
      </c>
      <c r="X697" s="941">
        <v>11</v>
      </c>
      <c r="Y697" s="941">
        <v>0</v>
      </c>
      <c r="Z697" s="941">
        <v>0</v>
      </c>
      <c r="AA697" s="942">
        <v>5</v>
      </c>
      <c r="AB697" s="942">
        <v>15</v>
      </c>
      <c r="AC697" s="942">
        <v>15</v>
      </c>
      <c r="AD697" s="942">
        <v>113</v>
      </c>
      <c r="AE697" s="942">
        <v>20</v>
      </c>
      <c r="AF697" s="942">
        <v>120</v>
      </c>
      <c r="AG697" s="943">
        <f>comparaison_samebasis_villages[[#This Row],[previous idp_ind]]-comparaison_samebasis_villages[[#This Row],[actual idp_ind]]</f>
        <v>0</v>
      </c>
      <c r="AH697" s="943">
        <f>comparaison_samebasis_villages[[#This Row],[previous ref_ind]]-comparaison_samebasis_villages[[#This Row],[actual ref_ind]]</f>
        <v>102</v>
      </c>
      <c r="AI697" s="943">
        <f>comparaison_samebasis_villages[[#This Row],[previous ret_ind]]-comparaison_samebasis_villages[[#This Row],[actual ret_ind]]</f>
        <v>120</v>
      </c>
    </row>
    <row r="698" spans="1:35" ht="15.75" customHeight="1" x14ac:dyDescent="0.3">
      <c r="A698" s="401"/>
      <c r="B698" s="401"/>
      <c r="C698" s="401"/>
      <c r="D698" s="401"/>
      <c r="E698" s="401"/>
      <c r="F698" s="5"/>
      <c r="G698" s="401"/>
      <c r="H698" s="1093"/>
      <c r="I698" s="402"/>
      <c r="J698" s="403"/>
      <c r="K698" s="403"/>
      <c r="L698" s="1093"/>
      <c r="M698" s="401"/>
      <c r="O698" s="399" t="s">
        <v>31</v>
      </c>
      <c r="P698" s="399" t="s">
        <v>31</v>
      </c>
      <c r="Q698" s="399" t="s">
        <v>171</v>
      </c>
      <c r="R698" s="399" t="s">
        <v>171</v>
      </c>
      <c r="S698" s="399" t="s">
        <v>1962</v>
      </c>
      <c r="T698" s="399" t="s">
        <v>923</v>
      </c>
      <c r="U698" s="941">
        <v>8</v>
      </c>
      <c r="V698" s="941">
        <v>29</v>
      </c>
      <c r="W698" s="941">
        <v>3</v>
      </c>
      <c r="X698" s="941">
        <v>9</v>
      </c>
      <c r="Y698" s="941">
        <v>0</v>
      </c>
      <c r="Z698" s="941">
        <v>0</v>
      </c>
      <c r="AA698" s="942">
        <v>8</v>
      </c>
      <c r="AB698" s="942">
        <v>29</v>
      </c>
      <c r="AC698" s="942">
        <v>16</v>
      </c>
      <c r="AD698" s="942">
        <v>116</v>
      </c>
      <c r="AE698" s="942">
        <v>0</v>
      </c>
      <c r="AF698" s="942">
        <v>0</v>
      </c>
      <c r="AG698" s="943">
        <f>comparaison_samebasis_villages[[#This Row],[previous idp_ind]]-comparaison_samebasis_villages[[#This Row],[actual idp_ind]]</f>
        <v>0</v>
      </c>
      <c r="AH698" s="943">
        <f>comparaison_samebasis_villages[[#This Row],[previous ref_ind]]-comparaison_samebasis_villages[[#This Row],[actual ref_ind]]</f>
        <v>107</v>
      </c>
      <c r="AI698" s="943">
        <f>comparaison_samebasis_villages[[#This Row],[previous ret_ind]]-comparaison_samebasis_villages[[#This Row],[actual ret_ind]]</f>
        <v>0</v>
      </c>
    </row>
    <row r="699" spans="1:35" ht="15.75" customHeight="1" x14ac:dyDescent="0.3">
      <c r="A699" s="401"/>
      <c r="B699" s="401"/>
      <c r="C699" s="401"/>
      <c r="D699" s="401"/>
      <c r="E699" s="401"/>
      <c r="F699" s="5"/>
      <c r="G699" s="401"/>
      <c r="H699" s="1093"/>
      <c r="I699" s="402"/>
      <c r="J699" s="403"/>
      <c r="K699" s="403"/>
      <c r="L699" s="1093"/>
      <c r="M699" s="401"/>
      <c r="O699" s="404" t="s">
        <v>31</v>
      </c>
      <c r="P699" s="404" t="s">
        <v>31</v>
      </c>
      <c r="Q699" s="404" t="s">
        <v>171</v>
      </c>
      <c r="R699" s="404" t="s">
        <v>171</v>
      </c>
      <c r="S699" s="404" t="s">
        <v>870</v>
      </c>
      <c r="T699" s="404" t="s">
        <v>1011</v>
      </c>
      <c r="U699" s="941">
        <v>49</v>
      </c>
      <c r="V699" s="941">
        <v>485</v>
      </c>
      <c r="W699" s="941">
        <v>26</v>
      </c>
      <c r="X699" s="941">
        <v>344</v>
      </c>
      <c r="Y699" s="941">
        <v>0</v>
      </c>
      <c r="Z699" s="941">
        <v>0</v>
      </c>
      <c r="AA699" s="942">
        <v>49</v>
      </c>
      <c r="AB699" s="942">
        <v>485</v>
      </c>
      <c r="AC699" s="942">
        <v>26</v>
      </c>
      <c r="AD699" s="942">
        <v>344</v>
      </c>
      <c r="AE699" s="942">
        <v>0</v>
      </c>
      <c r="AF699" s="942">
        <v>0</v>
      </c>
      <c r="AG699" s="943">
        <f>comparaison_samebasis_villages[[#This Row],[previous idp_ind]]-comparaison_samebasis_villages[[#This Row],[actual idp_ind]]</f>
        <v>0</v>
      </c>
      <c r="AH699" s="943">
        <f>comparaison_samebasis_villages[[#This Row],[previous ref_ind]]-comparaison_samebasis_villages[[#This Row],[actual ref_ind]]</f>
        <v>0</v>
      </c>
      <c r="AI699" s="943">
        <f>comparaison_samebasis_villages[[#This Row],[previous ret_ind]]-comparaison_samebasis_villages[[#This Row],[actual ret_ind]]</f>
        <v>0</v>
      </c>
    </row>
    <row r="700" spans="1:35" ht="15.75" customHeight="1" x14ac:dyDescent="0.3">
      <c r="A700" s="401"/>
      <c r="B700" s="401"/>
      <c r="C700" s="401"/>
      <c r="D700" s="401"/>
      <c r="E700" s="401"/>
      <c r="F700" s="5"/>
      <c r="G700" s="401"/>
      <c r="H700" s="1093"/>
      <c r="I700" s="402"/>
      <c r="J700" s="403"/>
      <c r="K700" s="403"/>
      <c r="L700" s="1093"/>
      <c r="M700" s="401"/>
      <c r="O700" s="404" t="s">
        <v>31</v>
      </c>
      <c r="P700" s="404" t="s">
        <v>31</v>
      </c>
      <c r="Q700" s="404" t="s">
        <v>171</v>
      </c>
      <c r="R700" s="404" t="s">
        <v>171</v>
      </c>
      <c r="S700" s="404" t="s">
        <v>1987</v>
      </c>
      <c r="T700" s="404" t="s">
        <v>2612</v>
      </c>
      <c r="U700" s="941">
        <v>29</v>
      </c>
      <c r="V700" s="941">
        <v>102</v>
      </c>
      <c r="W700" s="941">
        <v>0</v>
      </c>
      <c r="X700" s="941">
        <v>0</v>
      </c>
      <c r="Y700" s="941">
        <v>0</v>
      </c>
      <c r="Z700" s="941">
        <v>0</v>
      </c>
      <c r="AA700" s="942">
        <v>24</v>
      </c>
      <c r="AB700" s="942">
        <v>82</v>
      </c>
      <c r="AC700" s="942">
        <v>0</v>
      </c>
      <c r="AD700" s="942">
        <v>0</v>
      </c>
      <c r="AE700" s="942">
        <v>0</v>
      </c>
      <c r="AF700" s="942">
        <v>0</v>
      </c>
      <c r="AG700" s="943">
        <f>comparaison_samebasis_villages[[#This Row],[previous idp_ind]]-comparaison_samebasis_villages[[#This Row],[actual idp_ind]]</f>
        <v>-20</v>
      </c>
      <c r="AH700" s="943">
        <f>comparaison_samebasis_villages[[#This Row],[previous ref_ind]]-comparaison_samebasis_villages[[#This Row],[actual ref_ind]]</f>
        <v>0</v>
      </c>
      <c r="AI700" s="943">
        <f>comparaison_samebasis_villages[[#This Row],[previous ret_ind]]-comparaison_samebasis_villages[[#This Row],[actual ret_ind]]</f>
        <v>0</v>
      </c>
    </row>
    <row r="701" spans="1:35" ht="15.75" customHeight="1" x14ac:dyDescent="0.3">
      <c r="A701" s="401"/>
      <c r="B701" s="401"/>
      <c r="C701" s="401"/>
      <c r="D701" s="401"/>
      <c r="E701" s="401"/>
      <c r="F701" s="5"/>
      <c r="G701" s="401"/>
      <c r="H701" s="1093"/>
      <c r="I701" s="402"/>
      <c r="J701" s="403"/>
      <c r="K701" s="403"/>
      <c r="L701" s="1093"/>
      <c r="M701" s="401"/>
      <c r="O701" s="404" t="s">
        <v>31</v>
      </c>
      <c r="P701" s="404" t="s">
        <v>31</v>
      </c>
      <c r="Q701" s="404" t="s">
        <v>171</v>
      </c>
      <c r="R701" s="404" t="s">
        <v>171</v>
      </c>
      <c r="S701" s="404" t="s">
        <v>1078</v>
      </c>
      <c r="T701" s="404" t="s">
        <v>2837</v>
      </c>
      <c r="U701" s="941">
        <v>48</v>
      </c>
      <c r="V701" s="941">
        <v>308</v>
      </c>
      <c r="W701" s="941">
        <v>37</v>
      </c>
      <c r="X701" s="941">
        <v>207</v>
      </c>
      <c r="Y701" s="941">
        <v>0</v>
      </c>
      <c r="Z701" s="941">
        <v>0</v>
      </c>
      <c r="AA701" s="942">
        <v>48</v>
      </c>
      <c r="AB701" s="942">
        <v>305</v>
      </c>
      <c r="AC701" s="942">
        <v>37</v>
      </c>
      <c r="AD701" s="942">
        <v>204</v>
      </c>
      <c r="AE701" s="942">
        <v>0</v>
      </c>
      <c r="AF701" s="942">
        <v>0</v>
      </c>
      <c r="AG701" s="943">
        <f>comparaison_samebasis_villages[[#This Row],[previous idp_ind]]-comparaison_samebasis_villages[[#This Row],[actual idp_ind]]</f>
        <v>-3</v>
      </c>
      <c r="AH701" s="943">
        <f>comparaison_samebasis_villages[[#This Row],[previous ref_ind]]-comparaison_samebasis_villages[[#This Row],[actual ref_ind]]</f>
        <v>-3</v>
      </c>
      <c r="AI701" s="943">
        <f>comparaison_samebasis_villages[[#This Row],[previous ret_ind]]-comparaison_samebasis_villages[[#This Row],[actual ret_ind]]</f>
        <v>0</v>
      </c>
    </row>
    <row r="702" spans="1:35" ht="15.75" customHeight="1" x14ac:dyDescent="0.3">
      <c r="A702" s="401"/>
      <c r="B702" s="401"/>
      <c r="C702" s="401"/>
      <c r="D702" s="401"/>
      <c r="E702" s="401"/>
      <c r="F702" s="5"/>
      <c r="G702" s="401"/>
      <c r="H702" s="1093"/>
      <c r="I702" s="402"/>
      <c r="J702" s="403"/>
      <c r="K702" s="403"/>
      <c r="L702" s="1093"/>
      <c r="M702" s="401"/>
      <c r="O702" s="399" t="s">
        <v>31</v>
      </c>
      <c r="P702" s="399" t="s">
        <v>31</v>
      </c>
      <c r="Q702" s="399" t="s">
        <v>171</v>
      </c>
      <c r="R702" s="399" t="s">
        <v>171</v>
      </c>
      <c r="S702" s="1095" t="s">
        <v>791</v>
      </c>
      <c r="T702" s="399" t="s">
        <v>2845</v>
      </c>
      <c r="U702" s="941">
        <v>27</v>
      </c>
      <c r="V702" s="941">
        <v>180</v>
      </c>
      <c r="W702" s="941">
        <v>16</v>
      </c>
      <c r="X702" s="941">
        <v>93</v>
      </c>
      <c r="Y702" s="941">
        <v>0</v>
      </c>
      <c r="Z702" s="941">
        <v>0</v>
      </c>
      <c r="AA702" s="942">
        <v>27</v>
      </c>
      <c r="AB702" s="942">
        <v>178</v>
      </c>
      <c r="AC702" s="942">
        <v>16</v>
      </c>
      <c r="AD702" s="942">
        <v>85</v>
      </c>
      <c r="AE702" s="942">
        <v>0</v>
      </c>
      <c r="AF702" s="942">
        <v>0</v>
      </c>
      <c r="AG702" s="943">
        <f>comparaison_samebasis_villages[[#This Row],[previous idp_ind]]-comparaison_samebasis_villages[[#This Row],[actual idp_ind]]</f>
        <v>-2</v>
      </c>
      <c r="AH702" s="943">
        <f>comparaison_samebasis_villages[[#This Row],[previous ref_ind]]-comparaison_samebasis_villages[[#This Row],[actual ref_ind]]</f>
        <v>-8</v>
      </c>
      <c r="AI702" s="943">
        <f>comparaison_samebasis_villages[[#This Row],[previous ret_ind]]-comparaison_samebasis_villages[[#This Row],[actual ret_ind]]</f>
        <v>0</v>
      </c>
    </row>
    <row r="703" spans="1:35" ht="15.75" customHeight="1" x14ac:dyDescent="0.3">
      <c r="A703" s="401"/>
      <c r="B703" s="401"/>
      <c r="C703" s="401"/>
      <c r="D703" s="401"/>
      <c r="E703" s="401"/>
      <c r="F703" s="5"/>
      <c r="G703" s="401"/>
      <c r="H703" s="1093"/>
      <c r="I703" s="402"/>
      <c r="J703" s="403"/>
      <c r="K703" s="403"/>
      <c r="L703" s="1093"/>
      <c r="M703" s="401"/>
      <c r="O703" s="404" t="s">
        <v>31</v>
      </c>
      <c r="P703" s="404" t="s">
        <v>31</v>
      </c>
      <c r="Q703" s="404" t="s">
        <v>171</v>
      </c>
      <c r="R703" s="404" t="s">
        <v>171</v>
      </c>
      <c r="S703" s="404" t="s">
        <v>797</v>
      </c>
      <c r="T703" s="404" t="s">
        <v>2614</v>
      </c>
      <c r="U703" s="941">
        <v>23</v>
      </c>
      <c r="V703" s="941">
        <v>173</v>
      </c>
      <c r="W703" s="941">
        <v>0</v>
      </c>
      <c r="X703" s="941">
        <v>0</v>
      </c>
      <c r="Y703" s="941">
        <v>0</v>
      </c>
      <c r="Z703" s="941">
        <v>0</v>
      </c>
      <c r="AA703" s="942">
        <v>23</v>
      </c>
      <c r="AB703" s="942">
        <v>171</v>
      </c>
      <c r="AC703" s="942">
        <v>0</v>
      </c>
      <c r="AD703" s="942">
        <v>0</v>
      </c>
      <c r="AE703" s="942">
        <v>0</v>
      </c>
      <c r="AF703" s="942">
        <v>0</v>
      </c>
      <c r="AG703" s="943">
        <f>comparaison_samebasis_villages[[#This Row],[previous idp_ind]]-comparaison_samebasis_villages[[#This Row],[actual idp_ind]]</f>
        <v>-2</v>
      </c>
      <c r="AH703" s="943">
        <f>comparaison_samebasis_villages[[#This Row],[previous ref_ind]]-comparaison_samebasis_villages[[#This Row],[actual ref_ind]]</f>
        <v>0</v>
      </c>
      <c r="AI703" s="943">
        <f>comparaison_samebasis_villages[[#This Row],[previous ret_ind]]-comparaison_samebasis_villages[[#This Row],[actual ret_ind]]</f>
        <v>0</v>
      </c>
    </row>
    <row r="704" spans="1:35" ht="15.75" customHeight="1" x14ac:dyDescent="0.3">
      <c r="A704" s="401"/>
      <c r="B704" s="401"/>
      <c r="C704" s="401"/>
      <c r="D704" s="401"/>
      <c r="E704" s="401"/>
      <c r="F704" s="5"/>
      <c r="G704" s="401"/>
      <c r="H704" s="1093"/>
      <c r="I704" s="402"/>
      <c r="J704" s="403"/>
      <c r="K704" s="403"/>
      <c r="L704" s="1093"/>
      <c r="M704" s="401"/>
      <c r="O704" s="404" t="s">
        <v>31</v>
      </c>
      <c r="P704" s="404" t="s">
        <v>31</v>
      </c>
      <c r="Q704" s="404" t="s">
        <v>171</v>
      </c>
      <c r="R704" s="404" t="s">
        <v>171</v>
      </c>
      <c r="S704" s="404" t="s">
        <v>1878</v>
      </c>
      <c r="T704" s="404" t="s">
        <v>2616</v>
      </c>
      <c r="U704" s="941">
        <v>3</v>
      </c>
      <c r="V704" s="941">
        <v>51</v>
      </c>
      <c r="W704" s="941">
        <v>0</v>
      </c>
      <c r="X704" s="941">
        <v>0</v>
      </c>
      <c r="Y704" s="941">
        <v>0</v>
      </c>
      <c r="Z704" s="941">
        <v>0</v>
      </c>
      <c r="AA704" s="942">
        <v>3</v>
      </c>
      <c r="AB704" s="942">
        <v>51</v>
      </c>
      <c r="AC704" s="942">
        <v>0</v>
      </c>
      <c r="AD704" s="942">
        <v>0</v>
      </c>
      <c r="AE704" s="942">
        <v>0</v>
      </c>
      <c r="AF704" s="942">
        <v>0</v>
      </c>
      <c r="AG704" s="943">
        <f>comparaison_samebasis_villages[[#This Row],[previous idp_ind]]-comparaison_samebasis_villages[[#This Row],[actual idp_ind]]</f>
        <v>0</v>
      </c>
      <c r="AH704" s="943">
        <f>comparaison_samebasis_villages[[#This Row],[previous ref_ind]]-comparaison_samebasis_villages[[#This Row],[actual ref_ind]]</f>
        <v>0</v>
      </c>
      <c r="AI704" s="943">
        <f>comparaison_samebasis_villages[[#This Row],[previous ret_ind]]-comparaison_samebasis_villages[[#This Row],[actual ret_ind]]</f>
        <v>0</v>
      </c>
    </row>
    <row r="705" spans="1:35" ht="15.75" customHeight="1" x14ac:dyDescent="0.3">
      <c r="A705" s="401"/>
      <c r="B705" s="401"/>
      <c r="C705" s="401"/>
      <c r="D705" s="401"/>
      <c r="E705" s="401"/>
      <c r="F705" s="5"/>
      <c r="G705" s="401"/>
      <c r="H705" s="1093"/>
      <c r="I705" s="402"/>
      <c r="J705" s="403"/>
      <c r="K705" s="403"/>
      <c r="L705" s="1093"/>
      <c r="M705" s="401"/>
      <c r="O705" s="399" t="s">
        <v>31</v>
      </c>
      <c r="P705" s="399" t="s">
        <v>31</v>
      </c>
      <c r="Q705" s="399" t="s">
        <v>171</v>
      </c>
      <c r="R705" s="399" t="s">
        <v>171</v>
      </c>
      <c r="S705" s="399" t="s">
        <v>1213</v>
      </c>
      <c r="T705" s="399" t="s">
        <v>2618</v>
      </c>
      <c r="U705" s="941">
        <v>10</v>
      </c>
      <c r="V705" s="941">
        <v>75</v>
      </c>
      <c r="W705" s="941">
        <v>0</v>
      </c>
      <c r="X705" s="941">
        <v>0</v>
      </c>
      <c r="Y705" s="941">
        <v>0</v>
      </c>
      <c r="Z705" s="941">
        <v>0</v>
      </c>
      <c r="AA705" s="942">
        <v>6</v>
      </c>
      <c r="AB705" s="942">
        <v>63</v>
      </c>
      <c r="AC705" s="942">
        <v>22</v>
      </c>
      <c r="AD705" s="942">
        <v>154</v>
      </c>
      <c r="AE705" s="942">
        <v>0</v>
      </c>
      <c r="AF705" s="942">
        <v>0</v>
      </c>
      <c r="AG705" s="943">
        <f>comparaison_samebasis_villages[[#This Row],[previous idp_ind]]-comparaison_samebasis_villages[[#This Row],[actual idp_ind]]</f>
        <v>-12</v>
      </c>
      <c r="AH705" s="943">
        <f>comparaison_samebasis_villages[[#This Row],[previous ref_ind]]-comparaison_samebasis_villages[[#This Row],[actual ref_ind]]</f>
        <v>154</v>
      </c>
      <c r="AI705" s="943">
        <f>comparaison_samebasis_villages[[#This Row],[previous ret_ind]]-comparaison_samebasis_villages[[#This Row],[actual ret_ind]]</f>
        <v>0</v>
      </c>
    </row>
    <row r="706" spans="1:35" ht="15.75" customHeight="1" x14ac:dyDescent="0.3">
      <c r="A706" s="401"/>
      <c r="B706" s="401"/>
      <c r="C706" s="401"/>
      <c r="D706" s="401"/>
      <c r="E706" s="401"/>
      <c r="F706" s="5"/>
      <c r="G706" s="401"/>
      <c r="H706" s="1093"/>
      <c r="I706" s="402"/>
      <c r="J706" s="403"/>
      <c r="K706" s="403"/>
      <c r="L706" s="1093"/>
      <c r="M706" s="401"/>
      <c r="O706" s="404" t="s">
        <v>31</v>
      </c>
      <c r="P706" s="404" t="s">
        <v>31</v>
      </c>
      <c r="Q706" s="404" t="s">
        <v>171</v>
      </c>
      <c r="R706" s="404" t="s">
        <v>171</v>
      </c>
      <c r="S706" s="404" t="s">
        <v>919</v>
      </c>
      <c r="T706" s="404" t="s">
        <v>926</v>
      </c>
      <c r="U706" s="941">
        <v>0</v>
      </c>
      <c r="V706" s="941">
        <v>0</v>
      </c>
      <c r="W706" s="941">
        <v>0</v>
      </c>
      <c r="X706" s="941">
        <v>0</v>
      </c>
      <c r="Y706" s="941">
        <v>0</v>
      </c>
      <c r="Z706" s="941">
        <v>0</v>
      </c>
      <c r="AA706" s="942">
        <v>7</v>
      </c>
      <c r="AB706" s="942">
        <v>67</v>
      </c>
      <c r="AC706" s="942">
        <v>0</v>
      </c>
      <c r="AD706" s="942">
        <v>0</v>
      </c>
      <c r="AE706" s="942">
        <v>0</v>
      </c>
      <c r="AF706" s="942">
        <v>0</v>
      </c>
      <c r="AG706" s="943">
        <f>comparaison_samebasis_villages[[#This Row],[previous idp_ind]]-comparaison_samebasis_villages[[#This Row],[actual idp_ind]]</f>
        <v>67</v>
      </c>
      <c r="AH706" s="943">
        <f>comparaison_samebasis_villages[[#This Row],[previous ref_ind]]-comparaison_samebasis_villages[[#This Row],[actual ref_ind]]</f>
        <v>0</v>
      </c>
      <c r="AI706" s="943">
        <f>comparaison_samebasis_villages[[#This Row],[previous ret_ind]]-comparaison_samebasis_villages[[#This Row],[actual ret_ind]]</f>
        <v>0</v>
      </c>
    </row>
    <row r="707" spans="1:35" ht="15.75" customHeight="1" x14ac:dyDescent="0.3">
      <c r="A707" s="401"/>
      <c r="B707" s="401"/>
      <c r="C707" s="401"/>
      <c r="D707" s="401"/>
      <c r="E707" s="401"/>
      <c r="F707" s="5"/>
      <c r="G707" s="401"/>
      <c r="H707" s="1093"/>
      <c r="I707" s="402"/>
      <c r="J707" s="403"/>
      <c r="K707" s="403"/>
      <c r="L707" s="1093"/>
      <c r="M707" s="401"/>
      <c r="O707" s="399" t="s">
        <v>31</v>
      </c>
      <c r="P707" s="399" t="s">
        <v>31</v>
      </c>
      <c r="Q707" s="399" t="s">
        <v>171</v>
      </c>
      <c r="R707" s="399" t="s">
        <v>171</v>
      </c>
      <c r="S707" s="399" t="s">
        <v>2203</v>
      </c>
      <c r="T707" s="399" t="s">
        <v>2620</v>
      </c>
      <c r="U707" s="941">
        <v>6</v>
      </c>
      <c r="V707" s="941">
        <v>38</v>
      </c>
      <c r="W707" s="941">
        <v>0</v>
      </c>
      <c r="X707" s="941">
        <v>0</v>
      </c>
      <c r="Y707" s="941">
        <v>0</v>
      </c>
      <c r="Z707" s="941">
        <v>0</v>
      </c>
      <c r="AA707" s="942">
        <v>0</v>
      </c>
      <c r="AB707" s="942">
        <v>0</v>
      </c>
      <c r="AC707" s="942">
        <v>7</v>
      </c>
      <c r="AD707" s="942">
        <v>43</v>
      </c>
      <c r="AE707" s="942">
        <v>0</v>
      </c>
      <c r="AF707" s="942">
        <v>0</v>
      </c>
      <c r="AG707" s="943">
        <f>comparaison_samebasis_villages[[#This Row],[previous idp_ind]]-comparaison_samebasis_villages[[#This Row],[actual idp_ind]]</f>
        <v>-38</v>
      </c>
      <c r="AH707" s="943">
        <f>comparaison_samebasis_villages[[#This Row],[previous ref_ind]]-comparaison_samebasis_villages[[#This Row],[actual ref_ind]]</f>
        <v>43</v>
      </c>
      <c r="AI707" s="943">
        <f>comparaison_samebasis_villages[[#This Row],[previous ret_ind]]-comparaison_samebasis_villages[[#This Row],[actual ret_ind]]</f>
        <v>0</v>
      </c>
    </row>
    <row r="708" spans="1:35" ht="15.75" customHeight="1" x14ac:dyDescent="0.3">
      <c r="A708" s="401"/>
      <c r="B708" s="401"/>
      <c r="C708" s="401"/>
      <c r="D708" s="401"/>
      <c r="E708" s="401"/>
      <c r="F708" s="5"/>
      <c r="G708" s="401"/>
      <c r="H708" s="1093"/>
      <c r="I708" s="402"/>
      <c r="J708" s="403"/>
      <c r="K708" s="403"/>
      <c r="L708" s="1093"/>
      <c r="M708" s="401"/>
      <c r="O708" s="404" t="s">
        <v>31</v>
      </c>
      <c r="P708" s="404" t="s">
        <v>31</v>
      </c>
      <c r="Q708" s="404" t="s">
        <v>171</v>
      </c>
      <c r="R708" s="404" t="s">
        <v>171</v>
      </c>
      <c r="S708" s="404" t="s">
        <v>803</v>
      </c>
      <c r="T708" s="404" t="s">
        <v>1976</v>
      </c>
      <c r="U708" s="941">
        <v>17</v>
      </c>
      <c r="V708" s="941">
        <v>102</v>
      </c>
      <c r="W708" s="941">
        <v>42</v>
      </c>
      <c r="X708" s="941">
        <v>262</v>
      </c>
      <c r="Y708" s="941">
        <v>0</v>
      </c>
      <c r="Z708" s="941">
        <v>0</v>
      </c>
      <c r="AA708" s="942">
        <v>23</v>
      </c>
      <c r="AB708" s="942">
        <v>114</v>
      </c>
      <c r="AC708" s="942">
        <v>41</v>
      </c>
      <c r="AD708" s="942">
        <v>249</v>
      </c>
      <c r="AE708" s="942">
        <v>0</v>
      </c>
      <c r="AF708" s="942">
        <v>0</v>
      </c>
      <c r="AG708" s="943">
        <f>comparaison_samebasis_villages[[#This Row],[previous idp_ind]]-comparaison_samebasis_villages[[#This Row],[actual idp_ind]]</f>
        <v>12</v>
      </c>
      <c r="AH708" s="943">
        <f>comparaison_samebasis_villages[[#This Row],[previous ref_ind]]-comparaison_samebasis_villages[[#This Row],[actual ref_ind]]</f>
        <v>-13</v>
      </c>
      <c r="AI708" s="943">
        <f>comparaison_samebasis_villages[[#This Row],[previous ret_ind]]-comparaison_samebasis_villages[[#This Row],[actual ret_ind]]</f>
        <v>0</v>
      </c>
    </row>
    <row r="709" spans="1:35" ht="15.75" customHeight="1" x14ac:dyDescent="0.3">
      <c r="A709" s="401"/>
      <c r="B709" s="401"/>
      <c r="C709" s="401"/>
      <c r="D709" s="401"/>
      <c r="E709" s="401"/>
      <c r="F709" s="5"/>
      <c r="G709" s="401"/>
      <c r="H709" s="1093"/>
      <c r="I709" s="402"/>
      <c r="J709" s="403"/>
      <c r="K709" s="403"/>
      <c r="L709" s="1093"/>
      <c r="M709" s="401"/>
      <c r="O709" s="404" t="s">
        <v>31</v>
      </c>
      <c r="P709" s="404" t="s">
        <v>31</v>
      </c>
      <c r="Q709" s="404" t="s">
        <v>171</v>
      </c>
      <c r="R709" s="404" t="s">
        <v>171</v>
      </c>
      <c r="S709" s="404" t="s">
        <v>1102</v>
      </c>
      <c r="T709" s="404" t="s">
        <v>1995</v>
      </c>
      <c r="U709" s="941">
        <v>11</v>
      </c>
      <c r="V709" s="941">
        <v>112</v>
      </c>
      <c r="W709" s="941">
        <v>21</v>
      </c>
      <c r="X709" s="941">
        <v>135</v>
      </c>
      <c r="Y709" s="941">
        <v>0</v>
      </c>
      <c r="Z709" s="941">
        <v>0</v>
      </c>
      <c r="AA709" s="942">
        <v>11</v>
      </c>
      <c r="AB709" s="942">
        <v>112</v>
      </c>
      <c r="AC709" s="942">
        <v>21</v>
      </c>
      <c r="AD709" s="942">
        <v>135</v>
      </c>
      <c r="AE709" s="942">
        <v>0</v>
      </c>
      <c r="AF709" s="942">
        <v>0</v>
      </c>
      <c r="AG709" s="943">
        <f>comparaison_samebasis_villages[[#This Row],[previous idp_ind]]-comparaison_samebasis_villages[[#This Row],[actual idp_ind]]</f>
        <v>0</v>
      </c>
      <c r="AH709" s="943">
        <f>comparaison_samebasis_villages[[#This Row],[previous ref_ind]]-comparaison_samebasis_villages[[#This Row],[actual ref_ind]]</f>
        <v>0</v>
      </c>
      <c r="AI709" s="943">
        <f>comparaison_samebasis_villages[[#This Row],[previous ret_ind]]-comparaison_samebasis_villages[[#This Row],[actual ret_ind]]</f>
        <v>0</v>
      </c>
    </row>
    <row r="710" spans="1:35" ht="15.75" customHeight="1" x14ac:dyDescent="0.3">
      <c r="A710" s="401"/>
      <c r="B710" s="401"/>
      <c r="C710" s="401"/>
      <c r="D710" s="401"/>
      <c r="E710" s="401"/>
      <c r="F710" s="5"/>
      <c r="G710" s="401"/>
      <c r="H710" s="1093"/>
      <c r="I710" s="402"/>
      <c r="J710" s="403"/>
      <c r="K710" s="403"/>
      <c r="L710" s="1093"/>
      <c r="M710" s="401"/>
      <c r="O710" s="404" t="s">
        <v>31</v>
      </c>
      <c r="P710" s="404" t="s">
        <v>31</v>
      </c>
      <c r="Q710" s="404" t="s">
        <v>171</v>
      </c>
      <c r="R710" s="404" t="s">
        <v>171</v>
      </c>
      <c r="S710" s="404" t="s">
        <v>1029</v>
      </c>
      <c r="T710" s="404" t="s">
        <v>2886</v>
      </c>
      <c r="U710" s="941">
        <v>4</v>
      </c>
      <c r="V710" s="941">
        <v>46</v>
      </c>
      <c r="W710" s="941">
        <v>0</v>
      </c>
      <c r="X710" s="941">
        <v>0</v>
      </c>
      <c r="Y710" s="941">
        <v>0</v>
      </c>
      <c r="Z710" s="941">
        <v>0</v>
      </c>
      <c r="AA710" s="942">
        <v>4</v>
      </c>
      <c r="AB710" s="942">
        <v>46</v>
      </c>
      <c r="AC710" s="942">
        <v>0</v>
      </c>
      <c r="AD710" s="942">
        <v>0</v>
      </c>
      <c r="AE710" s="942">
        <v>0</v>
      </c>
      <c r="AF710" s="942">
        <v>0</v>
      </c>
      <c r="AG710" s="943">
        <f>comparaison_samebasis_villages[[#This Row],[previous idp_ind]]-comparaison_samebasis_villages[[#This Row],[actual idp_ind]]</f>
        <v>0</v>
      </c>
      <c r="AH710" s="943">
        <f>comparaison_samebasis_villages[[#This Row],[previous ref_ind]]-comparaison_samebasis_villages[[#This Row],[actual ref_ind]]</f>
        <v>0</v>
      </c>
      <c r="AI710" s="943">
        <f>comparaison_samebasis_villages[[#This Row],[previous ret_ind]]-comparaison_samebasis_villages[[#This Row],[actual ret_ind]]</f>
        <v>0</v>
      </c>
    </row>
    <row r="711" spans="1:35" ht="15.75" customHeight="1" x14ac:dyDescent="0.3">
      <c r="A711" s="401"/>
      <c r="B711" s="401"/>
      <c r="C711" s="401"/>
      <c r="D711" s="401"/>
      <c r="E711" s="401"/>
      <c r="F711" s="5"/>
      <c r="G711" s="401"/>
      <c r="H711" s="1093"/>
      <c r="I711" s="402"/>
      <c r="J711" s="403"/>
      <c r="K711" s="403"/>
      <c r="L711" s="1093"/>
      <c r="M711" s="401"/>
      <c r="O711" s="404" t="s">
        <v>31</v>
      </c>
      <c r="P711" s="404" t="s">
        <v>31</v>
      </c>
      <c r="Q711" s="404" t="s">
        <v>171</v>
      </c>
      <c r="R711" s="404" t="s">
        <v>171</v>
      </c>
      <c r="S711" s="404" t="s">
        <v>1960</v>
      </c>
      <c r="T711" s="404" t="s">
        <v>2888</v>
      </c>
      <c r="U711" s="941">
        <v>13</v>
      </c>
      <c r="V711" s="941">
        <v>127</v>
      </c>
      <c r="W711" s="941">
        <v>2</v>
      </c>
      <c r="X711" s="941">
        <v>10</v>
      </c>
      <c r="Y711" s="941">
        <v>0</v>
      </c>
      <c r="Z711" s="941">
        <v>0</v>
      </c>
      <c r="AA711" s="942">
        <v>13</v>
      </c>
      <c r="AB711" s="942">
        <v>127</v>
      </c>
      <c r="AC711" s="942">
        <v>9</v>
      </c>
      <c r="AD711" s="942">
        <v>59</v>
      </c>
      <c r="AE711" s="942">
        <v>0</v>
      </c>
      <c r="AF711" s="942">
        <v>0</v>
      </c>
      <c r="AG711" s="943">
        <f>comparaison_samebasis_villages[[#This Row],[previous idp_ind]]-comparaison_samebasis_villages[[#This Row],[actual idp_ind]]</f>
        <v>0</v>
      </c>
      <c r="AH711" s="943">
        <f>comparaison_samebasis_villages[[#This Row],[previous ref_ind]]-comparaison_samebasis_villages[[#This Row],[actual ref_ind]]</f>
        <v>49</v>
      </c>
      <c r="AI711" s="943">
        <f>comparaison_samebasis_villages[[#This Row],[previous ret_ind]]-comparaison_samebasis_villages[[#This Row],[actual ret_ind]]</f>
        <v>0</v>
      </c>
    </row>
    <row r="712" spans="1:35" ht="15.75" customHeight="1" x14ac:dyDescent="0.3">
      <c r="A712" s="401"/>
      <c r="B712" s="401"/>
      <c r="C712" s="401"/>
      <c r="D712" s="401"/>
      <c r="E712" s="401"/>
      <c r="F712" s="5"/>
      <c r="G712" s="401"/>
      <c r="H712" s="1093"/>
      <c r="I712" s="402"/>
      <c r="J712" s="403"/>
      <c r="K712" s="403"/>
      <c r="L712" s="1093"/>
      <c r="M712" s="401"/>
      <c r="O712" s="404" t="s">
        <v>31</v>
      </c>
      <c r="P712" s="404" t="s">
        <v>31</v>
      </c>
      <c r="Q712" s="404" t="s">
        <v>171</v>
      </c>
      <c r="R712" s="404" t="s">
        <v>171</v>
      </c>
      <c r="S712" s="404" t="s">
        <v>2622</v>
      </c>
      <c r="T712" s="404" t="s">
        <v>2892</v>
      </c>
      <c r="U712" s="941">
        <v>0</v>
      </c>
      <c r="V712" s="941">
        <v>0</v>
      </c>
      <c r="W712" s="941">
        <v>0</v>
      </c>
      <c r="X712" s="941">
        <v>0</v>
      </c>
      <c r="Y712" s="941">
        <v>0</v>
      </c>
      <c r="Z712" s="941">
        <v>0</v>
      </c>
      <c r="AA712" s="942">
        <v>0</v>
      </c>
      <c r="AB712" s="942">
        <v>0</v>
      </c>
      <c r="AC712" s="942">
        <v>0</v>
      </c>
      <c r="AD712" s="942">
        <v>0</v>
      </c>
      <c r="AE712" s="942">
        <v>0</v>
      </c>
      <c r="AF712" s="942">
        <v>0</v>
      </c>
      <c r="AG712" s="943">
        <f>comparaison_samebasis_villages[[#This Row],[previous idp_ind]]-comparaison_samebasis_villages[[#This Row],[actual idp_ind]]</f>
        <v>0</v>
      </c>
      <c r="AH712" s="943">
        <f>comparaison_samebasis_villages[[#This Row],[previous ref_ind]]-comparaison_samebasis_villages[[#This Row],[actual ref_ind]]</f>
        <v>0</v>
      </c>
      <c r="AI712" s="943">
        <f>comparaison_samebasis_villages[[#This Row],[previous ret_ind]]-comparaison_samebasis_villages[[#This Row],[actual ret_ind]]</f>
        <v>0</v>
      </c>
    </row>
    <row r="713" spans="1:35" ht="15.75" customHeight="1" x14ac:dyDescent="0.3">
      <c r="A713" s="401"/>
      <c r="B713" s="401"/>
      <c r="C713" s="401"/>
      <c r="D713" s="401"/>
      <c r="E713" s="401"/>
      <c r="F713" s="5"/>
      <c r="G713" s="401"/>
      <c r="H713" s="1093"/>
      <c r="I713" s="402"/>
      <c r="J713" s="403"/>
      <c r="K713" s="403"/>
      <c r="L713" s="1093"/>
      <c r="M713" s="401"/>
      <c r="O713" s="404" t="s">
        <v>31</v>
      </c>
      <c r="P713" s="404" t="s">
        <v>31</v>
      </c>
      <c r="Q713" s="404" t="s">
        <v>171</v>
      </c>
      <c r="R713" s="404" t="s">
        <v>171</v>
      </c>
      <c r="S713" s="404" t="s">
        <v>1698</v>
      </c>
      <c r="T713" s="404" t="s">
        <v>1823</v>
      </c>
      <c r="U713" s="941">
        <v>21</v>
      </c>
      <c r="V713" s="941">
        <v>77</v>
      </c>
      <c r="W713" s="941">
        <v>0</v>
      </c>
      <c r="X713" s="941">
        <v>0</v>
      </c>
      <c r="Y713" s="941">
        <v>0</v>
      </c>
      <c r="Z713" s="941">
        <v>0</v>
      </c>
      <c r="AA713" s="942">
        <v>16</v>
      </c>
      <c r="AB713" s="942">
        <v>134</v>
      </c>
      <c r="AC713" s="942">
        <v>65</v>
      </c>
      <c r="AD713" s="942">
        <v>314</v>
      </c>
      <c r="AE713" s="942">
        <v>0</v>
      </c>
      <c r="AF713" s="942">
        <v>0</v>
      </c>
      <c r="AG713" s="943">
        <f>comparaison_samebasis_villages[[#This Row],[previous idp_ind]]-comparaison_samebasis_villages[[#This Row],[actual idp_ind]]</f>
        <v>57</v>
      </c>
      <c r="AH713" s="943">
        <f>comparaison_samebasis_villages[[#This Row],[previous ref_ind]]-comparaison_samebasis_villages[[#This Row],[actual ref_ind]]</f>
        <v>314</v>
      </c>
      <c r="AI713" s="943">
        <f>comparaison_samebasis_villages[[#This Row],[previous ret_ind]]-comparaison_samebasis_villages[[#This Row],[actual ret_ind]]</f>
        <v>0</v>
      </c>
    </row>
    <row r="714" spans="1:35" ht="15.75" customHeight="1" x14ac:dyDescent="0.3">
      <c r="A714" s="401"/>
      <c r="B714" s="401"/>
      <c r="C714" s="401"/>
      <c r="D714" s="401"/>
      <c r="E714" s="401"/>
      <c r="F714" s="5"/>
      <c r="G714" s="401"/>
      <c r="H714" s="1093"/>
      <c r="I714" s="402"/>
      <c r="J714" s="403"/>
      <c r="K714" s="403"/>
      <c r="L714" s="1093"/>
      <c r="M714" s="401"/>
      <c r="O714" s="404" t="s">
        <v>31</v>
      </c>
      <c r="P714" s="404" t="s">
        <v>31</v>
      </c>
      <c r="Q714" s="404" t="s">
        <v>171</v>
      </c>
      <c r="R714" s="404" t="s">
        <v>171</v>
      </c>
      <c r="S714" s="404" t="s">
        <v>1100</v>
      </c>
      <c r="T714" s="404" t="s">
        <v>1894</v>
      </c>
      <c r="U714" s="941">
        <v>35</v>
      </c>
      <c r="V714" s="941">
        <v>330</v>
      </c>
      <c r="W714" s="941">
        <v>0</v>
      </c>
      <c r="X714" s="941">
        <v>0</v>
      </c>
      <c r="Y714" s="941">
        <v>0</v>
      </c>
      <c r="Z714" s="941">
        <v>0</v>
      </c>
      <c r="AA714" s="942">
        <v>35</v>
      </c>
      <c r="AB714" s="942">
        <v>330</v>
      </c>
      <c r="AC714" s="942">
        <v>0</v>
      </c>
      <c r="AD714" s="942">
        <v>0</v>
      </c>
      <c r="AE714" s="942">
        <v>0</v>
      </c>
      <c r="AF714" s="942">
        <v>0</v>
      </c>
      <c r="AG714" s="943">
        <f>comparaison_samebasis_villages[[#This Row],[previous idp_ind]]-comparaison_samebasis_villages[[#This Row],[actual idp_ind]]</f>
        <v>0</v>
      </c>
      <c r="AH714" s="943">
        <f>comparaison_samebasis_villages[[#This Row],[previous ref_ind]]-comparaison_samebasis_villages[[#This Row],[actual ref_ind]]</f>
        <v>0</v>
      </c>
      <c r="AI714" s="943">
        <f>comparaison_samebasis_villages[[#This Row],[previous ret_ind]]-comparaison_samebasis_villages[[#This Row],[actual ret_ind]]</f>
        <v>0</v>
      </c>
    </row>
    <row r="715" spans="1:35" ht="15.75" customHeight="1" x14ac:dyDescent="0.3">
      <c r="A715" s="401"/>
      <c r="B715" s="401"/>
      <c r="C715" s="401"/>
      <c r="D715" s="401"/>
      <c r="E715" s="401"/>
      <c r="F715" s="5"/>
      <c r="G715" s="401"/>
      <c r="H715" s="1093"/>
      <c r="I715" s="402"/>
      <c r="J715" s="403"/>
      <c r="K715" s="403"/>
      <c r="L715" s="1093"/>
      <c r="M715" s="401"/>
      <c r="O715" s="404" t="s">
        <v>31</v>
      </c>
      <c r="P715" s="404" t="s">
        <v>31</v>
      </c>
      <c r="Q715" s="404" t="s">
        <v>171</v>
      </c>
      <c r="R715" s="404" t="s">
        <v>171</v>
      </c>
      <c r="S715" s="404" t="s">
        <v>1247</v>
      </c>
      <c r="T715" s="404" t="s">
        <v>2148</v>
      </c>
      <c r="U715" s="941">
        <v>28</v>
      </c>
      <c r="V715" s="941">
        <v>158</v>
      </c>
      <c r="W715" s="941">
        <v>0</v>
      </c>
      <c r="X715" s="941">
        <v>0</v>
      </c>
      <c r="Y715" s="941">
        <v>0</v>
      </c>
      <c r="Z715" s="941">
        <v>0</v>
      </c>
      <c r="AA715" s="942">
        <v>28</v>
      </c>
      <c r="AB715" s="942">
        <v>158</v>
      </c>
      <c r="AC715" s="942">
        <v>0</v>
      </c>
      <c r="AD715" s="942">
        <v>0</v>
      </c>
      <c r="AE715" s="942">
        <v>0</v>
      </c>
      <c r="AF715" s="942">
        <v>0</v>
      </c>
      <c r="AG715" s="943">
        <f>comparaison_samebasis_villages[[#This Row],[previous idp_ind]]-comparaison_samebasis_villages[[#This Row],[actual idp_ind]]</f>
        <v>0</v>
      </c>
      <c r="AH715" s="943">
        <f>comparaison_samebasis_villages[[#This Row],[previous ref_ind]]-comparaison_samebasis_villages[[#This Row],[actual ref_ind]]</f>
        <v>0</v>
      </c>
      <c r="AI715" s="943">
        <f>comparaison_samebasis_villages[[#This Row],[previous ret_ind]]-comparaison_samebasis_villages[[#This Row],[actual ret_ind]]</f>
        <v>0</v>
      </c>
    </row>
    <row r="716" spans="1:35" ht="15.75" customHeight="1" x14ac:dyDescent="0.3">
      <c r="A716" s="401"/>
      <c r="B716" s="401"/>
      <c r="C716" s="401"/>
      <c r="D716" s="401"/>
      <c r="E716" s="401"/>
      <c r="F716" s="5"/>
      <c r="G716" s="401"/>
      <c r="H716" s="1093"/>
      <c r="I716" s="402"/>
      <c r="J716" s="403"/>
      <c r="K716" s="403"/>
      <c r="L716" s="1093"/>
      <c r="M716" s="401"/>
      <c r="O716" s="399" t="s">
        <v>31</v>
      </c>
      <c r="P716" s="399" t="s">
        <v>31</v>
      </c>
      <c r="Q716" s="399" t="s">
        <v>171</v>
      </c>
      <c r="R716" s="399" t="s">
        <v>171</v>
      </c>
      <c r="S716" s="399" t="s">
        <v>1395</v>
      </c>
      <c r="T716" s="399" t="s">
        <v>1151</v>
      </c>
      <c r="U716" s="941">
        <v>30</v>
      </c>
      <c r="V716" s="941">
        <v>107</v>
      </c>
      <c r="W716" s="941">
        <v>0</v>
      </c>
      <c r="X716" s="941">
        <v>0</v>
      </c>
      <c r="Y716" s="941">
        <v>0</v>
      </c>
      <c r="Z716" s="941">
        <v>0</v>
      </c>
      <c r="AA716" s="942">
        <v>15</v>
      </c>
      <c r="AB716" s="942">
        <v>62</v>
      </c>
      <c r="AC716" s="942">
        <v>0</v>
      </c>
      <c r="AD716" s="942">
        <v>0</v>
      </c>
      <c r="AE716" s="942">
        <v>0</v>
      </c>
      <c r="AF716" s="942">
        <v>0</v>
      </c>
      <c r="AG716" s="943">
        <f>comparaison_samebasis_villages[[#This Row],[previous idp_ind]]-comparaison_samebasis_villages[[#This Row],[actual idp_ind]]</f>
        <v>-45</v>
      </c>
      <c r="AH716" s="943">
        <f>comparaison_samebasis_villages[[#This Row],[previous ref_ind]]-comparaison_samebasis_villages[[#This Row],[actual ref_ind]]</f>
        <v>0</v>
      </c>
      <c r="AI716" s="943">
        <f>comparaison_samebasis_villages[[#This Row],[previous ret_ind]]-comparaison_samebasis_villages[[#This Row],[actual ret_ind]]</f>
        <v>0</v>
      </c>
    </row>
    <row r="717" spans="1:35" ht="15.75" customHeight="1" x14ac:dyDescent="0.3">
      <c r="A717" s="401"/>
      <c r="B717" s="401"/>
      <c r="C717" s="401"/>
      <c r="D717" s="401"/>
      <c r="E717" s="401"/>
      <c r="F717" s="5"/>
      <c r="G717" s="401"/>
      <c r="H717" s="1093"/>
      <c r="I717" s="402"/>
      <c r="J717" s="403"/>
      <c r="K717" s="403"/>
      <c r="L717" s="1093"/>
      <c r="M717" s="401"/>
      <c r="O717" s="404" t="s">
        <v>31</v>
      </c>
      <c r="P717" s="404" t="s">
        <v>31</v>
      </c>
      <c r="Q717" s="404" t="s">
        <v>171</v>
      </c>
      <c r="R717" s="404" t="s">
        <v>171</v>
      </c>
      <c r="S717" s="404" t="s">
        <v>1721</v>
      </c>
      <c r="T717" s="404" t="s">
        <v>1153</v>
      </c>
      <c r="U717" s="941">
        <v>3</v>
      </c>
      <c r="V717" s="941">
        <v>47</v>
      </c>
      <c r="W717" s="941">
        <v>0</v>
      </c>
      <c r="X717" s="941">
        <v>0</v>
      </c>
      <c r="Y717" s="941">
        <v>0</v>
      </c>
      <c r="Z717" s="941">
        <v>0</v>
      </c>
      <c r="AA717" s="942">
        <v>4</v>
      </c>
      <c r="AB717" s="942">
        <v>56</v>
      </c>
      <c r="AC717" s="942">
        <v>6</v>
      </c>
      <c r="AD717" s="942">
        <v>61</v>
      </c>
      <c r="AE717" s="942">
        <v>0</v>
      </c>
      <c r="AF717" s="942">
        <v>0</v>
      </c>
      <c r="AG717" s="943">
        <f>comparaison_samebasis_villages[[#This Row],[previous idp_ind]]-comparaison_samebasis_villages[[#This Row],[actual idp_ind]]</f>
        <v>9</v>
      </c>
      <c r="AH717" s="943">
        <f>comparaison_samebasis_villages[[#This Row],[previous ref_ind]]-comparaison_samebasis_villages[[#This Row],[actual ref_ind]]</f>
        <v>61</v>
      </c>
      <c r="AI717" s="943">
        <f>comparaison_samebasis_villages[[#This Row],[previous ret_ind]]-comparaison_samebasis_villages[[#This Row],[actual ret_ind]]</f>
        <v>0</v>
      </c>
    </row>
    <row r="718" spans="1:35" ht="15.75" customHeight="1" x14ac:dyDescent="0.3">
      <c r="A718" s="401"/>
      <c r="B718" s="401"/>
      <c r="C718" s="401"/>
      <c r="D718" s="401"/>
      <c r="E718" s="401"/>
      <c r="F718" s="5"/>
      <c r="G718" s="401"/>
      <c r="H718" s="1093"/>
      <c r="I718" s="402"/>
      <c r="J718" s="403"/>
      <c r="K718" s="403"/>
      <c r="L718" s="1093"/>
      <c r="M718" s="401"/>
      <c r="O718" s="404" t="s">
        <v>31</v>
      </c>
      <c r="P718" s="404" t="s">
        <v>31</v>
      </c>
      <c r="Q718" s="404" t="s">
        <v>171</v>
      </c>
      <c r="R718" s="404" t="s">
        <v>171</v>
      </c>
      <c r="S718" s="404" t="s">
        <v>636</v>
      </c>
      <c r="T718" s="404" t="s">
        <v>2974</v>
      </c>
      <c r="U718" s="941">
        <v>14</v>
      </c>
      <c r="V718" s="941">
        <v>128</v>
      </c>
      <c r="W718" s="941">
        <v>0</v>
      </c>
      <c r="X718" s="941">
        <v>0</v>
      </c>
      <c r="Y718" s="941">
        <v>0</v>
      </c>
      <c r="Z718" s="941">
        <v>0</v>
      </c>
      <c r="AA718" s="942">
        <v>14</v>
      </c>
      <c r="AB718" s="942">
        <v>128</v>
      </c>
      <c r="AC718" s="942">
        <v>0</v>
      </c>
      <c r="AD718" s="942">
        <v>0</v>
      </c>
      <c r="AE718" s="942">
        <v>0</v>
      </c>
      <c r="AF718" s="942">
        <v>0</v>
      </c>
      <c r="AG718" s="943">
        <f>comparaison_samebasis_villages[[#This Row],[previous idp_ind]]-comparaison_samebasis_villages[[#This Row],[actual idp_ind]]</f>
        <v>0</v>
      </c>
      <c r="AH718" s="943">
        <f>comparaison_samebasis_villages[[#This Row],[previous ref_ind]]-comparaison_samebasis_villages[[#This Row],[actual ref_ind]]</f>
        <v>0</v>
      </c>
      <c r="AI718" s="943">
        <f>comparaison_samebasis_villages[[#This Row],[previous ret_ind]]-comparaison_samebasis_villages[[#This Row],[actual ret_ind]]</f>
        <v>0</v>
      </c>
    </row>
    <row r="719" spans="1:35" ht="15.75" customHeight="1" x14ac:dyDescent="0.3">
      <c r="A719" s="401"/>
      <c r="B719" s="401"/>
      <c r="C719" s="401"/>
      <c r="D719" s="401"/>
      <c r="E719" s="401"/>
      <c r="F719" s="5"/>
      <c r="G719" s="401"/>
      <c r="H719" s="1093"/>
      <c r="I719" s="402"/>
      <c r="J719" s="403"/>
      <c r="K719" s="403"/>
      <c r="L719" s="1093"/>
      <c r="M719" s="401"/>
      <c r="O719" s="404" t="s">
        <v>31</v>
      </c>
      <c r="P719" s="404" t="s">
        <v>31</v>
      </c>
      <c r="Q719" s="404" t="s">
        <v>171</v>
      </c>
      <c r="R719" s="404" t="s">
        <v>171</v>
      </c>
      <c r="S719" s="404" t="s">
        <v>1221</v>
      </c>
      <c r="T719" s="404" t="s">
        <v>2212</v>
      </c>
      <c r="U719" s="941">
        <v>29</v>
      </c>
      <c r="V719" s="941">
        <v>199</v>
      </c>
      <c r="W719" s="941">
        <v>0</v>
      </c>
      <c r="X719" s="941">
        <v>0</v>
      </c>
      <c r="Y719" s="941">
        <v>0</v>
      </c>
      <c r="Z719" s="941">
        <v>0</v>
      </c>
      <c r="AA719" s="942">
        <v>29</v>
      </c>
      <c r="AB719" s="942">
        <v>199</v>
      </c>
      <c r="AC719" s="942">
        <v>0</v>
      </c>
      <c r="AD719" s="942">
        <v>0</v>
      </c>
      <c r="AE719" s="942">
        <v>0</v>
      </c>
      <c r="AF719" s="942">
        <v>0</v>
      </c>
      <c r="AG719" s="943">
        <f>comparaison_samebasis_villages[[#This Row],[previous idp_ind]]-comparaison_samebasis_villages[[#This Row],[actual idp_ind]]</f>
        <v>0</v>
      </c>
      <c r="AH719" s="943">
        <f>comparaison_samebasis_villages[[#This Row],[previous ref_ind]]-comparaison_samebasis_villages[[#This Row],[actual ref_ind]]</f>
        <v>0</v>
      </c>
      <c r="AI719" s="943">
        <f>comparaison_samebasis_villages[[#This Row],[previous ret_ind]]-comparaison_samebasis_villages[[#This Row],[actual ret_ind]]</f>
        <v>0</v>
      </c>
    </row>
    <row r="720" spans="1:35" ht="15.75" customHeight="1" x14ac:dyDescent="0.3">
      <c r="A720" s="401"/>
      <c r="B720" s="401"/>
      <c r="C720" s="401"/>
      <c r="D720" s="401"/>
      <c r="E720" s="401"/>
      <c r="F720" s="5"/>
      <c r="G720" s="401"/>
      <c r="H720" s="1093"/>
      <c r="I720" s="402"/>
      <c r="J720" s="403"/>
      <c r="K720" s="403"/>
      <c r="L720" s="1093"/>
      <c r="M720" s="401"/>
      <c r="O720" s="399" t="s">
        <v>31</v>
      </c>
      <c r="P720" s="399" t="s">
        <v>31</v>
      </c>
      <c r="Q720" s="399" t="s">
        <v>171</v>
      </c>
      <c r="R720" s="399" t="s">
        <v>171</v>
      </c>
      <c r="S720" s="399" t="s">
        <v>2070</v>
      </c>
      <c r="T720" s="399" t="s">
        <v>1149</v>
      </c>
      <c r="U720" s="941">
        <v>8</v>
      </c>
      <c r="V720" s="941">
        <v>40</v>
      </c>
      <c r="W720" s="941">
        <v>0</v>
      </c>
      <c r="X720" s="941">
        <v>0</v>
      </c>
      <c r="Y720" s="941">
        <v>0</v>
      </c>
      <c r="Z720" s="941">
        <v>0</v>
      </c>
      <c r="AA720" s="942">
        <v>8</v>
      </c>
      <c r="AB720" s="942">
        <v>40</v>
      </c>
      <c r="AC720" s="942">
        <v>0</v>
      </c>
      <c r="AD720" s="942">
        <v>0</v>
      </c>
      <c r="AE720" s="942">
        <v>0</v>
      </c>
      <c r="AF720" s="942">
        <v>0</v>
      </c>
      <c r="AG720" s="943">
        <f>comparaison_samebasis_villages[[#This Row],[previous idp_ind]]-comparaison_samebasis_villages[[#This Row],[actual idp_ind]]</f>
        <v>0</v>
      </c>
      <c r="AH720" s="943">
        <f>comparaison_samebasis_villages[[#This Row],[previous ref_ind]]-comparaison_samebasis_villages[[#This Row],[actual ref_ind]]</f>
        <v>0</v>
      </c>
      <c r="AI720" s="943">
        <f>comparaison_samebasis_villages[[#This Row],[previous ret_ind]]-comparaison_samebasis_villages[[#This Row],[actual ret_ind]]</f>
        <v>0</v>
      </c>
    </row>
    <row r="721" spans="1:35" ht="15.75" customHeight="1" x14ac:dyDescent="0.3">
      <c r="A721" s="401"/>
      <c r="B721" s="401"/>
      <c r="C721" s="401"/>
      <c r="D721" s="401"/>
      <c r="E721" s="401"/>
      <c r="F721" s="5"/>
      <c r="G721" s="401"/>
      <c r="H721" s="1093"/>
      <c r="I721" s="402"/>
      <c r="J721" s="403"/>
      <c r="K721" s="403"/>
      <c r="L721" s="1093"/>
      <c r="M721" s="401"/>
      <c r="O721" s="404" t="s">
        <v>31</v>
      </c>
      <c r="P721" s="404" t="s">
        <v>31</v>
      </c>
      <c r="Q721" s="404" t="s">
        <v>171</v>
      </c>
      <c r="R721" s="404" t="s">
        <v>171</v>
      </c>
      <c r="S721" s="404" t="s">
        <v>872</v>
      </c>
      <c r="T721" s="404" t="s">
        <v>1961</v>
      </c>
      <c r="U721" s="941">
        <v>29</v>
      </c>
      <c r="V721" s="941">
        <v>287</v>
      </c>
      <c r="W721" s="941">
        <v>0</v>
      </c>
      <c r="X721" s="941">
        <v>0</v>
      </c>
      <c r="Y721" s="941">
        <v>0</v>
      </c>
      <c r="Z721" s="941">
        <v>0</v>
      </c>
      <c r="AA721" s="942">
        <v>29</v>
      </c>
      <c r="AB721" s="942">
        <v>287</v>
      </c>
      <c r="AC721" s="942">
        <v>42</v>
      </c>
      <c r="AD721" s="942">
        <v>338</v>
      </c>
      <c r="AE721" s="942">
        <v>0</v>
      </c>
      <c r="AF721" s="942">
        <v>0</v>
      </c>
      <c r="AG721" s="943">
        <f>comparaison_samebasis_villages[[#This Row],[previous idp_ind]]-comparaison_samebasis_villages[[#This Row],[actual idp_ind]]</f>
        <v>0</v>
      </c>
      <c r="AH721" s="943">
        <f>comparaison_samebasis_villages[[#This Row],[previous ref_ind]]-comparaison_samebasis_villages[[#This Row],[actual ref_ind]]</f>
        <v>338</v>
      </c>
      <c r="AI721" s="943">
        <f>comparaison_samebasis_villages[[#This Row],[previous ret_ind]]-comparaison_samebasis_villages[[#This Row],[actual ret_ind]]</f>
        <v>0</v>
      </c>
    </row>
    <row r="722" spans="1:35" ht="15.75" customHeight="1" x14ac:dyDescent="0.3">
      <c r="A722" s="401"/>
      <c r="B722" s="401"/>
      <c r="C722" s="401"/>
      <c r="D722" s="401"/>
      <c r="E722" s="401"/>
      <c r="F722" s="5"/>
      <c r="G722" s="401"/>
      <c r="H722" s="1093"/>
      <c r="I722" s="402"/>
      <c r="J722" s="403"/>
      <c r="K722" s="403"/>
      <c r="L722" s="1093"/>
      <c r="M722" s="401"/>
      <c r="O722" s="404" t="s">
        <v>31</v>
      </c>
      <c r="P722" s="404" t="s">
        <v>31</v>
      </c>
      <c r="Q722" s="404" t="s">
        <v>171</v>
      </c>
      <c r="R722" s="404" t="s">
        <v>171</v>
      </c>
      <c r="S722" s="404" t="s">
        <v>1223</v>
      </c>
      <c r="T722" s="404" t="s">
        <v>869</v>
      </c>
      <c r="U722" s="941">
        <v>15</v>
      </c>
      <c r="V722" s="941">
        <v>80</v>
      </c>
      <c r="W722" s="941">
        <v>0</v>
      </c>
      <c r="X722" s="941">
        <v>0</v>
      </c>
      <c r="Y722" s="941">
        <v>0</v>
      </c>
      <c r="Z722" s="941">
        <v>0</v>
      </c>
      <c r="AA722" s="942">
        <v>0</v>
      </c>
      <c r="AB722" s="942">
        <v>0</v>
      </c>
      <c r="AC722" s="942">
        <v>0</v>
      </c>
      <c r="AD722" s="942">
        <v>0</v>
      </c>
      <c r="AE722" s="942">
        <v>0</v>
      </c>
      <c r="AF722" s="942">
        <v>0</v>
      </c>
      <c r="AG722" s="943">
        <f>comparaison_samebasis_villages[[#This Row],[previous idp_ind]]-comparaison_samebasis_villages[[#This Row],[actual idp_ind]]</f>
        <v>-80</v>
      </c>
      <c r="AH722" s="943">
        <f>comparaison_samebasis_villages[[#This Row],[previous ref_ind]]-comparaison_samebasis_villages[[#This Row],[actual ref_ind]]</f>
        <v>0</v>
      </c>
      <c r="AI722" s="943">
        <f>comparaison_samebasis_villages[[#This Row],[previous ret_ind]]-comparaison_samebasis_villages[[#This Row],[actual ret_ind]]</f>
        <v>0</v>
      </c>
    </row>
    <row r="723" spans="1:35" ht="15.75" customHeight="1" x14ac:dyDescent="0.3">
      <c r="A723" s="401"/>
      <c r="B723" s="401"/>
      <c r="C723" s="401"/>
      <c r="D723" s="401"/>
      <c r="E723" s="401"/>
      <c r="F723" s="5"/>
      <c r="G723" s="401"/>
      <c r="H723" s="1093"/>
      <c r="I723" s="402"/>
      <c r="J723" s="403"/>
      <c r="K723" s="403"/>
      <c r="L723" s="1093"/>
      <c r="M723" s="401"/>
      <c r="O723" s="404" t="s">
        <v>31</v>
      </c>
      <c r="P723" s="404" t="s">
        <v>31</v>
      </c>
      <c r="Q723" s="404" t="s">
        <v>171</v>
      </c>
      <c r="R723" s="404" t="s">
        <v>171</v>
      </c>
      <c r="S723" s="404" t="s">
        <v>813</v>
      </c>
      <c r="T723" s="404" t="s">
        <v>1986</v>
      </c>
      <c r="U723" s="941">
        <v>36</v>
      </c>
      <c r="V723" s="941">
        <v>178</v>
      </c>
      <c r="W723" s="941">
        <v>10</v>
      </c>
      <c r="X723" s="941">
        <v>109</v>
      </c>
      <c r="Y723" s="941">
        <v>0</v>
      </c>
      <c r="Z723" s="941">
        <v>0</v>
      </c>
      <c r="AA723" s="942">
        <v>26</v>
      </c>
      <c r="AB723" s="942">
        <v>154</v>
      </c>
      <c r="AC723" s="942">
        <v>10</v>
      </c>
      <c r="AD723" s="942">
        <v>109</v>
      </c>
      <c r="AE723" s="942">
        <v>0</v>
      </c>
      <c r="AF723" s="942">
        <v>0</v>
      </c>
      <c r="AG723" s="943">
        <f>comparaison_samebasis_villages[[#This Row],[previous idp_ind]]-comparaison_samebasis_villages[[#This Row],[actual idp_ind]]</f>
        <v>-24</v>
      </c>
      <c r="AH723" s="943">
        <f>comparaison_samebasis_villages[[#This Row],[previous ref_ind]]-comparaison_samebasis_villages[[#This Row],[actual ref_ind]]</f>
        <v>0</v>
      </c>
      <c r="AI723" s="943">
        <f>comparaison_samebasis_villages[[#This Row],[previous ret_ind]]-comparaison_samebasis_villages[[#This Row],[actual ret_ind]]</f>
        <v>0</v>
      </c>
    </row>
    <row r="724" spans="1:35" ht="15.75" customHeight="1" x14ac:dyDescent="0.3">
      <c r="A724" s="401"/>
      <c r="B724" s="401"/>
      <c r="C724" s="401"/>
      <c r="D724" s="401"/>
      <c r="E724" s="401"/>
      <c r="F724" s="5"/>
      <c r="G724" s="401"/>
      <c r="H724" s="1093"/>
      <c r="I724" s="402"/>
      <c r="J724" s="403"/>
      <c r="K724" s="403"/>
      <c r="L724" s="1093"/>
      <c r="M724" s="401"/>
      <c r="O724" s="399" t="s">
        <v>31</v>
      </c>
      <c r="P724" s="399" t="s">
        <v>31</v>
      </c>
      <c r="Q724" s="399" t="s">
        <v>171</v>
      </c>
      <c r="R724" s="399" t="s">
        <v>171</v>
      </c>
      <c r="S724" s="399" t="s">
        <v>1998</v>
      </c>
      <c r="T724" s="399" t="s">
        <v>1077</v>
      </c>
      <c r="U724" s="941">
        <v>4</v>
      </c>
      <c r="V724" s="941">
        <v>30</v>
      </c>
      <c r="W724" s="941">
        <v>2</v>
      </c>
      <c r="X724" s="941">
        <v>22</v>
      </c>
      <c r="Y724" s="941">
        <v>0</v>
      </c>
      <c r="Z724" s="941">
        <v>0</v>
      </c>
      <c r="AA724" s="942">
        <v>4</v>
      </c>
      <c r="AB724" s="942">
        <v>30</v>
      </c>
      <c r="AC724" s="942">
        <v>2</v>
      </c>
      <c r="AD724" s="942">
        <v>20</v>
      </c>
      <c r="AE724" s="942">
        <v>0</v>
      </c>
      <c r="AF724" s="942">
        <v>0</v>
      </c>
      <c r="AG724" s="943">
        <f>comparaison_samebasis_villages[[#This Row],[previous idp_ind]]-comparaison_samebasis_villages[[#This Row],[actual idp_ind]]</f>
        <v>0</v>
      </c>
      <c r="AH724" s="943">
        <f>comparaison_samebasis_villages[[#This Row],[previous ref_ind]]-comparaison_samebasis_villages[[#This Row],[actual ref_ind]]</f>
        <v>-2</v>
      </c>
      <c r="AI724" s="943">
        <f>comparaison_samebasis_villages[[#This Row],[previous ret_ind]]-comparaison_samebasis_villages[[#This Row],[actual ret_ind]]</f>
        <v>0</v>
      </c>
    </row>
    <row r="725" spans="1:35" ht="15.75" customHeight="1" x14ac:dyDescent="0.3">
      <c r="A725" s="401"/>
      <c r="B725" s="401"/>
      <c r="C725" s="401"/>
      <c r="D725" s="401"/>
      <c r="E725" s="401"/>
      <c r="F725" s="5"/>
      <c r="G725" s="401"/>
      <c r="H725" s="1093"/>
      <c r="I725" s="402"/>
      <c r="J725" s="403"/>
      <c r="K725" s="403"/>
      <c r="L725" s="1093"/>
      <c r="M725" s="401"/>
      <c r="O725" s="404" t="s">
        <v>31</v>
      </c>
      <c r="P725" s="404" t="s">
        <v>31</v>
      </c>
      <c r="Q725" s="404" t="s">
        <v>171</v>
      </c>
      <c r="R725" s="404" t="s">
        <v>171</v>
      </c>
      <c r="S725" s="404" t="s">
        <v>2201</v>
      </c>
      <c r="T725" s="404" t="s">
        <v>2826</v>
      </c>
      <c r="U725" s="941">
        <v>0</v>
      </c>
      <c r="V725" s="941">
        <v>0</v>
      </c>
      <c r="W725" s="941">
        <v>47</v>
      </c>
      <c r="X725" s="941">
        <v>422</v>
      </c>
      <c r="Y725" s="941">
        <v>0</v>
      </c>
      <c r="Z725" s="941">
        <v>0</v>
      </c>
      <c r="AA725" s="942">
        <v>0</v>
      </c>
      <c r="AB725" s="942">
        <v>0</v>
      </c>
      <c r="AC725" s="942">
        <v>47</v>
      </c>
      <c r="AD725" s="942">
        <v>422</v>
      </c>
      <c r="AE725" s="942">
        <v>0</v>
      </c>
      <c r="AF725" s="942">
        <v>0</v>
      </c>
      <c r="AG725" s="943">
        <f>comparaison_samebasis_villages[[#This Row],[previous idp_ind]]-comparaison_samebasis_villages[[#This Row],[actual idp_ind]]</f>
        <v>0</v>
      </c>
      <c r="AH725" s="943">
        <f>comparaison_samebasis_villages[[#This Row],[previous ref_ind]]-comparaison_samebasis_villages[[#This Row],[actual ref_ind]]</f>
        <v>0</v>
      </c>
      <c r="AI725" s="943">
        <f>comparaison_samebasis_villages[[#This Row],[previous ret_ind]]-comparaison_samebasis_villages[[#This Row],[actual ret_ind]]</f>
        <v>0</v>
      </c>
    </row>
    <row r="726" spans="1:35" ht="15.75" customHeight="1" x14ac:dyDescent="0.3">
      <c r="A726" s="401"/>
      <c r="B726" s="401"/>
      <c r="C726" s="401"/>
      <c r="D726" s="401"/>
      <c r="E726" s="401"/>
      <c r="F726" s="5"/>
      <c r="G726" s="401"/>
      <c r="H726" s="1093"/>
      <c r="I726" s="402"/>
      <c r="J726" s="403"/>
      <c r="K726" s="403"/>
      <c r="L726" s="1093"/>
      <c r="M726" s="401"/>
      <c r="O726" s="404" t="s">
        <v>31</v>
      </c>
      <c r="P726" s="404" t="s">
        <v>31</v>
      </c>
      <c r="Q726" s="404" t="s">
        <v>171</v>
      </c>
      <c r="R726" s="404" t="s">
        <v>171</v>
      </c>
      <c r="S726" s="404" t="s">
        <v>1023</v>
      </c>
      <c r="T726" s="404" t="s">
        <v>790</v>
      </c>
      <c r="U726" s="941">
        <v>10</v>
      </c>
      <c r="V726" s="941">
        <v>62</v>
      </c>
      <c r="W726" s="941">
        <v>0</v>
      </c>
      <c r="X726" s="941">
        <v>0</v>
      </c>
      <c r="Y726" s="941">
        <v>0</v>
      </c>
      <c r="Z726" s="941">
        <v>0</v>
      </c>
      <c r="AA726" s="942">
        <v>36</v>
      </c>
      <c r="AB726" s="942">
        <v>341</v>
      </c>
      <c r="AC726" s="942">
        <v>3</v>
      </c>
      <c r="AD726" s="942">
        <v>27</v>
      </c>
      <c r="AE726" s="942">
        <v>0</v>
      </c>
      <c r="AF726" s="942">
        <v>0</v>
      </c>
      <c r="AG726" s="943">
        <f>comparaison_samebasis_villages[[#This Row],[previous idp_ind]]-comparaison_samebasis_villages[[#This Row],[actual idp_ind]]</f>
        <v>279</v>
      </c>
      <c r="AH726" s="943">
        <f>comparaison_samebasis_villages[[#This Row],[previous ref_ind]]-comparaison_samebasis_villages[[#This Row],[actual ref_ind]]</f>
        <v>27</v>
      </c>
      <c r="AI726" s="943">
        <f>comparaison_samebasis_villages[[#This Row],[previous ret_ind]]-comparaison_samebasis_villages[[#This Row],[actual ret_ind]]</f>
        <v>0</v>
      </c>
    </row>
    <row r="727" spans="1:35" ht="15.75" customHeight="1" x14ac:dyDescent="0.3">
      <c r="A727" s="401"/>
      <c r="B727" s="401"/>
      <c r="C727" s="401"/>
      <c r="D727" s="401"/>
      <c r="E727" s="401"/>
      <c r="F727" s="5"/>
      <c r="G727" s="401"/>
      <c r="H727" s="1093"/>
      <c r="I727" s="402"/>
      <c r="J727" s="403"/>
      <c r="K727" s="403"/>
      <c r="L727" s="1093"/>
      <c r="M727" s="401"/>
      <c r="O727" s="404" t="s">
        <v>31</v>
      </c>
      <c r="P727" s="404" t="s">
        <v>31</v>
      </c>
      <c r="Q727" s="404" t="s">
        <v>171</v>
      </c>
      <c r="R727" s="404" t="s">
        <v>171</v>
      </c>
      <c r="S727" s="404" t="s">
        <v>1025</v>
      </c>
      <c r="T727" s="404" t="s">
        <v>796</v>
      </c>
      <c r="U727" s="941">
        <v>4</v>
      </c>
      <c r="V727" s="941">
        <v>79</v>
      </c>
      <c r="W727" s="941">
        <v>0</v>
      </c>
      <c r="X727" s="941">
        <v>0</v>
      </c>
      <c r="Y727" s="941">
        <v>0</v>
      </c>
      <c r="Z727" s="941">
        <v>0</v>
      </c>
      <c r="AA727" s="942">
        <v>8</v>
      </c>
      <c r="AB727" s="942">
        <v>91</v>
      </c>
      <c r="AC727" s="942">
        <v>23</v>
      </c>
      <c r="AD727" s="942">
        <v>202</v>
      </c>
      <c r="AE727" s="942">
        <v>7</v>
      </c>
      <c r="AF727" s="942">
        <v>81</v>
      </c>
      <c r="AG727" s="943">
        <f>comparaison_samebasis_villages[[#This Row],[previous idp_ind]]-comparaison_samebasis_villages[[#This Row],[actual idp_ind]]</f>
        <v>12</v>
      </c>
      <c r="AH727" s="943">
        <f>comparaison_samebasis_villages[[#This Row],[previous ref_ind]]-comparaison_samebasis_villages[[#This Row],[actual ref_ind]]</f>
        <v>202</v>
      </c>
      <c r="AI727" s="943">
        <f>comparaison_samebasis_villages[[#This Row],[previous ret_ind]]-comparaison_samebasis_villages[[#This Row],[actual ret_ind]]</f>
        <v>81</v>
      </c>
    </row>
    <row r="728" spans="1:35" ht="15.75" customHeight="1" x14ac:dyDescent="0.3">
      <c r="A728" s="401"/>
      <c r="B728" s="401"/>
      <c r="C728" s="401"/>
      <c r="D728" s="401"/>
      <c r="E728" s="401"/>
      <c r="F728" s="5"/>
      <c r="G728" s="401"/>
      <c r="H728" s="1093"/>
      <c r="I728" s="402"/>
      <c r="J728" s="403"/>
      <c r="K728" s="403"/>
      <c r="L728" s="1093"/>
      <c r="M728" s="401"/>
      <c r="O728" s="404" t="s">
        <v>31</v>
      </c>
      <c r="P728" s="404" t="s">
        <v>31</v>
      </c>
      <c r="Q728" s="404" t="s">
        <v>171</v>
      </c>
      <c r="R728" s="404" t="s">
        <v>171</v>
      </c>
      <c r="S728" s="404" t="s">
        <v>2624</v>
      </c>
      <c r="T728" s="404" t="s">
        <v>1877</v>
      </c>
      <c r="U728" s="941">
        <v>0</v>
      </c>
      <c r="V728" s="941">
        <v>0</v>
      </c>
      <c r="W728" s="941">
        <v>0</v>
      </c>
      <c r="X728" s="941">
        <v>0</v>
      </c>
      <c r="Y728" s="941">
        <v>0</v>
      </c>
      <c r="Z728" s="941">
        <v>0</v>
      </c>
      <c r="AA728" s="942">
        <v>0</v>
      </c>
      <c r="AB728" s="942">
        <v>0</v>
      </c>
      <c r="AC728" s="942">
        <v>0</v>
      </c>
      <c r="AD728" s="942">
        <v>0</v>
      </c>
      <c r="AE728" s="942">
        <v>0</v>
      </c>
      <c r="AF728" s="942">
        <v>0</v>
      </c>
      <c r="AG728" s="943">
        <f>comparaison_samebasis_villages[[#This Row],[previous idp_ind]]-comparaison_samebasis_villages[[#This Row],[actual idp_ind]]</f>
        <v>0</v>
      </c>
      <c r="AH728" s="943">
        <f>comparaison_samebasis_villages[[#This Row],[previous ref_ind]]-comparaison_samebasis_villages[[#This Row],[actual ref_ind]]</f>
        <v>0</v>
      </c>
      <c r="AI728" s="943">
        <f>comparaison_samebasis_villages[[#This Row],[previous ret_ind]]-comparaison_samebasis_villages[[#This Row],[actual ret_ind]]</f>
        <v>0</v>
      </c>
    </row>
    <row r="729" spans="1:35" ht="15.75" customHeight="1" x14ac:dyDescent="0.3">
      <c r="A729" s="401"/>
      <c r="B729" s="401"/>
      <c r="C729" s="401"/>
      <c r="D729" s="401"/>
      <c r="E729" s="401"/>
      <c r="F729" s="5"/>
      <c r="G729" s="401"/>
      <c r="H729" s="1093"/>
      <c r="I729" s="402"/>
      <c r="J729" s="403"/>
      <c r="K729" s="403"/>
      <c r="L729" s="1093"/>
      <c r="M729" s="401"/>
      <c r="O729" s="404" t="s">
        <v>31</v>
      </c>
      <c r="P729" s="404" t="s">
        <v>31</v>
      </c>
      <c r="Q729" s="404" t="s">
        <v>171</v>
      </c>
      <c r="R729" s="404" t="s">
        <v>171</v>
      </c>
      <c r="S729" s="404" t="s">
        <v>850</v>
      </c>
      <c r="T729" s="404" t="s">
        <v>1212</v>
      </c>
      <c r="U729" s="941">
        <v>11</v>
      </c>
      <c r="V729" s="941">
        <v>67</v>
      </c>
      <c r="W729" s="941">
        <v>0</v>
      </c>
      <c r="X729" s="941">
        <v>0</v>
      </c>
      <c r="Y729" s="941">
        <v>0</v>
      </c>
      <c r="Z729" s="941">
        <v>0</v>
      </c>
      <c r="AA729" s="942">
        <v>7</v>
      </c>
      <c r="AB729" s="942">
        <v>40</v>
      </c>
      <c r="AC729" s="942">
        <v>0</v>
      </c>
      <c r="AD729" s="942">
        <v>0</v>
      </c>
      <c r="AE729" s="942">
        <v>0</v>
      </c>
      <c r="AF729" s="942">
        <v>0</v>
      </c>
      <c r="AG729" s="943">
        <f>comparaison_samebasis_villages[[#This Row],[previous idp_ind]]-comparaison_samebasis_villages[[#This Row],[actual idp_ind]]</f>
        <v>-27</v>
      </c>
      <c r="AH729" s="943">
        <f>comparaison_samebasis_villages[[#This Row],[previous ref_ind]]-comparaison_samebasis_villages[[#This Row],[actual ref_ind]]</f>
        <v>0</v>
      </c>
      <c r="AI729" s="943">
        <f>comparaison_samebasis_villages[[#This Row],[previous ret_ind]]-comparaison_samebasis_villages[[#This Row],[actual ret_ind]]</f>
        <v>0</v>
      </c>
    </row>
    <row r="730" spans="1:35" ht="15.75" customHeight="1" x14ac:dyDescent="0.3">
      <c r="A730" s="401"/>
      <c r="B730" s="401"/>
      <c r="C730" s="401"/>
      <c r="D730" s="401"/>
      <c r="E730" s="401"/>
      <c r="F730" s="5"/>
      <c r="G730" s="401"/>
      <c r="H730" s="1093"/>
      <c r="I730" s="402"/>
      <c r="J730" s="403"/>
      <c r="K730" s="403"/>
      <c r="L730" s="1093"/>
      <c r="M730" s="401"/>
      <c r="O730" s="404" t="s">
        <v>31</v>
      </c>
      <c r="P730" s="404" t="s">
        <v>31</v>
      </c>
      <c r="Q730" s="404" t="s">
        <v>171</v>
      </c>
      <c r="R730" s="404" t="s">
        <v>171</v>
      </c>
      <c r="S730" s="404" t="s">
        <v>1290</v>
      </c>
      <c r="T730" s="404" t="s">
        <v>918</v>
      </c>
      <c r="U730" s="941">
        <v>16</v>
      </c>
      <c r="V730" s="941">
        <v>109</v>
      </c>
      <c r="W730" s="941">
        <v>0</v>
      </c>
      <c r="X730" s="941">
        <v>0</v>
      </c>
      <c r="Y730" s="941">
        <v>0</v>
      </c>
      <c r="Z730" s="941">
        <v>0</v>
      </c>
      <c r="AA730" s="942">
        <v>16</v>
      </c>
      <c r="AB730" s="942">
        <v>109</v>
      </c>
      <c r="AC730" s="942">
        <v>0</v>
      </c>
      <c r="AD730" s="942">
        <v>0</v>
      </c>
      <c r="AE730" s="942">
        <v>0</v>
      </c>
      <c r="AF730" s="942">
        <v>0</v>
      </c>
      <c r="AG730" s="943">
        <f>comparaison_samebasis_villages[[#This Row],[previous idp_ind]]-comparaison_samebasis_villages[[#This Row],[actual idp_ind]]</f>
        <v>0</v>
      </c>
      <c r="AH730" s="943">
        <f>comparaison_samebasis_villages[[#This Row],[previous ref_ind]]-comparaison_samebasis_villages[[#This Row],[actual ref_ind]]</f>
        <v>0</v>
      </c>
      <c r="AI730" s="943">
        <f>comparaison_samebasis_villages[[#This Row],[previous ret_ind]]-comparaison_samebasis_villages[[#This Row],[actual ret_ind]]</f>
        <v>0</v>
      </c>
    </row>
    <row r="731" spans="1:35" ht="15.75" customHeight="1" x14ac:dyDescent="0.3">
      <c r="A731" s="401"/>
      <c r="B731" s="401"/>
      <c r="C731" s="401"/>
      <c r="D731" s="401"/>
      <c r="E731" s="401"/>
      <c r="F731" s="5"/>
      <c r="G731" s="401"/>
      <c r="H731" s="1093"/>
      <c r="I731" s="402"/>
      <c r="J731" s="403"/>
      <c r="K731" s="403"/>
      <c r="L731" s="1093"/>
      <c r="M731" s="401"/>
      <c r="O731" s="404" t="s">
        <v>31</v>
      </c>
      <c r="P731" s="404" t="s">
        <v>31</v>
      </c>
      <c r="Q731" s="404" t="s">
        <v>171</v>
      </c>
      <c r="R731" s="404" t="s">
        <v>171</v>
      </c>
      <c r="S731" s="404" t="s">
        <v>1789</v>
      </c>
      <c r="T731" s="404" t="s">
        <v>2202</v>
      </c>
      <c r="U731" s="941">
        <v>4</v>
      </c>
      <c r="V731" s="941">
        <v>22</v>
      </c>
      <c r="W731" s="941">
        <v>0</v>
      </c>
      <c r="X731" s="941">
        <v>0</v>
      </c>
      <c r="Y731" s="941">
        <v>0</v>
      </c>
      <c r="Z731" s="941">
        <v>0</v>
      </c>
      <c r="AA731" s="942">
        <v>4</v>
      </c>
      <c r="AB731" s="942">
        <v>22</v>
      </c>
      <c r="AC731" s="942">
        <v>0</v>
      </c>
      <c r="AD731" s="942">
        <v>0</v>
      </c>
      <c r="AE731" s="942">
        <v>0</v>
      </c>
      <c r="AF731" s="942">
        <v>0</v>
      </c>
      <c r="AG731" s="943">
        <f>comparaison_samebasis_villages[[#This Row],[previous idp_ind]]-comparaison_samebasis_villages[[#This Row],[actual idp_ind]]</f>
        <v>0</v>
      </c>
      <c r="AH731" s="943">
        <f>comparaison_samebasis_villages[[#This Row],[previous ref_ind]]-comparaison_samebasis_villages[[#This Row],[actual ref_ind]]</f>
        <v>0</v>
      </c>
      <c r="AI731" s="943">
        <f>comparaison_samebasis_villages[[#This Row],[previous ret_ind]]-comparaison_samebasis_villages[[#This Row],[actual ret_ind]]</f>
        <v>0</v>
      </c>
    </row>
    <row r="732" spans="1:35" ht="15.75" customHeight="1" x14ac:dyDescent="0.3">
      <c r="A732" s="401"/>
      <c r="B732" s="401"/>
      <c r="C732" s="401"/>
      <c r="D732" s="401"/>
      <c r="E732" s="401"/>
      <c r="F732" s="5"/>
      <c r="G732" s="401"/>
      <c r="H732" s="1093"/>
      <c r="I732" s="402"/>
      <c r="J732" s="403"/>
      <c r="K732" s="403"/>
      <c r="L732" s="1093"/>
      <c r="M732" s="401"/>
      <c r="O732" s="404" t="s">
        <v>31</v>
      </c>
      <c r="P732" s="404" t="s">
        <v>31</v>
      </c>
      <c r="Q732" s="404" t="s">
        <v>171</v>
      </c>
      <c r="R732" s="404" t="s">
        <v>171</v>
      </c>
      <c r="S732" s="404" t="s">
        <v>1886</v>
      </c>
      <c r="T732" s="404" t="s">
        <v>2801</v>
      </c>
      <c r="U732" s="941">
        <v>8</v>
      </c>
      <c r="V732" s="941">
        <v>32</v>
      </c>
      <c r="W732" s="941">
        <v>0</v>
      </c>
      <c r="X732" s="941">
        <v>0</v>
      </c>
      <c r="Y732" s="941">
        <v>0</v>
      </c>
      <c r="Z732" s="941">
        <v>0</v>
      </c>
      <c r="AA732" s="942">
        <v>5</v>
      </c>
      <c r="AB732" s="942">
        <v>15</v>
      </c>
      <c r="AC732" s="942">
        <v>0</v>
      </c>
      <c r="AD732" s="942">
        <v>0</v>
      </c>
      <c r="AE732" s="942">
        <v>0</v>
      </c>
      <c r="AF732" s="942">
        <v>0</v>
      </c>
      <c r="AG732" s="943">
        <f>comparaison_samebasis_villages[[#This Row],[previous idp_ind]]-comparaison_samebasis_villages[[#This Row],[actual idp_ind]]</f>
        <v>-17</v>
      </c>
      <c r="AH732" s="943">
        <f>comparaison_samebasis_villages[[#This Row],[previous ref_ind]]-comparaison_samebasis_villages[[#This Row],[actual ref_ind]]</f>
        <v>0</v>
      </c>
      <c r="AI732" s="943">
        <f>comparaison_samebasis_villages[[#This Row],[previous ret_ind]]-comparaison_samebasis_villages[[#This Row],[actual ret_ind]]</f>
        <v>0</v>
      </c>
    </row>
    <row r="733" spans="1:35" ht="15.75" customHeight="1" x14ac:dyDescent="0.3">
      <c r="A733" s="401"/>
      <c r="B733" s="401"/>
      <c r="C733" s="401"/>
      <c r="D733" s="401"/>
      <c r="E733" s="401"/>
      <c r="F733" s="5"/>
      <c r="G733" s="401"/>
      <c r="H733" s="1093"/>
      <c r="I733" s="402"/>
      <c r="J733" s="403"/>
      <c r="K733" s="403"/>
      <c r="L733" s="1093"/>
      <c r="M733" s="401"/>
      <c r="O733" s="404" t="s">
        <v>31</v>
      </c>
      <c r="P733" s="404" t="s">
        <v>31</v>
      </c>
      <c r="Q733" s="404" t="s">
        <v>171</v>
      </c>
      <c r="R733" s="404" t="s">
        <v>171</v>
      </c>
      <c r="S733" s="404" t="s">
        <v>1243</v>
      </c>
      <c r="T733" s="404" t="s">
        <v>802</v>
      </c>
      <c r="U733" s="941">
        <v>6</v>
      </c>
      <c r="V733" s="941">
        <v>31</v>
      </c>
      <c r="W733" s="941">
        <v>0</v>
      </c>
      <c r="X733" s="941">
        <v>0</v>
      </c>
      <c r="Y733" s="941">
        <v>0</v>
      </c>
      <c r="Z733" s="941">
        <v>0</v>
      </c>
      <c r="AA733" s="942">
        <v>5</v>
      </c>
      <c r="AB733" s="942">
        <v>27</v>
      </c>
      <c r="AC733" s="942">
        <v>0</v>
      </c>
      <c r="AD733" s="942">
        <v>0</v>
      </c>
      <c r="AE733" s="942">
        <v>0</v>
      </c>
      <c r="AF733" s="942">
        <v>0</v>
      </c>
      <c r="AG733" s="943">
        <f>comparaison_samebasis_villages[[#This Row],[previous idp_ind]]-comparaison_samebasis_villages[[#This Row],[actual idp_ind]]</f>
        <v>-4</v>
      </c>
      <c r="AH733" s="943">
        <f>comparaison_samebasis_villages[[#This Row],[previous ref_ind]]-comparaison_samebasis_villages[[#This Row],[actual ref_ind]]</f>
        <v>0</v>
      </c>
      <c r="AI733" s="943">
        <f>comparaison_samebasis_villages[[#This Row],[previous ret_ind]]-comparaison_samebasis_villages[[#This Row],[actual ret_ind]]</f>
        <v>0</v>
      </c>
    </row>
    <row r="734" spans="1:35" ht="15.75" customHeight="1" x14ac:dyDescent="0.3">
      <c r="A734" s="401"/>
      <c r="B734" s="401"/>
      <c r="C734" s="401"/>
      <c r="D734" s="401"/>
      <c r="E734" s="401"/>
      <c r="F734" s="5"/>
      <c r="G734" s="401"/>
      <c r="H734" s="1093"/>
      <c r="I734" s="402"/>
      <c r="J734" s="403"/>
      <c r="K734" s="403"/>
      <c r="L734" s="1093"/>
      <c r="M734" s="401"/>
      <c r="O734" s="404" t="s">
        <v>31</v>
      </c>
      <c r="P734" s="404" t="s">
        <v>31</v>
      </c>
      <c r="Q734" s="404" t="s">
        <v>171</v>
      </c>
      <c r="R734" s="404" t="s">
        <v>171</v>
      </c>
      <c r="S734" s="404" t="s">
        <v>878</v>
      </c>
      <c r="T734" s="404" t="s">
        <v>2809</v>
      </c>
      <c r="U734" s="941">
        <v>10</v>
      </c>
      <c r="V734" s="941">
        <v>96</v>
      </c>
      <c r="W734" s="941">
        <v>1</v>
      </c>
      <c r="X734" s="941">
        <v>6</v>
      </c>
      <c r="Y734" s="941">
        <v>0</v>
      </c>
      <c r="Z734" s="941">
        <v>0</v>
      </c>
      <c r="AA734" s="942">
        <v>10</v>
      </c>
      <c r="AB734" s="942">
        <v>96</v>
      </c>
      <c r="AC734" s="942">
        <v>1</v>
      </c>
      <c r="AD734" s="942">
        <v>6</v>
      </c>
      <c r="AE734" s="942">
        <v>0</v>
      </c>
      <c r="AF734" s="942">
        <v>0</v>
      </c>
      <c r="AG734" s="943">
        <f>comparaison_samebasis_villages[[#This Row],[previous idp_ind]]-comparaison_samebasis_villages[[#This Row],[actual idp_ind]]</f>
        <v>0</v>
      </c>
      <c r="AH734" s="943">
        <f>comparaison_samebasis_villages[[#This Row],[previous ref_ind]]-comparaison_samebasis_villages[[#This Row],[actual ref_ind]]</f>
        <v>0</v>
      </c>
      <c r="AI734" s="943">
        <f>comparaison_samebasis_villages[[#This Row],[previous ret_ind]]-comparaison_samebasis_villages[[#This Row],[actual ret_ind]]</f>
        <v>0</v>
      </c>
    </row>
    <row r="735" spans="1:35" ht="15.75" customHeight="1" x14ac:dyDescent="0.3">
      <c r="A735" s="401"/>
      <c r="B735" s="401"/>
      <c r="C735" s="401"/>
      <c r="D735" s="401"/>
      <c r="E735" s="401"/>
      <c r="F735" s="5"/>
      <c r="G735" s="401"/>
      <c r="H735" s="1093"/>
      <c r="I735" s="402"/>
      <c r="J735" s="403"/>
      <c r="K735" s="403"/>
      <c r="L735" s="1093"/>
      <c r="M735" s="401"/>
      <c r="O735" s="404" t="s">
        <v>31</v>
      </c>
      <c r="P735" s="404" t="s">
        <v>31</v>
      </c>
      <c r="Q735" s="404" t="s">
        <v>171</v>
      </c>
      <c r="R735" s="404" t="s">
        <v>171</v>
      </c>
      <c r="S735" s="404" t="s">
        <v>2013</v>
      </c>
      <c r="T735" s="404" t="s">
        <v>2810</v>
      </c>
      <c r="U735" s="941">
        <v>9</v>
      </c>
      <c r="V735" s="941">
        <v>43</v>
      </c>
      <c r="W735" s="941">
        <v>0</v>
      </c>
      <c r="X735" s="941">
        <v>0</v>
      </c>
      <c r="Y735" s="941">
        <v>0</v>
      </c>
      <c r="Z735" s="941">
        <v>0</v>
      </c>
      <c r="AA735" s="942">
        <v>3</v>
      </c>
      <c r="AB735" s="942">
        <v>25</v>
      </c>
      <c r="AC735" s="942">
        <v>0</v>
      </c>
      <c r="AD735" s="942">
        <v>0</v>
      </c>
      <c r="AE735" s="942">
        <v>0</v>
      </c>
      <c r="AF735" s="942">
        <v>0</v>
      </c>
      <c r="AG735" s="943">
        <f>comparaison_samebasis_villages[[#This Row],[previous idp_ind]]-comparaison_samebasis_villages[[#This Row],[actual idp_ind]]</f>
        <v>-18</v>
      </c>
      <c r="AH735" s="943">
        <f>comparaison_samebasis_villages[[#This Row],[previous ref_ind]]-comparaison_samebasis_villages[[#This Row],[actual ref_ind]]</f>
        <v>0</v>
      </c>
      <c r="AI735" s="943">
        <f>comparaison_samebasis_villages[[#This Row],[previous ret_ind]]-comparaison_samebasis_villages[[#This Row],[actual ret_ind]]</f>
        <v>0</v>
      </c>
    </row>
    <row r="736" spans="1:35" ht="15.75" customHeight="1" x14ac:dyDescent="0.3">
      <c r="A736" s="401"/>
      <c r="B736" s="401"/>
      <c r="C736" s="401"/>
      <c r="D736" s="401"/>
      <c r="E736" s="401"/>
      <c r="F736" s="5"/>
      <c r="G736" s="401"/>
      <c r="H736" s="1093"/>
      <c r="I736" s="402"/>
      <c r="J736" s="403"/>
      <c r="K736" s="403"/>
      <c r="L736" s="1093"/>
      <c r="M736" s="401"/>
      <c r="O736" s="404" t="s">
        <v>31</v>
      </c>
      <c r="P736" s="404" t="s">
        <v>31</v>
      </c>
      <c r="Q736" s="404" t="s">
        <v>171</v>
      </c>
      <c r="R736" s="404" t="s">
        <v>171</v>
      </c>
      <c r="S736" s="404" t="s">
        <v>1288</v>
      </c>
      <c r="T736" s="404" t="s">
        <v>2820</v>
      </c>
      <c r="U736" s="941">
        <v>12</v>
      </c>
      <c r="V736" s="941">
        <v>89</v>
      </c>
      <c r="W736" s="941">
        <v>0</v>
      </c>
      <c r="X736" s="941">
        <v>0</v>
      </c>
      <c r="Y736" s="941">
        <v>0</v>
      </c>
      <c r="Z736" s="941">
        <v>0</v>
      </c>
      <c r="AA736" s="942">
        <v>12</v>
      </c>
      <c r="AB736" s="942">
        <v>89</v>
      </c>
      <c r="AC736" s="942">
        <v>0</v>
      </c>
      <c r="AD736" s="942">
        <v>0</v>
      </c>
      <c r="AE736" s="942">
        <v>0</v>
      </c>
      <c r="AF736" s="942">
        <v>0</v>
      </c>
      <c r="AG736" s="943">
        <f>comparaison_samebasis_villages[[#This Row],[previous idp_ind]]-comparaison_samebasis_villages[[#This Row],[actual idp_ind]]</f>
        <v>0</v>
      </c>
      <c r="AH736" s="943">
        <f>comparaison_samebasis_villages[[#This Row],[previous ref_ind]]-comparaison_samebasis_villages[[#This Row],[actual ref_ind]]</f>
        <v>0</v>
      </c>
      <c r="AI736" s="943">
        <f>comparaison_samebasis_villages[[#This Row],[previous ret_ind]]-comparaison_samebasis_villages[[#This Row],[actual ret_ind]]</f>
        <v>0</v>
      </c>
    </row>
    <row r="737" spans="1:35" ht="15.75" customHeight="1" x14ac:dyDescent="0.3">
      <c r="A737" s="401"/>
      <c r="B737" s="401"/>
      <c r="C737" s="401"/>
      <c r="D737" s="401"/>
      <c r="E737" s="401"/>
      <c r="F737" s="5"/>
      <c r="G737" s="401"/>
      <c r="H737" s="1093"/>
      <c r="I737" s="402"/>
      <c r="J737" s="403"/>
      <c r="K737" s="403"/>
      <c r="L737" s="1093"/>
      <c r="M737" s="401"/>
      <c r="O737" s="404" t="s">
        <v>31</v>
      </c>
      <c r="P737" s="404" t="s">
        <v>31</v>
      </c>
      <c r="Q737" s="404" t="s">
        <v>171</v>
      </c>
      <c r="R737" s="404" t="s">
        <v>171</v>
      </c>
      <c r="S737" s="404" t="s">
        <v>1065</v>
      </c>
      <c r="T737" s="404" t="s">
        <v>2828</v>
      </c>
      <c r="U737" s="941">
        <v>23</v>
      </c>
      <c r="V737" s="941">
        <v>312</v>
      </c>
      <c r="W737" s="941">
        <v>0</v>
      </c>
      <c r="X737" s="941">
        <v>0</v>
      </c>
      <c r="Y737" s="941">
        <v>0</v>
      </c>
      <c r="Z737" s="941">
        <v>0</v>
      </c>
      <c r="AA737" s="942">
        <v>15</v>
      </c>
      <c r="AB737" s="942">
        <v>250</v>
      </c>
      <c r="AC737" s="942">
        <v>0</v>
      </c>
      <c r="AD737" s="942">
        <v>0</v>
      </c>
      <c r="AE737" s="942">
        <v>0</v>
      </c>
      <c r="AF737" s="942">
        <v>0</v>
      </c>
      <c r="AG737" s="943">
        <f>comparaison_samebasis_villages[[#This Row],[previous idp_ind]]-comparaison_samebasis_villages[[#This Row],[actual idp_ind]]</f>
        <v>-62</v>
      </c>
      <c r="AH737" s="943">
        <f>comparaison_samebasis_villages[[#This Row],[previous ref_ind]]-comparaison_samebasis_villages[[#This Row],[actual ref_ind]]</f>
        <v>0</v>
      </c>
      <c r="AI737" s="943">
        <f>comparaison_samebasis_villages[[#This Row],[previous ret_ind]]-comparaison_samebasis_villages[[#This Row],[actual ret_ind]]</f>
        <v>0</v>
      </c>
    </row>
    <row r="738" spans="1:35" ht="15.75" customHeight="1" x14ac:dyDescent="0.3">
      <c r="A738" s="401"/>
      <c r="B738" s="401"/>
      <c r="C738" s="401"/>
      <c r="D738" s="401"/>
      <c r="E738" s="401"/>
      <c r="F738" s="5"/>
      <c r="G738" s="401"/>
      <c r="H738" s="1093"/>
      <c r="I738" s="402"/>
      <c r="J738" s="403"/>
      <c r="K738" s="403"/>
      <c r="L738" s="1093"/>
      <c r="M738" s="401"/>
      <c r="O738" s="404" t="s">
        <v>31</v>
      </c>
      <c r="P738" s="404" t="s">
        <v>31</v>
      </c>
      <c r="Q738" s="404" t="s">
        <v>171</v>
      </c>
      <c r="R738" s="404" t="s">
        <v>171</v>
      </c>
      <c r="S738" s="404" t="s">
        <v>1284</v>
      </c>
      <c r="T738" s="404" t="s">
        <v>1101</v>
      </c>
      <c r="U738" s="941">
        <v>18</v>
      </c>
      <c r="V738" s="941">
        <v>98</v>
      </c>
      <c r="W738" s="941">
        <v>0</v>
      </c>
      <c r="X738" s="941">
        <v>0</v>
      </c>
      <c r="Y738" s="941">
        <v>0</v>
      </c>
      <c r="Z738" s="941">
        <v>0</v>
      </c>
      <c r="AA738" s="942">
        <v>18</v>
      </c>
      <c r="AB738" s="942">
        <v>98</v>
      </c>
      <c r="AC738" s="942">
        <v>0</v>
      </c>
      <c r="AD738" s="942">
        <v>0</v>
      </c>
      <c r="AE738" s="942">
        <v>0</v>
      </c>
      <c r="AF738" s="942">
        <v>0</v>
      </c>
      <c r="AG738" s="943">
        <f>comparaison_samebasis_villages[[#This Row],[previous idp_ind]]-comparaison_samebasis_villages[[#This Row],[actual idp_ind]]</f>
        <v>0</v>
      </c>
      <c r="AH738" s="943">
        <f>comparaison_samebasis_villages[[#This Row],[previous ref_ind]]-comparaison_samebasis_villages[[#This Row],[actual ref_ind]]</f>
        <v>0</v>
      </c>
      <c r="AI738" s="943">
        <f>comparaison_samebasis_villages[[#This Row],[previous ret_ind]]-comparaison_samebasis_villages[[#This Row],[actual ret_ind]]</f>
        <v>0</v>
      </c>
    </row>
    <row r="739" spans="1:35" ht="15.75" customHeight="1" x14ac:dyDescent="0.3">
      <c r="A739" s="401"/>
      <c r="B739" s="401"/>
      <c r="C739" s="401"/>
      <c r="D739" s="401"/>
      <c r="E739" s="401"/>
      <c r="F739" s="5"/>
      <c r="G739" s="401"/>
      <c r="H739" s="1093"/>
      <c r="I739" s="402"/>
      <c r="J739" s="403"/>
      <c r="K739" s="403"/>
      <c r="L739" s="1093"/>
      <c r="M739" s="401"/>
      <c r="O739" s="404" t="s">
        <v>31</v>
      </c>
      <c r="P739" s="404" t="s">
        <v>31</v>
      </c>
      <c r="Q739" s="404" t="s">
        <v>171</v>
      </c>
      <c r="R739" s="404" t="s">
        <v>171</v>
      </c>
      <c r="S739" s="404" t="s">
        <v>2055</v>
      </c>
      <c r="T739" s="404" t="s">
        <v>1028</v>
      </c>
      <c r="U739" s="941">
        <v>11</v>
      </c>
      <c r="V739" s="941">
        <v>65</v>
      </c>
      <c r="W739" s="941">
        <v>0</v>
      </c>
      <c r="X739" s="941">
        <v>0</v>
      </c>
      <c r="Y739" s="941">
        <v>0</v>
      </c>
      <c r="Z739" s="941">
        <v>0</v>
      </c>
      <c r="AA739" s="942">
        <v>5</v>
      </c>
      <c r="AB739" s="942">
        <v>47</v>
      </c>
      <c r="AC739" s="942">
        <v>0</v>
      </c>
      <c r="AD739" s="942">
        <v>0</v>
      </c>
      <c r="AE739" s="942">
        <v>0</v>
      </c>
      <c r="AF739" s="942">
        <v>0</v>
      </c>
      <c r="AG739" s="943">
        <f>comparaison_samebasis_villages[[#This Row],[previous idp_ind]]-comparaison_samebasis_villages[[#This Row],[actual idp_ind]]</f>
        <v>-18</v>
      </c>
      <c r="AH739" s="943">
        <f>comparaison_samebasis_villages[[#This Row],[previous ref_ind]]-comparaison_samebasis_villages[[#This Row],[actual ref_ind]]</f>
        <v>0</v>
      </c>
      <c r="AI739" s="943">
        <f>comparaison_samebasis_villages[[#This Row],[previous ret_ind]]-comparaison_samebasis_villages[[#This Row],[actual ret_ind]]</f>
        <v>0</v>
      </c>
    </row>
    <row r="740" spans="1:35" ht="15.75" customHeight="1" x14ac:dyDescent="0.3">
      <c r="A740" s="401"/>
      <c r="B740" s="401"/>
      <c r="C740" s="401"/>
      <c r="D740" s="401"/>
      <c r="E740" s="401"/>
      <c r="F740" s="5"/>
      <c r="G740" s="401"/>
      <c r="H740" s="1093"/>
      <c r="I740" s="402"/>
      <c r="J740" s="403"/>
      <c r="K740" s="403"/>
      <c r="L740" s="1093"/>
      <c r="M740" s="401"/>
      <c r="O740" s="404" t="s">
        <v>31</v>
      </c>
      <c r="P740" s="404" t="s">
        <v>31</v>
      </c>
      <c r="Q740" s="404" t="s">
        <v>171</v>
      </c>
      <c r="R740" s="404" t="s">
        <v>171</v>
      </c>
      <c r="S740" s="404" t="s">
        <v>1923</v>
      </c>
      <c r="T740" s="404" t="s">
        <v>1959</v>
      </c>
      <c r="U740" s="941">
        <v>13</v>
      </c>
      <c r="V740" s="941">
        <v>90</v>
      </c>
      <c r="W740" s="941">
        <v>0</v>
      </c>
      <c r="X740" s="941">
        <v>0</v>
      </c>
      <c r="Y740" s="941">
        <v>0</v>
      </c>
      <c r="Z740" s="941">
        <v>0</v>
      </c>
      <c r="AA740" s="942">
        <v>13</v>
      </c>
      <c r="AB740" s="942">
        <v>90</v>
      </c>
      <c r="AC740" s="942">
        <v>0</v>
      </c>
      <c r="AD740" s="942">
        <v>0</v>
      </c>
      <c r="AE740" s="942">
        <v>0</v>
      </c>
      <c r="AF740" s="942">
        <v>0</v>
      </c>
      <c r="AG740" s="943">
        <f>comparaison_samebasis_villages[[#This Row],[previous idp_ind]]-comparaison_samebasis_villages[[#This Row],[actual idp_ind]]</f>
        <v>0</v>
      </c>
      <c r="AH740" s="943">
        <f>comparaison_samebasis_villages[[#This Row],[previous ref_ind]]-comparaison_samebasis_villages[[#This Row],[actual ref_ind]]</f>
        <v>0</v>
      </c>
      <c r="AI740" s="943">
        <f>comparaison_samebasis_villages[[#This Row],[previous ret_ind]]-comparaison_samebasis_villages[[#This Row],[actual ret_ind]]</f>
        <v>0</v>
      </c>
    </row>
    <row r="741" spans="1:35" ht="15.75" customHeight="1" x14ac:dyDescent="0.3">
      <c r="A741" s="401"/>
      <c r="B741" s="401"/>
      <c r="C741" s="401"/>
      <c r="D741" s="401"/>
      <c r="E741" s="401"/>
      <c r="F741" s="5"/>
      <c r="G741" s="401"/>
      <c r="H741" s="1093"/>
      <c r="I741" s="402"/>
      <c r="J741" s="403"/>
      <c r="K741" s="403"/>
      <c r="L741" s="1093"/>
      <c r="M741" s="401"/>
      <c r="O741" s="404" t="s">
        <v>31</v>
      </c>
      <c r="P741" s="404" t="s">
        <v>31</v>
      </c>
      <c r="Q741" s="404" t="s">
        <v>171</v>
      </c>
      <c r="R741" s="404" t="s">
        <v>171</v>
      </c>
      <c r="S741" s="404" t="s">
        <v>1785</v>
      </c>
      <c r="T741" s="404" t="s">
        <v>2621</v>
      </c>
      <c r="U741" s="941">
        <v>8</v>
      </c>
      <c r="V741" s="941">
        <v>74</v>
      </c>
      <c r="W741" s="941">
        <v>0</v>
      </c>
      <c r="X741" s="941">
        <v>0</v>
      </c>
      <c r="Y741" s="941">
        <v>0</v>
      </c>
      <c r="Z741" s="941">
        <v>0</v>
      </c>
      <c r="AA741" s="942">
        <v>5</v>
      </c>
      <c r="AB741" s="942">
        <v>47</v>
      </c>
      <c r="AC741" s="942">
        <v>0</v>
      </c>
      <c r="AD741" s="942">
        <v>0</v>
      </c>
      <c r="AE741" s="942">
        <v>0</v>
      </c>
      <c r="AF741" s="942">
        <v>0</v>
      </c>
      <c r="AG741" s="943">
        <f>comparaison_samebasis_villages[[#This Row],[previous idp_ind]]-comparaison_samebasis_villages[[#This Row],[actual idp_ind]]</f>
        <v>-27</v>
      </c>
      <c r="AH741" s="943">
        <f>comparaison_samebasis_villages[[#This Row],[previous ref_ind]]-comparaison_samebasis_villages[[#This Row],[actual ref_ind]]</f>
        <v>0</v>
      </c>
      <c r="AI741" s="943">
        <f>comparaison_samebasis_villages[[#This Row],[previous ret_ind]]-comparaison_samebasis_villages[[#This Row],[actual ret_ind]]</f>
        <v>0</v>
      </c>
    </row>
    <row r="742" spans="1:35" ht="15.75" customHeight="1" x14ac:dyDescent="0.3">
      <c r="A742" s="401"/>
      <c r="B742" s="401"/>
      <c r="C742" s="401"/>
      <c r="D742" s="401"/>
      <c r="E742" s="401"/>
      <c r="F742" s="5"/>
      <c r="G742" s="401"/>
      <c r="H742" s="1093"/>
      <c r="I742" s="402"/>
      <c r="J742" s="403"/>
      <c r="K742" s="403"/>
      <c r="L742" s="1093"/>
      <c r="M742" s="401"/>
      <c r="O742" s="404" t="s">
        <v>31</v>
      </c>
      <c r="P742" s="404" t="s">
        <v>31</v>
      </c>
      <c r="Q742" s="404" t="s">
        <v>171</v>
      </c>
      <c r="R742" s="404" t="s">
        <v>171</v>
      </c>
      <c r="S742" s="404" t="s">
        <v>1067</v>
      </c>
      <c r="T742" s="404" t="s">
        <v>1697</v>
      </c>
      <c r="U742" s="941">
        <v>0</v>
      </c>
      <c r="V742" s="941">
        <v>0</v>
      </c>
      <c r="W742" s="941">
        <v>0</v>
      </c>
      <c r="X742" s="941">
        <v>0</v>
      </c>
      <c r="Y742" s="941">
        <v>0</v>
      </c>
      <c r="Z742" s="941">
        <v>0</v>
      </c>
      <c r="AA742" s="942">
        <v>9</v>
      </c>
      <c r="AB742" s="942">
        <v>30</v>
      </c>
      <c r="AC742" s="942">
        <v>0</v>
      </c>
      <c r="AD742" s="942">
        <v>0</v>
      </c>
      <c r="AE742" s="942">
        <v>0</v>
      </c>
      <c r="AF742" s="942">
        <v>0</v>
      </c>
      <c r="AG742" s="943">
        <f>comparaison_samebasis_villages[[#This Row],[previous idp_ind]]-comparaison_samebasis_villages[[#This Row],[actual idp_ind]]</f>
        <v>30</v>
      </c>
      <c r="AH742" s="943">
        <f>comparaison_samebasis_villages[[#This Row],[previous ref_ind]]-comparaison_samebasis_villages[[#This Row],[actual ref_ind]]</f>
        <v>0</v>
      </c>
      <c r="AI742" s="943">
        <f>comparaison_samebasis_villages[[#This Row],[previous ret_ind]]-comparaison_samebasis_villages[[#This Row],[actual ret_ind]]</f>
        <v>0</v>
      </c>
    </row>
    <row r="743" spans="1:35" ht="15.75" customHeight="1" x14ac:dyDescent="0.3">
      <c r="A743" s="401"/>
      <c r="B743" s="401"/>
      <c r="C743" s="401"/>
      <c r="D743" s="401"/>
      <c r="E743" s="401"/>
      <c r="F743" s="5"/>
      <c r="G743" s="401"/>
      <c r="H743" s="1093"/>
      <c r="I743" s="402"/>
      <c r="J743" s="403"/>
      <c r="K743" s="403"/>
      <c r="L743" s="1093"/>
      <c r="M743" s="401"/>
      <c r="O743" s="404" t="s">
        <v>31</v>
      </c>
      <c r="P743" s="404" t="s">
        <v>31</v>
      </c>
      <c r="Q743" s="404" t="s">
        <v>171</v>
      </c>
      <c r="R743" s="404" t="s">
        <v>171</v>
      </c>
      <c r="S743" s="404" t="s">
        <v>1783</v>
      </c>
      <c r="T743" s="404" t="s">
        <v>2954</v>
      </c>
      <c r="U743" s="941">
        <v>0</v>
      </c>
      <c r="V743" s="941">
        <v>0</v>
      </c>
      <c r="W743" s="941">
        <v>0</v>
      </c>
      <c r="X743" s="941">
        <v>0</v>
      </c>
      <c r="Y743" s="941">
        <v>0</v>
      </c>
      <c r="Z743" s="941">
        <v>0</v>
      </c>
      <c r="AA743" s="942">
        <v>10</v>
      </c>
      <c r="AB743" s="942">
        <v>95</v>
      </c>
      <c r="AC743" s="942">
        <v>0</v>
      </c>
      <c r="AD743" s="942">
        <v>0</v>
      </c>
      <c r="AE743" s="942">
        <v>0</v>
      </c>
      <c r="AF743" s="942">
        <v>0</v>
      </c>
      <c r="AG743" s="943">
        <f>comparaison_samebasis_villages[[#This Row],[previous idp_ind]]-comparaison_samebasis_villages[[#This Row],[actual idp_ind]]</f>
        <v>95</v>
      </c>
      <c r="AH743" s="943">
        <f>comparaison_samebasis_villages[[#This Row],[previous ref_ind]]-comparaison_samebasis_villages[[#This Row],[actual ref_ind]]</f>
        <v>0</v>
      </c>
      <c r="AI743" s="943">
        <f>comparaison_samebasis_villages[[#This Row],[previous ret_ind]]-comparaison_samebasis_villages[[#This Row],[actual ret_ind]]</f>
        <v>0</v>
      </c>
    </row>
    <row r="744" spans="1:35" ht="15.75" customHeight="1" x14ac:dyDescent="0.3">
      <c r="A744" s="401"/>
      <c r="B744" s="401"/>
      <c r="C744" s="401"/>
      <c r="D744" s="401"/>
      <c r="E744" s="401"/>
      <c r="F744" s="5"/>
      <c r="G744" s="401"/>
      <c r="H744" s="1093"/>
      <c r="I744" s="402"/>
      <c r="J744" s="403"/>
      <c r="K744" s="403"/>
      <c r="L744" s="1093"/>
      <c r="M744" s="401"/>
      <c r="O744" s="404" t="s">
        <v>31</v>
      </c>
      <c r="P744" s="404" t="s">
        <v>31</v>
      </c>
      <c r="Q744" s="404" t="s">
        <v>171</v>
      </c>
      <c r="R744" s="404" t="s">
        <v>171</v>
      </c>
      <c r="S744" s="404" t="s">
        <v>1985</v>
      </c>
      <c r="T744" s="404" t="s">
        <v>1099</v>
      </c>
      <c r="U744" s="941">
        <v>55</v>
      </c>
      <c r="V744" s="941">
        <v>233</v>
      </c>
      <c r="W744" s="941">
        <v>0</v>
      </c>
      <c r="X744" s="941">
        <v>0</v>
      </c>
      <c r="Y744" s="941">
        <v>0</v>
      </c>
      <c r="Z744" s="941">
        <v>0</v>
      </c>
      <c r="AA744" s="942">
        <v>51</v>
      </c>
      <c r="AB744" s="942">
        <v>223</v>
      </c>
      <c r="AC744" s="942">
        <v>0</v>
      </c>
      <c r="AD744" s="942">
        <v>0</v>
      </c>
      <c r="AE744" s="942">
        <v>0</v>
      </c>
      <c r="AF744" s="942">
        <v>0</v>
      </c>
      <c r="AG744" s="943">
        <f>comparaison_samebasis_villages[[#This Row],[previous idp_ind]]-comparaison_samebasis_villages[[#This Row],[actual idp_ind]]</f>
        <v>-10</v>
      </c>
      <c r="AH744" s="943">
        <f>comparaison_samebasis_villages[[#This Row],[previous ref_ind]]-comparaison_samebasis_villages[[#This Row],[actual ref_ind]]</f>
        <v>0</v>
      </c>
      <c r="AI744" s="943">
        <f>comparaison_samebasis_villages[[#This Row],[previous ret_ind]]-comparaison_samebasis_villages[[#This Row],[actual ret_ind]]</f>
        <v>0</v>
      </c>
    </row>
    <row r="745" spans="1:35" ht="15.75" customHeight="1" x14ac:dyDescent="0.3">
      <c r="A745" s="401"/>
      <c r="B745" s="401"/>
      <c r="C745" s="401"/>
      <c r="D745" s="401"/>
      <c r="E745" s="401"/>
      <c r="F745" s="5"/>
      <c r="G745" s="401"/>
      <c r="H745" s="1093"/>
      <c r="I745" s="402"/>
      <c r="J745" s="403"/>
      <c r="K745" s="403"/>
      <c r="L745" s="1093"/>
      <c r="M745" s="401"/>
      <c r="O745" s="404" t="s">
        <v>31</v>
      </c>
      <c r="P745" s="404" t="s">
        <v>31</v>
      </c>
      <c r="Q745" s="404" t="s">
        <v>171</v>
      </c>
      <c r="R745" s="404" t="s">
        <v>171</v>
      </c>
      <c r="S745" s="404" t="s">
        <v>894</v>
      </c>
      <c r="T745" s="404" t="s">
        <v>1246</v>
      </c>
      <c r="U745" s="941">
        <v>6</v>
      </c>
      <c r="V745" s="941">
        <v>51</v>
      </c>
      <c r="W745" s="941">
        <v>0</v>
      </c>
      <c r="X745" s="941">
        <v>0</v>
      </c>
      <c r="Y745" s="941">
        <v>0</v>
      </c>
      <c r="Z745" s="941">
        <v>0</v>
      </c>
      <c r="AA745" s="942">
        <v>3</v>
      </c>
      <c r="AB745" s="942">
        <v>30</v>
      </c>
      <c r="AC745" s="942">
        <v>0</v>
      </c>
      <c r="AD745" s="942">
        <v>0</v>
      </c>
      <c r="AE745" s="942">
        <v>0</v>
      </c>
      <c r="AF745" s="942">
        <v>0</v>
      </c>
      <c r="AG745" s="943">
        <f>comparaison_samebasis_villages[[#This Row],[previous idp_ind]]-comparaison_samebasis_villages[[#This Row],[actual idp_ind]]</f>
        <v>-21</v>
      </c>
      <c r="AH745" s="943">
        <f>comparaison_samebasis_villages[[#This Row],[previous ref_ind]]-comparaison_samebasis_villages[[#This Row],[actual ref_ind]]</f>
        <v>0</v>
      </c>
      <c r="AI745" s="943">
        <f>comparaison_samebasis_villages[[#This Row],[previous ret_ind]]-comparaison_samebasis_villages[[#This Row],[actual ret_ind]]</f>
        <v>0</v>
      </c>
    </row>
    <row r="746" spans="1:35" ht="15.75" customHeight="1" x14ac:dyDescent="0.3">
      <c r="A746" s="401"/>
      <c r="B746" s="401"/>
      <c r="C746" s="401"/>
      <c r="D746" s="401"/>
      <c r="E746" s="401"/>
      <c r="F746" s="5"/>
      <c r="G746" s="401"/>
      <c r="H746" s="1093"/>
      <c r="I746" s="402"/>
      <c r="J746" s="403"/>
      <c r="K746" s="403"/>
      <c r="L746" s="1093"/>
      <c r="M746" s="401"/>
      <c r="O746" s="404" t="s">
        <v>31</v>
      </c>
      <c r="P746" s="404" t="s">
        <v>31</v>
      </c>
      <c r="Q746" s="404" t="s">
        <v>171</v>
      </c>
      <c r="R746" s="404" t="s">
        <v>171</v>
      </c>
      <c r="S746" s="404" t="s">
        <v>1927</v>
      </c>
      <c r="T746" s="404" t="s">
        <v>1394</v>
      </c>
      <c r="U746" s="941">
        <v>18</v>
      </c>
      <c r="V746" s="941">
        <v>89</v>
      </c>
      <c r="W746" s="941">
        <v>0</v>
      </c>
      <c r="X746" s="941">
        <v>0</v>
      </c>
      <c r="Y746" s="941">
        <v>0</v>
      </c>
      <c r="Z746" s="941">
        <v>0</v>
      </c>
      <c r="AA746" s="942">
        <v>16</v>
      </c>
      <c r="AB746" s="942">
        <v>83</v>
      </c>
      <c r="AC746" s="942">
        <v>0</v>
      </c>
      <c r="AD746" s="942">
        <v>0</v>
      </c>
      <c r="AE746" s="942">
        <v>0</v>
      </c>
      <c r="AF746" s="942">
        <v>0</v>
      </c>
      <c r="AG746" s="943">
        <f>comparaison_samebasis_villages[[#This Row],[previous idp_ind]]-comparaison_samebasis_villages[[#This Row],[actual idp_ind]]</f>
        <v>-6</v>
      </c>
      <c r="AH746" s="943">
        <f>comparaison_samebasis_villages[[#This Row],[previous ref_ind]]-comparaison_samebasis_villages[[#This Row],[actual ref_ind]]</f>
        <v>0</v>
      </c>
      <c r="AI746" s="943">
        <f>comparaison_samebasis_villages[[#This Row],[previous ret_ind]]-comparaison_samebasis_villages[[#This Row],[actual ret_ind]]</f>
        <v>0</v>
      </c>
    </row>
    <row r="747" spans="1:35" ht="15.75" customHeight="1" x14ac:dyDescent="0.3">
      <c r="A747" s="401"/>
      <c r="B747" s="401"/>
      <c r="C747" s="401"/>
      <c r="D747" s="401"/>
      <c r="E747" s="401"/>
      <c r="F747" s="5"/>
      <c r="G747" s="401"/>
      <c r="H747" s="1093"/>
      <c r="I747" s="402"/>
      <c r="J747" s="403"/>
      <c r="K747" s="403"/>
      <c r="L747" s="1093"/>
      <c r="M747" s="401"/>
      <c r="O747" s="399" t="s">
        <v>31</v>
      </c>
      <c r="P747" s="399" t="s">
        <v>31</v>
      </c>
      <c r="Q747" s="399" t="s">
        <v>171</v>
      </c>
      <c r="R747" s="399" t="s">
        <v>171</v>
      </c>
      <c r="S747" s="399" t="s">
        <v>2011</v>
      </c>
      <c r="T747" s="399" t="s">
        <v>1720</v>
      </c>
      <c r="U747" s="941">
        <v>8</v>
      </c>
      <c r="V747" s="941">
        <v>39</v>
      </c>
      <c r="W747" s="941">
        <v>0</v>
      </c>
      <c r="X747" s="941">
        <v>0</v>
      </c>
      <c r="Y747" s="941">
        <v>0</v>
      </c>
      <c r="Z747" s="941">
        <v>0</v>
      </c>
      <c r="AA747" s="942">
        <v>5</v>
      </c>
      <c r="AB747" s="942">
        <v>28</v>
      </c>
      <c r="AC747" s="942">
        <v>0</v>
      </c>
      <c r="AD747" s="942">
        <v>0</v>
      </c>
      <c r="AE747" s="942">
        <v>0</v>
      </c>
      <c r="AF747" s="942">
        <v>0</v>
      </c>
      <c r="AG747" s="943">
        <f>comparaison_samebasis_villages[[#This Row],[previous idp_ind]]-comparaison_samebasis_villages[[#This Row],[actual idp_ind]]</f>
        <v>-11</v>
      </c>
      <c r="AH747" s="943">
        <f>comparaison_samebasis_villages[[#This Row],[previous ref_ind]]-comparaison_samebasis_villages[[#This Row],[actual ref_ind]]</f>
        <v>0</v>
      </c>
      <c r="AI747" s="943">
        <f>comparaison_samebasis_villages[[#This Row],[previous ret_ind]]-comparaison_samebasis_villages[[#This Row],[actual ret_ind]]</f>
        <v>0</v>
      </c>
    </row>
    <row r="748" spans="1:35" ht="15.75" customHeight="1" x14ac:dyDescent="0.3">
      <c r="A748" s="401"/>
      <c r="B748" s="401"/>
      <c r="C748" s="401"/>
      <c r="D748" s="401"/>
      <c r="E748" s="401"/>
      <c r="F748" s="5"/>
      <c r="G748" s="401"/>
      <c r="H748" s="1093"/>
      <c r="I748" s="402"/>
      <c r="J748" s="403"/>
      <c r="K748" s="403"/>
      <c r="L748" s="1093"/>
      <c r="M748" s="401"/>
      <c r="O748" s="404" t="s">
        <v>31</v>
      </c>
      <c r="P748" s="404" t="s">
        <v>31</v>
      </c>
      <c r="Q748" s="404" t="s">
        <v>171</v>
      </c>
      <c r="R748" s="404" t="s">
        <v>171</v>
      </c>
      <c r="S748" s="404" t="s">
        <v>2129</v>
      </c>
      <c r="T748" s="404" t="s">
        <v>635</v>
      </c>
      <c r="U748" s="941">
        <v>29</v>
      </c>
      <c r="V748" s="941">
        <v>165</v>
      </c>
      <c r="W748" s="941">
        <v>0</v>
      </c>
      <c r="X748" s="941">
        <v>0</v>
      </c>
      <c r="Y748" s="941">
        <v>0</v>
      </c>
      <c r="Z748" s="941">
        <v>0</v>
      </c>
      <c r="AA748" s="942">
        <v>20</v>
      </c>
      <c r="AB748" s="942">
        <v>112</v>
      </c>
      <c r="AC748" s="942">
        <v>0</v>
      </c>
      <c r="AD748" s="942">
        <v>0</v>
      </c>
      <c r="AE748" s="942">
        <v>0</v>
      </c>
      <c r="AF748" s="942">
        <v>0</v>
      </c>
      <c r="AG748" s="943">
        <f>comparaison_samebasis_villages[[#This Row],[previous idp_ind]]-comparaison_samebasis_villages[[#This Row],[actual idp_ind]]</f>
        <v>-53</v>
      </c>
      <c r="AH748" s="943">
        <f>comparaison_samebasis_villages[[#This Row],[previous ref_ind]]-comparaison_samebasis_villages[[#This Row],[actual ref_ind]]</f>
        <v>0</v>
      </c>
      <c r="AI748" s="943">
        <f>comparaison_samebasis_villages[[#This Row],[previous ret_ind]]-comparaison_samebasis_villages[[#This Row],[actual ret_ind]]</f>
        <v>0</v>
      </c>
    </row>
    <row r="749" spans="1:35" ht="15.75" customHeight="1" x14ac:dyDescent="0.3">
      <c r="A749" s="401"/>
      <c r="B749" s="401"/>
      <c r="C749" s="401"/>
      <c r="D749" s="401"/>
      <c r="E749" s="401"/>
      <c r="F749" s="5"/>
      <c r="G749" s="401"/>
      <c r="H749" s="1093"/>
      <c r="I749" s="402"/>
      <c r="J749" s="403"/>
      <c r="K749" s="403"/>
      <c r="L749" s="1093"/>
      <c r="M749" s="401"/>
      <c r="O749" s="404" t="s">
        <v>31</v>
      </c>
      <c r="P749" s="404" t="s">
        <v>31</v>
      </c>
      <c r="Q749" s="404" t="s">
        <v>171</v>
      </c>
      <c r="R749" s="404" t="s">
        <v>171</v>
      </c>
      <c r="S749" s="404" t="s">
        <v>811</v>
      </c>
      <c r="T749" s="404" t="s">
        <v>1220</v>
      </c>
      <c r="U749" s="941">
        <v>43</v>
      </c>
      <c r="V749" s="941">
        <v>231</v>
      </c>
      <c r="W749" s="941">
        <v>0</v>
      </c>
      <c r="X749" s="941">
        <v>0</v>
      </c>
      <c r="Y749" s="941">
        <v>0</v>
      </c>
      <c r="Z749" s="941">
        <v>0</v>
      </c>
      <c r="AA749" s="942">
        <v>43</v>
      </c>
      <c r="AB749" s="942">
        <v>231</v>
      </c>
      <c r="AC749" s="942">
        <v>0</v>
      </c>
      <c r="AD749" s="942">
        <v>0</v>
      </c>
      <c r="AE749" s="942">
        <v>0</v>
      </c>
      <c r="AF749" s="942">
        <v>0</v>
      </c>
      <c r="AG749" s="943">
        <f>comparaison_samebasis_villages[[#This Row],[previous idp_ind]]-comparaison_samebasis_villages[[#This Row],[actual idp_ind]]</f>
        <v>0</v>
      </c>
      <c r="AH749" s="943">
        <f>comparaison_samebasis_villages[[#This Row],[previous ref_ind]]-comparaison_samebasis_villages[[#This Row],[actual ref_ind]]</f>
        <v>0</v>
      </c>
      <c r="AI749" s="943">
        <f>comparaison_samebasis_villages[[#This Row],[previous ret_ind]]-comparaison_samebasis_villages[[#This Row],[actual ret_ind]]</f>
        <v>0</v>
      </c>
    </row>
    <row r="750" spans="1:35" ht="15.75" customHeight="1" x14ac:dyDescent="0.3">
      <c r="A750" s="401"/>
      <c r="B750" s="401"/>
      <c r="C750" s="401"/>
      <c r="D750" s="401"/>
      <c r="E750" s="401"/>
      <c r="F750" s="5"/>
      <c r="G750" s="401"/>
      <c r="H750" s="1093"/>
      <c r="I750" s="402"/>
      <c r="J750" s="403"/>
      <c r="K750" s="403"/>
      <c r="L750" s="1093"/>
      <c r="M750" s="401"/>
      <c r="O750" s="404" t="s">
        <v>31</v>
      </c>
      <c r="P750" s="404" t="s">
        <v>31</v>
      </c>
      <c r="Q750" s="404" t="s">
        <v>171</v>
      </c>
      <c r="R750" s="404" t="s">
        <v>171</v>
      </c>
      <c r="S750" s="404" t="s">
        <v>890</v>
      </c>
      <c r="T750" s="404" t="s">
        <v>2069</v>
      </c>
      <c r="U750" s="941">
        <v>6</v>
      </c>
      <c r="V750" s="941">
        <v>30</v>
      </c>
      <c r="W750" s="941">
        <v>0</v>
      </c>
      <c r="X750" s="941">
        <v>0</v>
      </c>
      <c r="Y750" s="941">
        <v>0</v>
      </c>
      <c r="Z750" s="941">
        <v>0</v>
      </c>
      <c r="AA750" s="942">
        <v>4</v>
      </c>
      <c r="AB750" s="942">
        <v>24</v>
      </c>
      <c r="AC750" s="942">
        <v>0</v>
      </c>
      <c r="AD750" s="942">
        <v>0</v>
      </c>
      <c r="AE750" s="942">
        <v>0</v>
      </c>
      <c r="AF750" s="942">
        <v>0</v>
      </c>
      <c r="AG750" s="943">
        <f>comparaison_samebasis_villages[[#This Row],[previous idp_ind]]-comparaison_samebasis_villages[[#This Row],[actual idp_ind]]</f>
        <v>-6</v>
      </c>
      <c r="AH750" s="943">
        <f>comparaison_samebasis_villages[[#This Row],[previous ref_ind]]-comparaison_samebasis_villages[[#This Row],[actual ref_ind]]</f>
        <v>0</v>
      </c>
      <c r="AI750" s="943">
        <f>comparaison_samebasis_villages[[#This Row],[previous ret_ind]]-comparaison_samebasis_villages[[#This Row],[actual ret_ind]]</f>
        <v>0</v>
      </c>
    </row>
    <row r="751" spans="1:35" ht="15.75" customHeight="1" x14ac:dyDescent="0.3">
      <c r="A751" s="401"/>
      <c r="B751" s="401"/>
      <c r="C751" s="401"/>
      <c r="D751" s="401"/>
      <c r="E751" s="401"/>
      <c r="F751" s="5"/>
      <c r="G751" s="401"/>
      <c r="H751" s="1093"/>
      <c r="I751" s="402"/>
      <c r="J751" s="403"/>
      <c r="K751" s="403"/>
      <c r="L751" s="1093"/>
      <c r="M751" s="401"/>
      <c r="O751" s="404" t="s">
        <v>31</v>
      </c>
      <c r="P751" s="404" t="s">
        <v>31</v>
      </c>
      <c r="Q751" s="404" t="s">
        <v>171</v>
      </c>
      <c r="R751" s="404" t="s">
        <v>171</v>
      </c>
      <c r="S751" s="404" t="s">
        <v>1286</v>
      </c>
      <c r="T751" s="404" t="s">
        <v>871</v>
      </c>
      <c r="U751" s="941">
        <v>37</v>
      </c>
      <c r="V751" s="941">
        <v>146</v>
      </c>
      <c r="W751" s="941">
        <v>0</v>
      </c>
      <c r="X751" s="941">
        <v>0</v>
      </c>
      <c r="Y751" s="941">
        <v>0</v>
      </c>
      <c r="Z751" s="941">
        <v>0</v>
      </c>
      <c r="AA751" s="942">
        <v>37</v>
      </c>
      <c r="AB751" s="942">
        <v>146</v>
      </c>
      <c r="AC751" s="942">
        <v>0</v>
      </c>
      <c r="AD751" s="942">
        <v>0</v>
      </c>
      <c r="AE751" s="942">
        <v>0</v>
      </c>
      <c r="AF751" s="942">
        <v>0</v>
      </c>
      <c r="AG751" s="943">
        <f>comparaison_samebasis_villages[[#This Row],[previous idp_ind]]-comparaison_samebasis_villages[[#This Row],[actual idp_ind]]</f>
        <v>0</v>
      </c>
      <c r="AH751" s="943">
        <f>comparaison_samebasis_villages[[#This Row],[previous ref_ind]]-comparaison_samebasis_villages[[#This Row],[actual ref_ind]]</f>
        <v>0</v>
      </c>
      <c r="AI751" s="943">
        <f>comparaison_samebasis_villages[[#This Row],[previous ret_ind]]-comparaison_samebasis_villages[[#This Row],[actual ret_ind]]</f>
        <v>0</v>
      </c>
    </row>
    <row r="752" spans="1:35" ht="15.75" customHeight="1" x14ac:dyDescent="0.3">
      <c r="A752" s="401"/>
      <c r="B752" s="401"/>
      <c r="C752" s="401"/>
      <c r="D752" s="401"/>
      <c r="E752" s="401"/>
      <c r="F752" s="5"/>
      <c r="G752" s="401"/>
      <c r="H752" s="1093"/>
      <c r="I752" s="402"/>
      <c r="J752" s="403"/>
      <c r="K752" s="403"/>
      <c r="L752" s="1093"/>
      <c r="M752" s="401"/>
      <c r="O752" s="404" t="s">
        <v>31</v>
      </c>
      <c r="P752" s="404" t="s">
        <v>31</v>
      </c>
      <c r="Q752" s="404" t="s">
        <v>171</v>
      </c>
      <c r="R752" s="404" t="s">
        <v>171</v>
      </c>
      <c r="S752" s="404" t="s">
        <v>1282</v>
      </c>
      <c r="T752" s="404" t="s">
        <v>3015</v>
      </c>
      <c r="U752" s="941">
        <v>7</v>
      </c>
      <c r="V752" s="941">
        <v>47</v>
      </c>
      <c r="W752" s="941">
        <v>0</v>
      </c>
      <c r="X752" s="941">
        <v>0</v>
      </c>
      <c r="Y752" s="941">
        <v>0</v>
      </c>
      <c r="Z752" s="941">
        <v>0</v>
      </c>
      <c r="AA752" s="942">
        <v>7</v>
      </c>
      <c r="AB752" s="942">
        <v>47</v>
      </c>
      <c r="AC752" s="942">
        <v>0</v>
      </c>
      <c r="AD752" s="942">
        <v>0</v>
      </c>
      <c r="AE752" s="942">
        <v>0</v>
      </c>
      <c r="AF752" s="942">
        <v>0</v>
      </c>
      <c r="AG752" s="943">
        <f>comparaison_samebasis_villages[[#This Row],[previous idp_ind]]-comparaison_samebasis_villages[[#This Row],[actual idp_ind]]</f>
        <v>0</v>
      </c>
      <c r="AH752" s="943">
        <f>comparaison_samebasis_villages[[#This Row],[previous ref_ind]]-comparaison_samebasis_villages[[#This Row],[actual ref_ind]]</f>
        <v>0</v>
      </c>
      <c r="AI752" s="943">
        <f>comparaison_samebasis_villages[[#This Row],[previous ret_ind]]-comparaison_samebasis_villages[[#This Row],[actual ret_ind]]</f>
        <v>0</v>
      </c>
    </row>
    <row r="753" spans="1:35" ht="15.75" customHeight="1" x14ac:dyDescent="0.3">
      <c r="A753" s="401"/>
      <c r="B753" s="401"/>
      <c r="C753" s="401"/>
      <c r="D753" s="401"/>
      <c r="E753" s="401"/>
      <c r="F753" s="5"/>
      <c r="G753" s="401"/>
      <c r="H753" s="1093"/>
      <c r="I753" s="402"/>
      <c r="J753" s="403"/>
      <c r="K753" s="403"/>
      <c r="L753" s="1093"/>
      <c r="M753" s="401"/>
      <c r="O753" s="399" t="s">
        <v>31</v>
      </c>
      <c r="P753" s="399" t="s">
        <v>31</v>
      </c>
      <c r="Q753" s="399" t="s">
        <v>171</v>
      </c>
      <c r="R753" s="399" t="s">
        <v>171</v>
      </c>
      <c r="S753" s="399" t="s">
        <v>1925</v>
      </c>
      <c r="T753" s="399" t="s">
        <v>1222</v>
      </c>
      <c r="U753" s="941">
        <v>36</v>
      </c>
      <c r="V753" s="941">
        <v>235</v>
      </c>
      <c r="W753" s="941">
        <v>0</v>
      </c>
      <c r="X753" s="941">
        <v>0</v>
      </c>
      <c r="Y753" s="941">
        <v>0</v>
      </c>
      <c r="Z753" s="941">
        <v>0</v>
      </c>
      <c r="AA753" s="942">
        <v>32</v>
      </c>
      <c r="AB753" s="942">
        <v>224</v>
      </c>
      <c r="AC753" s="942">
        <v>0</v>
      </c>
      <c r="AD753" s="942">
        <v>0</v>
      </c>
      <c r="AE753" s="942">
        <v>0</v>
      </c>
      <c r="AF753" s="942">
        <v>0</v>
      </c>
      <c r="AG753" s="943">
        <f>comparaison_samebasis_villages[[#This Row],[previous idp_ind]]-comparaison_samebasis_villages[[#This Row],[actual idp_ind]]</f>
        <v>-11</v>
      </c>
      <c r="AH753" s="943">
        <f>comparaison_samebasis_villages[[#This Row],[previous ref_ind]]-comparaison_samebasis_villages[[#This Row],[actual ref_ind]]</f>
        <v>0</v>
      </c>
      <c r="AI753" s="943">
        <f>comparaison_samebasis_villages[[#This Row],[previous ret_ind]]-comparaison_samebasis_villages[[#This Row],[actual ret_ind]]</f>
        <v>0</v>
      </c>
    </row>
    <row r="754" spans="1:35" ht="15.75" customHeight="1" x14ac:dyDescent="0.3">
      <c r="A754" s="401"/>
      <c r="B754" s="401"/>
      <c r="C754" s="401"/>
      <c r="D754" s="401"/>
      <c r="E754" s="401"/>
      <c r="F754" s="5"/>
      <c r="G754" s="401"/>
      <c r="H754" s="1093"/>
      <c r="I754" s="402"/>
      <c r="J754" s="403"/>
      <c r="K754" s="403"/>
      <c r="L754" s="1093"/>
      <c r="M754" s="401"/>
      <c r="O754" s="404" t="s">
        <v>31</v>
      </c>
      <c r="P754" s="404" t="s">
        <v>31</v>
      </c>
      <c r="Q754" s="404" t="s">
        <v>171</v>
      </c>
      <c r="R754" s="404" t="s">
        <v>171</v>
      </c>
      <c r="S754" s="404" t="s">
        <v>1983</v>
      </c>
      <c r="T754" s="404" t="s">
        <v>812</v>
      </c>
      <c r="U754" s="941">
        <v>26</v>
      </c>
      <c r="V754" s="941">
        <v>147</v>
      </c>
      <c r="W754" s="941">
        <v>0</v>
      </c>
      <c r="X754" s="941">
        <v>0</v>
      </c>
      <c r="Y754" s="941">
        <v>0</v>
      </c>
      <c r="Z754" s="941">
        <v>0</v>
      </c>
      <c r="AA754" s="942">
        <v>23</v>
      </c>
      <c r="AB754" s="942">
        <v>137</v>
      </c>
      <c r="AC754" s="942">
        <v>0</v>
      </c>
      <c r="AD754" s="942">
        <v>0</v>
      </c>
      <c r="AE754" s="942">
        <v>0</v>
      </c>
      <c r="AF754" s="942">
        <v>0</v>
      </c>
      <c r="AG754" s="943">
        <f>comparaison_samebasis_villages[[#This Row],[previous idp_ind]]-comparaison_samebasis_villages[[#This Row],[actual idp_ind]]</f>
        <v>-10</v>
      </c>
      <c r="AH754" s="943">
        <f>comparaison_samebasis_villages[[#This Row],[previous ref_ind]]-comparaison_samebasis_villages[[#This Row],[actual ref_ind]]</f>
        <v>0</v>
      </c>
      <c r="AI754" s="943">
        <f>comparaison_samebasis_villages[[#This Row],[previous ret_ind]]-comparaison_samebasis_villages[[#This Row],[actual ret_ind]]</f>
        <v>0</v>
      </c>
    </row>
    <row r="755" spans="1:35" ht="15.75" customHeight="1" x14ac:dyDescent="0.3">
      <c r="A755" s="401"/>
      <c r="B755" s="401"/>
      <c r="C755" s="401"/>
      <c r="D755" s="401"/>
      <c r="E755" s="401"/>
      <c r="F755" s="5"/>
      <c r="G755" s="401"/>
      <c r="H755" s="1093"/>
      <c r="I755" s="402"/>
      <c r="J755" s="403"/>
      <c r="K755" s="403"/>
      <c r="L755" s="1093"/>
      <c r="M755" s="401"/>
      <c r="O755" s="404" t="s">
        <v>31</v>
      </c>
      <c r="P755" s="404" t="s">
        <v>31</v>
      </c>
      <c r="Q755" s="404" t="s">
        <v>171</v>
      </c>
      <c r="R755" s="404" t="s">
        <v>171</v>
      </c>
      <c r="S755" s="404" t="s">
        <v>892</v>
      </c>
      <c r="T755" s="404" t="s">
        <v>1997</v>
      </c>
      <c r="U755" s="941">
        <v>5</v>
      </c>
      <c r="V755" s="941">
        <v>31</v>
      </c>
      <c r="W755" s="941">
        <v>0</v>
      </c>
      <c r="X755" s="941">
        <v>0</v>
      </c>
      <c r="Y755" s="941">
        <v>0</v>
      </c>
      <c r="Z755" s="941">
        <v>0</v>
      </c>
      <c r="AA755" s="942">
        <v>3</v>
      </c>
      <c r="AB755" s="942">
        <v>20</v>
      </c>
      <c r="AC755" s="942">
        <v>0</v>
      </c>
      <c r="AD755" s="942">
        <v>0</v>
      </c>
      <c r="AE755" s="942">
        <v>0</v>
      </c>
      <c r="AF755" s="942">
        <v>0</v>
      </c>
      <c r="AG755" s="943">
        <f>comparaison_samebasis_villages[[#This Row],[previous idp_ind]]-comparaison_samebasis_villages[[#This Row],[actual idp_ind]]</f>
        <v>-11</v>
      </c>
      <c r="AH755" s="943">
        <f>comparaison_samebasis_villages[[#This Row],[previous ref_ind]]-comparaison_samebasis_villages[[#This Row],[actual ref_ind]]</f>
        <v>0</v>
      </c>
      <c r="AI755" s="943">
        <f>comparaison_samebasis_villages[[#This Row],[previous ret_ind]]-comparaison_samebasis_villages[[#This Row],[actual ret_ind]]</f>
        <v>0</v>
      </c>
    </row>
    <row r="756" spans="1:35" ht="15.75" customHeight="1" x14ac:dyDescent="0.3">
      <c r="A756" s="401"/>
      <c r="B756" s="401"/>
      <c r="C756" s="401"/>
      <c r="D756" s="401"/>
      <c r="E756" s="401"/>
      <c r="F756" s="5"/>
      <c r="G756" s="401"/>
      <c r="H756" s="1093"/>
      <c r="I756" s="402"/>
      <c r="J756" s="403"/>
      <c r="K756" s="403"/>
      <c r="L756" s="1093"/>
      <c r="M756" s="401"/>
      <c r="O756" s="404" t="s">
        <v>31</v>
      </c>
      <c r="P756" s="404" t="s">
        <v>31</v>
      </c>
      <c r="Q756" s="404" t="s">
        <v>171</v>
      </c>
      <c r="R756" s="404" t="s">
        <v>171</v>
      </c>
      <c r="S756" s="404" t="s">
        <v>1249</v>
      </c>
      <c r="T756" s="404" t="s">
        <v>2200</v>
      </c>
      <c r="U756" s="941">
        <v>326</v>
      </c>
      <c r="V756" s="941">
        <v>3143</v>
      </c>
      <c r="W756" s="941">
        <v>74</v>
      </c>
      <c r="X756" s="941">
        <v>240</v>
      </c>
      <c r="Y756" s="941">
        <v>0</v>
      </c>
      <c r="Z756" s="941">
        <v>0</v>
      </c>
      <c r="AA756" s="942">
        <v>315</v>
      </c>
      <c r="AB756" s="942">
        <v>3120</v>
      </c>
      <c r="AC756" s="942">
        <v>0</v>
      </c>
      <c r="AD756" s="942">
        <v>0</v>
      </c>
      <c r="AE756" s="942">
        <v>0</v>
      </c>
      <c r="AF756" s="942">
        <v>0</v>
      </c>
      <c r="AG756" s="943">
        <f>comparaison_samebasis_villages[[#This Row],[previous idp_ind]]-comparaison_samebasis_villages[[#This Row],[actual idp_ind]]</f>
        <v>-23</v>
      </c>
      <c r="AH756" s="943">
        <f>comparaison_samebasis_villages[[#This Row],[previous ref_ind]]-comparaison_samebasis_villages[[#This Row],[actual ref_ind]]</f>
        <v>-240</v>
      </c>
      <c r="AI756" s="943">
        <f>comparaison_samebasis_villages[[#This Row],[previous ret_ind]]-comparaison_samebasis_villages[[#This Row],[actual ret_ind]]</f>
        <v>0</v>
      </c>
    </row>
    <row r="757" spans="1:35" ht="15.75" customHeight="1" x14ac:dyDescent="0.3">
      <c r="A757" s="401"/>
      <c r="B757" s="401"/>
      <c r="C757" s="401"/>
      <c r="D757" s="401"/>
      <c r="E757" s="401"/>
      <c r="F757" s="5"/>
      <c r="G757" s="401"/>
      <c r="H757" s="1093"/>
      <c r="I757" s="402"/>
      <c r="J757" s="403"/>
      <c r="K757" s="403"/>
      <c r="L757" s="1093"/>
      <c r="M757" s="401"/>
      <c r="O757" s="404" t="s">
        <v>31</v>
      </c>
      <c r="P757" s="404" t="s">
        <v>31</v>
      </c>
      <c r="Q757" s="404" t="s">
        <v>171</v>
      </c>
      <c r="R757" s="404" t="s">
        <v>171</v>
      </c>
      <c r="S757" s="404" t="s">
        <v>1346</v>
      </c>
      <c r="T757" s="404" t="s">
        <v>2890</v>
      </c>
      <c r="U757" s="941">
        <v>13</v>
      </c>
      <c r="V757" s="941">
        <v>86</v>
      </c>
      <c r="W757" s="941">
        <v>15</v>
      </c>
      <c r="X757" s="941">
        <v>115</v>
      </c>
      <c r="Y757" s="941">
        <v>0</v>
      </c>
      <c r="Z757" s="941">
        <v>0</v>
      </c>
      <c r="AA757" s="942">
        <v>13</v>
      </c>
      <c r="AB757" s="942">
        <v>86</v>
      </c>
      <c r="AC757" s="942">
        <v>15</v>
      </c>
      <c r="AD757" s="942">
        <v>115</v>
      </c>
      <c r="AE757" s="942">
        <v>0</v>
      </c>
      <c r="AF757" s="942">
        <v>0</v>
      </c>
      <c r="AG757" s="943">
        <f>comparaison_samebasis_villages[[#This Row],[previous idp_ind]]-comparaison_samebasis_villages[[#This Row],[actual idp_ind]]</f>
        <v>0</v>
      </c>
      <c r="AH757" s="943">
        <f>comparaison_samebasis_villages[[#This Row],[previous ref_ind]]-comparaison_samebasis_villages[[#This Row],[actual ref_ind]]</f>
        <v>0</v>
      </c>
      <c r="AI757" s="943">
        <f>comparaison_samebasis_villages[[#This Row],[previous ret_ind]]-comparaison_samebasis_villages[[#This Row],[actual ret_ind]]</f>
        <v>0</v>
      </c>
    </row>
    <row r="758" spans="1:35" ht="15.75" customHeight="1" x14ac:dyDescent="0.3">
      <c r="A758" s="401"/>
      <c r="B758" s="401"/>
      <c r="C758" s="401"/>
      <c r="D758" s="401"/>
      <c r="E758" s="401"/>
      <c r="F758" s="5"/>
      <c r="G758" s="401"/>
      <c r="H758" s="1093"/>
      <c r="I758" s="402"/>
      <c r="J758" s="403"/>
      <c r="K758" s="403"/>
      <c r="L758" s="1093"/>
      <c r="M758" s="401"/>
      <c r="O758" s="399" t="s">
        <v>31</v>
      </c>
      <c r="P758" s="399" t="s">
        <v>31</v>
      </c>
      <c r="Q758" s="399" t="s">
        <v>171</v>
      </c>
      <c r="R758" s="399" t="s">
        <v>171</v>
      </c>
      <c r="S758" s="399" t="s">
        <v>1742</v>
      </c>
      <c r="T758" s="399" t="s">
        <v>1022</v>
      </c>
      <c r="U758" s="941">
        <v>3</v>
      </c>
      <c r="V758" s="941">
        <v>16</v>
      </c>
      <c r="W758" s="941">
        <v>51</v>
      </c>
      <c r="X758" s="941">
        <v>431</v>
      </c>
      <c r="Y758" s="941">
        <v>0</v>
      </c>
      <c r="Z758" s="941">
        <v>0</v>
      </c>
      <c r="AA758" s="942">
        <v>3</v>
      </c>
      <c r="AB758" s="942">
        <v>16</v>
      </c>
      <c r="AC758" s="942">
        <v>51</v>
      </c>
      <c r="AD758" s="942">
        <v>431</v>
      </c>
      <c r="AE758" s="942">
        <v>0</v>
      </c>
      <c r="AF758" s="942">
        <v>0</v>
      </c>
      <c r="AG758" s="943">
        <f>comparaison_samebasis_villages[[#This Row],[previous idp_ind]]-comparaison_samebasis_villages[[#This Row],[actual idp_ind]]</f>
        <v>0</v>
      </c>
      <c r="AH758" s="943">
        <f>comparaison_samebasis_villages[[#This Row],[previous ref_ind]]-comparaison_samebasis_villages[[#This Row],[actual ref_ind]]</f>
        <v>0</v>
      </c>
      <c r="AI758" s="943">
        <f>comparaison_samebasis_villages[[#This Row],[previous ret_ind]]-comparaison_samebasis_villages[[#This Row],[actual ret_ind]]</f>
        <v>0</v>
      </c>
    </row>
    <row r="759" spans="1:35" ht="15.75" customHeight="1" x14ac:dyDescent="0.3">
      <c r="A759" s="401"/>
      <c r="B759" s="401"/>
      <c r="C759" s="401"/>
      <c r="D759" s="401"/>
      <c r="E759" s="401"/>
      <c r="F759" s="5"/>
      <c r="G759" s="401"/>
      <c r="H759" s="1093"/>
      <c r="I759" s="402"/>
      <c r="J759" s="403"/>
      <c r="K759" s="403"/>
      <c r="L759" s="1093"/>
      <c r="M759" s="401"/>
      <c r="O759" s="399" t="s">
        <v>31</v>
      </c>
      <c r="P759" s="399" t="s">
        <v>31</v>
      </c>
      <c r="Q759" s="399" t="s">
        <v>171</v>
      </c>
      <c r="R759" s="399" t="s">
        <v>171</v>
      </c>
      <c r="S759" s="399" t="s">
        <v>1273</v>
      </c>
      <c r="T759" s="399" t="s">
        <v>1024</v>
      </c>
      <c r="U759" s="941">
        <v>7</v>
      </c>
      <c r="V759" s="941">
        <v>74</v>
      </c>
      <c r="W759" s="941">
        <v>11</v>
      </c>
      <c r="X759" s="941">
        <v>93</v>
      </c>
      <c r="Y759" s="941">
        <v>0</v>
      </c>
      <c r="Z759" s="941">
        <v>0</v>
      </c>
      <c r="AA759" s="942">
        <v>7</v>
      </c>
      <c r="AB759" s="942">
        <v>74</v>
      </c>
      <c r="AC759" s="942">
        <v>11</v>
      </c>
      <c r="AD759" s="942">
        <v>93</v>
      </c>
      <c r="AE759" s="942">
        <v>0</v>
      </c>
      <c r="AF759" s="942">
        <v>0</v>
      </c>
      <c r="AG759" s="943">
        <f>comparaison_samebasis_villages[[#This Row],[previous idp_ind]]-comparaison_samebasis_villages[[#This Row],[actual idp_ind]]</f>
        <v>0</v>
      </c>
      <c r="AH759" s="943">
        <f>comparaison_samebasis_villages[[#This Row],[previous ref_ind]]-comparaison_samebasis_villages[[#This Row],[actual ref_ind]]</f>
        <v>0</v>
      </c>
      <c r="AI759" s="943">
        <f>comparaison_samebasis_villages[[#This Row],[previous ret_ind]]-comparaison_samebasis_villages[[#This Row],[actual ret_ind]]</f>
        <v>0</v>
      </c>
    </row>
    <row r="760" spans="1:35" ht="15.75" customHeight="1" x14ac:dyDescent="0.3">
      <c r="A760" s="401"/>
      <c r="B760" s="401"/>
      <c r="C760" s="401"/>
      <c r="D760" s="401"/>
      <c r="E760" s="401"/>
      <c r="F760" s="5"/>
      <c r="G760" s="401"/>
      <c r="H760" s="1093"/>
      <c r="I760" s="402"/>
      <c r="J760" s="403"/>
      <c r="K760" s="403"/>
      <c r="L760" s="1093"/>
      <c r="M760" s="401"/>
      <c r="O760" s="399" t="s">
        <v>31</v>
      </c>
      <c r="P760" s="399" t="s">
        <v>31</v>
      </c>
      <c r="Q760" s="399" t="s">
        <v>171</v>
      </c>
      <c r="R760" s="399" t="s">
        <v>171</v>
      </c>
      <c r="S760" s="399" t="s">
        <v>2626</v>
      </c>
      <c r="T760" s="399" t="s">
        <v>2862</v>
      </c>
      <c r="U760" s="941">
        <v>0</v>
      </c>
      <c r="V760" s="941">
        <v>0</v>
      </c>
      <c r="W760" s="941">
        <v>0</v>
      </c>
      <c r="X760" s="941">
        <v>0</v>
      </c>
      <c r="Y760" s="941">
        <v>0</v>
      </c>
      <c r="Z760" s="941">
        <v>0</v>
      </c>
      <c r="AA760" s="942">
        <v>0</v>
      </c>
      <c r="AB760" s="942">
        <v>0</v>
      </c>
      <c r="AC760" s="942">
        <v>0</v>
      </c>
      <c r="AD760" s="942">
        <v>0</v>
      </c>
      <c r="AE760" s="942">
        <v>0</v>
      </c>
      <c r="AF760" s="942">
        <v>0</v>
      </c>
      <c r="AG760" s="943">
        <f>comparaison_samebasis_villages[[#This Row],[previous idp_ind]]-comparaison_samebasis_villages[[#This Row],[actual idp_ind]]</f>
        <v>0</v>
      </c>
      <c r="AH760" s="943">
        <f>comparaison_samebasis_villages[[#This Row],[previous ref_ind]]-comparaison_samebasis_villages[[#This Row],[actual ref_ind]]</f>
        <v>0</v>
      </c>
      <c r="AI760" s="943">
        <f>comparaison_samebasis_villages[[#This Row],[previous ret_ind]]-comparaison_samebasis_villages[[#This Row],[actual ret_ind]]</f>
        <v>0</v>
      </c>
    </row>
    <row r="761" spans="1:35" ht="15.75" customHeight="1" x14ac:dyDescent="0.3">
      <c r="A761" s="401"/>
      <c r="B761" s="401"/>
      <c r="C761" s="401"/>
      <c r="D761" s="401"/>
      <c r="E761" s="401"/>
      <c r="F761" s="5"/>
      <c r="G761" s="401"/>
      <c r="H761" s="1093"/>
      <c r="I761" s="402"/>
      <c r="J761" s="403"/>
      <c r="K761" s="403"/>
      <c r="L761" s="1093"/>
      <c r="M761" s="401"/>
      <c r="O761" s="404" t="s">
        <v>31</v>
      </c>
      <c r="P761" s="404" t="s">
        <v>31</v>
      </c>
      <c r="Q761" s="404" t="s">
        <v>171</v>
      </c>
      <c r="R761" s="404" t="s">
        <v>171</v>
      </c>
      <c r="S761" s="404" t="s">
        <v>1444</v>
      </c>
      <c r="T761" s="404" t="s">
        <v>2623</v>
      </c>
      <c r="U761" s="941">
        <v>10</v>
      </c>
      <c r="V761" s="941">
        <v>20</v>
      </c>
      <c r="W761" s="941">
        <v>0</v>
      </c>
      <c r="X761" s="941">
        <v>0</v>
      </c>
      <c r="Y761" s="941">
        <v>0</v>
      </c>
      <c r="Z761" s="941">
        <v>0</v>
      </c>
      <c r="AA761" s="942">
        <v>4</v>
      </c>
      <c r="AB761" s="942">
        <v>12</v>
      </c>
      <c r="AC761" s="942">
        <v>0</v>
      </c>
      <c r="AD761" s="942">
        <v>0</v>
      </c>
      <c r="AE761" s="942">
        <v>0</v>
      </c>
      <c r="AF761" s="942">
        <v>0</v>
      </c>
      <c r="AG761" s="943">
        <f>comparaison_samebasis_villages[[#This Row],[previous idp_ind]]-comparaison_samebasis_villages[[#This Row],[actual idp_ind]]</f>
        <v>-8</v>
      </c>
      <c r="AH761" s="943">
        <f>comparaison_samebasis_villages[[#This Row],[previous ref_ind]]-comparaison_samebasis_villages[[#This Row],[actual ref_ind]]</f>
        <v>0</v>
      </c>
      <c r="AI761" s="943">
        <f>comparaison_samebasis_villages[[#This Row],[previous ret_ind]]-comparaison_samebasis_villages[[#This Row],[actual ret_ind]]</f>
        <v>0</v>
      </c>
    </row>
    <row r="762" spans="1:35" ht="15.75" customHeight="1" x14ac:dyDescent="0.3">
      <c r="A762" s="401"/>
      <c r="B762" s="401"/>
      <c r="C762" s="401"/>
      <c r="D762" s="401"/>
      <c r="E762" s="401"/>
      <c r="F762" s="5"/>
      <c r="G762" s="401"/>
      <c r="H762" s="1093"/>
      <c r="I762" s="402"/>
      <c r="J762" s="403"/>
      <c r="K762" s="403"/>
      <c r="L762" s="1093"/>
      <c r="M762" s="401"/>
      <c r="O762" s="404" t="s">
        <v>31</v>
      </c>
      <c r="P762" s="404" t="s">
        <v>31</v>
      </c>
      <c r="Q762" s="404" t="s">
        <v>171</v>
      </c>
      <c r="R762" s="404" t="s">
        <v>171</v>
      </c>
      <c r="S762" s="404" t="s">
        <v>1159</v>
      </c>
      <c r="T762" s="404" t="s">
        <v>849</v>
      </c>
      <c r="U762" s="941">
        <v>21</v>
      </c>
      <c r="V762" s="941">
        <v>119</v>
      </c>
      <c r="W762" s="941">
        <v>2</v>
      </c>
      <c r="X762" s="941">
        <v>11</v>
      </c>
      <c r="Y762" s="941">
        <v>0</v>
      </c>
      <c r="Z762" s="941">
        <v>0</v>
      </c>
      <c r="AA762" s="942">
        <v>21</v>
      </c>
      <c r="AB762" s="942">
        <v>119</v>
      </c>
      <c r="AC762" s="942">
        <v>19</v>
      </c>
      <c r="AD762" s="942">
        <v>129</v>
      </c>
      <c r="AE762" s="942">
        <v>0</v>
      </c>
      <c r="AF762" s="942">
        <v>0</v>
      </c>
      <c r="AG762" s="943">
        <f>comparaison_samebasis_villages[[#This Row],[previous idp_ind]]-comparaison_samebasis_villages[[#This Row],[actual idp_ind]]</f>
        <v>0</v>
      </c>
      <c r="AH762" s="943">
        <f>comparaison_samebasis_villages[[#This Row],[previous ref_ind]]-comparaison_samebasis_villages[[#This Row],[actual ref_ind]]</f>
        <v>118</v>
      </c>
      <c r="AI762" s="943">
        <f>comparaison_samebasis_villages[[#This Row],[previous ret_ind]]-comparaison_samebasis_villages[[#This Row],[actual ret_ind]]</f>
        <v>0</v>
      </c>
    </row>
    <row r="763" spans="1:35" ht="15.75" customHeight="1" x14ac:dyDescent="0.3">
      <c r="A763" s="401"/>
      <c r="B763" s="401"/>
      <c r="C763" s="401"/>
      <c r="D763" s="401"/>
      <c r="E763" s="401"/>
      <c r="F763" s="5"/>
      <c r="G763" s="401"/>
      <c r="H763" s="1093"/>
      <c r="I763" s="402"/>
      <c r="J763" s="403"/>
      <c r="K763" s="403"/>
      <c r="L763" s="1093"/>
      <c r="M763" s="401"/>
      <c r="O763" s="399" t="s">
        <v>31</v>
      </c>
      <c r="P763" s="399" t="s">
        <v>31</v>
      </c>
      <c r="Q763" s="399" t="s">
        <v>171</v>
      </c>
      <c r="R763" s="399" t="s">
        <v>171</v>
      </c>
      <c r="S763" s="399" t="s">
        <v>1805</v>
      </c>
      <c r="T763" s="399" t="s">
        <v>1289</v>
      </c>
      <c r="U763" s="941">
        <v>49</v>
      </c>
      <c r="V763" s="941">
        <v>374</v>
      </c>
      <c r="W763" s="941">
        <v>30</v>
      </c>
      <c r="X763" s="941">
        <v>100</v>
      </c>
      <c r="Y763" s="941">
        <v>0</v>
      </c>
      <c r="Z763" s="941">
        <v>0</v>
      </c>
      <c r="AA763" s="942">
        <v>49</v>
      </c>
      <c r="AB763" s="942">
        <v>374</v>
      </c>
      <c r="AC763" s="942">
        <v>51</v>
      </c>
      <c r="AD763" s="942">
        <v>361</v>
      </c>
      <c r="AE763" s="942">
        <v>13</v>
      </c>
      <c r="AF763" s="942">
        <v>48</v>
      </c>
      <c r="AG763" s="943">
        <f>comparaison_samebasis_villages[[#This Row],[previous idp_ind]]-comparaison_samebasis_villages[[#This Row],[actual idp_ind]]</f>
        <v>0</v>
      </c>
      <c r="AH763" s="943">
        <f>comparaison_samebasis_villages[[#This Row],[previous ref_ind]]-comparaison_samebasis_villages[[#This Row],[actual ref_ind]]</f>
        <v>261</v>
      </c>
      <c r="AI763" s="943">
        <f>comparaison_samebasis_villages[[#This Row],[previous ret_ind]]-comparaison_samebasis_villages[[#This Row],[actual ret_ind]]</f>
        <v>48</v>
      </c>
    </row>
    <row r="764" spans="1:35" ht="15.75" customHeight="1" x14ac:dyDescent="0.3">
      <c r="A764" s="401"/>
      <c r="B764" s="401"/>
      <c r="C764" s="401"/>
      <c r="D764" s="401"/>
      <c r="E764" s="401"/>
      <c r="F764" s="5"/>
      <c r="G764" s="401"/>
      <c r="H764" s="1093"/>
      <c r="I764" s="402"/>
      <c r="J764" s="403"/>
      <c r="K764" s="403"/>
      <c r="L764" s="1093"/>
      <c r="M764" s="401"/>
      <c r="O764" s="399" t="s">
        <v>31</v>
      </c>
      <c r="P764" s="399" t="s">
        <v>31</v>
      </c>
      <c r="Q764" s="399" t="s">
        <v>171</v>
      </c>
      <c r="R764" s="399" t="s">
        <v>171</v>
      </c>
      <c r="S764" s="399" t="s">
        <v>2628</v>
      </c>
      <c r="T764" s="399" t="s">
        <v>1788</v>
      </c>
      <c r="U764" s="941">
        <v>0</v>
      </c>
      <c r="V764" s="941">
        <v>0</v>
      </c>
      <c r="W764" s="941">
        <v>0</v>
      </c>
      <c r="X764" s="941">
        <v>0</v>
      </c>
      <c r="Y764" s="941">
        <v>0</v>
      </c>
      <c r="Z764" s="941">
        <v>0</v>
      </c>
      <c r="AA764" s="942">
        <v>0</v>
      </c>
      <c r="AB764" s="942">
        <v>0</v>
      </c>
      <c r="AC764" s="942">
        <v>0</v>
      </c>
      <c r="AD764" s="942">
        <v>0</v>
      </c>
      <c r="AE764" s="942">
        <v>0</v>
      </c>
      <c r="AF764" s="942">
        <v>0</v>
      </c>
      <c r="AG764" s="943">
        <f>comparaison_samebasis_villages[[#This Row],[previous idp_ind]]-comparaison_samebasis_villages[[#This Row],[actual idp_ind]]</f>
        <v>0</v>
      </c>
      <c r="AH764" s="943">
        <f>comparaison_samebasis_villages[[#This Row],[previous ref_ind]]-comparaison_samebasis_villages[[#This Row],[actual ref_ind]]</f>
        <v>0</v>
      </c>
      <c r="AI764" s="943">
        <f>comparaison_samebasis_villages[[#This Row],[previous ret_ind]]-comparaison_samebasis_villages[[#This Row],[actual ret_ind]]</f>
        <v>0</v>
      </c>
    </row>
    <row r="765" spans="1:35" ht="15.75" customHeight="1" x14ac:dyDescent="0.3">
      <c r="A765" s="401"/>
      <c r="B765" s="401"/>
      <c r="C765" s="401"/>
      <c r="D765" s="401"/>
      <c r="E765" s="401"/>
      <c r="F765" s="5"/>
      <c r="G765" s="401"/>
      <c r="H765" s="1093"/>
      <c r="I765" s="402"/>
      <c r="J765" s="403"/>
      <c r="K765" s="403"/>
      <c r="L765" s="1093"/>
      <c r="M765" s="401"/>
      <c r="O765" s="404" t="s">
        <v>31</v>
      </c>
      <c r="P765" s="404" t="s">
        <v>31</v>
      </c>
      <c r="Q765" s="404" t="s">
        <v>171</v>
      </c>
      <c r="R765" s="404" t="s">
        <v>171</v>
      </c>
      <c r="S765" s="404" t="s">
        <v>2630</v>
      </c>
      <c r="T765" s="404" t="s">
        <v>3013</v>
      </c>
      <c r="U765" s="941">
        <v>0</v>
      </c>
      <c r="V765" s="941">
        <v>0</v>
      </c>
      <c r="W765" s="941">
        <v>0</v>
      </c>
      <c r="X765" s="941">
        <v>0</v>
      </c>
      <c r="Y765" s="941">
        <v>0</v>
      </c>
      <c r="Z765" s="941">
        <v>0</v>
      </c>
      <c r="AA765" s="942">
        <v>0</v>
      </c>
      <c r="AB765" s="942">
        <v>0</v>
      </c>
      <c r="AC765" s="942">
        <v>0</v>
      </c>
      <c r="AD765" s="942">
        <v>0</v>
      </c>
      <c r="AE765" s="942">
        <v>0</v>
      </c>
      <c r="AF765" s="942">
        <v>0</v>
      </c>
      <c r="AG765" s="943">
        <f>comparaison_samebasis_villages[[#This Row],[previous idp_ind]]-comparaison_samebasis_villages[[#This Row],[actual idp_ind]]</f>
        <v>0</v>
      </c>
      <c r="AH765" s="943">
        <f>comparaison_samebasis_villages[[#This Row],[previous ref_ind]]-comparaison_samebasis_villages[[#This Row],[actual ref_ind]]</f>
        <v>0</v>
      </c>
      <c r="AI765" s="943">
        <f>comparaison_samebasis_villages[[#This Row],[previous ret_ind]]-comparaison_samebasis_villages[[#This Row],[actual ret_ind]]</f>
        <v>0</v>
      </c>
    </row>
    <row r="766" spans="1:35" ht="15.75" customHeight="1" x14ac:dyDescent="0.3">
      <c r="A766" s="401"/>
      <c r="B766" s="401"/>
      <c r="C766" s="401"/>
      <c r="D766" s="401"/>
      <c r="E766" s="401"/>
      <c r="F766" s="5"/>
      <c r="G766" s="401"/>
      <c r="H766" s="1093"/>
      <c r="I766" s="402"/>
      <c r="J766" s="403"/>
      <c r="K766" s="403"/>
      <c r="L766" s="1093"/>
      <c r="M766" s="401"/>
      <c r="O766" s="404" t="s">
        <v>31</v>
      </c>
      <c r="P766" s="404" t="s">
        <v>31</v>
      </c>
      <c r="Q766" s="404" t="s">
        <v>171</v>
      </c>
      <c r="R766" s="404" t="s">
        <v>171</v>
      </c>
      <c r="S766" s="404" t="s">
        <v>2632</v>
      </c>
      <c r="T766" s="404" t="s">
        <v>1885</v>
      </c>
      <c r="U766" s="941">
        <v>0</v>
      </c>
      <c r="V766" s="941">
        <v>0</v>
      </c>
      <c r="W766" s="941">
        <v>0</v>
      </c>
      <c r="X766" s="941">
        <v>0</v>
      </c>
      <c r="Y766" s="941">
        <v>0</v>
      </c>
      <c r="Z766" s="941">
        <v>0</v>
      </c>
      <c r="AA766" s="942">
        <v>0</v>
      </c>
      <c r="AB766" s="942">
        <v>0</v>
      </c>
      <c r="AC766" s="942">
        <v>0</v>
      </c>
      <c r="AD766" s="942">
        <v>0</v>
      </c>
      <c r="AE766" s="942">
        <v>0</v>
      </c>
      <c r="AF766" s="942">
        <v>0</v>
      </c>
      <c r="AG766" s="943">
        <f>comparaison_samebasis_villages[[#This Row],[previous idp_ind]]-comparaison_samebasis_villages[[#This Row],[actual idp_ind]]</f>
        <v>0</v>
      </c>
      <c r="AH766" s="943">
        <f>comparaison_samebasis_villages[[#This Row],[previous ref_ind]]-comparaison_samebasis_villages[[#This Row],[actual ref_ind]]</f>
        <v>0</v>
      </c>
      <c r="AI766" s="943">
        <f>comparaison_samebasis_villages[[#This Row],[previous ret_ind]]-comparaison_samebasis_villages[[#This Row],[actual ret_ind]]</f>
        <v>0</v>
      </c>
    </row>
    <row r="767" spans="1:35" ht="15.75" customHeight="1" x14ac:dyDescent="0.3">
      <c r="A767" s="401"/>
      <c r="B767" s="401"/>
      <c r="C767" s="401"/>
      <c r="D767" s="401"/>
      <c r="E767" s="401"/>
      <c r="F767" s="5"/>
      <c r="G767" s="401"/>
      <c r="H767" s="1093"/>
      <c r="I767" s="402"/>
      <c r="J767" s="403"/>
      <c r="K767" s="403"/>
      <c r="L767" s="1093"/>
      <c r="M767" s="401"/>
      <c r="O767" s="404" t="s">
        <v>31</v>
      </c>
      <c r="P767" s="404" t="s">
        <v>31</v>
      </c>
      <c r="Q767" s="404" t="s">
        <v>171</v>
      </c>
      <c r="R767" s="404" t="s">
        <v>171</v>
      </c>
      <c r="S767" s="404" t="s">
        <v>2633</v>
      </c>
      <c r="T767" s="404" t="s">
        <v>1242</v>
      </c>
      <c r="U767" s="941">
        <v>0</v>
      </c>
      <c r="V767" s="941">
        <v>0</v>
      </c>
      <c r="W767" s="941">
        <v>0</v>
      </c>
      <c r="X767" s="941">
        <v>0</v>
      </c>
      <c r="Y767" s="941">
        <v>0</v>
      </c>
      <c r="Z767" s="941">
        <v>0</v>
      </c>
      <c r="AA767" s="942">
        <v>0</v>
      </c>
      <c r="AB767" s="942">
        <v>0</v>
      </c>
      <c r="AC767" s="942">
        <v>0</v>
      </c>
      <c r="AD767" s="942">
        <v>0</v>
      </c>
      <c r="AE767" s="942">
        <v>0</v>
      </c>
      <c r="AF767" s="942">
        <v>0</v>
      </c>
      <c r="AG767" s="943">
        <f>comparaison_samebasis_villages[[#This Row],[previous idp_ind]]-comparaison_samebasis_villages[[#This Row],[actual idp_ind]]</f>
        <v>0</v>
      </c>
      <c r="AH767" s="943">
        <f>comparaison_samebasis_villages[[#This Row],[previous ref_ind]]-comparaison_samebasis_villages[[#This Row],[actual ref_ind]]</f>
        <v>0</v>
      </c>
      <c r="AI767" s="943">
        <f>comparaison_samebasis_villages[[#This Row],[previous ret_ind]]-comparaison_samebasis_villages[[#This Row],[actual ret_ind]]</f>
        <v>0</v>
      </c>
    </row>
    <row r="768" spans="1:35" ht="15.75" customHeight="1" x14ac:dyDescent="0.3">
      <c r="A768" s="401"/>
      <c r="B768" s="401"/>
      <c r="C768" s="401"/>
      <c r="D768" s="401"/>
      <c r="E768" s="401"/>
      <c r="F768" s="5"/>
      <c r="G768" s="401"/>
      <c r="H768" s="1093"/>
      <c r="I768" s="402"/>
      <c r="J768" s="403"/>
      <c r="K768" s="403"/>
      <c r="L768" s="1093"/>
      <c r="M768" s="401"/>
      <c r="O768" s="404" t="s">
        <v>31</v>
      </c>
      <c r="P768" s="404" t="s">
        <v>31</v>
      </c>
      <c r="Q768" s="404" t="s">
        <v>171</v>
      </c>
      <c r="R768" s="404" t="s">
        <v>171</v>
      </c>
      <c r="S768" s="404" t="s">
        <v>2634</v>
      </c>
      <c r="T768" s="404" t="s">
        <v>877</v>
      </c>
      <c r="U768" s="941">
        <v>0</v>
      </c>
      <c r="V768" s="941">
        <v>0</v>
      </c>
      <c r="W768" s="941">
        <v>0</v>
      </c>
      <c r="X768" s="941">
        <v>0</v>
      </c>
      <c r="Y768" s="941">
        <v>0</v>
      </c>
      <c r="Z768" s="941">
        <v>0</v>
      </c>
      <c r="AA768" s="942">
        <v>0</v>
      </c>
      <c r="AB768" s="942">
        <v>0</v>
      </c>
      <c r="AC768" s="942">
        <v>0</v>
      </c>
      <c r="AD768" s="942">
        <v>0</v>
      </c>
      <c r="AE768" s="942">
        <v>0</v>
      </c>
      <c r="AF768" s="942">
        <v>0</v>
      </c>
      <c r="AG768" s="943">
        <f>comparaison_samebasis_villages[[#This Row],[previous idp_ind]]-comparaison_samebasis_villages[[#This Row],[actual idp_ind]]</f>
        <v>0</v>
      </c>
      <c r="AH768" s="943">
        <f>comparaison_samebasis_villages[[#This Row],[previous ref_ind]]-comparaison_samebasis_villages[[#This Row],[actual ref_ind]]</f>
        <v>0</v>
      </c>
      <c r="AI768" s="943">
        <f>comparaison_samebasis_villages[[#This Row],[previous ret_ind]]-comparaison_samebasis_villages[[#This Row],[actual ret_ind]]</f>
        <v>0</v>
      </c>
    </row>
    <row r="769" spans="1:35" ht="15.75" customHeight="1" x14ac:dyDescent="0.3">
      <c r="A769" s="401"/>
      <c r="B769" s="401"/>
      <c r="C769" s="401"/>
      <c r="D769" s="401"/>
      <c r="E769" s="401"/>
      <c r="F769" s="5"/>
      <c r="G769" s="401"/>
      <c r="H769" s="1093"/>
      <c r="I769" s="402"/>
      <c r="J769" s="403"/>
      <c r="K769" s="403"/>
      <c r="L769" s="1093"/>
      <c r="M769" s="401"/>
      <c r="O769" s="404" t="s">
        <v>31</v>
      </c>
      <c r="P769" s="404" t="s">
        <v>31</v>
      </c>
      <c r="Q769" s="404" t="s">
        <v>171</v>
      </c>
      <c r="R769" s="404" t="s">
        <v>171</v>
      </c>
      <c r="S769" s="404" t="s">
        <v>1445</v>
      </c>
      <c r="T769" s="404" t="s">
        <v>2012</v>
      </c>
      <c r="U769" s="941">
        <v>60</v>
      </c>
      <c r="V769" s="941">
        <v>100</v>
      </c>
      <c r="W769" s="941">
        <v>0</v>
      </c>
      <c r="X769" s="941">
        <v>0</v>
      </c>
      <c r="Y769" s="941">
        <v>0</v>
      </c>
      <c r="Z769" s="941">
        <v>0</v>
      </c>
      <c r="AA769" s="942">
        <v>4</v>
      </c>
      <c r="AB769" s="942">
        <v>10</v>
      </c>
      <c r="AC769" s="942">
        <v>0</v>
      </c>
      <c r="AD769" s="942">
        <v>0</v>
      </c>
      <c r="AE769" s="942">
        <v>0</v>
      </c>
      <c r="AF769" s="942">
        <v>0</v>
      </c>
      <c r="AG769" s="943">
        <f>comparaison_samebasis_villages[[#This Row],[previous idp_ind]]-comparaison_samebasis_villages[[#This Row],[actual idp_ind]]</f>
        <v>-90</v>
      </c>
      <c r="AH769" s="943">
        <f>comparaison_samebasis_villages[[#This Row],[previous ref_ind]]-comparaison_samebasis_villages[[#This Row],[actual ref_ind]]</f>
        <v>0</v>
      </c>
      <c r="AI769" s="943">
        <f>comparaison_samebasis_villages[[#This Row],[previous ret_ind]]-comparaison_samebasis_villages[[#This Row],[actual ret_ind]]</f>
        <v>0</v>
      </c>
    </row>
    <row r="770" spans="1:35" ht="15.75" customHeight="1" x14ac:dyDescent="0.3">
      <c r="A770" s="401"/>
      <c r="B770" s="401"/>
      <c r="C770" s="401"/>
      <c r="D770" s="401"/>
      <c r="E770" s="401"/>
      <c r="F770" s="5"/>
      <c r="G770" s="401"/>
      <c r="H770" s="1093"/>
      <c r="I770" s="402"/>
      <c r="J770" s="403"/>
      <c r="K770" s="403"/>
      <c r="L770" s="1093"/>
      <c r="M770" s="401"/>
      <c r="O770" s="404" t="s">
        <v>31</v>
      </c>
      <c r="P770" s="404" t="s">
        <v>31</v>
      </c>
      <c r="Q770" s="404" t="s">
        <v>171</v>
      </c>
      <c r="R770" s="404" t="s">
        <v>171</v>
      </c>
      <c r="S770" s="404" t="s">
        <v>2275</v>
      </c>
      <c r="T770" s="404" t="s">
        <v>2831</v>
      </c>
      <c r="U770" s="941">
        <v>0</v>
      </c>
      <c r="V770" s="941">
        <v>0</v>
      </c>
      <c r="W770" s="941">
        <v>0</v>
      </c>
      <c r="X770" s="941">
        <v>0</v>
      </c>
      <c r="Y770" s="941">
        <v>117</v>
      </c>
      <c r="Z770" s="941">
        <v>117</v>
      </c>
      <c r="AA770" s="942">
        <v>0</v>
      </c>
      <c r="AB770" s="942">
        <v>0</v>
      </c>
      <c r="AC770" s="942">
        <v>0</v>
      </c>
      <c r="AD770" s="942">
        <v>0</v>
      </c>
      <c r="AE770" s="942">
        <v>117</v>
      </c>
      <c r="AF770" s="942">
        <v>774</v>
      </c>
      <c r="AG770" s="943">
        <f>comparaison_samebasis_villages[[#This Row],[previous idp_ind]]-comparaison_samebasis_villages[[#This Row],[actual idp_ind]]</f>
        <v>0</v>
      </c>
      <c r="AH770" s="943">
        <f>comparaison_samebasis_villages[[#This Row],[previous ref_ind]]-comparaison_samebasis_villages[[#This Row],[actual ref_ind]]</f>
        <v>0</v>
      </c>
      <c r="AI770" s="943">
        <f>comparaison_samebasis_villages[[#This Row],[previous ret_ind]]-comparaison_samebasis_villages[[#This Row],[actual ret_ind]]</f>
        <v>657</v>
      </c>
    </row>
    <row r="771" spans="1:35" ht="15.75" customHeight="1" x14ac:dyDescent="0.3">
      <c r="A771" s="401"/>
      <c r="B771" s="401"/>
      <c r="C771" s="401"/>
      <c r="D771" s="401"/>
      <c r="E771" s="401"/>
      <c r="F771" s="5"/>
      <c r="G771" s="401"/>
      <c r="H771" s="1093"/>
      <c r="I771" s="402"/>
      <c r="J771" s="403"/>
      <c r="K771" s="403"/>
      <c r="L771" s="1093"/>
      <c r="M771" s="401"/>
      <c r="O771" s="399" t="s">
        <v>31</v>
      </c>
      <c r="P771" s="399" t="s">
        <v>31</v>
      </c>
      <c r="Q771" s="399" t="s">
        <v>171</v>
      </c>
      <c r="R771" s="399" t="s">
        <v>171</v>
      </c>
      <c r="S771" s="399" t="s">
        <v>1356</v>
      </c>
      <c r="T771" s="399" t="s">
        <v>1287</v>
      </c>
      <c r="U771" s="941">
        <v>89</v>
      </c>
      <c r="V771" s="941">
        <v>404</v>
      </c>
      <c r="W771" s="941">
        <v>0</v>
      </c>
      <c r="X771" s="941">
        <v>0</v>
      </c>
      <c r="Y771" s="941">
        <v>0</v>
      </c>
      <c r="Z771" s="941">
        <v>0</v>
      </c>
      <c r="AA771" s="942">
        <v>70</v>
      </c>
      <c r="AB771" s="942">
        <v>374</v>
      </c>
      <c r="AC771" s="942">
        <v>0</v>
      </c>
      <c r="AD771" s="942">
        <v>0</v>
      </c>
      <c r="AE771" s="942">
        <v>0</v>
      </c>
      <c r="AF771" s="942">
        <v>0</v>
      </c>
      <c r="AG771" s="943">
        <f>comparaison_samebasis_villages[[#This Row],[previous idp_ind]]-comparaison_samebasis_villages[[#This Row],[actual idp_ind]]</f>
        <v>-30</v>
      </c>
      <c r="AH771" s="943">
        <f>comparaison_samebasis_villages[[#This Row],[previous ref_ind]]-comparaison_samebasis_villages[[#This Row],[actual ref_ind]]</f>
        <v>0</v>
      </c>
      <c r="AI771" s="943">
        <f>comparaison_samebasis_villages[[#This Row],[previous ret_ind]]-comparaison_samebasis_villages[[#This Row],[actual ret_ind]]</f>
        <v>0</v>
      </c>
    </row>
    <row r="772" spans="1:35" ht="15.75" customHeight="1" x14ac:dyDescent="0.3">
      <c r="A772" s="401"/>
      <c r="B772" s="401"/>
      <c r="C772" s="401"/>
      <c r="D772" s="401"/>
      <c r="E772" s="401"/>
      <c r="F772" s="5"/>
      <c r="G772" s="401"/>
      <c r="H772" s="1093"/>
      <c r="I772" s="402"/>
      <c r="J772" s="403"/>
      <c r="K772" s="403"/>
      <c r="L772" s="1093"/>
      <c r="M772" s="401"/>
      <c r="O772" s="404" t="s">
        <v>31</v>
      </c>
      <c r="P772" s="404" t="s">
        <v>31</v>
      </c>
      <c r="Q772" s="404" t="s">
        <v>171</v>
      </c>
      <c r="R772" s="404" t="s">
        <v>171</v>
      </c>
      <c r="S772" s="404" t="s">
        <v>1545</v>
      </c>
      <c r="T772" s="404" t="s">
        <v>2802</v>
      </c>
      <c r="U772" s="941">
        <v>15</v>
      </c>
      <c r="V772" s="941">
        <v>43</v>
      </c>
      <c r="W772" s="941">
        <v>3</v>
      </c>
      <c r="X772" s="941">
        <v>13</v>
      </c>
      <c r="Y772" s="941">
        <v>0</v>
      </c>
      <c r="Z772" s="941">
        <v>0</v>
      </c>
      <c r="AA772" s="942">
        <v>15</v>
      </c>
      <c r="AB772" s="942">
        <v>43</v>
      </c>
      <c r="AC772" s="942">
        <v>3</v>
      </c>
      <c r="AD772" s="942">
        <v>13</v>
      </c>
      <c r="AE772" s="942">
        <v>0</v>
      </c>
      <c r="AF772" s="942">
        <v>0</v>
      </c>
      <c r="AG772" s="943">
        <f>comparaison_samebasis_villages[[#This Row],[previous idp_ind]]-comparaison_samebasis_villages[[#This Row],[actual idp_ind]]</f>
        <v>0</v>
      </c>
      <c r="AH772" s="943">
        <f>comparaison_samebasis_villages[[#This Row],[previous ref_ind]]-comparaison_samebasis_villages[[#This Row],[actual ref_ind]]</f>
        <v>0</v>
      </c>
      <c r="AI772" s="943">
        <f>comparaison_samebasis_villages[[#This Row],[previous ret_ind]]-comparaison_samebasis_villages[[#This Row],[actual ret_ind]]</f>
        <v>0</v>
      </c>
    </row>
    <row r="773" spans="1:35" ht="15.75" customHeight="1" x14ac:dyDescent="0.3">
      <c r="A773" s="401"/>
      <c r="B773" s="401"/>
      <c r="C773" s="401"/>
      <c r="D773" s="401"/>
      <c r="E773" s="401"/>
      <c r="F773" s="5"/>
      <c r="G773" s="401"/>
      <c r="H773" s="1093"/>
      <c r="I773" s="402"/>
      <c r="J773" s="403"/>
      <c r="K773" s="403"/>
      <c r="L773" s="1093"/>
      <c r="M773" s="401"/>
      <c r="O773" s="404" t="s">
        <v>31</v>
      </c>
      <c r="P773" s="404" t="s">
        <v>31</v>
      </c>
      <c r="Q773" s="404" t="s">
        <v>171</v>
      </c>
      <c r="R773" s="404" t="s">
        <v>171</v>
      </c>
      <c r="S773" s="404" t="s">
        <v>1546</v>
      </c>
      <c r="T773" s="404" t="s">
        <v>1064</v>
      </c>
      <c r="U773" s="941">
        <v>45</v>
      </c>
      <c r="V773" s="941">
        <v>427</v>
      </c>
      <c r="W773" s="941">
        <v>23</v>
      </c>
      <c r="X773" s="941">
        <v>137</v>
      </c>
      <c r="Y773" s="941">
        <v>0</v>
      </c>
      <c r="Z773" s="941">
        <v>0</v>
      </c>
      <c r="AA773" s="942">
        <v>45</v>
      </c>
      <c r="AB773" s="942">
        <v>427</v>
      </c>
      <c r="AC773" s="942">
        <v>23</v>
      </c>
      <c r="AD773" s="942">
        <v>137</v>
      </c>
      <c r="AE773" s="942">
        <v>0</v>
      </c>
      <c r="AF773" s="942">
        <v>0</v>
      </c>
      <c r="AG773" s="943">
        <f>comparaison_samebasis_villages[[#This Row],[previous idp_ind]]-comparaison_samebasis_villages[[#This Row],[actual idp_ind]]</f>
        <v>0</v>
      </c>
      <c r="AH773" s="943">
        <f>comparaison_samebasis_villages[[#This Row],[previous ref_ind]]-comparaison_samebasis_villages[[#This Row],[actual ref_ind]]</f>
        <v>0</v>
      </c>
      <c r="AI773" s="943">
        <f>comparaison_samebasis_villages[[#This Row],[previous ret_ind]]-comparaison_samebasis_villages[[#This Row],[actual ret_ind]]</f>
        <v>0</v>
      </c>
    </row>
    <row r="774" spans="1:35" ht="15.75" customHeight="1" x14ac:dyDescent="0.3">
      <c r="A774" s="401"/>
      <c r="B774" s="401"/>
      <c r="C774" s="401"/>
      <c r="D774" s="401"/>
      <c r="E774" s="401"/>
      <c r="F774" s="5"/>
      <c r="G774" s="401"/>
      <c r="H774" s="1093"/>
      <c r="I774" s="402"/>
      <c r="J774" s="403"/>
      <c r="K774" s="403"/>
      <c r="L774" s="1093"/>
      <c r="M774" s="401"/>
      <c r="O774" s="404" t="s">
        <v>31</v>
      </c>
      <c r="P774" s="404" t="s">
        <v>31</v>
      </c>
      <c r="Q774" s="404" t="s">
        <v>171</v>
      </c>
      <c r="R774" s="404" t="s">
        <v>171</v>
      </c>
      <c r="S774" s="404" t="s">
        <v>2635</v>
      </c>
      <c r="T774" s="404" t="s">
        <v>1283</v>
      </c>
      <c r="U774" s="941">
        <v>0</v>
      </c>
      <c r="V774" s="941">
        <v>0</v>
      </c>
      <c r="W774" s="941">
        <v>0</v>
      </c>
      <c r="X774" s="941">
        <v>0</v>
      </c>
      <c r="Y774" s="941">
        <v>0</v>
      </c>
      <c r="Z774" s="941">
        <v>0</v>
      </c>
      <c r="AA774" s="942">
        <v>0</v>
      </c>
      <c r="AB774" s="942">
        <v>0</v>
      </c>
      <c r="AC774" s="942">
        <v>1</v>
      </c>
      <c r="AD774" s="942">
        <v>4</v>
      </c>
      <c r="AE774" s="942">
        <v>0</v>
      </c>
      <c r="AF774" s="942">
        <v>0</v>
      </c>
      <c r="AG774" s="943">
        <f>comparaison_samebasis_villages[[#This Row],[previous idp_ind]]-comparaison_samebasis_villages[[#This Row],[actual idp_ind]]</f>
        <v>0</v>
      </c>
      <c r="AH774" s="943">
        <f>comparaison_samebasis_villages[[#This Row],[previous ref_ind]]-comparaison_samebasis_villages[[#This Row],[actual ref_ind]]</f>
        <v>4</v>
      </c>
      <c r="AI774" s="943">
        <f>comparaison_samebasis_villages[[#This Row],[previous ret_ind]]-comparaison_samebasis_villages[[#This Row],[actual ret_ind]]</f>
        <v>0</v>
      </c>
    </row>
    <row r="775" spans="1:35" ht="15.75" customHeight="1" x14ac:dyDescent="0.3">
      <c r="A775" s="401"/>
      <c r="B775" s="401"/>
      <c r="C775" s="401"/>
      <c r="D775" s="401"/>
      <c r="E775" s="401"/>
      <c r="F775" s="5"/>
      <c r="G775" s="401"/>
      <c r="H775" s="1093"/>
      <c r="I775" s="402"/>
      <c r="J775" s="403"/>
      <c r="K775" s="403"/>
      <c r="L775" s="1093"/>
      <c r="M775" s="401"/>
      <c r="O775" s="404" t="s">
        <v>31</v>
      </c>
      <c r="P775" s="404" t="s">
        <v>31</v>
      </c>
      <c r="Q775" s="404" t="s">
        <v>171</v>
      </c>
      <c r="R775" s="404" t="s">
        <v>171</v>
      </c>
      <c r="S775" s="404" t="s">
        <v>2204</v>
      </c>
      <c r="T775" s="404" t="s">
        <v>2054</v>
      </c>
      <c r="U775" s="941">
        <v>0</v>
      </c>
      <c r="V775" s="941">
        <v>0</v>
      </c>
      <c r="W775" s="941">
        <v>0</v>
      </c>
      <c r="X775" s="941">
        <v>0</v>
      </c>
      <c r="Y775" s="941">
        <v>0</v>
      </c>
      <c r="Z775" s="941">
        <v>0</v>
      </c>
      <c r="AA775" s="942">
        <v>0</v>
      </c>
      <c r="AB775" s="942">
        <v>0</v>
      </c>
      <c r="AC775" s="942">
        <v>14</v>
      </c>
      <c r="AD775" s="942">
        <v>69</v>
      </c>
      <c r="AE775" s="942">
        <v>0</v>
      </c>
      <c r="AF775" s="942">
        <v>0</v>
      </c>
      <c r="AG775" s="943">
        <f>comparaison_samebasis_villages[[#This Row],[previous idp_ind]]-comparaison_samebasis_villages[[#This Row],[actual idp_ind]]</f>
        <v>0</v>
      </c>
      <c r="AH775" s="943">
        <f>comparaison_samebasis_villages[[#This Row],[previous ref_ind]]-comparaison_samebasis_villages[[#This Row],[actual ref_ind]]</f>
        <v>69</v>
      </c>
      <c r="AI775" s="943">
        <f>comparaison_samebasis_villages[[#This Row],[previous ret_ind]]-comparaison_samebasis_villages[[#This Row],[actual ret_ind]]</f>
        <v>0</v>
      </c>
    </row>
    <row r="776" spans="1:35" ht="15.75" customHeight="1" x14ac:dyDescent="0.3">
      <c r="A776" s="401"/>
      <c r="B776" s="401"/>
      <c r="C776" s="401"/>
      <c r="D776" s="401"/>
      <c r="E776" s="401"/>
      <c r="F776" s="5"/>
      <c r="G776" s="401"/>
      <c r="H776" s="1093"/>
      <c r="I776" s="402"/>
      <c r="J776" s="403"/>
      <c r="K776" s="403"/>
      <c r="L776" s="1093"/>
      <c r="M776" s="401"/>
      <c r="O776" s="404" t="s">
        <v>31</v>
      </c>
      <c r="P776" s="404" t="s">
        <v>31</v>
      </c>
      <c r="Q776" s="404" t="s">
        <v>171</v>
      </c>
      <c r="R776" s="404" t="s">
        <v>171</v>
      </c>
      <c r="S776" s="404" t="s">
        <v>2187</v>
      </c>
      <c r="T776" s="404" t="s">
        <v>1922</v>
      </c>
      <c r="U776" s="941">
        <v>2</v>
      </c>
      <c r="V776" s="941">
        <v>10</v>
      </c>
      <c r="W776" s="941">
        <v>2</v>
      </c>
      <c r="X776" s="941">
        <v>12</v>
      </c>
      <c r="Y776" s="941">
        <v>0</v>
      </c>
      <c r="Z776" s="941">
        <v>0</v>
      </c>
      <c r="AA776" s="942">
        <v>0</v>
      </c>
      <c r="AB776" s="942">
        <v>0</v>
      </c>
      <c r="AC776" s="942">
        <v>30</v>
      </c>
      <c r="AD776" s="942">
        <v>687</v>
      </c>
      <c r="AE776" s="942">
        <v>0</v>
      </c>
      <c r="AF776" s="942">
        <v>0</v>
      </c>
      <c r="AG776" s="943">
        <f>comparaison_samebasis_villages[[#This Row],[previous idp_ind]]-comparaison_samebasis_villages[[#This Row],[actual idp_ind]]</f>
        <v>-10</v>
      </c>
      <c r="AH776" s="943">
        <f>comparaison_samebasis_villages[[#This Row],[previous ref_ind]]-comparaison_samebasis_villages[[#This Row],[actual ref_ind]]</f>
        <v>675</v>
      </c>
      <c r="AI776" s="943">
        <f>comparaison_samebasis_villages[[#This Row],[previous ret_ind]]-comparaison_samebasis_villages[[#This Row],[actual ret_ind]]</f>
        <v>0</v>
      </c>
    </row>
    <row r="777" spans="1:35" ht="15.75" customHeight="1" x14ac:dyDescent="0.3">
      <c r="A777" s="401"/>
      <c r="B777" s="401"/>
      <c r="C777" s="401"/>
      <c r="D777" s="401"/>
      <c r="E777" s="401"/>
      <c r="F777" s="5"/>
      <c r="G777" s="401"/>
      <c r="H777" s="1093"/>
      <c r="I777" s="402"/>
      <c r="J777" s="403"/>
      <c r="K777" s="403"/>
      <c r="L777" s="1093"/>
      <c r="M777" s="401"/>
      <c r="O777" s="404" t="s">
        <v>31</v>
      </c>
      <c r="P777" s="404" t="s">
        <v>31</v>
      </c>
      <c r="Q777" s="404" t="s">
        <v>171</v>
      </c>
      <c r="R777" s="404" t="s">
        <v>171</v>
      </c>
      <c r="S777" s="404" t="s">
        <v>1157</v>
      </c>
      <c r="T777" s="404" t="s">
        <v>1784</v>
      </c>
      <c r="U777" s="941">
        <v>2</v>
      </c>
      <c r="V777" s="941">
        <v>19</v>
      </c>
      <c r="W777" s="941">
        <v>0</v>
      </c>
      <c r="X777" s="941">
        <v>0</v>
      </c>
      <c r="Y777" s="941">
        <v>0</v>
      </c>
      <c r="Z777" s="941">
        <v>0</v>
      </c>
      <c r="AA777" s="942">
        <v>1</v>
      </c>
      <c r="AB777" s="942">
        <v>19</v>
      </c>
      <c r="AC777" s="942">
        <v>6</v>
      </c>
      <c r="AD777" s="942">
        <v>30</v>
      </c>
      <c r="AE777" s="942">
        <v>0</v>
      </c>
      <c r="AF777" s="942">
        <v>0</v>
      </c>
      <c r="AG777" s="943">
        <f>comparaison_samebasis_villages[[#This Row],[previous idp_ind]]-comparaison_samebasis_villages[[#This Row],[actual idp_ind]]</f>
        <v>0</v>
      </c>
      <c r="AH777" s="943">
        <f>comparaison_samebasis_villages[[#This Row],[previous ref_ind]]-comparaison_samebasis_villages[[#This Row],[actual ref_ind]]</f>
        <v>30</v>
      </c>
      <c r="AI777" s="943">
        <f>comparaison_samebasis_villages[[#This Row],[previous ret_ind]]-comparaison_samebasis_villages[[#This Row],[actual ret_ind]]</f>
        <v>0</v>
      </c>
    </row>
    <row r="778" spans="1:35" ht="15.75" customHeight="1" x14ac:dyDescent="0.3">
      <c r="A778" s="401"/>
      <c r="B778" s="401"/>
      <c r="C778" s="401"/>
      <c r="D778" s="401"/>
      <c r="E778" s="401"/>
      <c r="F778" s="5"/>
      <c r="G778" s="401"/>
      <c r="H778" s="1093"/>
      <c r="I778" s="402"/>
      <c r="J778" s="403"/>
      <c r="K778" s="403"/>
      <c r="L778" s="1093"/>
      <c r="M778" s="401"/>
      <c r="O778" s="399" t="s">
        <v>31</v>
      </c>
      <c r="P778" s="399" t="s">
        <v>31</v>
      </c>
      <c r="Q778" s="399" t="s">
        <v>171</v>
      </c>
      <c r="R778" s="399" t="s">
        <v>171</v>
      </c>
      <c r="S778" s="399" t="s">
        <v>1757</v>
      </c>
      <c r="T778" s="399" t="s">
        <v>1066</v>
      </c>
      <c r="U778" s="941">
        <v>110</v>
      </c>
      <c r="V778" s="941">
        <v>1000</v>
      </c>
      <c r="W778" s="941">
        <v>0</v>
      </c>
      <c r="X778" s="941">
        <v>0</v>
      </c>
      <c r="Y778" s="941">
        <v>0</v>
      </c>
      <c r="Z778" s="941">
        <v>0</v>
      </c>
      <c r="AA778" s="942">
        <v>110</v>
      </c>
      <c r="AB778" s="942">
        <v>1000</v>
      </c>
      <c r="AC778" s="942">
        <v>50</v>
      </c>
      <c r="AD778" s="942">
        <v>736</v>
      </c>
      <c r="AE778" s="942">
        <v>0</v>
      </c>
      <c r="AF778" s="942">
        <v>0</v>
      </c>
      <c r="AG778" s="943">
        <f>comparaison_samebasis_villages[[#This Row],[previous idp_ind]]-comparaison_samebasis_villages[[#This Row],[actual idp_ind]]</f>
        <v>0</v>
      </c>
      <c r="AH778" s="943">
        <f>comparaison_samebasis_villages[[#This Row],[previous ref_ind]]-comparaison_samebasis_villages[[#This Row],[actual ref_ind]]</f>
        <v>736</v>
      </c>
      <c r="AI778" s="943">
        <f>comparaison_samebasis_villages[[#This Row],[previous ret_ind]]-comparaison_samebasis_villages[[#This Row],[actual ret_ind]]</f>
        <v>0</v>
      </c>
    </row>
    <row r="779" spans="1:35" ht="15.75" customHeight="1" x14ac:dyDescent="0.3">
      <c r="A779" s="401"/>
      <c r="B779" s="401"/>
      <c r="C779" s="401"/>
      <c r="D779" s="401"/>
      <c r="E779" s="401"/>
      <c r="F779" s="5"/>
      <c r="G779" s="401"/>
      <c r="H779" s="1093"/>
      <c r="I779" s="402"/>
      <c r="J779" s="403"/>
      <c r="K779" s="403"/>
      <c r="L779" s="1093"/>
      <c r="M779" s="401"/>
      <c r="O779" s="404" t="s">
        <v>31</v>
      </c>
      <c r="P779" s="404" t="s">
        <v>31</v>
      </c>
      <c r="Q779" s="404" t="s">
        <v>171</v>
      </c>
      <c r="R779" s="404" t="s">
        <v>171</v>
      </c>
      <c r="S779" s="404" t="s">
        <v>1544</v>
      </c>
      <c r="T779" s="404" t="s">
        <v>2928</v>
      </c>
      <c r="U779" s="941">
        <v>87</v>
      </c>
      <c r="V779" s="941">
        <v>1048</v>
      </c>
      <c r="W779" s="941">
        <v>37</v>
      </c>
      <c r="X779" s="941">
        <v>116</v>
      </c>
      <c r="Y779" s="941">
        <v>0</v>
      </c>
      <c r="Z779" s="941">
        <v>0</v>
      </c>
      <c r="AA779" s="942">
        <v>87</v>
      </c>
      <c r="AB779" s="942">
        <v>1048</v>
      </c>
      <c r="AC779" s="942">
        <v>37</v>
      </c>
      <c r="AD779" s="942">
        <v>116</v>
      </c>
      <c r="AE779" s="942">
        <v>0</v>
      </c>
      <c r="AF779" s="942">
        <v>0</v>
      </c>
      <c r="AG779" s="943">
        <f>comparaison_samebasis_villages[[#This Row],[previous idp_ind]]-comparaison_samebasis_villages[[#This Row],[actual idp_ind]]</f>
        <v>0</v>
      </c>
      <c r="AH779" s="943">
        <f>comparaison_samebasis_villages[[#This Row],[previous ref_ind]]-comparaison_samebasis_villages[[#This Row],[actual ref_ind]]</f>
        <v>0</v>
      </c>
      <c r="AI779" s="943">
        <f>comparaison_samebasis_villages[[#This Row],[previous ret_ind]]-comparaison_samebasis_villages[[#This Row],[actual ret_ind]]</f>
        <v>0</v>
      </c>
    </row>
    <row r="780" spans="1:35" ht="15.75" customHeight="1" x14ac:dyDescent="0.3">
      <c r="A780" s="401"/>
      <c r="B780" s="401"/>
      <c r="C780" s="401"/>
      <c r="D780" s="401"/>
      <c r="E780" s="401"/>
      <c r="F780" s="5"/>
      <c r="G780" s="401"/>
      <c r="H780" s="1093"/>
      <c r="I780" s="402"/>
      <c r="J780" s="403"/>
      <c r="K780" s="403"/>
      <c r="L780" s="1093"/>
      <c r="M780" s="401"/>
      <c r="O780" s="399" t="s">
        <v>31</v>
      </c>
      <c r="P780" s="399" t="s">
        <v>31</v>
      </c>
      <c r="Q780" s="399" t="s">
        <v>171</v>
      </c>
      <c r="R780" s="399" t="s">
        <v>171</v>
      </c>
      <c r="S780" s="399" t="s">
        <v>1965</v>
      </c>
      <c r="T780" s="399" t="s">
        <v>1782</v>
      </c>
      <c r="U780" s="941">
        <v>1</v>
      </c>
      <c r="V780" s="941">
        <v>4</v>
      </c>
      <c r="W780" s="941">
        <v>0</v>
      </c>
      <c r="X780" s="941">
        <v>0</v>
      </c>
      <c r="Y780" s="941">
        <v>0</v>
      </c>
      <c r="Z780" s="941">
        <v>0</v>
      </c>
      <c r="AA780" s="942">
        <v>1</v>
      </c>
      <c r="AB780" s="942">
        <v>1</v>
      </c>
      <c r="AC780" s="942">
        <v>10</v>
      </c>
      <c r="AD780" s="942">
        <v>46</v>
      </c>
      <c r="AE780" s="942">
        <v>0</v>
      </c>
      <c r="AF780" s="942">
        <v>0</v>
      </c>
      <c r="AG780" s="943">
        <f>comparaison_samebasis_villages[[#This Row],[previous idp_ind]]-comparaison_samebasis_villages[[#This Row],[actual idp_ind]]</f>
        <v>-3</v>
      </c>
      <c r="AH780" s="943">
        <f>comparaison_samebasis_villages[[#This Row],[previous ref_ind]]-comparaison_samebasis_villages[[#This Row],[actual ref_ind]]</f>
        <v>46</v>
      </c>
      <c r="AI780" s="943">
        <f>comparaison_samebasis_villages[[#This Row],[previous ret_ind]]-comparaison_samebasis_villages[[#This Row],[actual ret_ind]]</f>
        <v>0</v>
      </c>
    </row>
    <row r="781" spans="1:35" ht="15.75" customHeight="1" x14ac:dyDescent="0.3">
      <c r="A781" s="401"/>
      <c r="B781" s="401"/>
      <c r="C781" s="401"/>
      <c r="D781" s="401"/>
      <c r="E781" s="401"/>
      <c r="F781" s="5"/>
      <c r="G781" s="401"/>
      <c r="H781" s="1093"/>
      <c r="I781" s="402"/>
      <c r="J781" s="403"/>
      <c r="K781" s="403"/>
      <c r="L781" s="1093"/>
      <c r="M781" s="401"/>
      <c r="O781" s="404" t="s">
        <v>31</v>
      </c>
      <c r="P781" s="404" t="s">
        <v>31</v>
      </c>
      <c r="Q781" s="404" t="s">
        <v>171</v>
      </c>
      <c r="R781" s="404" t="s">
        <v>171</v>
      </c>
      <c r="S781" s="404" t="s">
        <v>2224</v>
      </c>
      <c r="T781" s="404" t="s">
        <v>2986</v>
      </c>
      <c r="U781" s="941">
        <v>0</v>
      </c>
      <c r="V781" s="941">
        <v>0</v>
      </c>
      <c r="W781" s="941">
        <v>7</v>
      </c>
      <c r="X781" s="941">
        <v>30</v>
      </c>
      <c r="Y781" s="941">
        <v>0</v>
      </c>
      <c r="Z781" s="941">
        <v>0</v>
      </c>
      <c r="AA781" s="942">
        <v>0</v>
      </c>
      <c r="AB781" s="942">
        <v>0</v>
      </c>
      <c r="AC781" s="942">
        <v>7</v>
      </c>
      <c r="AD781" s="942">
        <v>30</v>
      </c>
      <c r="AE781" s="942">
        <v>0</v>
      </c>
      <c r="AF781" s="942">
        <v>0</v>
      </c>
      <c r="AG781" s="943">
        <f>comparaison_samebasis_villages[[#This Row],[previous idp_ind]]-comparaison_samebasis_villages[[#This Row],[actual idp_ind]]</f>
        <v>0</v>
      </c>
      <c r="AH781" s="943">
        <f>comparaison_samebasis_villages[[#This Row],[previous ref_ind]]-comparaison_samebasis_villages[[#This Row],[actual ref_ind]]</f>
        <v>0</v>
      </c>
      <c r="AI781" s="943">
        <f>comparaison_samebasis_villages[[#This Row],[previous ret_ind]]-comparaison_samebasis_villages[[#This Row],[actual ret_ind]]</f>
        <v>0</v>
      </c>
    </row>
    <row r="782" spans="1:35" ht="15.75" customHeight="1" x14ac:dyDescent="0.3">
      <c r="A782" s="401"/>
      <c r="B782" s="401"/>
      <c r="C782" s="401"/>
      <c r="D782" s="401"/>
      <c r="E782" s="401"/>
      <c r="F782" s="5"/>
      <c r="G782" s="401"/>
      <c r="H782" s="1093"/>
      <c r="I782" s="402"/>
      <c r="J782" s="403"/>
      <c r="K782" s="403"/>
      <c r="L782" s="1093"/>
      <c r="M782" s="401"/>
      <c r="O782" s="399" t="s">
        <v>31</v>
      </c>
      <c r="P782" s="399" t="s">
        <v>31</v>
      </c>
      <c r="Q782" s="399" t="s">
        <v>171</v>
      </c>
      <c r="R782" s="399" t="s">
        <v>171</v>
      </c>
      <c r="S782" s="399" t="s">
        <v>2636</v>
      </c>
      <c r="T782" s="399" t="s">
        <v>2818</v>
      </c>
      <c r="U782" s="941">
        <v>0</v>
      </c>
      <c r="V782" s="941">
        <v>0</v>
      </c>
      <c r="W782" s="941">
        <v>0</v>
      </c>
      <c r="X782" s="941">
        <v>0</v>
      </c>
      <c r="Y782" s="941">
        <v>0</v>
      </c>
      <c r="Z782" s="941">
        <v>0</v>
      </c>
      <c r="AA782" s="942">
        <v>0</v>
      </c>
      <c r="AB782" s="942">
        <v>0</v>
      </c>
      <c r="AC782" s="942">
        <v>0</v>
      </c>
      <c r="AD782" s="942">
        <v>0</v>
      </c>
      <c r="AE782" s="942">
        <v>0</v>
      </c>
      <c r="AF782" s="942">
        <v>0</v>
      </c>
      <c r="AG782" s="943">
        <f>comparaison_samebasis_villages[[#This Row],[previous idp_ind]]-comparaison_samebasis_villages[[#This Row],[actual idp_ind]]</f>
        <v>0</v>
      </c>
      <c r="AH782" s="943">
        <f>comparaison_samebasis_villages[[#This Row],[previous ref_ind]]-comparaison_samebasis_villages[[#This Row],[actual ref_ind]]</f>
        <v>0</v>
      </c>
      <c r="AI782" s="943">
        <f>comparaison_samebasis_villages[[#This Row],[previous ret_ind]]-comparaison_samebasis_villages[[#This Row],[actual ret_ind]]</f>
        <v>0</v>
      </c>
    </row>
    <row r="783" spans="1:35" ht="15.75" customHeight="1" x14ac:dyDescent="0.3">
      <c r="A783" s="401"/>
      <c r="B783" s="401"/>
      <c r="C783" s="401"/>
      <c r="D783" s="401"/>
      <c r="E783" s="401"/>
      <c r="F783" s="5"/>
      <c r="G783" s="401"/>
      <c r="H783" s="1093"/>
      <c r="I783" s="402"/>
      <c r="J783" s="403"/>
      <c r="K783" s="403"/>
      <c r="L783" s="1093"/>
      <c r="M783" s="401"/>
      <c r="O783" s="404" t="s">
        <v>31</v>
      </c>
      <c r="P783" s="404" t="s">
        <v>31</v>
      </c>
      <c r="Q783" s="404" t="s">
        <v>171</v>
      </c>
      <c r="R783" s="404" t="s">
        <v>171</v>
      </c>
      <c r="S783" s="404" t="s">
        <v>858</v>
      </c>
      <c r="T783" s="404" t="s">
        <v>1984</v>
      </c>
      <c r="U783" s="941">
        <v>6</v>
      </c>
      <c r="V783" s="941">
        <v>28</v>
      </c>
      <c r="W783" s="941">
        <v>9</v>
      </c>
      <c r="X783" s="941">
        <v>41</v>
      </c>
      <c r="Y783" s="941">
        <v>0</v>
      </c>
      <c r="Z783" s="941">
        <v>0</v>
      </c>
      <c r="AA783" s="942">
        <v>6</v>
      </c>
      <c r="AB783" s="942">
        <v>28</v>
      </c>
      <c r="AC783" s="942">
        <v>9</v>
      </c>
      <c r="AD783" s="942">
        <v>41</v>
      </c>
      <c r="AE783" s="942">
        <v>0</v>
      </c>
      <c r="AF783" s="942">
        <v>0</v>
      </c>
      <c r="AG783" s="943">
        <f>comparaison_samebasis_villages[[#This Row],[previous idp_ind]]-comparaison_samebasis_villages[[#This Row],[actual idp_ind]]</f>
        <v>0</v>
      </c>
      <c r="AH783" s="943">
        <f>comparaison_samebasis_villages[[#This Row],[previous ref_ind]]-comparaison_samebasis_villages[[#This Row],[actual ref_ind]]</f>
        <v>0</v>
      </c>
      <c r="AI783" s="943">
        <f>comparaison_samebasis_villages[[#This Row],[previous ret_ind]]-comparaison_samebasis_villages[[#This Row],[actual ret_ind]]</f>
        <v>0</v>
      </c>
    </row>
    <row r="784" spans="1:35" ht="15.75" customHeight="1" x14ac:dyDescent="0.3">
      <c r="A784" s="401"/>
      <c r="B784" s="401"/>
      <c r="C784" s="401"/>
      <c r="D784" s="401"/>
      <c r="E784" s="401"/>
      <c r="F784" s="5"/>
      <c r="G784" s="401"/>
      <c r="H784" s="1093"/>
      <c r="I784" s="402"/>
      <c r="J784" s="403"/>
      <c r="K784" s="403"/>
      <c r="L784" s="1093"/>
      <c r="M784" s="401"/>
      <c r="O784" s="399" t="s">
        <v>31</v>
      </c>
      <c r="P784" s="399" t="s">
        <v>31</v>
      </c>
      <c r="Q784" s="399" t="s">
        <v>171</v>
      </c>
      <c r="R784" s="399" t="s">
        <v>171</v>
      </c>
      <c r="S784" s="399" t="s">
        <v>2167</v>
      </c>
      <c r="T784" s="399" t="s">
        <v>893</v>
      </c>
      <c r="U784" s="941">
        <v>0</v>
      </c>
      <c r="V784" s="941">
        <v>0</v>
      </c>
      <c r="W784" s="941">
        <v>15</v>
      </c>
      <c r="X784" s="941">
        <v>78</v>
      </c>
      <c r="Y784" s="941">
        <v>0</v>
      </c>
      <c r="Z784" s="941">
        <v>0</v>
      </c>
      <c r="AA784" s="942">
        <v>0</v>
      </c>
      <c r="AB784" s="942">
        <v>0</v>
      </c>
      <c r="AC784" s="942">
        <v>15</v>
      </c>
      <c r="AD784" s="942">
        <v>78</v>
      </c>
      <c r="AE784" s="942">
        <v>0</v>
      </c>
      <c r="AF784" s="942">
        <v>0</v>
      </c>
      <c r="AG784" s="943">
        <f>comparaison_samebasis_villages[[#This Row],[previous idp_ind]]-comparaison_samebasis_villages[[#This Row],[actual idp_ind]]</f>
        <v>0</v>
      </c>
      <c r="AH784" s="943">
        <f>comparaison_samebasis_villages[[#This Row],[previous ref_ind]]-comparaison_samebasis_villages[[#This Row],[actual ref_ind]]</f>
        <v>0</v>
      </c>
      <c r="AI784" s="943">
        <f>comparaison_samebasis_villages[[#This Row],[previous ret_ind]]-comparaison_samebasis_villages[[#This Row],[actual ret_ind]]</f>
        <v>0</v>
      </c>
    </row>
    <row r="785" spans="1:35" ht="15.75" customHeight="1" x14ac:dyDescent="0.3">
      <c r="A785" s="401"/>
      <c r="B785" s="401"/>
      <c r="C785" s="401"/>
      <c r="D785" s="401"/>
      <c r="E785" s="401"/>
      <c r="F785" s="5"/>
      <c r="G785" s="401"/>
      <c r="H785" s="1093"/>
      <c r="I785" s="402"/>
      <c r="J785" s="403"/>
      <c r="K785" s="403"/>
      <c r="L785" s="1093"/>
      <c r="M785" s="401"/>
      <c r="O785" s="404" t="s">
        <v>31</v>
      </c>
      <c r="P785" s="404" t="s">
        <v>31</v>
      </c>
      <c r="Q785" s="404" t="s">
        <v>171</v>
      </c>
      <c r="R785" s="404" t="s">
        <v>171</v>
      </c>
      <c r="S785" s="404" t="s">
        <v>1010</v>
      </c>
      <c r="T785" s="404" t="s">
        <v>1926</v>
      </c>
      <c r="U785" s="941">
        <v>24</v>
      </c>
      <c r="V785" s="941">
        <v>115</v>
      </c>
      <c r="W785" s="941">
        <v>0</v>
      </c>
      <c r="X785" s="941">
        <v>0</v>
      </c>
      <c r="Y785" s="941">
        <v>0</v>
      </c>
      <c r="Z785" s="941">
        <v>0</v>
      </c>
      <c r="AA785" s="942">
        <v>24</v>
      </c>
      <c r="AB785" s="942">
        <v>115</v>
      </c>
      <c r="AC785" s="942">
        <v>0</v>
      </c>
      <c r="AD785" s="942">
        <v>0</v>
      </c>
      <c r="AE785" s="942">
        <v>0</v>
      </c>
      <c r="AF785" s="942">
        <v>0</v>
      </c>
      <c r="AG785" s="943">
        <f>comparaison_samebasis_villages[[#This Row],[previous idp_ind]]-comparaison_samebasis_villages[[#This Row],[actual idp_ind]]</f>
        <v>0</v>
      </c>
      <c r="AH785" s="943">
        <f>comparaison_samebasis_villages[[#This Row],[previous ref_ind]]-comparaison_samebasis_villages[[#This Row],[actual ref_ind]]</f>
        <v>0</v>
      </c>
      <c r="AI785" s="943">
        <f>comparaison_samebasis_villages[[#This Row],[previous ret_ind]]-comparaison_samebasis_villages[[#This Row],[actual ret_ind]]</f>
        <v>0</v>
      </c>
    </row>
    <row r="786" spans="1:35" ht="15.75" customHeight="1" x14ac:dyDescent="0.3">
      <c r="A786" s="401"/>
      <c r="B786" s="401"/>
      <c r="C786" s="401"/>
      <c r="D786" s="401"/>
      <c r="E786" s="401"/>
      <c r="F786" s="5"/>
      <c r="G786" s="401"/>
      <c r="H786" s="1093"/>
      <c r="I786" s="402"/>
      <c r="J786" s="403"/>
      <c r="K786" s="403"/>
      <c r="L786" s="1093"/>
      <c r="M786" s="401"/>
      <c r="O786" s="404" t="s">
        <v>31</v>
      </c>
      <c r="P786" s="404" t="s">
        <v>31</v>
      </c>
      <c r="Q786" s="404" t="s">
        <v>171</v>
      </c>
      <c r="R786" s="404" t="s">
        <v>171</v>
      </c>
      <c r="S786" s="404" t="s">
        <v>1547</v>
      </c>
      <c r="T786" s="404" t="s">
        <v>2010</v>
      </c>
      <c r="U786" s="941">
        <v>32</v>
      </c>
      <c r="V786" s="941">
        <v>132</v>
      </c>
      <c r="W786" s="941">
        <v>1</v>
      </c>
      <c r="X786" s="941">
        <v>2</v>
      </c>
      <c r="Y786" s="941">
        <v>0</v>
      </c>
      <c r="Z786" s="941">
        <v>0</v>
      </c>
      <c r="AA786" s="942">
        <v>31</v>
      </c>
      <c r="AB786" s="942">
        <v>123</v>
      </c>
      <c r="AC786" s="942">
        <v>0</v>
      </c>
      <c r="AD786" s="942">
        <v>0</v>
      </c>
      <c r="AE786" s="942">
        <v>0</v>
      </c>
      <c r="AF786" s="942">
        <v>0</v>
      </c>
      <c r="AG786" s="943">
        <f>comparaison_samebasis_villages[[#This Row],[previous idp_ind]]-comparaison_samebasis_villages[[#This Row],[actual idp_ind]]</f>
        <v>-9</v>
      </c>
      <c r="AH786" s="943">
        <f>comparaison_samebasis_villages[[#This Row],[previous ref_ind]]-comparaison_samebasis_villages[[#This Row],[actual ref_ind]]</f>
        <v>-2</v>
      </c>
      <c r="AI786" s="943">
        <f>comparaison_samebasis_villages[[#This Row],[previous ret_ind]]-comparaison_samebasis_villages[[#This Row],[actual ret_ind]]</f>
        <v>0</v>
      </c>
    </row>
    <row r="787" spans="1:35" ht="15.75" customHeight="1" x14ac:dyDescent="0.3">
      <c r="A787" s="401"/>
      <c r="B787" s="401"/>
      <c r="C787" s="401"/>
      <c r="D787" s="401"/>
      <c r="E787" s="401"/>
      <c r="F787" s="5"/>
      <c r="G787" s="401"/>
      <c r="H787" s="1093"/>
      <c r="I787" s="402"/>
      <c r="J787" s="403"/>
      <c r="K787" s="403"/>
      <c r="L787" s="1093"/>
      <c r="M787" s="401"/>
      <c r="O787" s="399" t="s">
        <v>31</v>
      </c>
      <c r="P787" s="399" t="s">
        <v>31</v>
      </c>
      <c r="Q787" s="399" t="s">
        <v>171</v>
      </c>
      <c r="R787" s="399" t="s">
        <v>171</v>
      </c>
      <c r="S787" s="399" t="s">
        <v>2116</v>
      </c>
      <c r="T787" s="399" t="s">
        <v>2128</v>
      </c>
      <c r="U787" s="941">
        <v>16</v>
      </c>
      <c r="V787" s="941">
        <v>113</v>
      </c>
      <c r="W787" s="941">
        <v>0</v>
      </c>
      <c r="X787" s="941">
        <v>0</v>
      </c>
      <c r="Y787" s="941">
        <v>0</v>
      </c>
      <c r="Z787" s="941">
        <v>0</v>
      </c>
      <c r="AA787" s="942">
        <v>5</v>
      </c>
      <c r="AB787" s="942">
        <v>15</v>
      </c>
      <c r="AC787" s="942">
        <v>0</v>
      </c>
      <c r="AD787" s="942">
        <v>0</v>
      </c>
      <c r="AE787" s="942">
        <v>0</v>
      </c>
      <c r="AF787" s="942">
        <v>0</v>
      </c>
      <c r="AG787" s="943">
        <f>comparaison_samebasis_villages[[#This Row],[previous idp_ind]]-comparaison_samebasis_villages[[#This Row],[actual idp_ind]]</f>
        <v>-98</v>
      </c>
      <c r="AH787" s="943">
        <f>comparaison_samebasis_villages[[#This Row],[previous ref_ind]]-comparaison_samebasis_villages[[#This Row],[actual ref_ind]]</f>
        <v>0</v>
      </c>
      <c r="AI787" s="943">
        <f>comparaison_samebasis_villages[[#This Row],[previous ret_ind]]-comparaison_samebasis_villages[[#This Row],[actual ret_ind]]</f>
        <v>0</v>
      </c>
    </row>
    <row r="788" spans="1:35" ht="15.75" customHeight="1" x14ac:dyDescent="0.3">
      <c r="A788" s="401"/>
      <c r="B788" s="401"/>
      <c r="C788" s="401"/>
      <c r="D788" s="401"/>
      <c r="E788" s="401"/>
      <c r="F788" s="5"/>
      <c r="G788" s="401"/>
      <c r="H788" s="1093"/>
      <c r="I788" s="402"/>
      <c r="J788" s="403"/>
      <c r="K788" s="403"/>
      <c r="L788" s="1093"/>
      <c r="M788" s="401"/>
      <c r="O788" s="399" t="s">
        <v>31</v>
      </c>
      <c r="P788" s="399" t="s">
        <v>31</v>
      </c>
      <c r="Q788" s="399" t="s">
        <v>171</v>
      </c>
      <c r="R788" s="399" t="s">
        <v>171</v>
      </c>
      <c r="S788" s="399" t="s">
        <v>1302</v>
      </c>
      <c r="T788" s="399" t="s">
        <v>810</v>
      </c>
      <c r="U788" s="941">
        <v>16</v>
      </c>
      <c r="V788" s="941">
        <v>64</v>
      </c>
      <c r="W788" s="941">
        <v>0</v>
      </c>
      <c r="X788" s="941">
        <v>0</v>
      </c>
      <c r="Y788" s="941">
        <v>0</v>
      </c>
      <c r="Z788" s="941">
        <v>0</v>
      </c>
      <c r="AA788" s="942">
        <v>24</v>
      </c>
      <c r="AB788" s="942">
        <v>104</v>
      </c>
      <c r="AC788" s="942">
        <v>0</v>
      </c>
      <c r="AD788" s="942">
        <v>0</v>
      </c>
      <c r="AE788" s="942">
        <v>0</v>
      </c>
      <c r="AF788" s="942">
        <v>0</v>
      </c>
      <c r="AG788" s="943">
        <f>comparaison_samebasis_villages[[#This Row],[previous idp_ind]]-comparaison_samebasis_villages[[#This Row],[actual idp_ind]]</f>
        <v>40</v>
      </c>
      <c r="AH788" s="943">
        <f>comparaison_samebasis_villages[[#This Row],[previous ref_ind]]-comparaison_samebasis_villages[[#This Row],[actual ref_ind]]</f>
        <v>0</v>
      </c>
      <c r="AI788" s="943">
        <f>comparaison_samebasis_villages[[#This Row],[previous ret_ind]]-comparaison_samebasis_villages[[#This Row],[actual ret_ind]]</f>
        <v>0</v>
      </c>
    </row>
    <row r="789" spans="1:35" ht="15.75" customHeight="1" x14ac:dyDescent="0.3">
      <c r="A789" s="401"/>
      <c r="B789" s="401"/>
      <c r="C789" s="401"/>
      <c r="D789" s="401"/>
      <c r="E789" s="401"/>
      <c r="F789" s="5"/>
      <c r="G789" s="401"/>
      <c r="H789" s="1093"/>
      <c r="I789" s="402"/>
      <c r="J789" s="403"/>
      <c r="K789" s="403"/>
      <c r="L789" s="1093"/>
      <c r="M789" s="401"/>
      <c r="O789" s="404" t="s">
        <v>31</v>
      </c>
      <c r="P789" s="404" t="s">
        <v>31</v>
      </c>
      <c r="Q789" s="404" t="s">
        <v>171</v>
      </c>
      <c r="R789" s="404" t="s">
        <v>171</v>
      </c>
      <c r="S789" s="404" t="s">
        <v>925</v>
      </c>
      <c r="T789" s="404" t="s">
        <v>889</v>
      </c>
      <c r="U789" s="941">
        <v>38</v>
      </c>
      <c r="V789" s="941">
        <v>135</v>
      </c>
      <c r="W789" s="941">
        <v>0</v>
      </c>
      <c r="X789" s="941">
        <v>0</v>
      </c>
      <c r="Y789" s="941">
        <v>0</v>
      </c>
      <c r="Z789" s="941">
        <v>0</v>
      </c>
      <c r="AA789" s="942">
        <v>38</v>
      </c>
      <c r="AB789" s="942">
        <v>135</v>
      </c>
      <c r="AC789" s="942">
        <v>0</v>
      </c>
      <c r="AD789" s="942">
        <v>0</v>
      </c>
      <c r="AE789" s="942">
        <v>0</v>
      </c>
      <c r="AF789" s="942">
        <v>0</v>
      </c>
      <c r="AG789" s="943">
        <f>comparaison_samebasis_villages[[#This Row],[previous idp_ind]]-comparaison_samebasis_villages[[#This Row],[actual idp_ind]]</f>
        <v>0</v>
      </c>
      <c r="AH789" s="943">
        <f>comparaison_samebasis_villages[[#This Row],[previous ref_ind]]-comparaison_samebasis_villages[[#This Row],[actual ref_ind]]</f>
        <v>0</v>
      </c>
      <c r="AI789" s="943">
        <f>comparaison_samebasis_villages[[#This Row],[previous ret_ind]]-comparaison_samebasis_villages[[#This Row],[actual ret_ind]]</f>
        <v>0</v>
      </c>
    </row>
    <row r="790" spans="1:35" ht="15.75" customHeight="1" x14ac:dyDescent="0.3">
      <c r="A790" s="401"/>
      <c r="B790" s="401"/>
      <c r="C790" s="401"/>
      <c r="D790" s="401"/>
      <c r="E790" s="401"/>
      <c r="F790" s="5"/>
      <c r="G790" s="401"/>
      <c r="H790" s="1093"/>
      <c r="I790" s="402"/>
      <c r="J790" s="403"/>
      <c r="K790" s="403"/>
      <c r="L790" s="1093"/>
      <c r="M790" s="401"/>
      <c r="O790" s="404" t="s">
        <v>31</v>
      </c>
      <c r="P790" s="404" t="s">
        <v>31</v>
      </c>
      <c r="Q790" s="404" t="s">
        <v>171</v>
      </c>
      <c r="R790" s="404" t="s">
        <v>171</v>
      </c>
      <c r="S790" s="404" t="s">
        <v>1790</v>
      </c>
      <c r="T790" s="404" t="s">
        <v>1285</v>
      </c>
      <c r="U790" s="941">
        <v>2</v>
      </c>
      <c r="V790" s="941">
        <v>8</v>
      </c>
      <c r="W790" s="941">
        <v>0</v>
      </c>
      <c r="X790" s="941">
        <v>0</v>
      </c>
      <c r="Y790" s="941">
        <v>0</v>
      </c>
      <c r="Z790" s="941">
        <v>0</v>
      </c>
      <c r="AA790" s="942">
        <v>2</v>
      </c>
      <c r="AB790" s="942">
        <v>8</v>
      </c>
      <c r="AC790" s="942">
        <v>0</v>
      </c>
      <c r="AD790" s="942">
        <v>0</v>
      </c>
      <c r="AE790" s="942">
        <v>0</v>
      </c>
      <c r="AF790" s="942">
        <v>0</v>
      </c>
      <c r="AG790" s="943">
        <f>comparaison_samebasis_villages[[#This Row],[previous idp_ind]]-comparaison_samebasis_villages[[#This Row],[actual idp_ind]]</f>
        <v>0</v>
      </c>
      <c r="AH790" s="943">
        <f>comparaison_samebasis_villages[[#This Row],[previous ref_ind]]-comparaison_samebasis_villages[[#This Row],[actual ref_ind]]</f>
        <v>0</v>
      </c>
      <c r="AI790" s="943">
        <f>comparaison_samebasis_villages[[#This Row],[previous ret_ind]]-comparaison_samebasis_villages[[#This Row],[actual ret_ind]]</f>
        <v>0</v>
      </c>
    </row>
    <row r="791" spans="1:35" ht="15.75" customHeight="1" x14ac:dyDescent="0.3">
      <c r="A791" s="401"/>
      <c r="B791" s="401"/>
      <c r="C791" s="401"/>
      <c r="D791" s="401"/>
      <c r="E791" s="401"/>
      <c r="F791" s="5"/>
      <c r="G791" s="401"/>
      <c r="H791" s="1093"/>
      <c r="I791" s="402"/>
      <c r="J791" s="403"/>
      <c r="K791" s="403"/>
      <c r="L791" s="1093"/>
      <c r="M791" s="401"/>
      <c r="O791" s="404" t="s">
        <v>31</v>
      </c>
      <c r="P791" s="404" t="s">
        <v>31</v>
      </c>
      <c r="Q791" s="404" t="s">
        <v>171</v>
      </c>
      <c r="R791" s="404" t="s">
        <v>171</v>
      </c>
      <c r="S791" s="404" t="s">
        <v>1090</v>
      </c>
      <c r="T791" s="404" t="s">
        <v>1281</v>
      </c>
      <c r="U791" s="941">
        <v>15</v>
      </c>
      <c r="V791" s="941">
        <v>85</v>
      </c>
      <c r="W791" s="941">
        <v>12</v>
      </c>
      <c r="X791" s="941">
        <v>74</v>
      </c>
      <c r="Y791" s="941">
        <v>0</v>
      </c>
      <c r="Z791" s="941">
        <v>0</v>
      </c>
      <c r="AA791" s="942">
        <v>11</v>
      </c>
      <c r="AB791" s="942">
        <v>68</v>
      </c>
      <c r="AC791" s="942">
        <v>12</v>
      </c>
      <c r="AD791" s="942">
        <v>74</v>
      </c>
      <c r="AE791" s="942">
        <v>0</v>
      </c>
      <c r="AF791" s="942">
        <v>0</v>
      </c>
      <c r="AG791" s="943">
        <f>comparaison_samebasis_villages[[#This Row],[previous idp_ind]]-comparaison_samebasis_villages[[#This Row],[actual idp_ind]]</f>
        <v>-17</v>
      </c>
      <c r="AH791" s="943">
        <f>comparaison_samebasis_villages[[#This Row],[previous ref_ind]]-comparaison_samebasis_villages[[#This Row],[actual ref_ind]]</f>
        <v>0</v>
      </c>
      <c r="AI791" s="943">
        <f>comparaison_samebasis_villages[[#This Row],[previous ret_ind]]-comparaison_samebasis_villages[[#This Row],[actual ret_ind]]</f>
        <v>0</v>
      </c>
    </row>
    <row r="792" spans="1:35" ht="15.75" customHeight="1" x14ac:dyDescent="0.3">
      <c r="A792" s="401"/>
      <c r="B792" s="401"/>
      <c r="C792" s="401"/>
      <c r="D792" s="401"/>
      <c r="E792" s="401"/>
      <c r="F792" s="5"/>
      <c r="G792" s="401"/>
      <c r="H792" s="1093"/>
      <c r="I792" s="402"/>
      <c r="J792" s="403"/>
      <c r="K792" s="403"/>
      <c r="L792" s="1093"/>
      <c r="M792" s="401"/>
      <c r="O792" s="404" t="s">
        <v>31</v>
      </c>
      <c r="P792" s="404" t="s">
        <v>31</v>
      </c>
      <c r="Q792" s="404" t="s">
        <v>171</v>
      </c>
      <c r="R792" s="404" t="s">
        <v>171</v>
      </c>
      <c r="S792" s="404" t="s">
        <v>904</v>
      </c>
      <c r="T792" s="404" t="s">
        <v>1924</v>
      </c>
      <c r="U792" s="941">
        <v>80</v>
      </c>
      <c r="V792" s="941">
        <v>597</v>
      </c>
      <c r="W792" s="941">
        <v>65</v>
      </c>
      <c r="X792" s="941">
        <v>415</v>
      </c>
      <c r="Y792" s="941">
        <v>0</v>
      </c>
      <c r="Z792" s="941">
        <v>0</v>
      </c>
      <c r="AA792" s="942">
        <v>80</v>
      </c>
      <c r="AB792" s="942">
        <v>592</v>
      </c>
      <c r="AC792" s="942">
        <v>65</v>
      </c>
      <c r="AD792" s="942">
        <v>411</v>
      </c>
      <c r="AE792" s="942">
        <v>0</v>
      </c>
      <c r="AF792" s="942">
        <v>0</v>
      </c>
      <c r="AG792" s="943">
        <f>comparaison_samebasis_villages[[#This Row],[previous idp_ind]]-comparaison_samebasis_villages[[#This Row],[actual idp_ind]]</f>
        <v>-5</v>
      </c>
      <c r="AH792" s="943">
        <f>comparaison_samebasis_villages[[#This Row],[previous ref_ind]]-comparaison_samebasis_villages[[#This Row],[actual ref_ind]]</f>
        <v>-4</v>
      </c>
      <c r="AI792" s="943">
        <f>comparaison_samebasis_villages[[#This Row],[previous ret_ind]]-comparaison_samebasis_villages[[#This Row],[actual ret_ind]]</f>
        <v>0</v>
      </c>
    </row>
    <row r="793" spans="1:35" ht="15.75" customHeight="1" x14ac:dyDescent="0.3">
      <c r="A793" s="401"/>
      <c r="B793" s="401"/>
      <c r="C793" s="401"/>
      <c r="D793" s="401"/>
      <c r="E793" s="401"/>
      <c r="F793" s="5"/>
      <c r="G793" s="401"/>
      <c r="H793" s="1093"/>
      <c r="I793" s="402"/>
      <c r="J793" s="403"/>
      <c r="K793" s="403"/>
      <c r="L793" s="1093"/>
      <c r="M793" s="401"/>
      <c r="O793" s="404" t="s">
        <v>31</v>
      </c>
      <c r="P793" s="404" t="s">
        <v>31</v>
      </c>
      <c r="Q793" s="404" t="s">
        <v>171</v>
      </c>
      <c r="R793" s="404" t="s">
        <v>171</v>
      </c>
      <c r="S793" s="404" t="s">
        <v>841</v>
      </c>
      <c r="T793" s="404" t="s">
        <v>1982</v>
      </c>
      <c r="U793" s="941">
        <v>27</v>
      </c>
      <c r="V793" s="941">
        <v>208</v>
      </c>
      <c r="W793" s="941">
        <v>0</v>
      </c>
      <c r="X793" s="941">
        <v>0</v>
      </c>
      <c r="Y793" s="941">
        <v>0</v>
      </c>
      <c r="Z793" s="941">
        <v>0</v>
      </c>
      <c r="AA793" s="942">
        <v>7</v>
      </c>
      <c r="AB793" s="942">
        <v>22</v>
      </c>
      <c r="AC793" s="942">
        <v>0</v>
      </c>
      <c r="AD793" s="942">
        <v>0</v>
      </c>
      <c r="AE793" s="942">
        <v>0</v>
      </c>
      <c r="AF793" s="942">
        <v>0</v>
      </c>
      <c r="AG793" s="943">
        <f>comparaison_samebasis_villages[[#This Row],[previous idp_ind]]-comparaison_samebasis_villages[[#This Row],[actual idp_ind]]</f>
        <v>-186</v>
      </c>
      <c r="AH793" s="943">
        <f>comparaison_samebasis_villages[[#This Row],[previous ref_ind]]-comparaison_samebasis_villages[[#This Row],[actual ref_ind]]</f>
        <v>0</v>
      </c>
      <c r="AI793" s="943">
        <f>comparaison_samebasis_villages[[#This Row],[previous ret_ind]]-comparaison_samebasis_villages[[#This Row],[actual ret_ind]]</f>
        <v>0</v>
      </c>
    </row>
    <row r="794" spans="1:35" ht="15.75" customHeight="1" x14ac:dyDescent="0.3">
      <c r="A794" s="401"/>
      <c r="B794" s="401"/>
      <c r="C794" s="401"/>
      <c r="D794" s="401"/>
      <c r="E794" s="401"/>
      <c r="F794" s="5"/>
      <c r="G794" s="401"/>
      <c r="H794" s="1093"/>
      <c r="I794" s="402"/>
      <c r="J794" s="403"/>
      <c r="K794" s="403"/>
      <c r="L794" s="1093"/>
      <c r="M794" s="401"/>
      <c r="O794" s="404" t="s">
        <v>31</v>
      </c>
      <c r="P794" s="404" t="s">
        <v>31</v>
      </c>
      <c r="Q794" s="404" t="s">
        <v>171</v>
      </c>
      <c r="R794" s="404" t="s">
        <v>171</v>
      </c>
      <c r="S794" s="404" t="s">
        <v>1469</v>
      </c>
      <c r="T794" s="404" t="s">
        <v>891</v>
      </c>
      <c r="U794" s="941">
        <v>5</v>
      </c>
      <c r="V794" s="941">
        <v>20</v>
      </c>
      <c r="W794" s="941">
        <v>15</v>
      </c>
      <c r="X794" s="941">
        <v>50</v>
      </c>
      <c r="Y794" s="941">
        <v>0</v>
      </c>
      <c r="Z794" s="941">
        <v>0</v>
      </c>
      <c r="AA794" s="942">
        <v>0</v>
      </c>
      <c r="AB794" s="942">
        <v>0</v>
      </c>
      <c r="AC794" s="942">
        <v>0</v>
      </c>
      <c r="AD794" s="942">
        <v>0</v>
      </c>
      <c r="AE794" s="942">
        <v>0</v>
      </c>
      <c r="AF794" s="942">
        <v>0</v>
      </c>
      <c r="AG794" s="943">
        <f>comparaison_samebasis_villages[[#This Row],[previous idp_ind]]-comparaison_samebasis_villages[[#This Row],[actual idp_ind]]</f>
        <v>-20</v>
      </c>
      <c r="AH794" s="943">
        <f>comparaison_samebasis_villages[[#This Row],[previous ref_ind]]-comparaison_samebasis_villages[[#This Row],[actual ref_ind]]</f>
        <v>-50</v>
      </c>
      <c r="AI794" s="943">
        <f>comparaison_samebasis_villages[[#This Row],[previous ret_ind]]-comparaison_samebasis_villages[[#This Row],[actual ret_ind]]</f>
        <v>0</v>
      </c>
    </row>
    <row r="795" spans="1:35" ht="15.75" customHeight="1" x14ac:dyDescent="0.3">
      <c r="A795" s="401"/>
      <c r="B795" s="401"/>
      <c r="C795" s="401"/>
      <c r="D795" s="401"/>
      <c r="E795" s="401"/>
      <c r="F795" s="5"/>
      <c r="G795" s="401"/>
      <c r="H795" s="1093"/>
      <c r="I795" s="402"/>
      <c r="J795" s="403"/>
      <c r="K795" s="403"/>
      <c r="L795" s="1093"/>
      <c r="M795" s="401"/>
      <c r="O795" s="404" t="s">
        <v>31</v>
      </c>
      <c r="P795" s="404" t="s">
        <v>31</v>
      </c>
      <c r="Q795" s="404" t="s">
        <v>171</v>
      </c>
      <c r="R795" s="404" t="s">
        <v>171</v>
      </c>
      <c r="S795" s="404" t="s">
        <v>1793</v>
      </c>
      <c r="T795" s="404" t="s">
        <v>1248</v>
      </c>
      <c r="U795" s="941">
        <v>13</v>
      </c>
      <c r="V795" s="941">
        <v>42</v>
      </c>
      <c r="W795" s="941">
        <v>0</v>
      </c>
      <c r="X795" s="941">
        <v>0</v>
      </c>
      <c r="Y795" s="941">
        <v>0</v>
      </c>
      <c r="Z795" s="941">
        <v>0</v>
      </c>
      <c r="AA795" s="942">
        <v>3</v>
      </c>
      <c r="AB795" s="942">
        <v>15</v>
      </c>
      <c r="AC795" s="942">
        <v>0</v>
      </c>
      <c r="AD795" s="942">
        <v>0</v>
      </c>
      <c r="AE795" s="942">
        <v>0</v>
      </c>
      <c r="AF795" s="942">
        <v>0</v>
      </c>
      <c r="AG795" s="943">
        <f>comparaison_samebasis_villages[[#This Row],[previous idp_ind]]-comparaison_samebasis_villages[[#This Row],[actual idp_ind]]</f>
        <v>-27</v>
      </c>
      <c r="AH795" s="943">
        <f>comparaison_samebasis_villages[[#This Row],[previous ref_ind]]-comparaison_samebasis_villages[[#This Row],[actual ref_ind]]</f>
        <v>0</v>
      </c>
      <c r="AI795" s="943">
        <f>comparaison_samebasis_villages[[#This Row],[previous ret_ind]]-comparaison_samebasis_villages[[#This Row],[actual ret_ind]]</f>
        <v>0</v>
      </c>
    </row>
    <row r="796" spans="1:35" ht="15.75" customHeight="1" x14ac:dyDescent="0.3">
      <c r="O796" s="404" t="s">
        <v>31</v>
      </c>
      <c r="P796" s="404" t="s">
        <v>31</v>
      </c>
      <c r="Q796" s="404" t="s">
        <v>171</v>
      </c>
      <c r="R796" s="404" t="s">
        <v>171</v>
      </c>
      <c r="S796" s="404" t="s">
        <v>1775</v>
      </c>
      <c r="T796" s="404" t="s">
        <v>1345</v>
      </c>
      <c r="U796" s="941">
        <v>0</v>
      </c>
      <c r="V796" s="941">
        <v>0</v>
      </c>
      <c r="W796" s="941">
        <v>0</v>
      </c>
      <c r="X796" s="941">
        <v>0</v>
      </c>
      <c r="Y796" s="941">
        <v>0</v>
      </c>
      <c r="Z796" s="941">
        <v>0</v>
      </c>
      <c r="AA796" s="942">
        <v>0</v>
      </c>
      <c r="AB796" s="942">
        <v>0</v>
      </c>
      <c r="AC796" s="942">
        <v>0</v>
      </c>
      <c r="AD796" s="942">
        <v>0</v>
      </c>
      <c r="AE796" s="942">
        <v>0</v>
      </c>
      <c r="AF796" s="942">
        <v>0</v>
      </c>
      <c r="AG796" s="943">
        <f>comparaison_samebasis_villages[[#This Row],[previous idp_ind]]-comparaison_samebasis_villages[[#This Row],[actual idp_ind]]</f>
        <v>0</v>
      </c>
      <c r="AH796" s="943">
        <f>comparaison_samebasis_villages[[#This Row],[previous ref_ind]]-comparaison_samebasis_villages[[#This Row],[actual ref_ind]]</f>
        <v>0</v>
      </c>
      <c r="AI796" s="943">
        <f>comparaison_samebasis_villages[[#This Row],[previous ret_ind]]-comparaison_samebasis_villages[[#This Row],[actual ret_ind]]</f>
        <v>0</v>
      </c>
    </row>
    <row r="797" spans="1:35" ht="15.75" customHeight="1" x14ac:dyDescent="0.3">
      <c r="O797" s="399" t="s">
        <v>31</v>
      </c>
      <c r="P797" s="399" t="s">
        <v>31</v>
      </c>
      <c r="Q797" s="399" t="s">
        <v>171</v>
      </c>
      <c r="R797" s="399" t="s">
        <v>171</v>
      </c>
      <c r="S797" s="399" t="s">
        <v>1932</v>
      </c>
      <c r="T797" s="399" t="s">
        <v>1741</v>
      </c>
      <c r="U797" s="941">
        <v>3</v>
      </c>
      <c r="V797" s="941">
        <v>30</v>
      </c>
      <c r="W797" s="941">
        <v>0</v>
      </c>
      <c r="X797" s="941">
        <v>0</v>
      </c>
      <c r="Y797" s="941">
        <v>0</v>
      </c>
      <c r="Z797" s="941">
        <v>0</v>
      </c>
      <c r="AA797" s="942">
        <v>3</v>
      </c>
      <c r="AB797" s="942">
        <v>30</v>
      </c>
      <c r="AC797" s="942">
        <v>0</v>
      </c>
      <c r="AD797" s="942">
        <v>0</v>
      </c>
      <c r="AE797" s="942">
        <v>0</v>
      </c>
      <c r="AF797" s="942">
        <v>0</v>
      </c>
      <c r="AG797" s="943">
        <f>comparaison_samebasis_villages[[#This Row],[previous idp_ind]]-comparaison_samebasis_villages[[#This Row],[actual idp_ind]]</f>
        <v>0</v>
      </c>
      <c r="AH797" s="943">
        <f>comparaison_samebasis_villages[[#This Row],[previous ref_ind]]-comparaison_samebasis_villages[[#This Row],[actual ref_ind]]</f>
        <v>0</v>
      </c>
      <c r="AI797" s="943">
        <f>comparaison_samebasis_villages[[#This Row],[previous ret_ind]]-comparaison_samebasis_villages[[#This Row],[actual ret_ind]]</f>
        <v>0</v>
      </c>
    </row>
    <row r="798" spans="1:35" ht="15.75" customHeight="1" x14ac:dyDescent="0.3">
      <c r="O798" s="404" t="s">
        <v>31</v>
      </c>
      <c r="P798" s="404" t="s">
        <v>31</v>
      </c>
      <c r="Q798" s="404" t="s">
        <v>171</v>
      </c>
      <c r="R798" s="404" t="s">
        <v>171</v>
      </c>
      <c r="S798" s="404" t="s">
        <v>1294</v>
      </c>
      <c r="T798" s="404" t="s">
        <v>1272</v>
      </c>
      <c r="U798" s="941">
        <v>6</v>
      </c>
      <c r="V798" s="941">
        <v>23</v>
      </c>
      <c r="W798" s="941">
        <v>0</v>
      </c>
      <c r="X798" s="941">
        <v>0</v>
      </c>
      <c r="Y798" s="941">
        <v>0</v>
      </c>
      <c r="Z798" s="941">
        <v>0</v>
      </c>
      <c r="AA798" s="942">
        <v>1</v>
      </c>
      <c r="AB798" s="942">
        <v>8</v>
      </c>
      <c r="AC798" s="942">
        <v>0</v>
      </c>
      <c r="AD798" s="942">
        <v>0</v>
      </c>
      <c r="AE798" s="942">
        <v>0</v>
      </c>
      <c r="AF798" s="942">
        <v>0</v>
      </c>
      <c r="AG798" s="943">
        <f>comparaison_samebasis_villages[[#This Row],[previous idp_ind]]-comparaison_samebasis_villages[[#This Row],[actual idp_ind]]</f>
        <v>-15</v>
      </c>
      <c r="AH798" s="943">
        <f>comparaison_samebasis_villages[[#This Row],[previous ref_ind]]-comparaison_samebasis_villages[[#This Row],[actual ref_ind]]</f>
        <v>0</v>
      </c>
      <c r="AI798" s="943">
        <f>comparaison_samebasis_villages[[#This Row],[previous ret_ind]]-comparaison_samebasis_villages[[#This Row],[actual ret_ind]]</f>
        <v>0</v>
      </c>
    </row>
    <row r="799" spans="1:35" ht="15.75" customHeight="1" x14ac:dyDescent="0.3">
      <c r="O799" s="404" t="s">
        <v>31</v>
      </c>
      <c r="P799" s="404" t="s">
        <v>31</v>
      </c>
      <c r="Q799" s="404" t="s">
        <v>171</v>
      </c>
      <c r="R799" s="404" t="s">
        <v>171</v>
      </c>
      <c r="S799" s="404" t="s">
        <v>1893</v>
      </c>
      <c r="T799" s="404" t="s">
        <v>2938</v>
      </c>
      <c r="U799" s="941">
        <v>20</v>
      </c>
      <c r="V799" s="941">
        <v>202</v>
      </c>
      <c r="W799" s="941">
        <v>0</v>
      </c>
      <c r="X799" s="941">
        <v>0</v>
      </c>
      <c r="Y799" s="941">
        <v>0</v>
      </c>
      <c r="Z799" s="941">
        <v>0</v>
      </c>
      <c r="AA799" s="942">
        <v>10</v>
      </c>
      <c r="AB799" s="942">
        <v>167</v>
      </c>
      <c r="AC799" s="942">
        <v>0</v>
      </c>
      <c r="AD799" s="942">
        <v>0</v>
      </c>
      <c r="AE799" s="942">
        <v>0</v>
      </c>
      <c r="AF799" s="942">
        <v>0</v>
      </c>
      <c r="AG799" s="943">
        <f>comparaison_samebasis_villages[[#This Row],[previous idp_ind]]-comparaison_samebasis_villages[[#This Row],[actual idp_ind]]</f>
        <v>-35</v>
      </c>
      <c r="AH799" s="943">
        <f>comparaison_samebasis_villages[[#This Row],[previous ref_ind]]-comparaison_samebasis_villages[[#This Row],[actual ref_ind]]</f>
        <v>0</v>
      </c>
      <c r="AI799" s="943">
        <f>comparaison_samebasis_villages[[#This Row],[previous ret_ind]]-comparaison_samebasis_villages[[#This Row],[actual ret_ind]]</f>
        <v>0</v>
      </c>
    </row>
    <row r="800" spans="1:35" ht="15.75" customHeight="1" x14ac:dyDescent="0.3">
      <c r="O800" s="404" t="s">
        <v>31</v>
      </c>
      <c r="P800" s="404" t="s">
        <v>31</v>
      </c>
      <c r="Q800" s="404" t="s">
        <v>171</v>
      </c>
      <c r="R800" s="404" t="s">
        <v>171</v>
      </c>
      <c r="S800" s="404" t="s">
        <v>1822</v>
      </c>
      <c r="T800" s="404" t="s">
        <v>2625</v>
      </c>
      <c r="U800" s="941">
        <v>60</v>
      </c>
      <c r="V800" s="941">
        <v>462</v>
      </c>
      <c r="W800" s="941">
        <v>0</v>
      </c>
      <c r="X800" s="941">
        <v>0</v>
      </c>
      <c r="Y800" s="941">
        <v>0</v>
      </c>
      <c r="Z800" s="941">
        <v>0</v>
      </c>
      <c r="AA800" s="942">
        <v>50</v>
      </c>
      <c r="AB800" s="942">
        <v>390</v>
      </c>
      <c r="AC800" s="942">
        <v>0</v>
      </c>
      <c r="AD800" s="942">
        <v>0</v>
      </c>
      <c r="AE800" s="942">
        <v>0</v>
      </c>
      <c r="AF800" s="942">
        <v>0</v>
      </c>
      <c r="AG800" s="943">
        <f>comparaison_samebasis_villages[[#This Row],[previous idp_ind]]-comparaison_samebasis_villages[[#This Row],[actual idp_ind]]</f>
        <v>-72</v>
      </c>
      <c r="AH800" s="943">
        <f>comparaison_samebasis_villages[[#This Row],[previous ref_ind]]-comparaison_samebasis_villages[[#This Row],[actual ref_ind]]</f>
        <v>0</v>
      </c>
      <c r="AI800" s="943">
        <f>comparaison_samebasis_villages[[#This Row],[previous ret_ind]]-comparaison_samebasis_villages[[#This Row],[actual ret_ind]]</f>
        <v>0</v>
      </c>
    </row>
    <row r="801" spans="15:35" ht="15.75" customHeight="1" x14ac:dyDescent="0.3">
      <c r="O801" s="404" t="s">
        <v>31</v>
      </c>
      <c r="P801" s="404" t="s">
        <v>31</v>
      </c>
      <c r="Q801" s="404" t="s">
        <v>171</v>
      </c>
      <c r="R801" s="404" t="s">
        <v>171</v>
      </c>
      <c r="S801" s="404" t="s">
        <v>1862</v>
      </c>
      <c r="T801" s="404" t="s">
        <v>1443</v>
      </c>
      <c r="U801" s="941">
        <v>10</v>
      </c>
      <c r="V801" s="941">
        <v>25</v>
      </c>
      <c r="W801" s="941">
        <v>0</v>
      </c>
      <c r="X801" s="941">
        <v>0</v>
      </c>
      <c r="Y801" s="941">
        <v>0</v>
      </c>
      <c r="Z801" s="941">
        <v>0</v>
      </c>
      <c r="AA801" s="942">
        <v>0</v>
      </c>
      <c r="AB801" s="942">
        <v>0</v>
      </c>
      <c r="AC801" s="942">
        <v>0</v>
      </c>
      <c r="AD801" s="942">
        <v>0</v>
      </c>
      <c r="AE801" s="942">
        <v>0</v>
      </c>
      <c r="AF801" s="942">
        <v>0</v>
      </c>
      <c r="AG801" s="943">
        <f>comparaison_samebasis_villages[[#This Row],[previous idp_ind]]-comparaison_samebasis_villages[[#This Row],[actual idp_ind]]</f>
        <v>-25</v>
      </c>
      <c r="AH801" s="943">
        <f>comparaison_samebasis_villages[[#This Row],[previous ref_ind]]-comparaison_samebasis_villages[[#This Row],[actual ref_ind]]</f>
        <v>0</v>
      </c>
      <c r="AI801" s="943">
        <f>comparaison_samebasis_villages[[#This Row],[previous ret_ind]]-comparaison_samebasis_villages[[#This Row],[actual ret_ind]]</f>
        <v>0</v>
      </c>
    </row>
    <row r="802" spans="15:35" ht="15.75" customHeight="1" x14ac:dyDescent="0.3">
      <c r="O802" s="404" t="s">
        <v>31</v>
      </c>
      <c r="P802" s="404" t="s">
        <v>31</v>
      </c>
      <c r="Q802" s="404" t="s">
        <v>171</v>
      </c>
      <c r="R802" s="404" t="s">
        <v>171</v>
      </c>
      <c r="S802" s="404" t="s">
        <v>1928</v>
      </c>
      <c r="T802" s="404" t="s">
        <v>1158</v>
      </c>
      <c r="U802" s="941">
        <v>65</v>
      </c>
      <c r="V802" s="941">
        <v>105</v>
      </c>
      <c r="W802" s="941">
        <v>0</v>
      </c>
      <c r="X802" s="941">
        <v>0</v>
      </c>
      <c r="Y802" s="941">
        <v>0</v>
      </c>
      <c r="Z802" s="941">
        <v>0</v>
      </c>
      <c r="AA802" s="942">
        <v>60</v>
      </c>
      <c r="AB802" s="942">
        <v>90</v>
      </c>
      <c r="AC802" s="942">
        <v>0</v>
      </c>
      <c r="AD802" s="942">
        <v>0</v>
      </c>
      <c r="AE802" s="942">
        <v>0</v>
      </c>
      <c r="AF802" s="942">
        <v>0</v>
      </c>
      <c r="AG802" s="943">
        <f>comparaison_samebasis_villages[[#This Row],[previous idp_ind]]-comparaison_samebasis_villages[[#This Row],[actual idp_ind]]</f>
        <v>-15</v>
      </c>
      <c r="AH802" s="943">
        <f>comparaison_samebasis_villages[[#This Row],[previous ref_ind]]-comparaison_samebasis_villages[[#This Row],[actual ref_ind]]</f>
        <v>0</v>
      </c>
      <c r="AI802" s="943">
        <f>comparaison_samebasis_villages[[#This Row],[previous ret_ind]]-comparaison_samebasis_villages[[#This Row],[actual ret_ind]]</f>
        <v>0</v>
      </c>
    </row>
    <row r="803" spans="15:35" ht="15.75" customHeight="1" x14ac:dyDescent="0.3">
      <c r="O803" s="404" t="s">
        <v>31</v>
      </c>
      <c r="P803" s="404" t="s">
        <v>31</v>
      </c>
      <c r="Q803" s="404" t="s">
        <v>171</v>
      </c>
      <c r="R803" s="404" t="s">
        <v>171</v>
      </c>
      <c r="S803" s="404" t="s">
        <v>1988</v>
      </c>
      <c r="T803" s="404" t="s">
        <v>1804</v>
      </c>
      <c r="U803" s="941">
        <v>18</v>
      </c>
      <c r="V803" s="941">
        <v>141</v>
      </c>
      <c r="W803" s="941">
        <v>0</v>
      </c>
      <c r="X803" s="941">
        <v>0</v>
      </c>
      <c r="Y803" s="941">
        <v>0</v>
      </c>
      <c r="Z803" s="941">
        <v>0</v>
      </c>
      <c r="AA803" s="942">
        <v>10</v>
      </c>
      <c r="AB803" s="942">
        <v>70</v>
      </c>
      <c r="AC803" s="942">
        <v>0</v>
      </c>
      <c r="AD803" s="942">
        <v>0</v>
      </c>
      <c r="AE803" s="942">
        <v>0</v>
      </c>
      <c r="AF803" s="942">
        <v>0</v>
      </c>
      <c r="AG803" s="943">
        <f>comparaison_samebasis_villages[[#This Row],[previous idp_ind]]-comparaison_samebasis_villages[[#This Row],[actual idp_ind]]</f>
        <v>-71</v>
      </c>
      <c r="AH803" s="943">
        <f>comparaison_samebasis_villages[[#This Row],[previous ref_ind]]-comparaison_samebasis_villages[[#This Row],[actual ref_ind]]</f>
        <v>0</v>
      </c>
      <c r="AI803" s="943">
        <f>comparaison_samebasis_villages[[#This Row],[previous ret_ind]]-comparaison_samebasis_villages[[#This Row],[actual ret_ind]]</f>
        <v>0</v>
      </c>
    </row>
    <row r="804" spans="15:35" ht="15.75" customHeight="1" x14ac:dyDescent="0.3">
      <c r="O804" s="399" t="s">
        <v>31</v>
      </c>
      <c r="P804" s="399" t="s">
        <v>31</v>
      </c>
      <c r="Q804" s="399" t="s">
        <v>171</v>
      </c>
      <c r="R804" s="399" t="s">
        <v>171</v>
      </c>
      <c r="S804" s="399" t="s">
        <v>2139</v>
      </c>
      <c r="T804" s="399" t="s">
        <v>2627</v>
      </c>
      <c r="U804" s="941">
        <v>59</v>
      </c>
      <c r="V804" s="941">
        <v>75</v>
      </c>
      <c r="W804" s="941">
        <v>0</v>
      </c>
      <c r="X804" s="941">
        <v>0</v>
      </c>
      <c r="Y804" s="941">
        <v>0</v>
      </c>
      <c r="Z804" s="941">
        <v>0</v>
      </c>
      <c r="AA804" s="942">
        <v>50</v>
      </c>
      <c r="AB804" s="942">
        <v>62</v>
      </c>
      <c r="AC804" s="942">
        <v>0</v>
      </c>
      <c r="AD804" s="942">
        <v>0</v>
      </c>
      <c r="AE804" s="942">
        <v>0</v>
      </c>
      <c r="AF804" s="942">
        <v>0</v>
      </c>
      <c r="AG804" s="943">
        <f>comparaison_samebasis_villages[[#This Row],[previous idp_ind]]-comparaison_samebasis_villages[[#This Row],[actual idp_ind]]</f>
        <v>-13</v>
      </c>
      <c r="AH804" s="943">
        <f>comparaison_samebasis_villages[[#This Row],[previous ref_ind]]-comparaison_samebasis_villages[[#This Row],[actual ref_ind]]</f>
        <v>0</v>
      </c>
      <c r="AI804" s="943">
        <f>comparaison_samebasis_villages[[#This Row],[previous ret_ind]]-comparaison_samebasis_villages[[#This Row],[actual ret_ind]]</f>
        <v>0</v>
      </c>
    </row>
    <row r="805" spans="15:35" ht="15.75" customHeight="1" x14ac:dyDescent="0.3">
      <c r="O805" s="404" t="s">
        <v>31</v>
      </c>
      <c r="P805" s="404" t="s">
        <v>31</v>
      </c>
      <c r="Q805" s="404" t="s">
        <v>171</v>
      </c>
      <c r="R805" s="404" t="s">
        <v>171</v>
      </c>
      <c r="S805" s="404" t="s">
        <v>1931</v>
      </c>
      <c r="T805" s="404" t="s">
        <v>2629</v>
      </c>
      <c r="U805" s="941">
        <v>26</v>
      </c>
      <c r="V805" s="941">
        <v>157</v>
      </c>
      <c r="W805" s="941">
        <v>0</v>
      </c>
      <c r="X805" s="941">
        <v>0</v>
      </c>
      <c r="Y805" s="941">
        <v>0</v>
      </c>
      <c r="Z805" s="941">
        <v>0</v>
      </c>
      <c r="AA805" s="942">
        <v>1</v>
      </c>
      <c r="AB805" s="942">
        <v>8</v>
      </c>
      <c r="AC805" s="942">
        <v>0</v>
      </c>
      <c r="AD805" s="942">
        <v>0</v>
      </c>
      <c r="AE805" s="942">
        <v>0</v>
      </c>
      <c r="AF805" s="942">
        <v>0</v>
      </c>
      <c r="AG805" s="943">
        <f>comparaison_samebasis_villages[[#This Row],[previous idp_ind]]-comparaison_samebasis_villages[[#This Row],[actual idp_ind]]</f>
        <v>-149</v>
      </c>
      <c r="AH805" s="943">
        <f>comparaison_samebasis_villages[[#This Row],[previous ref_ind]]-comparaison_samebasis_villages[[#This Row],[actual ref_ind]]</f>
        <v>0</v>
      </c>
      <c r="AI805" s="943">
        <f>comparaison_samebasis_villages[[#This Row],[previous ret_ind]]-comparaison_samebasis_villages[[#This Row],[actual ret_ind]]</f>
        <v>0</v>
      </c>
    </row>
    <row r="806" spans="15:35" ht="15.75" customHeight="1" x14ac:dyDescent="0.3">
      <c r="O806" s="399" t="s">
        <v>31</v>
      </c>
      <c r="P806" s="399" t="s">
        <v>31</v>
      </c>
      <c r="Q806" s="399" t="s">
        <v>171</v>
      </c>
      <c r="R806" s="399" t="s">
        <v>171</v>
      </c>
      <c r="S806" s="399" t="s">
        <v>2009</v>
      </c>
      <c r="T806" s="399" t="s">
        <v>2631</v>
      </c>
      <c r="U806" s="941">
        <v>17</v>
      </c>
      <c r="V806" s="941">
        <v>67</v>
      </c>
      <c r="W806" s="941">
        <v>0</v>
      </c>
      <c r="X806" s="941">
        <v>0</v>
      </c>
      <c r="Y806" s="941">
        <v>0</v>
      </c>
      <c r="Z806" s="941">
        <v>0</v>
      </c>
      <c r="AA806" s="942">
        <v>17</v>
      </c>
      <c r="AB806" s="942">
        <v>67</v>
      </c>
      <c r="AC806" s="942">
        <v>0</v>
      </c>
      <c r="AD806" s="942">
        <v>0</v>
      </c>
      <c r="AE806" s="942">
        <v>0</v>
      </c>
      <c r="AF806" s="942">
        <v>0</v>
      </c>
      <c r="AG806" s="943">
        <f>comparaison_samebasis_villages[[#This Row],[previous idp_ind]]-comparaison_samebasis_villages[[#This Row],[actual idp_ind]]</f>
        <v>0</v>
      </c>
      <c r="AH806" s="943">
        <f>comparaison_samebasis_villages[[#This Row],[previous ref_ind]]-comparaison_samebasis_villages[[#This Row],[actual ref_ind]]</f>
        <v>0</v>
      </c>
      <c r="AI806" s="943">
        <f>comparaison_samebasis_villages[[#This Row],[previous ret_ind]]-comparaison_samebasis_villages[[#This Row],[actual ret_ind]]</f>
        <v>0</v>
      </c>
    </row>
    <row r="807" spans="15:35" ht="15.75" customHeight="1" x14ac:dyDescent="0.3">
      <c r="O807" s="404" t="s">
        <v>30</v>
      </c>
      <c r="P807" s="404" t="s">
        <v>3522</v>
      </c>
      <c r="Q807" s="404" t="s">
        <v>159</v>
      </c>
      <c r="R807" s="404" t="s">
        <v>159</v>
      </c>
      <c r="S807" s="404" t="s">
        <v>595</v>
      </c>
      <c r="T807" s="404" t="s">
        <v>594</v>
      </c>
      <c r="U807" s="941">
        <v>0</v>
      </c>
      <c r="V807" s="941">
        <v>0</v>
      </c>
      <c r="W807" s="941">
        <v>0</v>
      </c>
      <c r="X807" s="941">
        <v>0</v>
      </c>
      <c r="Y807" s="941">
        <v>0</v>
      </c>
      <c r="Z807" s="941">
        <v>0</v>
      </c>
      <c r="AA807" s="942">
        <v>2</v>
      </c>
      <c r="AB807" s="942">
        <v>15</v>
      </c>
      <c r="AC807" s="942">
        <v>0</v>
      </c>
      <c r="AD807" s="942">
        <v>0</v>
      </c>
      <c r="AE807" s="942">
        <v>0</v>
      </c>
      <c r="AF807" s="942">
        <v>0</v>
      </c>
      <c r="AG807" s="943">
        <f>comparaison_samebasis_villages[[#This Row],[previous idp_ind]]-comparaison_samebasis_villages[[#This Row],[actual idp_ind]]</f>
        <v>15</v>
      </c>
      <c r="AH807" s="943">
        <f>comparaison_samebasis_villages[[#This Row],[previous ref_ind]]-comparaison_samebasis_villages[[#This Row],[actual ref_ind]]</f>
        <v>0</v>
      </c>
      <c r="AI807" s="943">
        <f>comparaison_samebasis_villages[[#This Row],[previous ret_ind]]-comparaison_samebasis_villages[[#This Row],[actual ret_ind]]</f>
        <v>0</v>
      </c>
    </row>
    <row r="808" spans="15:35" ht="15.75" customHeight="1" x14ac:dyDescent="0.3">
      <c r="O808" s="399" t="s">
        <v>30</v>
      </c>
      <c r="P808" s="399" t="s">
        <v>3522</v>
      </c>
      <c r="Q808" s="399" t="s">
        <v>159</v>
      </c>
      <c r="R808" s="399" t="s">
        <v>159</v>
      </c>
      <c r="S808" s="399" t="s">
        <v>593</v>
      </c>
      <c r="T808" s="399" t="s">
        <v>592</v>
      </c>
      <c r="U808" s="941">
        <v>2</v>
      </c>
      <c r="V808" s="941">
        <v>11</v>
      </c>
      <c r="W808" s="941">
        <v>0</v>
      </c>
      <c r="X808" s="941">
        <v>0</v>
      </c>
      <c r="Y808" s="941">
        <v>0</v>
      </c>
      <c r="Z808" s="941">
        <v>0</v>
      </c>
      <c r="AA808" s="942">
        <v>2</v>
      </c>
      <c r="AB808" s="942">
        <v>11</v>
      </c>
      <c r="AC808" s="942">
        <v>0</v>
      </c>
      <c r="AD808" s="942">
        <v>0</v>
      </c>
      <c r="AE808" s="942">
        <v>0</v>
      </c>
      <c r="AF808" s="942">
        <v>0</v>
      </c>
      <c r="AG808" s="943">
        <f>comparaison_samebasis_villages[[#This Row],[previous idp_ind]]-comparaison_samebasis_villages[[#This Row],[actual idp_ind]]</f>
        <v>0</v>
      </c>
      <c r="AH808" s="943">
        <f>comparaison_samebasis_villages[[#This Row],[previous ref_ind]]-comparaison_samebasis_villages[[#This Row],[actual ref_ind]]</f>
        <v>0</v>
      </c>
      <c r="AI808" s="943">
        <f>comparaison_samebasis_villages[[#This Row],[previous ret_ind]]-comparaison_samebasis_villages[[#This Row],[actual ret_ind]]</f>
        <v>0</v>
      </c>
    </row>
    <row r="809" spans="15:35" ht="15.75" customHeight="1" x14ac:dyDescent="0.3">
      <c r="O809" s="404" t="s">
        <v>30</v>
      </c>
      <c r="P809" s="404" t="s">
        <v>3522</v>
      </c>
      <c r="Q809" s="404" t="s">
        <v>159</v>
      </c>
      <c r="R809" s="404" t="s">
        <v>159</v>
      </c>
      <c r="S809" s="404" t="s">
        <v>823</v>
      </c>
      <c r="T809" s="404" t="s">
        <v>822</v>
      </c>
      <c r="U809" s="941">
        <v>31</v>
      </c>
      <c r="V809" s="941">
        <v>166</v>
      </c>
      <c r="W809" s="941">
        <v>0</v>
      </c>
      <c r="X809" s="941">
        <v>0</v>
      </c>
      <c r="Y809" s="941">
        <v>0</v>
      </c>
      <c r="Z809" s="941">
        <v>0</v>
      </c>
      <c r="AA809" s="942">
        <v>31</v>
      </c>
      <c r="AB809" s="942">
        <v>166</v>
      </c>
      <c r="AC809" s="942">
        <v>0</v>
      </c>
      <c r="AD809" s="942">
        <v>0</v>
      </c>
      <c r="AE809" s="942">
        <v>0</v>
      </c>
      <c r="AF809" s="942">
        <v>0</v>
      </c>
      <c r="AG809" s="943">
        <f>comparaison_samebasis_villages[[#This Row],[previous idp_ind]]-comparaison_samebasis_villages[[#This Row],[actual idp_ind]]</f>
        <v>0</v>
      </c>
      <c r="AH809" s="943">
        <f>comparaison_samebasis_villages[[#This Row],[previous ref_ind]]-comparaison_samebasis_villages[[#This Row],[actual ref_ind]]</f>
        <v>0</v>
      </c>
      <c r="AI809" s="943">
        <f>comparaison_samebasis_villages[[#This Row],[previous ret_ind]]-comparaison_samebasis_villages[[#This Row],[actual ret_ind]]</f>
        <v>0</v>
      </c>
    </row>
    <row r="810" spans="15:35" ht="15.75" customHeight="1" x14ac:dyDescent="0.3">
      <c r="O810" s="399" t="s">
        <v>30</v>
      </c>
      <c r="P810" s="399" t="s">
        <v>3522</v>
      </c>
      <c r="Q810" s="399" t="s">
        <v>159</v>
      </c>
      <c r="R810" s="399" t="s">
        <v>159</v>
      </c>
      <c r="S810" s="399" t="s">
        <v>576</v>
      </c>
      <c r="T810" s="399" t="s">
        <v>575</v>
      </c>
      <c r="U810" s="941">
        <v>2</v>
      </c>
      <c r="V810" s="941">
        <v>12</v>
      </c>
      <c r="W810" s="941">
        <v>0</v>
      </c>
      <c r="X810" s="941">
        <v>0</v>
      </c>
      <c r="Y810" s="941">
        <v>0</v>
      </c>
      <c r="Z810" s="941">
        <v>0</v>
      </c>
      <c r="AA810" s="942">
        <v>2</v>
      </c>
      <c r="AB810" s="942">
        <v>11</v>
      </c>
      <c r="AC810" s="942">
        <v>0</v>
      </c>
      <c r="AD810" s="942">
        <v>0</v>
      </c>
      <c r="AE810" s="942">
        <v>0</v>
      </c>
      <c r="AF810" s="942">
        <v>0</v>
      </c>
      <c r="AG810" s="943">
        <f>comparaison_samebasis_villages[[#This Row],[previous idp_ind]]-comparaison_samebasis_villages[[#This Row],[actual idp_ind]]</f>
        <v>-1</v>
      </c>
      <c r="AH810" s="943">
        <f>comparaison_samebasis_villages[[#This Row],[previous ref_ind]]-comparaison_samebasis_villages[[#This Row],[actual ref_ind]]</f>
        <v>0</v>
      </c>
      <c r="AI810" s="943">
        <f>comparaison_samebasis_villages[[#This Row],[previous ret_ind]]-comparaison_samebasis_villages[[#This Row],[actual ret_ind]]</f>
        <v>0</v>
      </c>
    </row>
    <row r="811" spans="15:35" ht="15.75" customHeight="1" x14ac:dyDescent="0.3">
      <c r="O811" s="404" t="s">
        <v>30</v>
      </c>
      <c r="P811" s="404" t="s">
        <v>3522</v>
      </c>
      <c r="Q811" s="404" t="s">
        <v>159</v>
      </c>
      <c r="R811" s="404" t="s">
        <v>159</v>
      </c>
      <c r="S811" s="404" t="s">
        <v>582</v>
      </c>
      <c r="T811" s="404" t="s">
        <v>581</v>
      </c>
      <c r="U811" s="941">
        <v>8</v>
      </c>
      <c r="V811" s="941">
        <v>44</v>
      </c>
      <c r="W811" s="941">
        <v>0</v>
      </c>
      <c r="X811" s="941">
        <v>0</v>
      </c>
      <c r="Y811" s="941">
        <v>0</v>
      </c>
      <c r="Z811" s="941">
        <v>0</v>
      </c>
      <c r="AA811" s="942">
        <v>8</v>
      </c>
      <c r="AB811" s="942">
        <v>44</v>
      </c>
      <c r="AC811" s="942">
        <v>0</v>
      </c>
      <c r="AD811" s="942">
        <v>0</v>
      </c>
      <c r="AE811" s="942">
        <v>0</v>
      </c>
      <c r="AF811" s="942">
        <v>0</v>
      </c>
      <c r="AG811" s="943">
        <f>comparaison_samebasis_villages[[#This Row],[previous idp_ind]]-comparaison_samebasis_villages[[#This Row],[actual idp_ind]]</f>
        <v>0</v>
      </c>
      <c r="AH811" s="943">
        <f>comparaison_samebasis_villages[[#This Row],[previous ref_ind]]-comparaison_samebasis_villages[[#This Row],[actual ref_ind]]</f>
        <v>0</v>
      </c>
      <c r="AI811" s="943">
        <f>comparaison_samebasis_villages[[#This Row],[previous ret_ind]]-comparaison_samebasis_villages[[#This Row],[actual ret_ind]]</f>
        <v>0</v>
      </c>
    </row>
    <row r="812" spans="15:35" ht="15.75" customHeight="1" x14ac:dyDescent="0.3">
      <c r="O812" s="404" t="s">
        <v>30</v>
      </c>
      <c r="P812" s="404" t="s">
        <v>3522</v>
      </c>
      <c r="Q812" s="404" t="s">
        <v>159</v>
      </c>
      <c r="R812" s="404" t="s">
        <v>159</v>
      </c>
      <c r="S812" s="404" t="s">
        <v>719</v>
      </c>
      <c r="T812" s="404" t="s">
        <v>3026</v>
      </c>
      <c r="U812" s="941">
        <v>3</v>
      </c>
      <c r="V812" s="941">
        <v>11</v>
      </c>
      <c r="W812" s="941">
        <v>0</v>
      </c>
      <c r="X812" s="941">
        <v>0</v>
      </c>
      <c r="Y812" s="941">
        <v>0</v>
      </c>
      <c r="Z812" s="941">
        <v>0</v>
      </c>
      <c r="AA812" s="942">
        <v>7</v>
      </c>
      <c r="AB812" s="942">
        <v>20</v>
      </c>
      <c r="AC812" s="942">
        <v>0</v>
      </c>
      <c r="AD812" s="942">
        <v>0</v>
      </c>
      <c r="AE812" s="942">
        <v>0</v>
      </c>
      <c r="AF812" s="942">
        <v>0</v>
      </c>
      <c r="AG812" s="943">
        <f>comparaison_samebasis_villages[[#This Row],[previous idp_ind]]-comparaison_samebasis_villages[[#This Row],[actual idp_ind]]</f>
        <v>9</v>
      </c>
      <c r="AH812" s="943">
        <f>comparaison_samebasis_villages[[#This Row],[previous ref_ind]]-comparaison_samebasis_villages[[#This Row],[actual ref_ind]]</f>
        <v>0</v>
      </c>
      <c r="AI812" s="943">
        <f>comparaison_samebasis_villages[[#This Row],[previous ret_ind]]-comparaison_samebasis_villages[[#This Row],[actual ret_ind]]</f>
        <v>0</v>
      </c>
    </row>
    <row r="813" spans="15:35" ht="15.75" customHeight="1" x14ac:dyDescent="0.3">
      <c r="O813" s="404" t="s">
        <v>30</v>
      </c>
      <c r="P813" s="404" t="s">
        <v>3522</v>
      </c>
      <c r="Q813" s="404" t="s">
        <v>159</v>
      </c>
      <c r="R813" s="404" t="s">
        <v>159</v>
      </c>
      <c r="S813" s="404" t="s">
        <v>2861</v>
      </c>
      <c r="T813" s="404" t="s">
        <v>3096</v>
      </c>
      <c r="U813" s="941">
        <v>102</v>
      </c>
      <c r="V813" s="941">
        <v>708</v>
      </c>
      <c r="W813" s="941">
        <v>0</v>
      </c>
      <c r="X813" s="941">
        <v>0</v>
      </c>
      <c r="Y813" s="941">
        <v>0</v>
      </c>
      <c r="Z813" s="941">
        <v>0</v>
      </c>
      <c r="AA813" s="942">
        <v>158</v>
      </c>
      <c r="AB813" s="942">
        <v>1414</v>
      </c>
      <c r="AC813" s="942">
        <v>0</v>
      </c>
      <c r="AD813" s="942">
        <v>0</v>
      </c>
      <c r="AE813" s="942">
        <v>0</v>
      </c>
      <c r="AF813" s="942">
        <v>0</v>
      </c>
      <c r="AG813" s="943">
        <f>comparaison_samebasis_villages[[#This Row],[previous idp_ind]]-comparaison_samebasis_villages[[#This Row],[actual idp_ind]]</f>
        <v>706</v>
      </c>
      <c r="AH813" s="943">
        <f>comparaison_samebasis_villages[[#This Row],[previous ref_ind]]-comparaison_samebasis_villages[[#This Row],[actual ref_ind]]</f>
        <v>0</v>
      </c>
      <c r="AI813" s="943">
        <f>comparaison_samebasis_villages[[#This Row],[previous ret_ind]]-comparaison_samebasis_villages[[#This Row],[actual ret_ind]]</f>
        <v>0</v>
      </c>
    </row>
    <row r="814" spans="15:35" ht="15.75" customHeight="1" x14ac:dyDescent="0.3">
      <c r="O814" s="404" t="s">
        <v>30</v>
      </c>
      <c r="P814" s="404" t="s">
        <v>3522</v>
      </c>
      <c r="Q814" s="404" t="s">
        <v>160</v>
      </c>
      <c r="R814" s="404" t="s">
        <v>3528</v>
      </c>
      <c r="S814" s="404" t="s">
        <v>631</v>
      </c>
      <c r="T814" s="404" t="s">
        <v>630</v>
      </c>
      <c r="U814" s="941">
        <v>44</v>
      </c>
      <c r="V814" s="941">
        <v>374</v>
      </c>
      <c r="W814" s="941">
        <v>0</v>
      </c>
      <c r="X814" s="941">
        <v>0</v>
      </c>
      <c r="Y814" s="941">
        <v>0</v>
      </c>
      <c r="Z814" s="941">
        <v>0</v>
      </c>
      <c r="AA814" s="942">
        <v>46</v>
      </c>
      <c r="AB814" s="942">
        <v>378</v>
      </c>
      <c r="AC814" s="942">
        <v>0</v>
      </c>
      <c r="AD814" s="942">
        <v>0</v>
      </c>
      <c r="AE814" s="942">
        <v>0</v>
      </c>
      <c r="AF814" s="942">
        <v>0</v>
      </c>
      <c r="AG814" s="943">
        <f>comparaison_samebasis_villages[[#This Row],[previous idp_ind]]-comparaison_samebasis_villages[[#This Row],[actual idp_ind]]</f>
        <v>4</v>
      </c>
      <c r="AH814" s="943">
        <f>comparaison_samebasis_villages[[#This Row],[previous ref_ind]]-comparaison_samebasis_villages[[#This Row],[actual ref_ind]]</f>
        <v>0</v>
      </c>
      <c r="AI814" s="943">
        <f>comparaison_samebasis_villages[[#This Row],[previous ret_ind]]-comparaison_samebasis_villages[[#This Row],[actual ret_ind]]</f>
        <v>0</v>
      </c>
    </row>
    <row r="815" spans="15:35" ht="15.75" customHeight="1" x14ac:dyDescent="0.3">
      <c r="O815" s="404" t="s">
        <v>30</v>
      </c>
      <c r="P815" s="404" t="s">
        <v>3522</v>
      </c>
      <c r="Q815" s="404" t="s">
        <v>160</v>
      </c>
      <c r="R815" s="404" t="s">
        <v>3528</v>
      </c>
      <c r="S815" s="404" t="s">
        <v>633</v>
      </c>
      <c r="T815" s="404" t="s">
        <v>632</v>
      </c>
      <c r="U815" s="941">
        <v>119</v>
      </c>
      <c r="V815" s="941">
        <v>831</v>
      </c>
      <c r="W815" s="941">
        <v>0</v>
      </c>
      <c r="X815" s="941">
        <v>0</v>
      </c>
      <c r="Y815" s="941">
        <v>0</v>
      </c>
      <c r="Z815" s="941">
        <v>0</v>
      </c>
      <c r="AA815" s="942">
        <v>130</v>
      </c>
      <c r="AB815" s="942">
        <v>913</v>
      </c>
      <c r="AC815" s="942">
        <v>0</v>
      </c>
      <c r="AD815" s="942">
        <v>0</v>
      </c>
      <c r="AE815" s="942">
        <v>0</v>
      </c>
      <c r="AF815" s="942">
        <v>0</v>
      </c>
      <c r="AG815" s="943">
        <f>comparaison_samebasis_villages[[#This Row],[previous idp_ind]]-comparaison_samebasis_villages[[#This Row],[actual idp_ind]]</f>
        <v>82</v>
      </c>
      <c r="AH815" s="943">
        <f>comparaison_samebasis_villages[[#This Row],[previous ref_ind]]-comparaison_samebasis_villages[[#This Row],[actual ref_ind]]</f>
        <v>0</v>
      </c>
      <c r="AI815" s="943">
        <f>comparaison_samebasis_villages[[#This Row],[previous ret_ind]]-comparaison_samebasis_villages[[#This Row],[actual ret_ind]]</f>
        <v>0</v>
      </c>
    </row>
    <row r="816" spans="15:35" ht="15.75" customHeight="1" x14ac:dyDescent="0.3">
      <c r="O816" s="404" t="s">
        <v>30</v>
      </c>
      <c r="P816" s="404" t="s">
        <v>3522</v>
      </c>
      <c r="Q816" s="404" t="s">
        <v>160</v>
      </c>
      <c r="R816" s="404" t="s">
        <v>3528</v>
      </c>
      <c r="S816" s="404" t="s">
        <v>702</v>
      </c>
      <c r="T816" s="404" t="s">
        <v>701</v>
      </c>
      <c r="U816" s="941">
        <v>12</v>
      </c>
      <c r="V816" s="941">
        <v>58</v>
      </c>
      <c r="W816" s="941">
        <v>0</v>
      </c>
      <c r="X816" s="941">
        <v>0</v>
      </c>
      <c r="Y816" s="941">
        <v>0</v>
      </c>
      <c r="Z816" s="941">
        <v>0</v>
      </c>
      <c r="AA816" s="942">
        <v>12</v>
      </c>
      <c r="AB816" s="942">
        <v>56</v>
      </c>
      <c r="AC816" s="942">
        <v>0</v>
      </c>
      <c r="AD816" s="942">
        <v>0</v>
      </c>
      <c r="AE816" s="942">
        <v>0</v>
      </c>
      <c r="AF816" s="942">
        <v>0</v>
      </c>
      <c r="AG816" s="943">
        <f>comparaison_samebasis_villages[[#This Row],[previous idp_ind]]-comparaison_samebasis_villages[[#This Row],[actual idp_ind]]</f>
        <v>-2</v>
      </c>
      <c r="AH816" s="943">
        <f>comparaison_samebasis_villages[[#This Row],[previous ref_ind]]-comparaison_samebasis_villages[[#This Row],[actual ref_ind]]</f>
        <v>0</v>
      </c>
      <c r="AI816" s="943">
        <f>comparaison_samebasis_villages[[#This Row],[previous ret_ind]]-comparaison_samebasis_villages[[#This Row],[actual ret_ind]]</f>
        <v>0</v>
      </c>
    </row>
    <row r="817" spans="15:35" ht="15.75" customHeight="1" x14ac:dyDescent="0.3">
      <c r="O817" s="404" t="s">
        <v>30</v>
      </c>
      <c r="P817" s="404" t="s">
        <v>3522</v>
      </c>
      <c r="Q817" s="404" t="s">
        <v>160</v>
      </c>
      <c r="R817" s="404" t="s">
        <v>3528</v>
      </c>
      <c r="S817" s="404" t="s">
        <v>700</v>
      </c>
      <c r="T817" s="404" t="s">
        <v>2869</v>
      </c>
      <c r="U817" s="941">
        <v>12</v>
      </c>
      <c r="V817" s="941">
        <v>203</v>
      </c>
      <c r="W817" s="941">
        <v>0</v>
      </c>
      <c r="X817" s="941">
        <v>0</v>
      </c>
      <c r="Y817" s="941">
        <v>0</v>
      </c>
      <c r="Z817" s="941">
        <v>0</v>
      </c>
      <c r="AA817" s="942">
        <v>12</v>
      </c>
      <c r="AB817" s="942">
        <v>203</v>
      </c>
      <c r="AC817" s="942">
        <v>0</v>
      </c>
      <c r="AD817" s="942">
        <v>0</v>
      </c>
      <c r="AE817" s="942">
        <v>0</v>
      </c>
      <c r="AF817" s="942">
        <v>0</v>
      </c>
      <c r="AG817" s="943">
        <f>comparaison_samebasis_villages[[#This Row],[previous idp_ind]]-comparaison_samebasis_villages[[#This Row],[actual idp_ind]]</f>
        <v>0</v>
      </c>
      <c r="AH817" s="943">
        <f>comparaison_samebasis_villages[[#This Row],[previous ref_ind]]-comparaison_samebasis_villages[[#This Row],[actual ref_ind]]</f>
        <v>0</v>
      </c>
      <c r="AI817" s="943">
        <f>comparaison_samebasis_villages[[#This Row],[previous ret_ind]]-comparaison_samebasis_villages[[#This Row],[actual ret_ind]]</f>
        <v>0</v>
      </c>
    </row>
    <row r="818" spans="15:35" ht="15.75" customHeight="1" x14ac:dyDescent="0.3">
      <c r="O818" s="404" t="s">
        <v>30</v>
      </c>
      <c r="P818" s="404" t="s">
        <v>3522</v>
      </c>
      <c r="Q818" s="404" t="s">
        <v>160</v>
      </c>
      <c r="R818" s="404" t="s">
        <v>3528</v>
      </c>
      <c r="S818" s="404" t="s">
        <v>640</v>
      </c>
      <c r="T818" s="404" t="s">
        <v>699</v>
      </c>
      <c r="U818" s="941">
        <v>25</v>
      </c>
      <c r="V818" s="941">
        <v>134</v>
      </c>
      <c r="W818" s="941">
        <v>0</v>
      </c>
      <c r="X818" s="941">
        <v>0</v>
      </c>
      <c r="Y818" s="941">
        <v>0</v>
      </c>
      <c r="Z818" s="941">
        <v>0</v>
      </c>
      <c r="AA818" s="942">
        <v>30</v>
      </c>
      <c r="AB818" s="942">
        <v>132</v>
      </c>
      <c r="AC818" s="942">
        <v>0</v>
      </c>
      <c r="AD818" s="942">
        <v>0</v>
      </c>
      <c r="AE818" s="942">
        <v>0</v>
      </c>
      <c r="AF818" s="942">
        <v>0</v>
      </c>
      <c r="AG818" s="943">
        <f>comparaison_samebasis_villages[[#This Row],[previous idp_ind]]-comparaison_samebasis_villages[[#This Row],[actual idp_ind]]</f>
        <v>-2</v>
      </c>
      <c r="AH818" s="943">
        <f>comparaison_samebasis_villages[[#This Row],[previous ref_ind]]-comparaison_samebasis_villages[[#This Row],[actual ref_ind]]</f>
        <v>0</v>
      </c>
      <c r="AI818" s="943">
        <f>comparaison_samebasis_villages[[#This Row],[previous ret_ind]]-comparaison_samebasis_villages[[#This Row],[actual ret_ind]]</f>
        <v>0</v>
      </c>
    </row>
    <row r="819" spans="15:35" ht="15.75" customHeight="1" x14ac:dyDescent="0.3">
      <c r="O819" s="404" t="s">
        <v>30</v>
      </c>
      <c r="P819" s="404" t="s">
        <v>3522</v>
      </c>
      <c r="Q819" s="404" t="s">
        <v>160</v>
      </c>
      <c r="R819" s="404" t="s">
        <v>3528</v>
      </c>
      <c r="S819" s="404" t="s">
        <v>690</v>
      </c>
      <c r="T819" s="404" t="s">
        <v>639</v>
      </c>
      <c r="U819" s="941">
        <v>20</v>
      </c>
      <c r="V819" s="941">
        <v>252</v>
      </c>
      <c r="W819" s="941">
        <v>0</v>
      </c>
      <c r="X819" s="941">
        <v>0</v>
      </c>
      <c r="Y819" s="941">
        <v>0</v>
      </c>
      <c r="Z819" s="941">
        <v>0</v>
      </c>
      <c r="AA819" s="942">
        <v>20</v>
      </c>
      <c r="AB819" s="942">
        <v>253</v>
      </c>
      <c r="AC819" s="942">
        <v>0</v>
      </c>
      <c r="AD819" s="942">
        <v>0</v>
      </c>
      <c r="AE819" s="942">
        <v>0</v>
      </c>
      <c r="AF819" s="942">
        <v>0</v>
      </c>
      <c r="AG819" s="943">
        <f>comparaison_samebasis_villages[[#This Row],[previous idp_ind]]-comparaison_samebasis_villages[[#This Row],[actual idp_ind]]</f>
        <v>1</v>
      </c>
      <c r="AH819" s="943">
        <f>comparaison_samebasis_villages[[#This Row],[previous ref_ind]]-comparaison_samebasis_villages[[#This Row],[actual ref_ind]]</f>
        <v>0</v>
      </c>
      <c r="AI819" s="943">
        <f>comparaison_samebasis_villages[[#This Row],[previous ret_ind]]-comparaison_samebasis_villages[[#This Row],[actual ret_ind]]</f>
        <v>0</v>
      </c>
    </row>
    <row r="820" spans="15:35" ht="15.75" customHeight="1" x14ac:dyDescent="0.3">
      <c r="O820" s="399" t="s">
        <v>30</v>
      </c>
      <c r="P820" s="399" t="s">
        <v>3522</v>
      </c>
      <c r="Q820" s="399" t="s">
        <v>160</v>
      </c>
      <c r="R820" s="399" t="s">
        <v>3528</v>
      </c>
      <c r="S820" s="399" t="s">
        <v>596</v>
      </c>
      <c r="T820" s="399" t="s">
        <v>689</v>
      </c>
      <c r="U820" s="941">
        <v>21</v>
      </c>
      <c r="V820" s="941">
        <v>136</v>
      </c>
      <c r="W820" s="941">
        <v>0</v>
      </c>
      <c r="X820" s="941">
        <v>0</v>
      </c>
      <c r="Y820" s="941">
        <v>0</v>
      </c>
      <c r="Z820" s="941">
        <v>0</v>
      </c>
      <c r="AA820" s="942">
        <v>21</v>
      </c>
      <c r="AB820" s="942">
        <v>136</v>
      </c>
      <c r="AC820" s="942">
        <v>0</v>
      </c>
      <c r="AD820" s="942">
        <v>0</v>
      </c>
      <c r="AE820" s="942">
        <v>0</v>
      </c>
      <c r="AF820" s="942">
        <v>0</v>
      </c>
      <c r="AG820" s="943">
        <f>comparaison_samebasis_villages[[#This Row],[previous idp_ind]]-comparaison_samebasis_villages[[#This Row],[actual idp_ind]]</f>
        <v>0</v>
      </c>
      <c r="AH820" s="943">
        <f>comparaison_samebasis_villages[[#This Row],[previous ref_ind]]-comparaison_samebasis_villages[[#This Row],[actual ref_ind]]</f>
        <v>0</v>
      </c>
      <c r="AI820" s="943">
        <f>comparaison_samebasis_villages[[#This Row],[previous ret_ind]]-comparaison_samebasis_villages[[#This Row],[actual ret_ind]]</f>
        <v>0</v>
      </c>
    </row>
    <row r="821" spans="15:35" ht="15.75" customHeight="1" x14ac:dyDescent="0.3">
      <c r="O821" s="404" t="s">
        <v>30</v>
      </c>
      <c r="P821" s="404" t="s">
        <v>3522</v>
      </c>
      <c r="Q821" s="404" t="s">
        <v>161</v>
      </c>
      <c r="R821" s="404" t="s">
        <v>3523</v>
      </c>
      <c r="S821" s="404" t="s">
        <v>629</v>
      </c>
      <c r="T821" s="404" t="s">
        <v>628</v>
      </c>
      <c r="U821" s="941">
        <v>75</v>
      </c>
      <c r="V821" s="941">
        <v>440</v>
      </c>
      <c r="W821" s="941">
        <v>0</v>
      </c>
      <c r="X821" s="941">
        <v>0</v>
      </c>
      <c r="Y821" s="941">
        <v>0</v>
      </c>
      <c r="Z821" s="941">
        <v>0</v>
      </c>
      <c r="AA821" s="942">
        <v>75</v>
      </c>
      <c r="AB821" s="942">
        <v>440</v>
      </c>
      <c r="AC821" s="942">
        <v>0</v>
      </c>
      <c r="AD821" s="942">
        <v>0</v>
      </c>
      <c r="AE821" s="942">
        <v>0</v>
      </c>
      <c r="AF821" s="942">
        <v>0</v>
      </c>
      <c r="AG821" s="943">
        <f>comparaison_samebasis_villages[[#This Row],[previous idp_ind]]-comparaison_samebasis_villages[[#This Row],[actual idp_ind]]</f>
        <v>0</v>
      </c>
      <c r="AH821" s="943">
        <f>comparaison_samebasis_villages[[#This Row],[previous ref_ind]]-comparaison_samebasis_villages[[#This Row],[actual ref_ind]]</f>
        <v>0</v>
      </c>
      <c r="AI821" s="943">
        <f>comparaison_samebasis_villages[[#This Row],[previous ret_ind]]-comparaison_samebasis_villages[[#This Row],[actual ret_ind]]</f>
        <v>0</v>
      </c>
    </row>
    <row r="822" spans="15:35" ht="15.75" customHeight="1" x14ac:dyDescent="0.3">
      <c r="O822" s="399" t="s">
        <v>30</v>
      </c>
      <c r="P822" s="399" t="s">
        <v>3522</v>
      </c>
      <c r="Q822" s="399" t="s">
        <v>161</v>
      </c>
      <c r="R822" s="399" t="s">
        <v>3523</v>
      </c>
      <c r="S822" s="399" t="s">
        <v>627</v>
      </c>
      <c r="T822" s="399" t="s">
        <v>626</v>
      </c>
      <c r="U822" s="941">
        <v>111</v>
      </c>
      <c r="V822" s="941">
        <v>580</v>
      </c>
      <c r="W822" s="941">
        <v>0</v>
      </c>
      <c r="X822" s="941">
        <v>0</v>
      </c>
      <c r="Y822" s="941">
        <v>0</v>
      </c>
      <c r="Z822" s="941">
        <v>0</v>
      </c>
      <c r="AA822" s="942">
        <v>120</v>
      </c>
      <c r="AB822" s="942">
        <v>645</v>
      </c>
      <c r="AC822" s="942">
        <v>0</v>
      </c>
      <c r="AD822" s="942">
        <v>0</v>
      </c>
      <c r="AE822" s="942">
        <v>0</v>
      </c>
      <c r="AF822" s="942">
        <v>0</v>
      </c>
      <c r="AG822" s="943">
        <f>comparaison_samebasis_villages[[#This Row],[previous idp_ind]]-comparaison_samebasis_villages[[#This Row],[actual idp_ind]]</f>
        <v>65</v>
      </c>
      <c r="AH822" s="943">
        <f>comparaison_samebasis_villages[[#This Row],[previous ref_ind]]-comparaison_samebasis_villages[[#This Row],[actual ref_ind]]</f>
        <v>0</v>
      </c>
      <c r="AI822" s="943">
        <f>comparaison_samebasis_villages[[#This Row],[previous ret_ind]]-comparaison_samebasis_villages[[#This Row],[actual ret_ind]]</f>
        <v>0</v>
      </c>
    </row>
    <row r="823" spans="15:35" ht="15.75" customHeight="1" x14ac:dyDescent="0.3">
      <c r="O823" s="404" t="s">
        <v>30</v>
      </c>
      <c r="P823" s="404" t="s">
        <v>3522</v>
      </c>
      <c r="Q823" s="404" t="s">
        <v>161</v>
      </c>
      <c r="R823" s="404" t="s">
        <v>3523</v>
      </c>
      <c r="S823" s="404" t="s">
        <v>589</v>
      </c>
      <c r="T823" s="404" t="s">
        <v>588</v>
      </c>
      <c r="U823" s="941">
        <v>184</v>
      </c>
      <c r="V823" s="941">
        <v>1078</v>
      </c>
      <c r="W823" s="941">
        <v>0</v>
      </c>
      <c r="X823" s="941">
        <v>0</v>
      </c>
      <c r="Y823" s="941">
        <v>0</v>
      </c>
      <c r="Z823" s="941">
        <v>0</v>
      </c>
      <c r="AA823" s="942">
        <v>174</v>
      </c>
      <c r="AB823" s="942">
        <v>1018</v>
      </c>
      <c r="AC823" s="942">
        <v>0</v>
      </c>
      <c r="AD823" s="942">
        <v>0</v>
      </c>
      <c r="AE823" s="942">
        <v>0</v>
      </c>
      <c r="AF823" s="942">
        <v>0</v>
      </c>
      <c r="AG823" s="943">
        <f>comparaison_samebasis_villages[[#This Row],[previous idp_ind]]-comparaison_samebasis_villages[[#This Row],[actual idp_ind]]</f>
        <v>-60</v>
      </c>
      <c r="AH823" s="943">
        <f>comparaison_samebasis_villages[[#This Row],[previous ref_ind]]-comparaison_samebasis_villages[[#This Row],[actual ref_ind]]</f>
        <v>0</v>
      </c>
      <c r="AI823" s="943">
        <f>comparaison_samebasis_villages[[#This Row],[previous ret_ind]]-comparaison_samebasis_villages[[#This Row],[actual ret_ind]]</f>
        <v>0</v>
      </c>
    </row>
    <row r="824" spans="15:35" ht="15.75" customHeight="1" x14ac:dyDescent="0.3">
      <c r="O824" s="404" t="s">
        <v>30</v>
      </c>
      <c r="P824" s="404" t="s">
        <v>3522</v>
      </c>
      <c r="Q824" s="404" t="s">
        <v>161</v>
      </c>
      <c r="R824" s="404" t="s">
        <v>3523</v>
      </c>
      <c r="S824" s="404" t="s">
        <v>704</v>
      </c>
      <c r="T824" s="404" t="s">
        <v>703</v>
      </c>
      <c r="U824" s="941">
        <v>9</v>
      </c>
      <c r="V824" s="941">
        <v>110</v>
      </c>
      <c r="W824" s="941">
        <v>0</v>
      </c>
      <c r="X824" s="941">
        <v>0</v>
      </c>
      <c r="Y824" s="941">
        <v>0</v>
      </c>
      <c r="Z824" s="941">
        <v>0</v>
      </c>
      <c r="AA824" s="942">
        <v>9</v>
      </c>
      <c r="AB824" s="942">
        <v>110</v>
      </c>
      <c r="AC824" s="942">
        <v>0</v>
      </c>
      <c r="AD824" s="942">
        <v>0</v>
      </c>
      <c r="AE824" s="942">
        <v>0</v>
      </c>
      <c r="AF824" s="942">
        <v>0</v>
      </c>
      <c r="AG824" s="943">
        <f>comparaison_samebasis_villages[[#This Row],[previous idp_ind]]-comparaison_samebasis_villages[[#This Row],[actual idp_ind]]</f>
        <v>0</v>
      </c>
      <c r="AH824" s="943">
        <f>comparaison_samebasis_villages[[#This Row],[previous ref_ind]]-comparaison_samebasis_villages[[#This Row],[actual ref_ind]]</f>
        <v>0</v>
      </c>
      <c r="AI824" s="943">
        <f>comparaison_samebasis_villages[[#This Row],[previous ret_ind]]-comparaison_samebasis_villages[[#This Row],[actual ret_ind]]</f>
        <v>0</v>
      </c>
    </row>
    <row r="825" spans="15:35" ht="15.75" customHeight="1" x14ac:dyDescent="0.3">
      <c r="O825" s="404" t="s">
        <v>30</v>
      </c>
      <c r="P825" s="404" t="s">
        <v>3522</v>
      </c>
      <c r="Q825" s="404" t="s">
        <v>161</v>
      </c>
      <c r="R825" s="404" t="s">
        <v>3523</v>
      </c>
      <c r="S825" s="404" t="s">
        <v>692</v>
      </c>
      <c r="T825" s="404" t="s">
        <v>691</v>
      </c>
      <c r="U825" s="941">
        <v>6</v>
      </c>
      <c r="V825" s="941">
        <v>52</v>
      </c>
      <c r="W825" s="941">
        <v>0</v>
      </c>
      <c r="X825" s="941">
        <v>0</v>
      </c>
      <c r="Y825" s="941">
        <v>0</v>
      </c>
      <c r="Z825" s="941">
        <v>0</v>
      </c>
      <c r="AA825" s="942">
        <v>6</v>
      </c>
      <c r="AB825" s="942">
        <v>51</v>
      </c>
      <c r="AC825" s="942">
        <v>0</v>
      </c>
      <c r="AD825" s="942">
        <v>0</v>
      </c>
      <c r="AE825" s="942">
        <v>0</v>
      </c>
      <c r="AF825" s="942">
        <v>0</v>
      </c>
      <c r="AG825" s="943">
        <f>comparaison_samebasis_villages[[#This Row],[previous idp_ind]]-comparaison_samebasis_villages[[#This Row],[actual idp_ind]]</f>
        <v>-1</v>
      </c>
      <c r="AH825" s="943">
        <f>comparaison_samebasis_villages[[#This Row],[previous ref_ind]]-comparaison_samebasis_villages[[#This Row],[actual ref_ind]]</f>
        <v>0</v>
      </c>
      <c r="AI825" s="943">
        <f>comparaison_samebasis_villages[[#This Row],[previous ret_ind]]-comparaison_samebasis_villages[[#This Row],[actual ret_ind]]</f>
        <v>0</v>
      </c>
    </row>
    <row r="826" spans="15:35" ht="15.75" customHeight="1" x14ac:dyDescent="0.3">
      <c r="O826" s="404" t="s">
        <v>30</v>
      </c>
      <c r="P826" s="404" t="s">
        <v>3522</v>
      </c>
      <c r="Q826" s="404" t="s">
        <v>161</v>
      </c>
      <c r="R826" s="404" t="s">
        <v>3523</v>
      </c>
      <c r="S826" s="404" t="s">
        <v>609</v>
      </c>
      <c r="T826" s="1094" t="s">
        <v>608</v>
      </c>
      <c r="U826" s="941">
        <v>20</v>
      </c>
      <c r="V826" s="941">
        <v>220</v>
      </c>
      <c r="W826" s="941">
        <v>0</v>
      </c>
      <c r="X826" s="941">
        <v>0</v>
      </c>
      <c r="Y826" s="941">
        <v>0</v>
      </c>
      <c r="Z826" s="941">
        <v>0</v>
      </c>
      <c r="AA826" s="942">
        <v>20</v>
      </c>
      <c r="AB826" s="942">
        <v>215</v>
      </c>
      <c r="AC826" s="942">
        <v>0</v>
      </c>
      <c r="AD826" s="942">
        <v>0</v>
      </c>
      <c r="AE826" s="942">
        <v>0</v>
      </c>
      <c r="AF826" s="942">
        <v>0</v>
      </c>
      <c r="AG826" s="943">
        <f>comparaison_samebasis_villages[[#This Row],[previous idp_ind]]-comparaison_samebasis_villages[[#This Row],[actual idp_ind]]</f>
        <v>-5</v>
      </c>
      <c r="AH826" s="943">
        <f>comparaison_samebasis_villages[[#This Row],[previous ref_ind]]-comparaison_samebasis_villages[[#This Row],[actual ref_ind]]</f>
        <v>0</v>
      </c>
      <c r="AI826" s="943">
        <f>comparaison_samebasis_villages[[#This Row],[previous ret_ind]]-comparaison_samebasis_villages[[#This Row],[actual ret_ind]]</f>
        <v>0</v>
      </c>
    </row>
    <row r="827" spans="15:35" ht="15.75" customHeight="1" x14ac:dyDescent="0.3">
      <c r="O827" s="404" t="s">
        <v>30</v>
      </c>
      <c r="P827" s="404" t="s">
        <v>3522</v>
      </c>
      <c r="Q827" s="404" t="s">
        <v>161</v>
      </c>
      <c r="R827" s="404" t="s">
        <v>3523</v>
      </c>
      <c r="S827" s="404" t="s">
        <v>597</v>
      </c>
      <c r="T827" s="404" t="s">
        <v>2945</v>
      </c>
      <c r="U827" s="941">
        <v>78</v>
      </c>
      <c r="V827" s="941">
        <v>687</v>
      </c>
      <c r="W827" s="941">
        <v>0</v>
      </c>
      <c r="X827" s="941">
        <v>0</v>
      </c>
      <c r="Y827" s="941">
        <v>0</v>
      </c>
      <c r="Z827" s="941">
        <v>0</v>
      </c>
      <c r="AA827" s="942">
        <v>97</v>
      </c>
      <c r="AB827" s="942">
        <v>826</v>
      </c>
      <c r="AC827" s="942">
        <v>0</v>
      </c>
      <c r="AD827" s="942">
        <v>0</v>
      </c>
      <c r="AE827" s="942">
        <v>0</v>
      </c>
      <c r="AF827" s="942">
        <v>0</v>
      </c>
      <c r="AG827" s="943">
        <f>comparaison_samebasis_villages[[#This Row],[previous idp_ind]]-comparaison_samebasis_villages[[#This Row],[actual idp_ind]]</f>
        <v>139</v>
      </c>
      <c r="AH827" s="943">
        <f>comparaison_samebasis_villages[[#This Row],[previous ref_ind]]-comparaison_samebasis_villages[[#This Row],[actual ref_ind]]</f>
        <v>0</v>
      </c>
      <c r="AI827" s="943">
        <f>comparaison_samebasis_villages[[#This Row],[previous ret_ind]]-comparaison_samebasis_villages[[#This Row],[actual ret_ind]]</f>
        <v>0</v>
      </c>
    </row>
    <row r="828" spans="15:35" ht="15.75" customHeight="1" x14ac:dyDescent="0.3">
      <c r="O828" s="404" t="s">
        <v>30</v>
      </c>
      <c r="P828" s="404" t="s">
        <v>3522</v>
      </c>
      <c r="Q828" s="404" t="s">
        <v>161</v>
      </c>
      <c r="R828" s="404" t="s">
        <v>3523</v>
      </c>
      <c r="S828" s="404" t="s">
        <v>718</v>
      </c>
      <c r="T828" s="404" t="s">
        <v>2995</v>
      </c>
      <c r="U828" s="941" t="s">
        <v>3373</v>
      </c>
      <c r="V828" s="941" t="s">
        <v>3373</v>
      </c>
      <c r="W828" s="941" t="s">
        <v>3373</v>
      </c>
      <c r="X828" s="941" t="s">
        <v>3373</v>
      </c>
      <c r="Y828" s="941" t="s">
        <v>3373</v>
      </c>
      <c r="Z828" s="941" t="s">
        <v>3373</v>
      </c>
      <c r="AA828" s="942">
        <v>7</v>
      </c>
      <c r="AB828" s="942">
        <v>20</v>
      </c>
      <c r="AC828" s="942">
        <v>0</v>
      </c>
      <c r="AD828" s="942">
        <v>0</v>
      </c>
      <c r="AE828" s="942">
        <v>0</v>
      </c>
      <c r="AF828" s="942">
        <v>0</v>
      </c>
      <c r="AG828" s="943" t="e">
        <f>comparaison_samebasis_villages[[#This Row],[previous idp_ind]]-comparaison_samebasis_villages[[#This Row],[actual idp_ind]]</f>
        <v>#VALUE!</v>
      </c>
      <c r="AH828" s="943" t="e">
        <f>comparaison_samebasis_villages[[#This Row],[previous ref_ind]]-comparaison_samebasis_villages[[#This Row],[actual ref_ind]]</f>
        <v>#VALUE!</v>
      </c>
      <c r="AI828" s="943" t="e">
        <f>comparaison_samebasis_villages[[#This Row],[previous ret_ind]]-comparaison_samebasis_villages[[#This Row],[actual ret_ind]]</f>
        <v>#VALUE!</v>
      </c>
    </row>
    <row r="829" spans="15:35" ht="15.75" customHeight="1" x14ac:dyDescent="0.3">
      <c r="O829" s="404" t="s">
        <v>35</v>
      </c>
      <c r="P829" s="404" t="s">
        <v>35</v>
      </c>
      <c r="Q829" s="404" t="s">
        <v>193</v>
      </c>
      <c r="R829" s="404" t="s">
        <v>3983</v>
      </c>
      <c r="S829" s="404" t="s">
        <v>1572</v>
      </c>
      <c r="T829" s="404" t="s">
        <v>1571</v>
      </c>
      <c r="U829" s="941">
        <v>116</v>
      </c>
      <c r="V829" s="941">
        <v>559</v>
      </c>
      <c r="W829" s="941">
        <v>0</v>
      </c>
      <c r="X829" s="941">
        <v>0</v>
      </c>
      <c r="Y829" s="941">
        <v>66</v>
      </c>
      <c r="Z829" s="941">
        <v>66</v>
      </c>
      <c r="AA829" s="942">
        <v>123</v>
      </c>
      <c r="AB829" s="942">
        <v>607</v>
      </c>
      <c r="AC829" s="942">
        <v>0</v>
      </c>
      <c r="AD829" s="942">
        <v>0</v>
      </c>
      <c r="AE829" s="942">
        <v>66</v>
      </c>
      <c r="AF829" s="942">
        <v>367</v>
      </c>
      <c r="AG829" s="943">
        <f>comparaison_samebasis_villages[[#This Row],[previous idp_ind]]-comparaison_samebasis_villages[[#This Row],[actual idp_ind]]</f>
        <v>48</v>
      </c>
      <c r="AH829" s="943">
        <f>comparaison_samebasis_villages[[#This Row],[previous ref_ind]]-comparaison_samebasis_villages[[#This Row],[actual ref_ind]]</f>
        <v>0</v>
      </c>
      <c r="AI829" s="943">
        <f>comparaison_samebasis_villages[[#This Row],[previous ret_ind]]-comparaison_samebasis_villages[[#This Row],[actual ret_ind]]</f>
        <v>301</v>
      </c>
    </row>
    <row r="830" spans="15:35" ht="15.75" customHeight="1" x14ac:dyDescent="0.3">
      <c r="O830" s="404" t="s">
        <v>35</v>
      </c>
      <c r="P830" s="404" t="s">
        <v>35</v>
      </c>
      <c r="Q830" s="404" t="s">
        <v>193</v>
      </c>
      <c r="R830" s="404" t="s">
        <v>3983</v>
      </c>
      <c r="S830" s="404" t="s">
        <v>2672</v>
      </c>
      <c r="T830" s="404" t="s">
        <v>2671</v>
      </c>
      <c r="U830" s="941">
        <v>0</v>
      </c>
      <c r="V830" s="941">
        <v>0</v>
      </c>
      <c r="W830" s="941">
        <v>0</v>
      </c>
      <c r="X830" s="941">
        <v>0</v>
      </c>
      <c r="Y830" s="941">
        <v>0</v>
      </c>
      <c r="Z830" s="941">
        <v>0</v>
      </c>
      <c r="AA830" s="942">
        <v>0</v>
      </c>
      <c r="AB830" s="942">
        <v>0</v>
      </c>
      <c r="AC830" s="942">
        <v>0</v>
      </c>
      <c r="AD830" s="942">
        <v>0</v>
      </c>
      <c r="AE830" s="942">
        <v>0</v>
      </c>
      <c r="AF830" s="942">
        <v>0</v>
      </c>
      <c r="AG830" s="943">
        <f>comparaison_samebasis_villages[[#This Row],[previous idp_ind]]-comparaison_samebasis_villages[[#This Row],[actual idp_ind]]</f>
        <v>0</v>
      </c>
      <c r="AH830" s="943">
        <f>comparaison_samebasis_villages[[#This Row],[previous ref_ind]]-comparaison_samebasis_villages[[#This Row],[actual ref_ind]]</f>
        <v>0</v>
      </c>
      <c r="AI830" s="943">
        <f>comparaison_samebasis_villages[[#This Row],[previous ret_ind]]-comparaison_samebasis_villages[[#This Row],[actual ret_ind]]</f>
        <v>0</v>
      </c>
    </row>
    <row r="831" spans="15:35" ht="15.75" customHeight="1" x14ac:dyDescent="0.3">
      <c r="O831" s="404" t="s">
        <v>35</v>
      </c>
      <c r="P831" s="404" t="s">
        <v>35</v>
      </c>
      <c r="Q831" s="404" t="s">
        <v>193</v>
      </c>
      <c r="R831" s="404" t="s">
        <v>3983</v>
      </c>
      <c r="S831" s="404" t="s">
        <v>1631</v>
      </c>
      <c r="T831" s="404" t="s">
        <v>1630</v>
      </c>
      <c r="U831" s="941">
        <v>115</v>
      </c>
      <c r="V831" s="941">
        <v>485</v>
      </c>
      <c r="W831" s="941">
        <v>0</v>
      </c>
      <c r="X831" s="941">
        <v>0</v>
      </c>
      <c r="Y831" s="941">
        <v>13</v>
      </c>
      <c r="Z831" s="941">
        <v>13</v>
      </c>
      <c r="AA831" s="942">
        <v>65</v>
      </c>
      <c r="AB831" s="942">
        <v>315</v>
      </c>
      <c r="AC831" s="942">
        <v>0</v>
      </c>
      <c r="AD831" s="942">
        <v>0</v>
      </c>
      <c r="AE831" s="942">
        <v>13</v>
      </c>
      <c r="AF831" s="942">
        <v>70</v>
      </c>
      <c r="AG831" s="943">
        <f>comparaison_samebasis_villages[[#This Row],[previous idp_ind]]-comparaison_samebasis_villages[[#This Row],[actual idp_ind]]</f>
        <v>-170</v>
      </c>
      <c r="AH831" s="943">
        <f>comparaison_samebasis_villages[[#This Row],[previous ref_ind]]-comparaison_samebasis_villages[[#This Row],[actual ref_ind]]</f>
        <v>0</v>
      </c>
      <c r="AI831" s="943">
        <f>comparaison_samebasis_villages[[#This Row],[previous ret_ind]]-comparaison_samebasis_villages[[#This Row],[actual ret_ind]]</f>
        <v>57</v>
      </c>
    </row>
    <row r="832" spans="15:35" ht="15.75" customHeight="1" x14ac:dyDescent="0.3">
      <c r="O832" s="399" t="s">
        <v>35</v>
      </c>
      <c r="P832" s="399" t="s">
        <v>35</v>
      </c>
      <c r="Q832" s="399" t="s">
        <v>193</v>
      </c>
      <c r="R832" s="399" t="s">
        <v>3983</v>
      </c>
      <c r="S832" s="399" t="s">
        <v>1601</v>
      </c>
      <c r="T832" s="399" t="s">
        <v>1600</v>
      </c>
      <c r="U832" s="941">
        <v>60</v>
      </c>
      <c r="V832" s="941">
        <v>286</v>
      </c>
      <c r="W832" s="941">
        <v>5</v>
      </c>
      <c r="X832" s="941">
        <v>63</v>
      </c>
      <c r="Y832" s="941">
        <v>27</v>
      </c>
      <c r="Z832" s="941">
        <v>27</v>
      </c>
      <c r="AA832" s="942">
        <v>48</v>
      </c>
      <c r="AB832" s="942">
        <v>252</v>
      </c>
      <c r="AC832" s="942">
        <v>5</v>
      </c>
      <c r="AD832" s="942">
        <v>63</v>
      </c>
      <c r="AE832" s="942">
        <v>27</v>
      </c>
      <c r="AF832" s="942">
        <v>123</v>
      </c>
      <c r="AG832" s="943">
        <f>comparaison_samebasis_villages[[#This Row],[previous idp_ind]]-comparaison_samebasis_villages[[#This Row],[actual idp_ind]]</f>
        <v>-34</v>
      </c>
      <c r="AH832" s="943">
        <f>comparaison_samebasis_villages[[#This Row],[previous ref_ind]]-comparaison_samebasis_villages[[#This Row],[actual ref_ind]]</f>
        <v>0</v>
      </c>
      <c r="AI832" s="943">
        <f>comparaison_samebasis_villages[[#This Row],[previous ret_ind]]-comparaison_samebasis_villages[[#This Row],[actual ret_ind]]</f>
        <v>96</v>
      </c>
    </row>
    <row r="833" spans="15:35" ht="15.75" customHeight="1" x14ac:dyDescent="0.3">
      <c r="O833" s="399" t="s">
        <v>35</v>
      </c>
      <c r="P833" s="399" t="s">
        <v>35</v>
      </c>
      <c r="Q833" s="399" t="s">
        <v>193</v>
      </c>
      <c r="R833" s="399" t="s">
        <v>3983</v>
      </c>
      <c r="S833" s="399" t="s">
        <v>1570</v>
      </c>
      <c r="T833" s="399" t="s">
        <v>1569</v>
      </c>
      <c r="U833" s="941">
        <v>101</v>
      </c>
      <c r="V833" s="941">
        <v>482</v>
      </c>
      <c r="W833" s="941">
        <v>16</v>
      </c>
      <c r="X833" s="941">
        <v>73</v>
      </c>
      <c r="Y833" s="941">
        <v>29</v>
      </c>
      <c r="Z833" s="941">
        <v>29</v>
      </c>
      <c r="AA833" s="942">
        <v>89</v>
      </c>
      <c r="AB833" s="942">
        <v>410</v>
      </c>
      <c r="AC833" s="942">
        <v>0</v>
      </c>
      <c r="AD833" s="942">
        <v>0</v>
      </c>
      <c r="AE833" s="942">
        <v>29</v>
      </c>
      <c r="AF833" s="942">
        <v>143</v>
      </c>
      <c r="AG833" s="943">
        <f>comparaison_samebasis_villages[[#This Row],[previous idp_ind]]-comparaison_samebasis_villages[[#This Row],[actual idp_ind]]</f>
        <v>-72</v>
      </c>
      <c r="AH833" s="943">
        <f>comparaison_samebasis_villages[[#This Row],[previous ref_ind]]-comparaison_samebasis_villages[[#This Row],[actual ref_ind]]</f>
        <v>-73</v>
      </c>
      <c r="AI833" s="943">
        <f>comparaison_samebasis_villages[[#This Row],[previous ret_ind]]-comparaison_samebasis_villages[[#This Row],[actual ret_ind]]</f>
        <v>114</v>
      </c>
    </row>
    <row r="834" spans="15:35" ht="15.75" customHeight="1" x14ac:dyDescent="0.3">
      <c r="O834" s="404" t="s">
        <v>35</v>
      </c>
      <c r="P834" s="404" t="s">
        <v>35</v>
      </c>
      <c r="Q834" s="404" t="s">
        <v>193</v>
      </c>
      <c r="R834" s="404" t="s">
        <v>3983</v>
      </c>
      <c r="S834" s="404" t="s">
        <v>865</v>
      </c>
      <c r="T834" s="404" t="s">
        <v>2952</v>
      </c>
      <c r="U834" s="941">
        <v>99</v>
      </c>
      <c r="V834" s="941">
        <v>545</v>
      </c>
      <c r="W834" s="941">
        <v>1</v>
      </c>
      <c r="X834" s="941">
        <v>3</v>
      </c>
      <c r="Y834" s="941">
        <v>5</v>
      </c>
      <c r="Z834" s="941">
        <v>5</v>
      </c>
      <c r="AA834" s="942">
        <v>84</v>
      </c>
      <c r="AB834" s="942">
        <v>492</v>
      </c>
      <c r="AC834" s="942">
        <v>0</v>
      </c>
      <c r="AD834" s="942">
        <v>0</v>
      </c>
      <c r="AE834" s="942">
        <v>10</v>
      </c>
      <c r="AF834" s="942">
        <v>48</v>
      </c>
      <c r="AG834" s="943">
        <f>comparaison_samebasis_villages[[#This Row],[previous idp_ind]]-comparaison_samebasis_villages[[#This Row],[actual idp_ind]]</f>
        <v>-53</v>
      </c>
      <c r="AH834" s="943">
        <f>comparaison_samebasis_villages[[#This Row],[previous ref_ind]]-comparaison_samebasis_villages[[#This Row],[actual ref_ind]]</f>
        <v>-3</v>
      </c>
      <c r="AI834" s="943">
        <f>comparaison_samebasis_villages[[#This Row],[previous ret_ind]]-comparaison_samebasis_villages[[#This Row],[actual ret_ind]]</f>
        <v>43</v>
      </c>
    </row>
    <row r="835" spans="15:35" ht="15.75" customHeight="1" x14ac:dyDescent="0.3">
      <c r="O835" s="404" t="s">
        <v>35</v>
      </c>
      <c r="P835" s="404" t="s">
        <v>35</v>
      </c>
      <c r="Q835" s="404" t="s">
        <v>193</v>
      </c>
      <c r="R835" s="404" t="s">
        <v>3983</v>
      </c>
      <c r="S835" s="404" t="s">
        <v>1567</v>
      </c>
      <c r="T835" s="404" t="s">
        <v>864</v>
      </c>
      <c r="U835" s="941">
        <v>935</v>
      </c>
      <c r="V835" s="941">
        <v>4908</v>
      </c>
      <c r="W835" s="941">
        <v>0</v>
      </c>
      <c r="X835" s="941">
        <v>0</v>
      </c>
      <c r="Y835" s="941">
        <v>186</v>
      </c>
      <c r="Z835" s="941">
        <v>186</v>
      </c>
      <c r="AA835" s="942">
        <v>930</v>
      </c>
      <c r="AB835" s="942">
        <v>4911</v>
      </c>
      <c r="AC835" s="942">
        <v>0</v>
      </c>
      <c r="AD835" s="942">
        <v>0</v>
      </c>
      <c r="AE835" s="942">
        <v>166</v>
      </c>
      <c r="AF835" s="942">
        <v>844</v>
      </c>
      <c r="AG835" s="943">
        <f>comparaison_samebasis_villages[[#This Row],[previous idp_ind]]-comparaison_samebasis_villages[[#This Row],[actual idp_ind]]</f>
        <v>3</v>
      </c>
      <c r="AH835" s="943">
        <f>comparaison_samebasis_villages[[#This Row],[previous ref_ind]]-comparaison_samebasis_villages[[#This Row],[actual ref_ind]]</f>
        <v>0</v>
      </c>
      <c r="AI835" s="943">
        <f>comparaison_samebasis_villages[[#This Row],[previous ret_ind]]-comparaison_samebasis_villages[[#This Row],[actual ret_ind]]</f>
        <v>658</v>
      </c>
    </row>
    <row r="836" spans="15:35" ht="15.75" customHeight="1" x14ac:dyDescent="0.3">
      <c r="O836" s="404" t="s">
        <v>35</v>
      </c>
      <c r="P836" s="404" t="s">
        <v>35</v>
      </c>
      <c r="Q836" s="404" t="s">
        <v>193</v>
      </c>
      <c r="R836" s="404" t="s">
        <v>3983</v>
      </c>
      <c r="S836" s="404" t="s">
        <v>1123</v>
      </c>
      <c r="T836" s="404" t="s">
        <v>1566</v>
      </c>
      <c r="U836" s="941">
        <v>108</v>
      </c>
      <c r="V836" s="941">
        <v>500</v>
      </c>
      <c r="W836" s="941">
        <v>20</v>
      </c>
      <c r="X836" s="941">
        <v>102</v>
      </c>
      <c r="Y836" s="941">
        <v>4</v>
      </c>
      <c r="Z836" s="941">
        <v>4</v>
      </c>
      <c r="AA836" s="942">
        <v>99</v>
      </c>
      <c r="AB836" s="942">
        <v>468</v>
      </c>
      <c r="AC836" s="942">
        <v>20</v>
      </c>
      <c r="AD836" s="942">
        <v>102</v>
      </c>
      <c r="AE836" s="942">
        <v>0</v>
      </c>
      <c r="AF836" s="942">
        <v>0</v>
      </c>
      <c r="AG836" s="943">
        <f>comparaison_samebasis_villages[[#This Row],[previous idp_ind]]-comparaison_samebasis_villages[[#This Row],[actual idp_ind]]</f>
        <v>-32</v>
      </c>
      <c r="AH836" s="943">
        <f>comparaison_samebasis_villages[[#This Row],[previous ref_ind]]-comparaison_samebasis_villages[[#This Row],[actual ref_ind]]</f>
        <v>0</v>
      </c>
      <c r="AI836" s="943">
        <f>comparaison_samebasis_villages[[#This Row],[previous ret_ind]]-comparaison_samebasis_villages[[#This Row],[actual ret_ind]]</f>
        <v>-4</v>
      </c>
    </row>
    <row r="837" spans="15:35" ht="15.75" customHeight="1" x14ac:dyDescent="0.3">
      <c r="O837" s="404" t="s">
        <v>35</v>
      </c>
      <c r="P837" s="404" t="s">
        <v>35</v>
      </c>
      <c r="Q837" s="404" t="s">
        <v>193</v>
      </c>
      <c r="R837" s="404" t="s">
        <v>3983</v>
      </c>
      <c r="S837" s="404" t="s">
        <v>991</v>
      </c>
      <c r="T837" s="404" t="s">
        <v>1122</v>
      </c>
      <c r="U837" s="941">
        <v>218</v>
      </c>
      <c r="V837" s="941">
        <v>1272</v>
      </c>
      <c r="W837" s="941">
        <v>2</v>
      </c>
      <c r="X837" s="941">
        <v>16</v>
      </c>
      <c r="Y837" s="941">
        <v>84</v>
      </c>
      <c r="Z837" s="941">
        <v>84</v>
      </c>
      <c r="AA837" s="942">
        <v>203</v>
      </c>
      <c r="AB837" s="942">
        <v>1168</v>
      </c>
      <c r="AC837" s="942">
        <v>0</v>
      </c>
      <c r="AD837" s="942">
        <v>0</v>
      </c>
      <c r="AE837" s="942">
        <v>84</v>
      </c>
      <c r="AF837" s="942">
        <v>466</v>
      </c>
      <c r="AG837" s="943">
        <f>comparaison_samebasis_villages[[#This Row],[previous idp_ind]]-comparaison_samebasis_villages[[#This Row],[actual idp_ind]]</f>
        <v>-104</v>
      </c>
      <c r="AH837" s="943">
        <f>comparaison_samebasis_villages[[#This Row],[previous ref_ind]]-comparaison_samebasis_villages[[#This Row],[actual ref_ind]]</f>
        <v>-16</v>
      </c>
      <c r="AI837" s="943">
        <f>comparaison_samebasis_villages[[#This Row],[previous ret_ind]]-comparaison_samebasis_villages[[#This Row],[actual ret_ind]]</f>
        <v>382</v>
      </c>
    </row>
    <row r="838" spans="15:35" ht="15.75" customHeight="1" x14ac:dyDescent="0.3">
      <c r="O838" s="404" t="s">
        <v>35</v>
      </c>
      <c r="P838" s="404" t="s">
        <v>35</v>
      </c>
      <c r="Q838" s="404" t="s">
        <v>193</v>
      </c>
      <c r="R838" s="404" t="s">
        <v>3983</v>
      </c>
      <c r="S838" s="404" t="s">
        <v>1583</v>
      </c>
      <c r="T838" s="404" t="s">
        <v>990</v>
      </c>
      <c r="U838" s="941">
        <v>141</v>
      </c>
      <c r="V838" s="941">
        <v>828</v>
      </c>
      <c r="W838" s="941">
        <v>0</v>
      </c>
      <c r="X838" s="941">
        <v>0</v>
      </c>
      <c r="Y838" s="941">
        <v>95</v>
      </c>
      <c r="Z838" s="941">
        <v>95</v>
      </c>
      <c r="AA838" s="942">
        <v>124</v>
      </c>
      <c r="AB838" s="942">
        <v>706</v>
      </c>
      <c r="AC838" s="942">
        <v>4</v>
      </c>
      <c r="AD838" s="942">
        <v>10</v>
      </c>
      <c r="AE838" s="942">
        <v>85</v>
      </c>
      <c r="AF838" s="942">
        <v>460</v>
      </c>
      <c r="AG838" s="943">
        <f>comparaison_samebasis_villages[[#This Row],[previous idp_ind]]-comparaison_samebasis_villages[[#This Row],[actual idp_ind]]</f>
        <v>-122</v>
      </c>
      <c r="AH838" s="943">
        <f>comparaison_samebasis_villages[[#This Row],[previous ref_ind]]-comparaison_samebasis_villages[[#This Row],[actual ref_ind]]</f>
        <v>10</v>
      </c>
      <c r="AI838" s="943">
        <f>comparaison_samebasis_villages[[#This Row],[previous ret_ind]]-comparaison_samebasis_villages[[#This Row],[actual ret_ind]]</f>
        <v>365</v>
      </c>
    </row>
    <row r="839" spans="15:35" ht="15.75" customHeight="1" x14ac:dyDescent="0.3">
      <c r="O839" s="404" t="s">
        <v>35</v>
      </c>
      <c r="P839" s="404" t="s">
        <v>35</v>
      </c>
      <c r="Q839" s="404" t="s">
        <v>193</v>
      </c>
      <c r="R839" s="404" t="s">
        <v>3983</v>
      </c>
      <c r="S839" s="404" t="s">
        <v>1092</v>
      </c>
      <c r="T839" s="404" t="s">
        <v>1582</v>
      </c>
      <c r="U839" s="941">
        <v>53</v>
      </c>
      <c r="V839" s="941">
        <v>282</v>
      </c>
      <c r="W839" s="941">
        <v>3</v>
      </c>
      <c r="X839" s="941">
        <v>3</v>
      </c>
      <c r="Y839" s="941">
        <v>106</v>
      </c>
      <c r="Z839" s="941">
        <v>106</v>
      </c>
      <c r="AA839" s="942">
        <v>49</v>
      </c>
      <c r="AB839" s="942">
        <v>254</v>
      </c>
      <c r="AC839" s="942">
        <v>0</v>
      </c>
      <c r="AD839" s="942">
        <v>0</v>
      </c>
      <c r="AE839" s="942">
        <v>0</v>
      </c>
      <c r="AF839" s="942">
        <v>0</v>
      </c>
      <c r="AG839" s="943">
        <f>comparaison_samebasis_villages[[#This Row],[previous idp_ind]]-comparaison_samebasis_villages[[#This Row],[actual idp_ind]]</f>
        <v>-28</v>
      </c>
      <c r="AH839" s="943">
        <f>comparaison_samebasis_villages[[#This Row],[previous ref_ind]]-comparaison_samebasis_villages[[#This Row],[actual ref_ind]]</f>
        <v>-3</v>
      </c>
      <c r="AI839" s="943">
        <f>comparaison_samebasis_villages[[#This Row],[previous ret_ind]]-comparaison_samebasis_villages[[#This Row],[actual ret_ind]]</f>
        <v>-106</v>
      </c>
    </row>
    <row r="840" spans="15:35" ht="15.75" customHeight="1" x14ac:dyDescent="0.3">
      <c r="O840" s="404" t="s">
        <v>35</v>
      </c>
      <c r="P840" s="404" t="s">
        <v>35</v>
      </c>
      <c r="Q840" s="404" t="s">
        <v>193</v>
      </c>
      <c r="R840" s="404" t="s">
        <v>3983</v>
      </c>
      <c r="S840" s="404" t="s">
        <v>1587</v>
      </c>
      <c r="T840" s="404" t="s">
        <v>1091</v>
      </c>
      <c r="U840" s="941">
        <v>108</v>
      </c>
      <c r="V840" s="941">
        <v>668</v>
      </c>
      <c r="W840" s="941">
        <v>0</v>
      </c>
      <c r="X840" s="941">
        <v>0</v>
      </c>
      <c r="Y840" s="941">
        <v>0</v>
      </c>
      <c r="Z840" s="941">
        <v>0</v>
      </c>
      <c r="AA840" s="942">
        <v>94</v>
      </c>
      <c r="AB840" s="942">
        <v>580</v>
      </c>
      <c r="AC840" s="942">
        <v>0</v>
      </c>
      <c r="AD840" s="942">
        <v>0</v>
      </c>
      <c r="AE840" s="942">
        <v>181</v>
      </c>
      <c r="AF840" s="942">
        <v>935</v>
      </c>
      <c r="AG840" s="943">
        <f>comparaison_samebasis_villages[[#This Row],[previous idp_ind]]-comparaison_samebasis_villages[[#This Row],[actual idp_ind]]</f>
        <v>-88</v>
      </c>
      <c r="AH840" s="943">
        <f>comparaison_samebasis_villages[[#This Row],[previous ref_ind]]-comparaison_samebasis_villages[[#This Row],[actual ref_ind]]</f>
        <v>0</v>
      </c>
      <c r="AI840" s="943">
        <f>comparaison_samebasis_villages[[#This Row],[previous ret_ind]]-comparaison_samebasis_villages[[#This Row],[actual ret_ind]]</f>
        <v>935</v>
      </c>
    </row>
    <row r="841" spans="15:35" ht="15.75" customHeight="1" x14ac:dyDescent="0.3">
      <c r="O841" s="404" t="s">
        <v>35</v>
      </c>
      <c r="P841" s="404" t="s">
        <v>35</v>
      </c>
      <c r="Q841" s="404" t="s">
        <v>193</v>
      </c>
      <c r="R841" s="404" t="s">
        <v>3983</v>
      </c>
      <c r="S841" s="404" t="s">
        <v>876</v>
      </c>
      <c r="T841" s="404" t="s">
        <v>1586</v>
      </c>
      <c r="U841" s="941">
        <v>13</v>
      </c>
      <c r="V841" s="941">
        <v>176</v>
      </c>
      <c r="W841" s="941">
        <v>17</v>
      </c>
      <c r="X841" s="941">
        <v>85</v>
      </c>
      <c r="Y841" s="941">
        <v>21</v>
      </c>
      <c r="Z841" s="941">
        <v>21</v>
      </c>
      <c r="AA841" s="942">
        <v>5</v>
      </c>
      <c r="AB841" s="942">
        <v>39</v>
      </c>
      <c r="AC841" s="942">
        <v>17</v>
      </c>
      <c r="AD841" s="942">
        <v>85</v>
      </c>
      <c r="AE841" s="942">
        <v>21</v>
      </c>
      <c r="AF841" s="942">
        <v>104</v>
      </c>
      <c r="AG841" s="943">
        <f>comparaison_samebasis_villages[[#This Row],[previous idp_ind]]-comparaison_samebasis_villages[[#This Row],[actual idp_ind]]</f>
        <v>-137</v>
      </c>
      <c r="AH841" s="943">
        <f>comparaison_samebasis_villages[[#This Row],[previous ref_ind]]-comparaison_samebasis_villages[[#This Row],[actual ref_ind]]</f>
        <v>0</v>
      </c>
      <c r="AI841" s="943">
        <f>comparaison_samebasis_villages[[#This Row],[previous ret_ind]]-comparaison_samebasis_villages[[#This Row],[actual ret_ind]]</f>
        <v>83</v>
      </c>
    </row>
    <row r="842" spans="15:35" ht="15.75" customHeight="1" x14ac:dyDescent="0.3">
      <c r="O842" s="399" t="s">
        <v>35</v>
      </c>
      <c r="P842" s="399" t="s">
        <v>35</v>
      </c>
      <c r="Q842" s="399" t="s">
        <v>193</v>
      </c>
      <c r="R842" s="399" t="s">
        <v>3983</v>
      </c>
      <c r="S842" s="399" t="s">
        <v>993</v>
      </c>
      <c r="T842" s="399" t="s">
        <v>875</v>
      </c>
      <c r="U842" s="941">
        <v>91</v>
      </c>
      <c r="V842" s="941">
        <v>489</v>
      </c>
      <c r="W842" s="941">
        <v>23</v>
      </c>
      <c r="X842" s="941">
        <v>126</v>
      </c>
      <c r="Y842" s="941">
        <v>5</v>
      </c>
      <c r="Z842" s="941">
        <v>5</v>
      </c>
      <c r="AA842" s="942">
        <v>46</v>
      </c>
      <c r="AB842" s="942">
        <v>266</v>
      </c>
      <c r="AC842" s="942">
        <v>23</v>
      </c>
      <c r="AD842" s="942">
        <v>126</v>
      </c>
      <c r="AE842" s="942">
        <v>7</v>
      </c>
      <c r="AF842" s="942">
        <v>21</v>
      </c>
      <c r="AG842" s="943">
        <f>comparaison_samebasis_villages[[#This Row],[previous idp_ind]]-comparaison_samebasis_villages[[#This Row],[actual idp_ind]]</f>
        <v>-223</v>
      </c>
      <c r="AH842" s="943">
        <f>comparaison_samebasis_villages[[#This Row],[previous ref_ind]]-comparaison_samebasis_villages[[#This Row],[actual ref_ind]]</f>
        <v>0</v>
      </c>
      <c r="AI842" s="943">
        <f>comparaison_samebasis_villages[[#This Row],[previous ret_ind]]-comparaison_samebasis_villages[[#This Row],[actual ret_ind]]</f>
        <v>16</v>
      </c>
    </row>
    <row r="843" spans="15:35" ht="15.75" customHeight="1" x14ac:dyDescent="0.3">
      <c r="O843" s="399" t="s">
        <v>35</v>
      </c>
      <c r="P843" s="399" t="s">
        <v>35</v>
      </c>
      <c r="Q843" s="399" t="s">
        <v>193</v>
      </c>
      <c r="R843" s="399" t="s">
        <v>3983</v>
      </c>
      <c r="S843" s="399" t="s">
        <v>2674</v>
      </c>
      <c r="T843" s="399" t="s">
        <v>992</v>
      </c>
      <c r="U843" s="941">
        <v>0</v>
      </c>
      <c r="V843" s="941">
        <v>0</v>
      </c>
      <c r="W843" s="941">
        <v>0</v>
      </c>
      <c r="X843" s="941">
        <v>0</v>
      </c>
      <c r="Y843" s="941">
        <v>0</v>
      </c>
      <c r="Z843" s="941">
        <v>0</v>
      </c>
      <c r="AA843" s="942">
        <v>0</v>
      </c>
      <c r="AB843" s="942">
        <v>0</v>
      </c>
      <c r="AC843" s="942">
        <v>0</v>
      </c>
      <c r="AD843" s="942">
        <v>0</v>
      </c>
      <c r="AE843" s="942">
        <v>0</v>
      </c>
      <c r="AF843" s="942">
        <v>0</v>
      </c>
      <c r="AG843" s="943">
        <f>comparaison_samebasis_villages[[#This Row],[previous idp_ind]]-comparaison_samebasis_villages[[#This Row],[actual idp_ind]]</f>
        <v>0</v>
      </c>
      <c r="AH843" s="943">
        <f>comparaison_samebasis_villages[[#This Row],[previous ref_ind]]-comparaison_samebasis_villages[[#This Row],[actual ref_ind]]</f>
        <v>0</v>
      </c>
      <c r="AI843" s="943">
        <f>comparaison_samebasis_villages[[#This Row],[previous ret_ind]]-comparaison_samebasis_villages[[#This Row],[actual ret_ind]]</f>
        <v>0</v>
      </c>
    </row>
    <row r="844" spans="15:35" ht="15.75" customHeight="1" x14ac:dyDescent="0.3">
      <c r="O844" s="399" t="s">
        <v>35</v>
      </c>
      <c r="P844" s="399" t="s">
        <v>35</v>
      </c>
      <c r="Q844" s="399" t="s">
        <v>193</v>
      </c>
      <c r="R844" s="399" t="s">
        <v>3983</v>
      </c>
      <c r="S844" s="399" t="s">
        <v>1599</v>
      </c>
      <c r="T844" s="399" t="s">
        <v>2673</v>
      </c>
      <c r="U844" s="941">
        <v>0</v>
      </c>
      <c r="V844" s="941">
        <v>0</v>
      </c>
      <c r="W844" s="941">
        <v>0</v>
      </c>
      <c r="X844" s="941">
        <v>0</v>
      </c>
      <c r="Y844" s="941">
        <v>0</v>
      </c>
      <c r="Z844" s="941">
        <v>0</v>
      </c>
      <c r="AA844" s="942">
        <v>0</v>
      </c>
      <c r="AB844" s="942">
        <v>0</v>
      </c>
      <c r="AC844" s="942">
        <v>0</v>
      </c>
      <c r="AD844" s="942">
        <v>0</v>
      </c>
      <c r="AE844" s="942">
        <v>0</v>
      </c>
      <c r="AF844" s="942">
        <v>0</v>
      </c>
      <c r="AG844" s="943">
        <f>comparaison_samebasis_villages[[#This Row],[previous idp_ind]]-comparaison_samebasis_villages[[#This Row],[actual idp_ind]]</f>
        <v>0</v>
      </c>
      <c r="AH844" s="943">
        <f>comparaison_samebasis_villages[[#This Row],[previous ref_ind]]-comparaison_samebasis_villages[[#This Row],[actual ref_ind]]</f>
        <v>0</v>
      </c>
      <c r="AI844" s="943">
        <f>comparaison_samebasis_villages[[#This Row],[previous ret_ind]]-comparaison_samebasis_villages[[#This Row],[actual ret_ind]]</f>
        <v>0</v>
      </c>
    </row>
    <row r="845" spans="15:35" ht="15.75" customHeight="1" x14ac:dyDescent="0.3">
      <c r="O845" s="399" t="s">
        <v>35</v>
      </c>
      <c r="P845" s="399" t="s">
        <v>35</v>
      </c>
      <c r="Q845" s="399" t="s">
        <v>193</v>
      </c>
      <c r="R845" s="399" t="s">
        <v>3983</v>
      </c>
      <c r="S845" s="399" t="s">
        <v>1581</v>
      </c>
      <c r="T845" s="399" t="s">
        <v>1598</v>
      </c>
      <c r="U845" s="941">
        <v>0</v>
      </c>
      <c r="V845" s="941">
        <v>0</v>
      </c>
      <c r="W845" s="941">
        <v>0</v>
      </c>
      <c r="X845" s="941">
        <v>0</v>
      </c>
      <c r="Y845" s="941">
        <v>0</v>
      </c>
      <c r="Z845" s="941">
        <v>0</v>
      </c>
      <c r="AA845" s="942">
        <v>0</v>
      </c>
      <c r="AB845" s="942">
        <v>0</v>
      </c>
      <c r="AC845" s="942">
        <v>0</v>
      </c>
      <c r="AD845" s="942">
        <v>0</v>
      </c>
      <c r="AE845" s="942">
        <v>0</v>
      </c>
      <c r="AF845" s="942">
        <v>0</v>
      </c>
      <c r="AG845" s="943">
        <f>comparaison_samebasis_villages[[#This Row],[previous idp_ind]]-comparaison_samebasis_villages[[#This Row],[actual idp_ind]]</f>
        <v>0</v>
      </c>
      <c r="AH845" s="943">
        <f>comparaison_samebasis_villages[[#This Row],[previous ref_ind]]-comparaison_samebasis_villages[[#This Row],[actual ref_ind]]</f>
        <v>0</v>
      </c>
      <c r="AI845" s="943">
        <f>comparaison_samebasis_villages[[#This Row],[previous ret_ind]]-comparaison_samebasis_villages[[#This Row],[actual ret_ind]]</f>
        <v>0</v>
      </c>
    </row>
    <row r="846" spans="15:35" ht="15.75" customHeight="1" x14ac:dyDescent="0.3">
      <c r="O846" s="404" t="s">
        <v>35</v>
      </c>
      <c r="P846" s="404" t="s">
        <v>35</v>
      </c>
      <c r="Q846" s="404" t="s">
        <v>193</v>
      </c>
      <c r="R846" s="404" t="s">
        <v>3983</v>
      </c>
      <c r="S846" s="404" t="s">
        <v>3091</v>
      </c>
      <c r="T846" s="404" t="s">
        <v>2910</v>
      </c>
      <c r="U846" s="941">
        <v>121</v>
      </c>
      <c r="V846" s="941">
        <v>527</v>
      </c>
      <c r="W846" s="941">
        <v>15</v>
      </c>
      <c r="X846" s="941">
        <v>76</v>
      </c>
      <c r="Y846" s="941">
        <v>33</v>
      </c>
      <c r="Z846" s="941">
        <v>33</v>
      </c>
      <c r="AA846" s="942">
        <v>139</v>
      </c>
      <c r="AB846" s="942">
        <v>723</v>
      </c>
      <c r="AC846" s="942">
        <v>15</v>
      </c>
      <c r="AD846" s="942">
        <v>76</v>
      </c>
      <c r="AE846" s="942">
        <v>33</v>
      </c>
      <c r="AF846" s="942">
        <v>185</v>
      </c>
      <c r="AG846" s="943">
        <f>comparaison_samebasis_villages[[#This Row],[previous idp_ind]]-comparaison_samebasis_villages[[#This Row],[actual idp_ind]]</f>
        <v>196</v>
      </c>
      <c r="AH846" s="943">
        <f>comparaison_samebasis_villages[[#This Row],[previous ref_ind]]-comparaison_samebasis_villages[[#This Row],[actual ref_ind]]</f>
        <v>0</v>
      </c>
      <c r="AI846" s="943">
        <f>comparaison_samebasis_villages[[#This Row],[previous ret_ind]]-comparaison_samebasis_villages[[#This Row],[actual ret_ind]]</f>
        <v>152</v>
      </c>
    </row>
    <row r="847" spans="15:35" ht="15.75" customHeight="1" x14ac:dyDescent="0.3">
      <c r="O847" s="404" t="s">
        <v>35</v>
      </c>
      <c r="P847" s="404" t="s">
        <v>35</v>
      </c>
      <c r="Q847" s="404" t="s">
        <v>193</v>
      </c>
      <c r="R847" s="404" t="s">
        <v>3983</v>
      </c>
      <c r="S847" s="404" t="s">
        <v>2676</v>
      </c>
      <c r="T847" s="404" t="s">
        <v>1580</v>
      </c>
      <c r="U847" s="941">
        <v>0</v>
      </c>
      <c r="V847" s="941">
        <v>0</v>
      </c>
      <c r="W847" s="941">
        <v>0</v>
      </c>
      <c r="X847" s="941">
        <v>0</v>
      </c>
      <c r="Y847" s="941">
        <v>0</v>
      </c>
      <c r="Z847" s="941">
        <v>0</v>
      </c>
      <c r="AA847" s="942">
        <v>0</v>
      </c>
      <c r="AB847" s="942">
        <v>0</v>
      </c>
      <c r="AC847" s="942">
        <v>0</v>
      </c>
      <c r="AD847" s="942">
        <v>0</v>
      </c>
      <c r="AE847" s="942">
        <v>0</v>
      </c>
      <c r="AF847" s="942">
        <v>0</v>
      </c>
      <c r="AG847" s="943">
        <f>comparaison_samebasis_villages[[#This Row],[previous idp_ind]]-comparaison_samebasis_villages[[#This Row],[actual idp_ind]]</f>
        <v>0</v>
      </c>
      <c r="AH847" s="943">
        <f>comparaison_samebasis_villages[[#This Row],[previous ref_ind]]-comparaison_samebasis_villages[[#This Row],[actual ref_ind]]</f>
        <v>0</v>
      </c>
      <c r="AI847" s="943">
        <f>comparaison_samebasis_villages[[#This Row],[previous ret_ind]]-comparaison_samebasis_villages[[#This Row],[actual ret_ind]]</f>
        <v>0</v>
      </c>
    </row>
    <row r="848" spans="15:35" ht="15.75" customHeight="1" x14ac:dyDescent="0.3">
      <c r="O848" s="404" t="s">
        <v>35</v>
      </c>
      <c r="P848" s="404" t="s">
        <v>35</v>
      </c>
      <c r="Q848" s="404" t="s">
        <v>193</v>
      </c>
      <c r="R848" s="404" t="s">
        <v>3983</v>
      </c>
      <c r="S848" s="404" t="s">
        <v>1638</v>
      </c>
      <c r="T848" s="404" t="s">
        <v>1613</v>
      </c>
      <c r="U848" s="941">
        <v>0</v>
      </c>
      <c r="V848" s="941">
        <v>0</v>
      </c>
      <c r="W848" s="941">
        <v>0</v>
      </c>
      <c r="X848" s="941">
        <v>0</v>
      </c>
      <c r="Y848" s="941">
        <v>0</v>
      </c>
      <c r="Z848" s="941">
        <v>0</v>
      </c>
      <c r="AA848" s="942">
        <v>0</v>
      </c>
      <c r="AB848" s="942">
        <v>0</v>
      </c>
      <c r="AC848" s="942">
        <v>0</v>
      </c>
      <c r="AD848" s="942">
        <v>0</v>
      </c>
      <c r="AE848" s="942">
        <v>0</v>
      </c>
      <c r="AF848" s="942">
        <v>0</v>
      </c>
      <c r="AG848" s="943">
        <f>comparaison_samebasis_villages[[#This Row],[previous idp_ind]]-comparaison_samebasis_villages[[#This Row],[actual idp_ind]]</f>
        <v>0</v>
      </c>
      <c r="AH848" s="943">
        <f>comparaison_samebasis_villages[[#This Row],[previous ref_ind]]-comparaison_samebasis_villages[[#This Row],[actual ref_ind]]</f>
        <v>0</v>
      </c>
      <c r="AI848" s="943">
        <f>comparaison_samebasis_villages[[#This Row],[previous ret_ind]]-comparaison_samebasis_villages[[#This Row],[actual ret_ind]]</f>
        <v>0</v>
      </c>
    </row>
    <row r="849" spans="15:35" ht="15.75" customHeight="1" x14ac:dyDescent="0.3">
      <c r="O849" s="399" t="s">
        <v>35</v>
      </c>
      <c r="P849" s="399" t="s">
        <v>35</v>
      </c>
      <c r="Q849" s="399" t="s">
        <v>193</v>
      </c>
      <c r="R849" s="399" t="s">
        <v>3983</v>
      </c>
      <c r="S849" s="399" t="s">
        <v>2207</v>
      </c>
      <c r="T849" s="399" t="s">
        <v>2675</v>
      </c>
      <c r="U849" s="941">
        <v>5</v>
      </c>
      <c r="V849" s="941">
        <v>35</v>
      </c>
      <c r="W849" s="941">
        <v>520</v>
      </c>
      <c r="X849" s="941">
        <v>3118</v>
      </c>
      <c r="Y849" s="941">
        <v>1021</v>
      </c>
      <c r="Z849" s="941">
        <v>1021</v>
      </c>
      <c r="AA849" s="942">
        <v>10</v>
      </c>
      <c r="AB849" s="942">
        <v>75</v>
      </c>
      <c r="AC849" s="942">
        <v>504</v>
      </c>
      <c r="AD849" s="942">
        <v>2908</v>
      </c>
      <c r="AE849" s="942">
        <v>1021</v>
      </c>
      <c r="AF849" s="942">
        <v>7942</v>
      </c>
      <c r="AG849" s="943">
        <f>comparaison_samebasis_villages[[#This Row],[previous idp_ind]]-comparaison_samebasis_villages[[#This Row],[actual idp_ind]]</f>
        <v>40</v>
      </c>
      <c r="AH849" s="943">
        <f>comparaison_samebasis_villages[[#This Row],[previous ref_ind]]-comparaison_samebasis_villages[[#This Row],[actual ref_ind]]</f>
        <v>-210</v>
      </c>
      <c r="AI849" s="943">
        <f>comparaison_samebasis_villages[[#This Row],[previous ret_ind]]-comparaison_samebasis_villages[[#This Row],[actual ret_ind]]</f>
        <v>6921</v>
      </c>
    </row>
    <row r="850" spans="15:35" ht="15.75" customHeight="1" x14ac:dyDescent="0.3">
      <c r="O850" s="404" t="s">
        <v>35</v>
      </c>
      <c r="P850" s="404" t="s">
        <v>35</v>
      </c>
      <c r="Q850" s="404" t="s">
        <v>193</v>
      </c>
      <c r="R850" s="404" t="s">
        <v>3983</v>
      </c>
      <c r="S850" s="404" t="s">
        <v>1585</v>
      </c>
      <c r="T850" s="404" t="s">
        <v>2677</v>
      </c>
      <c r="U850" s="941">
        <v>74</v>
      </c>
      <c r="V850" s="941">
        <v>300</v>
      </c>
      <c r="W850" s="941">
        <v>2</v>
      </c>
      <c r="X850" s="941">
        <v>5</v>
      </c>
      <c r="Y850" s="941">
        <v>64</v>
      </c>
      <c r="Z850" s="941">
        <v>64</v>
      </c>
      <c r="AA850" s="942">
        <v>54</v>
      </c>
      <c r="AB850" s="942">
        <v>209</v>
      </c>
      <c r="AC850" s="942">
        <v>0</v>
      </c>
      <c r="AD850" s="942">
        <v>0</v>
      </c>
      <c r="AE850" s="942">
        <v>64</v>
      </c>
      <c r="AF850" s="942">
        <v>329</v>
      </c>
      <c r="AG850" s="943">
        <f>comparaison_samebasis_villages[[#This Row],[previous idp_ind]]-comparaison_samebasis_villages[[#This Row],[actual idp_ind]]</f>
        <v>-91</v>
      </c>
      <c r="AH850" s="943">
        <f>comparaison_samebasis_villages[[#This Row],[previous ref_ind]]-comparaison_samebasis_villages[[#This Row],[actual ref_ind]]</f>
        <v>-5</v>
      </c>
      <c r="AI850" s="943">
        <f>comparaison_samebasis_villages[[#This Row],[previous ret_ind]]-comparaison_samebasis_villages[[#This Row],[actual ret_ind]]</f>
        <v>265</v>
      </c>
    </row>
    <row r="851" spans="15:35" ht="15.75" customHeight="1" x14ac:dyDescent="0.3">
      <c r="O851" s="399" t="s">
        <v>35</v>
      </c>
      <c r="P851" s="399" t="s">
        <v>35</v>
      </c>
      <c r="Q851" s="399" t="s">
        <v>193</v>
      </c>
      <c r="R851" s="399" t="s">
        <v>3983</v>
      </c>
      <c r="S851" s="399" t="s">
        <v>1298</v>
      </c>
      <c r="T851" s="399" t="s">
        <v>2206</v>
      </c>
      <c r="U851" s="941">
        <v>0</v>
      </c>
      <c r="V851" s="941">
        <v>0</v>
      </c>
      <c r="W851" s="941">
        <v>0</v>
      </c>
      <c r="X851" s="941">
        <v>0</v>
      </c>
      <c r="Y851" s="941">
        <v>0</v>
      </c>
      <c r="Z851" s="941">
        <v>0</v>
      </c>
      <c r="AA851" s="942">
        <v>0</v>
      </c>
      <c r="AB851" s="942">
        <v>0</v>
      </c>
      <c r="AC851" s="942">
        <v>0</v>
      </c>
      <c r="AD851" s="942">
        <v>0</v>
      </c>
      <c r="AE851" s="942">
        <v>0</v>
      </c>
      <c r="AF851" s="942">
        <v>0</v>
      </c>
      <c r="AG851" s="943">
        <f>comparaison_samebasis_villages[[#This Row],[previous idp_ind]]-comparaison_samebasis_villages[[#This Row],[actual idp_ind]]</f>
        <v>0</v>
      </c>
      <c r="AH851" s="943">
        <f>comparaison_samebasis_villages[[#This Row],[previous ref_ind]]-comparaison_samebasis_villages[[#This Row],[actual ref_ind]]</f>
        <v>0</v>
      </c>
      <c r="AI851" s="943">
        <f>comparaison_samebasis_villages[[#This Row],[previous ret_ind]]-comparaison_samebasis_villages[[#This Row],[actual ret_ind]]</f>
        <v>0</v>
      </c>
    </row>
    <row r="852" spans="15:35" ht="15.75" customHeight="1" x14ac:dyDescent="0.3">
      <c r="O852" s="404" t="s">
        <v>35</v>
      </c>
      <c r="P852" s="404" t="s">
        <v>35</v>
      </c>
      <c r="Q852" s="404" t="s">
        <v>193</v>
      </c>
      <c r="R852" s="404" t="s">
        <v>3983</v>
      </c>
      <c r="S852" s="404" t="s">
        <v>3092</v>
      </c>
      <c r="T852" s="404" t="s">
        <v>3030</v>
      </c>
      <c r="U852" s="941">
        <v>9</v>
      </c>
      <c r="V852" s="941">
        <v>62</v>
      </c>
      <c r="W852" s="941">
        <v>0</v>
      </c>
      <c r="X852" s="941">
        <v>0</v>
      </c>
      <c r="Y852" s="941">
        <v>32</v>
      </c>
      <c r="Z852" s="941">
        <v>32</v>
      </c>
      <c r="AA852" s="942">
        <v>9</v>
      </c>
      <c r="AB852" s="942">
        <v>52</v>
      </c>
      <c r="AC852" s="942">
        <v>0</v>
      </c>
      <c r="AD852" s="942">
        <v>0</v>
      </c>
      <c r="AE852" s="942">
        <v>32</v>
      </c>
      <c r="AF852" s="942">
        <v>162</v>
      </c>
      <c r="AG852" s="943">
        <f>comparaison_samebasis_villages[[#This Row],[previous idp_ind]]-comparaison_samebasis_villages[[#This Row],[actual idp_ind]]</f>
        <v>-10</v>
      </c>
      <c r="AH852" s="943">
        <f>comparaison_samebasis_villages[[#This Row],[previous ref_ind]]-comparaison_samebasis_villages[[#This Row],[actual ref_ind]]</f>
        <v>0</v>
      </c>
      <c r="AI852" s="943">
        <f>comparaison_samebasis_villages[[#This Row],[previous ret_ind]]-comparaison_samebasis_villages[[#This Row],[actual ret_ind]]</f>
        <v>130</v>
      </c>
    </row>
    <row r="853" spans="15:35" ht="15.75" customHeight="1" x14ac:dyDescent="0.3">
      <c r="O853" s="404" t="s">
        <v>35</v>
      </c>
      <c r="P853" s="404" t="s">
        <v>35</v>
      </c>
      <c r="Q853" s="404" t="s">
        <v>193</v>
      </c>
      <c r="R853" s="404" t="s">
        <v>3983</v>
      </c>
      <c r="S853" s="404" t="s">
        <v>2679</v>
      </c>
      <c r="T853" s="404" t="s">
        <v>3031</v>
      </c>
      <c r="U853" s="941">
        <v>0</v>
      </c>
      <c r="V853" s="941">
        <v>0</v>
      </c>
      <c r="W853" s="941">
        <v>0</v>
      </c>
      <c r="X853" s="941">
        <v>0</v>
      </c>
      <c r="Y853" s="941">
        <v>0</v>
      </c>
      <c r="Z853" s="941">
        <v>0</v>
      </c>
      <c r="AA853" s="942">
        <v>0</v>
      </c>
      <c r="AB853" s="942">
        <v>0</v>
      </c>
      <c r="AC853" s="942">
        <v>0</v>
      </c>
      <c r="AD853" s="942">
        <v>0</v>
      </c>
      <c r="AE853" s="942">
        <v>0</v>
      </c>
      <c r="AF853" s="942">
        <v>0</v>
      </c>
      <c r="AG853" s="943">
        <f>comparaison_samebasis_villages[[#This Row],[previous idp_ind]]-comparaison_samebasis_villages[[#This Row],[actual idp_ind]]</f>
        <v>0</v>
      </c>
      <c r="AH853" s="943">
        <f>comparaison_samebasis_villages[[#This Row],[previous ref_ind]]-comparaison_samebasis_villages[[#This Row],[actual ref_ind]]</f>
        <v>0</v>
      </c>
      <c r="AI853" s="943">
        <f>comparaison_samebasis_villages[[#This Row],[previous ret_ind]]-comparaison_samebasis_villages[[#This Row],[actual ret_ind]]</f>
        <v>0</v>
      </c>
    </row>
    <row r="854" spans="15:35" ht="15.75" customHeight="1" x14ac:dyDescent="0.3">
      <c r="O854" s="404" t="s">
        <v>35</v>
      </c>
      <c r="P854" s="404" t="s">
        <v>35</v>
      </c>
      <c r="Q854" s="404" t="s">
        <v>193</v>
      </c>
      <c r="R854" s="404" t="s">
        <v>3983</v>
      </c>
      <c r="S854" s="404" t="s">
        <v>995</v>
      </c>
      <c r="T854" s="404" t="s">
        <v>1584</v>
      </c>
      <c r="U854" s="941">
        <v>74</v>
      </c>
      <c r="V854" s="941">
        <v>394</v>
      </c>
      <c r="W854" s="941">
        <v>0</v>
      </c>
      <c r="X854" s="941">
        <v>0</v>
      </c>
      <c r="Y854" s="941">
        <v>0</v>
      </c>
      <c r="Z854" s="941">
        <v>0</v>
      </c>
      <c r="AA854" s="942">
        <v>54</v>
      </c>
      <c r="AB854" s="942">
        <v>174</v>
      </c>
      <c r="AC854" s="942">
        <v>0</v>
      </c>
      <c r="AD854" s="942">
        <v>0</v>
      </c>
      <c r="AE854" s="942">
        <v>0</v>
      </c>
      <c r="AF854" s="942">
        <v>0</v>
      </c>
      <c r="AG854" s="943">
        <f>comparaison_samebasis_villages[[#This Row],[previous idp_ind]]-comparaison_samebasis_villages[[#This Row],[actual idp_ind]]</f>
        <v>-220</v>
      </c>
      <c r="AH854" s="943">
        <f>comparaison_samebasis_villages[[#This Row],[previous ref_ind]]-comparaison_samebasis_villages[[#This Row],[actual ref_ind]]</f>
        <v>0</v>
      </c>
      <c r="AI854" s="943">
        <f>comparaison_samebasis_villages[[#This Row],[previous ret_ind]]-comparaison_samebasis_villages[[#This Row],[actual ret_ind]]</f>
        <v>0</v>
      </c>
    </row>
    <row r="855" spans="15:35" ht="15.75" customHeight="1" x14ac:dyDescent="0.3">
      <c r="O855" s="404" t="s">
        <v>35</v>
      </c>
      <c r="P855" s="404" t="s">
        <v>35</v>
      </c>
      <c r="Q855" s="404" t="s">
        <v>193</v>
      </c>
      <c r="R855" s="404" t="s">
        <v>3983</v>
      </c>
      <c r="S855" s="404" t="s">
        <v>1629</v>
      </c>
      <c r="T855" s="404" t="s">
        <v>1297</v>
      </c>
      <c r="U855" s="941">
        <v>6</v>
      </c>
      <c r="V855" s="941">
        <v>27</v>
      </c>
      <c r="W855" s="941">
        <v>0</v>
      </c>
      <c r="X855" s="941">
        <v>0</v>
      </c>
      <c r="Y855" s="941">
        <v>59</v>
      </c>
      <c r="Z855" s="941">
        <v>59</v>
      </c>
      <c r="AA855" s="942">
        <v>6</v>
      </c>
      <c r="AB855" s="942">
        <v>27</v>
      </c>
      <c r="AC855" s="942">
        <v>0</v>
      </c>
      <c r="AD855" s="942">
        <v>0</v>
      </c>
      <c r="AE855" s="942">
        <v>59</v>
      </c>
      <c r="AF855" s="942">
        <v>417</v>
      </c>
      <c r="AG855" s="943">
        <f>comparaison_samebasis_villages[[#This Row],[previous idp_ind]]-comparaison_samebasis_villages[[#This Row],[actual idp_ind]]</f>
        <v>0</v>
      </c>
      <c r="AH855" s="943">
        <f>comparaison_samebasis_villages[[#This Row],[previous ref_ind]]-comparaison_samebasis_villages[[#This Row],[actual ref_ind]]</f>
        <v>0</v>
      </c>
      <c r="AI855" s="943">
        <f>comparaison_samebasis_villages[[#This Row],[previous ret_ind]]-comparaison_samebasis_villages[[#This Row],[actual ret_ind]]</f>
        <v>358</v>
      </c>
    </row>
    <row r="856" spans="15:35" ht="15.75" customHeight="1" x14ac:dyDescent="0.3">
      <c r="O856" s="404" t="s">
        <v>35</v>
      </c>
      <c r="P856" s="404" t="s">
        <v>35</v>
      </c>
      <c r="Q856" s="404" t="s">
        <v>193</v>
      </c>
      <c r="R856" s="404" t="s">
        <v>3983</v>
      </c>
      <c r="S856" s="404" t="s">
        <v>2681</v>
      </c>
      <c r="T856" s="404" t="s">
        <v>3020</v>
      </c>
      <c r="U856" s="941">
        <v>0</v>
      </c>
      <c r="V856" s="941">
        <v>0</v>
      </c>
      <c r="W856" s="941">
        <v>0</v>
      </c>
      <c r="X856" s="941">
        <v>0</v>
      </c>
      <c r="Y856" s="941">
        <v>0</v>
      </c>
      <c r="Z856" s="941">
        <v>0</v>
      </c>
      <c r="AA856" s="942">
        <v>0</v>
      </c>
      <c r="AB856" s="942">
        <v>0</v>
      </c>
      <c r="AC856" s="942">
        <v>0</v>
      </c>
      <c r="AD856" s="942">
        <v>0</v>
      </c>
      <c r="AE856" s="942">
        <v>0</v>
      </c>
      <c r="AF856" s="942">
        <v>0</v>
      </c>
      <c r="AG856" s="943">
        <f>comparaison_samebasis_villages[[#This Row],[previous idp_ind]]-comparaison_samebasis_villages[[#This Row],[actual idp_ind]]</f>
        <v>0</v>
      </c>
      <c r="AH856" s="943">
        <f>comparaison_samebasis_villages[[#This Row],[previous ref_ind]]-comparaison_samebasis_villages[[#This Row],[actual ref_ind]]</f>
        <v>0</v>
      </c>
      <c r="AI856" s="943">
        <f>comparaison_samebasis_villages[[#This Row],[previous ret_ind]]-comparaison_samebasis_villages[[#This Row],[actual ret_ind]]</f>
        <v>0</v>
      </c>
    </row>
    <row r="857" spans="15:35" ht="15.75" customHeight="1" x14ac:dyDescent="0.3">
      <c r="O857" s="399" t="s">
        <v>35</v>
      </c>
      <c r="P857" s="399" t="s">
        <v>35</v>
      </c>
      <c r="Q857" s="399" t="s">
        <v>193</v>
      </c>
      <c r="R857" s="399" t="s">
        <v>3983</v>
      </c>
      <c r="S857" s="399" t="s">
        <v>1121</v>
      </c>
      <c r="T857" s="399" t="s">
        <v>2965</v>
      </c>
      <c r="U857" s="941">
        <v>83</v>
      </c>
      <c r="V857" s="941">
        <v>766</v>
      </c>
      <c r="W857" s="941">
        <v>0</v>
      </c>
      <c r="X857" s="941">
        <v>0</v>
      </c>
      <c r="Y857" s="941">
        <v>6</v>
      </c>
      <c r="Z857" s="941">
        <v>6</v>
      </c>
      <c r="AA857" s="942">
        <v>77</v>
      </c>
      <c r="AB857" s="942">
        <v>728</v>
      </c>
      <c r="AC857" s="942">
        <v>0</v>
      </c>
      <c r="AD857" s="942">
        <v>0</v>
      </c>
      <c r="AE857" s="942">
        <v>0</v>
      </c>
      <c r="AF857" s="942">
        <v>0</v>
      </c>
      <c r="AG857" s="943">
        <f>comparaison_samebasis_villages[[#This Row],[previous idp_ind]]-comparaison_samebasis_villages[[#This Row],[actual idp_ind]]</f>
        <v>-38</v>
      </c>
      <c r="AH857" s="943">
        <f>comparaison_samebasis_villages[[#This Row],[previous ref_ind]]-comparaison_samebasis_villages[[#This Row],[actual ref_ind]]</f>
        <v>0</v>
      </c>
      <c r="AI857" s="943">
        <f>comparaison_samebasis_villages[[#This Row],[previous ret_ind]]-comparaison_samebasis_villages[[#This Row],[actual ret_ind]]</f>
        <v>-6</v>
      </c>
    </row>
    <row r="858" spans="15:35" ht="15.75" customHeight="1" x14ac:dyDescent="0.3">
      <c r="O858" s="399" t="s">
        <v>35</v>
      </c>
      <c r="P858" s="399" t="s">
        <v>35</v>
      </c>
      <c r="Q858" s="399" t="s">
        <v>193</v>
      </c>
      <c r="R858" s="399" t="s">
        <v>3983</v>
      </c>
      <c r="S858" s="399" t="s">
        <v>1607</v>
      </c>
      <c r="T858" s="399" t="s">
        <v>2966</v>
      </c>
      <c r="U858" s="941">
        <v>123</v>
      </c>
      <c r="V858" s="941">
        <v>991</v>
      </c>
      <c r="W858" s="941">
        <v>0</v>
      </c>
      <c r="X858" s="941">
        <v>0</v>
      </c>
      <c r="Y858" s="941">
        <v>0</v>
      </c>
      <c r="Z858" s="941">
        <v>0</v>
      </c>
      <c r="AA858" s="942">
        <v>113</v>
      </c>
      <c r="AB858" s="942">
        <v>788</v>
      </c>
      <c r="AC858" s="942">
        <v>0</v>
      </c>
      <c r="AD858" s="942">
        <v>0</v>
      </c>
      <c r="AE858" s="942">
        <v>0</v>
      </c>
      <c r="AF858" s="942">
        <v>0</v>
      </c>
      <c r="AG858" s="943">
        <f>comparaison_samebasis_villages[[#This Row],[previous idp_ind]]-comparaison_samebasis_villages[[#This Row],[actual idp_ind]]</f>
        <v>-203</v>
      </c>
      <c r="AH858" s="943">
        <f>comparaison_samebasis_villages[[#This Row],[previous ref_ind]]-comparaison_samebasis_villages[[#This Row],[actual ref_ind]]</f>
        <v>0</v>
      </c>
      <c r="AI858" s="943">
        <f>comparaison_samebasis_villages[[#This Row],[previous ret_ind]]-comparaison_samebasis_villages[[#This Row],[actual ret_ind]]</f>
        <v>0</v>
      </c>
    </row>
    <row r="859" spans="15:35" ht="15.75" customHeight="1" x14ac:dyDescent="0.3">
      <c r="O859" s="399" t="s">
        <v>35</v>
      </c>
      <c r="P859" s="399" t="s">
        <v>35</v>
      </c>
      <c r="Q859" s="399" t="s">
        <v>193</v>
      </c>
      <c r="R859" s="399" t="s">
        <v>3983</v>
      </c>
      <c r="S859" s="399" t="s">
        <v>1568</v>
      </c>
      <c r="T859" s="399" t="s">
        <v>1597</v>
      </c>
      <c r="U859" s="941">
        <v>79</v>
      </c>
      <c r="V859" s="941">
        <v>512</v>
      </c>
      <c r="W859" s="941">
        <v>0</v>
      </c>
      <c r="X859" s="941">
        <v>0</v>
      </c>
      <c r="Y859" s="941">
        <v>1</v>
      </c>
      <c r="Z859" s="941">
        <v>1</v>
      </c>
      <c r="AA859" s="942">
        <v>85</v>
      </c>
      <c r="AB859" s="942">
        <v>496</v>
      </c>
      <c r="AC859" s="942">
        <v>0</v>
      </c>
      <c r="AD859" s="942">
        <v>0</v>
      </c>
      <c r="AE859" s="942">
        <v>0</v>
      </c>
      <c r="AF859" s="942">
        <v>0</v>
      </c>
      <c r="AG859" s="943">
        <f>comparaison_samebasis_villages[[#This Row],[previous idp_ind]]-comparaison_samebasis_villages[[#This Row],[actual idp_ind]]</f>
        <v>-16</v>
      </c>
      <c r="AH859" s="943">
        <f>comparaison_samebasis_villages[[#This Row],[previous ref_ind]]-comparaison_samebasis_villages[[#This Row],[actual ref_ind]]</f>
        <v>0</v>
      </c>
      <c r="AI859" s="943">
        <f>comparaison_samebasis_villages[[#This Row],[previous ret_ind]]-comparaison_samebasis_villages[[#This Row],[actual ret_ind]]</f>
        <v>-1</v>
      </c>
    </row>
    <row r="860" spans="15:35" ht="15.75" customHeight="1" x14ac:dyDescent="0.3">
      <c r="O860" s="399" t="s">
        <v>35</v>
      </c>
      <c r="P860" s="399" t="s">
        <v>35</v>
      </c>
      <c r="Q860" s="399" t="s">
        <v>193</v>
      </c>
      <c r="R860" s="399" t="s">
        <v>3983</v>
      </c>
      <c r="S860" s="399" t="s">
        <v>2682</v>
      </c>
      <c r="T860" s="399" t="s">
        <v>2678</v>
      </c>
      <c r="U860" s="941">
        <v>0</v>
      </c>
      <c r="V860" s="941">
        <v>0</v>
      </c>
      <c r="W860" s="941">
        <v>0</v>
      </c>
      <c r="X860" s="941">
        <v>0</v>
      </c>
      <c r="Y860" s="941">
        <v>0</v>
      </c>
      <c r="Z860" s="941">
        <v>0</v>
      </c>
      <c r="AA860" s="942">
        <v>0</v>
      </c>
      <c r="AB860" s="942">
        <v>0</v>
      </c>
      <c r="AC860" s="942">
        <v>0</v>
      </c>
      <c r="AD860" s="942">
        <v>0</v>
      </c>
      <c r="AE860" s="942">
        <v>0</v>
      </c>
      <c r="AF860" s="942">
        <v>0</v>
      </c>
      <c r="AG860" s="943">
        <f>comparaison_samebasis_villages[[#This Row],[previous idp_ind]]-comparaison_samebasis_villages[[#This Row],[actual idp_ind]]</f>
        <v>0</v>
      </c>
      <c r="AH860" s="943">
        <f>comparaison_samebasis_villages[[#This Row],[previous ref_ind]]-comparaison_samebasis_villages[[#This Row],[actual ref_ind]]</f>
        <v>0</v>
      </c>
      <c r="AI860" s="943">
        <f>comparaison_samebasis_villages[[#This Row],[previous ret_ind]]-comparaison_samebasis_villages[[#This Row],[actual ret_ind]]</f>
        <v>0</v>
      </c>
    </row>
    <row r="861" spans="15:35" ht="15.75" customHeight="1" x14ac:dyDescent="0.3">
      <c r="O861" s="399" t="s">
        <v>35</v>
      </c>
      <c r="P861" s="399" t="s">
        <v>35</v>
      </c>
      <c r="Q861" s="399" t="s">
        <v>193</v>
      </c>
      <c r="R861" s="399" t="s">
        <v>3983</v>
      </c>
      <c r="S861" s="399" t="s">
        <v>1606</v>
      </c>
      <c r="T861" s="399" t="s">
        <v>2982</v>
      </c>
      <c r="U861" s="941">
        <v>72</v>
      </c>
      <c r="V861" s="941">
        <v>701</v>
      </c>
      <c r="W861" s="941">
        <v>0</v>
      </c>
      <c r="X861" s="941">
        <v>0</v>
      </c>
      <c r="Y861" s="941">
        <v>0</v>
      </c>
      <c r="Z861" s="941">
        <v>0</v>
      </c>
      <c r="AA861" s="942">
        <v>63</v>
      </c>
      <c r="AB861" s="942">
        <v>492</v>
      </c>
      <c r="AC861" s="942">
        <v>0</v>
      </c>
      <c r="AD861" s="942">
        <v>0</v>
      </c>
      <c r="AE861" s="942">
        <v>0</v>
      </c>
      <c r="AF861" s="942">
        <v>0</v>
      </c>
      <c r="AG861" s="943">
        <f>comparaison_samebasis_villages[[#This Row],[previous idp_ind]]-comparaison_samebasis_villages[[#This Row],[actual idp_ind]]</f>
        <v>-209</v>
      </c>
      <c r="AH861" s="943">
        <f>comparaison_samebasis_villages[[#This Row],[previous ref_ind]]-comparaison_samebasis_villages[[#This Row],[actual ref_ind]]</f>
        <v>0</v>
      </c>
      <c r="AI861" s="943">
        <f>comparaison_samebasis_villages[[#This Row],[previous ret_ind]]-comparaison_samebasis_villages[[#This Row],[actual ret_ind]]</f>
        <v>0</v>
      </c>
    </row>
    <row r="862" spans="15:35" ht="15.75" customHeight="1" x14ac:dyDescent="0.3">
      <c r="O862" s="399" t="s">
        <v>35</v>
      </c>
      <c r="P862" s="399" t="s">
        <v>35</v>
      </c>
      <c r="Q862" s="399" t="s">
        <v>193</v>
      </c>
      <c r="R862" s="399" t="s">
        <v>3983</v>
      </c>
      <c r="S862" s="399" t="s">
        <v>1608</v>
      </c>
      <c r="T862" s="399" t="s">
        <v>994</v>
      </c>
      <c r="U862" s="941">
        <v>62</v>
      </c>
      <c r="V862" s="941">
        <v>361</v>
      </c>
      <c r="W862" s="941">
        <v>0</v>
      </c>
      <c r="X862" s="941">
        <v>0</v>
      </c>
      <c r="Y862" s="941">
        <v>20</v>
      </c>
      <c r="Z862" s="941">
        <v>20</v>
      </c>
      <c r="AA862" s="942">
        <v>51</v>
      </c>
      <c r="AB862" s="942">
        <v>281</v>
      </c>
      <c r="AC862" s="942">
        <v>0</v>
      </c>
      <c r="AD862" s="942">
        <v>0</v>
      </c>
      <c r="AE862" s="942">
        <v>13</v>
      </c>
      <c r="AF862" s="942">
        <v>105</v>
      </c>
      <c r="AG862" s="943">
        <f>comparaison_samebasis_villages[[#This Row],[previous idp_ind]]-comparaison_samebasis_villages[[#This Row],[actual idp_ind]]</f>
        <v>-80</v>
      </c>
      <c r="AH862" s="943">
        <f>comparaison_samebasis_villages[[#This Row],[previous ref_ind]]-comparaison_samebasis_villages[[#This Row],[actual ref_ind]]</f>
        <v>0</v>
      </c>
      <c r="AI862" s="943">
        <f>comparaison_samebasis_villages[[#This Row],[previous ret_ind]]-comparaison_samebasis_villages[[#This Row],[actual ret_ind]]</f>
        <v>85</v>
      </c>
    </row>
    <row r="863" spans="15:35" ht="15.75" customHeight="1" x14ac:dyDescent="0.3">
      <c r="O863" s="399" t="s">
        <v>35</v>
      </c>
      <c r="P863" s="399" t="s">
        <v>35</v>
      </c>
      <c r="Q863" s="399" t="s">
        <v>193</v>
      </c>
      <c r="R863" s="399" t="s">
        <v>3983</v>
      </c>
      <c r="S863" s="399" t="s">
        <v>1643</v>
      </c>
      <c r="T863" s="399" t="s">
        <v>2902</v>
      </c>
      <c r="U863" s="941">
        <v>19</v>
      </c>
      <c r="V863" s="941">
        <v>129</v>
      </c>
      <c r="W863" s="941">
        <v>0</v>
      </c>
      <c r="X863" s="941">
        <v>0</v>
      </c>
      <c r="Y863" s="941">
        <v>16</v>
      </c>
      <c r="Z863" s="941">
        <v>16</v>
      </c>
      <c r="AA863" s="942">
        <v>18</v>
      </c>
      <c r="AB863" s="942">
        <v>116</v>
      </c>
      <c r="AC863" s="942">
        <v>0</v>
      </c>
      <c r="AD863" s="942">
        <v>0</v>
      </c>
      <c r="AE863" s="942">
        <v>16</v>
      </c>
      <c r="AF863" s="942">
        <v>126</v>
      </c>
      <c r="AG863" s="943">
        <f>comparaison_samebasis_villages[[#This Row],[previous idp_ind]]-comparaison_samebasis_villages[[#This Row],[actual idp_ind]]</f>
        <v>-13</v>
      </c>
      <c r="AH863" s="943">
        <f>comparaison_samebasis_villages[[#This Row],[previous ref_ind]]-comparaison_samebasis_villages[[#This Row],[actual ref_ind]]</f>
        <v>0</v>
      </c>
      <c r="AI863" s="943">
        <f>comparaison_samebasis_villages[[#This Row],[previous ret_ind]]-comparaison_samebasis_villages[[#This Row],[actual ret_ind]]</f>
        <v>110</v>
      </c>
    </row>
    <row r="864" spans="15:35" ht="15.75" customHeight="1" x14ac:dyDescent="0.3">
      <c r="O864" s="399" t="s">
        <v>35</v>
      </c>
      <c r="P864" s="399" t="s">
        <v>35</v>
      </c>
      <c r="Q864" s="399" t="s">
        <v>193</v>
      </c>
      <c r="R864" s="399" t="s">
        <v>3983</v>
      </c>
      <c r="S864" s="399" t="s">
        <v>2278</v>
      </c>
      <c r="T864" s="399" t="s">
        <v>2855</v>
      </c>
      <c r="U864" s="941">
        <v>90</v>
      </c>
      <c r="V864" s="941">
        <v>544</v>
      </c>
      <c r="W864" s="941">
        <v>0</v>
      </c>
      <c r="X864" s="941">
        <v>0</v>
      </c>
      <c r="Y864" s="941">
        <v>0</v>
      </c>
      <c r="Z864" s="941">
        <v>0</v>
      </c>
      <c r="AA864" s="942">
        <v>94</v>
      </c>
      <c r="AB864" s="942">
        <v>581</v>
      </c>
      <c r="AC864" s="942">
        <v>0</v>
      </c>
      <c r="AD864" s="942">
        <v>0</v>
      </c>
      <c r="AE864" s="942">
        <v>0</v>
      </c>
      <c r="AF864" s="942">
        <v>0</v>
      </c>
      <c r="AG864" s="943">
        <f>comparaison_samebasis_villages[[#This Row],[previous idp_ind]]-comparaison_samebasis_villages[[#This Row],[actual idp_ind]]</f>
        <v>37</v>
      </c>
      <c r="AH864" s="943">
        <f>comparaison_samebasis_villages[[#This Row],[previous ref_ind]]-comparaison_samebasis_villages[[#This Row],[actual ref_ind]]</f>
        <v>0</v>
      </c>
      <c r="AI864" s="943">
        <f>comparaison_samebasis_villages[[#This Row],[previous ret_ind]]-comparaison_samebasis_villages[[#This Row],[actual ret_ind]]</f>
        <v>0</v>
      </c>
    </row>
    <row r="865" spans="15:35" ht="15.75" customHeight="1" x14ac:dyDescent="0.3">
      <c r="O865" s="399" t="s">
        <v>35</v>
      </c>
      <c r="P865" s="399" t="s">
        <v>35</v>
      </c>
      <c r="Q865" s="399" t="s">
        <v>193</v>
      </c>
      <c r="R865" s="399" t="s">
        <v>3983</v>
      </c>
      <c r="S865" s="399" t="s">
        <v>1309</v>
      </c>
      <c r="T865" s="399" t="s">
        <v>1628</v>
      </c>
      <c r="U865" s="941">
        <v>9</v>
      </c>
      <c r="V865" s="941">
        <v>41</v>
      </c>
      <c r="W865" s="941">
        <v>71</v>
      </c>
      <c r="X865" s="941">
        <v>350</v>
      </c>
      <c r="Y865" s="941">
        <v>101</v>
      </c>
      <c r="Z865" s="941">
        <v>101</v>
      </c>
      <c r="AA865" s="942">
        <v>5</v>
      </c>
      <c r="AB865" s="942">
        <v>26</v>
      </c>
      <c r="AC865" s="942">
        <v>71</v>
      </c>
      <c r="AD865" s="942">
        <v>350</v>
      </c>
      <c r="AE865" s="942">
        <v>101</v>
      </c>
      <c r="AF865" s="942">
        <v>905</v>
      </c>
      <c r="AG865" s="943">
        <f>comparaison_samebasis_villages[[#This Row],[previous idp_ind]]-comparaison_samebasis_villages[[#This Row],[actual idp_ind]]</f>
        <v>-15</v>
      </c>
      <c r="AH865" s="943">
        <f>comparaison_samebasis_villages[[#This Row],[previous ref_ind]]-comparaison_samebasis_villages[[#This Row],[actual ref_ind]]</f>
        <v>0</v>
      </c>
      <c r="AI865" s="943">
        <f>comparaison_samebasis_villages[[#This Row],[previous ret_ind]]-comparaison_samebasis_villages[[#This Row],[actual ret_ind]]</f>
        <v>804</v>
      </c>
    </row>
    <row r="866" spans="15:35" ht="15.75" customHeight="1" x14ac:dyDescent="0.3">
      <c r="O866" s="399" t="s">
        <v>35</v>
      </c>
      <c r="P866" s="399" t="s">
        <v>35</v>
      </c>
      <c r="Q866" s="399" t="s">
        <v>193</v>
      </c>
      <c r="R866" s="399" t="s">
        <v>3983</v>
      </c>
      <c r="S866" s="399" t="s">
        <v>989</v>
      </c>
      <c r="T866" s="399" t="s">
        <v>2680</v>
      </c>
      <c r="U866" s="941">
        <v>109</v>
      </c>
      <c r="V866" s="941">
        <v>859</v>
      </c>
      <c r="W866" s="941">
        <v>0</v>
      </c>
      <c r="X866" s="941">
        <v>0</v>
      </c>
      <c r="Y866" s="941">
        <v>6</v>
      </c>
      <c r="Z866" s="941">
        <v>6</v>
      </c>
      <c r="AA866" s="942">
        <v>157</v>
      </c>
      <c r="AB866" s="942">
        <v>818</v>
      </c>
      <c r="AC866" s="942">
        <v>0</v>
      </c>
      <c r="AD866" s="942">
        <v>0</v>
      </c>
      <c r="AE866" s="942">
        <v>6</v>
      </c>
      <c r="AF866" s="942">
        <v>32</v>
      </c>
      <c r="AG866" s="943">
        <f>comparaison_samebasis_villages[[#This Row],[previous idp_ind]]-comparaison_samebasis_villages[[#This Row],[actual idp_ind]]</f>
        <v>-41</v>
      </c>
      <c r="AH866" s="943">
        <f>comparaison_samebasis_villages[[#This Row],[previous ref_ind]]-comparaison_samebasis_villages[[#This Row],[actual ref_ind]]</f>
        <v>0</v>
      </c>
      <c r="AI866" s="943">
        <f>comparaison_samebasis_villages[[#This Row],[previous ret_ind]]-comparaison_samebasis_villages[[#This Row],[actual ret_ind]]</f>
        <v>26</v>
      </c>
    </row>
    <row r="867" spans="15:35" ht="15.75" customHeight="1" x14ac:dyDescent="0.3">
      <c r="O867" s="399" t="s">
        <v>35</v>
      </c>
      <c r="P867" s="399" t="s">
        <v>35</v>
      </c>
      <c r="Q867" s="399" t="s">
        <v>193</v>
      </c>
      <c r="R867" s="399" t="s">
        <v>3983</v>
      </c>
      <c r="S867" s="399" t="s">
        <v>1625</v>
      </c>
      <c r="T867" s="399" t="s">
        <v>1120</v>
      </c>
      <c r="U867" s="941">
        <v>70</v>
      </c>
      <c r="V867" s="941">
        <v>696</v>
      </c>
      <c r="W867" s="941">
        <v>0</v>
      </c>
      <c r="X867" s="941">
        <v>0</v>
      </c>
      <c r="Y867" s="941">
        <v>0</v>
      </c>
      <c r="Z867" s="941">
        <v>0</v>
      </c>
      <c r="AA867" s="942">
        <v>65</v>
      </c>
      <c r="AB867" s="942">
        <v>680</v>
      </c>
      <c r="AC867" s="942">
        <v>0</v>
      </c>
      <c r="AD867" s="942">
        <v>0</v>
      </c>
      <c r="AE867" s="942">
        <v>0</v>
      </c>
      <c r="AF867" s="942">
        <v>0</v>
      </c>
      <c r="AG867" s="943">
        <f>comparaison_samebasis_villages[[#This Row],[previous idp_ind]]-comparaison_samebasis_villages[[#This Row],[actual idp_ind]]</f>
        <v>-16</v>
      </c>
      <c r="AH867" s="943">
        <f>comparaison_samebasis_villages[[#This Row],[previous ref_ind]]-comparaison_samebasis_villages[[#This Row],[actual ref_ind]]</f>
        <v>0</v>
      </c>
      <c r="AI867" s="943">
        <f>comparaison_samebasis_villages[[#This Row],[previous ret_ind]]-comparaison_samebasis_villages[[#This Row],[actual ret_ind]]</f>
        <v>0</v>
      </c>
    </row>
    <row r="868" spans="15:35" ht="15.75" customHeight="1" x14ac:dyDescent="0.3">
      <c r="O868" s="399" t="s">
        <v>35</v>
      </c>
      <c r="P868" s="399" t="s">
        <v>35</v>
      </c>
      <c r="Q868" s="399" t="s">
        <v>193</v>
      </c>
      <c r="R868" s="399" t="s">
        <v>3983</v>
      </c>
      <c r="S868" s="399" t="s">
        <v>3078</v>
      </c>
      <c r="T868" s="399" t="s">
        <v>3211</v>
      </c>
      <c r="U868" s="941">
        <v>0</v>
      </c>
      <c r="V868" s="941">
        <v>0</v>
      </c>
      <c r="W868" s="941">
        <v>0</v>
      </c>
      <c r="X868" s="941">
        <v>0</v>
      </c>
      <c r="Y868" s="941">
        <v>0</v>
      </c>
      <c r="Z868" s="941">
        <v>0</v>
      </c>
      <c r="AA868" s="942">
        <v>0</v>
      </c>
      <c r="AB868" s="942">
        <v>0</v>
      </c>
      <c r="AC868" s="942">
        <v>0</v>
      </c>
      <c r="AD868" s="942">
        <v>0</v>
      </c>
      <c r="AE868" s="942">
        <v>0</v>
      </c>
      <c r="AF868" s="942">
        <v>0</v>
      </c>
      <c r="AG868" s="943">
        <f>comparaison_samebasis_villages[[#This Row],[previous idp_ind]]-comparaison_samebasis_villages[[#This Row],[actual idp_ind]]</f>
        <v>0</v>
      </c>
      <c r="AH868" s="943">
        <f>comparaison_samebasis_villages[[#This Row],[previous ref_ind]]-comparaison_samebasis_villages[[#This Row],[actual ref_ind]]</f>
        <v>0</v>
      </c>
      <c r="AI868" s="943">
        <f>comparaison_samebasis_villages[[#This Row],[previous ret_ind]]-comparaison_samebasis_villages[[#This Row],[actual ret_ind]]</f>
        <v>0</v>
      </c>
    </row>
    <row r="869" spans="15:35" ht="15.75" customHeight="1" x14ac:dyDescent="0.3">
      <c r="O869" s="399" t="s">
        <v>30</v>
      </c>
      <c r="P869" s="399" t="s">
        <v>3522</v>
      </c>
      <c r="Q869" s="399" t="s">
        <v>163</v>
      </c>
      <c r="R869" s="399" t="s">
        <v>3566</v>
      </c>
      <c r="S869" s="399" t="s">
        <v>2638</v>
      </c>
      <c r="T869" s="399" t="s">
        <v>2637</v>
      </c>
      <c r="U869" s="941">
        <v>0</v>
      </c>
      <c r="V869" s="941">
        <v>0</v>
      </c>
      <c r="W869" s="941">
        <v>0</v>
      </c>
      <c r="X869" s="941">
        <v>0</v>
      </c>
      <c r="Y869" s="941">
        <v>0</v>
      </c>
      <c r="Z869" s="941">
        <v>0</v>
      </c>
      <c r="AA869" s="942">
        <v>0</v>
      </c>
      <c r="AB869" s="942">
        <v>0</v>
      </c>
      <c r="AC869" s="942">
        <v>0</v>
      </c>
      <c r="AD869" s="942">
        <v>0</v>
      </c>
      <c r="AE869" s="942">
        <v>0</v>
      </c>
      <c r="AF869" s="942">
        <v>0</v>
      </c>
      <c r="AG869" s="943">
        <f>comparaison_samebasis_villages[[#This Row],[previous idp_ind]]-comparaison_samebasis_villages[[#This Row],[actual idp_ind]]</f>
        <v>0</v>
      </c>
      <c r="AH869" s="943">
        <f>comparaison_samebasis_villages[[#This Row],[previous ref_ind]]-comparaison_samebasis_villages[[#This Row],[actual ref_ind]]</f>
        <v>0</v>
      </c>
      <c r="AI869" s="943">
        <f>comparaison_samebasis_villages[[#This Row],[previous ret_ind]]-comparaison_samebasis_villages[[#This Row],[actual ret_ind]]</f>
        <v>0</v>
      </c>
    </row>
    <row r="870" spans="15:35" ht="15.75" customHeight="1" x14ac:dyDescent="0.3">
      <c r="O870" s="399" t="s">
        <v>30</v>
      </c>
      <c r="P870" s="399" t="s">
        <v>3522</v>
      </c>
      <c r="Q870" s="399" t="s">
        <v>163</v>
      </c>
      <c r="R870" s="399" t="s">
        <v>3566</v>
      </c>
      <c r="S870" s="399" t="s">
        <v>717</v>
      </c>
      <c r="T870" s="399" t="s">
        <v>716</v>
      </c>
      <c r="U870" s="941">
        <v>3</v>
      </c>
      <c r="V870" s="941">
        <v>23</v>
      </c>
      <c r="W870" s="941">
        <v>0</v>
      </c>
      <c r="X870" s="941">
        <v>0</v>
      </c>
      <c r="Y870" s="941">
        <v>0</v>
      </c>
      <c r="Z870" s="941">
        <v>0</v>
      </c>
      <c r="AA870" s="942">
        <v>3</v>
      </c>
      <c r="AB870" s="942">
        <v>23</v>
      </c>
      <c r="AC870" s="942">
        <v>0</v>
      </c>
      <c r="AD870" s="942">
        <v>0</v>
      </c>
      <c r="AE870" s="942">
        <v>0</v>
      </c>
      <c r="AF870" s="942">
        <v>0</v>
      </c>
      <c r="AG870" s="943">
        <f>comparaison_samebasis_villages[[#This Row],[previous idp_ind]]-comparaison_samebasis_villages[[#This Row],[actual idp_ind]]</f>
        <v>0</v>
      </c>
      <c r="AH870" s="943">
        <f>comparaison_samebasis_villages[[#This Row],[previous ref_ind]]-comparaison_samebasis_villages[[#This Row],[actual ref_ind]]</f>
        <v>0</v>
      </c>
      <c r="AI870" s="943">
        <f>comparaison_samebasis_villages[[#This Row],[previous ret_ind]]-comparaison_samebasis_villages[[#This Row],[actual ret_ind]]</f>
        <v>0</v>
      </c>
    </row>
    <row r="871" spans="15:35" ht="15.75" customHeight="1" x14ac:dyDescent="0.3">
      <c r="O871" s="399" t="s">
        <v>30</v>
      </c>
      <c r="P871" s="399" t="s">
        <v>3522</v>
      </c>
      <c r="Q871" s="399" t="s">
        <v>163</v>
      </c>
      <c r="R871" s="399" t="s">
        <v>3566</v>
      </c>
      <c r="S871" s="399" t="s">
        <v>715</v>
      </c>
      <c r="T871" s="399" t="s">
        <v>714</v>
      </c>
      <c r="U871" s="941">
        <v>8</v>
      </c>
      <c r="V871" s="941">
        <v>79</v>
      </c>
      <c r="W871" s="941">
        <v>0</v>
      </c>
      <c r="X871" s="941">
        <v>0</v>
      </c>
      <c r="Y871" s="941">
        <v>0</v>
      </c>
      <c r="Z871" s="941">
        <v>0</v>
      </c>
      <c r="AA871" s="942">
        <v>8</v>
      </c>
      <c r="AB871" s="942">
        <v>79</v>
      </c>
      <c r="AC871" s="942">
        <v>0</v>
      </c>
      <c r="AD871" s="942">
        <v>0</v>
      </c>
      <c r="AE871" s="942">
        <v>0</v>
      </c>
      <c r="AF871" s="942">
        <v>0</v>
      </c>
      <c r="AG871" s="943">
        <f>comparaison_samebasis_villages[[#This Row],[previous idp_ind]]-comparaison_samebasis_villages[[#This Row],[actual idp_ind]]</f>
        <v>0</v>
      </c>
      <c r="AH871" s="943">
        <f>comparaison_samebasis_villages[[#This Row],[previous ref_ind]]-comparaison_samebasis_villages[[#This Row],[actual ref_ind]]</f>
        <v>0</v>
      </c>
      <c r="AI871" s="943">
        <f>comparaison_samebasis_villages[[#This Row],[previous ret_ind]]-comparaison_samebasis_villages[[#This Row],[actual ret_ind]]</f>
        <v>0</v>
      </c>
    </row>
    <row r="872" spans="15:35" ht="15.75" customHeight="1" x14ac:dyDescent="0.3">
      <c r="O872" s="399" t="s">
        <v>33</v>
      </c>
      <c r="P872" s="399" t="s">
        <v>33</v>
      </c>
      <c r="Q872" s="399" t="s">
        <v>184</v>
      </c>
      <c r="R872" s="399" t="s">
        <v>184</v>
      </c>
      <c r="S872" s="399" t="s">
        <v>2228</v>
      </c>
      <c r="T872" s="399" t="s">
        <v>2963</v>
      </c>
      <c r="U872" s="941">
        <v>0</v>
      </c>
      <c r="V872" s="941">
        <v>0</v>
      </c>
      <c r="W872" s="941">
        <v>3</v>
      </c>
      <c r="X872" s="941">
        <v>9</v>
      </c>
      <c r="Y872" s="941">
        <v>3</v>
      </c>
      <c r="Z872" s="941">
        <v>3</v>
      </c>
      <c r="AA872" s="942">
        <v>0</v>
      </c>
      <c r="AB872" s="942">
        <v>0</v>
      </c>
      <c r="AC872" s="942">
        <v>7</v>
      </c>
      <c r="AD872" s="942">
        <v>30</v>
      </c>
      <c r="AE872" s="942">
        <v>0</v>
      </c>
      <c r="AF872" s="942">
        <v>0</v>
      </c>
      <c r="AG872" s="943">
        <f>comparaison_samebasis_villages[[#This Row],[previous idp_ind]]-comparaison_samebasis_villages[[#This Row],[actual idp_ind]]</f>
        <v>0</v>
      </c>
      <c r="AH872" s="943">
        <f>comparaison_samebasis_villages[[#This Row],[previous ref_ind]]-comparaison_samebasis_villages[[#This Row],[actual ref_ind]]</f>
        <v>21</v>
      </c>
      <c r="AI872" s="943">
        <f>comparaison_samebasis_villages[[#This Row],[previous ret_ind]]-comparaison_samebasis_villages[[#This Row],[actual ret_ind]]</f>
        <v>-3</v>
      </c>
    </row>
    <row r="873" spans="15:35" ht="15.75" customHeight="1" x14ac:dyDescent="0.3">
      <c r="O873" s="399" t="s">
        <v>33</v>
      </c>
      <c r="P873" s="399" t="s">
        <v>33</v>
      </c>
      <c r="Q873" s="399" t="s">
        <v>184</v>
      </c>
      <c r="R873" s="399" t="s">
        <v>184</v>
      </c>
      <c r="S873" s="399" t="s">
        <v>2639</v>
      </c>
      <c r="T873" s="399" t="s">
        <v>2227</v>
      </c>
      <c r="U873" s="941">
        <v>0</v>
      </c>
      <c r="V873" s="941">
        <v>0</v>
      </c>
      <c r="W873" s="941">
        <v>4</v>
      </c>
      <c r="X873" s="941">
        <v>24</v>
      </c>
      <c r="Y873" s="941">
        <v>8</v>
      </c>
      <c r="Z873" s="941">
        <v>8</v>
      </c>
      <c r="AA873" s="942">
        <v>0</v>
      </c>
      <c r="AB873" s="942">
        <v>0</v>
      </c>
      <c r="AC873" s="942">
        <v>4</v>
      </c>
      <c r="AD873" s="942">
        <v>23</v>
      </c>
      <c r="AE873" s="942">
        <v>6</v>
      </c>
      <c r="AF873" s="942">
        <v>30</v>
      </c>
      <c r="AG873" s="943">
        <f>comparaison_samebasis_villages[[#This Row],[previous idp_ind]]-comparaison_samebasis_villages[[#This Row],[actual idp_ind]]</f>
        <v>0</v>
      </c>
      <c r="AH873" s="943">
        <f>comparaison_samebasis_villages[[#This Row],[previous ref_ind]]-comparaison_samebasis_villages[[#This Row],[actual ref_ind]]</f>
        <v>-1</v>
      </c>
      <c r="AI873" s="943">
        <f>comparaison_samebasis_villages[[#This Row],[previous ret_ind]]-comparaison_samebasis_villages[[#This Row],[actual ret_ind]]</f>
        <v>22</v>
      </c>
    </row>
    <row r="874" spans="15:35" ht="15.75" customHeight="1" x14ac:dyDescent="0.3">
      <c r="O874" s="399" t="s">
        <v>33</v>
      </c>
      <c r="P874" s="399" t="s">
        <v>33</v>
      </c>
      <c r="Q874" s="399" t="s">
        <v>184</v>
      </c>
      <c r="R874" s="399" t="s">
        <v>184</v>
      </c>
      <c r="S874" s="399" t="s">
        <v>2226</v>
      </c>
      <c r="T874" s="399" t="s">
        <v>2961</v>
      </c>
      <c r="U874" s="941">
        <v>11</v>
      </c>
      <c r="V874" s="941">
        <v>48</v>
      </c>
      <c r="W874" s="941">
        <v>0</v>
      </c>
      <c r="X874" s="941">
        <v>0</v>
      </c>
      <c r="Y874" s="941">
        <v>0</v>
      </c>
      <c r="Z874" s="941">
        <v>0</v>
      </c>
      <c r="AA874" s="942">
        <v>0</v>
      </c>
      <c r="AB874" s="942">
        <v>0</v>
      </c>
      <c r="AC874" s="942">
        <v>29</v>
      </c>
      <c r="AD874" s="942">
        <v>73</v>
      </c>
      <c r="AE874" s="942">
        <v>0</v>
      </c>
      <c r="AF874" s="942">
        <v>0</v>
      </c>
      <c r="AG874" s="943">
        <f>comparaison_samebasis_villages[[#This Row],[previous idp_ind]]-comparaison_samebasis_villages[[#This Row],[actual idp_ind]]</f>
        <v>-48</v>
      </c>
      <c r="AH874" s="943">
        <f>comparaison_samebasis_villages[[#This Row],[previous ref_ind]]-comparaison_samebasis_villages[[#This Row],[actual ref_ind]]</f>
        <v>73</v>
      </c>
      <c r="AI874" s="943">
        <f>comparaison_samebasis_villages[[#This Row],[previous ret_ind]]-comparaison_samebasis_villages[[#This Row],[actual ret_ind]]</f>
        <v>0</v>
      </c>
    </row>
    <row r="875" spans="15:35" ht="15.75" customHeight="1" x14ac:dyDescent="0.3">
      <c r="O875" s="399" t="s">
        <v>35</v>
      </c>
      <c r="P875" s="399" t="s">
        <v>35</v>
      </c>
      <c r="Q875" s="399" t="s">
        <v>194</v>
      </c>
      <c r="R875" s="399" t="s">
        <v>194</v>
      </c>
      <c r="S875" s="399" t="s">
        <v>2209</v>
      </c>
      <c r="T875" s="399" t="s">
        <v>2208</v>
      </c>
      <c r="U875" s="941">
        <v>0</v>
      </c>
      <c r="V875" s="941">
        <v>0</v>
      </c>
      <c r="W875" s="941">
        <v>3</v>
      </c>
      <c r="X875" s="941">
        <v>25</v>
      </c>
      <c r="Y875" s="941">
        <v>3</v>
      </c>
      <c r="Z875" s="941">
        <v>3</v>
      </c>
      <c r="AA875" s="942">
        <v>0</v>
      </c>
      <c r="AB875" s="942">
        <v>0</v>
      </c>
      <c r="AC875" s="942">
        <v>4</v>
      </c>
      <c r="AD875" s="942">
        <v>32</v>
      </c>
      <c r="AE875" s="942">
        <v>3</v>
      </c>
      <c r="AF875" s="942">
        <v>15</v>
      </c>
      <c r="AG875" s="943">
        <f>comparaison_samebasis_villages[[#This Row],[previous idp_ind]]-comparaison_samebasis_villages[[#This Row],[actual idp_ind]]</f>
        <v>0</v>
      </c>
      <c r="AH875" s="943">
        <f>comparaison_samebasis_villages[[#This Row],[previous ref_ind]]-comparaison_samebasis_villages[[#This Row],[actual ref_ind]]</f>
        <v>7</v>
      </c>
      <c r="AI875" s="943">
        <f>comparaison_samebasis_villages[[#This Row],[previous ret_ind]]-comparaison_samebasis_villages[[#This Row],[actual ret_ind]]</f>
        <v>12</v>
      </c>
    </row>
    <row r="876" spans="15:35" ht="15.75" customHeight="1" x14ac:dyDescent="0.3">
      <c r="O876" s="399" t="s">
        <v>35</v>
      </c>
      <c r="P876" s="399" t="s">
        <v>35</v>
      </c>
      <c r="Q876" s="399" t="s">
        <v>194</v>
      </c>
      <c r="R876" s="399" t="s">
        <v>194</v>
      </c>
      <c r="S876" s="399" t="s">
        <v>2152</v>
      </c>
      <c r="T876" s="399" t="s">
        <v>2151</v>
      </c>
      <c r="U876" s="941">
        <v>0</v>
      </c>
      <c r="V876" s="941">
        <v>0</v>
      </c>
      <c r="W876" s="941">
        <v>18</v>
      </c>
      <c r="X876" s="941">
        <v>97</v>
      </c>
      <c r="Y876" s="941">
        <v>12</v>
      </c>
      <c r="Z876" s="941">
        <v>12</v>
      </c>
      <c r="AA876" s="942">
        <v>0</v>
      </c>
      <c r="AB876" s="942">
        <v>0</v>
      </c>
      <c r="AC876" s="942">
        <v>20</v>
      </c>
      <c r="AD876" s="942">
        <v>101</v>
      </c>
      <c r="AE876" s="942">
        <v>12</v>
      </c>
      <c r="AF876" s="942">
        <v>83</v>
      </c>
      <c r="AG876" s="943">
        <f>comparaison_samebasis_villages[[#This Row],[previous idp_ind]]-comparaison_samebasis_villages[[#This Row],[actual idp_ind]]</f>
        <v>0</v>
      </c>
      <c r="AH876" s="943">
        <f>comparaison_samebasis_villages[[#This Row],[previous ref_ind]]-comparaison_samebasis_villages[[#This Row],[actual ref_ind]]</f>
        <v>4</v>
      </c>
      <c r="AI876" s="943">
        <f>comparaison_samebasis_villages[[#This Row],[previous ret_ind]]-comparaison_samebasis_villages[[#This Row],[actual ret_ind]]</f>
        <v>71</v>
      </c>
    </row>
    <row r="877" spans="15:35" ht="15.75" customHeight="1" x14ac:dyDescent="0.3">
      <c r="O877" s="399" t="s">
        <v>35</v>
      </c>
      <c r="P877" s="399" t="s">
        <v>35</v>
      </c>
      <c r="Q877" s="399" t="s">
        <v>194</v>
      </c>
      <c r="R877" s="399" t="s">
        <v>194</v>
      </c>
      <c r="S877" s="399" t="s">
        <v>2199</v>
      </c>
      <c r="T877" s="399" t="s">
        <v>2198</v>
      </c>
      <c r="U877" s="941">
        <v>0</v>
      </c>
      <c r="V877" s="941">
        <v>0</v>
      </c>
      <c r="W877" s="941">
        <v>5</v>
      </c>
      <c r="X877" s="941">
        <v>28</v>
      </c>
      <c r="Y877" s="941">
        <v>12</v>
      </c>
      <c r="Z877" s="941">
        <v>12</v>
      </c>
      <c r="AA877" s="942">
        <v>0</v>
      </c>
      <c r="AB877" s="942">
        <v>0</v>
      </c>
      <c r="AC877" s="942">
        <v>5</v>
      </c>
      <c r="AD877" s="942">
        <v>29</v>
      </c>
      <c r="AE877" s="942">
        <v>12</v>
      </c>
      <c r="AF877" s="942">
        <v>55</v>
      </c>
      <c r="AG877" s="943">
        <f>comparaison_samebasis_villages[[#This Row],[previous idp_ind]]-comparaison_samebasis_villages[[#This Row],[actual idp_ind]]</f>
        <v>0</v>
      </c>
      <c r="AH877" s="943">
        <f>comparaison_samebasis_villages[[#This Row],[previous ref_ind]]-comparaison_samebasis_villages[[#This Row],[actual ref_ind]]</f>
        <v>1</v>
      </c>
      <c r="AI877" s="943">
        <f>comparaison_samebasis_villages[[#This Row],[previous ret_ind]]-comparaison_samebasis_villages[[#This Row],[actual ret_ind]]</f>
        <v>43</v>
      </c>
    </row>
    <row r="878" spans="15:35" ht="15.75" customHeight="1" x14ac:dyDescent="0.3">
      <c r="O878" s="399" t="s">
        <v>35</v>
      </c>
      <c r="P878" s="399" t="s">
        <v>35</v>
      </c>
      <c r="Q878" s="399" t="s">
        <v>194</v>
      </c>
      <c r="R878" s="399" t="s">
        <v>194</v>
      </c>
      <c r="S878" s="399" t="s">
        <v>2189</v>
      </c>
      <c r="T878" s="399" t="s">
        <v>2188</v>
      </c>
      <c r="U878" s="941">
        <v>0</v>
      </c>
      <c r="V878" s="941">
        <v>0</v>
      </c>
      <c r="W878" s="941">
        <v>8</v>
      </c>
      <c r="X878" s="941">
        <v>47</v>
      </c>
      <c r="Y878" s="941">
        <v>0</v>
      </c>
      <c r="Z878" s="941">
        <v>0</v>
      </c>
      <c r="AA878" s="942">
        <v>0</v>
      </c>
      <c r="AB878" s="942">
        <v>0</v>
      </c>
      <c r="AC878" s="942">
        <v>8</v>
      </c>
      <c r="AD878" s="942">
        <v>45</v>
      </c>
      <c r="AE878" s="942">
        <v>0</v>
      </c>
      <c r="AF878" s="942">
        <v>0</v>
      </c>
      <c r="AG878" s="943">
        <f>comparaison_samebasis_villages[[#This Row],[previous idp_ind]]-comparaison_samebasis_villages[[#This Row],[actual idp_ind]]</f>
        <v>0</v>
      </c>
      <c r="AH878" s="943">
        <f>comparaison_samebasis_villages[[#This Row],[previous ref_ind]]-comparaison_samebasis_villages[[#This Row],[actual ref_ind]]</f>
        <v>-2</v>
      </c>
      <c r="AI878" s="943">
        <f>comparaison_samebasis_villages[[#This Row],[previous ret_ind]]-comparaison_samebasis_villages[[#This Row],[actual ret_ind]]</f>
        <v>0</v>
      </c>
    </row>
    <row r="879" spans="15:35" ht="15.75" customHeight="1" x14ac:dyDescent="0.3">
      <c r="O879" s="399" t="s">
        <v>35</v>
      </c>
      <c r="P879" s="399" t="s">
        <v>35</v>
      </c>
      <c r="Q879" s="399" t="s">
        <v>194</v>
      </c>
      <c r="R879" s="399" t="s">
        <v>194</v>
      </c>
      <c r="S879" s="399" t="s">
        <v>2193</v>
      </c>
      <c r="T879" s="399" t="s">
        <v>2192</v>
      </c>
      <c r="U879" s="941">
        <v>0</v>
      </c>
      <c r="V879" s="941">
        <v>0</v>
      </c>
      <c r="W879" s="941">
        <v>13</v>
      </c>
      <c r="X879" s="941">
        <v>144</v>
      </c>
      <c r="Y879" s="941">
        <v>47</v>
      </c>
      <c r="Z879" s="941">
        <v>47</v>
      </c>
      <c r="AA879" s="942">
        <v>0</v>
      </c>
      <c r="AB879" s="942">
        <v>0</v>
      </c>
      <c r="AC879" s="942">
        <v>13</v>
      </c>
      <c r="AD879" s="942">
        <v>146</v>
      </c>
      <c r="AE879" s="942">
        <v>45</v>
      </c>
      <c r="AF879" s="942">
        <v>286</v>
      </c>
      <c r="AG879" s="943">
        <f>comparaison_samebasis_villages[[#This Row],[previous idp_ind]]-comparaison_samebasis_villages[[#This Row],[actual idp_ind]]</f>
        <v>0</v>
      </c>
      <c r="AH879" s="943">
        <f>comparaison_samebasis_villages[[#This Row],[previous ref_ind]]-comparaison_samebasis_villages[[#This Row],[actual ref_ind]]</f>
        <v>2</v>
      </c>
      <c r="AI879" s="943">
        <f>comparaison_samebasis_villages[[#This Row],[previous ret_ind]]-comparaison_samebasis_villages[[#This Row],[actual ret_ind]]</f>
        <v>239</v>
      </c>
    </row>
    <row r="880" spans="15:35" ht="15.75" customHeight="1" x14ac:dyDescent="0.3">
      <c r="O880" s="399" t="s">
        <v>35</v>
      </c>
      <c r="P880" s="399" t="s">
        <v>35</v>
      </c>
      <c r="Q880" s="399" t="s">
        <v>194</v>
      </c>
      <c r="R880" s="399" t="s">
        <v>194</v>
      </c>
      <c r="S880" s="399" t="s">
        <v>2216</v>
      </c>
      <c r="T880" s="399" t="s">
        <v>2215</v>
      </c>
      <c r="U880" s="941">
        <v>0</v>
      </c>
      <c r="V880" s="941">
        <v>0</v>
      </c>
      <c r="W880" s="941">
        <v>6</v>
      </c>
      <c r="X880" s="941">
        <v>33</v>
      </c>
      <c r="Y880" s="941">
        <v>15</v>
      </c>
      <c r="Z880" s="941">
        <v>15</v>
      </c>
      <c r="AA880" s="942">
        <v>0</v>
      </c>
      <c r="AB880" s="942">
        <v>0</v>
      </c>
      <c r="AC880" s="942">
        <v>6</v>
      </c>
      <c r="AD880" s="942">
        <v>33</v>
      </c>
      <c r="AE880" s="942">
        <v>15</v>
      </c>
      <c r="AF880" s="942">
        <v>44</v>
      </c>
      <c r="AG880" s="943">
        <f>comparaison_samebasis_villages[[#This Row],[previous idp_ind]]-comparaison_samebasis_villages[[#This Row],[actual idp_ind]]</f>
        <v>0</v>
      </c>
      <c r="AH880" s="943">
        <f>comparaison_samebasis_villages[[#This Row],[previous ref_ind]]-comparaison_samebasis_villages[[#This Row],[actual ref_ind]]</f>
        <v>0</v>
      </c>
      <c r="AI880" s="943">
        <f>comparaison_samebasis_villages[[#This Row],[previous ret_ind]]-comparaison_samebasis_villages[[#This Row],[actual ret_ind]]</f>
        <v>29</v>
      </c>
    </row>
    <row r="881" spans="15:35" ht="15.75" customHeight="1" x14ac:dyDescent="0.3">
      <c r="O881" s="399" t="s">
        <v>35</v>
      </c>
      <c r="P881" s="399" t="s">
        <v>35</v>
      </c>
      <c r="Q881" s="399" t="s">
        <v>194</v>
      </c>
      <c r="R881" s="399" t="s">
        <v>194</v>
      </c>
      <c r="S881" s="399" t="s">
        <v>2176</v>
      </c>
      <c r="T881" s="399" t="s">
        <v>2175</v>
      </c>
      <c r="U881" s="941">
        <v>0</v>
      </c>
      <c r="V881" s="941">
        <v>0</v>
      </c>
      <c r="W881" s="941">
        <v>13</v>
      </c>
      <c r="X881" s="941">
        <v>98</v>
      </c>
      <c r="Y881" s="941">
        <v>28</v>
      </c>
      <c r="Z881" s="941">
        <v>28</v>
      </c>
      <c r="AA881" s="942">
        <v>0</v>
      </c>
      <c r="AB881" s="942">
        <v>0</v>
      </c>
      <c r="AC881" s="942">
        <v>26</v>
      </c>
      <c r="AD881" s="942">
        <v>105</v>
      </c>
      <c r="AE881" s="942">
        <v>13</v>
      </c>
      <c r="AF881" s="942">
        <v>90</v>
      </c>
      <c r="AG881" s="943">
        <f>comparaison_samebasis_villages[[#This Row],[previous idp_ind]]-comparaison_samebasis_villages[[#This Row],[actual idp_ind]]</f>
        <v>0</v>
      </c>
      <c r="AH881" s="943">
        <f>comparaison_samebasis_villages[[#This Row],[previous ref_ind]]-comparaison_samebasis_villages[[#This Row],[actual ref_ind]]</f>
        <v>7</v>
      </c>
      <c r="AI881" s="943">
        <f>comparaison_samebasis_villages[[#This Row],[previous ret_ind]]-comparaison_samebasis_villages[[#This Row],[actual ret_ind]]</f>
        <v>62</v>
      </c>
    </row>
    <row r="882" spans="15:35" ht="15.75" customHeight="1" x14ac:dyDescent="0.3">
      <c r="O882" s="399" t="s">
        <v>35</v>
      </c>
      <c r="P882" s="399" t="s">
        <v>35</v>
      </c>
      <c r="Q882" s="399" t="s">
        <v>194</v>
      </c>
      <c r="R882" s="399" t="s">
        <v>194</v>
      </c>
      <c r="S882" s="399" t="s">
        <v>2211</v>
      </c>
      <c r="T882" s="399" t="s">
        <v>2210</v>
      </c>
      <c r="U882" s="941">
        <v>0</v>
      </c>
      <c r="V882" s="941">
        <v>0</v>
      </c>
      <c r="W882" s="941">
        <v>16</v>
      </c>
      <c r="X882" s="941">
        <v>86</v>
      </c>
      <c r="Y882" s="941">
        <v>18</v>
      </c>
      <c r="Z882" s="941">
        <v>18</v>
      </c>
      <c r="AA882" s="942">
        <v>0</v>
      </c>
      <c r="AB882" s="942">
        <v>0</v>
      </c>
      <c r="AC882" s="942">
        <v>15</v>
      </c>
      <c r="AD882" s="942">
        <v>81</v>
      </c>
      <c r="AE882" s="942">
        <v>18</v>
      </c>
      <c r="AF882" s="942">
        <v>98</v>
      </c>
      <c r="AG882" s="943">
        <f>comparaison_samebasis_villages[[#This Row],[previous idp_ind]]-comparaison_samebasis_villages[[#This Row],[actual idp_ind]]</f>
        <v>0</v>
      </c>
      <c r="AH882" s="943">
        <f>comparaison_samebasis_villages[[#This Row],[previous ref_ind]]-comparaison_samebasis_villages[[#This Row],[actual ref_ind]]</f>
        <v>-5</v>
      </c>
      <c r="AI882" s="943">
        <f>comparaison_samebasis_villages[[#This Row],[previous ret_ind]]-comparaison_samebasis_villages[[#This Row],[actual ret_ind]]</f>
        <v>80</v>
      </c>
    </row>
    <row r="883" spans="15:35" ht="15.75" customHeight="1" x14ac:dyDescent="0.3">
      <c r="O883" s="399" t="s">
        <v>35</v>
      </c>
      <c r="P883" s="399" t="s">
        <v>35</v>
      </c>
      <c r="Q883" s="399" t="s">
        <v>194</v>
      </c>
      <c r="R883" s="399" t="s">
        <v>194</v>
      </c>
      <c r="S883" s="399" t="s">
        <v>2164</v>
      </c>
      <c r="T883" s="399" t="s">
        <v>2163</v>
      </c>
      <c r="U883" s="941">
        <v>0</v>
      </c>
      <c r="V883" s="941">
        <v>0</v>
      </c>
      <c r="W883" s="941">
        <v>11</v>
      </c>
      <c r="X883" s="941">
        <v>19</v>
      </c>
      <c r="Y883" s="941">
        <v>50</v>
      </c>
      <c r="Z883" s="941">
        <v>50</v>
      </c>
      <c r="AA883" s="942">
        <v>0</v>
      </c>
      <c r="AB883" s="942">
        <v>0</v>
      </c>
      <c r="AC883" s="942">
        <v>12</v>
      </c>
      <c r="AD883" s="942">
        <v>22</v>
      </c>
      <c r="AE883" s="942">
        <v>50</v>
      </c>
      <c r="AF883" s="942">
        <v>160</v>
      </c>
      <c r="AG883" s="943">
        <f>comparaison_samebasis_villages[[#This Row],[previous idp_ind]]-comparaison_samebasis_villages[[#This Row],[actual idp_ind]]</f>
        <v>0</v>
      </c>
      <c r="AH883" s="943">
        <f>comparaison_samebasis_villages[[#This Row],[previous ref_ind]]-comparaison_samebasis_villages[[#This Row],[actual ref_ind]]</f>
        <v>3</v>
      </c>
      <c r="AI883" s="943">
        <f>comparaison_samebasis_villages[[#This Row],[previous ret_ind]]-comparaison_samebasis_villages[[#This Row],[actual ret_ind]]</f>
        <v>110</v>
      </c>
    </row>
    <row r="884" spans="15:35" ht="15.75" customHeight="1" x14ac:dyDescent="0.3">
      <c r="O884" s="399" t="s">
        <v>35</v>
      </c>
      <c r="P884" s="399" t="s">
        <v>35</v>
      </c>
      <c r="Q884" s="399" t="s">
        <v>194</v>
      </c>
      <c r="R884" s="399" t="s">
        <v>194</v>
      </c>
      <c r="S884" s="399" t="s">
        <v>2222</v>
      </c>
      <c r="T884" s="399" t="s">
        <v>2221</v>
      </c>
      <c r="U884" s="941">
        <v>0</v>
      </c>
      <c r="V884" s="941">
        <v>0</v>
      </c>
      <c r="W884" s="941">
        <v>21</v>
      </c>
      <c r="X884" s="941">
        <v>134</v>
      </c>
      <c r="Y884" s="941">
        <v>47</v>
      </c>
      <c r="Z884" s="941">
        <v>47</v>
      </c>
      <c r="AA884" s="942">
        <v>0</v>
      </c>
      <c r="AB884" s="942">
        <v>0</v>
      </c>
      <c r="AC884" s="942">
        <v>21</v>
      </c>
      <c r="AD884" s="942">
        <v>134</v>
      </c>
      <c r="AE884" s="942">
        <v>47</v>
      </c>
      <c r="AF884" s="942">
        <v>152</v>
      </c>
      <c r="AG884" s="943">
        <f>comparaison_samebasis_villages[[#This Row],[previous idp_ind]]-comparaison_samebasis_villages[[#This Row],[actual idp_ind]]</f>
        <v>0</v>
      </c>
      <c r="AH884" s="943">
        <f>comparaison_samebasis_villages[[#This Row],[previous ref_ind]]-comparaison_samebasis_villages[[#This Row],[actual ref_ind]]</f>
        <v>0</v>
      </c>
      <c r="AI884" s="943">
        <f>comparaison_samebasis_villages[[#This Row],[previous ret_ind]]-comparaison_samebasis_villages[[#This Row],[actual ret_ind]]</f>
        <v>105</v>
      </c>
    </row>
    <row r="885" spans="15:35" ht="15.75" customHeight="1" x14ac:dyDescent="0.3">
      <c r="O885" s="399" t="s">
        <v>35</v>
      </c>
      <c r="P885" s="399" t="s">
        <v>35</v>
      </c>
      <c r="Q885" s="399" t="s">
        <v>194</v>
      </c>
      <c r="R885" s="399" t="s">
        <v>194</v>
      </c>
      <c r="S885" s="399" t="s">
        <v>2178</v>
      </c>
      <c r="T885" s="399" t="s">
        <v>2177</v>
      </c>
      <c r="U885" s="941">
        <v>0</v>
      </c>
      <c r="V885" s="941">
        <v>0</v>
      </c>
      <c r="W885" s="941">
        <v>3</v>
      </c>
      <c r="X885" s="941">
        <v>19</v>
      </c>
      <c r="Y885" s="941">
        <v>0</v>
      </c>
      <c r="Z885" s="941">
        <v>0</v>
      </c>
      <c r="AA885" s="942">
        <v>0</v>
      </c>
      <c r="AB885" s="942">
        <v>0</v>
      </c>
      <c r="AC885" s="942">
        <v>3</v>
      </c>
      <c r="AD885" s="942">
        <v>19</v>
      </c>
      <c r="AE885" s="942">
        <v>0</v>
      </c>
      <c r="AF885" s="942">
        <v>0</v>
      </c>
      <c r="AG885" s="943">
        <f>comparaison_samebasis_villages[[#This Row],[previous idp_ind]]-comparaison_samebasis_villages[[#This Row],[actual idp_ind]]</f>
        <v>0</v>
      </c>
      <c r="AH885" s="943">
        <f>comparaison_samebasis_villages[[#This Row],[previous ref_ind]]-comparaison_samebasis_villages[[#This Row],[actual ref_ind]]</f>
        <v>0</v>
      </c>
      <c r="AI885" s="943">
        <f>comparaison_samebasis_villages[[#This Row],[previous ret_ind]]-comparaison_samebasis_villages[[#This Row],[actual ret_ind]]</f>
        <v>0</v>
      </c>
    </row>
    <row r="886" spans="15:35" ht="15.75" customHeight="1" x14ac:dyDescent="0.3">
      <c r="O886" s="399" t="s">
        <v>35</v>
      </c>
      <c r="P886" s="399" t="s">
        <v>35</v>
      </c>
      <c r="Q886" s="399" t="s">
        <v>194</v>
      </c>
      <c r="R886" s="399" t="s">
        <v>194</v>
      </c>
      <c r="S886" s="399" t="s">
        <v>2154</v>
      </c>
      <c r="T886" s="399" t="s">
        <v>2153</v>
      </c>
      <c r="U886" s="941">
        <v>0</v>
      </c>
      <c r="V886" s="941">
        <v>0</v>
      </c>
      <c r="W886" s="941">
        <v>5</v>
      </c>
      <c r="X886" s="941">
        <v>27</v>
      </c>
      <c r="Y886" s="941">
        <v>10</v>
      </c>
      <c r="Z886" s="941">
        <v>10</v>
      </c>
      <c r="AA886" s="942">
        <v>0</v>
      </c>
      <c r="AB886" s="942">
        <v>0</v>
      </c>
      <c r="AC886" s="942">
        <v>6</v>
      </c>
      <c r="AD886" s="942">
        <v>32</v>
      </c>
      <c r="AE886" s="942">
        <v>8</v>
      </c>
      <c r="AF886" s="942">
        <v>41</v>
      </c>
      <c r="AG886" s="943">
        <f>comparaison_samebasis_villages[[#This Row],[previous idp_ind]]-comparaison_samebasis_villages[[#This Row],[actual idp_ind]]</f>
        <v>0</v>
      </c>
      <c r="AH886" s="943">
        <f>comparaison_samebasis_villages[[#This Row],[previous ref_ind]]-comparaison_samebasis_villages[[#This Row],[actual ref_ind]]</f>
        <v>5</v>
      </c>
      <c r="AI886" s="943">
        <f>comparaison_samebasis_villages[[#This Row],[previous ret_ind]]-comparaison_samebasis_villages[[#This Row],[actual ret_ind]]</f>
        <v>31</v>
      </c>
    </row>
    <row r="887" spans="15:35" ht="15.75" customHeight="1" x14ac:dyDescent="0.3">
      <c r="O887" s="399" t="s">
        <v>35</v>
      </c>
      <c r="P887" s="399" t="s">
        <v>35</v>
      </c>
      <c r="Q887" s="399" t="s">
        <v>194</v>
      </c>
      <c r="R887" s="399" t="s">
        <v>194</v>
      </c>
      <c r="S887" s="399" t="s">
        <v>2166</v>
      </c>
      <c r="T887" s="399" t="s">
        <v>2165</v>
      </c>
      <c r="U887" s="941">
        <v>0</v>
      </c>
      <c r="V887" s="941">
        <v>0</v>
      </c>
      <c r="W887" s="941">
        <v>21</v>
      </c>
      <c r="X887" s="941">
        <v>189</v>
      </c>
      <c r="Y887" s="941">
        <v>5</v>
      </c>
      <c r="Z887" s="941">
        <v>5</v>
      </c>
      <c r="AA887" s="942">
        <v>0</v>
      </c>
      <c r="AB887" s="942">
        <v>0</v>
      </c>
      <c r="AC887" s="942">
        <v>22</v>
      </c>
      <c r="AD887" s="942">
        <v>195</v>
      </c>
      <c r="AE887" s="942">
        <v>5</v>
      </c>
      <c r="AF887" s="942">
        <v>40</v>
      </c>
      <c r="AG887" s="943">
        <f>comparaison_samebasis_villages[[#This Row],[previous idp_ind]]-comparaison_samebasis_villages[[#This Row],[actual idp_ind]]</f>
        <v>0</v>
      </c>
      <c r="AH887" s="943">
        <f>comparaison_samebasis_villages[[#This Row],[previous ref_ind]]-comparaison_samebasis_villages[[#This Row],[actual ref_ind]]</f>
        <v>6</v>
      </c>
      <c r="AI887" s="943">
        <f>comparaison_samebasis_villages[[#This Row],[previous ret_ind]]-comparaison_samebasis_villages[[#This Row],[actual ret_ind]]</f>
        <v>35</v>
      </c>
    </row>
    <row r="888" spans="15:35" ht="15.75" customHeight="1" x14ac:dyDescent="0.3">
      <c r="O888" s="399" t="s">
        <v>35</v>
      </c>
      <c r="P888" s="399" t="s">
        <v>35</v>
      </c>
      <c r="Q888" s="399" t="s">
        <v>194</v>
      </c>
      <c r="R888" s="399" t="s">
        <v>194</v>
      </c>
      <c r="S888" s="399" t="s">
        <v>2205</v>
      </c>
      <c r="T888" s="399" t="s">
        <v>2917</v>
      </c>
      <c r="U888" s="941">
        <v>0</v>
      </c>
      <c r="V888" s="941">
        <v>0</v>
      </c>
      <c r="W888" s="941">
        <v>3</v>
      </c>
      <c r="X888" s="941">
        <v>14</v>
      </c>
      <c r="Y888" s="941">
        <v>11</v>
      </c>
      <c r="Z888" s="941">
        <v>11</v>
      </c>
      <c r="AA888" s="942">
        <v>0</v>
      </c>
      <c r="AB888" s="942">
        <v>0</v>
      </c>
      <c r="AC888" s="942">
        <v>3</v>
      </c>
      <c r="AD888" s="942">
        <v>15</v>
      </c>
      <c r="AE888" s="942">
        <v>9</v>
      </c>
      <c r="AF888" s="942">
        <v>41</v>
      </c>
      <c r="AG888" s="943">
        <f>comparaison_samebasis_villages[[#This Row],[previous idp_ind]]-comparaison_samebasis_villages[[#This Row],[actual idp_ind]]</f>
        <v>0</v>
      </c>
      <c r="AH888" s="943">
        <f>comparaison_samebasis_villages[[#This Row],[previous ref_ind]]-comparaison_samebasis_villages[[#This Row],[actual ref_ind]]</f>
        <v>1</v>
      </c>
      <c r="AI888" s="943">
        <f>comparaison_samebasis_villages[[#This Row],[previous ret_ind]]-comparaison_samebasis_villages[[#This Row],[actual ret_ind]]</f>
        <v>30</v>
      </c>
    </row>
    <row r="889" spans="15:35" ht="15.75" customHeight="1" x14ac:dyDescent="0.3">
      <c r="O889" s="399" t="s">
        <v>35</v>
      </c>
      <c r="P889" s="399" t="s">
        <v>35</v>
      </c>
      <c r="Q889" s="399" t="s">
        <v>195</v>
      </c>
      <c r="R889" s="399" t="s">
        <v>195</v>
      </c>
      <c r="S889" s="399" t="s">
        <v>1807</v>
      </c>
      <c r="T889" s="399" t="s">
        <v>1806</v>
      </c>
      <c r="U889" s="941">
        <v>75</v>
      </c>
      <c r="V889" s="941">
        <v>491</v>
      </c>
      <c r="W889" s="941">
        <v>0</v>
      </c>
      <c r="X889" s="941">
        <v>0</v>
      </c>
      <c r="Y889" s="941">
        <v>156</v>
      </c>
      <c r="Z889" s="941">
        <v>156</v>
      </c>
      <c r="AA889" s="942">
        <v>52</v>
      </c>
      <c r="AB889" s="942">
        <v>279</v>
      </c>
      <c r="AC889" s="942">
        <v>0</v>
      </c>
      <c r="AD889" s="942">
        <v>0</v>
      </c>
      <c r="AE889" s="942">
        <v>156</v>
      </c>
      <c r="AF889" s="942">
        <v>1236</v>
      </c>
      <c r="AG889" s="943">
        <f>comparaison_samebasis_villages[[#This Row],[previous idp_ind]]-comparaison_samebasis_villages[[#This Row],[actual idp_ind]]</f>
        <v>-212</v>
      </c>
      <c r="AH889" s="943">
        <f>comparaison_samebasis_villages[[#This Row],[previous ref_ind]]-comparaison_samebasis_villages[[#This Row],[actual ref_ind]]</f>
        <v>0</v>
      </c>
      <c r="AI889" s="943">
        <f>comparaison_samebasis_villages[[#This Row],[previous ret_ind]]-comparaison_samebasis_villages[[#This Row],[actual ret_ind]]</f>
        <v>1080</v>
      </c>
    </row>
    <row r="890" spans="15:35" ht="15.75" customHeight="1" x14ac:dyDescent="0.3">
      <c r="O890" s="399" t="s">
        <v>35</v>
      </c>
      <c r="P890" s="399" t="s">
        <v>35</v>
      </c>
      <c r="Q890" s="399" t="s">
        <v>195</v>
      </c>
      <c r="R890" s="399" t="s">
        <v>195</v>
      </c>
      <c r="S890" s="399" t="s">
        <v>2313</v>
      </c>
      <c r="T890" s="399" t="s">
        <v>2312</v>
      </c>
      <c r="U890" s="941">
        <v>1</v>
      </c>
      <c r="V890" s="941">
        <v>10</v>
      </c>
      <c r="W890" s="941">
        <v>0</v>
      </c>
      <c r="X890" s="941">
        <v>0</v>
      </c>
      <c r="Y890" s="941">
        <v>0</v>
      </c>
      <c r="Z890" s="941">
        <v>0</v>
      </c>
      <c r="AA890" s="942">
        <v>2</v>
      </c>
      <c r="AB890" s="942">
        <v>15</v>
      </c>
      <c r="AC890" s="942">
        <v>0</v>
      </c>
      <c r="AD890" s="942">
        <v>0</v>
      </c>
      <c r="AE890" s="942">
        <v>0</v>
      </c>
      <c r="AF890" s="942">
        <v>0</v>
      </c>
      <c r="AG890" s="943">
        <f>comparaison_samebasis_villages[[#This Row],[previous idp_ind]]-comparaison_samebasis_villages[[#This Row],[actual idp_ind]]</f>
        <v>5</v>
      </c>
      <c r="AH890" s="943">
        <f>comparaison_samebasis_villages[[#This Row],[previous ref_ind]]-comparaison_samebasis_villages[[#This Row],[actual ref_ind]]</f>
        <v>0</v>
      </c>
      <c r="AI890" s="943">
        <f>comparaison_samebasis_villages[[#This Row],[previous ret_ind]]-comparaison_samebasis_villages[[#This Row],[actual ret_ind]]</f>
        <v>0</v>
      </c>
    </row>
    <row r="891" spans="15:35" ht="15.75" customHeight="1" x14ac:dyDescent="0.3">
      <c r="O891" s="399" t="s">
        <v>35</v>
      </c>
      <c r="P891" s="399" t="s">
        <v>35</v>
      </c>
      <c r="Q891" s="399" t="s">
        <v>195</v>
      </c>
      <c r="R891" s="399" t="s">
        <v>195</v>
      </c>
      <c r="S891" s="399" t="s">
        <v>2365</v>
      </c>
      <c r="T891" s="399" t="s">
        <v>2364</v>
      </c>
      <c r="U891" s="941">
        <v>3</v>
      </c>
      <c r="V891" s="941">
        <v>17</v>
      </c>
      <c r="W891" s="941">
        <v>0</v>
      </c>
      <c r="X891" s="941">
        <v>0</v>
      </c>
      <c r="Y891" s="941">
        <v>5</v>
      </c>
      <c r="Z891" s="941">
        <v>5</v>
      </c>
      <c r="AA891" s="942">
        <v>2</v>
      </c>
      <c r="AB891" s="942">
        <v>14</v>
      </c>
      <c r="AC891" s="942">
        <v>0</v>
      </c>
      <c r="AD891" s="942">
        <v>0</v>
      </c>
      <c r="AE891" s="942">
        <v>5</v>
      </c>
      <c r="AF891" s="942">
        <v>24</v>
      </c>
      <c r="AG891" s="943">
        <f>comparaison_samebasis_villages[[#This Row],[previous idp_ind]]-comparaison_samebasis_villages[[#This Row],[actual idp_ind]]</f>
        <v>-3</v>
      </c>
      <c r="AH891" s="943">
        <f>comparaison_samebasis_villages[[#This Row],[previous ref_ind]]-comparaison_samebasis_villages[[#This Row],[actual ref_ind]]</f>
        <v>0</v>
      </c>
      <c r="AI891" s="943">
        <f>comparaison_samebasis_villages[[#This Row],[previous ret_ind]]-comparaison_samebasis_villages[[#This Row],[actual ret_ind]]</f>
        <v>19</v>
      </c>
    </row>
    <row r="892" spans="15:35" ht="15.75" customHeight="1" x14ac:dyDescent="0.3">
      <c r="O892" s="399" t="s">
        <v>35</v>
      </c>
      <c r="P892" s="399" t="s">
        <v>35</v>
      </c>
      <c r="Q892" s="399" t="s">
        <v>195</v>
      </c>
      <c r="R892" s="399" t="s">
        <v>195</v>
      </c>
      <c r="S892" s="399" t="s">
        <v>1750</v>
      </c>
      <c r="T892" s="399" t="s">
        <v>1749</v>
      </c>
      <c r="U892" s="941">
        <v>46</v>
      </c>
      <c r="V892" s="941">
        <v>342</v>
      </c>
      <c r="W892" s="941">
        <v>0</v>
      </c>
      <c r="X892" s="941">
        <v>0</v>
      </c>
      <c r="Y892" s="941">
        <v>6</v>
      </c>
      <c r="Z892" s="941">
        <v>6</v>
      </c>
      <c r="AA892" s="942">
        <v>44</v>
      </c>
      <c r="AB892" s="942">
        <v>330</v>
      </c>
      <c r="AC892" s="942">
        <v>0</v>
      </c>
      <c r="AD892" s="942">
        <v>0</v>
      </c>
      <c r="AE892" s="942">
        <v>8</v>
      </c>
      <c r="AF892" s="942">
        <v>37</v>
      </c>
      <c r="AG892" s="943">
        <f>comparaison_samebasis_villages[[#This Row],[previous idp_ind]]-comparaison_samebasis_villages[[#This Row],[actual idp_ind]]</f>
        <v>-12</v>
      </c>
      <c r="AH892" s="943">
        <f>comparaison_samebasis_villages[[#This Row],[previous ref_ind]]-comparaison_samebasis_villages[[#This Row],[actual ref_ind]]</f>
        <v>0</v>
      </c>
      <c r="AI892" s="943">
        <f>comparaison_samebasis_villages[[#This Row],[previous ret_ind]]-comparaison_samebasis_villages[[#This Row],[actual ret_ind]]</f>
        <v>31</v>
      </c>
    </row>
    <row r="893" spans="15:35" ht="15.75" customHeight="1" x14ac:dyDescent="0.3">
      <c r="O893" s="399" t="s">
        <v>35</v>
      </c>
      <c r="P893" s="399" t="s">
        <v>35</v>
      </c>
      <c r="Q893" s="399" t="s">
        <v>195</v>
      </c>
      <c r="R893" s="399" t="s">
        <v>195</v>
      </c>
      <c r="S893" s="399" t="s">
        <v>2141</v>
      </c>
      <c r="T893" s="399" t="s">
        <v>2140</v>
      </c>
      <c r="U893" s="941">
        <v>67</v>
      </c>
      <c r="V893" s="941">
        <v>318</v>
      </c>
      <c r="W893" s="941">
        <v>24</v>
      </c>
      <c r="X893" s="941">
        <v>124</v>
      </c>
      <c r="Y893" s="941">
        <v>24</v>
      </c>
      <c r="Z893" s="941">
        <v>24</v>
      </c>
      <c r="AA893" s="942">
        <v>65</v>
      </c>
      <c r="AB893" s="942">
        <v>314</v>
      </c>
      <c r="AC893" s="942">
        <v>0</v>
      </c>
      <c r="AD893" s="942">
        <v>0</v>
      </c>
      <c r="AE893" s="942">
        <v>24</v>
      </c>
      <c r="AF893" s="942">
        <v>124</v>
      </c>
      <c r="AG893" s="943">
        <f>comparaison_samebasis_villages[[#This Row],[previous idp_ind]]-comparaison_samebasis_villages[[#This Row],[actual idp_ind]]</f>
        <v>-4</v>
      </c>
      <c r="AH893" s="943">
        <f>comparaison_samebasis_villages[[#This Row],[previous ref_ind]]-comparaison_samebasis_villages[[#This Row],[actual ref_ind]]</f>
        <v>-124</v>
      </c>
      <c r="AI893" s="943">
        <f>comparaison_samebasis_villages[[#This Row],[previous ret_ind]]-comparaison_samebasis_villages[[#This Row],[actual ret_ind]]</f>
        <v>100</v>
      </c>
    </row>
    <row r="894" spans="15:35" ht="15.75" customHeight="1" x14ac:dyDescent="0.3">
      <c r="O894" s="399" t="s">
        <v>35</v>
      </c>
      <c r="P894" s="399" t="s">
        <v>35</v>
      </c>
      <c r="Q894" s="399" t="s">
        <v>195</v>
      </c>
      <c r="R894" s="399" t="s">
        <v>195</v>
      </c>
      <c r="S894" s="399" t="s">
        <v>960</v>
      </c>
      <c r="T894" s="399" t="s">
        <v>959</v>
      </c>
      <c r="U894" s="941">
        <v>30</v>
      </c>
      <c r="V894" s="941">
        <v>136</v>
      </c>
      <c r="W894" s="941">
        <v>0</v>
      </c>
      <c r="X894" s="941">
        <v>0</v>
      </c>
      <c r="Y894" s="941">
        <v>0</v>
      </c>
      <c r="Z894" s="941">
        <v>0</v>
      </c>
      <c r="AA894" s="942">
        <v>8</v>
      </c>
      <c r="AB894" s="942">
        <v>30</v>
      </c>
      <c r="AC894" s="942">
        <v>7</v>
      </c>
      <c r="AD894" s="942">
        <v>30</v>
      </c>
      <c r="AE894" s="942">
        <v>5</v>
      </c>
      <c r="AF894" s="942">
        <v>40</v>
      </c>
      <c r="AG894" s="943">
        <f>comparaison_samebasis_villages[[#This Row],[previous idp_ind]]-comparaison_samebasis_villages[[#This Row],[actual idp_ind]]</f>
        <v>-106</v>
      </c>
      <c r="AH894" s="943">
        <f>comparaison_samebasis_villages[[#This Row],[previous ref_ind]]-comparaison_samebasis_villages[[#This Row],[actual ref_ind]]</f>
        <v>30</v>
      </c>
      <c r="AI894" s="943">
        <f>comparaison_samebasis_villages[[#This Row],[previous ret_ind]]-comparaison_samebasis_villages[[#This Row],[actual ret_ind]]</f>
        <v>40</v>
      </c>
    </row>
    <row r="895" spans="15:35" ht="15.75" customHeight="1" x14ac:dyDescent="0.3">
      <c r="O895" s="399" t="s">
        <v>35</v>
      </c>
      <c r="P895" s="399" t="s">
        <v>35</v>
      </c>
      <c r="Q895" s="399" t="s">
        <v>195</v>
      </c>
      <c r="R895" s="399" t="s">
        <v>195</v>
      </c>
      <c r="S895" s="399" t="s">
        <v>1038</v>
      </c>
      <c r="T895" s="399" t="s">
        <v>1037</v>
      </c>
      <c r="U895" s="941">
        <v>200</v>
      </c>
      <c r="V895" s="941">
        <v>1400</v>
      </c>
      <c r="W895" s="941">
        <v>150</v>
      </c>
      <c r="X895" s="941">
        <v>485</v>
      </c>
      <c r="Y895" s="941">
        <v>0</v>
      </c>
      <c r="Z895" s="941">
        <v>0</v>
      </c>
      <c r="AA895" s="942">
        <v>213</v>
      </c>
      <c r="AB895" s="942">
        <v>1050</v>
      </c>
      <c r="AC895" s="942">
        <v>119</v>
      </c>
      <c r="AD895" s="942">
        <v>670</v>
      </c>
      <c r="AE895" s="942">
        <v>0</v>
      </c>
      <c r="AF895" s="942">
        <v>0</v>
      </c>
      <c r="AG895" s="943">
        <f>comparaison_samebasis_villages[[#This Row],[previous idp_ind]]-comparaison_samebasis_villages[[#This Row],[actual idp_ind]]</f>
        <v>-350</v>
      </c>
      <c r="AH895" s="943">
        <f>comparaison_samebasis_villages[[#This Row],[previous ref_ind]]-comparaison_samebasis_villages[[#This Row],[actual ref_ind]]</f>
        <v>185</v>
      </c>
      <c r="AI895" s="943">
        <f>comparaison_samebasis_villages[[#This Row],[previous ret_ind]]-comparaison_samebasis_villages[[#This Row],[actual ret_ind]]</f>
        <v>0</v>
      </c>
    </row>
    <row r="896" spans="15:35" ht="15.75" customHeight="1" x14ac:dyDescent="0.3">
      <c r="O896" s="399" t="s">
        <v>35</v>
      </c>
      <c r="P896" s="399" t="s">
        <v>35</v>
      </c>
      <c r="Q896" s="399" t="s">
        <v>195</v>
      </c>
      <c r="R896" s="399" t="s">
        <v>195</v>
      </c>
      <c r="S896" s="399" t="s">
        <v>1748</v>
      </c>
      <c r="T896" s="399" t="s">
        <v>1747</v>
      </c>
      <c r="U896" s="941">
        <v>4</v>
      </c>
      <c r="V896" s="941">
        <v>11</v>
      </c>
      <c r="W896" s="941">
        <v>0</v>
      </c>
      <c r="X896" s="941">
        <v>0</v>
      </c>
      <c r="Y896" s="941">
        <v>8</v>
      </c>
      <c r="Z896" s="941">
        <v>8</v>
      </c>
      <c r="AA896" s="942">
        <v>3</v>
      </c>
      <c r="AB896" s="942">
        <v>9</v>
      </c>
      <c r="AC896" s="942">
        <v>0</v>
      </c>
      <c r="AD896" s="942">
        <v>0</v>
      </c>
      <c r="AE896" s="942">
        <v>8</v>
      </c>
      <c r="AF896" s="942">
        <v>50</v>
      </c>
      <c r="AG896" s="943">
        <f>comparaison_samebasis_villages[[#This Row],[previous idp_ind]]-comparaison_samebasis_villages[[#This Row],[actual idp_ind]]</f>
        <v>-2</v>
      </c>
      <c r="AH896" s="943">
        <f>comparaison_samebasis_villages[[#This Row],[previous ref_ind]]-comparaison_samebasis_villages[[#This Row],[actual ref_ind]]</f>
        <v>0</v>
      </c>
      <c r="AI896" s="943">
        <f>comparaison_samebasis_villages[[#This Row],[previous ret_ind]]-comparaison_samebasis_villages[[#This Row],[actual ret_ind]]</f>
        <v>42</v>
      </c>
    </row>
    <row r="897" spans="15:35" ht="15.75" customHeight="1" x14ac:dyDescent="0.3">
      <c r="O897" s="399" t="s">
        <v>35</v>
      </c>
      <c r="P897" s="399" t="s">
        <v>35</v>
      </c>
      <c r="Q897" s="399" t="s">
        <v>195</v>
      </c>
      <c r="R897" s="399" t="s">
        <v>195</v>
      </c>
      <c r="S897" s="399" t="s">
        <v>2004</v>
      </c>
      <c r="T897" s="399" t="s">
        <v>2932</v>
      </c>
      <c r="U897" s="941">
        <v>284</v>
      </c>
      <c r="V897" s="941">
        <v>1465</v>
      </c>
      <c r="W897" s="941">
        <v>36</v>
      </c>
      <c r="X897" s="941">
        <v>195</v>
      </c>
      <c r="Y897" s="941">
        <v>0</v>
      </c>
      <c r="Z897" s="941">
        <v>0</v>
      </c>
      <c r="AA897" s="942">
        <v>254</v>
      </c>
      <c r="AB897" s="942">
        <v>1290</v>
      </c>
      <c r="AC897" s="942">
        <v>36</v>
      </c>
      <c r="AD897" s="942">
        <v>195</v>
      </c>
      <c r="AE897" s="942">
        <v>0</v>
      </c>
      <c r="AF897" s="942">
        <v>0</v>
      </c>
      <c r="AG897" s="943">
        <f>comparaison_samebasis_villages[[#This Row],[previous idp_ind]]-comparaison_samebasis_villages[[#This Row],[actual idp_ind]]</f>
        <v>-175</v>
      </c>
      <c r="AH897" s="943">
        <f>comparaison_samebasis_villages[[#This Row],[previous ref_ind]]-comparaison_samebasis_villages[[#This Row],[actual ref_ind]]</f>
        <v>0</v>
      </c>
      <c r="AI897" s="943">
        <f>comparaison_samebasis_villages[[#This Row],[previous ret_ind]]-comparaison_samebasis_villages[[#This Row],[actual ret_ind]]</f>
        <v>0</v>
      </c>
    </row>
    <row r="898" spans="15:35" ht="15.75" customHeight="1" x14ac:dyDescent="0.3">
      <c r="O898" s="399" t="s">
        <v>35</v>
      </c>
      <c r="P898" s="399" t="s">
        <v>35</v>
      </c>
      <c r="Q898" s="399" t="s">
        <v>195</v>
      </c>
      <c r="R898" s="399" t="s">
        <v>195</v>
      </c>
      <c r="S898" s="399" t="s">
        <v>2147</v>
      </c>
      <c r="T898" s="399" t="s">
        <v>2003</v>
      </c>
      <c r="U898" s="941">
        <v>20</v>
      </c>
      <c r="V898" s="941">
        <v>119</v>
      </c>
      <c r="W898" s="941">
        <v>0</v>
      </c>
      <c r="X898" s="941">
        <v>0</v>
      </c>
      <c r="Y898" s="941">
        <v>0</v>
      </c>
      <c r="Z898" s="941">
        <v>0</v>
      </c>
      <c r="AA898" s="942">
        <v>16</v>
      </c>
      <c r="AB898" s="942">
        <v>112</v>
      </c>
      <c r="AC898" s="942">
        <v>0</v>
      </c>
      <c r="AD898" s="942">
        <v>0</v>
      </c>
      <c r="AE898" s="942">
        <v>0</v>
      </c>
      <c r="AF898" s="942">
        <v>0</v>
      </c>
      <c r="AG898" s="943">
        <f>comparaison_samebasis_villages[[#This Row],[previous idp_ind]]-comparaison_samebasis_villages[[#This Row],[actual idp_ind]]</f>
        <v>-7</v>
      </c>
      <c r="AH898" s="943">
        <f>comparaison_samebasis_villages[[#This Row],[previous ref_ind]]-comparaison_samebasis_villages[[#This Row],[actual ref_ind]]</f>
        <v>0</v>
      </c>
      <c r="AI898" s="943">
        <f>comparaison_samebasis_villages[[#This Row],[previous ret_ind]]-comparaison_samebasis_villages[[#This Row],[actual ret_ind]]</f>
        <v>0</v>
      </c>
    </row>
    <row r="899" spans="15:35" ht="15.75" customHeight="1" x14ac:dyDescent="0.3">
      <c r="O899" s="399" t="s">
        <v>35</v>
      </c>
      <c r="P899" s="399" t="s">
        <v>35</v>
      </c>
      <c r="Q899" s="399" t="s">
        <v>195</v>
      </c>
      <c r="R899" s="399" t="s">
        <v>195</v>
      </c>
      <c r="S899" s="399" t="s">
        <v>1036</v>
      </c>
      <c r="T899" s="399" t="s">
        <v>2146</v>
      </c>
      <c r="U899" s="941">
        <v>195</v>
      </c>
      <c r="V899" s="941">
        <v>806</v>
      </c>
      <c r="W899" s="941">
        <v>0</v>
      </c>
      <c r="X899" s="941">
        <v>0</v>
      </c>
      <c r="Y899" s="941">
        <v>0</v>
      </c>
      <c r="Z899" s="941">
        <v>0</v>
      </c>
      <c r="AA899" s="942">
        <v>81</v>
      </c>
      <c r="AB899" s="942">
        <v>285</v>
      </c>
      <c r="AC899" s="942">
        <v>10</v>
      </c>
      <c r="AD899" s="942">
        <v>60</v>
      </c>
      <c r="AE899" s="942">
        <v>15</v>
      </c>
      <c r="AF899" s="942">
        <v>105</v>
      </c>
      <c r="AG899" s="943">
        <f>comparaison_samebasis_villages[[#This Row],[previous idp_ind]]-comparaison_samebasis_villages[[#This Row],[actual idp_ind]]</f>
        <v>-521</v>
      </c>
      <c r="AH899" s="943">
        <f>comparaison_samebasis_villages[[#This Row],[previous ref_ind]]-comparaison_samebasis_villages[[#This Row],[actual ref_ind]]</f>
        <v>60</v>
      </c>
      <c r="AI899" s="943">
        <f>comparaison_samebasis_villages[[#This Row],[previous ret_ind]]-comparaison_samebasis_villages[[#This Row],[actual ret_ind]]</f>
        <v>105</v>
      </c>
    </row>
    <row r="900" spans="15:35" ht="15.75" customHeight="1" x14ac:dyDescent="0.3">
      <c r="O900" s="399" t="s">
        <v>35</v>
      </c>
      <c r="P900" s="399" t="s">
        <v>35</v>
      </c>
      <c r="Q900" s="399" t="s">
        <v>195</v>
      </c>
      <c r="R900" s="399" t="s">
        <v>195</v>
      </c>
      <c r="S900" s="399" t="s">
        <v>2066</v>
      </c>
      <c r="T900" s="399" t="s">
        <v>2950</v>
      </c>
      <c r="U900" s="941">
        <v>81</v>
      </c>
      <c r="V900" s="941">
        <v>377</v>
      </c>
      <c r="W900" s="941">
        <v>0</v>
      </c>
      <c r="X900" s="941">
        <v>0</v>
      </c>
      <c r="Y900" s="941">
        <v>102</v>
      </c>
      <c r="Z900" s="941">
        <v>102</v>
      </c>
      <c r="AA900" s="942">
        <v>50</v>
      </c>
      <c r="AB900" s="942">
        <v>332</v>
      </c>
      <c r="AC900" s="942">
        <v>0</v>
      </c>
      <c r="AD900" s="942">
        <v>0</v>
      </c>
      <c r="AE900" s="942">
        <v>102</v>
      </c>
      <c r="AF900" s="942">
        <v>156</v>
      </c>
      <c r="AG900" s="943">
        <f>comparaison_samebasis_villages[[#This Row],[previous idp_ind]]-comparaison_samebasis_villages[[#This Row],[actual idp_ind]]</f>
        <v>-45</v>
      </c>
      <c r="AH900" s="943">
        <f>comparaison_samebasis_villages[[#This Row],[previous ref_ind]]-comparaison_samebasis_villages[[#This Row],[actual ref_ind]]</f>
        <v>0</v>
      </c>
      <c r="AI900" s="943">
        <f>comparaison_samebasis_villages[[#This Row],[previous ret_ind]]-comparaison_samebasis_villages[[#This Row],[actual ret_ind]]</f>
        <v>54</v>
      </c>
    </row>
    <row r="901" spans="15:35" ht="15.75" customHeight="1" x14ac:dyDescent="0.3">
      <c r="O901" s="399" t="s">
        <v>35</v>
      </c>
      <c r="P901" s="399" t="s">
        <v>35</v>
      </c>
      <c r="Q901" s="399" t="s">
        <v>195</v>
      </c>
      <c r="R901" s="399" t="s">
        <v>195</v>
      </c>
      <c r="S901" s="399" t="s">
        <v>735</v>
      </c>
      <c r="T901" s="399" t="s">
        <v>1035</v>
      </c>
      <c r="U901" s="941">
        <v>13</v>
      </c>
      <c r="V901" s="941">
        <v>77</v>
      </c>
      <c r="W901" s="941">
        <v>0</v>
      </c>
      <c r="X901" s="941">
        <v>0</v>
      </c>
      <c r="Y901" s="941">
        <v>0</v>
      </c>
      <c r="Z901" s="941">
        <v>0</v>
      </c>
      <c r="AA901" s="942">
        <v>34</v>
      </c>
      <c r="AB901" s="942">
        <v>253</v>
      </c>
      <c r="AC901" s="942">
        <v>0</v>
      </c>
      <c r="AD901" s="942">
        <v>0</v>
      </c>
      <c r="AE901" s="942">
        <v>5</v>
      </c>
      <c r="AF901" s="942">
        <v>25</v>
      </c>
      <c r="AG901" s="943">
        <f>comparaison_samebasis_villages[[#This Row],[previous idp_ind]]-comparaison_samebasis_villages[[#This Row],[actual idp_ind]]</f>
        <v>176</v>
      </c>
      <c r="AH901" s="943">
        <f>comparaison_samebasis_villages[[#This Row],[previous ref_ind]]-comparaison_samebasis_villages[[#This Row],[actual ref_ind]]</f>
        <v>0</v>
      </c>
      <c r="AI901" s="943">
        <f>comparaison_samebasis_villages[[#This Row],[previous ret_ind]]-comparaison_samebasis_villages[[#This Row],[actual ret_ind]]</f>
        <v>25</v>
      </c>
    </row>
    <row r="902" spans="15:35" ht="15.75" customHeight="1" x14ac:dyDescent="0.3">
      <c r="O902" s="399" t="s">
        <v>35</v>
      </c>
      <c r="P902" s="399" t="s">
        <v>35</v>
      </c>
      <c r="Q902" s="399" t="s">
        <v>195</v>
      </c>
      <c r="R902" s="399" t="s">
        <v>195</v>
      </c>
      <c r="S902" s="399" t="s">
        <v>2641</v>
      </c>
      <c r="T902" s="399" t="s">
        <v>2065</v>
      </c>
      <c r="U902" s="941">
        <v>25</v>
      </c>
      <c r="V902" s="941">
        <v>152</v>
      </c>
      <c r="W902" s="941">
        <v>0</v>
      </c>
      <c r="X902" s="941">
        <v>0</v>
      </c>
      <c r="Y902" s="941">
        <v>0</v>
      </c>
      <c r="Z902" s="941">
        <v>0</v>
      </c>
      <c r="AA902" s="942">
        <v>25</v>
      </c>
      <c r="AB902" s="942">
        <v>152</v>
      </c>
      <c r="AC902" s="942">
        <v>0</v>
      </c>
      <c r="AD902" s="942">
        <v>0</v>
      </c>
      <c r="AE902" s="942">
        <v>0</v>
      </c>
      <c r="AF902" s="942">
        <v>0</v>
      </c>
      <c r="AG902" s="943">
        <f>comparaison_samebasis_villages[[#This Row],[previous idp_ind]]-comparaison_samebasis_villages[[#This Row],[actual idp_ind]]</f>
        <v>0</v>
      </c>
      <c r="AH902" s="943">
        <f>comparaison_samebasis_villages[[#This Row],[previous ref_ind]]-comparaison_samebasis_villages[[#This Row],[actual ref_ind]]</f>
        <v>0</v>
      </c>
      <c r="AI902" s="943">
        <f>comparaison_samebasis_villages[[#This Row],[previous ret_ind]]-comparaison_samebasis_villages[[#This Row],[actual ret_ind]]</f>
        <v>0</v>
      </c>
    </row>
    <row r="903" spans="15:35" ht="15.75" customHeight="1" x14ac:dyDescent="0.3">
      <c r="O903" s="399" t="s">
        <v>35</v>
      </c>
      <c r="P903" s="399" t="s">
        <v>35</v>
      </c>
      <c r="Q903" s="399" t="s">
        <v>195</v>
      </c>
      <c r="R903" s="399" t="s">
        <v>195</v>
      </c>
      <c r="S903" s="399" t="s">
        <v>2643</v>
      </c>
      <c r="T903" s="399" t="s">
        <v>2973</v>
      </c>
      <c r="U903" s="941">
        <v>25</v>
      </c>
      <c r="V903" s="941">
        <v>152</v>
      </c>
      <c r="W903" s="941">
        <v>0</v>
      </c>
      <c r="X903" s="941">
        <v>0</v>
      </c>
      <c r="Y903" s="941">
        <v>0</v>
      </c>
      <c r="Z903" s="941">
        <v>0</v>
      </c>
      <c r="AA903" s="942">
        <v>25</v>
      </c>
      <c r="AB903" s="942">
        <v>152</v>
      </c>
      <c r="AC903" s="942">
        <v>0</v>
      </c>
      <c r="AD903" s="942">
        <v>0</v>
      </c>
      <c r="AE903" s="942">
        <v>0</v>
      </c>
      <c r="AF903" s="942">
        <v>0</v>
      </c>
      <c r="AG903" s="943">
        <f>comparaison_samebasis_villages[[#This Row],[previous idp_ind]]-comparaison_samebasis_villages[[#This Row],[actual idp_ind]]</f>
        <v>0</v>
      </c>
      <c r="AH903" s="943">
        <f>comparaison_samebasis_villages[[#This Row],[previous ref_ind]]-comparaison_samebasis_villages[[#This Row],[actual ref_ind]]</f>
        <v>0</v>
      </c>
      <c r="AI903" s="943">
        <f>comparaison_samebasis_villages[[#This Row],[previous ret_ind]]-comparaison_samebasis_villages[[#This Row],[actual ret_ind]]</f>
        <v>0</v>
      </c>
    </row>
    <row r="904" spans="15:35" ht="15.75" customHeight="1" x14ac:dyDescent="0.3">
      <c r="O904" s="399" t="s">
        <v>35</v>
      </c>
      <c r="P904" s="399" t="s">
        <v>35</v>
      </c>
      <c r="Q904" s="399" t="s">
        <v>195</v>
      </c>
      <c r="R904" s="399" t="s">
        <v>195</v>
      </c>
      <c r="S904" s="399" t="s">
        <v>1907</v>
      </c>
      <c r="T904" s="399" t="s">
        <v>734</v>
      </c>
      <c r="U904" s="941">
        <v>152</v>
      </c>
      <c r="V904" s="941">
        <v>600</v>
      </c>
      <c r="W904" s="941">
        <v>0</v>
      </c>
      <c r="X904" s="941">
        <v>0</v>
      </c>
      <c r="Y904" s="941">
        <v>0</v>
      </c>
      <c r="Z904" s="941">
        <v>0</v>
      </c>
      <c r="AA904" s="942">
        <v>92</v>
      </c>
      <c r="AB904" s="942">
        <v>381</v>
      </c>
      <c r="AC904" s="942">
        <v>0</v>
      </c>
      <c r="AD904" s="942">
        <v>0</v>
      </c>
      <c r="AE904" s="942">
        <v>0</v>
      </c>
      <c r="AF904" s="942">
        <v>0</v>
      </c>
      <c r="AG904" s="943">
        <f>comparaison_samebasis_villages[[#This Row],[previous idp_ind]]-comparaison_samebasis_villages[[#This Row],[actual idp_ind]]</f>
        <v>-219</v>
      </c>
      <c r="AH904" s="943">
        <f>comparaison_samebasis_villages[[#This Row],[previous ref_ind]]-comparaison_samebasis_villages[[#This Row],[actual ref_ind]]</f>
        <v>0</v>
      </c>
      <c r="AI904" s="943">
        <f>comparaison_samebasis_villages[[#This Row],[previous ret_ind]]-comparaison_samebasis_villages[[#This Row],[actual ret_ind]]</f>
        <v>0</v>
      </c>
    </row>
    <row r="905" spans="15:35" ht="15.75" customHeight="1" x14ac:dyDescent="0.3">
      <c r="O905" s="399" t="s">
        <v>35</v>
      </c>
      <c r="P905" s="399" t="s">
        <v>35</v>
      </c>
      <c r="Q905" s="399" t="s">
        <v>195</v>
      </c>
      <c r="R905" s="399" t="s">
        <v>195</v>
      </c>
      <c r="S905" s="399" t="s">
        <v>2115</v>
      </c>
      <c r="T905" s="399" t="s">
        <v>2640</v>
      </c>
      <c r="U905" s="941">
        <v>0</v>
      </c>
      <c r="V905" s="941">
        <v>0</v>
      </c>
      <c r="W905" s="941">
        <v>0</v>
      </c>
      <c r="X905" s="941">
        <v>0</v>
      </c>
      <c r="Y905" s="941">
        <v>0</v>
      </c>
      <c r="Z905" s="941">
        <v>0</v>
      </c>
      <c r="AA905" s="942">
        <v>80</v>
      </c>
      <c r="AB905" s="942">
        <v>248</v>
      </c>
      <c r="AC905" s="942">
        <v>0</v>
      </c>
      <c r="AD905" s="942">
        <v>0</v>
      </c>
      <c r="AE905" s="942">
        <v>95</v>
      </c>
      <c r="AF905" s="942">
        <v>704</v>
      </c>
      <c r="AG905" s="943">
        <f>comparaison_samebasis_villages[[#This Row],[previous idp_ind]]-comparaison_samebasis_villages[[#This Row],[actual idp_ind]]</f>
        <v>248</v>
      </c>
      <c r="AH905" s="943">
        <f>comparaison_samebasis_villages[[#This Row],[previous ref_ind]]-comparaison_samebasis_villages[[#This Row],[actual ref_ind]]</f>
        <v>0</v>
      </c>
      <c r="AI905" s="943">
        <f>comparaison_samebasis_villages[[#This Row],[previous ret_ind]]-comparaison_samebasis_villages[[#This Row],[actual ret_ind]]</f>
        <v>704</v>
      </c>
    </row>
    <row r="906" spans="15:35" ht="15.75" customHeight="1" x14ac:dyDescent="0.3">
      <c r="O906" s="399" t="s">
        <v>35</v>
      </c>
      <c r="P906" s="399" t="s">
        <v>35</v>
      </c>
      <c r="Q906" s="399" t="s">
        <v>195</v>
      </c>
      <c r="R906" s="399" t="s">
        <v>195</v>
      </c>
      <c r="S906" s="399" t="s">
        <v>793</v>
      </c>
      <c r="T906" s="399" t="s">
        <v>2642</v>
      </c>
      <c r="U906" s="941">
        <v>39</v>
      </c>
      <c r="V906" s="941">
        <v>160</v>
      </c>
      <c r="W906" s="941">
        <v>0</v>
      </c>
      <c r="X906" s="941">
        <v>0</v>
      </c>
      <c r="Y906" s="941">
        <v>0</v>
      </c>
      <c r="Z906" s="941">
        <v>0</v>
      </c>
      <c r="AA906" s="942">
        <v>45</v>
      </c>
      <c r="AB906" s="942">
        <v>262</v>
      </c>
      <c r="AC906" s="942">
        <v>0</v>
      </c>
      <c r="AD906" s="942">
        <v>0</v>
      </c>
      <c r="AE906" s="942">
        <v>20</v>
      </c>
      <c r="AF906" s="942">
        <v>80</v>
      </c>
      <c r="AG906" s="943">
        <f>comparaison_samebasis_villages[[#This Row],[previous idp_ind]]-comparaison_samebasis_villages[[#This Row],[actual idp_ind]]</f>
        <v>102</v>
      </c>
      <c r="AH906" s="943">
        <f>comparaison_samebasis_villages[[#This Row],[previous ref_ind]]-comparaison_samebasis_villages[[#This Row],[actual ref_ind]]</f>
        <v>0</v>
      </c>
      <c r="AI906" s="943">
        <f>comparaison_samebasis_villages[[#This Row],[previous ret_ind]]-comparaison_samebasis_villages[[#This Row],[actual ret_ind]]</f>
        <v>80</v>
      </c>
    </row>
    <row r="907" spans="15:35" ht="15.75" customHeight="1" x14ac:dyDescent="0.3">
      <c r="O907" s="399" t="s">
        <v>35</v>
      </c>
      <c r="P907" s="399" t="s">
        <v>35</v>
      </c>
      <c r="Q907" s="399" t="s">
        <v>195</v>
      </c>
      <c r="R907" s="399" t="s">
        <v>195</v>
      </c>
      <c r="S907" s="399" t="s">
        <v>1839</v>
      </c>
      <c r="T907" s="399" t="s">
        <v>1906</v>
      </c>
      <c r="U907" s="941">
        <v>47</v>
      </c>
      <c r="V907" s="941">
        <v>277</v>
      </c>
      <c r="W907" s="941">
        <v>23</v>
      </c>
      <c r="X907" s="941">
        <v>107</v>
      </c>
      <c r="Y907" s="941">
        <v>3</v>
      </c>
      <c r="Z907" s="941">
        <v>3</v>
      </c>
      <c r="AA907" s="942">
        <v>47</v>
      </c>
      <c r="AB907" s="942">
        <v>272</v>
      </c>
      <c r="AC907" s="942">
        <v>0</v>
      </c>
      <c r="AD907" s="942">
        <v>0</v>
      </c>
      <c r="AE907" s="942">
        <v>23</v>
      </c>
      <c r="AF907" s="942">
        <v>107</v>
      </c>
      <c r="AG907" s="943">
        <f>comparaison_samebasis_villages[[#This Row],[previous idp_ind]]-comparaison_samebasis_villages[[#This Row],[actual idp_ind]]</f>
        <v>-5</v>
      </c>
      <c r="AH907" s="943">
        <f>comparaison_samebasis_villages[[#This Row],[previous ref_ind]]-comparaison_samebasis_villages[[#This Row],[actual ref_ind]]</f>
        <v>-107</v>
      </c>
      <c r="AI907" s="943">
        <f>comparaison_samebasis_villages[[#This Row],[previous ret_ind]]-comparaison_samebasis_villages[[#This Row],[actual ret_ind]]</f>
        <v>104</v>
      </c>
    </row>
    <row r="908" spans="15:35" ht="15.75" customHeight="1" x14ac:dyDescent="0.3">
      <c r="O908" s="399" t="s">
        <v>35</v>
      </c>
      <c r="P908" s="399" t="s">
        <v>35</v>
      </c>
      <c r="Q908" s="399" t="s">
        <v>195</v>
      </c>
      <c r="R908" s="399" t="s">
        <v>195</v>
      </c>
      <c r="S908" s="399" t="s">
        <v>1777</v>
      </c>
      <c r="T908" s="399" t="s">
        <v>2114</v>
      </c>
      <c r="U908" s="941">
        <v>0</v>
      </c>
      <c r="V908" s="941">
        <v>0</v>
      </c>
      <c r="W908" s="941">
        <v>0</v>
      </c>
      <c r="X908" s="941">
        <v>0</v>
      </c>
      <c r="Y908" s="941">
        <v>0</v>
      </c>
      <c r="Z908" s="941">
        <v>0</v>
      </c>
      <c r="AA908" s="942">
        <v>0</v>
      </c>
      <c r="AB908" s="942">
        <v>0</v>
      </c>
      <c r="AC908" s="942">
        <v>0</v>
      </c>
      <c r="AD908" s="942">
        <v>0</v>
      </c>
      <c r="AE908" s="942">
        <v>0</v>
      </c>
      <c r="AF908" s="942">
        <v>0</v>
      </c>
      <c r="AG908" s="943">
        <f>comparaison_samebasis_villages[[#This Row],[previous idp_ind]]-comparaison_samebasis_villages[[#This Row],[actual idp_ind]]</f>
        <v>0</v>
      </c>
      <c r="AH908" s="943">
        <f>comparaison_samebasis_villages[[#This Row],[previous ref_ind]]-comparaison_samebasis_villages[[#This Row],[actual ref_ind]]</f>
        <v>0</v>
      </c>
      <c r="AI908" s="943">
        <f>comparaison_samebasis_villages[[#This Row],[previous ret_ind]]-comparaison_samebasis_villages[[#This Row],[actual ret_ind]]</f>
        <v>0</v>
      </c>
    </row>
    <row r="909" spans="15:35" ht="15.75" customHeight="1" x14ac:dyDescent="0.3">
      <c r="O909" s="399" t="s">
        <v>35</v>
      </c>
      <c r="P909" s="399" t="s">
        <v>35</v>
      </c>
      <c r="Q909" s="399" t="s">
        <v>195</v>
      </c>
      <c r="R909" s="399" t="s">
        <v>195</v>
      </c>
      <c r="S909" s="399" t="s">
        <v>1428</v>
      </c>
      <c r="T909" s="399" t="s">
        <v>792</v>
      </c>
      <c r="U909" s="941">
        <v>643</v>
      </c>
      <c r="V909" s="941">
        <v>7966</v>
      </c>
      <c r="W909" s="941">
        <v>260</v>
      </c>
      <c r="X909" s="941">
        <v>1296</v>
      </c>
      <c r="Y909" s="941">
        <v>0</v>
      </c>
      <c r="Z909" s="941">
        <v>0</v>
      </c>
      <c r="AA909" s="942">
        <v>829</v>
      </c>
      <c r="AB909" s="942">
        <v>9527</v>
      </c>
      <c r="AC909" s="942">
        <v>260</v>
      </c>
      <c r="AD909" s="942">
        <v>1296</v>
      </c>
      <c r="AE909" s="942">
        <v>0</v>
      </c>
      <c r="AF909" s="942">
        <v>0</v>
      </c>
      <c r="AG909" s="943">
        <f>comparaison_samebasis_villages[[#This Row],[previous idp_ind]]-comparaison_samebasis_villages[[#This Row],[actual idp_ind]]</f>
        <v>1561</v>
      </c>
      <c r="AH909" s="943">
        <f>comparaison_samebasis_villages[[#This Row],[previous ref_ind]]-comparaison_samebasis_villages[[#This Row],[actual ref_ind]]</f>
        <v>0</v>
      </c>
      <c r="AI909" s="943">
        <f>comparaison_samebasis_villages[[#This Row],[previous ret_ind]]-comparaison_samebasis_villages[[#This Row],[actual ret_ind]]</f>
        <v>0</v>
      </c>
    </row>
    <row r="910" spans="15:35" ht="15.75" customHeight="1" x14ac:dyDescent="0.3">
      <c r="O910" s="399" t="s">
        <v>35</v>
      </c>
      <c r="P910" s="399" t="s">
        <v>35</v>
      </c>
      <c r="Q910" s="399" t="s">
        <v>195</v>
      </c>
      <c r="R910" s="399" t="s">
        <v>195</v>
      </c>
      <c r="S910" s="399" t="s">
        <v>1592</v>
      </c>
      <c r="T910" s="399" t="s">
        <v>1838</v>
      </c>
      <c r="U910" s="941">
        <v>40</v>
      </c>
      <c r="V910" s="941">
        <v>219</v>
      </c>
      <c r="W910" s="941">
        <v>0</v>
      </c>
      <c r="X910" s="941">
        <v>0</v>
      </c>
      <c r="Y910" s="941">
        <v>0</v>
      </c>
      <c r="Z910" s="941">
        <v>0</v>
      </c>
      <c r="AA910" s="942">
        <v>38</v>
      </c>
      <c r="AB910" s="942">
        <v>208</v>
      </c>
      <c r="AC910" s="942">
        <v>0</v>
      </c>
      <c r="AD910" s="942">
        <v>0</v>
      </c>
      <c r="AE910" s="942">
        <v>0</v>
      </c>
      <c r="AF910" s="942">
        <v>0</v>
      </c>
      <c r="AG910" s="943">
        <f>comparaison_samebasis_villages[[#This Row],[previous idp_ind]]-comparaison_samebasis_villages[[#This Row],[actual idp_ind]]</f>
        <v>-11</v>
      </c>
      <c r="AH910" s="943">
        <f>comparaison_samebasis_villages[[#This Row],[previous ref_ind]]-comparaison_samebasis_villages[[#This Row],[actual ref_ind]]</f>
        <v>0</v>
      </c>
      <c r="AI910" s="943">
        <f>comparaison_samebasis_villages[[#This Row],[previous ret_ind]]-comparaison_samebasis_villages[[#This Row],[actual ret_ind]]</f>
        <v>0</v>
      </c>
    </row>
    <row r="911" spans="15:35" ht="15.75" customHeight="1" x14ac:dyDescent="0.3">
      <c r="O911" s="399" t="s">
        <v>35</v>
      </c>
      <c r="P911" s="399" t="s">
        <v>35</v>
      </c>
      <c r="Q911" s="399" t="s">
        <v>195</v>
      </c>
      <c r="R911" s="399" t="s">
        <v>195</v>
      </c>
      <c r="S911" s="399" t="s">
        <v>1033</v>
      </c>
      <c r="T911" s="399" t="s">
        <v>1776</v>
      </c>
      <c r="U911" s="941">
        <v>266</v>
      </c>
      <c r="V911" s="941">
        <v>1350</v>
      </c>
      <c r="W911" s="941">
        <v>0</v>
      </c>
      <c r="X911" s="941">
        <v>0</v>
      </c>
      <c r="Y911" s="941">
        <v>0</v>
      </c>
      <c r="Z911" s="941">
        <v>0</v>
      </c>
      <c r="AA911" s="942">
        <v>276</v>
      </c>
      <c r="AB911" s="942">
        <v>1403</v>
      </c>
      <c r="AC911" s="942">
        <v>0</v>
      </c>
      <c r="AD911" s="942">
        <v>0</v>
      </c>
      <c r="AE911" s="942">
        <v>57</v>
      </c>
      <c r="AF911" s="942">
        <v>288</v>
      </c>
      <c r="AG911" s="943">
        <f>comparaison_samebasis_villages[[#This Row],[previous idp_ind]]-comparaison_samebasis_villages[[#This Row],[actual idp_ind]]</f>
        <v>53</v>
      </c>
      <c r="AH911" s="943">
        <f>comparaison_samebasis_villages[[#This Row],[previous ref_ind]]-comparaison_samebasis_villages[[#This Row],[actual ref_ind]]</f>
        <v>0</v>
      </c>
      <c r="AI911" s="943">
        <f>comparaison_samebasis_villages[[#This Row],[previous ret_ind]]-comparaison_samebasis_villages[[#This Row],[actual ret_ind]]</f>
        <v>288</v>
      </c>
    </row>
    <row r="912" spans="15:35" ht="15.75" customHeight="1" x14ac:dyDescent="0.3">
      <c r="O912" s="399" t="s">
        <v>35</v>
      </c>
      <c r="P912" s="399" t="s">
        <v>35</v>
      </c>
      <c r="Q912" s="399" t="s">
        <v>195</v>
      </c>
      <c r="R912" s="399" t="s">
        <v>195</v>
      </c>
      <c r="S912" s="399" t="s">
        <v>1621</v>
      </c>
      <c r="T912" s="399" t="s">
        <v>1427</v>
      </c>
      <c r="U912" s="941">
        <v>30</v>
      </c>
      <c r="V912" s="941">
        <v>202</v>
      </c>
      <c r="W912" s="941">
        <v>0</v>
      </c>
      <c r="X912" s="941">
        <v>0</v>
      </c>
      <c r="Y912" s="941">
        <v>0</v>
      </c>
      <c r="Z912" s="941">
        <v>0</v>
      </c>
      <c r="AA912" s="942">
        <v>30</v>
      </c>
      <c r="AB912" s="942">
        <v>203</v>
      </c>
      <c r="AC912" s="942">
        <v>0</v>
      </c>
      <c r="AD912" s="942">
        <v>0</v>
      </c>
      <c r="AE912" s="942">
        <v>0</v>
      </c>
      <c r="AF912" s="942">
        <v>0</v>
      </c>
      <c r="AG912" s="943">
        <f>comparaison_samebasis_villages[[#This Row],[previous idp_ind]]-comparaison_samebasis_villages[[#This Row],[actual idp_ind]]</f>
        <v>1</v>
      </c>
      <c r="AH912" s="943">
        <f>comparaison_samebasis_villages[[#This Row],[previous ref_ind]]-comparaison_samebasis_villages[[#This Row],[actual ref_ind]]</f>
        <v>0</v>
      </c>
      <c r="AI912" s="943">
        <f>comparaison_samebasis_villages[[#This Row],[previous ret_ind]]-comparaison_samebasis_villages[[#This Row],[actual ret_ind]]</f>
        <v>0</v>
      </c>
    </row>
    <row r="913" spans="15:35" ht="15.75" customHeight="1" x14ac:dyDescent="0.3">
      <c r="O913" s="399" t="s">
        <v>35</v>
      </c>
      <c r="P913" s="399" t="s">
        <v>35</v>
      </c>
      <c r="Q913" s="399" t="s">
        <v>195</v>
      </c>
      <c r="R913" s="399" t="s">
        <v>195</v>
      </c>
      <c r="S913" s="399" t="s">
        <v>2304</v>
      </c>
      <c r="T913" s="399" t="s">
        <v>1591</v>
      </c>
      <c r="U913" s="941">
        <v>32</v>
      </c>
      <c r="V913" s="941">
        <v>273</v>
      </c>
      <c r="W913" s="941">
        <v>0</v>
      </c>
      <c r="X913" s="941">
        <v>0</v>
      </c>
      <c r="Y913" s="941">
        <v>0</v>
      </c>
      <c r="Z913" s="941">
        <v>0</v>
      </c>
      <c r="AA913" s="942">
        <v>7</v>
      </c>
      <c r="AB913" s="942">
        <v>30</v>
      </c>
      <c r="AC913" s="942">
        <v>0</v>
      </c>
      <c r="AD913" s="942">
        <v>0</v>
      </c>
      <c r="AE913" s="942">
        <v>0</v>
      </c>
      <c r="AF913" s="942">
        <v>0</v>
      </c>
      <c r="AG913" s="943">
        <f>comparaison_samebasis_villages[[#This Row],[previous idp_ind]]-comparaison_samebasis_villages[[#This Row],[actual idp_ind]]</f>
        <v>-243</v>
      </c>
      <c r="AH913" s="943">
        <f>comparaison_samebasis_villages[[#This Row],[previous ref_ind]]-comparaison_samebasis_villages[[#This Row],[actual ref_ind]]</f>
        <v>0</v>
      </c>
      <c r="AI913" s="943">
        <f>comparaison_samebasis_villages[[#This Row],[previous ret_ind]]-comparaison_samebasis_villages[[#This Row],[actual ret_ind]]</f>
        <v>0</v>
      </c>
    </row>
    <row r="914" spans="15:35" ht="15.75" customHeight="1" x14ac:dyDescent="0.3">
      <c r="O914" s="399" t="s">
        <v>35</v>
      </c>
      <c r="P914" s="399" t="s">
        <v>35</v>
      </c>
      <c r="Q914" s="399" t="s">
        <v>195</v>
      </c>
      <c r="R914" s="399" t="s">
        <v>195</v>
      </c>
      <c r="S914" s="399" t="s">
        <v>1837</v>
      </c>
      <c r="T914" s="399" t="s">
        <v>1032</v>
      </c>
      <c r="U914" s="941">
        <v>61</v>
      </c>
      <c r="V914" s="941">
        <v>332</v>
      </c>
      <c r="W914" s="941">
        <v>0</v>
      </c>
      <c r="X914" s="941">
        <v>0</v>
      </c>
      <c r="Y914" s="941">
        <v>1</v>
      </c>
      <c r="Z914" s="941">
        <v>1</v>
      </c>
      <c r="AA914" s="942">
        <v>61</v>
      </c>
      <c r="AB914" s="942">
        <v>332</v>
      </c>
      <c r="AC914" s="942">
        <v>0</v>
      </c>
      <c r="AD914" s="942">
        <v>0</v>
      </c>
      <c r="AE914" s="942">
        <v>0</v>
      </c>
      <c r="AF914" s="942">
        <v>0</v>
      </c>
      <c r="AG914" s="943">
        <f>comparaison_samebasis_villages[[#This Row],[previous idp_ind]]-comparaison_samebasis_villages[[#This Row],[actual idp_ind]]</f>
        <v>0</v>
      </c>
      <c r="AH914" s="943">
        <f>comparaison_samebasis_villages[[#This Row],[previous ref_ind]]-comparaison_samebasis_villages[[#This Row],[actual ref_ind]]</f>
        <v>0</v>
      </c>
      <c r="AI914" s="943">
        <f>comparaison_samebasis_villages[[#This Row],[previous ret_ind]]-comparaison_samebasis_villages[[#This Row],[actual ret_ind]]</f>
        <v>-1</v>
      </c>
    </row>
    <row r="915" spans="15:35" ht="15.75" customHeight="1" x14ac:dyDescent="0.3">
      <c r="O915" s="399" t="s">
        <v>35</v>
      </c>
      <c r="P915" s="399" t="s">
        <v>35</v>
      </c>
      <c r="Q915" s="399" t="s">
        <v>195</v>
      </c>
      <c r="R915" s="399" t="s">
        <v>195</v>
      </c>
      <c r="S915" s="399" t="s">
        <v>2096</v>
      </c>
      <c r="T915" s="399" t="s">
        <v>1620</v>
      </c>
      <c r="U915" s="941">
        <v>296</v>
      </c>
      <c r="V915" s="941">
        <v>2009</v>
      </c>
      <c r="W915" s="941">
        <v>86</v>
      </c>
      <c r="X915" s="941">
        <v>564</v>
      </c>
      <c r="Y915" s="941">
        <v>70</v>
      </c>
      <c r="Z915" s="941">
        <v>70</v>
      </c>
      <c r="AA915" s="942">
        <v>271</v>
      </c>
      <c r="AB915" s="942">
        <v>1644</v>
      </c>
      <c r="AC915" s="942">
        <v>86</v>
      </c>
      <c r="AD915" s="942">
        <v>564</v>
      </c>
      <c r="AE915" s="942">
        <v>70</v>
      </c>
      <c r="AF915" s="942">
        <v>356</v>
      </c>
      <c r="AG915" s="943">
        <f>comparaison_samebasis_villages[[#This Row],[previous idp_ind]]-comparaison_samebasis_villages[[#This Row],[actual idp_ind]]</f>
        <v>-365</v>
      </c>
      <c r="AH915" s="943">
        <f>comparaison_samebasis_villages[[#This Row],[previous ref_ind]]-comparaison_samebasis_villages[[#This Row],[actual ref_ind]]</f>
        <v>0</v>
      </c>
      <c r="AI915" s="943">
        <f>comparaison_samebasis_villages[[#This Row],[previous ret_ind]]-comparaison_samebasis_villages[[#This Row],[actual ret_ind]]</f>
        <v>286</v>
      </c>
    </row>
    <row r="916" spans="15:35" ht="15.75" customHeight="1" x14ac:dyDescent="0.3">
      <c r="O916" s="399" t="s">
        <v>35</v>
      </c>
      <c r="P916" s="399" t="s">
        <v>35</v>
      </c>
      <c r="Q916" s="399" t="s">
        <v>195</v>
      </c>
      <c r="R916" s="399" t="s">
        <v>195</v>
      </c>
      <c r="S916" s="399" t="s">
        <v>1768</v>
      </c>
      <c r="T916" s="399" t="s">
        <v>2303</v>
      </c>
      <c r="U916" s="941">
        <v>46</v>
      </c>
      <c r="V916" s="941">
        <v>301</v>
      </c>
      <c r="W916" s="941">
        <v>0</v>
      </c>
      <c r="X916" s="941">
        <v>0</v>
      </c>
      <c r="Y916" s="941">
        <v>0</v>
      </c>
      <c r="Z916" s="941">
        <v>0</v>
      </c>
      <c r="AA916" s="942">
        <v>261</v>
      </c>
      <c r="AB916" s="942">
        <v>1629</v>
      </c>
      <c r="AC916" s="942">
        <v>5</v>
      </c>
      <c r="AD916" s="942">
        <v>10</v>
      </c>
      <c r="AE916" s="942">
        <v>35</v>
      </c>
      <c r="AF916" s="942">
        <v>230</v>
      </c>
      <c r="AG916" s="943">
        <f>comparaison_samebasis_villages[[#This Row],[previous idp_ind]]-comparaison_samebasis_villages[[#This Row],[actual idp_ind]]</f>
        <v>1328</v>
      </c>
      <c r="AH916" s="943">
        <f>comparaison_samebasis_villages[[#This Row],[previous ref_ind]]-comparaison_samebasis_villages[[#This Row],[actual ref_ind]]</f>
        <v>10</v>
      </c>
      <c r="AI916" s="943">
        <f>comparaison_samebasis_villages[[#This Row],[previous ret_ind]]-comparaison_samebasis_villages[[#This Row],[actual ret_ind]]</f>
        <v>230</v>
      </c>
    </row>
    <row r="917" spans="15:35" ht="15.75" customHeight="1" x14ac:dyDescent="0.3">
      <c r="O917" s="399" t="s">
        <v>35</v>
      </c>
      <c r="P917" s="399" t="s">
        <v>35</v>
      </c>
      <c r="Q917" s="399" t="s">
        <v>195</v>
      </c>
      <c r="R917" s="399" t="s">
        <v>195</v>
      </c>
      <c r="S917" s="399" t="s">
        <v>738</v>
      </c>
      <c r="T917" s="399" t="s">
        <v>1836</v>
      </c>
      <c r="U917" s="941">
        <v>23</v>
      </c>
      <c r="V917" s="941">
        <v>145</v>
      </c>
      <c r="W917" s="941">
        <v>0</v>
      </c>
      <c r="X917" s="941">
        <v>0</v>
      </c>
      <c r="Y917" s="941">
        <v>0</v>
      </c>
      <c r="Z917" s="941">
        <v>0</v>
      </c>
      <c r="AA917" s="942">
        <v>11</v>
      </c>
      <c r="AB917" s="942">
        <v>69</v>
      </c>
      <c r="AC917" s="942">
        <v>0</v>
      </c>
      <c r="AD917" s="942">
        <v>0</v>
      </c>
      <c r="AE917" s="942">
        <v>6</v>
      </c>
      <c r="AF917" s="942">
        <v>27</v>
      </c>
      <c r="AG917" s="943">
        <f>comparaison_samebasis_villages[[#This Row],[previous idp_ind]]-comparaison_samebasis_villages[[#This Row],[actual idp_ind]]</f>
        <v>-76</v>
      </c>
      <c r="AH917" s="943">
        <f>comparaison_samebasis_villages[[#This Row],[previous ref_ind]]-comparaison_samebasis_villages[[#This Row],[actual ref_ind]]</f>
        <v>0</v>
      </c>
      <c r="AI917" s="943">
        <f>comparaison_samebasis_villages[[#This Row],[previous ret_ind]]-comparaison_samebasis_villages[[#This Row],[actual ret_ind]]</f>
        <v>27</v>
      </c>
    </row>
    <row r="918" spans="15:35" ht="15.75" customHeight="1" x14ac:dyDescent="0.3">
      <c r="O918" s="399" t="s">
        <v>35</v>
      </c>
      <c r="P918" s="399" t="s">
        <v>35</v>
      </c>
      <c r="Q918" s="399" t="s">
        <v>195</v>
      </c>
      <c r="R918" s="399" t="s">
        <v>195</v>
      </c>
      <c r="S918" s="399" t="s">
        <v>1615</v>
      </c>
      <c r="T918" s="399" t="s">
        <v>2095</v>
      </c>
      <c r="U918" s="941">
        <v>0</v>
      </c>
      <c r="V918" s="941">
        <v>0</v>
      </c>
      <c r="W918" s="941">
        <v>0</v>
      </c>
      <c r="X918" s="941">
        <v>0</v>
      </c>
      <c r="Y918" s="941">
        <v>0</v>
      </c>
      <c r="Z918" s="941">
        <v>0</v>
      </c>
      <c r="AA918" s="942">
        <v>0</v>
      </c>
      <c r="AB918" s="942">
        <v>0</v>
      </c>
      <c r="AC918" s="942">
        <v>0</v>
      </c>
      <c r="AD918" s="942">
        <v>0</v>
      </c>
      <c r="AE918" s="942">
        <v>0</v>
      </c>
      <c r="AF918" s="942">
        <v>0</v>
      </c>
      <c r="AG918" s="943">
        <f>comparaison_samebasis_villages[[#This Row],[previous idp_ind]]-comparaison_samebasis_villages[[#This Row],[actual idp_ind]]</f>
        <v>0</v>
      </c>
      <c r="AH918" s="943">
        <f>comparaison_samebasis_villages[[#This Row],[previous ref_ind]]-comparaison_samebasis_villages[[#This Row],[actual ref_ind]]</f>
        <v>0</v>
      </c>
      <c r="AI918" s="943">
        <f>comparaison_samebasis_villages[[#This Row],[previous ret_ind]]-comparaison_samebasis_villages[[#This Row],[actual ret_ind]]</f>
        <v>0</v>
      </c>
    </row>
    <row r="919" spans="15:35" ht="15.75" customHeight="1" x14ac:dyDescent="0.3">
      <c r="O919" s="399" t="s">
        <v>35</v>
      </c>
      <c r="P919" s="399" t="s">
        <v>35</v>
      </c>
      <c r="Q919" s="399" t="s">
        <v>195</v>
      </c>
      <c r="R919" s="399" t="s">
        <v>195</v>
      </c>
      <c r="S919" s="399" t="s">
        <v>1483</v>
      </c>
      <c r="T919" s="399" t="s">
        <v>1767</v>
      </c>
      <c r="U919" s="941">
        <v>0</v>
      </c>
      <c r="V919" s="941">
        <v>0</v>
      </c>
      <c r="W919" s="941">
        <v>0</v>
      </c>
      <c r="X919" s="941">
        <v>0</v>
      </c>
      <c r="Y919" s="941">
        <v>0</v>
      </c>
      <c r="Z919" s="941">
        <v>0</v>
      </c>
      <c r="AA919" s="942">
        <v>0</v>
      </c>
      <c r="AB919" s="942">
        <v>0</v>
      </c>
      <c r="AC919" s="942">
        <v>0</v>
      </c>
      <c r="AD919" s="942">
        <v>0</v>
      </c>
      <c r="AE919" s="942">
        <v>0</v>
      </c>
      <c r="AF919" s="942">
        <v>0</v>
      </c>
      <c r="AG919" s="943">
        <f>comparaison_samebasis_villages[[#This Row],[previous idp_ind]]-comparaison_samebasis_villages[[#This Row],[actual idp_ind]]</f>
        <v>0</v>
      </c>
      <c r="AH919" s="943">
        <f>comparaison_samebasis_villages[[#This Row],[previous ref_ind]]-comparaison_samebasis_villages[[#This Row],[actual ref_ind]]</f>
        <v>0</v>
      </c>
      <c r="AI919" s="943">
        <f>comparaison_samebasis_villages[[#This Row],[previous ret_ind]]-comparaison_samebasis_villages[[#This Row],[actual ret_ind]]</f>
        <v>0</v>
      </c>
    </row>
    <row r="920" spans="15:35" ht="15.75" customHeight="1" x14ac:dyDescent="0.3">
      <c r="O920" s="399" t="s">
        <v>35</v>
      </c>
      <c r="P920" s="399" t="s">
        <v>35</v>
      </c>
      <c r="Q920" s="399" t="s">
        <v>195</v>
      </c>
      <c r="R920" s="399" t="s">
        <v>195</v>
      </c>
      <c r="S920" s="399" t="s">
        <v>2645</v>
      </c>
      <c r="T920" s="399" t="s">
        <v>2895</v>
      </c>
      <c r="U920" s="941">
        <v>0</v>
      </c>
      <c r="V920" s="941">
        <v>0</v>
      </c>
      <c r="W920" s="941">
        <v>0</v>
      </c>
      <c r="X920" s="941">
        <v>0</v>
      </c>
      <c r="Y920" s="941">
        <v>0</v>
      </c>
      <c r="Z920" s="941">
        <v>0</v>
      </c>
      <c r="AA920" s="942">
        <v>0</v>
      </c>
      <c r="AB920" s="942">
        <v>0</v>
      </c>
      <c r="AC920" s="942">
        <v>0</v>
      </c>
      <c r="AD920" s="942">
        <v>0</v>
      </c>
      <c r="AE920" s="942">
        <v>0</v>
      </c>
      <c r="AF920" s="942">
        <v>0</v>
      </c>
      <c r="AG920" s="943">
        <f>comparaison_samebasis_villages[[#This Row],[previous idp_ind]]-comparaison_samebasis_villages[[#This Row],[actual idp_ind]]</f>
        <v>0</v>
      </c>
      <c r="AH920" s="943">
        <f>comparaison_samebasis_villages[[#This Row],[previous ref_ind]]-comparaison_samebasis_villages[[#This Row],[actual ref_ind]]</f>
        <v>0</v>
      </c>
      <c r="AI920" s="943">
        <f>comparaison_samebasis_villages[[#This Row],[previous ret_ind]]-comparaison_samebasis_villages[[#This Row],[actual ret_ind]]</f>
        <v>0</v>
      </c>
    </row>
    <row r="921" spans="15:35" ht="15.75" customHeight="1" x14ac:dyDescent="0.3">
      <c r="O921" s="399" t="s">
        <v>35</v>
      </c>
      <c r="P921" s="399" t="s">
        <v>35</v>
      </c>
      <c r="Q921" s="399" t="s">
        <v>195</v>
      </c>
      <c r="R921" s="399" t="s">
        <v>195</v>
      </c>
      <c r="S921" s="399" t="s">
        <v>2094</v>
      </c>
      <c r="T921" s="399" t="s">
        <v>2921</v>
      </c>
      <c r="U921" s="941">
        <v>65</v>
      </c>
      <c r="V921" s="941">
        <v>246</v>
      </c>
      <c r="W921" s="941">
        <v>86</v>
      </c>
      <c r="X921" s="941">
        <v>564</v>
      </c>
      <c r="Y921" s="941">
        <v>70</v>
      </c>
      <c r="Z921" s="941">
        <v>70</v>
      </c>
      <c r="AA921" s="942">
        <v>55</v>
      </c>
      <c r="AB921" s="942">
        <v>238</v>
      </c>
      <c r="AC921" s="942">
        <v>24</v>
      </c>
      <c r="AD921" s="942">
        <v>163</v>
      </c>
      <c r="AE921" s="942">
        <v>41</v>
      </c>
      <c r="AF921" s="942">
        <v>293</v>
      </c>
      <c r="AG921" s="943">
        <f>comparaison_samebasis_villages[[#This Row],[previous idp_ind]]-comparaison_samebasis_villages[[#This Row],[actual idp_ind]]</f>
        <v>-8</v>
      </c>
      <c r="AH921" s="943">
        <f>comparaison_samebasis_villages[[#This Row],[previous ref_ind]]-comparaison_samebasis_villages[[#This Row],[actual ref_ind]]</f>
        <v>-401</v>
      </c>
      <c r="AI921" s="943">
        <f>comparaison_samebasis_villages[[#This Row],[previous ret_ind]]-comparaison_samebasis_villages[[#This Row],[actual ret_ind]]</f>
        <v>223</v>
      </c>
    </row>
    <row r="922" spans="15:35" ht="15.75" customHeight="1" x14ac:dyDescent="0.3">
      <c r="O922" s="399" t="s">
        <v>35</v>
      </c>
      <c r="P922" s="399" t="s">
        <v>35</v>
      </c>
      <c r="Q922" s="399" t="s">
        <v>195</v>
      </c>
      <c r="R922" s="399" t="s">
        <v>195</v>
      </c>
      <c r="S922" s="399" t="s">
        <v>1797</v>
      </c>
      <c r="T922" s="399" t="s">
        <v>3023</v>
      </c>
      <c r="U922" s="941">
        <v>153</v>
      </c>
      <c r="V922" s="941">
        <v>623</v>
      </c>
      <c r="W922" s="941">
        <v>1</v>
      </c>
      <c r="X922" s="941">
        <v>8</v>
      </c>
      <c r="Y922" s="941">
        <v>19</v>
      </c>
      <c r="Z922" s="941">
        <v>19</v>
      </c>
      <c r="AA922" s="942">
        <v>93</v>
      </c>
      <c r="AB922" s="942">
        <v>525</v>
      </c>
      <c r="AC922" s="942">
        <v>1</v>
      </c>
      <c r="AD922" s="942">
        <v>8</v>
      </c>
      <c r="AE922" s="942">
        <v>19</v>
      </c>
      <c r="AF922" s="942">
        <v>75</v>
      </c>
      <c r="AG922" s="943">
        <f>comparaison_samebasis_villages[[#This Row],[previous idp_ind]]-comparaison_samebasis_villages[[#This Row],[actual idp_ind]]</f>
        <v>-98</v>
      </c>
      <c r="AH922" s="943">
        <f>comparaison_samebasis_villages[[#This Row],[previous ref_ind]]-comparaison_samebasis_villages[[#This Row],[actual ref_ind]]</f>
        <v>0</v>
      </c>
      <c r="AI922" s="943">
        <f>comparaison_samebasis_villages[[#This Row],[previous ret_ind]]-comparaison_samebasis_villages[[#This Row],[actual ret_ind]]</f>
        <v>56</v>
      </c>
    </row>
    <row r="923" spans="15:35" ht="15.75" customHeight="1" x14ac:dyDescent="0.3">
      <c r="O923" s="399" t="s">
        <v>35</v>
      </c>
      <c r="P923" s="399" t="s">
        <v>35</v>
      </c>
      <c r="Q923" s="399" t="s">
        <v>195</v>
      </c>
      <c r="R923" s="399" t="s">
        <v>195</v>
      </c>
      <c r="S923" s="399" t="s">
        <v>840</v>
      </c>
      <c r="T923" s="399" t="s">
        <v>2946</v>
      </c>
      <c r="U923" s="941">
        <v>66</v>
      </c>
      <c r="V923" s="941">
        <v>469</v>
      </c>
      <c r="W923" s="941">
        <v>0</v>
      </c>
      <c r="X923" s="941">
        <v>0</v>
      </c>
      <c r="Y923" s="941">
        <v>0</v>
      </c>
      <c r="Z923" s="941">
        <v>0</v>
      </c>
      <c r="AA923" s="942">
        <v>0</v>
      </c>
      <c r="AB923" s="942">
        <v>0</v>
      </c>
      <c r="AC923" s="942">
        <v>0</v>
      </c>
      <c r="AD923" s="942">
        <v>0</v>
      </c>
      <c r="AE923" s="942">
        <v>0</v>
      </c>
      <c r="AF923" s="942">
        <v>0</v>
      </c>
      <c r="AG923" s="943">
        <f>comparaison_samebasis_villages[[#This Row],[previous idp_ind]]-comparaison_samebasis_villages[[#This Row],[actual idp_ind]]</f>
        <v>-469</v>
      </c>
      <c r="AH923" s="943">
        <f>comparaison_samebasis_villages[[#This Row],[previous ref_ind]]-comparaison_samebasis_villages[[#This Row],[actual ref_ind]]</f>
        <v>0</v>
      </c>
      <c r="AI923" s="943">
        <f>comparaison_samebasis_villages[[#This Row],[previous ret_ind]]-comparaison_samebasis_villages[[#This Row],[actual ret_ind]]</f>
        <v>0</v>
      </c>
    </row>
    <row r="924" spans="15:35" ht="15.75" customHeight="1" x14ac:dyDescent="0.3">
      <c r="O924" s="399" t="s">
        <v>35</v>
      </c>
      <c r="P924" s="399" t="s">
        <v>35</v>
      </c>
      <c r="Q924" s="399" t="s">
        <v>195</v>
      </c>
      <c r="R924" s="399" t="s">
        <v>195</v>
      </c>
      <c r="S924" s="399" t="s">
        <v>1459</v>
      </c>
      <c r="T924" s="399" t="s">
        <v>737</v>
      </c>
      <c r="U924" s="941">
        <v>3</v>
      </c>
      <c r="V924" s="941">
        <v>12</v>
      </c>
      <c r="W924" s="941">
        <v>0</v>
      </c>
      <c r="X924" s="941">
        <v>0</v>
      </c>
      <c r="Y924" s="941">
        <v>0</v>
      </c>
      <c r="Z924" s="941">
        <v>0</v>
      </c>
      <c r="AA924" s="942">
        <v>3</v>
      </c>
      <c r="AB924" s="942">
        <v>12</v>
      </c>
      <c r="AC924" s="942">
        <v>0</v>
      </c>
      <c r="AD924" s="942">
        <v>0</v>
      </c>
      <c r="AE924" s="942">
        <v>0</v>
      </c>
      <c r="AF924" s="942">
        <v>0</v>
      </c>
      <c r="AG924" s="943">
        <f>comparaison_samebasis_villages[[#This Row],[previous idp_ind]]-comparaison_samebasis_villages[[#This Row],[actual idp_ind]]</f>
        <v>0</v>
      </c>
      <c r="AH924" s="943">
        <f>comparaison_samebasis_villages[[#This Row],[previous ref_ind]]-comparaison_samebasis_villages[[#This Row],[actual ref_ind]]</f>
        <v>0</v>
      </c>
      <c r="AI924" s="943">
        <f>comparaison_samebasis_villages[[#This Row],[previous ret_ind]]-comparaison_samebasis_villages[[#This Row],[actual ret_ind]]</f>
        <v>0</v>
      </c>
    </row>
    <row r="925" spans="15:35" ht="15.75" customHeight="1" x14ac:dyDescent="0.3">
      <c r="O925" s="399" t="s">
        <v>35</v>
      </c>
      <c r="P925" s="399" t="s">
        <v>35</v>
      </c>
      <c r="Q925" s="399" t="s">
        <v>195</v>
      </c>
      <c r="R925" s="399" t="s">
        <v>195</v>
      </c>
      <c r="S925" s="399" t="s">
        <v>1623</v>
      </c>
      <c r="T925" s="399" t="s">
        <v>1614</v>
      </c>
      <c r="U925" s="941">
        <v>850</v>
      </c>
      <c r="V925" s="941">
        <v>3135</v>
      </c>
      <c r="W925" s="941">
        <v>0</v>
      </c>
      <c r="X925" s="941">
        <v>0</v>
      </c>
      <c r="Y925" s="941">
        <v>0</v>
      </c>
      <c r="Z925" s="941">
        <v>0</v>
      </c>
      <c r="AA925" s="942">
        <v>690</v>
      </c>
      <c r="AB925" s="942">
        <v>2697</v>
      </c>
      <c r="AC925" s="942">
        <v>0</v>
      </c>
      <c r="AD925" s="942">
        <v>0</v>
      </c>
      <c r="AE925" s="942">
        <v>0</v>
      </c>
      <c r="AF925" s="942">
        <v>0</v>
      </c>
      <c r="AG925" s="943">
        <f>comparaison_samebasis_villages[[#This Row],[previous idp_ind]]-comparaison_samebasis_villages[[#This Row],[actual idp_ind]]</f>
        <v>-438</v>
      </c>
      <c r="AH925" s="943">
        <f>comparaison_samebasis_villages[[#This Row],[previous ref_ind]]-comparaison_samebasis_villages[[#This Row],[actual ref_ind]]</f>
        <v>0</v>
      </c>
      <c r="AI925" s="943">
        <f>comparaison_samebasis_villages[[#This Row],[previous ret_ind]]-comparaison_samebasis_villages[[#This Row],[actual ret_ind]]</f>
        <v>0</v>
      </c>
    </row>
    <row r="926" spans="15:35" ht="15.75" customHeight="1" x14ac:dyDescent="0.3">
      <c r="O926" s="399" t="s">
        <v>35</v>
      </c>
      <c r="P926" s="399" t="s">
        <v>35</v>
      </c>
      <c r="Q926" s="399" t="s">
        <v>195</v>
      </c>
      <c r="R926" s="399" t="s">
        <v>195</v>
      </c>
      <c r="S926" s="399" t="s">
        <v>914</v>
      </c>
      <c r="T926" s="399" t="s">
        <v>1482</v>
      </c>
      <c r="U926" s="941">
        <v>103</v>
      </c>
      <c r="V926" s="941">
        <v>489</v>
      </c>
      <c r="W926" s="941">
        <v>0</v>
      </c>
      <c r="X926" s="941">
        <v>0</v>
      </c>
      <c r="Y926" s="941">
        <v>0</v>
      </c>
      <c r="Z926" s="941">
        <v>0</v>
      </c>
      <c r="AA926" s="942">
        <v>123</v>
      </c>
      <c r="AB926" s="942">
        <v>540</v>
      </c>
      <c r="AC926" s="942">
        <v>0</v>
      </c>
      <c r="AD926" s="942">
        <v>0</v>
      </c>
      <c r="AE926" s="942">
        <v>0</v>
      </c>
      <c r="AF926" s="942">
        <v>0</v>
      </c>
      <c r="AG926" s="943">
        <f>comparaison_samebasis_villages[[#This Row],[previous idp_ind]]-comparaison_samebasis_villages[[#This Row],[actual idp_ind]]</f>
        <v>51</v>
      </c>
      <c r="AH926" s="943">
        <f>comparaison_samebasis_villages[[#This Row],[previous ref_ind]]-comparaison_samebasis_villages[[#This Row],[actual ref_ind]]</f>
        <v>0</v>
      </c>
      <c r="AI926" s="943">
        <f>comparaison_samebasis_villages[[#This Row],[previous ret_ind]]-comparaison_samebasis_villages[[#This Row],[actual ret_ind]]</f>
        <v>0</v>
      </c>
    </row>
    <row r="927" spans="15:35" ht="15.75" customHeight="1" x14ac:dyDescent="0.3">
      <c r="O927" s="399" t="s">
        <v>35</v>
      </c>
      <c r="P927" s="399" t="s">
        <v>35</v>
      </c>
      <c r="Q927" s="399" t="s">
        <v>195</v>
      </c>
      <c r="R927" s="399" t="s">
        <v>195</v>
      </c>
      <c r="S927" s="399" t="s">
        <v>1481</v>
      </c>
      <c r="T927" s="399" t="s">
        <v>2644</v>
      </c>
      <c r="U927" s="941">
        <v>563</v>
      </c>
      <c r="V927" s="941">
        <v>3126</v>
      </c>
      <c r="W927" s="941">
        <v>0</v>
      </c>
      <c r="X927" s="941">
        <v>0</v>
      </c>
      <c r="Y927" s="941">
        <v>0</v>
      </c>
      <c r="Z927" s="941">
        <v>0</v>
      </c>
      <c r="AA927" s="942">
        <v>376</v>
      </c>
      <c r="AB927" s="942">
        <v>2134</v>
      </c>
      <c r="AC927" s="942">
        <v>62</v>
      </c>
      <c r="AD927" s="942">
        <v>442</v>
      </c>
      <c r="AE927" s="942">
        <v>0</v>
      </c>
      <c r="AF927" s="942">
        <v>0</v>
      </c>
      <c r="AG927" s="943">
        <f>comparaison_samebasis_villages[[#This Row],[previous idp_ind]]-comparaison_samebasis_villages[[#This Row],[actual idp_ind]]</f>
        <v>-992</v>
      </c>
      <c r="AH927" s="943">
        <f>comparaison_samebasis_villages[[#This Row],[previous ref_ind]]-comparaison_samebasis_villages[[#This Row],[actual ref_ind]]</f>
        <v>442</v>
      </c>
      <c r="AI927" s="943">
        <f>comparaison_samebasis_villages[[#This Row],[previous ret_ind]]-comparaison_samebasis_villages[[#This Row],[actual ret_ind]]</f>
        <v>0</v>
      </c>
    </row>
    <row r="928" spans="15:35" ht="15.75" customHeight="1" x14ac:dyDescent="0.3">
      <c r="O928" s="399" t="s">
        <v>35</v>
      </c>
      <c r="P928" s="399" t="s">
        <v>35</v>
      </c>
      <c r="Q928" s="399" t="s">
        <v>195</v>
      </c>
      <c r="R928" s="399" t="s">
        <v>195</v>
      </c>
      <c r="S928" s="399" t="s">
        <v>1461</v>
      </c>
      <c r="T928" s="399" t="s">
        <v>2994</v>
      </c>
      <c r="U928" s="941">
        <v>511</v>
      </c>
      <c r="V928" s="941">
        <v>3463</v>
      </c>
      <c r="W928" s="941">
        <v>0</v>
      </c>
      <c r="X928" s="941">
        <v>0</v>
      </c>
      <c r="Y928" s="941">
        <v>0</v>
      </c>
      <c r="Z928" s="941">
        <v>0</v>
      </c>
      <c r="AA928" s="942">
        <v>318</v>
      </c>
      <c r="AB928" s="942">
        <v>2600</v>
      </c>
      <c r="AC928" s="942">
        <v>0</v>
      </c>
      <c r="AD928" s="942">
        <v>0</v>
      </c>
      <c r="AE928" s="942">
        <v>0</v>
      </c>
      <c r="AF928" s="942">
        <v>0</v>
      </c>
      <c r="AG928" s="943">
        <f>comparaison_samebasis_villages[[#This Row],[previous idp_ind]]-comparaison_samebasis_villages[[#This Row],[actual idp_ind]]</f>
        <v>-863</v>
      </c>
      <c r="AH928" s="943">
        <f>comparaison_samebasis_villages[[#This Row],[previous ref_ind]]-comparaison_samebasis_villages[[#This Row],[actual ref_ind]]</f>
        <v>0</v>
      </c>
      <c r="AI928" s="943">
        <f>comparaison_samebasis_villages[[#This Row],[previous ret_ind]]-comparaison_samebasis_villages[[#This Row],[actual ret_ind]]</f>
        <v>0</v>
      </c>
    </row>
    <row r="929" spans="15:35" ht="15.75" customHeight="1" x14ac:dyDescent="0.3">
      <c r="O929" s="399" t="s">
        <v>35</v>
      </c>
      <c r="P929" s="399" t="s">
        <v>35</v>
      </c>
      <c r="Q929" s="399" t="s">
        <v>195</v>
      </c>
      <c r="R929" s="399" t="s">
        <v>195</v>
      </c>
      <c r="S929" s="399" t="s">
        <v>1674</v>
      </c>
      <c r="T929" s="399" t="s">
        <v>2093</v>
      </c>
      <c r="U929" s="941">
        <v>10</v>
      </c>
      <c r="V929" s="941">
        <v>53</v>
      </c>
      <c r="W929" s="941">
        <v>0</v>
      </c>
      <c r="X929" s="941">
        <v>0</v>
      </c>
      <c r="Y929" s="941">
        <v>0</v>
      </c>
      <c r="Z929" s="941">
        <v>0</v>
      </c>
      <c r="AA929" s="942">
        <v>25</v>
      </c>
      <c r="AB929" s="942">
        <v>152</v>
      </c>
      <c r="AC929" s="942">
        <v>0</v>
      </c>
      <c r="AD929" s="942">
        <v>0</v>
      </c>
      <c r="AE929" s="942">
        <v>8</v>
      </c>
      <c r="AF929" s="942">
        <v>40</v>
      </c>
      <c r="AG929" s="943">
        <f>comparaison_samebasis_villages[[#This Row],[previous idp_ind]]-comparaison_samebasis_villages[[#This Row],[actual idp_ind]]</f>
        <v>99</v>
      </c>
      <c r="AH929" s="943">
        <f>comparaison_samebasis_villages[[#This Row],[previous ref_ind]]-comparaison_samebasis_villages[[#This Row],[actual ref_ind]]</f>
        <v>0</v>
      </c>
      <c r="AI929" s="943">
        <f>comparaison_samebasis_villages[[#This Row],[previous ret_ind]]-comparaison_samebasis_villages[[#This Row],[actual ret_ind]]</f>
        <v>40</v>
      </c>
    </row>
    <row r="930" spans="15:35" ht="15.75" customHeight="1" x14ac:dyDescent="0.3">
      <c r="O930" s="399" t="s">
        <v>35</v>
      </c>
      <c r="P930" s="399" t="s">
        <v>35</v>
      </c>
      <c r="Q930" s="399" t="s">
        <v>195</v>
      </c>
      <c r="R930" s="399" t="s">
        <v>195</v>
      </c>
      <c r="S930" s="399" t="s">
        <v>2647</v>
      </c>
      <c r="T930" s="399" t="s">
        <v>1796</v>
      </c>
      <c r="U930" s="941">
        <v>0</v>
      </c>
      <c r="V930" s="941">
        <v>0</v>
      </c>
      <c r="W930" s="941">
        <v>0</v>
      </c>
      <c r="X930" s="941">
        <v>0</v>
      </c>
      <c r="Y930" s="941">
        <v>0</v>
      </c>
      <c r="Z930" s="941">
        <v>0</v>
      </c>
      <c r="AA930" s="942">
        <v>0</v>
      </c>
      <c r="AB930" s="942">
        <v>0</v>
      </c>
      <c r="AC930" s="942">
        <v>0</v>
      </c>
      <c r="AD930" s="942">
        <v>0</v>
      </c>
      <c r="AE930" s="942">
        <v>0</v>
      </c>
      <c r="AF930" s="942">
        <v>0</v>
      </c>
      <c r="AG930" s="943">
        <f>comparaison_samebasis_villages[[#This Row],[previous idp_ind]]-comparaison_samebasis_villages[[#This Row],[actual idp_ind]]</f>
        <v>0</v>
      </c>
      <c r="AH930" s="943">
        <f>comparaison_samebasis_villages[[#This Row],[previous ref_ind]]-comparaison_samebasis_villages[[#This Row],[actual ref_ind]]</f>
        <v>0</v>
      </c>
      <c r="AI930" s="943">
        <f>comparaison_samebasis_villages[[#This Row],[previous ret_ind]]-comparaison_samebasis_villages[[#This Row],[actual ret_ind]]</f>
        <v>0</v>
      </c>
    </row>
    <row r="931" spans="15:35" ht="15.75" customHeight="1" x14ac:dyDescent="0.3">
      <c r="O931" s="399" t="s">
        <v>35</v>
      </c>
      <c r="P931" s="399" t="s">
        <v>35</v>
      </c>
      <c r="Q931" s="399" t="s">
        <v>195</v>
      </c>
      <c r="R931" s="399" t="s">
        <v>195</v>
      </c>
      <c r="S931" s="399" t="s">
        <v>2649</v>
      </c>
      <c r="T931" s="399" t="s">
        <v>839</v>
      </c>
      <c r="U931" s="941">
        <v>0</v>
      </c>
      <c r="V931" s="941">
        <v>0</v>
      </c>
      <c r="W931" s="941">
        <v>0</v>
      </c>
      <c r="X931" s="941">
        <v>0</v>
      </c>
      <c r="Y931" s="941">
        <v>0</v>
      </c>
      <c r="Z931" s="941">
        <v>0</v>
      </c>
      <c r="AA931" s="942">
        <v>0</v>
      </c>
      <c r="AB931" s="942">
        <v>0</v>
      </c>
      <c r="AC931" s="942">
        <v>0</v>
      </c>
      <c r="AD931" s="942">
        <v>0</v>
      </c>
      <c r="AE931" s="942">
        <v>0</v>
      </c>
      <c r="AF931" s="942">
        <v>0</v>
      </c>
      <c r="AG931" s="943">
        <f>comparaison_samebasis_villages[[#This Row],[previous idp_ind]]-comparaison_samebasis_villages[[#This Row],[actual idp_ind]]</f>
        <v>0</v>
      </c>
      <c r="AH931" s="943">
        <f>comparaison_samebasis_villages[[#This Row],[previous ref_ind]]-comparaison_samebasis_villages[[#This Row],[actual ref_ind]]</f>
        <v>0</v>
      </c>
      <c r="AI931" s="943">
        <f>comparaison_samebasis_villages[[#This Row],[previous ret_ind]]-comparaison_samebasis_villages[[#This Row],[actual ret_ind]]</f>
        <v>0</v>
      </c>
    </row>
    <row r="932" spans="15:35" ht="15.75" customHeight="1" x14ac:dyDescent="0.3">
      <c r="O932" s="399" t="s">
        <v>35</v>
      </c>
      <c r="P932" s="399" t="s">
        <v>35</v>
      </c>
      <c r="Q932" s="399" t="s">
        <v>195</v>
      </c>
      <c r="R932" s="399" t="s">
        <v>195</v>
      </c>
      <c r="S932" s="399" t="s">
        <v>2651</v>
      </c>
      <c r="T932" s="399" t="s">
        <v>1458</v>
      </c>
      <c r="U932" s="941">
        <v>0</v>
      </c>
      <c r="V932" s="941">
        <v>0</v>
      </c>
      <c r="W932" s="941">
        <v>0</v>
      </c>
      <c r="X932" s="941">
        <v>0</v>
      </c>
      <c r="Y932" s="941">
        <v>0</v>
      </c>
      <c r="Z932" s="941">
        <v>0</v>
      </c>
      <c r="AA932" s="942">
        <v>0</v>
      </c>
      <c r="AB932" s="942">
        <v>0</v>
      </c>
      <c r="AC932" s="942">
        <v>0</v>
      </c>
      <c r="AD932" s="942">
        <v>0</v>
      </c>
      <c r="AE932" s="942">
        <v>0</v>
      </c>
      <c r="AF932" s="942">
        <v>0</v>
      </c>
      <c r="AG932" s="943">
        <f>comparaison_samebasis_villages[[#This Row],[previous idp_ind]]-comparaison_samebasis_villages[[#This Row],[actual idp_ind]]</f>
        <v>0</v>
      </c>
      <c r="AH932" s="943">
        <f>comparaison_samebasis_villages[[#This Row],[previous ref_ind]]-comparaison_samebasis_villages[[#This Row],[actual ref_ind]]</f>
        <v>0</v>
      </c>
      <c r="AI932" s="943">
        <f>comparaison_samebasis_villages[[#This Row],[previous ret_ind]]-comparaison_samebasis_villages[[#This Row],[actual ret_ind]]</f>
        <v>0</v>
      </c>
    </row>
    <row r="933" spans="15:35" ht="15.75" customHeight="1" x14ac:dyDescent="0.3">
      <c r="O933" s="399" t="s">
        <v>35</v>
      </c>
      <c r="P933" s="399" t="s">
        <v>35</v>
      </c>
      <c r="Q933" s="399" t="s">
        <v>195</v>
      </c>
      <c r="R933" s="399" t="s">
        <v>195</v>
      </c>
      <c r="S933" s="399" t="s">
        <v>1942</v>
      </c>
      <c r="T933" s="399" t="s">
        <v>1622</v>
      </c>
      <c r="U933" s="941">
        <v>29</v>
      </c>
      <c r="V933" s="941">
        <v>100</v>
      </c>
      <c r="W933" s="941">
        <v>1</v>
      </c>
      <c r="X933" s="941">
        <v>2</v>
      </c>
      <c r="Y933" s="941">
        <v>2</v>
      </c>
      <c r="Z933" s="941">
        <v>2</v>
      </c>
      <c r="AA933" s="942">
        <v>24</v>
      </c>
      <c r="AB933" s="942">
        <v>99</v>
      </c>
      <c r="AC933" s="942">
        <v>0</v>
      </c>
      <c r="AD933" s="942">
        <v>0</v>
      </c>
      <c r="AE933" s="942">
        <v>8</v>
      </c>
      <c r="AF933" s="942">
        <v>20</v>
      </c>
      <c r="AG933" s="943">
        <f>comparaison_samebasis_villages[[#This Row],[previous idp_ind]]-comparaison_samebasis_villages[[#This Row],[actual idp_ind]]</f>
        <v>-1</v>
      </c>
      <c r="AH933" s="943">
        <f>comparaison_samebasis_villages[[#This Row],[previous ref_ind]]-comparaison_samebasis_villages[[#This Row],[actual ref_ind]]</f>
        <v>-2</v>
      </c>
      <c r="AI933" s="943">
        <f>comparaison_samebasis_villages[[#This Row],[previous ret_ind]]-comparaison_samebasis_villages[[#This Row],[actual ret_ind]]</f>
        <v>18</v>
      </c>
    </row>
    <row r="934" spans="15:35" ht="15.75" customHeight="1" x14ac:dyDescent="0.3">
      <c r="O934" s="399" t="s">
        <v>35</v>
      </c>
      <c r="P934" s="399" t="s">
        <v>35</v>
      </c>
      <c r="Q934" s="399" t="s">
        <v>195</v>
      </c>
      <c r="R934" s="399" t="s">
        <v>195</v>
      </c>
      <c r="S934" s="399" t="s">
        <v>1690</v>
      </c>
      <c r="T934" s="399" t="s">
        <v>913</v>
      </c>
      <c r="U934" s="941">
        <v>40</v>
      </c>
      <c r="V934" s="941">
        <v>293</v>
      </c>
      <c r="W934" s="941">
        <v>0</v>
      </c>
      <c r="X934" s="941">
        <v>0</v>
      </c>
      <c r="Y934" s="941">
        <v>0</v>
      </c>
      <c r="Z934" s="941">
        <v>0</v>
      </c>
      <c r="AA934" s="942">
        <v>17</v>
      </c>
      <c r="AB934" s="942">
        <v>125</v>
      </c>
      <c r="AC934" s="942">
        <v>0</v>
      </c>
      <c r="AD934" s="942">
        <v>0</v>
      </c>
      <c r="AE934" s="942">
        <v>0</v>
      </c>
      <c r="AF934" s="942">
        <v>0</v>
      </c>
      <c r="AG934" s="943">
        <f>comparaison_samebasis_villages[[#This Row],[previous idp_ind]]-comparaison_samebasis_villages[[#This Row],[actual idp_ind]]</f>
        <v>-168</v>
      </c>
      <c r="AH934" s="943">
        <f>comparaison_samebasis_villages[[#This Row],[previous ref_ind]]-comparaison_samebasis_villages[[#This Row],[actual ref_ind]]</f>
        <v>0</v>
      </c>
      <c r="AI934" s="943">
        <f>comparaison_samebasis_villages[[#This Row],[previous ret_ind]]-comparaison_samebasis_villages[[#This Row],[actual ret_ind]]</f>
        <v>0</v>
      </c>
    </row>
    <row r="935" spans="15:35" ht="15.75" customHeight="1" x14ac:dyDescent="0.3">
      <c r="O935" s="399" t="s">
        <v>35</v>
      </c>
      <c r="P935" s="399" t="s">
        <v>35</v>
      </c>
      <c r="Q935" s="399" t="s">
        <v>195</v>
      </c>
      <c r="R935" s="399" t="s">
        <v>195</v>
      </c>
      <c r="S935" s="399" t="s">
        <v>1765</v>
      </c>
      <c r="T935" s="399" t="s">
        <v>1480</v>
      </c>
      <c r="U935" s="941">
        <v>116</v>
      </c>
      <c r="V935" s="941">
        <v>500</v>
      </c>
      <c r="W935" s="941">
        <v>0</v>
      </c>
      <c r="X935" s="941">
        <v>0</v>
      </c>
      <c r="Y935" s="941">
        <v>0</v>
      </c>
      <c r="Z935" s="941">
        <v>0</v>
      </c>
      <c r="AA935" s="942">
        <v>120</v>
      </c>
      <c r="AB935" s="942">
        <v>592</v>
      </c>
      <c r="AC935" s="942">
        <v>0</v>
      </c>
      <c r="AD935" s="942">
        <v>0</v>
      </c>
      <c r="AE935" s="942">
        <v>9</v>
      </c>
      <c r="AF935" s="942">
        <v>46</v>
      </c>
      <c r="AG935" s="943">
        <f>comparaison_samebasis_villages[[#This Row],[previous idp_ind]]-comparaison_samebasis_villages[[#This Row],[actual idp_ind]]</f>
        <v>92</v>
      </c>
      <c r="AH935" s="943">
        <f>comparaison_samebasis_villages[[#This Row],[previous ref_ind]]-comparaison_samebasis_villages[[#This Row],[actual ref_ind]]</f>
        <v>0</v>
      </c>
      <c r="AI935" s="943">
        <f>comparaison_samebasis_villages[[#This Row],[previous ret_ind]]-comparaison_samebasis_villages[[#This Row],[actual ret_ind]]</f>
        <v>46</v>
      </c>
    </row>
    <row r="936" spans="15:35" ht="15.75" customHeight="1" x14ac:dyDescent="0.3">
      <c r="O936" s="399" t="s">
        <v>35</v>
      </c>
      <c r="P936" s="399" t="s">
        <v>35</v>
      </c>
      <c r="Q936" s="399" t="s">
        <v>195</v>
      </c>
      <c r="R936" s="399" t="s">
        <v>195</v>
      </c>
      <c r="S936" s="399" t="s">
        <v>1795</v>
      </c>
      <c r="T936" s="399" t="s">
        <v>1460</v>
      </c>
      <c r="U936" s="941">
        <v>51</v>
      </c>
      <c r="V936" s="941">
        <v>270</v>
      </c>
      <c r="W936" s="941">
        <v>0</v>
      </c>
      <c r="X936" s="941">
        <v>0</v>
      </c>
      <c r="Y936" s="941">
        <v>0</v>
      </c>
      <c r="Z936" s="941">
        <v>0</v>
      </c>
      <c r="AA936" s="942">
        <v>26</v>
      </c>
      <c r="AB936" s="942">
        <v>151</v>
      </c>
      <c r="AC936" s="942">
        <v>2</v>
      </c>
      <c r="AD936" s="942">
        <v>13</v>
      </c>
      <c r="AE936" s="942">
        <v>4</v>
      </c>
      <c r="AF936" s="942">
        <v>22</v>
      </c>
      <c r="AG936" s="943">
        <f>comparaison_samebasis_villages[[#This Row],[previous idp_ind]]-comparaison_samebasis_villages[[#This Row],[actual idp_ind]]</f>
        <v>-119</v>
      </c>
      <c r="AH936" s="943">
        <f>comparaison_samebasis_villages[[#This Row],[previous ref_ind]]-comparaison_samebasis_villages[[#This Row],[actual ref_ind]]</f>
        <v>13</v>
      </c>
      <c r="AI936" s="943">
        <f>comparaison_samebasis_villages[[#This Row],[previous ret_ind]]-comparaison_samebasis_villages[[#This Row],[actual ret_ind]]</f>
        <v>22</v>
      </c>
    </row>
    <row r="937" spans="15:35" ht="15.75" customHeight="1" x14ac:dyDescent="0.3">
      <c r="O937" s="399" t="s">
        <v>35</v>
      </c>
      <c r="P937" s="399" t="s">
        <v>35</v>
      </c>
      <c r="Q937" s="399" t="s">
        <v>195</v>
      </c>
      <c r="R937" s="399" t="s">
        <v>195</v>
      </c>
      <c r="S937" s="399" t="s">
        <v>1418</v>
      </c>
      <c r="T937" s="399" t="s">
        <v>1673</v>
      </c>
      <c r="U937" s="941">
        <v>0</v>
      </c>
      <c r="V937" s="941">
        <v>0</v>
      </c>
      <c r="W937" s="941">
        <v>0</v>
      </c>
      <c r="X937" s="941">
        <v>0</v>
      </c>
      <c r="Y937" s="941">
        <v>0</v>
      </c>
      <c r="Z937" s="941">
        <v>0</v>
      </c>
      <c r="AA937" s="942">
        <v>60</v>
      </c>
      <c r="AB937" s="942">
        <v>517</v>
      </c>
      <c r="AC937" s="942">
        <v>0</v>
      </c>
      <c r="AD937" s="942">
        <v>0</v>
      </c>
      <c r="AE937" s="942">
        <v>1</v>
      </c>
      <c r="AF937" s="942">
        <v>14</v>
      </c>
      <c r="AG937" s="943">
        <f>comparaison_samebasis_villages[[#This Row],[previous idp_ind]]-comparaison_samebasis_villages[[#This Row],[actual idp_ind]]</f>
        <v>517</v>
      </c>
      <c r="AH937" s="943">
        <f>comparaison_samebasis_villages[[#This Row],[previous ref_ind]]-comparaison_samebasis_villages[[#This Row],[actual ref_ind]]</f>
        <v>0</v>
      </c>
      <c r="AI937" s="943">
        <f>comparaison_samebasis_villages[[#This Row],[previous ret_ind]]-comparaison_samebasis_villages[[#This Row],[actual ret_ind]]</f>
        <v>14</v>
      </c>
    </row>
    <row r="938" spans="15:35" ht="15.75" customHeight="1" x14ac:dyDescent="0.3">
      <c r="O938" s="399" t="s">
        <v>35</v>
      </c>
      <c r="P938" s="399" t="s">
        <v>35</v>
      </c>
      <c r="Q938" s="399" t="s">
        <v>195</v>
      </c>
      <c r="R938" s="399" t="s">
        <v>195</v>
      </c>
      <c r="S938" s="399" t="s">
        <v>1519</v>
      </c>
      <c r="T938" s="399" t="s">
        <v>2646</v>
      </c>
      <c r="U938" s="941">
        <v>142</v>
      </c>
      <c r="V938" s="941">
        <v>848</v>
      </c>
      <c r="W938" s="941">
        <v>0</v>
      </c>
      <c r="X938" s="941">
        <v>0</v>
      </c>
      <c r="Y938" s="941">
        <v>0</v>
      </c>
      <c r="Z938" s="941">
        <v>0</v>
      </c>
      <c r="AA938" s="942">
        <v>229</v>
      </c>
      <c r="AB938" s="942">
        <v>1245</v>
      </c>
      <c r="AC938" s="942">
        <v>0</v>
      </c>
      <c r="AD938" s="942">
        <v>0</v>
      </c>
      <c r="AE938" s="942">
        <v>0</v>
      </c>
      <c r="AF938" s="942">
        <v>0</v>
      </c>
      <c r="AG938" s="943">
        <f>comparaison_samebasis_villages[[#This Row],[previous idp_ind]]-comparaison_samebasis_villages[[#This Row],[actual idp_ind]]</f>
        <v>397</v>
      </c>
      <c r="AH938" s="943">
        <f>comparaison_samebasis_villages[[#This Row],[previous ref_ind]]-comparaison_samebasis_villages[[#This Row],[actual ref_ind]]</f>
        <v>0</v>
      </c>
      <c r="AI938" s="943">
        <f>comparaison_samebasis_villages[[#This Row],[previous ret_ind]]-comparaison_samebasis_villages[[#This Row],[actual ret_ind]]</f>
        <v>0</v>
      </c>
    </row>
    <row r="939" spans="15:35" ht="15.75" customHeight="1" x14ac:dyDescent="0.3">
      <c r="O939" s="399" t="s">
        <v>35</v>
      </c>
      <c r="P939" s="399" t="s">
        <v>35</v>
      </c>
      <c r="Q939" s="399" t="s">
        <v>195</v>
      </c>
      <c r="R939" s="399" t="s">
        <v>195</v>
      </c>
      <c r="S939" s="399" t="s">
        <v>1226</v>
      </c>
      <c r="T939" s="399" t="s">
        <v>2648</v>
      </c>
      <c r="U939" s="941">
        <v>140</v>
      </c>
      <c r="V939" s="941">
        <v>3201</v>
      </c>
      <c r="W939" s="941">
        <v>0</v>
      </c>
      <c r="X939" s="941">
        <v>0</v>
      </c>
      <c r="Y939" s="941">
        <v>0</v>
      </c>
      <c r="Z939" s="941">
        <v>0</v>
      </c>
      <c r="AA939" s="942">
        <v>522</v>
      </c>
      <c r="AB939" s="942">
        <v>2607</v>
      </c>
      <c r="AC939" s="942">
        <v>0</v>
      </c>
      <c r="AD939" s="942">
        <v>0</v>
      </c>
      <c r="AE939" s="942">
        <v>0</v>
      </c>
      <c r="AF939" s="942">
        <v>0</v>
      </c>
      <c r="AG939" s="943">
        <f>comparaison_samebasis_villages[[#This Row],[previous idp_ind]]-comparaison_samebasis_villages[[#This Row],[actual idp_ind]]</f>
        <v>-594</v>
      </c>
      <c r="AH939" s="943">
        <f>comparaison_samebasis_villages[[#This Row],[previous ref_ind]]-comparaison_samebasis_villages[[#This Row],[actual ref_ind]]</f>
        <v>0</v>
      </c>
      <c r="AI939" s="943">
        <f>comparaison_samebasis_villages[[#This Row],[previous ret_ind]]-comparaison_samebasis_villages[[#This Row],[actual ret_ind]]</f>
        <v>0</v>
      </c>
    </row>
    <row r="940" spans="15:35" ht="15.75" customHeight="1" x14ac:dyDescent="0.3">
      <c r="O940" s="399" t="s">
        <v>35</v>
      </c>
      <c r="P940" s="399" t="s">
        <v>35</v>
      </c>
      <c r="Q940" s="399" t="s">
        <v>195</v>
      </c>
      <c r="R940" s="399" t="s">
        <v>195</v>
      </c>
      <c r="S940" s="399" t="s">
        <v>1766</v>
      </c>
      <c r="T940" s="399" t="s">
        <v>2650</v>
      </c>
      <c r="U940" s="941">
        <v>13</v>
      </c>
      <c r="V940" s="941">
        <v>70</v>
      </c>
      <c r="W940" s="941">
        <v>2</v>
      </c>
      <c r="X940" s="941">
        <v>15</v>
      </c>
      <c r="Y940" s="941">
        <v>0</v>
      </c>
      <c r="Z940" s="941">
        <v>0</v>
      </c>
      <c r="AA940" s="942">
        <v>13</v>
      </c>
      <c r="AB940" s="942">
        <v>67</v>
      </c>
      <c r="AC940" s="942">
        <v>2</v>
      </c>
      <c r="AD940" s="942">
        <v>9</v>
      </c>
      <c r="AE940" s="942">
        <v>4</v>
      </c>
      <c r="AF940" s="942">
        <v>16</v>
      </c>
      <c r="AG940" s="943">
        <f>comparaison_samebasis_villages[[#This Row],[previous idp_ind]]-comparaison_samebasis_villages[[#This Row],[actual idp_ind]]</f>
        <v>-3</v>
      </c>
      <c r="AH940" s="943">
        <f>comparaison_samebasis_villages[[#This Row],[previous ref_ind]]-comparaison_samebasis_villages[[#This Row],[actual ref_ind]]</f>
        <v>-6</v>
      </c>
      <c r="AI940" s="943">
        <f>comparaison_samebasis_villages[[#This Row],[previous ret_ind]]-comparaison_samebasis_villages[[#This Row],[actual ret_ind]]</f>
        <v>16</v>
      </c>
    </row>
    <row r="941" spans="15:35" ht="15.75" customHeight="1" x14ac:dyDescent="0.3">
      <c r="O941" s="399" t="s">
        <v>35</v>
      </c>
      <c r="P941" s="399" t="s">
        <v>35</v>
      </c>
      <c r="Q941" s="399" t="s">
        <v>195</v>
      </c>
      <c r="R941" s="399" t="s">
        <v>195</v>
      </c>
      <c r="S941" s="399" t="s">
        <v>1385</v>
      </c>
      <c r="T941" s="399" t="s">
        <v>1941</v>
      </c>
      <c r="U941" s="941">
        <v>2</v>
      </c>
      <c r="V941" s="941">
        <v>11</v>
      </c>
      <c r="W941" s="941">
        <v>0</v>
      </c>
      <c r="X941" s="941">
        <v>0</v>
      </c>
      <c r="Y941" s="941">
        <v>0</v>
      </c>
      <c r="Z941" s="941">
        <v>0</v>
      </c>
      <c r="AA941" s="942">
        <v>1</v>
      </c>
      <c r="AB941" s="942">
        <v>7</v>
      </c>
      <c r="AC941" s="942">
        <v>0</v>
      </c>
      <c r="AD941" s="942">
        <v>0</v>
      </c>
      <c r="AE941" s="942">
        <v>0</v>
      </c>
      <c r="AF941" s="942">
        <v>0</v>
      </c>
      <c r="AG941" s="943">
        <f>comparaison_samebasis_villages[[#This Row],[previous idp_ind]]-comparaison_samebasis_villages[[#This Row],[actual idp_ind]]</f>
        <v>-4</v>
      </c>
      <c r="AH941" s="943">
        <f>comparaison_samebasis_villages[[#This Row],[previous ref_ind]]-comparaison_samebasis_villages[[#This Row],[actual ref_ind]]</f>
        <v>0</v>
      </c>
      <c r="AI941" s="943">
        <f>comparaison_samebasis_villages[[#This Row],[previous ret_ind]]-comparaison_samebasis_villages[[#This Row],[actual ret_ind]]</f>
        <v>0</v>
      </c>
    </row>
    <row r="942" spans="15:35" ht="15.75" customHeight="1" x14ac:dyDescent="0.3">
      <c r="O942" s="399" t="s">
        <v>35</v>
      </c>
      <c r="P942" s="399" t="s">
        <v>35</v>
      </c>
      <c r="Q942" s="399" t="s">
        <v>195</v>
      </c>
      <c r="R942" s="399" t="s">
        <v>195</v>
      </c>
      <c r="S942" s="399" t="s">
        <v>1021</v>
      </c>
      <c r="T942" s="399" t="s">
        <v>1689</v>
      </c>
      <c r="U942" s="941">
        <v>37</v>
      </c>
      <c r="V942" s="941">
        <v>185</v>
      </c>
      <c r="W942" s="941">
        <v>0</v>
      </c>
      <c r="X942" s="941">
        <v>0</v>
      </c>
      <c r="Y942" s="941">
        <v>0</v>
      </c>
      <c r="Z942" s="941">
        <v>0</v>
      </c>
      <c r="AA942" s="942">
        <v>25</v>
      </c>
      <c r="AB942" s="942">
        <v>152</v>
      </c>
      <c r="AC942" s="942">
        <v>0</v>
      </c>
      <c r="AD942" s="942">
        <v>0</v>
      </c>
      <c r="AE942" s="942">
        <v>0</v>
      </c>
      <c r="AF942" s="942">
        <v>0</v>
      </c>
      <c r="AG942" s="943">
        <f>comparaison_samebasis_villages[[#This Row],[previous idp_ind]]-comparaison_samebasis_villages[[#This Row],[actual idp_ind]]</f>
        <v>-33</v>
      </c>
      <c r="AH942" s="943">
        <f>comparaison_samebasis_villages[[#This Row],[previous ref_ind]]-comparaison_samebasis_villages[[#This Row],[actual ref_ind]]</f>
        <v>0</v>
      </c>
      <c r="AI942" s="943">
        <f>comparaison_samebasis_villages[[#This Row],[previous ret_ind]]-comparaison_samebasis_villages[[#This Row],[actual ret_ind]]</f>
        <v>0</v>
      </c>
    </row>
    <row r="943" spans="15:35" ht="15.75" customHeight="1" x14ac:dyDescent="0.3">
      <c r="O943" s="399" t="s">
        <v>35</v>
      </c>
      <c r="P943" s="399" t="s">
        <v>35</v>
      </c>
      <c r="Q943" s="399" t="s">
        <v>195</v>
      </c>
      <c r="R943" s="399" t="s">
        <v>195</v>
      </c>
      <c r="S943" s="399" t="s">
        <v>1534</v>
      </c>
      <c r="T943" s="399" t="s">
        <v>1764</v>
      </c>
      <c r="U943" s="941">
        <v>173</v>
      </c>
      <c r="V943" s="941">
        <v>1145</v>
      </c>
      <c r="W943" s="941">
        <v>0</v>
      </c>
      <c r="X943" s="941">
        <v>0</v>
      </c>
      <c r="Y943" s="941">
        <v>0</v>
      </c>
      <c r="Z943" s="941">
        <v>0</v>
      </c>
      <c r="AA943" s="942">
        <v>261</v>
      </c>
      <c r="AB943" s="942">
        <v>1416</v>
      </c>
      <c r="AC943" s="942">
        <v>12</v>
      </c>
      <c r="AD943" s="942">
        <v>35</v>
      </c>
      <c r="AE943" s="942">
        <v>19</v>
      </c>
      <c r="AF943" s="942">
        <v>82</v>
      </c>
      <c r="AG943" s="943">
        <f>comparaison_samebasis_villages[[#This Row],[previous idp_ind]]-comparaison_samebasis_villages[[#This Row],[actual idp_ind]]</f>
        <v>271</v>
      </c>
      <c r="AH943" s="943">
        <f>comparaison_samebasis_villages[[#This Row],[previous ref_ind]]-comparaison_samebasis_villages[[#This Row],[actual ref_ind]]</f>
        <v>35</v>
      </c>
      <c r="AI943" s="943">
        <f>comparaison_samebasis_villages[[#This Row],[previous ret_ind]]-comparaison_samebasis_villages[[#This Row],[actual ret_ind]]</f>
        <v>82</v>
      </c>
    </row>
    <row r="944" spans="15:35" ht="15.75" customHeight="1" x14ac:dyDescent="0.3">
      <c r="O944" s="399" t="s">
        <v>35</v>
      </c>
      <c r="P944" s="399" t="s">
        <v>35</v>
      </c>
      <c r="Q944" s="399" t="s">
        <v>195</v>
      </c>
      <c r="R944" s="399" t="s">
        <v>195</v>
      </c>
      <c r="S944" s="399" t="s">
        <v>1034</v>
      </c>
      <c r="T944" s="399" t="s">
        <v>1794</v>
      </c>
      <c r="U944" s="941">
        <v>70</v>
      </c>
      <c r="V944" s="941">
        <v>462</v>
      </c>
      <c r="W944" s="941">
        <v>0</v>
      </c>
      <c r="X944" s="941">
        <v>0</v>
      </c>
      <c r="Y944" s="941">
        <v>0</v>
      </c>
      <c r="Z944" s="941">
        <v>0</v>
      </c>
      <c r="AA944" s="942">
        <v>55</v>
      </c>
      <c r="AB944" s="942">
        <v>365</v>
      </c>
      <c r="AC944" s="942">
        <v>0</v>
      </c>
      <c r="AD944" s="942">
        <v>0</v>
      </c>
      <c r="AE944" s="942">
        <v>21</v>
      </c>
      <c r="AF944" s="942">
        <v>100</v>
      </c>
      <c r="AG944" s="943">
        <f>comparaison_samebasis_villages[[#This Row],[previous idp_ind]]-comparaison_samebasis_villages[[#This Row],[actual idp_ind]]</f>
        <v>-97</v>
      </c>
      <c r="AH944" s="943">
        <f>comparaison_samebasis_villages[[#This Row],[previous ref_ind]]-comparaison_samebasis_villages[[#This Row],[actual ref_ind]]</f>
        <v>0</v>
      </c>
      <c r="AI944" s="943">
        <f>comparaison_samebasis_villages[[#This Row],[previous ret_ind]]-comparaison_samebasis_villages[[#This Row],[actual ret_ind]]</f>
        <v>100</v>
      </c>
    </row>
    <row r="945" spans="15:35" ht="15.75" customHeight="1" x14ac:dyDescent="0.3">
      <c r="O945" s="399" t="s">
        <v>35</v>
      </c>
      <c r="P945" s="399" t="s">
        <v>35</v>
      </c>
      <c r="Q945" s="399" t="s">
        <v>195</v>
      </c>
      <c r="R945" s="399" t="s">
        <v>195</v>
      </c>
      <c r="S945" s="399" t="s">
        <v>1624</v>
      </c>
      <c r="T945" s="399" t="s">
        <v>1417</v>
      </c>
      <c r="U945" s="941">
        <v>77</v>
      </c>
      <c r="V945" s="941">
        <v>518</v>
      </c>
      <c r="W945" s="941">
        <v>0</v>
      </c>
      <c r="X945" s="941">
        <v>0</v>
      </c>
      <c r="Y945" s="941">
        <v>0</v>
      </c>
      <c r="Z945" s="941">
        <v>0</v>
      </c>
      <c r="AA945" s="942">
        <v>66</v>
      </c>
      <c r="AB945" s="942">
        <v>472</v>
      </c>
      <c r="AC945" s="942">
        <v>0</v>
      </c>
      <c r="AD945" s="942">
        <v>0</v>
      </c>
      <c r="AE945" s="942">
        <v>0</v>
      </c>
      <c r="AF945" s="942">
        <v>0</v>
      </c>
      <c r="AG945" s="943">
        <f>comparaison_samebasis_villages[[#This Row],[previous idp_ind]]-comparaison_samebasis_villages[[#This Row],[actual idp_ind]]</f>
        <v>-46</v>
      </c>
      <c r="AH945" s="943">
        <f>comparaison_samebasis_villages[[#This Row],[previous ref_ind]]-comparaison_samebasis_villages[[#This Row],[actual ref_ind]]</f>
        <v>0</v>
      </c>
      <c r="AI945" s="943">
        <f>comparaison_samebasis_villages[[#This Row],[previous ret_ind]]-comparaison_samebasis_villages[[#This Row],[actual ret_ind]]</f>
        <v>0</v>
      </c>
    </row>
    <row r="946" spans="15:35" ht="15.75" customHeight="1" x14ac:dyDescent="0.3">
      <c r="O946" s="399" t="s">
        <v>35</v>
      </c>
      <c r="P946" s="399" t="s">
        <v>35</v>
      </c>
      <c r="Q946" s="399" t="s">
        <v>195</v>
      </c>
      <c r="R946" s="399" t="s">
        <v>195</v>
      </c>
      <c r="S946" s="399" t="s">
        <v>2142</v>
      </c>
      <c r="T946" s="399" t="s">
        <v>1518</v>
      </c>
      <c r="U946" s="941">
        <v>9</v>
      </c>
      <c r="V946" s="941">
        <v>41</v>
      </c>
      <c r="W946" s="941">
        <v>0</v>
      </c>
      <c r="X946" s="941">
        <v>0</v>
      </c>
      <c r="Y946" s="941">
        <v>14</v>
      </c>
      <c r="Z946" s="941">
        <v>14</v>
      </c>
      <c r="AA946" s="942">
        <v>5</v>
      </c>
      <c r="AB946" s="942">
        <v>20</v>
      </c>
      <c r="AC946" s="942">
        <v>3</v>
      </c>
      <c r="AD946" s="942">
        <v>13</v>
      </c>
      <c r="AE946" s="942">
        <v>7</v>
      </c>
      <c r="AF946" s="942">
        <v>46</v>
      </c>
      <c r="AG946" s="943">
        <f>comparaison_samebasis_villages[[#This Row],[previous idp_ind]]-comparaison_samebasis_villages[[#This Row],[actual idp_ind]]</f>
        <v>-21</v>
      </c>
      <c r="AH946" s="943">
        <f>comparaison_samebasis_villages[[#This Row],[previous ref_ind]]-comparaison_samebasis_villages[[#This Row],[actual ref_ind]]</f>
        <v>13</v>
      </c>
      <c r="AI946" s="943">
        <f>comparaison_samebasis_villages[[#This Row],[previous ret_ind]]-comparaison_samebasis_villages[[#This Row],[actual ret_ind]]</f>
        <v>32</v>
      </c>
    </row>
    <row r="947" spans="15:35" ht="15.75" customHeight="1" x14ac:dyDescent="0.3">
      <c r="O947" s="399" t="s">
        <v>35</v>
      </c>
      <c r="P947" s="399" t="s">
        <v>35</v>
      </c>
      <c r="Q947" s="399" t="s">
        <v>195</v>
      </c>
      <c r="R947" s="399" t="s">
        <v>195</v>
      </c>
      <c r="S947" s="399" t="s">
        <v>3070</v>
      </c>
      <c r="T947" s="399" t="s">
        <v>3213</v>
      </c>
      <c r="U947" s="941">
        <v>172</v>
      </c>
      <c r="V947" s="941">
        <v>630</v>
      </c>
      <c r="W947" s="941">
        <v>7</v>
      </c>
      <c r="X947" s="941">
        <v>51</v>
      </c>
      <c r="Y947" s="941">
        <v>20</v>
      </c>
      <c r="Z947" s="941">
        <v>20</v>
      </c>
      <c r="AA947" s="942">
        <v>89</v>
      </c>
      <c r="AB947" s="942">
        <v>311</v>
      </c>
      <c r="AC947" s="942">
        <v>0</v>
      </c>
      <c r="AD947" s="942">
        <v>0</v>
      </c>
      <c r="AE947" s="942">
        <v>0</v>
      </c>
      <c r="AF947" s="942">
        <v>0</v>
      </c>
      <c r="AG947" s="943">
        <f>comparaison_samebasis_villages[[#This Row],[previous idp_ind]]-comparaison_samebasis_villages[[#This Row],[actual idp_ind]]</f>
        <v>-319</v>
      </c>
      <c r="AH947" s="943">
        <f>comparaison_samebasis_villages[[#This Row],[previous ref_ind]]-comparaison_samebasis_villages[[#This Row],[actual ref_ind]]</f>
        <v>-51</v>
      </c>
      <c r="AI947" s="943">
        <f>comparaison_samebasis_villages[[#This Row],[previous ret_ind]]-comparaison_samebasis_villages[[#This Row],[actual ret_ind]]</f>
        <v>-20</v>
      </c>
    </row>
    <row r="948" spans="15:35" ht="15.75" customHeight="1" x14ac:dyDescent="0.3">
      <c r="O948" s="399" t="s">
        <v>35</v>
      </c>
      <c r="P948" s="399" t="s">
        <v>35</v>
      </c>
      <c r="Q948" s="399" t="s">
        <v>195</v>
      </c>
      <c r="R948" s="399" t="s">
        <v>195</v>
      </c>
      <c r="S948" s="399" t="s">
        <v>3080</v>
      </c>
      <c r="T948" s="399" t="s">
        <v>3372</v>
      </c>
      <c r="U948" s="941" t="s">
        <v>3373</v>
      </c>
      <c r="V948" s="941" t="s">
        <v>3373</v>
      </c>
      <c r="W948" s="941" t="s">
        <v>3373</v>
      </c>
      <c r="X948" s="941" t="s">
        <v>3373</v>
      </c>
      <c r="Y948" s="941" t="s">
        <v>3373</v>
      </c>
      <c r="Z948" s="941" t="s">
        <v>3373</v>
      </c>
      <c r="AA948" s="942">
        <v>70</v>
      </c>
      <c r="AB948" s="942">
        <v>211</v>
      </c>
      <c r="AC948" s="942">
        <v>0</v>
      </c>
      <c r="AD948" s="942">
        <v>0</v>
      </c>
      <c r="AE948" s="942">
        <v>0</v>
      </c>
      <c r="AF948" s="942">
        <v>0</v>
      </c>
      <c r="AG948" s="943" t="e">
        <f>comparaison_samebasis_villages[[#This Row],[previous idp_ind]]-comparaison_samebasis_villages[[#This Row],[actual idp_ind]]</f>
        <v>#VALUE!</v>
      </c>
      <c r="AH948" s="943" t="e">
        <f>comparaison_samebasis_villages[[#This Row],[previous ref_ind]]-comparaison_samebasis_villages[[#This Row],[actual ref_ind]]</f>
        <v>#VALUE!</v>
      </c>
      <c r="AI948" s="943" t="e">
        <f>comparaison_samebasis_villages[[#This Row],[previous ret_ind]]-comparaison_samebasis_villages[[#This Row],[actual ret_ind]]</f>
        <v>#VALUE!</v>
      </c>
    </row>
    <row r="949" spans="15:35" ht="15.75" customHeight="1" x14ac:dyDescent="0.3">
      <c r="O949" s="399" t="s">
        <v>35</v>
      </c>
      <c r="P949" s="399" t="s">
        <v>35</v>
      </c>
      <c r="Q949" s="399" t="s">
        <v>195</v>
      </c>
      <c r="R949" s="399" t="s">
        <v>195</v>
      </c>
      <c r="S949" s="399" t="s">
        <v>3081</v>
      </c>
      <c r="T949" s="399" t="s">
        <v>3291</v>
      </c>
      <c r="U949" s="941">
        <v>25</v>
      </c>
      <c r="V949" s="941">
        <v>243</v>
      </c>
      <c r="W949" s="941">
        <v>0</v>
      </c>
      <c r="X949" s="941">
        <v>0</v>
      </c>
      <c r="Y949" s="941">
        <v>0</v>
      </c>
      <c r="Z949" s="941">
        <v>0</v>
      </c>
      <c r="AA949" s="942">
        <v>0</v>
      </c>
      <c r="AB949" s="942">
        <v>0</v>
      </c>
      <c r="AC949" s="942">
        <v>0</v>
      </c>
      <c r="AD949" s="942">
        <v>0</v>
      </c>
      <c r="AE949" s="942">
        <v>0</v>
      </c>
      <c r="AF949" s="942">
        <v>0</v>
      </c>
      <c r="AG949" s="943">
        <f>comparaison_samebasis_villages[[#This Row],[previous idp_ind]]-comparaison_samebasis_villages[[#This Row],[actual idp_ind]]</f>
        <v>-243</v>
      </c>
      <c r="AH949" s="943">
        <f>comparaison_samebasis_villages[[#This Row],[previous ref_ind]]-comparaison_samebasis_villages[[#This Row],[actual ref_ind]]</f>
        <v>0</v>
      </c>
      <c r="AI949" s="943">
        <f>comparaison_samebasis_villages[[#This Row],[previous ret_ind]]-comparaison_samebasis_villages[[#This Row],[actual ret_ind]]</f>
        <v>0</v>
      </c>
    </row>
    <row r="950" spans="15:35" ht="15.75" customHeight="1" x14ac:dyDescent="0.3">
      <c r="O950" s="399" t="s">
        <v>35</v>
      </c>
      <c r="P950" s="399" t="s">
        <v>35</v>
      </c>
      <c r="Q950" s="399" t="s">
        <v>195</v>
      </c>
      <c r="R950" s="399" t="s">
        <v>195</v>
      </c>
      <c r="S950" s="399" t="s">
        <v>3068</v>
      </c>
      <c r="T950" s="399" t="s">
        <v>3225</v>
      </c>
      <c r="U950" s="941">
        <v>0</v>
      </c>
      <c r="V950" s="941">
        <v>0</v>
      </c>
      <c r="W950" s="941">
        <v>0</v>
      </c>
      <c r="X950" s="941">
        <v>0</v>
      </c>
      <c r="Y950" s="941">
        <v>0</v>
      </c>
      <c r="Z950" s="941">
        <v>0</v>
      </c>
      <c r="AA950" s="942">
        <v>374</v>
      </c>
      <c r="AB950" s="942">
        <v>2284</v>
      </c>
      <c r="AC950" s="942">
        <v>0</v>
      </c>
      <c r="AD950" s="942">
        <v>0</v>
      </c>
      <c r="AE950" s="942">
        <v>0</v>
      </c>
      <c r="AF950" s="942">
        <v>0</v>
      </c>
      <c r="AG950" s="943">
        <f>comparaison_samebasis_villages[[#This Row],[previous idp_ind]]-comparaison_samebasis_villages[[#This Row],[actual idp_ind]]</f>
        <v>2284</v>
      </c>
      <c r="AH950" s="943">
        <f>comparaison_samebasis_villages[[#This Row],[previous ref_ind]]-comparaison_samebasis_villages[[#This Row],[actual ref_ind]]</f>
        <v>0</v>
      </c>
      <c r="AI950" s="943">
        <f>comparaison_samebasis_villages[[#This Row],[previous ret_ind]]-comparaison_samebasis_villages[[#This Row],[actual ret_ind]]</f>
        <v>0</v>
      </c>
    </row>
    <row r="951" spans="15:35" ht="15.75" customHeight="1" x14ac:dyDescent="0.3">
      <c r="O951" s="399" t="s">
        <v>35</v>
      </c>
      <c r="P951" s="399" t="s">
        <v>35</v>
      </c>
      <c r="Q951" s="399" t="s">
        <v>195</v>
      </c>
      <c r="R951" s="399" t="s">
        <v>195</v>
      </c>
      <c r="S951" s="399" t="s">
        <v>3069</v>
      </c>
      <c r="T951" s="399" t="s">
        <v>3321</v>
      </c>
      <c r="U951" s="941">
        <v>0</v>
      </c>
      <c r="V951" s="941">
        <v>0</v>
      </c>
      <c r="W951" s="941">
        <v>0</v>
      </c>
      <c r="X951" s="941">
        <v>0</v>
      </c>
      <c r="Y951" s="941">
        <v>0</v>
      </c>
      <c r="Z951" s="941">
        <v>0</v>
      </c>
      <c r="AA951" s="942">
        <v>345</v>
      </c>
      <c r="AB951" s="942">
        <v>2416</v>
      </c>
      <c r="AC951" s="942">
        <v>0</v>
      </c>
      <c r="AD951" s="942">
        <v>0</v>
      </c>
      <c r="AE951" s="942">
        <v>0</v>
      </c>
      <c r="AF951" s="942">
        <v>0</v>
      </c>
      <c r="AG951" s="943">
        <f>comparaison_samebasis_villages[[#This Row],[previous idp_ind]]-comparaison_samebasis_villages[[#This Row],[actual idp_ind]]</f>
        <v>2416</v>
      </c>
      <c r="AH951" s="943">
        <f>comparaison_samebasis_villages[[#This Row],[previous ref_ind]]-comparaison_samebasis_villages[[#This Row],[actual ref_ind]]</f>
        <v>0</v>
      </c>
      <c r="AI951" s="943">
        <f>comparaison_samebasis_villages[[#This Row],[previous ret_ind]]-comparaison_samebasis_villages[[#This Row],[actual ret_ind]]</f>
        <v>0</v>
      </c>
    </row>
    <row r="952" spans="15:35" ht="15.75" customHeight="1" x14ac:dyDescent="0.3">
      <c r="O952" s="399" t="s">
        <v>34</v>
      </c>
      <c r="P952" s="399" t="s">
        <v>34</v>
      </c>
      <c r="Q952" s="399" t="s">
        <v>188</v>
      </c>
      <c r="R952" s="399" t="s">
        <v>188</v>
      </c>
      <c r="S952" s="399" t="s">
        <v>1684</v>
      </c>
      <c r="T952" s="399" t="s">
        <v>1683</v>
      </c>
      <c r="U952" s="941">
        <v>285</v>
      </c>
      <c r="V952" s="941">
        <v>1444</v>
      </c>
      <c r="W952" s="941">
        <v>0</v>
      </c>
      <c r="X952" s="941">
        <v>0</v>
      </c>
      <c r="Y952" s="941">
        <v>0</v>
      </c>
      <c r="Z952" s="941">
        <v>0</v>
      </c>
      <c r="AA952" s="942">
        <v>245</v>
      </c>
      <c r="AB952" s="942">
        <v>1144</v>
      </c>
      <c r="AC952" s="942">
        <v>0</v>
      </c>
      <c r="AD952" s="942">
        <v>0</v>
      </c>
      <c r="AE952" s="942">
        <v>0</v>
      </c>
      <c r="AF952" s="942">
        <v>0</v>
      </c>
      <c r="AG952" s="943">
        <f>comparaison_samebasis_villages[[#This Row],[previous idp_ind]]-comparaison_samebasis_villages[[#This Row],[actual idp_ind]]</f>
        <v>-300</v>
      </c>
      <c r="AH952" s="943">
        <f>comparaison_samebasis_villages[[#This Row],[previous ref_ind]]-comparaison_samebasis_villages[[#This Row],[actual ref_ind]]</f>
        <v>0</v>
      </c>
      <c r="AI952" s="943">
        <f>comparaison_samebasis_villages[[#This Row],[previous ret_ind]]-comparaison_samebasis_villages[[#This Row],[actual ret_ind]]</f>
        <v>0</v>
      </c>
    </row>
    <row r="953" spans="15:35" ht="15.75" customHeight="1" x14ac:dyDescent="0.3">
      <c r="O953" s="399" t="s">
        <v>34</v>
      </c>
      <c r="P953" s="399" t="s">
        <v>34</v>
      </c>
      <c r="Q953" s="399" t="s">
        <v>188</v>
      </c>
      <c r="R953" s="399" t="s">
        <v>188</v>
      </c>
      <c r="S953" s="399" t="s">
        <v>1234</v>
      </c>
      <c r="T953" s="399" t="s">
        <v>1233</v>
      </c>
      <c r="U953" s="941">
        <v>70</v>
      </c>
      <c r="V953" s="941">
        <v>368</v>
      </c>
      <c r="W953" s="941">
        <v>0</v>
      </c>
      <c r="X953" s="941">
        <v>0</v>
      </c>
      <c r="Y953" s="941">
        <v>0</v>
      </c>
      <c r="Z953" s="941">
        <v>0</v>
      </c>
      <c r="AA953" s="942">
        <v>70</v>
      </c>
      <c r="AB953" s="942">
        <v>367</v>
      </c>
      <c r="AC953" s="942">
        <v>1</v>
      </c>
      <c r="AD953" s="942">
        <v>8</v>
      </c>
      <c r="AE953" s="942">
        <v>30</v>
      </c>
      <c r="AF953" s="942">
        <v>93</v>
      </c>
      <c r="AG953" s="943">
        <f>comparaison_samebasis_villages[[#This Row],[previous idp_ind]]-comparaison_samebasis_villages[[#This Row],[actual idp_ind]]</f>
        <v>-1</v>
      </c>
      <c r="AH953" s="943">
        <f>comparaison_samebasis_villages[[#This Row],[previous ref_ind]]-comparaison_samebasis_villages[[#This Row],[actual ref_ind]]</f>
        <v>8</v>
      </c>
      <c r="AI953" s="943">
        <f>comparaison_samebasis_villages[[#This Row],[previous ret_ind]]-comparaison_samebasis_villages[[#This Row],[actual ret_ind]]</f>
        <v>93</v>
      </c>
    </row>
    <row r="954" spans="15:35" ht="15.75" customHeight="1" x14ac:dyDescent="0.3">
      <c r="O954" s="399" t="s">
        <v>34</v>
      </c>
      <c r="P954" s="399" t="s">
        <v>34</v>
      </c>
      <c r="Q954" s="399" t="s">
        <v>188</v>
      </c>
      <c r="R954" s="399" t="s">
        <v>188</v>
      </c>
      <c r="S954" s="399" t="s">
        <v>1530</v>
      </c>
      <c r="T954" s="399" t="s">
        <v>2857</v>
      </c>
      <c r="U954" s="941">
        <v>444</v>
      </c>
      <c r="V954" s="941">
        <v>1181</v>
      </c>
      <c r="W954" s="941">
        <v>6</v>
      </c>
      <c r="X954" s="941">
        <v>62</v>
      </c>
      <c r="Y954" s="941">
        <v>0</v>
      </c>
      <c r="Z954" s="941">
        <v>0</v>
      </c>
      <c r="AA954" s="942">
        <v>431</v>
      </c>
      <c r="AB954" s="942">
        <v>1131</v>
      </c>
      <c r="AC954" s="942">
        <v>6</v>
      </c>
      <c r="AD954" s="942">
        <v>62</v>
      </c>
      <c r="AE954" s="942">
        <v>0</v>
      </c>
      <c r="AF954" s="942">
        <v>0</v>
      </c>
      <c r="AG954" s="943">
        <f>comparaison_samebasis_villages[[#This Row],[previous idp_ind]]-comparaison_samebasis_villages[[#This Row],[actual idp_ind]]</f>
        <v>-50</v>
      </c>
      <c r="AH954" s="943">
        <f>comparaison_samebasis_villages[[#This Row],[previous ref_ind]]-comparaison_samebasis_villages[[#This Row],[actual ref_ind]]</f>
        <v>0</v>
      </c>
      <c r="AI954" s="943">
        <f>comparaison_samebasis_villages[[#This Row],[previous ret_ind]]-comparaison_samebasis_villages[[#This Row],[actual ret_ind]]</f>
        <v>0</v>
      </c>
    </row>
    <row r="955" spans="15:35" ht="15.75" customHeight="1" x14ac:dyDescent="0.3">
      <c r="O955" s="399" t="s">
        <v>34</v>
      </c>
      <c r="P955" s="399" t="s">
        <v>34</v>
      </c>
      <c r="Q955" s="399" t="s">
        <v>188</v>
      </c>
      <c r="R955" s="399" t="s">
        <v>188</v>
      </c>
      <c r="S955" s="399" t="s">
        <v>1182</v>
      </c>
      <c r="T955" s="399" t="s">
        <v>1529</v>
      </c>
      <c r="U955" s="941">
        <v>539</v>
      </c>
      <c r="V955" s="941">
        <v>2465</v>
      </c>
      <c r="W955" s="941">
        <v>1</v>
      </c>
      <c r="X955" s="941">
        <v>3</v>
      </c>
      <c r="Y955" s="941">
        <v>466</v>
      </c>
      <c r="Z955" s="941">
        <v>466</v>
      </c>
      <c r="AA955" s="942">
        <v>539</v>
      </c>
      <c r="AB955" s="942">
        <v>2439</v>
      </c>
      <c r="AC955" s="942">
        <v>1</v>
      </c>
      <c r="AD955" s="942">
        <v>3</v>
      </c>
      <c r="AE955" s="942">
        <v>446</v>
      </c>
      <c r="AF955" s="942">
        <v>2623</v>
      </c>
      <c r="AG955" s="943">
        <f>comparaison_samebasis_villages[[#This Row],[previous idp_ind]]-comparaison_samebasis_villages[[#This Row],[actual idp_ind]]</f>
        <v>-26</v>
      </c>
      <c r="AH955" s="943">
        <f>comparaison_samebasis_villages[[#This Row],[previous ref_ind]]-comparaison_samebasis_villages[[#This Row],[actual ref_ind]]</f>
        <v>0</v>
      </c>
      <c r="AI955" s="943">
        <f>comparaison_samebasis_villages[[#This Row],[previous ret_ind]]-comparaison_samebasis_villages[[#This Row],[actual ret_ind]]</f>
        <v>2157</v>
      </c>
    </row>
    <row r="956" spans="15:35" ht="15.75" customHeight="1" x14ac:dyDescent="0.3">
      <c r="O956" s="399" t="s">
        <v>34</v>
      </c>
      <c r="P956" s="399" t="s">
        <v>34</v>
      </c>
      <c r="Q956" s="399" t="s">
        <v>188</v>
      </c>
      <c r="R956" s="399" t="s">
        <v>188</v>
      </c>
      <c r="S956" s="399" t="s">
        <v>758</v>
      </c>
      <c r="T956" s="399" t="s">
        <v>1181</v>
      </c>
      <c r="U956" s="941">
        <v>247</v>
      </c>
      <c r="V956" s="941">
        <v>1257</v>
      </c>
      <c r="W956" s="941">
        <v>0</v>
      </c>
      <c r="X956" s="941">
        <v>0</v>
      </c>
      <c r="Y956" s="941">
        <v>5</v>
      </c>
      <c r="Z956" s="941">
        <v>5</v>
      </c>
      <c r="AA956" s="942">
        <v>237</v>
      </c>
      <c r="AB956" s="942">
        <v>1235</v>
      </c>
      <c r="AC956" s="942">
        <v>0</v>
      </c>
      <c r="AD956" s="942">
        <v>0</v>
      </c>
      <c r="AE956" s="942">
        <v>0</v>
      </c>
      <c r="AF956" s="942">
        <v>0</v>
      </c>
      <c r="AG956" s="943">
        <f>comparaison_samebasis_villages[[#This Row],[previous idp_ind]]-comparaison_samebasis_villages[[#This Row],[actual idp_ind]]</f>
        <v>-22</v>
      </c>
      <c r="AH956" s="943">
        <f>comparaison_samebasis_villages[[#This Row],[previous ref_ind]]-comparaison_samebasis_villages[[#This Row],[actual ref_ind]]</f>
        <v>0</v>
      </c>
      <c r="AI956" s="943">
        <f>comparaison_samebasis_villages[[#This Row],[previous ret_ind]]-comparaison_samebasis_villages[[#This Row],[actual ret_ind]]</f>
        <v>-5</v>
      </c>
    </row>
    <row r="957" spans="15:35" ht="15.75" customHeight="1" x14ac:dyDescent="0.3">
      <c r="O957" s="399" t="s">
        <v>34</v>
      </c>
      <c r="P957" s="399" t="s">
        <v>34</v>
      </c>
      <c r="Q957" s="399" t="s">
        <v>188</v>
      </c>
      <c r="R957" s="399" t="s">
        <v>188</v>
      </c>
      <c r="S957" s="399" t="s">
        <v>805</v>
      </c>
      <c r="T957" s="399" t="s">
        <v>757</v>
      </c>
      <c r="U957" s="941">
        <v>160</v>
      </c>
      <c r="V957" s="941">
        <v>732</v>
      </c>
      <c r="W957" s="941">
        <v>0</v>
      </c>
      <c r="X957" s="941">
        <v>0</v>
      </c>
      <c r="Y957" s="941">
        <v>0</v>
      </c>
      <c r="Z957" s="941">
        <v>0</v>
      </c>
      <c r="AA957" s="942">
        <v>156</v>
      </c>
      <c r="AB957" s="942">
        <v>699</v>
      </c>
      <c r="AC957" s="942">
        <v>0</v>
      </c>
      <c r="AD957" s="942">
        <v>0</v>
      </c>
      <c r="AE957" s="942">
        <v>0</v>
      </c>
      <c r="AF957" s="942">
        <v>0</v>
      </c>
      <c r="AG957" s="943">
        <f>comparaison_samebasis_villages[[#This Row],[previous idp_ind]]-comparaison_samebasis_villages[[#This Row],[actual idp_ind]]</f>
        <v>-33</v>
      </c>
      <c r="AH957" s="943">
        <f>comparaison_samebasis_villages[[#This Row],[previous ref_ind]]-comparaison_samebasis_villages[[#This Row],[actual ref_ind]]</f>
        <v>0</v>
      </c>
      <c r="AI957" s="943">
        <f>comparaison_samebasis_villages[[#This Row],[previous ret_ind]]-comparaison_samebasis_villages[[#This Row],[actual ret_ind]]</f>
        <v>0</v>
      </c>
    </row>
    <row r="958" spans="15:35" ht="15.75" customHeight="1" x14ac:dyDescent="0.3">
      <c r="O958" s="399" t="s">
        <v>34</v>
      </c>
      <c r="P958" s="399" t="s">
        <v>34</v>
      </c>
      <c r="Q958" s="399" t="s">
        <v>188</v>
      </c>
      <c r="R958" s="399" t="s">
        <v>188</v>
      </c>
      <c r="S958" s="399" t="s">
        <v>1236</v>
      </c>
      <c r="T958" s="399" t="s">
        <v>804</v>
      </c>
      <c r="U958" s="941">
        <v>164</v>
      </c>
      <c r="V958" s="941">
        <v>843</v>
      </c>
      <c r="W958" s="941">
        <v>0</v>
      </c>
      <c r="X958" s="941">
        <v>0</v>
      </c>
      <c r="Y958" s="941">
        <v>0</v>
      </c>
      <c r="Z958" s="941">
        <v>0</v>
      </c>
      <c r="AA958" s="942">
        <v>147</v>
      </c>
      <c r="AB958" s="942">
        <v>784</v>
      </c>
      <c r="AC958" s="942">
        <v>0</v>
      </c>
      <c r="AD958" s="942">
        <v>0</v>
      </c>
      <c r="AE958" s="942">
        <v>0</v>
      </c>
      <c r="AF958" s="942">
        <v>0</v>
      </c>
      <c r="AG958" s="943">
        <f>comparaison_samebasis_villages[[#This Row],[previous idp_ind]]-comparaison_samebasis_villages[[#This Row],[actual idp_ind]]</f>
        <v>-59</v>
      </c>
      <c r="AH958" s="943">
        <f>comparaison_samebasis_villages[[#This Row],[previous ref_ind]]-comparaison_samebasis_villages[[#This Row],[actual ref_ind]]</f>
        <v>0</v>
      </c>
      <c r="AI958" s="943">
        <f>comparaison_samebasis_villages[[#This Row],[previous ret_ind]]-comparaison_samebasis_villages[[#This Row],[actual ret_ind]]</f>
        <v>0</v>
      </c>
    </row>
    <row r="959" spans="15:35" ht="15.75" customHeight="1" x14ac:dyDescent="0.3">
      <c r="O959" s="399" t="s">
        <v>34</v>
      </c>
      <c r="P959" s="399" t="s">
        <v>34</v>
      </c>
      <c r="Q959" s="399" t="s">
        <v>188</v>
      </c>
      <c r="R959" s="399" t="s">
        <v>188</v>
      </c>
      <c r="S959" s="399" t="s">
        <v>799</v>
      </c>
      <c r="T959" s="399" t="s">
        <v>1235</v>
      </c>
      <c r="U959" s="941">
        <v>102</v>
      </c>
      <c r="V959" s="941">
        <v>526</v>
      </c>
      <c r="W959" s="941">
        <v>0</v>
      </c>
      <c r="X959" s="941">
        <v>0</v>
      </c>
      <c r="Y959" s="941">
        <v>0</v>
      </c>
      <c r="Z959" s="941">
        <v>0</v>
      </c>
      <c r="AA959" s="942">
        <v>103</v>
      </c>
      <c r="AB959" s="942">
        <v>536</v>
      </c>
      <c r="AC959" s="942">
        <v>0</v>
      </c>
      <c r="AD959" s="942">
        <v>0</v>
      </c>
      <c r="AE959" s="942">
        <v>0</v>
      </c>
      <c r="AF959" s="942">
        <v>0</v>
      </c>
      <c r="AG959" s="943">
        <f>comparaison_samebasis_villages[[#This Row],[previous idp_ind]]-comparaison_samebasis_villages[[#This Row],[actual idp_ind]]</f>
        <v>10</v>
      </c>
      <c r="AH959" s="943">
        <f>comparaison_samebasis_villages[[#This Row],[previous ref_ind]]-comparaison_samebasis_villages[[#This Row],[actual ref_ind]]</f>
        <v>0</v>
      </c>
      <c r="AI959" s="943">
        <f>comparaison_samebasis_villages[[#This Row],[previous ret_ind]]-comparaison_samebasis_villages[[#This Row],[actual ret_ind]]</f>
        <v>0</v>
      </c>
    </row>
    <row r="960" spans="15:35" ht="15.75" customHeight="1" x14ac:dyDescent="0.3">
      <c r="O960" s="399" t="s">
        <v>34</v>
      </c>
      <c r="P960" s="399" t="s">
        <v>34</v>
      </c>
      <c r="Q960" s="399" t="s">
        <v>188</v>
      </c>
      <c r="R960" s="399" t="s">
        <v>188</v>
      </c>
      <c r="S960" s="399" t="s">
        <v>1686</v>
      </c>
      <c r="T960" s="399" t="s">
        <v>798</v>
      </c>
      <c r="U960" s="941">
        <v>215</v>
      </c>
      <c r="V960" s="941">
        <v>1035</v>
      </c>
      <c r="W960" s="941">
        <v>0</v>
      </c>
      <c r="X960" s="941">
        <v>0</v>
      </c>
      <c r="Y960" s="941">
        <v>0</v>
      </c>
      <c r="Z960" s="941">
        <v>0</v>
      </c>
      <c r="AA960" s="942">
        <v>205</v>
      </c>
      <c r="AB960" s="942">
        <v>980</v>
      </c>
      <c r="AC960" s="942">
        <v>0</v>
      </c>
      <c r="AD960" s="942">
        <v>0</v>
      </c>
      <c r="AE960" s="942">
        <v>0</v>
      </c>
      <c r="AF960" s="942">
        <v>0</v>
      </c>
      <c r="AG960" s="943">
        <f>comparaison_samebasis_villages[[#This Row],[previous idp_ind]]-comparaison_samebasis_villages[[#This Row],[actual idp_ind]]</f>
        <v>-55</v>
      </c>
      <c r="AH960" s="943">
        <f>comparaison_samebasis_villages[[#This Row],[previous ref_ind]]-comparaison_samebasis_villages[[#This Row],[actual ref_ind]]</f>
        <v>0</v>
      </c>
      <c r="AI960" s="943">
        <f>comparaison_samebasis_villages[[#This Row],[previous ret_ind]]-comparaison_samebasis_villages[[#This Row],[actual ret_ind]]</f>
        <v>0</v>
      </c>
    </row>
    <row r="961" spans="15:35" ht="15.75" customHeight="1" x14ac:dyDescent="0.3">
      <c r="O961" s="399" t="s">
        <v>34</v>
      </c>
      <c r="P961" s="399" t="s">
        <v>34</v>
      </c>
      <c r="Q961" s="399" t="s">
        <v>188</v>
      </c>
      <c r="R961" s="399" t="s">
        <v>188</v>
      </c>
      <c r="S961" s="399" t="s">
        <v>1071</v>
      </c>
      <c r="T961" s="399" t="s">
        <v>1685</v>
      </c>
      <c r="U961" s="941">
        <v>639</v>
      </c>
      <c r="V961" s="941">
        <v>3481</v>
      </c>
      <c r="W961" s="941">
        <v>0</v>
      </c>
      <c r="X961" s="941">
        <v>0</v>
      </c>
      <c r="Y961" s="941">
        <v>0</v>
      </c>
      <c r="Z961" s="941">
        <v>0</v>
      </c>
      <c r="AA961" s="942">
        <v>638</v>
      </c>
      <c r="AB961" s="942">
        <v>3456</v>
      </c>
      <c r="AC961" s="942">
        <v>0</v>
      </c>
      <c r="AD961" s="942">
        <v>0</v>
      </c>
      <c r="AE961" s="942">
        <v>15</v>
      </c>
      <c r="AF961" s="942">
        <v>90</v>
      </c>
      <c r="AG961" s="943">
        <f>comparaison_samebasis_villages[[#This Row],[previous idp_ind]]-comparaison_samebasis_villages[[#This Row],[actual idp_ind]]</f>
        <v>-25</v>
      </c>
      <c r="AH961" s="943">
        <f>comparaison_samebasis_villages[[#This Row],[previous ref_ind]]-comparaison_samebasis_villages[[#This Row],[actual ref_ind]]</f>
        <v>0</v>
      </c>
      <c r="AI961" s="943">
        <f>comparaison_samebasis_villages[[#This Row],[previous ret_ind]]-comparaison_samebasis_villages[[#This Row],[actual ret_ind]]</f>
        <v>90</v>
      </c>
    </row>
    <row r="962" spans="15:35" ht="15.75" customHeight="1" x14ac:dyDescent="0.3">
      <c r="O962" s="399" t="s">
        <v>34</v>
      </c>
      <c r="P962" s="399" t="s">
        <v>34</v>
      </c>
      <c r="Q962" s="399" t="s">
        <v>188</v>
      </c>
      <c r="R962" s="399" t="s">
        <v>188</v>
      </c>
      <c r="S962" s="399" t="s">
        <v>1178</v>
      </c>
      <c r="T962" s="399" t="s">
        <v>1070</v>
      </c>
      <c r="U962" s="941">
        <v>83</v>
      </c>
      <c r="V962" s="941">
        <v>476</v>
      </c>
      <c r="W962" s="941">
        <v>0</v>
      </c>
      <c r="X962" s="941">
        <v>0</v>
      </c>
      <c r="Y962" s="941">
        <v>8</v>
      </c>
      <c r="Z962" s="941">
        <v>8</v>
      </c>
      <c r="AA962" s="942">
        <v>83</v>
      </c>
      <c r="AB962" s="942">
        <v>469</v>
      </c>
      <c r="AC962" s="942">
        <v>0</v>
      </c>
      <c r="AD962" s="942">
        <v>0</v>
      </c>
      <c r="AE962" s="942">
        <v>8</v>
      </c>
      <c r="AF962" s="942">
        <v>71</v>
      </c>
      <c r="AG962" s="943">
        <f>comparaison_samebasis_villages[[#This Row],[previous idp_ind]]-comparaison_samebasis_villages[[#This Row],[actual idp_ind]]</f>
        <v>-7</v>
      </c>
      <c r="AH962" s="943">
        <f>comparaison_samebasis_villages[[#This Row],[previous ref_ind]]-comparaison_samebasis_villages[[#This Row],[actual ref_ind]]</f>
        <v>0</v>
      </c>
      <c r="AI962" s="943">
        <f>comparaison_samebasis_villages[[#This Row],[previous ret_ind]]-comparaison_samebasis_villages[[#This Row],[actual ret_ind]]</f>
        <v>63</v>
      </c>
    </row>
    <row r="963" spans="15:35" ht="15.75" customHeight="1" x14ac:dyDescent="0.3">
      <c r="O963" s="399" t="s">
        <v>34</v>
      </c>
      <c r="P963" s="399" t="s">
        <v>34</v>
      </c>
      <c r="Q963" s="399" t="s">
        <v>188</v>
      </c>
      <c r="R963" s="399" t="s">
        <v>188</v>
      </c>
      <c r="S963" s="399" t="s">
        <v>1487</v>
      </c>
      <c r="T963" s="399" t="s">
        <v>1177</v>
      </c>
      <c r="U963" s="941">
        <v>159</v>
      </c>
      <c r="V963" s="941">
        <v>626</v>
      </c>
      <c r="W963" s="941">
        <v>0</v>
      </c>
      <c r="X963" s="941">
        <v>0</v>
      </c>
      <c r="Y963" s="941">
        <v>0</v>
      </c>
      <c r="Z963" s="941">
        <v>0</v>
      </c>
      <c r="AA963" s="942">
        <v>169</v>
      </c>
      <c r="AB963" s="942">
        <v>612</v>
      </c>
      <c r="AC963" s="942">
        <v>0</v>
      </c>
      <c r="AD963" s="942">
        <v>0</v>
      </c>
      <c r="AE963" s="942">
        <v>0</v>
      </c>
      <c r="AF963" s="942">
        <v>0</v>
      </c>
      <c r="AG963" s="943">
        <f>comparaison_samebasis_villages[[#This Row],[previous idp_ind]]-comparaison_samebasis_villages[[#This Row],[actual idp_ind]]</f>
        <v>-14</v>
      </c>
      <c r="AH963" s="943">
        <f>comparaison_samebasis_villages[[#This Row],[previous ref_ind]]-comparaison_samebasis_villages[[#This Row],[actual ref_ind]]</f>
        <v>0</v>
      </c>
      <c r="AI963" s="943">
        <f>comparaison_samebasis_villages[[#This Row],[previous ret_ind]]-comparaison_samebasis_villages[[#This Row],[actual ret_ind]]</f>
        <v>0</v>
      </c>
    </row>
    <row r="964" spans="15:35" ht="15.75" customHeight="1" x14ac:dyDescent="0.3">
      <c r="O964" s="399" t="s">
        <v>34</v>
      </c>
      <c r="P964" s="399" t="s">
        <v>34</v>
      </c>
      <c r="Q964" s="399" t="s">
        <v>188</v>
      </c>
      <c r="R964" s="399" t="s">
        <v>188</v>
      </c>
      <c r="S964" s="399" t="s">
        <v>1384</v>
      </c>
      <c r="T964" s="399" t="s">
        <v>2949</v>
      </c>
      <c r="U964" s="941">
        <v>86</v>
      </c>
      <c r="V964" s="941">
        <v>403</v>
      </c>
      <c r="W964" s="941">
        <v>0</v>
      </c>
      <c r="X964" s="941">
        <v>0</v>
      </c>
      <c r="Y964" s="941">
        <v>0</v>
      </c>
      <c r="Z964" s="941">
        <v>0</v>
      </c>
      <c r="AA964" s="942">
        <v>86</v>
      </c>
      <c r="AB964" s="942">
        <v>402</v>
      </c>
      <c r="AC964" s="942">
        <v>0</v>
      </c>
      <c r="AD964" s="942">
        <v>0</v>
      </c>
      <c r="AE964" s="942">
        <v>0</v>
      </c>
      <c r="AF964" s="942">
        <v>0</v>
      </c>
      <c r="AG964" s="943">
        <f>comparaison_samebasis_villages[[#This Row],[previous idp_ind]]-comparaison_samebasis_villages[[#This Row],[actual idp_ind]]</f>
        <v>-1</v>
      </c>
      <c r="AH964" s="943">
        <f>comparaison_samebasis_villages[[#This Row],[previous ref_ind]]-comparaison_samebasis_villages[[#This Row],[actual ref_ind]]</f>
        <v>0</v>
      </c>
      <c r="AI964" s="943">
        <f>comparaison_samebasis_villages[[#This Row],[previous ret_ind]]-comparaison_samebasis_villages[[#This Row],[actual ret_ind]]</f>
        <v>0</v>
      </c>
    </row>
    <row r="965" spans="15:35" ht="15.75" customHeight="1" x14ac:dyDescent="0.3">
      <c r="O965" s="399" t="s">
        <v>34</v>
      </c>
      <c r="P965" s="399" t="s">
        <v>34</v>
      </c>
      <c r="Q965" s="399" t="s">
        <v>188</v>
      </c>
      <c r="R965" s="399" t="s">
        <v>188</v>
      </c>
      <c r="S965" s="399" t="s">
        <v>1184</v>
      </c>
      <c r="T965" s="399" t="s">
        <v>1486</v>
      </c>
      <c r="U965" s="941">
        <v>920</v>
      </c>
      <c r="V965" s="941">
        <v>11394</v>
      </c>
      <c r="W965" s="941">
        <v>0</v>
      </c>
      <c r="X965" s="941">
        <v>0</v>
      </c>
      <c r="Y965" s="941">
        <v>0</v>
      </c>
      <c r="Z965" s="941">
        <v>0</v>
      </c>
      <c r="AA965" s="942">
        <v>920</v>
      </c>
      <c r="AB965" s="942">
        <v>11329</v>
      </c>
      <c r="AC965" s="942">
        <v>0</v>
      </c>
      <c r="AD965" s="942">
        <v>0</v>
      </c>
      <c r="AE965" s="942">
        <v>0</v>
      </c>
      <c r="AF965" s="942">
        <v>0</v>
      </c>
      <c r="AG965" s="943">
        <f>comparaison_samebasis_villages[[#This Row],[previous idp_ind]]-comparaison_samebasis_villages[[#This Row],[actual idp_ind]]</f>
        <v>-65</v>
      </c>
      <c r="AH965" s="943">
        <f>comparaison_samebasis_villages[[#This Row],[previous ref_ind]]-comparaison_samebasis_villages[[#This Row],[actual ref_ind]]</f>
        <v>0</v>
      </c>
      <c r="AI965" s="943">
        <f>comparaison_samebasis_villages[[#This Row],[previous ret_ind]]-comparaison_samebasis_villages[[#This Row],[actual ret_ind]]</f>
        <v>0</v>
      </c>
    </row>
    <row r="966" spans="15:35" ht="15.75" customHeight="1" x14ac:dyDescent="0.3">
      <c r="O966" s="399" t="s">
        <v>34</v>
      </c>
      <c r="P966" s="399" t="s">
        <v>34</v>
      </c>
      <c r="Q966" s="399" t="s">
        <v>188</v>
      </c>
      <c r="R966" s="399" t="s">
        <v>188</v>
      </c>
      <c r="S966" s="399" t="s">
        <v>1688</v>
      </c>
      <c r="T966" s="399" t="s">
        <v>1383</v>
      </c>
      <c r="U966" s="941">
        <v>125</v>
      </c>
      <c r="V966" s="941">
        <v>648</v>
      </c>
      <c r="W966" s="941">
        <v>0</v>
      </c>
      <c r="X966" s="941">
        <v>0</v>
      </c>
      <c r="Y966" s="941">
        <v>0</v>
      </c>
      <c r="Z966" s="941">
        <v>0</v>
      </c>
      <c r="AA966" s="942">
        <v>127</v>
      </c>
      <c r="AB966" s="942">
        <v>652</v>
      </c>
      <c r="AC966" s="942">
        <v>0</v>
      </c>
      <c r="AD966" s="942">
        <v>0</v>
      </c>
      <c r="AE966" s="942">
        <v>0</v>
      </c>
      <c r="AF966" s="942">
        <v>0</v>
      </c>
      <c r="AG966" s="943">
        <f>comparaison_samebasis_villages[[#This Row],[previous idp_ind]]-comparaison_samebasis_villages[[#This Row],[actual idp_ind]]</f>
        <v>4</v>
      </c>
      <c r="AH966" s="943">
        <f>comparaison_samebasis_villages[[#This Row],[previous ref_ind]]-comparaison_samebasis_villages[[#This Row],[actual ref_ind]]</f>
        <v>0</v>
      </c>
      <c r="AI966" s="943">
        <f>comparaison_samebasis_villages[[#This Row],[previous ret_ind]]-comparaison_samebasis_villages[[#This Row],[actual ret_ind]]</f>
        <v>0</v>
      </c>
    </row>
    <row r="967" spans="15:35" ht="15.75" customHeight="1" x14ac:dyDescent="0.3">
      <c r="O967" s="399" t="s">
        <v>34</v>
      </c>
      <c r="P967" s="399" t="s">
        <v>34</v>
      </c>
      <c r="Q967" s="399" t="s">
        <v>188</v>
      </c>
      <c r="R967" s="399" t="s">
        <v>188</v>
      </c>
      <c r="S967" s="399" t="s">
        <v>1512</v>
      </c>
      <c r="T967" s="399" t="s">
        <v>1183</v>
      </c>
      <c r="U967" s="941">
        <v>135</v>
      </c>
      <c r="V967" s="941">
        <v>682</v>
      </c>
      <c r="W967" s="941">
        <v>0</v>
      </c>
      <c r="X967" s="941">
        <v>0</v>
      </c>
      <c r="Y967" s="941">
        <v>90</v>
      </c>
      <c r="Z967" s="941">
        <v>90</v>
      </c>
      <c r="AA967" s="942">
        <v>131</v>
      </c>
      <c r="AB967" s="942">
        <v>658</v>
      </c>
      <c r="AC967" s="942">
        <v>0</v>
      </c>
      <c r="AD967" s="942">
        <v>0</v>
      </c>
      <c r="AE967" s="942">
        <v>90</v>
      </c>
      <c r="AF967" s="942">
        <v>377</v>
      </c>
      <c r="AG967" s="943">
        <f>comparaison_samebasis_villages[[#This Row],[previous idp_ind]]-comparaison_samebasis_villages[[#This Row],[actual idp_ind]]</f>
        <v>-24</v>
      </c>
      <c r="AH967" s="943">
        <f>comparaison_samebasis_villages[[#This Row],[previous ref_ind]]-comparaison_samebasis_villages[[#This Row],[actual ref_ind]]</f>
        <v>0</v>
      </c>
      <c r="AI967" s="943">
        <f>comparaison_samebasis_villages[[#This Row],[previous ret_ind]]-comparaison_samebasis_villages[[#This Row],[actual ret_ind]]</f>
        <v>287</v>
      </c>
    </row>
    <row r="968" spans="15:35" ht="15.75" customHeight="1" x14ac:dyDescent="0.3">
      <c r="O968" s="399" t="s">
        <v>34</v>
      </c>
      <c r="P968" s="399" t="s">
        <v>34</v>
      </c>
      <c r="Q968" s="399" t="s">
        <v>188</v>
      </c>
      <c r="R968" s="399" t="s">
        <v>188</v>
      </c>
      <c r="S968" s="399" t="s">
        <v>1492</v>
      </c>
      <c r="T968" s="399" t="s">
        <v>1687</v>
      </c>
      <c r="U968" s="941">
        <v>109</v>
      </c>
      <c r="V968" s="941">
        <v>856</v>
      </c>
      <c r="W968" s="941">
        <v>0</v>
      </c>
      <c r="X968" s="941">
        <v>0</v>
      </c>
      <c r="Y968" s="941">
        <v>15</v>
      </c>
      <c r="Z968" s="941">
        <v>15</v>
      </c>
      <c r="AA968" s="942">
        <v>110</v>
      </c>
      <c r="AB968" s="942">
        <v>853</v>
      </c>
      <c r="AC968" s="942">
        <v>0</v>
      </c>
      <c r="AD968" s="942">
        <v>0</v>
      </c>
      <c r="AE968" s="942">
        <v>15</v>
      </c>
      <c r="AF968" s="942">
        <v>80</v>
      </c>
      <c r="AG968" s="943">
        <f>comparaison_samebasis_villages[[#This Row],[previous idp_ind]]-comparaison_samebasis_villages[[#This Row],[actual idp_ind]]</f>
        <v>-3</v>
      </c>
      <c r="AH968" s="943">
        <f>comparaison_samebasis_villages[[#This Row],[previous ref_ind]]-comparaison_samebasis_villages[[#This Row],[actual ref_ind]]</f>
        <v>0</v>
      </c>
      <c r="AI968" s="943">
        <f>comparaison_samebasis_villages[[#This Row],[previous ret_ind]]-comparaison_samebasis_villages[[#This Row],[actual ret_ind]]</f>
        <v>65</v>
      </c>
    </row>
    <row r="969" spans="15:35" ht="15.75" customHeight="1" x14ac:dyDescent="0.3">
      <c r="O969" s="399" t="s">
        <v>34</v>
      </c>
      <c r="P969" s="399" t="s">
        <v>34</v>
      </c>
      <c r="Q969" s="399" t="s">
        <v>188</v>
      </c>
      <c r="R969" s="399" t="s">
        <v>188</v>
      </c>
      <c r="S969" s="399" t="s">
        <v>988</v>
      </c>
      <c r="T969" s="399" t="s">
        <v>1511</v>
      </c>
      <c r="U969" s="941">
        <v>153</v>
      </c>
      <c r="V969" s="941">
        <v>880</v>
      </c>
      <c r="W969" s="941">
        <v>0</v>
      </c>
      <c r="X969" s="941">
        <v>0</v>
      </c>
      <c r="Y969" s="941">
        <v>0</v>
      </c>
      <c r="Z969" s="941">
        <v>0</v>
      </c>
      <c r="AA969" s="942">
        <v>148</v>
      </c>
      <c r="AB969" s="942">
        <v>855</v>
      </c>
      <c r="AC969" s="942">
        <v>0</v>
      </c>
      <c r="AD969" s="942">
        <v>0</v>
      </c>
      <c r="AE969" s="942">
        <v>0</v>
      </c>
      <c r="AF969" s="942">
        <v>0</v>
      </c>
      <c r="AG969" s="943">
        <f>comparaison_samebasis_villages[[#This Row],[previous idp_ind]]-comparaison_samebasis_villages[[#This Row],[actual idp_ind]]</f>
        <v>-25</v>
      </c>
      <c r="AH969" s="943">
        <f>comparaison_samebasis_villages[[#This Row],[previous ref_ind]]-comparaison_samebasis_villages[[#This Row],[actual ref_ind]]</f>
        <v>0</v>
      </c>
      <c r="AI969" s="943">
        <f>comparaison_samebasis_villages[[#This Row],[previous ret_ind]]-comparaison_samebasis_villages[[#This Row],[actual ret_ind]]</f>
        <v>0</v>
      </c>
    </row>
    <row r="970" spans="15:35" ht="15.75" customHeight="1" x14ac:dyDescent="0.3">
      <c r="O970" s="399" t="s">
        <v>34</v>
      </c>
      <c r="P970" s="399" t="s">
        <v>34</v>
      </c>
      <c r="Q970" s="399" t="s">
        <v>188</v>
      </c>
      <c r="R970" s="399" t="s">
        <v>188</v>
      </c>
      <c r="S970" s="399" t="s">
        <v>1678</v>
      </c>
      <c r="T970" s="399" t="s">
        <v>3003</v>
      </c>
      <c r="U970" s="941">
        <v>281</v>
      </c>
      <c r="V970" s="941">
        <v>1168</v>
      </c>
      <c r="W970" s="941">
        <v>0</v>
      </c>
      <c r="X970" s="941">
        <v>0</v>
      </c>
      <c r="Y970" s="941">
        <v>0</v>
      </c>
      <c r="Z970" s="941">
        <v>0</v>
      </c>
      <c r="AA970" s="942">
        <v>276</v>
      </c>
      <c r="AB970" s="942">
        <v>1135</v>
      </c>
      <c r="AC970" s="942">
        <v>0</v>
      </c>
      <c r="AD970" s="942">
        <v>0</v>
      </c>
      <c r="AE970" s="942">
        <v>0</v>
      </c>
      <c r="AF970" s="942">
        <v>0</v>
      </c>
      <c r="AG970" s="943">
        <f>comparaison_samebasis_villages[[#This Row],[previous idp_ind]]-comparaison_samebasis_villages[[#This Row],[actual idp_ind]]</f>
        <v>-33</v>
      </c>
      <c r="AH970" s="943">
        <f>comparaison_samebasis_villages[[#This Row],[previous ref_ind]]-comparaison_samebasis_villages[[#This Row],[actual ref_ind]]</f>
        <v>0</v>
      </c>
      <c r="AI970" s="943">
        <f>comparaison_samebasis_villages[[#This Row],[previous ret_ind]]-comparaison_samebasis_villages[[#This Row],[actual ret_ind]]</f>
        <v>0</v>
      </c>
    </row>
    <row r="971" spans="15:35" ht="15.75" customHeight="1" x14ac:dyDescent="0.3">
      <c r="O971" s="399" t="s">
        <v>34</v>
      </c>
      <c r="P971" s="399" t="s">
        <v>34</v>
      </c>
      <c r="Q971" s="399" t="s">
        <v>188</v>
      </c>
      <c r="R971" s="399" t="s">
        <v>188</v>
      </c>
      <c r="S971" s="399" t="s">
        <v>754</v>
      </c>
      <c r="T971" s="399" t="s">
        <v>1491</v>
      </c>
      <c r="U971" s="941">
        <v>122</v>
      </c>
      <c r="V971" s="941">
        <v>776</v>
      </c>
      <c r="W971" s="941">
        <v>0</v>
      </c>
      <c r="X971" s="941">
        <v>0</v>
      </c>
      <c r="Y971" s="941">
        <v>0</v>
      </c>
      <c r="Z971" s="941">
        <v>0</v>
      </c>
      <c r="AA971" s="942">
        <v>117</v>
      </c>
      <c r="AB971" s="942">
        <v>755</v>
      </c>
      <c r="AC971" s="942">
        <v>0</v>
      </c>
      <c r="AD971" s="942">
        <v>0</v>
      </c>
      <c r="AE971" s="942">
        <v>0</v>
      </c>
      <c r="AF971" s="942">
        <v>0</v>
      </c>
      <c r="AG971" s="943">
        <f>comparaison_samebasis_villages[[#This Row],[previous idp_ind]]-comparaison_samebasis_villages[[#This Row],[actual idp_ind]]</f>
        <v>-21</v>
      </c>
      <c r="AH971" s="943">
        <f>comparaison_samebasis_villages[[#This Row],[previous ref_ind]]-comparaison_samebasis_villages[[#This Row],[actual ref_ind]]</f>
        <v>0</v>
      </c>
      <c r="AI971" s="943">
        <f>comparaison_samebasis_villages[[#This Row],[previous ret_ind]]-comparaison_samebasis_villages[[#This Row],[actual ret_ind]]</f>
        <v>0</v>
      </c>
    </row>
    <row r="972" spans="15:35" ht="15.75" customHeight="1" x14ac:dyDescent="0.3">
      <c r="O972" s="399" t="s">
        <v>34</v>
      </c>
      <c r="P972" s="399" t="s">
        <v>34</v>
      </c>
      <c r="Q972" s="399" t="s">
        <v>188</v>
      </c>
      <c r="R972" s="399" t="s">
        <v>188</v>
      </c>
      <c r="S972" s="399" t="s">
        <v>611</v>
      </c>
      <c r="T972" s="399" t="s">
        <v>987</v>
      </c>
      <c r="U972" s="941">
        <v>374</v>
      </c>
      <c r="V972" s="941">
        <v>2199</v>
      </c>
      <c r="W972" s="941">
        <v>0</v>
      </c>
      <c r="X972" s="941">
        <v>0</v>
      </c>
      <c r="Y972" s="941">
        <v>0</v>
      </c>
      <c r="Z972" s="941">
        <v>0</v>
      </c>
      <c r="AA972" s="942">
        <v>419</v>
      </c>
      <c r="AB972" s="942">
        <v>2450</v>
      </c>
      <c r="AC972" s="942">
        <v>0</v>
      </c>
      <c r="AD972" s="942">
        <v>0</v>
      </c>
      <c r="AE972" s="942">
        <v>0</v>
      </c>
      <c r="AF972" s="942">
        <v>0</v>
      </c>
      <c r="AG972" s="943">
        <f>comparaison_samebasis_villages[[#This Row],[previous idp_ind]]-comparaison_samebasis_villages[[#This Row],[actual idp_ind]]</f>
        <v>251</v>
      </c>
      <c r="AH972" s="943">
        <f>comparaison_samebasis_villages[[#This Row],[previous ref_ind]]-comparaison_samebasis_villages[[#This Row],[actual ref_ind]]</f>
        <v>0</v>
      </c>
      <c r="AI972" s="943">
        <f>comparaison_samebasis_villages[[#This Row],[previous ret_ind]]-comparaison_samebasis_villages[[#This Row],[actual ret_ind]]</f>
        <v>0</v>
      </c>
    </row>
    <row r="973" spans="15:35" ht="15.75" customHeight="1" x14ac:dyDescent="0.3">
      <c r="O973" s="399" t="s">
        <v>34</v>
      </c>
      <c r="P973" s="399" t="s">
        <v>34</v>
      </c>
      <c r="Q973" s="399" t="s">
        <v>188</v>
      </c>
      <c r="R973" s="399" t="s">
        <v>188</v>
      </c>
      <c r="S973" s="399" t="s">
        <v>1496</v>
      </c>
      <c r="T973" s="399" t="s">
        <v>1677</v>
      </c>
      <c r="U973" s="941">
        <v>197</v>
      </c>
      <c r="V973" s="941">
        <v>740</v>
      </c>
      <c r="W973" s="941">
        <v>0</v>
      </c>
      <c r="X973" s="941">
        <v>0</v>
      </c>
      <c r="Y973" s="941">
        <v>0</v>
      </c>
      <c r="Z973" s="941">
        <v>0</v>
      </c>
      <c r="AA973" s="942">
        <v>192</v>
      </c>
      <c r="AB973" s="942">
        <v>688</v>
      </c>
      <c r="AC973" s="942">
        <v>0</v>
      </c>
      <c r="AD973" s="942">
        <v>0</v>
      </c>
      <c r="AE973" s="942">
        <v>0</v>
      </c>
      <c r="AF973" s="942">
        <v>0</v>
      </c>
      <c r="AG973" s="943">
        <f>comparaison_samebasis_villages[[#This Row],[previous idp_ind]]-comparaison_samebasis_villages[[#This Row],[actual idp_ind]]</f>
        <v>-52</v>
      </c>
      <c r="AH973" s="943">
        <f>comparaison_samebasis_villages[[#This Row],[previous ref_ind]]-comparaison_samebasis_villages[[#This Row],[actual ref_ind]]</f>
        <v>0</v>
      </c>
      <c r="AI973" s="943">
        <f>comparaison_samebasis_villages[[#This Row],[previous ret_ind]]-comparaison_samebasis_villages[[#This Row],[actual ret_ind]]</f>
        <v>0</v>
      </c>
    </row>
    <row r="974" spans="15:35" ht="15.75" customHeight="1" x14ac:dyDescent="0.3">
      <c r="O974" s="399" t="s">
        <v>34</v>
      </c>
      <c r="P974" s="399" t="s">
        <v>34</v>
      </c>
      <c r="Q974" s="399" t="s">
        <v>188</v>
      </c>
      <c r="R974" s="399" t="s">
        <v>188</v>
      </c>
      <c r="S974" s="399" t="s">
        <v>1489</v>
      </c>
      <c r="T974" s="399" t="s">
        <v>2852</v>
      </c>
      <c r="U974" s="941">
        <v>98</v>
      </c>
      <c r="V974" s="941">
        <v>794</v>
      </c>
      <c r="W974" s="941">
        <v>0</v>
      </c>
      <c r="X974" s="941">
        <v>0</v>
      </c>
      <c r="Y974" s="941">
        <v>0</v>
      </c>
      <c r="Z974" s="941">
        <v>0</v>
      </c>
      <c r="AA974" s="942">
        <v>94</v>
      </c>
      <c r="AB974" s="942">
        <v>743</v>
      </c>
      <c r="AC974" s="942">
        <v>0</v>
      </c>
      <c r="AD974" s="942">
        <v>0</v>
      </c>
      <c r="AE974" s="942">
        <v>0</v>
      </c>
      <c r="AF974" s="942">
        <v>0</v>
      </c>
      <c r="AG974" s="943">
        <f>comparaison_samebasis_villages[[#This Row],[previous idp_ind]]-comparaison_samebasis_villages[[#This Row],[actual idp_ind]]</f>
        <v>-51</v>
      </c>
      <c r="AH974" s="943">
        <f>comparaison_samebasis_villages[[#This Row],[previous ref_ind]]-comparaison_samebasis_villages[[#This Row],[actual ref_ind]]</f>
        <v>0</v>
      </c>
      <c r="AI974" s="943">
        <f>comparaison_samebasis_villages[[#This Row],[previous ret_ind]]-comparaison_samebasis_villages[[#This Row],[actual ret_ind]]</f>
        <v>0</v>
      </c>
    </row>
    <row r="975" spans="15:35" ht="15.75" customHeight="1" x14ac:dyDescent="0.3">
      <c r="O975" s="399" t="s">
        <v>34</v>
      </c>
      <c r="P975" s="399" t="s">
        <v>34</v>
      </c>
      <c r="Q975" s="399" t="s">
        <v>188</v>
      </c>
      <c r="R975" s="399" t="s">
        <v>188</v>
      </c>
      <c r="S975" s="399" t="s">
        <v>1682</v>
      </c>
      <c r="T975" s="399" t="s">
        <v>753</v>
      </c>
      <c r="U975" s="941">
        <v>308</v>
      </c>
      <c r="V975" s="941">
        <v>696</v>
      </c>
      <c r="W975" s="941">
        <v>0</v>
      </c>
      <c r="X975" s="941">
        <v>0</v>
      </c>
      <c r="Y975" s="941">
        <v>0</v>
      </c>
      <c r="Z975" s="941">
        <v>0</v>
      </c>
      <c r="AA975" s="942">
        <v>308</v>
      </c>
      <c r="AB975" s="942">
        <v>693</v>
      </c>
      <c r="AC975" s="942">
        <v>0</v>
      </c>
      <c r="AD975" s="942">
        <v>0</v>
      </c>
      <c r="AE975" s="942">
        <v>0</v>
      </c>
      <c r="AF975" s="942">
        <v>0</v>
      </c>
      <c r="AG975" s="943">
        <f>comparaison_samebasis_villages[[#This Row],[previous idp_ind]]-comparaison_samebasis_villages[[#This Row],[actual idp_ind]]</f>
        <v>-3</v>
      </c>
      <c r="AH975" s="943">
        <f>comparaison_samebasis_villages[[#This Row],[previous ref_ind]]-comparaison_samebasis_villages[[#This Row],[actual ref_ind]]</f>
        <v>0</v>
      </c>
      <c r="AI975" s="943">
        <f>comparaison_samebasis_villages[[#This Row],[previous ret_ind]]-comparaison_samebasis_villages[[#This Row],[actual ret_ind]]</f>
        <v>0</v>
      </c>
    </row>
    <row r="976" spans="15:35" ht="15.75" customHeight="1" x14ac:dyDescent="0.3">
      <c r="O976" s="399" t="s">
        <v>34</v>
      </c>
      <c r="P976" s="399" t="s">
        <v>34</v>
      </c>
      <c r="Q976" s="399" t="s">
        <v>188</v>
      </c>
      <c r="R976" s="399" t="s">
        <v>188</v>
      </c>
      <c r="S976" s="399" t="s">
        <v>1676</v>
      </c>
      <c r="T976" s="399" t="s">
        <v>610</v>
      </c>
      <c r="U976" s="941">
        <v>62</v>
      </c>
      <c r="V976" s="941">
        <v>422</v>
      </c>
      <c r="W976" s="941">
        <v>0</v>
      </c>
      <c r="X976" s="941">
        <v>0</v>
      </c>
      <c r="Y976" s="941">
        <v>0</v>
      </c>
      <c r="Z976" s="941">
        <v>0</v>
      </c>
      <c r="AA976" s="942">
        <v>64</v>
      </c>
      <c r="AB976" s="942">
        <v>427</v>
      </c>
      <c r="AC976" s="942">
        <v>0</v>
      </c>
      <c r="AD976" s="942">
        <v>0</v>
      </c>
      <c r="AE976" s="942">
        <v>0</v>
      </c>
      <c r="AF976" s="942">
        <v>0</v>
      </c>
      <c r="AG976" s="943">
        <f>comparaison_samebasis_villages[[#This Row],[previous idp_ind]]-comparaison_samebasis_villages[[#This Row],[actual idp_ind]]</f>
        <v>5</v>
      </c>
      <c r="AH976" s="943">
        <f>comparaison_samebasis_villages[[#This Row],[previous ref_ind]]-comparaison_samebasis_villages[[#This Row],[actual ref_ind]]</f>
        <v>0</v>
      </c>
      <c r="AI976" s="943">
        <f>comparaison_samebasis_villages[[#This Row],[previous ret_ind]]-comparaison_samebasis_villages[[#This Row],[actual ret_ind]]</f>
        <v>0</v>
      </c>
    </row>
    <row r="977" spans="15:35" ht="15.75" customHeight="1" x14ac:dyDescent="0.3">
      <c r="O977" s="399" t="s">
        <v>34</v>
      </c>
      <c r="P977" s="399" t="s">
        <v>34</v>
      </c>
      <c r="Q977" s="399" t="s">
        <v>188</v>
      </c>
      <c r="R977" s="399" t="s">
        <v>188</v>
      </c>
      <c r="S977" s="399" t="s">
        <v>548</v>
      </c>
      <c r="T977" s="399" t="s">
        <v>1495</v>
      </c>
      <c r="U977" s="941">
        <v>39</v>
      </c>
      <c r="V977" s="941">
        <v>296</v>
      </c>
      <c r="W977" s="941">
        <v>0</v>
      </c>
      <c r="X977" s="941">
        <v>0</v>
      </c>
      <c r="Y977" s="941">
        <v>0</v>
      </c>
      <c r="Z977" s="941">
        <v>0</v>
      </c>
      <c r="AA977" s="942">
        <v>37</v>
      </c>
      <c r="AB977" s="942">
        <v>281</v>
      </c>
      <c r="AC977" s="942">
        <v>0</v>
      </c>
      <c r="AD977" s="942">
        <v>0</v>
      </c>
      <c r="AE977" s="942">
        <v>0</v>
      </c>
      <c r="AF977" s="942">
        <v>0</v>
      </c>
      <c r="AG977" s="943">
        <f>comparaison_samebasis_villages[[#This Row],[previous idp_ind]]-comparaison_samebasis_villages[[#This Row],[actual idp_ind]]</f>
        <v>-15</v>
      </c>
      <c r="AH977" s="943">
        <f>comparaison_samebasis_villages[[#This Row],[previous ref_ind]]-comparaison_samebasis_villages[[#This Row],[actual ref_ind]]</f>
        <v>0</v>
      </c>
      <c r="AI977" s="943">
        <f>comparaison_samebasis_villages[[#This Row],[previous ret_ind]]-comparaison_samebasis_villages[[#This Row],[actual ret_ind]]</f>
        <v>0</v>
      </c>
    </row>
    <row r="978" spans="15:35" ht="15.75" customHeight="1" x14ac:dyDescent="0.3">
      <c r="O978" s="399" t="s">
        <v>34</v>
      </c>
      <c r="P978" s="399" t="s">
        <v>34</v>
      </c>
      <c r="Q978" s="399" t="s">
        <v>188</v>
      </c>
      <c r="R978" s="399" t="s">
        <v>188</v>
      </c>
      <c r="S978" s="399" t="s">
        <v>1498</v>
      </c>
      <c r="T978" s="399" t="s">
        <v>2849</v>
      </c>
      <c r="U978" s="941">
        <v>136</v>
      </c>
      <c r="V978" s="941">
        <v>680</v>
      </c>
      <c r="W978" s="941">
        <v>1</v>
      </c>
      <c r="X978" s="941">
        <v>10</v>
      </c>
      <c r="Y978" s="941">
        <v>473</v>
      </c>
      <c r="Z978" s="941">
        <v>473</v>
      </c>
      <c r="AA978" s="942">
        <v>136</v>
      </c>
      <c r="AB978" s="942">
        <v>692</v>
      </c>
      <c r="AC978" s="942">
        <v>1</v>
      </c>
      <c r="AD978" s="942">
        <v>10</v>
      </c>
      <c r="AE978" s="942">
        <v>467</v>
      </c>
      <c r="AF978" s="942">
        <v>2818</v>
      </c>
      <c r="AG978" s="943">
        <f>comparaison_samebasis_villages[[#This Row],[previous idp_ind]]-comparaison_samebasis_villages[[#This Row],[actual idp_ind]]</f>
        <v>12</v>
      </c>
      <c r="AH978" s="943">
        <f>comparaison_samebasis_villages[[#This Row],[previous ref_ind]]-comparaison_samebasis_villages[[#This Row],[actual ref_ind]]</f>
        <v>0</v>
      </c>
      <c r="AI978" s="943">
        <f>comparaison_samebasis_villages[[#This Row],[previous ret_ind]]-comparaison_samebasis_villages[[#This Row],[actual ret_ind]]</f>
        <v>2345</v>
      </c>
    </row>
    <row r="979" spans="15:35" ht="15.75" customHeight="1" x14ac:dyDescent="0.3">
      <c r="O979" s="399" t="s">
        <v>34</v>
      </c>
      <c r="P979" s="399" t="s">
        <v>34</v>
      </c>
      <c r="Q979" s="399" t="s">
        <v>188</v>
      </c>
      <c r="R979" s="399" t="s">
        <v>188</v>
      </c>
      <c r="S979" s="399" t="s">
        <v>1514</v>
      </c>
      <c r="T979" s="399" t="s">
        <v>1488</v>
      </c>
      <c r="U979" s="941">
        <v>74</v>
      </c>
      <c r="V979" s="941">
        <v>366</v>
      </c>
      <c r="W979" s="941">
        <v>3</v>
      </c>
      <c r="X979" s="941">
        <v>12</v>
      </c>
      <c r="Y979" s="941">
        <v>35</v>
      </c>
      <c r="Z979" s="941">
        <v>35</v>
      </c>
      <c r="AA979" s="942">
        <v>70</v>
      </c>
      <c r="AB979" s="942">
        <v>354</v>
      </c>
      <c r="AC979" s="942">
        <v>3</v>
      </c>
      <c r="AD979" s="942">
        <v>12</v>
      </c>
      <c r="AE979" s="942">
        <v>20</v>
      </c>
      <c r="AF979" s="942">
        <v>103</v>
      </c>
      <c r="AG979" s="943">
        <f>comparaison_samebasis_villages[[#This Row],[previous idp_ind]]-comparaison_samebasis_villages[[#This Row],[actual idp_ind]]</f>
        <v>-12</v>
      </c>
      <c r="AH979" s="943">
        <f>comparaison_samebasis_villages[[#This Row],[previous ref_ind]]-comparaison_samebasis_villages[[#This Row],[actual ref_ind]]</f>
        <v>0</v>
      </c>
      <c r="AI979" s="943">
        <f>comparaison_samebasis_villages[[#This Row],[previous ret_ind]]-comparaison_samebasis_villages[[#This Row],[actual ret_ind]]</f>
        <v>68</v>
      </c>
    </row>
    <row r="980" spans="15:35" ht="15.75" customHeight="1" x14ac:dyDescent="0.3">
      <c r="O980" s="399" t="s">
        <v>34</v>
      </c>
      <c r="P980" s="399" t="s">
        <v>34</v>
      </c>
      <c r="Q980" s="399" t="s">
        <v>188</v>
      </c>
      <c r="R980" s="399" t="s">
        <v>188</v>
      </c>
      <c r="S980" s="399" t="s">
        <v>1792</v>
      </c>
      <c r="T980" s="399" t="s">
        <v>1681</v>
      </c>
      <c r="U980" s="941">
        <v>612</v>
      </c>
      <c r="V980" s="941">
        <v>2937</v>
      </c>
      <c r="W980" s="941">
        <v>608</v>
      </c>
      <c r="X980" s="941">
        <v>3096</v>
      </c>
      <c r="Y980" s="941">
        <v>180</v>
      </c>
      <c r="Z980" s="941">
        <v>180</v>
      </c>
      <c r="AA980" s="942">
        <v>612</v>
      </c>
      <c r="AB980" s="942">
        <v>2937</v>
      </c>
      <c r="AC980" s="942">
        <v>606</v>
      </c>
      <c r="AD980" s="942">
        <v>3086</v>
      </c>
      <c r="AE980" s="942">
        <v>180</v>
      </c>
      <c r="AF980" s="942">
        <v>1305</v>
      </c>
      <c r="AG980" s="943">
        <f>comparaison_samebasis_villages[[#This Row],[previous idp_ind]]-comparaison_samebasis_villages[[#This Row],[actual idp_ind]]</f>
        <v>0</v>
      </c>
      <c r="AH980" s="943">
        <f>comparaison_samebasis_villages[[#This Row],[previous ref_ind]]-comparaison_samebasis_villages[[#This Row],[actual ref_ind]]</f>
        <v>-10</v>
      </c>
      <c r="AI980" s="943">
        <f>comparaison_samebasis_villages[[#This Row],[previous ret_ind]]-comparaison_samebasis_villages[[#This Row],[actual ret_ind]]</f>
        <v>1125</v>
      </c>
    </row>
    <row r="981" spans="15:35" ht="15.75" customHeight="1" x14ac:dyDescent="0.3">
      <c r="O981" s="399" t="s">
        <v>34</v>
      </c>
      <c r="P981" s="399" t="s">
        <v>34</v>
      </c>
      <c r="Q981" s="399" t="s">
        <v>188</v>
      </c>
      <c r="R981" s="399" t="s">
        <v>188</v>
      </c>
      <c r="S981" s="399" t="s">
        <v>1500</v>
      </c>
      <c r="T981" s="399" t="s">
        <v>1675</v>
      </c>
      <c r="U981" s="941">
        <v>62</v>
      </c>
      <c r="V981" s="941">
        <v>377</v>
      </c>
      <c r="W981" s="941">
        <v>2</v>
      </c>
      <c r="X981" s="941">
        <v>9</v>
      </c>
      <c r="Y981" s="941">
        <v>425</v>
      </c>
      <c r="Z981" s="941">
        <v>425</v>
      </c>
      <c r="AA981" s="942">
        <v>62</v>
      </c>
      <c r="AB981" s="942">
        <v>387</v>
      </c>
      <c r="AC981" s="942">
        <v>2</v>
      </c>
      <c r="AD981" s="942">
        <v>9</v>
      </c>
      <c r="AE981" s="942">
        <v>420</v>
      </c>
      <c r="AF981" s="942">
        <v>2611</v>
      </c>
      <c r="AG981" s="943">
        <f>comparaison_samebasis_villages[[#This Row],[previous idp_ind]]-comparaison_samebasis_villages[[#This Row],[actual idp_ind]]</f>
        <v>10</v>
      </c>
      <c r="AH981" s="943">
        <f>comparaison_samebasis_villages[[#This Row],[previous ref_ind]]-comparaison_samebasis_villages[[#This Row],[actual ref_ind]]</f>
        <v>0</v>
      </c>
      <c r="AI981" s="943">
        <f>comparaison_samebasis_villages[[#This Row],[previous ret_ind]]-comparaison_samebasis_villages[[#This Row],[actual ret_ind]]</f>
        <v>2186</v>
      </c>
    </row>
    <row r="982" spans="15:35" ht="15.75" customHeight="1" x14ac:dyDescent="0.3">
      <c r="O982" s="399" t="s">
        <v>34</v>
      </c>
      <c r="P982" s="399" t="s">
        <v>34</v>
      </c>
      <c r="Q982" s="399" t="s">
        <v>188</v>
      </c>
      <c r="R982" s="399" t="s">
        <v>188</v>
      </c>
      <c r="S982" s="399" t="s">
        <v>1330</v>
      </c>
      <c r="T982" s="399" t="s">
        <v>2930</v>
      </c>
      <c r="U982" s="941">
        <v>151</v>
      </c>
      <c r="V982" s="941">
        <v>745</v>
      </c>
      <c r="W982" s="941">
        <v>0</v>
      </c>
      <c r="X982" s="941">
        <v>0</v>
      </c>
      <c r="Y982" s="941">
        <v>0</v>
      </c>
      <c r="Z982" s="941">
        <v>0</v>
      </c>
      <c r="AA982" s="942">
        <v>151</v>
      </c>
      <c r="AB982" s="942">
        <v>740</v>
      </c>
      <c r="AC982" s="942">
        <v>0</v>
      </c>
      <c r="AD982" s="942">
        <v>0</v>
      </c>
      <c r="AE982" s="942">
        <v>226</v>
      </c>
      <c r="AF982" s="942">
        <v>1723</v>
      </c>
      <c r="AG982" s="943">
        <f>comparaison_samebasis_villages[[#This Row],[previous idp_ind]]-comparaison_samebasis_villages[[#This Row],[actual idp_ind]]</f>
        <v>-5</v>
      </c>
      <c r="AH982" s="943">
        <f>comparaison_samebasis_villages[[#This Row],[previous ref_ind]]-comparaison_samebasis_villages[[#This Row],[actual ref_ind]]</f>
        <v>0</v>
      </c>
      <c r="AI982" s="943">
        <f>comparaison_samebasis_villages[[#This Row],[previous ret_ind]]-comparaison_samebasis_villages[[#This Row],[actual ret_ind]]</f>
        <v>1723</v>
      </c>
    </row>
    <row r="983" spans="15:35" ht="15.75" customHeight="1" x14ac:dyDescent="0.3">
      <c r="O983" s="399" t="s">
        <v>34</v>
      </c>
      <c r="P983" s="399" t="s">
        <v>34</v>
      </c>
      <c r="Q983" s="399" t="s">
        <v>188</v>
      </c>
      <c r="R983" s="399" t="s">
        <v>188</v>
      </c>
      <c r="S983" s="399" t="s">
        <v>1186</v>
      </c>
      <c r="T983" s="399" t="s">
        <v>3014</v>
      </c>
      <c r="U983" s="941">
        <v>188</v>
      </c>
      <c r="V983" s="941">
        <v>895</v>
      </c>
      <c r="W983" s="941">
        <v>10</v>
      </c>
      <c r="X983" s="941">
        <v>47</v>
      </c>
      <c r="Y983" s="941">
        <v>140</v>
      </c>
      <c r="Z983" s="941">
        <v>140</v>
      </c>
      <c r="AA983" s="942">
        <v>159</v>
      </c>
      <c r="AB983" s="942">
        <v>820</v>
      </c>
      <c r="AC983" s="942">
        <v>4</v>
      </c>
      <c r="AD983" s="942">
        <v>20</v>
      </c>
      <c r="AE983" s="942">
        <v>120</v>
      </c>
      <c r="AF983" s="942">
        <v>771</v>
      </c>
      <c r="AG983" s="943">
        <f>comparaison_samebasis_villages[[#This Row],[previous idp_ind]]-comparaison_samebasis_villages[[#This Row],[actual idp_ind]]</f>
        <v>-75</v>
      </c>
      <c r="AH983" s="943">
        <f>comparaison_samebasis_villages[[#This Row],[previous ref_ind]]-comparaison_samebasis_villages[[#This Row],[actual ref_ind]]</f>
        <v>-27</v>
      </c>
      <c r="AI983" s="943">
        <f>comparaison_samebasis_villages[[#This Row],[previous ret_ind]]-comparaison_samebasis_villages[[#This Row],[actual ret_ind]]</f>
        <v>631</v>
      </c>
    </row>
    <row r="984" spans="15:35" ht="15.75" customHeight="1" x14ac:dyDescent="0.3">
      <c r="O984" s="399" t="s">
        <v>34</v>
      </c>
      <c r="P984" s="399" t="s">
        <v>34</v>
      </c>
      <c r="Q984" s="399" t="s">
        <v>188</v>
      </c>
      <c r="R984" s="399" t="s">
        <v>188</v>
      </c>
      <c r="S984" s="399" t="s">
        <v>646</v>
      </c>
      <c r="T984" s="399" t="s">
        <v>2796</v>
      </c>
      <c r="U984" s="941">
        <v>470</v>
      </c>
      <c r="V984" s="941">
        <v>1733</v>
      </c>
      <c r="W984" s="941">
        <v>0</v>
      </c>
      <c r="X984" s="941">
        <v>0</v>
      </c>
      <c r="Y984" s="941">
        <v>157</v>
      </c>
      <c r="Z984" s="941">
        <v>157</v>
      </c>
      <c r="AA984" s="942">
        <v>470</v>
      </c>
      <c r="AB984" s="942">
        <v>1728</v>
      </c>
      <c r="AC984" s="942">
        <v>0</v>
      </c>
      <c r="AD984" s="942">
        <v>0</v>
      </c>
      <c r="AE984" s="942">
        <v>0</v>
      </c>
      <c r="AF984" s="942">
        <v>0</v>
      </c>
      <c r="AG984" s="943">
        <f>comparaison_samebasis_villages[[#This Row],[previous idp_ind]]-comparaison_samebasis_villages[[#This Row],[actual idp_ind]]</f>
        <v>-5</v>
      </c>
      <c r="AH984" s="943">
        <f>comparaison_samebasis_villages[[#This Row],[previous ref_ind]]-comparaison_samebasis_villages[[#This Row],[actual ref_ind]]</f>
        <v>0</v>
      </c>
      <c r="AI984" s="943">
        <f>comparaison_samebasis_villages[[#This Row],[previous ret_ind]]-comparaison_samebasis_villages[[#This Row],[actual ret_ind]]</f>
        <v>-157</v>
      </c>
    </row>
    <row r="985" spans="15:35" ht="15.75" customHeight="1" x14ac:dyDescent="0.3">
      <c r="O985" s="399" t="s">
        <v>34</v>
      </c>
      <c r="P985" s="399" t="s">
        <v>34</v>
      </c>
      <c r="Q985" s="399" t="s">
        <v>188</v>
      </c>
      <c r="R985" s="399" t="s">
        <v>188</v>
      </c>
      <c r="S985" s="399" t="s">
        <v>1332</v>
      </c>
      <c r="T985" s="399" t="s">
        <v>547</v>
      </c>
      <c r="U985" s="941">
        <v>10</v>
      </c>
      <c r="V985" s="941">
        <v>78</v>
      </c>
      <c r="W985" s="941">
        <v>0</v>
      </c>
      <c r="X985" s="941">
        <v>0</v>
      </c>
      <c r="Y985" s="941">
        <v>195</v>
      </c>
      <c r="Z985" s="941">
        <v>195</v>
      </c>
      <c r="AA985" s="942">
        <v>10</v>
      </c>
      <c r="AB985" s="942">
        <v>76</v>
      </c>
      <c r="AC985" s="942">
        <v>0</v>
      </c>
      <c r="AD985" s="942">
        <v>0</v>
      </c>
      <c r="AE985" s="942">
        <v>195</v>
      </c>
      <c r="AF985" s="942">
        <v>1217</v>
      </c>
      <c r="AG985" s="943">
        <f>comparaison_samebasis_villages[[#This Row],[previous idp_ind]]-comparaison_samebasis_villages[[#This Row],[actual idp_ind]]</f>
        <v>-2</v>
      </c>
      <c r="AH985" s="943">
        <f>comparaison_samebasis_villages[[#This Row],[previous ref_ind]]-comparaison_samebasis_villages[[#This Row],[actual ref_ind]]</f>
        <v>0</v>
      </c>
      <c r="AI985" s="943">
        <f>comparaison_samebasis_villages[[#This Row],[previous ret_ind]]-comparaison_samebasis_villages[[#This Row],[actual ret_ind]]</f>
        <v>1022</v>
      </c>
    </row>
    <row r="986" spans="15:35" ht="15.75" customHeight="1" x14ac:dyDescent="0.3">
      <c r="O986" s="399" t="s">
        <v>34</v>
      </c>
      <c r="P986" s="399" t="s">
        <v>34</v>
      </c>
      <c r="Q986" s="399" t="s">
        <v>188</v>
      </c>
      <c r="R986" s="399" t="s">
        <v>188</v>
      </c>
      <c r="S986" s="399" t="s">
        <v>1508</v>
      </c>
      <c r="T986" s="399" t="s">
        <v>1497</v>
      </c>
      <c r="U986" s="941">
        <v>302</v>
      </c>
      <c r="V986" s="941">
        <v>1799</v>
      </c>
      <c r="W986" s="941">
        <v>0</v>
      </c>
      <c r="X986" s="941">
        <v>0</v>
      </c>
      <c r="Y986" s="941">
        <v>113</v>
      </c>
      <c r="Z986" s="941">
        <v>113</v>
      </c>
      <c r="AA986" s="942">
        <v>286</v>
      </c>
      <c r="AB986" s="942">
        <v>1693</v>
      </c>
      <c r="AC986" s="942">
        <v>0</v>
      </c>
      <c r="AD986" s="942">
        <v>0</v>
      </c>
      <c r="AE986" s="942">
        <v>113</v>
      </c>
      <c r="AF986" s="942">
        <v>985</v>
      </c>
      <c r="AG986" s="943">
        <f>comparaison_samebasis_villages[[#This Row],[previous idp_ind]]-comparaison_samebasis_villages[[#This Row],[actual idp_ind]]</f>
        <v>-106</v>
      </c>
      <c r="AH986" s="943">
        <f>comparaison_samebasis_villages[[#This Row],[previous ref_ind]]-comparaison_samebasis_villages[[#This Row],[actual ref_ind]]</f>
        <v>0</v>
      </c>
      <c r="AI986" s="943">
        <f>comparaison_samebasis_villages[[#This Row],[previous ret_ind]]-comparaison_samebasis_villages[[#This Row],[actual ret_ind]]</f>
        <v>872</v>
      </c>
    </row>
    <row r="987" spans="15:35" ht="15.75" customHeight="1" x14ac:dyDescent="0.3">
      <c r="O987" s="399" t="s">
        <v>34</v>
      </c>
      <c r="P987" s="399" t="s">
        <v>34</v>
      </c>
      <c r="Q987" s="399" t="s">
        <v>188</v>
      </c>
      <c r="R987" s="399" t="s">
        <v>188</v>
      </c>
      <c r="S987" s="399" t="s">
        <v>1354</v>
      </c>
      <c r="T987" s="399" t="s">
        <v>2829</v>
      </c>
      <c r="U987" s="941">
        <v>3</v>
      </c>
      <c r="V987" s="941">
        <v>21</v>
      </c>
      <c r="W987" s="941">
        <v>0</v>
      </c>
      <c r="X987" s="941">
        <v>0</v>
      </c>
      <c r="Y987" s="941">
        <v>127</v>
      </c>
      <c r="Z987" s="941">
        <v>127</v>
      </c>
      <c r="AA987" s="942">
        <v>3</v>
      </c>
      <c r="AB987" s="942">
        <v>7</v>
      </c>
      <c r="AC987" s="942">
        <v>0</v>
      </c>
      <c r="AD987" s="942">
        <v>0</v>
      </c>
      <c r="AE987" s="942">
        <v>127</v>
      </c>
      <c r="AF987" s="942">
        <v>849</v>
      </c>
      <c r="AG987" s="943">
        <f>comparaison_samebasis_villages[[#This Row],[previous idp_ind]]-comparaison_samebasis_villages[[#This Row],[actual idp_ind]]</f>
        <v>-14</v>
      </c>
      <c r="AH987" s="943">
        <f>comparaison_samebasis_villages[[#This Row],[previous ref_ind]]-comparaison_samebasis_villages[[#This Row],[actual ref_ind]]</f>
        <v>0</v>
      </c>
      <c r="AI987" s="943">
        <f>comparaison_samebasis_villages[[#This Row],[previous ret_ind]]-comparaison_samebasis_villages[[#This Row],[actual ret_ind]]</f>
        <v>722</v>
      </c>
    </row>
    <row r="988" spans="15:35" ht="15.75" customHeight="1" x14ac:dyDescent="0.3">
      <c r="O988" s="399" t="s">
        <v>34</v>
      </c>
      <c r="P988" s="399" t="s">
        <v>34</v>
      </c>
      <c r="Q988" s="399" t="s">
        <v>188</v>
      </c>
      <c r="R988" s="399" t="s">
        <v>188</v>
      </c>
      <c r="S988" s="399" t="s">
        <v>1074</v>
      </c>
      <c r="T988" s="399" t="s">
        <v>1513</v>
      </c>
      <c r="U988" s="941">
        <v>15</v>
      </c>
      <c r="V988" s="941">
        <v>93</v>
      </c>
      <c r="W988" s="941">
        <v>31</v>
      </c>
      <c r="X988" s="941">
        <v>222</v>
      </c>
      <c r="Y988" s="941">
        <v>2</v>
      </c>
      <c r="Z988" s="941">
        <v>2</v>
      </c>
      <c r="AA988" s="942">
        <v>15</v>
      </c>
      <c r="AB988" s="942">
        <v>88</v>
      </c>
      <c r="AC988" s="942">
        <v>31</v>
      </c>
      <c r="AD988" s="942">
        <v>219</v>
      </c>
      <c r="AE988" s="942">
        <v>2</v>
      </c>
      <c r="AF988" s="942">
        <v>8</v>
      </c>
      <c r="AG988" s="943">
        <f>comparaison_samebasis_villages[[#This Row],[previous idp_ind]]-comparaison_samebasis_villages[[#This Row],[actual idp_ind]]</f>
        <v>-5</v>
      </c>
      <c r="AH988" s="943">
        <f>comparaison_samebasis_villages[[#This Row],[previous ref_ind]]-comparaison_samebasis_villages[[#This Row],[actual ref_ind]]</f>
        <v>-3</v>
      </c>
      <c r="AI988" s="943">
        <f>comparaison_samebasis_villages[[#This Row],[previous ret_ind]]-comparaison_samebasis_villages[[#This Row],[actual ret_ind]]</f>
        <v>6</v>
      </c>
    </row>
    <row r="989" spans="15:35" ht="15.75" customHeight="1" x14ac:dyDescent="0.3">
      <c r="O989" s="399" t="s">
        <v>34</v>
      </c>
      <c r="P989" s="399" t="s">
        <v>34</v>
      </c>
      <c r="Q989" s="399" t="s">
        <v>188</v>
      </c>
      <c r="R989" s="399" t="s">
        <v>188</v>
      </c>
      <c r="S989" s="399" t="s">
        <v>1267</v>
      </c>
      <c r="T989" s="399" t="s">
        <v>2911</v>
      </c>
      <c r="U989" s="941">
        <v>3</v>
      </c>
      <c r="V989" s="941">
        <v>31</v>
      </c>
      <c r="W989" s="941">
        <v>30</v>
      </c>
      <c r="X989" s="941">
        <v>150</v>
      </c>
      <c r="Y989" s="941">
        <v>5</v>
      </c>
      <c r="Z989" s="941">
        <v>5</v>
      </c>
      <c r="AA989" s="942">
        <v>3</v>
      </c>
      <c r="AB989" s="942">
        <v>31</v>
      </c>
      <c r="AC989" s="942">
        <v>30</v>
      </c>
      <c r="AD989" s="942">
        <v>150</v>
      </c>
      <c r="AE989" s="942">
        <v>5</v>
      </c>
      <c r="AF989" s="942">
        <v>35</v>
      </c>
      <c r="AG989" s="943">
        <f>comparaison_samebasis_villages[[#This Row],[previous idp_ind]]-comparaison_samebasis_villages[[#This Row],[actual idp_ind]]</f>
        <v>0</v>
      </c>
      <c r="AH989" s="943">
        <f>comparaison_samebasis_villages[[#This Row],[previous ref_ind]]-comparaison_samebasis_villages[[#This Row],[actual ref_ind]]</f>
        <v>0</v>
      </c>
      <c r="AI989" s="943">
        <f>comparaison_samebasis_villages[[#This Row],[previous ret_ind]]-comparaison_samebasis_villages[[#This Row],[actual ret_ind]]</f>
        <v>30</v>
      </c>
    </row>
    <row r="990" spans="15:35" ht="15.75" customHeight="1" x14ac:dyDescent="0.3">
      <c r="O990" s="399" t="s">
        <v>34</v>
      </c>
      <c r="P990" s="399" t="s">
        <v>34</v>
      </c>
      <c r="Q990" s="399" t="s">
        <v>188</v>
      </c>
      <c r="R990" s="399" t="s">
        <v>188</v>
      </c>
      <c r="S990" s="399" t="s">
        <v>2156</v>
      </c>
      <c r="T990" s="399" t="s">
        <v>2843</v>
      </c>
      <c r="U990" s="941">
        <v>0</v>
      </c>
      <c r="V990" s="941">
        <v>0</v>
      </c>
      <c r="W990" s="941">
        <v>107</v>
      </c>
      <c r="X990" s="941">
        <v>443</v>
      </c>
      <c r="Y990" s="941">
        <v>0</v>
      </c>
      <c r="Z990" s="941">
        <v>0</v>
      </c>
      <c r="AA990" s="942">
        <v>0</v>
      </c>
      <c r="AB990" s="942">
        <v>0</v>
      </c>
      <c r="AC990" s="942">
        <v>105</v>
      </c>
      <c r="AD990" s="942">
        <v>428</v>
      </c>
      <c r="AE990" s="942">
        <v>0</v>
      </c>
      <c r="AF990" s="942">
        <v>0</v>
      </c>
      <c r="AG990" s="943">
        <f>comparaison_samebasis_villages[[#This Row],[previous idp_ind]]-comparaison_samebasis_villages[[#This Row],[actual idp_ind]]</f>
        <v>0</v>
      </c>
      <c r="AH990" s="943">
        <f>comparaison_samebasis_villages[[#This Row],[previous ref_ind]]-comparaison_samebasis_villages[[#This Row],[actual ref_ind]]</f>
        <v>-15</v>
      </c>
      <c r="AI990" s="943">
        <f>comparaison_samebasis_villages[[#This Row],[previous ret_ind]]-comparaison_samebasis_villages[[#This Row],[actual ret_ind]]</f>
        <v>0</v>
      </c>
    </row>
    <row r="991" spans="15:35" ht="15.75" customHeight="1" x14ac:dyDescent="0.3">
      <c r="O991" s="399" t="s">
        <v>34</v>
      </c>
      <c r="P991" s="399" t="s">
        <v>34</v>
      </c>
      <c r="Q991" s="399" t="s">
        <v>188</v>
      </c>
      <c r="R991" s="399" t="s">
        <v>188</v>
      </c>
      <c r="S991" s="399" t="s">
        <v>668</v>
      </c>
      <c r="T991" s="399" t="s">
        <v>1791</v>
      </c>
      <c r="U991" s="941">
        <v>41</v>
      </c>
      <c r="V991" s="941">
        <v>212</v>
      </c>
      <c r="W991" s="941">
        <v>0</v>
      </c>
      <c r="X991" s="941">
        <v>0</v>
      </c>
      <c r="Y991" s="941">
        <v>2</v>
      </c>
      <c r="Z991" s="941">
        <v>2</v>
      </c>
      <c r="AA991" s="942">
        <v>41</v>
      </c>
      <c r="AB991" s="942">
        <v>207</v>
      </c>
      <c r="AC991" s="942">
        <v>0</v>
      </c>
      <c r="AD991" s="942">
        <v>0</v>
      </c>
      <c r="AE991" s="942">
        <v>2</v>
      </c>
      <c r="AF991" s="942">
        <v>9</v>
      </c>
      <c r="AG991" s="943">
        <f>comparaison_samebasis_villages[[#This Row],[previous idp_ind]]-comparaison_samebasis_villages[[#This Row],[actual idp_ind]]</f>
        <v>-5</v>
      </c>
      <c r="AH991" s="943">
        <f>comparaison_samebasis_villages[[#This Row],[previous ref_ind]]-comparaison_samebasis_villages[[#This Row],[actual ref_ind]]</f>
        <v>0</v>
      </c>
      <c r="AI991" s="943">
        <f>comparaison_samebasis_villages[[#This Row],[previous ret_ind]]-comparaison_samebasis_villages[[#This Row],[actual ret_ind]]</f>
        <v>7</v>
      </c>
    </row>
    <row r="992" spans="15:35" ht="15.75" customHeight="1" x14ac:dyDescent="0.3">
      <c r="O992" s="399" t="s">
        <v>34</v>
      </c>
      <c r="P992" s="399" t="s">
        <v>34</v>
      </c>
      <c r="Q992" s="399" t="s">
        <v>188</v>
      </c>
      <c r="R992" s="399" t="s">
        <v>188</v>
      </c>
      <c r="S992" s="399" t="s">
        <v>1076</v>
      </c>
      <c r="T992" s="399" t="s">
        <v>1499</v>
      </c>
      <c r="U992" s="941">
        <v>56</v>
      </c>
      <c r="V992" s="941">
        <v>244</v>
      </c>
      <c r="W992" s="941">
        <v>35</v>
      </c>
      <c r="X992" s="941">
        <v>152</v>
      </c>
      <c r="Y992" s="941">
        <v>8</v>
      </c>
      <c r="Z992" s="941">
        <v>8</v>
      </c>
      <c r="AA992" s="942">
        <v>56</v>
      </c>
      <c r="AB992" s="942">
        <v>244</v>
      </c>
      <c r="AC992" s="942">
        <v>32</v>
      </c>
      <c r="AD992" s="942">
        <v>142</v>
      </c>
      <c r="AE992" s="942">
        <v>8</v>
      </c>
      <c r="AF992" s="942">
        <v>58</v>
      </c>
      <c r="AG992" s="943">
        <f>comparaison_samebasis_villages[[#This Row],[previous idp_ind]]-comparaison_samebasis_villages[[#This Row],[actual idp_ind]]</f>
        <v>0</v>
      </c>
      <c r="AH992" s="943">
        <f>comparaison_samebasis_villages[[#This Row],[previous ref_ind]]-comparaison_samebasis_villages[[#This Row],[actual ref_ind]]</f>
        <v>-10</v>
      </c>
      <c r="AI992" s="943">
        <f>comparaison_samebasis_villages[[#This Row],[previous ret_ind]]-comparaison_samebasis_villages[[#This Row],[actual ret_ind]]</f>
        <v>50</v>
      </c>
    </row>
    <row r="993" spans="15:35" ht="15.75" customHeight="1" x14ac:dyDescent="0.3">
      <c r="O993" s="399" t="s">
        <v>34</v>
      </c>
      <c r="P993" s="399" t="s">
        <v>34</v>
      </c>
      <c r="Q993" s="399" t="s">
        <v>188</v>
      </c>
      <c r="R993" s="399" t="s">
        <v>188</v>
      </c>
      <c r="S993" s="399" t="s">
        <v>1555</v>
      </c>
      <c r="T993" s="399" t="s">
        <v>1329</v>
      </c>
      <c r="U993" s="941">
        <v>11</v>
      </c>
      <c r="V993" s="941">
        <v>70</v>
      </c>
      <c r="W993" s="941">
        <v>87</v>
      </c>
      <c r="X993" s="941">
        <v>254</v>
      </c>
      <c r="Y993" s="941">
        <v>3</v>
      </c>
      <c r="Z993" s="941">
        <v>3</v>
      </c>
      <c r="AA993" s="942">
        <v>12</v>
      </c>
      <c r="AB993" s="942">
        <v>75</v>
      </c>
      <c r="AC993" s="942">
        <v>87</v>
      </c>
      <c r="AD993" s="942">
        <v>251</v>
      </c>
      <c r="AE993" s="942">
        <v>3</v>
      </c>
      <c r="AF993" s="942">
        <v>14</v>
      </c>
      <c r="AG993" s="943">
        <f>comparaison_samebasis_villages[[#This Row],[previous idp_ind]]-comparaison_samebasis_villages[[#This Row],[actual idp_ind]]</f>
        <v>5</v>
      </c>
      <c r="AH993" s="943">
        <f>comparaison_samebasis_villages[[#This Row],[previous ref_ind]]-comparaison_samebasis_villages[[#This Row],[actual ref_ind]]</f>
        <v>-3</v>
      </c>
      <c r="AI993" s="943">
        <f>comparaison_samebasis_villages[[#This Row],[previous ret_ind]]-comparaison_samebasis_villages[[#This Row],[actual ret_ind]]</f>
        <v>11</v>
      </c>
    </row>
    <row r="994" spans="15:35" ht="15.75" customHeight="1" x14ac:dyDescent="0.3">
      <c r="O994" s="399" t="s">
        <v>34</v>
      </c>
      <c r="P994" s="399" t="s">
        <v>34</v>
      </c>
      <c r="Q994" s="399" t="s">
        <v>188</v>
      </c>
      <c r="R994" s="399" t="s">
        <v>188</v>
      </c>
      <c r="S994" s="399" t="s">
        <v>1265</v>
      </c>
      <c r="T994" s="399" t="s">
        <v>3028</v>
      </c>
      <c r="U994" s="941">
        <v>2</v>
      </c>
      <c r="V994" s="941">
        <v>16</v>
      </c>
      <c r="W994" s="941">
        <v>306</v>
      </c>
      <c r="X994" s="941">
        <v>2432</v>
      </c>
      <c r="Y994" s="941">
        <v>0</v>
      </c>
      <c r="Z994" s="941">
        <v>0</v>
      </c>
      <c r="AA994" s="942">
        <v>2</v>
      </c>
      <c r="AB994" s="942">
        <v>16</v>
      </c>
      <c r="AC994" s="942">
        <v>306</v>
      </c>
      <c r="AD994" s="942">
        <v>2424</v>
      </c>
      <c r="AE994" s="942">
        <v>0</v>
      </c>
      <c r="AF994" s="942">
        <v>0</v>
      </c>
      <c r="AG994" s="943">
        <f>comparaison_samebasis_villages[[#This Row],[previous idp_ind]]-comparaison_samebasis_villages[[#This Row],[actual idp_ind]]</f>
        <v>0</v>
      </c>
      <c r="AH994" s="943">
        <f>comparaison_samebasis_villages[[#This Row],[previous ref_ind]]-comparaison_samebasis_villages[[#This Row],[actual ref_ind]]</f>
        <v>-8</v>
      </c>
      <c r="AI994" s="943">
        <f>comparaison_samebasis_villages[[#This Row],[previous ret_ind]]-comparaison_samebasis_villages[[#This Row],[actual ret_ind]]</f>
        <v>0</v>
      </c>
    </row>
    <row r="995" spans="15:35" ht="15.75" customHeight="1" x14ac:dyDescent="0.3">
      <c r="O995" s="399" t="s">
        <v>34</v>
      </c>
      <c r="P995" s="399" t="s">
        <v>34</v>
      </c>
      <c r="Q995" s="399" t="s">
        <v>188</v>
      </c>
      <c r="R995" s="399" t="s">
        <v>188</v>
      </c>
      <c r="S995" s="399" t="s">
        <v>1163</v>
      </c>
      <c r="T995" s="399" t="s">
        <v>1185</v>
      </c>
      <c r="U995" s="941">
        <v>125</v>
      </c>
      <c r="V995" s="941">
        <v>511</v>
      </c>
      <c r="W995" s="941">
        <v>0</v>
      </c>
      <c r="X995" s="941">
        <v>0</v>
      </c>
      <c r="Y995" s="941">
        <v>0</v>
      </c>
      <c r="Z995" s="941">
        <v>0</v>
      </c>
      <c r="AA995" s="942">
        <v>127</v>
      </c>
      <c r="AB995" s="942">
        <v>523</v>
      </c>
      <c r="AC995" s="942">
        <v>0</v>
      </c>
      <c r="AD995" s="942">
        <v>0</v>
      </c>
      <c r="AE995" s="942">
        <v>0</v>
      </c>
      <c r="AF995" s="942">
        <v>0</v>
      </c>
      <c r="AG995" s="943">
        <f>comparaison_samebasis_villages[[#This Row],[previous idp_ind]]-comparaison_samebasis_villages[[#This Row],[actual idp_ind]]</f>
        <v>12</v>
      </c>
      <c r="AH995" s="943">
        <f>comparaison_samebasis_villages[[#This Row],[previous ref_ind]]-comparaison_samebasis_villages[[#This Row],[actual ref_ind]]</f>
        <v>0</v>
      </c>
      <c r="AI995" s="943">
        <f>comparaison_samebasis_villages[[#This Row],[previous ret_ind]]-comparaison_samebasis_villages[[#This Row],[actual ret_ind]]</f>
        <v>0</v>
      </c>
    </row>
    <row r="996" spans="15:35" ht="15.75" customHeight="1" x14ac:dyDescent="0.3">
      <c r="O996" s="399" t="s">
        <v>34</v>
      </c>
      <c r="P996" s="399" t="s">
        <v>34</v>
      </c>
      <c r="Q996" s="399" t="s">
        <v>188</v>
      </c>
      <c r="R996" s="399" t="s">
        <v>188</v>
      </c>
      <c r="S996" s="399" t="s">
        <v>1146</v>
      </c>
      <c r="T996" s="399" t="s">
        <v>645</v>
      </c>
      <c r="U996" s="941">
        <v>133</v>
      </c>
      <c r="V996" s="941">
        <v>604</v>
      </c>
      <c r="W996" s="941">
        <v>0</v>
      </c>
      <c r="X996" s="941">
        <v>0</v>
      </c>
      <c r="Y996" s="941">
        <v>0</v>
      </c>
      <c r="Z996" s="941">
        <v>0</v>
      </c>
      <c r="AA996" s="942">
        <v>133</v>
      </c>
      <c r="AB996" s="942">
        <v>592</v>
      </c>
      <c r="AC996" s="942">
        <v>0</v>
      </c>
      <c r="AD996" s="942">
        <v>0</v>
      </c>
      <c r="AE996" s="942">
        <v>0</v>
      </c>
      <c r="AF996" s="942">
        <v>0</v>
      </c>
      <c r="AG996" s="943">
        <f>comparaison_samebasis_villages[[#This Row],[previous idp_ind]]-comparaison_samebasis_villages[[#This Row],[actual idp_ind]]</f>
        <v>-12</v>
      </c>
      <c r="AH996" s="943">
        <f>comparaison_samebasis_villages[[#This Row],[previous ref_ind]]-comparaison_samebasis_villages[[#This Row],[actual ref_ind]]</f>
        <v>0</v>
      </c>
      <c r="AI996" s="943">
        <f>comparaison_samebasis_villages[[#This Row],[previous ret_ind]]-comparaison_samebasis_villages[[#This Row],[actual ret_ind]]</f>
        <v>0</v>
      </c>
    </row>
    <row r="997" spans="15:35" ht="15.75" customHeight="1" x14ac:dyDescent="0.3">
      <c r="O997" s="399" t="s">
        <v>34</v>
      </c>
      <c r="P997" s="399" t="s">
        <v>34</v>
      </c>
      <c r="Q997" s="399" t="s">
        <v>188</v>
      </c>
      <c r="R997" s="399" t="s">
        <v>188</v>
      </c>
      <c r="S997" s="399" t="s">
        <v>764</v>
      </c>
      <c r="T997" s="399" t="s">
        <v>2956</v>
      </c>
      <c r="U997" s="941">
        <v>1088</v>
      </c>
      <c r="V997" s="941">
        <v>5505</v>
      </c>
      <c r="W997" s="941">
        <v>0</v>
      </c>
      <c r="X997" s="941">
        <v>0</v>
      </c>
      <c r="Y997" s="941">
        <v>0</v>
      </c>
      <c r="Z997" s="941">
        <v>0</v>
      </c>
      <c r="AA997" s="942">
        <v>1148</v>
      </c>
      <c r="AB997" s="942">
        <v>5815</v>
      </c>
      <c r="AC997" s="942">
        <v>0</v>
      </c>
      <c r="AD997" s="942">
        <v>0</v>
      </c>
      <c r="AE997" s="942">
        <v>0</v>
      </c>
      <c r="AF997" s="942">
        <v>0</v>
      </c>
      <c r="AG997" s="943">
        <f>comparaison_samebasis_villages[[#This Row],[previous idp_ind]]-comparaison_samebasis_villages[[#This Row],[actual idp_ind]]</f>
        <v>310</v>
      </c>
      <c r="AH997" s="943">
        <f>comparaison_samebasis_villages[[#This Row],[previous ref_ind]]-comparaison_samebasis_villages[[#This Row],[actual ref_ind]]</f>
        <v>0</v>
      </c>
      <c r="AI997" s="943">
        <f>comparaison_samebasis_villages[[#This Row],[previous ret_ind]]-comparaison_samebasis_villages[[#This Row],[actual ret_ind]]</f>
        <v>0</v>
      </c>
    </row>
    <row r="998" spans="15:35" ht="15.75" customHeight="1" x14ac:dyDescent="0.3">
      <c r="O998" s="399" t="s">
        <v>34</v>
      </c>
      <c r="P998" s="399" t="s">
        <v>34</v>
      </c>
      <c r="Q998" s="399" t="s">
        <v>188</v>
      </c>
      <c r="R998" s="399" t="s">
        <v>188</v>
      </c>
      <c r="S998" s="399" t="s">
        <v>760</v>
      </c>
      <c r="T998" s="399" t="s">
        <v>2955</v>
      </c>
      <c r="U998" s="941">
        <v>94</v>
      </c>
      <c r="V998" s="941">
        <v>335</v>
      </c>
      <c r="W998" s="941">
        <v>0</v>
      </c>
      <c r="X998" s="941">
        <v>0</v>
      </c>
      <c r="Y998" s="941">
        <v>0</v>
      </c>
      <c r="Z998" s="941">
        <v>0</v>
      </c>
      <c r="AA998" s="942">
        <v>101</v>
      </c>
      <c r="AB998" s="942">
        <v>357</v>
      </c>
      <c r="AC998" s="942">
        <v>0</v>
      </c>
      <c r="AD998" s="942">
        <v>0</v>
      </c>
      <c r="AE998" s="942">
        <v>0</v>
      </c>
      <c r="AF998" s="942">
        <v>0</v>
      </c>
      <c r="AG998" s="943">
        <f>comparaison_samebasis_villages[[#This Row],[previous idp_ind]]-comparaison_samebasis_villages[[#This Row],[actual idp_ind]]</f>
        <v>22</v>
      </c>
      <c r="AH998" s="943">
        <f>comparaison_samebasis_villages[[#This Row],[previous ref_ind]]-comparaison_samebasis_villages[[#This Row],[actual ref_ind]]</f>
        <v>0</v>
      </c>
      <c r="AI998" s="943">
        <f>comparaison_samebasis_villages[[#This Row],[previous ret_ind]]-comparaison_samebasis_villages[[#This Row],[actual ret_ind]]</f>
        <v>0</v>
      </c>
    </row>
    <row r="999" spans="15:35" ht="15.75" customHeight="1" x14ac:dyDescent="0.3">
      <c r="O999" s="399" t="s">
        <v>34</v>
      </c>
      <c r="P999" s="399" t="s">
        <v>34</v>
      </c>
      <c r="Q999" s="399" t="s">
        <v>188</v>
      </c>
      <c r="R999" s="399" t="s">
        <v>188</v>
      </c>
      <c r="S999" s="399" t="s">
        <v>983</v>
      </c>
      <c r="T999" s="399" t="s">
        <v>1331</v>
      </c>
      <c r="U999" s="941">
        <v>41</v>
      </c>
      <c r="V999" s="941">
        <v>273</v>
      </c>
      <c r="W999" s="941">
        <v>0</v>
      </c>
      <c r="X999" s="941">
        <v>0</v>
      </c>
      <c r="Y999" s="941">
        <v>0</v>
      </c>
      <c r="Z999" s="941">
        <v>0</v>
      </c>
      <c r="AA999" s="942">
        <v>40</v>
      </c>
      <c r="AB999" s="942">
        <v>261</v>
      </c>
      <c r="AC999" s="942">
        <v>0</v>
      </c>
      <c r="AD999" s="942">
        <v>0</v>
      </c>
      <c r="AE999" s="942">
        <v>0</v>
      </c>
      <c r="AF999" s="942">
        <v>0</v>
      </c>
      <c r="AG999" s="943">
        <f>comparaison_samebasis_villages[[#This Row],[previous idp_ind]]-comparaison_samebasis_villages[[#This Row],[actual idp_ind]]</f>
        <v>-12</v>
      </c>
      <c r="AH999" s="943">
        <f>comparaison_samebasis_villages[[#This Row],[previous ref_ind]]-comparaison_samebasis_villages[[#This Row],[actual ref_ind]]</f>
        <v>0</v>
      </c>
      <c r="AI999" s="943">
        <f>comparaison_samebasis_villages[[#This Row],[previous ret_ind]]-comparaison_samebasis_villages[[#This Row],[actual ret_ind]]</f>
        <v>0</v>
      </c>
    </row>
    <row r="1000" spans="15:35" ht="15.75" customHeight="1" x14ac:dyDescent="0.3">
      <c r="O1000" s="399" t="s">
        <v>34</v>
      </c>
      <c r="P1000" s="399" t="s">
        <v>34</v>
      </c>
      <c r="Q1000" s="399" t="s">
        <v>188</v>
      </c>
      <c r="R1000" s="399" t="s">
        <v>188</v>
      </c>
      <c r="S1000" s="399" t="s">
        <v>1680</v>
      </c>
      <c r="T1000" s="399" t="s">
        <v>1507</v>
      </c>
      <c r="U1000" s="941">
        <v>17</v>
      </c>
      <c r="V1000" s="941">
        <v>121</v>
      </c>
      <c r="W1000" s="941">
        <v>0</v>
      </c>
      <c r="X1000" s="941">
        <v>0</v>
      </c>
      <c r="Y1000" s="941">
        <v>0</v>
      </c>
      <c r="Z1000" s="941">
        <v>0</v>
      </c>
      <c r="AA1000" s="942">
        <v>15</v>
      </c>
      <c r="AB1000" s="942">
        <v>105</v>
      </c>
      <c r="AC1000" s="942">
        <v>0</v>
      </c>
      <c r="AD1000" s="942">
        <v>0</v>
      </c>
      <c r="AE1000" s="942">
        <v>0</v>
      </c>
      <c r="AF1000" s="942">
        <v>0</v>
      </c>
      <c r="AG1000" s="943">
        <f>comparaison_samebasis_villages[[#This Row],[previous idp_ind]]-comparaison_samebasis_villages[[#This Row],[actual idp_ind]]</f>
        <v>-16</v>
      </c>
      <c r="AH1000" s="943">
        <f>comparaison_samebasis_villages[[#This Row],[previous ref_ind]]-comparaison_samebasis_villages[[#This Row],[actual ref_ind]]</f>
        <v>0</v>
      </c>
      <c r="AI1000" s="943">
        <f>comparaison_samebasis_villages[[#This Row],[previous ret_ind]]-comparaison_samebasis_villages[[#This Row],[actual ret_ind]]</f>
        <v>0</v>
      </c>
    </row>
    <row r="1001" spans="15:35" ht="15.75" customHeight="1" x14ac:dyDescent="0.3">
      <c r="O1001" s="399" t="s">
        <v>34</v>
      </c>
      <c r="P1001" s="399" t="s">
        <v>34</v>
      </c>
      <c r="Q1001" s="399" t="s">
        <v>188</v>
      </c>
      <c r="R1001" s="399" t="s">
        <v>188</v>
      </c>
      <c r="S1001" s="399" t="s">
        <v>985</v>
      </c>
      <c r="T1001" s="399" t="s">
        <v>2907</v>
      </c>
      <c r="U1001" s="941">
        <v>43</v>
      </c>
      <c r="V1001" s="941">
        <v>287</v>
      </c>
      <c r="W1001" s="941">
        <v>0</v>
      </c>
      <c r="X1001" s="941">
        <v>0</v>
      </c>
      <c r="Y1001" s="941">
        <v>0</v>
      </c>
      <c r="Z1001" s="941">
        <v>0</v>
      </c>
      <c r="AA1001" s="942">
        <v>43</v>
      </c>
      <c r="AB1001" s="942">
        <v>274</v>
      </c>
      <c r="AC1001" s="942">
        <v>0</v>
      </c>
      <c r="AD1001" s="942">
        <v>0</v>
      </c>
      <c r="AE1001" s="942">
        <v>0</v>
      </c>
      <c r="AF1001" s="942">
        <v>0</v>
      </c>
      <c r="AG1001" s="943">
        <f>comparaison_samebasis_villages[[#This Row],[previous idp_ind]]-comparaison_samebasis_villages[[#This Row],[actual idp_ind]]</f>
        <v>-13</v>
      </c>
      <c r="AH1001" s="943">
        <f>comparaison_samebasis_villages[[#This Row],[previous ref_ind]]-comparaison_samebasis_villages[[#This Row],[actual ref_ind]]</f>
        <v>0</v>
      </c>
      <c r="AI1001" s="943">
        <f>comparaison_samebasis_villages[[#This Row],[previous ret_ind]]-comparaison_samebasis_villages[[#This Row],[actual ret_ind]]</f>
        <v>0</v>
      </c>
    </row>
    <row r="1002" spans="15:35" ht="15.75" customHeight="1" x14ac:dyDescent="0.3">
      <c r="O1002" s="399" t="s">
        <v>34</v>
      </c>
      <c r="P1002" s="399" t="s">
        <v>34</v>
      </c>
      <c r="Q1002" s="399" t="s">
        <v>188</v>
      </c>
      <c r="R1002" s="399" t="s">
        <v>188</v>
      </c>
      <c r="S1002" s="399" t="s">
        <v>2657</v>
      </c>
      <c r="T1002" s="399" t="s">
        <v>1353</v>
      </c>
      <c r="U1002" s="941">
        <v>0</v>
      </c>
      <c r="V1002" s="941">
        <v>0</v>
      </c>
      <c r="W1002" s="941">
        <v>0</v>
      </c>
      <c r="X1002" s="941">
        <v>0</v>
      </c>
      <c r="Y1002" s="941">
        <v>0</v>
      </c>
      <c r="Z1002" s="941">
        <v>0</v>
      </c>
      <c r="AA1002" s="942">
        <v>0</v>
      </c>
      <c r="AB1002" s="942">
        <v>0</v>
      </c>
      <c r="AC1002" s="942">
        <v>0</v>
      </c>
      <c r="AD1002" s="942">
        <v>0</v>
      </c>
      <c r="AE1002" s="942">
        <v>0</v>
      </c>
      <c r="AF1002" s="942">
        <v>0</v>
      </c>
      <c r="AG1002" s="943">
        <f>comparaison_samebasis_villages[[#This Row],[previous idp_ind]]-comparaison_samebasis_villages[[#This Row],[actual idp_ind]]</f>
        <v>0</v>
      </c>
      <c r="AH1002" s="943">
        <f>comparaison_samebasis_villages[[#This Row],[previous ref_ind]]-comparaison_samebasis_villages[[#This Row],[actual ref_ind]]</f>
        <v>0</v>
      </c>
      <c r="AI1002" s="943">
        <f>comparaison_samebasis_villages[[#This Row],[previous ret_ind]]-comparaison_samebasis_villages[[#This Row],[actual ret_ind]]</f>
        <v>0</v>
      </c>
    </row>
    <row r="1003" spans="15:35" ht="15.75" customHeight="1" x14ac:dyDescent="0.3">
      <c r="O1003" s="399" t="s">
        <v>34</v>
      </c>
      <c r="P1003" s="399" t="s">
        <v>34</v>
      </c>
      <c r="Q1003" s="399" t="s">
        <v>188</v>
      </c>
      <c r="R1003" s="399" t="s">
        <v>188</v>
      </c>
      <c r="S1003" s="399" t="s">
        <v>2659</v>
      </c>
      <c r="T1003" s="399" t="s">
        <v>1073</v>
      </c>
      <c r="U1003" s="941">
        <v>0</v>
      </c>
      <c r="V1003" s="941">
        <v>0</v>
      </c>
      <c r="W1003" s="941">
        <v>0</v>
      </c>
      <c r="X1003" s="941">
        <v>0</v>
      </c>
      <c r="Y1003" s="941">
        <v>0</v>
      </c>
      <c r="Z1003" s="941">
        <v>0</v>
      </c>
      <c r="AA1003" s="942">
        <v>0</v>
      </c>
      <c r="AB1003" s="942">
        <v>0</v>
      </c>
      <c r="AC1003" s="942">
        <v>0</v>
      </c>
      <c r="AD1003" s="942">
        <v>0</v>
      </c>
      <c r="AE1003" s="942">
        <v>0</v>
      </c>
      <c r="AF1003" s="942">
        <v>0</v>
      </c>
      <c r="AG1003" s="943">
        <f>comparaison_samebasis_villages[[#This Row],[previous idp_ind]]-comparaison_samebasis_villages[[#This Row],[actual idp_ind]]</f>
        <v>0</v>
      </c>
      <c r="AH1003" s="943">
        <f>comparaison_samebasis_villages[[#This Row],[previous ref_ind]]-comparaison_samebasis_villages[[#This Row],[actual ref_ind]]</f>
        <v>0</v>
      </c>
      <c r="AI1003" s="943">
        <f>comparaison_samebasis_villages[[#This Row],[previous ret_ind]]-comparaison_samebasis_villages[[#This Row],[actual ret_ind]]</f>
        <v>0</v>
      </c>
    </row>
    <row r="1004" spans="15:35" ht="15.75" customHeight="1" x14ac:dyDescent="0.3">
      <c r="O1004" s="399" t="s">
        <v>34</v>
      </c>
      <c r="P1004" s="399" t="s">
        <v>34</v>
      </c>
      <c r="Q1004" s="399" t="s">
        <v>188</v>
      </c>
      <c r="R1004" s="399" t="s">
        <v>188</v>
      </c>
      <c r="S1004" s="399" t="s">
        <v>977</v>
      </c>
      <c r="T1004" s="399" t="s">
        <v>1266</v>
      </c>
      <c r="U1004" s="941">
        <v>41</v>
      </c>
      <c r="V1004" s="941">
        <v>363</v>
      </c>
      <c r="W1004" s="941">
        <v>0</v>
      </c>
      <c r="X1004" s="941">
        <v>0</v>
      </c>
      <c r="Y1004" s="941">
        <v>0</v>
      </c>
      <c r="Z1004" s="941">
        <v>0</v>
      </c>
      <c r="AA1004" s="942">
        <v>41</v>
      </c>
      <c r="AB1004" s="942">
        <v>363</v>
      </c>
      <c r="AC1004" s="942">
        <v>0</v>
      </c>
      <c r="AD1004" s="942">
        <v>0</v>
      </c>
      <c r="AE1004" s="942">
        <v>0</v>
      </c>
      <c r="AF1004" s="942">
        <v>0</v>
      </c>
      <c r="AG1004" s="943">
        <f>comparaison_samebasis_villages[[#This Row],[previous idp_ind]]-comparaison_samebasis_villages[[#This Row],[actual idp_ind]]</f>
        <v>0</v>
      </c>
      <c r="AH1004" s="943">
        <f>comparaison_samebasis_villages[[#This Row],[previous ref_ind]]-comparaison_samebasis_villages[[#This Row],[actual ref_ind]]</f>
        <v>0</v>
      </c>
      <c r="AI1004" s="943">
        <f>comparaison_samebasis_villages[[#This Row],[previous ret_ind]]-comparaison_samebasis_villages[[#This Row],[actual ret_ind]]</f>
        <v>0</v>
      </c>
    </row>
    <row r="1005" spans="15:35" ht="15.75" customHeight="1" x14ac:dyDescent="0.3">
      <c r="O1005" s="399" t="s">
        <v>34</v>
      </c>
      <c r="P1005" s="399" t="s">
        <v>34</v>
      </c>
      <c r="Q1005" s="399" t="s">
        <v>188</v>
      </c>
      <c r="R1005" s="399" t="s">
        <v>188</v>
      </c>
      <c r="S1005" s="399" t="s">
        <v>1007</v>
      </c>
      <c r="T1005" s="399" t="s">
        <v>2155</v>
      </c>
      <c r="U1005" s="941">
        <v>114</v>
      </c>
      <c r="V1005" s="941">
        <v>515</v>
      </c>
      <c r="W1005" s="941">
        <v>0</v>
      </c>
      <c r="X1005" s="941">
        <v>0</v>
      </c>
      <c r="Y1005" s="941">
        <v>0</v>
      </c>
      <c r="Z1005" s="941">
        <v>0</v>
      </c>
      <c r="AA1005" s="942">
        <v>104</v>
      </c>
      <c r="AB1005" s="942">
        <v>415</v>
      </c>
      <c r="AC1005" s="942">
        <v>0</v>
      </c>
      <c r="AD1005" s="942">
        <v>0</v>
      </c>
      <c r="AE1005" s="942">
        <v>0</v>
      </c>
      <c r="AF1005" s="942">
        <v>0</v>
      </c>
      <c r="AG1005" s="943">
        <f>comparaison_samebasis_villages[[#This Row],[previous idp_ind]]-comparaison_samebasis_villages[[#This Row],[actual idp_ind]]</f>
        <v>-100</v>
      </c>
      <c r="AH1005" s="943">
        <f>comparaison_samebasis_villages[[#This Row],[previous ref_ind]]-comparaison_samebasis_villages[[#This Row],[actual ref_ind]]</f>
        <v>0</v>
      </c>
      <c r="AI1005" s="943">
        <f>comparaison_samebasis_villages[[#This Row],[previous ret_ind]]-comparaison_samebasis_villages[[#This Row],[actual ret_ind]]</f>
        <v>0</v>
      </c>
    </row>
    <row r="1006" spans="15:35" ht="15.75" customHeight="1" x14ac:dyDescent="0.3">
      <c r="O1006" s="399" t="s">
        <v>34</v>
      </c>
      <c r="P1006" s="399" t="s">
        <v>34</v>
      </c>
      <c r="Q1006" s="399" t="s">
        <v>188</v>
      </c>
      <c r="R1006" s="399" t="s">
        <v>188</v>
      </c>
      <c r="S1006" s="399" t="s">
        <v>2661</v>
      </c>
      <c r="T1006" s="399" t="s">
        <v>667</v>
      </c>
      <c r="U1006" s="941">
        <v>0</v>
      </c>
      <c r="V1006" s="941">
        <v>0</v>
      </c>
      <c r="W1006" s="941">
        <v>0</v>
      </c>
      <c r="X1006" s="941">
        <v>0</v>
      </c>
      <c r="Y1006" s="941">
        <v>0</v>
      </c>
      <c r="Z1006" s="941">
        <v>0</v>
      </c>
      <c r="AA1006" s="942">
        <v>0</v>
      </c>
      <c r="AB1006" s="942">
        <v>0</v>
      </c>
      <c r="AC1006" s="942">
        <v>0</v>
      </c>
      <c r="AD1006" s="942">
        <v>0</v>
      </c>
      <c r="AE1006" s="942">
        <v>0</v>
      </c>
      <c r="AF1006" s="942">
        <v>0</v>
      </c>
      <c r="AG1006" s="943">
        <f>comparaison_samebasis_villages[[#This Row],[previous idp_ind]]-comparaison_samebasis_villages[[#This Row],[actual idp_ind]]</f>
        <v>0</v>
      </c>
      <c r="AH1006" s="943">
        <f>comparaison_samebasis_villages[[#This Row],[previous ref_ind]]-comparaison_samebasis_villages[[#This Row],[actual ref_ind]]</f>
        <v>0</v>
      </c>
      <c r="AI1006" s="943">
        <f>comparaison_samebasis_villages[[#This Row],[previous ret_ind]]-comparaison_samebasis_villages[[#This Row],[actual ret_ind]]</f>
        <v>0</v>
      </c>
    </row>
    <row r="1007" spans="15:35" ht="15.75" customHeight="1" x14ac:dyDescent="0.3">
      <c r="O1007" s="399" t="s">
        <v>34</v>
      </c>
      <c r="P1007" s="399" t="s">
        <v>34</v>
      </c>
      <c r="Q1007" s="399" t="s">
        <v>188</v>
      </c>
      <c r="R1007" s="399" t="s">
        <v>188</v>
      </c>
      <c r="S1007" s="399" t="s">
        <v>1352</v>
      </c>
      <c r="T1007" s="399" t="s">
        <v>1075</v>
      </c>
      <c r="U1007" s="941">
        <v>47</v>
      </c>
      <c r="V1007" s="941">
        <v>156</v>
      </c>
      <c r="W1007" s="941">
        <v>0</v>
      </c>
      <c r="X1007" s="941">
        <v>0</v>
      </c>
      <c r="Y1007" s="941">
        <v>5</v>
      </c>
      <c r="Z1007" s="941">
        <v>5</v>
      </c>
      <c r="AA1007" s="942">
        <v>50</v>
      </c>
      <c r="AB1007" s="942">
        <v>170</v>
      </c>
      <c r="AC1007" s="942">
        <v>0</v>
      </c>
      <c r="AD1007" s="942">
        <v>0</v>
      </c>
      <c r="AE1007" s="942">
        <v>5</v>
      </c>
      <c r="AF1007" s="942">
        <v>25</v>
      </c>
      <c r="AG1007" s="943">
        <f>comparaison_samebasis_villages[[#This Row],[previous idp_ind]]-comparaison_samebasis_villages[[#This Row],[actual idp_ind]]</f>
        <v>14</v>
      </c>
      <c r="AH1007" s="943">
        <f>comparaison_samebasis_villages[[#This Row],[previous ref_ind]]-comparaison_samebasis_villages[[#This Row],[actual ref_ind]]</f>
        <v>0</v>
      </c>
      <c r="AI1007" s="943">
        <f>comparaison_samebasis_villages[[#This Row],[previous ret_ind]]-comparaison_samebasis_villages[[#This Row],[actual ret_ind]]</f>
        <v>20</v>
      </c>
    </row>
    <row r="1008" spans="15:35" ht="15.75" customHeight="1" x14ac:dyDescent="0.3">
      <c r="O1008" s="399" t="s">
        <v>34</v>
      </c>
      <c r="P1008" s="399" t="s">
        <v>34</v>
      </c>
      <c r="Q1008" s="399" t="s">
        <v>188</v>
      </c>
      <c r="R1008" s="399" t="s">
        <v>188</v>
      </c>
      <c r="S1008" s="399" t="s">
        <v>2663</v>
      </c>
      <c r="T1008" s="399" t="s">
        <v>1554</v>
      </c>
      <c r="U1008" s="941">
        <v>0</v>
      </c>
      <c r="V1008" s="941">
        <v>0</v>
      </c>
      <c r="W1008" s="941">
        <v>0</v>
      </c>
      <c r="X1008" s="941">
        <v>0</v>
      </c>
      <c r="Y1008" s="941">
        <v>0</v>
      </c>
      <c r="Z1008" s="941">
        <v>0</v>
      </c>
      <c r="AA1008" s="942">
        <v>0</v>
      </c>
      <c r="AB1008" s="942">
        <v>0</v>
      </c>
      <c r="AC1008" s="942">
        <v>0</v>
      </c>
      <c r="AD1008" s="942">
        <v>0</v>
      </c>
      <c r="AE1008" s="942">
        <v>0</v>
      </c>
      <c r="AF1008" s="942">
        <v>0</v>
      </c>
      <c r="AG1008" s="943">
        <f>comparaison_samebasis_villages[[#This Row],[previous idp_ind]]-comparaison_samebasis_villages[[#This Row],[actual idp_ind]]</f>
        <v>0</v>
      </c>
      <c r="AH1008" s="943">
        <f>comparaison_samebasis_villages[[#This Row],[previous ref_ind]]-comparaison_samebasis_villages[[#This Row],[actual ref_ind]]</f>
        <v>0</v>
      </c>
      <c r="AI1008" s="943">
        <f>comparaison_samebasis_villages[[#This Row],[previous ret_ind]]-comparaison_samebasis_villages[[#This Row],[actual ret_ind]]</f>
        <v>0</v>
      </c>
    </row>
    <row r="1009" spans="15:35" ht="15.75" customHeight="1" x14ac:dyDescent="0.3">
      <c r="O1009" s="399" t="s">
        <v>34</v>
      </c>
      <c r="P1009" s="399" t="s">
        <v>34</v>
      </c>
      <c r="Q1009" s="399" t="s">
        <v>188</v>
      </c>
      <c r="R1009" s="399" t="s">
        <v>188</v>
      </c>
      <c r="S1009" s="399" t="s">
        <v>1043</v>
      </c>
      <c r="T1009" s="399" t="s">
        <v>1264</v>
      </c>
      <c r="U1009" s="941">
        <v>77</v>
      </c>
      <c r="V1009" s="941">
        <v>589</v>
      </c>
      <c r="W1009" s="941">
        <v>0</v>
      </c>
      <c r="X1009" s="941">
        <v>0</v>
      </c>
      <c r="Y1009" s="941">
        <v>104</v>
      </c>
      <c r="Z1009" s="941">
        <v>104</v>
      </c>
      <c r="AA1009" s="942">
        <v>77</v>
      </c>
      <c r="AB1009" s="942">
        <v>568</v>
      </c>
      <c r="AC1009" s="942">
        <v>0</v>
      </c>
      <c r="AD1009" s="942">
        <v>0</v>
      </c>
      <c r="AE1009" s="942">
        <v>104</v>
      </c>
      <c r="AF1009" s="942">
        <v>668</v>
      </c>
      <c r="AG1009" s="943">
        <f>comparaison_samebasis_villages[[#This Row],[previous idp_ind]]-comparaison_samebasis_villages[[#This Row],[actual idp_ind]]</f>
        <v>-21</v>
      </c>
      <c r="AH1009" s="943">
        <f>comparaison_samebasis_villages[[#This Row],[previous ref_ind]]-comparaison_samebasis_villages[[#This Row],[actual ref_ind]]</f>
        <v>0</v>
      </c>
      <c r="AI1009" s="943">
        <f>comparaison_samebasis_villages[[#This Row],[previous ret_ind]]-comparaison_samebasis_villages[[#This Row],[actual ret_ind]]</f>
        <v>564</v>
      </c>
    </row>
    <row r="1010" spans="15:35" ht="15.75" customHeight="1" x14ac:dyDescent="0.3">
      <c r="O1010" s="399" t="s">
        <v>34</v>
      </c>
      <c r="P1010" s="399" t="s">
        <v>34</v>
      </c>
      <c r="Q1010" s="399" t="s">
        <v>188</v>
      </c>
      <c r="R1010" s="399" t="s">
        <v>188</v>
      </c>
      <c r="S1010" s="399" t="s">
        <v>2665</v>
      </c>
      <c r="T1010" s="399" t="s">
        <v>1162</v>
      </c>
      <c r="U1010" s="941">
        <v>0</v>
      </c>
      <c r="V1010" s="941">
        <v>0</v>
      </c>
      <c r="W1010" s="941">
        <v>0</v>
      </c>
      <c r="X1010" s="941">
        <v>0</v>
      </c>
      <c r="Y1010" s="941">
        <v>0</v>
      </c>
      <c r="Z1010" s="941">
        <v>0</v>
      </c>
      <c r="AA1010" s="942">
        <v>0</v>
      </c>
      <c r="AB1010" s="942">
        <v>0</v>
      </c>
      <c r="AC1010" s="942">
        <v>0</v>
      </c>
      <c r="AD1010" s="942">
        <v>0</v>
      </c>
      <c r="AE1010" s="942">
        <v>0</v>
      </c>
      <c r="AF1010" s="942">
        <v>0</v>
      </c>
      <c r="AG1010" s="943">
        <f>comparaison_samebasis_villages[[#This Row],[previous idp_ind]]-comparaison_samebasis_villages[[#This Row],[actual idp_ind]]</f>
        <v>0</v>
      </c>
      <c r="AH1010" s="943">
        <f>comparaison_samebasis_villages[[#This Row],[previous ref_ind]]-comparaison_samebasis_villages[[#This Row],[actual ref_ind]]</f>
        <v>0</v>
      </c>
      <c r="AI1010" s="943">
        <f>comparaison_samebasis_villages[[#This Row],[previous ret_ind]]-comparaison_samebasis_villages[[#This Row],[actual ret_ind]]</f>
        <v>0</v>
      </c>
    </row>
    <row r="1011" spans="15:35" ht="15.75" customHeight="1" x14ac:dyDescent="0.3">
      <c r="O1011" s="399" t="s">
        <v>34</v>
      </c>
      <c r="P1011" s="399" t="s">
        <v>34</v>
      </c>
      <c r="Q1011" s="399" t="s">
        <v>188</v>
      </c>
      <c r="R1011" s="399" t="s">
        <v>188</v>
      </c>
      <c r="S1011" s="399" t="s">
        <v>2667</v>
      </c>
      <c r="T1011" s="399" t="s">
        <v>1145</v>
      </c>
      <c r="U1011" s="941">
        <v>0</v>
      </c>
      <c r="V1011" s="941">
        <v>0</v>
      </c>
      <c r="W1011" s="941">
        <v>0</v>
      </c>
      <c r="X1011" s="941">
        <v>0</v>
      </c>
      <c r="Y1011" s="941">
        <v>0</v>
      </c>
      <c r="Z1011" s="941">
        <v>0</v>
      </c>
      <c r="AA1011" s="942">
        <v>0</v>
      </c>
      <c r="AB1011" s="942">
        <v>0</v>
      </c>
      <c r="AC1011" s="942">
        <v>0</v>
      </c>
      <c r="AD1011" s="942">
        <v>0</v>
      </c>
      <c r="AE1011" s="942">
        <v>0</v>
      </c>
      <c r="AF1011" s="942">
        <v>0</v>
      </c>
      <c r="AG1011" s="943">
        <f>comparaison_samebasis_villages[[#This Row],[previous idp_ind]]-comparaison_samebasis_villages[[#This Row],[actual idp_ind]]</f>
        <v>0</v>
      </c>
      <c r="AH1011" s="943">
        <f>comparaison_samebasis_villages[[#This Row],[previous ref_ind]]-comparaison_samebasis_villages[[#This Row],[actual ref_ind]]</f>
        <v>0</v>
      </c>
      <c r="AI1011" s="943">
        <f>comparaison_samebasis_villages[[#This Row],[previous ret_ind]]-comparaison_samebasis_villages[[#This Row],[actual ret_ind]]</f>
        <v>0</v>
      </c>
    </row>
    <row r="1012" spans="15:35" ht="15.75" customHeight="1" x14ac:dyDescent="0.3">
      <c r="O1012" s="399" t="s">
        <v>34</v>
      </c>
      <c r="P1012" s="399" t="s">
        <v>34</v>
      </c>
      <c r="Q1012" s="399" t="s">
        <v>188</v>
      </c>
      <c r="R1012" s="399" t="s">
        <v>188</v>
      </c>
      <c r="S1012" s="399" t="s">
        <v>1382</v>
      </c>
      <c r="T1012" s="399" t="s">
        <v>763</v>
      </c>
      <c r="U1012" s="941">
        <v>59</v>
      </c>
      <c r="V1012" s="941">
        <v>293</v>
      </c>
      <c r="W1012" s="941">
        <v>15</v>
      </c>
      <c r="X1012" s="941">
        <v>63</v>
      </c>
      <c r="Y1012" s="941">
        <v>0</v>
      </c>
      <c r="Z1012" s="941">
        <v>0</v>
      </c>
      <c r="AA1012" s="942">
        <v>59</v>
      </c>
      <c r="AB1012" s="942">
        <v>278</v>
      </c>
      <c r="AC1012" s="942">
        <v>15</v>
      </c>
      <c r="AD1012" s="942">
        <v>61</v>
      </c>
      <c r="AE1012" s="942">
        <v>0</v>
      </c>
      <c r="AF1012" s="942">
        <v>0</v>
      </c>
      <c r="AG1012" s="943">
        <f>comparaison_samebasis_villages[[#This Row],[previous idp_ind]]-comparaison_samebasis_villages[[#This Row],[actual idp_ind]]</f>
        <v>-15</v>
      </c>
      <c r="AH1012" s="943">
        <f>comparaison_samebasis_villages[[#This Row],[previous ref_ind]]-comparaison_samebasis_villages[[#This Row],[actual ref_ind]]</f>
        <v>-2</v>
      </c>
      <c r="AI1012" s="943">
        <f>comparaison_samebasis_villages[[#This Row],[previous ret_ind]]-comparaison_samebasis_villages[[#This Row],[actual ret_ind]]</f>
        <v>0</v>
      </c>
    </row>
    <row r="1013" spans="15:35" ht="15.75" customHeight="1" x14ac:dyDescent="0.3">
      <c r="O1013" s="399" t="s">
        <v>34</v>
      </c>
      <c r="P1013" s="399" t="s">
        <v>34</v>
      </c>
      <c r="Q1013" s="399" t="s">
        <v>188</v>
      </c>
      <c r="R1013" s="399" t="s">
        <v>188</v>
      </c>
      <c r="S1013" s="399" t="s">
        <v>1174</v>
      </c>
      <c r="T1013" s="399" t="s">
        <v>759</v>
      </c>
      <c r="U1013" s="941">
        <v>256</v>
      </c>
      <c r="V1013" s="941">
        <v>1761</v>
      </c>
      <c r="W1013" s="941">
        <v>0</v>
      </c>
      <c r="X1013" s="941">
        <v>0</v>
      </c>
      <c r="Y1013" s="941">
        <v>0</v>
      </c>
      <c r="Z1013" s="941">
        <v>0</v>
      </c>
      <c r="AA1013" s="942">
        <v>256</v>
      </c>
      <c r="AB1013" s="942">
        <v>1757</v>
      </c>
      <c r="AC1013" s="942">
        <v>0</v>
      </c>
      <c r="AD1013" s="942">
        <v>0</v>
      </c>
      <c r="AE1013" s="942">
        <v>0</v>
      </c>
      <c r="AF1013" s="942">
        <v>0</v>
      </c>
      <c r="AG1013" s="943">
        <f>comparaison_samebasis_villages[[#This Row],[previous idp_ind]]-comparaison_samebasis_villages[[#This Row],[actual idp_ind]]</f>
        <v>-4</v>
      </c>
      <c r="AH1013" s="943">
        <f>comparaison_samebasis_villages[[#This Row],[previous ref_ind]]-comparaison_samebasis_villages[[#This Row],[actual ref_ind]]</f>
        <v>0</v>
      </c>
      <c r="AI1013" s="943">
        <f>comparaison_samebasis_villages[[#This Row],[previous ret_ind]]-comparaison_samebasis_villages[[#This Row],[actual ret_ind]]</f>
        <v>0</v>
      </c>
    </row>
    <row r="1014" spans="15:35" ht="15.75" customHeight="1" x14ac:dyDescent="0.3">
      <c r="O1014" s="399" t="s">
        <v>34</v>
      </c>
      <c r="P1014" s="399" t="s">
        <v>34</v>
      </c>
      <c r="Q1014" s="399" t="s">
        <v>188</v>
      </c>
      <c r="R1014" s="399" t="s">
        <v>188</v>
      </c>
      <c r="S1014" s="399" t="s">
        <v>1422</v>
      </c>
      <c r="T1014" s="399" t="s">
        <v>982</v>
      </c>
      <c r="U1014" s="941">
        <v>8</v>
      </c>
      <c r="V1014" s="941">
        <v>109</v>
      </c>
      <c r="W1014" s="941">
        <v>0</v>
      </c>
      <c r="X1014" s="941">
        <v>0</v>
      </c>
      <c r="Y1014" s="941">
        <v>0</v>
      </c>
      <c r="Z1014" s="941">
        <v>0</v>
      </c>
      <c r="AA1014" s="942">
        <v>8</v>
      </c>
      <c r="AB1014" s="942">
        <v>94</v>
      </c>
      <c r="AC1014" s="942">
        <v>0</v>
      </c>
      <c r="AD1014" s="942">
        <v>0</v>
      </c>
      <c r="AE1014" s="942">
        <v>0</v>
      </c>
      <c r="AF1014" s="942">
        <v>0</v>
      </c>
      <c r="AG1014" s="943">
        <f>comparaison_samebasis_villages[[#This Row],[previous idp_ind]]-comparaison_samebasis_villages[[#This Row],[actual idp_ind]]</f>
        <v>-15</v>
      </c>
      <c r="AH1014" s="943">
        <f>comparaison_samebasis_villages[[#This Row],[previous ref_ind]]-comparaison_samebasis_villages[[#This Row],[actual ref_ind]]</f>
        <v>0</v>
      </c>
      <c r="AI1014" s="943">
        <f>comparaison_samebasis_villages[[#This Row],[previous ret_ind]]-comparaison_samebasis_villages[[#This Row],[actual ret_ind]]</f>
        <v>0</v>
      </c>
    </row>
    <row r="1015" spans="15:35" ht="15.75" customHeight="1" x14ac:dyDescent="0.3">
      <c r="O1015" s="399" t="s">
        <v>34</v>
      </c>
      <c r="P1015" s="399" t="s">
        <v>34</v>
      </c>
      <c r="Q1015" s="399" t="s">
        <v>188</v>
      </c>
      <c r="R1015" s="399" t="s">
        <v>188</v>
      </c>
      <c r="S1015" s="399" t="s">
        <v>1438</v>
      </c>
      <c r="T1015" s="399" t="s">
        <v>1679</v>
      </c>
      <c r="U1015" s="941">
        <v>82</v>
      </c>
      <c r="V1015" s="941">
        <v>588</v>
      </c>
      <c r="W1015" s="941">
        <v>0</v>
      </c>
      <c r="X1015" s="941">
        <v>0</v>
      </c>
      <c r="Y1015" s="941">
        <v>0</v>
      </c>
      <c r="Z1015" s="941">
        <v>0</v>
      </c>
      <c r="AA1015" s="942">
        <v>82</v>
      </c>
      <c r="AB1015" s="942">
        <v>580</v>
      </c>
      <c r="AC1015" s="942">
        <v>0</v>
      </c>
      <c r="AD1015" s="942">
        <v>0</v>
      </c>
      <c r="AE1015" s="942">
        <v>0</v>
      </c>
      <c r="AF1015" s="942">
        <v>0</v>
      </c>
      <c r="AG1015" s="943">
        <f>comparaison_samebasis_villages[[#This Row],[previous idp_ind]]-comparaison_samebasis_villages[[#This Row],[actual idp_ind]]</f>
        <v>-8</v>
      </c>
      <c r="AH1015" s="943">
        <f>comparaison_samebasis_villages[[#This Row],[previous ref_ind]]-comparaison_samebasis_villages[[#This Row],[actual ref_ind]]</f>
        <v>0</v>
      </c>
      <c r="AI1015" s="943">
        <f>comparaison_samebasis_villages[[#This Row],[previous ret_ind]]-comparaison_samebasis_villages[[#This Row],[actual ret_ind]]</f>
        <v>0</v>
      </c>
    </row>
    <row r="1016" spans="15:35" ht="15.75" customHeight="1" x14ac:dyDescent="0.3">
      <c r="O1016" s="399" t="s">
        <v>34</v>
      </c>
      <c r="P1016" s="399" t="s">
        <v>34</v>
      </c>
      <c r="Q1016" s="399" t="s">
        <v>188</v>
      </c>
      <c r="R1016" s="399" t="s">
        <v>188</v>
      </c>
      <c r="S1016" s="399" t="s">
        <v>1311</v>
      </c>
      <c r="T1016" s="399" t="s">
        <v>984</v>
      </c>
      <c r="U1016" s="941">
        <v>36</v>
      </c>
      <c r="V1016" s="941">
        <v>164</v>
      </c>
      <c r="W1016" s="941">
        <v>2</v>
      </c>
      <c r="X1016" s="941">
        <v>12</v>
      </c>
      <c r="Y1016" s="941">
        <v>0</v>
      </c>
      <c r="Z1016" s="941">
        <v>0</v>
      </c>
      <c r="AA1016" s="942">
        <v>36</v>
      </c>
      <c r="AB1016" s="942">
        <v>164</v>
      </c>
      <c r="AC1016" s="942">
        <v>2</v>
      </c>
      <c r="AD1016" s="942">
        <v>12</v>
      </c>
      <c r="AE1016" s="942">
        <v>0</v>
      </c>
      <c r="AF1016" s="942">
        <v>0</v>
      </c>
      <c r="AG1016" s="943">
        <f>comparaison_samebasis_villages[[#This Row],[previous idp_ind]]-comparaison_samebasis_villages[[#This Row],[actual idp_ind]]</f>
        <v>0</v>
      </c>
      <c r="AH1016" s="943">
        <f>comparaison_samebasis_villages[[#This Row],[previous ref_ind]]-comparaison_samebasis_villages[[#This Row],[actual ref_ind]]</f>
        <v>0</v>
      </c>
      <c r="AI1016" s="943">
        <f>comparaison_samebasis_villages[[#This Row],[previous ret_ind]]-comparaison_samebasis_villages[[#This Row],[actual ret_ind]]</f>
        <v>0</v>
      </c>
    </row>
    <row r="1017" spans="15:35" ht="15.75" customHeight="1" x14ac:dyDescent="0.3">
      <c r="O1017" s="399" t="s">
        <v>34</v>
      </c>
      <c r="P1017" s="399" t="s">
        <v>34</v>
      </c>
      <c r="Q1017" s="399" t="s">
        <v>188</v>
      </c>
      <c r="R1017" s="399" t="s">
        <v>188</v>
      </c>
      <c r="S1017" s="399" t="s">
        <v>979</v>
      </c>
      <c r="T1017" s="399" t="s">
        <v>2656</v>
      </c>
      <c r="U1017" s="941">
        <v>45</v>
      </c>
      <c r="V1017" s="941">
        <v>216</v>
      </c>
      <c r="W1017" s="941">
        <v>0</v>
      </c>
      <c r="X1017" s="941">
        <v>0</v>
      </c>
      <c r="Y1017" s="941">
        <v>0</v>
      </c>
      <c r="Z1017" s="941">
        <v>0</v>
      </c>
      <c r="AA1017" s="942">
        <v>45</v>
      </c>
      <c r="AB1017" s="942">
        <v>216</v>
      </c>
      <c r="AC1017" s="942">
        <v>0</v>
      </c>
      <c r="AD1017" s="942">
        <v>0</v>
      </c>
      <c r="AE1017" s="942">
        <v>0</v>
      </c>
      <c r="AF1017" s="942">
        <v>0</v>
      </c>
      <c r="AG1017" s="943">
        <f>comparaison_samebasis_villages[[#This Row],[previous idp_ind]]-comparaison_samebasis_villages[[#This Row],[actual idp_ind]]</f>
        <v>0</v>
      </c>
      <c r="AH1017" s="943">
        <f>comparaison_samebasis_villages[[#This Row],[previous ref_ind]]-comparaison_samebasis_villages[[#This Row],[actual ref_ind]]</f>
        <v>0</v>
      </c>
      <c r="AI1017" s="943">
        <f>comparaison_samebasis_villages[[#This Row],[previous ret_ind]]-comparaison_samebasis_villages[[#This Row],[actual ret_ind]]</f>
        <v>0</v>
      </c>
    </row>
    <row r="1018" spans="15:35" ht="15.75" customHeight="1" x14ac:dyDescent="0.3">
      <c r="O1018" s="399" t="s">
        <v>34</v>
      </c>
      <c r="P1018" s="399" t="s">
        <v>34</v>
      </c>
      <c r="Q1018" s="399" t="s">
        <v>188</v>
      </c>
      <c r="R1018" s="399" t="s">
        <v>188</v>
      </c>
      <c r="S1018" s="399" t="s">
        <v>1510</v>
      </c>
      <c r="T1018" s="399" t="s">
        <v>2658</v>
      </c>
      <c r="U1018" s="941">
        <v>56</v>
      </c>
      <c r="V1018" s="941">
        <v>354</v>
      </c>
      <c r="W1018" s="941">
        <v>0</v>
      </c>
      <c r="X1018" s="941">
        <v>0</v>
      </c>
      <c r="Y1018" s="941">
        <v>0</v>
      </c>
      <c r="Z1018" s="941">
        <v>0</v>
      </c>
      <c r="AA1018" s="942">
        <v>56</v>
      </c>
      <c r="AB1018" s="942">
        <v>351</v>
      </c>
      <c r="AC1018" s="942">
        <v>0</v>
      </c>
      <c r="AD1018" s="942">
        <v>0</v>
      </c>
      <c r="AE1018" s="942">
        <v>0</v>
      </c>
      <c r="AF1018" s="942">
        <v>0</v>
      </c>
      <c r="AG1018" s="943">
        <f>comparaison_samebasis_villages[[#This Row],[previous idp_ind]]-comparaison_samebasis_villages[[#This Row],[actual idp_ind]]</f>
        <v>-3</v>
      </c>
      <c r="AH1018" s="943">
        <f>comparaison_samebasis_villages[[#This Row],[previous ref_ind]]-comparaison_samebasis_villages[[#This Row],[actual ref_ind]]</f>
        <v>0</v>
      </c>
      <c r="AI1018" s="943">
        <f>comparaison_samebasis_villages[[#This Row],[previous ret_ind]]-comparaison_samebasis_villages[[#This Row],[actual ret_ind]]</f>
        <v>0</v>
      </c>
    </row>
    <row r="1019" spans="15:35" ht="15.75" customHeight="1" x14ac:dyDescent="0.3">
      <c r="O1019" s="399" t="s">
        <v>34</v>
      </c>
      <c r="P1019" s="399" t="s">
        <v>34</v>
      </c>
      <c r="Q1019" s="399" t="s">
        <v>188</v>
      </c>
      <c r="R1019" s="399" t="s">
        <v>188</v>
      </c>
      <c r="S1019" s="399" t="s">
        <v>1045</v>
      </c>
      <c r="T1019" s="399" t="s">
        <v>976</v>
      </c>
      <c r="U1019" s="941">
        <v>109</v>
      </c>
      <c r="V1019" s="941">
        <v>494</v>
      </c>
      <c r="W1019" s="941">
        <v>0</v>
      </c>
      <c r="X1019" s="941">
        <v>0</v>
      </c>
      <c r="Y1019" s="941">
        <v>0</v>
      </c>
      <c r="Z1019" s="941">
        <v>0</v>
      </c>
      <c r="AA1019" s="942">
        <v>106</v>
      </c>
      <c r="AB1019" s="942">
        <v>472</v>
      </c>
      <c r="AC1019" s="942">
        <v>0</v>
      </c>
      <c r="AD1019" s="942">
        <v>0</v>
      </c>
      <c r="AE1019" s="942">
        <v>0</v>
      </c>
      <c r="AF1019" s="942">
        <v>0</v>
      </c>
      <c r="AG1019" s="943">
        <f>comparaison_samebasis_villages[[#This Row],[previous idp_ind]]-comparaison_samebasis_villages[[#This Row],[actual idp_ind]]</f>
        <v>-22</v>
      </c>
      <c r="AH1019" s="943">
        <f>comparaison_samebasis_villages[[#This Row],[previous ref_ind]]-comparaison_samebasis_villages[[#This Row],[actual ref_ind]]</f>
        <v>0</v>
      </c>
      <c r="AI1019" s="943">
        <f>comparaison_samebasis_villages[[#This Row],[previous ret_ind]]-comparaison_samebasis_villages[[#This Row],[actual ret_ind]]</f>
        <v>0</v>
      </c>
    </row>
    <row r="1020" spans="15:35" ht="15.75" customHeight="1" x14ac:dyDescent="0.3">
      <c r="O1020" s="399" t="s">
        <v>34</v>
      </c>
      <c r="P1020" s="399" t="s">
        <v>34</v>
      </c>
      <c r="Q1020" s="399" t="s">
        <v>188</v>
      </c>
      <c r="R1020" s="399" t="s">
        <v>188</v>
      </c>
      <c r="S1020" s="399" t="s">
        <v>781</v>
      </c>
      <c r="T1020" s="399" t="s">
        <v>1006</v>
      </c>
      <c r="U1020" s="941">
        <v>49</v>
      </c>
      <c r="V1020" s="941">
        <v>315</v>
      </c>
      <c r="W1020" s="941">
        <v>0</v>
      </c>
      <c r="X1020" s="941">
        <v>0</v>
      </c>
      <c r="Y1020" s="941">
        <v>0</v>
      </c>
      <c r="Z1020" s="941">
        <v>0</v>
      </c>
      <c r="AA1020" s="942">
        <v>49</v>
      </c>
      <c r="AB1020" s="942">
        <v>313</v>
      </c>
      <c r="AC1020" s="942">
        <v>0</v>
      </c>
      <c r="AD1020" s="942">
        <v>0</v>
      </c>
      <c r="AE1020" s="942">
        <v>0</v>
      </c>
      <c r="AF1020" s="942">
        <v>0</v>
      </c>
      <c r="AG1020" s="943">
        <f>comparaison_samebasis_villages[[#This Row],[previous idp_ind]]-comparaison_samebasis_villages[[#This Row],[actual idp_ind]]</f>
        <v>-2</v>
      </c>
      <c r="AH1020" s="943">
        <f>comparaison_samebasis_villages[[#This Row],[previous ref_ind]]-comparaison_samebasis_villages[[#This Row],[actual ref_ind]]</f>
        <v>0</v>
      </c>
      <c r="AI1020" s="943">
        <f>comparaison_samebasis_villages[[#This Row],[previous ret_ind]]-comparaison_samebasis_villages[[#This Row],[actual ret_ind]]</f>
        <v>0</v>
      </c>
    </row>
    <row r="1021" spans="15:35" ht="15.75" customHeight="1" x14ac:dyDescent="0.3">
      <c r="O1021" s="399" t="s">
        <v>34</v>
      </c>
      <c r="P1021" s="399" t="s">
        <v>34</v>
      </c>
      <c r="Q1021" s="399" t="s">
        <v>188</v>
      </c>
      <c r="R1021" s="399" t="s">
        <v>188</v>
      </c>
      <c r="S1021" s="399" t="s">
        <v>1431</v>
      </c>
      <c r="T1021" s="399" t="s">
        <v>2660</v>
      </c>
      <c r="U1021" s="941">
        <v>61</v>
      </c>
      <c r="V1021" s="941">
        <v>453</v>
      </c>
      <c r="W1021" s="941">
        <v>3</v>
      </c>
      <c r="X1021" s="941">
        <v>20</v>
      </c>
      <c r="Y1021" s="941">
        <v>0</v>
      </c>
      <c r="Z1021" s="941">
        <v>0</v>
      </c>
      <c r="AA1021" s="942">
        <v>62</v>
      </c>
      <c r="AB1021" s="942">
        <v>453</v>
      </c>
      <c r="AC1021" s="942">
        <v>3</v>
      </c>
      <c r="AD1021" s="942">
        <v>18</v>
      </c>
      <c r="AE1021" s="942">
        <v>0</v>
      </c>
      <c r="AF1021" s="942">
        <v>0</v>
      </c>
      <c r="AG1021" s="943">
        <f>comparaison_samebasis_villages[[#This Row],[previous idp_ind]]-comparaison_samebasis_villages[[#This Row],[actual idp_ind]]</f>
        <v>0</v>
      </c>
      <c r="AH1021" s="943">
        <f>comparaison_samebasis_villages[[#This Row],[previous ref_ind]]-comparaison_samebasis_villages[[#This Row],[actual ref_ind]]</f>
        <v>-2</v>
      </c>
      <c r="AI1021" s="943">
        <f>comparaison_samebasis_villages[[#This Row],[previous ret_ind]]-comparaison_samebasis_villages[[#This Row],[actual ret_ind]]</f>
        <v>0</v>
      </c>
    </row>
    <row r="1022" spans="15:35" ht="15.75" customHeight="1" x14ac:dyDescent="0.3">
      <c r="O1022" s="399" t="s">
        <v>34</v>
      </c>
      <c r="P1022" s="399" t="s">
        <v>34</v>
      </c>
      <c r="Q1022" s="399" t="s">
        <v>188</v>
      </c>
      <c r="R1022" s="399" t="s">
        <v>188</v>
      </c>
      <c r="S1022" s="399" t="s">
        <v>2669</v>
      </c>
      <c r="T1022" s="399" t="s">
        <v>1351</v>
      </c>
      <c r="U1022" s="941">
        <v>0</v>
      </c>
      <c r="V1022" s="941">
        <v>0</v>
      </c>
      <c r="W1022" s="941">
        <v>0</v>
      </c>
      <c r="X1022" s="941">
        <v>0</v>
      </c>
      <c r="Y1022" s="941">
        <v>0</v>
      </c>
      <c r="Z1022" s="941">
        <v>0</v>
      </c>
      <c r="AA1022" s="942">
        <v>0</v>
      </c>
      <c r="AB1022" s="942">
        <v>0</v>
      </c>
      <c r="AC1022" s="942">
        <v>0</v>
      </c>
      <c r="AD1022" s="942">
        <v>0</v>
      </c>
      <c r="AE1022" s="942">
        <v>0</v>
      </c>
      <c r="AF1022" s="942">
        <v>0</v>
      </c>
      <c r="AG1022" s="943">
        <f>comparaison_samebasis_villages[[#This Row],[previous idp_ind]]-comparaison_samebasis_villages[[#This Row],[actual idp_ind]]</f>
        <v>0</v>
      </c>
      <c r="AH1022" s="943">
        <f>comparaison_samebasis_villages[[#This Row],[previous ref_ind]]-comparaison_samebasis_villages[[#This Row],[actual ref_ind]]</f>
        <v>0</v>
      </c>
      <c r="AI1022" s="943">
        <f>comparaison_samebasis_villages[[#This Row],[previous ret_ind]]-comparaison_samebasis_villages[[#This Row],[actual ret_ind]]</f>
        <v>0</v>
      </c>
    </row>
    <row r="1023" spans="15:35" ht="15.75" customHeight="1" x14ac:dyDescent="0.3">
      <c r="O1023" s="399" t="s">
        <v>34</v>
      </c>
      <c r="P1023" s="399" t="s">
        <v>34</v>
      </c>
      <c r="Q1023" s="399" t="s">
        <v>188</v>
      </c>
      <c r="R1023" s="399" t="s">
        <v>188</v>
      </c>
      <c r="S1023" s="399" t="s">
        <v>1415</v>
      </c>
      <c r="T1023" s="399" t="s">
        <v>2662</v>
      </c>
      <c r="U1023" s="941">
        <v>42</v>
      </c>
      <c r="V1023" s="941">
        <v>486</v>
      </c>
      <c r="W1023" s="941">
        <v>0</v>
      </c>
      <c r="X1023" s="941">
        <v>0</v>
      </c>
      <c r="Y1023" s="941">
        <v>0</v>
      </c>
      <c r="Z1023" s="941">
        <v>0</v>
      </c>
      <c r="AA1023" s="942">
        <v>37</v>
      </c>
      <c r="AB1023" s="942">
        <v>449</v>
      </c>
      <c r="AC1023" s="942">
        <v>0</v>
      </c>
      <c r="AD1023" s="942">
        <v>0</v>
      </c>
      <c r="AE1023" s="942">
        <v>0</v>
      </c>
      <c r="AF1023" s="942">
        <v>0</v>
      </c>
      <c r="AG1023" s="943">
        <f>comparaison_samebasis_villages[[#This Row],[previous idp_ind]]-comparaison_samebasis_villages[[#This Row],[actual idp_ind]]</f>
        <v>-37</v>
      </c>
      <c r="AH1023" s="943">
        <f>comparaison_samebasis_villages[[#This Row],[previous ref_ind]]-comparaison_samebasis_villages[[#This Row],[actual ref_ind]]</f>
        <v>0</v>
      </c>
      <c r="AI1023" s="943">
        <f>comparaison_samebasis_villages[[#This Row],[previous ret_ind]]-comparaison_samebasis_villages[[#This Row],[actual ret_ind]]</f>
        <v>0</v>
      </c>
    </row>
    <row r="1024" spans="15:35" ht="15.75" customHeight="1" x14ac:dyDescent="0.3">
      <c r="O1024" s="399" t="s">
        <v>34</v>
      </c>
      <c r="P1024" s="399" t="s">
        <v>34</v>
      </c>
      <c r="Q1024" s="399" t="s">
        <v>188</v>
      </c>
      <c r="R1024" s="399" t="s">
        <v>188</v>
      </c>
      <c r="S1024" s="399" t="s">
        <v>1627</v>
      </c>
      <c r="T1024" s="399" t="s">
        <v>1042</v>
      </c>
      <c r="U1024" s="941">
        <v>44</v>
      </c>
      <c r="V1024" s="941">
        <v>252</v>
      </c>
      <c r="W1024" s="941">
        <v>3</v>
      </c>
      <c r="X1024" s="941">
        <v>19</v>
      </c>
      <c r="Y1024" s="941">
        <v>5</v>
      </c>
      <c r="Z1024" s="941">
        <v>5</v>
      </c>
      <c r="AA1024" s="942">
        <v>36</v>
      </c>
      <c r="AB1024" s="942">
        <v>225</v>
      </c>
      <c r="AC1024" s="942">
        <v>3</v>
      </c>
      <c r="AD1024" s="942">
        <v>19</v>
      </c>
      <c r="AE1024" s="942">
        <v>5</v>
      </c>
      <c r="AF1024" s="942">
        <v>36</v>
      </c>
      <c r="AG1024" s="943">
        <f>comparaison_samebasis_villages[[#This Row],[previous idp_ind]]-comparaison_samebasis_villages[[#This Row],[actual idp_ind]]</f>
        <v>-27</v>
      </c>
      <c r="AH1024" s="943">
        <f>comparaison_samebasis_villages[[#This Row],[previous ref_ind]]-comparaison_samebasis_villages[[#This Row],[actual ref_ind]]</f>
        <v>0</v>
      </c>
      <c r="AI1024" s="943">
        <f>comparaison_samebasis_villages[[#This Row],[previous ret_ind]]-comparaison_samebasis_villages[[#This Row],[actual ret_ind]]</f>
        <v>31</v>
      </c>
    </row>
    <row r="1025" spans="15:35" ht="15.75" customHeight="1" x14ac:dyDescent="0.3">
      <c r="O1025" s="399" t="s">
        <v>34</v>
      </c>
      <c r="P1025" s="399" t="s">
        <v>34</v>
      </c>
      <c r="Q1025" s="399" t="s">
        <v>188</v>
      </c>
      <c r="R1025" s="399" t="s">
        <v>188</v>
      </c>
      <c r="S1025" s="399" t="s">
        <v>999</v>
      </c>
      <c r="T1025" s="399" t="s">
        <v>2664</v>
      </c>
      <c r="U1025" s="941">
        <v>197</v>
      </c>
      <c r="V1025" s="941">
        <v>1306</v>
      </c>
      <c r="W1025" s="941">
        <v>0</v>
      </c>
      <c r="X1025" s="941">
        <v>0</v>
      </c>
      <c r="Y1025" s="941">
        <v>0</v>
      </c>
      <c r="Z1025" s="941">
        <v>0</v>
      </c>
      <c r="AA1025" s="942">
        <v>197</v>
      </c>
      <c r="AB1025" s="942">
        <v>1296</v>
      </c>
      <c r="AC1025" s="942">
        <v>0</v>
      </c>
      <c r="AD1025" s="942">
        <v>0</v>
      </c>
      <c r="AE1025" s="942">
        <v>0</v>
      </c>
      <c r="AF1025" s="942">
        <v>0</v>
      </c>
      <c r="AG1025" s="943">
        <f>comparaison_samebasis_villages[[#This Row],[previous idp_ind]]-comparaison_samebasis_villages[[#This Row],[actual idp_ind]]</f>
        <v>-10</v>
      </c>
      <c r="AH1025" s="943">
        <f>comparaison_samebasis_villages[[#This Row],[previous ref_ind]]-comparaison_samebasis_villages[[#This Row],[actual ref_ind]]</f>
        <v>0</v>
      </c>
      <c r="AI1025" s="943">
        <f>comparaison_samebasis_villages[[#This Row],[previous ret_ind]]-comparaison_samebasis_villages[[#This Row],[actual ret_ind]]</f>
        <v>0</v>
      </c>
    </row>
    <row r="1026" spans="15:35" ht="15.75" customHeight="1" x14ac:dyDescent="0.3">
      <c r="O1026" s="399" t="s">
        <v>34</v>
      </c>
      <c r="P1026" s="399" t="s">
        <v>34</v>
      </c>
      <c r="Q1026" s="399" t="s">
        <v>188</v>
      </c>
      <c r="R1026" s="399" t="s">
        <v>188</v>
      </c>
      <c r="S1026" s="399" t="s">
        <v>1072</v>
      </c>
      <c r="T1026" s="399" t="s">
        <v>2666</v>
      </c>
      <c r="U1026" s="941">
        <v>31</v>
      </c>
      <c r="V1026" s="941">
        <v>324</v>
      </c>
      <c r="W1026" s="941">
        <v>0</v>
      </c>
      <c r="X1026" s="941">
        <v>0</v>
      </c>
      <c r="Y1026" s="941">
        <v>0</v>
      </c>
      <c r="Z1026" s="941">
        <v>0</v>
      </c>
      <c r="AA1026" s="942">
        <v>46</v>
      </c>
      <c r="AB1026" s="942">
        <v>369</v>
      </c>
      <c r="AC1026" s="942">
        <v>0</v>
      </c>
      <c r="AD1026" s="942">
        <v>0</v>
      </c>
      <c r="AE1026" s="942">
        <v>0</v>
      </c>
      <c r="AF1026" s="942">
        <v>0</v>
      </c>
      <c r="AG1026" s="943">
        <f>comparaison_samebasis_villages[[#This Row],[previous idp_ind]]-comparaison_samebasis_villages[[#This Row],[actual idp_ind]]</f>
        <v>45</v>
      </c>
      <c r="AH1026" s="943">
        <f>comparaison_samebasis_villages[[#This Row],[previous ref_ind]]-comparaison_samebasis_villages[[#This Row],[actual ref_ind]]</f>
        <v>0</v>
      </c>
      <c r="AI1026" s="943">
        <f>comparaison_samebasis_villages[[#This Row],[previous ret_ind]]-comparaison_samebasis_villages[[#This Row],[actual ret_ind]]</f>
        <v>0</v>
      </c>
    </row>
    <row r="1027" spans="15:35" ht="15.75" customHeight="1" x14ac:dyDescent="0.3">
      <c r="O1027" s="399" t="s">
        <v>34</v>
      </c>
      <c r="P1027" s="399" t="s">
        <v>34</v>
      </c>
      <c r="Q1027" s="399" t="s">
        <v>188</v>
      </c>
      <c r="R1027" s="399" t="s">
        <v>188</v>
      </c>
      <c r="S1027" s="399" t="s">
        <v>1531</v>
      </c>
      <c r="T1027" s="399" t="s">
        <v>1381</v>
      </c>
      <c r="U1027" s="941">
        <v>115</v>
      </c>
      <c r="V1027" s="941">
        <v>579</v>
      </c>
      <c r="W1027" s="941">
        <v>0</v>
      </c>
      <c r="X1027" s="941">
        <v>0</v>
      </c>
      <c r="Y1027" s="941">
        <v>0</v>
      </c>
      <c r="Z1027" s="941">
        <v>0</v>
      </c>
      <c r="AA1027" s="942">
        <v>109</v>
      </c>
      <c r="AB1027" s="942">
        <v>539</v>
      </c>
      <c r="AC1027" s="942">
        <v>0</v>
      </c>
      <c r="AD1027" s="942">
        <v>0</v>
      </c>
      <c r="AE1027" s="942">
        <v>0</v>
      </c>
      <c r="AF1027" s="942">
        <v>0</v>
      </c>
      <c r="AG1027" s="943">
        <f>comparaison_samebasis_villages[[#This Row],[previous idp_ind]]-comparaison_samebasis_villages[[#This Row],[actual idp_ind]]</f>
        <v>-40</v>
      </c>
      <c r="AH1027" s="943">
        <f>comparaison_samebasis_villages[[#This Row],[previous ref_ind]]-comparaison_samebasis_villages[[#This Row],[actual ref_ind]]</f>
        <v>0</v>
      </c>
      <c r="AI1027" s="943">
        <f>comparaison_samebasis_villages[[#This Row],[previous ret_ind]]-comparaison_samebasis_villages[[#This Row],[actual ret_ind]]</f>
        <v>0</v>
      </c>
    </row>
    <row r="1028" spans="15:35" ht="15.75" customHeight="1" x14ac:dyDescent="0.3">
      <c r="O1028" s="399" t="s">
        <v>34</v>
      </c>
      <c r="P1028" s="399" t="s">
        <v>34</v>
      </c>
      <c r="Q1028" s="399" t="s">
        <v>188</v>
      </c>
      <c r="R1028" s="399" t="s">
        <v>188</v>
      </c>
      <c r="S1028" s="399" t="s">
        <v>1490</v>
      </c>
      <c r="T1028" s="399" t="s">
        <v>1173</v>
      </c>
      <c r="U1028" s="941">
        <v>90</v>
      </c>
      <c r="V1028" s="941">
        <v>487</v>
      </c>
      <c r="W1028" s="941">
        <v>0</v>
      </c>
      <c r="X1028" s="941">
        <v>0</v>
      </c>
      <c r="Y1028" s="941">
        <v>0</v>
      </c>
      <c r="Z1028" s="941">
        <v>0</v>
      </c>
      <c r="AA1028" s="942">
        <v>85</v>
      </c>
      <c r="AB1028" s="942">
        <v>462</v>
      </c>
      <c r="AC1028" s="942">
        <v>0</v>
      </c>
      <c r="AD1028" s="942">
        <v>0</v>
      </c>
      <c r="AE1028" s="942">
        <v>0</v>
      </c>
      <c r="AF1028" s="942">
        <v>0</v>
      </c>
      <c r="AG1028" s="943">
        <f>comparaison_samebasis_villages[[#This Row],[previous idp_ind]]-comparaison_samebasis_villages[[#This Row],[actual idp_ind]]</f>
        <v>-25</v>
      </c>
      <c r="AH1028" s="943">
        <f>comparaison_samebasis_villages[[#This Row],[previous ref_ind]]-comparaison_samebasis_villages[[#This Row],[actual ref_ind]]</f>
        <v>0</v>
      </c>
      <c r="AI1028" s="943">
        <f>comparaison_samebasis_villages[[#This Row],[previous ret_ind]]-comparaison_samebasis_villages[[#This Row],[actual ret_ind]]</f>
        <v>0</v>
      </c>
    </row>
    <row r="1029" spans="15:35" ht="15.75" customHeight="1" x14ac:dyDescent="0.3">
      <c r="O1029" s="399" t="s">
        <v>34</v>
      </c>
      <c r="P1029" s="399" t="s">
        <v>34</v>
      </c>
      <c r="Q1029" s="399" t="s">
        <v>188</v>
      </c>
      <c r="R1029" s="399" t="s">
        <v>188</v>
      </c>
      <c r="S1029" s="399" t="s">
        <v>1632</v>
      </c>
      <c r="T1029" s="399" t="s">
        <v>1421</v>
      </c>
      <c r="U1029" s="941">
        <v>23</v>
      </c>
      <c r="V1029" s="941">
        <v>160</v>
      </c>
      <c r="W1029" s="941">
        <v>7</v>
      </c>
      <c r="X1029" s="941">
        <v>85</v>
      </c>
      <c r="Y1029" s="941">
        <v>0</v>
      </c>
      <c r="Z1029" s="941">
        <v>0</v>
      </c>
      <c r="AA1029" s="942">
        <v>23</v>
      </c>
      <c r="AB1029" s="942">
        <v>153</v>
      </c>
      <c r="AC1029" s="942">
        <v>7</v>
      </c>
      <c r="AD1029" s="942">
        <v>81</v>
      </c>
      <c r="AE1029" s="942">
        <v>0</v>
      </c>
      <c r="AF1029" s="942">
        <v>0</v>
      </c>
      <c r="AG1029" s="943">
        <f>comparaison_samebasis_villages[[#This Row],[previous idp_ind]]-comparaison_samebasis_villages[[#This Row],[actual idp_ind]]</f>
        <v>-7</v>
      </c>
      <c r="AH1029" s="943">
        <f>comparaison_samebasis_villages[[#This Row],[previous ref_ind]]-comparaison_samebasis_villages[[#This Row],[actual ref_ind]]</f>
        <v>-4</v>
      </c>
      <c r="AI1029" s="943">
        <f>comparaison_samebasis_villages[[#This Row],[previous ret_ind]]-comparaison_samebasis_villages[[#This Row],[actual ret_ind]]</f>
        <v>0</v>
      </c>
    </row>
    <row r="1030" spans="15:35" ht="15.75" customHeight="1" x14ac:dyDescent="0.3">
      <c r="O1030" s="399" t="s">
        <v>34</v>
      </c>
      <c r="P1030" s="399" t="s">
        <v>34</v>
      </c>
      <c r="Q1030" s="399" t="s">
        <v>188</v>
      </c>
      <c r="R1030" s="399" t="s">
        <v>188</v>
      </c>
      <c r="S1030" s="399" t="s">
        <v>554</v>
      </c>
      <c r="T1030" s="399" t="s">
        <v>1437</v>
      </c>
      <c r="U1030" s="941">
        <v>7</v>
      </c>
      <c r="V1030" s="941">
        <v>41</v>
      </c>
      <c r="W1030" s="941">
        <v>42</v>
      </c>
      <c r="X1030" s="941">
        <v>363</v>
      </c>
      <c r="Y1030" s="941">
        <v>0</v>
      </c>
      <c r="Z1030" s="941">
        <v>0</v>
      </c>
      <c r="AA1030" s="942">
        <v>7</v>
      </c>
      <c r="AB1030" s="942">
        <v>35</v>
      </c>
      <c r="AC1030" s="942">
        <v>42</v>
      </c>
      <c r="AD1030" s="942">
        <v>343</v>
      </c>
      <c r="AE1030" s="942">
        <v>0</v>
      </c>
      <c r="AF1030" s="942">
        <v>0</v>
      </c>
      <c r="AG1030" s="943">
        <f>comparaison_samebasis_villages[[#This Row],[previous idp_ind]]-comparaison_samebasis_villages[[#This Row],[actual idp_ind]]</f>
        <v>-6</v>
      </c>
      <c r="AH1030" s="943">
        <f>comparaison_samebasis_villages[[#This Row],[previous ref_ind]]-comparaison_samebasis_villages[[#This Row],[actual ref_ind]]</f>
        <v>-20</v>
      </c>
      <c r="AI1030" s="943">
        <f>comparaison_samebasis_villages[[#This Row],[previous ret_ind]]-comparaison_samebasis_villages[[#This Row],[actual ret_ind]]</f>
        <v>0</v>
      </c>
    </row>
    <row r="1031" spans="15:35" ht="15.75" customHeight="1" x14ac:dyDescent="0.3">
      <c r="O1031" s="399" t="s">
        <v>34</v>
      </c>
      <c r="P1031" s="399" t="s">
        <v>34</v>
      </c>
      <c r="Q1031" s="399" t="s">
        <v>188</v>
      </c>
      <c r="R1031" s="399" t="s">
        <v>188</v>
      </c>
      <c r="S1031" s="399" t="s">
        <v>1355</v>
      </c>
      <c r="T1031" s="399" t="s">
        <v>1310</v>
      </c>
      <c r="U1031" s="941">
        <v>100</v>
      </c>
      <c r="V1031" s="941">
        <v>725</v>
      </c>
      <c r="W1031" s="941">
        <v>0</v>
      </c>
      <c r="X1031" s="941">
        <v>0</v>
      </c>
      <c r="Y1031" s="941">
        <v>0</v>
      </c>
      <c r="Z1031" s="941">
        <v>0</v>
      </c>
      <c r="AA1031" s="942">
        <v>96</v>
      </c>
      <c r="AB1031" s="942">
        <v>707</v>
      </c>
      <c r="AC1031" s="942">
        <v>0</v>
      </c>
      <c r="AD1031" s="942">
        <v>0</v>
      </c>
      <c r="AE1031" s="942">
        <v>0</v>
      </c>
      <c r="AF1031" s="942">
        <v>0</v>
      </c>
      <c r="AG1031" s="943">
        <f>comparaison_samebasis_villages[[#This Row],[previous idp_ind]]-comparaison_samebasis_villages[[#This Row],[actual idp_ind]]</f>
        <v>-18</v>
      </c>
      <c r="AH1031" s="943">
        <f>comparaison_samebasis_villages[[#This Row],[previous ref_ind]]-comparaison_samebasis_villages[[#This Row],[actual ref_ind]]</f>
        <v>0</v>
      </c>
      <c r="AI1031" s="943">
        <f>comparaison_samebasis_villages[[#This Row],[previous ret_ind]]-comparaison_samebasis_villages[[#This Row],[actual ret_ind]]</f>
        <v>0</v>
      </c>
    </row>
    <row r="1032" spans="15:35" ht="15.75" customHeight="1" x14ac:dyDescent="0.3">
      <c r="O1032" s="399" t="s">
        <v>34</v>
      </c>
      <c r="P1032" s="399" t="s">
        <v>34</v>
      </c>
      <c r="Q1032" s="399" t="s">
        <v>188</v>
      </c>
      <c r="R1032" s="399" t="s">
        <v>188</v>
      </c>
      <c r="S1032" s="399" t="s">
        <v>1328</v>
      </c>
      <c r="T1032" s="399" t="s">
        <v>978</v>
      </c>
      <c r="U1032" s="941">
        <v>74</v>
      </c>
      <c r="V1032" s="941">
        <v>504</v>
      </c>
      <c r="W1032" s="941">
        <v>0</v>
      </c>
      <c r="X1032" s="941">
        <v>0</v>
      </c>
      <c r="Y1032" s="941">
        <v>0</v>
      </c>
      <c r="Z1032" s="941">
        <v>0</v>
      </c>
      <c r="AA1032" s="942">
        <v>74</v>
      </c>
      <c r="AB1032" s="942">
        <v>503</v>
      </c>
      <c r="AC1032" s="942">
        <v>0</v>
      </c>
      <c r="AD1032" s="942">
        <v>0</v>
      </c>
      <c r="AE1032" s="942">
        <v>0</v>
      </c>
      <c r="AF1032" s="942">
        <v>0</v>
      </c>
      <c r="AG1032" s="943">
        <f>comparaison_samebasis_villages[[#This Row],[previous idp_ind]]-comparaison_samebasis_villages[[#This Row],[actual idp_ind]]</f>
        <v>-1</v>
      </c>
      <c r="AH1032" s="943">
        <f>comparaison_samebasis_villages[[#This Row],[previous ref_ind]]-comparaison_samebasis_villages[[#This Row],[actual ref_ind]]</f>
        <v>0</v>
      </c>
      <c r="AI1032" s="943">
        <f>comparaison_samebasis_villages[[#This Row],[previous ret_ind]]-comparaison_samebasis_villages[[#This Row],[actual ret_ind]]</f>
        <v>0</v>
      </c>
    </row>
    <row r="1033" spans="15:35" ht="15.75" customHeight="1" x14ac:dyDescent="0.3">
      <c r="O1033" s="399" t="s">
        <v>34</v>
      </c>
      <c r="P1033" s="399" t="s">
        <v>34</v>
      </c>
      <c r="Q1033" s="1145" t="s">
        <v>188</v>
      </c>
      <c r="R1033" s="1145" t="s">
        <v>188</v>
      </c>
      <c r="S1033" s="399" t="s">
        <v>2670</v>
      </c>
      <c r="T1033" s="399" t="s">
        <v>1509</v>
      </c>
      <c r="U1033" s="941">
        <v>0</v>
      </c>
      <c r="V1033" s="941">
        <v>0</v>
      </c>
      <c r="W1033" s="941">
        <v>0</v>
      </c>
      <c r="X1033" s="941">
        <v>0</v>
      </c>
      <c r="Y1033" s="941">
        <v>0</v>
      </c>
      <c r="Z1033" s="941">
        <v>0</v>
      </c>
      <c r="AA1033" s="942">
        <v>0</v>
      </c>
      <c r="AB1033" s="942">
        <v>0</v>
      </c>
      <c r="AC1033" s="942">
        <v>0</v>
      </c>
      <c r="AD1033" s="942">
        <v>0</v>
      </c>
      <c r="AE1033" s="942">
        <v>0</v>
      </c>
      <c r="AF1033" s="942">
        <v>0</v>
      </c>
      <c r="AG1033" s="943">
        <f>comparaison_samebasis_villages[[#This Row],[previous idp_ind]]-comparaison_samebasis_villages[[#This Row],[actual idp_ind]]</f>
        <v>0</v>
      </c>
      <c r="AH1033" s="943">
        <f>comparaison_samebasis_villages[[#This Row],[previous ref_ind]]-comparaison_samebasis_villages[[#This Row],[actual ref_ind]]</f>
        <v>0</v>
      </c>
      <c r="AI1033" s="943">
        <f>comparaison_samebasis_villages[[#This Row],[previous ret_ind]]-comparaison_samebasis_villages[[#This Row],[actual ret_ind]]</f>
        <v>0</v>
      </c>
    </row>
    <row r="1034" spans="15:35" ht="15.75" customHeight="1" x14ac:dyDescent="0.3">
      <c r="O1034" s="399" t="s">
        <v>34</v>
      </c>
      <c r="P1034" s="399" t="s">
        <v>34</v>
      </c>
      <c r="Q1034" s="399" t="s">
        <v>188</v>
      </c>
      <c r="R1034" s="399" t="s">
        <v>188</v>
      </c>
      <c r="S1034" s="399" t="s">
        <v>1172</v>
      </c>
      <c r="T1034" s="399" t="s">
        <v>1044</v>
      </c>
      <c r="U1034" s="941">
        <v>120</v>
      </c>
      <c r="V1034" s="941">
        <v>863</v>
      </c>
      <c r="W1034" s="941">
        <v>0</v>
      </c>
      <c r="X1034" s="941">
        <v>0</v>
      </c>
      <c r="Y1034" s="941">
        <v>0</v>
      </c>
      <c r="Z1034" s="941">
        <v>0</v>
      </c>
      <c r="AA1034" s="942">
        <v>120</v>
      </c>
      <c r="AB1034" s="942">
        <v>856</v>
      </c>
      <c r="AC1034" s="942">
        <v>0</v>
      </c>
      <c r="AD1034" s="942">
        <v>0</v>
      </c>
      <c r="AE1034" s="942">
        <v>0</v>
      </c>
      <c r="AF1034" s="942">
        <v>0</v>
      </c>
      <c r="AG1034" s="943">
        <f>comparaison_samebasis_villages[[#This Row],[previous idp_ind]]-comparaison_samebasis_villages[[#This Row],[actual idp_ind]]</f>
        <v>-7</v>
      </c>
      <c r="AH1034" s="943">
        <f>comparaison_samebasis_villages[[#This Row],[previous ref_ind]]-comparaison_samebasis_villages[[#This Row],[actual ref_ind]]</f>
        <v>0</v>
      </c>
      <c r="AI1034" s="943">
        <f>comparaison_samebasis_villages[[#This Row],[previous ret_ind]]-comparaison_samebasis_villages[[#This Row],[actual ret_ind]]</f>
        <v>0</v>
      </c>
    </row>
    <row r="1035" spans="15:35" ht="15.75" customHeight="1" x14ac:dyDescent="0.3">
      <c r="O1035" s="399" t="s">
        <v>34</v>
      </c>
      <c r="P1035" s="399" t="s">
        <v>34</v>
      </c>
      <c r="Q1035" s="399" t="s">
        <v>188</v>
      </c>
      <c r="R1035" s="399" t="s">
        <v>188</v>
      </c>
      <c r="S1035" s="399" t="s">
        <v>1380</v>
      </c>
      <c r="T1035" s="399" t="s">
        <v>780</v>
      </c>
      <c r="U1035" s="941">
        <v>140</v>
      </c>
      <c r="V1035" s="941">
        <v>1447</v>
      </c>
      <c r="W1035" s="941">
        <v>0</v>
      </c>
      <c r="X1035" s="941">
        <v>0</v>
      </c>
      <c r="Y1035" s="941">
        <v>0</v>
      </c>
      <c r="Z1035" s="941">
        <v>0</v>
      </c>
      <c r="AA1035" s="942">
        <v>140</v>
      </c>
      <c r="AB1035" s="942">
        <v>1427</v>
      </c>
      <c r="AC1035" s="942">
        <v>0</v>
      </c>
      <c r="AD1035" s="942">
        <v>0</v>
      </c>
      <c r="AE1035" s="942">
        <v>0</v>
      </c>
      <c r="AF1035" s="942">
        <v>0</v>
      </c>
      <c r="AG1035" s="943">
        <f>comparaison_samebasis_villages[[#This Row],[previous idp_ind]]-comparaison_samebasis_villages[[#This Row],[actual idp_ind]]</f>
        <v>-20</v>
      </c>
      <c r="AH1035" s="943">
        <f>comparaison_samebasis_villages[[#This Row],[previous ref_ind]]-comparaison_samebasis_villages[[#This Row],[actual ref_ind]]</f>
        <v>0</v>
      </c>
      <c r="AI1035" s="943">
        <f>comparaison_samebasis_villages[[#This Row],[previous ret_ind]]-comparaison_samebasis_villages[[#This Row],[actual ret_ind]]</f>
        <v>0</v>
      </c>
    </row>
    <row r="1036" spans="15:35" ht="15.75" customHeight="1" x14ac:dyDescent="0.3">
      <c r="O1036" s="399" t="s">
        <v>34</v>
      </c>
      <c r="P1036" s="399" t="s">
        <v>34</v>
      </c>
      <c r="Q1036" s="399" t="s">
        <v>188</v>
      </c>
      <c r="R1036" s="399" t="s">
        <v>188</v>
      </c>
      <c r="S1036" s="399" t="s">
        <v>666</v>
      </c>
      <c r="T1036" s="399" t="s">
        <v>1430</v>
      </c>
      <c r="U1036" s="941">
        <v>20</v>
      </c>
      <c r="V1036" s="941">
        <v>110</v>
      </c>
      <c r="W1036" s="941">
        <v>0</v>
      </c>
      <c r="X1036" s="941">
        <v>0</v>
      </c>
      <c r="Y1036" s="941">
        <v>0</v>
      </c>
      <c r="Z1036" s="941">
        <v>0</v>
      </c>
      <c r="AA1036" s="942">
        <v>20</v>
      </c>
      <c r="AB1036" s="942">
        <v>106</v>
      </c>
      <c r="AC1036" s="942">
        <v>10</v>
      </c>
      <c r="AD1036" s="942">
        <v>70</v>
      </c>
      <c r="AE1036" s="942">
        <v>0</v>
      </c>
      <c r="AF1036" s="942">
        <v>0</v>
      </c>
      <c r="AG1036" s="943">
        <f>comparaison_samebasis_villages[[#This Row],[previous idp_ind]]-comparaison_samebasis_villages[[#This Row],[actual idp_ind]]</f>
        <v>-4</v>
      </c>
      <c r="AH1036" s="943">
        <f>comparaison_samebasis_villages[[#This Row],[previous ref_ind]]-comparaison_samebasis_villages[[#This Row],[actual ref_ind]]</f>
        <v>70</v>
      </c>
      <c r="AI1036" s="943">
        <f>comparaison_samebasis_villages[[#This Row],[previous ret_ind]]-comparaison_samebasis_villages[[#This Row],[actual ret_ind]]</f>
        <v>0</v>
      </c>
    </row>
    <row r="1037" spans="15:35" ht="15.75" customHeight="1" x14ac:dyDescent="0.3">
      <c r="O1037" s="399" t="s">
        <v>34</v>
      </c>
      <c r="P1037" s="399" t="s">
        <v>34</v>
      </c>
      <c r="Q1037" s="399" t="s">
        <v>188</v>
      </c>
      <c r="R1037" s="399" t="s">
        <v>188</v>
      </c>
      <c r="S1037" s="399" t="s">
        <v>669</v>
      </c>
      <c r="T1037" s="399" t="s">
        <v>2668</v>
      </c>
      <c r="U1037" s="941">
        <v>15</v>
      </c>
      <c r="V1037" s="941">
        <v>117</v>
      </c>
      <c r="W1037" s="941">
        <v>12</v>
      </c>
      <c r="X1037" s="941">
        <v>58</v>
      </c>
      <c r="Y1037" s="941">
        <v>0</v>
      </c>
      <c r="Z1037" s="941">
        <v>0</v>
      </c>
      <c r="AA1037" s="942">
        <v>15</v>
      </c>
      <c r="AB1037" s="942">
        <v>115</v>
      </c>
      <c r="AC1037" s="942">
        <v>12</v>
      </c>
      <c r="AD1037" s="942">
        <v>58</v>
      </c>
      <c r="AE1037" s="942">
        <v>0</v>
      </c>
      <c r="AF1037" s="942">
        <v>0</v>
      </c>
      <c r="AG1037" s="943">
        <f>comparaison_samebasis_villages[[#This Row],[previous idp_ind]]-comparaison_samebasis_villages[[#This Row],[actual idp_ind]]</f>
        <v>-2</v>
      </c>
      <c r="AH1037" s="943">
        <f>comparaison_samebasis_villages[[#This Row],[previous ref_ind]]-comparaison_samebasis_villages[[#This Row],[actual ref_ind]]</f>
        <v>0</v>
      </c>
      <c r="AI1037" s="943">
        <f>comparaison_samebasis_villages[[#This Row],[previous ret_ind]]-comparaison_samebasis_villages[[#This Row],[actual ret_ind]]</f>
        <v>0</v>
      </c>
    </row>
    <row r="1038" spans="15:35" ht="15.75" customHeight="1" x14ac:dyDescent="0.3">
      <c r="O1038" s="399" t="s">
        <v>34</v>
      </c>
      <c r="P1038" s="399" t="s">
        <v>34</v>
      </c>
      <c r="Q1038" s="399" t="s">
        <v>188</v>
      </c>
      <c r="R1038" s="399" t="s">
        <v>188</v>
      </c>
      <c r="S1038" s="399" t="s">
        <v>670</v>
      </c>
      <c r="T1038" s="399" t="s">
        <v>1414</v>
      </c>
      <c r="U1038" s="941">
        <v>9</v>
      </c>
      <c r="V1038" s="941">
        <v>51</v>
      </c>
      <c r="W1038" s="941">
        <v>10</v>
      </c>
      <c r="X1038" s="941">
        <v>40</v>
      </c>
      <c r="Y1038" s="941">
        <v>0</v>
      </c>
      <c r="Z1038" s="941">
        <v>0</v>
      </c>
      <c r="AA1038" s="942">
        <v>9</v>
      </c>
      <c r="AB1038" s="942">
        <v>41</v>
      </c>
      <c r="AC1038" s="942">
        <v>10</v>
      </c>
      <c r="AD1038" s="942">
        <v>40</v>
      </c>
      <c r="AE1038" s="942">
        <v>2</v>
      </c>
      <c r="AF1038" s="942">
        <v>9</v>
      </c>
      <c r="AG1038" s="943">
        <f>comparaison_samebasis_villages[[#This Row],[previous idp_ind]]-comparaison_samebasis_villages[[#This Row],[actual idp_ind]]</f>
        <v>-10</v>
      </c>
      <c r="AH1038" s="943">
        <f>comparaison_samebasis_villages[[#This Row],[previous ref_ind]]-comparaison_samebasis_villages[[#This Row],[actual ref_ind]]</f>
        <v>0</v>
      </c>
      <c r="AI1038" s="943">
        <f>comparaison_samebasis_villages[[#This Row],[previous ret_ind]]-comparaison_samebasis_villages[[#This Row],[actual ret_ind]]</f>
        <v>9</v>
      </c>
    </row>
    <row r="1039" spans="15:35" ht="15.75" customHeight="1" x14ac:dyDescent="0.3">
      <c r="O1039" s="399" t="s">
        <v>34</v>
      </c>
      <c r="P1039" s="399" t="s">
        <v>34</v>
      </c>
      <c r="Q1039" s="399" t="s">
        <v>188</v>
      </c>
      <c r="R1039" s="399" t="s">
        <v>188</v>
      </c>
      <c r="S1039" s="399" t="s">
        <v>2117</v>
      </c>
      <c r="T1039" s="399" t="s">
        <v>1626</v>
      </c>
      <c r="U1039" s="941">
        <v>44</v>
      </c>
      <c r="V1039" s="941">
        <v>205</v>
      </c>
      <c r="W1039" s="941">
        <v>0</v>
      </c>
      <c r="X1039" s="941">
        <v>0</v>
      </c>
      <c r="Y1039" s="941">
        <v>0</v>
      </c>
      <c r="Z1039" s="941">
        <v>0</v>
      </c>
      <c r="AA1039" s="942">
        <v>44</v>
      </c>
      <c r="AB1039" s="942">
        <v>207</v>
      </c>
      <c r="AC1039" s="942">
        <v>0</v>
      </c>
      <c r="AD1039" s="942">
        <v>0</v>
      </c>
      <c r="AE1039" s="942">
        <v>0</v>
      </c>
      <c r="AF1039" s="942">
        <v>0</v>
      </c>
      <c r="AG1039" s="943">
        <f>comparaison_samebasis_villages[[#This Row],[previous idp_ind]]-comparaison_samebasis_villages[[#This Row],[actual idp_ind]]</f>
        <v>2</v>
      </c>
      <c r="AH1039" s="943">
        <f>comparaison_samebasis_villages[[#This Row],[previous ref_ind]]-comparaison_samebasis_villages[[#This Row],[actual ref_ind]]</f>
        <v>0</v>
      </c>
      <c r="AI1039" s="943">
        <f>comparaison_samebasis_villages[[#This Row],[previous ret_ind]]-comparaison_samebasis_villages[[#This Row],[actual ret_ind]]</f>
        <v>0</v>
      </c>
    </row>
    <row r="1040" spans="15:35" ht="15.75" customHeight="1" x14ac:dyDescent="0.3">
      <c r="O1040" s="399" t="s">
        <v>34</v>
      </c>
      <c r="P1040" s="399" t="s">
        <v>34</v>
      </c>
      <c r="Q1040" s="1145" t="s">
        <v>188</v>
      </c>
      <c r="R1040" s="1145" t="s">
        <v>188</v>
      </c>
      <c r="S1040" s="399" t="s">
        <v>2118</v>
      </c>
      <c r="T1040" s="399" t="s">
        <v>998</v>
      </c>
      <c r="U1040" s="941">
        <v>42</v>
      </c>
      <c r="V1040" s="941">
        <v>227</v>
      </c>
      <c r="W1040" s="941">
        <v>0</v>
      </c>
      <c r="X1040" s="941">
        <v>0</v>
      </c>
      <c r="Y1040" s="941">
        <v>0</v>
      </c>
      <c r="Z1040" s="941">
        <v>0</v>
      </c>
      <c r="AA1040" s="942">
        <v>42</v>
      </c>
      <c r="AB1040" s="942">
        <v>228</v>
      </c>
      <c r="AC1040" s="942">
        <v>0</v>
      </c>
      <c r="AD1040" s="942">
        <v>0</v>
      </c>
      <c r="AE1040" s="942">
        <v>0</v>
      </c>
      <c r="AF1040" s="942">
        <v>0</v>
      </c>
      <c r="AG1040" s="943">
        <f>comparaison_samebasis_villages[[#This Row],[previous idp_ind]]-comparaison_samebasis_villages[[#This Row],[actual idp_ind]]</f>
        <v>1</v>
      </c>
      <c r="AH1040" s="943">
        <f>comparaison_samebasis_villages[[#This Row],[previous ref_ind]]-comparaison_samebasis_villages[[#This Row],[actual ref_ind]]</f>
        <v>0</v>
      </c>
      <c r="AI1040" s="943">
        <f>comparaison_samebasis_villages[[#This Row],[previous ret_ind]]-comparaison_samebasis_villages[[#This Row],[actual ret_ind]]</f>
        <v>0</v>
      </c>
    </row>
    <row r="1041" spans="15:35" ht="15.75" customHeight="1" x14ac:dyDescent="0.3">
      <c r="O1041" s="399" t="s">
        <v>34</v>
      </c>
      <c r="P1041" s="399" t="s">
        <v>34</v>
      </c>
      <c r="Q1041" s="399" t="s">
        <v>188</v>
      </c>
      <c r="R1041" s="399" t="s">
        <v>188</v>
      </c>
      <c r="S1041" s="399" t="s">
        <v>2774</v>
      </c>
      <c r="T1041" s="399" t="s">
        <v>3207</v>
      </c>
      <c r="U1041" s="941">
        <v>0</v>
      </c>
      <c r="V1041" s="941">
        <v>0</v>
      </c>
      <c r="W1041" s="941">
        <v>0</v>
      </c>
      <c r="X1041" s="941">
        <v>0</v>
      </c>
      <c r="Y1041" s="941">
        <v>35</v>
      </c>
      <c r="Z1041" s="941">
        <v>35</v>
      </c>
      <c r="AA1041" s="942">
        <v>0</v>
      </c>
      <c r="AB1041" s="942">
        <v>0</v>
      </c>
      <c r="AC1041" s="942">
        <v>0</v>
      </c>
      <c r="AD1041" s="942">
        <v>0</v>
      </c>
      <c r="AE1041" s="942">
        <v>34</v>
      </c>
      <c r="AF1041" s="942">
        <v>238</v>
      </c>
      <c r="AG1041" s="943">
        <f>comparaison_samebasis_villages[[#This Row],[previous idp_ind]]-comparaison_samebasis_villages[[#This Row],[actual idp_ind]]</f>
        <v>0</v>
      </c>
      <c r="AH1041" s="943">
        <f>comparaison_samebasis_villages[[#This Row],[previous ref_ind]]-comparaison_samebasis_villages[[#This Row],[actual ref_ind]]</f>
        <v>0</v>
      </c>
      <c r="AI1041" s="943">
        <f>comparaison_samebasis_villages[[#This Row],[previous ret_ind]]-comparaison_samebasis_villages[[#This Row],[actual ret_ind]]</f>
        <v>203</v>
      </c>
    </row>
    <row r="1042" spans="15:35" ht="15.75" customHeight="1" x14ac:dyDescent="0.3">
      <c r="O1042" s="399" t="s">
        <v>34</v>
      </c>
      <c r="P1042" s="399" t="s">
        <v>34</v>
      </c>
      <c r="Q1042" s="1094" t="s">
        <v>188</v>
      </c>
      <c r="R1042" s="1094" t="s">
        <v>188</v>
      </c>
      <c r="S1042" s="399" t="s">
        <v>3193</v>
      </c>
      <c r="T1042" s="399" t="s">
        <v>3192</v>
      </c>
      <c r="U1042" s="941">
        <v>0</v>
      </c>
      <c r="V1042" s="941">
        <v>0</v>
      </c>
      <c r="W1042" s="941">
        <v>0</v>
      </c>
      <c r="X1042" s="941">
        <v>0</v>
      </c>
      <c r="Y1042" s="941">
        <v>31</v>
      </c>
      <c r="Z1042" s="941">
        <v>31</v>
      </c>
      <c r="AA1042" s="942">
        <v>0</v>
      </c>
      <c r="AB1042" s="942">
        <v>0</v>
      </c>
      <c r="AC1042" s="942">
        <v>0</v>
      </c>
      <c r="AD1042" s="942">
        <v>0</v>
      </c>
      <c r="AE1042" s="942">
        <v>31</v>
      </c>
      <c r="AF1042" s="942">
        <v>220</v>
      </c>
      <c r="AG1042" s="943">
        <f>comparaison_samebasis_villages[[#This Row],[previous idp_ind]]-comparaison_samebasis_villages[[#This Row],[actual idp_ind]]</f>
        <v>0</v>
      </c>
      <c r="AH1042" s="943">
        <f>comparaison_samebasis_villages[[#This Row],[previous ref_ind]]-comparaison_samebasis_villages[[#This Row],[actual ref_ind]]</f>
        <v>0</v>
      </c>
      <c r="AI1042" s="943">
        <f>comparaison_samebasis_villages[[#This Row],[previous ret_ind]]-comparaison_samebasis_villages[[#This Row],[actual ret_ind]]</f>
        <v>189</v>
      </c>
    </row>
    <row r="1043" spans="15:35" ht="15.75" customHeight="1" x14ac:dyDescent="0.3">
      <c r="O1043" s="399" t="s">
        <v>33</v>
      </c>
      <c r="P1043" s="399" t="s">
        <v>33</v>
      </c>
      <c r="Q1043" s="1094" t="s">
        <v>185</v>
      </c>
      <c r="R1043" s="1094" t="s">
        <v>185</v>
      </c>
      <c r="S1043" s="399" t="s">
        <v>740</v>
      </c>
      <c r="T1043" s="399" t="s">
        <v>739</v>
      </c>
      <c r="U1043" s="941">
        <v>0</v>
      </c>
      <c r="V1043" s="941">
        <v>0</v>
      </c>
      <c r="W1043" s="941">
        <v>0</v>
      </c>
      <c r="X1043" s="941">
        <v>0</v>
      </c>
      <c r="Y1043" s="941">
        <v>0</v>
      </c>
      <c r="Z1043" s="941">
        <v>0</v>
      </c>
      <c r="AA1043" s="942">
        <v>3</v>
      </c>
      <c r="AB1043" s="942">
        <v>15</v>
      </c>
      <c r="AC1043" s="942">
        <v>0</v>
      </c>
      <c r="AD1043" s="942">
        <v>0</v>
      </c>
      <c r="AE1043" s="942">
        <v>0</v>
      </c>
      <c r="AF1043" s="942">
        <v>0</v>
      </c>
      <c r="AG1043" s="943">
        <f>comparaison_samebasis_villages[[#This Row],[previous idp_ind]]-comparaison_samebasis_villages[[#This Row],[actual idp_ind]]</f>
        <v>15</v>
      </c>
      <c r="AH1043" s="943">
        <f>comparaison_samebasis_villages[[#This Row],[previous ref_ind]]-comparaison_samebasis_villages[[#This Row],[actual ref_ind]]</f>
        <v>0</v>
      </c>
      <c r="AI1043" s="943">
        <f>comparaison_samebasis_villages[[#This Row],[previous ret_ind]]-comparaison_samebasis_villages[[#This Row],[actual ret_ind]]</f>
        <v>0</v>
      </c>
    </row>
    <row r="1044" spans="15:35" ht="15.75" customHeight="1" x14ac:dyDescent="0.3">
      <c r="O1044" s="399" t="s">
        <v>33</v>
      </c>
      <c r="P1044" s="399" t="s">
        <v>33</v>
      </c>
      <c r="Q1044" s="399" t="s">
        <v>185</v>
      </c>
      <c r="R1044" s="399" t="s">
        <v>185</v>
      </c>
      <c r="S1044" s="399" t="s">
        <v>2653</v>
      </c>
      <c r="T1044" s="399" t="s">
        <v>2652</v>
      </c>
      <c r="U1044" s="941">
        <v>0</v>
      </c>
      <c r="V1044" s="941">
        <v>0</v>
      </c>
      <c r="W1044" s="941">
        <v>0</v>
      </c>
      <c r="X1044" s="941">
        <v>0</v>
      </c>
      <c r="Y1044" s="941">
        <v>0</v>
      </c>
      <c r="Z1044" s="941">
        <v>0</v>
      </c>
      <c r="AA1044" s="942">
        <v>0</v>
      </c>
      <c r="AB1044" s="942">
        <v>0</v>
      </c>
      <c r="AC1044" s="942">
        <v>0</v>
      </c>
      <c r="AD1044" s="942">
        <v>0</v>
      </c>
      <c r="AE1044" s="942">
        <v>0</v>
      </c>
      <c r="AF1044" s="942">
        <v>0</v>
      </c>
      <c r="AG1044" s="943">
        <f>comparaison_samebasis_villages[[#This Row],[previous idp_ind]]-comparaison_samebasis_villages[[#This Row],[actual idp_ind]]</f>
        <v>0</v>
      </c>
      <c r="AH1044" s="943">
        <f>comparaison_samebasis_villages[[#This Row],[previous ref_ind]]-comparaison_samebasis_villages[[#This Row],[actual ref_ind]]</f>
        <v>0</v>
      </c>
      <c r="AI1044" s="943">
        <f>comparaison_samebasis_villages[[#This Row],[previous ret_ind]]-comparaison_samebasis_villages[[#This Row],[actual ret_ind]]</f>
        <v>0</v>
      </c>
    </row>
    <row r="1045" spans="15:35" ht="15.75" customHeight="1" x14ac:dyDescent="0.3">
      <c r="O1045" s="399" t="s">
        <v>33</v>
      </c>
      <c r="P1045" s="399" t="s">
        <v>33</v>
      </c>
      <c r="Q1045" s="399" t="s">
        <v>185</v>
      </c>
      <c r="R1045" s="399" t="s">
        <v>185</v>
      </c>
      <c r="S1045" s="399" t="s">
        <v>2371</v>
      </c>
      <c r="T1045" s="399" t="s">
        <v>2370</v>
      </c>
      <c r="U1045" s="941">
        <v>0</v>
      </c>
      <c r="V1045" s="941">
        <v>0</v>
      </c>
      <c r="W1045" s="941">
        <v>0</v>
      </c>
      <c r="X1045" s="941">
        <v>0</v>
      </c>
      <c r="Y1045" s="941">
        <v>0</v>
      </c>
      <c r="Z1045" s="941">
        <v>0</v>
      </c>
      <c r="AA1045" s="942">
        <v>0</v>
      </c>
      <c r="AB1045" s="942">
        <v>0</v>
      </c>
      <c r="AC1045" s="942">
        <v>0</v>
      </c>
      <c r="AD1045" s="942">
        <v>0</v>
      </c>
      <c r="AE1045" s="942">
        <v>0</v>
      </c>
      <c r="AF1045" s="942">
        <v>0</v>
      </c>
      <c r="AG1045" s="943">
        <f>comparaison_samebasis_villages[[#This Row],[previous idp_ind]]-comparaison_samebasis_villages[[#This Row],[actual idp_ind]]</f>
        <v>0</v>
      </c>
      <c r="AH1045" s="943">
        <f>comparaison_samebasis_villages[[#This Row],[previous ref_ind]]-comparaison_samebasis_villages[[#This Row],[actual ref_ind]]</f>
        <v>0</v>
      </c>
      <c r="AI1045" s="943">
        <f>comparaison_samebasis_villages[[#This Row],[previous ret_ind]]-comparaison_samebasis_villages[[#This Row],[actual ret_ind]]</f>
        <v>0</v>
      </c>
    </row>
    <row r="1046" spans="15:35" ht="15.75" customHeight="1" x14ac:dyDescent="0.3">
      <c r="O1046" s="399" t="s">
        <v>33</v>
      </c>
      <c r="P1046" s="399" t="s">
        <v>33</v>
      </c>
      <c r="Q1046" s="1094" t="s">
        <v>185</v>
      </c>
      <c r="R1046" s="1094" t="s">
        <v>185</v>
      </c>
      <c r="S1046" s="399" t="s">
        <v>658</v>
      </c>
      <c r="T1046" s="399" t="s">
        <v>657</v>
      </c>
      <c r="U1046" s="941">
        <v>94</v>
      </c>
      <c r="V1046" s="941">
        <v>2328</v>
      </c>
      <c r="W1046" s="941">
        <v>0</v>
      </c>
      <c r="X1046" s="941">
        <v>0</v>
      </c>
      <c r="Y1046" s="941">
        <v>0</v>
      </c>
      <c r="Z1046" s="941">
        <v>0</v>
      </c>
      <c r="AA1046" s="942">
        <v>85</v>
      </c>
      <c r="AB1046" s="942">
        <v>376</v>
      </c>
      <c r="AC1046" s="942">
        <v>0</v>
      </c>
      <c r="AD1046" s="942">
        <v>0</v>
      </c>
      <c r="AE1046" s="942">
        <v>0</v>
      </c>
      <c r="AF1046" s="942">
        <v>0</v>
      </c>
      <c r="AG1046" s="943">
        <f>comparaison_samebasis_villages[[#This Row],[previous idp_ind]]-comparaison_samebasis_villages[[#This Row],[actual idp_ind]]</f>
        <v>-1952</v>
      </c>
      <c r="AH1046" s="943">
        <f>comparaison_samebasis_villages[[#This Row],[previous ref_ind]]-comparaison_samebasis_villages[[#This Row],[actual ref_ind]]</f>
        <v>0</v>
      </c>
      <c r="AI1046" s="943">
        <f>comparaison_samebasis_villages[[#This Row],[previous ret_ind]]-comparaison_samebasis_villages[[#This Row],[actual ret_ind]]</f>
        <v>0</v>
      </c>
    </row>
    <row r="1047" spans="15:35" ht="15.75" customHeight="1" x14ac:dyDescent="0.3">
      <c r="O1047" s="399" t="s">
        <v>33</v>
      </c>
      <c r="P1047" s="399" t="s">
        <v>33</v>
      </c>
      <c r="Q1047" s="399" t="s">
        <v>185</v>
      </c>
      <c r="R1047" s="399" t="s">
        <v>185</v>
      </c>
      <c r="S1047" s="1184" t="s">
        <v>747</v>
      </c>
      <c r="T1047" s="1184" t="s">
        <v>746</v>
      </c>
      <c r="U1047" s="941">
        <v>17</v>
      </c>
      <c r="V1047" s="941">
        <v>240</v>
      </c>
      <c r="W1047" s="941">
        <v>0</v>
      </c>
      <c r="X1047" s="941">
        <v>0</v>
      </c>
      <c r="Y1047" s="941">
        <v>0</v>
      </c>
      <c r="Z1047" s="941">
        <v>0</v>
      </c>
      <c r="AA1047" s="942">
        <v>12</v>
      </c>
      <c r="AB1047" s="942">
        <v>150</v>
      </c>
      <c r="AC1047" s="942">
        <v>0</v>
      </c>
      <c r="AD1047" s="942">
        <v>0</v>
      </c>
      <c r="AE1047" s="942">
        <v>0</v>
      </c>
      <c r="AF1047" s="942">
        <v>0</v>
      </c>
      <c r="AG1047" s="943">
        <f>comparaison_samebasis_villages[[#This Row],[previous idp_ind]]-comparaison_samebasis_villages[[#This Row],[actual idp_ind]]</f>
        <v>-90</v>
      </c>
      <c r="AH1047" s="943">
        <f>comparaison_samebasis_villages[[#This Row],[previous ref_ind]]-comparaison_samebasis_villages[[#This Row],[actual ref_ind]]</f>
        <v>0</v>
      </c>
      <c r="AI1047" s="943">
        <f>comparaison_samebasis_villages[[#This Row],[previous ret_ind]]-comparaison_samebasis_villages[[#This Row],[actual ret_ind]]</f>
        <v>0</v>
      </c>
    </row>
    <row r="1048" spans="15:35" ht="15.75" customHeight="1" x14ac:dyDescent="0.3">
      <c r="O1048" s="399" t="s">
        <v>33</v>
      </c>
      <c r="P1048" s="399" t="s">
        <v>33</v>
      </c>
      <c r="Q1048" s="399" t="s">
        <v>185</v>
      </c>
      <c r="R1048" s="399" t="s">
        <v>185</v>
      </c>
      <c r="S1048" s="399" t="s">
        <v>838</v>
      </c>
      <c r="T1048" s="399" t="s">
        <v>837</v>
      </c>
      <c r="U1048" s="941">
        <v>23</v>
      </c>
      <c r="V1048" s="941">
        <v>173</v>
      </c>
      <c r="W1048" s="941">
        <v>0</v>
      </c>
      <c r="X1048" s="941">
        <v>0</v>
      </c>
      <c r="Y1048" s="941">
        <v>0</v>
      </c>
      <c r="Z1048" s="941">
        <v>0</v>
      </c>
      <c r="AA1048" s="942">
        <v>22</v>
      </c>
      <c r="AB1048" s="942">
        <v>187</v>
      </c>
      <c r="AC1048" s="942">
        <v>0</v>
      </c>
      <c r="AD1048" s="942">
        <v>0</v>
      </c>
      <c r="AE1048" s="942">
        <v>0</v>
      </c>
      <c r="AF1048" s="942">
        <v>0</v>
      </c>
      <c r="AG1048" s="943">
        <f>comparaison_samebasis_villages[[#This Row],[previous idp_ind]]-comparaison_samebasis_villages[[#This Row],[actual idp_ind]]</f>
        <v>14</v>
      </c>
      <c r="AH1048" s="943">
        <f>comparaison_samebasis_villages[[#This Row],[previous ref_ind]]-comparaison_samebasis_villages[[#This Row],[actual ref_ind]]</f>
        <v>0</v>
      </c>
      <c r="AI1048" s="943">
        <f>comparaison_samebasis_villages[[#This Row],[previous ret_ind]]-comparaison_samebasis_villages[[#This Row],[actual ret_ind]]</f>
        <v>0</v>
      </c>
    </row>
    <row r="1049" spans="15:35" ht="15.75" customHeight="1" x14ac:dyDescent="0.3">
      <c r="O1049" s="399" t="s">
        <v>33</v>
      </c>
      <c r="P1049" s="399" t="s">
        <v>33</v>
      </c>
      <c r="Q1049" s="399" t="s">
        <v>185</v>
      </c>
      <c r="R1049" s="399" t="s">
        <v>185</v>
      </c>
      <c r="S1049" s="399" t="s">
        <v>1774</v>
      </c>
      <c r="T1049" s="399" t="s">
        <v>1773</v>
      </c>
      <c r="U1049" s="941">
        <v>0</v>
      </c>
      <c r="V1049" s="941">
        <v>0</v>
      </c>
      <c r="W1049" s="941">
        <v>0</v>
      </c>
      <c r="X1049" s="941">
        <v>0</v>
      </c>
      <c r="Y1049" s="941">
        <v>0</v>
      </c>
      <c r="Z1049" s="941">
        <v>0</v>
      </c>
      <c r="AA1049" s="942">
        <v>0</v>
      </c>
      <c r="AB1049" s="942">
        <v>0</v>
      </c>
      <c r="AC1049" s="942">
        <v>0</v>
      </c>
      <c r="AD1049" s="942">
        <v>0</v>
      </c>
      <c r="AE1049" s="942">
        <v>0</v>
      </c>
      <c r="AF1049" s="942">
        <v>0</v>
      </c>
      <c r="AG1049" s="943">
        <f>comparaison_samebasis_villages[[#This Row],[previous idp_ind]]-comparaison_samebasis_villages[[#This Row],[actual idp_ind]]</f>
        <v>0</v>
      </c>
      <c r="AH1049" s="943">
        <f>comparaison_samebasis_villages[[#This Row],[previous ref_ind]]-comparaison_samebasis_villages[[#This Row],[actual ref_ind]]</f>
        <v>0</v>
      </c>
      <c r="AI1049" s="943">
        <f>comparaison_samebasis_villages[[#This Row],[previous ret_ind]]-comparaison_samebasis_villages[[#This Row],[actual ret_ind]]</f>
        <v>0</v>
      </c>
    </row>
    <row r="1050" spans="15:35" ht="15.75" customHeight="1" x14ac:dyDescent="0.3">
      <c r="O1050" s="399" t="s">
        <v>33</v>
      </c>
      <c r="P1050" s="399" t="s">
        <v>33</v>
      </c>
      <c r="Q1050" s="399" t="s">
        <v>185</v>
      </c>
      <c r="R1050" s="399" t="s">
        <v>185</v>
      </c>
      <c r="S1050" s="399" t="s">
        <v>2369</v>
      </c>
      <c r="T1050" s="399" t="s">
        <v>2368</v>
      </c>
      <c r="U1050" s="941">
        <v>0</v>
      </c>
      <c r="V1050" s="941">
        <v>0</v>
      </c>
      <c r="W1050" s="941">
        <v>0</v>
      </c>
      <c r="X1050" s="941">
        <v>0</v>
      </c>
      <c r="Y1050" s="941">
        <v>0</v>
      </c>
      <c r="Z1050" s="941">
        <v>0</v>
      </c>
      <c r="AA1050" s="942">
        <v>2</v>
      </c>
      <c r="AB1050" s="942">
        <v>7</v>
      </c>
      <c r="AC1050" s="942">
        <v>0</v>
      </c>
      <c r="AD1050" s="942">
        <v>0</v>
      </c>
      <c r="AE1050" s="942">
        <v>0</v>
      </c>
      <c r="AF1050" s="942">
        <v>0</v>
      </c>
      <c r="AG1050" s="943">
        <f>comparaison_samebasis_villages[[#This Row],[previous idp_ind]]-comparaison_samebasis_villages[[#This Row],[actual idp_ind]]</f>
        <v>7</v>
      </c>
      <c r="AH1050" s="943">
        <f>comparaison_samebasis_villages[[#This Row],[previous ref_ind]]-comparaison_samebasis_villages[[#This Row],[actual ref_ind]]</f>
        <v>0</v>
      </c>
      <c r="AI1050" s="943">
        <f>comparaison_samebasis_villages[[#This Row],[previous ret_ind]]-comparaison_samebasis_villages[[#This Row],[actual ret_ind]]</f>
        <v>0</v>
      </c>
    </row>
    <row r="1051" spans="15:35" ht="15.75" customHeight="1" x14ac:dyDescent="0.3">
      <c r="O1051" s="399" t="s">
        <v>33</v>
      </c>
      <c r="P1051" s="399" t="s">
        <v>33</v>
      </c>
      <c r="Q1051" s="399" t="s">
        <v>185</v>
      </c>
      <c r="R1051" s="399" t="s">
        <v>185</v>
      </c>
      <c r="S1051" s="399" t="s">
        <v>1275</v>
      </c>
      <c r="T1051" s="399" t="s">
        <v>1274</v>
      </c>
      <c r="U1051" s="941">
        <v>0</v>
      </c>
      <c r="V1051" s="941">
        <v>0</v>
      </c>
      <c r="W1051" s="941">
        <v>0</v>
      </c>
      <c r="X1051" s="941">
        <v>0</v>
      </c>
      <c r="Y1051" s="941">
        <v>0</v>
      </c>
      <c r="Z1051" s="941">
        <v>0</v>
      </c>
      <c r="AA1051" s="942">
        <v>0</v>
      </c>
      <c r="AB1051" s="942">
        <v>0</v>
      </c>
      <c r="AC1051" s="942">
        <v>0</v>
      </c>
      <c r="AD1051" s="942">
        <v>0</v>
      </c>
      <c r="AE1051" s="942">
        <v>0</v>
      </c>
      <c r="AF1051" s="942">
        <v>0</v>
      </c>
      <c r="AG1051" s="943">
        <f>comparaison_samebasis_villages[[#This Row],[previous idp_ind]]-comparaison_samebasis_villages[[#This Row],[actual idp_ind]]</f>
        <v>0</v>
      </c>
      <c r="AH1051" s="943">
        <f>comparaison_samebasis_villages[[#This Row],[previous ref_ind]]-comparaison_samebasis_villages[[#This Row],[actual ref_ind]]</f>
        <v>0</v>
      </c>
      <c r="AI1051" s="943">
        <f>comparaison_samebasis_villages[[#This Row],[previous ret_ind]]-comparaison_samebasis_villages[[#This Row],[actual ret_ind]]</f>
        <v>0</v>
      </c>
    </row>
    <row r="1052" spans="15:35" ht="15.75" customHeight="1" x14ac:dyDescent="0.3">
      <c r="O1052" s="399" t="s">
        <v>33</v>
      </c>
      <c r="P1052" s="399" t="s">
        <v>33</v>
      </c>
      <c r="Q1052" s="399" t="s">
        <v>185</v>
      </c>
      <c r="R1052" s="399" t="s">
        <v>185</v>
      </c>
      <c r="S1052" s="399" t="s">
        <v>2655</v>
      </c>
      <c r="T1052" s="399" t="s">
        <v>2654</v>
      </c>
      <c r="U1052" s="941">
        <v>0</v>
      </c>
      <c r="V1052" s="941">
        <v>0</v>
      </c>
      <c r="W1052" s="941">
        <v>0</v>
      </c>
      <c r="X1052" s="941">
        <v>0</v>
      </c>
      <c r="Y1052" s="941">
        <v>0</v>
      </c>
      <c r="Z1052" s="941">
        <v>0</v>
      </c>
      <c r="AA1052" s="942">
        <v>0</v>
      </c>
      <c r="AB1052" s="942">
        <v>0</v>
      </c>
      <c r="AC1052" s="942">
        <v>0</v>
      </c>
      <c r="AD1052" s="942">
        <v>0</v>
      </c>
      <c r="AE1052" s="942">
        <v>0</v>
      </c>
      <c r="AF1052" s="942">
        <v>0</v>
      </c>
      <c r="AG1052" s="943">
        <f>comparaison_samebasis_villages[[#This Row],[previous idp_ind]]-comparaison_samebasis_villages[[#This Row],[actual idp_ind]]</f>
        <v>0</v>
      </c>
      <c r="AH1052" s="943">
        <f>comparaison_samebasis_villages[[#This Row],[previous ref_ind]]-comparaison_samebasis_villages[[#This Row],[actual ref_ind]]</f>
        <v>0</v>
      </c>
      <c r="AI1052" s="943">
        <f>comparaison_samebasis_villages[[#This Row],[previous ret_ind]]-comparaison_samebasis_villages[[#This Row],[actual ret_ind]]</f>
        <v>0</v>
      </c>
    </row>
    <row r="1053" spans="15:35" ht="15.75" customHeight="1" x14ac:dyDescent="0.3">
      <c r="O1053" s="399" t="s">
        <v>33</v>
      </c>
      <c r="P1053" s="399" t="s">
        <v>33</v>
      </c>
      <c r="Q1053" s="399" t="s">
        <v>185</v>
      </c>
      <c r="R1053" s="399" t="s">
        <v>185</v>
      </c>
      <c r="S1053" s="1184" t="s">
        <v>1098</v>
      </c>
      <c r="T1053" s="399" t="s">
        <v>1097</v>
      </c>
      <c r="U1053" s="941">
        <v>0</v>
      </c>
      <c r="V1053" s="941">
        <v>0</v>
      </c>
      <c r="W1053" s="941">
        <v>0</v>
      </c>
      <c r="X1053" s="941">
        <v>0</v>
      </c>
      <c r="Y1053" s="941">
        <v>0</v>
      </c>
      <c r="Z1053" s="941">
        <v>0</v>
      </c>
      <c r="AA1053" s="942">
        <v>0</v>
      </c>
      <c r="AB1053" s="942">
        <v>0</v>
      </c>
      <c r="AC1053" s="942">
        <v>0</v>
      </c>
      <c r="AD1053" s="942">
        <v>0</v>
      </c>
      <c r="AE1053" s="942">
        <v>0</v>
      </c>
      <c r="AF1053" s="942">
        <v>0</v>
      </c>
      <c r="AG1053" s="943">
        <f>comparaison_samebasis_villages[[#This Row],[previous idp_ind]]-comparaison_samebasis_villages[[#This Row],[actual idp_ind]]</f>
        <v>0</v>
      </c>
      <c r="AH1053" s="943">
        <f>comparaison_samebasis_villages[[#This Row],[previous ref_ind]]-comparaison_samebasis_villages[[#This Row],[actual ref_ind]]</f>
        <v>0</v>
      </c>
      <c r="AI1053" s="943">
        <f>comparaison_samebasis_villages[[#This Row],[previous ret_ind]]-comparaison_samebasis_villages[[#This Row],[actual ret_ind]]</f>
        <v>0</v>
      </c>
    </row>
    <row r="1054" spans="15:35" ht="15.75" customHeight="1" x14ac:dyDescent="0.3">
      <c r="O1054" s="399" t="s">
        <v>33</v>
      </c>
      <c r="P1054" s="399" t="s">
        <v>33</v>
      </c>
      <c r="Q1054" s="399" t="s">
        <v>185</v>
      </c>
      <c r="R1054" s="399" t="s">
        <v>185</v>
      </c>
      <c r="S1054" s="399" t="s">
        <v>736</v>
      </c>
      <c r="T1054" s="399" t="s">
        <v>2924</v>
      </c>
      <c r="U1054" s="941">
        <v>1</v>
      </c>
      <c r="V1054" s="941">
        <v>11</v>
      </c>
      <c r="W1054" s="941">
        <v>0</v>
      </c>
      <c r="X1054" s="941">
        <v>0</v>
      </c>
      <c r="Y1054" s="941">
        <v>4</v>
      </c>
      <c r="Z1054" s="941">
        <v>4</v>
      </c>
      <c r="AA1054" s="942">
        <v>1</v>
      </c>
      <c r="AB1054" s="942">
        <v>13</v>
      </c>
      <c r="AC1054" s="942">
        <v>0</v>
      </c>
      <c r="AD1054" s="942">
        <v>0</v>
      </c>
      <c r="AE1054" s="942">
        <v>0</v>
      </c>
      <c r="AF1054" s="942">
        <v>0</v>
      </c>
      <c r="AG1054" s="943">
        <f>comparaison_samebasis_villages[[#This Row],[previous idp_ind]]-comparaison_samebasis_villages[[#This Row],[actual idp_ind]]</f>
        <v>2</v>
      </c>
      <c r="AH1054" s="943">
        <f>comparaison_samebasis_villages[[#This Row],[previous ref_ind]]-comparaison_samebasis_villages[[#This Row],[actual ref_ind]]</f>
        <v>0</v>
      </c>
      <c r="AI1054" s="943">
        <f>comparaison_samebasis_villages[[#This Row],[previous ret_ind]]-comparaison_samebasis_villages[[#This Row],[actual ret_ind]]</f>
        <v>-4</v>
      </c>
    </row>
    <row r="1055" spans="15:35" ht="15.75" customHeight="1" x14ac:dyDescent="0.3">
      <c r="O1055" s="399" t="s">
        <v>33</v>
      </c>
      <c r="P1055" s="399" t="s">
        <v>33</v>
      </c>
      <c r="Q1055" s="399" t="s">
        <v>186</v>
      </c>
      <c r="R1055" s="399" t="s">
        <v>186</v>
      </c>
      <c r="S1055" s="399" t="s">
        <v>712</v>
      </c>
      <c r="T1055" s="399" t="s">
        <v>711</v>
      </c>
      <c r="U1055" s="941">
        <v>3</v>
      </c>
      <c r="V1055" s="941">
        <v>18</v>
      </c>
      <c r="W1055" s="941">
        <v>0</v>
      </c>
      <c r="X1055" s="941">
        <v>0</v>
      </c>
      <c r="Y1055" s="941">
        <v>0</v>
      </c>
      <c r="Z1055" s="941">
        <v>0</v>
      </c>
      <c r="AA1055" s="942">
        <v>3</v>
      </c>
      <c r="AB1055" s="942">
        <v>15</v>
      </c>
      <c r="AC1055" s="942">
        <v>0</v>
      </c>
      <c r="AD1055" s="942">
        <v>0</v>
      </c>
      <c r="AE1055" s="942">
        <v>0</v>
      </c>
      <c r="AF1055" s="942">
        <v>0</v>
      </c>
      <c r="AG1055" s="943">
        <f>comparaison_samebasis_villages[[#This Row],[previous idp_ind]]-comparaison_samebasis_villages[[#This Row],[actual idp_ind]]</f>
        <v>-3</v>
      </c>
      <c r="AH1055" s="943">
        <f>comparaison_samebasis_villages[[#This Row],[previous ref_ind]]-comparaison_samebasis_villages[[#This Row],[actual ref_ind]]</f>
        <v>0</v>
      </c>
      <c r="AI1055" s="943">
        <f>comparaison_samebasis_villages[[#This Row],[previous ret_ind]]-comparaison_samebasis_villages[[#This Row],[actual ret_ind]]</f>
        <v>0</v>
      </c>
    </row>
    <row r="1056" spans="15:35" ht="15.75" customHeight="1" x14ac:dyDescent="0.3">
      <c r="O1056" s="399" t="s">
        <v>33</v>
      </c>
      <c r="P1056" s="399" t="s">
        <v>33</v>
      </c>
      <c r="Q1056" s="399" t="s">
        <v>186</v>
      </c>
      <c r="R1056" s="399" t="s">
        <v>186</v>
      </c>
      <c r="S1056" s="399" t="s">
        <v>710</v>
      </c>
      <c r="T1056" s="399" t="s">
        <v>709</v>
      </c>
      <c r="U1056" s="941">
        <v>13</v>
      </c>
      <c r="V1056" s="941">
        <v>67</v>
      </c>
      <c r="W1056" s="941">
        <v>0</v>
      </c>
      <c r="X1056" s="941">
        <v>0</v>
      </c>
      <c r="Y1056" s="941">
        <v>0</v>
      </c>
      <c r="Z1056" s="941">
        <v>0</v>
      </c>
      <c r="AA1056" s="942">
        <v>18</v>
      </c>
      <c r="AB1056" s="942">
        <v>135</v>
      </c>
      <c r="AC1056" s="942">
        <v>13</v>
      </c>
      <c r="AD1056" s="942">
        <v>97</v>
      </c>
      <c r="AE1056" s="942">
        <v>0</v>
      </c>
      <c r="AF1056" s="942">
        <v>0</v>
      </c>
      <c r="AG1056" s="943">
        <f>comparaison_samebasis_villages[[#This Row],[previous idp_ind]]-comparaison_samebasis_villages[[#This Row],[actual idp_ind]]</f>
        <v>68</v>
      </c>
      <c r="AH1056" s="943">
        <f>comparaison_samebasis_villages[[#This Row],[previous ref_ind]]-comparaison_samebasis_villages[[#This Row],[actual ref_ind]]</f>
        <v>97</v>
      </c>
      <c r="AI1056" s="943">
        <f>comparaison_samebasis_villages[[#This Row],[previous ret_ind]]-comparaison_samebasis_villages[[#This Row],[actual ret_ind]]</f>
        <v>0</v>
      </c>
    </row>
    <row r="1057" spans="15:35" ht="15.75" customHeight="1" x14ac:dyDescent="0.3">
      <c r="O1057" s="399" t="s">
        <v>33</v>
      </c>
      <c r="P1057" s="399" t="s">
        <v>33</v>
      </c>
      <c r="Q1057" s="399" t="s">
        <v>186</v>
      </c>
      <c r="R1057" s="399" t="s">
        <v>186</v>
      </c>
      <c r="S1057" s="399" t="s">
        <v>686</v>
      </c>
      <c r="T1057" s="399" t="s">
        <v>685</v>
      </c>
      <c r="U1057" s="941">
        <v>5</v>
      </c>
      <c r="V1057" s="941">
        <v>28</v>
      </c>
      <c r="W1057" s="941">
        <v>0</v>
      </c>
      <c r="X1057" s="941">
        <v>0</v>
      </c>
      <c r="Y1057" s="941">
        <v>2</v>
      </c>
      <c r="Z1057" s="941">
        <v>2</v>
      </c>
      <c r="AA1057" s="942">
        <v>5</v>
      </c>
      <c r="AB1057" s="942">
        <v>25</v>
      </c>
      <c r="AC1057" s="942">
        <v>1</v>
      </c>
      <c r="AD1057" s="942">
        <v>5</v>
      </c>
      <c r="AE1057" s="942">
        <v>0</v>
      </c>
      <c r="AF1057" s="942">
        <v>0</v>
      </c>
      <c r="AG1057" s="943">
        <f>comparaison_samebasis_villages[[#This Row],[previous idp_ind]]-comparaison_samebasis_villages[[#This Row],[actual idp_ind]]</f>
        <v>-3</v>
      </c>
      <c r="AH1057" s="943">
        <f>comparaison_samebasis_villages[[#This Row],[previous ref_ind]]-comparaison_samebasis_villages[[#This Row],[actual ref_ind]]</f>
        <v>5</v>
      </c>
      <c r="AI1057" s="943">
        <f>comparaison_samebasis_villages[[#This Row],[previous ret_ind]]-comparaison_samebasis_villages[[#This Row],[actual ret_ind]]</f>
        <v>-2</v>
      </c>
    </row>
    <row r="1058" spans="15:35" ht="15.75" customHeight="1" x14ac:dyDescent="0.3">
      <c r="O1058" s="399" t="s">
        <v>33</v>
      </c>
      <c r="P1058" s="399" t="s">
        <v>33</v>
      </c>
      <c r="Q1058" s="399" t="s">
        <v>186</v>
      </c>
      <c r="R1058" s="399" t="s">
        <v>186</v>
      </c>
      <c r="S1058" s="399" t="s">
        <v>684</v>
      </c>
      <c r="T1058" s="399" t="s">
        <v>683</v>
      </c>
      <c r="U1058" s="941">
        <v>7</v>
      </c>
      <c r="V1058" s="941">
        <v>47</v>
      </c>
      <c r="W1058" s="941">
        <v>0</v>
      </c>
      <c r="X1058" s="941">
        <v>0</v>
      </c>
      <c r="Y1058" s="941">
        <v>0</v>
      </c>
      <c r="Z1058" s="941">
        <v>0</v>
      </c>
      <c r="AA1058" s="942">
        <v>5</v>
      </c>
      <c r="AB1058" s="942">
        <v>36</v>
      </c>
      <c r="AC1058" s="942">
        <v>0</v>
      </c>
      <c r="AD1058" s="942">
        <v>0</v>
      </c>
      <c r="AE1058" s="942">
        <v>0</v>
      </c>
      <c r="AF1058" s="942">
        <v>0</v>
      </c>
      <c r="AG1058" s="943">
        <f>comparaison_samebasis_villages[[#This Row],[previous idp_ind]]-comparaison_samebasis_villages[[#This Row],[actual idp_ind]]</f>
        <v>-11</v>
      </c>
      <c r="AH1058" s="943">
        <f>comparaison_samebasis_villages[[#This Row],[previous ref_ind]]-comparaison_samebasis_villages[[#This Row],[actual ref_ind]]</f>
        <v>0</v>
      </c>
      <c r="AI1058" s="943">
        <f>comparaison_samebasis_villages[[#This Row],[previous ret_ind]]-comparaison_samebasis_villages[[#This Row],[actual ret_ind]]</f>
        <v>0</v>
      </c>
    </row>
    <row r="1059" spans="15:35" ht="15.75" customHeight="1" x14ac:dyDescent="0.3">
      <c r="O1059" s="399" t="s">
        <v>33</v>
      </c>
      <c r="P1059" s="399" t="s">
        <v>33</v>
      </c>
      <c r="Q1059" s="399" t="s">
        <v>186</v>
      </c>
      <c r="R1059" s="399" t="s">
        <v>186</v>
      </c>
      <c r="S1059" s="399" t="s">
        <v>2218</v>
      </c>
      <c r="T1059" s="399" t="s">
        <v>2217</v>
      </c>
      <c r="U1059" s="941">
        <v>16</v>
      </c>
      <c r="V1059" s="941">
        <v>86</v>
      </c>
      <c r="W1059" s="941">
        <v>15</v>
      </c>
      <c r="X1059" s="941">
        <v>150</v>
      </c>
      <c r="Y1059" s="941">
        <v>0</v>
      </c>
      <c r="Z1059" s="941">
        <v>0</v>
      </c>
      <c r="AA1059" s="942">
        <v>3</v>
      </c>
      <c r="AB1059" s="942">
        <v>10</v>
      </c>
      <c r="AC1059" s="942">
        <v>16</v>
      </c>
      <c r="AD1059" s="942">
        <v>155</v>
      </c>
      <c r="AE1059" s="942">
        <v>0</v>
      </c>
      <c r="AF1059" s="942">
        <v>0</v>
      </c>
      <c r="AG1059" s="943">
        <f>comparaison_samebasis_villages[[#This Row],[previous idp_ind]]-comparaison_samebasis_villages[[#This Row],[actual idp_ind]]</f>
        <v>-76</v>
      </c>
      <c r="AH1059" s="943">
        <f>comparaison_samebasis_villages[[#This Row],[previous ref_ind]]-comparaison_samebasis_villages[[#This Row],[actual ref_ind]]</f>
        <v>5</v>
      </c>
      <c r="AI1059" s="943">
        <f>comparaison_samebasis_villages[[#This Row],[previous ret_ind]]-comparaison_samebasis_villages[[#This Row],[actual ret_ind]]</f>
        <v>0</v>
      </c>
    </row>
    <row r="1060" spans="15:35" ht="15.75" customHeight="1" x14ac:dyDescent="0.3">
      <c r="O1060" s="399" t="s">
        <v>30</v>
      </c>
      <c r="P1060" s="399" t="s">
        <v>3522</v>
      </c>
      <c r="Q1060" s="399" t="s">
        <v>162</v>
      </c>
      <c r="R1060" s="399" t="s">
        <v>3529</v>
      </c>
      <c r="S1060" s="399" t="s">
        <v>644</v>
      </c>
      <c r="T1060" s="399" t="s">
        <v>643</v>
      </c>
      <c r="U1060" s="941">
        <v>2</v>
      </c>
      <c r="V1060" s="941">
        <v>18</v>
      </c>
      <c r="W1060" s="941">
        <v>0</v>
      </c>
      <c r="X1060" s="941">
        <v>0</v>
      </c>
      <c r="Y1060" s="941">
        <v>0</v>
      </c>
      <c r="Z1060" s="941">
        <v>0</v>
      </c>
      <c r="AA1060" s="942">
        <v>0</v>
      </c>
      <c r="AB1060" s="942">
        <v>0</v>
      </c>
      <c r="AC1060" s="942">
        <v>2</v>
      </c>
      <c r="AD1060" s="942">
        <v>19</v>
      </c>
      <c r="AE1060" s="942">
        <v>0</v>
      </c>
      <c r="AF1060" s="942">
        <v>0</v>
      </c>
      <c r="AG1060" s="943">
        <f>comparaison_samebasis_villages[[#This Row],[previous idp_ind]]-comparaison_samebasis_villages[[#This Row],[actual idp_ind]]</f>
        <v>-18</v>
      </c>
      <c r="AH1060" s="943">
        <f>comparaison_samebasis_villages[[#This Row],[previous ref_ind]]-comparaison_samebasis_villages[[#This Row],[actual ref_ind]]</f>
        <v>19</v>
      </c>
      <c r="AI1060" s="943">
        <f>comparaison_samebasis_villages[[#This Row],[previous ret_ind]]-comparaison_samebasis_villages[[#This Row],[actual ret_ind]]</f>
        <v>0</v>
      </c>
    </row>
    <row r="1061" spans="15:35" ht="15.75" customHeight="1" x14ac:dyDescent="0.3">
      <c r="O1061" s="399" t="s">
        <v>30</v>
      </c>
      <c r="P1061" s="399" t="s">
        <v>3522</v>
      </c>
      <c r="Q1061" s="399" t="s">
        <v>162</v>
      </c>
      <c r="R1061" s="399" t="s">
        <v>3529</v>
      </c>
      <c r="S1061" s="399" t="s">
        <v>2220</v>
      </c>
      <c r="T1061" s="399" t="s">
        <v>2219</v>
      </c>
      <c r="U1061" s="941">
        <v>0</v>
      </c>
      <c r="V1061" s="941">
        <v>0</v>
      </c>
      <c r="W1061" s="941">
        <v>18</v>
      </c>
      <c r="X1061" s="941">
        <v>191</v>
      </c>
      <c r="Y1061" s="941">
        <v>0</v>
      </c>
      <c r="Z1061" s="941">
        <v>0</v>
      </c>
      <c r="AA1061" s="942">
        <v>0</v>
      </c>
      <c r="AB1061" s="942">
        <v>0</v>
      </c>
      <c r="AC1061" s="942">
        <v>20</v>
      </c>
      <c r="AD1061" s="942">
        <v>209</v>
      </c>
      <c r="AE1061" s="942">
        <v>0</v>
      </c>
      <c r="AF1061" s="942">
        <v>0</v>
      </c>
      <c r="AG1061" s="943">
        <f>comparaison_samebasis_villages[[#This Row],[previous idp_ind]]-comparaison_samebasis_villages[[#This Row],[actual idp_ind]]</f>
        <v>0</v>
      </c>
      <c r="AH1061" s="943">
        <f>comparaison_samebasis_villages[[#This Row],[previous ref_ind]]-comparaison_samebasis_villages[[#This Row],[actual ref_ind]]</f>
        <v>18</v>
      </c>
      <c r="AI1061" s="943">
        <f>comparaison_samebasis_villages[[#This Row],[previous ret_ind]]-comparaison_samebasis_villages[[#This Row],[actual ret_ind]]</f>
        <v>0</v>
      </c>
    </row>
    <row r="1062" spans="15:35" ht="15.75" customHeight="1" x14ac:dyDescent="0.3">
      <c r="O1062" s="399" t="s">
        <v>30</v>
      </c>
      <c r="P1062" s="399" t="s">
        <v>3522</v>
      </c>
      <c r="Q1062" s="399" t="s">
        <v>162</v>
      </c>
      <c r="R1062" s="399" t="s">
        <v>3529</v>
      </c>
      <c r="S1062" s="399" t="s">
        <v>541</v>
      </c>
      <c r="T1062" s="399" t="s">
        <v>540</v>
      </c>
      <c r="U1062" s="941">
        <v>15</v>
      </c>
      <c r="V1062" s="941">
        <v>158</v>
      </c>
      <c r="W1062" s="941">
        <v>0</v>
      </c>
      <c r="X1062" s="941">
        <v>0</v>
      </c>
      <c r="Y1062" s="941">
        <v>0</v>
      </c>
      <c r="Z1062" s="941">
        <v>0</v>
      </c>
      <c r="AA1062" s="942">
        <v>15</v>
      </c>
      <c r="AB1062" s="942">
        <v>160</v>
      </c>
      <c r="AC1062" s="942">
        <v>0</v>
      </c>
      <c r="AD1062" s="942">
        <v>0</v>
      </c>
      <c r="AE1062" s="942">
        <v>0</v>
      </c>
      <c r="AF1062" s="942">
        <v>0</v>
      </c>
      <c r="AG1062" s="943">
        <f>comparaison_samebasis_villages[[#This Row],[previous idp_ind]]-comparaison_samebasis_villages[[#This Row],[actual idp_ind]]</f>
        <v>2</v>
      </c>
      <c r="AH1062" s="943">
        <f>comparaison_samebasis_villages[[#This Row],[previous ref_ind]]-comparaison_samebasis_villages[[#This Row],[actual ref_ind]]</f>
        <v>0</v>
      </c>
      <c r="AI1062" s="943">
        <f>comparaison_samebasis_villages[[#This Row],[previous ret_ind]]-comparaison_samebasis_villages[[#This Row],[actual ret_ind]]</f>
        <v>0</v>
      </c>
    </row>
    <row r="1063" spans="15:35" ht="15.75" customHeight="1" x14ac:dyDescent="0.3">
      <c r="O1063" s="399" t="s">
        <v>30</v>
      </c>
      <c r="P1063" s="399" t="s">
        <v>3522</v>
      </c>
      <c r="Q1063" s="399" t="s">
        <v>162</v>
      </c>
      <c r="R1063" s="399" t="s">
        <v>3529</v>
      </c>
      <c r="S1063" s="399" t="s">
        <v>538</v>
      </c>
      <c r="T1063" s="399" t="s">
        <v>537</v>
      </c>
      <c r="U1063" s="941">
        <v>135</v>
      </c>
      <c r="V1063" s="941">
        <v>725</v>
      </c>
      <c r="W1063" s="941">
        <v>0</v>
      </c>
      <c r="X1063" s="941">
        <v>0</v>
      </c>
      <c r="Y1063" s="941">
        <v>0</v>
      </c>
      <c r="Z1063" s="941">
        <v>0</v>
      </c>
      <c r="AA1063" s="942">
        <v>135</v>
      </c>
      <c r="AB1063" s="942">
        <v>749</v>
      </c>
      <c r="AC1063" s="942">
        <v>0</v>
      </c>
      <c r="AD1063" s="942">
        <v>0</v>
      </c>
      <c r="AE1063" s="942">
        <v>0</v>
      </c>
      <c r="AF1063" s="942">
        <v>0</v>
      </c>
      <c r="AG1063" s="943">
        <f>comparaison_samebasis_villages[[#This Row],[previous idp_ind]]-comparaison_samebasis_villages[[#This Row],[actual idp_ind]]</f>
        <v>24</v>
      </c>
      <c r="AH1063" s="943">
        <f>comparaison_samebasis_villages[[#This Row],[previous ref_ind]]-comparaison_samebasis_villages[[#This Row],[actual ref_ind]]</f>
        <v>0</v>
      </c>
      <c r="AI1063" s="943">
        <f>comparaison_samebasis_villages[[#This Row],[previous ret_ind]]-comparaison_samebasis_villages[[#This Row],[actual ret_ind]]</f>
        <v>0</v>
      </c>
    </row>
    <row r="1064" spans="15:35" ht="15.75" customHeight="1" x14ac:dyDescent="0.3">
      <c r="O1064" s="399" t="s">
        <v>30</v>
      </c>
      <c r="P1064" s="399" t="s">
        <v>3522</v>
      </c>
      <c r="Q1064" s="399" t="s">
        <v>162</v>
      </c>
      <c r="R1064" s="399" t="s">
        <v>3529</v>
      </c>
      <c r="S1064" s="399" t="s">
        <v>617</v>
      </c>
      <c r="T1064" s="399" t="s">
        <v>616</v>
      </c>
      <c r="U1064" s="941">
        <v>3</v>
      </c>
      <c r="V1064" s="941">
        <v>17</v>
      </c>
      <c r="W1064" s="941">
        <v>0</v>
      </c>
      <c r="X1064" s="941">
        <v>0</v>
      </c>
      <c r="Y1064" s="941">
        <v>3</v>
      </c>
      <c r="Z1064" s="941">
        <v>3</v>
      </c>
      <c r="AA1064" s="942">
        <v>3</v>
      </c>
      <c r="AB1064" s="942">
        <v>19</v>
      </c>
      <c r="AC1064" s="942">
        <v>0</v>
      </c>
      <c r="AD1064" s="942">
        <v>0</v>
      </c>
      <c r="AE1064" s="942">
        <v>0</v>
      </c>
      <c r="AF1064" s="942">
        <v>0</v>
      </c>
      <c r="AG1064" s="943">
        <f>comparaison_samebasis_villages[[#This Row],[previous idp_ind]]-comparaison_samebasis_villages[[#This Row],[actual idp_ind]]</f>
        <v>2</v>
      </c>
      <c r="AH1064" s="943">
        <f>comparaison_samebasis_villages[[#This Row],[previous ref_ind]]-comparaison_samebasis_villages[[#This Row],[actual ref_ind]]</f>
        <v>0</v>
      </c>
      <c r="AI1064" s="943">
        <f>comparaison_samebasis_villages[[#This Row],[previous ret_ind]]-comparaison_samebasis_villages[[#This Row],[actual ret_ind]]</f>
        <v>-3</v>
      </c>
    </row>
    <row r="1065" spans="15:35" ht="15.75" customHeight="1" x14ac:dyDescent="0.3">
      <c r="O1065" s="399" t="s">
        <v>30</v>
      </c>
      <c r="P1065" s="399" t="s">
        <v>3522</v>
      </c>
      <c r="Q1065" s="399" t="s">
        <v>162</v>
      </c>
      <c r="R1065" s="399" t="s">
        <v>3529</v>
      </c>
      <c r="S1065" s="399" t="s">
        <v>619</v>
      </c>
      <c r="T1065" s="399" t="s">
        <v>618</v>
      </c>
      <c r="U1065" s="941">
        <v>11</v>
      </c>
      <c r="V1065" s="941">
        <v>66</v>
      </c>
      <c r="W1065" s="941">
        <v>0</v>
      </c>
      <c r="X1065" s="941">
        <v>0</v>
      </c>
      <c r="Y1065" s="941">
        <v>0</v>
      </c>
      <c r="Z1065" s="941">
        <v>0</v>
      </c>
      <c r="AA1065" s="942">
        <v>11</v>
      </c>
      <c r="AB1065" s="942">
        <v>64</v>
      </c>
      <c r="AC1065" s="942">
        <v>0</v>
      </c>
      <c r="AD1065" s="942">
        <v>0</v>
      </c>
      <c r="AE1065" s="942">
        <v>0</v>
      </c>
      <c r="AF1065" s="942">
        <v>0</v>
      </c>
      <c r="AG1065" s="943">
        <f>comparaison_samebasis_villages[[#This Row],[previous idp_ind]]-comparaison_samebasis_villages[[#This Row],[actual idp_ind]]</f>
        <v>-2</v>
      </c>
      <c r="AH1065" s="943">
        <f>comparaison_samebasis_villages[[#This Row],[previous ref_ind]]-comparaison_samebasis_villages[[#This Row],[actual ref_ind]]</f>
        <v>0</v>
      </c>
      <c r="AI1065" s="943">
        <f>comparaison_samebasis_villages[[#This Row],[previous ret_ind]]-comparaison_samebasis_villages[[#This Row],[actual ret_ind]]</f>
        <v>0</v>
      </c>
    </row>
    <row r="1066" spans="15:35" ht="15.75" customHeight="1" x14ac:dyDescent="0.3">
      <c r="O1066" s="399" t="s">
        <v>30</v>
      </c>
      <c r="P1066" s="399" t="s">
        <v>3522</v>
      </c>
      <c r="Q1066" s="399" t="s">
        <v>162</v>
      </c>
      <c r="R1066" s="399" t="s">
        <v>3529</v>
      </c>
      <c r="S1066" s="399" t="s">
        <v>2684</v>
      </c>
      <c r="T1066" s="399" t="s">
        <v>2683</v>
      </c>
      <c r="U1066" s="941">
        <v>0</v>
      </c>
      <c r="V1066" s="941">
        <v>0</v>
      </c>
      <c r="W1066" s="941">
        <v>0</v>
      </c>
      <c r="X1066" s="941">
        <v>0</v>
      </c>
      <c r="Y1066" s="941">
        <v>0</v>
      </c>
      <c r="Z1066" s="941">
        <v>0</v>
      </c>
      <c r="AA1066" s="942">
        <v>0</v>
      </c>
      <c r="AB1066" s="942">
        <v>0</v>
      </c>
      <c r="AC1066" s="942">
        <v>0</v>
      </c>
      <c r="AD1066" s="942">
        <v>0</v>
      </c>
      <c r="AE1066" s="942">
        <v>0</v>
      </c>
      <c r="AF1066" s="942">
        <v>0</v>
      </c>
      <c r="AG1066" s="943">
        <f>comparaison_samebasis_villages[[#This Row],[previous idp_ind]]-comparaison_samebasis_villages[[#This Row],[actual idp_ind]]</f>
        <v>0</v>
      </c>
      <c r="AH1066" s="943">
        <f>comparaison_samebasis_villages[[#This Row],[previous ref_ind]]-comparaison_samebasis_villages[[#This Row],[actual ref_ind]]</f>
        <v>0</v>
      </c>
      <c r="AI1066" s="943">
        <f>comparaison_samebasis_villages[[#This Row],[previous ret_ind]]-comparaison_samebasis_villages[[#This Row],[actual ret_ind]]</f>
        <v>0</v>
      </c>
    </row>
    <row r="1067" spans="15:35" ht="15.75" customHeight="1" x14ac:dyDescent="0.3">
      <c r="O1067" s="399" t="s">
        <v>30</v>
      </c>
      <c r="P1067" s="399" t="s">
        <v>3522</v>
      </c>
      <c r="Q1067" s="399" t="s">
        <v>162</v>
      </c>
      <c r="R1067" s="399" t="s">
        <v>3529</v>
      </c>
      <c r="S1067" s="399" t="s">
        <v>642</v>
      </c>
      <c r="T1067" s="399" t="s">
        <v>641</v>
      </c>
      <c r="U1067" s="941">
        <v>3</v>
      </c>
      <c r="V1067" s="941">
        <v>31</v>
      </c>
      <c r="W1067" s="941">
        <v>0</v>
      </c>
      <c r="X1067" s="941">
        <v>0</v>
      </c>
      <c r="Y1067" s="941">
        <v>0</v>
      </c>
      <c r="Z1067" s="941">
        <v>0</v>
      </c>
      <c r="AA1067" s="942">
        <v>3</v>
      </c>
      <c r="AB1067" s="942">
        <v>31</v>
      </c>
      <c r="AC1067" s="942">
        <v>0</v>
      </c>
      <c r="AD1067" s="942">
        <v>0</v>
      </c>
      <c r="AE1067" s="942">
        <v>0</v>
      </c>
      <c r="AF1067" s="942">
        <v>0</v>
      </c>
      <c r="AG1067" s="943">
        <f>comparaison_samebasis_villages[[#This Row],[previous idp_ind]]-comparaison_samebasis_villages[[#This Row],[actual idp_ind]]</f>
        <v>0</v>
      </c>
      <c r="AH1067" s="943">
        <f>comparaison_samebasis_villages[[#This Row],[previous ref_ind]]-comparaison_samebasis_villages[[#This Row],[actual ref_ind]]</f>
        <v>0</v>
      </c>
      <c r="AI1067" s="943">
        <f>comparaison_samebasis_villages[[#This Row],[previous ret_ind]]-comparaison_samebasis_villages[[#This Row],[actual ret_ind]]</f>
        <v>0</v>
      </c>
    </row>
    <row r="1068" spans="15:35" ht="15.75" customHeight="1" x14ac:dyDescent="0.3">
      <c r="O1068" s="399" t="s">
        <v>30</v>
      </c>
      <c r="P1068" s="399" t="s">
        <v>3522</v>
      </c>
      <c r="Q1068" s="399" t="s">
        <v>162</v>
      </c>
      <c r="R1068" s="399" t="s">
        <v>3529</v>
      </c>
      <c r="S1068" s="399" t="s">
        <v>2686</v>
      </c>
      <c r="T1068" s="399" t="s">
        <v>2685</v>
      </c>
      <c r="U1068" s="941">
        <v>0</v>
      </c>
      <c r="V1068" s="941">
        <v>0</v>
      </c>
      <c r="W1068" s="941">
        <v>0</v>
      </c>
      <c r="X1068" s="941">
        <v>0</v>
      </c>
      <c r="Y1068" s="941">
        <v>0</v>
      </c>
      <c r="Z1068" s="941">
        <v>0</v>
      </c>
      <c r="AA1068" s="942">
        <v>0</v>
      </c>
      <c r="AB1068" s="942">
        <v>0</v>
      </c>
      <c r="AC1068" s="942">
        <v>0</v>
      </c>
      <c r="AD1068" s="942">
        <v>0</v>
      </c>
      <c r="AE1068" s="942">
        <v>0</v>
      </c>
      <c r="AF1068" s="942">
        <v>0</v>
      </c>
      <c r="AG1068" s="943">
        <f>comparaison_samebasis_villages[[#This Row],[previous idp_ind]]-comparaison_samebasis_villages[[#This Row],[actual idp_ind]]</f>
        <v>0</v>
      </c>
      <c r="AH1068" s="943">
        <f>comparaison_samebasis_villages[[#This Row],[previous ref_ind]]-comparaison_samebasis_villages[[#This Row],[actual ref_ind]]</f>
        <v>0</v>
      </c>
      <c r="AI1068" s="943">
        <f>comparaison_samebasis_villages[[#This Row],[previous ret_ind]]-comparaison_samebasis_villages[[#This Row],[actual ret_ind]]</f>
        <v>0</v>
      </c>
    </row>
    <row r="1069" spans="15:35" ht="15.75" customHeight="1" x14ac:dyDescent="0.3">
      <c r="O1069" s="399" t="s">
        <v>30</v>
      </c>
      <c r="P1069" s="399" t="s">
        <v>3522</v>
      </c>
      <c r="Q1069" s="399" t="s">
        <v>162</v>
      </c>
      <c r="R1069" s="399" t="s">
        <v>3529</v>
      </c>
      <c r="S1069" s="399" t="s">
        <v>578</v>
      </c>
      <c r="T1069" s="399" t="s">
        <v>577</v>
      </c>
      <c r="U1069" s="941">
        <v>5</v>
      </c>
      <c r="V1069" s="941">
        <v>36</v>
      </c>
      <c r="W1069" s="941">
        <v>0</v>
      </c>
      <c r="X1069" s="941">
        <v>0</v>
      </c>
      <c r="Y1069" s="941">
        <v>0</v>
      </c>
      <c r="Z1069" s="941">
        <v>0</v>
      </c>
      <c r="AA1069" s="942">
        <v>5</v>
      </c>
      <c r="AB1069" s="942">
        <v>40</v>
      </c>
      <c r="AC1069" s="942">
        <v>0</v>
      </c>
      <c r="AD1069" s="942">
        <v>0</v>
      </c>
      <c r="AE1069" s="942">
        <v>0</v>
      </c>
      <c r="AF1069" s="942">
        <v>0</v>
      </c>
      <c r="AG1069" s="943">
        <f>comparaison_samebasis_villages[[#This Row],[previous idp_ind]]-comparaison_samebasis_villages[[#This Row],[actual idp_ind]]</f>
        <v>4</v>
      </c>
      <c r="AH1069" s="943">
        <f>comparaison_samebasis_villages[[#This Row],[previous ref_ind]]-comparaison_samebasis_villages[[#This Row],[actual ref_ind]]</f>
        <v>0</v>
      </c>
      <c r="AI1069" s="943">
        <f>comparaison_samebasis_villages[[#This Row],[previous ret_ind]]-comparaison_samebasis_villages[[#This Row],[actual ret_ind]]</f>
        <v>0</v>
      </c>
    </row>
    <row r="1070" spans="15:35" ht="15.75" customHeight="1" x14ac:dyDescent="0.3">
      <c r="O1070" s="399" t="s">
        <v>30</v>
      </c>
      <c r="P1070" s="399" t="s">
        <v>3522</v>
      </c>
      <c r="Q1070" s="399" t="s">
        <v>162</v>
      </c>
      <c r="R1070" s="399" t="s">
        <v>3529</v>
      </c>
      <c r="S1070" s="399" t="s">
        <v>694</v>
      </c>
      <c r="T1070" s="399" t="s">
        <v>693</v>
      </c>
      <c r="U1070" s="941">
        <v>5</v>
      </c>
      <c r="V1070" s="941">
        <v>44</v>
      </c>
      <c r="W1070" s="941">
        <v>0</v>
      </c>
      <c r="X1070" s="941">
        <v>0</v>
      </c>
      <c r="Y1070" s="941">
        <v>0</v>
      </c>
      <c r="Z1070" s="941">
        <v>0</v>
      </c>
      <c r="AA1070" s="942">
        <v>5</v>
      </c>
      <c r="AB1070" s="942">
        <v>42</v>
      </c>
      <c r="AC1070" s="942">
        <v>0</v>
      </c>
      <c r="AD1070" s="942">
        <v>0</v>
      </c>
      <c r="AE1070" s="942">
        <v>0</v>
      </c>
      <c r="AF1070" s="942">
        <v>0</v>
      </c>
      <c r="AG1070" s="943">
        <f>comparaison_samebasis_villages[[#This Row],[previous idp_ind]]-comparaison_samebasis_villages[[#This Row],[actual idp_ind]]</f>
        <v>-2</v>
      </c>
      <c r="AH1070" s="943">
        <f>comparaison_samebasis_villages[[#This Row],[previous ref_ind]]-comparaison_samebasis_villages[[#This Row],[actual ref_ind]]</f>
        <v>0</v>
      </c>
      <c r="AI1070" s="943">
        <f>comparaison_samebasis_villages[[#This Row],[previous ret_ind]]-comparaison_samebasis_villages[[#This Row],[actual ret_ind]]</f>
        <v>0</v>
      </c>
    </row>
    <row r="1071" spans="15:35" ht="15.75" customHeight="1" x14ac:dyDescent="0.3">
      <c r="O1071" s="399" t="s">
        <v>30</v>
      </c>
      <c r="P1071" s="399" t="s">
        <v>3522</v>
      </c>
      <c r="Q1071" s="399" t="s">
        <v>162</v>
      </c>
      <c r="R1071" s="399" t="s">
        <v>3529</v>
      </c>
      <c r="S1071" s="399" t="s">
        <v>580</v>
      </c>
      <c r="T1071" s="399" t="s">
        <v>579</v>
      </c>
      <c r="U1071" s="941">
        <v>10</v>
      </c>
      <c r="V1071" s="941">
        <v>50</v>
      </c>
      <c r="W1071" s="941">
        <v>0</v>
      </c>
      <c r="X1071" s="941">
        <v>0</v>
      </c>
      <c r="Y1071" s="941">
        <v>0</v>
      </c>
      <c r="Z1071" s="941">
        <v>0</v>
      </c>
      <c r="AA1071" s="942">
        <v>10</v>
      </c>
      <c r="AB1071" s="942">
        <v>50</v>
      </c>
      <c r="AC1071" s="942">
        <v>0</v>
      </c>
      <c r="AD1071" s="942">
        <v>0</v>
      </c>
      <c r="AE1071" s="942">
        <v>0</v>
      </c>
      <c r="AF1071" s="942">
        <v>0</v>
      </c>
      <c r="AG1071" s="943">
        <f>comparaison_samebasis_villages[[#This Row],[previous idp_ind]]-comparaison_samebasis_villages[[#This Row],[actual idp_ind]]</f>
        <v>0</v>
      </c>
      <c r="AH1071" s="943">
        <f>comparaison_samebasis_villages[[#This Row],[previous ref_ind]]-comparaison_samebasis_villages[[#This Row],[actual ref_ind]]</f>
        <v>0</v>
      </c>
      <c r="AI1071" s="943">
        <f>comparaison_samebasis_villages[[#This Row],[previous ret_ind]]-comparaison_samebasis_villages[[#This Row],[actual ret_ind]]</f>
        <v>0</v>
      </c>
    </row>
    <row r="1072" spans="15:35" ht="15.75" customHeight="1" x14ac:dyDescent="0.3">
      <c r="O1072" s="399" t="s">
        <v>30</v>
      </c>
      <c r="P1072" s="399" t="s">
        <v>3522</v>
      </c>
      <c r="Q1072" s="399" t="s">
        <v>162</v>
      </c>
      <c r="R1072" s="399" t="s">
        <v>3529</v>
      </c>
      <c r="S1072" s="399" t="s">
        <v>584</v>
      </c>
      <c r="T1072" s="399" t="s">
        <v>583</v>
      </c>
      <c r="U1072" s="941">
        <v>22</v>
      </c>
      <c r="V1072" s="941">
        <v>84</v>
      </c>
      <c r="W1072" s="941">
        <v>1</v>
      </c>
      <c r="X1072" s="941">
        <v>5</v>
      </c>
      <c r="Y1072" s="941">
        <v>2</v>
      </c>
      <c r="Z1072" s="941">
        <v>2</v>
      </c>
      <c r="AA1072" s="942">
        <v>25</v>
      </c>
      <c r="AB1072" s="942">
        <v>97</v>
      </c>
      <c r="AC1072" s="942">
        <v>1</v>
      </c>
      <c r="AD1072" s="942">
        <v>5</v>
      </c>
      <c r="AE1072" s="942">
        <v>2</v>
      </c>
      <c r="AF1072" s="942">
        <v>7</v>
      </c>
      <c r="AG1072" s="943">
        <f>comparaison_samebasis_villages[[#This Row],[previous idp_ind]]-comparaison_samebasis_villages[[#This Row],[actual idp_ind]]</f>
        <v>13</v>
      </c>
      <c r="AH1072" s="943">
        <f>comparaison_samebasis_villages[[#This Row],[previous ref_ind]]-comparaison_samebasis_villages[[#This Row],[actual ref_ind]]</f>
        <v>0</v>
      </c>
      <c r="AI1072" s="943">
        <f>comparaison_samebasis_villages[[#This Row],[previous ret_ind]]-comparaison_samebasis_villages[[#This Row],[actual ret_ind]]</f>
        <v>5</v>
      </c>
    </row>
    <row r="1073" spans="15:35" ht="15.75" customHeight="1" x14ac:dyDescent="0.3">
      <c r="O1073" s="399" t="s">
        <v>30</v>
      </c>
      <c r="P1073" s="399" t="s">
        <v>3522</v>
      </c>
      <c r="Q1073" s="399" t="s">
        <v>162</v>
      </c>
      <c r="R1073" s="399" t="s">
        <v>3529</v>
      </c>
      <c r="S1073" s="399" t="s">
        <v>731</v>
      </c>
      <c r="T1073" s="399" t="s">
        <v>730</v>
      </c>
      <c r="U1073" s="941">
        <v>20</v>
      </c>
      <c r="V1073" s="941">
        <v>99</v>
      </c>
      <c r="W1073" s="941">
        <v>0</v>
      </c>
      <c r="X1073" s="941">
        <v>0</v>
      </c>
      <c r="Y1073" s="941">
        <v>0</v>
      </c>
      <c r="Z1073" s="941">
        <v>0</v>
      </c>
      <c r="AA1073" s="942">
        <v>40</v>
      </c>
      <c r="AB1073" s="942">
        <v>223</v>
      </c>
      <c r="AC1073" s="942">
        <v>0</v>
      </c>
      <c r="AD1073" s="942">
        <v>0</v>
      </c>
      <c r="AE1073" s="942">
        <v>0</v>
      </c>
      <c r="AF1073" s="942">
        <v>0</v>
      </c>
      <c r="AG1073" s="943">
        <f>comparaison_samebasis_villages[[#This Row],[previous idp_ind]]-comparaison_samebasis_villages[[#This Row],[actual idp_ind]]</f>
        <v>124</v>
      </c>
      <c r="AH1073" s="943">
        <f>comparaison_samebasis_villages[[#This Row],[previous ref_ind]]-comparaison_samebasis_villages[[#This Row],[actual ref_ind]]</f>
        <v>0</v>
      </c>
      <c r="AI1073" s="943">
        <f>comparaison_samebasis_villages[[#This Row],[previous ret_ind]]-comparaison_samebasis_villages[[#This Row],[actual ret_ind]]</f>
        <v>0</v>
      </c>
    </row>
    <row r="1074" spans="15:35" ht="15.75" customHeight="1" x14ac:dyDescent="0.3">
      <c r="O1074" s="399" t="s">
        <v>30</v>
      </c>
      <c r="P1074" s="399" t="s">
        <v>3522</v>
      </c>
      <c r="Q1074" s="399" t="s">
        <v>162</v>
      </c>
      <c r="R1074" s="399" t="s">
        <v>3529</v>
      </c>
      <c r="S1074" s="399" t="s">
        <v>553</v>
      </c>
      <c r="T1074" s="399" t="s">
        <v>552</v>
      </c>
      <c r="U1074" s="941">
        <v>13</v>
      </c>
      <c r="V1074" s="941">
        <v>77</v>
      </c>
      <c r="W1074" s="941">
        <v>0</v>
      </c>
      <c r="X1074" s="941">
        <v>0</v>
      </c>
      <c r="Y1074" s="941">
        <v>0</v>
      </c>
      <c r="Z1074" s="941">
        <v>0</v>
      </c>
      <c r="AA1074" s="942">
        <v>13</v>
      </c>
      <c r="AB1074" s="942">
        <v>86</v>
      </c>
      <c r="AC1074" s="942">
        <v>0</v>
      </c>
      <c r="AD1074" s="942">
        <v>0</v>
      </c>
      <c r="AE1074" s="942">
        <v>0</v>
      </c>
      <c r="AF1074" s="942">
        <v>0</v>
      </c>
      <c r="AG1074" s="943">
        <f>comparaison_samebasis_villages[[#This Row],[previous idp_ind]]-comparaison_samebasis_villages[[#This Row],[actual idp_ind]]</f>
        <v>9</v>
      </c>
      <c r="AH1074" s="943">
        <f>comparaison_samebasis_villages[[#This Row],[previous ref_ind]]-comparaison_samebasis_villages[[#This Row],[actual ref_ind]]</f>
        <v>0</v>
      </c>
      <c r="AI1074" s="943">
        <f>comparaison_samebasis_villages[[#This Row],[previous ret_ind]]-comparaison_samebasis_villages[[#This Row],[actual ret_ind]]</f>
        <v>0</v>
      </c>
    </row>
    <row r="1075" spans="15:35" ht="15.75" customHeight="1" x14ac:dyDescent="0.3">
      <c r="O1075" s="399" t="s">
        <v>30</v>
      </c>
      <c r="P1075" s="399" t="s">
        <v>3522</v>
      </c>
      <c r="Q1075" s="399" t="s">
        <v>162</v>
      </c>
      <c r="R1075" s="399" t="s">
        <v>3529</v>
      </c>
      <c r="S1075" s="399" t="s">
        <v>679</v>
      </c>
      <c r="T1075" s="399" t="s">
        <v>678</v>
      </c>
      <c r="U1075" s="941">
        <v>30</v>
      </c>
      <c r="V1075" s="941">
        <v>254</v>
      </c>
      <c r="W1075" s="941">
        <v>0</v>
      </c>
      <c r="X1075" s="941">
        <v>0</v>
      </c>
      <c r="Y1075" s="941">
        <v>0</v>
      </c>
      <c r="Z1075" s="941">
        <v>0</v>
      </c>
      <c r="AA1075" s="942">
        <v>30</v>
      </c>
      <c r="AB1075" s="942">
        <v>254</v>
      </c>
      <c r="AC1075" s="942">
        <v>0</v>
      </c>
      <c r="AD1075" s="942">
        <v>0</v>
      </c>
      <c r="AE1075" s="942">
        <v>0</v>
      </c>
      <c r="AF1075" s="942">
        <v>0</v>
      </c>
      <c r="AG1075" s="943">
        <f>comparaison_samebasis_villages[[#This Row],[previous idp_ind]]-comparaison_samebasis_villages[[#This Row],[actual idp_ind]]</f>
        <v>0</v>
      </c>
      <c r="AH1075" s="943">
        <f>comparaison_samebasis_villages[[#This Row],[previous ref_ind]]-comparaison_samebasis_villages[[#This Row],[actual ref_ind]]</f>
        <v>0</v>
      </c>
      <c r="AI1075" s="943">
        <f>comparaison_samebasis_villages[[#This Row],[previous ret_ind]]-comparaison_samebasis_villages[[#This Row],[actual ret_ind]]</f>
        <v>0</v>
      </c>
    </row>
    <row r="1076" spans="15:35" ht="15.75" customHeight="1" x14ac:dyDescent="0.3">
      <c r="O1076" s="399" t="s">
        <v>30</v>
      </c>
      <c r="P1076" s="399" t="s">
        <v>3522</v>
      </c>
      <c r="Q1076" s="399" t="s">
        <v>162</v>
      </c>
      <c r="R1076" s="399" t="s">
        <v>3529</v>
      </c>
      <c r="S1076" s="399" t="s">
        <v>1728</v>
      </c>
      <c r="T1076" s="399" t="s">
        <v>1727</v>
      </c>
      <c r="U1076" s="941">
        <v>4</v>
      </c>
      <c r="V1076" s="941">
        <v>21</v>
      </c>
      <c r="W1076" s="941">
        <v>0</v>
      </c>
      <c r="X1076" s="941">
        <v>0</v>
      </c>
      <c r="Y1076" s="941">
        <v>0</v>
      </c>
      <c r="Z1076" s="941">
        <v>0</v>
      </c>
      <c r="AA1076" s="942">
        <v>4</v>
      </c>
      <c r="AB1076" s="942">
        <v>23</v>
      </c>
      <c r="AC1076" s="942">
        <v>0</v>
      </c>
      <c r="AD1076" s="942">
        <v>0</v>
      </c>
      <c r="AE1076" s="942">
        <v>0</v>
      </c>
      <c r="AF1076" s="942">
        <v>0</v>
      </c>
      <c r="AG1076" s="943">
        <f>comparaison_samebasis_villages[[#This Row],[previous idp_ind]]-comparaison_samebasis_villages[[#This Row],[actual idp_ind]]</f>
        <v>2</v>
      </c>
      <c r="AH1076" s="943">
        <f>comparaison_samebasis_villages[[#This Row],[previous ref_ind]]-comparaison_samebasis_villages[[#This Row],[actual ref_ind]]</f>
        <v>0</v>
      </c>
      <c r="AI1076" s="943">
        <f>comparaison_samebasis_villages[[#This Row],[previous ret_ind]]-comparaison_samebasis_villages[[#This Row],[actual ret_ind]]</f>
        <v>0</v>
      </c>
    </row>
    <row r="1077" spans="15:35" ht="15.75" customHeight="1" x14ac:dyDescent="0.3">
      <c r="O1077" s="399" t="s">
        <v>30</v>
      </c>
      <c r="P1077" s="399" t="s">
        <v>3522</v>
      </c>
      <c r="Q1077" s="1145" t="s">
        <v>162</v>
      </c>
      <c r="R1077" s="1145" t="s">
        <v>3529</v>
      </c>
      <c r="S1077" s="399" t="s">
        <v>776</v>
      </c>
      <c r="T1077" s="399" t="s">
        <v>775</v>
      </c>
      <c r="U1077" s="941">
        <v>1</v>
      </c>
      <c r="V1077" s="941">
        <v>8</v>
      </c>
      <c r="W1077" s="941">
        <v>0</v>
      </c>
      <c r="X1077" s="941">
        <v>0</v>
      </c>
      <c r="Y1077" s="941">
        <v>0</v>
      </c>
      <c r="Z1077" s="941">
        <v>0</v>
      </c>
      <c r="AA1077" s="942">
        <v>1</v>
      </c>
      <c r="AB1077" s="942">
        <v>8</v>
      </c>
      <c r="AC1077" s="942">
        <v>0</v>
      </c>
      <c r="AD1077" s="942">
        <v>0</v>
      </c>
      <c r="AE1077" s="942">
        <v>0</v>
      </c>
      <c r="AF1077" s="942">
        <v>0</v>
      </c>
      <c r="AG1077" s="943">
        <f>comparaison_samebasis_villages[[#This Row],[previous idp_ind]]-comparaison_samebasis_villages[[#This Row],[actual idp_ind]]</f>
        <v>0</v>
      </c>
      <c r="AH1077" s="943">
        <f>comparaison_samebasis_villages[[#This Row],[previous ref_ind]]-comparaison_samebasis_villages[[#This Row],[actual ref_ind]]</f>
        <v>0</v>
      </c>
      <c r="AI1077" s="943">
        <f>comparaison_samebasis_villages[[#This Row],[previous ret_ind]]-comparaison_samebasis_villages[[#This Row],[actual ret_ind]]</f>
        <v>0</v>
      </c>
    </row>
    <row r="1078" spans="15:35" ht="15.75" customHeight="1" x14ac:dyDescent="0.3">
      <c r="O1078" s="399" t="s">
        <v>30</v>
      </c>
      <c r="P1078" s="399" t="s">
        <v>3522</v>
      </c>
      <c r="Q1078" s="399" t="s">
        <v>162</v>
      </c>
      <c r="R1078" s="399" t="s">
        <v>3529</v>
      </c>
      <c r="S1078" s="399" t="s">
        <v>721</v>
      </c>
      <c r="T1078" s="399" t="s">
        <v>720</v>
      </c>
      <c r="U1078" s="941">
        <v>4</v>
      </c>
      <c r="V1078" s="941">
        <v>36</v>
      </c>
      <c r="W1078" s="941">
        <v>0</v>
      </c>
      <c r="X1078" s="941">
        <v>0</v>
      </c>
      <c r="Y1078" s="941">
        <v>4</v>
      </c>
      <c r="Z1078" s="941">
        <v>4</v>
      </c>
      <c r="AA1078" s="942">
        <v>4</v>
      </c>
      <c r="AB1078" s="942">
        <v>31</v>
      </c>
      <c r="AC1078" s="942">
        <v>0</v>
      </c>
      <c r="AD1078" s="942">
        <v>0</v>
      </c>
      <c r="AE1078" s="942">
        <v>4</v>
      </c>
      <c r="AF1078" s="942">
        <v>22</v>
      </c>
      <c r="AG1078" s="943">
        <f>comparaison_samebasis_villages[[#This Row],[previous idp_ind]]-comparaison_samebasis_villages[[#This Row],[actual idp_ind]]</f>
        <v>-5</v>
      </c>
      <c r="AH1078" s="943">
        <f>comparaison_samebasis_villages[[#This Row],[previous ref_ind]]-comparaison_samebasis_villages[[#This Row],[actual ref_ind]]</f>
        <v>0</v>
      </c>
      <c r="AI1078" s="943">
        <f>comparaison_samebasis_villages[[#This Row],[previous ret_ind]]-comparaison_samebasis_villages[[#This Row],[actual ret_ind]]</f>
        <v>18</v>
      </c>
    </row>
    <row r="1079" spans="15:35" ht="15.75" customHeight="1" x14ac:dyDescent="0.3">
      <c r="O1079" s="399" t="s">
        <v>30</v>
      </c>
      <c r="P1079" s="399" t="s">
        <v>3522</v>
      </c>
      <c r="Q1079" s="399" t="s">
        <v>162</v>
      </c>
      <c r="R1079" s="399" t="s">
        <v>3529</v>
      </c>
      <c r="S1079" s="399" t="s">
        <v>696</v>
      </c>
      <c r="T1079" s="399" t="s">
        <v>695</v>
      </c>
      <c r="U1079" s="941">
        <v>20</v>
      </c>
      <c r="V1079" s="941">
        <v>228</v>
      </c>
      <c r="W1079" s="941">
        <v>2</v>
      </c>
      <c r="X1079" s="941">
        <v>10</v>
      </c>
      <c r="Y1079" s="941">
        <v>0</v>
      </c>
      <c r="Z1079" s="941">
        <v>0</v>
      </c>
      <c r="AA1079" s="942">
        <v>20</v>
      </c>
      <c r="AB1079" s="942">
        <v>238</v>
      </c>
      <c r="AC1079" s="942">
        <v>2</v>
      </c>
      <c r="AD1079" s="942">
        <v>10</v>
      </c>
      <c r="AE1079" s="942">
        <v>0</v>
      </c>
      <c r="AF1079" s="942">
        <v>0</v>
      </c>
      <c r="AG1079" s="943">
        <f>comparaison_samebasis_villages[[#This Row],[previous idp_ind]]-comparaison_samebasis_villages[[#This Row],[actual idp_ind]]</f>
        <v>10</v>
      </c>
      <c r="AH1079" s="943">
        <f>comparaison_samebasis_villages[[#This Row],[previous ref_ind]]-comparaison_samebasis_villages[[#This Row],[actual ref_ind]]</f>
        <v>0</v>
      </c>
      <c r="AI1079" s="943">
        <f>comparaison_samebasis_villages[[#This Row],[previous ret_ind]]-comparaison_samebasis_villages[[#This Row],[actual ret_ind]]</f>
        <v>0</v>
      </c>
    </row>
    <row r="1080" spans="15:35" ht="15.75" customHeight="1" x14ac:dyDescent="0.3">
      <c r="O1080" s="399" t="s">
        <v>30</v>
      </c>
      <c r="P1080" s="399" t="s">
        <v>3522</v>
      </c>
      <c r="Q1080" s="399" t="s">
        <v>162</v>
      </c>
      <c r="R1080" s="399" t="s">
        <v>3529</v>
      </c>
      <c r="S1080" s="399" t="s">
        <v>688</v>
      </c>
      <c r="T1080" s="399" t="s">
        <v>687</v>
      </c>
      <c r="U1080" s="941">
        <v>9</v>
      </c>
      <c r="V1080" s="941">
        <v>98</v>
      </c>
      <c r="W1080" s="941">
        <v>2</v>
      </c>
      <c r="X1080" s="941">
        <v>16</v>
      </c>
      <c r="Y1080" s="941">
        <v>0</v>
      </c>
      <c r="Z1080" s="941">
        <v>0</v>
      </c>
      <c r="AA1080" s="942">
        <v>9</v>
      </c>
      <c r="AB1080" s="942">
        <v>95</v>
      </c>
      <c r="AC1080" s="942">
        <v>2</v>
      </c>
      <c r="AD1080" s="942">
        <v>16</v>
      </c>
      <c r="AE1080" s="942">
        <v>0</v>
      </c>
      <c r="AF1080" s="942">
        <v>0</v>
      </c>
      <c r="AG1080" s="943">
        <f>comparaison_samebasis_villages[[#This Row],[previous idp_ind]]-comparaison_samebasis_villages[[#This Row],[actual idp_ind]]</f>
        <v>-3</v>
      </c>
      <c r="AH1080" s="943">
        <f>comparaison_samebasis_villages[[#This Row],[previous ref_ind]]-comparaison_samebasis_villages[[#This Row],[actual ref_ind]]</f>
        <v>0</v>
      </c>
      <c r="AI1080" s="943">
        <f>comparaison_samebasis_villages[[#This Row],[previous ret_ind]]-comparaison_samebasis_villages[[#This Row],[actual ret_ind]]</f>
        <v>0</v>
      </c>
    </row>
    <row r="1081" spans="15:35" ht="15.75" customHeight="1" x14ac:dyDescent="0.3">
      <c r="O1081" s="399" t="s">
        <v>30</v>
      </c>
      <c r="P1081" s="399" t="s">
        <v>3522</v>
      </c>
      <c r="Q1081" s="399" t="s">
        <v>162</v>
      </c>
      <c r="R1081" s="399" t="s">
        <v>3529</v>
      </c>
      <c r="S1081" s="399" t="s">
        <v>613</v>
      </c>
      <c r="T1081" s="399" t="s">
        <v>612</v>
      </c>
      <c r="U1081" s="941">
        <v>3</v>
      </c>
      <c r="V1081" s="941">
        <v>23</v>
      </c>
      <c r="W1081" s="941">
        <v>0</v>
      </c>
      <c r="X1081" s="941">
        <v>0</v>
      </c>
      <c r="Y1081" s="941">
        <v>0</v>
      </c>
      <c r="Z1081" s="941">
        <v>0</v>
      </c>
      <c r="AA1081" s="942">
        <v>3</v>
      </c>
      <c r="AB1081" s="942">
        <v>23</v>
      </c>
      <c r="AC1081" s="942">
        <v>0</v>
      </c>
      <c r="AD1081" s="942">
        <v>0</v>
      </c>
      <c r="AE1081" s="942">
        <v>0</v>
      </c>
      <c r="AF1081" s="942">
        <v>0</v>
      </c>
      <c r="AG1081" s="943">
        <f>comparaison_samebasis_villages[[#This Row],[previous idp_ind]]-comparaison_samebasis_villages[[#This Row],[actual idp_ind]]</f>
        <v>0</v>
      </c>
      <c r="AH1081" s="943">
        <f>comparaison_samebasis_villages[[#This Row],[previous ref_ind]]-comparaison_samebasis_villages[[#This Row],[actual ref_ind]]</f>
        <v>0</v>
      </c>
      <c r="AI1081" s="943">
        <f>comparaison_samebasis_villages[[#This Row],[previous ret_ind]]-comparaison_samebasis_villages[[#This Row],[actual ret_ind]]</f>
        <v>0</v>
      </c>
    </row>
    <row r="1082" spans="15:35" ht="15.75" customHeight="1" x14ac:dyDescent="0.3">
      <c r="O1082" s="399" t="s">
        <v>30</v>
      </c>
      <c r="P1082" s="399" t="s">
        <v>3522</v>
      </c>
      <c r="Q1082" s="399" t="s">
        <v>162</v>
      </c>
      <c r="R1082" s="399" t="s">
        <v>3529</v>
      </c>
      <c r="S1082" s="399" t="s">
        <v>916</v>
      </c>
      <c r="T1082" s="399" t="s">
        <v>915</v>
      </c>
      <c r="U1082" s="941">
        <v>6</v>
      </c>
      <c r="V1082" s="941">
        <v>44</v>
      </c>
      <c r="W1082" s="941">
        <v>0</v>
      </c>
      <c r="X1082" s="941">
        <v>0</v>
      </c>
      <c r="Y1082" s="941">
        <v>0</v>
      </c>
      <c r="Z1082" s="941">
        <v>0</v>
      </c>
      <c r="AA1082" s="942">
        <v>5</v>
      </c>
      <c r="AB1082" s="942">
        <v>44</v>
      </c>
      <c r="AC1082" s="942">
        <v>0</v>
      </c>
      <c r="AD1082" s="942">
        <v>0</v>
      </c>
      <c r="AE1082" s="942">
        <v>0</v>
      </c>
      <c r="AF1082" s="942">
        <v>0</v>
      </c>
      <c r="AG1082" s="943">
        <f>comparaison_samebasis_villages[[#This Row],[previous idp_ind]]-comparaison_samebasis_villages[[#This Row],[actual idp_ind]]</f>
        <v>0</v>
      </c>
      <c r="AH1082" s="943">
        <f>comparaison_samebasis_villages[[#This Row],[previous ref_ind]]-comparaison_samebasis_villages[[#This Row],[actual ref_ind]]</f>
        <v>0</v>
      </c>
      <c r="AI1082" s="943">
        <f>comparaison_samebasis_villages[[#This Row],[previous ret_ind]]-comparaison_samebasis_villages[[#This Row],[actual ret_ind]]</f>
        <v>0</v>
      </c>
    </row>
    <row r="1083" spans="15:35" ht="15.75" customHeight="1" x14ac:dyDescent="0.3">
      <c r="O1083" s="399" t="s">
        <v>30</v>
      </c>
      <c r="P1083" s="399" t="s">
        <v>3522</v>
      </c>
      <c r="Q1083" s="399" t="s">
        <v>162</v>
      </c>
      <c r="R1083" s="399" t="s">
        <v>3529</v>
      </c>
      <c r="S1083" s="399" t="s">
        <v>723</v>
      </c>
      <c r="T1083" s="399" t="s">
        <v>722</v>
      </c>
      <c r="U1083" s="941">
        <v>19</v>
      </c>
      <c r="V1083" s="941">
        <v>127</v>
      </c>
      <c r="W1083" s="941">
        <v>0</v>
      </c>
      <c r="X1083" s="941">
        <v>0</v>
      </c>
      <c r="Y1083" s="941">
        <v>0</v>
      </c>
      <c r="Z1083" s="941">
        <v>0</v>
      </c>
      <c r="AA1083" s="942">
        <v>19</v>
      </c>
      <c r="AB1083" s="942">
        <v>125</v>
      </c>
      <c r="AC1083" s="942">
        <v>0</v>
      </c>
      <c r="AD1083" s="942">
        <v>0</v>
      </c>
      <c r="AE1083" s="942">
        <v>0</v>
      </c>
      <c r="AF1083" s="942">
        <v>0</v>
      </c>
      <c r="AG1083" s="943">
        <f>comparaison_samebasis_villages[[#This Row],[previous idp_ind]]-comparaison_samebasis_villages[[#This Row],[actual idp_ind]]</f>
        <v>-2</v>
      </c>
      <c r="AH1083" s="943">
        <f>comparaison_samebasis_villages[[#This Row],[previous ref_ind]]-comparaison_samebasis_villages[[#This Row],[actual ref_ind]]</f>
        <v>0</v>
      </c>
      <c r="AI1083" s="943">
        <f>comparaison_samebasis_villages[[#This Row],[previous ret_ind]]-comparaison_samebasis_villages[[#This Row],[actual ret_ind]]</f>
        <v>0</v>
      </c>
    </row>
    <row r="1084" spans="15:35" ht="15.75" customHeight="1" x14ac:dyDescent="0.3">
      <c r="O1084" s="399" t="s">
        <v>30</v>
      </c>
      <c r="P1084" s="399" t="s">
        <v>3522</v>
      </c>
      <c r="Q1084" s="399" t="s">
        <v>162</v>
      </c>
      <c r="R1084" s="399" t="s">
        <v>3529</v>
      </c>
      <c r="S1084" s="399" t="s">
        <v>586</v>
      </c>
      <c r="T1084" s="399" t="s">
        <v>585</v>
      </c>
      <c r="U1084" s="941">
        <v>3</v>
      </c>
      <c r="V1084" s="941">
        <v>27</v>
      </c>
      <c r="W1084" s="941">
        <v>0</v>
      </c>
      <c r="X1084" s="941">
        <v>0</v>
      </c>
      <c r="Y1084" s="941">
        <v>0</v>
      </c>
      <c r="Z1084" s="941">
        <v>0</v>
      </c>
      <c r="AA1084" s="942">
        <v>3</v>
      </c>
      <c r="AB1084" s="942">
        <v>27</v>
      </c>
      <c r="AC1084" s="942">
        <v>0</v>
      </c>
      <c r="AD1084" s="942">
        <v>0</v>
      </c>
      <c r="AE1084" s="942">
        <v>0</v>
      </c>
      <c r="AF1084" s="942">
        <v>0</v>
      </c>
      <c r="AG1084" s="943">
        <f>comparaison_samebasis_villages[[#This Row],[previous idp_ind]]-comparaison_samebasis_villages[[#This Row],[actual idp_ind]]</f>
        <v>0</v>
      </c>
      <c r="AH1084" s="943">
        <f>comparaison_samebasis_villages[[#This Row],[previous ref_ind]]-comparaison_samebasis_villages[[#This Row],[actual ref_ind]]</f>
        <v>0</v>
      </c>
      <c r="AI1084" s="943">
        <f>comparaison_samebasis_villages[[#This Row],[previous ret_ind]]-comparaison_samebasis_villages[[#This Row],[actual ret_ind]]</f>
        <v>0</v>
      </c>
    </row>
    <row r="1085" spans="15:35" ht="15.75" customHeight="1" x14ac:dyDescent="0.3">
      <c r="O1085" s="399" t="s">
        <v>30</v>
      </c>
      <c r="P1085" s="399" t="s">
        <v>3522</v>
      </c>
      <c r="Q1085" s="399" t="s">
        <v>162</v>
      </c>
      <c r="R1085" s="399" t="s">
        <v>3529</v>
      </c>
      <c r="S1085" s="399" t="s">
        <v>653</v>
      </c>
      <c r="T1085" s="399" t="s">
        <v>3018</v>
      </c>
      <c r="U1085" s="941">
        <v>3</v>
      </c>
      <c r="V1085" s="941">
        <v>21</v>
      </c>
      <c r="W1085" s="941">
        <v>0</v>
      </c>
      <c r="X1085" s="941">
        <v>0</v>
      </c>
      <c r="Y1085" s="941">
        <v>0</v>
      </c>
      <c r="Z1085" s="941">
        <v>0</v>
      </c>
      <c r="AA1085" s="942">
        <v>3</v>
      </c>
      <c r="AB1085" s="942">
        <v>21</v>
      </c>
      <c r="AC1085" s="942">
        <v>0</v>
      </c>
      <c r="AD1085" s="942">
        <v>0</v>
      </c>
      <c r="AE1085" s="942">
        <v>0</v>
      </c>
      <c r="AF1085" s="942">
        <v>0</v>
      </c>
      <c r="AG1085" s="943">
        <f>comparaison_samebasis_villages[[#This Row],[previous idp_ind]]-comparaison_samebasis_villages[[#This Row],[actual idp_ind]]</f>
        <v>0</v>
      </c>
      <c r="AH1085" s="943">
        <f>comparaison_samebasis_villages[[#This Row],[previous ref_ind]]-comparaison_samebasis_villages[[#This Row],[actual ref_ind]]</f>
        <v>0</v>
      </c>
      <c r="AI1085" s="943">
        <f>comparaison_samebasis_villages[[#This Row],[previous ret_ind]]-comparaison_samebasis_villages[[#This Row],[actual ret_ind]]</f>
        <v>0</v>
      </c>
    </row>
    <row r="1086" spans="15:35" ht="15.75" customHeight="1" x14ac:dyDescent="0.3">
      <c r="O1086" s="399" t="s">
        <v>30</v>
      </c>
      <c r="P1086" s="399" t="s">
        <v>3522</v>
      </c>
      <c r="Q1086" s="399" t="s">
        <v>162</v>
      </c>
      <c r="R1086" s="399" t="s">
        <v>3529</v>
      </c>
      <c r="S1086" s="399" t="s">
        <v>655</v>
      </c>
      <c r="T1086" s="399" t="s">
        <v>652</v>
      </c>
      <c r="U1086" s="941">
        <v>5</v>
      </c>
      <c r="V1086" s="941">
        <v>28</v>
      </c>
      <c r="W1086" s="941">
        <v>0</v>
      </c>
      <c r="X1086" s="941">
        <v>0</v>
      </c>
      <c r="Y1086" s="941">
        <v>0</v>
      </c>
      <c r="Z1086" s="941">
        <v>0</v>
      </c>
      <c r="AA1086" s="942">
        <v>4</v>
      </c>
      <c r="AB1086" s="942">
        <v>24</v>
      </c>
      <c r="AC1086" s="942">
        <v>0</v>
      </c>
      <c r="AD1086" s="942">
        <v>0</v>
      </c>
      <c r="AE1086" s="942">
        <v>1</v>
      </c>
      <c r="AF1086" s="942">
        <v>4</v>
      </c>
      <c r="AG1086" s="943">
        <f>comparaison_samebasis_villages[[#This Row],[previous idp_ind]]-comparaison_samebasis_villages[[#This Row],[actual idp_ind]]</f>
        <v>-4</v>
      </c>
      <c r="AH1086" s="943">
        <f>comparaison_samebasis_villages[[#This Row],[previous ref_ind]]-comparaison_samebasis_villages[[#This Row],[actual ref_ind]]</f>
        <v>0</v>
      </c>
      <c r="AI1086" s="943">
        <f>comparaison_samebasis_villages[[#This Row],[previous ret_ind]]-comparaison_samebasis_villages[[#This Row],[actual ret_ind]]</f>
        <v>4</v>
      </c>
    </row>
    <row r="1087" spans="15:35" ht="15.75" customHeight="1" x14ac:dyDescent="0.3">
      <c r="O1087" s="399" t="s">
        <v>30</v>
      </c>
      <c r="P1087" s="399" t="s">
        <v>3522</v>
      </c>
      <c r="Q1087" s="399" t="s">
        <v>162</v>
      </c>
      <c r="R1087" s="399" t="s">
        <v>3529</v>
      </c>
      <c r="S1087" s="399" t="s">
        <v>651</v>
      </c>
      <c r="T1087" s="399" t="s">
        <v>654</v>
      </c>
      <c r="U1087" s="941">
        <v>8</v>
      </c>
      <c r="V1087" s="941">
        <v>53</v>
      </c>
      <c r="W1087" s="941">
        <v>0</v>
      </c>
      <c r="X1087" s="941">
        <v>0</v>
      </c>
      <c r="Y1087" s="941">
        <v>0</v>
      </c>
      <c r="Z1087" s="941">
        <v>0</v>
      </c>
      <c r="AA1087" s="942">
        <v>8</v>
      </c>
      <c r="AB1087" s="942">
        <v>53</v>
      </c>
      <c r="AC1087" s="942">
        <v>0</v>
      </c>
      <c r="AD1087" s="942">
        <v>0</v>
      </c>
      <c r="AE1087" s="942">
        <v>0</v>
      </c>
      <c r="AF1087" s="942">
        <v>0</v>
      </c>
      <c r="AG1087" s="943">
        <f>comparaison_samebasis_villages[[#This Row],[previous idp_ind]]-comparaison_samebasis_villages[[#This Row],[actual idp_ind]]</f>
        <v>0</v>
      </c>
      <c r="AH1087" s="943">
        <f>comparaison_samebasis_villages[[#This Row],[previous ref_ind]]-comparaison_samebasis_villages[[#This Row],[actual ref_ind]]</f>
        <v>0</v>
      </c>
      <c r="AI1087" s="943">
        <f>comparaison_samebasis_villages[[#This Row],[previous ret_ind]]-comparaison_samebasis_villages[[#This Row],[actual ret_ind]]</f>
        <v>0</v>
      </c>
    </row>
    <row r="1088" spans="15:35" ht="15.75" customHeight="1" x14ac:dyDescent="0.3">
      <c r="O1088" s="399" t="s">
        <v>30</v>
      </c>
      <c r="P1088" s="399" t="s">
        <v>3522</v>
      </c>
      <c r="Q1088" s="399" t="s">
        <v>162</v>
      </c>
      <c r="R1088" s="399" t="s">
        <v>3529</v>
      </c>
      <c r="S1088" s="399" t="s">
        <v>615</v>
      </c>
      <c r="T1088" s="399" t="s">
        <v>650</v>
      </c>
      <c r="U1088" s="941">
        <v>3</v>
      </c>
      <c r="V1088" s="941">
        <v>30</v>
      </c>
      <c r="W1088" s="941">
        <v>0</v>
      </c>
      <c r="X1088" s="941">
        <v>0</v>
      </c>
      <c r="Y1088" s="941">
        <v>0</v>
      </c>
      <c r="Z1088" s="941">
        <v>0</v>
      </c>
      <c r="AA1088" s="942">
        <v>3</v>
      </c>
      <c r="AB1088" s="942">
        <v>30</v>
      </c>
      <c r="AC1088" s="942">
        <v>0</v>
      </c>
      <c r="AD1088" s="942">
        <v>0</v>
      </c>
      <c r="AE1088" s="942">
        <v>0</v>
      </c>
      <c r="AF1088" s="942">
        <v>0</v>
      </c>
      <c r="AG1088" s="943">
        <f>comparaison_samebasis_villages[[#This Row],[previous idp_ind]]-comparaison_samebasis_villages[[#This Row],[actual idp_ind]]</f>
        <v>0</v>
      </c>
      <c r="AH1088" s="943">
        <f>comparaison_samebasis_villages[[#This Row],[previous ref_ind]]-comparaison_samebasis_villages[[#This Row],[actual ref_ind]]</f>
        <v>0</v>
      </c>
      <c r="AI1088" s="943">
        <f>comparaison_samebasis_villages[[#This Row],[previous ret_ind]]-comparaison_samebasis_villages[[#This Row],[actual ret_ind]]</f>
        <v>0</v>
      </c>
    </row>
    <row r="1089" spans="15:35" ht="15.75" customHeight="1" x14ac:dyDescent="0.3">
      <c r="O1089" s="399" t="s">
        <v>30</v>
      </c>
      <c r="P1089" s="399" t="s">
        <v>3522</v>
      </c>
      <c r="Q1089" s="399" t="s">
        <v>162</v>
      </c>
      <c r="R1089" s="399" t="s">
        <v>3529</v>
      </c>
      <c r="S1089" s="399" t="s">
        <v>2688</v>
      </c>
      <c r="T1089" s="399" t="s">
        <v>614</v>
      </c>
      <c r="U1089" s="941">
        <v>17</v>
      </c>
      <c r="V1089" s="941">
        <v>140</v>
      </c>
      <c r="W1089" s="941">
        <v>0</v>
      </c>
      <c r="X1089" s="941">
        <v>0</v>
      </c>
      <c r="Y1089" s="941">
        <v>0</v>
      </c>
      <c r="Z1089" s="941">
        <v>0</v>
      </c>
      <c r="AA1089" s="942">
        <v>17</v>
      </c>
      <c r="AB1089" s="942">
        <v>140</v>
      </c>
      <c r="AC1089" s="942">
        <v>0</v>
      </c>
      <c r="AD1089" s="942">
        <v>0</v>
      </c>
      <c r="AE1089" s="942">
        <v>0</v>
      </c>
      <c r="AF1089" s="942">
        <v>0</v>
      </c>
      <c r="AG1089" s="943">
        <f>comparaison_samebasis_villages[[#This Row],[previous idp_ind]]-comparaison_samebasis_villages[[#This Row],[actual idp_ind]]</f>
        <v>0</v>
      </c>
      <c r="AH1089" s="943">
        <f>comparaison_samebasis_villages[[#This Row],[previous ref_ind]]-comparaison_samebasis_villages[[#This Row],[actual ref_ind]]</f>
        <v>0</v>
      </c>
      <c r="AI1089" s="943">
        <f>comparaison_samebasis_villages[[#This Row],[previous ret_ind]]-comparaison_samebasis_villages[[#This Row],[actual ret_ind]]</f>
        <v>0</v>
      </c>
    </row>
    <row r="1090" spans="15:35" ht="15.75" customHeight="1" x14ac:dyDescent="0.3">
      <c r="O1090" s="399" t="s">
        <v>30</v>
      </c>
      <c r="P1090" s="399" t="s">
        <v>3522</v>
      </c>
      <c r="Q1090" s="399" t="s">
        <v>162</v>
      </c>
      <c r="R1090" s="399" t="s">
        <v>3529</v>
      </c>
      <c r="S1090" s="399" t="s">
        <v>2191</v>
      </c>
      <c r="T1090" s="399" t="s">
        <v>2687</v>
      </c>
      <c r="U1090" s="941">
        <v>0</v>
      </c>
      <c r="V1090" s="941">
        <v>0</v>
      </c>
      <c r="W1090" s="941">
        <v>19</v>
      </c>
      <c r="X1090" s="941">
        <v>112</v>
      </c>
      <c r="Y1090" s="941">
        <v>0</v>
      </c>
      <c r="Z1090" s="941">
        <v>0</v>
      </c>
      <c r="AA1090" s="942">
        <v>0</v>
      </c>
      <c r="AB1090" s="942">
        <v>0</v>
      </c>
      <c r="AC1090" s="942">
        <v>19</v>
      </c>
      <c r="AD1090" s="942">
        <v>102</v>
      </c>
      <c r="AE1090" s="942">
        <v>0</v>
      </c>
      <c r="AF1090" s="942">
        <v>0</v>
      </c>
      <c r="AG1090" s="943">
        <f>comparaison_samebasis_villages[[#This Row],[previous idp_ind]]-comparaison_samebasis_villages[[#This Row],[actual idp_ind]]</f>
        <v>0</v>
      </c>
      <c r="AH1090" s="943">
        <f>comparaison_samebasis_villages[[#This Row],[previous ref_ind]]-comparaison_samebasis_villages[[#This Row],[actual ref_ind]]</f>
        <v>-10</v>
      </c>
      <c r="AI1090" s="943">
        <f>comparaison_samebasis_villages[[#This Row],[previous ret_ind]]-comparaison_samebasis_villages[[#This Row],[actual ret_ind]]</f>
        <v>0</v>
      </c>
    </row>
    <row r="1091" spans="15:35" ht="15.75" customHeight="1" x14ac:dyDescent="0.3">
      <c r="O1091" s="399" t="s">
        <v>30</v>
      </c>
      <c r="P1091" s="399" t="s">
        <v>3522</v>
      </c>
      <c r="Q1091" s="399" t="s">
        <v>162</v>
      </c>
      <c r="R1091" s="399" t="s">
        <v>3529</v>
      </c>
      <c r="S1091" s="399" t="s">
        <v>551</v>
      </c>
      <c r="T1091" s="399" t="s">
        <v>2190</v>
      </c>
      <c r="U1091" s="941">
        <v>6</v>
      </c>
      <c r="V1091" s="941">
        <v>20</v>
      </c>
      <c r="W1091" s="941">
        <v>0</v>
      </c>
      <c r="X1091" s="941">
        <v>0</v>
      </c>
      <c r="Y1091" s="941">
        <v>0</v>
      </c>
      <c r="Z1091" s="941">
        <v>0</v>
      </c>
      <c r="AA1091" s="942">
        <v>6</v>
      </c>
      <c r="AB1091" s="942">
        <v>20</v>
      </c>
      <c r="AC1091" s="942">
        <v>0</v>
      </c>
      <c r="AD1091" s="942">
        <v>0</v>
      </c>
      <c r="AE1091" s="942">
        <v>0</v>
      </c>
      <c r="AF1091" s="942">
        <v>0</v>
      </c>
      <c r="AG1091" s="943">
        <f>comparaison_samebasis_villages[[#This Row],[previous idp_ind]]-comparaison_samebasis_villages[[#This Row],[actual idp_ind]]</f>
        <v>0</v>
      </c>
      <c r="AH1091" s="943">
        <f>comparaison_samebasis_villages[[#This Row],[previous ref_ind]]-comparaison_samebasis_villages[[#This Row],[actual ref_ind]]</f>
        <v>0</v>
      </c>
      <c r="AI1091" s="943">
        <f>comparaison_samebasis_villages[[#This Row],[previous ret_ind]]-comparaison_samebasis_villages[[#This Row],[actual ret_ind]]</f>
        <v>0</v>
      </c>
    </row>
    <row r="1092" spans="15:35" ht="15.75" customHeight="1" x14ac:dyDescent="0.3">
      <c r="O1092" s="399" t="s">
        <v>30</v>
      </c>
      <c r="P1092" s="399" t="s">
        <v>3522</v>
      </c>
      <c r="Q1092" s="399" t="s">
        <v>162</v>
      </c>
      <c r="R1092" s="399" t="s">
        <v>3529</v>
      </c>
      <c r="S1092" s="399" t="s">
        <v>705</v>
      </c>
      <c r="T1092" s="399" t="s">
        <v>2873</v>
      </c>
      <c r="U1092" s="941">
        <v>5</v>
      </c>
      <c r="V1092" s="941">
        <v>30</v>
      </c>
      <c r="W1092" s="941">
        <v>0</v>
      </c>
      <c r="X1092" s="941">
        <v>0</v>
      </c>
      <c r="Y1092" s="941">
        <v>0</v>
      </c>
      <c r="Z1092" s="941">
        <v>0</v>
      </c>
      <c r="AA1092" s="942">
        <v>5</v>
      </c>
      <c r="AB1092" s="942">
        <v>30</v>
      </c>
      <c r="AC1092" s="942">
        <v>0</v>
      </c>
      <c r="AD1092" s="942">
        <v>0</v>
      </c>
      <c r="AE1092" s="942">
        <v>0</v>
      </c>
      <c r="AF1092" s="942">
        <v>0</v>
      </c>
      <c r="AG1092" s="943">
        <f>comparaison_samebasis_villages[[#This Row],[previous idp_ind]]-comparaison_samebasis_villages[[#This Row],[actual idp_ind]]</f>
        <v>0</v>
      </c>
      <c r="AH1092" s="943">
        <f>comparaison_samebasis_villages[[#This Row],[previous ref_ind]]-comparaison_samebasis_villages[[#This Row],[actual ref_ind]]</f>
        <v>0</v>
      </c>
      <c r="AI1092" s="943">
        <f>comparaison_samebasis_villages[[#This Row],[previous ret_ind]]-comparaison_samebasis_villages[[#This Row],[actual ret_ind]]</f>
        <v>0</v>
      </c>
    </row>
    <row r="1093" spans="15:35" ht="15.75" customHeight="1" x14ac:dyDescent="0.3">
      <c r="O1093" s="399" t="s">
        <v>30</v>
      </c>
      <c r="P1093" s="399" t="s">
        <v>3522</v>
      </c>
      <c r="Q1093" s="399" t="s">
        <v>162</v>
      </c>
      <c r="R1093" s="399" t="s">
        <v>3529</v>
      </c>
      <c r="S1093" s="399" t="s">
        <v>732</v>
      </c>
      <c r="T1093" s="399" t="s">
        <v>2772</v>
      </c>
      <c r="U1093" s="941">
        <v>40</v>
      </c>
      <c r="V1093" s="941">
        <v>223</v>
      </c>
      <c r="W1093" s="941">
        <v>0</v>
      </c>
      <c r="X1093" s="941">
        <v>0</v>
      </c>
      <c r="Y1093" s="941">
        <v>0</v>
      </c>
      <c r="Z1093" s="941">
        <v>0</v>
      </c>
      <c r="AA1093" s="942">
        <v>20</v>
      </c>
      <c r="AB1093" s="942">
        <v>99</v>
      </c>
      <c r="AC1093" s="942">
        <v>0</v>
      </c>
      <c r="AD1093" s="942">
        <v>0</v>
      </c>
      <c r="AE1093" s="942">
        <v>0</v>
      </c>
      <c r="AF1093" s="942">
        <v>0</v>
      </c>
      <c r="AG1093" s="943">
        <f>comparaison_samebasis_villages[[#This Row],[previous idp_ind]]-comparaison_samebasis_villages[[#This Row],[actual idp_ind]]</f>
        <v>-124</v>
      </c>
      <c r="AH1093" s="943">
        <f>comparaison_samebasis_villages[[#This Row],[previous ref_ind]]-comparaison_samebasis_villages[[#This Row],[actual ref_ind]]</f>
        <v>0</v>
      </c>
      <c r="AI1093" s="943">
        <f>comparaison_samebasis_villages[[#This Row],[previous ret_ind]]-comparaison_samebasis_villages[[#This Row],[actual ret_ind]]</f>
        <v>0</v>
      </c>
    </row>
    <row r="1094" spans="15:35" ht="15.75" customHeight="1" x14ac:dyDescent="0.3">
      <c r="O1094" s="399" t="s">
        <v>30</v>
      </c>
      <c r="P1094" s="399" t="s">
        <v>3522</v>
      </c>
      <c r="Q1094" s="399" t="s">
        <v>162</v>
      </c>
      <c r="R1094" s="399" t="s">
        <v>3529</v>
      </c>
      <c r="S1094" s="399" t="s">
        <v>2786</v>
      </c>
      <c r="T1094" s="399" t="s">
        <v>3233</v>
      </c>
      <c r="U1094" s="941">
        <v>30</v>
      </c>
      <c r="V1094" s="941">
        <v>235</v>
      </c>
      <c r="W1094" s="941">
        <v>0</v>
      </c>
      <c r="X1094" s="941">
        <v>0</v>
      </c>
      <c r="Y1094" s="941">
        <v>0</v>
      </c>
      <c r="Z1094" s="941">
        <v>0</v>
      </c>
      <c r="AA1094" s="942">
        <v>39</v>
      </c>
      <c r="AB1094" s="942">
        <v>306</v>
      </c>
      <c r="AC1094" s="942">
        <v>0</v>
      </c>
      <c r="AD1094" s="942">
        <v>0</v>
      </c>
      <c r="AE1094" s="942">
        <v>0</v>
      </c>
      <c r="AF1094" s="942">
        <v>0</v>
      </c>
      <c r="AG1094" s="943">
        <f>comparaison_samebasis_villages[[#This Row],[previous idp_ind]]-comparaison_samebasis_villages[[#This Row],[actual idp_ind]]</f>
        <v>71</v>
      </c>
      <c r="AH1094" s="943">
        <f>comparaison_samebasis_villages[[#This Row],[previous ref_ind]]-comparaison_samebasis_villages[[#This Row],[actual ref_ind]]</f>
        <v>0</v>
      </c>
      <c r="AI1094" s="943">
        <f>comparaison_samebasis_villages[[#This Row],[previous ret_ind]]-comparaison_samebasis_villages[[#This Row],[actual ret_ind]]</f>
        <v>0</v>
      </c>
    </row>
    <row r="1095" spans="15:35" ht="15.75" customHeight="1" x14ac:dyDescent="0.3">
      <c r="O1095" s="399" t="s">
        <v>30</v>
      </c>
      <c r="P1095" s="399" t="s">
        <v>3522</v>
      </c>
      <c r="Q1095" s="399" t="s">
        <v>162</v>
      </c>
      <c r="R1095" s="399" t="s">
        <v>3529</v>
      </c>
      <c r="S1095" s="399" t="s">
        <v>2773</v>
      </c>
      <c r="T1095" s="399" t="s">
        <v>3318</v>
      </c>
      <c r="U1095" s="941">
        <v>2</v>
      </c>
      <c r="V1095" s="941">
        <v>11</v>
      </c>
      <c r="W1095" s="941">
        <v>0</v>
      </c>
      <c r="X1095" s="941">
        <v>0</v>
      </c>
      <c r="Y1095" s="941">
        <v>0</v>
      </c>
      <c r="Z1095" s="941">
        <v>0</v>
      </c>
      <c r="AA1095" s="942">
        <v>2</v>
      </c>
      <c r="AB1095" s="942">
        <v>11</v>
      </c>
      <c r="AC1095" s="942">
        <v>0</v>
      </c>
      <c r="AD1095" s="942">
        <v>0</v>
      </c>
      <c r="AE1095" s="942">
        <v>0</v>
      </c>
      <c r="AF1095" s="942">
        <v>0</v>
      </c>
      <c r="AG1095" s="943">
        <f>comparaison_samebasis_villages[[#This Row],[previous idp_ind]]-comparaison_samebasis_villages[[#This Row],[actual idp_ind]]</f>
        <v>0</v>
      </c>
      <c r="AH1095" s="943">
        <f>comparaison_samebasis_villages[[#This Row],[previous ref_ind]]-comparaison_samebasis_villages[[#This Row],[actual ref_ind]]</f>
        <v>0</v>
      </c>
      <c r="AI1095" s="943">
        <f>comparaison_samebasis_villages[[#This Row],[previous ret_ind]]-comparaison_samebasis_villages[[#This Row],[actual ret_ind]]</f>
        <v>0</v>
      </c>
    </row>
    <row r="1096" spans="15:35" ht="15.75" customHeight="1" x14ac:dyDescent="0.3">
      <c r="O1096" s="399" t="s">
        <v>35</v>
      </c>
      <c r="P1096" s="399" t="s">
        <v>35</v>
      </c>
      <c r="Q1096" s="399" t="s">
        <v>196</v>
      </c>
      <c r="R1096" s="399" t="s">
        <v>3984</v>
      </c>
      <c r="S1096" s="399" t="s">
        <v>2111</v>
      </c>
      <c r="T1096" s="399" t="s">
        <v>2110</v>
      </c>
      <c r="U1096" s="941">
        <v>0</v>
      </c>
      <c r="V1096" s="941">
        <v>0</v>
      </c>
      <c r="W1096" s="941">
        <v>0</v>
      </c>
      <c r="X1096" s="941">
        <v>0</v>
      </c>
      <c r="Y1096" s="941">
        <v>5</v>
      </c>
      <c r="Z1096" s="941">
        <v>5</v>
      </c>
      <c r="AA1096" s="942">
        <v>7</v>
      </c>
      <c r="AB1096" s="942">
        <v>35</v>
      </c>
      <c r="AC1096" s="942">
        <v>2</v>
      </c>
      <c r="AD1096" s="942">
        <v>8</v>
      </c>
      <c r="AE1096" s="942">
        <v>4</v>
      </c>
      <c r="AF1096" s="942">
        <v>25</v>
      </c>
      <c r="AG1096" s="943">
        <f>comparaison_samebasis_villages[[#This Row],[previous idp_ind]]-comparaison_samebasis_villages[[#This Row],[actual idp_ind]]</f>
        <v>35</v>
      </c>
      <c r="AH1096" s="943">
        <f>comparaison_samebasis_villages[[#This Row],[previous ref_ind]]-comparaison_samebasis_villages[[#This Row],[actual ref_ind]]</f>
        <v>8</v>
      </c>
      <c r="AI1096" s="943">
        <f>comparaison_samebasis_villages[[#This Row],[previous ret_ind]]-comparaison_samebasis_villages[[#This Row],[actual ret_ind]]</f>
        <v>20</v>
      </c>
    </row>
    <row r="1097" spans="15:35" ht="15.75" customHeight="1" x14ac:dyDescent="0.3">
      <c r="O1097" s="399" t="s">
        <v>35</v>
      </c>
      <c r="P1097" s="399" t="s">
        <v>35</v>
      </c>
      <c r="Q1097" s="399" t="s">
        <v>196</v>
      </c>
      <c r="R1097" s="399" t="s">
        <v>3984</v>
      </c>
      <c r="S1097" s="399" t="s">
        <v>2106</v>
      </c>
      <c r="T1097" s="399" t="s">
        <v>2105</v>
      </c>
      <c r="U1097" s="941">
        <v>0</v>
      </c>
      <c r="V1097" s="941">
        <v>0</v>
      </c>
      <c r="W1097" s="941">
        <v>0</v>
      </c>
      <c r="X1097" s="941">
        <v>0</v>
      </c>
      <c r="Y1097" s="941">
        <v>0</v>
      </c>
      <c r="Z1097" s="941">
        <v>0</v>
      </c>
      <c r="AA1097" s="942">
        <v>1</v>
      </c>
      <c r="AB1097" s="942">
        <v>1</v>
      </c>
      <c r="AC1097" s="942">
        <v>0</v>
      </c>
      <c r="AD1097" s="942">
        <v>0</v>
      </c>
      <c r="AE1097" s="942">
        <v>0</v>
      </c>
      <c r="AF1097" s="942">
        <v>0</v>
      </c>
      <c r="AG1097" s="943">
        <f>comparaison_samebasis_villages[[#This Row],[previous idp_ind]]-comparaison_samebasis_villages[[#This Row],[actual idp_ind]]</f>
        <v>1</v>
      </c>
      <c r="AH1097" s="943">
        <f>comparaison_samebasis_villages[[#This Row],[previous ref_ind]]-comparaison_samebasis_villages[[#This Row],[actual ref_ind]]</f>
        <v>0</v>
      </c>
      <c r="AI1097" s="943">
        <f>comparaison_samebasis_villages[[#This Row],[previous ret_ind]]-comparaison_samebasis_villages[[#This Row],[actual ret_ind]]</f>
        <v>0</v>
      </c>
    </row>
    <row r="1098" spans="15:35" ht="15.75" customHeight="1" x14ac:dyDescent="0.3">
      <c r="O1098" s="399" t="s">
        <v>35</v>
      </c>
      <c r="P1098" s="399" t="s">
        <v>35</v>
      </c>
      <c r="Q1098" s="399" t="s">
        <v>196</v>
      </c>
      <c r="R1098" s="399" t="s">
        <v>3984</v>
      </c>
      <c r="S1098" s="399" t="s">
        <v>2109</v>
      </c>
      <c r="T1098" s="399" t="s">
        <v>2108</v>
      </c>
      <c r="U1098" s="941">
        <v>0</v>
      </c>
      <c r="V1098" s="941">
        <v>0</v>
      </c>
      <c r="W1098" s="941">
        <v>0</v>
      </c>
      <c r="X1098" s="941">
        <v>0</v>
      </c>
      <c r="Y1098" s="941">
        <v>15</v>
      </c>
      <c r="Z1098" s="941">
        <v>15</v>
      </c>
      <c r="AA1098" s="942">
        <v>88</v>
      </c>
      <c r="AB1098" s="942">
        <v>419</v>
      </c>
      <c r="AC1098" s="942">
        <v>0</v>
      </c>
      <c r="AD1098" s="942">
        <v>0</v>
      </c>
      <c r="AE1098" s="942">
        <v>14</v>
      </c>
      <c r="AF1098" s="942">
        <v>42</v>
      </c>
      <c r="AG1098" s="943">
        <f>comparaison_samebasis_villages[[#This Row],[previous idp_ind]]-comparaison_samebasis_villages[[#This Row],[actual idp_ind]]</f>
        <v>419</v>
      </c>
      <c r="AH1098" s="943">
        <f>comparaison_samebasis_villages[[#This Row],[previous ref_ind]]-comparaison_samebasis_villages[[#This Row],[actual ref_ind]]</f>
        <v>0</v>
      </c>
      <c r="AI1098" s="943">
        <f>comparaison_samebasis_villages[[#This Row],[previous ret_ind]]-comparaison_samebasis_villages[[#This Row],[actual ret_ind]]</f>
        <v>27</v>
      </c>
    </row>
    <row r="1099" spans="15:35" ht="15.75" customHeight="1" x14ac:dyDescent="0.3">
      <c r="O1099" s="399" t="s">
        <v>35</v>
      </c>
      <c r="P1099" s="399" t="s">
        <v>35</v>
      </c>
      <c r="Q1099" s="399" t="s">
        <v>196</v>
      </c>
      <c r="R1099" s="399" t="s">
        <v>3984</v>
      </c>
      <c r="S1099" s="399" t="s">
        <v>570</v>
      </c>
      <c r="T1099" s="399" t="s">
        <v>569</v>
      </c>
      <c r="U1099" s="941">
        <v>5</v>
      </c>
      <c r="V1099" s="941">
        <v>24</v>
      </c>
      <c r="W1099" s="941">
        <v>0</v>
      </c>
      <c r="X1099" s="941">
        <v>0</v>
      </c>
      <c r="Y1099" s="941">
        <v>1</v>
      </c>
      <c r="Z1099" s="941">
        <v>1</v>
      </c>
      <c r="AA1099" s="942">
        <v>2</v>
      </c>
      <c r="AB1099" s="942">
        <v>11</v>
      </c>
      <c r="AC1099" s="942">
        <v>0</v>
      </c>
      <c r="AD1099" s="942">
        <v>0</v>
      </c>
      <c r="AE1099" s="942">
        <v>0</v>
      </c>
      <c r="AF1099" s="942">
        <v>0</v>
      </c>
      <c r="AG1099" s="943">
        <f>comparaison_samebasis_villages[[#This Row],[previous idp_ind]]-comparaison_samebasis_villages[[#This Row],[actual idp_ind]]</f>
        <v>-13</v>
      </c>
      <c r="AH1099" s="943">
        <f>comparaison_samebasis_villages[[#This Row],[previous ref_ind]]-comparaison_samebasis_villages[[#This Row],[actual ref_ind]]</f>
        <v>0</v>
      </c>
      <c r="AI1099" s="943">
        <f>comparaison_samebasis_villages[[#This Row],[previous ret_ind]]-comparaison_samebasis_villages[[#This Row],[actual ret_ind]]</f>
        <v>-1</v>
      </c>
    </row>
    <row r="1100" spans="15:35" ht="15.75" customHeight="1" x14ac:dyDescent="0.3">
      <c r="O1100" s="399" t="s">
        <v>35</v>
      </c>
      <c r="P1100" s="399" t="s">
        <v>35</v>
      </c>
      <c r="Q1100" s="399" t="s">
        <v>196</v>
      </c>
      <c r="R1100" s="399" t="s">
        <v>3984</v>
      </c>
      <c r="S1100" s="399" t="s">
        <v>2092</v>
      </c>
      <c r="T1100" s="399" t="s">
        <v>2091</v>
      </c>
      <c r="U1100" s="941">
        <v>0</v>
      </c>
      <c r="V1100" s="941">
        <v>0</v>
      </c>
      <c r="W1100" s="941">
        <v>0</v>
      </c>
      <c r="X1100" s="941">
        <v>0</v>
      </c>
      <c r="Y1100" s="941">
        <v>0</v>
      </c>
      <c r="Z1100" s="941">
        <v>0</v>
      </c>
      <c r="AA1100" s="942">
        <v>1</v>
      </c>
      <c r="AB1100" s="942">
        <v>3</v>
      </c>
      <c r="AC1100" s="942">
        <v>0</v>
      </c>
      <c r="AD1100" s="942">
        <v>0</v>
      </c>
      <c r="AE1100" s="942">
        <v>0</v>
      </c>
      <c r="AF1100" s="942">
        <v>0</v>
      </c>
      <c r="AG1100" s="943">
        <f>comparaison_samebasis_villages[[#This Row],[previous idp_ind]]-comparaison_samebasis_villages[[#This Row],[actual idp_ind]]</f>
        <v>3</v>
      </c>
      <c r="AH1100" s="943">
        <f>comparaison_samebasis_villages[[#This Row],[previous ref_ind]]-comparaison_samebasis_villages[[#This Row],[actual ref_ind]]</f>
        <v>0</v>
      </c>
      <c r="AI1100" s="943">
        <f>comparaison_samebasis_villages[[#This Row],[previous ret_ind]]-comparaison_samebasis_villages[[#This Row],[actual ret_ind]]</f>
        <v>0</v>
      </c>
    </row>
    <row r="1101" spans="15:35" ht="15.75" customHeight="1" x14ac:dyDescent="0.3">
      <c r="O1101" s="399" t="s">
        <v>35</v>
      </c>
      <c r="P1101" s="399" t="s">
        <v>35</v>
      </c>
      <c r="Q1101" s="399" t="s">
        <v>196</v>
      </c>
      <c r="R1101" s="399" t="s">
        <v>3984</v>
      </c>
      <c r="S1101" s="399" t="s">
        <v>2104</v>
      </c>
      <c r="T1101" s="399" t="s">
        <v>2103</v>
      </c>
      <c r="U1101" s="941">
        <v>0</v>
      </c>
      <c r="V1101" s="941">
        <v>0</v>
      </c>
      <c r="W1101" s="941">
        <v>1</v>
      </c>
      <c r="X1101" s="941">
        <v>3</v>
      </c>
      <c r="Y1101" s="941">
        <v>0</v>
      </c>
      <c r="Z1101" s="941">
        <v>0</v>
      </c>
      <c r="AA1101" s="942">
        <v>3</v>
      </c>
      <c r="AB1101" s="942">
        <v>13</v>
      </c>
      <c r="AC1101" s="942">
        <v>0</v>
      </c>
      <c r="AD1101" s="942">
        <v>0</v>
      </c>
      <c r="AE1101" s="942">
        <v>4</v>
      </c>
      <c r="AF1101" s="942">
        <v>16</v>
      </c>
      <c r="AG1101" s="943">
        <f>comparaison_samebasis_villages[[#This Row],[previous idp_ind]]-comparaison_samebasis_villages[[#This Row],[actual idp_ind]]</f>
        <v>13</v>
      </c>
      <c r="AH1101" s="943">
        <f>comparaison_samebasis_villages[[#This Row],[previous ref_ind]]-comparaison_samebasis_villages[[#This Row],[actual ref_ind]]</f>
        <v>-3</v>
      </c>
      <c r="AI1101" s="943">
        <f>comparaison_samebasis_villages[[#This Row],[previous ret_ind]]-comparaison_samebasis_villages[[#This Row],[actual ret_ind]]</f>
        <v>16</v>
      </c>
    </row>
    <row r="1102" spans="15:35" ht="15.75" customHeight="1" x14ac:dyDescent="0.3">
      <c r="O1102" s="399" t="s">
        <v>35</v>
      </c>
      <c r="P1102" s="399" t="s">
        <v>35</v>
      </c>
      <c r="Q1102" s="399" t="s">
        <v>196</v>
      </c>
      <c r="R1102" s="399" t="s">
        <v>3984</v>
      </c>
      <c r="S1102" s="399" t="s">
        <v>2690</v>
      </c>
      <c r="T1102" s="399" t="s">
        <v>2987</v>
      </c>
      <c r="U1102" s="941">
        <v>3</v>
      </c>
      <c r="V1102" s="941">
        <v>23</v>
      </c>
      <c r="W1102" s="941">
        <v>0</v>
      </c>
      <c r="X1102" s="941">
        <v>0</v>
      </c>
      <c r="Y1102" s="941">
        <v>5</v>
      </c>
      <c r="Z1102" s="941">
        <v>5</v>
      </c>
      <c r="AA1102" s="942">
        <v>0</v>
      </c>
      <c r="AB1102" s="942">
        <v>0</v>
      </c>
      <c r="AC1102" s="942">
        <v>0</v>
      </c>
      <c r="AD1102" s="942">
        <v>0</v>
      </c>
      <c r="AE1102" s="942">
        <v>4</v>
      </c>
      <c r="AF1102" s="942">
        <v>29</v>
      </c>
      <c r="AG1102" s="943">
        <f>comparaison_samebasis_villages[[#This Row],[previous idp_ind]]-comparaison_samebasis_villages[[#This Row],[actual idp_ind]]</f>
        <v>-23</v>
      </c>
      <c r="AH1102" s="943">
        <f>comparaison_samebasis_villages[[#This Row],[previous ref_ind]]-comparaison_samebasis_villages[[#This Row],[actual ref_ind]]</f>
        <v>0</v>
      </c>
      <c r="AI1102" s="943">
        <f>comparaison_samebasis_villages[[#This Row],[previous ret_ind]]-comparaison_samebasis_villages[[#This Row],[actual ret_ind]]</f>
        <v>24</v>
      </c>
    </row>
    <row r="1103" spans="15:35" ht="15.75" customHeight="1" x14ac:dyDescent="0.3">
      <c r="O1103" s="399" t="s">
        <v>35</v>
      </c>
      <c r="P1103" s="399" t="s">
        <v>35</v>
      </c>
      <c r="Q1103" s="399" t="s">
        <v>196</v>
      </c>
      <c r="R1103" s="399" t="s">
        <v>3984</v>
      </c>
      <c r="S1103" s="399" t="s">
        <v>672</v>
      </c>
      <c r="T1103" s="399" t="s">
        <v>2689</v>
      </c>
      <c r="U1103" s="941">
        <v>76</v>
      </c>
      <c r="V1103" s="941">
        <v>327</v>
      </c>
      <c r="W1103" s="941">
        <v>0</v>
      </c>
      <c r="X1103" s="941">
        <v>0</v>
      </c>
      <c r="Y1103" s="941">
        <v>17</v>
      </c>
      <c r="Z1103" s="941">
        <v>17</v>
      </c>
      <c r="AA1103" s="942">
        <v>75</v>
      </c>
      <c r="AB1103" s="942">
        <v>314</v>
      </c>
      <c r="AC1103" s="942">
        <v>0</v>
      </c>
      <c r="AD1103" s="942">
        <v>0</v>
      </c>
      <c r="AE1103" s="942">
        <v>14</v>
      </c>
      <c r="AF1103" s="942">
        <v>66</v>
      </c>
      <c r="AG1103" s="943">
        <f>comparaison_samebasis_villages[[#This Row],[previous idp_ind]]-comparaison_samebasis_villages[[#This Row],[actual idp_ind]]</f>
        <v>-13</v>
      </c>
      <c r="AH1103" s="943">
        <f>comparaison_samebasis_villages[[#This Row],[previous ref_ind]]-comparaison_samebasis_villages[[#This Row],[actual ref_ind]]</f>
        <v>0</v>
      </c>
      <c r="AI1103" s="943">
        <f>comparaison_samebasis_villages[[#This Row],[previous ret_ind]]-comparaison_samebasis_villages[[#This Row],[actual ret_ind]]</f>
        <v>49</v>
      </c>
    </row>
    <row r="1104" spans="15:35" ht="15.75" customHeight="1" x14ac:dyDescent="0.3">
      <c r="O1104" s="399" t="s">
        <v>35</v>
      </c>
      <c r="P1104" s="399" t="s">
        <v>35</v>
      </c>
      <c r="Q1104" s="399" t="s">
        <v>196</v>
      </c>
      <c r="R1104" s="399" t="s">
        <v>3984</v>
      </c>
      <c r="S1104" s="399" t="s">
        <v>2107</v>
      </c>
      <c r="T1104" s="399" t="s">
        <v>671</v>
      </c>
      <c r="U1104" s="941">
        <v>0</v>
      </c>
      <c r="V1104" s="941">
        <v>0</v>
      </c>
      <c r="W1104" s="941">
        <v>0</v>
      </c>
      <c r="X1104" s="941">
        <v>0</v>
      </c>
      <c r="Y1104" s="941">
        <v>2</v>
      </c>
      <c r="Z1104" s="941">
        <v>2</v>
      </c>
      <c r="AA1104" s="942">
        <v>0</v>
      </c>
      <c r="AB1104" s="942">
        <v>0</v>
      </c>
      <c r="AC1104" s="942">
        <v>0</v>
      </c>
      <c r="AD1104" s="942">
        <v>0</v>
      </c>
      <c r="AE1104" s="942">
        <v>1</v>
      </c>
      <c r="AF1104" s="942">
        <v>7</v>
      </c>
      <c r="AG1104" s="943">
        <f>comparaison_samebasis_villages[[#This Row],[previous idp_ind]]-comparaison_samebasis_villages[[#This Row],[actual idp_ind]]</f>
        <v>0</v>
      </c>
      <c r="AH1104" s="943">
        <f>comparaison_samebasis_villages[[#This Row],[previous ref_ind]]-comparaison_samebasis_villages[[#This Row],[actual ref_ind]]</f>
        <v>0</v>
      </c>
      <c r="AI1104" s="943">
        <f>comparaison_samebasis_villages[[#This Row],[previous ret_ind]]-comparaison_samebasis_villages[[#This Row],[actual ret_ind]]</f>
        <v>5</v>
      </c>
    </row>
    <row r="1105" spans="15:35" ht="15.75" customHeight="1" x14ac:dyDescent="0.3">
      <c r="O1105" s="399" t="s">
        <v>34</v>
      </c>
      <c r="P1105" s="399" t="s">
        <v>34</v>
      </c>
      <c r="Q1105" s="399" t="s">
        <v>189</v>
      </c>
      <c r="R1105" s="399" t="s">
        <v>189</v>
      </c>
      <c r="S1105" s="399" t="s">
        <v>756</v>
      </c>
      <c r="T1105" s="399" t="s">
        <v>755</v>
      </c>
      <c r="U1105" s="941">
        <v>10</v>
      </c>
      <c r="V1105" s="941">
        <v>144</v>
      </c>
      <c r="W1105" s="941">
        <v>2</v>
      </c>
      <c r="X1105" s="941">
        <v>45</v>
      </c>
      <c r="Y1105" s="941">
        <v>0</v>
      </c>
      <c r="Z1105" s="941">
        <v>0</v>
      </c>
      <c r="AA1105" s="942">
        <v>10</v>
      </c>
      <c r="AB1105" s="942">
        <v>136</v>
      </c>
      <c r="AC1105" s="942">
        <v>2</v>
      </c>
      <c r="AD1105" s="942">
        <v>42</v>
      </c>
      <c r="AE1105" s="942">
        <v>0</v>
      </c>
      <c r="AF1105" s="942">
        <v>0</v>
      </c>
      <c r="AG1105" s="943">
        <f>comparaison_samebasis_villages[[#This Row],[previous idp_ind]]-comparaison_samebasis_villages[[#This Row],[actual idp_ind]]</f>
        <v>-8</v>
      </c>
      <c r="AH1105" s="943">
        <f>comparaison_samebasis_villages[[#This Row],[previous ref_ind]]-comparaison_samebasis_villages[[#This Row],[actual ref_ind]]</f>
        <v>-3</v>
      </c>
      <c r="AI1105" s="943">
        <f>comparaison_samebasis_villages[[#This Row],[previous ret_ind]]-comparaison_samebasis_villages[[#This Row],[actual ret_ind]]</f>
        <v>0</v>
      </c>
    </row>
    <row r="1106" spans="15:35" ht="15.75" customHeight="1" x14ac:dyDescent="0.3">
      <c r="O1106" s="399" t="s">
        <v>34</v>
      </c>
      <c r="P1106" s="399" t="s">
        <v>34</v>
      </c>
      <c r="Q1106" s="399" t="s">
        <v>189</v>
      </c>
      <c r="R1106" s="399" t="s">
        <v>189</v>
      </c>
      <c r="S1106" s="399" t="s">
        <v>1325</v>
      </c>
      <c r="T1106" s="399" t="s">
        <v>1324</v>
      </c>
      <c r="U1106" s="941">
        <v>138</v>
      </c>
      <c r="V1106" s="941">
        <v>374</v>
      </c>
      <c r="W1106" s="941">
        <v>0</v>
      </c>
      <c r="X1106" s="941">
        <v>0</v>
      </c>
      <c r="Y1106" s="941">
        <v>0</v>
      </c>
      <c r="Z1106" s="941">
        <v>0</v>
      </c>
      <c r="AA1106" s="942">
        <v>138</v>
      </c>
      <c r="AB1106" s="942">
        <v>363</v>
      </c>
      <c r="AC1106" s="942">
        <v>0</v>
      </c>
      <c r="AD1106" s="942">
        <v>0</v>
      </c>
      <c r="AE1106" s="942">
        <v>0</v>
      </c>
      <c r="AF1106" s="942">
        <v>0</v>
      </c>
      <c r="AG1106" s="943">
        <f>comparaison_samebasis_villages[[#This Row],[previous idp_ind]]-comparaison_samebasis_villages[[#This Row],[actual idp_ind]]</f>
        <v>-11</v>
      </c>
      <c r="AH1106" s="943">
        <f>comparaison_samebasis_villages[[#This Row],[previous ref_ind]]-comparaison_samebasis_villages[[#This Row],[actual ref_ind]]</f>
        <v>0</v>
      </c>
      <c r="AI1106" s="943">
        <f>comparaison_samebasis_villages[[#This Row],[previous ret_ind]]-comparaison_samebasis_villages[[#This Row],[actual ret_ind]]</f>
        <v>0</v>
      </c>
    </row>
    <row r="1107" spans="15:35" ht="15.75" customHeight="1" x14ac:dyDescent="0.3">
      <c r="O1107" s="399" t="s">
        <v>34</v>
      </c>
      <c r="P1107" s="399" t="s">
        <v>34</v>
      </c>
      <c r="Q1107" s="399" t="s">
        <v>189</v>
      </c>
      <c r="R1107" s="399" t="s">
        <v>189</v>
      </c>
      <c r="S1107" s="399" t="s">
        <v>1003</v>
      </c>
      <c r="T1107" s="399" t="s">
        <v>1002</v>
      </c>
      <c r="U1107" s="941">
        <v>41</v>
      </c>
      <c r="V1107" s="941">
        <v>589</v>
      </c>
      <c r="W1107" s="941">
        <v>0</v>
      </c>
      <c r="X1107" s="941">
        <v>0</v>
      </c>
      <c r="Y1107" s="941">
        <v>0</v>
      </c>
      <c r="Z1107" s="941">
        <v>0</v>
      </c>
      <c r="AA1107" s="942">
        <v>41</v>
      </c>
      <c r="AB1107" s="942">
        <v>587</v>
      </c>
      <c r="AC1107" s="942">
        <v>0</v>
      </c>
      <c r="AD1107" s="942">
        <v>0</v>
      </c>
      <c r="AE1107" s="942">
        <v>0</v>
      </c>
      <c r="AF1107" s="942">
        <v>0</v>
      </c>
      <c r="AG1107" s="943">
        <f>comparaison_samebasis_villages[[#This Row],[previous idp_ind]]-comparaison_samebasis_villages[[#This Row],[actual idp_ind]]</f>
        <v>-2</v>
      </c>
      <c r="AH1107" s="943">
        <f>comparaison_samebasis_villages[[#This Row],[previous ref_ind]]-comparaison_samebasis_villages[[#This Row],[actual ref_ind]]</f>
        <v>0</v>
      </c>
      <c r="AI1107" s="943">
        <f>comparaison_samebasis_villages[[#This Row],[previous ret_ind]]-comparaison_samebasis_villages[[#This Row],[actual ret_ind]]</f>
        <v>0</v>
      </c>
    </row>
    <row r="1108" spans="15:35" ht="15.75" customHeight="1" x14ac:dyDescent="0.3">
      <c r="O1108" s="399" t="s">
        <v>34</v>
      </c>
      <c r="P1108" s="399" t="s">
        <v>34</v>
      </c>
      <c r="Q1108" s="399" t="s">
        <v>189</v>
      </c>
      <c r="R1108" s="399" t="s">
        <v>189</v>
      </c>
      <c r="S1108" s="399" t="s">
        <v>1051</v>
      </c>
      <c r="T1108" s="399" t="s">
        <v>1050</v>
      </c>
      <c r="U1108" s="941">
        <v>10</v>
      </c>
      <c r="V1108" s="941">
        <v>203</v>
      </c>
      <c r="W1108" s="941">
        <v>0</v>
      </c>
      <c r="X1108" s="941">
        <v>0</v>
      </c>
      <c r="Y1108" s="941">
        <v>0</v>
      </c>
      <c r="Z1108" s="941">
        <v>0</v>
      </c>
      <c r="AA1108" s="942">
        <v>10</v>
      </c>
      <c r="AB1108" s="942">
        <v>190</v>
      </c>
      <c r="AC1108" s="942">
        <v>0</v>
      </c>
      <c r="AD1108" s="942">
        <v>0</v>
      </c>
      <c r="AE1108" s="942">
        <v>0</v>
      </c>
      <c r="AF1108" s="942">
        <v>0</v>
      </c>
      <c r="AG1108" s="943">
        <f>comparaison_samebasis_villages[[#This Row],[previous idp_ind]]-comparaison_samebasis_villages[[#This Row],[actual idp_ind]]</f>
        <v>-13</v>
      </c>
      <c r="AH1108" s="943">
        <f>comparaison_samebasis_villages[[#This Row],[previous ref_ind]]-comparaison_samebasis_villages[[#This Row],[actual ref_ind]]</f>
        <v>0</v>
      </c>
      <c r="AI1108" s="943">
        <f>comparaison_samebasis_villages[[#This Row],[previous ret_ind]]-comparaison_samebasis_villages[[#This Row],[actual ret_ind]]</f>
        <v>0</v>
      </c>
    </row>
    <row r="1109" spans="15:35" ht="15.75" customHeight="1" x14ac:dyDescent="0.3">
      <c r="O1109" s="399" t="s">
        <v>34</v>
      </c>
      <c r="P1109" s="399" t="s">
        <v>34</v>
      </c>
      <c r="Q1109" s="399" t="s">
        <v>189</v>
      </c>
      <c r="R1109" s="399" t="s">
        <v>189</v>
      </c>
      <c r="S1109" s="399" t="s">
        <v>1327</v>
      </c>
      <c r="T1109" s="399" t="s">
        <v>1326</v>
      </c>
      <c r="U1109" s="941">
        <v>14</v>
      </c>
      <c r="V1109" s="941">
        <v>232</v>
      </c>
      <c r="W1109" s="941">
        <v>0</v>
      </c>
      <c r="X1109" s="941">
        <v>0</v>
      </c>
      <c r="Y1109" s="941">
        <v>0</v>
      </c>
      <c r="Z1109" s="941">
        <v>0</v>
      </c>
      <c r="AA1109" s="942">
        <v>10</v>
      </c>
      <c r="AB1109" s="942">
        <v>210</v>
      </c>
      <c r="AC1109" s="942">
        <v>0</v>
      </c>
      <c r="AD1109" s="942">
        <v>0</v>
      </c>
      <c r="AE1109" s="942">
        <v>0</v>
      </c>
      <c r="AF1109" s="942">
        <v>0</v>
      </c>
      <c r="AG1109" s="943">
        <f>comparaison_samebasis_villages[[#This Row],[previous idp_ind]]-comparaison_samebasis_villages[[#This Row],[actual idp_ind]]</f>
        <v>-22</v>
      </c>
      <c r="AH1109" s="943">
        <f>comparaison_samebasis_villages[[#This Row],[previous ref_ind]]-comparaison_samebasis_villages[[#This Row],[actual ref_ind]]</f>
        <v>0</v>
      </c>
      <c r="AI1109" s="943">
        <f>comparaison_samebasis_villages[[#This Row],[previous ret_ind]]-comparaison_samebasis_villages[[#This Row],[actual ret_ind]]</f>
        <v>0</v>
      </c>
    </row>
    <row r="1110" spans="15:35" ht="15.75" customHeight="1" x14ac:dyDescent="0.3">
      <c r="O1110" s="399" t="s">
        <v>34</v>
      </c>
      <c r="P1110" s="399" t="s">
        <v>34</v>
      </c>
      <c r="Q1110" s="399" t="s">
        <v>189</v>
      </c>
      <c r="R1110" s="399" t="s">
        <v>189</v>
      </c>
      <c r="S1110" s="399" t="s">
        <v>1494</v>
      </c>
      <c r="T1110" s="399" t="s">
        <v>1493</v>
      </c>
      <c r="U1110" s="941">
        <v>12</v>
      </c>
      <c r="V1110" s="941">
        <v>133</v>
      </c>
      <c r="W1110" s="941">
        <v>0</v>
      </c>
      <c r="X1110" s="941">
        <v>0</v>
      </c>
      <c r="Y1110" s="941">
        <v>0</v>
      </c>
      <c r="Z1110" s="941">
        <v>0</v>
      </c>
      <c r="AA1110" s="942">
        <v>9</v>
      </c>
      <c r="AB1110" s="942">
        <v>123</v>
      </c>
      <c r="AC1110" s="942">
        <v>0</v>
      </c>
      <c r="AD1110" s="942">
        <v>0</v>
      </c>
      <c r="AE1110" s="942">
        <v>0</v>
      </c>
      <c r="AF1110" s="942">
        <v>0</v>
      </c>
      <c r="AG1110" s="943">
        <f>comparaison_samebasis_villages[[#This Row],[previous idp_ind]]-comparaison_samebasis_villages[[#This Row],[actual idp_ind]]</f>
        <v>-10</v>
      </c>
      <c r="AH1110" s="943">
        <f>comparaison_samebasis_villages[[#This Row],[previous ref_ind]]-comparaison_samebasis_villages[[#This Row],[actual ref_ind]]</f>
        <v>0</v>
      </c>
      <c r="AI1110" s="943">
        <f>comparaison_samebasis_villages[[#This Row],[previous ret_ind]]-comparaison_samebasis_villages[[#This Row],[actual ret_ind]]</f>
        <v>0</v>
      </c>
    </row>
    <row r="1111" spans="15:35" ht="15.75" customHeight="1" x14ac:dyDescent="0.3">
      <c r="O1111" s="399" t="s">
        <v>34</v>
      </c>
      <c r="P1111" s="399" t="s">
        <v>34</v>
      </c>
      <c r="Q1111" s="399" t="s">
        <v>189</v>
      </c>
      <c r="R1111" s="399" t="s">
        <v>189</v>
      </c>
      <c r="S1111" s="399" t="s">
        <v>1376</v>
      </c>
      <c r="T1111" s="399" t="s">
        <v>1375</v>
      </c>
      <c r="U1111" s="941">
        <v>36</v>
      </c>
      <c r="V1111" s="941">
        <v>182</v>
      </c>
      <c r="W1111" s="941">
        <v>0</v>
      </c>
      <c r="X1111" s="941">
        <v>0</v>
      </c>
      <c r="Y1111" s="941">
        <v>0</v>
      </c>
      <c r="Z1111" s="941">
        <v>0</v>
      </c>
      <c r="AA1111" s="942">
        <v>36</v>
      </c>
      <c r="AB1111" s="942">
        <v>171</v>
      </c>
      <c r="AC1111" s="942">
        <v>0</v>
      </c>
      <c r="AD1111" s="942">
        <v>0</v>
      </c>
      <c r="AE1111" s="942">
        <v>0</v>
      </c>
      <c r="AF1111" s="942">
        <v>0</v>
      </c>
      <c r="AG1111" s="943">
        <f>comparaison_samebasis_villages[[#This Row],[previous idp_ind]]-comparaison_samebasis_villages[[#This Row],[actual idp_ind]]</f>
        <v>-11</v>
      </c>
      <c r="AH1111" s="943">
        <f>comparaison_samebasis_villages[[#This Row],[previous ref_ind]]-comparaison_samebasis_villages[[#This Row],[actual ref_ind]]</f>
        <v>0</v>
      </c>
      <c r="AI1111" s="943">
        <f>comparaison_samebasis_villages[[#This Row],[previous ret_ind]]-comparaison_samebasis_villages[[#This Row],[actual ret_ind]]</f>
        <v>0</v>
      </c>
    </row>
    <row r="1112" spans="15:35" ht="15.75" customHeight="1" x14ac:dyDescent="0.3">
      <c r="O1112" s="399" t="s">
        <v>34</v>
      </c>
      <c r="P1112" s="399" t="s">
        <v>34</v>
      </c>
      <c r="Q1112" s="399" t="s">
        <v>189</v>
      </c>
      <c r="R1112" s="399" t="s">
        <v>189</v>
      </c>
      <c r="S1112" s="399" t="s">
        <v>1372</v>
      </c>
      <c r="T1112" s="399" t="s">
        <v>1371</v>
      </c>
      <c r="U1112" s="941">
        <v>10</v>
      </c>
      <c r="V1112" s="941">
        <v>124</v>
      </c>
      <c r="W1112" s="941">
        <v>0</v>
      </c>
      <c r="X1112" s="941">
        <v>0</v>
      </c>
      <c r="Y1112" s="941">
        <v>0</v>
      </c>
      <c r="Z1112" s="941">
        <v>0</v>
      </c>
      <c r="AA1112" s="942">
        <v>10</v>
      </c>
      <c r="AB1112" s="942">
        <v>118</v>
      </c>
      <c r="AC1112" s="942">
        <v>0</v>
      </c>
      <c r="AD1112" s="942">
        <v>0</v>
      </c>
      <c r="AE1112" s="942">
        <v>0</v>
      </c>
      <c r="AF1112" s="942">
        <v>0</v>
      </c>
      <c r="AG1112" s="943">
        <f>comparaison_samebasis_villages[[#This Row],[previous idp_ind]]-comparaison_samebasis_villages[[#This Row],[actual idp_ind]]</f>
        <v>-6</v>
      </c>
      <c r="AH1112" s="943">
        <f>comparaison_samebasis_villages[[#This Row],[previous ref_ind]]-comparaison_samebasis_villages[[#This Row],[actual ref_ind]]</f>
        <v>0</v>
      </c>
      <c r="AI1112" s="943">
        <f>comparaison_samebasis_villages[[#This Row],[previous ret_ind]]-comparaison_samebasis_villages[[#This Row],[actual ret_ind]]</f>
        <v>0</v>
      </c>
    </row>
    <row r="1113" spans="15:35" ht="15.75" customHeight="1" x14ac:dyDescent="0.3">
      <c r="O1113" s="399" t="s">
        <v>34</v>
      </c>
      <c r="P1113" s="399" t="s">
        <v>34</v>
      </c>
      <c r="Q1113" s="399" t="s">
        <v>189</v>
      </c>
      <c r="R1113" s="399" t="s">
        <v>189</v>
      </c>
      <c r="S1113" s="399" t="s">
        <v>1374</v>
      </c>
      <c r="T1113" s="399" t="s">
        <v>1373</v>
      </c>
      <c r="U1113" s="941">
        <v>38</v>
      </c>
      <c r="V1113" s="941">
        <v>319</v>
      </c>
      <c r="W1113" s="941">
        <v>0</v>
      </c>
      <c r="X1113" s="941">
        <v>0</v>
      </c>
      <c r="Y1113" s="941">
        <v>0</v>
      </c>
      <c r="Z1113" s="941">
        <v>0</v>
      </c>
      <c r="AA1113" s="942">
        <v>38</v>
      </c>
      <c r="AB1113" s="942">
        <v>308</v>
      </c>
      <c r="AC1113" s="942">
        <v>0</v>
      </c>
      <c r="AD1113" s="942">
        <v>0</v>
      </c>
      <c r="AE1113" s="942">
        <v>0</v>
      </c>
      <c r="AF1113" s="942">
        <v>0</v>
      </c>
      <c r="AG1113" s="943">
        <f>comparaison_samebasis_villages[[#This Row],[previous idp_ind]]-comparaison_samebasis_villages[[#This Row],[actual idp_ind]]</f>
        <v>-11</v>
      </c>
      <c r="AH1113" s="943">
        <f>comparaison_samebasis_villages[[#This Row],[previous ref_ind]]-comparaison_samebasis_villages[[#This Row],[actual ref_ind]]</f>
        <v>0</v>
      </c>
      <c r="AI1113" s="943">
        <f>comparaison_samebasis_villages[[#This Row],[previous ret_ind]]-comparaison_samebasis_villages[[#This Row],[actual ret_ind]]</f>
        <v>0</v>
      </c>
    </row>
    <row r="1114" spans="15:35" ht="15.75" customHeight="1" x14ac:dyDescent="0.3">
      <c r="O1114" s="399" t="s">
        <v>34</v>
      </c>
      <c r="P1114" s="399" t="s">
        <v>34</v>
      </c>
      <c r="Q1114" s="399" t="s">
        <v>189</v>
      </c>
      <c r="R1114" s="399" t="s">
        <v>189</v>
      </c>
      <c r="S1114" s="399" t="s">
        <v>1055</v>
      </c>
      <c r="T1114" s="399" t="s">
        <v>1054</v>
      </c>
      <c r="U1114" s="941">
        <v>30</v>
      </c>
      <c r="V1114" s="941">
        <v>299</v>
      </c>
      <c r="W1114" s="941">
        <v>0</v>
      </c>
      <c r="X1114" s="941">
        <v>0</v>
      </c>
      <c r="Y1114" s="941">
        <v>0</v>
      </c>
      <c r="Z1114" s="941">
        <v>0</v>
      </c>
      <c r="AA1114" s="942">
        <v>30</v>
      </c>
      <c r="AB1114" s="942">
        <v>290</v>
      </c>
      <c r="AC1114" s="942">
        <v>0</v>
      </c>
      <c r="AD1114" s="942">
        <v>0</v>
      </c>
      <c r="AE1114" s="942">
        <v>0</v>
      </c>
      <c r="AF1114" s="942">
        <v>0</v>
      </c>
      <c r="AG1114" s="943">
        <f>comparaison_samebasis_villages[[#This Row],[previous idp_ind]]-comparaison_samebasis_villages[[#This Row],[actual idp_ind]]</f>
        <v>-9</v>
      </c>
      <c r="AH1114" s="943">
        <f>comparaison_samebasis_villages[[#This Row],[previous ref_ind]]-comparaison_samebasis_villages[[#This Row],[actual ref_ind]]</f>
        <v>0</v>
      </c>
      <c r="AI1114" s="943">
        <f>comparaison_samebasis_villages[[#This Row],[previous ret_ind]]-comparaison_samebasis_villages[[#This Row],[actual ret_ind]]</f>
        <v>0</v>
      </c>
    </row>
    <row r="1115" spans="15:35" ht="15.75" customHeight="1" x14ac:dyDescent="0.3">
      <c r="O1115" s="399" t="s">
        <v>34</v>
      </c>
      <c r="P1115" s="399" t="s">
        <v>34</v>
      </c>
      <c r="Q1115" s="399" t="s">
        <v>189</v>
      </c>
      <c r="R1115" s="399" t="s">
        <v>189</v>
      </c>
      <c r="S1115" s="399" t="s">
        <v>766</v>
      </c>
      <c r="T1115" s="399" t="s">
        <v>765</v>
      </c>
      <c r="U1115" s="941">
        <v>18</v>
      </c>
      <c r="V1115" s="941">
        <v>158</v>
      </c>
      <c r="W1115" s="941">
        <v>0</v>
      </c>
      <c r="X1115" s="941">
        <v>0</v>
      </c>
      <c r="Y1115" s="941">
        <v>0</v>
      </c>
      <c r="Z1115" s="941">
        <v>0</v>
      </c>
      <c r="AA1115" s="942">
        <v>18</v>
      </c>
      <c r="AB1115" s="942">
        <v>148</v>
      </c>
      <c r="AC1115" s="942">
        <v>0</v>
      </c>
      <c r="AD1115" s="942">
        <v>0</v>
      </c>
      <c r="AE1115" s="942">
        <v>0</v>
      </c>
      <c r="AF1115" s="942">
        <v>0</v>
      </c>
      <c r="AG1115" s="943">
        <f>comparaison_samebasis_villages[[#This Row],[previous idp_ind]]-comparaison_samebasis_villages[[#This Row],[actual idp_ind]]</f>
        <v>-10</v>
      </c>
      <c r="AH1115" s="943">
        <f>comparaison_samebasis_villages[[#This Row],[previous ref_ind]]-comparaison_samebasis_villages[[#This Row],[actual ref_ind]]</f>
        <v>0</v>
      </c>
      <c r="AI1115" s="943">
        <f>comparaison_samebasis_villages[[#This Row],[previous ret_ind]]-comparaison_samebasis_villages[[#This Row],[actual ret_ind]]</f>
        <v>0</v>
      </c>
    </row>
    <row r="1116" spans="15:35" ht="15.75" customHeight="1" x14ac:dyDescent="0.3">
      <c r="O1116" s="399" t="s">
        <v>34</v>
      </c>
      <c r="P1116" s="399" t="s">
        <v>34</v>
      </c>
      <c r="Q1116" s="399" t="s">
        <v>189</v>
      </c>
      <c r="R1116" s="399" t="s">
        <v>189</v>
      </c>
      <c r="S1116" s="399" t="s">
        <v>1207</v>
      </c>
      <c r="T1116" s="399" t="s">
        <v>1206</v>
      </c>
      <c r="U1116" s="941">
        <v>1</v>
      </c>
      <c r="V1116" s="941">
        <v>61</v>
      </c>
      <c r="W1116" s="941">
        <v>0</v>
      </c>
      <c r="X1116" s="941">
        <v>0</v>
      </c>
      <c r="Y1116" s="941">
        <v>0</v>
      </c>
      <c r="Z1116" s="941">
        <v>0</v>
      </c>
      <c r="AA1116" s="942">
        <v>1</v>
      </c>
      <c r="AB1116" s="942">
        <v>65</v>
      </c>
      <c r="AC1116" s="942">
        <v>0</v>
      </c>
      <c r="AD1116" s="942">
        <v>0</v>
      </c>
      <c r="AE1116" s="942">
        <v>0</v>
      </c>
      <c r="AF1116" s="942">
        <v>0</v>
      </c>
      <c r="AG1116" s="943">
        <f>comparaison_samebasis_villages[[#This Row],[previous idp_ind]]-comparaison_samebasis_villages[[#This Row],[actual idp_ind]]</f>
        <v>4</v>
      </c>
      <c r="AH1116" s="943">
        <f>comparaison_samebasis_villages[[#This Row],[previous ref_ind]]-comparaison_samebasis_villages[[#This Row],[actual ref_ind]]</f>
        <v>0</v>
      </c>
      <c r="AI1116" s="943">
        <f>comparaison_samebasis_villages[[#This Row],[previous ret_ind]]-comparaison_samebasis_villages[[#This Row],[actual ret_ind]]</f>
        <v>0</v>
      </c>
    </row>
    <row r="1117" spans="15:35" ht="15.75" customHeight="1" x14ac:dyDescent="0.3">
      <c r="O1117" s="399" t="s">
        <v>34</v>
      </c>
      <c r="P1117" s="399" t="s">
        <v>34</v>
      </c>
      <c r="Q1117" s="399" t="s">
        <v>189</v>
      </c>
      <c r="R1117" s="399" t="s">
        <v>189</v>
      </c>
      <c r="S1117" s="399" t="s">
        <v>2692</v>
      </c>
      <c r="T1117" s="399" t="s">
        <v>2691</v>
      </c>
      <c r="U1117" s="941">
        <v>0</v>
      </c>
      <c r="V1117" s="941">
        <v>0</v>
      </c>
      <c r="W1117" s="941">
        <v>0</v>
      </c>
      <c r="X1117" s="941">
        <v>0</v>
      </c>
      <c r="Y1117" s="941">
        <v>0</v>
      </c>
      <c r="Z1117" s="941">
        <v>0</v>
      </c>
      <c r="AA1117" s="942">
        <v>0</v>
      </c>
      <c r="AB1117" s="942">
        <v>0</v>
      </c>
      <c r="AC1117" s="942">
        <v>0</v>
      </c>
      <c r="AD1117" s="942">
        <v>0</v>
      </c>
      <c r="AE1117" s="942">
        <v>0</v>
      </c>
      <c r="AF1117" s="942">
        <v>0</v>
      </c>
      <c r="AG1117" s="943">
        <f>comparaison_samebasis_villages[[#This Row],[previous idp_ind]]-comparaison_samebasis_villages[[#This Row],[actual idp_ind]]</f>
        <v>0</v>
      </c>
      <c r="AH1117" s="943">
        <f>comparaison_samebasis_villages[[#This Row],[previous ref_ind]]-comparaison_samebasis_villages[[#This Row],[actual ref_ind]]</f>
        <v>0</v>
      </c>
      <c r="AI1117" s="943">
        <f>comparaison_samebasis_villages[[#This Row],[previous ret_ind]]-comparaison_samebasis_villages[[#This Row],[actual ret_ind]]</f>
        <v>0</v>
      </c>
    </row>
    <row r="1118" spans="15:35" ht="15.75" customHeight="1" x14ac:dyDescent="0.3">
      <c r="O1118" s="399" t="s">
        <v>34</v>
      </c>
      <c r="P1118" s="399" t="s">
        <v>34</v>
      </c>
      <c r="Q1118" s="399" t="s">
        <v>189</v>
      </c>
      <c r="R1118" s="399" t="s">
        <v>189</v>
      </c>
      <c r="S1118" s="399" t="s">
        <v>2694</v>
      </c>
      <c r="T1118" s="399" t="s">
        <v>2693</v>
      </c>
      <c r="U1118" s="941">
        <v>0</v>
      </c>
      <c r="V1118" s="941">
        <v>0</v>
      </c>
      <c r="W1118" s="941">
        <v>0</v>
      </c>
      <c r="X1118" s="941">
        <v>0</v>
      </c>
      <c r="Y1118" s="941">
        <v>0</v>
      </c>
      <c r="Z1118" s="941">
        <v>0</v>
      </c>
      <c r="AA1118" s="942">
        <v>0</v>
      </c>
      <c r="AB1118" s="942">
        <v>0</v>
      </c>
      <c r="AC1118" s="942">
        <v>0</v>
      </c>
      <c r="AD1118" s="942">
        <v>0</v>
      </c>
      <c r="AE1118" s="942">
        <v>0</v>
      </c>
      <c r="AF1118" s="942">
        <v>0</v>
      </c>
      <c r="AG1118" s="943">
        <f>comparaison_samebasis_villages[[#This Row],[previous idp_ind]]-comparaison_samebasis_villages[[#This Row],[actual idp_ind]]</f>
        <v>0</v>
      </c>
      <c r="AH1118" s="943">
        <f>comparaison_samebasis_villages[[#This Row],[previous ref_ind]]-comparaison_samebasis_villages[[#This Row],[actual ref_ind]]</f>
        <v>0</v>
      </c>
      <c r="AI1118" s="943">
        <f>comparaison_samebasis_villages[[#This Row],[previous ret_ind]]-comparaison_samebasis_villages[[#This Row],[actual ret_ind]]</f>
        <v>0</v>
      </c>
    </row>
    <row r="1119" spans="15:35" ht="15.75" customHeight="1" x14ac:dyDescent="0.3">
      <c r="O1119" s="399" t="s">
        <v>34</v>
      </c>
      <c r="P1119" s="399" t="s">
        <v>34</v>
      </c>
      <c r="Q1119" s="399" t="s">
        <v>189</v>
      </c>
      <c r="R1119" s="399" t="s">
        <v>189</v>
      </c>
      <c r="S1119" s="399" t="s">
        <v>1205</v>
      </c>
      <c r="T1119" s="399" t="s">
        <v>1204</v>
      </c>
      <c r="U1119" s="941">
        <v>4</v>
      </c>
      <c r="V1119" s="941">
        <v>50</v>
      </c>
      <c r="W1119" s="941">
        <v>0</v>
      </c>
      <c r="X1119" s="941">
        <v>0</v>
      </c>
      <c r="Y1119" s="941">
        <v>0</v>
      </c>
      <c r="Z1119" s="941">
        <v>0</v>
      </c>
      <c r="AA1119" s="942">
        <v>4</v>
      </c>
      <c r="AB1119" s="942">
        <v>59</v>
      </c>
      <c r="AC1119" s="942">
        <v>0</v>
      </c>
      <c r="AD1119" s="942">
        <v>0</v>
      </c>
      <c r="AE1119" s="942">
        <v>0</v>
      </c>
      <c r="AF1119" s="942">
        <v>0</v>
      </c>
      <c r="AG1119" s="943">
        <f>comparaison_samebasis_villages[[#This Row],[previous idp_ind]]-comparaison_samebasis_villages[[#This Row],[actual idp_ind]]</f>
        <v>9</v>
      </c>
      <c r="AH1119" s="943">
        <f>comparaison_samebasis_villages[[#This Row],[previous ref_ind]]-comparaison_samebasis_villages[[#This Row],[actual ref_ind]]</f>
        <v>0</v>
      </c>
      <c r="AI1119" s="943">
        <f>comparaison_samebasis_villages[[#This Row],[previous ret_ind]]-comparaison_samebasis_villages[[#This Row],[actual ret_ind]]</f>
        <v>0</v>
      </c>
    </row>
    <row r="1120" spans="15:35" ht="15.75" customHeight="1" x14ac:dyDescent="0.3">
      <c r="O1120" s="399" t="s">
        <v>34</v>
      </c>
      <c r="P1120" s="399" t="s">
        <v>34</v>
      </c>
      <c r="Q1120" s="399" t="s">
        <v>189</v>
      </c>
      <c r="R1120" s="399" t="s">
        <v>189</v>
      </c>
      <c r="S1120" s="399" t="s">
        <v>1203</v>
      </c>
      <c r="T1120" s="399" t="s">
        <v>1202</v>
      </c>
      <c r="U1120" s="941">
        <v>37</v>
      </c>
      <c r="V1120" s="941">
        <v>318</v>
      </c>
      <c r="W1120" s="941">
        <v>0</v>
      </c>
      <c r="X1120" s="941">
        <v>0</v>
      </c>
      <c r="Y1120" s="941">
        <v>0</v>
      </c>
      <c r="Z1120" s="941">
        <v>0</v>
      </c>
      <c r="AA1120" s="942">
        <v>37</v>
      </c>
      <c r="AB1120" s="942">
        <v>306</v>
      </c>
      <c r="AC1120" s="942">
        <v>0</v>
      </c>
      <c r="AD1120" s="942">
        <v>0</v>
      </c>
      <c r="AE1120" s="942">
        <v>0</v>
      </c>
      <c r="AF1120" s="942">
        <v>0</v>
      </c>
      <c r="AG1120" s="943">
        <f>comparaison_samebasis_villages[[#This Row],[previous idp_ind]]-comparaison_samebasis_villages[[#This Row],[actual idp_ind]]</f>
        <v>-12</v>
      </c>
      <c r="AH1120" s="943">
        <f>comparaison_samebasis_villages[[#This Row],[previous ref_ind]]-comparaison_samebasis_villages[[#This Row],[actual ref_ind]]</f>
        <v>0</v>
      </c>
      <c r="AI1120" s="943">
        <f>comparaison_samebasis_villages[[#This Row],[previous ret_ind]]-comparaison_samebasis_villages[[#This Row],[actual ret_ind]]</f>
        <v>0</v>
      </c>
    </row>
    <row r="1121" spans="15:35" ht="15.75" customHeight="1" x14ac:dyDescent="0.3">
      <c r="O1121" s="399" t="s">
        <v>34</v>
      </c>
      <c r="P1121" s="399" t="s">
        <v>34</v>
      </c>
      <c r="Q1121" s="399" t="s">
        <v>189</v>
      </c>
      <c r="R1121" s="399" t="s">
        <v>189</v>
      </c>
      <c r="S1121" s="399" t="s">
        <v>1378</v>
      </c>
      <c r="T1121" s="399" t="s">
        <v>1377</v>
      </c>
      <c r="U1121" s="941">
        <v>27</v>
      </c>
      <c r="V1121" s="941">
        <v>250</v>
      </c>
      <c r="W1121" s="941">
        <v>0</v>
      </c>
      <c r="X1121" s="941">
        <v>0</v>
      </c>
      <c r="Y1121" s="941">
        <v>0</v>
      </c>
      <c r="Z1121" s="941">
        <v>0</v>
      </c>
      <c r="AA1121" s="942">
        <v>27</v>
      </c>
      <c r="AB1121" s="942">
        <v>242</v>
      </c>
      <c r="AC1121" s="942">
        <v>0</v>
      </c>
      <c r="AD1121" s="942">
        <v>0</v>
      </c>
      <c r="AE1121" s="942">
        <v>0</v>
      </c>
      <c r="AF1121" s="942">
        <v>0</v>
      </c>
      <c r="AG1121" s="943">
        <f>comparaison_samebasis_villages[[#This Row],[previous idp_ind]]-comparaison_samebasis_villages[[#This Row],[actual idp_ind]]</f>
        <v>-8</v>
      </c>
      <c r="AH1121" s="943">
        <f>comparaison_samebasis_villages[[#This Row],[previous ref_ind]]-comparaison_samebasis_villages[[#This Row],[actual ref_ind]]</f>
        <v>0</v>
      </c>
      <c r="AI1121" s="943">
        <f>comparaison_samebasis_villages[[#This Row],[previous ret_ind]]-comparaison_samebasis_villages[[#This Row],[actual ret_ind]]</f>
        <v>0</v>
      </c>
    </row>
    <row r="1122" spans="15:35" ht="15.75" customHeight="1" x14ac:dyDescent="0.3">
      <c r="O1122" s="399" t="s">
        <v>34</v>
      </c>
      <c r="P1122" s="399" t="s">
        <v>34</v>
      </c>
      <c r="Q1122" s="399" t="s">
        <v>189</v>
      </c>
      <c r="R1122" s="399" t="s">
        <v>189</v>
      </c>
      <c r="S1122" s="399" t="s">
        <v>1053</v>
      </c>
      <c r="T1122" s="399" t="s">
        <v>1052</v>
      </c>
      <c r="U1122" s="941">
        <v>157</v>
      </c>
      <c r="V1122" s="941">
        <v>1276</v>
      </c>
      <c r="W1122" s="941">
        <v>0</v>
      </c>
      <c r="X1122" s="941">
        <v>0</v>
      </c>
      <c r="Y1122" s="941">
        <v>0</v>
      </c>
      <c r="Z1122" s="941">
        <v>0</v>
      </c>
      <c r="AA1122" s="942">
        <v>145</v>
      </c>
      <c r="AB1122" s="942">
        <v>1195</v>
      </c>
      <c r="AC1122" s="942">
        <v>0</v>
      </c>
      <c r="AD1122" s="942">
        <v>0</v>
      </c>
      <c r="AE1122" s="942">
        <v>0</v>
      </c>
      <c r="AF1122" s="942">
        <v>0</v>
      </c>
      <c r="AG1122" s="943">
        <f>comparaison_samebasis_villages[[#This Row],[previous idp_ind]]-comparaison_samebasis_villages[[#This Row],[actual idp_ind]]</f>
        <v>-81</v>
      </c>
      <c r="AH1122" s="943">
        <f>comparaison_samebasis_villages[[#This Row],[previous ref_ind]]-comparaison_samebasis_villages[[#This Row],[actual ref_ind]]</f>
        <v>0</v>
      </c>
      <c r="AI1122" s="943">
        <f>comparaison_samebasis_villages[[#This Row],[previous ret_ind]]-comparaison_samebasis_villages[[#This Row],[actual ret_ind]]</f>
        <v>0</v>
      </c>
    </row>
    <row r="1123" spans="15:35" ht="15.75" customHeight="1" x14ac:dyDescent="0.3">
      <c r="O1123" s="399" t="s">
        <v>34</v>
      </c>
      <c r="P1123" s="399" t="s">
        <v>34</v>
      </c>
      <c r="Q1123" s="399" t="s">
        <v>189</v>
      </c>
      <c r="R1123" s="399" t="s">
        <v>189</v>
      </c>
      <c r="S1123" s="399" t="s">
        <v>591</v>
      </c>
      <c r="T1123" s="399" t="s">
        <v>3010</v>
      </c>
      <c r="U1123" s="941">
        <v>30</v>
      </c>
      <c r="V1123" s="941">
        <v>243</v>
      </c>
      <c r="W1123" s="941">
        <v>0</v>
      </c>
      <c r="X1123" s="941">
        <v>0</v>
      </c>
      <c r="Y1123" s="941">
        <v>0</v>
      </c>
      <c r="Z1123" s="941">
        <v>0</v>
      </c>
      <c r="AA1123" s="942">
        <v>30</v>
      </c>
      <c r="AB1123" s="942">
        <v>239</v>
      </c>
      <c r="AC1123" s="942">
        <v>0</v>
      </c>
      <c r="AD1123" s="942">
        <v>0</v>
      </c>
      <c r="AE1123" s="942">
        <v>0</v>
      </c>
      <c r="AF1123" s="942">
        <v>0</v>
      </c>
      <c r="AG1123" s="943">
        <f>comparaison_samebasis_villages[[#This Row],[previous idp_ind]]-comparaison_samebasis_villages[[#This Row],[actual idp_ind]]</f>
        <v>-4</v>
      </c>
      <c r="AH1123" s="943">
        <f>comparaison_samebasis_villages[[#This Row],[previous ref_ind]]-comparaison_samebasis_villages[[#This Row],[actual ref_ind]]</f>
        <v>0</v>
      </c>
      <c r="AI1123" s="943">
        <f>comparaison_samebasis_villages[[#This Row],[previous ret_ind]]-comparaison_samebasis_villages[[#This Row],[actual ret_ind]]</f>
        <v>0</v>
      </c>
    </row>
    <row r="1124" spans="15:35" ht="15.75" customHeight="1" x14ac:dyDescent="0.3">
      <c r="O1124" s="399" t="s">
        <v>31</v>
      </c>
      <c r="P1124" s="399" t="s">
        <v>31</v>
      </c>
      <c r="Q1124" s="399" t="s">
        <v>172</v>
      </c>
      <c r="R1124" s="399" t="s">
        <v>172</v>
      </c>
      <c r="S1124" s="399" t="s">
        <v>1165</v>
      </c>
      <c r="T1124" s="399" t="s">
        <v>2887</v>
      </c>
      <c r="U1124" s="941">
        <v>19</v>
      </c>
      <c r="V1124" s="941">
        <v>76</v>
      </c>
      <c r="W1124" s="941">
        <v>22</v>
      </c>
      <c r="X1124" s="941">
        <v>82</v>
      </c>
      <c r="Y1124" s="941">
        <v>17</v>
      </c>
      <c r="Z1124" s="941">
        <v>17</v>
      </c>
      <c r="AA1124" s="942">
        <v>38</v>
      </c>
      <c r="AB1124" s="942">
        <v>151</v>
      </c>
      <c r="AC1124" s="942">
        <v>22</v>
      </c>
      <c r="AD1124" s="942">
        <v>77</v>
      </c>
      <c r="AE1124" s="942">
        <v>17</v>
      </c>
      <c r="AF1124" s="942">
        <v>93</v>
      </c>
      <c r="AG1124" s="943">
        <f>comparaison_samebasis_villages[[#This Row],[previous idp_ind]]-comparaison_samebasis_villages[[#This Row],[actual idp_ind]]</f>
        <v>75</v>
      </c>
      <c r="AH1124" s="943">
        <f>comparaison_samebasis_villages[[#This Row],[previous ref_ind]]-comparaison_samebasis_villages[[#This Row],[actual ref_ind]]</f>
        <v>-5</v>
      </c>
      <c r="AI1124" s="943">
        <f>comparaison_samebasis_villages[[#This Row],[previous ret_ind]]-comparaison_samebasis_villages[[#This Row],[actual ret_ind]]</f>
        <v>76</v>
      </c>
    </row>
    <row r="1125" spans="15:35" ht="15.75" customHeight="1" x14ac:dyDescent="0.3">
      <c r="O1125" s="399" t="s">
        <v>31</v>
      </c>
      <c r="P1125" s="399" t="s">
        <v>31</v>
      </c>
      <c r="Q1125" s="399" t="s">
        <v>172</v>
      </c>
      <c r="R1125" s="399" t="s">
        <v>172</v>
      </c>
      <c r="S1125" s="399" t="s">
        <v>1869</v>
      </c>
      <c r="T1125" s="399" t="s">
        <v>1164</v>
      </c>
      <c r="U1125" s="941">
        <v>20</v>
      </c>
      <c r="V1125" s="941">
        <v>55</v>
      </c>
      <c r="W1125" s="941">
        <v>6</v>
      </c>
      <c r="X1125" s="941">
        <v>22</v>
      </c>
      <c r="Y1125" s="941">
        <v>62</v>
      </c>
      <c r="Z1125" s="941">
        <v>62</v>
      </c>
      <c r="AA1125" s="942">
        <v>20</v>
      </c>
      <c r="AB1125" s="942">
        <v>55</v>
      </c>
      <c r="AC1125" s="942">
        <v>6</v>
      </c>
      <c r="AD1125" s="942">
        <v>22</v>
      </c>
      <c r="AE1125" s="942">
        <v>0</v>
      </c>
      <c r="AF1125" s="942">
        <v>0</v>
      </c>
      <c r="AG1125" s="943">
        <f>comparaison_samebasis_villages[[#This Row],[previous idp_ind]]-comparaison_samebasis_villages[[#This Row],[actual idp_ind]]</f>
        <v>0</v>
      </c>
      <c r="AH1125" s="943">
        <f>comparaison_samebasis_villages[[#This Row],[previous ref_ind]]-comparaison_samebasis_villages[[#This Row],[actual ref_ind]]</f>
        <v>0</v>
      </c>
      <c r="AI1125" s="943">
        <f>comparaison_samebasis_villages[[#This Row],[previous ret_ind]]-comparaison_samebasis_villages[[#This Row],[actual ret_ind]]</f>
        <v>-62</v>
      </c>
    </row>
    <row r="1126" spans="15:35" ht="15.75" customHeight="1" x14ac:dyDescent="0.3">
      <c r="O1126" s="399" t="s">
        <v>31</v>
      </c>
      <c r="P1126" s="399" t="s">
        <v>31</v>
      </c>
      <c r="Q1126" s="399" t="s">
        <v>172</v>
      </c>
      <c r="R1126" s="399" t="s">
        <v>172</v>
      </c>
      <c r="S1126" s="399" t="s">
        <v>1031</v>
      </c>
      <c r="T1126" s="399" t="s">
        <v>1868</v>
      </c>
      <c r="U1126" s="941">
        <v>14</v>
      </c>
      <c r="V1126" s="941">
        <v>54</v>
      </c>
      <c r="W1126" s="941">
        <v>17</v>
      </c>
      <c r="X1126" s="941">
        <v>64</v>
      </c>
      <c r="Y1126" s="941">
        <v>40</v>
      </c>
      <c r="Z1126" s="941">
        <v>40</v>
      </c>
      <c r="AA1126" s="942">
        <v>35</v>
      </c>
      <c r="AB1126" s="942">
        <v>97</v>
      </c>
      <c r="AC1126" s="942">
        <v>17</v>
      </c>
      <c r="AD1126" s="942">
        <v>60</v>
      </c>
      <c r="AE1126" s="942">
        <v>40</v>
      </c>
      <c r="AF1126" s="942">
        <v>200</v>
      </c>
      <c r="AG1126" s="943">
        <f>comparaison_samebasis_villages[[#This Row],[previous idp_ind]]-comparaison_samebasis_villages[[#This Row],[actual idp_ind]]</f>
        <v>43</v>
      </c>
      <c r="AH1126" s="943">
        <f>comparaison_samebasis_villages[[#This Row],[previous ref_ind]]-comparaison_samebasis_villages[[#This Row],[actual ref_ind]]</f>
        <v>-4</v>
      </c>
      <c r="AI1126" s="943">
        <f>comparaison_samebasis_villages[[#This Row],[previous ret_ind]]-comparaison_samebasis_villages[[#This Row],[actual ret_ind]]</f>
        <v>160</v>
      </c>
    </row>
    <row r="1127" spans="15:35" ht="15.75" customHeight="1" x14ac:dyDescent="0.3">
      <c r="O1127" s="399" t="s">
        <v>31</v>
      </c>
      <c r="P1127" s="399" t="s">
        <v>31</v>
      </c>
      <c r="Q1127" s="399" t="s">
        <v>172</v>
      </c>
      <c r="R1127" s="399" t="s">
        <v>172</v>
      </c>
      <c r="S1127" s="399" t="s">
        <v>1069</v>
      </c>
      <c r="T1127" s="399" t="s">
        <v>1030</v>
      </c>
      <c r="U1127" s="941">
        <v>20</v>
      </c>
      <c r="V1127" s="941">
        <v>99</v>
      </c>
      <c r="W1127" s="941">
        <v>40</v>
      </c>
      <c r="X1127" s="941">
        <v>190</v>
      </c>
      <c r="Y1127" s="941">
        <v>100</v>
      </c>
      <c r="Z1127" s="941">
        <v>100</v>
      </c>
      <c r="AA1127" s="942">
        <v>33</v>
      </c>
      <c r="AB1127" s="942">
        <v>148</v>
      </c>
      <c r="AC1127" s="942">
        <v>40</v>
      </c>
      <c r="AD1127" s="942">
        <v>190</v>
      </c>
      <c r="AE1127" s="942">
        <v>100</v>
      </c>
      <c r="AF1127" s="942">
        <v>524</v>
      </c>
      <c r="AG1127" s="943">
        <f>comparaison_samebasis_villages[[#This Row],[previous idp_ind]]-comparaison_samebasis_villages[[#This Row],[actual idp_ind]]</f>
        <v>49</v>
      </c>
      <c r="AH1127" s="943">
        <f>comparaison_samebasis_villages[[#This Row],[previous ref_ind]]-comparaison_samebasis_villages[[#This Row],[actual ref_ind]]</f>
        <v>0</v>
      </c>
      <c r="AI1127" s="943">
        <f>comparaison_samebasis_villages[[#This Row],[previous ret_ind]]-comparaison_samebasis_villages[[#This Row],[actual ret_ind]]</f>
        <v>424</v>
      </c>
    </row>
    <row r="1128" spans="15:35" ht="15.75" customHeight="1" x14ac:dyDescent="0.3">
      <c r="O1128" s="399" t="s">
        <v>31</v>
      </c>
      <c r="P1128" s="399" t="s">
        <v>31</v>
      </c>
      <c r="Q1128" s="399" t="s">
        <v>172</v>
      </c>
      <c r="R1128" s="399" t="s">
        <v>172</v>
      </c>
      <c r="S1128" s="399" t="s">
        <v>1909</v>
      </c>
      <c r="T1128" s="399" t="s">
        <v>2957</v>
      </c>
      <c r="U1128" s="941">
        <v>8</v>
      </c>
      <c r="V1128" s="941">
        <v>64</v>
      </c>
      <c r="W1128" s="941">
        <v>0</v>
      </c>
      <c r="X1128" s="941">
        <v>0</v>
      </c>
      <c r="Y1128" s="941">
        <v>44</v>
      </c>
      <c r="Z1128" s="941">
        <v>44</v>
      </c>
      <c r="AA1128" s="942">
        <v>7</v>
      </c>
      <c r="AB1128" s="942">
        <v>57</v>
      </c>
      <c r="AC1128" s="942">
        <v>0</v>
      </c>
      <c r="AD1128" s="942">
        <v>0</v>
      </c>
      <c r="AE1128" s="942">
        <v>44</v>
      </c>
      <c r="AF1128" s="942">
        <v>266</v>
      </c>
      <c r="AG1128" s="943">
        <f>comparaison_samebasis_villages[[#This Row],[previous idp_ind]]-comparaison_samebasis_villages[[#This Row],[actual idp_ind]]</f>
        <v>-7</v>
      </c>
      <c r="AH1128" s="943">
        <f>comparaison_samebasis_villages[[#This Row],[previous ref_ind]]-comparaison_samebasis_villages[[#This Row],[actual ref_ind]]</f>
        <v>0</v>
      </c>
      <c r="AI1128" s="943">
        <f>comparaison_samebasis_villages[[#This Row],[previous ret_ind]]-comparaison_samebasis_villages[[#This Row],[actual ret_ind]]</f>
        <v>222</v>
      </c>
    </row>
    <row r="1129" spans="15:35" ht="15.75" customHeight="1" x14ac:dyDescent="0.3">
      <c r="O1129" s="399" t="s">
        <v>31</v>
      </c>
      <c r="P1129" s="399" t="s">
        <v>31</v>
      </c>
      <c r="Q1129" s="399" t="s">
        <v>172</v>
      </c>
      <c r="R1129" s="399" t="s">
        <v>172</v>
      </c>
      <c r="S1129" s="399" t="s">
        <v>1867</v>
      </c>
      <c r="T1129" s="399" t="s">
        <v>1068</v>
      </c>
      <c r="U1129" s="941">
        <v>7</v>
      </c>
      <c r="V1129" s="941">
        <v>27</v>
      </c>
      <c r="W1129" s="941">
        <v>7</v>
      </c>
      <c r="X1129" s="941">
        <v>46</v>
      </c>
      <c r="Y1129" s="941">
        <v>101</v>
      </c>
      <c r="Z1129" s="941">
        <v>101</v>
      </c>
      <c r="AA1129" s="942">
        <v>7</v>
      </c>
      <c r="AB1129" s="942">
        <v>25</v>
      </c>
      <c r="AC1129" s="942">
        <v>7</v>
      </c>
      <c r="AD1129" s="942">
        <v>44</v>
      </c>
      <c r="AE1129" s="942">
        <v>101</v>
      </c>
      <c r="AF1129" s="942">
        <v>517</v>
      </c>
      <c r="AG1129" s="943">
        <f>comparaison_samebasis_villages[[#This Row],[previous idp_ind]]-comparaison_samebasis_villages[[#This Row],[actual idp_ind]]</f>
        <v>-2</v>
      </c>
      <c r="AH1129" s="943">
        <f>comparaison_samebasis_villages[[#This Row],[previous ref_ind]]-comparaison_samebasis_villages[[#This Row],[actual ref_ind]]</f>
        <v>-2</v>
      </c>
      <c r="AI1129" s="943">
        <f>comparaison_samebasis_villages[[#This Row],[previous ret_ind]]-comparaison_samebasis_villages[[#This Row],[actual ret_ind]]</f>
        <v>416</v>
      </c>
    </row>
    <row r="1130" spans="15:35" ht="15.75" customHeight="1" x14ac:dyDescent="0.3">
      <c r="O1130" s="399" t="s">
        <v>31</v>
      </c>
      <c r="P1130" s="399" t="s">
        <v>31</v>
      </c>
      <c r="Q1130" s="399" t="s">
        <v>172</v>
      </c>
      <c r="R1130" s="399" t="s">
        <v>172</v>
      </c>
      <c r="S1130" s="399" t="s">
        <v>2000</v>
      </c>
      <c r="T1130" s="399" t="s">
        <v>1908</v>
      </c>
      <c r="U1130" s="941">
        <v>35</v>
      </c>
      <c r="V1130" s="941">
        <v>221</v>
      </c>
      <c r="W1130" s="941">
        <v>5</v>
      </c>
      <c r="X1130" s="941">
        <v>35</v>
      </c>
      <c r="Y1130" s="941">
        <v>5</v>
      </c>
      <c r="Z1130" s="941">
        <v>5</v>
      </c>
      <c r="AA1130" s="942">
        <v>35</v>
      </c>
      <c r="AB1130" s="942">
        <v>216</v>
      </c>
      <c r="AC1130" s="942">
        <v>5</v>
      </c>
      <c r="AD1130" s="942">
        <v>35</v>
      </c>
      <c r="AE1130" s="942">
        <v>5</v>
      </c>
      <c r="AF1130" s="942">
        <v>35</v>
      </c>
      <c r="AG1130" s="943">
        <f>comparaison_samebasis_villages[[#This Row],[previous idp_ind]]-comparaison_samebasis_villages[[#This Row],[actual idp_ind]]</f>
        <v>-5</v>
      </c>
      <c r="AH1130" s="943">
        <f>comparaison_samebasis_villages[[#This Row],[previous ref_ind]]-comparaison_samebasis_villages[[#This Row],[actual ref_ind]]</f>
        <v>0</v>
      </c>
      <c r="AI1130" s="943">
        <f>comparaison_samebasis_villages[[#This Row],[previous ret_ind]]-comparaison_samebasis_villages[[#This Row],[actual ret_ind]]</f>
        <v>30</v>
      </c>
    </row>
    <row r="1131" spans="15:35" ht="15.75" customHeight="1" x14ac:dyDescent="0.3">
      <c r="O1131" s="399" t="s">
        <v>31</v>
      </c>
      <c r="P1131" s="399" t="s">
        <v>31</v>
      </c>
      <c r="Q1131" s="399" t="s">
        <v>172</v>
      </c>
      <c r="R1131" s="399" t="s">
        <v>172</v>
      </c>
      <c r="S1131" s="399" t="s">
        <v>708</v>
      </c>
      <c r="T1131" s="399" t="s">
        <v>1866</v>
      </c>
      <c r="U1131" s="941">
        <v>33</v>
      </c>
      <c r="V1131" s="941">
        <v>171</v>
      </c>
      <c r="W1131" s="941">
        <v>30</v>
      </c>
      <c r="X1131" s="941">
        <v>278</v>
      </c>
      <c r="Y1131" s="941">
        <v>5</v>
      </c>
      <c r="Z1131" s="941">
        <v>5</v>
      </c>
      <c r="AA1131" s="942">
        <v>63</v>
      </c>
      <c r="AB1131" s="942">
        <v>351</v>
      </c>
      <c r="AC1131" s="942">
        <v>30</v>
      </c>
      <c r="AD1131" s="942">
        <v>278</v>
      </c>
      <c r="AE1131" s="942">
        <v>5</v>
      </c>
      <c r="AF1131" s="942">
        <v>21</v>
      </c>
      <c r="AG1131" s="943">
        <f>comparaison_samebasis_villages[[#This Row],[previous idp_ind]]-comparaison_samebasis_villages[[#This Row],[actual idp_ind]]</f>
        <v>180</v>
      </c>
      <c r="AH1131" s="943">
        <f>comparaison_samebasis_villages[[#This Row],[previous ref_ind]]-comparaison_samebasis_villages[[#This Row],[actual ref_ind]]</f>
        <v>0</v>
      </c>
      <c r="AI1131" s="943">
        <f>comparaison_samebasis_villages[[#This Row],[previous ret_ind]]-comparaison_samebasis_villages[[#This Row],[actual ret_ind]]</f>
        <v>16</v>
      </c>
    </row>
    <row r="1132" spans="15:35" ht="15.75" customHeight="1" x14ac:dyDescent="0.3">
      <c r="O1132" s="399" t="s">
        <v>31</v>
      </c>
      <c r="P1132" s="399" t="s">
        <v>31</v>
      </c>
      <c r="Q1132" s="399" t="s">
        <v>172</v>
      </c>
      <c r="R1132" s="399" t="s">
        <v>172</v>
      </c>
      <c r="S1132" s="399" t="s">
        <v>2697</v>
      </c>
      <c r="T1132" s="399" t="s">
        <v>1999</v>
      </c>
      <c r="U1132" s="941">
        <v>0</v>
      </c>
      <c r="V1132" s="941">
        <v>0</v>
      </c>
      <c r="W1132" s="941">
        <v>6</v>
      </c>
      <c r="X1132" s="941">
        <v>50</v>
      </c>
      <c r="Y1132" s="941">
        <v>15</v>
      </c>
      <c r="Z1132" s="941">
        <v>15</v>
      </c>
      <c r="AA1132" s="942">
        <v>0</v>
      </c>
      <c r="AB1132" s="942">
        <v>0</v>
      </c>
      <c r="AC1132" s="942">
        <v>0</v>
      </c>
      <c r="AD1132" s="942">
        <v>0</v>
      </c>
      <c r="AE1132" s="942">
        <v>0</v>
      </c>
      <c r="AF1132" s="942">
        <v>0</v>
      </c>
      <c r="AG1132" s="943">
        <f>comparaison_samebasis_villages[[#This Row],[previous idp_ind]]-comparaison_samebasis_villages[[#This Row],[actual idp_ind]]</f>
        <v>0</v>
      </c>
      <c r="AH1132" s="943">
        <f>comparaison_samebasis_villages[[#This Row],[previous ref_ind]]-comparaison_samebasis_villages[[#This Row],[actual ref_ind]]</f>
        <v>-50</v>
      </c>
      <c r="AI1132" s="943">
        <f>comparaison_samebasis_villages[[#This Row],[previous ret_ind]]-comparaison_samebasis_villages[[#This Row],[actual ret_ind]]</f>
        <v>-15</v>
      </c>
    </row>
    <row r="1133" spans="15:35" ht="15.75" customHeight="1" x14ac:dyDescent="0.3">
      <c r="O1133" s="399" t="s">
        <v>31</v>
      </c>
      <c r="P1133" s="399" t="s">
        <v>31</v>
      </c>
      <c r="Q1133" s="399" t="s">
        <v>172</v>
      </c>
      <c r="R1133" s="399" t="s">
        <v>172</v>
      </c>
      <c r="S1133" s="399" t="s">
        <v>1306</v>
      </c>
      <c r="T1133" s="399" t="s">
        <v>707</v>
      </c>
      <c r="U1133" s="941">
        <v>32</v>
      </c>
      <c r="V1133" s="941">
        <v>200</v>
      </c>
      <c r="W1133" s="941">
        <v>15</v>
      </c>
      <c r="X1133" s="941">
        <v>122</v>
      </c>
      <c r="Y1133" s="941">
        <v>0</v>
      </c>
      <c r="Z1133" s="941">
        <v>0</v>
      </c>
      <c r="AA1133" s="942">
        <v>32</v>
      </c>
      <c r="AB1133" s="942">
        <v>200</v>
      </c>
      <c r="AC1133" s="942">
        <v>13</v>
      </c>
      <c r="AD1133" s="942">
        <v>110</v>
      </c>
      <c r="AE1133" s="942">
        <v>0</v>
      </c>
      <c r="AF1133" s="942">
        <v>0</v>
      </c>
      <c r="AG1133" s="943">
        <f>comparaison_samebasis_villages[[#This Row],[previous idp_ind]]-comparaison_samebasis_villages[[#This Row],[actual idp_ind]]</f>
        <v>0</v>
      </c>
      <c r="AH1133" s="943">
        <f>comparaison_samebasis_villages[[#This Row],[previous ref_ind]]-comparaison_samebasis_villages[[#This Row],[actual ref_ind]]</f>
        <v>-12</v>
      </c>
      <c r="AI1133" s="943">
        <f>comparaison_samebasis_villages[[#This Row],[previous ret_ind]]-comparaison_samebasis_villages[[#This Row],[actual ret_ind]]</f>
        <v>0</v>
      </c>
    </row>
    <row r="1134" spans="15:35" ht="15.75" customHeight="1" x14ac:dyDescent="0.3">
      <c r="O1134" s="399" t="s">
        <v>31</v>
      </c>
      <c r="P1134" s="399" t="s">
        <v>31</v>
      </c>
      <c r="Q1134" s="399" t="s">
        <v>172</v>
      </c>
      <c r="R1134" s="399" t="s">
        <v>172</v>
      </c>
      <c r="S1134" s="399" t="s">
        <v>968</v>
      </c>
      <c r="T1134" s="399" t="s">
        <v>2696</v>
      </c>
      <c r="U1134" s="941">
        <v>475</v>
      </c>
      <c r="V1134" s="941">
        <v>2803</v>
      </c>
      <c r="W1134" s="941">
        <v>76</v>
      </c>
      <c r="X1134" s="941">
        <v>312</v>
      </c>
      <c r="Y1134" s="941">
        <v>0</v>
      </c>
      <c r="Z1134" s="941">
        <v>0</v>
      </c>
      <c r="AA1134" s="942">
        <v>475</v>
      </c>
      <c r="AB1134" s="942">
        <v>2819</v>
      </c>
      <c r="AC1134" s="942">
        <v>76</v>
      </c>
      <c r="AD1134" s="942">
        <v>304</v>
      </c>
      <c r="AE1134" s="942">
        <v>0</v>
      </c>
      <c r="AF1134" s="942">
        <v>0</v>
      </c>
      <c r="AG1134" s="943">
        <f>comparaison_samebasis_villages[[#This Row],[previous idp_ind]]-comparaison_samebasis_villages[[#This Row],[actual idp_ind]]</f>
        <v>16</v>
      </c>
      <c r="AH1134" s="943">
        <f>comparaison_samebasis_villages[[#This Row],[previous ref_ind]]-comparaison_samebasis_villages[[#This Row],[actual ref_ind]]</f>
        <v>-8</v>
      </c>
      <c r="AI1134" s="943">
        <f>comparaison_samebasis_villages[[#This Row],[previous ret_ind]]-comparaison_samebasis_villages[[#This Row],[actual ret_ind]]</f>
        <v>0</v>
      </c>
    </row>
    <row r="1135" spans="15:35" ht="15.75" customHeight="1" x14ac:dyDescent="0.3">
      <c r="O1135" s="399" t="s">
        <v>31</v>
      </c>
      <c r="P1135" s="399" t="s">
        <v>31</v>
      </c>
      <c r="Q1135" s="399" t="s">
        <v>172</v>
      </c>
      <c r="R1135" s="399" t="s">
        <v>172</v>
      </c>
      <c r="S1135" s="399" t="s">
        <v>973</v>
      </c>
      <c r="T1135" s="399" t="s">
        <v>1305</v>
      </c>
      <c r="U1135" s="941">
        <v>82</v>
      </c>
      <c r="V1135" s="941">
        <v>505</v>
      </c>
      <c r="W1135" s="941">
        <v>15</v>
      </c>
      <c r="X1135" s="941">
        <v>61</v>
      </c>
      <c r="Y1135" s="941">
        <v>53</v>
      </c>
      <c r="Z1135" s="941">
        <v>53</v>
      </c>
      <c r="AA1135" s="942">
        <v>82</v>
      </c>
      <c r="AB1135" s="942">
        <v>490</v>
      </c>
      <c r="AC1135" s="942">
        <v>15</v>
      </c>
      <c r="AD1135" s="942">
        <v>58</v>
      </c>
      <c r="AE1135" s="942">
        <v>53</v>
      </c>
      <c r="AF1135" s="942">
        <v>372</v>
      </c>
      <c r="AG1135" s="943">
        <f>comparaison_samebasis_villages[[#This Row],[previous idp_ind]]-comparaison_samebasis_villages[[#This Row],[actual idp_ind]]</f>
        <v>-15</v>
      </c>
      <c r="AH1135" s="943">
        <f>comparaison_samebasis_villages[[#This Row],[previous ref_ind]]-comparaison_samebasis_villages[[#This Row],[actual ref_ind]]</f>
        <v>-3</v>
      </c>
      <c r="AI1135" s="943">
        <f>comparaison_samebasis_villages[[#This Row],[previous ret_ind]]-comparaison_samebasis_villages[[#This Row],[actual ret_ind]]</f>
        <v>319</v>
      </c>
    </row>
    <row r="1136" spans="15:35" ht="15.75" customHeight="1" x14ac:dyDescent="0.3">
      <c r="O1136" s="399" t="s">
        <v>31</v>
      </c>
      <c r="P1136" s="399" t="s">
        <v>31</v>
      </c>
      <c r="Q1136" s="399" t="s">
        <v>172</v>
      </c>
      <c r="R1136" s="399" t="s">
        <v>172</v>
      </c>
      <c r="S1136" s="399" t="s">
        <v>2132</v>
      </c>
      <c r="T1136" s="399" t="s">
        <v>967</v>
      </c>
      <c r="U1136" s="941">
        <v>39</v>
      </c>
      <c r="V1136" s="941">
        <v>351</v>
      </c>
      <c r="W1136" s="941">
        <v>32</v>
      </c>
      <c r="X1136" s="941">
        <v>153</v>
      </c>
      <c r="Y1136" s="941">
        <v>0</v>
      </c>
      <c r="Z1136" s="941">
        <v>0</v>
      </c>
      <c r="AA1136" s="942">
        <v>49</v>
      </c>
      <c r="AB1136" s="942">
        <v>391</v>
      </c>
      <c r="AC1136" s="942">
        <v>32</v>
      </c>
      <c r="AD1136" s="942">
        <v>143</v>
      </c>
      <c r="AE1136" s="942">
        <v>0</v>
      </c>
      <c r="AF1136" s="942">
        <v>0</v>
      </c>
      <c r="AG1136" s="943">
        <f>comparaison_samebasis_villages[[#This Row],[previous idp_ind]]-comparaison_samebasis_villages[[#This Row],[actual idp_ind]]</f>
        <v>40</v>
      </c>
      <c r="AH1136" s="943">
        <f>comparaison_samebasis_villages[[#This Row],[previous ref_ind]]-comparaison_samebasis_villages[[#This Row],[actual ref_ind]]</f>
        <v>-10</v>
      </c>
      <c r="AI1136" s="943">
        <f>comparaison_samebasis_villages[[#This Row],[previous ret_ind]]-comparaison_samebasis_villages[[#This Row],[actual ret_ind]]</f>
        <v>0</v>
      </c>
    </row>
    <row r="1137" spans="15:35" ht="15.75" customHeight="1" x14ac:dyDescent="0.3">
      <c r="O1137" s="399" t="s">
        <v>31</v>
      </c>
      <c r="P1137" s="399" t="s">
        <v>31</v>
      </c>
      <c r="Q1137" s="399" t="s">
        <v>172</v>
      </c>
      <c r="R1137" s="399" t="s">
        <v>172</v>
      </c>
      <c r="S1137" s="399" t="s">
        <v>2791</v>
      </c>
      <c r="T1137" s="399" t="s">
        <v>972</v>
      </c>
      <c r="U1137" s="941">
        <v>5</v>
      </c>
      <c r="V1137" s="941">
        <v>41</v>
      </c>
      <c r="W1137" s="941">
        <v>38</v>
      </c>
      <c r="X1137" s="941">
        <v>235</v>
      </c>
      <c r="Y1137" s="941">
        <v>0</v>
      </c>
      <c r="Z1137" s="941">
        <v>0</v>
      </c>
      <c r="AA1137" s="942">
        <v>30</v>
      </c>
      <c r="AB1137" s="942">
        <v>240</v>
      </c>
      <c r="AC1137" s="942">
        <v>38</v>
      </c>
      <c r="AD1137" s="942">
        <v>235</v>
      </c>
      <c r="AE1137" s="942">
        <v>0</v>
      </c>
      <c r="AF1137" s="942">
        <v>0</v>
      </c>
      <c r="AG1137" s="943">
        <f>comparaison_samebasis_villages[[#This Row],[previous idp_ind]]-comparaison_samebasis_villages[[#This Row],[actual idp_ind]]</f>
        <v>199</v>
      </c>
      <c r="AH1137" s="943">
        <f>comparaison_samebasis_villages[[#This Row],[previous ref_ind]]-comparaison_samebasis_villages[[#This Row],[actual ref_ind]]</f>
        <v>0</v>
      </c>
      <c r="AI1137" s="943">
        <f>comparaison_samebasis_villages[[#This Row],[previous ret_ind]]-comparaison_samebasis_villages[[#This Row],[actual ret_ind]]</f>
        <v>0</v>
      </c>
    </row>
    <row r="1138" spans="15:35" ht="15.75" customHeight="1" x14ac:dyDescent="0.3">
      <c r="O1138" s="399" t="s">
        <v>31</v>
      </c>
      <c r="P1138" s="399" t="s">
        <v>31</v>
      </c>
      <c r="Q1138" s="399" t="s">
        <v>172</v>
      </c>
      <c r="R1138" s="399" t="s">
        <v>172</v>
      </c>
      <c r="S1138" s="399" t="s">
        <v>1161</v>
      </c>
      <c r="T1138" s="399" t="s">
        <v>2131</v>
      </c>
      <c r="U1138" s="941">
        <v>40</v>
      </c>
      <c r="V1138" s="941">
        <v>340</v>
      </c>
      <c r="W1138" s="941">
        <v>47</v>
      </c>
      <c r="X1138" s="941">
        <v>250</v>
      </c>
      <c r="Y1138" s="941">
        <v>0</v>
      </c>
      <c r="Z1138" s="941">
        <v>0</v>
      </c>
      <c r="AA1138" s="942">
        <v>40</v>
      </c>
      <c r="AB1138" s="942">
        <v>338</v>
      </c>
      <c r="AC1138" s="942">
        <v>47</v>
      </c>
      <c r="AD1138" s="942">
        <v>246</v>
      </c>
      <c r="AE1138" s="942">
        <v>0</v>
      </c>
      <c r="AF1138" s="942">
        <v>0</v>
      </c>
      <c r="AG1138" s="943">
        <f>comparaison_samebasis_villages[[#This Row],[previous idp_ind]]-comparaison_samebasis_villages[[#This Row],[actual idp_ind]]</f>
        <v>-2</v>
      </c>
      <c r="AH1138" s="943">
        <f>comparaison_samebasis_villages[[#This Row],[previous ref_ind]]-comparaison_samebasis_villages[[#This Row],[actual ref_ind]]</f>
        <v>-4</v>
      </c>
      <c r="AI1138" s="943">
        <f>comparaison_samebasis_villages[[#This Row],[previous ret_ind]]-comparaison_samebasis_villages[[#This Row],[actual ret_ind]]</f>
        <v>0</v>
      </c>
    </row>
    <row r="1139" spans="15:35" ht="15.75" customHeight="1" x14ac:dyDescent="0.3">
      <c r="O1139" s="399" t="s">
        <v>31</v>
      </c>
      <c r="P1139" s="399" t="s">
        <v>31</v>
      </c>
      <c r="Q1139" s="399" t="s">
        <v>172</v>
      </c>
      <c r="R1139" s="399" t="s">
        <v>172</v>
      </c>
      <c r="S1139" s="399" t="s">
        <v>2699</v>
      </c>
      <c r="T1139" s="399" t="s">
        <v>2882</v>
      </c>
      <c r="U1139" s="941">
        <v>0</v>
      </c>
      <c r="V1139" s="941">
        <v>0</v>
      </c>
      <c r="W1139" s="941">
        <v>0</v>
      </c>
      <c r="X1139" s="941">
        <v>0</v>
      </c>
      <c r="Y1139" s="941">
        <v>0</v>
      </c>
      <c r="Z1139" s="941">
        <v>0</v>
      </c>
      <c r="AA1139" s="942">
        <v>0</v>
      </c>
      <c r="AB1139" s="942">
        <v>0</v>
      </c>
      <c r="AC1139" s="942">
        <v>0</v>
      </c>
      <c r="AD1139" s="942">
        <v>0</v>
      </c>
      <c r="AE1139" s="942">
        <v>0</v>
      </c>
      <c r="AF1139" s="942">
        <v>0</v>
      </c>
      <c r="AG1139" s="943">
        <f>comparaison_samebasis_villages[[#This Row],[previous idp_ind]]-comparaison_samebasis_villages[[#This Row],[actual idp_ind]]</f>
        <v>0</v>
      </c>
      <c r="AH1139" s="943">
        <f>comparaison_samebasis_villages[[#This Row],[previous ref_ind]]-comparaison_samebasis_villages[[#This Row],[actual ref_ind]]</f>
        <v>0</v>
      </c>
      <c r="AI1139" s="943">
        <f>comparaison_samebasis_villages[[#This Row],[previous ret_ind]]-comparaison_samebasis_villages[[#This Row],[actual ret_ind]]</f>
        <v>0</v>
      </c>
    </row>
    <row r="1140" spans="15:35" ht="15.75" customHeight="1" x14ac:dyDescent="0.3">
      <c r="O1140" s="399" t="s">
        <v>31</v>
      </c>
      <c r="P1140" s="399" t="s">
        <v>31</v>
      </c>
      <c r="Q1140" s="399" t="s">
        <v>172</v>
      </c>
      <c r="R1140" s="399" t="s">
        <v>172</v>
      </c>
      <c r="S1140" s="399" t="s">
        <v>2701</v>
      </c>
      <c r="T1140" s="399" t="s">
        <v>2925</v>
      </c>
      <c r="U1140" s="941">
        <v>0</v>
      </c>
      <c r="V1140" s="941">
        <v>0</v>
      </c>
      <c r="W1140" s="941">
        <v>0</v>
      </c>
      <c r="X1140" s="941">
        <v>0</v>
      </c>
      <c r="Y1140" s="941">
        <v>0</v>
      </c>
      <c r="Z1140" s="941">
        <v>0</v>
      </c>
      <c r="AA1140" s="942">
        <v>0</v>
      </c>
      <c r="AB1140" s="942">
        <v>0</v>
      </c>
      <c r="AC1140" s="942">
        <v>0</v>
      </c>
      <c r="AD1140" s="942">
        <v>0</v>
      </c>
      <c r="AE1140" s="942">
        <v>0</v>
      </c>
      <c r="AF1140" s="942">
        <v>0</v>
      </c>
      <c r="AG1140" s="943">
        <f>comparaison_samebasis_villages[[#This Row],[previous idp_ind]]-comparaison_samebasis_villages[[#This Row],[actual idp_ind]]</f>
        <v>0</v>
      </c>
      <c r="AH1140" s="943">
        <f>comparaison_samebasis_villages[[#This Row],[previous ref_ind]]-comparaison_samebasis_villages[[#This Row],[actual ref_ind]]</f>
        <v>0</v>
      </c>
      <c r="AI1140" s="943">
        <f>comparaison_samebasis_villages[[#This Row],[previous ret_ind]]-comparaison_samebasis_villages[[#This Row],[actual ret_ind]]</f>
        <v>0</v>
      </c>
    </row>
    <row r="1141" spans="15:35" ht="15.75" customHeight="1" x14ac:dyDescent="0.3">
      <c r="O1141" s="399" t="s">
        <v>31</v>
      </c>
      <c r="P1141" s="399" t="s">
        <v>31</v>
      </c>
      <c r="Q1141" s="399" t="s">
        <v>172</v>
      </c>
      <c r="R1141" s="399" t="s">
        <v>172</v>
      </c>
      <c r="S1141" s="399" t="s">
        <v>1176</v>
      </c>
      <c r="T1141" s="399" t="s">
        <v>2943</v>
      </c>
      <c r="U1141" s="941">
        <v>17</v>
      </c>
      <c r="V1141" s="941">
        <v>193</v>
      </c>
      <c r="W1141" s="941">
        <v>15</v>
      </c>
      <c r="X1141" s="941">
        <v>81</v>
      </c>
      <c r="Y1141" s="941">
        <v>2</v>
      </c>
      <c r="Z1141" s="941">
        <v>2</v>
      </c>
      <c r="AA1141" s="942">
        <v>17</v>
      </c>
      <c r="AB1141" s="942">
        <v>189</v>
      </c>
      <c r="AC1141" s="942">
        <v>15</v>
      </c>
      <c r="AD1141" s="942">
        <v>79</v>
      </c>
      <c r="AE1141" s="942">
        <v>2</v>
      </c>
      <c r="AF1141" s="942">
        <v>12</v>
      </c>
      <c r="AG1141" s="943">
        <f>comparaison_samebasis_villages[[#This Row],[previous idp_ind]]-comparaison_samebasis_villages[[#This Row],[actual idp_ind]]</f>
        <v>-4</v>
      </c>
      <c r="AH1141" s="943">
        <f>comparaison_samebasis_villages[[#This Row],[previous ref_ind]]-comparaison_samebasis_villages[[#This Row],[actual ref_ind]]</f>
        <v>-2</v>
      </c>
      <c r="AI1141" s="943">
        <f>comparaison_samebasis_villages[[#This Row],[previous ret_ind]]-comparaison_samebasis_villages[[#This Row],[actual ret_ind]]</f>
        <v>10</v>
      </c>
    </row>
    <row r="1142" spans="15:35" ht="15.75" customHeight="1" x14ac:dyDescent="0.3">
      <c r="O1142" s="399" t="s">
        <v>31</v>
      </c>
      <c r="P1142" s="399" t="s">
        <v>31</v>
      </c>
      <c r="Q1142" s="399" t="s">
        <v>172</v>
      </c>
      <c r="R1142" s="399" t="s">
        <v>172</v>
      </c>
      <c r="S1142" s="399" t="s">
        <v>2254</v>
      </c>
      <c r="T1142" s="399" t="s">
        <v>986</v>
      </c>
      <c r="U1142" s="941">
        <v>4</v>
      </c>
      <c r="V1142" s="941">
        <v>22</v>
      </c>
      <c r="W1142" s="941">
        <v>0</v>
      </c>
      <c r="X1142" s="941">
        <v>0</v>
      </c>
      <c r="Y1142" s="941">
        <v>17</v>
      </c>
      <c r="Z1142" s="941">
        <v>17</v>
      </c>
      <c r="AA1142" s="942">
        <v>0</v>
      </c>
      <c r="AB1142" s="942">
        <v>0</v>
      </c>
      <c r="AC1142" s="942">
        <v>0</v>
      </c>
      <c r="AD1142" s="942">
        <v>0</v>
      </c>
      <c r="AE1142" s="942">
        <v>17</v>
      </c>
      <c r="AF1142" s="942">
        <v>85</v>
      </c>
      <c r="AG1142" s="943">
        <f>comparaison_samebasis_villages[[#This Row],[previous idp_ind]]-comparaison_samebasis_villages[[#This Row],[actual idp_ind]]</f>
        <v>-22</v>
      </c>
      <c r="AH1142" s="943">
        <f>comparaison_samebasis_villages[[#This Row],[previous ref_ind]]-comparaison_samebasis_villages[[#This Row],[actual ref_ind]]</f>
        <v>0</v>
      </c>
      <c r="AI1142" s="943">
        <f>comparaison_samebasis_villages[[#This Row],[previous ret_ind]]-comparaison_samebasis_villages[[#This Row],[actual ret_ind]]</f>
        <v>68</v>
      </c>
    </row>
    <row r="1143" spans="15:35" ht="15.75" customHeight="1" x14ac:dyDescent="0.3">
      <c r="O1143" s="399" t="s">
        <v>31</v>
      </c>
      <c r="P1143" s="399" t="s">
        <v>31</v>
      </c>
      <c r="Q1143" s="399" t="s">
        <v>172</v>
      </c>
      <c r="R1143" s="399" t="s">
        <v>172</v>
      </c>
      <c r="S1143" s="399" t="s">
        <v>1126</v>
      </c>
      <c r="T1143" s="399" t="s">
        <v>1160</v>
      </c>
      <c r="U1143" s="941">
        <v>9</v>
      </c>
      <c r="V1143" s="941">
        <v>52</v>
      </c>
      <c r="W1143" s="941">
        <v>13</v>
      </c>
      <c r="X1143" s="941">
        <v>91</v>
      </c>
      <c r="Y1143" s="941">
        <v>15</v>
      </c>
      <c r="Z1143" s="941">
        <v>15</v>
      </c>
      <c r="AA1143" s="942">
        <v>9</v>
      </c>
      <c r="AB1143" s="942">
        <v>46</v>
      </c>
      <c r="AC1143" s="942">
        <v>13</v>
      </c>
      <c r="AD1143" s="942">
        <v>87</v>
      </c>
      <c r="AE1143" s="942">
        <v>15</v>
      </c>
      <c r="AF1143" s="942">
        <v>63</v>
      </c>
      <c r="AG1143" s="943">
        <f>comparaison_samebasis_villages[[#This Row],[previous idp_ind]]-comparaison_samebasis_villages[[#This Row],[actual idp_ind]]</f>
        <v>-6</v>
      </c>
      <c r="AH1143" s="943">
        <f>comparaison_samebasis_villages[[#This Row],[previous ref_ind]]-comparaison_samebasis_villages[[#This Row],[actual ref_ind]]</f>
        <v>-4</v>
      </c>
      <c r="AI1143" s="943">
        <f>comparaison_samebasis_villages[[#This Row],[previous ret_ind]]-comparaison_samebasis_villages[[#This Row],[actual ret_ind]]</f>
        <v>48</v>
      </c>
    </row>
    <row r="1144" spans="15:35" ht="15.75" customHeight="1" x14ac:dyDescent="0.3">
      <c r="O1144" s="399" t="s">
        <v>31</v>
      </c>
      <c r="P1144" s="399" t="s">
        <v>31</v>
      </c>
      <c r="Q1144" s="399" t="s">
        <v>172</v>
      </c>
      <c r="R1144" s="399" t="s">
        <v>172</v>
      </c>
      <c r="S1144" s="399" t="s">
        <v>2162</v>
      </c>
      <c r="T1144" s="399" t="s">
        <v>2883</v>
      </c>
      <c r="U1144" s="941">
        <v>40</v>
      </c>
      <c r="V1144" s="941">
        <v>200</v>
      </c>
      <c r="W1144" s="941">
        <v>5</v>
      </c>
      <c r="X1144" s="941">
        <v>43</v>
      </c>
      <c r="Y1144" s="941">
        <v>3</v>
      </c>
      <c r="Z1144" s="941">
        <v>3</v>
      </c>
      <c r="AA1144" s="942">
        <v>40</v>
      </c>
      <c r="AB1144" s="942">
        <v>190</v>
      </c>
      <c r="AC1144" s="942">
        <v>5</v>
      </c>
      <c r="AD1144" s="942">
        <v>41</v>
      </c>
      <c r="AE1144" s="942">
        <v>3</v>
      </c>
      <c r="AF1144" s="942">
        <v>23</v>
      </c>
      <c r="AG1144" s="943">
        <f>comparaison_samebasis_villages[[#This Row],[previous idp_ind]]-comparaison_samebasis_villages[[#This Row],[actual idp_ind]]</f>
        <v>-10</v>
      </c>
      <c r="AH1144" s="943">
        <f>comparaison_samebasis_villages[[#This Row],[previous ref_ind]]-comparaison_samebasis_villages[[#This Row],[actual ref_ind]]</f>
        <v>-2</v>
      </c>
      <c r="AI1144" s="943">
        <f>comparaison_samebasis_villages[[#This Row],[previous ret_ind]]-comparaison_samebasis_villages[[#This Row],[actual ret_ind]]</f>
        <v>20</v>
      </c>
    </row>
    <row r="1145" spans="15:35" ht="15.75" customHeight="1" x14ac:dyDescent="0.3">
      <c r="O1145" s="399" t="s">
        <v>31</v>
      </c>
      <c r="P1145" s="399" t="s">
        <v>31</v>
      </c>
      <c r="Q1145" s="399" t="s">
        <v>172</v>
      </c>
      <c r="R1145" s="399" t="s">
        <v>172</v>
      </c>
      <c r="S1145" s="399" t="s">
        <v>1308</v>
      </c>
      <c r="T1145" s="399" t="s">
        <v>3009</v>
      </c>
      <c r="U1145" s="941">
        <v>55</v>
      </c>
      <c r="V1145" s="941">
        <v>461</v>
      </c>
      <c r="W1145" s="941">
        <v>13</v>
      </c>
      <c r="X1145" s="941">
        <v>60</v>
      </c>
      <c r="Y1145" s="941">
        <v>0</v>
      </c>
      <c r="Z1145" s="941">
        <v>0</v>
      </c>
      <c r="AA1145" s="942">
        <v>65</v>
      </c>
      <c r="AB1145" s="942">
        <v>515</v>
      </c>
      <c r="AC1145" s="942">
        <v>13</v>
      </c>
      <c r="AD1145" s="942">
        <v>60</v>
      </c>
      <c r="AE1145" s="942">
        <v>0</v>
      </c>
      <c r="AF1145" s="942">
        <v>0</v>
      </c>
      <c r="AG1145" s="943">
        <f>comparaison_samebasis_villages[[#This Row],[previous idp_ind]]-comparaison_samebasis_villages[[#This Row],[actual idp_ind]]</f>
        <v>54</v>
      </c>
      <c r="AH1145" s="943">
        <f>comparaison_samebasis_villages[[#This Row],[previous ref_ind]]-comparaison_samebasis_villages[[#This Row],[actual ref_ind]]</f>
        <v>0</v>
      </c>
      <c r="AI1145" s="943">
        <f>comparaison_samebasis_villages[[#This Row],[previous ret_ind]]-comparaison_samebasis_villages[[#This Row],[actual ret_ind]]</f>
        <v>0</v>
      </c>
    </row>
    <row r="1146" spans="15:35" ht="15.75" customHeight="1" x14ac:dyDescent="0.3">
      <c r="O1146" s="399" t="s">
        <v>31</v>
      </c>
      <c r="P1146" s="399" t="s">
        <v>31</v>
      </c>
      <c r="Q1146" s="399" t="s">
        <v>172</v>
      </c>
      <c r="R1146" s="399" t="s">
        <v>172</v>
      </c>
      <c r="S1146" s="399" t="s">
        <v>981</v>
      </c>
      <c r="T1146" s="399" t="s">
        <v>2698</v>
      </c>
      <c r="U1146" s="941">
        <v>47</v>
      </c>
      <c r="V1146" s="941">
        <v>269</v>
      </c>
      <c r="W1146" s="941">
        <v>0</v>
      </c>
      <c r="X1146" s="941">
        <v>0</v>
      </c>
      <c r="Y1146" s="941">
        <v>0</v>
      </c>
      <c r="Z1146" s="941">
        <v>0</v>
      </c>
      <c r="AA1146" s="942">
        <v>47</v>
      </c>
      <c r="AB1146" s="942">
        <v>260</v>
      </c>
      <c r="AC1146" s="942">
        <v>0</v>
      </c>
      <c r="AD1146" s="942">
        <v>0</v>
      </c>
      <c r="AE1146" s="942">
        <v>0</v>
      </c>
      <c r="AF1146" s="942">
        <v>0</v>
      </c>
      <c r="AG1146" s="943">
        <f>comparaison_samebasis_villages[[#This Row],[previous idp_ind]]-comparaison_samebasis_villages[[#This Row],[actual idp_ind]]</f>
        <v>-9</v>
      </c>
      <c r="AH1146" s="943">
        <f>comparaison_samebasis_villages[[#This Row],[previous ref_ind]]-comparaison_samebasis_villages[[#This Row],[actual ref_ind]]</f>
        <v>0</v>
      </c>
      <c r="AI1146" s="943">
        <f>comparaison_samebasis_villages[[#This Row],[previous ret_ind]]-comparaison_samebasis_villages[[#This Row],[actual ret_ind]]</f>
        <v>0</v>
      </c>
    </row>
    <row r="1147" spans="15:35" ht="15.75" customHeight="1" x14ac:dyDescent="0.3">
      <c r="O1147" s="399" t="s">
        <v>31</v>
      </c>
      <c r="P1147" s="399" t="s">
        <v>31</v>
      </c>
      <c r="Q1147" s="399" t="s">
        <v>172</v>
      </c>
      <c r="R1147" s="399" t="s">
        <v>172</v>
      </c>
      <c r="S1147" s="399" t="s">
        <v>1865</v>
      </c>
      <c r="T1147" s="399" t="s">
        <v>2812</v>
      </c>
      <c r="U1147" s="941">
        <v>17</v>
      </c>
      <c r="V1147" s="941">
        <v>75</v>
      </c>
      <c r="W1147" s="941">
        <v>9</v>
      </c>
      <c r="X1147" s="941">
        <v>76</v>
      </c>
      <c r="Y1147" s="941">
        <v>18</v>
      </c>
      <c r="Z1147" s="941">
        <v>18</v>
      </c>
      <c r="AA1147" s="1183">
        <v>15</v>
      </c>
      <c r="AB1147" s="1183">
        <v>60</v>
      </c>
      <c r="AC1147" s="1183">
        <v>9</v>
      </c>
      <c r="AD1147" s="1183">
        <v>76</v>
      </c>
      <c r="AE1147" s="1183">
        <v>18</v>
      </c>
      <c r="AF1147" s="1183">
        <v>157</v>
      </c>
      <c r="AG1147" s="943">
        <f>comparaison_samebasis_villages[[#This Row],[previous idp_ind]]-comparaison_samebasis_villages[[#This Row],[actual idp_ind]]</f>
        <v>-15</v>
      </c>
      <c r="AH1147" s="943">
        <f>comparaison_samebasis_villages[[#This Row],[previous ref_ind]]-comparaison_samebasis_villages[[#This Row],[actual ref_ind]]</f>
        <v>0</v>
      </c>
      <c r="AI1147" s="943">
        <f>comparaison_samebasis_villages[[#This Row],[previous ret_ind]]-comparaison_samebasis_villages[[#This Row],[actual ret_ind]]</f>
        <v>139</v>
      </c>
    </row>
    <row r="1148" spans="15:35" ht="15.75" customHeight="1" x14ac:dyDescent="0.3">
      <c r="O1148" s="399" t="s">
        <v>31</v>
      </c>
      <c r="P1148" s="399" t="s">
        <v>31</v>
      </c>
      <c r="Q1148" s="399" t="s">
        <v>172</v>
      </c>
      <c r="R1148" s="399" t="s">
        <v>172</v>
      </c>
      <c r="S1148" s="399" t="s">
        <v>1194</v>
      </c>
      <c r="T1148" s="399" t="s">
        <v>2700</v>
      </c>
      <c r="U1148" s="941">
        <v>69</v>
      </c>
      <c r="V1148" s="941">
        <v>512</v>
      </c>
      <c r="W1148" s="941">
        <v>15</v>
      </c>
      <c r="X1148" s="941">
        <v>120</v>
      </c>
      <c r="Y1148" s="941">
        <v>0</v>
      </c>
      <c r="Z1148" s="941">
        <v>0</v>
      </c>
      <c r="AA1148" s="1183">
        <v>81</v>
      </c>
      <c r="AB1148" s="1183">
        <v>685</v>
      </c>
      <c r="AC1148" s="1183">
        <v>15</v>
      </c>
      <c r="AD1148" s="1183">
        <v>120</v>
      </c>
      <c r="AE1148" s="1183">
        <v>0</v>
      </c>
      <c r="AF1148" s="1183">
        <v>0</v>
      </c>
      <c r="AG1148" s="943">
        <f>comparaison_samebasis_villages[[#This Row],[previous idp_ind]]-comparaison_samebasis_villages[[#This Row],[actual idp_ind]]</f>
        <v>173</v>
      </c>
      <c r="AH1148" s="943">
        <f>comparaison_samebasis_villages[[#This Row],[previous ref_ind]]-comparaison_samebasis_villages[[#This Row],[actual ref_ind]]</f>
        <v>0</v>
      </c>
      <c r="AI1148" s="943">
        <f>comparaison_samebasis_villages[[#This Row],[previous ret_ind]]-comparaison_samebasis_villages[[#This Row],[actual ret_ind]]</f>
        <v>0</v>
      </c>
    </row>
    <row r="1149" spans="15:35" ht="15.75" customHeight="1" x14ac:dyDescent="0.3">
      <c r="O1149" s="399" t="s">
        <v>31</v>
      </c>
      <c r="P1149" s="399" t="s">
        <v>31</v>
      </c>
      <c r="Q1149" s="399" t="s">
        <v>172</v>
      </c>
      <c r="R1149" s="399" t="s">
        <v>172</v>
      </c>
      <c r="S1149" s="399" t="s">
        <v>1958</v>
      </c>
      <c r="T1149" s="399" t="s">
        <v>1175</v>
      </c>
      <c r="U1149" s="941">
        <v>25</v>
      </c>
      <c r="V1149" s="941">
        <v>110</v>
      </c>
      <c r="W1149" s="941">
        <v>17</v>
      </c>
      <c r="X1149" s="941">
        <v>85</v>
      </c>
      <c r="Y1149" s="941">
        <v>0</v>
      </c>
      <c r="Z1149" s="941">
        <v>0</v>
      </c>
      <c r="AA1149" s="1183">
        <v>25</v>
      </c>
      <c r="AB1149" s="1183">
        <v>100</v>
      </c>
      <c r="AC1149" s="1183">
        <v>17</v>
      </c>
      <c r="AD1149" s="1183">
        <v>80</v>
      </c>
      <c r="AE1149" s="1183">
        <v>0</v>
      </c>
      <c r="AF1149" s="1183">
        <v>0</v>
      </c>
      <c r="AG1149" s="943">
        <f>comparaison_samebasis_villages[[#This Row],[previous idp_ind]]-comparaison_samebasis_villages[[#This Row],[actual idp_ind]]</f>
        <v>-10</v>
      </c>
      <c r="AH1149" s="943">
        <f>comparaison_samebasis_villages[[#This Row],[previous ref_ind]]-comparaison_samebasis_villages[[#This Row],[actual ref_ind]]</f>
        <v>-5</v>
      </c>
      <c r="AI1149" s="943">
        <f>comparaison_samebasis_villages[[#This Row],[previous ret_ind]]-comparaison_samebasis_villages[[#This Row],[actual ret_ind]]</f>
        <v>0</v>
      </c>
    </row>
    <row r="1150" spans="15:35" ht="15.75" customHeight="1" x14ac:dyDescent="0.3">
      <c r="O1150" s="399" t="s">
        <v>31</v>
      </c>
      <c r="P1150" s="399" t="s">
        <v>31</v>
      </c>
      <c r="Q1150" s="399" t="s">
        <v>172</v>
      </c>
      <c r="R1150" s="399" t="s">
        <v>172</v>
      </c>
      <c r="S1150" s="399" t="s">
        <v>2703</v>
      </c>
      <c r="T1150" s="399" t="s">
        <v>2253</v>
      </c>
      <c r="U1150" s="941">
        <v>0</v>
      </c>
      <c r="V1150" s="941">
        <v>0</v>
      </c>
      <c r="W1150" s="941">
        <v>0</v>
      </c>
      <c r="X1150" s="941">
        <v>0</v>
      </c>
      <c r="Y1150" s="941">
        <v>0</v>
      </c>
      <c r="Z1150" s="941">
        <v>0</v>
      </c>
      <c r="AA1150" s="1183">
        <v>0</v>
      </c>
      <c r="AB1150" s="1183">
        <v>0</v>
      </c>
      <c r="AC1150" s="1183">
        <v>0</v>
      </c>
      <c r="AD1150" s="1183">
        <v>0</v>
      </c>
      <c r="AE1150" s="1183">
        <v>0</v>
      </c>
      <c r="AF1150" s="1183">
        <v>0</v>
      </c>
      <c r="AG1150" s="943">
        <f>comparaison_samebasis_villages[[#This Row],[previous idp_ind]]-comparaison_samebasis_villages[[#This Row],[actual idp_ind]]</f>
        <v>0</v>
      </c>
      <c r="AH1150" s="943">
        <f>comparaison_samebasis_villages[[#This Row],[previous ref_ind]]-comparaison_samebasis_villages[[#This Row],[actual ref_ind]]</f>
        <v>0</v>
      </c>
      <c r="AI1150" s="943">
        <f>comparaison_samebasis_villages[[#This Row],[previous ret_ind]]-comparaison_samebasis_villages[[#This Row],[actual ret_ind]]</f>
        <v>0</v>
      </c>
    </row>
    <row r="1151" spans="15:35" ht="15.75" customHeight="1" x14ac:dyDescent="0.3">
      <c r="O1151" s="399" t="s">
        <v>31</v>
      </c>
      <c r="P1151" s="399" t="s">
        <v>31</v>
      </c>
      <c r="Q1151" s="399" t="s">
        <v>172</v>
      </c>
      <c r="R1151" s="399" t="s">
        <v>172</v>
      </c>
      <c r="S1151" s="399" t="s">
        <v>2250</v>
      </c>
      <c r="T1151" s="399" t="s">
        <v>2821</v>
      </c>
      <c r="U1151" s="941">
        <v>0</v>
      </c>
      <c r="V1151" s="941">
        <v>0</v>
      </c>
      <c r="W1151" s="941">
        <v>0</v>
      </c>
      <c r="X1151" s="941">
        <v>0</v>
      </c>
      <c r="Y1151" s="941">
        <v>0</v>
      </c>
      <c r="Z1151" s="941">
        <v>0</v>
      </c>
      <c r="AA1151" s="1183">
        <v>0</v>
      </c>
      <c r="AB1151" s="1183">
        <v>0</v>
      </c>
      <c r="AC1151" s="1183">
        <v>0</v>
      </c>
      <c r="AD1151" s="1183">
        <v>0</v>
      </c>
      <c r="AE1151" s="1183">
        <v>0</v>
      </c>
      <c r="AF1151" s="1183">
        <v>0</v>
      </c>
      <c r="AG1151" s="943">
        <f>comparaison_samebasis_villages[[#This Row],[previous idp_ind]]-comparaison_samebasis_villages[[#This Row],[actual idp_ind]]</f>
        <v>0</v>
      </c>
      <c r="AH1151" s="943">
        <f>comparaison_samebasis_villages[[#This Row],[previous ref_ind]]-comparaison_samebasis_villages[[#This Row],[actual ref_ind]]</f>
        <v>0</v>
      </c>
      <c r="AI1151" s="943">
        <f>comparaison_samebasis_villages[[#This Row],[previous ret_ind]]-comparaison_samebasis_villages[[#This Row],[actual ret_ind]]</f>
        <v>0</v>
      </c>
    </row>
    <row r="1152" spans="15:35" ht="15.75" customHeight="1" x14ac:dyDescent="0.3">
      <c r="O1152" s="399" t="s">
        <v>31</v>
      </c>
      <c r="P1152" s="399" t="s">
        <v>31</v>
      </c>
      <c r="Q1152" s="399" t="s">
        <v>172</v>
      </c>
      <c r="R1152" s="399" t="s">
        <v>172</v>
      </c>
      <c r="S1152" s="399" t="s">
        <v>2704</v>
      </c>
      <c r="T1152" s="399" t="s">
        <v>2864</v>
      </c>
      <c r="U1152" s="941">
        <v>0</v>
      </c>
      <c r="V1152" s="941">
        <v>0</v>
      </c>
      <c r="W1152" s="941">
        <v>0</v>
      </c>
      <c r="X1152" s="941">
        <v>0</v>
      </c>
      <c r="Y1152" s="941">
        <v>0</v>
      </c>
      <c r="Z1152" s="941">
        <v>0</v>
      </c>
      <c r="AA1152" s="1183">
        <v>0</v>
      </c>
      <c r="AB1152" s="1183">
        <v>0</v>
      </c>
      <c r="AC1152" s="1183">
        <v>0</v>
      </c>
      <c r="AD1152" s="1183">
        <v>0</v>
      </c>
      <c r="AE1152" s="1183">
        <v>0</v>
      </c>
      <c r="AF1152" s="1183">
        <v>0</v>
      </c>
      <c r="AG1152" s="943">
        <f>comparaison_samebasis_villages[[#This Row],[previous idp_ind]]-comparaison_samebasis_villages[[#This Row],[actual idp_ind]]</f>
        <v>0</v>
      </c>
      <c r="AH1152" s="943">
        <f>comparaison_samebasis_villages[[#This Row],[previous ref_ind]]-comparaison_samebasis_villages[[#This Row],[actual ref_ind]]</f>
        <v>0</v>
      </c>
      <c r="AI1152" s="943">
        <f>comparaison_samebasis_villages[[#This Row],[previous ret_ind]]-comparaison_samebasis_villages[[#This Row],[actual ret_ind]]</f>
        <v>0</v>
      </c>
    </row>
    <row r="1153" spans="15:35" ht="15.75" customHeight="1" x14ac:dyDescent="0.3">
      <c r="O1153" s="399" t="s">
        <v>31</v>
      </c>
      <c r="P1153" s="399" t="s">
        <v>31</v>
      </c>
      <c r="Q1153" s="399" t="s">
        <v>172</v>
      </c>
      <c r="R1153" s="399" t="s">
        <v>172</v>
      </c>
      <c r="S1153" s="399" t="s">
        <v>2705</v>
      </c>
      <c r="T1153" s="399" t="s">
        <v>1125</v>
      </c>
      <c r="U1153" s="941">
        <v>0</v>
      </c>
      <c r="V1153" s="941">
        <v>0</v>
      </c>
      <c r="W1153" s="941">
        <v>0</v>
      </c>
      <c r="X1153" s="941">
        <v>0</v>
      </c>
      <c r="Y1153" s="941">
        <v>0</v>
      </c>
      <c r="Z1153" s="941">
        <v>0</v>
      </c>
      <c r="AA1153" s="1183">
        <v>0</v>
      </c>
      <c r="AB1153" s="1183">
        <v>0</v>
      </c>
      <c r="AC1153" s="1183">
        <v>0</v>
      </c>
      <c r="AD1153" s="1183">
        <v>0</v>
      </c>
      <c r="AE1153" s="1183">
        <v>0</v>
      </c>
      <c r="AF1153" s="1183">
        <v>0</v>
      </c>
      <c r="AG1153" s="943">
        <f>comparaison_samebasis_villages[[#This Row],[previous idp_ind]]-comparaison_samebasis_villages[[#This Row],[actual idp_ind]]</f>
        <v>0</v>
      </c>
      <c r="AH1153" s="943">
        <f>comparaison_samebasis_villages[[#This Row],[previous ref_ind]]-comparaison_samebasis_villages[[#This Row],[actual ref_ind]]</f>
        <v>0</v>
      </c>
      <c r="AI1153" s="943">
        <f>comparaison_samebasis_villages[[#This Row],[previous ret_ind]]-comparaison_samebasis_villages[[#This Row],[actual ret_ind]]</f>
        <v>0</v>
      </c>
    </row>
    <row r="1154" spans="15:35" ht="15.75" customHeight="1" x14ac:dyDescent="0.3">
      <c r="O1154" s="399" t="s">
        <v>31</v>
      </c>
      <c r="P1154" s="399" t="s">
        <v>31</v>
      </c>
      <c r="Q1154" s="399" t="s">
        <v>172</v>
      </c>
      <c r="R1154" s="399" t="s">
        <v>172</v>
      </c>
      <c r="S1154" s="399" t="s">
        <v>2706</v>
      </c>
      <c r="T1154" s="399" t="s">
        <v>2161</v>
      </c>
      <c r="U1154" s="941">
        <v>0</v>
      </c>
      <c r="V1154" s="941">
        <v>0</v>
      </c>
      <c r="W1154" s="941">
        <v>0</v>
      </c>
      <c r="X1154" s="941">
        <v>0</v>
      </c>
      <c r="Y1154" s="941">
        <v>0</v>
      </c>
      <c r="Z1154" s="941">
        <v>0</v>
      </c>
      <c r="AA1154" s="1183">
        <v>0</v>
      </c>
      <c r="AB1154" s="1183">
        <v>0</v>
      </c>
      <c r="AC1154" s="1183">
        <v>0</v>
      </c>
      <c r="AD1154" s="1183">
        <v>0</v>
      </c>
      <c r="AE1154" s="1183">
        <v>0</v>
      </c>
      <c r="AF1154" s="1183">
        <v>0</v>
      </c>
      <c r="AG1154" s="943">
        <f>comparaison_samebasis_villages[[#This Row],[previous idp_ind]]-comparaison_samebasis_villages[[#This Row],[actual idp_ind]]</f>
        <v>0</v>
      </c>
      <c r="AH1154" s="943">
        <f>comparaison_samebasis_villages[[#This Row],[previous ref_ind]]-comparaison_samebasis_villages[[#This Row],[actual ref_ind]]</f>
        <v>0</v>
      </c>
      <c r="AI1154" s="943">
        <f>comparaison_samebasis_villages[[#This Row],[previous ret_ind]]-comparaison_samebasis_villages[[#This Row],[actual ret_ind]]</f>
        <v>0</v>
      </c>
    </row>
    <row r="1155" spans="15:35" ht="15.75" customHeight="1" x14ac:dyDescent="0.3">
      <c r="O1155" s="399" t="s">
        <v>31</v>
      </c>
      <c r="P1155" s="399" t="s">
        <v>31</v>
      </c>
      <c r="Q1155" s="399" t="s">
        <v>172</v>
      </c>
      <c r="R1155" s="399" t="s">
        <v>172</v>
      </c>
      <c r="S1155" s="399" t="s">
        <v>2707</v>
      </c>
      <c r="T1155" s="399" t="s">
        <v>1307</v>
      </c>
      <c r="U1155" s="941">
        <v>0</v>
      </c>
      <c r="V1155" s="941">
        <v>0</v>
      </c>
      <c r="W1155" s="941">
        <v>0</v>
      </c>
      <c r="X1155" s="941">
        <v>0</v>
      </c>
      <c r="Y1155" s="941">
        <v>0</v>
      </c>
      <c r="Z1155" s="941">
        <v>0</v>
      </c>
      <c r="AA1155" s="1183">
        <v>0</v>
      </c>
      <c r="AB1155" s="1183">
        <v>0</v>
      </c>
      <c r="AC1155" s="1183">
        <v>0</v>
      </c>
      <c r="AD1155" s="1183">
        <v>0</v>
      </c>
      <c r="AE1155" s="1183">
        <v>0</v>
      </c>
      <c r="AF1155" s="1183">
        <v>0</v>
      </c>
      <c r="AG1155" s="943">
        <f>comparaison_samebasis_villages[[#This Row],[previous idp_ind]]-comparaison_samebasis_villages[[#This Row],[actual idp_ind]]</f>
        <v>0</v>
      </c>
      <c r="AH1155" s="943">
        <f>comparaison_samebasis_villages[[#This Row],[previous ref_ind]]-comparaison_samebasis_villages[[#This Row],[actual ref_ind]]</f>
        <v>0</v>
      </c>
      <c r="AI1155" s="943">
        <f>comparaison_samebasis_villages[[#This Row],[previous ret_ind]]-comparaison_samebasis_villages[[#This Row],[actual ret_ind]]</f>
        <v>0</v>
      </c>
    </row>
    <row r="1156" spans="15:35" ht="15.75" customHeight="1" x14ac:dyDescent="0.3">
      <c r="O1156" s="399" t="s">
        <v>31</v>
      </c>
      <c r="P1156" s="399" t="s">
        <v>31</v>
      </c>
      <c r="Q1156" s="399" t="s">
        <v>172</v>
      </c>
      <c r="R1156" s="399" t="s">
        <v>172</v>
      </c>
      <c r="S1156" s="399" t="s">
        <v>2708</v>
      </c>
      <c r="T1156" s="399" t="s">
        <v>980</v>
      </c>
      <c r="U1156" s="941">
        <v>0</v>
      </c>
      <c r="V1156" s="941">
        <v>0</v>
      </c>
      <c r="W1156" s="941">
        <v>0</v>
      </c>
      <c r="X1156" s="941">
        <v>0</v>
      </c>
      <c r="Y1156" s="941">
        <v>0</v>
      </c>
      <c r="Z1156" s="941">
        <v>0</v>
      </c>
      <c r="AA1156" s="1183">
        <v>0</v>
      </c>
      <c r="AB1156" s="1183">
        <v>0</v>
      </c>
      <c r="AC1156" s="1183">
        <v>0</v>
      </c>
      <c r="AD1156" s="1183">
        <v>0</v>
      </c>
      <c r="AE1156" s="1183">
        <v>0</v>
      </c>
      <c r="AF1156" s="1183">
        <v>0</v>
      </c>
      <c r="AG1156" s="943">
        <f>comparaison_samebasis_villages[[#This Row],[previous idp_ind]]-comparaison_samebasis_villages[[#This Row],[actual idp_ind]]</f>
        <v>0</v>
      </c>
      <c r="AH1156" s="943">
        <f>comparaison_samebasis_villages[[#This Row],[previous ref_ind]]-comparaison_samebasis_villages[[#This Row],[actual ref_ind]]</f>
        <v>0</v>
      </c>
      <c r="AI1156" s="943">
        <f>comparaison_samebasis_villages[[#This Row],[previous ret_ind]]-comparaison_samebasis_villages[[#This Row],[actual ret_ind]]</f>
        <v>0</v>
      </c>
    </row>
    <row r="1157" spans="15:35" ht="15.75" customHeight="1" x14ac:dyDescent="0.3">
      <c r="O1157" s="399" t="s">
        <v>31</v>
      </c>
      <c r="P1157" s="399" t="s">
        <v>31</v>
      </c>
      <c r="Q1157" s="399" t="s">
        <v>172</v>
      </c>
      <c r="R1157" s="399" t="s">
        <v>172</v>
      </c>
      <c r="S1157" s="399" t="s">
        <v>2709</v>
      </c>
      <c r="T1157" s="399" t="s">
        <v>3095</v>
      </c>
      <c r="U1157" s="941">
        <v>0</v>
      </c>
      <c r="V1157" s="941">
        <v>0</v>
      </c>
      <c r="W1157" s="941">
        <v>0</v>
      </c>
      <c r="X1157" s="941">
        <v>0</v>
      </c>
      <c r="Y1157" s="941">
        <v>0</v>
      </c>
      <c r="Z1157" s="941">
        <v>0</v>
      </c>
      <c r="AA1157" s="1183">
        <v>0</v>
      </c>
      <c r="AB1157" s="1183">
        <v>0</v>
      </c>
      <c r="AC1157" s="1183">
        <v>0</v>
      </c>
      <c r="AD1157" s="1183">
        <v>0</v>
      </c>
      <c r="AE1157" s="1183">
        <v>0</v>
      </c>
      <c r="AF1157" s="1183">
        <v>0</v>
      </c>
      <c r="AG1157" s="943">
        <f>comparaison_samebasis_villages[[#This Row],[previous idp_ind]]-comparaison_samebasis_villages[[#This Row],[actual idp_ind]]</f>
        <v>0</v>
      </c>
      <c r="AH1157" s="943">
        <f>comparaison_samebasis_villages[[#This Row],[previous ref_ind]]-comparaison_samebasis_villages[[#This Row],[actual ref_ind]]</f>
        <v>0</v>
      </c>
      <c r="AI1157" s="943">
        <f>comparaison_samebasis_villages[[#This Row],[previous ret_ind]]-comparaison_samebasis_villages[[#This Row],[actual ret_ind]]</f>
        <v>0</v>
      </c>
    </row>
    <row r="1158" spans="15:35" ht="15.75" customHeight="1" x14ac:dyDescent="0.3">
      <c r="O1158" s="399" t="s">
        <v>31</v>
      </c>
      <c r="P1158" s="399" t="s">
        <v>31</v>
      </c>
      <c r="Q1158" s="399" t="s">
        <v>172</v>
      </c>
      <c r="R1158" s="399" t="s">
        <v>172</v>
      </c>
      <c r="S1158" s="399" t="s">
        <v>1039</v>
      </c>
      <c r="T1158" s="399" t="s">
        <v>2996</v>
      </c>
      <c r="U1158" s="941">
        <v>61</v>
      </c>
      <c r="V1158" s="941">
        <v>212</v>
      </c>
      <c r="W1158" s="941">
        <v>13</v>
      </c>
      <c r="X1158" s="941">
        <v>59</v>
      </c>
      <c r="Y1158" s="941">
        <v>20</v>
      </c>
      <c r="Z1158" s="941">
        <v>20</v>
      </c>
      <c r="AA1158" s="1183">
        <v>23</v>
      </c>
      <c r="AB1158" s="1183">
        <v>97</v>
      </c>
      <c r="AC1158" s="1183">
        <v>14</v>
      </c>
      <c r="AD1158" s="1183">
        <v>64</v>
      </c>
      <c r="AE1158" s="1183">
        <v>20</v>
      </c>
      <c r="AF1158" s="1183">
        <v>98</v>
      </c>
      <c r="AG1158" s="943">
        <f>comparaison_samebasis_villages[[#This Row],[previous idp_ind]]-comparaison_samebasis_villages[[#This Row],[actual idp_ind]]</f>
        <v>-115</v>
      </c>
      <c r="AH1158" s="943">
        <f>comparaison_samebasis_villages[[#This Row],[previous ref_ind]]-comparaison_samebasis_villages[[#This Row],[actual ref_ind]]</f>
        <v>5</v>
      </c>
      <c r="AI1158" s="943">
        <f>comparaison_samebasis_villages[[#This Row],[previous ret_ind]]-comparaison_samebasis_villages[[#This Row],[actual ret_ind]]</f>
        <v>78</v>
      </c>
    </row>
    <row r="1159" spans="15:35" ht="15.75" customHeight="1" x14ac:dyDescent="0.3">
      <c r="O1159" s="399" t="s">
        <v>31</v>
      </c>
      <c r="P1159" s="399" t="s">
        <v>31</v>
      </c>
      <c r="Q1159" s="399" t="s">
        <v>172</v>
      </c>
      <c r="R1159" s="399" t="s">
        <v>172</v>
      </c>
      <c r="S1159" s="399" t="s">
        <v>1835</v>
      </c>
      <c r="T1159" s="399" t="s">
        <v>1864</v>
      </c>
      <c r="U1159" s="941">
        <v>0</v>
      </c>
      <c r="V1159" s="941">
        <v>0</v>
      </c>
      <c r="W1159" s="941">
        <v>10</v>
      </c>
      <c r="X1159" s="941">
        <v>66</v>
      </c>
      <c r="Y1159" s="941">
        <v>0</v>
      </c>
      <c r="Z1159" s="941">
        <v>0</v>
      </c>
      <c r="AA1159" s="1183">
        <v>2</v>
      </c>
      <c r="AB1159" s="1183">
        <v>12</v>
      </c>
      <c r="AC1159" s="1183">
        <v>10</v>
      </c>
      <c r="AD1159" s="1183">
        <v>62</v>
      </c>
      <c r="AE1159" s="1183">
        <v>0</v>
      </c>
      <c r="AF1159" s="1183">
        <v>0</v>
      </c>
      <c r="AG1159" s="943">
        <f>comparaison_samebasis_villages[[#This Row],[previous idp_ind]]-comparaison_samebasis_villages[[#This Row],[actual idp_ind]]</f>
        <v>12</v>
      </c>
      <c r="AH1159" s="943">
        <f>comparaison_samebasis_villages[[#This Row],[previous ref_ind]]-comparaison_samebasis_villages[[#This Row],[actual ref_ind]]</f>
        <v>-4</v>
      </c>
      <c r="AI1159" s="943">
        <f>comparaison_samebasis_villages[[#This Row],[previous ret_ind]]-comparaison_samebasis_villages[[#This Row],[actual ret_ind]]</f>
        <v>0</v>
      </c>
    </row>
    <row r="1160" spans="15:35" ht="15.75" customHeight="1" x14ac:dyDescent="0.3">
      <c r="O1160" s="399" t="s">
        <v>31</v>
      </c>
      <c r="P1160" s="399" t="s">
        <v>31</v>
      </c>
      <c r="Q1160" s="399" t="s">
        <v>172</v>
      </c>
      <c r="R1160" s="399" t="s">
        <v>172</v>
      </c>
      <c r="S1160" s="399" t="s">
        <v>1905</v>
      </c>
      <c r="T1160" s="399" t="s">
        <v>1193</v>
      </c>
      <c r="U1160" s="941">
        <v>11</v>
      </c>
      <c r="V1160" s="941">
        <v>66</v>
      </c>
      <c r="W1160" s="941">
        <v>0</v>
      </c>
      <c r="X1160" s="941">
        <v>0</v>
      </c>
      <c r="Y1160" s="941">
        <v>0</v>
      </c>
      <c r="Z1160" s="941">
        <v>0</v>
      </c>
      <c r="AA1160" s="1183">
        <v>56</v>
      </c>
      <c r="AB1160" s="1183">
        <v>208</v>
      </c>
      <c r="AC1160" s="1183">
        <v>0</v>
      </c>
      <c r="AD1160" s="1183">
        <v>0</v>
      </c>
      <c r="AE1160" s="1183">
        <v>0</v>
      </c>
      <c r="AF1160" s="1183">
        <v>0</v>
      </c>
      <c r="AG1160" s="943">
        <f>comparaison_samebasis_villages[[#This Row],[previous idp_ind]]-comparaison_samebasis_villages[[#This Row],[actual idp_ind]]</f>
        <v>142</v>
      </c>
      <c r="AH1160" s="943">
        <f>comparaison_samebasis_villages[[#This Row],[previous ref_ind]]-comparaison_samebasis_villages[[#This Row],[actual ref_ind]]</f>
        <v>0</v>
      </c>
      <c r="AI1160" s="943">
        <f>comparaison_samebasis_villages[[#This Row],[previous ret_ind]]-comparaison_samebasis_villages[[#This Row],[actual ret_ind]]</f>
        <v>0</v>
      </c>
    </row>
    <row r="1161" spans="15:35" ht="15.75" customHeight="1" x14ac:dyDescent="0.3">
      <c r="O1161" s="399" t="s">
        <v>31</v>
      </c>
      <c r="P1161" s="399" t="s">
        <v>31</v>
      </c>
      <c r="Q1161" s="399" t="s">
        <v>172</v>
      </c>
      <c r="R1161" s="399" t="s">
        <v>172</v>
      </c>
      <c r="S1161" s="399" t="s">
        <v>2382</v>
      </c>
      <c r="T1161" s="399" t="s">
        <v>1957</v>
      </c>
      <c r="U1161" s="941">
        <v>0</v>
      </c>
      <c r="V1161" s="941">
        <v>0</v>
      </c>
      <c r="W1161" s="941">
        <v>0</v>
      </c>
      <c r="X1161" s="941">
        <v>0</v>
      </c>
      <c r="Y1161" s="941">
        <v>0</v>
      </c>
      <c r="Z1161" s="941">
        <v>0</v>
      </c>
      <c r="AA1161" s="1183">
        <v>0</v>
      </c>
      <c r="AB1161" s="1183">
        <v>0</v>
      </c>
      <c r="AC1161" s="1183">
        <v>0</v>
      </c>
      <c r="AD1161" s="1183">
        <v>0</v>
      </c>
      <c r="AE1161" s="1183">
        <v>0</v>
      </c>
      <c r="AF1161" s="1183">
        <v>0</v>
      </c>
      <c r="AG1161" s="943">
        <f>comparaison_samebasis_villages[[#This Row],[previous idp_ind]]-comparaison_samebasis_villages[[#This Row],[actual idp_ind]]</f>
        <v>0</v>
      </c>
      <c r="AH1161" s="943">
        <f>comparaison_samebasis_villages[[#This Row],[previous ref_ind]]-comparaison_samebasis_villages[[#This Row],[actual ref_ind]]</f>
        <v>0</v>
      </c>
      <c r="AI1161" s="943">
        <f>comparaison_samebasis_villages[[#This Row],[previous ret_ind]]-comparaison_samebasis_villages[[#This Row],[actual ret_ind]]</f>
        <v>0</v>
      </c>
    </row>
    <row r="1162" spans="15:35" ht="15.75" customHeight="1" x14ac:dyDescent="0.3">
      <c r="O1162" s="399" t="s">
        <v>31</v>
      </c>
      <c r="P1162" s="399" t="s">
        <v>31</v>
      </c>
      <c r="Q1162" s="399" t="s">
        <v>172</v>
      </c>
      <c r="R1162" s="399" t="s">
        <v>172</v>
      </c>
      <c r="S1162" s="399" t="s">
        <v>1972</v>
      </c>
      <c r="T1162" s="399" t="s">
        <v>2702</v>
      </c>
      <c r="U1162" s="941">
        <v>20</v>
      </c>
      <c r="V1162" s="941">
        <v>103</v>
      </c>
      <c r="W1162" s="941">
        <v>0</v>
      </c>
      <c r="X1162" s="941">
        <v>0</v>
      </c>
      <c r="Y1162" s="941">
        <v>0</v>
      </c>
      <c r="Z1162" s="941">
        <v>0</v>
      </c>
      <c r="AA1162" s="1183">
        <v>36</v>
      </c>
      <c r="AB1162" s="1183">
        <v>191</v>
      </c>
      <c r="AC1162" s="1183">
        <v>0</v>
      </c>
      <c r="AD1162" s="1183">
        <v>0</v>
      </c>
      <c r="AE1162" s="1183">
        <v>0</v>
      </c>
      <c r="AF1162" s="1183">
        <v>0</v>
      </c>
      <c r="AG1162" s="943">
        <f>comparaison_samebasis_villages[[#This Row],[previous idp_ind]]-comparaison_samebasis_villages[[#This Row],[actual idp_ind]]</f>
        <v>88</v>
      </c>
      <c r="AH1162" s="943">
        <f>comparaison_samebasis_villages[[#This Row],[previous ref_ind]]-comparaison_samebasis_villages[[#This Row],[actual ref_ind]]</f>
        <v>0</v>
      </c>
      <c r="AI1162" s="943">
        <f>comparaison_samebasis_villages[[#This Row],[previous ret_ind]]-comparaison_samebasis_villages[[#This Row],[actual ret_ind]]</f>
        <v>0</v>
      </c>
    </row>
    <row r="1163" spans="15:35" ht="15.75" customHeight="1" x14ac:dyDescent="0.3">
      <c r="O1163" s="399" t="s">
        <v>31</v>
      </c>
      <c r="P1163" s="399" t="s">
        <v>31</v>
      </c>
      <c r="Q1163" s="399" t="s">
        <v>172</v>
      </c>
      <c r="R1163" s="399" t="s">
        <v>172</v>
      </c>
      <c r="S1163" s="399" t="s">
        <v>2130</v>
      </c>
      <c r="T1163" s="399" t="s">
        <v>2249</v>
      </c>
      <c r="U1163" s="941">
        <v>33</v>
      </c>
      <c r="V1163" s="941">
        <v>148</v>
      </c>
      <c r="W1163" s="941">
        <v>0</v>
      </c>
      <c r="X1163" s="941">
        <v>0</v>
      </c>
      <c r="Y1163" s="941">
        <v>0</v>
      </c>
      <c r="Z1163" s="941">
        <v>0</v>
      </c>
      <c r="AA1163" s="1183">
        <v>18</v>
      </c>
      <c r="AB1163" s="1183">
        <v>80</v>
      </c>
      <c r="AC1163" s="1183">
        <v>0</v>
      </c>
      <c r="AD1163" s="1183">
        <v>0</v>
      </c>
      <c r="AE1163" s="1183">
        <v>0</v>
      </c>
      <c r="AF1163" s="1183">
        <v>0</v>
      </c>
      <c r="AG1163" s="943">
        <f>comparaison_samebasis_villages[[#This Row],[previous idp_ind]]-comparaison_samebasis_villages[[#This Row],[actual idp_ind]]</f>
        <v>-68</v>
      </c>
      <c r="AH1163" s="943">
        <f>comparaison_samebasis_villages[[#This Row],[previous ref_ind]]-comparaison_samebasis_villages[[#This Row],[actual ref_ind]]</f>
        <v>0</v>
      </c>
      <c r="AI1163" s="943">
        <f>comparaison_samebasis_villages[[#This Row],[previous ret_ind]]-comparaison_samebasis_villages[[#This Row],[actual ret_ind]]</f>
        <v>0</v>
      </c>
    </row>
    <row r="1164" spans="15:35" ht="15.75" customHeight="1" x14ac:dyDescent="0.3">
      <c r="O1164" s="399" t="s">
        <v>32</v>
      </c>
      <c r="P1164" s="399" t="s">
        <v>32</v>
      </c>
      <c r="Q1164" s="399" t="s">
        <v>180</v>
      </c>
      <c r="R1164" s="399" t="s">
        <v>180</v>
      </c>
      <c r="S1164" s="399" t="s">
        <v>1657</v>
      </c>
      <c r="T1164" s="399" t="s">
        <v>1656</v>
      </c>
      <c r="U1164" s="941">
        <v>48</v>
      </c>
      <c r="V1164" s="941">
        <v>245</v>
      </c>
      <c r="W1164" s="941">
        <v>0</v>
      </c>
      <c r="X1164" s="941">
        <v>0</v>
      </c>
      <c r="Y1164" s="941">
        <v>50</v>
      </c>
      <c r="Z1164" s="941">
        <v>50</v>
      </c>
      <c r="AA1164" s="1183">
        <v>48</v>
      </c>
      <c r="AB1164" s="1183">
        <v>245</v>
      </c>
      <c r="AC1164" s="1183">
        <v>0</v>
      </c>
      <c r="AD1164" s="1183">
        <v>0</v>
      </c>
      <c r="AE1164" s="1183">
        <v>0</v>
      </c>
      <c r="AF1164" s="1183">
        <v>0</v>
      </c>
      <c r="AG1164" s="943">
        <f>comparaison_samebasis_villages[[#This Row],[previous idp_ind]]-comparaison_samebasis_villages[[#This Row],[actual idp_ind]]</f>
        <v>0</v>
      </c>
      <c r="AH1164" s="943">
        <f>comparaison_samebasis_villages[[#This Row],[previous ref_ind]]-comparaison_samebasis_villages[[#This Row],[actual ref_ind]]</f>
        <v>0</v>
      </c>
      <c r="AI1164" s="943">
        <f>comparaison_samebasis_villages[[#This Row],[previous ret_ind]]-comparaison_samebasis_villages[[#This Row],[actual ret_ind]]</f>
        <v>-50</v>
      </c>
    </row>
    <row r="1165" spans="15:35" ht="15.75" customHeight="1" x14ac:dyDescent="0.3">
      <c r="O1165" s="399" t="s">
        <v>32</v>
      </c>
      <c r="P1165" s="399" t="s">
        <v>32</v>
      </c>
      <c r="Q1165" s="399" t="s">
        <v>180</v>
      </c>
      <c r="R1165" s="399" t="s">
        <v>180</v>
      </c>
      <c r="S1165" s="399" t="s">
        <v>1655</v>
      </c>
      <c r="T1165" s="399" t="s">
        <v>1654</v>
      </c>
      <c r="U1165" s="941">
        <v>51</v>
      </c>
      <c r="V1165" s="941">
        <v>307</v>
      </c>
      <c r="W1165" s="941">
        <v>0</v>
      </c>
      <c r="X1165" s="941">
        <v>0</v>
      </c>
      <c r="Y1165" s="941">
        <v>0</v>
      </c>
      <c r="Z1165" s="941">
        <v>0</v>
      </c>
      <c r="AA1165" s="1183">
        <v>51</v>
      </c>
      <c r="AB1165" s="1183">
        <v>307</v>
      </c>
      <c r="AC1165" s="1183">
        <v>0</v>
      </c>
      <c r="AD1165" s="1183">
        <v>0</v>
      </c>
      <c r="AE1165" s="1183">
        <v>0</v>
      </c>
      <c r="AF1165" s="1183">
        <v>0</v>
      </c>
      <c r="AG1165" s="943">
        <f>comparaison_samebasis_villages[[#This Row],[previous idp_ind]]-comparaison_samebasis_villages[[#This Row],[actual idp_ind]]</f>
        <v>0</v>
      </c>
      <c r="AH1165" s="943">
        <f>comparaison_samebasis_villages[[#This Row],[previous ref_ind]]-comparaison_samebasis_villages[[#This Row],[actual ref_ind]]</f>
        <v>0</v>
      </c>
      <c r="AI1165" s="943">
        <f>comparaison_samebasis_villages[[#This Row],[previous ret_ind]]-comparaison_samebasis_villages[[#This Row],[actual ret_ind]]</f>
        <v>0</v>
      </c>
    </row>
    <row r="1166" spans="15:35" ht="15.75" customHeight="1" x14ac:dyDescent="0.3">
      <c r="O1166" s="399" t="s">
        <v>32</v>
      </c>
      <c r="P1166" s="399" t="s">
        <v>32</v>
      </c>
      <c r="Q1166" s="399" t="s">
        <v>181</v>
      </c>
      <c r="R1166" s="399" t="s">
        <v>181</v>
      </c>
      <c r="S1166" s="399" t="s">
        <v>1663</v>
      </c>
      <c r="T1166" s="399" t="s">
        <v>1662</v>
      </c>
      <c r="U1166" s="941">
        <v>18</v>
      </c>
      <c r="V1166" s="941">
        <v>131</v>
      </c>
      <c r="W1166" s="941">
        <v>0</v>
      </c>
      <c r="X1166" s="941">
        <v>0</v>
      </c>
      <c r="Y1166" s="941">
        <v>0</v>
      </c>
      <c r="Z1166" s="941">
        <v>0</v>
      </c>
      <c r="AA1166" s="1183">
        <v>18</v>
      </c>
      <c r="AB1166" s="1183">
        <v>131</v>
      </c>
      <c r="AC1166" s="1183">
        <v>0</v>
      </c>
      <c r="AD1166" s="1183">
        <v>0</v>
      </c>
      <c r="AE1166" s="1183">
        <v>0</v>
      </c>
      <c r="AF1166" s="1183">
        <v>0</v>
      </c>
      <c r="AG1166" s="943">
        <f>comparaison_samebasis_villages[[#This Row],[previous idp_ind]]-comparaison_samebasis_villages[[#This Row],[actual idp_ind]]</f>
        <v>0</v>
      </c>
      <c r="AH1166" s="943">
        <f>comparaison_samebasis_villages[[#This Row],[previous ref_ind]]-comparaison_samebasis_villages[[#This Row],[actual ref_ind]]</f>
        <v>0</v>
      </c>
      <c r="AI1166" s="943">
        <f>comparaison_samebasis_villages[[#This Row],[previous ret_ind]]-comparaison_samebasis_villages[[#This Row],[actual ret_ind]]</f>
        <v>0</v>
      </c>
    </row>
    <row r="1167" spans="15:35" ht="15.75" customHeight="1" x14ac:dyDescent="0.3">
      <c r="O1167" s="399" t="s">
        <v>32</v>
      </c>
      <c r="P1167" s="399" t="s">
        <v>32</v>
      </c>
      <c r="Q1167" s="399" t="s">
        <v>181</v>
      </c>
      <c r="R1167" s="399" t="s">
        <v>181</v>
      </c>
      <c r="S1167" s="399" t="s">
        <v>1670</v>
      </c>
      <c r="T1167" s="399" t="s">
        <v>1669</v>
      </c>
      <c r="U1167" s="941">
        <v>32</v>
      </c>
      <c r="V1167" s="941">
        <v>165</v>
      </c>
      <c r="W1167" s="941">
        <v>0</v>
      </c>
      <c r="X1167" s="941">
        <v>0</v>
      </c>
      <c r="Y1167" s="941">
        <v>94</v>
      </c>
      <c r="Z1167" s="941">
        <v>94</v>
      </c>
      <c r="AA1167" s="1183">
        <v>12</v>
      </c>
      <c r="AB1167" s="1183">
        <v>65</v>
      </c>
      <c r="AC1167" s="1183">
        <v>0</v>
      </c>
      <c r="AD1167" s="1183">
        <v>0</v>
      </c>
      <c r="AE1167" s="1183">
        <v>94</v>
      </c>
      <c r="AF1167" s="1183">
        <v>465</v>
      </c>
      <c r="AG1167" s="943">
        <f>comparaison_samebasis_villages[[#This Row],[previous idp_ind]]-comparaison_samebasis_villages[[#This Row],[actual idp_ind]]</f>
        <v>-100</v>
      </c>
      <c r="AH1167" s="943">
        <f>comparaison_samebasis_villages[[#This Row],[previous ref_ind]]-comparaison_samebasis_villages[[#This Row],[actual ref_ind]]</f>
        <v>0</v>
      </c>
      <c r="AI1167" s="943">
        <f>comparaison_samebasis_villages[[#This Row],[previous ret_ind]]-comparaison_samebasis_villages[[#This Row],[actual ret_ind]]</f>
        <v>371</v>
      </c>
    </row>
    <row r="1168" spans="15:35" ht="15.75" customHeight="1" x14ac:dyDescent="0.3">
      <c r="O1168" s="399" t="s">
        <v>32</v>
      </c>
      <c r="P1168" s="399" t="s">
        <v>32</v>
      </c>
      <c r="Q1168" s="399" t="s">
        <v>181</v>
      </c>
      <c r="R1168" s="399" t="s">
        <v>181</v>
      </c>
      <c r="S1168" s="399" t="s">
        <v>1672</v>
      </c>
      <c r="T1168" s="399" t="s">
        <v>1671</v>
      </c>
      <c r="U1168" s="941">
        <v>15</v>
      </c>
      <c r="V1168" s="941">
        <v>83</v>
      </c>
      <c r="W1168" s="941">
        <v>0</v>
      </c>
      <c r="X1168" s="941">
        <v>0</v>
      </c>
      <c r="Y1168" s="941">
        <v>72</v>
      </c>
      <c r="Z1168" s="941">
        <v>72</v>
      </c>
      <c r="AA1168" s="1183">
        <v>10</v>
      </c>
      <c r="AB1168" s="1183">
        <v>53</v>
      </c>
      <c r="AC1168" s="1183">
        <v>0</v>
      </c>
      <c r="AD1168" s="1183">
        <v>0</v>
      </c>
      <c r="AE1168" s="1183">
        <v>70</v>
      </c>
      <c r="AF1168" s="1183">
        <v>356</v>
      </c>
      <c r="AG1168" s="943">
        <f>comparaison_samebasis_villages[[#This Row],[previous idp_ind]]-comparaison_samebasis_villages[[#This Row],[actual idp_ind]]</f>
        <v>-30</v>
      </c>
      <c r="AH1168" s="943">
        <f>comparaison_samebasis_villages[[#This Row],[previous ref_ind]]-comparaison_samebasis_villages[[#This Row],[actual ref_ind]]</f>
        <v>0</v>
      </c>
      <c r="AI1168" s="943">
        <f>comparaison_samebasis_villages[[#This Row],[previous ret_ind]]-comparaison_samebasis_villages[[#This Row],[actual ret_ind]]</f>
        <v>284</v>
      </c>
    </row>
    <row r="1169" spans="15:35" ht="15.75" customHeight="1" x14ac:dyDescent="0.3">
      <c r="O1169" s="399" t="s">
        <v>32</v>
      </c>
      <c r="P1169" s="399" t="s">
        <v>32</v>
      </c>
      <c r="Q1169" s="399" t="s">
        <v>181</v>
      </c>
      <c r="R1169" s="399" t="s">
        <v>181</v>
      </c>
      <c r="S1169" s="399" t="s">
        <v>1665</v>
      </c>
      <c r="T1169" s="399" t="s">
        <v>1664</v>
      </c>
      <c r="U1169" s="941">
        <v>66</v>
      </c>
      <c r="V1169" s="941">
        <v>412</v>
      </c>
      <c r="W1169" s="941">
        <v>0</v>
      </c>
      <c r="X1169" s="941">
        <v>0</v>
      </c>
      <c r="Y1169" s="941">
        <v>172</v>
      </c>
      <c r="Z1169" s="941">
        <v>172</v>
      </c>
      <c r="AA1169" s="1183">
        <v>66</v>
      </c>
      <c r="AB1169" s="1183">
        <v>412</v>
      </c>
      <c r="AC1169" s="1183">
        <v>0</v>
      </c>
      <c r="AD1169" s="1183">
        <v>0</v>
      </c>
      <c r="AE1169" s="1183">
        <v>0</v>
      </c>
      <c r="AF1169" s="1183">
        <v>0</v>
      </c>
      <c r="AG1169" s="943">
        <f>comparaison_samebasis_villages[[#This Row],[previous idp_ind]]-comparaison_samebasis_villages[[#This Row],[actual idp_ind]]</f>
        <v>0</v>
      </c>
      <c r="AH1169" s="943">
        <f>comparaison_samebasis_villages[[#This Row],[previous ref_ind]]-comparaison_samebasis_villages[[#This Row],[actual ref_ind]]</f>
        <v>0</v>
      </c>
      <c r="AI1169" s="943">
        <f>comparaison_samebasis_villages[[#This Row],[previous ret_ind]]-comparaison_samebasis_villages[[#This Row],[actual ret_ind]]</f>
        <v>-172</v>
      </c>
    </row>
    <row r="1170" spans="15:35" ht="15.75" customHeight="1" x14ac:dyDescent="0.3">
      <c r="O1170" s="399" t="s">
        <v>32</v>
      </c>
      <c r="P1170" s="399" t="s">
        <v>32</v>
      </c>
      <c r="Q1170" s="399" t="s">
        <v>181</v>
      </c>
      <c r="R1170" s="399" t="s">
        <v>181</v>
      </c>
      <c r="S1170" s="399" t="s">
        <v>821</v>
      </c>
      <c r="T1170" s="399" t="s">
        <v>2320</v>
      </c>
      <c r="U1170" s="941">
        <v>0</v>
      </c>
      <c r="V1170" s="941">
        <v>0</v>
      </c>
      <c r="W1170" s="941">
        <v>0</v>
      </c>
      <c r="X1170" s="941">
        <v>0</v>
      </c>
      <c r="Y1170" s="941">
        <v>5</v>
      </c>
      <c r="Z1170" s="941">
        <v>5</v>
      </c>
      <c r="AA1170" s="1183">
        <v>0</v>
      </c>
      <c r="AB1170" s="1183">
        <v>0</v>
      </c>
      <c r="AC1170" s="1183">
        <v>0</v>
      </c>
      <c r="AD1170" s="1183">
        <v>0</v>
      </c>
      <c r="AE1170" s="1183">
        <v>5</v>
      </c>
      <c r="AF1170" s="1183">
        <v>27</v>
      </c>
      <c r="AG1170" s="943">
        <f>comparaison_samebasis_villages[[#This Row],[previous idp_ind]]-comparaison_samebasis_villages[[#This Row],[actual idp_ind]]</f>
        <v>0</v>
      </c>
      <c r="AH1170" s="943">
        <f>comparaison_samebasis_villages[[#This Row],[previous ref_ind]]-comparaison_samebasis_villages[[#This Row],[actual ref_ind]]</f>
        <v>0</v>
      </c>
      <c r="AI1170" s="943">
        <f>comparaison_samebasis_villages[[#This Row],[previous ret_ind]]-comparaison_samebasis_villages[[#This Row],[actual ret_ind]]</f>
        <v>22</v>
      </c>
    </row>
    <row r="1171" spans="15:35" ht="15.75" customHeight="1" x14ac:dyDescent="0.3">
      <c r="O1171" s="399" t="s">
        <v>32</v>
      </c>
      <c r="P1171" s="399" t="s">
        <v>32</v>
      </c>
      <c r="Q1171" s="399" t="s">
        <v>181</v>
      </c>
      <c r="R1171" s="399" t="s">
        <v>181</v>
      </c>
      <c r="S1171" s="399" t="s">
        <v>2144</v>
      </c>
      <c r="T1171" s="399" t="s">
        <v>2143</v>
      </c>
      <c r="U1171" s="941">
        <v>32</v>
      </c>
      <c r="V1171" s="941">
        <v>281</v>
      </c>
      <c r="W1171" s="941">
        <v>0</v>
      </c>
      <c r="X1171" s="941">
        <v>0</v>
      </c>
      <c r="Y1171" s="941">
        <v>0</v>
      </c>
      <c r="Z1171" s="941">
        <v>0</v>
      </c>
      <c r="AA1171" s="1183">
        <v>32</v>
      </c>
      <c r="AB1171" s="1183">
        <v>245</v>
      </c>
      <c r="AC1171" s="1183">
        <v>0</v>
      </c>
      <c r="AD1171" s="1183">
        <v>0</v>
      </c>
      <c r="AE1171" s="1183">
        <v>0</v>
      </c>
      <c r="AF1171" s="1183">
        <v>0</v>
      </c>
      <c r="AG1171" s="943">
        <f>comparaison_samebasis_villages[[#This Row],[previous idp_ind]]-comparaison_samebasis_villages[[#This Row],[actual idp_ind]]</f>
        <v>-36</v>
      </c>
      <c r="AH1171" s="943">
        <f>comparaison_samebasis_villages[[#This Row],[previous ref_ind]]-comparaison_samebasis_villages[[#This Row],[actual ref_ind]]</f>
        <v>0</v>
      </c>
      <c r="AI1171" s="943">
        <f>comparaison_samebasis_villages[[#This Row],[previous ret_ind]]-comparaison_samebasis_villages[[#This Row],[actual ret_ind]]</f>
        <v>0</v>
      </c>
    </row>
    <row r="1172" spans="15:35" ht="15.75" customHeight="1" x14ac:dyDescent="0.3">
      <c r="O1172" s="399" t="s">
        <v>31</v>
      </c>
      <c r="P1172" s="399" t="s">
        <v>31</v>
      </c>
      <c r="Q1172" s="399" t="s">
        <v>173</v>
      </c>
      <c r="R1172" s="399" t="s">
        <v>173</v>
      </c>
      <c r="S1172" s="399" t="s">
        <v>1104</v>
      </c>
      <c r="T1172" s="399" t="s">
        <v>2813</v>
      </c>
      <c r="U1172" s="941">
        <v>0</v>
      </c>
      <c r="V1172" s="941">
        <v>0</v>
      </c>
      <c r="W1172" s="941">
        <v>0</v>
      </c>
      <c r="X1172" s="941">
        <v>0</v>
      </c>
      <c r="Y1172" s="941">
        <v>0</v>
      </c>
      <c r="Z1172" s="941">
        <v>0</v>
      </c>
      <c r="AA1172" s="1183">
        <v>2</v>
      </c>
      <c r="AB1172" s="1183">
        <v>13</v>
      </c>
      <c r="AC1172" s="1183">
        <v>0</v>
      </c>
      <c r="AD1172" s="1183">
        <v>0</v>
      </c>
      <c r="AE1172" s="1183">
        <v>0</v>
      </c>
      <c r="AF1172" s="1183">
        <v>0</v>
      </c>
      <c r="AG1172" s="943">
        <f>comparaison_samebasis_villages[[#This Row],[previous idp_ind]]-comparaison_samebasis_villages[[#This Row],[actual idp_ind]]</f>
        <v>13</v>
      </c>
      <c r="AH1172" s="943">
        <f>comparaison_samebasis_villages[[#This Row],[previous ref_ind]]-comparaison_samebasis_villages[[#This Row],[actual ref_ind]]</f>
        <v>0</v>
      </c>
      <c r="AI1172" s="943">
        <f>comparaison_samebasis_villages[[#This Row],[previous ret_ind]]-comparaison_samebasis_villages[[#This Row],[actual ret_ind]]</f>
        <v>0</v>
      </c>
    </row>
    <row r="1173" spans="15:35" ht="15.75" customHeight="1" x14ac:dyDescent="0.3">
      <c r="O1173" s="399" t="s">
        <v>31</v>
      </c>
      <c r="P1173" s="399" t="s">
        <v>31</v>
      </c>
      <c r="Q1173" s="399" t="s">
        <v>173</v>
      </c>
      <c r="R1173" s="399" t="s">
        <v>173</v>
      </c>
      <c r="S1173" s="399" t="s">
        <v>1435</v>
      </c>
      <c r="T1173" s="399" t="s">
        <v>1103</v>
      </c>
      <c r="U1173" s="941">
        <v>2</v>
      </c>
      <c r="V1173" s="941">
        <v>9</v>
      </c>
      <c r="W1173" s="941">
        <v>0</v>
      </c>
      <c r="X1173" s="941">
        <v>0</v>
      </c>
      <c r="Y1173" s="941">
        <v>0</v>
      </c>
      <c r="Z1173" s="941">
        <v>0</v>
      </c>
      <c r="AA1173" s="1183">
        <v>52</v>
      </c>
      <c r="AB1173" s="1183">
        <v>394</v>
      </c>
      <c r="AC1173" s="1183">
        <v>0</v>
      </c>
      <c r="AD1173" s="1183">
        <v>0</v>
      </c>
      <c r="AE1173" s="1183">
        <v>0</v>
      </c>
      <c r="AF1173" s="1183">
        <v>0</v>
      </c>
      <c r="AG1173" s="943">
        <f>comparaison_samebasis_villages[[#This Row],[previous idp_ind]]-comparaison_samebasis_villages[[#This Row],[actual idp_ind]]</f>
        <v>385</v>
      </c>
      <c r="AH1173" s="943">
        <f>comparaison_samebasis_villages[[#This Row],[previous ref_ind]]-comparaison_samebasis_villages[[#This Row],[actual ref_ind]]</f>
        <v>0</v>
      </c>
      <c r="AI1173" s="943">
        <f>comparaison_samebasis_villages[[#This Row],[previous ret_ind]]-comparaison_samebasis_villages[[#This Row],[actual ret_ind]]</f>
        <v>0</v>
      </c>
    </row>
    <row r="1174" spans="15:35" ht="15.75" customHeight="1" x14ac:dyDescent="0.3">
      <c r="O1174" s="399" t="s">
        <v>31</v>
      </c>
      <c r="P1174" s="399" t="s">
        <v>31</v>
      </c>
      <c r="Q1174" s="399" t="s">
        <v>173</v>
      </c>
      <c r="R1174" s="399" t="s">
        <v>173</v>
      </c>
      <c r="S1174" s="399" t="s">
        <v>834</v>
      </c>
      <c r="T1174" s="399" t="s">
        <v>1434</v>
      </c>
      <c r="U1174" s="941">
        <v>0</v>
      </c>
      <c r="V1174" s="941">
        <v>0</v>
      </c>
      <c r="W1174" s="941">
        <v>0</v>
      </c>
      <c r="X1174" s="941">
        <v>0</v>
      </c>
      <c r="Y1174" s="941">
        <v>0</v>
      </c>
      <c r="Z1174" s="941">
        <v>0</v>
      </c>
      <c r="AA1174" s="1183">
        <v>143</v>
      </c>
      <c r="AB1174" s="1183">
        <v>1141</v>
      </c>
      <c r="AC1174" s="1183">
        <v>0</v>
      </c>
      <c r="AD1174" s="1183">
        <v>0</v>
      </c>
      <c r="AE1174" s="1183">
        <v>0</v>
      </c>
      <c r="AF1174" s="1183">
        <v>0</v>
      </c>
      <c r="AG1174" s="943">
        <f>comparaison_samebasis_villages[[#This Row],[previous idp_ind]]-comparaison_samebasis_villages[[#This Row],[actual idp_ind]]</f>
        <v>1141</v>
      </c>
      <c r="AH1174" s="943">
        <f>comparaison_samebasis_villages[[#This Row],[previous ref_ind]]-comparaison_samebasis_villages[[#This Row],[actual ref_ind]]</f>
        <v>0</v>
      </c>
      <c r="AI1174" s="943">
        <f>comparaison_samebasis_villages[[#This Row],[previous ret_ind]]-comparaison_samebasis_villages[[#This Row],[actual ret_ind]]</f>
        <v>0</v>
      </c>
    </row>
    <row r="1175" spans="15:35" ht="15.75" customHeight="1" x14ac:dyDescent="0.3">
      <c r="O1175" s="399" t="s">
        <v>31</v>
      </c>
      <c r="P1175" s="399" t="s">
        <v>31</v>
      </c>
      <c r="Q1175" s="399" t="s">
        <v>173</v>
      </c>
      <c r="R1175" s="399" t="s">
        <v>173</v>
      </c>
      <c r="S1175" s="399" t="s">
        <v>1142</v>
      </c>
      <c r="T1175" s="399" t="s">
        <v>833</v>
      </c>
      <c r="U1175" s="941">
        <v>0</v>
      </c>
      <c r="V1175" s="941">
        <v>0</v>
      </c>
      <c r="W1175" s="941">
        <v>0</v>
      </c>
      <c r="X1175" s="941">
        <v>0</v>
      </c>
      <c r="Y1175" s="941">
        <v>0</v>
      </c>
      <c r="Z1175" s="941">
        <v>0</v>
      </c>
      <c r="AA1175" s="1183">
        <v>0</v>
      </c>
      <c r="AB1175" s="1183">
        <v>0</v>
      </c>
      <c r="AC1175" s="1183">
        <v>0</v>
      </c>
      <c r="AD1175" s="1183">
        <v>0</v>
      </c>
      <c r="AE1175" s="1183">
        <v>0</v>
      </c>
      <c r="AF1175" s="1183">
        <v>0</v>
      </c>
      <c r="AG1175" s="943">
        <f>comparaison_samebasis_villages[[#This Row],[previous idp_ind]]-comparaison_samebasis_villages[[#This Row],[actual idp_ind]]</f>
        <v>0</v>
      </c>
      <c r="AH1175" s="943">
        <f>comparaison_samebasis_villages[[#This Row],[previous ref_ind]]-comparaison_samebasis_villages[[#This Row],[actual ref_ind]]</f>
        <v>0</v>
      </c>
      <c r="AI1175" s="943">
        <f>comparaison_samebasis_villages[[#This Row],[previous ret_ind]]-comparaison_samebasis_villages[[#This Row],[actual ret_ind]]</f>
        <v>0</v>
      </c>
    </row>
    <row r="1176" spans="15:35" ht="15.75" customHeight="1" x14ac:dyDescent="0.3">
      <c r="O1176" s="399" t="s">
        <v>31</v>
      </c>
      <c r="P1176" s="399" t="s">
        <v>31</v>
      </c>
      <c r="Q1176" s="399" t="s">
        <v>173</v>
      </c>
      <c r="R1176" s="399" t="s">
        <v>173</v>
      </c>
      <c r="S1176" s="399" t="s">
        <v>2712</v>
      </c>
      <c r="T1176" s="399" t="s">
        <v>1141</v>
      </c>
      <c r="U1176" s="941">
        <v>0</v>
      </c>
      <c r="V1176" s="941">
        <v>0</v>
      </c>
      <c r="W1176" s="941">
        <v>0</v>
      </c>
      <c r="X1176" s="941">
        <v>0</v>
      </c>
      <c r="Y1176" s="941">
        <v>0</v>
      </c>
      <c r="Z1176" s="941">
        <v>0</v>
      </c>
      <c r="AA1176" s="1183">
        <v>0</v>
      </c>
      <c r="AB1176" s="1183">
        <v>0</v>
      </c>
      <c r="AC1176" s="1183">
        <v>0</v>
      </c>
      <c r="AD1176" s="1183">
        <v>0</v>
      </c>
      <c r="AE1176" s="1183">
        <v>0</v>
      </c>
      <c r="AF1176" s="1183">
        <v>0</v>
      </c>
      <c r="AG1176" s="943">
        <f>comparaison_samebasis_villages[[#This Row],[previous idp_ind]]-comparaison_samebasis_villages[[#This Row],[actual idp_ind]]</f>
        <v>0</v>
      </c>
      <c r="AH1176" s="943">
        <f>comparaison_samebasis_villages[[#This Row],[previous ref_ind]]-comparaison_samebasis_villages[[#This Row],[actual ref_ind]]</f>
        <v>0</v>
      </c>
      <c r="AI1176" s="943">
        <f>comparaison_samebasis_villages[[#This Row],[previous ret_ind]]-comparaison_samebasis_villages[[#This Row],[actual ret_ind]]</f>
        <v>0</v>
      </c>
    </row>
    <row r="1177" spans="15:35" ht="15.75" customHeight="1" x14ac:dyDescent="0.3">
      <c r="O1177" s="399" t="s">
        <v>31</v>
      </c>
      <c r="P1177" s="399" t="s">
        <v>31</v>
      </c>
      <c r="Q1177" s="399" t="s">
        <v>173</v>
      </c>
      <c r="R1177" s="399" t="s">
        <v>173</v>
      </c>
      <c r="S1177" s="399" t="s">
        <v>1440</v>
      </c>
      <c r="T1177" s="399" t="s">
        <v>2711</v>
      </c>
      <c r="U1177" s="941">
        <v>4</v>
      </c>
      <c r="V1177" s="941">
        <v>40</v>
      </c>
      <c r="W1177" s="941">
        <v>0</v>
      </c>
      <c r="X1177" s="941">
        <v>0</v>
      </c>
      <c r="Y1177" s="941">
        <v>0</v>
      </c>
      <c r="Z1177" s="941">
        <v>0</v>
      </c>
      <c r="AA1177" s="1183">
        <v>2</v>
      </c>
      <c r="AB1177" s="1183">
        <v>27</v>
      </c>
      <c r="AC1177" s="1183">
        <v>0</v>
      </c>
      <c r="AD1177" s="1183">
        <v>0</v>
      </c>
      <c r="AE1177" s="1183">
        <v>0</v>
      </c>
      <c r="AF1177" s="1183">
        <v>0</v>
      </c>
      <c r="AG1177" s="943">
        <f>comparaison_samebasis_villages[[#This Row],[previous idp_ind]]-comparaison_samebasis_villages[[#This Row],[actual idp_ind]]</f>
        <v>-13</v>
      </c>
      <c r="AH1177" s="943">
        <f>comparaison_samebasis_villages[[#This Row],[previous ref_ind]]-comparaison_samebasis_villages[[#This Row],[actual ref_ind]]</f>
        <v>0</v>
      </c>
      <c r="AI1177" s="943">
        <f>comparaison_samebasis_villages[[#This Row],[previous ret_ind]]-comparaison_samebasis_villages[[#This Row],[actual ret_ind]]</f>
        <v>0</v>
      </c>
    </row>
    <row r="1178" spans="15:35" ht="15.75" customHeight="1" x14ac:dyDescent="0.3">
      <c r="O1178" s="399" t="s">
        <v>31</v>
      </c>
      <c r="P1178" s="399" t="s">
        <v>31</v>
      </c>
      <c r="Q1178" s="399" t="s">
        <v>173</v>
      </c>
      <c r="R1178" s="399" t="s">
        <v>173</v>
      </c>
      <c r="S1178" s="399" t="s">
        <v>1144</v>
      </c>
      <c r="T1178" s="399" t="s">
        <v>1439</v>
      </c>
      <c r="U1178" s="941">
        <v>10</v>
      </c>
      <c r="V1178" s="941">
        <v>78</v>
      </c>
      <c r="W1178" s="941">
        <v>0</v>
      </c>
      <c r="X1178" s="941">
        <v>0</v>
      </c>
      <c r="Y1178" s="941">
        <v>0</v>
      </c>
      <c r="Z1178" s="941">
        <v>0</v>
      </c>
      <c r="AA1178" s="1183">
        <v>0</v>
      </c>
      <c r="AB1178" s="1183">
        <v>0</v>
      </c>
      <c r="AC1178" s="1183">
        <v>0</v>
      </c>
      <c r="AD1178" s="1183">
        <v>0</v>
      </c>
      <c r="AE1178" s="1183">
        <v>0</v>
      </c>
      <c r="AF1178" s="1183">
        <v>0</v>
      </c>
      <c r="AG1178" s="943">
        <f>comparaison_samebasis_villages[[#This Row],[previous idp_ind]]-comparaison_samebasis_villages[[#This Row],[actual idp_ind]]</f>
        <v>-78</v>
      </c>
      <c r="AH1178" s="943">
        <f>comparaison_samebasis_villages[[#This Row],[previous ref_ind]]-comparaison_samebasis_villages[[#This Row],[actual ref_ind]]</f>
        <v>0</v>
      </c>
      <c r="AI1178" s="943">
        <f>comparaison_samebasis_villages[[#This Row],[previous ret_ind]]-comparaison_samebasis_villages[[#This Row],[actual ret_ind]]</f>
        <v>0</v>
      </c>
    </row>
    <row r="1179" spans="15:35" ht="15.75" customHeight="1" x14ac:dyDescent="0.3">
      <c r="O1179" s="399" t="s">
        <v>31</v>
      </c>
      <c r="P1179" s="399" t="s">
        <v>31</v>
      </c>
      <c r="Q1179" s="399" t="s">
        <v>173</v>
      </c>
      <c r="R1179" s="399" t="s">
        <v>173</v>
      </c>
      <c r="S1179" s="399" t="s">
        <v>1605</v>
      </c>
      <c r="T1179" s="399" t="s">
        <v>1143</v>
      </c>
      <c r="U1179" s="941">
        <v>0</v>
      </c>
      <c r="V1179" s="941">
        <v>0</v>
      </c>
      <c r="W1179" s="941">
        <v>0</v>
      </c>
      <c r="X1179" s="941">
        <v>0</v>
      </c>
      <c r="Y1179" s="941">
        <v>0</v>
      </c>
      <c r="Z1179" s="941">
        <v>0</v>
      </c>
      <c r="AA1179" s="1183">
        <v>21</v>
      </c>
      <c r="AB1179" s="1183">
        <v>199</v>
      </c>
      <c r="AC1179" s="1183">
        <v>0</v>
      </c>
      <c r="AD1179" s="1183">
        <v>0</v>
      </c>
      <c r="AE1179" s="1183">
        <v>0</v>
      </c>
      <c r="AF1179" s="1183">
        <v>0</v>
      </c>
      <c r="AG1179" s="943">
        <f>comparaison_samebasis_villages[[#This Row],[previous idp_ind]]-comparaison_samebasis_villages[[#This Row],[actual idp_ind]]</f>
        <v>199</v>
      </c>
      <c r="AH1179" s="943">
        <f>comparaison_samebasis_villages[[#This Row],[previous ref_ind]]-comparaison_samebasis_villages[[#This Row],[actual ref_ind]]</f>
        <v>0</v>
      </c>
      <c r="AI1179" s="943">
        <f>comparaison_samebasis_villages[[#This Row],[previous ret_ind]]-comparaison_samebasis_villages[[#This Row],[actual ret_ind]]</f>
        <v>0</v>
      </c>
    </row>
    <row r="1180" spans="15:35" ht="15.75" customHeight="1" x14ac:dyDescent="0.3">
      <c r="O1180" s="399" t="s">
        <v>31</v>
      </c>
      <c r="P1180" s="399" t="s">
        <v>31</v>
      </c>
      <c r="Q1180" s="399" t="s">
        <v>173</v>
      </c>
      <c r="R1180" s="399" t="s">
        <v>173</v>
      </c>
      <c r="S1180" s="399" t="s">
        <v>1112</v>
      </c>
      <c r="T1180" s="399" t="s">
        <v>1604</v>
      </c>
      <c r="U1180" s="941">
        <v>0</v>
      </c>
      <c r="V1180" s="941">
        <v>0</v>
      </c>
      <c r="W1180" s="941">
        <v>0</v>
      </c>
      <c r="X1180" s="941">
        <v>0</v>
      </c>
      <c r="Y1180" s="941">
        <v>5</v>
      </c>
      <c r="Z1180" s="941">
        <v>5</v>
      </c>
      <c r="AA1180" s="1183">
        <v>19</v>
      </c>
      <c r="AB1180" s="1183">
        <v>127</v>
      </c>
      <c r="AC1180" s="1183">
        <v>0</v>
      </c>
      <c r="AD1180" s="1183">
        <v>0</v>
      </c>
      <c r="AE1180" s="1183">
        <v>0</v>
      </c>
      <c r="AF1180" s="1183">
        <v>0</v>
      </c>
      <c r="AG1180" s="943">
        <f>comparaison_samebasis_villages[[#This Row],[previous idp_ind]]-comparaison_samebasis_villages[[#This Row],[actual idp_ind]]</f>
        <v>127</v>
      </c>
      <c r="AH1180" s="943">
        <f>comparaison_samebasis_villages[[#This Row],[previous ref_ind]]-comparaison_samebasis_villages[[#This Row],[actual ref_ind]]</f>
        <v>0</v>
      </c>
      <c r="AI1180" s="943">
        <f>comparaison_samebasis_villages[[#This Row],[previous ret_ind]]-comparaison_samebasis_villages[[#This Row],[actual ret_ind]]</f>
        <v>-5</v>
      </c>
    </row>
    <row r="1181" spans="15:35" ht="15.75" customHeight="1" x14ac:dyDescent="0.3">
      <c r="O1181" s="399" t="s">
        <v>31</v>
      </c>
      <c r="P1181" s="399" t="s">
        <v>31</v>
      </c>
      <c r="Q1181" s="399" t="s">
        <v>173</v>
      </c>
      <c r="R1181" s="399" t="s">
        <v>173</v>
      </c>
      <c r="S1181" s="399" t="s">
        <v>1603</v>
      </c>
      <c r="T1181" s="399" t="s">
        <v>1111</v>
      </c>
      <c r="U1181" s="941">
        <v>6</v>
      </c>
      <c r="V1181" s="941">
        <v>48</v>
      </c>
      <c r="W1181" s="941">
        <v>0</v>
      </c>
      <c r="X1181" s="941">
        <v>0</v>
      </c>
      <c r="Y1181" s="941">
        <v>0</v>
      </c>
      <c r="Z1181" s="941">
        <v>0</v>
      </c>
      <c r="AA1181" s="1183">
        <v>29</v>
      </c>
      <c r="AB1181" s="1183">
        <v>207</v>
      </c>
      <c r="AC1181" s="1183">
        <v>0</v>
      </c>
      <c r="AD1181" s="1183">
        <v>0</v>
      </c>
      <c r="AE1181" s="1183">
        <v>0</v>
      </c>
      <c r="AF1181" s="1183">
        <v>0</v>
      </c>
      <c r="AG1181" s="943">
        <f>comparaison_samebasis_villages[[#This Row],[previous idp_ind]]-comparaison_samebasis_villages[[#This Row],[actual idp_ind]]</f>
        <v>159</v>
      </c>
      <c r="AH1181" s="943">
        <f>comparaison_samebasis_villages[[#This Row],[previous ref_ind]]-comparaison_samebasis_villages[[#This Row],[actual ref_ind]]</f>
        <v>0</v>
      </c>
      <c r="AI1181" s="943">
        <f>comparaison_samebasis_villages[[#This Row],[previous ret_ind]]-comparaison_samebasis_villages[[#This Row],[actual ret_ind]]</f>
        <v>0</v>
      </c>
    </row>
    <row r="1182" spans="15:35" ht="15.75" customHeight="1" x14ac:dyDescent="0.3">
      <c r="O1182" s="399" t="s">
        <v>31</v>
      </c>
      <c r="P1182" s="399" t="s">
        <v>31</v>
      </c>
      <c r="Q1182" s="399" t="s">
        <v>173</v>
      </c>
      <c r="R1182" s="399" t="s">
        <v>173</v>
      </c>
      <c r="S1182" s="399" t="s">
        <v>1106</v>
      </c>
      <c r="T1182" s="399" t="s">
        <v>1602</v>
      </c>
      <c r="U1182" s="941">
        <v>20</v>
      </c>
      <c r="V1182" s="941">
        <v>140</v>
      </c>
      <c r="W1182" s="941">
        <v>0</v>
      </c>
      <c r="X1182" s="941">
        <v>0</v>
      </c>
      <c r="Y1182" s="941">
        <v>0</v>
      </c>
      <c r="Z1182" s="941">
        <v>0</v>
      </c>
      <c r="AA1182" s="1183">
        <v>3</v>
      </c>
      <c r="AB1182" s="1183">
        <v>30</v>
      </c>
      <c r="AC1182" s="1183">
        <v>0</v>
      </c>
      <c r="AD1182" s="1183">
        <v>0</v>
      </c>
      <c r="AE1182" s="1183">
        <v>0</v>
      </c>
      <c r="AF1182" s="1183">
        <v>0</v>
      </c>
      <c r="AG1182" s="943">
        <f>comparaison_samebasis_villages[[#This Row],[previous idp_ind]]-comparaison_samebasis_villages[[#This Row],[actual idp_ind]]</f>
        <v>-110</v>
      </c>
      <c r="AH1182" s="943">
        <f>comparaison_samebasis_villages[[#This Row],[previous ref_ind]]-comparaison_samebasis_villages[[#This Row],[actual ref_ind]]</f>
        <v>0</v>
      </c>
      <c r="AI1182" s="943">
        <f>comparaison_samebasis_villages[[#This Row],[previous ret_ind]]-comparaison_samebasis_villages[[#This Row],[actual ret_ind]]</f>
        <v>0</v>
      </c>
    </row>
    <row r="1183" spans="15:35" ht="15.75" customHeight="1" x14ac:dyDescent="0.3">
      <c r="O1183" s="399" t="s">
        <v>31</v>
      </c>
      <c r="P1183" s="399" t="s">
        <v>31</v>
      </c>
      <c r="Q1183" s="399" t="s">
        <v>173</v>
      </c>
      <c r="R1183" s="399" t="s">
        <v>173</v>
      </c>
      <c r="S1183" s="399" t="s">
        <v>832</v>
      </c>
      <c r="T1183" s="399" t="s">
        <v>1105</v>
      </c>
      <c r="U1183" s="941">
        <v>0</v>
      </c>
      <c r="V1183" s="941">
        <v>0</v>
      </c>
      <c r="W1183" s="941">
        <v>0</v>
      </c>
      <c r="X1183" s="941">
        <v>0</v>
      </c>
      <c r="Y1183" s="941">
        <v>20</v>
      </c>
      <c r="Z1183" s="941">
        <v>20</v>
      </c>
      <c r="AA1183" s="1183">
        <v>1</v>
      </c>
      <c r="AB1183" s="1183">
        <v>5</v>
      </c>
      <c r="AC1183" s="1183">
        <v>0</v>
      </c>
      <c r="AD1183" s="1183">
        <v>0</v>
      </c>
      <c r="AE1183" s="1183">
        <v>0</v>
      </c>
      <c r="AF1183" s="1183">
        <v>0</v>
      </c>
      <c r="AG1183" s="943">
        <f>comparaison_samebasis_villages[[#This Row],[previous idp_ind]]-comparaison_samebasis_villages[[#This Row],[actual idp_ind]]</f>
        <v>5</v>
      </c>
      <c r="AH1183" s="943">
        <f>comparaison_samebasis_villages[[#This Row],[previous ref_ind]]-comparaison_samebasis_villages[[#This Row],[actual ref_ind]]</f>
        <v>0</v>
      </c>
      <c r="AI1183" s="943">
        <f>comparaison_samebasis_villages[[#This Row],[previous ret_ind]]-comparaison_samebasis_villages[[#This Row],[actual ret_ind]]</f>
        <v>-20</v>
      </c>
    </row>
    <row r="1184" spans="15:35" ht="15.75" customHeight="1" x14ac:dyDescent="0.3">
      <c r="O1184" s="399" t="s">
        <v>31</v>
      </c>
      <c r="P1184" s="399" t="s">
        <v>31</v>
      </c>
      <c r="Q1184" s="399" t="s">
        <v>173</v>
      </c>
      <c r="R1184" s="399" t="s">
        <v>173</v>
      </c>
      <c r="S1184" s="399" t="s">
        <v>825</v>
      </c>
      <c r="T1184" s="399" t="s">
        <v>831</v>
      </c>
      <c r="U1184" s="941">
        <v>0</v>
      </c>
      <c r="V1184" s="941">
        <v>0</v>
      </c>
      <c r="W1184" s="941">
        <v>0</v>
      </c>
      <c r="X1184" s="941">
        <v>0</v>
      </c>
      <c r="Y1184" s="941">
        <v>0</v>
      </c>
      <c r="Z1184" s="941">
        <v>0</v>
      </c>
      <c r="AA1184" s="1183">
        <v>47</v>
      </c>
      <c r="AB1184" s="1183">
        <v>321</v>
      </c>
      <c r="AC1184" s="1183">
        <v>0</v>
      </c>
      <c r="AD1184" s="1183">
        <v>0</v>
      </c>
      <c r="AE1184" s="1183">
        <v>8</v>
      </c>
      <c r="AF1184" s="1183">
        <v>58</v>
      </c>
      <c r="AG1184" s="943">
        <f>comparaison_samebasis_villages[[#This Row],[previous idp_ind]]-comparaison_samebasis_villages[[#This Row],[actual idp_ind]]</f>
        <v>321</v>
      </c>
      <c r="AH1184" s="943">
        <f>comparaison_samebasis_villages[[#This Row],[previous ref_ind]]-comparaison_samebasis_villages[[#This Row],[actual ref_ind]]</f>
        <v>0</v>
      </c>
      <c r="AI1184" s="943">
        <f>comparaison_samebasis_villages[[#This Row],[previous ret_ind]]-comparaison_samebasis_villages[[#This Row],[actual ret_ind]]</f>
        <v>58</v>
      </c>
    </row>
    <row r="1185" spans="15:35" ht="15.75" customHeight="1" x14ac:dyDescent="0.3">
      <c r="O1185" s="399" t="s">
        <v>31</v>
      </c>
      <c r="P1185" s="399" t="s">
        <v>31</v>
      </c>
      <c r="Q1185" s="399" t="s">
        <v>173</v>
      </c>
      <c r="R1185" s="399" t="s">
        <v>173</v>
      </c>
      <c r="S1185" s="399" t="s">
        <v>607</v>
      </c>
      <c r="T1185" s="399" t="s">
        <v>824</v>
      </c>
      <c r="U1185" s="941">
        <v>0</v>
      </c>
      <c r="V1185" s="941">
        <v>0</v>
      </c>
      <c r="W1185" s="941">
        <v>0</v>
      </c>
      <c r="X1185" s="941">
        <v>0</v>
      </c>
      <c r="Y1185" s="941">
        <v>0</v>
      </c>
      <c r="Z1185" s="941">
        <v>0</v>
      </c>
      <c r="AA1185" s="1183">
        <v>2</v>
      </c>
      <c r="AB1185" s="1183">
        <v>4</v>
      </c>
      <c r="AC1185" s="1183">
        <v>0</v>
      </c>
      <c r="AD1185" s="1183">
        <v>0</v>
      </c>
      <c r="AE1185" s="1183">
        <v>10</v>
      </c>
      <c r="AF1185" s="1183">
        <v>100</v>
      </c>
      <c r="AG1185" s="943">
        <f>comparaison_samebasis_villages[[#This Row],[previous idp_ind]]-comparaison_samebasis_villages[[#This Row],[actual idp_ind]]</f>
        <v>4</v>
      </c>
      <c r="AH1185" s="943">
        <f>comparaison_samebasis_villages[[#This Row],[previous ref_ind]]-comparaison_samebasis_villages[[#This Row],[actual ref_ind]]</f>
        <v>0</v>
      </c>
      <c r="AI1185" s="943">
        <f>comparaison_samebasis_villages[[#This Row],[previous ret_ind]]-comparaison_samebasis_villages[[#This Row],[actual ret_ind]]</f>
        <v>100</v>
      </c>
    </row>
    <row r="1186" spans="15:35" ht="15.75" customHeight="1" x14ac:dyDescent="0.3">
      <c r="O1186" s="399" t="s">
        <v>31</v>
      </c>
      <c r="P1186" s="399" t="s">
        <v>31</v>
      </c>
      <c r="Q1186" s="399" t="s">
        <v>173</v>
      </c>
      <c r="R1186" s="399" t="s">
        <v>173</v>
      </c>
      <c r="S1186" s="399" t="s">
        <v>2264</v>
      </c>
      <c r="T1186" s="399" t="s">
        <v>606</v>
      </c>
      <c r="U1186" s="941">
        <v>0</v>
      </c>
      <c r="V1186" s="941">
        <v>0</v>
      </c>
      <c r="W1186" s="941">
        <v>0</v>
      </c>
      <c r="X1186" s="941">
        <v>0</v>
      </c>
      <c r="Y1186" s="941">
        <v>0</v>
      </c>
      <c r="Z1186" s="941">
        <v>0</v>
      </c>
      <c r="AA1186" s="1183">
        <v>5</v>
      </c>
      <c r="AB1186" s="1183">
        <v>35</v>
      </c>
      <c r="AC1186" s="1183">
        <v>0</v>
      </c>
      <c r="AD1186" s="1183">
        <v>0</v>
      </c>
      <c r="AE1186" s="1183">
        <v>2</v>
      </c>
      <c r="AF1186" s="1183">
        <v>14</v>
      </c>
      <c r="AG1186" s="943">
        <f>comparaison_samebasis_villages[[#This Row],[previous idp_ind]]-comparaison_samebasis_villages[[#This Row],[actual idp_ind]]</f>
        <v>35</v>
      </c>
      <c r="AH1186" s="943">
        <f>comparaison_samebasis_villages[[#This Row],[previous ref_ind]]-comparaison_samebasis_villages[[#This Row],[actual ref_ind]]</f>
        <v>0</v>
      </c>
      <c r="AI1186" s="943">
        <f>comparaison_samebasis_villages[[#This Row],[previous ret_ind]]-comparaison_samebasis_villages[[#This Row],[actual ret_ind]]</f>
        <v>14</v>
      </c>
    </row>
    <row r="1187" spans="15:35" ht="15.75" customHeight="1" x14ac:dyDescent="0.3">
      <c r="O1187" s="399" t="s">
        <v>31</v>
      </c>
      <c r="P1187" s="399" t="s">
        <v>31</v>
      </c>
      <c r="Q1187" s="399" t="s">
        <v>173</v>
      </c>
      <c r="R1187" s="399" t="s">
        <v>173</v>
      </c>
      <c r="S1187" s="399" t="s">
        <v>560</v>
      </c>
      <c r="T1187" s="399" t="s">
        <v>2263</v>
      </c>
      <c r="U1187" s="941">
        <v>0</v>
      </c>
      <c r="V1187" s="941">
        <v>0</v>
      </c>
      <c r="W1187" s="941">
        <v>0</v>
      </c>
      <c r="X1187" s="941">
        <v>0</v>
      </c>
      <c r="Y1187" s="941">
        <v>0</v>
      </c>
      <c r="Z1187" s="941">
        <v>0</v>
      </c>
      <c r="AA1187" s="1183">
        <v>12</v>
      </c>
      <c r="AB1187" s="1183">
        <v>72</v>
      </c>
      <c r="AC1187" s="1183">
        <v>0</v>
      </c>
      <c r="AD1187" s="1183">
        <v>0</v>
      </c>
      <c r="AE1187" s="1183">
        <v>4</v>
      </c>
      <c r="AF1187" s="1183">
        <v>31</v>
      </c>
      <c r="AG1187" s="943">
        <f>comparaison_samebasis_villages[[#This Row],[previous idp_ind]]-comparaison_samebasis_villages[[#This Row],[actual idp_ind]]</f>
        <v>72</v>
      </c>
      <c r="AH1187" s="943">
        <f>comparaison_samebasis_villages[[#This Row],[previous ref_ind]]-comparaison_samebasis_villages[[#This Row],[actual ref_ind]]</f>
        <v>0</v>
      </c>
      <c r="AI1187" s="943">
        <f>comparaison_samebasis_villages[[#This Row],[previous ret_ind]]-comparaison_samebasis_villages[[#This Row],[actual ret_ind]]</f>
        <v>31</v>
      </c>
    </row>
    <row r="1188" spans="15:35" ht="15.75" customHeight="1" x14ac:dyDescent="0.3">
      <c r="O1188" s="399" t="s">
        <v>31</v>
      </c>
      <c r="P1188" s="399" t="s">
        <v>31</v>
      </c>
      <c r="Q1188" s="399" t="s">
        <v>173</v>
      </c>
      <c r="R1188" s="399" t="s">
        <v>173</v>
      </c>
      <c r="S1188" s="399" t="s">
        <v>1442</v>
      </c>
      <c r="T1188" s="399" t="s">
        <v>559</v>
      </c>
      <c r="U1188" s="941">
        <v>0</v>
      </c>
      <c r="V1188" s="941">
        <v>0</v>
      </c>
      <c r="W1188" s="941">
        <v>0</v>
      </c>
      <c r="X1188" s="941">
        <v>0</v>
      </c>
      <c r="Y1188" s="941">
        <v>4</v>
      </c>
      <c r="Z1188" s="941">
        <v>4</v>
      </c>
      <c r="AA1188" s="1183">
        <v>0</v>
      </c>
      <c r="AB1188" s="1183">
        <v>0</v>
      </c>
      <c r="AC1188" s="1183">
        <v>0</v>
      </c>
      <c r="AD1188" s="1183">
        <v>0</v>
      </c>
      <c r="AE1188" s="1183">
        <v>0</v>
      </c>
      <c r="AF1188" s="1183">
        <v>0</v>
      </c>
      <c r="AG1188" s="943">
        <f>comparaison_samebasis_villages[[#This Row],[previous idp_ind]]-comparaison_samebasis_villages[[#This Row],[actual idp_ind]]</f>
        <v>0</v>
      </c>
      <c r="AH1188" s="943">
        <f>comparaison_samebasis_villages[[#This Row],[previous ref_ind]]-comparaison_samebasis_villages[[#This Row],[actual ref_ind]]</f>
        <v>0</v>
      </c>
      <c r="AI1188" s="943">
        <f>comparaison_samebasis_villages[[#This Row],[previous ret_ind]]-comparaison_samebasis_villages[[#This Row],[actual ret_ind]]</f>
        <v>-4</v>
      </c>
    </row>
    <row r="1189" spans="15:35" ht="15.75" customHeight="1" x14ac:dyDescent="0.3">
      <c r="O1189" s="399" t="s">
        <v>31</v>
      </c>
      <c r="P1189" s="399" t="s">
        <v>31</v>
      </c>
      <c r="Q1189" s="399" t="s">
        <v>173</v>
      </c>
      <c r="R1189" s="399" t="s">
        <v>173</v>
      </c>
      <c r="S1189" s="399" t="s">
        <v>1590</v>
      </c>
      <c r="T1189" s="399" t="s">
        <v>1441</v>
      </c>
      <c r="U1189" s="941">
        <v>4</v>
      </c>
      <c r="V1189" s="941">
        <v>30</v>
      </c>
      <c r="W1189" s="941">
        <v>0</v>
      </c>
      <c r="X1189" s="941">
        <v>0</v>
      </c>
      <c r="Y1189" s="941">
        <v>0</v>
      </c>
      <c r="Z1189" s="941">
        <v>0</v>
      </c>
      <c r="AA1189" s="1183">
        <v>38</v>
      </c>
      <c r="AB1189" s="1183">
        <v>316</v>
      </c>
      <c r="AC1189" s="1183">
        <v>0</v>
      </c>
      <c r="AD1189" s="1183">
        <v>0</v>
      </c>
      <c r="AE1189" s="1183">
        <v>0</v>
      </c>
      <c r="AF1189" s="1183">
        <v>0</v>
      </c>
      <c r="AG1189" s="943">
        <f>comparaison_samebasis_villages[[#This Row],[previous idp_ind]]-comparaison_samebasis_villages[[#This Row],[actual idp_ind]]</f>
        <v>286</v>
      </c>
      <c r="AH1189" s="943">
        <f>comparaison_samebasis_villages[[#This Row],[previous ref_ind]]-comparaison_samebasis_villages[[#This Row],[actual ref_ind]]</f>
        <v>0</v>
      </c>
      <c r="AI1189" s="943">
        <f>comparaison_samebasis_villages[[#This Row],[previous ret_ind]]-comparaison_samebasis_villages[[#This Row],[actual ret_ind]]</f>
        <v>0</v>
      </c>
    </row>
    <row r="1190" spans="15:35" ht="15.75" customHeight="1" x14ac:dyDescent="0.3">
      <c r="O1190" s="399" t="s">
        <v>31</v>
      </c>
      <c r="P1190" s="399" t="s">
        <v>31</v>
      </c>
      <c r="Q1190" s="399" t="s">
        <v>173</v>
      </c>
      <c r="R1190" s="399" t="s">
        <v>173</v>
      </c>
      <c r="S1190" s="399" t="s">
        <v>558</v>
      </c>
      <c r="T1190" s="399" t="s">
        <v>1589</v>
      </c>
      <c r="U1190" s="941">
        <v>0</v>
      </c>
      <c r="V1190" s="941">
        <v>0</v>
      </c>
      <c r="W1190" s="941">
        <v>0</v>
      </c>
      <c r="X1190" s="941">
        <v>0</v>
      </c>
      <c r="Y1190" s="941">
        <v>46</v>
      </c>
      <c r="Z1190" s="941">
        <v>46</v>
      </c>
      <c r="AA1190" s="1183">
        <v>0</v>
      </c>
      <c r="AB1190" s="1183">
        <v>0</v>
      </c>
      <c r="AC1190" s="1183">
        <v>0</v>
      </c>
      <c r="AD1190" s="1183">
        <v>0</v>
      </c>
      <c r="AE1190" s="1183">
        <v>0</v>
      </c>
      <c r="AF1190" s="1183">
        <v>0</v>
      </c>
      <c r="AG1190" s="943">
        <f>comparaison_samebasis_villages[[#This Row],[previous idp_ind]]-comparaison_samebasis_villages[[#This Row],[actual idp_ind]]</f>
        <v>0</v>
      </c>
      <c r="AH1190" s="943">
        <f>comparaison_samebasis_villages[[#This Row],[previous ref_ind]]-comparaison_samebasis_villages[[#This Row],[actual ref_ind]]</f>
        <v>0</v>
      </c>
      <c r="AI1190" s="943">
        <f>comparaison_samebasis_villages[[#This Row],[previous ret_ind]]-comparaison_samebasis_villages[[#This Row],[actual ret_ind]]</f>
        <v>-46</v>
      </c>
    </row>
    <row r="1191" spans="15:35" ht="15.75" customHeight="1" x14ac:dyDescent="0.3">
      <c r="O1191" s="399" t="s">
        <v>31</v>
      </c>
      <c r="P1191" s="399" t="s">
        <v>31</v>
      </c>
      <c r="Q1191" s="399" t="s">
        <v>173</v>
      </c>
      <c r="R1191" s="399" t="s">
        <v>173</v>
      </c>
      <c r="S1191" s="399" t="s">
        <v>836</v>
      </c>
      <c r="T1191" s="399" t="s">
        <v>557</v>
      </c>
      <c r="U1191" s="941">
        <v>0</v>
      </c>
      <c r="V1191" s="941">
        <v>0</v>
      </c>
      <c r="W1191" s="941">
        <v>0</v>
      </c>
      <c r="X1191" s="941">
        <v>0</v>
      </c>
      <c r="Y1191" s="941">
        <v>0</v>
      </c>
      <c r="Z1191" s="941">
        <v>0</v>
      </c>
      <c r="AA1191" s="1183">
        <v>72</v>
      </c>
      <c r="AB1191" s="1183">
        <v>542</v>
      </c>
      <c r="AC1191" s="1183">
        <v>0</v>
      </c>
      <c r="AD1191" s="1183">
        <v>0</v>
      </c>
      <c r="AE1191" s="1183">
        <v>0</v>
      </c>
      <c r="AF1191" s="1183">
        <v>0</v>
      </c>
      <c r="AG1191" s="943">
        <f>comparaison_samebasis_villages[[#This Row],[previous idp_ind]]-comparaison_samebasis_villages[[#This Row],[actual idp_ind]]</f>
        <v>542</v>
      </c>
      <c r="AH1191" s="943">
        <f>comparaison_samebasis_villages[[#This Row],[previous ref_ind]]-comparaison_samebasis_villages[[#This Row],[actual ref_ind]]</f>
        <v>0</v>
      </c>
      <c r="AI1191" s="943">
        <f>comparaison_samebasis_villages[[#This Row],[previous ret_ind]]-comparaison_samebasis_villages[[#This Row],[actual ret_ind]]</f>
        <v>0</v>
      </c>
    </row>
    <row r="1192" spans="15:35" ht="15.75" customHeight="1" x14ac:dyDescent="0.3">
      <c r="O1192" s="399" t="s">
        <v>31</v>
      </c>
      <c r="P1192" s="399" t="s">
        <v>31</v>
      </c>
      <c r="Q1192" s="399" t="s">
        <v>173</v>
      </c>
      <c r="R1192" s="399" t="s">
        <v>173</v>
      </c>
      <c r="S1192" s="399" t="s">
        <v>1433</v>
      </c>
      <c r="T1192" s="399" t="s">
        <v>835</v>
      </c>
      <c r="U1192" s="941">
        <v>10</v>
      </c>
      <c r="V1192" s="941">
        <v>50</v>
      </c>
      <c r="W1192" s="941">
        <v>0</v>
      </c>
      <c r="X1192" s="941">
        <v>0</v>
      </c>
      <c r="Y1192" s="941">
        <v>0</v>
      </c>
      <c r="Z1192" s="941">
        <v>0</v>
      </c>
      <c r="AA1192" s="1183">
        <v>30</v>
      </c>
      <c r="AB1192" s="1183">
        <v>201</v>
      </c>
      <c r="AC1192" s="1183">
        <v>0</v>
      </c>
      <c r="AD1192" s="1183">
        <v>0</v>
      </c>
      <c r="AE1192" s="1183">
        <v>0</v>
      </c>
      <c r="AF1192" s="1183">
        <v>0</v>
      </c>
      <c r="AG1192" s="943">
        <f>comparaison_samebasis_villages[[#This Row],[previous idp_ind]]-comparaison_samebasis_villages[[#This Row],[actual idp_ind]]</f>
        <v>151</v>
      </c>
      <c r="AH1192" s="943">
        <f>comparaison_samebasis_villages[[#This Row],[previous ref_ind]]-comparaison_samebasis_villages[[#This Row],[actual ref_ind]]</f>
        <v>0</v>
      </c>
      <c r="AI1192" s="943">
        <f>comparaison_samebasis_villages[[#This Row],[previous ret_ind]]-comparaison_samebasis_villages[[#This Row],[actual ret_ind]]</f>
        <v>0</v>
      </c>
    </row>
    <row r="1193" spans="15:35" ht="15.75" customHeight="1" x14ac:dyDescent="0.3">
      <c r="O1193" s="399" t="s">
        <v>31</v>
      </c>
      <c r="P1193" s="399" t="s">
        <v>31</v>
      </c>
      <c r="Q1193" s="399" t="s">
        <v>173</v>
      </c>
      <c r="R1193" s="399" t="s">
        <v>173</v>
      </c>
      <c r="S1193" s="399" t="s">
        <v>1537</v>
      </c>
      <c r="T1193" s="399" t="s">
        <v>1432</v>
      </c>
      <c r="U1193" s="941">
        <v>0</v>
      </c>
      <c r="V1193" s="941">
        <v>0</v>
      </c>
      <c r="W1193" s="941">
        <v>0</v>
      </c>
      <c r="X1193" s="941">
        <v>0</v>
      </c>
      <c r="Y1193" s="941">
        <v>0</v>
      </c>
      <c r="Z1193" s="941">
        <v>0</v>
      </c>
      <c r="AA1193" s="1183">
        <v>3</v>
      </c>
      <c r="AB1193" s="1183">
        <v>21</v>
      </c>
      <c r="AC1193" s="1183">
        <v>0</v>
      </c>
      <c r="AD1193" s="1183">
        <v>0</v>
      </c>
      <c r="AE1193" s="1183">
        <v>0</v>
      </c>
      <c r="AF1193" s="1183">
        <v>0</v>
      </c>
      <c r="AG1193" s="943">
        <f>comparaison_samebasis_villages[[#This Row],[previous idp_ind]]-comparaison_samebasis_villages[[#This Row],[actual idp_ind]]</f>
        <v>21</v>
      </c>
      <c r="AH1193" s="943">
        <f>comparaison_samebasis_villages[[#This Row],[previous ref_ind]]-comparaison_samebasis_villages[[#This Row],[actual ref_ind]]</f>
        <v>0</v>
      </c>
      <c r="AI1193" s="943">
        <f>comparaison_samebasis_villages[[#This Row],[previous ret_ind]]-comparaison_samebasis_villages[[#This Row],[actual ret_ind]]</f>
        <v>0</v>
      </c>
    </row>
    <row r="1194" spans="15:35" ht="15.75" customHeight="1" x14ac:dyDescent="0.3"/>
    <row r="1195" spans="15:35" ht="15.75" customHeight="1" x14ac:dyDescent="0.3"/>
    <row r="1196" spans="15:35" ht="15.75" customHeight="1" x14ac:dyDescent="0.3"/>
    <row r="1197" spans="15:35" ht="15.75" customHeight="1" x14ac:dyDescent="0.3"/>
    <row r="1198" spans="15:35" ht="15.75" customHeight="1" x14ac:dyDescent="0.3"/>
    <row r="1199" spans="15:35" ht="15.75" customHeight="1" x14ac:dyDescent="0.3"/>
    <row r="1200" spans="15:35"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row r="2036" ht="15.75" customHeight="1" x14ac:dyDescent="0.3"/>
    <row r="2037" ht="15.75" customHeight="1" x14ac:dyDescent="0.3"/>
    <row r="2038" ht="15.75" customHeight="1" x14ac:dyDescent="0.3"/>
    <row r="2039" ht="15.75" customHeight="1" x14ac:dyDescent="0.3"/>
    <row r="2040" ht="15.75" customHeight="1" x14ac:dyDescent="0.3"/>
    <row r="2041" ht="15.75" customHeight="1" x14ac:dyDescent="0.3"/>
    <row r="2042" ht="15.75" customHeight="1" x14ac:dyDescent="0.3"/>
    <row r="2043" ht="15.75" customHeight="1" x14ac:dyDescent="0.3"/>
    <row r="2044" ht="15.75" customHeight="1" x14ac:dyDescent="0.3"/>
    <row r="2045" ht="15.75" customHeight="1" x14ac:dyDescent="0.3"/>
    <row r="2046" ht="15.75" customHeight="1" x14ac:dyDescent="0.3"/>
    <row r="2047" ht="15.75" customHeight="1" x14ac:dyDescent="0.3"/>
    <row r="2048" ht="15.75" customHeight="1" x14ac:dyDescent="0.3"/>
    <row r="2049" ht="15.75" customHeight="1" x14ac:dyDescent="0.3"/>
    <row r="2050" ht="15.75" customHeight="1" x14ac:dyDescent="0.3"/>
    <row r="2051" ht="15.75" customHeight="1" x14ac:dyDescent="0.3"/>
    <row r="2052" ht="15.75" customHeight="1" x14ac:dyDescent="0.3"/>
    <row r="2053" ht="15.75" customHeight="1" x14ac:dyDescent="0.3"/>
    <row r="2054" ht="15.75" customHeight="1" x14ac:dyDescent="0.3"/>
    <row r="2055" ht="15.75" customHeight="1" x14ac:dyDescent="0.3"/>
    <row r="2056" ht="15.75" customHeight="1" x14ac:dyDescent="0.3"/>
    <row r="2057" ht="15.75" customHeight="1" x14ac:dyDescent="0.3"/>
    <row r="2058" ht="15.75" customHeight="1" x14ac:dyDescent="0.3"/>
    <row r="2059" ht="15.75" customHeight="1" x14ac:dyDescent="0.3"/>
    <row r="2060" ht="15.75" customHeight="1" x14ac:dyDescent="0.3"/>
    <row r="2061" ht="15.75" customHeight="1" x14ac:dyDescent="0.3"/>
    <row r="2062" ht="15.75" customHeight="1" x14ac:dyDescent="0.3"/>
    <row r="2063" ht="15.75" customHeight="1" x14ac:dyDescent="0.3"/>
    <row r="2064" ht="15.75" customHeight="1" x14ac:dyDescent="0.3"/>
    <row r="2065" ht="15.75" customHeight="1" x14ac:dyDescent="0.3"/>
    <row r="2066" ht="15.75" customHeight="1" x14ac:dyDescent="0.3"/>
    <row r="2067" ht="15.75" customHeight="1" x14ac:dyDescent="0.3"/>
    <row r="2068" ht="15.75" customHeight="1" x14ac:dyDescent="0.3"/>
    <row r="2069" ht="15.75" customHeight="1" x14ac:dyDescent="0.3"/>
    <row r="2070" ht="15.75" customHeight="1" x14ac:dyDescent="0.3"/>
    <row r="2071" ht="15.75" customHeight="1" x14ac:dyDescent="0.3"/>
    <row r="2072" ht="15.75" customHeight="1" x14ac:dyDescent="0.3"/>
    <row r="2073" ht="15.75" customHeight="1" x14ac:dyDescent="0.3"/>
    <row r="2074" ht="15.75" customHeight="1" x14ac:dyDescent="0.3"/>
    <row r="2075" ht="15.75" customHeight="1" x14ac:dyDescent="0.3"/>
    <row r="2076" ht="15.75" customHeight="1" x14ac:dyDescent="0.3"/>
    <row r="2077" ht="15.75" customHeight="1" x14ac:dyDescent="0.3"/>
    <row r="2078" ht="15.75" customHeight="1" x14ac:dyDescent="0.3"/>
    <row r="2079" ht="15.75" customHeight="1" x14ac:dyDescent="0.3"/>
    <row r="2080" ht="15.75" customHeight="1" x14ac:dyDescent="0.3"/>
    <row r="2081" ht="15.75" customHeight="1" x14ac:dyDescent="0.3"/>
    <row r="2082" ht="15.75" customHeight="1" x14ac:dyDescent="0.3"/>
    <row r="2083" ht="15.75" customHeight="1" x14ac:dyDescent="0.3"/>
    <row r="2084" ht="15.75" customHeight="1" x14ac:dyDescent="0.3"/>
    <row r="2085" ht="15.75" customHeight="1" x14ac:dyDescent="0.3"/>
    <row r="2086" ht="15.75" customHeight="1" x14ac:dyDescent="0.3"/>
    <row r="2087" ht="15.75" customHeight="1" x14ac:dyDescent="0.3"/>
    <row r="2088" ht="15.75" customHeight="1" x14ac:dyDescent="0.3"/>
    <row r="2089" ht="15.75" customHeight="1" x14ac:dyDescent="0.3"/>
    <row r="2090" ht="15.75" customHeight="1" x14ac:dyDescent="0.3"/>
    <row r="2091" ht="15.75" customHeight="1" x14ac:dyDescent="0.3"/>
    <row r="2092" ht="15.75" customHeight="1" x14ac:dyDescent="0.3"/>
    <row r="2093" ht="15.75" customHeight="1" x14ac:dyDescent="0.3"/>
    <row r="2094" ht="15.75" customHeight="1" x14ac:dyDescent="0.3"/>
    <row r="2095" ht="15.75" customHeight="1" x14ac:dyDescent="0.3"/>
    <row r="2096" ht="15.75" customHeight="1" x14ac:dyDescent="0.3"/>
    <row r="2097" ht="15.75" customHeight="1" x14ac:dyDescent="0.3"/>
    <row r="2098" ht="15.75" customHeight="1" x14ac:dyDescent="0.3"/>
    <row r="2099" ht="15.75" customHeight="1" x14ac:dyDescent="0.3"/>
    <row r="2100" ht="15.75" customHeight="1" x14ac:dyDescent="0.3"/>
    <row r="2101" ht="15.75" customHeight="1" x14ac:dyDescent="0.3"/>
    <row r="2102" ht="15.75" customHeight="1" x14ac:dyDescent="0.3"/>
    <row r="2103" ht="15.75" customHeight="1" x14ac:dyDescent="0.3"/>
    <row r="2104" ht="15.75" customHeight="1" x14ac:dyDescent="0.3"/>
    <row r="2105" ht="15.75" customHeight="1" x14ac:dyDescent="0.3"/>
    <row r="2106" ht="15.75" customHeight="1" x14ac:dyDescent="0.3"/>
    <row r="2107" ht="15.75" customHeight="1" x14ac:dyDescent="0.3"/>
    <row r="2108" ht="15.75" customHeight="1" x14ac:dyDescent="0.3"/>
    <row r="2109" ht="15.75" customHeight="1" x14ac:dyDescent="0.3"/>
    <row r="2110" ht="15.75" customHeight="1" x14ac:dyDescent="0.3"/>
    <row r="2111" ht="15.75" customHeight="1" x14ac:dyDescent="0.3"/>
    <row r="2112" ht="15.75" customHeight="1" x14ac:dyDescent="0.3"/>
    <row r="2113" ht="15.75" customHeight="1" x14ac:dyDescent="0.3"/>
    <row r="2114" ht="15.75" customHeight="1" x14ac:dyDescent="0.3"/>
    <row r="2115" ht="15.75" customHeight="1" x14ac:dyDescent="0.3"/>
    <row r="2116" ht="15.75" customHeight="1" x14ac:dyDescent="0.3"/>
    <row r="2117" ht="15.75" customHeight="1" x14ac:dyDescent="0.3"/>
    <row r="2118" ht="15.75" customHeight="1" x14ac:dyDescent="0.3"/>
    <row r="2119" ht="15.75" customHeight="1" x14ac:dyDescent="0.3"/>
    <row r="2120" ht="15.75" customHeight="1" x14ac:dyDescent="0.3"/>
    <row r="2121" ht="15.75" customHeight="1" x14ac:dyDescent="0.3"/>
    <row r="2122" ht="15.75" customHeight="1" x14ac:dyDescent="0.3"/>
    <row r="2123" ht="15.75" customHeight="1" x14ac:dyDescent="0.3"/>
    <row r="2124" ht="15.75" customHeight="1" x14ac:dyDescent="0.3"/>
    <row r="2125" ht="15.75" customHeight="1" x14ac:dyDescent="0.3"/>
    <row r="2126" ht="15.75" customHeight="1" x14ac:dyDescent="0.3"/>
    <row r="2127" ht="15.75" customHeight="1" x14ac:dyDescent="0.3"/>
    <row r="2128" ht="15.75" customHeight="1" x14ac:dyDescent="0.3"/>
    <row r="2129" ht="15.75" customHeight="1" x14ac:dyDescent="0.3"/>
    <row r="2130" ht="15.75" customHeight="1" x14ac:dyDescent="0.3"/>
    <row r="2131" ht="15.75" customHeight="1" x14ac:dyDescent="0.3"/>
    <row r="2132" ht="15.75" customHeight="1" x14ac:dyDescent="0.3"/>
    <row r="2133" ht="15.75" customHeight="1" x14ac:dyDescent="0.3"/>
    <row r="2134" ht="15.75" customHeight="1" x14ac:dyDescent="0.3"/>
    <row r="2135" ht="15.75" customHeight="1" x14ac:dyDescent="0.3"/>
    <row r="2136" ht="15.75" customHeight="1" x14ac:dyDescent="0.3"/>
    <row r="2137" ht="15.75" customHeight="1" x14ac:dyDescent="0.3"/>
    <row r="2138" ht="15.75" customHeight="1" x14ac:dyDescent="0.3"/>
    <row r="2139" ht="15.75" customHeight="1" x14ac:dyDescent="0.3"/>
    <row r="2140" ht="15.75" customHeight="1" x14ac:dyDescent="0.3"/>
    <row r="2141" ht="15.75" customHeight="1" x14ac:dyDescent="0.3"/>
    <row r="2142" ht="15.75" customHeight="1" x14ac:dyDescent="0.3"/>
    <row r="2143" ht="15.75" customHeight="1" x14ac:dyDescent="0.3"/>
    <row r="2144" ht="15.75" customHeight="1" x14ac:dyDescent="0.3"/>
    <row r="2145" ht="15.75" customHeight="1" x14ac:dyDescent="0.3"/>
    <row r="2146" ht="15.75" customHeight="1" x14ac:dyDescent="0.3"/>
    <row r="2147" ht="15.75" customHeight="1" x14ac:dyDescent="0.3"/>
    <row r="2148" ht="15.75" customHeight="1" x14ac:dyDescent="0.3"/>
    <row r="2149" ht="15.75" customHeight="1" x14ac:dyDescent="0.3"/>
    <row r="2150" ht="15.75" customHeight="1" x14ac:dyDescent="0.3"/>
    <row r="2151" ht="15.75" customHeight="1" x14ac:dyDescent="0.3"/>
    <row r="2152" ht="15.75" customHeight="1" x14ac:dyDescent="0.3"/>
    <row r="2153" ht="15.75" customHeight="1" x14ac:dyDescent="0.3"/>
    <row r="2154" ht="15.75" customHeight="1" x14ac:dyDescent="0.3"/>
    <row r="2155" ht="15.75" customHeight="1" x14ac:dyDescent="0.3"/>
    <row r="2156" ht="15.75" customHeight="1" x14ac:dyDescent="0.3"/>
    <row r="2157" ht="15.75" customHeight="1" x14ac:dyDescent="0.3"/>
    <row r="2158" ht="15.75" customHeight="1" x14ac:dyDescent="0.3"/>
    <row r="2159" ht="15.75" customHeight="1" x14ac:dyDescent="0.3"/>
    <row r="2160" ht="15.75" customHeight="1" x14ac:dyDescent="0.3"/>
    <row r="2161" ht="15.75" customHeight="1" x14ac:dyDescent="0.3"/>
    <row r="2162" ht="15.75" customHeight="1" x14ac:dyDescent="0.3"/>
    <row r="2163" ht="15.75" customHeight="1" x14ac:dyDescent="0.3"/>
    <row r="2164" ht="15.75" customHeight="1" x14ac:dyDescent="0.3"/>
    <row r="2165" ht="15.75" customHeight="1" x14ac:dyDescent="0.3"/>
    <row r="2166" ht="15.75" customHeight="1" x14ac:dyDescent="0.3"/>
    <row r="2167" ht="15.75" customHeight="1" x14ac:dyDescent="0.3"/>
    <row r="2168" ht="15.75" customHeight="1" x14ac:dyDescent="0.3"/>
    <row r="2169" ht="15.75" customHeight="1" x14ac:dyDescent="0.3"/>
    <row r="2170" ht="15.75" customHeight="1" x14ac:dyDescent="0.3"/>
    <row r="2171" ht="15.75" customHeight="1" x14ac:dyDescent="0.3"/>
    <row r="2172" ht="15.75" customHeight="1" x14ac:dyDescent="0.3"/>
    <row r="2173" ht="15.75" customHeight="1" x14ac:dyDescent="0.3"/>
    <row r="2174" ht="15.75" customHeight="1" x14ac:dyDescent="0.3"/>
    <row r="2175" ht="15.75" customHeight="1" x14ac:dyDescent="0.3"/>
    <row r="2176" ht="15.75" customHeight="1" x14ac:dyDescent="0.3"/>
    <row r="2177" ht="15.75" customHeight="1" x14ac:dyDescent="0.3"/>
    <row r="2178" ht="15.75" customHeight="1" x14ac:dyDescent="0.3"/>
    <row r="2179" ht="15.75" customHeight="1" x14ac:dyDescent="0.3"/>
    <row r="2180" ht="15.75" customHeight="1" x14ac:dyDescent="0.3"/>
    <row r="2181" ht="15.75" customHeight="1" x14ac:dyDescent="0.3"/>
    <row r="2182" ht="15.75" customHeight="1" x14ac:dyDescent="0.3"/>
    <row r="2183" ht="15.75" customHeight="1" x14ac:dyDescent="0.3"/>
    <row r="2184" ht="15.75" customHeight="1" x14ac:dyDescent="0.3"/>
    <row r="2185" ht="15.75" customHeight="1" x14ac:dyDescent="0.3"/>
    <row r="2186" ht="15.75" customHeight="1" x14ac:dyDescent="0.3"/>
    <row r="2187" ht="15.75" customHeight="1" x14ac:dyDescent="0.3"/>
    <row r="2188" ht="15.75" customHeight="1" x14ac:dyDescent="0.3"/>
    <row r="2189" ht="15.75" customHeight="1" x14ac:dyDescent="0.3"/>
    <row r="2190" ht="15.75" customHeight="1" x14ac:dyDescent="0.3"/>
    <row r="2191" ht="15.75" customHeight="1" x14ac:dyDescent="0.3"/>
    <row r="2192" ht="15.75" customHeight="1" x14ac:dyDescent="0.3"/>
    <row r="2193" ht="15.75" customHeight="1" x14ac:dyDescent="0.3"/>
    <row r="2194" ht="15.75" customHeight="1" x14ac:dyDescent="0.3"/>
    <row r="2195" ht="15.75" customHeight="1" x14ac:dyDescent="0.3"/>
    <row r="2196" ht="15.75" customHeight="1" x14ac:dyDescent="0.3"/>
    <row r="2197" ht="15.75" customHeight="1" x14ac:dyDescent="0.3"/>
    <row r="2198" ht="15.75" customHeight="1" x14ac:dyDescent="0.3"/>
    <row r="2199" ht="15.75" customHeight="1" x14ac:dyDescent="0.3"/>
    <row r="2200" ht="15.75" customHeight="1" x14ac:dyDescent="0.3"/>
    <row r="2201" ht="15.75" customHeight="1" x14ac:dyDescent="0.3"/>
    <row r="2202" ht="15.75" customHeight="1" x14ac:dyDescent="0.3"/>
    <row r="2203" ht="15.75" customHeight="1" x14ac:dyDescent="0.3"/>
    <row r="2204" ht="15.75" customHeight="1" x14ac:dyDescent="0.3"/>
    <row r="2205" ht="15.75" customHeight="1" x14ac:dyDescent="0.3"/>
    <row r="2206" ht="15.75" customHeight="1" x14ac:dyDescent="0.3"/>
    <row r="2207" ht="15.75" customHeight="1" x14ac:dyDescent="0.3"/>
    <row r="2208" ht="15.75" customHeight="1" x14ac:dyDescent="0.3"/>
    <row r="2209" ht="15.75" customHeight="1" x14ac:dyDescent="0.3"/>
    <row r="2210" ht="15.75" customHeight="1" x14ac:dyDescent="0.3"/>
    <row r="2211" ht="15.75" customHeight="1" x14ac:dyDescent="0.3"/>
    <row r="2212" ht="15.75" customHeight="1" x14ac:dyDescent="0.3"/>
    <row r="2213" ht="15.75" customHeight="1" x14ac:dyDescent="0.3"/>
    <row r="2214" ht="15.75" customHeight="1" x14ac:dyDescent="0.3"/>
    <row r="2215" ht="15.75" customHeight="1" x14ac:dyDescent="0.3"/>
    <row r="2216" ht="15.75" customHeight="1" x14ac:dyDescent="0.3"/>
    <row r="2217" ht="15.75" customHeight="1" x14ac:dyDescent="0.3"/>
    <row r="2218" ht="15.75" customHeight="1" x14ac:dyDescent="0.3"/>
    <row r="2219" ht="15.75" customHeight="1" x14ac:dyDescent="0.3"/>
    <row r="2220" ht="15.75" customHeight="1" x14ac:dyDescent="0.3"/>
    <row r="2221" ht="15.75" customHeight="1" x14ac:dyDescent="0.3"/>
    <row r="2222" ht="15.75" customHeight="1" x14ac:dyDescent="0.3"/>
    <row r="2223" ht="15.75" customHeight="1" x14ac:dyDescent="0.3"/>
    <row r="2224" ht="15.75" customHeight="1" x14ac:dyDescent="0.3"/>
    <row r="2225" ht="15.75" customHeight="1" x14ac:dyDescent="0.3"/>
    <row r="2226" ht="15.75" customHeight="1" x14ac:dyDescent="0.3"/>
    <row r="2227" ht="15.75" customHeight="1" x14ac:dyDescent="0.3"/>
    <row r="2228" ht="15.75" customHeight="1" x14ac:dyDescent="0.3"/>
    <row r="2229" ht="15.75" customHeight="1" x14ac:dyDescent="0.3"/>
    <row r="2230" ht="15.75" customHeight="1" x14ac:dyDescent="0.3"/>
    <row r="2231" ht="15.75" customHeight="1" x14ac:dyDescent="0.3"/>
    <row r="2232" ht="15.75" customHeight="1" x14ac:dyDescent="0.3"/>
    <row r="2233" ht="15.75" customHeight="1" x14ac:dyDescent="0.3"/>
    <row r="2234" ht="15.75" customHeight="1" x14ac:dyDescent="0.3"/>
    <row r="2235" ht="15.75" customHeight="1" x14ac:dyDescent="0.3"/>
    <row r="2236" ht="15.75" customHeight="1" x14ac:dyDescent="0.3"/>
    <row r="2237" ht="15.75" customHeight="1" x14ac:dyDescent="0.3"/>
    <row r="2238" ht="15.75" customHeight="1" x14ac:dyDescent="0.3"/>
    <row r="2239" ht="15.75" customHeight="1" x14ac:dyDescent="0.3"/>
    <row r="2240" ht="15.75" customHeight="1" x14ac:dyDescent="0.3"/>
    <row r="2241" ht="15.75" customHeight="1" x14ac:dyDescent="0.3"/>
    <row r="2242" ht="15.75" customHeight="1" x14ac:dyDescent="0.3"/>
    <row r="2243" ht="15.75" customHeight="1" x14ac:dyDescent="0.3"/>
    <row r="2244" ht="15.75" customHeight="1" x14ac:dyDescent="0.3"/>
    <row r="2245" ht="15.75" customHeight="1" x14ac:dyDescent="0.3"/>
    <row r="2246" ht="15.75" customHeight="1" x14ac:dyDescent="0.3"/>
    <row r="2247" ht="15.75" customHeight="1" x14ac:dyDescent="0.3"/>
    <row r="2248" ht="15.75" customHeight="1" x14ac:dyDescent="0.3"/>
    <row r="2249" ht="15.75" customHeight="1" x14ac:dyDescent="0.3"/>
    <row r="2250" ht="15.75" customHeight="1" x14ac:dyDescent="0.3"/>
    <row r="2251" ht="15.75" customHeight="1" x14ac:dyDescent="0.3"/>
    <row r="2252" ht="15.75" customHeight="1" x14ac:dyDescent="0.3"/>
    <row r="2253" ht="15.75" customHeight="1" x14ac:dyDescent="0.3"/>
    <row r="2254" ht="15.75" customHeight="1" x14ac:dyDescent="0.3"/>
    <row r="2255" ht="15.75" customHeight="1" x14ac:dyDescent="0.3"/>
    <row r="2256" ht="15.75" customHeight="1" x14ac:dyDescent="0.3"/>
    <row r="2257" ht="15.75" customHeight="1" x14ac:dyDescent="0.3"/>
    <row r="2258" ht="15.75" customHeight="1" x14ac:dyDescent="0.3"/>
    <row r="2259" ht="15.75" customHeight="1" x14ac:dyDescent="0.3"/>
    <row r="2260" ht="15.75" customHeight="1" x14ac:dyDescent="0.3"/>
    <row r="2261" ht="15.75" customHeight="1" x14ac:dyDescent="0.3"/>
    <row r="2262" ht="15.75" customHeight="1" x14ac:dyDescent="0.3"/>
    <row r="2263" ht="15.75" customHeight="1" x14ac:dyDescent="0.3"/>
    <row r="2264" ht="15.75" customHeight="1" x14ac:dyDescent="0.3"/>
    <row r="2265" ht="15.75" customHeight="1" x14ac:dyDescent="0.3"/>
    <row r="2266" ht="15.75" customHeight="1" x14ac:dyDescent="0.3"/>
    <row r="2267" ht="15.75" customHeight="1" x14ac:dyDescent="0.3"/>
    <row r="2268" ht="15.75" customHeight="1" x14ac:dyDescent="0.3"/>
    <row r="2269" ht="15.75" customHeight="1" x14ac:dyDescent="0.3"/>
    <row r="2270" ht="15.75" customHeight="1" x14ac:dyDescent="0.3"/>
    <row r="2271" ht="15.75" customHeight="1" x14ac:dyDescent="0.3"/>
    <row r="2272" ht="15.75" customHeight="1" x14ac:dyDescent="0.3"/>
    <row r="2273" ht="15.75" customHeight="1" x14ac:dyDescent="0.3"/>
    <row r="2274" ht="15.75" customHeight="1" x14ac:dyDescent="0.3"/>
    <row r="2275" ht="15.75" customHeight="1" x14ac:dyDescent="0.3"/>
    <row r="2276" ht="15.75" customHeight="1" x14ac:dyDescent="0.3"/>
    <row r="2277" ht="15.75" customHeight="1" x14ac:dyDescent="0.3"/>
    <row r="2278" ht="15.75" customHeight="1" x14ac:dyDescent="0.3"/>
    <row r="2279" ht="15.75" customHeight="1" x14ac:dyDescent="0.3"/>
    <row r="2280" ht="15.75" customHeight="1" x14ac:dyDescent="0.3"/>
    <row r="2281" ht="15.75" customHeight="1" x14ac:dyDescent="0.3"/>
    <row r="2282" ht="15.75" customHeight="1" x14ac:dyDescent="0.3"/>
    <row r="2283" ht="15.75" customHeight="1" x14ac:dyDescent="0.3"/>
    <row r="2284" ht="15.75" customHeight="1" x14ac:dyDescent="0.3"/>
    <row r="2285" ht="15.75" customHeight="1" x14ac:dyDescent="0.3"/>
    <row r="2286" ht="15.75" customHeight="1" x14ac:dyDescent="0.3"/>
    <row r="2287" ht="15.75" customHeight="1" x14ac:dyDescent="0.3"/>
    <row r="2288" ht="15.75" customHeight="1" x14ac:dyDescent="0.3"/>
    <row r="2289" ht="15.75" customHeight="1" x14ac:dyDescent="0.3"/>
    <row r="2290" ht="15.75" customHeight="1" x14ac:dyDescent="0.3"/>
    <row r="2291" ht="15.75" customHeight="1" x14ac:dyDescent="0.3"/>
    <row r="2292" ht="15.75" customHeight="1" x14ac:dyDescent="0.3"/>
    <row r="2293" ht="15.75" customHeight="1" x14ac:dyDescent="0.3"/>
    <row r="2294" ht="15.75" customHeight="1" x14ac:dyDescent="0.3"/>
    <row r="2295" ht="15.75" customHeight="1" x14ac:dyDescent="0.3"/>
    <row r="2296" ht="15.75" customHeight="1" x14ac:dyDescent="0.3"/>
    <row r="2297" ht="15.75" customHeight="1" x14ac:dyDescent="0.3"/>
    <row r="2298" ht="15.75" customHeight="1" x14ac:dyDescent="0.3"/>
    <row r="2299" ht="15.75" customHeight="1" x14ac:dyDescent="0.3"/>
    <row r="2300" ht="15.75" customHeight="1" x14ac:dyDescent="0.3"/>
    <row r="2301" ht="15.75" customHeight="1" x14ac:dyDescent="0.3"/>
    <row r="2302" ht="15.75" customHeight="1" x14ac:dyDescent="0.3"/>
    <row r="2303" ht="15.75" customHeight="1" x14ac:dyDescent="0.3"/>
    <row r="2304" ht="15.75" customHeight="1" x14ac:dyDescent="0.3"/>
    <row r="2305" ht="15.75" customHeight="1" x14ac:dyDescent="0.3"/>
    <row r="2306" ht="15.75" customHeight="1" x14ac:dyDescent="0.3"/>
    <row r="2307" ht="15.75" customHeight="1" x14ac:dyDescent="0.3"/>
    <row r="2308" ht="15.75" customHeight="1" x14ac:dyDescent="0.3"/>
    <row r="2309" ht="15.75" customHeight="1" x14ac:dyDescent="0.3"/>
    <row r="2310" ht="15.75" customHeight="1" x14ac:dyDescent="0.3"/>
    <row r="2311" ht="15.75" customHeight="1" x14ac:dyDescent="0.3"/>
    <row r="2312" ht="15.75" customHeight="1" x14ac:dyDescent="0.3"/>
    <row r="2313" ht="15.75" customHeight="1" x14ac:dyDescent="0.3"/>
    <row r="2314" ht="15.75" customHeight="1" x14ac:dyDescent="0.3"/>
    <row r="2315" ht="15.75" customHeight="1" x14ac:dyDescent="0.3"/>
    <row r="2316" ht="15.75" customHeight="1" x14ac:dyDescent="0.3"/>
    <row r="2317" ht="15.75" customHeight="1" x14ac:dyDescent="0.3"/>
    <row r="2318" ht="15.75" customHeight="1" x14ac:dyDescent="0.3"/>
    <row r="2319" ht="15.75" customHeight="1" x14ac:dyDescent="0.3"/>
    <row r="2320" ht="15.75" customHeight="1" x14ac:dyDescent="0.3"/>
    <row r="2321" ht="15.75" customHeight="1" x14ac:dyDescent="0.3"/>
    <row r="2322" ht="15.75" customHeight="1" x14ac:dyDescent="0.3"/>
    <row r="2323" ht="15.75" customHeight="1" x14ac:dyDescent="0.3"/>
    <row r="2324" ht="15.75" customHeight="1" x14ac:dyDescent="0.3"/>
    <row r="2325" ht="15.75" customHeight="1" x14ac:dyDescent="0.3"/>
    <row r="2326" ht="15.75" customHeight="1" x14ac:dyDescent="0.3"/>
    <row r="2327" ht="15.75" customHeight="1" x14ac:dyDescent="0.3"/>
    <row r="2328" ht="15.75" customHeight="1" x14ac:dyDescent="0.3"/>
    <row r="2329" ht="15.75" customHeight="1" x14ac:dyDescent="0.3"/>
    <row r="2330" ht="15.75" customHeight="1" x14ac:dyDescent="0.3"/>
    <row r="2331" ht="15.75" customHeight="1" x14ac:dyDescent="0.3"/>
    <row r="2332" ht="15.75" customHeight="1" x14ac:dyDescent="0.3"/>
    <row r="2333" ht="15.75" customHeight="1" x14ac:dyDescent="0.3"/>
    <row r="2334" ht="15.75" customHeight="1" x14ac:dyDescent="0.3"/>
    <row r="2335" ht="15.75" customHeight="1" x14ac:dyDescent="0.3"/>
    <row r="2336" ht="15.75" customHeight="1" x14ac:dyDescent="0.3"/>
    <row r="2337" ht="15.75" customHeight="1" x14ac:dyDescent="0.3"/>
    <row r="2338" ht="15.75" customHeight="1" x14ac:dyDescent="0.3"/>
    <row r="2339" ht="15.75" customHeight="1" x14ac:dyDescent="0.3"/>
    <row r="2340" ht="15.75" customHeight="1" x14ac:dyDescent="0.3"/>
    <row r="2341" ht="15.75" customHeight="1" x14ac:dyDescent="0.3"/>
  </sheetData>
  <mergeCells count="2">
    <mergeCell ref="O1:AI1"/>
    <mergeCell ref="A1:M1"/>
  </mergeCells>
  <pageMargins left="0.7" right="0.7" top="0.75" bottom="0.75" header="0.3" footer="0.3"/>
  <pageSetup paperSize="9" orientation="portrait" r:id="rId1"/>
  <legacy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27792-A8B4-4C6A-98F5-1DC4063F5E96}">
  <sheetPr>
    <tabColor rgb="FFFF0000"/>
  </sheetPr>
  <dimension ref="B1:C13"/>
  <sheetViews>
    <sheetView view="pageBreakPreview" zoomScaleNormal="100" zoomScaleSheetLayoutView="100" workbookViewId="0">
      <selection activeCell="F13" sqref="F13"/>
    </sheetView>
  </sheetViews>
  <sheetFormatPr defaultColWidth="7.5546875" defaultRowHeight="14.4" x14ac:dyDescent="0.3"/>
  <cols>
    <col min="1" max="1" width="7.5546875" style="994"/>
    <col min="2" max="2" width="43.44140625" style="995" customWidth="1"/>
    <col min="3" max="3" width="124.77734375" style="995" customWidth="1"/>
    <col min="4" max="16384" width="7.5546875" style="994"/>
  </cols>
  <sheetData>
    <row r="1" spans="2:3" ht="65.55" customHeight="1" x14ac:dyDescent="0.3">
      <c r="B1" s="1242"/>
      <c r="C1" s="1241" t="s">
        <v>0</v>
      </c>
    </row>
    <row r="2" spans="2:3" ht="23.1" customHeight="1" x14ac:dyDescent="0.3">
      <c r="B2" s="1293" t="s">
        <v>1</v>
      </c>
      <c r="C2" s="1294" t="s">
        <v>2</v>
      </c>
    </row>
    <row r="3" spans="2:3" ht="130.5" customHeight="1" x14ac:dyDescent="0.3">
      <c r="B3" s="1290" t="s">
        <v>3</v>
      </c>
      <c r="C3" s="1110" t="s">
        <v>4</v>
      </c>
    </row>
    <row r="4" spans="2:3" ht="93.6" customHeight="1" x14ac:dyDescent="0.3">
      <c r="B4" s="1291" t="s">
        <v>5</v>
      </c>
      <c r="C4" s="1109" t="s">
        <v>6</v>
      </c>
    </row>
    <row r="5" spans="2:3" ht="84.45" customHeight="1" x14ac:dyDescent="0.3">
      <c r="B5" s="1289" t="s">
        <v>7</v>
      </c>
      <c r="C5" s="1108" t="s">
        <v>8</v>
      </c>
    </row>
    <row r="6" spans="2:3" ht="110.1" customHeight="1" x14ac:dyDescent="0.3">
      <c r="B6" s="1291" t="s">
        <v>9</v>
      </c>
      <c r="C6" s="1109" t="s">
        <v>2769</v>
      </c>
    </row>
    <row r="7" spans="2:3" ht="180.45" customHeight="1" x14ac:dyDescent="0.3">
      <c r="B7" s="1290" t="s">
        <v>10</v>
      </c>
      <c r="C7" s="1108" t="s">
        <v>3410</v>
      </c>
    </row>
    <row r="8" spans="2:3" ht="189.45" customHeight="1" x14ac:dyDescent="0.3">
      <c r="B8" s="1291" t="s">
        <v>11</v>
      </c>
      <c r="C8" s="1109" t="s">
        <v>2768</v>
      </c>
    </row>
    <row r="9" spans="2:3" ht="29.55" customHeight="1" x14ac:dyDescent="0.3">
      <c r="B9" s="1289" t="s">
        <v>12</v>
      </c>
      <c r="C9" s="1230" t="s">
        <v>3406</v>
      </c>
    </row>
    <row r="10" spans="2:3" ht="88.05" customHeight="1" x14ac:dyDescent="0.3">
      <c r="B10" s="1291" t="s">
        <v>13</v>
      </c>
      <c r="C10" s="1109" t="s">
        <v>3409</v>
      </c>
    </row>
    <row r="11" spans="2:3" ht="120.45" customHeight="1" x14ac:dyDescent="0.3">
      <c r="B11" s="1290" t="s">
        <v>14</v>
      </c>
      <c r="C11" s="1108" t="s">
        <v>3414</v>
      </c>
    </row>
    <row r="12" spans="2:3" ht="31.95" customHeight="1" x14ac:dyDescent="0.3">
      <c r="B12" s="1291" t="s">
        <v>15</v>
      </c>
      <c r="C12" s="1109" t="s">
        <v>3108</v>
      </c>
    </row>
    <row r="13" spans="2:3" ht="90" customHeight="1" thickBot="1" x14ac:dyDescent="0.35">
      <c r="B13" s="1292" t="s">
        <v>16</v>
      </c>
      <c r="C13" s="1111" t="s">
        <v>3422</v>
      </c>
    </row>
  </sheetData>
  <pageMargins left="0.59" right="0.49" top="0.75" bottom="0.75" header="0.3" footer="0.3"/>
  <pageSetup paperSize="9" scale="54" orientation="portrait" r:id="rId1"/>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308E-9A1C-428E-9422-787928D6FB06}">
  <dimension ref="A1:Q124"/>
  <sheetViews>
    <sheetView zoomScaleNormal="100" workbookViewId="0">
      <selection activeCell="E106" sqref="E106"/>
    </sheetView>
  </sheetViews>
  <sheetFormatPr defaultColWidth="11.5546875" defaultRowHeight="14.4" x14ac:dyDescent="0.3"/>
  <cols>
    <col min="1" max="1" width="4.21875" customWidth="1"/>
    <col min="2" max="2" width="23.21875" customWidth="1"/>
    <col min="3" max="3" width="28.88671875" bestFit="1" customWidth="1"/>
    <col min="4" max="4" width="28.44140625" bestFit="1" customWidth="1"/>
    <col min="5" max="5" width="17.44140625" customWidth="1"/>
    <col min="6" max="6" width="12.33203125" bestFit="1" customWidth="1"/>
    <col min="7" max="7" width="7.21875" bestFit="1" customWidth="1"/>
    <col min="8" max="8" width="17.88671875" customWidth="1"/>
    <col min="9" max="9" width="14.44140625" bestFit="1" customWidth="1"/>
    <col min="10" max="10" width="14" bestFit="1" customWidth="1"/>
    <col min="11" max="11" width="14.44140625" bestFit="1" customWidth="1"/>
    <col min="12" max="12" width="18.21875" bestFit="1" customWidth="1"/>
    <col min="13" max="13" width="4.6640625" bestFit="1" customWidth="1"/>
    <col min="14" max="14" width="7.21875" bestFit="1" customWidth="1"/>
    <col min="15" max="15" width="17.6640625" customWidth="1"/>
    <col min="16" max="16" width="9.88671875" bestFit="1" customWidth="1"/>
    <col min="17" max="17" width="4.77734375" customWidth="1"/>
    <col min="18" max="18" width="10.33203125" bestFit="1" customWidth="1"/>
    <col min="19" max="19" width="6" bestFit="1" customWidth="1"/>
    <col min="20" max="20" width="8.21875" bestFit="1" customWidth="1"/>
    <col min="21" max="21" width="12.21875" bestFit="1" customWidth="1"/>
    <col min="22" max="22" width="12.109375" bestFit="1" customWidth="1"/>
    <col min="23" max="23" width="10.6640625" bestFit="1" customWidth="1"/>
    <col min="24" max="25" width="6.6640625" bestFit="1" customWidth="1"/>
    <col min="26" max="26" width="6.5546875" bestFit="1" customWidth="1"/>
    <col min="27" max="27" width="5.77734375" bestFit="1" customWidth="1"/>
    <col min="28" max="28" width="10.6640625" bestFit="1" customWidth="1"/>
    <col min="29" max="30" width="9.6640625" bestFit="1" customWidth="1"/>
    <col min="31" max="31" width="9.77734375" bestFit="1" customWidth="1"/>
    <col min="32" max="32" width="11.44140625" bestFit="1" customWidth="1"/>
    <col min="33" max="33" width="15.33203125" bestFit="1" customWidth="1"/>
    <col min="34" max="34" width="11.44140625" bestFit="1" customWidth="1"/>
    <col min="35" max="35" width="15.33203125" bestFit="1" customWidth="1"/>
    <col min="36" max="36" width="11" bestFit="1" customWidth="1"/>
    <col min="37" max="37" width="10.6640625" bestFit="1" customWidth="1"/>
    <col min="38" max="38" width="12" bestFit="1" customWidth="1"/>
    <col min="39" max="39" width="11" bestFit="1" customWidth="1"/>
    <col min="40" max="40" width="9" bestFit="1" customWidth="1"/>
    <col min="41" max="41" width="10.21875" bestFit="1" customWidth="1"/>
    <col min="42" max="42" width="10.33203125" bestFit="1" customWidth="1"/>
    <col min="43" max="43" width="8.77734375" bestFit="1" customWidth="1"/>
    <col min="45" max="48" width="9.77734375" bestFit="1" customWidth="1"/>
    <col min="49" max="49" width="8.21875" bestFit="1" customWidth="1"/>
    <col min="50" max="50" width="6" bestFit="1" customWidth="1"/>
    <col min="51" max="51" width="6.88671875" bestFit="1" customWidth="1"/>
    <col min="52" max="52" width="11.21875" bestFit="1" customWidth="1"/>
    <col min="53" max="53" width="12.5546875" bestFit="1" customWidth="1"/>
    <col min="54" max="54" width="10.21875" bestFit="1" customWidth="1"/>
    <col min="55" max="55" width="11.21875" bestFit="1" customWidth="1"/>
    <col min="56" max="56" width="9.77734375" bestFit="1" customWidth="1"/>
    <col min="57" max="57" width="12.109375" bestFit="1" customWidth="1"/>
    <col min="58" max="58" width="10.77734375" bestFit="1" customWidth="1"/>
    <col min="59" max="59" width="10.21875" bestFit="1" customWidth="1"/>
    <col min="60" max="60" width="15.109375" bestFit="1" customWidth="1"/>
    <col min="61" max="61" width="10.44140625" bestFit="1" customWidth="1"/>
    <col min="62" max="62" width="12.88671875" bestFit="1" customWidth="1"/>
    <col min="63" max="63" width="16.21875" bestFit="1" customWidth="1"/>
    <col min="64" max="64" width="8.5546875" bestFit="1" customWidth="1"/>
    <col min="65" max="65" width="11.44140625" bestFit="1" customWidth="1"/>
    <col min="66" max="66" width="15" bestFit="1" customWidth="1"/>
    <col min="67" max="67" width="9.88671875" bestFit="1" customWidth="1"/>
    <col min="68" max="69" width="7.88671875" bestFit="1" customWidth="1"/>
    <col min="70" max="70" width="7.44140625" bestFit="1" customWidth="1"/>
    <col min="71" max="72" width="8.88671875" bestFit="1" customWidth="1"/>
    <col min="73" max="73" width="16.88671875" bestFit="1" customWidth="1"/>
    <col min="74" max="74" width="12.21875" bestFit="1" customWidth="1"/>
    <col min="75" max="75" width="11" bestFit="1" customWidth="1"/>
    <col min="76" max="76" width="5.77734375" bestFit="1" customWidth="1"/>
    <col min="77" max="77" width="12.109375" bestFit="1" customWidth="1"/>
    <col min="78" max="78" width="12.77734375" bestFit="1" customWidth="1"/>
    <col min="79" max="79" width="14.5546875" bestFit="1" customWidth="1"/>
    <col min="80" max="80" width="20.77734375" bestFit="1" customWidth="1"/>
    <col min="81" max="81" width="7.109375" bestFit="1" customWidth="1"/>
    <col min="82" max="82" width="6.33203125" bestFit="1" customWidth="1"/>
    <col min="83" max="83" width="17.77734375" bestFit="1" customWidth="1"/>
    <col min="84" max="84" width="6.77734375" bestFit="1" customWidth="1"/>
    <col min="85" max="85" width="8.21875" bestFit="1" customWidth="1"/>
    <col min="86" max="86" width="5.21875" bestFit="1" customWidth="1"/>
    <col min="87" max="87" width="9.5546875" bestFit="1" customWidth="1"/>
    <col min="88" max="88" width="9.109375" bestFit="1" customWidth="1"/>
    <col min="89" max="89" width="6" bestFit="1" customWidth="1"/>
    <col min="90" max="90" width="17.44140625" bestFit="1" customWidth="1"/>
    <col min="91" max="91" width="9.21875" bestFit="1" customWidth="1"/>
    <col min="92" max="92" width="11.21875" bestFit="1" customWidth="1"/>
    <col min="93" max="93" width="9.21875" bestFit="1" customWidth="1"/>
    <col min="94" max="94" width="11.21875" bestFit="1" customWidth="1"/>
    <col min="95" max="95" width="12" bestFit="1" customWidth="1"/>
    <col min="96" max="96" width="9.6640625" bestFit="1" customWidth="1"/>
    <col min="97" max="97" width="10.21875" bestFit="1" customWidth="1"/>
    <col min="98" max="98" width="9.88671875" bestFit="1" customWidth="1"/>
    <col min="99" max="99" width="9.77734375" bestFit="1" customWidth="1"/>
    <col min="100" max="100" width="7.6640625" bestFit="1" customWidth="1"/>
    <col min="101" max="101" width="8" bestFit="1" customWidth="1"/>
    <col min="102" max="102" width="7.6640625" bestFit="1" customWidth="1"/>
    <col min="103" max="103" width="11" bestFit="1" customWidth="1"/>
    <col min="104" max="104" width="12.109375" bestFit="1" customWidth="1"/>
    <col min="105" max="105" width="6.5546875" bestFit="1" customWidth="1"/>
    <col min="106" max="106" width="9" bestFit="1" customWidth="1"/>
    <col min="107" max="107" width="8.77734375" bestFit="1" customWidth="1"/>
    <col min="108" max="108" width="8.21875" bestFit="1" customWidth="1"/>
    <col min="109" max="109" width="9.21875" bestFit="1" customWidth="1"/>
    <col min="110" max="110" width="6.33203125" bestFit="1" customWidth="1"/>
    <col min="111" max="111" width="10.44140625" bestFit="1" customWidth="1"/>
    <col min="112" max="112" width="13.88671875" bestFit="1" customWidth="1"/>
    <col min="113" max="113" width="12.77734375" bestFit="1" customWidth="1"/>
    <col min="114" max="114" width="5.21875" bestFit="1" customWidth="1"/>
    <col min="115" max="115" width="9.6640625" bestFit="1" customWidth="1"/>
    <col min="116" max="116" width="7.33203125" bestFit="1" customWidth="1"/>
    <col min="117" max="117" width="8.5546875" bestFit="1" customWidth="1"/>
    <col min="118" max="118" width="3.77734375" bestFit="1" customWidth="1"/>
    <col min="119" max="119" width="6.88671875" bestFit="1" customWidth="1"/>
    <col min="120" max="120" width="6.5546875" bestFit="1" customWidth="1"/>
    <col min="121" max="121" width="7.6640625" bestFit="1" customWidth="1"/>
    <col min="122" max="122" width="9" bestFit="1" customWidth="1"/>
    <col min="123" max="123" width="4.33203125" bestFit="1" customWidth="1"/>
    <col min="124" max="125" width="5.77734375" bestFit="1" customWidth="1"/>
    <col min="126" max="126" width="8.77734375" bestFit="1" customWidth="1"/>
    <col min="127" max="127" width="8.21875" bestFit="1" customWidth="1"/>
    <col min="128" max="128" width="9.33203125" bestFit="1" customWidth="1"/>
    <col min="129" max="129" width="8" bestFit="1" customWidth="1"/>
    <col min="130" max="130" width="11.77734375" bestFit="1" customWidth="1"/>
    <col min="131" max="131" width="15.33203125" bestFit="1" customWidth="1"/>
    <col min="132" max="132" width="6.21875" bestFit="1" customWidth="1"/>
    <col min="134" max="134" width="9.88671875" bestFit="1" customWidth="1"/>
    <col min="135" max="135" width="15.109375" bestFit="1" customWidth="1"/>
    <col min="136" max="136" width="9.88671875" bestFit="1" customWidth="1"/>
    <col min="137" max="137" width="10.77734375" bestFit="1" customWidth="1"/>
    <col min="138" max="138" width="16.88671875" bestFit="1" customWidth="1"/>
    <col min="139" max="139" width="8.21875" bestFit="1" customWidth="1"/>
    <col min="140" max="140" width="16.44140625" bestFit="1" customWidth="1"/>
    <col min="141" max="141" width="9.33203125" bestFit="1" customWidth="1"/>
    <col min="142" max="142" width="4.21875" bestFit="1" customWidth="1"/>
    <col min="143" max="143" width="12.77734375" bestFit="1" customWidth="1"/>
    <col min="144" max="144" width="6" bestFit="1" customWidth="1"/>
    <col min="145" max="145" width="21" bestFit="1" customWidth="1"/>
    <col min="146" max="146" width="10.109375" bestFit="1" customWidth="1"/>
    <col min="147" max="147" width="8.5546875" bestFit="1" customWidth="1"/>
    <col min="148" max="148" width="9.109375" bestFit="1" customWidth="1"/>
    <col min="149" max="149" width="10.109375" bestFit="1" customWidth="1"/>
    <col min="150" max="150" width="9.88671875" bestFit="1" customWidth="1"/>
    <col min="151" max="151" width="10.6640625" bestFit="1" customWidth="1"/>
    <col min="152" max="152" width="6.77734375" bestFit="1" customWidth="1"/>
    <col min="153" max="153" width="15.77734375" bestFit="1" customWidth="1"/>
    <col min="154" max="154" width="9.33203125" bestFit="1" customWidth="1"/>
    <col min="155" max="156" width="12.6640625" bestFit="1" customWidth="1"/>
    <col min="157" max="157" width="12.88671875" bestFit="1" customWidth="1"/>
    <col min="158" max="158" width="11.5546875" bestFit="1" customWidth="1"/>
    <col min="159" max="159" width="9.6640625" bestFit="1" customWidth="1"/>
    <col min="160" max="160" width="10.21875" bestFit="1" customWidth="1"/>
    <col min="161" max="161" width="16.77734375" bestFit="1" customWidth="1"/>
    <col min="162" max="162" width="16.21875" bestFit="1" customWidth="1"/>
    <col min="163" max="163" width="8.77734375" bestFit="1" customWidth="1"/>
    <col min="164" max="164" width="20.21875" bestFit="1" customWidth="1"/>
    <col min="165" max="166" width="11.44140625" bestFit="1" customWidth="1"/>
    <col min="167" max="167" width="8" bestFit="1" customWidth="1"/>
    <col min="168" max="168" width="8.77734375" bestFit="1" customWidth="1"/>
    <col min="169" max="169" width="11.77734375" bestFit="1" customWidth="1"/>
    <col min="170" max="170" width="7.88671875" bestFit="1" customWidth="1"/>
    <col min="171" max="171" width="9.33203125" bestFit="1" customWidth="1"/>
    <col min="172" max="172" width="8.21875" bestFit="1" customWidth="1"/>
    <col min="173" max="173" width="11.21875" bestFit="1" customWidth="1"/>
    <col min="174" max="174" width="8.44140625" bestFit="1" customWidth="1"/>
    <col min="175" max="175" width="9.109375" bestFit="1" customWidth="1"/>
    <col min="176" max="176" width="13.88671875" bestFit="1" customWidth="1"/>
    <col min="177" max="177" width="14.77734375" bestFit="1" customWidth="1"/>
    <col min="178" max="178" width="8.21875" bestFit="1" customWidth="1"/>
    <col min="179" max="180" width="11" bestFit="1" customWidth="1"/>
    <col min="181" max="181" width="15.6640625" bestFit="1" customWidth="1"/>
    <col min="182" max="182" width="16.77734375" bestFit="1" customWidth="1"/>
    <col min="183" max="183" width="19.33203125" bestFit="1" customWidth="1"/>
    <col min="184" max="184" width="7.88671875" bestFit="1" customWidth="1"/>
    <col min="185" max="185" width="6" bestFit="1" customWidth="1"/>
    <col min="186" max="186" width="6.5546875" bestFit="1" customWidth="1"/>
    <col min="187" max="187" width="7.109375" bestFit="1" customWidth="1"/>
    <col min="188" max="188" width="8.5546875" bestFit="1" customWidth="1"/>
    <col min="189" max="189" width="19.77734375" bestFit="1" customWidth="1"/>
    <col min="190" max="190" width="6.77734375" bestFit="1" customWidth="1"/>
    <col min="191" max="191" width="6.33203125" bestFit="1" customWidth="1"/>
    <col min="192" max="193" width="8.77734375" bestFit="1" customWidth="1"/>
    <col min="194" max="194" width="7.21875" bestFit="1" customWidth="1"/>
    <col min="195" max="195" width="9.6640625" bestFit="1" customWidth="1"/>
    <col min="196" max="197" width="10.33203125" bestFit="1" customWidth="1"/>
    <col min="198" max="198" width="7.33203125" bestFit="1" customWidth="1"/>
    <col min="199" max="199" width="6" bestFit="1" customWidth="1"/>
    <col min="200" max="200" width="8.44140625" bestFit="1" customWidth="1"/>
    <col min="201" max="201" width="9.5546875" bestFit="1" customWidth="1"/>
    <col min="202" max="202" width="11.44140625" bestFit="1" customWidth="1"/>
    <col min="203" max="203" width="9.33203125" bestFit="1" customWidth="1"/>
    <col min="204" max="204" width="6.77734375" bestFit="1" customWidth="1"/>
    <col min="205" max="205" width="9.109375" bestFit="1" customWidth="1"/>
    <col min="206" max="206" width="10.44140625" bestFit="1" customWidth="1"/>
    <col min="207" max="207" width="11.21875" bestFit="1" customWidth="1"/>
    <col min="208" max="208" width="6.44140625" bestFit="1" customWidth="1"/>
    <col min="209" max="209" width="5.77734375" bestFit="1" customWidth="1"/>
    <col min="210" max="210" width="6.6640625" bestFit="1" customWidth="1"/>
    <col min="211" max="211" width="14.21875" bestFit="1" customWidth="1"/>
    <col min="212" max="212" width="11.21875" bestFit="1" customWidth="1"/>
    <col min="213" max="214" width="7.109375" bestFit="1" customWidth="1"/>
    <col min="215" max="215" width="11.21875" bestFit="1" customWidth="1"/>
    <col min="217" max="217" width="13.33203125" bestFit="1" customWidth="1"/>
    <col min="218" max="218" width="11.77734375" bestFit="1" customWidth="1"/>
    <col min="219" max="219" width="6.5546875" bestFit="1" customWidth="1"/>
    <col min="220" max="220" width="6.109375" bestFit="1" customWidth="1"/>
    <col min="221" max="221" width="8.77734375" bestFit="1" customWidth="1"/>
    <col min="222" max="222" width="13.77734375" bestFit="1" customWidth="1"/>
    <col min="223" max="223" width="14.21875" bestFit="1" customWidth="1"/>
    <col min="224" max="224" width="18" bestFit="1" customWidth="1"/>
    <col min="225" max="225" width="11.21875" bestFit="1" customWidth="1"/>
    <col min="226" max="226" width="7.77734375" bestFit="1" customWidth="1"/>
    <col min="227" max="227" width="9.5546875" bestFit="1" customWidth="1"/>
    <col min="228" max="228" width="8.77734375" bestFit="1" customWidth="1"/>
    <col min="229" max="229" width="9" bestFit="1" customWidth="1"/>
    <col min="230" max="230" width="15.5546875" bestFit="1" customWidth="1"/>
    <col min="231" max="231" width="6.109375" bestFit="1" customWidth="1"/>
    <col min="232" max="232" width="9.5546875" bestFit="1" customWidth="1"/>
    <col min="233" max="233" width="12.77734375" bestFit="1" customWidth="1"/>
    <col min="234" max="234" width="9.5546875" bestFit="1" customWidth="1"/>
    <col min="235" max="235" width="10.21875" bestFit="1" customWidth="1"/>
    <col min="236" max="236" width="7.88671875" bestFit="1" customWidth="1"/>
    <col min="237" max="237" width="9" bestFit="1" customWidth="1"/>
    <col min="238" max="238" width="7.88671875" bestFit="1" customWidth="1"/>
    <col min="239" max="239" width="5.44140625" bestFit="1" customWidth="1"/>
    <col min="240" max="240" width="7.33203125" bestFit="1" customWidth="1"/>
    <col min="241" max="241" width="8.77734375" bestFit="1" customWidth="1"/>
    <col min="242" max="242" width="9.88671875" bestFit="1" customWidth="1"/>
    <col min="243" max="243" width="11.44140625" bestFit="1" customWidth="1"/>
    <col min="244" max="244" width="8.21875" bestFit="1" customWidth="1"/>
    <col min="245" max="245" width="9.5546875" bestFit="1" customWidth="1"/>
    <col min="246" max="246" width="12.33203125" bestFit="1" customWidth="1"/>
    <col min="247" max="247" width="9" bestFit="1" customWidth="1"/>
    <col min="248" max="248" width="8.21875" bestFit="1" customWidth="1"/>
    <col min="249" max="249" width="5.77734375" bestFit="1" customWidth="1"/>
    <col min="250" max="250" width="8.77734375" bestFit="1" customWidth="1"/>
    <col min="251" max="251" width="8" bestFit="1" customWidth="1"/>
    <col min="252" max="252" width="15.5546875" bestFit="1" customWidth="1"/>
    <col min="253" max="253" width="20.77734375" bestFit="1" customWidth="1"/>
    <col min="254" max="254" width="8" bestFit="1" customWidth="1"/>
    <col min="255" max="255" width="7.109375" bestFit="1" customWidth="1"/>
    <col min="256" max="256" width="8" bestFit="1" customWidth="1"/>
    <col min="257" max="257" width="12.21875" bestFit="1" customWidth="1"/>
    <col min="258" max="258" width="13.6640625" bestFit="1" customWidth="1"/>
    <col min="259" max="259" width="9.109375" bestFit="1" customWidth="1"/>
    <col min="260" max="260" width="15.5546875" bestFit="1" customWidth="1"/>
    <col min="261" max="261" width="10.21875" bestFit="1" customWidth="1"/>
    <col min="262" max="262" width="14.5546875" bestFit="1" customWidth="1"/>
    <col min="263" max="263" width="13.33203125" bestFit="1" customWidth="1"/>
    <col min="264" max="264" width="18.77734375" bestFit="1" customWidth="1"/>
    <col min="265" max="266" width="5.21875" bestFit="1" customWidth="1"/>
    <col min="267" max="267" width="20" bestFit="1" customWidth="1"/>
    <col min="268" max="268" width="11.77734375" bestFit="1" customWidth="1"/>
    <col min="269" max="269" width="13.6640625" bestFit="1" customWidth="1"/>
    <col min="270" max="270" width="11.5546875" bestFit="1" customWidth="1"/>
    <col min="271" max="271" width="11.21875" bestFit="1" customWidth="1"/>
    <col min="272" max="272" width="26.21875" bestFit="1" customWidth="1"/>
    <col min="273" max="273" width="21.88671875" bestFit="1" customWidth="1"/>
    <col min="274" max="274" width="17.21875" bestFit="1" customWidth="1"/>
    <col min="275" max="275" width="23.21875" bestFit="1" customWidth="1"/>
    <col min="276" max="276" width="6.6640625" bestFit="1" customWidth="1"/>
    <col min="277" max="277" width="9.77734375" bestFit="1" customWidth="1"/>
    <col min="278" max="278" width="9.6640625" bestFit="1" customWidth="1"/>
    <col min="279" max="279" width="12.33203125" bestFit="1" customWidth="1"/>
    <col min="280" max="280" width="13.109375" bestFit="1" customWidth="1"/>
    <col min="281" max="281" width="12.109375" bestFit="1" customWidth="1"/>
    <col min="282" max="283" width="11.5546875" bestFit="1" customWidth="1"/>
    <col min="284" max="284" width="16.44140625" bestFit="1" customWidth="1"/>
    <col min="285" max="285" width="8.77734375" bestFit="1" customWidth="1"/>
    <col min="286" max="286" width="15.109375" bestFit="1" customWidth="1"/>
    <col min="287" max="287" width="7.77734375" bestFit="1" customWidth="1"/>
    <col min="288" max="288" width="23.21875" bestFit="1" customWidth="1"/>
    <col min="289" max="289" width="9.33203125" bestFit="1" customWidth="1"/>
    <col min="290" max="290" width="8.21875" bestFit="1" customWidth="1"/>
    <col min="291" max="291" width="10.77734375" bestFit="1" customWidth="1"/>
    <col min="292" max="292" width="14.77734375" bestFit="1" customWidth="1"/>
    <col min="293" max="293" width="14.21875" bestFit="1" customWidth="1"/>
    <col min="294" max="294" width="18" bestFit="1" customWidth="1"/>
    <col min="295" max="296" width="16.44140625" bestFit="1" customWidth="1"/>
    <col min="297" max="297" width="8.21875" bestFit="1" customWidth="1"/>
    <col min="298" max="298" width="9.88671875" bestFit="1" customWidth="1"/>
    <col min="299" max="299" width="9.77734375" bestFit="1" customWidth="1"/>
    <col min="300" max="300" width="7.109375" bestFit="1" customWidth="1"/>
    <col min="301" max="301" width="11.77734375" bestFit="1" customWidth="1"/>
    <col min="302" max="302" width="10.33203125" bestFit="1" customWidth="1"/>
    <col min="303" max="303" width="10.44140625" bestFit="1" customWidth="1"/>
    <col min="304" max="304" width="13.77734375" bestFit="1" customWidth="1"/>
    <col min="305" max="305" width="10.109375" bestFit="1" customWidth="1"/>
    <col min="307" max="307" width="9.33203125" bestFit="1" customWidth="1"/>
    <col min="308" max="308" width="11.77734375" bestFit="1" customWidth="1"/>
    <col min="309" max="309" width="5.21875" bestFit="1" customWidth="1"/>
    <col min="310" max="310" width="7.6640625" bestFit="1" customWidth="1"/>
    <col min="311" max="311" width="6.21875" bestFit="1" customWidth="1"/>
    <col min="312" max="313" width="6" bestFit="1" customWidth="1"/>
    <col min="314" max="314" width="13.88671875" bestFit="1" customWidth="1"/>
    <col min="315" max="315" width="13.33203125" bestFit="1" customWidth="1"/>
    <col min="316" max="316" width="12.109375" bestFit="1" customWidth="1"/>
    <col min="317" max="317" width="9.77734375" bestFit="1" customWidth="1"/>
    <col min="318" max="318" width="12.88671875" bestFit="1" customWidth="1"/>
    <col min="319" max="319" width="11.21875" bestFit="1" customWidth="1"/>
    <col min="320" max="320" width="8.21875" bestFit="1" customWidth="1"/>
    <col min="321" max="321" width="11.77734375" bestFit="1" customWidth="1"/>
    <col min="322" max="323" width="7.88671875" bestFit="1" customWidth="1"/>
    <col min="324" max="324" width="10.109375" bestFit="1" customWidth="1"/>
    <col min="325" max="326" width="5.77734375" bestFit="1" customWidth="1"/>
    <col min="327" max="327" width="5.44140625" bestFit="1" customWidth="1"/>
    <col min="328" max="328" width="9.109375" bestFit="1" customWidth="1"/>
    <col min="329" max="329" width="7.77734375" bestFit="1" customWidth="1"/>
    <col min="330" max="330" width="13.6640625" bestFit="1" customWidth="1"/>
    <col min="331" max="331" width="11.21875" bestFit="1" customWidth="1"/>
    <col min="332" max="332" width="10.21875" bestFit="1" customWidth="1"/>
    <col min="333" max="333" width="15.109375" bestFit="1" customWidth="1"/>
    <col min="334" max="334" width="6.77734375" bestFit="1" customWidth="1"/>
    <col min="335" max="335" width="8.5546875" bestFit="1" customWidth="1"/>
    <col min="336" max="336" width="16.44140625" bestFit="1" customWidth="1"/>
    <col min="337" max="337" width="11.21875" bestFit="1" customWidth="1"/>
    <col min="338" max="338" width="13.44140625" bestFit="1" customWidth="1"/>
    <col min="339" max="339" width="9.33203125" bestFit="1" customWidth="1"/>
    <col min="340" max="340" width="8.77734375" bestFit="1" customWidth="1"/>
    <col min="341" max="341" width="13.77734375" bestFit="1" customWidth="1"/>
    <col min="342" max="342" width="9.88671875" bestFit="1" customWidth="1"/>
    <col min="343" max="343" width="7.77734375" bestFit="1" customWidth="1"/>
    <col min="344" max="344" width="12.109375" bestFit="1" customWidth="1"/>
    <col min="345" max="345" width="8.21875" bestFit="1" customWidth="1"/>
    <col min="346" max="346" width="5.5546875" bestFit="1" customWidth="1"/>
    <col min="347" max="347" width="7.88671875" bestFit="1" customWidth="1"/>
    <col min="348" max="348" width="8.77734375" bestFit="1" customWidth="1"/>
    <col min="349" max="349" width="10.33203125" bestFit="1" customWidth="1"/>
    <col min="350" max="350" width="7.21875" bestFit="1" customWidth="1"/>
    <col min="351" max="351" width="14.77734375" bestFit="1" customWidth="1"/>
    <col min="352" max="352" width="11.44140625" bestFit="1" customWidth="1"/>
    <col min="353" max="353" width="18.21875" bestFit="1" customWidth="1"/>
    <col min="354" max="354" width="23.44140625" bestFit="1" customWidth="1"/>
    <col min="355" max="355" width="11.44140625" bestFit="1" customWidth="1"/>
    <col min="356" max="356" width="15.109375" bestFit="1" customWidth="1"/>
    <col min="357" max="357" width="6.88671875" bestFit="1" customWidth="1"/>
    <col min="358" max="358" width="15.33203125" bestFit="1" customWidth="1"/>
    <col min="359" max="359" width="7.88671875" bestFit="1" customWidth="1"/>
    <col min="360" max="360" width="8.21875" bestFit="1" customWidth="1"/>
    <col min="361" max="361" width="5.5546875" bestFit="1" customWidth="1"/>
    <col min="362" max="362" width="8.5546875" bestFit="1" customWidth="1"/>
    <col min="363" max="363" width="7.21875" bestFit="1" customWidth="1"/>
    <col min="364" max="364" width="7.77734375" bestFit="1" customWidth="1"/>
    <col min="365" max="365" width="9.77734375" bestFit="1" customWidth="1"/>
    <col min="366" max="366" width="6" bestFit="1" customWidth="1"/>
    <col min="367" max="367" width="5.77734375" bestFit="1" customWidth="1"/>
    <col min="368" max="368" width="11" bestFit="1" customWidth="1"/>
    <col min="369" max="369" width="8.21875" bestFit="1" customWidth="1"/>
    <col min="370" max="370" width="7.44140625" bestFit="1" customWidth="1"/>
    <col min="371" max="371" width="5.77734375" bestFit="1" customWidth="1"/>
    <col min="372" max="372" width="11.77734375" bestFit="1" customWidth="1"/>
    <col min="373" max="373" width="12.5546875" bestFit="1" customWidth="1"/>
    <col min="374" max="374" width="10.6640625" bestFit="1" customWidth="1"/>
    <col min="375" max="375" width="12.109375" bestFit="1" customWidth="1"/>
    <col min="376" max="376" width="3.6640625" bestFit="1" customWidth="1"/>
    <col min="377" max="377" width="13.21875" bestFit="1" customWidth="1"/>
    <col min="379" max="379" width="14.21875" bestFit="1" customWidth="1"/>
    <col min="380" max="380" width="10.6640625" bestFit="1" customWidth="1"/>
    <col min="381" max="381" width="8.5546875" bestFit="1" customWidth="1"/>
    <col min="382" max="382" width="7.77734375" bestFit="1" customWidth="1"/>
    <col min="383" max="383" width="8.77734375" bestFit="1" customWidth="1"/>
    <col min="384" max="384" width="13.21875" bestFit="1" customWidth="1"/>
    <col min="385" max="385" width="9.33203125" bestFit="1" customWidth="1"/>
    <col min="386" max="386" width="7.88671875" bestFit="1" customWidth="1"/>
    <col min="387" max="387" width="10.6640625" bestFit="1" customWidth="1"/>
    <col min="388" max="388" width="13.6640625" bestFit="1" customWidth="1"/>
    <col min="389" max="389" width="15.33203125" bestFit="1" customWidth="1"/>
    <col min="390" max="390" width="8.21875" bestFit="1" customWidth="1"/>
    <col min="391" max="392" width="13.77734375" bestFit="1" customWidth="1"/>
    <col min="393" max="393" width="18.33203125" bestFit="1" customWidth="1"/>
    <col min="394" max="394" width="6.109375" bestFit="1" customWidth="1"/>
    <col min="395" max="395" width="10.109375" bestFit="1" customWidth="1"/>
    <col min="396" max="396" width="12.88671875" bestFit="1" customWidth="1"/>
    <col min="397" max="397" width="15.5546875" bestFit="1" customWidth="1"/>
    <col min="398" max="398" width="15" bestFit="1" customWidth="1"/>
    <col min="399" max="399" width="13.33203125" bestFit="1" customWidth="1"/>
    <col min="400" max="400" width="8.77734375" bestFit="1" customWidth="1"/>
    <col min="401" max="401" width="14.77734375" bestFit="1" customWidth="1"/>
    <col min="402" max="402" width="8.5546875" bestFit="1" customWidth="1"/>
    <col min="403" max="403" width="12.77734375" bestFit="1" customWidth="1"/>
    <col min="404" max="404" width="13.77734375" bestFit="1" customWidth="1"/>
    <col min="405" max="405" width="8.44140625" bestFit="1" customWidth="1"/>
    <col min="406" max="407" width="8.77734375" bestFit="1" customWidth="1"/>
    <col min="408" max="408" width="21" bestFit="1" customWidth="1"/>
    <col min="409" max="409" width="12.21875" bestFit="1" customWidth="1"/>
    <col min="410" max="410" width="12.5546875" bestFit="1" customWidth="1"/>
    <col min="411" max="411" width="7.88671875" bestFit="1" customWidth="1"/>
    <col min="412" max="412" width="8.21875" bestFit="1" customWidth="1"/>
    <col min="413" max="413" width="7.88671875" bestFit="1" customWidth="1"/>
    <col min="414" max="414" width="9.21875" bestFit="1" customWidth="1"/>
    <col min="415" max="415" width="12.77734375" bestFit="1" customWidth="1"/>
    <col min="416" max="416" width="18.6640625" bestFit="1" customWidth="1"/>
    <col min="417" max="417" width="16.21875" bestFit="1" customWidth="1"/>
    <col min="418" max="418" width="12.6640625" bestFit="1" customWidth="1"/>
    <col min="419" max="419" width="11.77734375" bestFit="1" customWidth="1"/>
    <col min="420" max="420" width="6.6640625" bestFit="1" customWidth="1"/>
    <col min="421" max="421" width="15.77734375" bestFit="1" customWidth="1"/>
    <col min="422" max="422" width="7.44140625" bestFit="1" customWidth="1"/>
    <col min="423" max="423" width="11.44140625" bestFit="1" customWidth="1"/>
    <col min="424" max="424" width="9.88671875" bestFit="1" customWidth="1"/>
    <col min="425" max="425" width="9.21875" bestFit="1" customWidth="1"/>
    <col min="426" max="426" width="7.33203125" bestFit="1" customWidth="1"/>
    <col min="427" max="427" width="15.77734375" bestFit="1" customWidth="1"/>
    <col min="428" max="428" width="6.77734375" bestFit="1" customWidth="1"/>
    <col min="429" max="430" width="8.5546875" bestFit="1" customWidth="1"/>
    <col min="431" max="431" width="6.5546875" bestFit="1" customWidth="1"/>
    <col min="432" max="432" width="10.21875" bestFit="1" customWidth="1"/>
    <col min="433" max="433" width="12.33203125" bestFit="1" customWidth="1"/>
    <col min="434" max="434" width="11.21875" bestFit="1" customWidth="1"/>
    <col min="435" max="435" width="5.5546875" bestFit="1" customWidth="1"/>
    <col min="436" max="436" width="10.21875" bestFit="1" customWidth="1"/>
    <col min="437" max="437" width="8.21875" bestFit="1" customWidth="1"/>
    <col min="438" max="438" width="10.44140625" bestFit="1" customWidth="1"/>
    <col min="439" max="439" width="9" bestFit="1" customWidth="1"/>
    <col min="440" max="440" width="10.6640625" bestFit="1" customWidth="1"/>
    <col min="441" max="441" width="9.6640625" bestFit="1" customWidth="1"/>
    <col min="442" max="442" width="11.21875" bestFit="1" customWidth="1"/>
    <col min="443" max="443" width="10.21875" bestFit="1" customWidth="1"/>
    <col min="444" max="444" width="8" bestFit="1" customWidth="1"/>
    <col min="445" max="445" width="9.109375" bestFit="1" customWidth="1"/>
    <col min="446" max="446" width="17.21875" bestFit="1" customWidth="1"/>
    <col min="447" max="447" width="13.44140625" bestFit="1" customWidth="1"/>
    <col min="448" max="448" width="7.33203125" bestFit="1" customWidth="1"/>
    <col min="449" max="449" width="16.109375" bestFit="1" customWidth="1"/>
    <col min="450" max="450" width="7.88671875" bestFit="1" customWidth="1"/>
    <col min="451" max="452" width="11" bestFit="1" customWidth="1"/>
    <col min="453" max="453" width="13.21875" bestFit="1" customWidth="1"/>
    <col min="454" max="455" width="11.77734375" bestFit="1" customWidth="1"/>
    <col min="456" max="456" width="10.44140625" bestFit="1" customWidth="1"/>
    <col min="457" max="457" width="13.44140625" bestFit="1" customWidth="1"/>
    <col min="458" max="458" width="6.21875" bestFit="1" customWidth="1"/>
    <col min="459" max="459" width="9.88671875" bestFit="1" customWidth="1"/>
    <col min="460" max="460" width="12.21875" bestFit="1" customWidth="1"/>
    <col min="461" max="461" width="12.109375" bestFit="1" customWidth="1"/>
    <col min="462" max="462" width="10.33203125" bestFit="1" customWidth="1"/>
    <col min="463" max="464" width="7.109375" bestFit="1" customWidth="1"/>
    <col min="465" max="465" width="9.21875" bestFit="1" customWidth="1"/>
    <col min="466" max="466" width="6.77734375" bestFit="1" customWidth="1"/>
    <col min="467" max="467" width="8.77734375" bestFit="1" customWidth="1"/>
    <col min="468" max="468" width="6.21875" bestFit="1" customWidth="1"/>
    <col min="469" max="469" width="8.21875" bestFit="1" customWidth="1"/>
    <col min="470" max="470" width="14.21875" bestFit="1" customWidth="1"/>
    <col min="471" max="471" width="9.33203125" bestFit="1" customWidth="1"/>
    <col min="472" max="472" width="13.44140625" bestFit="1" customWidth="1"/>
    <col min="473" max="473" width="11.21875" bestFit="1" customWidth="1"/>
    <col min="474" max="474" width="12.77734375" bestFit="1" customWidth="1"/>
    <col min="475" max="475" width="7.33203125" bestFit="1" customWidth="1"/>
    <col min="476" max="476" width="5.21875" bestFit="1" customWidth="1"/>
    <col min="477" max="478" width="10.77734375" bestFit="1" customWidth="1"/>
    <col min="479" max="479" width="14.5546875" bestFit="1" customWidth="1"/>
    <col min="480" max="480" width="13.21875" bestFit="1" customWidth="1"/>
    <col min="481" max="481" width="6.77734375" bestFit="1" customWidth="1"/>
    <col min="483" max="483" width="4.77734375" bestFit="1" customWidth="1"/>
    <col min="484" max="484" width="5.21875" bestFit="1" customWidth="1"/>
    <col min="485" max="487" width="6.6640625" bestFit="1" customWidth="1"/>
    <col min="488" max="488" width="17.77734375" bestFit="1" customWidth="1"/>
    <col min="489" max="489" width="5.77734375" bestFit="1" customWidth="1"/>
    <col min="490" max="490" width="9.77734375" bestFit="1" customWidth="1"/>
    <col min="491" max="491" width="6" bestFit="1" customWidth="1"/>
    <col min="492" max="492" width="6.6640625" bestFit="1" customWidth="1"/>
    <col min="493" max="493" width="11.21875" bestFit="1" customWidth="1"/>
    <col min="495" max="496" width="6.88671875" bestFit="1" customWidth="1"/>
    <col min="497" max="498" width="13.109375" bestFit="1" customWidth="1"/>
    <col min="499" max="499" width="12.77734375" bestFit="1" customWidth="1"/>
    <col min="500" max="500" width="7.77734375" bestFit="1" customWidth="1"/>
    <col min="501" max="501" width="10.33203125" bestFit="1" customWidth="1"/>
    <col min="502" max="502" width="10.6640625" bestFit="1" customWidth="1"/>
    <col min="503" max="503" width="8.77734375" bestFit="1" customWidth="1"/>
    <col min="504" max="504" width="11.21875" bestFit="1" customWidth="1"/>
    <col min="505" max="505" width="11" bestFit="1" customWidth="1"/>
    <col min="506" max="506" width="12.6640625" bestFit="1" customWidth="1"/>
    <col min="507" max="508" width="8.77734375" bestFit="1" customWidth="1"/>
    <col min="509" max="510" width="9.88671875" bestFit="1" customWidth="1"/>
    <col min="511" max="511" width="10.77734375" bestFit="1" customWidth="1"/>
    <col min="513" max="513" width="7.88671875" bestFit="1" customWidth="1"/>
    <col min="514" max="514" width="8.5546875" bestFit="1" customWidth="1"/>
    <col min="515" max="515" width="9.21875" bestFit="1" customWidth="1"/>
    <col min="516" max="516" width="7.44140625" bestFit="1" customWidth="1"/>
    <col min="517" max="517" width="7.88671875" bestFit="1" customWidth="1"/>
    <col min="518" max="518" width="7.77734375" bestFit="1" customWidth="1"/>
    <col min="519" max="520" width="10.44140625" bestFit="1" customWidth="1"/>
    <col min="521" max="521" width="9" bestFit="1" customWidth="1"/>
    <col min="522" max="523" width="10.21875" bestFit="1" customWidth="1"/>
    <col min="524" max="524" width="6.77734375" bestFit="1" customWidth="1"/>
    <col min="525" max="525" width="10.109375" bestFit="1" customWidth="1"/>
    <col min="526" max="526" width="6.6640625" bestFit="1" customWidth="1"/>
    <col min="527" max="527" width="6.109375" bestFit="1" customWidth="1"/>
    <col min="528" max="529" width="8.44140625" bestFit="1" customWidth="1"/>
    <col min="530" max="530" width="8.21875" bestFit="1" customWidth="1"/>
    <col min="531" max="531" width="11.77734375" bestFit="1" customWidth="1"/>
    <col min="532" max="532" width="9.21875" bestFit="1" customWidth="1"/>
    <col min="533" max="533" width="6.77734375" bestFit="1" customWidth="1"/>
    <col min="534" max="534" width="4.6640625" bestFit="1" customWidth="1"/>
    <col min="535" max="535" width="5.77734375" bestFit="1" customWidth="1"/>
    <col min="536" max="536" width="12.21875" bestFit="1" customWidth="1"/>
    <col min="537" max="537" width="6" bestFit="1" customWidth="1"/>
    <col min="538" max="538" width="9.6640625" bestFit="1" customWidth="1"/>
    <col min="539" max="539" width="6.88671875" bestFit="1" customWidth="1"/>
    <col min="540" max="540" width="8.77734375" bestFit="1" customWidth="1"/>
    <col min="541" max="541" width="6.109375" bestFit="1" customWidth="1"/>
    <col min="542" max="542" width="5" bestFit="1" customWidth="1"/>
    <col min="543" max="544" width="7.77734375" bestFit="1" customWidth="1"/>
    <col min="545" max="545" width="16.88671875" bestFit="1" customWidth="1"/>
    <col min="546" max="546" width="25.21875" bestFit="1" customWidth="1"/>
    <col min="547" max="547" width="24.88671875" bestFit="1" customWidth="1"/>
    <col min="548" max="548" width="24.77734375" bestFit="1" customWidth="1"/>
    <col min="549" max="549" width="21.77734375" bestFit="1" customWidth="1"/>
    <col min="550" max="550" width="8.21875" bestFit="1" customWidth="1"/>
    <col min="551" max="551" width="10.21875" bestFit="1" customWidth="1"/>
    <col min="552" max="553" width="10.109375" bestFit="1" customWidth="1"/>
    <col min="554" max="554" width="17.21875" bestFit="1" customWidth="1"/>
    <col min="555" max="555" width="19.109375" bestFit="1" customWidth="1"/>
    <col min="556" max="556" width="7.109375" bestFit="1" customWidth="1"/>
    <col min="557" max="557" width="10.77734375" bestFit="1" customWidth="1"/>
    <col min="558" max="558" width="8.21875" bestFit="1" customWidth="1"/>
    <col min="559" max="559" width="6.5546875" bestFit="1" customWidth="1"/>
    <col min="560" max="560" width="23.5546875" bestFit="1" customWidth="1"/>
    <col min="561" max="561" width="11.21875" bestFit="1" customWidth="1"/>
    <col min="562" max="562" width="16.77734375" bestFit="1" customWidth="1"/>
    <col min="563" max="563" width="9" bestFit="1" customWidth="1"/>
    <col min="564" max="564" width="12.21875" bestFit="1" customWidth="1"/>
    <col min="565" max="566" width="7.21875" bestFit="1" customWidth="1"/>
    <col min="567" max="567" width="7.33203125" bestFit="1" customWidth="1"/>
    <col min="568" max="568" width="10.33203125" bestFit="1" customWidth="1"/>
    <col min="569" max="569" width="9.33203125" bestFit="1" customWidth="1"/>
    <col min="570" max="570" width="12.33203125" bestFit="1" customWidth="1"/>
    <col min="571" max="571" width="16.33203125" bestFit="1" customWidth="1"/>
    <col min="572" max="572" width="11.5546875" bestFit="1" customWidth="1"/>
    <col min="573" max="573" width="10.77734375" bestFit="1" customWidth="1"/>
    <col min="574" max="574" width="10.6640625" bestFit="1" customWidth="1"/>
    <col min="575" max="575" width="16.88671875" bestFit="1" customWidth="1"/>
    <col min="576" max="576" width="9.109375" bestFit="1" customWidth="1"/>
    <col min="577" max="577" width="18.77734375" bestFit="1" customWidth="1"/>
    <col min="578" max="578" width="20" bestFit="1" customWidth="1"/>
    <col min="579" max="579" width="14.77734375" bestFit="1" customWidth="1"/>
    <col min="580" max="580" width="10.44140625" bestFit="1" customWidth="1"/>
    <col min="581" max="581" width="9.109375" bestFit="1" customWidth="1"/>
    <col min="582" max="582" width="13.33203125" bestFit="1" customWidth="1"/>
    <col min="583" max="583" width="8.77734375" bestFit="1" customWidth="1"/>
    <col min="584" max="584" width="7.77734375" bestFit="1" customWidth="1"/>
    <col min="585" max="586" width="11.21875" bestFit="1" customWidth="1"/>
    <col min="587" max="587" width="7.88671875" bestFit="1" customWidth="1"/>
    <col min="588" max="588" width="11.77734375" bestFit="1" customWidth="1"/>
    <col min="589" max="589" width="6.33203125" bestFit="1" customWidth="1"/>
    <col min="590" max="590" width="5.77734375" bestFit="1" customWidth="1"/>
    <col min="591" max="591" width="12" bestFit="1" customWidth="1"/>
    <col min="592" max="592" width="6" bestFit="1" customWidth="1"/>
    <col min="593" max="593" width="5.77734375" bestFit="1" customWidth="1"/>
    <col min="594" max="596" width="7.6640625" bestFit="1" customWidth="1"/>
    <col min="597" max="597" width="8.77734375" bestFit="1" customWidth="1"/>
    <col min="598" max="598" width="9.33203125" bestFit="1" customWidth="1"/>
    <col min="599" max="599" width="5.21875" bestFit="1" customWidth="1"/>
    <col min="600" max="600" width="6.6640625" bestFit="1" customWidth="1"/>
    <col min="601" max="601" width="8.5546875" bestFit="1" customWidth="1"/>
    <col min="602" max="602" width="10.109375" bestFit="1" customWidth="1"/>
    <col min="603" max="603" width="9.88671875" bestFit="1" customWidth="1"/>
    <col min="604" max="604" width="9.6640625" bestFit="1" customWidth="1"/>
    <col min="605" max="605" width="9.88671875" bestFit="1" customWidth="1"/>
    <col min="606" max="606" width="8.44140625" bestFit="1" customWidth="1"/>
    <col min="607" max="607" width="7.88671875" bestFit="1" customWidth="1"/>
    <col min="608" max="608" width="6.33203125" bestFit="1" customWidth="1"/>
    <col min="609" max="609" width="7.77734375" bestFit="1" customWidth="1"/>
    <col min="610" max="610" width="7.21875" bestFit="1" customWidth="1"/>
    <col min="611" max="611" width="10.77734375" bestFit="1" customWidth="1"/>
    <col min="612" max="612" width="23.5546875" bestFit="1" customWidth="1"/>
    <col min="613" max="613" width="8.21875" bestFit="1" customWidth="1"/>
    <col min="614" max="614" width="7.21875" bestFit="1" customWidth="1"/>
    <col min="615" max="615" width="13.109375" bestFit="1" customWidth="1"/>
    <col min="616" max="616" width="8.21875" bestFit="1" customWidth="1"/>
    <col min="617" max="617" width="20.5546875" bestFit="1" customWidth="1"/>
    <col min="618" max="618" width="18" bestFit="1" customWidth="1"/>
    <col min="619" max="619" width="8.21875" bestFit="1" customWidth="1"/>
    <col min="620" max="620" width="9.88671875" bestFit="1" customWidth="1"/>
    <col min="621" max="621" width="6.33203125" bestFit="1" customWidth="1"/>
    <col min="622" max="623" width="7.77734375" bestFit="1" customWidth="1"/>
    <col min="624" max="624" width="14.77734375" bestFit="1" customWidth="1"/>
    <col min="625" max="625" width="13.33203125" bestFit="1" customWidth="1"/>
    <col min="626" max="627" width="14.77734375" bestFit="1" customWidth="1"/>
    <col min="628" max="628" width="8" bestFit="1" customWidth="1"/>
    <col min="629" max="629" width="9.77734375" bestFit="1" customWidth="1"/>
    <col min="630" max="630" width="9" bestFit="1" customWidth="1"/>
    <col min="631" max="631" width="15.77734375" bestFit="1" customWidth="1"/>
    <col min="632" max="632" width="11.77734375" bestFit="1" customWidth="1"/>
    <col min="633" max="633" width="7.109375" bestFit="1" customWidth="1"/>
    <col min="634" max="634" width="11.44140625" bestFit="1" customWidth="1"/>
    <col min="635" max="635" width="8.21875" bestFit="1" customWidth="1"/>
    <col min="636" max="637" width="9.6640625" bestFit="1" customWidth="1"/>
    <col min="638" max="638" width="13.44140625" bestFit="1" customWidth="1"/>
    <col min="639" max="639" width="9" bestFit="1" customWidth="1"/>
    <col min="640" max="640" width="13.44140625" bestFit="1" customWidth="1"/>
    <col min="641" max="641" width="12.6640625" bestFit="1" customWidth="1"/>
    <col min="642" max="642" width="9.6640625" bestFit="1" customWidth="1"/>
    <col min="643" max="643" width="8.77734375" bestFit="1" customWidth="1"/>
    <col min="644" max="644" width="9.5546875" bestFit="1" customWidth="1"/>
    <col min="645" max="645" width="11.21875" bestFit="1" customWidth="1"/>
    <col min="646" max="646" width="15.109375" bestFit="1" customWidth="1"/>
    <col min="647" max="649" width="12.109375" bestFit="1" customWidth="1"/>
    <col min="650" max="650" width="13.33203125" bestFit="1" customWidth="1"/>
    <col min="651" max="652" width="9.6640625" bestFit="1" customWidth="1"/>
    <col min="653" max="653" width="18.88671875" bestFit="1" customWidth="1"/>
    <col min="654" max="655" width="15.77734375" bestFit="1" customWidth="1"/>
    <col min="656" max="656" width="8.21875" bestFit="1" customWidth="1"/>
    <col min="657" max="657" width="9.33203125" bestFit="1" customWidth="1"/>
    <col min="658" max="658" width="10.21875" bestFit="1" customWidth="1"/>
    <col min="659" max="659" width="6.6640625" bestFit="1" customWidth="1"/>
    <col min="660" max="660" width="12" bestFit="1" customWidth="1"/>
    <col min="661" max="661" width="10.44140625" bestFit="1" customWidth="1"/>
    <col min="662" max="662" width="8.21875" bestFit="1" customWidth="1"/>
    <col min="663" max="663" width="9" bestFit="1" customWidth="1"/>
    <col min="664" max="664" width="13.77734375" bestFit="1" customWidth="1"/>
    <col min="665" max="665" width="12.88671875" bestFit="1" customWidth="1"/>
    <col min="666" max="666" width="9.88671875" bestFit="1" customWidth="1"/>
    <col min="667" max="667" width="9" bestFit="1" customWidth="1"/>
    <col min="668" max="668" width="12.109375" bestFit="1" customWidth="1"/>
    <col min="669" max="669" width="9.88671875" bestFit="1" customWidth="1"/>
    <col min="670" max="670" width="6.77734375" bestFit="1" customWidth="1"/>
    <col min="671" max="671" width="12.6640625" bestFit="1" customWidth="1"/>
    <col min="672" max="672" width="15.33203125" bestFit="1" customWidth="1"/>
    <col min="673" max="673" width="11.77734375" bestFit="1" customWidth="1"/>
    <col min="674" max="674" width="6" bestFit="1" customWidth="1"/>
    <col min="675" max="675" width="8.21875" bestFit="1" customWidth="1"/>
    <col min="676" max="676" width="7.77734375" bestFit="1" customWidth="1"/>
    <col min="677" max="677" width="10.109375" bestFit="1" customWidth="1"/>
    <col min="678" max="678" width="6.21875" bestFit="1" customWidth="1"/>
    <col min="679" max="679" width="12.88671875" bestFit="1" customWidth="1"/>
    <col min="681" max="681" width="8.77734375" bestFit="1" customWidth="1"/>
    <col min="682" max="682" width="29" bestFit="1" customWidth="1"/>
    <col min="683" max="683" width="15.6640625" bestFit="1" customWidth="1"/>
    <col min="684" max="684" width="17.21875" bestFit="1" customWidth="1"/>
    <col min="685" max="685" width="12.21875" bestFit="1" customWidth="1"/>
    <col min="686" max="686" width="11.44140625" bestFit="1" customWidth="1"/>
    <col min="687" max="687" width="12.109375" bestFit="1" customWidth="1"/>
    <col min="688" max="688" width="9.109375" bestFit="1" customWidth="1"/>
    <col min="689" max="689" width="10.109375" bestFit="1" customWidth="1"/>
    <col min="690" max="690" width="11.44140625" bestFit="1" customWidth="1"/>
    <col min="691" max="691" width="16.77734375" bestFit="1" customWidth="1"/>
    <col min="692" max="692" width="12.33203125" bestFit="1" customWidth="1"/>
    <col min="693" max="693" width="9.77734375" bestFit="1" customWidth="1"/>
    <col min="694" max="694" width="19.6640625" bestFit="1" customWidth="1"/>
    <col min="695" max="695" width="18" bestFit="1" customWidth="1"/>
    <col min="696" max="696" width="19.88671875" bestFit="1" customWidth="1"/>
    <col min="697" max="697" width="12.21875" bestFit="1" customWidth="1"/>
    <col min="698" max="698" width="7.6640625" bestFit="1" customWidth="1"/>
    <col min="699" max="699" width="7.88671875" bestFit="1" customWidth="1"/>
    <col min="700" max="700" width="9.109375" bestFit="1" customWidth="1"/>
    <col min="701" max="702" width="7.6640625" bestFit="1" customWidth="1"/>
    <col min="703" max="703" width="11.21875" bestFit="1" customWidth="1"/>
    <col min="704" max="704" width="10.6640625" bestFit="1" customWidth="1"/>
    <col min="705" max="705" width="10.109375" bestFit="1" customWidth="1"/>
    <col min="706" max="706" width="8.21875" bestFit="1" customWidth="1"/>
    <col min="707" max="707" width="8.5546875" bestFit="1" customWidth="1"/>
    <col min="708" max="708" width="9.88671875" bestFit="1" customWidth="1"/>
    <col min="709" max="709" width="6.88671875" bestFit="1" customWidth="1"/>
    <col min="710" max="710" width="9.77734375" bestFit="1" customWidth="1"/>
    <col min="711" max="711" width="10.33203125" bestFit="1" customWidth="1"/>
    <col min="712" max="712" width="17" bestFit="1" customWidth="1"/>
    <col min="713" max="713" width="8.77734375" bestFit="1" customWidth="1"/>
    <col min="714" max="715" width="10.44140625" bestFit="1" customWidth="1"/>
    <col min="716" max="716" width="17.44140625" bestFit="1" customWidth="1"/>
    <col min="717" max="717" width="7.77734375" bestFit="1" customWidth="1"/>
    <col min="718" max="718" width="20.77734375" bestFit="1" customWidth="1"/>
    <col min="719" max="719" width="9.88671875" bestFit="1" customWidth="1"/>
    <col min="720" max="721" width="12.6640625" bestFit="1" customWidth="1"/>
    <col min="722" max="723" width="11" bestFit="1" customWidth="1"/>
    <col min="724" max="724" width="12" bestFit="1" customWidth="1"/>
    <col min="725" max="725" width="7.109375" bestFit="1" customWidth="1"/>
    <col min="726" max="726" width="8.21875" bestFit="1" customWidth="1"/>
    <col min="727" max="727" width="5.5546875" bestFit="1" customWidth="1"/>
    <col min="728" max="728" width="13.21875" bestFit="1" customWidth="1"/>
    <col min="729" max="729" width="6.21875" bestFit="1" customWidth="1"/>
    <col min="730" max="730" width="13.88671875" bestFit="1" customWidth="1"/>
    <col min="731" max="731" width="9.33203125" bestFit="1" customWidth="1"/>
    <col min="732" max="732" width="14" bestFit="1" customWidth="1"/>
    <col min="733" max="733" width="12.33203125" bestFit="1" customWidth="1"/>
    <col min="734" max="734" width="5.44140625" bestFit="1" customWidth="1"/>
    <col min="735" max="735" width="14.21875" bestFit="1" customWidth="1"/>
    <col min="736" max="736" width="10.33203125" bestFit="1" customWidth="1"/>
    <col min="738" max="738" width="9.109375" bestFit="1" customWidth="1"/>
    <col min="739" max="739" width="5.77734375" bestFit="1" customWidth="1"/>
    <col min="740" max="740" width="8.5546875" bestFit="1" customWidth="1"/>
    <col min="741" max="741" width="18.6640625" bestFit="1" customWidth="1"/>
    <col min="742" max="742" width="12.5546875" bestFit="1" customWidth="1"/>
    <col min="743" max="743" width="13.44140625" bestFit="1" customWidth="1"/>
    <col min="744" max="744" width="11.44140625" bestFit="1" customWidth="1"/>
    <col min="745" max="745" width="12" bestFit="1" customWidth="1"/>
    <col min="746" max="746" width="9.33203125" bestFit="1" customWidth="1"/>
    <col min="747" max="747" width="12.21875" bestFit="1" customWidth="1"/>
    <col min="748" max="748" width="8.44140625" bestFit="1" customWidth="1"/>
    <col min="749" max="749" width="6.5546875" bestFit="1" customWidth="1"/>
    <col min="750" max="750" width="7.33203125" bestFit="1" customWidth="1"/>
    <col min="751" max="751" width="7.109375" bestFit="1" customWidth="1"/>
    <col min="752" max="752" width="8.21875" bestFit="1" customWidth="1"/>
    <col min="753" max="753" width="13.21875" bestFit="1" customWidth="1"/>
    <col min="754" max="755" width="17.109375" bestFit="1" customWidth="1"/>
    <col min="756" max="756" width="13.44140625" bestFit="1" customWidth="1"/>
    <col min="757" max="758" width="18.33203125" bestFit="1" customWidth="1"/>
    <col min="759" max="759" width="23.21875" bestFit="1" customWidth="1"/>
    <col min="760" max="760" width="10.109375" bestFit="1" customWidth="1"/>
    <col min="761" max="761" width="8.44140625" bestFit="1" customWidth="1"/>
    <col min="762" max="762" width="11.5546875" bestFit="1" customWidth="1"/>
    <col min="763" max="763" width="7.44140625" bestFit="1" customWidth="1"/>
    <col min="764" max="764" width="5.5546875" bestFit="1" customWidth="1"/>
    <col min="765" max="765" width="10.33203125" bestFit="1" customWidth="1"/>
    <col min="766" max="766" width="13.88671875" bestFit="1" customWidth="1"/>
    <col min="767" max="767" width="9.5546875" bestFit="1" customWidth="1"/>
    <col min="768" max="768" width="10.33203125" bestFit="1" customWidth="1"/>
    <col min="770" max="770" width="11.77734375" bestFit="1" customWidth="1"/>
    <col min="771" max="771" width="7.88671875" bestFit="1" customWidth="1"/>
    <col min="772" max="772" width="7.77734375" bestFit="1" customWidth="1"/>
    <col min="773" max="773" width="9.21875" bestFit="1" customWidth="1"/>
    <col min="774" max="774" width="5.77734375" bestFit="1" customWidth="1"/>
    <col min="775" max="775" width="14.21875" bestFit="1" customWidth="1"/>
    <col min="776" max="776" width="8.5546875" bestFit="1" customWidth="1"/>
    <col min="777" max="777" width="9.21875" bestFit="1" customWidth="1"/>
    <col min="778" max="778" width="12.77734375" bestFit="1" customWidth="1"/>
    <col min="779" max="779" width="11.5546875" bestFit="1" customWidth="1"/>
    <col min="780" max="780" width="12.77734375" bestFit="1" customWidth="1"/>
    <col min="781" max="781" width="9.33203125" bestFit="1" customWidth="1"/>
    <col min="782" max="782" width="9.109375" bestFit="1" customWidth="1"/>
    <col min="784" max="784" width="9" bestFit="1" customWidth="1"/>
    <col min="785" max="785" width="8.5546875" bestFit="1" customWidth="1"/>
    <col min="786" max="786" width="9.77734375" bestFit="1" customWidth="1"/>
    <col min="787" max="787" width="8.5546875" bestFit="1" customWidth="1"/>
    <col min="788" max="788" width="24.6640625" bestFit="1" customWidth="1"/>
    <col min="789" max="790" width="9.21875" bestFit="1" customWidth="1"/>
    <col min="791" max="791" width="12" bestFit="1" customWidth="1"/>
    <col min="792" max="792" width="13.21875" bestFit="1" customWidth="1"/>
    <col min="793" max="793" width="7.88671875" bestFit="1" customWidth="1"/>
    <col min="794" max="794" width="9.88671875" bestFit="1" customWidth="1"/>
    <col min="795" max="795" width="16.6640625" bestFit="1" customWidth="1"/>
    <col min="796" max="796" width="29.109375" bestFit="1" customWidth="1"/>
    <col min="797" max="797" width="21.21875" bestFit="1" customWidth="1"/>
    <col min="798" max="798" width="23.77734375" bestFit="1" customWidth="1"/>
    <col min="799" max="799" width="7.88671875" bestFit="1" customWidth="1"/>
    <col min="800" max="800" width="11.77734375" bestFit="1" customWidth="1"/>
    <col min="801" max="801" width="10.44140625" bestFit="1" customWidth="1"/>
    <col min="802" max="802" width="7.77734375" bestFit="1" customWidth="1"/>
    <col min="803" max="804" width="13.6640625" bestFit="1" customWidth="1"/>
    <col min="805" max="805" width="16.21875" bestFit="1" customWidth="1"/>
    <col min="806" max="806" width="12.88671875" bestFit="1" customWidth="1"/>
    <col min="807" max="807" width="19.6640625" bestFit="1" customWidth="1"/>
    <col min="808" max="808" width="21.77734375" bestFit="1" customWidth="1"/>
    <col min="809" max="809" width="16.21875" bestFit="1" customWidth="1"/>
    <col min="810" max="810" width="7.88671875" bestFit="1" customWidth="1"/>
    <col min="811" max="811" width="6.5546875" bestFit="1" customWidth="1"/>
    <col min="812" max="812" width="7.77734375" bestFit="1" customWidth="1"/>
    <col min="813" max="813" width="11.5546875" bestFit="1" customWidth="1"/>
    <col min="814" max="814" width="7.109375" bestFit="1" customWidth="1"/>
    <col min="815" max="815" width="8.5546875" bestFit="1" customWidth="1"/>
    <col min="816" max="816" width="15" bestFit="1" customWidth="1"/>
    <col min="817" max="817" width="12.33203125" bestFit="1" customWidth="1"/>
    <col min="818" max="818" width="8.5546875" bestFit="1" customWidth="1"/>
    <col min="819" max="819" width="20.44140625" bestFit="1" customWidth="1"/>
    <col min="820" max="820" width="10.77734375" bestFit="1" customWidth="1"/>
    <col min="821" max="821" width="18.5546875" bestFit="1" customWidth="1"/>
    <col min="822" max="822" width="27.21875" bestFit="1" customWidth="1"/>
    <col min="823" max="823" width="18.5546875" bestFit="1" customWidth="1"/>
    <col min="824" max="824" width="10.109375" bestFit="1" customWidth="1"/>
    <col min="825" max="825" width="6" bestFit="1" customWidth="1"/>
    <col min="826" max="826" width="6.109375" bestFit="1" customWidth="1"/>
    <col min="827" max="827" width="7.77734375" bestFit="1" customWidth="1"/>
    <col min="828" max="828" width="10.77734375" bestFit="1" customWidth="1"/>
    <col min="829" max="829" width="6.33203125" bestFit="1" customWidth="1"/>
    <col min="830" max="830" width="6.88671875" bestFit="1" customWidth="1"/>
    <col min="831" max="831" width="8.44140625" bestFit="1" customWidth="1"/>
    <col min="832" max="832" width="10.33203125" bestFit="1" customWidth="1"/>
    <col min="833" max="834" width="11.77734375" bestFit="1" customWidth="1"/>
    <col min="835" max="835" width="12.5546875" bestFit="1" customWidth="1"/>
    <col min="836" max="836" width="8.77734375" bestFit="1" customWidth="1"/>
    <col min="837" max="837" width="7.33203125" bestFit="1" customWidth="1"/>
    <col min="838" max="838" width="11.44140625" bestFit="1" customWidth="1"/>
    <col min="839" max="839" width="11.77734375" bestFit="1" customWidth="1"/>
    <col min="840" max="840" width="8.21875" bestFit="1" customWidth="1"/>
    <col min="841" max="843" width="8.5546875" bestFit="1" customWidth="1"/>
    <col min="844" max="844" width="9.21875" bestFit="1" customWidth="1"/>
    <col min="845" max="845" width="10.77734375" bestFit="1" customWidth="1"/>
    <col min="846" max="846" width="12.109375" bestFit="1" customWidth="1"/>
    <col min="847" max="847" width="14.77734375" bestFit="1" customWidth="1"/>
    <col min="848" max="848" width="17" bestFit="1" customWidth="1"/>
    <col min="849" max="849" width="16.6640625" bestFit="1" customWidth="1"/>
    <col min="850" max="850" width="13.77734375" bestFit="1" customWidth="1"/>
    <col min="851" max="851" width="8" bestFit="1" customWidth="1"/>
    <col min="852" max="852" width="15" bestFit="1" customWidth="1"/>
    <col min="853" max="853" width="19.6640625" bestFit="1" customWidth="1"/>
    <col min="854" max="854" width="15.33203125" bestFit="1" customWidth="1"/>
    <col min="855" max="855" width="6.6640625" bestFit="1" customWidth="1"/>
    <col min="856" max="856" width="12" bestFit="1" customWidth="1"/>
    <col min="857" max="857" width="16.21875" bestFit="1" customWidth="1"/>
    <col min="858" max="858" width="6.6640625" bestFit="1" customWidth="1"/>
    <col min="859" max="859" width="7.33203125" bestFit="1" customWidth="1"/>
    <col min="860" max="860" width="8.5546875" bestFit="1" customWidth="1"/>
    <col min="861" max="861" width="7.88671875" bestFit="1" customWidth="1"/>
    <col min="862" max="862" width="7.6640625" bestFit="1" customWidth="1"/>
    <col min="863" max="864" width="9" bestFit="1" customWidth="1"/>
    <col min="865" max="865" width="11.21875" bestFit="1" customWidth="1"/>
    <col min="866" max="866" width="15.88671875" bestFit="1" customWidth="1"/>
    <col min="867" max="867" width="17" bestFit="1" customWidth="1"/>
    <col min="868" max="868" width="12.33203125" bestFit="1" customWidth="1"/>
    <col min="869" max="869" width="8.21875" bestFit="1" customWidth="1"/>
    <col min="870" max="870" width="9.109375" bestFit="1" customWidth="1"/>
    <col min="871" max="871" width="10.77734375" bestFit="1" customWidth="1"/>
    <col min="872" max="873" width="14.77734375" bestFit="1" customWidth="1"/>
    <col min="874" max="874" width="10.6640625" bestFit="1" customWidth="1"/>
    <col min="875" max="875" width="9.88671875" bestFit="1" customWidth="1"/>
    <col min="876" max="876" width="9.33203125" bestFit="1" customWidth="1"/>
    <col min="877" max="877" width="13.44140625" bestFit="1" customWidth="1"/>
    <col min="878" max="878" width="11.5546875" bestFit="1" customWidth="1"/>
    <col min="880" max="880" width="7.33203125" bestFit="1" customWidth="1"/>
    <col min="881" max="882" width="8.77734375" bestFit="1" customWidth="1"/>
    <col min="884" max="884" width="7.33203125" bestFit="1" customWidth="1"/>
    <col min="885" max="886" width="8" bestFit="1" customWidth="1"/>
    <col min="887" max="887" width="20" bestFit="1" customWidth="1"/>
    <col min="888" max="888" width="17" bestFit="1" customWidth="1"/>
    <col min="889" max="889" width="9.109375" bestFit="1" customWidth="1"/>
    <col min="890" max="890" width="11.21875" bestFit="1" customWidth="1"/>
    <col min="891" max="891" width="6.5546875" bestFit="1" customWidth="1"/>
    <col min="892" max="892" width="6.33203125" bestFit="1" customWidth="1"/>
    <col min="893" max="893" width="8.44140625" bestFit="1" customWidth="1"/>
    <col min="894" max="894" width="6.5546875" bestFit="1" customWidth="1"/>
    <col min="895" max="895" width="6" bestFit="1" customWidth="1"/>
    <col min="896" max="896" width="8.5546875" bestFit="1" customWidth="1"/>
    <col min="897" max="897" width="8.21875" bestFit="1" customWidth="1"/>
    <col min="898" max="898" width="16.109375" bestFit="1" customWidth="1"/>
    <col min="899" max="899" width="9.33203125" bestFit="1" customWidth="1"/>
    <col min="900" max="900" width="15" bestFit="1" customWidth="1"/>
    <col min="901" max="901" width="11" bestFit="1" customWidth="1"/>
    <col min="903" max="903" width="14.77734375" bestFit="1" customWidth="1"/>
    <col min="904" max="904" width="10.21875" bestFit="1" customWidth="1"/>
    <col min="905" max="905" width="9" bestFit="1" customWidth="1"/>
    <col min="906" max="907" width="7.33203125" bestFit="1" customWidth="1"/>
    <col min="908" max="908" width="11.5546875" bestFit="1" customWidth="1"/>
    <col min="909" max="909" width="17.21875" bestFit="1" customWidth="1"/>
    <col min="911" max="911" width="14.44140625" bestFit="1" customWidth="1"/>
    <col min="912" max="912" width="15" bestFit="1" customWidth="1"/>
    <col min="913" max="913" width="18.109375" bestFit="1" customWidth="1"/>
    <col min="914" max="914" width="15" bestFit="1" customWidth="1"/>
    <col min="915" max="915" width="11.21875" bestFit="1" customWidth="1"/>
    <col min="916" max="916" width="12.109375" bestFit="1" customWidth="1"/>
    <col min="917" max="917" width="13.6640625" bestFit="1" customWidth="1"/>
    <col min="918" max="918" width="6.6640625" bestFit="1" customWidth="1"/>
    <col min="919" max="919" width="12.21875" bestFit="1" customWidth="1"/>
    <col min="920" max="920" width="8.21875" bestFit="1" customWidth="1"/>
    <col min="921" max="921" width="6.5546875" bestFit="1" customWidth="1"/>
    <col min="922" max="923" width="8.77734375" bestFit="1" customWidth="1"/>
    <col min="924" max="924" width="8.44140625" bestFit="1" customWidth="1"/>
    <col min="925" max="925" width="11.77734375" bestFit="1" customWidth="1"/>
    <col min="926" max="926" width="12.77734375" bestFit="1" customWidth="1"/>
    <col min="927" max="927" width="10.33203125" bestFit="1" customWidth="1"/>
    <col min="928" max="929" width="7.88671875" bestFit="1" customWidth="1"/>
    <col min="930" max="930" width="8" bestFit="1" customWidth="1"/>
    <col min="931" max="931" width="6.6640625" bestFit="1" customWidth="1"/>
    <col min="932" max="932" width="14.21875" bestFit="1" customWidth="1"/>
    <col min="933" max="933" width="9.5546875" bestFit="1" customWidth="1"/>
    <col min="934" max="934" width="8.77734375" bestFit="1" customWidth="1"/>
    <col min="935" max="935" width="6.88671875" bestFit="1" customWidth="1"/>
    <col min="936" max="936" width="14.21875" bestFit="1" customWidth="1"/>
    <col min="937" max="937" width="7.6640625" bestFit="1" customWidth="1"/>
    <col min="938" max="938" width="12.77734375" bestFit="1" customWidth="1"/>
    <col min="939" max="939" width="6.5546875" bestFit="1" customWidth="1"/>
    <col min="940" max="940" width="8.77734375" bestFit="1" customWidth="1"/>
    <col min="941" max="941" width="8.21875" bestFit="1" customWidth="1"/>
    <col min="942" max="942" width="11.21875" bestFit="1" customWidth="1"/>
    <col min="943" max="943" width="9.21875" bestFit="1" customWidth="1"/>
    <col min="944" max="944" width="14" bestFit="1" customWidth="1"/>
    <col min="945" max="945" width="7.21875" bestFit="1" customWidth="1"/>
    <col min="946" max="946" width="9.21875" bestFit="1" customWidth="1"/>
    <col min="947" max="947" width="15.5546875" bestFit="1" customWidth="1"/>
    <col min="948" max="948" width="9.88671875" bestFit="1" customWidth="1"/>
    <col min="949" max="949" width="6.109375" bestFit="1" customWidth="1"/>
    <col min="950" max="950" width="6.5546875" bestFit="1" customWidth="1"/>
    <col min="951" max="951" width="10.21875" bestFit="1" customWidth="1"/>
    <col min="952" max="953" width="10.109375" bestFit="1" customWidth="1"/>
    <col min="954" max="954" width="14.21875" bestFit="1" customWidth="1"/>
    <col min="955" max="955" width="9.21875" bestFit="1" customWidth="1"/>
    <col min="956" max="956" width="4.44140625" bestFit="1" customWidth="1"/>
    <col min="957" max="957" width="11.21875" bestFit="1" customWidth="1"/>
    <col min="958" max="958" width="10.6640625" bestFit="1" customWidth="1"/>
    <col min="959" max="959" width="5.21875" bestFit="1" customWidth="1"/>
    <col min="961" max="961" width="8.5546875" bestFit="1" customWidth="1"/>
    <col min="962" max="962" width="8.77734375" bestFit="1" customWidth="1"/>
    <col min="963" max="963" width="7.33203125" bestFit="1" customWidth="1"/>
    <col min="964" max="964" width="13.33203125" bestFit="1" customWidth="1"/>
    <col min="965" max="965" width="8.21875" bestFit="1" customWidth="1"/>
    <col min="966" max="966" width="6.6640625" bestFit="1" customWidth="1"/>
    <col min="967" max="967" width="10.77734375" bestFit="1" customWidth="1"/>
    <col min="968" max="968" width="5.77734375" bestFit="1" customWidth="1"/>
    <col min="969" max="969" width="6" bestFit="1" customWidth="1"/>
    <col min="970" max="970" width="5.21875" bestFit="1" customWidth="1"/>
    <col min="971" max="971" width="3.5546875" bestFit="1" customWidth="1"/>
    <col min="972" max="972" width="5.77734375" bestFit="1" customWidth="1"/>
    <col min="973" max="973" width="9" bestFit="1" customWidth="1"/>
    <col min="974" max="974" width="13.6640625" bestFit="1" customWidth="1"/>
    <col min="975" max="975" width="16.33203125" bestFit="1" customWidth="1"/>
    <col min="976" max="976" width="16.6640625" bestFit="1" customWidth="1"/>
    <col min="977" max="977" width="18.6640625" bestFit="1" customWidth="1"/>
    <col min="978" max="978" width="13" bestFit="1" customWidth="1"/>
    <col min="979" max="979" width="16.88671875" bestFit="1" customWidth="1"/>
    <col min="980" max="980" width="13.44140625" bestFit="1" customWidth="1"/>
    <col min="981" max="981" width="17.5546875" bestFit="1" customWidth="1"/>
    <col min="982" max="982" width="15.6640625" bestFit="1" customWidth="1"/>
    <col min="983" max="983" width="13.6640625" bestFit="1" customWidth="1"/>
    <col min="984" max="984" width="12.21875" bestFit="1" customWidth="1"/>
    <col min="985" max="985" width="13.109375" bestFit="1" customWidth="1"/>
    <col min="986" max="986" width="20.77734375" bestFit="1" customWidth="1"/>
    <col min="987" max="987" width="21.6640625" bestFit="1" customWidth="1"/>
    <col min="988" max="988" width="23.77734375" bestFit="1" customWidth="1"/>
    <col min="989" max="989" width="21.21875" bestFit="1" customWidth="1"/>
    <col min="990" max="990" width="14.77734375" bestFit="1" customWidth="1"/>
    <col min="991" max="991" width="18.109375" bestFit="1" customWidth="1"/>
    <col min="992" max="992" width="24.5546875" bestFit="1" customWidth="1"/>
    <col min="993" max="994" width="14.21875" bestFit="1" customWidth="1"/>
    <col min="995" max="995" width="19.21875" bestFit="1" customWidth="1"/>
    <col min="996" max="996" width="15.88671875" bestFit="1" customWidth="1"/>
    <col min="997" max="997" width="23" bestFit="1" customWidth="1"/>
    <col min="998" max="998" width="19.6640625" bestFit="1" customWidth="1"/>
    <col min="999" max="999" width="18.6640625" bestFit="1" customWidth="1"/>
    <col min="1000" max="1000" width="14.21875" bestFit="1" customWidth="1"/>
    <col min="1001" max="1001" width="15.88671875" bestFit="1" customWidth="1"/>
    <col min="1002" max="1002" width="9.77734375" bestFit="1" customWidth="1"/>
    <col min="1003" max="1003" width="15.88671875" bestFit="1" customWidth="1"/>
    <col min="1004" max="1004" width="13.77734375" bestFit="1" customWidth="1"/>
    <col min="1005" max="1005" width="15.77734375" bestFit="1" customWidth="1"/>
    <col min="1006" max="1007" width="13.88671875" bestFit="1" customWidth="1"/>
    <col min="1008" max="1008" width="18.6640625" bestFit="1" customWidth="1"/>
    <col min="1009" max="1009" width="18.88671875" bestFit="1" customWidth="1"/>
    <col min="1010" max="1010" width="18" bestFit="1" customWidth="1"/>
    <col min="1011" max="1011" width="17.21875" bestFit="1" customWidth="1"/>
    <col min="1012" max="1012" width="7.44140625" bestFit="1" customWidth="1"/>
    <col min="1013" max="1013" width="5.77734375" bestFit="1" customWidth="1"/>
    <col min="1014" max="1014" width="8" bestFit="1" customWidth="1"/>
    <col min="1015" max="1015" width="7.77734375" bestFit="1" customWidth="1"/>
    <col min="1016" max="1016" width="12" bestFit="1" customWidth="1"/>
    <col min="1017" max="1017" width="9.6640625" bestFit="1" customWidth="1"/>
    <col min="1018" max="1018" width="9.33203125" bestFit="1" customWidth="1"/>
    <col min="1019" max="1019" width="12.109375" bestFit="1" customWidth="1"/>
    <col min="1020" max="1020" width="14" bestFit="1" customWidth="1"/>
    <col min="1021" max="1021" width="7.6640625" bestFit="1" customWidth="1"/>
    <col min="1022" max="1023" width="13.77734375" bestFit="1" customWidth="1"/>
    <col min="1024" max="1024" width="9.109375" bestFit="1" customWidth="1"/>
    <col min="1025" max="1025" width="7.6640625" bestFit="1" customWidth="1"/>
    <col min="1026" max="1026" width="12.21875" bestFit="1" customWidth="1"/>
    <col min="1027" max="1027" width="8.77734375" bestFit="1" customWidth="1"/>
    <col min="1028" max="1028" width="10.21875" bestFit="1" customWidth="1"/>
    <col min="1029" max="1029" width="25.6640625" bestFit="1" customWidth="1"/>
    <col min="1030" max="1030" width="10.21875" bestFit="1" customWidth="1"/>
    <col min="1031" max="1031" width="16.77734375" bestFit="1" customWidth="1"/>
    <col min="1032" max="1032" width="10.21875" bestFit="1" customWidth="1"/>
    <col min="1033" max="1033" width="21.6640625" bestFit="1" customWidth="1"/>
    <col min="1034" max="1034" width="10.21875" bestFit="1" customWidth="1"/>
    <col min="1035" max="1035" width="5.5546875" bestFit="1" customWidth="1"/>
    <col min="1036" max="1036" width="12.21875" bestFit="1" customWidth="1"/>
    <col min="1037" max="1037" width="12.5546875" bestFit="1" customWidth="1"/>
    <col min="1038" max="1038" width="12.88671875" bestFit="1" customWidth="1"/>
    <col min="1039" max="1039" width="10.77734375" bestFit="1" customWidth="1"/>
    <col min="1040" max="1040" width="8.21875" bestFit="1" customWidth="1"/>
    <col min="1041" max="1041" width="8.44140625" bestFit="1" customWidth="1"/>
    <col min="1042" max="1042" width="6.21875" bestFit="1" customWidth="1"/>
    <col min="1043" max="1043" width="8" bestFit="1" customWidth="1"/>
    <col min="1044" max="1044" width="11.21875" bestFit="1" customWidth="1"/>
    <col min="1045" max="1045" width="9.109375" bestFit="1" customWidth="1"/>
    <col min="1046" max="1046" width="13.44140625" bestFit="1" customWidth="1"/>
    <col min="1047" max="1047" width="8.77734375" bestFit="1" customWidth="1"/>
    <col min="1048" max="1048" width="6.88671875" bestFit="1" customWidth="1"/>
    <col min="1049" max="1049" width="7.109375" bestFit="1" customWidth="1"/>
    <col min="1050" max="1050" width="10.6640625" bestFit="1" customWidth="1"/>
    <col min="1051" max="1052" width="13.109375" bestFit="1" customWidth="1"/>
    <col min="1053" max="1053" width="6.77734375" bestFit="1" customWidth="1"/>
    <col min="1054" max="1054" width="4.44140625" bestFit="1" customWidth="1"/>
    <col min="1055" max="1056" width="7.77734375" bestFit="1" customWidth="1"/>
    <col min="1057" max="1057" width="6.33203125" bestFit="1" customWidth="1"/>
    <col min="1058" max="1058" width="5.77734375" bestFit="1" customWidth="1"/>
    <col min="1059" max="1059" width="6" bestFit="1" customWidth="1"/>
    <col min="1060" max="1060" width="7.6640625" bestFit="1" customWidth="1"/>
    <col min="1061" max="1061" width="9.33203125" bestFit="1" customWidth="1"/>
    <col min="1062" max="1062" width="11.33203125" bestFit="1" customWidth="1"/>
    <col min="1064" max="1064" width="9.77734375" bestFit="1" customWidth="1"/>
    <col min="1065" max="1066" width="7.77734375" bestFit="1" customWidth="1"/>
    <col min="1067" max="1067" width="4.33203125" bestFit="1" customWidth="1"/>
    <col min="1068" max="1068" width="5.6640625" bestFit="1" customWidth="1"/>
    <col min="1069" max="1069" width="11.5546875" bestFit="1" customWidth="1"/>
    <col min="1070" max="1070" width="11.21875" bestFit="1" customWidth="1"/>
    <col min="1071" max="1071" width="7.33203125" bestFit="1" customWidth="1"/>
    <col min="1072" max="1072" width="10.44140625" bestFit="1" customWidth="1"/>
    <col min="1073" max="1073" width="8.21875" bestFit="1" customWidth="1"/>
    <col min="1074" max="1074" width="13.77734375" bestFit="1" customWidth="1"/>
    <col min="1075" max="1075" width="8.5546875" bestFit="1" customWidth="1"/>
    <col min="1076" max="1076" width="15.33203125" bestFit="1" customWidth="1"/>
    <col min="1077" max="1077" width="12.21875" bestFit="1" customWidth="1"/>
    <col min="1078" max="1078" width="7.21875" bestFit="1" customWidth="1"/>
    <col min="1079" max="1079" width="7.88671875" bestFit="1" customWidth="1"/>
    <col min="1080" max="1080" width="9.33203125" bestFit="1" customWidth="1"/>
    <col min="1081" max="1082" width="8.77734375" bestFit="1" customWidth="1"/>
    <col min="1083" max="1083" width="6.5546875" bestFit="1" customWidth="1"/>
    <col min="1084" max="1085" width="11.21875" bestFit="1" customWidth="1"/>
    <col min="1086" max="1086" width="7.77734375" bestFit="1" customWidth="1"/>
    <col min="1087" max="1087" width="4.88671875" bestFit="1" customWidth="1"/>
    <col min="1088" max="1088" width="15.88671875" bestFit="1" customWidth="1"/>
    <col min="1089" max="1089" width="5.5546875" bestFit="1" customWidth="1"/>
    <col min="1090" max="1090" width="9.21875" bestFit="1" customWidth="1"/>
    <col min="1091" max="1091" width="12.77734375" bestFit="1" customWidth="1"/>
    <col min="1092" max="1092" width="10.44140625" bestFit="1" customWidth="1"/>
    <col min="1093" max="1093" width="6.33203125" bestFit="1" customWidth="1"/>
    <col min="1094" max="1094" width="10.77734375" bestFit="1" customWidth="1"/>
    <col min="1095" max="1095" width="7.6640625" bestFit="1" customWidth="1"/>
    <col min="1096" max="1096" width="16.6640625" bestFit="1" customWidth="1"/>
    <col min="1097" max="1097" width="7.6640625" bestFit="1" customWidth="1"/>
    <col min="1098" max="1098" width="8.21875" bestFit="1" customWidth="1"/>
    <col min="1099" max="1100" width="9.6640625" bestFit="1" customWidth="1"/>
    <col min="1101" max="1101" width="8.77734375" bestFit="1" customWidth="1"/>
    <col min="1102" max="1102" width="9.21875" bestFit="1" customWidth="1"/>
    <col min="1103" max="1103" width="5.44140625" bestFit="1" customWidth="1"/>
    <col min="1104" max="1104" width="18.77734375" bestFit="1" customWidth="1"/>
    <col min="1105" max="1105" width="8.44140625" bestFit="1" customWidth="1"/>
    <col min="1106" max="1106" width="10.33203125" bestFit="1" customWidth="1"/>
    <col min="1107" max="1107" width="9" bestFit="1" customWidth="1"/>
    <col min="1108" max="1108" width="7.44140625" bestFit="1" customWidth="1"/>
    <col min="1109" max="1109" width="7.88671875" bestFit="1" customWidth="1"/>
    <col min="1110" max="1110" width="19.109375" bestFit="1" customWidth="1"/>
    <col min="1111" max="1111" width="14" bestFit="1" customWidth="1"/>
    <col min="1112" max="1112" width="12.5546875" bestFit="1" customWidth="1"/>
    <col min="1113" max="1113" width="6.21875" bestFit="1" customWidth="1"/>
    <col min="1114" max="1114" width="6.109375" bestFit="1" customWidth="1"/>
    <col min="1115" max="1115" width="15.33203125" bestFit="1" customWidth="1"/>
    <col min="1116" max="1116" width="13.109375" bestFit="1" customWidth="1"/>
    <col min="1117" max="1117" width="8.21875" bestFit="1" customWidth="1"/>
    <col min="1118" max="1118" width="12.88671875" bestFit="1" customWidth="1"/>
    <col min="1119" max="1119" width="11.21875" bestFit="1" customWidth="1"/>
    <col min="1120" max="1120" width="7.44140625" bestFit="1" customWidth="1"/>
    <col min="1121" max="1121" width="11" bestFit="1" customWidth="1"/>
    <col min="1122" max="1122" width="8.77734375" bestFit="1" customWidth="1"/>
    <col min="1123" max="1123" width="7.6640625" bestFit="1" customWidth="1"/>
    <col min="1124" max="1124" width="8.77734375" bestFit="1" customWidth="1"/>
    <col min="1125" max="1125" width="12.88671875" bestFit="1" customWidth="1"/>
    <col min="1126" max="1126" width="16.21875" bestFit="1" customWidth="1"/>
    <col min="1127" max="1127" width="13.44140625" bestFit="1" customWidth="1"/>
    <col min="1128" max="1129" width="11.5546875" bestFit="1" customWidth="1"/>
    <col min="1130" max="1130" width="14.5546875" bestFit="1" customWidth="1"/>
    <col min="1131" max="1131" width="12.77734375" bestFit="1" customWidth="1"/>
    <col min="1132" max="1132" width="17.77734375" bestFit="1" customWidth="1"/>
    <col min="1133" max="1133" width="10.109375" bestFit="1" customWidth="1"/>
    <col min="1134" max="1134" width="8.21875" bestFit="1" customWidth="1"/>
    <col min="1135" max="1135" width="11" bestFit="1" customWidth="1"/>
    <col min="1136" max="1136" width="8.21875" bestFit="1" customWidth="1"/>
    <col min="1137" max="1137" width="12.88671875" bestFit="1" customWidth="1"/>
    <col min="1138" max="1138" width="7.21875" bestFit="1" customWidth="1"/>
    <col min="1139" max="1139" width="8.21875" bestFit="1" customWidth="1"/>
    <col min="1140" max="1140" width="5.5546875" bestFit="1" customWidth="1"/>
    <col min="1141" max="1141" width="5.77734375" bestFit="1" customWidth="1"/>
    <col min="1142" max="1142" width="11.77734375" bestFit="1" customWidth="1"/>
    <col min="1143" max="1143" width="6.77734375" bestFit="1" customWidth="1"/>
    <col min="1144" max="1144" width="9" bestFit="1" customWidth="1"/>
    <col min="1145" max="1145" width="17.21875" bestFit="1" customWidth="1"/>
    <col min="1146" max="1146" width="13.44140625" bestFit="1" customWidth="1"/>
    <col min="1147" max="1149" width="11.77734375" bestFit="1" customWidth="1"/>
    <col min="1150" max="1150" width="7.44140625" bestFit="1" customWidth="1"/>
    <col min="1151" max="1151" width="10.77734375" bestFit="1" customWidth="1"/>
    <col min="1152" max="1152" width="6.109375" bestFit="1" customWidth="1"/>
    <col min="1153" max="1153" width="8.109375" bestFit="1" customWidth="1"/>
    <col min="1154" max="1154" width="7.88671875" bestFit="1" customWidth="1"/>
    <col min="1155" max="1155" width="6.21875" bestFit="1" customWidth="1"/>
    <col min="1156" max="1156" width="8.77734375" bestFit="1" customWidth="1"/>
    <col min="1157" max="1157" width="6.109375" bestFit="1" customWidth="1"/>
    <col min="1158" max="1158" width="6.88671875" bestFit="1" customWidth="1"/>
    <col min="1159" max="1159" width="5.21875" bestFit="1" customWidth="1"/>
    <col min="1160" max="1160" width="6.88671875" bestFit="1" customWidth="1"/>
    <col min="1161" max="1161" width="8" bestFit="1" customWidth="1"/>
    <col min="1162" max="1162" width="11" bestFit="1" customWidth="1"/>
    <col min="1163" max="1163" width="15.77734375" bestFit="1" customWidth="1"/>
    <col min="1164" max="1164" width="6.21875" bestFit="1" customWidth="1"/>
    <col min="1165" max="1165" width="8" bestFit="1" customWidth="1"/>
    <col min="1166" max="1166" width="15" bestFit="1" customWidth="1"/>
    <col min="1167" max="1167" width="9.33203125" bestFit="1" customWidth="1"/>
    <col min="1168" max="1168" width="12" bestFit="1" customWidth="1"/>
  </cols>
  <sheetData>
    <row r="1" spans="1:17" x14ac:dyDescent="0.3">
      <c r="Q1" s="1297"/>
    </row>
    <row r="2" spans="1:17" s="1159" customFormat="1" ht="27" customHeight="1" x14ac:dyDescent="0.3">
      <c r="A2" s="1160"/>
      <c r="B2" s="1160" t="s">
        <v>3056</v>
      </c>
      <c r="C2" s="1158"/>
      <c r="D2" s="1158"/>
      <c r="E2" s="1158"/>
      <c r="F2" s="1158"/>
      <c r="G2" s="1158"/>
      <c r="H2" s="1158"/>
      <c r="I2" s="1158"/>
      <c r="J2" s="1158"/>
      <c r="K2" s="1158"/>
      <c r="L2" s="1158"/>
      <c r="M2" s="1158"/>
      <c r="N2" s="1158"/>
      <c r="O2" s="1158"/>
      <c r="Q2" s="1298"/>
    </row>
    <row r="3" spans="1:17" x14ac:dyDescent="0.3">
      <c r="Q3" s="1297"/>
    </row>
    <row r="4" spans="1:17" x14ac:dyDescent="0.3">
      <c r="B4" s="2" t="s">
        <v>3055</v>
      </c>
      <c r="C4" s="2" t="s">
        <v>149</v>
      </c>
      <c r="Q4" s="1297"/>
    </row>
    <row r="5" spans="1:17" x14ac:dyDescent="0.3">
      <c r="B5" s="2" t="s">
        <v>152</v>
      </c>
      <c r="C5" t="s">
        <v>3053</v>
      </c>
      <c r="D5" t="s">
        <v>3052</v>
      </c>
      <c r="E5" t="s">
        <v>154</v>
      </c>
      <c r="Q5" s="1297"/>
    </row>
    <row r="6" spans="1:17" x14ac:dyDescent="0.3">
      <c r="B6" s="1" t="s">
        <v>30</v>
      </c>
      <c r="C6">
        <v>65</v>
      </c>
      <c r="D6">
        <v>19</v>
      </c>
      <c r="E6">
        <v>84</v>
      </c>
      <c r="Q6" s="1297"/>
    </row>
    <row r="7" spans="1:17" x14ac:dyDescent="0.3">
      <c r="B7" s="1" t="s">
        <v>31</v>
      </c>
      <c r="C7">
        <v>620</v>
      </c>
      <c r="D7">
        <v>65</v>
      </c>
      <c r="E7">
        <v>685</v>
      </c>
      <c r="Q7" s="1297"/>
    </row>
    <row r="8" spans="1:17" x14ac:dyDescent="0.3">
      <c r="B8" s="1" t="s">
        <v>32</v>
      </c>
      <c r="C8">
        <v>85</v>
      </c>
      <c r="D8">
        <v>20</v>
      </c>
      <c r="E8">
        <v>105</v>
      </c>
      <c r="Q8" s="1297"/>
    </row>
    <row r="9" spans="1:17" x14ac:dyDescent="0.3">
      <c r="B9" s="1" t="s">
        <v>33</v>
      </c>
      <c r="C9">
        <v>26</v>
      </c>
      <c r="D9">
        <v>20</v>
      </c>
      <c r="E9">
        <v>46</v>
      </c>
      <c r="Q9" s="1297"/>
    </row>
    <row r="10" spans="1:17" x14ac:dyDescent="0.3">
      <c r="B10" s="1" t="s">
        <v>34</v>
      </c>
      <c r="C10">
        <v>129</v>
      </c>
      <c r="D10">
        <v>15</v>
      </c>
      <c r="E10">
        <v>144</v>
      </c>
      <c r="Q10" s="1297"/>
    </row>
    <row r="11" spans="1:17" x14ac:dyDescent="0.3">
      <c r="B11" s="1" t="s">
        <v>35</v>
      </c>
      <c r="C11">
        <v>170</v>
      </c>
      <c r="D11">
        <v>29</v>
      </c>
      <c r="E11">
        <v>199</v>
      </c>
      <c r="Q11" s="1297"/>
    </row>
    <row r="12" spans="1:17" x14ac:dyDescent="0.3">
      <c r="B12" s="1" t="s">
        <v>154</v>
      </c>
      <c r="C12">
        <v>1095</v>
      </c>
      <c r="D12">
        <v>168</v>
      </c>
      <c r="E12">
        <v>1263</v>
      </c>
      <c r="Q12" s="1297"/>
    </row>
    <row r="13" spans="1:17" x14ac:dyDescent="0.3">
      <c r="Q13" s="1297"/>
    </row>
    <row r="14" spans="1:17" x14ac:dyDescent="0.3">
      <c r="Q14" s="1297"/>
    </row>
    <row r="15" spans="1:17" x14ac:dyDescent="0.3">
      <c r="B15" s="2" t="s">
        <v>3055</v>
      </c>
      <c r="C15" s="2" t="s">
        <v>149</v>
      </c>
      <c r="Q15" s="1297"/>
    </row>
    <row r="16" spans="1:17" x14ac:dyDescent="0.3">
      <c r="B16" s="2" t="s">
        <v>152</v>
      </c>
      <c r="C16" t="s">
        <v>3053</v>
      </c>
      <c r="D16" t="s">
        <v>3052</v>
      </c>
      <c r="E16" t="s">
        <v>154</v>
      </c>
      <c r="Q16" s="1297"/>
    </row>
    <row r="17" spans="1:17" x14ac:dyDescent="0.3">
      <c r="B17" s="1" t="s">
        <v>30</v>
      </c>
      <c r="C17" s="1161">
        <v>0.77380952380952384</v>
      </c>
      <c r="D17" s="1161">
        <v>0.22619047619047619</v>
      </c>
      <c r="E17" s="1161">
        <v>1</v>
      </c>
      <c r="Q17" s="1297"/>
    </row>
    <row r="18" spans="1:17" x14ac:dyDescent="0.3">
      <c r="B18" s="1" t="s">
        <v>31</v>
      </c>
      <c r="C18" s="1161">
        <v>0.9051094890510949</v>
      </c>
      <c r="D18" s="1161">
        <v>9.4890510948905105E-2</v>
      </c>
      <c r="E18" s="1161">
        <v>1</v>
      </c>
      <c r="Q18" s="1297"/>
    </row>
    <row r="19" spans="1:17" x14ac:dyDescent="0.3">
      <c r="B19" s="1" t="s">
        <v>32</v>
      </c>
      <c r="C19" s="1161">
        <v>0.80952380952380953</v>
      </c>
      <c r="D19" s="1161">
        <v>0.19047619047619047</v>
      </c>
      <c r="E19" s="1161">
        <v>1</v>
      </c>
      <c r="Q19" s="1297"/>
    </row>
    <row r="20" spans="1:17" x14ac:dyDescent="0.3">
      <c r="B20" s="1" t="s">
        <v>33</v>
      </c>
      <c r="C20" s="1161">
        <v>0.56521739130434778</v>
      </c>
      <c r="D20" s="1161">
        <v>0.43478260869565216</v>
      </c>
      <c r="E20" s="1161">
        <v>1</v>
      </c>
      <c r="Q20" s="1297"/>
    </row>
    <row r="21" spans="1:17" x14ac:dyDescent="0.3">
      <c r="B21" s="1" t="s">
        <v>34</v>
      </c>
      <c r="C21" s="1161">
        <v>0.89583333333333337</v>
      </c>
      <c r="D21" s="1161">
        <v>0.10416666666666667</v>
      </c>
      <c r="E21" s="1161">
        <v>1</v>
      </c>
      <c r="Q21" s="1297"/>
    </row>
    <row r="22" spans="1:17" x14ac:dyDescent="0.3">
      <c r="B22" s="1" t="s">
        <v>35</v>
      </c>
      <c r="C22" s="1161">
        <v>0.85427135678391963</v>
      </c>
      <c r="D22" s="1161">
        <v>0.14572864321608039</v>
      </c>
      <c r="E22" s="1161">
        <v>1</v>
      </c>
      <c r="Q22" s="1297"/>
    </row>
    <row r="23" spans="1:17" x14ac:dyDescent="0.3">
      <c r="B23" s="1" t="s">
        <v>154</v>
      </c>
      <c r="C23" s="1161">
        <v>0.8669833729216152</v>
      </c>
      <c r="D23" s="1161">
        <v>0.1330166270783848</v>
      </c>
      <c r="E23" s="1161">
        <v>1</v>
      </c>
      <c r="Q23" s="1297"/>
    </row>
    <row r="24" spans="1:17" x14ac:dyDescent="0.3">
      <c r="Q24" s="1297"/>
    </row>
    <row r="25" spans="1:17" x14ac:dyDescent="0.3">
      <c r="Q25" s="1297"/>
    </row>
    <row r="26" spans="1:17" s="1159" customFormat="1" ht="27" customHeight="1" x14ac:dyDescent="0.3">
      <c r="A26" s="1160"/>
      <c r="B26" s="1160" t="s">
        <v>3057</v>
      </c>
      <c r="C26" s="1158"/>
      <c r="D26" s="1158"/>
      <c r="E26" s="1158"/>
      <c r="F26" s="1158"/>
      <c r="G26" s="1158"/>
      <c r="H26" s="1158"/>
      <c r="I26" s="1158"/>
      <c r="J26" s="1158"/>
      <c r="K26" s="1158"/>
      <c r="L26" s="1158"/>
      <c r="M26" s="1158"/>
      <c r="N26" s="1158"/>
      <c r="O26" s="1158"/>
      <c r="Q26" s="1298"/>
    </row>
    <row r="27" spans="1:17" x14ac:dyDescent="0.3">
      <c r="Q27" s="1297"/>
    </row>
    <row r="28" spans="1:17" x14ac:dyDescent="0.3">
      <c r="B28" s="2" t="s">
        <v>152</v>
      </c>
      <c r="C28" t="s">
        <v>153</v>
      </c>
      <c r="D28" t="s">
        <v>23</v>
      </c>
      <c r="E28" t="s">
        <v>3058</v>
      </c>
      <c r="Q28" s="1297"/>
    </row>
    <row r="29" spans="1:17" x14ac:dyDescent="0.3">
      <c r="B29" s="1" t="s">
        <v>3053</v>
      </c>
      <c r="C29" s="1429">
        <v>297344</v>
      </c>
      <c r="D29" s="1429">
        <v>37708</v>
      </c>
      <c r="E29" s="1429">
        <v>125728</v>
      </c>
      <c r="Q29" s="1297"/>
    </row>
    <row r="30" spans="1:17" x14ac:dyDescent="0.3">
      <c r="B30" s="1" t="s">
        <v>3052</v>
      </c>
      <c r="C30" s="1429">
        <v>130489</v>
      </c>
      <c r="D30" s="1429">
        <v>11805</v>
      </c>
      <c r="E30" s="1429">
        <v>77438</v>
      </c>
      <c r="Q30" s="1297"/>
    </row>
    <row r="31" spans="1:17" x14ac:dyDescent="0.3">
      <c r="B31" s="1" t="s">
        <v>154</v>
      </c>
      <c r="C31" s="1429">
        <v>427833</v>
      </c>
      <c r="D31" s="1429">
        <v>49513</v>
      </c>
      <c r="E31" s="1429">
        <v>203166</v>
      </c>
      <c r="Q31" s="1297"/>
    </row>
    <row r="32" spans="1:17" x14ac:dyDescent="0.3">
      <c r="Q32" s="1297"/>
    </row>
    <row r="33" spans="1:17" x14ac:dyDescent="0.3">
      <c r="Q33" s="1297"/>
    </row>
    <row r="34" spans="1:17" x14ac:dyDescent="0.3">
      <c r="Q34" s="1297"/>
    </row>
    <row r="35" spans="1:17" x14ac:dyDescent="0.3">
      <c r="Q35" s="1297"/>
    </row>
    <row r="36" spans="1:17" x14ac:dyDescent="0.3">
      <c r="Q36" s="1297"/>
    </row>
    <row r="37" spans="1:17" x14ac:dyDescent="0.3">
      <c r="Q37" s="1297"/>
    </row>
    <row r="38" spans="1:17" x14ac:dyDescent="0.3">
      <c r="Q38" s="1297"/>
    </row>
    <row r="39" spans="1:17" x14ac:dyDescent="0.3">
      <c r="Q39" s="1297"/>
    </row>
    <row r="40" spans="1:17" x14ac:dyDescent="0.3">
      <c r="Q40" s="1297"/>
    </row>
    <row r="41" spans="1:17" x14ac:dyDescent="0.3">
      <c r="Q41" s="1297"/>
    </row>
    <row r="42" spans="1:17" x14ac:dyDescent="0.3">
      <c r="Q42" s="1297"/>
    </row>
    <row r="43" spans="1:17" s="1159" customFormat="1" ht="27" customHeight="1" x14ac:dyDescent="0.3">
      <c r="A43" s="1160"/>
      <c r="B43" s="1160" t="s">
        <v>3097</v>
      </c>
      <c r="C43" s="1158"/>
      <c r="D43" s="1158"/>
      <c r="E43" s="1158"/>
      <c r="F43" s="1158"/>
      <c r="G43" s="1158"/>
      <c r="H43" s="1158"/>
      <c r="I43" s="1158"/>
      <c r="J43" s="1158"/>
      <c r="K43" s="1158"/>
      <c r="L43" s="1158"/>
      <c r="M43" s="1158"/>
      <c r="N43" s="1158"/>
      <c r="O43" s="1158"/>
      <c r="Q43" s="1298"/>
    </row>
    <row r="44" spans="1:17" x14ac:dyDescent="0.3">
      <c r="Q44" s="1297"/>
    </row>
    <row r="45" spans="1:17" x14ac:dyDescent="0.3">
      <c r="B45" s="2" t="s">
        <v>3098</v>
      </c>
      <c r="C45" s="2" t="s">
        <v>149</v>
      </c>
      <c r="Q45" s="1297"/>
    </row>
    <row r="46" spans="1:17" x14ac:dyDescent="0.3">
      <c r="B46" s="2" t="s">
        <v>152</v>
      </c>
      <c r="C46" t="s">
        <v>2473</v>
      </c>
      <c r="D46" t="s">
        <v>2467</v>
      </c>
      <c r="E46" t="s">
        <v>154</v>
      </c>
      <c r="Q46" s="1297"/>
    </row>
    <row r="47" spans="1:17" x14ac:dyDescent="0.3">
      <c r="B47" s="1" t="s">
        <v>30</v>
      </c>
      <c r="C47">
        <v>13</v>
      </c>
      <c r="D47">
        <v>71</v>
      </c>
      <c r="E47">
        <v>84</v>
      </c>
      <c r="Q47" s="1297"/>
    </row>
    <row r="48" spans="1:17" x14ac:dyDescent="0.3">
      <c r="B48" s="1" t="s">
        <v>31</v>
      </c>
      <c r="C48">
        <v>54</v>
      </c>
      <c r="D48">
        <v>631</v>
      </c>
      <c r="E48">
        <v>685</v>
      </c>
      <c r="Q48" s="1297"/>
    </row>
    <row r="49" spans="2:17" x14ac:dyDescent="0.3">
      <c r="B49" s="1" t="s">
        <v>32</v>
      </c>
      <c r="C49">
        <v>16</v>
      </c>
      <c r="D49">
        <v>89</v>
      </c>
      <c r="E49">
        <v>105</v>
      </c>
      <c r="Q49" s="1297"/>
    </row>
    <row r="50" spans="2:17" x14ac:dyDescent="0.3">
      <c r="B50" s="1" t="s">
        <v>33</v>
      </c>
      <c r="C50">
        <v>2</v>
      </c>
      <c r="D50">
        <v>44</v>
      </c>
      <c r="E50">
        <v>46</v>
      </c>
      <c r="Q50" s="1297"/>
    </row>
    <row r="51" spans="2:17" x14ac:dyDescent="0.3">
      <c r="B51" s="1" t="s">
        <v>34</v>
      </c>
      <c r="C51">
        <v>27</v>
      </c>
      <c r="D51">
        <v>117</v>
      </c>
      <c r="E51">
        <v>144</v>
      </c>
      <c r="Q51" s="1297"/>
    </row>
    <row r="52" spans="2:17" x14ac:dyDescent="0.3">
      <c r="B52" s="1" t="s">
        <v>35</v>
      </c>
      <c r="C52">
        <v>17</v>
      </c>
      <c r="D52">
        <v>182</v>
      </c>
      <c r="E52">
        <v>199</v>
      </c>
      <c r="Q52" s="1297"/>
    </row>
    <row r="53" spans="2:17" x14ac:dyDescent="0.3">
      <c r="B53" s="1" t="s">
        <v>154</v>
      </c>
      <c r="C53">
        <v>129</v>
      </c>
      <c r="D53">
        <v>1134</v>
      </c>
      <c r="E53">
        <v>1263</v>
      </c>
      <c r="Q53" s="1297"/>
    </row>
    <row r="54" spans="2:17" x14ac:dyDescent="0.3">
      <c r="Q54" s="1297"/>
    </row>
    <row r="55" spans="2:17" x14ac:dyDescent="0.3">
      <c r="Q55" s="1297"/>
    </row>
    <row r="56" spans="2:17" x14ac:dyDescent="0.3">
      <c r="B56" s="2" t="s">
        <v>3098</v>
      </c>
      <c r="C56" s="2" t="s">
        <v>149</v>
      </c>
      <c r="Q56" s="1297"/>
    </row>
    <row r="57" spans="2:17" x14ac:dyDescent="0.3">
      <c r="B57" s="2" t="s">
        <v>152</v>
      </c>
      <c r="C57" t="s">
        <v>2473</v>
      </c>
      <c r="D57" t="s">
        <v>2467</v>
      </c>
      <c r="E57" t="s">
        <v>154</v>
      </c>
      <c r="Q57" s="1297"/>
    </row>
    <row r="58" spans="2:17" x14ac:dyDescent="0.3">
      <c r="B58" s="1" t="s">
        <v>30</v>
      </c>
      <c r="C58" s="1116">
        <v>0.15476190476190477</v>
      </c>
      <c r="D58" s="1116">
        <v>0.84523809523809523</v>
      </c>
      <c r="E58" s="1116">
        <v>1</v>
      </c>
      <c r="Q58" s="1297"/>
    </row>
    <row r="59" spans="2:17" x14ac:dyDescent="0.3">
      <c r="B59" s="1" t="s">
        <v>31</v>
      </c>
      <c r="C59" s="1116">
        <v>7.8832116788321166E-2</v>
      </c>
      <c r="D59" s="1116">
        <v>0.92116788321167886</v>
      </c>
      <c r="E59" s="1116">
        <v>1</v>
      </c>
      <c r="Q59" s="1297"/>
    </row>
    <row r="60" spans="2:17" x14ac:dyDescent="0.3">
      <c r="B60" s="1" t="s">
        <v>32</v>
      </c>
      <c r="C60" s="1116">
        <v>0.15238095238095239</v>
      </c>
      <c r="D60" s="1116">
        <v>0.84761904761904761</v>
      </c>
      <c r="E60" s="1116">
        <v>1</v>
      </c>
      <c r="Q60" s="1297"/>
    </row>
    <row r="61" spans="2:17" x14ac:dyDescent="0.3">
      <c r="B61" s="1" t="s">
        <v>33</v>
      </c>
      <c r="C61" s="1116">
        <v>4.3478260869565216E-2</v>
      </c>
      <c r="D61" s="1116">
        <v>0.95652173913043481</v>
      </c>
      <c r="E61" s="1116">
        <v>1</v>
      </c>
      <c r="Q61" s="1297"/>
    </row>
    <row r="62" spans="2:17" x14ac:dyDescent="0.3">
      <c r="B62" s="1" t="s">
        <v>34</v>
      </c>
      <c r="C62" s="1116">
        <v>0.1875</v>
      </c>
      <c r="D62" s="1116">
        <v>0.8125</v>
      </c>
      <c r="E62" s="1116">
        <v>1</v>
      </c>
      <c r="Q62" s="1297"/>
    </row>
    <row r="63" spans="2:17" x14ac:dyDescent="0.3">
      <c r="B63" s="1" t="s">
        <v>35</v>
      </c>
      <c r="C63" s="1116">
        <v>8.5427135678391955E-2</v>
      </c>
      <c r="D63" s="1116">
        <v>0.914572864321608</v>
      </c>
      <c r="E63" s="1116">
        <v>1</v>
      </c>
      <c r="Q63" s="1297"/>
    </row>
    <row r="64" spans="2:17" x14ac:dyDescent="0.3">
      <c r="B64" s="1" t="s">
        <v>154</v>
      </c>
      <c r="C64" s="1116">
        <v>0.10213776722090261</v>
      </c>
      <c r="D64" s="1116">
        <v>0.89786223277909738</v>
      </c>
      <c r="E64" s="1116">
        <v>1</v>
      </c>
      <c r="Q64" s="1297"/>
    </row>
    <row r="65" spans="17:17" x14ac:dyDescent="0.3">
      <c r="Q65" s="1297"/>
    </row>
    <row r="66" spans="17:17" x14ac:dyDescent="0.3">
      <c r="Q66" s="1297"/>
    </row>
    <row r="67" spans="17:17" x14ac:dyDescent="0.3">
      <c r="Q67" s="1297"/>
    </row>
    <row r="68" spans="17:17" x14ac:dyDescent="0.3">
      <c r="Q68" s="1297"/>
    </row>
    <row r="69" spans="17:17" x14ac:dyDescent="0.3">
      <c r="Q69" s="1297"/>
    </row>
    <row r="70" spans="17:17" x14ac:dyDescent="0.3">
      <c r="Q70" s="1297"/>
    </row>
    <row r="71" spans="17:17" x14ac:dyDescent="0.3">
      <c r="Q71" s="1297"/>
    </row>
    <row r="72" spans="17:17" x14ac:dyDescent="0.3">
      <c r="Q72" s="1297"/>
    </row>
    <row r="73" spans="17:17" x14ac:dyDescent="0.3">
      <c r="Q73" s="1297"/>
    </row>
    <row r="74" spans="17:17" x14ac:dyDescent="0.3">
      <c r="Q74" s="1297"/>
    </row>
    <row r="75" spans="17:17" x14ac:dyDescent="0.3">
      <c r="Q75" s="1297"/>
    </row>
    <row r="76" spans="17:17" x14ac:dyDescent="0.3">
      <c r="Q76" s="1297"/>
    </row>
    <row r="77" spans="17:17" x14ac:dyDescent="0.3">
      <c r="Q77" s="1297"/>
    </row>
    <row r="78" spans="17:17" x14ac:dyDescent="0.3">
      <c r="Q78" s="1297"/>
    </row>
    <row r="79" spans="17:17" x14ac:dyDescent="0.3">
      <c r="Q79" s="1297"/>
    </row>
    <row r="80" spans="17:17" x14ac:dyDescent="0.3">
      <c r="Q80" s="1297"/>
    </row>
    <row r="81" spans="1:17" x14ac:dyDescent="0.3">
      <c r="Q81" s="1297"/>
    </row>
    <row r="82" spans="1:17" x14ac:dyDescent="0.3">
      <c r="Q82" s="1297"/>
    </row>
    <row r="83" spans="1:17" x14ac:dyDescent="0.3">
      <c r="Q83" s="1297"/>
    </row>
    <row r="84" spans="1:17" x14ac:dyDescent="0.3">
      <c r="Q84" s="1297"/>
    </row>
    <row r="85" spans="1:17" x14ac:dyDescent="0.3">
      <c r="Q85" s="1297"/>
    </row>
    <row r="86" spans="1:17" x14ac:dyDescent="0.3">
      <c r="Q86" s="1297"/>
    </row>
    <row r="87" spans="1:17" x14ac:dyDescent="0.3">
      <c r="Q87" s="1297"/>
    </row>
    <row r="88" spans="1:17" s="1159" customFormat="1" ht="27" customHeight="1" x14ac:dyDescent="0.3">
      <c r="A88" s="1160"/>
      <c r="B88" s="1162" t="s">
        <v>3059</v>
      </c>
      <c r="C88" s="1158"/>
      <c r="D88" s="1158"/>
      <c r="E88" s="1158"/>
      <c r="F88" s="1158"/>
      <c r="G88"/>
      <c r="H88" s="1162" t="s">
        <v>3064</v>
      </c>
      <c r="I88" s="1158"/>
      <c r="J88" s="1158"/>
      <c r="K88" s="1158"/>
      <c r="L88" s="1158"/>
      <c r="M88" s="1158"/>
      <c r="N88" s="1158"/>
      <c r="O88" s="1158"/>
      <c r="Q88" s="1298"/>
    </row>
    <row r="89" spans="1:17" ht="15" thickBot="1" x14ac:dyDescent="0.35">
      <c r="Q89" s="1297"/>
    </row>
    <row r="90" spans="1:17" ht="52.05" customHeight="1" thickBot="1" x14ac:dyDescent="0.35">
      <c r="B90" s="1150" t="s">
        <v>48</v>
      </c>
      <c r="C90" s="1151" t="s">
        <v>3060</v>
      </c>
      <c r="D90" s="1151" t="s">
        <v>3044</v>
      </c>
      <c r="E90" s="1151" t="s">
        <v>3045</v>
      </c>
      <c r="H90" s="1150" t="s">
        <v>48</v>
      </c>
      <c r="I90" s="1151" t="s">
        <v>3060</v>
      </c>
      <c r="J90" s="1151" t="s">
        <v>2468</v>
      </c>
      <c r="K90" s="1151" t="s">
        <v>2520</v>
      </c>
      <c r="L90" s="1151" t="s">
        <v>2482</v>
      </c>
      <c r="Q90" s="1297"/>
    </row>
    <row r="91" spans="1:17" ht="15" thickBot="1" x14ac:dyDescent="0.35">
      <c r="B91" s="1152" t="s">
        <v>30</v>
      </c>
      <c r="C91" s="1153">
        <f>COUNTIFS(sommaire[Département_nom],$B91,sommaire[Type de localité],"Village")</f>
        <v>71</v>
      </c>
      <c r="D91" s="1153">
        <f>COUNTIFS(sommaire[Département_nom],$B91,sommaire[Type de localité],"Village",sommaire[Flag total],"&gt;0")</f>
        <v>62</v>
      </c>
      <c r="E91" s="1153">
        <f>COUNTIFS(sommaire[Département_nom],$B91,sommaire[Type de localité],"Village",sommaire[Flag total],"=0")</f>
        <v>9</v>
      </c>
      <c r="H91" s="1152" t="s">
        <v>30</v>
      </c>
      <c r="I91" s="1163">
        <f>COUNTIFS(sommaire[Département_nom],$H91,sommaire[Type de localité],"Village")</f>
        <v>71</v>
      </c>
      <c r="J91" s="1153">
        <f>COUNTIFS(sommaire[Département_nom],$B91,sommaire[Type de localité],"*age",sommaire[présence_population],J$90)</f>
        <v>70</v>
      </c>
      <c r="K91" s="1153">
        <f>COUNTIFS(sommaire[Département_nom],$B91,sommaire[Type de localité],"*age",sommaire[présence_population],K$90)</f>
        <v>0</v>
      </c>
      <c r="L91" s="1153">
        <f>COUNTIFS(sommaire[Département_nom],$B91,sommaire[Type de localité],"*age",sommaire[présence_population],L$90)</f>
        <v>1</v>
      </c>
      <c r="Q91" s="1297"/>
    </row>
    <row r="92" spans="1:17" ht="15" thickBot="1" x14ac:dyDescent="0.35">
      <c r="B92" s="1154" t="s">
        <v>31</v>
      </c>
      <c r="C92" s="1153">
        <f>COUNTIFS(sommaire[Département_nom],$B92,sommaire[Type de localité],"Village")</f>
        <v>631</v>
      </c>
      <c r="D92" s="1153">
        <f>COUNTIFS(sommaire[Département_nom],$B92,sommaire[Type de localité],"Village",sommaire[Flag total],"&gt;0")</f>
        <v>505</v>
      </c>
      <c r="E92" s="1153">
        <f>COUNTIFS(sommaire[Département_nom],$B92,sommaire[Type de localité],"Village",sommaire[Flag total],"=0")</f>
        <v>126</v>
      </c>
      <c r="H92" s="1154" t="s">
        <v>31</v>
      </c>
      <c r="I92" s="1164">
        <f>COUNTIFS(sommaire[Département_nom],$H92,sommaire[Type de localité],"Village")</f>
        <v>631</v>
      </c>
      <c r="J92" s="1155">
        <f>COUNTIFS(sommaire[Département_nom],$B92,sommaire[Type de localité],"Village",sommaire[présence_population],J$90)</f>
        <v>575</v>
      </c>
      <c r="K92" s="1155">
        <f>COUNTIFS(sommaire[Département_nom],$B92,sommaire[Type de localité],"*age",sommaire[présence_population],K$90)</f>
        <v>2</v>
      </c>
      <c r="L92" s="1155">
        <f>COUNTIFS(sommaire[Département_nom],$B92,sommaire[Type de localité],"*age",sommaire[présence_population],L$90)</f>
        <v>54</v>
      </c>
      <c r="Q92" s="1297"/>
    </row>
    <row r="93" spans="1:17" ht="15" thickBot="1" x14ac:dyDescent="0.35">
      <c r="B93" s="1152" t="s">
        <v>32</v>
      </c>
      <c r="C93" s="1153">
        <f>COUNTIFS(sommaire[Département_nom],$B93,sommaire[Type de localité],"Village")</f>
        <v>89</v>
      </c>
      <c r="D93" s="1153">
        <f>COUNTIFS(sommaire[Département_nom],$B93,sommaire[Type de localité],"Village",sommaire[Flag total],"&gt;0")</f>
        <v>86</v>
      </c>
      <c r="E93" s="1153">
        <f>COUNTIFS(sommaire[Département_nom],$B93,sommaire[Type de localité],"Village",sommaire[Flag total],"=0")</f>
        <v>3</v>
      </c>
      <c r="H93" s="1152" t="s">
        <v>32</v>
      </c>
      <c r="I93" s="1163">
        <f>COUNTIFS(sommaire[Département_nom],$H93,sommaire[Type de localité],"Village")</f>
        <v>89</v>
      </c>
      <c r="J93" s="1153">
        <f>COUNTIFS(sommaire[Département_nom],$B93,sommaire[Type de localité],"Village",sommaire[présence_population],J$90)</f>
        <v>87</v>
      </c>
      <c r="K93" s="1153">
        <f>COUNTIFS(sommaire[Département_nom],$B93,sommaire[Type de localité],"*age",sommaire[présence_population],K$90)</f>
        <v>0</v>
      </c>
      <c r="L93" s="1153">
        <f>COUNTIFS(sommaire[Département_nom],$B93,sommaire[Type de localité],"*age",sommaire[présence_population],L$90)</f>
        <v>2</v>
      </c>
      <c r="Q93" s="1297"/>
    </row>
    <row r="94" spans="1:17" ht="15" thickBot="1" x14ac:dyDescent="0.35">
      <c r="B94" s="1154" t="s">
        <v>33</v>
      </c>
      <c r="C94" s="1153">
        <f>COUNTIFS(sommaire[Département_nom],$B94,sommaire[Type de localité],"Village")</f>
        <v>44</v>
      </c>
      <c r="D94" s="1153">
        <f>COUNTIFS(sommaire[Département_nom],$B94,sommaire[Type de localité],"Village",sommaire[Flag total],"&gt;0")</f>
        <v>35</v>
      </c>
      <c r="E94" s="1153">
        <f>COUNTIFS(sommaire[Département_nom],$B94,sommaire[Type de localité],"Village",sommaire[Flag total],"=0")</f>
        <v>9</v>
      </c>
      <c r="H94" s="1154" t="s">
        <v>33</v>
      </c>
      <c r="I94" s="1164">
        <f>COUNTIFS(sommaire[Département_nom],$H94,sommaire[Type de localité],"Village")</f>
        <v>44</v>
      </c>
      <c r="J94" s="1155">
        <f>COUNTIFS(sommaire[Département_nom],$B94,sommaire[Type de localité],"Village",sommaire[présence_population],J$90)</f>
        <v>44</v>
      </c>
      <c r="K94" s="1155">
        <f>COUNTIFS(sommaire[Département_nom],$B94,sommaire[Type de localité],"*age",sommaire[présence_population],K$90)</f>
        <v>0</v>
      </c>
      <c r="L94" s="1155">
        <f>COUNTIFS(sommaire[Département_nom],$B94,sommaire[Type de localité],"*age",sommaire[présence_population],L$90)</f>
        <v>0</v>
      </c>
      <c r="Q94" s="1297"/>
    </row>
    <row r="95" spans="1:17" ht="15" thickBot="1" x14ac:dyDescent="0.35">
      <c r="B95" s="1152" t="s">
        <v>34</v>
      </c>
      <c r="C95" s="1153">
        <f>COUNTIFS(sommaire[Département_nom],$B95,sommaire[Type de localité],"Village")</f>
        <v>117</v>
      </c>
      <c r="D95" s="1153">
        <f>COUNTIFS(sommaire[Département_nom],$B95,sommaire[Type de localité],"Village",sommaire[Flag total],"&gt;0")</f>
        <v>92</v>
      </c>
      <c r="E95" s="1153">
        <f>COUNTIFS(sommaire[Département_nom],$B95,sommaire[Type de localité],"Village",sommaire[Flag total],"=0")</f>
        <v>25</v>
      </c>
      <c r="H95" s="1152" t="s">
        <v>34</v>
      </c>
      <c r="I95" s="1163">
        <f>COUNTIFS(sommaire[Département_nom],$H95,sommaire[Type de localité],"Village")</f>
        <v>117</v>
      </c>
      <c r="J95" s="1153">
        <f>COUNTIFS(sommaire[Département_nom],$B95,sommaire[Type de localité],"Village",sommaire[présence_population],J$90)</f>
        <v>92</v>
      </c>
      <c r="K95" s="1153">
        <f>COUNTIFS(sommaire[Département_nom],$B95,sommaire[Type de localité],"*age",sommaire[présence_population],K$90)</f>
        <v>1</v>
      </c>
      <c r="L95" s="1153">
        <f>COUNTIFS(sommaire[Département_nom],$B95,sommaire[Type de localité],"*age",sommaire[présence_population],L$90)</f>
        <v>24</v>
      </c>
      <c r="Q95" s="1297"/>
    </row>
    <row r="96" spans="1:17" ht="15" thickBot="1" x14ac:dyDescent="0.35">
      <c r="B96" s="1154" t="s">
        <v>35</v>
      </c>
      <c r="C96" s="1153">
        <f>COUNTIFS(sommaire[Département_nom],$B96,sommaire[Type de localité],"Village")</f>
        <v>182</v>
      </c>
      <c r="D96" s="1153">
        <f>COUNTIFS(sommaire[Département_nom],$B96,sommaire[Type de localité],"Village",sommaire[Flag total],"&gt;0")</f>
        <v>149</v>
      </c>
      <c r="E96" s="1153">
        <f>COUNTIFS(sommaire[Département_nom],$B96,sommaire[Type de localité],"Village",sommaire[Flag total],"=0")</f>
        <v>33</v>
      </c>
      <c r="H96" s="1154" t="s">
        <v>35</v>
      </c>
      <c r="I96" s="1164">
        <f>COUNTIFS(sommaire[Département_nom],$H96,sommaire[Type de localité],"Village")</f>
        <v>182</v>
      </c>
      <c r="J96" s="1155">
        <f>COUNTIFS(sommaire[Département_nom],$B96,sommaire[Type de localité],"Village",sommaire[présence_population],J$90)</f>
        <v>149</v>
      </c>
      <c r="K96" s="1155">
        <f>COUNTIFS(sommaire[Département_nom],$B96,sommaire[Type de localité],"*age",sommaire[présence_population],K$90)</f>
        <v>6</v>
      </c>
      <c r="L96" s="1155">
        <f>COUNTIFS(sommaire[Département_nom],$B96,sommaire[Type de localité],"*age",sommaire[présence_population],L$90)</f>
        <v>27</v>
      </c>
      <c r="Q96" s="1297"/>
    </row>
    <row r="97" spans="1:17" ht="15" thickBot="1" x14ac:dyDescent="0.35">
      <c r="B97" s="1156" t="s">
        <v>25</v>
      </c>
      <c r="C97" s="1157">
        <f>SUM(C91:C96)</f>
        <v>1134</v>
      </c>
      <c r="D97" s="1157">
        <f>SUM(D91:D96)</f>
        <v>929</v>
      </c>
      <c r="E97" s="1157">
        <f>SUM(E91:E96)</f>
        <v>205</v>
      </c>
      <c r="H97" s="1156" t="s">
        <v>25</v>
      </c>
      <c r="I97" s="1157">
        <f>SUM(I91:I96)</f>
        <v>1134</v>
      </c>
      <c r="J97" s="1157">
        <f>SUM(J91:J96)</f>
        <v>1017</v>
      </c>
      <c r="K97" s="1157">
        <f>SUM(K91:K96)</f>
        <v>9</v>
      </c>
      <c r="L97" s="1157">
        <f>SUM(L91:L96)</f>
        <v>108</v>
      </c>
      <c r="Q97" s="1297"/>
    </row>
    <row r="98" spans="1:17" x14ac:dyDescent="0.3">
      <c r="Q98" s="1297"/>
    </row>
    <row r="99" spans="1:17" x14ac:dyDescent="0.3">
      <c r="Q99" s="1297"/>
    </row>
    <row r="100" spans="1:17" ht="18.600000000000001" thickBot="1" x14ac:dyDescent="0.35">
      <c r="A100" s="1160"/>
      <c r="B100" s="1160" t="s">
        <v>3063</v>
      </c>
      <c r="C100" s="1160"/>
      <c r="D100" s="1160"/>
      <c r="E100" s="1160"/>
      <c r="F100" s="1160"/>
      <c r="H100" s="1160" t="s">
        <v>3062</v>
      </c>
      <c r="I100" s="1160"/>
      <c r="J100" s="1160"/>
      <c r="K100" s="1160"/>
      <c r="L100" s="1160"/>
      <c r="M100" s="1160"/>
      <c r="N100" s="1160"/>
      <c r="O100" s="1160"/>
      <c r="Q100" s="1297"/>
    </row>
    <row r="101" spans="1:17" ht="54.45" customHeight="1" thickBot="1" x14ac:dyDescent="0.35">
      <c r="B101" s="1150" t="s">
        <v>48</v>
      </c>
      <c r="C101" s="1151" t="s">
        <v>3061</v>
      </c>
      <c r="D101" s="1151" t="s">
        <v>3046</v>
      </c>
      <c r="E101" s="1151" t="s">
        <v>3047</v>
      </c>
      <c r="H101" s="1150" t="s">
        <v>48</v>
      </c>
      <c r="I101" s="1151" t="s">
        <v>3061</v>
      </c>
      <c r="J101" s="1151" t="s">
        <v>3048</v>
      </c>
      <c r="K101" s="1151" t="s">
        <v>3049</v>
      </c>
      <c r="L101" s="1151" t="s">
        <v>3050</v>
      </c>
      <c r="Q101" s="1297"/>
    </row>
    <row r="102" spans="1:17" ht="15" thickBot="1" x14ac:dyDescent="0.35">
      <c r="B102" s="1152" t="s">
        <v>30</v>
      </c>
      <c r="C102" s="1153">
        <f>COUNTIFS(sommaire[Département_nom],$B102,sommaire[Type de localité],"*nés")</f>
        <v>13</v>
      </c>
      <c r="D102" s="1153">
        <f>COUNTIFS(sommaire[Département_nom],$B102,sommaire[Type de localité],"*nés",sommaire[Flag total],"&gt;0")</f>
        <v>13</v>
      </c>
      <c r="E102" s="1153">
        <f>COUNTIFS(sommaire[Département_nom],$B102,sommaire[Type de localité],"*nés",sommaire[Flag total],"=0")</f>
        <v>0</v>
      </c>
      <c r="H102" s="1152" t="s">
        <v>30</v>
      </c>
      <c r="I102" s="1163">
        <f>COUNTIFS(sommaire[Département_nom],$H102,sommaire[Type de localité],"*nés")</f>
        <v>13</v>
      </c>
      <c r="J102" s="1153">
        <f>COUNTIFS(sommaire[Département_nom],$B102,sommaire[Type de localité],"*nés",sommaire[présence_population],J$90)</f>
        <v>13</v>
      </c>
      <c r="K102" s="1153">
        <f>COUNTIFS(sommaire[Département_nom],$B102,sommaire[Type de localité],"*nés",sommaire[présence_population],K$90)</f>
        <v>0</v>
      </c>
      <c r="L102" s="1153">
        <f>COUNTIFS(sommaire[Département_nom],$B102,sommaire[Type de localité],"*nés",sommaire[présence_population],L$90)</f>
        <v>0</v>
      </c>
      <c r="Q102" s="1297"/>
    </row>
    <row r="103" spans="1:17" ht="15" thickBot="1" x14ac:dyDescent="0.35">
      <c r="B103" s="1154" t="s">
        <v>31</v>
      </c>
      <c r="C103" s="1155">
        <f>COUNTIFS(sommaire[Département_nom],$B103,sommaire[Type de localité],"*nés")</f>
        <v>54</v>
      </c>
      <c r="D103" s="1153">
        <f>COUNTIFS(sommaire[Département_nom],$B103,sommaire[Type de localité],"*nés",sommaire[Flag total],"&gt;0")</f>
        <v>49</v>
      </c>
      <c r="E103" s="1153">
        <f>COUNTIFS(sommaire[Département_nom],$B103,sommaire[Type de localité],"*nés",sommaire[Flag total],"=0")</f>
        <v>5</v>
      </c>
      <c r="H103" s="1154" t="s">
        <v>31</v>
      </c>
      <c r="I103" s="1164">
        <f>COUNTIFS(sommaire[Département_nom],$H103,sommaire[Type de localité],"*nés")</f>
        <v>54</v>
      </c>
      <c r="J103" s="1155">
        <f>COUNTIFS(sommaire[Département_nom],$B103,sommaire[Type de localité],"*nés",sommaire[présence_population],J$90)</f>
        <v>50</v>
      </c>
      <c r="K103" s="1155">
        <f>COUNTIFS(sommaire[Département_nom],$B103,sommaire[Type de localité],"*nés",sommaire[présence_population],K$90)</f>
        <v>0</v>
      </c>
      <c r="L103" s="1155">
        <f>COUNTIFS(sommaire[Département_nom],$B103,sommaire[Type de localité],"*nés",sommaire[présence_population],L$90)</f>
        <v>4</v>
      </c>
      <c r="Q103" s="1297"/>
    </row>
    <row r="104" spans="1:17" ht="15" thickBot="1" x14ac:dyDescent="0.35">
      <c r="B104" s="1152" t="s">
        <v>32</v>
      </c>
      <c r="C104" s="1153">
        <f>COUNTIFS(sommaire[Département_nom],$B104,sommaire[Type de localité],"*nés")</f>
        <v>16</v>
      </c>
      <c r="D104" s="1153">
        <f>COUNTIFS(sommaire[Département_nom],$B104,sommaire[Type de localité],"*nés",sommaire[Flag total],"&gt;0")</f>
        <v>13</v>
      </c>
      <c r="E104" s="1153">
        <f>COUNTIFS(sommaire[Département_nom],$B104,sommaire[Type de localité],"*nés",sommaire[Flag total],"=0")</f>
        <v>3</v>
      </c>
      <c r="H104" s="1152" t="s">
        <v>32</v>
      </c>
      <c r="I104" s="1163">
        <f>COUNTIFS(sommaire[Département_nom],$H104,sommaire[Type de localité],"*nés")</f>
        <v>16</v>
      </c>
      <c r="J104" s="1153">
        <f>COUNTIFS(sommaire[Département_nom],$B104,sommaire[Type de localité],"*nés",sommaire[présence_population],J$90)</f>
        <v>13</v>
      </c>
      <c r="K104" s="1153">
        <f>COUNTIFS(sommaire[Département_nom],$B104,sommaire[Type de localité],"*nés",sommaire[présence_population],K$90)</f>
        <v>0</v>
      </c>
      <c r="L104" s="1153">
        <f>COUNTIFS(sommaire[Département_nom],$B104,sommaire[Type de localité],"*nés",sommaire[présence_population],L$90)</f>
        <v>3</v>
      </c>
      <c r="Q104" s="1297"/>
    </row>
    <row r="105" spans="1:17" ht="15" thickBot="1" x14ac:dyDescent="0.35">
      <c r="B105" s="1154" t="s">
        <v>33</v>
      </c>
      <c r="C105" s="1155">
        <f>COUNTIFS(sommaire[Département_nom],$B105,sommaire[Type de localité],"*nés")</f>
        <v>2</v>
      </c>
      <c r="D105" s="1153">
        <f>COUNTIFS(sommaire[Département_nom],$B105,sommaire[Type de localité],"*nés",sommaire[Flag total],"&gt;0")</f>
        <v>2</v>
      </c>
      <c r="E105" s="1153">
        <f>COUNTIFS(sommaire[Département_nom],$B105,sommaire[Type de localité],"*nés",sommaire[Flag total],"=0")</f>
        <v>0</v>
      </c>
      <c r="H105" s="1154" t="s">
        <v>33</v>
      </c>
      <c r="I105" s="1164">
        <f>COUNTIFS(sommaire[Département_nom],$H105,sommaire[Type de localité],"*nés")</f>
        <v>2</v>
      </c>
      <c r="J105" s="1155">
        <f>COUNTIFS(sommaire[Département_nom],$B105,sommaire[Type de localité],"*nés",sommaire[présence_population],J$90)</f>
        <v>2</v>
      </c>
      <c r="K105" s="1155">
        <f>COUNTIFS(sommaire[Département_nom],$B105,sommaire[Type de localité],"*nés",sommaire[présence_population],K$90)</f>
        <v>0</v>
      </c>
      <c r="L105" s="1155">
        <f>COUNTIFS(sommaire[Département_nom],$B105,sommaire[Type de localité],"*nés",sommaire[présence_population],L$90)</f>
        <v>0</v>
      </c>
      <c r="Q105" s="1297"/>
    </row>
    <row r="106" spans="1:17" ht="15" thickBot="1" x14ac:dyDescent="0.35">
      <c r="B106" s="1152" t="s">
        <v>34</v>
      </c>
      <c r="C106" s="1153">
        <f>COUNTIFS(sommaire[Département_nom],$B106,sommaire[Type de localité],"*nés")</f>
        <v>27</v>
      </c>
      <c r="D106" s="1153">
        <f>COUNTIFS(sommaire[Département_nom],$B106,sommaire[Type de localité],"*nés",sommaire[Flag total],"&gt;0")</f>
        <v>24</v>
      </c>
      <c r="E106" s="1153">
        <f>COUNTIFS(sommaire[Département_nom],$B106,sommaire[Type de localité],"*nés",sommaire[Flag total],"=0")</f>
        <v>3</v>
      </c>
      <c r="H106" s="1152" t="s">
        <v>34</v>
      </c>
      <c r="I106" s="1163">
        <f>COUNTIFS(sommaire[Département_nom],$H106,sommaire[Type de localité],"*nés")</f>
        <v>27</v>
      </c>
      <c r="J106" s="1153">
        <f>COUNTIFS(sommaire[Département_nom],$B106,sommaire[Type de localité],"*nés",sommaire[présence_population],J$90)</f>
        <v>23</v>
      </c>
      <c r="K106" s="1153">
        <f>COUNTIFS(sommaire[Département_nom],$B106,sommaire[Type de localité],"*nés",sommaire[présence_population],K$90)</f>
        <v>1</v>
      </c>
      <c r="L106" s="1153">
        <f>COUNTIFS(sommaire[Département_nom],$B106,sommaire[Type de localité],"*nés",sommaire[présence_population],L$90)</f>
        <v>3</v>
      </c>
      <c r="Q106" s="1297"/>
    </row>
    <row r="107" spans="1:17" ht="15" thickBot="1" x14ac:dyDescent="0.35">
      <c r="B107" s="1154" t="s">
        <v>35</v>
      </c>
      <c r="C107" s="1155">
        <f>COUNTIFS(sommaire[Département_nom],$B107,sommaire[Type de localité],"*nés")</f>
        <v>17</v>
      </c>
      <c r="D107" s="1153">
        <f>COUNTIFS(sommaire[Département_nom],$B107,sommaire[Type de localité],"*nés",sommaire[Flag total],"&gt;0")</f>
        <v>17</v>
      </c>
      <c r="E107" s="1153">
        <f>COUNTIFS(sommaire[Département_nom],$B107,sommaire[Type de localité],"*nés",sommaire[Flag total],"=0")</f>
        <v>0</v>
      </c>
      <c r="H107" s="1154" t="s">
        <v>35</v>
      </c>
      <c r="I107" s="1164">
        <f>COUNTIFS(sommaire[Département_nom],$H107,sommaire[Type de localité],"*nés")</f>
        <v>17</v>
      </c>
      <c r="J107" s="1155">
        <f>COUNTIFS(sommaire[Département_nom],$B107,sommaire[Type de localité],"*nés",sommaire[présence_population],J$90)</f>
        <v>17</v>
      </c>
      <c r="K107" s="1155">
        <f>COUNTIFS(sommaire[Département_nom],$B107,sommaire[Type de localité],"*nés",sommaire[présence_population],K$90)</f>
        <v>0</v>
      </c>
      <c r="L107" s="1155">
        <f>COUNTIFS(sommaire[Département_nom],$B107,sommaire[Type de localité],"*nés",sommaire[présence_population],L$90)</f>
        <v>0</v>
      </c>
      <c r="Q107" s="1297"/>
    </row>
    <row r="108" spans="1:17" ht="15" thickBot="1" x14ac:dyDescent="0.35">
      <c r="B108" s="1156" t="s">
        <v>25</v>
      </c>
      <c r="C108" s="1157">
        <f>SUM(C102:C107)</f>
        <v>129</v>
      </c>
      <c r="D108" s="1157">
        <f>SUM(D102:D107)</f>
        <v>118</v>
      </c>
      <c r="E108" s="1157">
        <f>SUM(E102:E107)</f>
        <v>11</v>
      </c>
      <c r="H108" s="1156" t="s">
        <v>25</v>
      </c>
      <c r="I108" s="1157">
        <f>SUM(I102:I107)</f>
        <v>129</v>
      </c>
      <c r="J108" s="1157">
        <f>SUM(J102:J107)</f>
        <v>118</v>
      </c>
      <c r="K108" s="1157">
        <f>SUM(K102:K107)</f>
        <v>1</v>
      </c>
      <c r="L108" s="1157">
        <f>SUM(L102:L107)</f>
        <v>10</v>
      </c>
      <c r="Q108" s="1297"/>
    </row>
    <row r="109" spans="1:17" x14ac:dyDescent="0.3">
      <c r="Q109" s="1297"/>
    </row>
    <row r="110" spans="1:17" x14ac:dyDescent="0.3">
      <c r="Q110" s="1297"/>
    </row>
    <row r="111" spans="1:17" x14ac:dyDescent="0.3">
      <c r="Q111" s="1297"/>
    </row>
    <row r="112" spans="1:17" ht="18.600000000000001" thickBot="1" x14ac:dyDescent="0.35">
      <c r="A112" s="1160"/>
      <c r="B112" s="1160" t="s">
        <v>3411</v>
      </c>
      <c r="C112" s="1160"/>
      <c r="D112" s="1160"/>
      <c r="E112" s="1160"/>
      <c r="F112" s="1160"/>
      <c r="Q112" s="1297"/>
    </row>
    <row r="113" spans="1:17" ht="39" customHeight="1" thickBot="1" x14ac:dyDescent="0.35">
      <c r="B113" s="1150" t="s">
        <v>48</v>
      </c>
      <c r="C113" s="1151" t="s">
        <v>3051</v>
      </c>
      <c r="D113" s="1151" t="s">
        <v>49</v>
      </c>
      <c r="E113" s="1151" t="s">
        <v>2473</v>
      </c>
      <c r="Q113" s="1297"/>
    </row>
    <row r="114" spans="1:17" ht="15" thickBot="1" x14ac:dyDescent="0.35">
      <c r="B114" s="1152" t="s">
        <v>30</v>
      </c>
      <c r="C114" s="1163">
        <f>COUNTIFS(sommaire[Département_nom],$B114,sommaire[village_SSID],"*XX")</f>
        <v>1</v>
      </c>
      <c r="D114" s="1153">
        <f>COUNTIFS(sommaire[Département_nom],$B114,sommaire[village_SSID],"*XX",sommaire[Type de localité],"*age")</f>
        <v>0</v>
      </c>
      <c r="E114" s="1153">
        <f>COUNTIFS(sommaire[Département_nom],$B114,sommaire[village_SSID],"*XX",sommaire[Type de localité],"*tanés")</f>
        <v>1</v>
      </c>
      <c r="Q114" s="1297"/>
    </row>
    <row r="115" spans="1:17" ht="15" thickBot="1" x14ac:dyDescent="0.35">
      <c r="B115" s="1154" t="s">
        <v>31</v>
      </c>
      <c r="C115" s="1164">
        <f>COUNTIFS(sommaire[Département_nom],$B115,sommaire[village_SSID],"*XX")</f>
        <v>41</v>
      </c>
      <c r="D115" s="1155">
        <f>COUNTIFS(sommaire[Département_nom],$B115,sommaire[village_SSID],"*XX",sommaire[Type de localité],"*age")</f>
        <v>20</v>
      </c>
      <c r="E115" s="1155">
        <f>COUNTIFS(sommaire[Département_nom],$B115,sommaire[village_SSID],"*XX",sommaire[Type de localité],"*tanés")</f>
        <v>21</v>
      </c>
      <c r="Q115" s="1297"/>
    </row>
    <row r="116" spans="1:17" ht="15" thickBot="1" x14ac:dyDescent="0.35">
      <c r="B116" s="1152" t="s">
        <v>32</v>
      </c>
      <c r="C116" s="1163">
        <f>COUNTIFS(sommaire[Département_nom],$B116,sommaire[village_SSID],"*XX")</f>
        <v>15</v>
      </c>
      <c r="D116" s="1153">
        <f>COUNTIFS(sommaire[Département_nom],$B116,sommaire[village_SSID],"*XX",sommaire[Type de localité],"*age")</f>
        <v>14</v>
      </c>
      <c r="E116" s="1153">
        <f>COUNTIFS(sommaire[Département_nom],$B116,sommaire[village_SSID],"*XX",sommaire[Type de localité],"*tanés")</f>
        <v>1</v>
      </c>
      <c r="Q116" s="1297"/>
    </row>
    <row r="117" spans="1:17" ht="15" thickBot="1" x14ac:dyDescent="0.35">
      <c r="B117" s="1154" t="s">
        <v>33</v>
      </c>
      <c r="C117" s="1164">
        <f>COUNTIFS(sommaire[Département_nom],$B117,sommaire[village_SSID],"*XX")</f>
        <v>3</v>
      </c>
      <c r="D117" s="1155">
        <f>COUNTIFS(sommaire[Département_nom],$B117,sommaire[village_SSID],"*XX",sommaire[Type de localité],"*age")</f>
        <v>3</v>
      </c>
      <c r="E117" s="1155">
        <f>COUNTIFS(sommaire[Département_nom],$B117,sommaire[village_SSID],"*XX",sommaire[Type de localité],"*tanés")</f>
        <v>0</v>
      </c>
      <c r="Q117" s="1297"/>
    </row>
    <row r="118" spans="1:17" ht="15" thickBot="1" x14ac:dyDescent="0.35">
      <c r="B118" s="1152" t="s">
        <v>34</v>
      </c>
      <c r="C118" s="1163">
        <f>COUNTIFS(sommaire[Département_nom],$B118,sommaire[village_SSID],"*XX")</f>
        <v>1</v>
      </c>
      <c r="D118" s="1153">
        <f>COUNTIFS(sommaire[Département_nom],$B118,sommaire[village_SSID],"*XX",sommaire[Type de localité],"*age")</f>
        <v>0</v>
      </c>
      <c r="E118" s="1153">
        <f>COUNTIFS(sommaire[Département_nom],$B118,sommaire[village_SSID],"*XX",sommaire[Type de localité],"*tanés")</f>
        <v>1</v>
      </c>
      <c r="Q118" s="1297"/>
    </row>
    <row r="119" spans="1:17" ht="15" thickBot="1" x14ac:dyDescent="0.35">
      <c r="B119" s="1154" t="s">
        <v>35</v>
      </c>
      <c r="C119" s="1164">
        <f>COUNTIFS(sommaire[Département_nom],$B119,sommaire[village_SSID],"*XX")</f>
        <v>15</v>
      </c>
      <c r="D119" s="1155">
        <f>COUNTIFS(sommaire[Département_nom],$B119,sommaire[village_SSID],"*XX",sommaire[Type de localité],"*age")</f>
        <v>13</v>
      </c>
      <c r="E119" s="1155">
        <f>COUNTIFS(sommaire[Département_nom],$B119,sommaire[village_SSID],"*XX",sommaire[Type de localité],"*tanés")</f>
        <v>2</v>
      </c>
      <c r="Q119" s="1297"/>
    </row>
    <row r="120" spans="1:17" ht="15" thickBot="1" x14ac:dyDescent="0.35">
      <c r="B120" s="1156" t="s">
        <v>25</v>
      </c>
      <c r="C120" s="1157">
        <f>SUM(C114:C119)</f>
        <v>76</v>
      </c>
      <c r="D120" s="1157">
        <f>SUM(D114:D119)</f>
        <v>50</v>
      </c>
      <c r="E120" s="1157">
        <f>SUM(E114:E119)</f>
        <v>26</v>
      </c>
      <c r="Q120" s="1297"/>
    </row>
    <row r="121" spans="1:17" x14ac:dyDescent="0.3">
      <c r="Q121" s="1297"/>
    </row>
    <row r="122" spans="1:17" x14ac:dyDescent="0.3">
      <c r="Q122" s="1297"/>
    </row>
    <row r="123" spans="1:17" x14ac:dyDescent="0.3">
      <c r="A123" s="1297"/>
      <c r="B123" s="1297"/>
      <c r="C123" s="1297"/>
      <c r="D123" s="1297"/>
      <c r="E123" s="1297"/>
      <c r="F123" s="1297"/>
      <c r="G123" s="1297"/>
      <c r="H123" s="1297"/>
      <c r="I123" s="1297"/>
      <c r="J123" s="1297"/>
      <c r="K123" s="1297"/>
      <c r="L123" s="1297"/>
      <c r="M123" s="1297"/>
      <c r="N123" s="1297"/>
      <c r="O123" s="1297"/>
      <c r="P123" s="1297"/>
      <c r="Q123" s="1297"/>
    </row>
    <row r="124" spans="1:17" x14ac:dyDescent="0.3">
      <c r="A124" s="1297"/>
      <c r="B124" s="1297"/>
      <c r="C124" s="1297"/>
      <c r="D124" s="1297"/>
      <c r="E124" s="1297"/>
      <c r="F124" s="1297"/>
      <c r="G124" s="1297"/>
      <c r="H124" s="1297"/>
      <c r="I124" s="1297"/>
      <c r="J124" s="1297"/>
      <c r="K124" s="1297"/>
      <c r="L124" s="1297"/>
      <c r="M124" s="1297"/>
      <c r="N124" s="1297"/>
      <c r="O124" s="1297"/>
      <c r="P124" s="1297"/>
      <c r="Q124" s="1297"/>
    </row>
  </sheetData>
  <pageMargins left="0.7" right="0.7" top="0.75" bottom="0.75" header="0.3" footer="0.3"/>
  <pageSetup paperSize="9" orientation="portrait" verticalDpi="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C8B3-A15D-4510-92DE-5DA01B49AF01}">
  <sheetPr>
    <tabColor theme="3" tint="-0.499984740745262"/>
  </sheetPr>
  <dimension ref="A1:AJ404"/>
  <sheetViews>
    <sheetView showGridLines="0" topLeftCell="B1" zoomScaleNormal="100" zoomScaleSheetLayoutView="80" workbookViewId="0">
      <selection activeCell="E131" sqref="E131:G135"/>
    </sheetView>
  </sheetViews>
  <sheetFormatPr defaultColWidth="11.44140625" defaultRowHeight="14.4" x14ac:dyDescent="0.3"/>
  <cols>
    <col min="1" max="2" width="6.21875" style="24" customWidth="1"/>
    <col min="3" max="3" width="18.5546875" style="24" customWidth="1"/>
    <col min="4" max="4" width="24.77734375" style="31" customWidth="1"/>
    <col min="5" max="5" width="22.88671875" style="24" bestFit="1" customWidth="1"/>
    <col min="6" max="6" width="18.6640625" style="24" customWidth="1"/>
    <col min="7" max="7" width="14.6640625" style="24" customWidth="1"/>
    <col min="8" max="8" width="15.77734375" style="24" customWidth="1"/>
    <col min="9" max="9" width="16.88671875" style="24" customWidth="1"/>
    <col min="10" max="11" width="17" style="24" customWidth="1"/>
    <col min="12" max="12" width="19.77734375" style="24" customWidth="1"/>
    <col min="13" max="18" width="15.5546875" style="24" customWidth="1"/>
    <col min="19" max="19" width="9.5546875" style="24" customWidth="1"/>
    <col min="20" max="20" width="2" style="64" customWidth="1"/>
    <col min="21" max="21" width="6.77734375" style="24" customWidth="1"/>
    <col min="22" max="22" width="16.77734375" style="24" customWidth="1"/>
    <col min="23" max="23" width="31.109375" style="24" customWidth="1"/>
    <col min="24" max="24" width="15.21875" style="24" bestFit="1" customWidth="1"/>
    <col min="25" max="25" width="16.33203125" style="24" customWidth="1"/>
    <col min="26" max="26" width="12" style="24" customWidth="1"/>
    <col min="27" max="27" width="12.6640625" style="24" customWidth="1"/>
    <col min="28" max="28" width="9.109375" style="24" bestFit="1" customWidth="1"/>
    <col min="29" max="29" width="16.77734375" style="24" customWidth="1"/>
    <col min="30" max="30" width="17.77734375" style="24" customWidth="1"/>
    <col min="31" max="35" width="16.77734375" style="24" customWidth="1"/>
    <col min="36" max="36" width="13.77734375" style="24" customWidth="1"/>
    <col min="37" max="37" width="10" style="24" customWidth="1"/>
    <col min="38" max="38" width="7.21875" style="24" customWidth="1"/>
    <col min="39" max="39" width="6.21875" style="24" customWidth="1"/>
    <col min="40" max="40" width="8.21875" style="24" customWidth="1"/>
    <col min="41" max="41" width="7.5546875" style="24" customWidth="1"/>
    <col min="42" max="42" width="9.44140625" style="24" customWidth="1"/>
    <col min="43" max="43" width="10" style="24" customWidth="1"/>
    <col min="44" max="44" width="5.21875" style="24" customWidth="1"/>
    <col min="45" max="45" width="7" style="24" customWidth="1"/>
    <col min="46" max="46" width="8.44140625" style="24" customWidth="1"/>
    <col min="47" max="47" width="7.77734375" style="24" customWidth="1"/>
    <col min="48" max="48" width="5.77734375" style="24" customWidth="1"/>
    <col min="49" max="49" width="13.21875" style="24" bestFit="1" customWidth="1"/>
    <col min="50" max="50" width="11.44140625" style="24"/>
    <col min="51" max="51" width="8.21875" style="24" customWidth="1"/>
    <col min="52" max="52" width="6" style="24" customWidth="1"/>
    <col min="53" max="53" width="13.44140625" style="24" bestFit="1" customWidth="1"/>
    <col min="54" max="54" width="11.21875" style="24" customWidth="1"/>
    <col min="55" max="55" width="5.77734375" style="24" customWidth="1"/>
    <col min="56" max="56" width="7.44140625" style="24" customWidth="1"/>
    <col min="57" max="57" width="4.77734375" style="24" customWidth="1"/>
    <col min="58" max="58" width="12.5546875" style="24" bestFit="1" customWidth="1"/>
    <col min="59" max="16384" width="11.44140625" style="24"/>
  </cols>
  <sheetData>
    <row r="1" spans="2:36" ht="22.35" customHeight="1" x14ac:dyDescent="0.3">
      <c r="B1" s="1311" t="s">
        <v>17</v>
      </c>
      <c r="C1" s="1312"/>
      <c r="D1" s="1312"/>
      <c r="E1" s="1312"/>
      <c r="F1" s="1312"/>
      <c r="G1" s="1312"/>
      <c r="H1" s="1312"/>
      <c r="I1" s="1312"/>
      <c r="J1" s="1312"/>
      <c r="K1" s="1312"/>
      <c r="L1" s="1312"/>
      <c r="M1" s="1312"/>
      <c r="N1" s="1312"/>
      <c r="O1" s="1312"/>
      <c r="P1" s="1312"/>
      <c r="Q1" s="1312"/>
      <c r="R1" s="1312"/>
      <c r="S1" s="1313"/>
      <c r="T1" s="25"/>
      <c r="U1" s="1314" t="s">
        <v>18</v>
      </c>
      <c r="V1" s="1315"/>
      <c r="W1" s="1315"/>
      <c r="X1" s="1315"/>
      <c r="Y1" s="1315"/>
      <c r="Z1" s="1315"/>
      <c r="AA1" s="1315"/>
      <c r="AB1" s="1315"/>
      <c r="AC1" s="1315"/>
      <c r="AD1" s="1315"/>
      <c r="AE1" s="1315"/>
      <c r="AF1" s="1315"/>
      <c r="AG1" s="1315"/>
      <c r="AH1" s="1315"/>
      <c r="AI1" s="1315"/>
      <c r="AJ1" s="1316"/>
    </row>
    <row r="2" spans="2:36" ht="24.6" customHeight="1" x14ac:dyDescent="0.3">
      <c r="B2" s="26"/>
      <c r="C2" s="27" t="s">
        <v>19</v>
      </c>
      <c r="D2" s="28"/>
      <c r="E2" s="27"/>
      <c r="F2" s="27"/>
      <c r="G2" s="27"/>
      <c r="H2" s="27"/>
      <c r="I2" s="27"/>
      <c r="J2" s="27"/>
      <c r="K2" s="27"/>
      <c r="L2" s="27"/>
      <c r="M2" s="27"/>
      <c r="N2" s="27"/>
      <c r="O2" s="27"/>
      <c r="P2" s="27"/>
      <c r="Q2" s="27"/>
      <c r="R2" s="27"/>
      <c r="S2" s="27"/>
      <c r="T2" s="29"/>
      <c r="V2" s="27"/>
      <c r="W2" s="27" t="s">
        <v>20</v>
      </c>
      <c r="X2" s="27"/>
      <c r="Y2" s="27"/>
      <c r="Z2" s="27"/>
      <c r="AA2" s="27"/>
      <c r="AB2" s="27"/>
      <c r="AC2" s="27"/>
      <c r="AD2" s="27"/>
      <c r="AJ2" s="30"/>
    </row>
    <row r="3" spans="2:36" x14ac:dyDescent="0.3">
      <c r="B3" s="26"/>
      <c r="G3" s="1000"/>
      <c r="H3" s="1000"/>
      <c r="T3" s="25"/>
      <c r="AJ3" s="30"/>
    </row>
    <row r="4" spans="2:36" x14ac:dyDescent="0.3">
      <c r="B4" s="26"/>
      <c r="D4" s="32"/>
      <c r="E4" s="33"/>
      <c r="F4" s="33"/>
      <c r="G4" s="33"/>
      <c r="H4" s="33"/>
      <c r="S4" s="33"/>
      <c r="T4" s="34"/>
      <c r="U4" s="33"/>
      <c r="V4" s="33"/>
      <c r="W4" s="33"/>
      <c r="X4" s="33"/>
      <c r="AJ4" s="30"/>
    </row>
    <row r="5" spans="2:36" ht="44.1" customHeight="1" x14ac:dyDescent="0.3">
      <c r="B5" s="26"/>
      <c r="C5" s="35" t="s">
        <v>21</v>
      </c>
      <c r="D5" s="36" t="s">
        <v>22</v>
      </c>
      <c r="E5" s="36" t="s">
        <v>23</v>
      </c>
      <c r="F5" s="36" t="s">
        <v>24</v>
      </c>
      <c r="G5" s="37" t="s">
        <v>25</v>
      </c>
      <c r="T5" s="25"/>
      <c r="W5" s="35" t="s">
        <v>26</v>
      </c>
      <c r="X5" s="38" t="s">
        <v>27</v>
      </c>
      <c r="Y5" s="36" t="s">
        <v>28</v>
      </c>
      <c r="Z5" s="36" t="s">
        <v>29</v>
      </c>
      <c r="AA5" s="37" t="s">
        <v>25</v>
      </c>
      <c r="AJ5" s="30"/>
    </row>
    <row r="6" spans="2:36" x14ac:dyDescent="0.3">
      <c r="B6" s="26"/>
      <c r="C6" s="10" t="s">
        <v>30</v>
      </c>
      <c r="D6" s="1001">
        <f>SUMIF(sommaire[Département_nom], $C6, sommaire[PDI_individus])</f>
        <v>12542</v>
      </c>
      <c r="E6" s="1001">
        <f>SUMIF(sommaire[Département_nom], C6, sommaire[REF_individus])</f>
        <v>334</v>
      </c>
      <c r="F6" s="1001">
        <f>SUMIF(sommaire[Département_nom], C6, sommaire[RET_individus])</f>
        <v>429</v>
      </c>
      <c r="G6" s="1001">
        <f t="shared" ref="G6:G11" si="0">SUM(D6:F6)</f>
        <v>13305</v>
      </c>
      <c r="T6" s="25"/>
      <c r="W6" s="39" t="s">
        <v>30</v>
      </c>
      <c r="X6" s="42">
        <f t="shared" ref="X6:X11" si="1">D6</f>
        <v>12542</v>
      </c>
      <c r="Y6" s="42">
        <f t="shared" ref="Y6:Z11" si="2">E6</f>
        <v>334</v>
      </c>
      <c r="Z6" s="42">
        <f t="shared" si="2"/>
        <v>429</v>
      </c>
      <c r="AA6" s="43">
        <f t="shared" ref="AA6:AA11" si="3">$X6+$Y6+$Z6</f>
        <v>13305</v>
      </c>
      <c r="AJ6" s="30"/>
    </row>
    <row r="7" spans="2:36" x14ac:dyDescent="0.3">
      <c r="B7" s="26"/>
      <c r="C7" s="12" t="s">
        <v>31</v>
      </c>
      <c r="D7" s="1002">
        <f>SUMIF(sommaire[Département_nom], $C7, sommaire[PDI_individus])</f>
        <v>162020</v>
      </c>
      <c r="E7" s="1002">
        <f>SUMIF(sommaire[Département_nom], C7, sommaire[REF_individus])</f>
        <v>31803</v>
      </c>
      <c r="F7" s="1002">
        <f>SUMIF(sommaire[Département_nom], C7, sommaire[RET_individus])</f>
        <v>62061</v>
      </c>
      <c r="G7" s="1002">
        <f t="shared" si="0"/>
        <v>255884</v>
      </c>
      <c r="T7" s="25"/>
      <c r="W7" s="44" t="s">
        <v>31</v>
      </c>
      <c r="X7" s="46">
        <f t="shared" si="1"/>
        <v>162020</v>
      </c>
      <c r="Y7" s="46">
        <f t="shared" si="2"/>
        <v>31803</v>
      </c>
      <c r="Z7" s="46">
        <f t="shared" si="2"/>
        <v>62061</v>
      </c>
      <c r="AA7" s="47">
        <f t="shared" si="3"/>
        <v>255884</v>
      </c>
      <c r="AJ7" s="30"/>
    </row>
    <row r="8" spans="2:36" x14ac:dyDescent="0.3">
      <c r="B8" s="26"/>
      <c r="C8" s="10" t="s">
        <v>32</v>
      </c>
      <c r="D8" s="1001">
        <f>SUMIF(sommaire[Département_nom], $C8, sommaire[PDI_individus])</f>
        <v>22544</v>
      </c>
      <c r="E8" s="1001">
        <f>SUMIF(sommaire[Département_nom], C8, sommaire[REF_individus])</f>
        <v>296</v>
      </c>
      <c r="F8" s="1001">
        <f>SUMIF(sommaire[Département_nom], C8, sommaire[RET_individus])</f>
        <v>85833</v>
      </c>
      <c r="G8" s="1001">
        <f t="shared" si="0"/>
        <v>108673</v>
      </c>
      <c r="T8" s="25"/>
      <c r="W8" s="39" t="s">
        <v>32</v>
      </c>
      <c r="X8" s="42">
        <f t="shared" si="1"/>
        <v>22544</v>
      </c>
      <c r="Y8" s="42">
        <f t="shared" si="2"/>
        <v>296</v>
      </c>
      <c r="Z8" s="42">
        <f t="shared" si="2"/>
        <v>85833</v>
      </c>
      <c r="AA8" s="43">
        <f t="shared" si="3"/>
        <v>108673</v>
      </c>
      <c r="AJ8" s="30"/>
    </row>
    <row r="9" spans="2:36" x14ac:dyDescent="0.3">
      <c r="B9" s="26"/>
      <c r="C9" s="12" t="s">
        <v>33</v>
      </c>
      <c r="D9" s="1002">
        <f>SUMIF(sommaire[Département_nom], $C9, sommaire[PDI_individus])</f>
        <v>4906</v>
      </c>
      <c r="E9" s="1002">
        <f>SUMIF(sommaire[Département_nom], C9, sommaire[REF_individus])</f>
        <v>668</v>
      </c>
      <c r="F9" s="1002">
        <f>SUMIF(sommaire[Département_nom], C9, sommaire[RET_individus])</f>
        <v>187</v>
      </c>
      <c r="G9" s="1002">
        <f t="shared" si="0"/>
        <v>5761</v>
      </c>
      <c r="T9" s="25"/>
      <c r="W9" s="44" t="s">
        <v>33</v>
      </c>
      <c r="X9" s="46">
        <f t="shared" si="1"/>
        <v>4906</v>
      </c>
      <c r="Y9" s="46">
        <f t="shared" si="2"/>
        <v>668</v>
      </c>
      <c r="Z9" s="46">
        <f t="shared" si="2"/>
        <v>187</v>
      </c>
      <c r="AA9" s="47">
        <f t="shared" si="3"/>
        <v>5761</v>
      </c>
      <c r="AJ9" s="30"/>
    </row>
    <row r="10" spans="2:36" x14ac:dyDescent="0.3">
      <c r="B10" s="26"/>
      <c r="C10" s="10" t="s">
        <v>34</v>
      </c>
      <c r="D10" s="1001">
        <f>SUMIF(sommaire[Département_nom], $C10, sommaire[PDI_individus])</f>
        <v>125045</v>
      </c>
      <c r="E10" s="1001">
        <f>SUMIF(sommaire[Département_nom], C10, sommaire[REF_individus])</f>
        <v>7597</v>
      </c>
      <c r="F10" s="1001">
        <f>SUMIF(sommaire[Département_nom], C10, sommaire[RET_individus])</f>
        <v>32870</v>
      </c>
      <c r="G10" s="1001">
        <f t="shared" si="0"/>
        <v>165512</v>
      </c>
      <c r="T10" s="25"/>
      <c r="W10" s="39" t="s">
        <v>34</v>
      </c>
      <c r="X10" s="42">
        <f t="shared" si="1"/>
        <v>125045</v>
      </c>
      <c r="Y10" s="42">
        <f t="shared" si="2"/>
        <v>7597</v>
      </c>
      <c r="Z10" s="42">
        <f t="shared" si="2"/>
        <v>32870</v>
      </c>
      <c r="AA10" s="43">
        <f t="shared" si="3"/>
        <v>165512</v>
      </c>
      <c r="AJ10" s="30"/>
    </row>
    <row r="11" spans="2:36" x14ac:dyDescent="0.3">
      <c r="B11" s="26"/>
      <c r="C11" s="12" t="s">
        <v>35</v>
      </c>
      <c r="D11" s="1002">
        <f>SUMIF(sommaire[Département_nom], $C11, sommaire[PDI_individus])</f>
        <v>100776</v>
      </c>
      <c r="E11" s="1002">
        <f>SUMIF(sommaire[Département_nom], C11, sommaire[REF_individus])</f>
        <v>8815</v>
      </c>
      <c r="F11" s="1002">
        <f>SUMIF(sommaire[Département_nom], C11, sommaire[RET_individus])</f>
        <v>21786</v>
      </c>
      <c r="G11" s="1002">
        <f t="shared" si="0"/>
        <v>131377</v>
      </c>
      <c r="T11" s="25"/>
      <c r="W11" s="44" t="s">
        <v>35</v>
      </c>
      <c r="X11" s="46">
        <f t="shared" si="1"/>
        <v>100776</v>
      </c>
      <c r="Y11" s="46">
        <f t="shared" si="2"/>
        <v>8815</v>
      </c>
      <c r="Z11" s="46">
        <f t="shared" si="2"/>
        <v>21786</v>
      </c>
      <c r="AA11" s="47">
        <f t="shared" si="3"/>
        <v>131377</v>
      </c>
      <c r="AJ11" s="30"/>
    </row>
    <row r="12" spans="2:36" x14ac:dyDescent="0.3">
      <c r="B12" s="26"/>
      <c r="C12" s="48" t="s">
        <v>25</v>
      </c>
      <c r="D12" s="49">
        <f>SUM(D6:D11)</f>
        <v>427833</v>
      </c>
      <c r="E12" s="49">
        <f>SUM(E6:E11)</f>
        <v>49513</v>
      </c>
      <c r="F12" s="49">
        <f>SUM(F6:F11)</f>
        <v>203166</v>
      </c>
      <c r="G12" s="49">
        <f>SUM(G6:G11)</f>
        <v>680512</v>
      </c>
      <c r="T12" s="25"/>
      <c r="W12" s="48" t="s">
        <v>25</v>
      </c>
      <c r="X12" s="52">
        <f>SUM(X6:X11)</f>
        <v>427833</v>
      </c>
      <c r="Y12" s="52">
        <f>SUM(Y6:Y11)</f>
        <v>49513</v>
      </c>
      <c r="Z12" s="52">
        <f>SUM(Z6:Z11)</f>
        <v>203166</v>
      </c>
      <c r="AA12" s="53">
        <f>SUM(AA6:AA11)</f>
        <v>680512</v>
      </c>
      <c r="AJ12" s="30"/>
    </row>
    <row r="13" spans="2:36" x14ac:dyDescent="0.3">
      <c r="B13" s="26"/>
      <c r="D13" s="886">
        <f>$D$12/$G$12</f>
        <v>0.62869280776826864</v>
      </c>
      <c r="E13" s="885">
        <f>$E$12/$G$12</f>
        <v>7.2758452459324746E-2</v>
      </c>
      <c r="F13" s="885">
        <f>$F$12/$G$12</f>
        <v>0.29854873977240665</v>
      </c>
      <c r="G13" s="886">
        <f>SUM(D13:F13)</f>
        <v>1</v>
      </c>
      <c r="T13" s="25"/>
      <c r="W13" s="56"/>
      <c r="X13" s="886">
        <f>D13</f>
        <v>0.62869280776826864</v>
      </c>
      <c r="Y13" s="886">
        <f>E13</f>
        <v>7.2758452459324746E-2</v>
      </c>
      <c r="Z13" s="886">
        <f>F13</f>
        <v>0.29854873977240665</v>
      </c>
      <c r="AA13" s="886">
        <f>SUM(X13:Z13)</f>
        <v>1</v>
      </c>
      <c r="AJ13" s="30"/>
    </row>
    <row r="14" spans="2:36" ht="15.6" x14ac:dyDescent="0.3">
      <c r="B14" s="26"/>
      <c r="C14" s="883" t="s">
        <v>36</v>
      </c>
      <c r="D14" s="1107"/>
      <c r="E14" s="1107"/>
      <c r="F14" s="1107"/>
      <c r="G14" s="27"/>
      <c r="H14" s="27"/>
      <c r="I14" s="27"/>
      <c r="J14" s="27"/>
      <c r="K14" s="27"/>
      <c r="T14" s="25"/>
      <c r="W14" s="27" t="s">
        <v>37</v>
      </c>
      <c r="X14" s="27"/>
      <c r="Y14" s="27"/>
      <c r="Z14" s="27"/>
      <c r="AA14" s="27"/>
      <c r="AJ14" s="30"/>
    </row>
    <row r="15" spans="2:36" ht="15" thickBot="1" x14ac:dyDescent="0.35">
      <c r="B15" s="26"/>
      <c r="D15" s="54"/>
      <c r="E15" s="55"/>
      <c r="F15" s="55"/>
      <c r="G15" s="55"/>
      <c r="T15" s="25"/>
      <c r="X15" s="55"/>
      <c r="Y15" s="55"/>
      <c r="Z15" s="55"/>
      <c r="AA15" s="55"/>
      <c r="AJ15" s="30"/>
    </row>
    <row r="16" spans="2:36" ht="42" customHeight="1" x14ac:dyDescent="0.3">
      <c r="B16" s="26"/>
      <c r="C16" s="35" t="s">
        <v>21</v>
      </c>
      <c r="D16" s="36" t="s">
        <v>22</v>
      </c>
      <c r="E16" s="36" t="s">
        <v>23</v>
      </c>
      <c r="F16" s="36" t="s">
        <v>24</v>
      </c>
      <c r="G16" s="37" t="s">
        <v>25</v>
      </c>
      <c r="T16" s="25"/>
      <c r="W16" s="35" t="s">
        <v>26</v>
      </c>
      <c r="X16" s="36" t="s">
        <v>27</v>
      </c>
      <c r="Y16" s="36" t="s">
        <v>28</v>
      </c>
      <c r="Z16" s="36" t="s">
        <v>29</v>
      </c>
      <c r="AA16" s="37" t="s">
        <v>25</v>
      </c>
      <c r="AJ16" s="30"/>
    </row>
    <row r="17" spans="1:36" x14ac:dyDescent="0.3">
      <c r="B17" s="26"/>
      <c r="C17" s="39" t="s">
        <v>30</v>
      </c>
      <c r="D17" s="274">
        <f>D6/$D$12</f>
        <v>2.931517671614859E-2</v>
      </c>
      <c r="E17" s="275">
        <f t="shared" ref="E17:E22" si="4">E6/$E$12</f>
        <v>6.7457031486680263E-3</v>
      </c>
      <c r="F17" s="275">
        <f t="shared" ref="F17:F22" si="5">F6/$F$12</f>
        <v>2.1115737869525412E-3</v>
      </c>
      <c r="G17" s="14">
        <f>G6/$G$12</f>
        <v>1.9551455374776639E-2</v>
      </c>
      <c r="T17" s="25"/>
      <c r="W17" s="39" t="s">
        <v>30</v>
      </c>
      <c r="X17" s="57">
        <f t="shared" ref="X17:AA22" si="6">D17</f>
        <v>2.931517671614859E-2</v>
      </c>
      <c r="Y17" s="57">
        <f t="shared" si="6"/>
        <v>6.7457031486680263E-3</v>
      </c>
      <c r="Z17" s="57">
        <f t="shared" si="6"/>
        <v>2.1115737869525412E-3</v>
      </c>
      <c r="AA17" s="58">
        <f t="shared" si="6"/>
        <v>1.9551455374776639E-2</v>
      </c>
      <c r="AJ17" s="30"/>
    </row>
    <row r="18" spans="1:36" x14ac:dyDescent="0.3">
      <c r="A18" s="1000"/>
      <c r="B18" s="26"/>
      <c r="C18" s="44" t="s">
        <v>31</v>
      </c>
      <c r="D18" s="276">
        <f t="shared" ref="D18:D22" si="7">D7/$D$12</f>
        <v>0.37869916532852771</v>
      </c>
      <c r="E18" s="277">
        <f t="shared" si="4"/>
        <v>0.64231615939248277</v>
      </c>
      <c r="F18" s="277">
        <f t="shared" si="5"/>
        <v>0.30546941909571484</v>
      </c>
      <c r="G18" s="15">
        <f t="shared" ref="G18:G22" si="8">G7/$G$12</f>
        <v>0.37601688140694067</v>
      </c>
      <c r="T18" s="25"/>
      <c r="W18" s="44" t="s">
        <v>31</v>
      </c>
      <c r="X18" s="59">
        <f t="shared" si="6"/>
        <v>0.37869916532852771</v>
      </c>
      <c r="Y18" s="59">
        <f t="shared" si="6"/>
        <v>0.64231615939248277</v>
      </c>
      <c r="Z18" s="59">
        <f t="shared" si="6"/>
        <v>0.30546941909571484</v>
      </c>
      <c r="AA18" s="60">
        <f t="shared" si="6"/>
        <v>0.37601688140694067</v>
      </c>
      <c r="AJ18" s="30"/>
    </row>
    <row r="19" spans="1:36" x14ac:dyDescent="0.3">
      <c r="B19" s="26"/>
      <c r="C19" s="39" t="s">
        <v>32</v>
      </c>
      <c r="D19" s="274">
        <f t="shared" si="7"/>
        <v>5.2693457493928703E-2</v>
      </c>
      <c r="E19" s="275">
        <f t="shared" si="4"/>
        <v>5.9782279401369336E-3</v>
      </c>
      <c r="F19" s="275">
        <f t="shared" si="5"/>
        <v>0.42247718614335078</v>
      </c>
      <c r="G19" s="14">
        <f t="shared" si="8"/>
        <v>0.15969299586193925</v>
      </c>
      <c r="T19" s="25"/>
      <c r="W19" s="39" t="s">
        <v>32</v>
      </c>
      <c r="X19" s="57">
        <f t="shared" si="6"/>
        <v>5.2693457493928703E-2</v>
      </c>
      <c r="Y19" s="57">
        <f t="shared" si="6"/>
        <v>5.9782279401369336E-3</v>
      </c>
      <c r="Z19" s="57">
        <f t="shared" si="6"/>
        <v>0.42247718614335078</v>
      </c>
      <c r="AA19" s="58">
        <f t="shared" si="6"/>
        <v>0.15969299586193925</v>
      </c>
      <c r="AJ19" s="30"/>
    </row>
    <row r="20" spans="1:36" x14ac:dyDescent="0.3">
      <c r="B20" s="26"/>
      <c r="C20" s="44" t="s">
        <v>33</v>
      </c>
      <c r="D20" s="276">
        <f t="shared" si="7"/>
        <v>1.1467091131352653E-2</v>
      </c>
      <c r="E20" s="277">
        <f t="shared" si="4"/>
        <v>1.3491406297336053E-2</v>
      </c>
      <c r="F20" s="277">
        <f t="shared" si="5"/>
        <v>9.2042959944085129E-4</v>
      </c>
      <c r="G20" s="15">
        <f t="shared" si="8"/>
        <v>8.4656846609611584E-3</v>
      </c>
      <c r="T20" s="25"/>
      <c r="W20" s="44" t="s">
        <v>33</v>
      </c>
      <c r="X20" s="59">
        <f t="shared" si="6"/>
        <v>1.1467091131352653E-2</v>
      </c>
      <c r="Y20" s="59">
        <f t="shared" si="6"/>
        <v>1.3491406297336053E-2</v>
      </c>
      <c r="Z20" s="59">
        <f t="shared" si="6"/>
        <v>9.2042959944085129E-4</v>
      </c>
      <c r="AA20" s="60">
        <f t="shared" si="6"/>
        <v>8.4656846609611584E-3</v>
      </c>
      <c r="AJ20" s="30"/>
    </row>
    <row r="21" spans="1:36" ht="15" thickBot="1" x14ac:dyDescent="0.35">
      <c r="B21" s="26"/>
      <c r="C21" s="39" t="s">
        <v>34</v>
      </c>
      <c r="D21" s="274">
        <f t="shared" si="7"/>
        <v>0.29227525693436457</v>
      </c>
      <c r="E21" s="275">
        <f t="shared" si="4"/>
        <v>0.15343445155817664</v>
      </c>
      <c r="F21" s="275">
        <f t="shared" si="5"/>
        <v>0.16178888199797209</v>
      </c>
      <c r="G21" s="14">
        <f t="shared" si="8"/>
        <v>0.24321687200225711</v>
      </c>
      <c r="T21" s="25"/>
      <c r="W21" s="39" t="s">
        <v>34</v>
      </c>
      <c r="X21" s="57">
        <f t="shared" si="6"/>
        <v>0.29227525693436457</v>
      </c>
      <c r="Y21" s="57">
        <f t="shared" si="6"/>
        <v>0.15343445155817664</v>
      </c>
      <c r="Z21" s="57">
        <f t="shared" si="6"/>
        <v>0.16178888199797209</v>
      </c>
      <c r="AA21" s="58">
        <f t="shared" si="6"/>
        <v>0.24321687200225711</v>
      </c>
      <c r="AJ21" s="30"/>
    </row>
    <row r="22" spans="1:36" ht="15" thickBot="1" x14ac:dyDescent="0.35">
      <c r="B22" s="26"/>
      <c r="C22" s="61" t="s">
        <v>35</v>
      </c>
      <c r="D22" s="278">
        <f t="shared" si="7"/>
        <v>0.23554985239567774</v>
      </c>
      <c r="E22" s="279">
        <f t="shared" si="4"/>
        <v>0.17803405166319958</v>
      </c>
      <c r="F22" s="279">
        <f t="shared" si="5"/>
        <v>0.10723250937656892</v>
      </c>
      <c r="G22" s="280">
        <f t="shared" si="8"/>
        <v>0.19305611069312517</v>
      </c>
      <c r="T22" s="25"/>
      <c r="W22" s="61" t="s">
        <v>35</v>
      </c>
      <c r="X22" s="62">
        <f t="shared" si="6"/>
        <v>0.23554985239567774</v>
      </c>
      <c r="Y22" s="62">
        <f t="shared" si="6"/>
        <v>0.17803405166319958</v>
      </c>
      <c r="Z22" s="62">
        <f t="shared" si="6"/>
        <v>0.10723250937656892</v>
      </c>
      <c r="AA22" s="63">
        <f t="shared" si="6"/>
        <v>0.19305611069312517</v>
      </c>
      <c r="AJ22" s="30"/>
    </row>
    <row r="23" spans="1:36" x14ac:dyDescent="0.3">
      <c r="B23" s="26"/>
      <c r="C23" s="64"/>
      <c r="D23" s="65"/>
      <c r="E23" s="64"/>
      <c r="F23" s="64"/>
      <c r="G23" s="64"/>
      <c r="I23" s="1112"/>
      <c r="J23" s="1112"/>
      <c r="L23" s="1112"/>
      <c r="N23" s="66"/>
      <c r="O23" s="66"/>
      <c r="P23" s="66"/>
      <c r="Q23" s="66"/>
      <c r="R23" s="66"/>
      <c r="T23" s="25"/>
      <c r="W23" s="64"/>
      <c r="X23" s="64"/>
      <c r="Y23" s="64"/>
      <c r="Z23" s="64"/>
      <c r="AA23" s="64"/>
      <c r="AJ23" s="30"/>
    </row>
    <row r="24" spans="1:36" ht="21" x14ac:dyDescent="0.4">
      <c r="B24" s="26"/>
      <c r="D24" s="54"/>
      <c r="E24" s="55"/>
      <c r="F24" s="55"/>
      <c r="G24" s="55"/>
      <c r="I24" s="1192" t="s">
        <v>3099</v>
      </c>
      <c r="K24" s="1113"/>
      <c r="N24" s="66"/>
      <c r="O24" s="66"/>
      <c r="P24" s="66"/>
      <c r="Q24" s="66"/>
      <c r="R24" s="66"/>
      <c r="T24" s="25"/>
      <c r="X24" s="55"/>
      <c r="Y24" s="55"/>
      <c r="Z24" s="55"/>
      <c r="AA24" s="55"/>
      <c r="AJ24" s="30"/>
    </row>
    <row r="25" spans="1:36" ht="16.2" thickBot="1" x14ac:dyDescent="0.35">
      <c r="B25" s="26"/>
      <c r="C25" s="27" t="s">
        <v>38</v>
      </c>
      <c r="D25" s="54"/>
      <c r="E25" s="55"/>
      <c r="F25" s="55"/>
      <c r="G25" s="55"/>
      <c r="K25" s="54"/>
      <c r="L25" s="55"/>
      <c r="M25" s="55"/>
      <c r="N25" s="55"/>
      <c r="O25" s="66"/>
      <c r="P25" s="66"/>
      <c r="Q25" s="66"/>
      <c r="R25" s="66"/>
      <c r="T25" s="25"/>
      <c r="W25" s="27" t="s">
        <v>39</v>
      </c>
      <c r="X25" s="55"/>
      <c r="Y25" s="55"/>
      <c r="Z25" s="55"/>
      <c r="AA25" s="55"/>
      <c r="AJ25" s="30"/>
    </row>
    <row r="26" spans="1:36" ht="16.2" thickBot="1" x14ac:dyDescent="0.35">
      <c r="B26" s="26"/>
      <c r="D26" s="54"/>
      <c r="E26" s="55"/>
      <c r="F26" s="55"/>
      <c r="G26" s="55"/>
      <c r="I26" s="1112"/>
      <c r="J26" s="1299" t="s">
        <v>22</v>
      </c>
      <c r="K26" s="1300"/>
      <c r="L26" s="1299" t="s">
        <v>23</v>
      </c>
      <c r="M26" s="1300"/>
      <c r="N26" s="1299" t="s">
        <v>24</v>
      </c>
      <c r="O26" s="1300"/>
      <c r="P26" s="1301" t="s">
        <v>3104</v>
      </c>
      <c r="Q26" s="1302"/>
      <c r="R26" s="66"/>
      <c r="T26" s="25"/>
      <c r="X26" s="55"/>
      <c r="Y26" s="55"/>
      <c r="Z26" s="55"/>
      <c r="AA26" s="55"/>
      <c r="AJ26" s="30"/>
    </row>
    <row r="27" spans="1:36" ht="43.8" thickBot="1" x14ac:dyDescent="0.35">
      <c r="B27" s="26"/>
      <c r="C27" s="35" t="s">
        <v>21</v>
      </c>
      <c r="D27" s="36" t="s">
        <v>22</v>
      </c>
      <c r="E27" s="36" t="s">
        <v>23</v>
      </c>
      <c r="F27" s="36" t="s">
        <v>24</v>
      </c>
      <c r="G27" s="37" t="s">
        <v>25</v>
      </c>
      <c r="I27" s="35"/>
      <c r="J27" s="1193" t="s">
        <v>3100</v>
      </c>
      <c r="K27" s="1193" t="s">
        <v>3101</v>
      </c>
      <c r="L27" s="1193" t="s">
        <v>3100</v>
      </c>
      <c r="M27" s="1193" t="s">
        <v>3101</v>
      </c>
      <c r="N27" s="1193" t="s">
        <v>3100</v>
      </c>
      <c r="O27" s="1193" t="s">
        <v>3101</v>
      </c>
      <c r="P27" s="1193" t="s">
        <v>3102</v>
      </c>
      <c r="Q27" s="1193" t="s">
        <v>3103</v>
      </c>
      <c r="R27" s="66"/>
      <c r="T27" s="25"/>
      <c r="W27" s="35" t="s">
        <v>26</v>
      </c>
      <c r="X27" s="36" t="s">
        <v>27</v>
      </c>
      <c r="Y27" s="36" t="s">
        <v>28</v>
      </c>
      <c r="Z27" s="36" t="s">
        <v>29</v>
      </c>
      <c r="AA27" s="37" t="s">
        <v>25</v>
      </c>
      <c r="AJ27" s="30"/>
    </row>
    <row r="28" spans="1:36" ht="15" thickBot="1" x14ac:dyDescent="0.35">
      <c r="B28" s="26"/>
      <c r="C28" s="39" t="s">
        <v>30</v>
      </c>
      <c r="D28" s="274">
        <f t="shared" ref="D28:D33" si="9">D6/G6</f>
        <v>0.94265313791807592</v>
      </c>
      <c r="E28" s="275">
        <f t="shared" ref="E28:E33" si="10">E6/G6</f>
        <v>2.5103344607290492E-2</v>
      </c>
      <c r="F28" s="275">
        <f t="shared" ref="F28:F33" si="11">F6/G6</f>
        <v>3.2243517474633596E-2</v>
      </c>
      <c r="G28" s="14">
        <f t="shared" ref="G28:G33" si="12">$D28+$E28+$F28</f>
        <v>1</v>
      </c>
      <c r="I28" s="39" t="s">
        <v>30</v>
      </c>
      <c r="J28" s="1196">
        <f>SUMIF(sommaire[Département_nom], $I28, sommaire[PDI_individus_homme])</f>
        <v>5102</v>
      </c>
      <c r="K28" s="1197">
        <f>SUMIF(sommaire[Département_nom], $I28, sommaire[PDI_individus_femme])</f>
        <v>7440</v>
      </c>
      <c r="L28" s="1197">
        <f>SUMIF(sommaire[Département_nom], $I28, sommaire[REF_individus homme])</f>
        <v>156</v>
      </c>
      <c r="M28" s="1198">
        <f>SUMIF(sommaire[Département_nom], $I28, sommaire[REF_individus femme])</f>
        <v>178</v>
      </c>
      <c r="N28" s="1197">
        <f>SUMIF(sommaire[Département_nom], $I28, sommaire[RET_individus homme])</f>
        <v>181</v>
      </c>
      <c r="O28" s="1197">
        <f>SUMIF(sommaire[Département_nom], $I28, sommaire[RET_individus femme])</f>
        <v>248</v>
      </c>
      <c r="P28" s="1195">
        <f>J28+L28+N28</f>
        <v>5439</v>
      </c>
      <c r="Q28" s="1201">
        <f>K28+M28+O28</f>
        <v>7866</v>
      </c>
      <c r="R28" s="66"/>
      <c r="T28" s="25"/>
      <c r="W28" s="39" t="s">
        <v>30</v>
      </c>
      <c r="X28" s="57">
        <f t="shared" ref="X28:Z33" si="13">D28</f>
        <v>0.94265313791807592</v>
      </c>
      <c r="Y28" s="57">
        <f t="shared" si="13"/>
        <v>2.5103344607290492E-2</v>
      </c>
      <c r="Z28" s="57">
        <f t="shared" si="13"/>
        <v>3.2243517474633596E-2</v>
      </c>
      <c r="AA28" s="58">
        <f t="shared" ref="AA28:AA33" si="14">$X28+$Y28+$Z28</f>
        <v>1</v>
      </c>
      <c r="AJ28" s="30"/>
    </row>
    <row r="29" spans="1:36" ht="15" thickBot="1" x14ac:dyDescent="0.35">
      <c r="B29" s="26"/>
      <c r="C29" s="44" t="s">
        <v>31</v>
      </c>
      <c r="D29" s="276">
        <f t="shared" si="9"/>
        <v>0.63317753356989881</v>
      </c>
      <c r="E29" s="277">
        <f t="shared" si="10"/>
        <v>0.12428678619999688</v>
      </c>
      <c r="F29" s="277">
        <f>F7/G7</f>
        <v>0.24253568023010427</v>
      </c>
      <c r="G29" s="15">
        <f t="shared" si="12"/>
        <v>1</v>
      </c>
      <c r="I29" s="44" t="s">
        <v>31</v>
      </c>
      <c r="J29" s="1200">
        <f>SUMIF(sommaire[Département_nom], $I29, sommaire[PDI_individus_homme])</f>
        <v>67941</v>
      </c>
      <c r="K29" s="1200">
        <f>SUMIF(sommaire[Département_nom], $I29, sommaire[PDI_individus_femme])</f>
        <v>94079</v>
      </c>
      <c r="L29" s="1200">
        <f>SUMIF(sommaire[Département_nom], $I29, sommaire[REF_individus homme])</f>
        <v>14602</v>
      </c>
      <c r="M29" s="1200">
        <f>SUMIF(sommaire[Département_nom], $I29, sommaire[REF_individus femme])</f>
        <v>17201</v>
      </c>
      <c r="N29" s="1200">
        <f>SUMIF(sommaire[Département_nom], $I29, sommaire[RET_individus homme])</f>
        <v>27676</v>
      </c>
      <c r="O29" s="1200">
        <f>SUMIF(sommaire[Département_nom], $I29, sommaire[RET_individus femme])</f>
        <v>34385</v>
      </c>
      <c r="P29" s="1199">
        <f t="shared" ref="P29:P33" si="15">J29+L29+N29</f>
        <v>110219</v>
      </c>
      <c r="Q29" s="1202">
        <f t="shared" ref="Q29:Q33" si="16">K29+M29+O29</f>
        <v>145665</v>
      </c>
      <c r="R29" s="66"/>
      <c r="T29" s="25"/>
      <c r="W29" s="44" t="s">
        <v>31</v>
      </c>
      <c r="X29" s="59">
        <f t="shared" si="13"/>
        <v>0.63317753356989881</v>
      </c>
      <c r="Y29" s="59">
        <f t="shared" si="13"/>
        <v>0.12428678619999688</v>
      </c>
      <c r="Z29" s="59">
        <f t="shared" si="13"/>
        <v>0.24253568023010427</v>
      </c>
      <c r="AA29" s="60">
        <f t="shared" si="14"/>
        <v>1</v>
      </c>
      <c r="AJ29" s="30"/>
    </row>
    <row r="30" spans="1:36" ht="15" thickBot="1" x14ac:dyDescent="0.35">
      <c r="B30" s="26"/>
      <c r="C30" s="39" t="s">
        <v>32</v>
      </c>
      <c r="D30" s="274">
        <f t="shared" si="9"/>
        <v>0.20744803216990421</v>
      </c>
      <c r="E30" s="275">
        <f>E8/G8</f>
        <v>2.7237676331747537E-3</v>
      </c>
      <c r="F30" s="275">
        <f t="shared" si="11"/>
        <v>0.78982820019692102</v>
      </c>
      <c r="G30" s="14">
        <f t="shared" si="12"/>
        <v>1</v>
      </c>
      <c r="I30" s="39" t="s">
        <v>32</v>
      </c>
      <c r="J30" s="1196">
        <f>SUMIF(sommaire[Département_nom], $I30, sommaire[PDI_individus_homme])</f>
        <v>10081</v>
      </c>
      <c r="K30" s="1197">
        <f>SUMIF(sommaire[Département_nom], $I30, sommaire[PDI_individus_femme])</f>
        <v>12463</v>
      </c>
      <c r="L30" s="1197">
        <f>SUMIF(sommaire[Département_nom], $I30, sommaire[REF_individus homme])</f>
        <v>124</v>
      </c>
      <c r="M30" s="1198">
        <f>SUMIF(sommaire[Département_nom], $I30, sommaire[REF_individus femme])</f>
        <v>172</v>
      </c>
      <c r="N30" s="1197">
        <f>SUMIF(sommaire[Département_nom], $I30, sommaire[RET_individus homme])</f>
        <v>35158</v>
      </c>
      <c r="O30" s="1197">
        <f>SUMIF(sommaire[Département_nom], $I30, sommaire[RET_individus femme])</f>
        <v>50675</v>
      </c>
      <c r="P30" s="1195">
        <f t="shared" si="15"/>
        <v>45363</v>
      </c>
      <c r="Q30" s="1201">
        <f t="shared" si="16"/>
        <v>63310</v>
      </c>
      <c r="R30" s="66"/>
      <c r="T30" s="25"/>
      <c r="W30" s="39" t="s">
        <v>32</v>
      </c>
      <c r="X30" s="57">
        <f t="shared" si="13"/>
        <v>0.20744803216990421</v>
      </c>
      <c r="Y30" s="57">
        <f t="shared" si="13"/>
        <v>2.7237676331747537E-3</v>
      </c>
      <c r="Z30" s="57">
        <f t="shared" si="13"/>
        <v>0.78982820019692102</v>
      </c>
      <c r="AA30" s="58">
        <f t="shared" si="14"/>
        <v>1</v>
      </c>
      <c r="AJ30" s="30"/>
    </row>
    <row r="31" spans="1:36" ht="15" thickBot="1" x14ac:dyDescent="0.35">
      <c r="B31" s="26"/>
      <c r="C31" s="44" t="s">
        <v>33</v>
      </c>
      <c r="D31" s="276">
        <f t="shared" si="9"/>
        <v>0.85158826592605452</v>
      </c>
      <c r="E31" s="277">
        <f t="shared" si="10"/>
        <v>0.11595209165075508</v>
      </c>
      <c r="F31" s="277">
        <f t="shared" si="11"/>
        <v>3.2459642423190417E-2</v>
      </c>
      <c r="G31" s="15">
        <f t="shared" si="12"/>
        <v>1</v>
      </c>
      <c r="I31" s="44" t="s">
        <v>33</v>
      </c>
      <c r="J31" s="1200">
        <f>SUMIF(sommaire[Département_nom], $I31, sommaire[PDI_individus_homme])</f>
        <v>2262</v>
      </c>
      <c r="K31" s="1200">
        <f>SUMIF(sommaire[Département_nom], $I31, sommaire[PDI_individus_femme])</f>
        <v>2644</v>
      </c>
      <c r="L31" s="1200">
        <f>SUMIF(sommaire[Département_nom], $I31, sommaire[REF_individus homme])</f>
        <v>333</v>
      </c>
      <c r="M31" s="1200">
        <f>SUMIF(sommaire[Département_nom], $I31, sommaire[REF_individus femme])</f>
        <v>335</v>
      </c>
      <c r="N31" s="1200">
        <f>SUMIF(sommaire[Département_nom], $I31, sommaire[RET_individus homme])</f>
        <v>87</v>
      </c>
      <c r="O31" s="1200">
        <f>SUMIF(sommaire[Département_nom], $I31, sommaire[RET_individus femme])</f>
        <v>100</v>
      </c>
      <c r="P31" s="1199">
        <f t="shared" si="15"/>
        <v>2682</v>
      </c>
      <c r="Q31" s="1202">
        <f t="shared" si="16"/>
        <v>3079</v>
      </c>
      <c r="R31" s="66"/>
      <c r="T31" s="25"/>
      <c r="W31" s="44" t="s">
        <v>33</v>
      </c>
      <c r="X31" s="59">
        <f t="shared" si="13"/>
        <v>0.85158826592605452</v>
      </c>
      <c r="Y31" s="59">
        <f t="shared" si="13"/>
        <v>0.11595209165075508</v>
      </c>
      <c r="Z31" s="59">
        <f t="shared" si="13"/>
        <v>3.2459642423190417E-2</v>
      </c>
      <c r="AA31" s="60">
        <f t="shared" si="14"/>
        <v>1</v>
      </c>
      <c r="AJ31" s="30"/>
    </row>
    <row r="32" spans="1:36" ht="15" thickBot="1" x14ac:dyDescent="0.35">
      <c r="B32" s="26"/>
      <c r="C32" s="39" t="s">
        <v>34</v>
      </c>
      <c r="D32" s="274">
        <f t="shared" si="9"/>
        <v>0.75550413263086669</v>
      </c>
      <c r="E32" s="275">
        <f t="shared" si="10"/>
        <v>4.5899995166513607E-2</v>
      </c>
      <c r="F32" s="275">
        <f t="shared" si="11"/>
        <v>0.19859587220261976</v>
      </c>
      <c r="G32" s="14">
        <f t="shared" si="12"/>
        <v>1</v>
      </c>
      <c r="I32" s="39" t="s">
        <v>34</v>
      </c>
      <c r="J32" s="1196">
        <f>SUMIF(sommaire[Département_nom], $I32, sommaire[PDI_individus_homme])</f>
        <v>51343</v>
      </c>
      <c r="K32" s="1197">
        <f>SUMIF(sommaire[Département_nom], $I32, sommaire[PDI_individus_femme])</f>
        <v>73702</v>
      </c>
      <c r="L32" s="1197">
        <f>SUMIF(sommaire[Département_nom], $I32, sommaire[REF_individus homme])</f>
        <v>3150</v>
      </c>
      <c r="M32" s="1198">
        <f>SUMIF(sommaire[Département_nom], $I32, sommaire[REF_individus femme])</f>
        <v>4447</v>
      </c>
      <c r="N32" s="1197">
        <f>SUMIF(sommaire[Département_nom], $I32, sommaire[RET_individus homme])</f>
        <v>14226</v>
      </c>
      <c r="O32" s="1197">
        <f>SUMIF(sommaire[Département_nom], $I32, sommaire[RET_individus femme])</f>
        <v>18644</v>
      </c>
      <c r="P32" s="1195">
        <f t="shared" si="15"/>
        <v>68719</v>
      </c>
      <c r="Q32" s="1201">
        <f t="shared" si="16"/>
        <v>96793</v>
      </c>
      <c r="R32" s="66"/>
      <c r="T32" s="25"/>
      <c r="W32" s="39" t="s">
        <v>34</v>
      </c>
      <c r="X32" s="57">
        <f t="shared" si="13"/>
        <v>0.75550413263086669</v>
      </c>
      <c r="Y32" s="57">
        <f t="shared" si="13"/>
        <v>4.5899995166513607E-2</v>
      </c>
      <c r="Z32" s="57">
        <f t="shared" si="13"/>
        <v>0.19859587220261976</v>
      </c>
      <c r="AA32" s="58">
        <f t="shared" si="14"/>
        <v>1</v>
      </c>
      <c r="AJ32" s="30"/>
    </row>
    <row r="33" spans="2:36" ht="15" thickBot="1" x14ac:dyDescent="0.35">
      <c r="B33" s="26"/>
      <c r="C33" s="61" t="s">
        <v>35</v>
      </c>
      <c r="D33" s="278">
        <f t="shared" si="9"/>
        <v>0.76707490656659838</v>
      </c>
      <c r="E33" s="279">
        <f t="shared" si="10"/>
        <v>6.7096980445587887E-2</v>
      </c>
      <c r="F33" s="279">
        <f t="shared" si="11"/>
        <v>0.16582811298781369</v>
      </c>
      <c r="G33" s="280">
        <f t="shared" si="12"/>
        <v>1</v>
      </c>
      <c r="I33" s="61" t="s">
        <v>35</v>
      </c>
      <c r="J33" s="1200">
        <f>SUMIF(sommaire[Département_nom], $I33, sommaire[PDI_individus_homme])</f>
        <v>40806</v>
      </c>
      <c r="K33" s="1200">
        <f>SUMIF(sommaire[Département_nom], $I33, sommaire[PDI_individus_femme])</f>
        <v>59970</v>
      </c>
      <c r="L33" s="1200">
        <f>SUMIF(sommaire[Département_nom], $I33, sommaire[REF_individus homme])</f>
        <v>3708</v>
      </c>
      <c r="M33" s="1200">
        <f>SUMIF(sommaire[Département_nom], $I33, sommaire[REF_individus femme])</f>
        <v>5107</v>
      </c>
      <c r="N33" s="1200">
        <f>SUMIF(sommaire[Département_nom], $I33, sommaire[RET_individus homme])</f>
        <v>10227</v>
      </c>
      <c r="O33" s="1200">
        <f>SUMIF(sommaire[Département_nom], $I33, sommaire[RET_individus femme])</f>
        <v>11559</v>
      </c>
      <c r="P33" s="1203">
        <f t="shared" si="15"/>
        <v>54741</v>
      </c>
      <c r="Q33" s="1204">
        <f t="shared" si="16"/>
        <v>76636</v>
      </c>
      <c r="R33" s="66"/>
      <c r="T33" s="25"/>
      <c r="W33" s="61" t="s">
        <v>35</v>
      </c>
      <c r="X33" s="62">
        <f t="shared" si="13"/>
        <v>0.76707490656659838</v>
      </c>
      <c r="Y33" s="62">
        <f t="shared" si="13"/>
        <v>6.7096980445587887E-2</v>
      </c>
      <c r="Z33" s="62">
        <f t="shared" si="13"/>
        <v>0.16582811298781369</v>
      </c>
      <c r="AA33" s="63">
        <f t="shared" si="14"/>
        <v>1</v>
      </c>
      <c r="AJ33" s="30"/>
    </row>
    <row r="34" spans="2:36" ht="15" thickBot="1" x14ac:dyDescent="0.35">
      <c r="B34" s="26"/>
      <c r="C34" s="64"/>
      <c r="D34" s="65"/>
      <c r="E34" s="64"/>
      <c r="F34" s="64"/>
      <c r="G34" s="64"/>
      <c r="I34" s="48" t="s">
        <v>25</v>
      </c>
      <c r="J34" s="49">
        <f>SUM(J28:J33)</f>
        <v>177535</v>
      </c>
      <c r="K34" s="49">
        <f t="shared" ref="K34:Q34" si="17">SUM(K28:K33)</f>
        <v>250298</v>
      </c>
      <c r="L34" s="49">
        <f t="shared" si="17"/>
        <v>22073</v>
      </c>
      <c r="M34" s="49">
        <f t="shared" si="17"/>
        <v>27440</v>
      </c>
      <c r="N34" s="49">
        <f t="shared" si="17"/>
        <v>87555</v>
      </c>
      <c r="O34" s="49">
        <f t="shared" si="17"/>
        <v>115611</v>
      </c>
      <c r="P34" s="49">
        <f t="shared" si="17"/>
        <v>287163</v>
      </c>
      <c r="Q34" s="49">
        <f t="shared" si="17"/>
        <v>393349</v>
      </c>
      <c r="R34" s="66"/>
      <c r="T34" s="25"/>
      <c r="W34" s="64"/>
      <c r="X34" s="64"/>
      <c r="Y34" s="64"/>
      <c r="Z34" s="64"/>
      <c r="AA34" s="64"/>
      <c r="AJ34" s="30"/>
    </row>
    <row r="35" spans="2:36" x14ac:dyDescent="0.3">
      <c r="B35" s="26"/>
      <c r="C35" s="64"/>
      <c r="D35" s="65"/>
      <c r="E35" s="64"/>
      <c r="F35" s="64"/>
      <c r="G35" s="64"/>
      <c r="J35" s="1194"/>
      <c r="K35" s="1194"/>
      <c r="L35" s="1194"/>
      <c r="M35" s="1194"/>
      <c r="N35" s="1194"/>
      <c r="O35" s="1194"/>
      <c r="P35" s="1194"/>
      <c r="Q35" s="1194"/>
      <c r="R35" s="66"/>
      <c r="T35" s="25"/>
      <c r="W35" s="64"/>
      <c r="X35" s="64"/>
      <c r="Y35" s="64"/>
      <c r="Z35" s="64"/>
      <c r="AA35" s="64"/>
      <c r="AJ35" s="30"/>
    </row>
    <row r="36" spans="2:36" ht="16.2" thickBot="1" x14ac:dyDescent="0.35">
      <c r="B36" s="26"/>
      <c r="C36" s="27" t="s">
        <v>40</v>
      </c>
      <c r="D36" s="28"/>
      <c r="E36" s="27"/>
      <c r="F36" s="27"/>
      <c r="G36" s="27"/>
      <c r="R36" s="66"/>
      <c r="T36" s="25"/>
      <c r="AJ36" s="30"/>
    </row>
    <row r="37" spans="2:36" ht="16.2" thickBot="1" x14ac:dyDescent="0.35">
      <c r="B37" s="26"/>
      <c r="I37" s="1112"/>
      <c r="J37" s="1299" t="s">
        <v>22</v>
      </c>
      <c r="K37" s="1300"/>
      <c r="L37" s="1299" t="s">
        <v>23</v>
      </c>
      <c r="M37" s="1300"/>
      <c r="N37" s="1299" t="s">
        <v>24</v>
      </c>
      <c r="O37" s="1300"/>
      <c r="P37" s="1303" t="s">
        <v>3104</v>
      </c>
      <c r="Q37" s="1302"/>
      <c r="R37" s="66"/>
      <c r="T37" s="25"/>
      <c r="AJ37" s="30"/>
    </row>
    <row r="38" spans="2:36" ht="43.8" thickBot="1" x14ac:dyDescent="0.35">
      <c r="B38" s="26"/>
      <c r="C38" s="35" t="s">
        <v>41</v>
      </c>
      <c r="D38" s="36" t="s">
        <v>22</v>
      </c>
      <c r="E38" s="36" t="s">
        <v>23</v>
      </c>
      <c r="F38" s="36" t="s">
        <v>24</v>
      </c>
      <c r="G38" s="37" t="s">
        <v>25</v>
      </c>
      <c r="I38" s="35"/>
      <c r="J38" s="1193" t="s">
        <v>3100</v>
      </c>
      <c r="K38" s="1193" t="s">
        <v>3101</v>
      </c>
      <c r="L38" s="1193" t="s">
        <v>3100</v>
      </c>
      <c r="M38" s="1193" t="s">
        <v>3101</v>
      </c>
      <c r="N38" s="1193" t="s">
        <v>3100</v>
      </c>
      <c r="O38" s="1193" t="s">
        <v>3101</v>
      </c>
      <c r="P38" s="1193" t="s">
        <v>3102</v>
      </c>
      <c r="Q38" s="1193" t="s">
        <v>3103</v>
      </c>
      <c r="R38" s="1205" t="s">
        <v>3105</v>
      </c>
      <c r="S38" s="67"/>
      <c r="T38" s="34"/>
      <c r="W38" s="35" t="s">
        <v>42</v>
      </c>
      <c r="X38" s="36" t="s">
        <v>27</v>
      </c>
      <c r="Y38" s="36" t="s">
        <v>28</v>
      </c>
      <c r="Z38" s="36" t="s">
        <v>29</v>
      </c>
      <c r="AA38" s="37" t="s">
        <v>25</v>
      </c>
      <c r="AJ38" s="30"/>
    </row>
    <row r="39" spans="2:36" ht="15" thickBot="1" x14ac:dyDescent="0.35">
      <c r="B39" s="26"/>
      <c r="C39" s="39" t="s">
        <v>30</v>
      </c>
      <c r="D39" s="1001">
        <f>SUMIF(sommaire[Département_nom],C39,sommaire[PDI_ménages])</f>
        <v>1906</v>
      </c>
      <c r="E39" s="1001">
        <f>SUMIF(sommaire[Département_nom],C39,sommaire[REF_ménages])</f>
        <v>42</v>
      </c>
      <c r="F39" s="1001">
        <f>SUMIF(sommaire[Département_nom],C39,sommaire[RET_Menages])</f>
        <v>45</v>
      </c>
      <c r="G39" s="1001">
        <f t="shared" ref="G39:G44" si="18">D39+E39+F39</f>
        <v>1993</v>
      </c>
      <c r="I39" s="39" t="s">
        <v>30</v>
      </c>
      <c r="J39" s="274">
        <f t="shared" ref="J39:J44" si="19">J28/$J$34</f>
        <v>2.8737995324865519E-2</v>
      </c>
      <c r="K39" s="274">
        <f>K28/$K$34</f>
        <v>2.9724568314569034E-2</v>
      </c>
      <c r="L39" s="274">
        <f>L28/$L$34</f>
        <v>7.0674579803379697E-3</v>
      </c>
      <c r="M39" s="274">
        <f>M28/$M$34</f>
        <v>6.486880466472303E-3</v>
      </c>
      <c r="N39" s="274">
        <f>N28/$N$34</f>
        <v>2.0672720004568557E-3</v>
      </c>
      <c r="O39" s="274">
        <f>O28/$O$34</f>
        <v>2.1451245988703496E-3</v>
      </c>
      <c r="P39" s="275">
        <f>P28/$P$34</f>
        <v>1.8940462385474453E-2</v>
      </c>
      <c r="Q39" s="275">
        <f>Q28/$Q$34</f>
        <v>1.9997508573811044E-2</v>
      </c>
      <c r="R39" s="1206">
        <f>P39*-1</f>
        <v>-1.8940462385474453E-2</v>
      </c>
      <c r="S39" s="68"/>
      <c r="T39" s="69"/>
      <c r="W39" s="39" t="s">
        <v>30</v>
      </c>
      <c r="X39" s="42">
        <f t="shared" ref="X39:Z44" si="20">D39</f>
        <v>1906</v>
      </c>
      <c r="Y39" s="42">
        <f t="shared" si="20"/>
        <v>42</v>
      </c>
      <c r="Z39" s="42">
        <f t="shared" si="20"/>
        <v>45</v>
      </c>
      <c r="AA39" s="43">
        <f t="shared" ref="AA39:AA44" si="21">$X39+$Y39+$Z39</f>
        <v>1993</v>
      </c>
      <c r="AJ39" s="30"/>
    </row>
    <row r="40" spans="2:36" ht="15" thickBot="1" x14ac:dyDescent="0.35">
      <c r="B40" s="26"/>
      <c r="C40" s="44" t="s">
        <v>31</v>
      </c>
      <c r="D40" s="1002">
        <f>SUMIF(sommaire[Département_nom],C40,sommaire[PDI_ménages])</f>
        <v>30657</v>
      </c>
      <c r="E40" s="1002">
        <f>SUMIF(sommaire[Département_nom],C40,sommaire[REF_ménages])</f>
        <v>5315</v>
      </c>
      <c r="F40" s="1002">
        <f>SUMIF(sommaire[Département_nom],C40,sommaire[RET_Menages])</f>
        <v>9623</v>
      </c>
      <c r="G40" s="1002">
        <f t="shared" si="18"/>
        <v>45595</v>
      </c>
      <c r="I40" s="44" t="s">
        <v>31</v>
      </c>
      <c r="J40" s="274">
        <f t="shared" si="19"/>
        <v>0.38269073703776718</v>
      </c>
      <c r="K40" s="274">
        <f t="shared" ref="K40:K44" si="22">K29/$K$34</f>
        <v>0.37586796538526079</v>
      </c>
      <c r="L40" s="274">
        <f t="shared" ref="L40:L44" si="23">L29/$L$34</f>
        <v>0.661532188646763</v>
      </c>
      <c r="M40" s="274">
        <f t="shared" ref="M40:M44" si="24">M29/$M$34</f>
        <v>0.6268586005830904</v>
      </c>
      <c r="N40" s="274">
        <f t="shared" ref="N40:N44" si="25">N29/$N$34</f>
        <v>0.31609845240134771</v>
      </c>
      <c r="O40" s="274">
        <f t="shared" ref="O40:O44" si="26">O29/$O$34</f>
        <v>0.29741979569418137</v>
      </c>
      <c r="P40" s="275">
        <f t="shared" ref="P40:P44" si="27">P29/$P$34</f>
        <v>0.38382033897124629</v>
      </c>
      <c r="Q40" s="275">
        <f t="shared" ref="Q40:Q44" si="28">Q29/$Q$34</f>
        <v>0.37031999572898366</v>
      </c>
      <c r="R40" s="1206">
        <f t="shared" ref="R40:R45" si="29">P40*-1</f>
        <v>-0.38382033897124629</v>
      </c>
      <c r="S40" s="68"/>
      <c r="T40" s="69"/>
      <c r="W40" s="44" t="s">
        <v>31</v>
      </c>
      <c r="X40" s="46">
        <f t="shared" si="20"/>
        <v>30657</v>
      </c>
      <c r="Y40" s="46">
        <f t="shared" si="20"/>
        <v>5315</v>
      </c>
      <c r="Z40" s="46">
        <f t="shared" si="20"/>
        <v>9623</v>
      </c>
      <c r="AA40" s="47">
        <f t="shared" si="21"/>
        <v>45595</v>
      </c>
      <c r="AJ40" s="30"/>
    </row>
    <row r="41" spans="2:36" ht="15" thickBot="1" x14ac:dyDescent="0.35">
      <c r="B41" s="26"/>
      <c r="C41" s="39" t="s">
        <v>32</v>
      </c>
      <c r="D41" s="1001">
        <f>SUMIF(sommaire[Département_nom],C41,sommaire[PDI_ménages])</f>
        <v>3296</v>
      </c>
      <c r="E41" s="1001">
        <f>SUMIF(sommaire[Département_nom],C41,sommaire[REF_ménages])</f>
        <v>71</v>
      </c>
      <c r="F41" s="1001">
        <f>SUMIF(sommaire[Département_nom],C41,sommaire[RET_Menages])</f>
        <v>10867</v>
      </c>
      <c r="G41" s="1001">
        <f t="shared" si="18"/>
        <v>14234</v>
      </c>
      <c r="I41" s="39" t="s">
        <v>32</v>
      </c>
      <c r="J41" s="274">
        <f t="shared" si="19"/>
        <v>5.6783169515870112E-2</v>
      </c>
      <c r="K41" s="274">
        <f t="shared" si="22"/>
        <v>4.9792647164579817E-2</v>
      </c>
      <c r="L41" s="274">
        <f t="shared" si="23"/>
        <v>5.6177230100122322E-3</v>
      </c>
      <c r="M41" s="274">
        <f t="shared" si="24"/>
        <v>6.2682215743440229E-3</v>
      </c>
      <c r="N41" s="274">
        <f t="shared" si="25"/>
        <v>0.40155330934840955</v>
      </c>
      <c r="O41" s="274">
        <f t="shared" si="26"/>
        <v>0.43832334293449587</v>
      </c>
      <c r="P41" s="275">
        <f t="shared" si="27"/>
        <v>0.15796951557129574</v>
      </c>
      <c r="Q41" s="275">
        <f t="shared" si="28"/>
        <v>0.16095121634985726</v>
      </c>
      <c r="R41" s="1206">
        <f t="shared" si="29"/>
        <v>-0.15796951557129574</v>
      </c>
      <c r="S41" s="68"/>
      <c r="T41" s="69"/>
      <c r="W41" s="39" t="s">
        <v>32</v>
      </c>
      <c r="X41" s="42">
        <f t="shared" si="20"/>
        <v>3296</v>
      </c>
      <c r="Y41" s="42">
        <f t="shared" si="20"/>
        <v>71</v>
      </c>
      <c r="Z41" s="42">
        <f t="shared" si="20"/>
        <v>10867</v>
      </c>
      <c r="AA41" s="43">
        <f t="shared" si="21"/>
        <v>14234</v>
      </c>
      <c r="AJ41" s="30"/>
    </row>
    <row r="42" spans="2:36" ht="15" thickBot="1" x14ac:dyDescent="0.35">
      <c r="B42" s="26"/>
      <c r="C42" s="44" t="s">
        <v>33</v>
      </c>
      <c r="D42" s="1002">
        <f>SUMIF(sommaire[Département_nom],C42,sommaire[PDI_ménages])</f>
        <v>468</v>
      </c>
      <c r="E42" s="1002">
        <f>SUMIF(sommaire[Département_nom],C42,sommaire[REF_ménages])</f>
        <v>101</v>
      </c>
      <c r="F42" s="1002">
        <f>SUMIF(sommaire[Département_nom],C42,sommaire[RET_Menages])</f>
        <v>34</v>
      </c>
      <c r="G42" s="1002">
        <f t="shared" si="18"/>
        <v>603</v>
      </c>
      <c r="I42" s="44" t="s">
        <v>33</v>
      </c>
      <c r="J42" s="274">
        <f t="shared" si="19"/>
        <v>1.2741149632466838E-2</v>
      </c>
      <c r="K42" s="274">
        <f t="shared" si="22"/>
        <v>1.0563408417166737E-2</v>
      </c>
      <c r="L42" s="274">
        <f t="shared" si="23"/>
        <v>1.5086304534952204E-2</v>
      </c>
      <c r="M42" s="274">
        <f t="shared" si="24"/>
        <v>1.2208454810495626E-2</v>
      </c>
      <c r="N42" s="274">
        <f t="shared" si="25"/>
        <v>9.9366112729141684E-4</v>
      </c>
      <c r="O42" s="274">
        <f t="shared" si="26"/>
        <v>8.6496959631868935E-4</v>
      </c>
      <c r="P42" s="275">
        <f t="shared" si="27"/>
        <v>9.3396433384523771E-3</v>
      </c>
      <c r="Q42" s="275">
        <f t="shared" si="28"/>
        <v>7.8276543222430967E-3</v>
      </c>
      <c r="R42" s="1206">
        <f t="shared" si="29"/>
        <v>-9.3396433384523771E-3</v>
      </c>
      <c r="S42" s="68"/>
      <c r="T42" s="69"/>
      <c r="W42" s="44" t="s">
        <v>33</v>
      </c>
      <c r="X42" s="46">
        <f t="shared" si="20"/>
        <v>468</v>
      </c>
      <c r="Y42" s="46">
        <f t="shared" si="20"/>
        <v>101</v>
      </c>
      <c r="Z42" s="46">
        <f t="shared" si="20"/>
        <v>34</v>
      </c>
      <c r="AA42" s="47">
        <f t="shared" si="21"/>
        <v>603</v>
      </c>
      <c r="AJ42" s="30"/>
    </row>
    <row r="43" spans="2:36" ht="15" thickBot="1" x14ac:dyDescent="0.35">
      <c r="B43" s="26"/>
      <c r="C43" s="39" t="s">
        <v>34</v>
      </c>
      <c r="D43" s="1001">
        <f>SUMIF(sommaire[Département_nom],C43,sommaire[PDI_ménages])</f>
        <v>19898</v>
      </c>
      <c r="E43" s="1001">
        <f>SUMIF(sommaire[Département_nom],C43,sommaire[REF_ménages])</f>
        <v>1323</v>
      </c>
      <c r="F43" s="1001">
        <f>SUMIF(sommaire[Département_nom],C43,sommaire[RET_Menages])</f>
        <v>5074</v>
      </c>
      <c r="G43" s="1001">
        <f t="shared" si="18"/>
        <v>26295</v>
      </c>
      <c r="I43" s="39" t="s">
        <v>34</v>
      </c>
      <c r="J43" s="274">
        <f t="shared" si="19"/>
        <v>0.28919931281155831</v>
      </c>
      <c r="K43" s="274">
        <f t="shared" si="22"/>
        <v>0.29445700724736112</v>
      </c>
      <c r="L43" s="274">
        <f t="shared" si="23"/>
        <v>0.14270828614143977</v>
      </c>
      <c r="M43" s="274">
        <f t="shared" si="24"/>
        <v>0.16206268221574344</v>
      </c>
      <c r="N43" s="274">
        <f t="shared" si="25"/>
        <v>0.16248072640054823</v>
      </c>
      <c r="O43" s="274">
        <f t="shared" si="26"/>
        <v>0.16126493153765645</v>
      </c>
      <c r="P43" s="275">
        <f t="shared" si="27"/>
        <v>0.23930311356268044</v>
      </c>
      <c r="Q43" s="275">
        <f t="shared" si="28"/>
        <v>0.24607409704867689</v>
      </c>
      <c r="R43" s="1206">
        <f t="shared" si="29"/>
        <v>-0.23930311356268044</v>
      </c>
      <c r="S43" s="68"/>
      <c r="T43" s="69"/>
      <c r="W43" s="39" t="s">
        <v>34</v>
      </c>
      <c r="X43" s="42">
        <f t="shared" si="20"/>
        <v>19898</v>
      </c>
      <c r="Y43" s="42">
        <f t="shared" si="20"/>
        <v>1323</v>
      </c>
      <c r="Z43" s="42">
        <f t="shared" si="20"/>
        <v>5074</v>
      </c>
      <c r="AA43" s="43">
        <f t="shared" si="21"/>
        <v>26295</v>
      </c>
      <c r="AJ43" s="30"/>
    </row>
    <row r="44" spans="2:36" ht="15" thickBot="1" x14ac:dyDescent="0.35">
      <c r="B44" s="26"/>
      <c r="C44" s="44" t="s">
        <v>35</v>
      </c>
      <c r="D44" s="1002">
        <f>SUMIF(sommaire[Département_nom],C44,sommaire[PDI_ménages])</f>
        <v>16585</v>
      </c>
      <c r="E44" s="1002">
        <f>SUMIF(sommaire[Département_nom],C44,sommaire[REF_ménages])</f>
        <v>1586</v>
      </c>
      <c r="F44" s="1002">
        <f>SUMIF(sommaire[Département_nom],C44,sommaire[RET_Menages])</f>
        <v>3590</v>
      </c>
      <c r="G44" s="1002">
        <f t="shared" si="18"/>
        <v>21761</v>
      </c>
      <c r="I44" s="61" t="s">
        <v>35</v>
      </c>
      <c r="J44" s="274">
        <f t="shared" si="19"/>
        <v>0.22984763567747205</v>
      </c>
      <c r="K44" s="274">
        <f t="shared" si="22"/>
        <v>0.23959440347106251</v>
      </c>
      <c r="L44" s="274">
        <f t="shared" si="23"/>
        <v>0.16798803968649481</v>
      </c>
      <c r="M44" s="274">
        <f t="shared" si="24"/>
        <v>0.18611516034985423</v>
      </c>
      <c r="N44" s="274">
        <f t="shared" si="25"/>
        <v>0.11680657872194621</v>
      </c>
      <c r="O44" s="274">
        <f t="shared" si="26"/>
        <v>9.9981835638477304E-2</v>
      </c>
      <c r="P44" s="275">
        <f t="shared" si="27"/>
        <v>0.1906269261708507</v>
      </c>
      <c r="Q44" s="275">
        <f t="shared" si="28"/>
        <v>0.19482952797642805</v>
      </c>
      <c r="R44" s="1206">
        <f t="shared" si="29"/>
        <v>-0.1906269261708507</v>
      </c>
      <c r="S44" s="68"/>
      <c r="T44" s="69"/>
      <c r="W44" s="44" t="s">
        <v>35</v>
      </c>
      <c r="X44" s="46">
        <f t="shared" si="20"/>
        <v>16585</v>
      </c>
      <c r="Y44" s="46">
        <f t="shared" si="20"/>
        <v>1586</v>
      </c>
      <c r="Z44" s="46">
        <f t="shared" si="20"/>
        <v>3590</v>
      </c>
      <c r="AA44" s="47">
        <f t="shared" si="21"/>
        <v>21761</v>
      </c>
      <c r="AJ44" s="30"/>
    </row>
    <row r="45" spans="2:36" ht="15" thickBot="1" x14ac:dyDescent="0.35">
      <c r="B45" s="26"/>
      <c r="C45" s="48" t="s">
        <v>25</v>
      </c>
      <c r="D45" s="49">
        <f>SUM(D39:D44)</f>
        <v>72810</v>
      </c>
      <c r="E45" s="50">
        <f>SUM(E39:E44)</f>
        <v>8438</v>
      </c>
      <c r="F45" s="50">
        <f>SUM(F39:F44)</f>
        <v>29233</v>
      </c>
      <c r="G45" s="51">
        <f>SUM(G39:G44)</f>
        <v>110481</v>
      </c>
      <c r="I45" s="1207" t="s">
        <v>25</v>
      </c>
      <c r="J45" s="1208">
        <f>J34/SUM($J$34:$K$34)</f>
        <v>0.41496331512529422</v>
      </c>
      <c r="K45" s="1208">
        <f>K34/SUM($J$34:$K$34)</f>
        <v>0.58503668487470584</v>
      </c>
      <c r="L45" s="1208">
        <f>L34/SUM($L$34:$M$34)</f>
        <v>0.44580211257649505</v>
      </c>
      <c r="M45" s="1208">
        <f>M34/SUM($L$34:$M$34)</f>
        <v>0.55419788742350495</v>
      </c>
      <c r="N45" s="1208">
        <f>N34/SUM($N$34:$O$34)</f>
        <v>0.43095301379167772</v>
      </c>
      <c r="O45" s="1208">
        <f>O34/SUM($N$34:$O$34)</f>
        <v>0.56904698620832228</v>
      </c>
      <c r="P45" s="1209">
        <f>P34/SUM($P$34:$Q$34)</f>
        <v>0.42198080268973948</v>
      </c>
      <c r="Q45" s="1209">
        <f>Q34/SUM($P$34:$Q$34)</f>
        <v>0.57801919731026052</v>
      </c>
      <c r="R45" s="1210">
        <f t="shared" si="29"/>
        <v>-0.42198080268973948</v>
      </c>
      <c r="S45" s="68"/>
      <c r="T45" s="69"/>
      <c r="W45" s="48" t="s">
        <v>25</v>
      </c>
      <c r="X45" s="52">
        <f>SUM(X39:X44)</f>
        <v>72810</v>
      </c>
      <c r="Y45" s="52">
        <f>SUM(Y39:Y44)</f>
        <v>8438</v>
      </c>
      <c r="Z45" s="52">
        <f>SUM(Z39:Z44)</f>
        <v>29233</v>
      </c>
      <c r="AA45" s="53">
        <f>SUM(AA39:AA44)</f>
        <v>110481</v>
      </c>
      <c r="AJ45" s="30"/>
    </row>
    <row r="46" spans="2:36" x14ac:dyDescent="0.3">
      <c r="B46" s="26"/>
      <c r="D46" s="886">
        <f>$D$45/$G$45</f>
        <v>0.65902734406821084</v>
      </c>
      <c r="E46" s="886">
        <f>$E$45/$G$45</f>
        <v>7.6375123324372518E-2</v>
      </c>
      <c r="F46" s="886">
        <f>$F$45/$G$45</f>
        <v>0.26459753260741664</v>
      </c>
      <c r="G46" s="886">
        <f>SUM(D46:F46)</f>
        <v>1</v>
      </c>
      <c r="M46" s="24" t="s">
        <v>43</v>
      </c>
      <c r="N46" s="24" t="s">
        <v>43</v>
      </c>
      <c r="T46" s="25"/>
      <c r="X46" s="55">
        <f>D46</f>
        <v>0.65902734406821084</v>
      </c>
      <c r="Y46" s="55">
        <f>E46</f>
        <v>7.6375123324372518E-2</v>
      </c>
      <c r="Z46" s="55">
        <f>F46</f>
        <v>0.26459753260741664</v>
      </c>
      <c r="AA46" s="55">
        <f>SUM(X46:Z46)</f>
        <v>1</v>
      </c>
      <c r="AJ46" s="30"/>
    </row>
    <row r="47" spans="2:36" x14ac:dyDescent="0.3">
      <c r="B47" s="26"/>
      <c r="T47" s="25"/>
      <c r="AJ47" s="30"/>
    </row>
    <row r="48" spans="2:36" x14ac:dyDescent="0.3">
      <c r="B48" s="26"/>
      <c r="T48" s="25"/>
      <c r="AJ48" s="30"/>
    </row>
    <row r="49" spans="2:36" x14ac:dyDescent="0.3">
      <c r="B49" s="26"/>
      <c r="T49" s="25"/>
      <c r="AJ49" s="30"/>
    </row>
    <row r="50" spans="2:36" x14ac:dyDescent="0.3">
      <c r="B50" s="26"/>
      <c r="T50" s="25"/>
      <c r="AJ50" s="30"/>
    </row>
    <row r="51" spans="2:36" x14ac:dyDescent="0.3">
      <c r="B51" s="26"/>
      <c r="T51" s="25"/>
      <c r="AJ51" s="30"/>
    </row>
    <row r="52" spans="2:36" x14ac:dyDescent="0.3">
      <c r="B52" s="26"/>
      <c r="T52" s="25"/>
      <c r="AJ52" s="30"/>
    </row>
    <row r="53" spans="2:36" x14ac:dyDescent="0.3">
      <c r="B53" s="26"/>
      <c r="C53" s="70" t="s">
        <v>3415</v>
      </c>
      <c r="F53" s="70" t="s">
        <v>44</v>
      </c>
      <c r="G53" s="70"/>
      <c r="H53" s="70"/>
      <c r="I53" s="70" t="s">
        <v>45</v>
      </c>
      <c r="T53" s="25"/>
      <c r="W53" s="70" t="s">
        <v>46</v>
      </c>
      <c r="Z53" s="70" t="s">
        <v>47</v>
      </c>
      <c r="AJ53" s="30"/>
    </row>
    <row r="54" spans="2:36" ht="15" thickBot="1" x14ac:dyDescent="0.35">
      <c r="B54" s="26"/>
      <c r="T54" s="25"/>
      <c r="AJ54" s="30"/>
    </row>
    <row r="55" spans="2:36" ht="48" customHeight="1" thickBot="1" x14ac:dyDescent="0.35">
      <c r="B55" s="26"/>
      <c r="C55" s="35" t="s">
        <v>48</v>
      </c>
      <c r="D55" s="37" t="s">
        <v>49</v>
      </c>
      <c r="F55" s="35" t="s">
        <v>48</v>
      </c>
      <c r="G55" s="37" t="s">
        <v>49</v>
      </c>
      <c r="I55" s="35" t="s">
        <v>48</v>
      </c>
      <c r="J55" s="36" t="s">
        <v>50</v>
      </c>
      <c r="K55" s="36" t="s">
        <v>3417</v>
      </c>
      <c r="L55" s="37" t="s">
        <v>3418</v>
      </c>
      <c r="T55" s="25"/>
      <c r="W55" s="35" t="s">
        <v>51</v>
      </c>
      <c r="X55" s="37" t="s">
        <v>49</v>
      </c>
      <c r="Z55" s="35" t="s">
        <v>51</v>
      </c>
      <c r="AA55" s="37" t="s">
        <v>49</v>
      </c>
      <c r="AC55" s="35" t="s">
        <v>51</v>
      </c>
      <c r="AD55" s="36" t="s">
        <v>52</v>
      </c>
      <c r="AE55" s="36" t="s">
        <v>53</v>
      </c>
      <c r="AF55" s="37" t="s">
        <v>54</v>
      </c>
      <c r="AJ55" s="30"/>
    </row>
    <row r="56" spans="2:36" ht="15" thickBot="1" x14ac:dyDescent="0.35">
      <c r="B56" s="26"/>
      <c r="C56" s="71" t="s">
        <v>30</v>
      </c>
      <c r="D56" s="16">
        <f>COUNTIFS(sommaire[Département_nom],$C56)</f>
        <v>84</v>
      </c>
      <c r="F56" s="71" t="s">
        <v>30</v>
      </c>
      <c r="G56" s="16">
        <f>COUNTIFS(sommaire[Département_nom],F56,sommaire[village_SSID],"XXXX")</f>
        <v>1</v>
      </c>
      <c r="I56" s="71" t="s">
        <v>30</v>
      </c>
      <c r="J56" s="11">
        <f>SUMIF(sommaire[Département_nom],$I56,sommaire[population globale du village])</f>
        <v>189065</v>
      </c>
      <c r="K56" s="11">
        <f>SUMIF(sommaire[Département_nom],$I56,sommaire[PDI_individus])</f>
        <v>12542</v>
      </c>
      <c r="L56" s="887">
        <f>$K56/$J56</f>
        <v>6.6336974056541403E-2</v>
      </c>
      <c r="T56" s="25"/>
      <c r="W56" s="71" t="s">
        <v>30</v>
      </c>
      <c r="X56" s="597">
        <f t="shared" ref="X56:X61" si="30">D56</f>
        <v>84</v>
      </c>
      <c r="Z56" s="71" t="s">
        <v>30</v>
      </c>
      <c r="AA56" s="72">
        <f t="shared" ref="AA56:AA61" si="31">G56</f>
        <v>1</v>
      </c>
      <c r="AC56" s="71" t="s">
        <v>30</v>
      </c>
      <c r="AD56" s="42">
        <f t="shared" ref="AD56:AF61" si="32">J56</f>
        <v>189065</v>
      </c>
      <c r="AE56" s="42">
        <f t="shared" si="32"/>
        <v>12542</v>
      </c>
      <c r="AF56" s="58">
        <f t="shared" si="32"/>
        <v>6.6336974056541403E-2</v>
      </c>
      <c r="AJ56" s="30"/>
    </row>
    <row r="57" spans="2:36" ht="15" thickBot="1" x14ac:dyDescent="0.35">
      <c r="B57" s="26"/>
      <c r="C57" s="74" t="s">
        <v>31</v>
      </c>
      <c r="D57" s="17">
        <f>COUNTIFS(sommaire[Département_nom],$C57)</f>
        <v>685</v>
      </c>
      <c r="F57" s="74" t="s">
        <v>31</v>
      </c>
      <c r="G57" s="17">
        <f>COUNTIFS(sommaire[Département_nom],F57,sommaire[village_SSID],"XXXX")</f>
        <v>41</v>
      </c>
      <c r="I57" s="74" t="s">
        <v>31</v>
      </c>
      <c r="J57" s="74">
        <f>SUMIF(sommaire[Département_nom],$I57,sommaire[population globale du village])</f>
        <v>787623</v>
      </c>
      <c r="K57" s="74">
        <f>SUMIF(sommaire[Département_nom],$I57,sommaire[PDI_individus])</f>
        <v>162020</v>
      </c>
      <c r="L57" s="888">
        <f t="shared" ref="L57:L61" si="33">$K57/$J57</f>
        <v>0.20570755297902676</v>
      </c>
      <c r="T57" s="25"/>
      <c r="W57" s="74" t="s">
        <v>31</v>
      </c>
      <c r="X57" s="598">
        <f t="shared" si="30"/>
        <v>685</v>
      </c>
      <c r="Z57" s="74" t="s">
        <v>31</v>
      </c>
      <c r="AA57" s="75">
        <f t="shared" si="31"/>
        <v>41</v>
      </c>
      <c r="AC57" s="74" t="s">
        <v>31</v>
      </c>
      <c r="AD57" s="46">
        <f t="shared" si="32"/>
        <v>787623</v>
      </c>
      <c r="AE57" s="46">
        <f t="shared" si="32"/>
        <v>162020</v>
      </c>
      <c r="AF57" s="60">
        <f t="shared" si="32"/>
        <v>0.20570755297902676</v>
      </c>
      <c r="AJ57" s="30"/>
    </row>
    <row r="58" spans="2:36" ht="15" thickBot="1" x14ac:dyDescent="0.35">
      <c r="B58" s="26"/>
      <c r="C58" s="71" t="s">
        <v>32</v>
      </c>
      <c r="D58" s="16">
        <f>COUNTIFS(sommaire[Département_nom],$C58)</f>
        <v>105</v>
      </c>
      <c r="F58" s="71" t="s">
        <v>32</v>
      </c>
      <c r="G58" s="16">
        <f>COUNTIFS(sommaire[Département_nom],F58,sommaire[village_SSID],"XXXX")</f>
        <v>15</v>
      </c>
      <c r="I58" s="71" t="s">
        <v>32</v>
      </c>
      <c r="J58" s="11">
        <f>SUMIF(sommaire[Département_nom],$I58,sommaire[population globale du village])</f>
        <v>383898</v>
      </c>
      <c r="K58" s="11">
        <f>SUMIF(sommaire[Département_nom],$I58,sommaire[PDI_individus])</f>
        <v>22544</v>
      </c>
      <c r="L58" s="887">
        <f t="shared" si="33"/>
        <v>5.8723931877738354E-2</v>
      </c>
      <c r="T58" s="25"/>
      <c r="W58" s="71" t="s">
        <v>32</v>
      </c>
      <c r="X58" s="597">
        <f t="shared" si="30"/>
        <v>105</v>
      </c>
      <c r="Z58" s="71" t="s">
        <v>32</v>
      </c>
      <c r="AA58" s="72">
        <f t="shared" si="31"/>
        <v>15</v>
      </c>
      <c r="AC58" s="71" t="s">
        <v>32</v>
      </c>
      <c r="AD58" s="42">
        <f t="shared" si="32"/>
        <v>383898</v>
      </c>
      <c r="AE58" s="42">
        <f t="shared" si="32"/>
        <v>22544</v>
      </c>
      <c r="AF58" s="58">
        <f t="shared" si="32"/>
        <v>5.8723931877738354E-2</v>
      </c>
      <c r="AJ58" s="30"/>
    </row>
    <row r="59" spans="2:36" ht="15" thickBot="1" x14ac:dyDescent="0.35">
      <c r="B59" s="26"/>
      <c r="C59" s="74" t="s">
        <v>33</v>
      </c>
      <c r="D59" s="17">
        <f>COUNTIFS(sommaire[Département_nom],$C59)</f>
        <v>46</v>
      </c>
      <c r="F59" s="74" t="s">
        <v>33</v>
      </c>
      <c r="G59" s="17">
        <f>COUNTIFS(sommaire[Département_nom],F59,sommaire[village_SSID],"XXXX")</f>
        <v>3</v>
      </c>
      <c r="I59" s="74" t="s">
        <v>33</v>
      </c>
      <c r="J59" s="74">
        <f>SUMIF(sommaire[Département_nom],$I59,sommaire[population globale du village])</f>
        <v>113935</v>
      </c>
      <c r="K59" s="74">
        <f>SUMIF(sommaire[Département_nom],$I59,sommaire[PDI_individus])</f>
        <v>4906</v>
      </c>
      <c r="L59" s="888">
        <f t="shared" si="33"/>
        <v>4.3059639268003685E-2</v>
      </c>
      <c r="T59" s="25"/>
      <c r="W59" s="74" t="s">
        <v>33</v>
      </c>
      <c r="X59" s="598">
        <f t="shared" si="30"/>
        <v>46</v>
      </c>
      <c r="Z59" s="74" t="s">
        <v>33</v>
      </c>
      <c r="AA59" s="75">
        <f t="shared" si="31"/>
        <v>3</v>
      </c>
      <c r="AC59" s="74" t="s">
        <v>33</v>
      </c>
      <c r="AD59" s="46">
        <f t="shared" si="32"/>
        <v>113935</v>
      </c>
      <c r="AE59" s="46">
        <f t="shared" si="32"/>
        <v>4906</v>
      </c>
      <c r="AF59" s="60">
        <f t="shared" si="32"/>
        <v>4.3059639268003685E-2</v>
      </c>
      <c r="AJ59" s="30"/>
    </row>
    <row r="60" spans="2:36" ht="15" thickBot="1" x14ac:dyDescent="0.35">
      <c r="B60" s="26"/>
      <c r="C60" s="71" t="s">
        <v>34</v>
      </c>
      <c r="D60" s="16">
        <f>COUNTIFS(sommaire[Département_nom],$C60)</f>
        <v>144</v>
      </c>
      <c r="F60" s="71" t="s">
        <v>34</v>
      </c>
      <c r="G60" s="16">
        <f>COUNTIFS(sommaire[Département_nom],F60,sommaire[village_SSID],"XXXX")</f>
        <v>1</v>
      </c>
      <c r="I60" s="71" t="s">
        <v>34</v>
      </c>
      <c r="J60" s="11">
        <f>SUMIF(sommaire[Département_nom],$I60,sommaire[population globale du village])</f>
        <v>453056</v>
      </c>
      <c r="K60" s="11">
        <f>SUMIF(sommaire[Département_nom],$I60,sommaire[PDI_individus])</f>
        <v>125045</v>
      </c>
      <c r="L60" s="887">
        <f t="shared" si="33"/>
        <v>0.276003407967227</v>
      </c>
      <c r="T60" s="25"/>
      <c r="W60" s="71" t="s">
        <v>34</v>
      </c>
      <c r="X60" s="597">
        <f t="shared" si="30"/>
        <v>144</v>
      </c>
      <c r="Z60" s="71" t="s">
        <v>34</v>
      </c>
      <c r="AA60" s="72">
        <f t="shared" si="31"/>
        <v>1</v>
      </c>
      <c r="AC60" s="71" t="s">
        <v>34</v>
      </c>
      <c r="AD60" s="42">
        <f t="shared" si="32"/>
        <v>453056</v>
      </c>
      <c r="AE60" s="42">
        <f t="shared" si="32"/>
        <v>125045</v>
      </c>
      <c r="AF60" s="58">
        <f t="shared" si="32"/>
        <v>0.276003407967227</v>
      </c>
      <c r="AJ60" s="30"/>
    </row>
    <row r="61" spans="2:36" ht="15" thickBot="1" x14ac:dyDescent="0.35">
      <c r="B61" s="26"/>
      <c r="C61" s="74" t="s">
        <v>35</v>
      </c>
      <c r="D61" s="17">
        <f>COUNTIFS(sommaire[Département_nom],$C61)</f>
        <v>199</v>
      </c>
      <c r="F61" s="74" t="s">
        <v>35</v>
      </c>
      <c r="G61" s="17">
        <f>COUNTIFS(sommaire[Département_nom],F61,sommaire[village_SSID],"XXXX")</f>
        <v>15</v>
      </c>
      <c r="I61" s="74" t="s">
        <v>35</v>
      </c>
      <c r="J61" s="74">
        <f>SUMIF(sommaire[Département_nom],$I61,sommaire[population globale du village])</f>
        <v>723313</v>
      </c>
      <c r="K61" s="74">
        <f>SUMIF(sommaire[Département_nom],$I61,sommaire[PDI_individus])</f>
        <v>100776</v>
      </c>
      <c r="L61" s="888">
        <f t="shared" si="33"/>
        <v>0.13932557551156968</v>
      </c>
      <c r="T61" s="25"/>
      <c r="W61" s="74" t="s">
        <v>35</v>
      </c>
      <c r="X61" s="598">
        <f t="shared" si="30"/>
        <v>199</v>
      </c>
      <c r="Z61" s="74" t="s">
        <v>35</v>
      </c>
      <c r="AA61" s="75">
        <f t="shared" si="31"/>
        <v>15</v>
      </c>
      <c r="AC61" s="74" t="s">
        <v>35</v>
      </c>
      <c r="AD61" s="46">
        <f t="shared" si="32"/>
        <v>723313</v>
      </c>
      <c r="AE61" s="46">
        <f t="shared" si="32"/>
        <v>100776</v>
      </c>
      <c r="AF61" s="60">
        <f t="shared" si="32"/>
        <v>0.13932557551156968</v>
      </c>
      <c r="AJ61" s="30"/>
    </row>
    <row r="62" spans="2:36" ht="15" thickBot="1" x14ac:dyDescent="0.35">
      <c r="B62" s="26"/>
      <c r="C62" s="48" t="s">
        <v>25</v>
      </c>
      <c r="D62" s="77">
        <f>SUM(D56:D61)</f>
        <v>1263</v>
      </c>
      <c r="F62" s="48" t="s">
        <v>25</v>
      </c>
      <c r="G62" s="78">
        <f>SUM(G56:G61)</f>
        <v>76</v>
      </c>
      <c r="I62" s="48" t="s">
        <v>25</v>
      </c>
      <c r="J62" s="79">
        <f>SUBTOTAL(109,$J$56:$J$61)</f>
        <v>2650890</v>
      </c>
      <c r="K62" s="50">
        <f>SUBTOTAL(109,$K$56:$K$61)</f>
        <v>427833</v>
      </c>
      <c r="L62" s="80">
        <f>$K$62/$J$62</f>
        <v>0.16139221167230627</v>
      </c>
      <c r="T62" s="25"/>
      <c r="W62" s="48" t="s">
        <v>25</v>
      </c>
      <c r="X62" s="53">
        <f>SUM(X56:X61)</f>
        <v>1263</v>
      </c>
      <c r="Z62" s="48" t="s">
        <v>25</v>
      </c>
      <c r="AA62" s="78">
        <f>SUM(AA56:AA61)</f>
        <v>76</v>
      </c>
      <c r="AC62" s="48" t="s">
        <v>25</v>
      </c>
      <c r="AD62" s="52">
        <f>SUBTOTAL(109,$AD$56:$AD$61)</f>
        <v>2650890</v>
      </c>
      <c r="AE62" s="52">
        <f>SUBTOTAL(109,$AE$56:$AE$61)</f>
        <v>427833</v>
      </c>
      <c r="AF62" s="80">
        <f>$AE$62/$AD$62</f>
        <v>0.16139221167230627</v>
      </c>
      <c r="AJ62" s="30"/>
    </row>
    <row r="63" spans="2:36" x14ac:dyDescent="0.3">
      <c r="B63" s="26"/>
      <c r="T63" s="25"/>
      <c r="AJ63" s="30"/>
    </row>
    <row r="64" spans="2:36" x14ac:dyDescent="0.3">
      <c r="B64" s="26"/>
      <c r="T64" s="25"/>
      <c r="AJ64" s="30"/>
    </row>
    <row r="65" spans="2:36" x14ac:dyDescent="0.3">
      <c r="B65" s="26"/>
      <c r="C65" s="70" t="s">
        <v>55</v>
      </c>
      <c r="D65" s="24"/>
      <c r="I65" s="70" t="s">
        <v>56</v>
      </c>
      <c r="J65" s="31"/>
      <c r="N65" s="70" t="s">
        <v>57</v>
      </c>
      <c r="O65" s="70"/>
      <c r="Q65" s="70" t="s">
        <v>3106</v>
      </c>
      <c r="R65" s="70"/>
      <c r="T65" s="25"/>
      <c r="W65" s="70" t="s">
        <v>58</v>
      </c>
      <c r="AB65" s="70" t="s">
        <v>59</v>
      </c>
      <c r="AH65" s="70" t="s">
        <v>60</v>
      </c>
      <c r="AI65" s="70"/>
      <c r="AJ65" s="30"/>
    </row>
    <row r="66" spans="2:36" ht="15" thickBot="1" x14ac:dyDescent="0.35">
      <c r="B66" s="26"/>
      <c r="D66" s="24"/>
      <c r="J66" s="31"/>
      <c r="T66" s="25"/>
      <c r="AJ66" s="30"/>
    </row>
    <row r="67" spans="2:36" ht="55.5" customHeight="1" thickBot="1" x14ac:dyDescent="0.35">
      <c r="B67" s="26"/>
      <c r="C67" s="35" t="s">
        <v>48</v>
      </c>
      <c r="D67" s="1243" t="s">
        <v>61</v>
      </c>
      <c r="E67" s="1243" t="s">
        <v>62</v>
      </c>
      <c r="F67" s="1244" t="s">
        <v>63</v>
      </c>
      <c r="G67" s="1256" t="s">
        <v>64</v>
      </c>
      <c r="I67" s="35" t="s">
        <v>48</v>
      </c>
      <c r="J67" s="36" t="s">
        <v>65</v>
      </c>
      <c r="K67" s="36" t="s">
        <v>66</v>
      </c>
      <c r="L67" s="37" t="s">
        <v>67</v>
      </c>
      <c r="N67" s="81" t="s">
        <v>48</v>
      </c>
      <c r="O67" s="82" t="s">
        <v>68</v>
      </c>
      <c r="Q67" s="81" t="s">
        <v>48</v>
      </c>
      <c r="R67" s="82" t="s">
        <v>3107</v>
      </c>
      <c r="T67" s="25"/>
      <c r="W67" s="35" t="s">
        <v>51</v>
      </c>
      <c r="X67" s="36" t="s">
        <v>69</v>
      </c>
      <c r="Y67" s="36" t="s">
        <v>70</v>
      </c>
      <c r="Z67" s="37" t="s">
        <v>71</v>
      </c>
      <c r="AB67" s="35" t="s">
        <v>51</v>
      </c>
      <c r="AC67" s="36" t="s">
        <v>72</v>
      </c>
      <c r="AD67" s="36" t="s">
        <v>73</v>
      </c>
      <c r="AE67" s="37" t="s">
        <v>74</v>
      </c>
      <c r="AF67" s="37" t="s">
        <v>75</v>
      </c>
      <c r="AH67" s="81" t="s">
        <v>51</v>
      </c>
      <c r="AI67" s="82" t="s">
        <v>76</v>
      </c>
      <c r="AJ67" s="30"/>
    </row>
    <row r="68" spans="2:36" ht="15" thickBot="1" x14ac:dyDescent="0.35">
      <c r="B68" s="26"/>
      <c r="C68" s="71" t="s">
        <v>30</v>
      </c>
      <c r="D68" s="11">
        <f>COUNTIFS(sommaire[Département_nom],$C68,sommaire[présence_population],"*Le village est entièrement déserté*")</f>
        <v>1</v>
      </c>
      <c r="E68" s="11">
        <f>COUNTIFS(sommaire[Département_nom],$C68,sommaire[village-acceuille-pop-cible(dpi_ref_ret)],"Non")</f>
        <v>9</v>
      </c>
      <c r="F68" s="11" t="e">
        <f>COUNTIFS(sommaire[Département_nom],$C68, #REF!, "&gt;"&amp;0)</f>
        <v>#REF!</v>
      </c>
      <c r="G68" s="11">
        <f>COUNTIFS(sommaire[Département_nom],$C68,sommaire[Type de localité],"Sites de déplacement spontanés")</f>
        <v>13</v>
      </c>
      <c r="I68" s="71" t="s">
        <v>30</v>
      </c>
      <c r="J68" s="11">
        <f>COUNTIFS(sommaire[Département_nom],I68,sommaire[PDI_individus],"&gt;"&amp;0)</f>
        <v>66</v>
      </c>
      <c r="K68" s="11">
        <f>COUNTIFS(sommaire[Département_nom],I68, sommaire[REF_individus],"&gt;"&amp;0)</f>
        <v>5</v>
      </c>
      <c r="L68" s="11">
        <f>COUNTIFS(sommaire[Département_nom],I68,sommaire[RET_individus],"&gt;"&amp;0)</f>
        <v>10</v>
      </c>
      <c r="M68" s="1000"/>
      <c r="N68" s="83" t="s">
        <v>30</v>
      </c>
      <c r="O68" s="11">
        <f>SUMIF(sommaire[Département_nom],N68,sommaire[nombre informateurs clés])</f>
        <v>234</v>
      </c>
      <c r="Q68" s="83" t="s">
        <v>30</v>
      </c>
      <c r="R68" s="11">
        <f>SUMIF(sommaire[Département_nom],$Q68,sommaire[nombre de participants réunis pour le groupe de discussion])</f>
        <v>41</v>
      </c>
      <c r="T68" s="25"/>
      <c r="W68" s="71" t="s">
        <v>30</v>
      </c>
      <c r="X68" s="40">
        <f t="shared" ref="X68:Z73" si="34">J68</f>
        <v>66</v>
      </c>
      <c r="Y68" s="40">
        <f t="shared" si="34"/>
        <v>5</v>
      </c>
      <c r="Z68" s="73">
        <f t="shared" si="34"/>
        <v>10</v>
      </c>
      <c r="AB68" s="71" t="s">
        <v>30</v>
      </c>
      <c r="AC68" s="40">
        <f t="shared" ref="AC68:AD73" si="35">D68</f>
        <v>1</v>
      </c>
      <c r="AD68" s="40">
        <f t="shared" si="35"/>
        <v>9</v>
      </c>
      <c r="AE68" s="40">
        <f t="shared" ref="AE68:AE73" si="36">G68</f>
        <v>13</v>
      </c>
      <c r="AF68" s="73" t="e">
        <f>F68</f>
        <v>#REF!</v>
      </c>
      <c r="AH68" s="83" t="s">
        <v>30</v>
      </c>
      <c r="AI68" s="599">
        <f t="shared" ref="AI68:AI73" si="37">O68</f>
        <v>234</v>
      </c>
      <c r="AJ68" s="30"/>
    </row>
    <row r="69" spans="2:36" ht="15" thickBot="1" x14ac:dyDescent="0.35">
      <c r="B69" s="26"/>
      <c r="C69" s="74" t="s">
        <v>31</v>
      </c>
      <c r="D69" s="74">
        <f>COUNTIFS(sommaire[Département_nom],$C69,sommaire[présence_population],"*Le village est entièrement déserté*")</f>
        <v>58</v>
      </c>
      <c r="E69" s="74">
        <f>COUNTIFS(sommaire[Département_nom],$C69,sommaire[village-acceuille-pop-cible(dpi_ref_ret)],"Non")</f>
        <v>131</v>
      </c>
      <c r="F69" s="74" t="e">
        <f>COUNTIFS(sommaire[Département_nom],$C69, #REF!, "&gt;"&amp;0)</f>
        <v>#REF!</v>
      </c>
      <c r="G69" s="74">
        <f>COUNTIFS(sommaire[Département_nom],$C69,sommaire[Type de localité],"Sites de déplacement spontanés")</f>
        <v>54</v>
      </c>
      <c r="I69" s="74" t="s">
        <v>31</v>
      </c>
      <c r="J69" s="13">
        <f>COUNTIFS(sommaire[Département_nom],I69,sommaire[PDI_individus],"&gt;"&amp;0)</f>
        <v>459</v>
      </c>
      <c r="K69" s="13">
        <f>COUNTIFS(sommaire[Département_nom],I69, sommaire[REF_individus],"&gt;"&amp;0)</f>
        <v>187</v>
      </c>
      <c r="L69" s="13">
        <f>COUNTIFS(sommaire[Département_nom],I69,sommaire[RET_individus],"&gt;"&amp;0)</f>
        <v>153</v>
      </c>
      <c r="N69" s="84" t="s">
        <v>31</v>
      </c>
      <c r="O69" s="13">
        <f>SUMIF(sommaire[Département_nom],N69,sommaire[nombre informateurs clés])</f>
        <v>1969</v>
      </c>
      <c r="Q69" s="84" t="s">
        <v>31</v>
      </c>
      <c r="R69" s="13">
        <f>SUMIF(sommaire[Département_nom],$Q69,sommaire[nombre de participants réunis pour le groupe de discussion])</f>
        <v>159</v>
      </c>
      <c r="T69" s="25"/>
      <c r="W69" s="74" t="s">
        <v>31</v>
      </c>
      <c r="X69" s="45">
        <f t="shared" si="34"/>
        <v>459</v>
      </c>
      <c r="Y69" s="45">
        <f t="shared" si="34"/>
        <v>187</v>
      </c>
      <c r="Z69" s="76">
        <f t="shared" si="34"/>
        <v>153</v>
      </c>
      <c r="AB69" s="74" t="s">
        <v>31</v>
      </c>
      <c r="AC69" s="45">
        <f t="shared" si="35"/>
        <v>58</v>
      </c>
      <c r="AD69" s="45">
        <f t="shared" si="35"/>
        <v>131</v>
      </c>
      <c r="AE69" s="45">
        <f t="shared" si="36"/>
        <v>54</v>
      </c>
      <c r="AF69" s="85" t="e">
        <f t="shared" ref="AF69:AF73" si="38">F69</f>
        <v>#REF!</v>
      </c>
      <c r="AH69" s="84" t="s">
        <v>31</v>
      </c>
      <c r="AI69" s="600">
        <f t="shared" si="37"/>
        <v>1969</v>
      </c>
      <c r="AJ69" s="30"/>
    </row>
    <row r="70" spans="2:36" ht="15" thickBot="1" x14ac:dyDescent="0.35">
      <c r="B70" s="26"/>
      <c r="C70" s="71" t="s">
        <v>32</v>
      </c>
      <c r="D70" s="11">
        <f>COUNTIFS(sommaire[Département_nom],$C70,sommaire[présence_population],"*Le village est entièrement déserté*")</f>
        <v>5</v>
      </c>
      <c r="E70" s="11">
        <f>COUNTIFS(sommaire[Département_nom],$C70,sommaire[village-acceuille-pop-cible(dpi_ref_ret)],"Non")</f>
        <v>6</v>
      </c>
      <c r="F70" s="11" t="e">
        <f>COUNTIFS(sommaire[Département_nom],$C70, #REF!, "&gt;"&amp;0)</f>
        <v>#REF!</v>
      </c>
      <c r="G70" s="11">
        <f>COUNTIFS(sommaire[Département_nom],$C70,sommaire[Type de localité],"Sites de déplacement spontanés")</f>
        <v>16</v>
      </c>
      <c r="I70" s="71" t="s">
        <v>32</v>
      </c>
      <c r="J70" s="11">
        <f>COUNTIFS(sommaire[Département_nom],I70,sommaire[PDI_individus],"&gt;"&amp;0)</f>
        <v>50</v>
      </c>
      <c r="K70" s="11">
        <f>COUNTIFS(sommaire[Département_nom],I70, sommaire[REF_individus],"&gt;"&amp;0)</f>
        <v>4</v>
      </c>
      <c r="L70" s="11">
        <f>COUNTIFS(sommaire[Département_nom],I70,sommaire[RET_individus],"&gt;"&amp;0)</f>
        <v>75</v>
      </c>
      <c r="N70" s="83" t="s">
        <v>32</v>
      </c>
      <c r="O70" s="11">
        <f>SUMIF(sommaire[Département_nom],N70,sommaire[nombre informateurs clés])</f>
        <v>344</v>
      </c>
      <c r="Q70" s="83" t="s">
        <v>32</v>
      </c>
      <c r="R70" s="11">
        <f>SUMIF(sommaire[Département_nom],$Q70,sommaire[nombre de participants réunis pour le groupe de discussion])</f>
        <v>0</v>
      </c>
      <c r="T70" s="25"/>
      <c r="W70" s="71" t="s">
        <v>32</v>
      </c>
      <c r="X70" s="40">
        <f t="shared" si="34"/>
        <v>50</v>
      </c>
      <c r="Y70" s="40">
        <f t="shared" si="34"/>
        <v>4</v>
      </c>
      <c r="Z70" s="73">
        <f t="shared" si="34"/>
        <v>75</v>
      </c>
      <c r="AB70" s="71" t="s">
        <v>32</v>
      </c>
      <c r="AC70" s="40">
        <f t="shared" si="35"/>
        <v>5</v>
      </c>
      <c r="AD70" s="40">
        <f t="shared" si="35"/>
        <v>6</v>
      </c>
      <c r="AE70" s="40">
        <f t="shared" si="36"/>
        <v>16</v>
      </c>
      <c r="AF70" s="86" t="e">
        <f t="shared" si="38"/>
        <v>#REF!</v>
      </c>
      <c r="AH70" s="83" t="s">
        <v>32</v>
      </c>
      <c r="AI70" s="599">
        <f t="shared" si="37"/>
        <v>344</v>
      </c>
      <c r="AJ70" s="30"/>
    </row>
    <row r="71" spans="2:36" ht="15" thickBot="1" x14ac:dyDescent="0.35">
      <c r="B71" s="26"/>
      <c r="C71" s="74" t="s">
        <v>33</v>
      </c>
      <c r="D71" s="74">
        <f>COUNTIFS(sommaire[Département_nom],$C71,sommaire[présence_population],"*Le village est entièrement déserté*")</f>
        <v>0</v>
      </c>
      <c r="E71" s="74">
        <f>COUNTIFS(sommaire[Département_nom],$C71,sommaire[village-acceuille-pop-cible(dpi_ref_ret)],"Non")</f>
        <v>9</v>
      </c>
      <c r="F71" s="74" t="e">
        <f>COUNTIFS(sommaire[Département_nom],$C71, #REF!, "&gt;"&amp;0)</f>
        <v>#REF!</v>
      </c>
      <c r="G71" s="74">
        <f>COUNTIFS(sommaire[Département_nom],$C71,sommaire[Type de localité],"Sites de déplacement spontanés")</f>
        <v>2</v>
      </c>
      <c r="I71" s="74" t="s">
        <v>33</v>
      </c>
      <c r="J71" s="13">
        <f>COUNTIFS(sommaire[Département_nom],I71,sommaire[PDI_individus],"&gt;"&amp;0)</f>
        <v>28</v>
      </c>
      <c r="K71" s="13">
        <f>COUNTIFS(sommaire[Département_nom],I71, sommaire[REF_individus],"&gt;"&amp;0)</f>
        <v>12</v>
      </c>
      <c r="L71" s="13">
        <f>COUNTIFS(sommaire[Département_nom],I71,sommaire[RET_individus],"&gt;"&amp;0)</f>
        <v>12</v>
      </c>
      <c r="N71" s="84" t="s">
        <v>33</v>
      </c>
      <c r="O71" s="13">
        <f>SUMIF(sommaire[Département_nom],N71,sommaire[nombre informateurs clés])</f>
        <v>158</v>
      </c>
      <c r="Q71" s="84" t="s">
        <v>33</v>
      </c>
      <c r="R71" s="13">
        <f>SUMIF(sommaire[Département_nom],$Q71,sommaire[nombre de participants réunis pour le groupe de discussion])</f>
        <v>0</v>
      </c>
      <c r="T71" s="25"/>
      <c r="W71" s="74" t="s">
        <v>33</v>
      </c>
      <c r="X71" s="45">
        <f t="shared" si="34"/>
        <v>28</v>
      </c>
      <c r="Y71" s="45">
        <f t="shared" si="34"/>
        <v>12</v>
      </c>
      <c r="Z71" s="76">
        <f t="shared" si="34"/>
        <v>12</v>
      </c>
      <c r="AB71" s="74" t="s">
        <v>33</v>
      </c>
      <c r="AC71" s="45">
        <f t="shared" si="35"/>
        <v>0</v>
      </c>
      <c r="AD71" s="45">
        <f t="shared" si="35"/>
        <v>9</v>
      </c>
      <c r="AE71" s="45">
        <f t="shared" si="36"/>
        <v>2</v>
      </c>
      <c r="AF71" s="87" t="e">
        <f t="shared" si="38"/>
        <v>#REF!</v>
      </c>
      <c r="AH71" s="84" t="s">
        <v>33</v>
      </c>
      <c r="AI71" s="600">
        <f t="shared" si="37"/>
        <v>158</v>
      </c>
      <c r="AJ71" s="30"/>
    </row>
    <row r="72" spans="2:36" ht="15" thickBot="1" x14ac:dyDescent="0.35">
      <c r="B72" s="26"/>
      <c r="C72" s="71" t="s">
        <v>34</v>
      </c>
      <c r="D72" s="11">
        <f>COUNTIFS(sommaire[Département_nom],$C72,sommaire[présence_population],"*Le village est entièrement déserté*")</f>
        <v>27</v>
      </c>
      <c r="E72" s="11">
        <f>COUNTIFS(sommaire[Département_nom],$C72,sommaire[village-acceuille-pop-cible(dpi_ref_ret)],"Non")</f>
        <v>28</v>
      </c>
      <c r="F72" s="11" t="e">
        <f>COUNTIFS(sommaire[Département_nom],$C72, #REF!, "&gt;"&amp;0)</f>
        <v>#REF!</v>
      </c>
      <c r="G72" s="11">
        <f>COUNTIFS(sommaire[Département_nom],$C72,sommaire[Type de localité],"Sites de déplacement spontanés")</f>
        <v>27</v>
      </c>
      <c r="I72" s="71" t="s">
        <v>34</v>
      </c>
      <c r="J72" s="11">
        <f>COUNTIFS(sommaire[Département_nom],I72,sommaire[PDI_individus],"&gt;"&amp;0)</f>
        <v>113</v>
      </c>
      <c r="K72" s="11">
        <f>COUNTIFS(sommaire[Département_nom],I72, sommaire[REF_individus],"&gt;"&amp;0)</f>
        <v>22</v>
      </c>
      <c r="L72" s="11">
        <f>COUNTIFS(sommaire[Département_nom],I72,sommaire[RET_individus],"&gt;"&amp;0)</f>
        <v>33</v>
      </c>
      <c r="N72" s="83" t="s">
        <v>34</v>
      </c>
      <c r="O72" s="11">
        <f>SUMIF(sommaire[Département_nom],N72,sommaire[nombre informateurs clés])</f>
        <v>438</v>
      </c>
      <c r="Q72" s="83" t="s">
        <v>34</v>
      </c>
      <c r="R72" s="11">
        <f>SUMIF(sommaire[Département_nom],$Q72,sommaire[nombre de participants réunis pour le groupe de discussion])</f>
        <v>34</v>
      </c>
      <c r="T72" s="25"/>
      <c r="W72" s="71" t="s">
        <v>34</v>
      </c>
      <c r="X72" s="40">
        <f t="shared" si="34"/>
        <v>113</v>
      </c>
      <c r="Y72" s="40">
        <f t="shared" si="34"/>
        <v>22</v>
      </c>
      <c r="Z72" s="73">
        <f t="shared" si="34"/>
        <v>33</v>
      </c>
      <c r="AB72" s="71" t="s">
        <v>34</v>
      </c>
      <c r="AC72" s="40">
        <f t="shared" si="35"/>
        <v>27</v>
      </c>
      <c r="AD72" s="40">
        <f t="shared" si="35"/>
        <v>28</v>
      </c>
      <c r="AE72" s="40">
        <f t="shared" si="36"/>
        <v>27</v>
      </c>
      <c r="AF72" s="86" t="e">
        <f t="shared" si="38"/>
        <v>#REF!</v>
      </c>
      <c r="AH72" s="83" t="s">
        <v>34</v>
      </c>
      <c r="AI72" s="599">
        <f t="shared" si="37"/>
        <v>438</v>
      </c>
      <c r="AJ72" s="30"/>
    </row>
    <row r="73" spans="2:36" ht="15" thickBot="1" x14ac:dyDescent="0.35">
      <c r="B73" s="26"/>
      <c r="C73" s="74" t="s">
        <v>35</v>
      </c>
      <c r="D73" s="74">
        <f>COUNTIFS(sommaire[Département_nom],$C73,sommaire[présence_population],"*Le village est entièrement déserté*")</f>
        <v>27</v>
      </c>
      <c r="E73" s="74">
        <f>COUNTIFS(sommaire[Département_nom],$C73,sommaire[village-acceuille-pop-cible(dpi_ref_ret)],"Non")</f>
        <v>33</v>
      </c>
      <c r="F73" s="74" t="e">
        <f>COUNTIFS(sommaire[Département_nom],$C73, #REF!, "&gt;"&amp;0)</f>
        <v>#REF!</v>
      </c>
      <c r="G73" s="74">
        <f>COUNTIFS(sommaire[Département_nom],$C73,sommaire[Type de localité],"Sites de déplacement spontanés")</f>
        <v>17</v>
      </c>
      <c r="I73" s="74" t="s">
        <v>35</v>
      </c>
      <c r="J73" s="13">
        <f>COUNTIFS(sommaire[Département_nom],I73,sommaire[PDI_individus],"&gt;"&amp;0)</f>
        <v>145</v>
      </c>
      <c r="K73" s="13">
        <f>COUNTIFS(sommaire[Département_nom],I73, sommaire[REF_individus],"&gt;"&amp;0)</f>
        <v>45</v>
      </c>
      <c r="L73" s="13">
        <f>COUNTIFS(sommaire[Département_nom],I73,sommaire[RET_individus],"&gt;"&amp;0)</f>
        <v>95</v>
      </c>
      <c r="N73" s="84" t="s">
        <v>35</v>
      </c>
      <c r="O73" s="13">
        <f>SUMIF(sommaire[Département_nom],N73,sommaire[nombre informateurs clés])</f>
        <v>572</v>
      </c>
      <c r="Q73" s="84" t="s">
        <v>35</v>
      </c>
      <c r="R73" s="13">
        <f>SUMIF(sommaire[Département_nom],$Q73,sommaire[nombre de participants réunis pour le groupe de discussion])</f>
        <v>62</v>
      </c>
      <c r="T73" s="25"/>
      <c r="W73" s="74" t="s">
        <v>35</v>
      </c>
      <c r="X73" s="45">
        <f t="shared" si="34"/>
        <v>145</v>
      </c>
      <c r="Y73" s="45">
        <f t="shared" si="34"/>
        <v>45</v>
      </c>
      <c r="Z73" s="76">
        <f t="shared" si="34"/>
        <v>95</v>
      </c>
      <c r="AB73" s="1003" t="s">
        <v>35</v>
      </c>
      <c r="AC73" s="45">
        <f t="shared" si="35"/>
        <v>27</v>
      </c>
      <c r="AD73" s="45">
        <f t="shared" si="35"/>
        <v>33</v>
      </c>
      <c r="AE73" s="45">
        <f t="shared" si="36"/>
        <v>17</v>
      </c>
      <c r="AF73" s="87" t="e">
        <f t="shared" si="38"/>
        <v>#REF!</v>
      </c>
      <c r="AH73" s="84" t="s">
        <v>35</v>
      </c>
      <c r="AI73" s="600">
        <f t="shared" si="37"/>
        <v>572</v>
      </c>
      <c r="AJ73" s="30"/>
    </row>
    <row r="74" spans="2:36" ht="15" thickBot="1" x14ac:dyDescent="0.35">
      <c r="B74" s="26"/>
      <c r="C74" s="48" t="s">
        <v>25</v>
      </c>
      <c r="D74" s="50">
        <f>SUM(D68:D73)</f>
        <v>118</v>
      </c>
      <c r="E74" s="50">
        <f>SUM(E68:E73)</f>
        <v>216</v>
      </c>
      <c r="F74" s="78" t="e">
        <f>SUBTOTAL(109,$F$68:$F$73)</f>
        <v>#REF!</v>
      </c>
      <c r="G74" s="50">
        <f>SUM(G68:G73)</f>
        <v>129</v>
      </c>
      <c r="I74" s="48" t="s">
        <v>25</v>
      </c>
      <c r="J74" s="49">
        <f>SUM(J68:J73)</f>
        <v>861</v>
      </c>
      <c r="K74" s="50">
        <f>SUM(K68:K73)</f>
        <v>275</v>
      </c>
      <c r="L74" s="51">
        <f>SUM(L68:L73)</f>
        <v>378</v>
      </c>
      <c r="N74" s="88" t="s">
        <v>25</v>
      </c>
      <c r="O74" s="89">
        <f>SUM(O68:O73)</f>
        <v>3715</v>
      </c>
      <c r="Q74" s="88" t="s">
        <v>25</v>
      </c>
      <c r="R74" s="89">
        <f>SUM(R68:R73)</f>
        <v>296</v>
      </c>
      <c r="T74" s="25"/>
      <c r="W74" s="48" t="s">
        <v>25</v>
      </c>
      <c r="X74" s="90">
        <f>SUM(X68:X73)</f>
        <v>861</v>
      </c>
      <c r="Y74" s="90">
        <f>SUM(Y68:Y73)</f>
        <v>275</v>
      </c>
      <c r="Z74" s="91">
        <f>SUM(Z68:Z73)</f>
        <v>378</v>
      </c>
      <c r="AB74" s="48" t="s">
        <v>25</v>
      </c>
      <c r="AC74" s="92">
        <f>D74</f>
        <v>118</v>
      </c>
      <c r="AD74" s="92">
        <f>SUM(AD68:AD73)</f>
        <v>216</v>
      </c>
      <c r="AE74" s="92">
        <f>SUM(AE68:AE73)</f>
        <v>129</v>
      </c>
      <c r="AF74" s="78" t="e">
        <f>SUBTOTAL(109,$F$68:$F$73)</f>
        <v>#REF!</v>
      </c>
      <c r="AH74" s="88" t="s">
        <v>25</v>
      </c>
      <c r="AI74" s="601">
        <f>SUM(AI68:AI73)</f>
        <v>3715</v>
      </c>
      <c r="AJ74" s="30"/>
    </row>
    <row r="75" spans="2:36" x14ac:dyDescent="0.3">
      <c r="B75" s="26"/>
      <c r="I75" s="66"/>
      <c r="T75" s="25"/>
      <c r="AJ75" s="30"/>
    </row>
    <row r="76" spans="2:36" x14ac:dyDescent="0.3">
      <c r="B76" s="26"/>
      <c r="I76" s="66"/>
      <c r="T76" s="25"/>
      <c r="AJ76" s="30"/>
    </row>
    <row r="77" spans="2:36" x14ac:dyDescent="0.3">
      <c r="B77" s="26"/>
      <c r="T77" s="25"/>
      <c r="AJ77" s="30"/>
    </row>
    <row r="78" spans="2:36" x14ac:dyDescent="0.3">
      <c r="B78" s="26"/>
      <c r="C78" s="70" t="s">
        <v>77</v>
      </c>
      <c r="D78" s="24"/>
      <c r="L78" s="70" t="s">
        <v>78</v>
      </c>
      <c r="T78" s="25"/>
      <c r="W78" s="70" t="s">
        <v>79</v>
      </c>
      <c r="AE78" s="70" t="s">
        <v>80</v>
      </c>
      <c r="AJ78" s="30"/>
    </row>
    <row r="79" spans="2:36" x14ac:dyDescent="0.3">
      <c r="B79" s="26"/>
      <c r="D79" s="24"/>
      <c r="T79" s="25"/>
      <c r="AJ79" s="30"/>
    </row>
    <row r="80" spans="2:36" ht="45.6" customHeight="1" x14ac:dyDescent="0.3">
      <c r="B80" s="26"/>
      <c r="C80" s="35" t="s">
        <v>48</v>
      </c>
      <c r="D80" s="36" t="s">
        <v>81</v>
      </c>
      <c r="E80" s="36" t="s">
        <v>82</v>
      </c>
      <c r="F80" s="36" t="s">
        <v>83</v>
      </c>
      <c r="G80" s="36" t="s">
        <v>84</v>
      </c>
      <c r="H80" s="36" t="s">
        <v>25</v>
      </c>
      <c r="L80" s="35" t="s">
        <v>48</v>
      </c>
      <c r="M80" s="36" t="s">
        <v>85</v>
      </c>
      <c r="N80" s="36" t="s">
        <v>86</v>
      </c>
      <c r="O80" s="36" t="s">
        <v>25</v>
      </c>
      <c r="T80" s="25"/>
      <c r="W80" s="35" t="s">
        <v>51</v>
      </c>
      <c r="X80" s="36" t="s">
        <v>87</v>
      </c>
      <c r="Y80" s="36" t="s">
        <v>88</v>
      </c>
      <c r="Z80" s="36" t="s">
        <v>89</v>
      </c>
      <c r="AA80" s="36" t="s">
        <v>90</v>
      </c>
      <c r="AB80" s="36" t="s">
        <v>25</v>
      </c>
      <c r="AE80" s="35" t="s">
        <v>51</v>
      </c>
      <c r="AF80" s="36" t="s">
        <v>91</v>
      </c>
      <c r="AG80" s="36" t="s">
        <v>92</v>
      </c>
      <c r="AH80" s="36" t="s">
        <v>25</v>
      </c>
      <c r="AJ80" s="30"/>
    </row>
    <row r="81" spans="2:36" x14ac:dyDescent="0.3">
      <c r="B81" s="26"/>
      <c r="C81" s="71" t="s">
        <v>30</v>
      </c>
      <c r="D81" s="11">
        <f>COUNTIFS(sommaire[présence_population],"Le village est entièrement déserté",sommaire[Département_nom],$C81)</f>
        <v>1</v>
      </c>
      <c r="E81" s="11">
        <f>COUNTIFS(sommaire[présence_population],"Le village est déserté la journée",sommaire[Département_nom],$C81)</f>
        <v>0</v>
      </c>
      <c r="F81" s="11">
        <f>COUNTIFS(sommaire[présence_population],"Le village est déserté la nuit",sommaire[Département_nom],$C81)</f>
        <v>0</v>
      </c>
      <c r="G81" s="11">
        <f>COUNTIFS(sommaire[présence_population],"Le village accueille une population",sommaire[Département_nom],$C81)</f>
        <v>83</v>
      </c>
      <c r="H81" s="11">
        <f>SUM(D81:G81)</f>
        <v>84</v>
      </c>
      <c r="L81" s="71" t="s">
        <v>30</v>
      </c>
      <c r="M81" s="11">
        <f>COUNTIFS(sommaire[village-acceuille-pop-cible(dpi_ref_ret)],$M$80, sommaire[Département_nom],$L81 )</f>
        <v>75</v>
      </c>
      <c r="N81" s="11">
        <f>COUNTIFS(sommaire[village-acceuille-pop-cible(dpi_ref_ret)],$N$80, sommaire[Département_nom], $L81 )</f>
        <v>9</v>
      </c>
      <c r="O81" s="11">
        <f>SUM(M81:N81)</f>
        <v>84</v>
      </c>
      <c r="T81" s="25"/>
      <c r="W81" s="71" t="s">
        <v>30</v>
      </c>
      <c r="X81" s="602">
        <f t="shared" ref="X81:X87" si="39">D81</f>
        <v>1</v>
      </c>
      <c r="Y81" s="602">
        <f t="shared" ref="Y81:AB87" si="40">E81</f>
        <v>0</v>
      </c>
      <c r="Z81" s="602">
        <f t="shared" si="40"/>
        <v>0</v>
      </c>
      <c r="AA81" s="602">
        <f t="shared" si="40"/>
        <v>83</v>
      </c>
      <c r="AB81" s="602">
        <f t="shared" si="40"/>
        <v>84</v>
      </c>
      <c r="AE81" s="71" t="s">
        <v>30</v>
      </c>
      <c r="AF81" s="602">
        <f>M81</f>
        <v>75</v>
      </c>
      <c r="AG81" s="602">
        <f>N81</f>
        <v>9</v>
      </c>
      <c r="AH81" s="602">
        <f>O81</f>
        <v>84</v>
      </c>
      <c r="AJ81" s="30"/>
    </row>
    <row r="82" spans="2:36" x14ac:dyDescent="0.3">
      <c r="B82" s="26"/>
      <c r="C82" s="74" t="s">
        <v>31</v>
      </c>
      <c r="D82" s="74">
        <f>COUNTIFS(sommaire[présence_population],"Le village est entièrement déserté",sommaire[Département_nom],$C82)</f>
        <v>58</v>
      </c>
      <c r="E82" s="74">
        <f>COUNTIFS(sommaire[présence_population],"Le village est déserté la journée",sommaire[Département_nom],$C82)</f>
        <v>0</v>
      </c>
      <c r="F82" s="74">
        <f>COUNTIFS(sommaire[présence_population],"Le village est déserté la nuit",sommaire[Département_nom],$C82)</f>
        <v>2</v>
      </c>
      <c r="G82" s="74">
        <f>COUNTIFS(sommaire[présence_population],"Le village accueille une population",sommaire[Département_nom],$C82)</f>
        <v>625</v>
      </c>
      <c r="H82" s="74">
        <f t="shared" ref="H82:H86" si="41">SUM(D82:G82)</f>
        <v>685</v>
      </c>
      <c r="J82" s="66"/>
      <c r="L82" s="74" t="s">
        <v>31</v>
      </c>
      <c r="M82" s="74">
        <f>COUNTIFS(sommaire[village-acceuille-pop-cible(dpi_ref_ret)],$M$80, sommaire[Département_nom],$L82 )</f>
        <v>554</v>
      </c>
      <c r="N82" s="74">
        <f>COUNTIFS(sommaire[village-acceuille-pop-cible(dpi_ref_ret)],$N$80, sommaire[Département_nom], $L82 )</f>
        <v>131</v>
      </c>
      <c r="O82" s="74">
        <f t="shared" ref="O82:O86" si="42">SUM(M82:N82)</f>
        <v>685</v>
      </c>
      <c r="T82" s="25"/>
      <c r="W82" s="74" t="s">
        <v>31</v>
      </c>
      <c r="X82" s="603">
        <f t="shared" si="39"/>
        <v>58</v>
      </c>
      <c r="Y82" s="603">
        <f t="shared" si="40"/>
        <v>0</v>
      </c>
      <c r="Z82" s="603">
        <f t="shared" si="40"/>
        <v>2</v>
      </c>
      <c r="AA82" s="603">
        <f t="shared" si="40"/>
        <v>625</v>
      </c>
      <c r="AB82" s="603">
        <f t="shared" si="40"/>
        <v>685</v>
      </c>
      <c r="AE82" s="74" t="s">
        <v>31</v>
      </c>
      <c r="AF82" s="603">
        <f t="shared" ref="AF82:AF87" si="43">M82</f>
        <v>554</v>
      </c>
      <c r="AG82" s="603">
        <f t="shared" ref="AG82:AH87" si="44">N82</f>
        <v>131</v>
      </c>
      <c r="AH82" s="603">
        <f t="shared" si="44"/>
        <v>685</v>
      </c>
      <c r="AJ82" s="30"/>
    </row>
    <row r="83" spans="2:36" x14ac:dyDescent="0.3">
      <c r="B83" s="26"/>
      <c r="C83" s="71" t="s">
        <v>32</v>
      </c>
      <c r="D83" s="11">
        <f>COUNTIFS(sommaire[présence_population],"Le village est entièrement déserté",sommaire[Département_nom],$C83)</f>
        <v>5</v>
      </c>
      <c r="E83" s="11">
        <f>COUNTIFS(sommaire[présence_population],"Le village est déserté la journée",sommaire[Département_nom],$C83)</f>
        <v>0</v>
      </c>
      <c r="F83" s="11">
        <f>COUNTIFS(sommaire[présence_population],"Le village est déserté la nuit",sommaire[Département_nom],$C83)</f>
        <v>0</v>
      </c>
      <c r="G83" s="11">
        <f>COUNTIFS(sommaire[présence_population],"Le village accueille une population",sommaire[Département_nom],$C83)</f>
        <v>100</v>
      </c>
      <c r="H83" s="11">
        <f t="shared" si="41"/>
        <v>105</v>
      </c>
      <c r="L83" s="71" t="s">
        <v>32</v>
      </c>
      <c r="M83" s="11">
        <f>COUNTIFS(sommaire[village-acceuille-pop-cible(dpi_ref_ret)],$M$80, sommaire[Département_nom],$L83 )</f>
        <v>99</v>
      </c>
      <c r="N83" s="11">
        <f>COUNTIFS(sommaire[village-acceuille-pop-cible(dpi_ref_ret)],$N$80, sommaire[Département_nom], $L83 )</f>
        <v>6</v>
      </c>
      <c r="O83" s="11">
        <f t="shared" si="42"/>
        <v>105</v>
      </c>
      <c r="T83" s="25"/>
      <c r="W83" s="71" t="s">
        <v>32</v>
      </c>
      <c r="X83" s="602">
        <f t="shared" si="39"/>
        <v>5</v>
      </c>
      <c r="Y83" s="602">
        <f t="shared" si="40"/>
        <v>0</v>
      </c>
      <c r="Z83" s="602">
        <f t="shared" si="40"/>
        <v>0</v>
      </c>
      <c r="AA83" s="602">
        <f t="shared" si="40"/>
        <v>100</v>
      </c>
      <c r="AB83" s="602">
        <f t="shared" si="40"/>
        <v>105</v>
      </c>
      <c r="AE83" s="71" t="s">
        <v>32</v>
      </c>
      <c r="AF83" s="602">
        <f t="shared" si="43"/>
        <v>99</v>
      </c>
      <c r="AG83" s="602">
        <f t="shared" si="44"/>
        <v>6</v>
      </c>
      <c r="AH83" s="602">
        <f t="shared" si="44"/>
        <v>105</v>
      </c>
      <c r="AJ83" s="30"/>
    </row>
    <row r="84" spans="2:36" x14ac:dyDescent="0.3">
      <c r="B84" s="26"/>
      <c r="C84" s="74" t="s">
        <v>33</v>
      </c>
      <c r="D84" s="74">
        <f>COUNTIFS(sommaire[présence_population],"Le village est entièrement déserté",sommaire[Département_nom],$C84)</f>
        <v>0</v>
      </c>
      <c r="E84" s="74">
        <f>COUNTIFS(sommaire[présence_population],"Le village est déserté la journée",sommaire[Département_nom],$C84)</f>
        <v>0</v>
      </c>
      <c r="F84" s="74">
        <f>COUNTIFS(sommaire[présence_population],"Le village est déserté la nuit",sommaire[Département_nom],$C84)</f>
        <v>0</v>
      </c>
      <c r="G84" s="74">
        <f>COUNTIFS(sommaire[présence_population],"Le village accueille une population",sommaire[Département_nom],$C84)</f>
        <v>46</v>
      </c>
      <c r="H84" s="74">
        <f t="shared" si="41"/>
        <v>46</v>
      </c>
      <c r="L84" s="74" t="s">
        <v>33</v>
      </c>
      <c r="M84" s="74">
        <f>COUNTIFS(sommaire[village-acceuille-pop-cible(dpi_ref_ret)],$M$80, sommaire[Département_nom],$L84 )</f>
        <v>37</v>
      </c>
      <c r="N84" s="74">
        <f>COUNTIFS(sommaire[village-acceuille-pop-cible(dpi_ref_ret)],$N$80, sommaire[Département_nom], $L84 )</f>
        <v>9</v>
      </c>
      <c r="O84" s="74">
        <f t="shared" si="42"/>
        <v>46</v>
      </c>
      <c r="T84" s="25"/>
      <c r="W84" s="74" t="s">
        <v>33</v>
      </c>
      <c r="X84" s="603">
        <f t="shared" si="39"/>
        <v>0</v>
      </c>
      <c r="Y84" s="603">
        <f t="shared" si="40"/>
        <v>0</v>
      </c>
      <c r="Z84" s="603">
        <f t="shared" si="40"/>
        <v>0</v>
      </c>
      <c r="AA84" s="603">
        <f t="shared" si="40"/>
        <v>46</v>
      </c>
      <c r="AB84" s="603">
        <f t="shared" si="40"/>
        <v>46</v>
      </c>
      <c r="AE84" s="74" t="s">
        <v>33</v>
      </c>
      <c r="AF84" s="603">
        <f t="shared" si="43"/>
        <v>37</v>
      </c>
      <c r="AG84" s="603">
        <f t="shared" si="44"/>
        <v>9</v>
      </c>
      <c r="AH84" s="603">
        <f t="shared" si="44"/>
        <v>46</v>
      </c>
      <c r="AJ84" s="30"/>
    </row>
    <row r="85" spans="2:36" x14ac:dyDescent="0.3">
      <c r="B85" s="26"/>
      <c r="C85" s="71" t="s">
        <v>34</v>
      </c>
      <c r="D85" s="11">
        <f>COUNTIFS(sommaire[présence_population],"Le village est entièrement déserté",sommaire[Département_nom],$C85)</f>
        <v>27</v>
      </c>
      <c r="E85" s="11">
        <f>COUNTIFS(sommaire[présence_population],"Le village est déserté la journée",sommaire[Département_nom],$C85)</f>
        <v>0</v>
      </c>
      <c r="F85" s="11">
        <f>COUNTIFS(sommaire[présence_population],"Le village est déserté la nuit",sommaire[Département_nom],$C85)</f>
        <v>2</v>
      </c>
      <c r="G85" s="11">
        <f>COUNTIFS(sommaire[présence_population],"Le village accueille une population",sommaire[Département_nom],$C85)</f>
        <v>115</v>
      </c>
      <c r="H85" s="11">
        <f t="shared" si="41"/>
        <v>144</v>
      </c>
      <c r="L85" s="71" t="s">
        <v>34</v>
      </c>
      <c r="M85" s="11">
        <f>COUNTIFS(sommaire[village-acceuille-pop-cible(dpi_ref_ret)],$M$80, sommaire[Département_nom],$L85 )</f>
        <v>116</v>
      </c>
      <c r="N85" s="11">
        <f>COUNTIFS(sommaire[village-acceuille-pop-cible(dpi_ref_ret)],$N$80, sommaire[Département_nom], $L85 )</f>
        <v>28</v>
      </c>
      <c r="O85" s="11">
        <f t="shared" si="42"/>
        <v>144</v>
      </c>
      <c r="T85" s="25"/>
      <c r="W85" s="71" t="s">
        <v>34</v>
      </c>
      <c r="X85" s="602">
        <f t="shared" si="39"/>
        <v>27</v>
      </c>
      <c r="Y85" s="602">
        <f t="shared" si="40"/>
        <v>0</v>
      </c>
      <c r="Z85" s="602">
        <f t="shared" si="40"/>
        <v>2</v>
      </c>
      <c r="AA85" s="602">
        <f t="shared" si="40"/>
        <v>115</v>
      </c>
      <c r="AB85" s="602">
        <f t="shared" si="40"/>
        <v>144</v>
      </c>
      <c r="AE85" s="71" t="s">
        <v>34</v>
      </c>
      <c r="AF85" s="602">
        <f t="shared" si="43"/>
        <v>116</v>
      </c>
      <c r="AG85" s="602">
        <f t="shared" si="44"/>
        <v>28</v>
      </c>
      <c r="AH85" s="602">
        <f t="shared" si="44"/>
        <v>144</v>
      </c>
      <c r="AJ85" s="30"/>
    </row>
    <row r="86" spans="2:36" x14ac:dyDescent="0.3">
      <c r="B86" s="26"/>
      <c r="C86" s="74" t="s">
        <v>35</v>
      </c>
      <c r="D86" s="74">
        <f>COUNTIFS(sommaire[présence_population],"Le village est entièrement déserté",sommaire[Département_nom],$C86)</f>
        <v>27</v>
      </c>
      <c r="E86" s="74">
        <f>COUNTIFS(sommaire[présence_population],"Le village est déserté la journée",sommaire[Département_nom],$C86)</f>
        <v>0</v>
      </c>
      <c r="F86" s="74">
        <f>COUNTIFS(sommaire[présence_population],"Le village est déserté la nuit",sommaire[Département_nom],$C86)</f>
        <v>6</v>
      </c>
      <c r="G86" s="74">
        <f>COUNTIFS(sommaire[présence_population],"Le village accueille une population",sommaire[Département_nom],$C86)</f>
        <v>166</v>
      </c>
      <c r="H86" s="74">
        <f t="shared" si="41"/>
        <v>199</v>
      </c>
      <c r="L86" s="74" t="s">
        <v>35</v>
      </c>
      <c r="M86" s="74">
        <f>COUNTIFS(sommaire[village-acceuille-pop-cible(dpi_ref_ret)],$M$80, sommaire[Département_nom],$L86 )</f>
        <v>166</v>
      </c>
      <c r="N86" s="74">
        <f>COUNTIFS(sommaire[village-acceuille-pop-cible(dpi_ref_ret)],$N$80, sommaire[Département_nom], $L86 )</f>
        <v>33</v>
      </c>
      <c r="O86" s="74">
        <f t="shared" si="42"/>
        <v>199</v>
      </c>
      <c r="T86" s="25"/>
      <c r="W86" s="74" t="s">
        <v>35</v>
      </c>
      <c r="X86" s="603">
        <f t="shared" si="39"/>
        <v>27</v>
      </c>
      <c r="Y86" s="603">
        <f t="shared" si="40"/>
        <v>0</v>
      </c>
      <c r="Z86" s="603">
        <f t="shared" si="40"/>
        <v>6</v>
      </c>
      <c r="AA86" s="603">
        <f t="shared" si="40"/>
        <v>166</v>
      </c>
      <c r="AB86" s="603">
        <f t="shared" si="40"/>
        <v>199</v>
      </c>
      <c r="AE86" s="74" t="s">
        <v>35</v>
      </c>
      <c r="AF86" s="603">
        <f t="shared" si="43"/>
        <v>166</v>
      </c>
      <c r="AG86" s="603">
        <f t="shared" si="44"/>
        <v>33</v>
      </c>
      <c r="AH86" s="603">
        <f t="shared" si="44"/>
        <v>199</v>
      </c>
      <c r="AJ86" s="30"/>
    </row>
    <row r="87" spans="2:36" x14ac:dyDescent="0.3">
      <c r="B87" s="26"/>
      <c r="C87" s="48" t="s">
        <v>25</v>
      </c>
      <c r="D87" s="50">
        <f>SUM(D81:D86)</f>
        <v>118</v>
      </c>
      <c r="E87" s="50">
        <f>SUM(E81:E86)</f>
        <v>0</v>
      </c>
      <c r="F87" s="50">
        <f>SUM(F81:F86)</f>
        <v>10</v>
      </c>
      <c r="G87" s="50">
        <f>SUM(G81:G86)</f>
        <v>1135</v>
      </c>
      <c r="H87" s="50">
        <f>SUM(H81:H86)</f>
        <v>1263</v>
      </c>
      <c r="L87" s="48" t="s">
        <v>25</v>
      </c>
      <c r="M87" s="50">
        <f>SUM(M81:M86)</f>
        <v>1047</v>
      </c>
      <c r="N87" s="50">
        <f>SUM(N81:N86)</f>
        <v>216</v>
      </c>
      <c r="O87" s="50">
        <f>SUM(O81:O86)</f>
        <v>1263</v>
      </c>
      <c r="T87" s="25"/>
      <c r="W87" s="48" t="s">
        <v>25</v>
      </c>
      <c r="X87" s="604">
        <f t="shared" si="39"/>
        <v>118</v>
      </c>
      <c r="Y87" s="604">
        <f t="shared" si="40"/>
        <v>0</v>
      </c>
      <c r="Z87" s="604">
        <f t="shared" si="40"/>
        <v>10</v>
      </c>
      <c r="AA87" s="604">
        <f t="shared" si="40"/>
        <v>1135</v>
      </c>
      <c r="AB87" s="604">
        <f t="shared" si="40"/>
        <v>1263</v>
      </c>
      <c r="AE87" s="48" t="s">
        <v>25</v>
      </c>
      <c r="AF87" s="604">
        <f t="shared" si="43"/>
        <v>1047</v>
      </c>
      <c r="AG87" s="604">
        <f t="shared" si="44"/>
        <v>216</v>
      </c>
      <c r="AH87" s="604">
        <f t="shared" si="44"/>
        <v>1263</v>
      </c>
      <c r="AJ87" s="30"/>
    </row>
    <row r="88" spans="2:36" x14ac:dyDescent="0.3">
      <c r="B88" s="26"/>
      <c r="T88" s="25"/>
      <c r="X88" s="31"/>
      <c r="AJ88" s="30"/>
    </row>
    <row r="89" spans="2:36" x14ac:dyDescent="0.3">
      <c r="B89" s="26"/>
      <c r="T89" s="25"/>
      <c r="X89" s="31"/>
      <c r="AJ89" s="30"/>
    </row>
    <row r="90" spans="2:36" x14ac:dyDescent="0.3">
      <c r="B90" s="26"/>
      <c r="C90" s="70" t="s">
        <v>93</v>
      </c>
      <c r="D90" s="24"/>
      <c r="L90" s="70" t="s">
        <v>94</v>
      </c>
      <c r="T90" s="25"/>
      <c r="W90" s="70" t="s">
        <v>95</v>
      </c>
      <c r="AE90" s="70" t="s">
        <v>96</v>
      </c>
      <c r="AJ90" s="30"/>
    </row>
    <row r="91" spans="2:36" x14ac:dyDescent="0.3">
      <c r="B91" s="26"/>
      <c r="D91" s="33" t="s">
        <v>97</v>
      </c>
      <c r="E91" s="33" t="s">
        <v>98</v>
      </c>
      <c r="F91" s="33" t="s">
        <v>99</v>
      </c>
      <c r="G91" s="33" t="s">
        <v>100</v>
      </c>
      <c r="M91" s="33" t="s">
        <v>101</v>
      </c>
      <c r="N91" s="33" t="s">
        <v>102</v>
      </c>
      <c r="O91" s="33" t="s">
        <v>103</v>
      </c>
      <c r="P91" s="33"/>
      <c r="T91" s="25"/>
      <c r="X91" s="33" t="s">
        <v>104</v>
      </c>
      <c r="Y91" s="33" t="s">
        <v>105</v>
      </c>
      <c r="Z91" s="33" t="s">
        <v>106</v>
      </c>
      <c r="AA91" s="33" t="s">
        <v>107</v>
      </c>
      <c r="AF91" s="33" t="s">
        <v>108</v>
      </c>
      <c r="AG91" s="33" t="s">
        <v>109</v>
      </c>
      <c r="AH91" s="33" t="s">
        <v>110</v>
      </c>
      <c r="AI91" s="33"/>
      <c r="AJ91" s="30"/>
    </row>
    <row r="92" spans="2:36" ht="43.2" x14ac:dyDescent="0.3">
      <c r="B92" s="26"/>
      <c r="C92" s="35" t="s">
        <v>48</v>
      </c>
      <c r="D92" s="36" t="s">
        <v>97</v>
      </c>
      <c r="E92" s="36" t="s">
        <v>98</v>
      </c>
      <c r="F92" s="36" t="s">
        <v>99</v>
      </c>
      <c r="G92" s="36" t="s">
        <v>100</v>
      </c>
      <c r="H92" s="36" t="s">
        <v>25</v>
      </c>
      <c r="L92" s="35" t="s">
        <v>48</v>
      </c>
      <c r="M92" s="36" t="s">
        <v>111</v>
      </c>
      <c r="N92" s="36" t="s">
        <v>112</v>
      </c>
      <c r="O92" s="36" t="s">
        <v>113</v>
      </c>
      <c r="P92" s="36" t="s">
        <v>25</v>
      </c>
      <c r="T92" s="25"/>
      <c r="W92" s="35" t="s">
        <v>51</v>
      </c>
      <c r="X92" s="36" t="s">
        <v>97</v>
      </c>
      <c r="Y92" s="36" t="s">
        <v>114</v>
      </c>
      <c r="Z92" s="36" t="s">
        <v>115</v>
      </c>
      <c r="AA92" s="36" t="s">
        <v>116</v>
      </c>
      <c r="AB92" s="36" t="s">
        <v>25</v>
      </c>
      <c r="AE92" s="35" t="s">
        <v>51</v>
      </c>
      <c r="AF92" s="36" t="s">
        <v>112</v>
      </c>
      <c r="AG92" s="36" t="s">
        <v>117</v>
      </c>
      <c r="AH92" s="36" t="s">
        <v>118</v>
      </c>
      <c r="AI92" s="36" t="s">
        <v>25</v>
      </c>
      <c r="AJ92" s="30"/>
    </row>
    <row r="93" spans="2:36" x14ac:dyDescent="0.3">
      <c r="B93" s="26"/>
      <c r="C93" s="71" t="s">
        <v>30</v>
      </c>
      <c r="D93" s="11">
        <f>COUNTIFS(sommaire[accessibilté],D$91,sommaire[Département_nom],$C93)</f>
        <v>84</v>
      </c>
      <c r="E93" s="11">
        <f>COUNTIFS(sommaire[accessibilté],E$91,sommaire[Département_nom],$C93)</f>
        <v>0</v>
      </c>
      <c r="F93" s="11">
        <f>COUNTIFS(sommaire[accessibilté],F$91,sommaire[Département_nom],$C93)</f>
        <v>0</v>
      </c>
      <c r="G93" s="11">
        <f>COUNTIFS(sommaire[accessibilté],G$91,sommaire[Département_nom],$C93)</f>
        <v>0</v>
      </c>
      <c r="H93" s="11">
        <f t="shared" ref="H93:H98" si="45">SUM(D93:G93)</f>
        <v>84</v>
      </c>
      <c r="L93" s="71" t="s">
        <v>30</v>
      </c>
      <c r="M93" s="11">
        <f>COUNTIFS(sommaire[Département_nom],$L93,sommaire[état du village],"Le village est totalement détruit",sommaire[village-acceuille-pop-cible(dpi_ref_ret)],"Oui")</f>
        <v>0</v>
      </c>
      <c r="N93" s="11">
        <f>COUNTIFS(sommaire[Département_nom],$L93,sommaire[état du village],"Le village est intact (construit)",sommaire[village-acceuille-pop-cible(dpi_ref_ret)],"Oui")</f>
        <v>75</v>
      </c>
      <c r="O93" s="11">
        <f>COUNTIFS(sommaire[Département_nom],$L93,sommaire[état du village],"Le village est partiellement détruit",sommaire[village-acceuille-pop-cible(dpi_ref_ret)],"Oui")</f>
        <v>0</v>
      </c>
      <c r="P93" s="11">
        <f>SUM(M93:O93)</f>
        <v>75</v>
      </c>
      <c r="T93" s="25"/>
      <c r="W93" s="71" t="s">
        <v>30</v>
      </c>
      <c r="X93" s="602">
        <f>D93</f>
        <v>84</v>
      </c>
      <c r="Y93" s="602">
        <f>E93</f>
        <v>0</v>
      </c>
      <c r="Z93" s="602">
        <f>F93</f>
        <v>0</v>
      </c>
      <c r="AA93" s="602">
        <f>G93</f>
        <v>0</v>
      </c>
      <c r="AB93" s="602">
        <f>H93</f>
        <v>84</v>
      </c>
      <c r="AE93" s="71" t="s">
        <v>30</v>
      </c>
      <c r="AF93" s="602">
        <f>M93</f>
        <v>0</v>
      </c>
      <c r="AG93" s="602">
        <f>N93</f>
        <v>75</v>
      </c>
      <c r="AH93" s="602">
        <f>O93</f>
        <v>0</v>
      </c>
      <c r="AI93" s="602">
        <f>P93</f>
        <v>75</v>
      </c>
      <c r="AJ93" s="30"/>
    </row>
    <row r="94" spans="2:36" x14ac:dyDescent="0.3">
      <c r="B94" s="26"/>
      <c r="C94" s="74" t="s">
        <v>31</v>
      </c>
      <c r="D94" s="13">
        <f>COUNTIFS(sommaire[accessibilté],D$91,sommaire[Département_nom],$C94)</f>
        <v>632</v>
      </c>
      <c r="E94" s="13">
        <f>COUNTIFS(sommaire[accessibilté],E$91,sommaire[Département_nom],$C94)</f>
        <v>26</v>
      </c>
      <c r="F94" s="13">
        <f>COUNTIFS(sommaire[accessibilté],F$91,sommaire[Département_nom],$C94)</f>
        <v>17</v>
      </c>
      <c r="G94" s="13">
        <f>COUNTIFS(sommaire[accessibilté],G$91,sommaire[Département_nom],$C94)</f>
        <v>10</v>
      </c>
      <c r="H94" s="13">
        <f t="shared" si="45"/>
        <v>685</v>
      </c>
      <c r="L94" s="74" t="s">
        <v>31</v>
      </c>
      <c r="M94" s="74">
        <f>COUNTIFS(sommaire[Département_nom],$L94,sommaire[état du village],"Le village est totalement détruit",sommaire[village-acceuille-pop-cible(dpi_ref_ret)],"Oui")</f>
        <v>21</v>
      </c>
      <c r="N94" s="74">
        <f>COUNTIFS(sommaire[Département_nom],$L94,sommaire[état du village],"Le village est intact (construit)",sommaire[village-acceuille-pop-cible(dpi_ref_ret)],"Oui")</f>
        <v>394</v>
      </c>
      <c r="O94" s="74">
        <f>COUNTIFS(sommaire[Département_nom],$L94,sommaire[état du village],"Le village est partiellement détruit",sommaire[village-acceuille-pop-cible(dpi_ref_ret)],"Oui")</f>
        <v>139</v>
      </c>
      <c r="P94" s="74">
        <f t="shared" ref="P94:P98" si="46">SUM(M94:O94)</f>
        <v>554</v>
      </c>
      <c r="T94" s="25"/>
      <c r="W94" s="74" t="s">
        <v>31</v>
      </c>
      <c r="X94" s="603">
        <f t="shared" ref="X94:X99" si="47">D94</f>
        <v>632</v>
      </c>
      <c r="Y94" s="603">
        <f t="shared" ref="Y94:AB99" si="48">E94</f>
        <v>26</v>
      </c>
      <c r="Z94" s="603">
        <f t="shared" si="48"/>
        <v>17</v>
      </c>
      <c r="AA94" s="603">
        <f t="shared" si="48"/>
        <v>10</v>
      </c>
      <c r="AB94" s="603">
        <f t="shared" si="48"/>
        <v>685</v>
      </c>
      <c r="AE94" s="74" t="s">
        <v>31</v>
      </c>
      <c r="AF94" s="603">
        <f t="shared" ref="AF94:AF99" si="49">M94</f>
        <v>21</v>
      </c>
      <c r="AG94" s="603">
        <f t="shared" ref="AG94:AI99" si="50">N94</f>
        <v>394</v>
      </c>
      <c r="AH94" s="603">
        <f t="shared" si="50"/>
        <v>139</v>
      </c>
      <c r="AI94" s="603">
        <f t="shared" si="50"/>
        <v>554</v>
      </c>
      <c r="AJ94" s="30"/>
    </row>
    <row r="95" spans="2:36" x14ac:dyDescent="0.3">
      <c r="B95" s="26"/>
      <c r="C95" s="71" t="s">
        <v>32</v>
      </c>
      <c r="D95" s="11">
        <f>COUNTIFS(sommaire[accessibilté],D$91,sommaire[Département_nom],$C95)</f>
        <v>104</v>
      </c>
      <c r="E95" s="11">
        <f>COUNTIFS(sommaire[accessibilté],E$91,sommaire[Département_nom],$C95)</f>
        <v>0</v>
      </c>
      <c r="F95" s="11">
        <f>COUNTIFS(sommaire[accessibilté],F$91,sommaire[Département_nom],$C95)</f>
        <v>1</v>
      </c>
      <c r="G95" s="11">
        <f>COUNTIFS(sommaire[accessibilté],G$91,sommaire[Département_nom],$C95)</f>
        <v>0</v>
      </c>
      <c r="H95" s="11">
        <f t="shared" si="45"/>
        <v>105</v>
      </c>
      <c r="L95" s="71" t="s">
        <v>32</v>
      </c>
      <c r="M95" s="11">
        <f>COUNTIFS(sommaire[Département_nom],$L95,sommaire[état du village],"Le village est totalement détruit",sommaire[village-acceuille-pop-cible(dpi_ref_ret)],"Oui")</f>
        <v>5</v>
      </c>
      <c r="N95" s="11">
        <f>COUNTIFS(sommaire[Département_nom],$L95,sommaire[état du village],"Le village est intact (construit)",sommaire[village-acceuille-pop-cible(dpi_ref_ret)],"Oui")</f>
        <v>15</v>
      </c>
      <c r="O95" s="11">
        <f>COUNTIFS(sommaire[Département_nom],$L95,sommaire[état du village],"Le village est partiellement détruit",sommaire[village-acceuille-pop-cible(dpi_ref_ret)],"Oui")</f>
        <v>79</v>
      </c>
      <c r="P95" s="11">
        <f t="shared" si="46"/>
        <v>99</v>
      </c>
      <c r="T95" s="25"/>
      <c r="W95" s="71" t="s">
        <v>32</v>
      </c>
      <c r="X95" s="602">
        <f t="shared" si="47"/>
        <v>104</v>
      </c>
      <c r="Y95" s="602">
        <f t="shared" si="48"/>
        <v>0</v>
      </c>
      <c r="Z95" s="602">
        <f t="shared" si="48"/>
        <v>1</v>
      </c>
      <c r="AA95" s="602">
        <f t="shared" si="48"/>
        <v>0</v>
      </c>
      <c r="AB95" s="602">
        <f t="shared" si="48"/>
        <v>105</v>
      </c>
      <c r="AE95" s="71" t="s">
        <v>32</v>
      </c>
      <c r="AF95" s="602">
        <f t="shared" si="49"/>
        <v>5</v>
      </c>
      <c r="AG95" s="602">
        <f t="shared" si="50"/>
        <v>15</v>
      </c>
      <c r="AH95" s="602">
        <f t="shared" si="50"/>
        <v>79</v>
      </c>
      <c r="AI95" s="602">
        <f t="shared" si="50"/>
        <v>99</v>
      </c>
      <c r="AJ95" s="30"/>
    </row>
    <row r="96" spans="2:36" x14ac:dyDescent="0.3">
      <c r="B96" s="26"/>
      <c r="C96" s="74" t="s">
        <v>33</v>
      </c>
      <c r="D96" s="13">
        <f>COUNTIFS(sommaire[accessibilté],D$91,sommaire[Département_nom],$C96)</f>
        <v>46</v>
      </c>
      <c r="E96" s="13">
        <f>COUNTIFS(sommaire[accessibilté],E$91,sommaire[Département_nom],$C96)</f>
        <v>0</v>
      </c>
      <c r="F96" s="13">
        <f>COUNTIFS(sommaire[accessibilté],F$91,sommaire[Département_nom],$C96)</f>
        <v>0</v>
      </c>
      <c r="G96" s="13">
        <f>COUNTIFS(sommaire[accessibilté],G$91,sommaire[Département_nom],$C96)</f>
        <v>0</v>
      </c>
      <c r="H96" s="13">
        <f t="shared" si="45"/>
        <v>46</v>
      </c>
      <c r="L96" s="74" t="s">
        <v>33</v>
      </c>
      <c r="M96" s="74">
        <f>COUNTIFS(sommaire[Département_nom],$L96,sommaire[état du village],"Le village est totalement détruit",sommaire[village-acceuille-pop-cible(dpi_ref_ret)],"Oui")</f>
        <v>0</v>
      </c>
      <c r="N96" s="74">
        <f>COUNTIFS(sommaire[Département_nom],$L96,sommaire[état du village],"Le village est intact (construit)",sommaire[village-acceuille-pop-cible(dpi_ref_ret)],"Oui")</f>
        <v>37</v>
      </c>
      <c r="O96" s="74">
        <f>COUNTIFS(sommaire[Département_nom],$L96,sommaire[état du village],"Le village est partiellement détruit",sommaire[village-acceuille-pop-cible(dpi_ref_ret)],"Oui")</f>
        <v>0</v>
      </c>
      <c r="P96" s="74">
        <f t="shared" si="46"/>
        <v>37</v>
      </c>
      <c r="T96" s="25"/>
      <c r="W96" s="74" t="s">
        <v>33</v>
      </c>
      <c r="X96" s="603">
        <f t="shared" si="47"/>
        <v>46</v>
      </c>
      <c r="Y96" s="603">
        <f t="shared" si="48"/>
        <v>0</v>
      </c>
      <c r="Z96" s="603">
        <f t="shared" si="48"/>
        <v>0</v>
      </c>
      <c r="AA96" s="603">
        <f t="shared" si="48"/>
        <v>0</v>
      </c>
      <c r="AB96" s="603">
        <f t="shared" si="48"/>
        <v>46</v>
      </c>
      <c r="AE96" s="74" t="s">
        <v>33</v>
      </c>
      <c r="AF96" s="603">
        <f t="shared" si="49"/>
        <v>0</v>
      </c>
      <c r="AG96" s="603">
        <f t="shared" si="50"/>
        <v>37</v>
      </c>
      <c r="AH96" s="603">
        <f t="shared" si="50"/>
        <v>0</v>
      </c>
      <c r="AI96" s="603">
        <f t="shared" si="50"/>
        <v>37</v>
      </c>
      <c r="AJ96" s="30"/>
    </row>
    <row r="97" spans="2:36" x14ac:dyDescent="0.3">
      <c r="B97" s="26"/>
      <c r="C97" s="71" t="s">
        <v>34</v>
      </c>
      <c r="D97" s="11">
        <f>COUNTIFS(sommaire[accessibilté],D$91,sommaire[Département_nom],$C97)</f>
        <v>141</v>
      </c>
      <c r="E97" s="11">
        <f>COUNTIFS(sommaire[accessibilté],E$91,sommaire[Département_nom],$C97)</f>
        <v>0</v>
      </c>
      <c r="F97" s="11">
        <f>COUNTIFS(sommaire[accessibilté],F$91,sommaire[Département_nom],$C97)</f>
        <v>0</v>
      </c>
      <c r="G97" s="11">
        <f>COUNTIFS(sommaire[accessibilté],G$91,sommaire[Département_nom],$C97)</f>
        <v>3</v>
      </c>
      <c r="H97" s="11">
        <f t="shared" si="45"/>
        <v>144</v>
      </c>
      <c r="L97" s="71" t="s">
        <v>34</v>
      </c>
      <c r="M97" s="11">
        <f>COUNTIFS(sommaire[Département_nom],$L97,sommaire[état du village],"Le village est totalement détruit",sommaire[village-acceuille-pop-cible(dpi_ref_ret)],"Oui")</f>
        <v>0</v>
      </c>
      <c r="N97" s="11">
        <f>COUNTIFS(sommaire[Département_nom],$L97,sommaire[état du village],"Le village est intact (construit)",sommaire[village-acceuille-pop-cible(dpi_ref_ret)],"Oui")</f>
        <v>99</v>
      </c>
      <c r="O97" s="11">
        <f>COUNTIFS(sommaire[Département_nom],$L97,sommaire[état du village],"Le village est partiellement détruit",sommaire[village-acceuille-pop-cible(dpi_ref_ret)],"Oui")</f>
        <v>17</v>
      </c>
      <c r="P97" s="11">
        <f t="shared" si="46"/>
        <v>116</v>
      </c>
      <c r="T97" s="25"/>
      <c r="W97" s="71" t="s">
        <v>34</v>
      </c>
      <c r="X97" s="602">
        <f t="shared" si="47"/>
        <v>141</v>
      </c>
      <c r="Y97" s="602">
        <f t="shared" si="48"/>
        <v>0</v>
      </c>
      <c r="Z97" s="602">
        <f t="shared" si="48"/>
        <v>0</v>
      </c>
      <c r="AA97" s="602">
        <f t="shared" si="48"/>
        <v>3</v>
      </c>
      <c r="AB97" s="602">
        <f t="shared" si="48"/>
        <v>144</v>
      </c>
      <c r="AE97" s="71" t="s">
        <v>34</v>
      </c>
      <c r="AF97" s="602">
        <f t="shared" si="49"/>
        <v>0</v>
      </c>
      <c r="AG97" s="602">
        <f t="shared" si="50"/>
        <v>99</v>
      </c>
      <c r="AH97" s="602">
        <f t="shared" si="50"/>
        <v>17</v>
      </c>
      <c r="AI97" s="602">
        <f t="shared" si="50"/>
        <v>116</v>
      </c>
      <c r="AJ97" s="30"/>
    </row>
    <row r="98" spans="2:36" x14ac:dyDescent="0.3">
      <c r="B98" s="26"/>
      <c r="C98" s="74" t="s">
        <v>35</v>
      </c>
      <c r="D98" s="13">
        <f>COUNTIFS(sommaire[accessibilté],D$91,sommaire[Département_nom],$C98)</f>
        <v>170</v>
      </c>
      <c r="E98" s="13">
        <f>COUNTIFS(sommaire[accessibilté],E$91,sommaire[Département_nom],$C98)</f>
        <v>20</v>
      </c>
      <c r="F98" s="13">
        <f>COUNTIFS(sommaire[accessibilté],F$91,sommaire[Département_nom],$C98)</f>
        <v>0</v>
      </c>
      <c r="G98" s="13">
        <f>COUNTIFS(sommaire[accessibilté],G$91,sommaire[Département_nom],$C98)</f>
        <v>9</v>
      </c>
      <c r="H98" s="13">
        <f t="shared" si="45"/>
        <v>199</v>
      </c>
      <c r="L98" s="74" t="s">
        <v>35</v>
      </c>
      <c r="M98" s="74">
        <f>COUNTIFS(sommaire[Département_nom],$L98,sommaire[état du village],"Le village est totalement détruit",sommaire[village-acceuille-pop-cible(dpi_ref_ret)],"Oui")</f>
        <v>2</v>
      </c>
      <c r="N98" s="74">
        <f>COUNTIFS(sommaire[Département_nom],$L98,sommaire[état du village],"Le village est intact (construit)",sommaire[village-acceuille-pop-cible(dpi_ref_ret)],"Oui")</f>
        <v>152</v>
      </c>
      <c r="O98" s="74">
        <f>COUNTIFS(sommaire[Département_nom],$L98,sommaire[état du village],"Le village est partiellement détruit",sommaire[village-acceuille-pop-cible(dpi_ref_ret)],"Oui")</f>
        <v>12</v>
      </c>
      <c r="P98" s="74">
        <f t="shared" si="46"/>
        <v>166</v>
      </c>
      <c r="T98" s="25"/>
      <c r="W98" s="74" t="s">
        <v>35</v>
      </c>
      <c r="X98" s="603">
        <f t="shared" si="47"/>
        <v>170</v>
      </c>
      <c r="Y98" s="603">
        <f t="shared" si="48"/>
        <v>20</v>
      </c>
      <c r="Z98" s="603">
        <f t="shared" si="48"/>
        <v>0</v>
      </c>
      <c r="AA98" s="603">
        <f t="shared" si="48"/>
        <v>9</v>
      </c>
      <c r="AB98" s="603">
        <f t="shared" si="48"/>
        <v>199</v>
      </c>
      <c r="AE98" s="74" t="s">
        <v>35</v>
      </c>
      <c r="AF98" s="603">
        <f t="shared" si="49"/>
        <v>2</v>
      </c>
      <c r="AG98" s="603">
        <f t="shared" si="50"/>
        <v>152</v>
      </c>
      <c r="AH98" s="603">
        <f t="shared" si="50"/>
        <v>12</v>
      </c>
      <c r="AI98" s="603">
        <f t="shared" si="50"/>
        <v>166</v>
      </c>
      <c r="AJ98" s="30"/>
    </row>
    <row r="99" spans="2:36" x14ac:dyDescent="0.3">
      <c r="B99" s="26"/>
      <c r="C99" s="48" t="s">
        <v>25</v>
      </c>
      <c r="D99" s="50">
        <f>SUM(D93:D98)</f>
        <v>1177</v>
      </c>
      <c r="E99" s="50">
        <f>SUM(E93:E98)</f>
        <v>46</v>
      </c>
      <c r="F99" s="50">
        <f>SUM(F93:F98)</f>
        <v>18</v>
      </c>
      <c r="G99" s="50">
        <f>SUM(G93:G98)</f>
        <v>22</v>
      </c>
      <c r="H99" s="50">
        <f>SUM(H93:H98)</f>
        <v>1263</v>
      </c>
      <c r="L99" s="48" t="s">
        <v>25</v>
      </c>
      <c r="M99" s="50">
        <f>SUM(M93:M98)</f>
        <v>28</v>
      </c>
      <c r="N99" s="50">
        <f>SUM(N93:N98)</f>
        <v>772</v>
      </c>
      <c r="O99" s="50">
        <f>SUM(O93:O98)</f>
        <v>247</v>
      </c>
      <c r="P99" s="50">
        <f>SUM(P93:P98)</f>
        <v>1047</v>
      </c>
      <c r="T99" s="25"/>
      <c r="W99" s="48" t="s">
        <v>25</v>
      </c>
      <c r="X99" s="604">
        <f t="shared" si="47"/>
        <v>1177</v>
      </c>
      <c r="Y99" s="604">
        <f t="shared" si="48"/>
        <v>46</v>
      </c>
      <c r="Z99" s="604">
        <f t="shared" si="48"/>
        <v>18</v>
      </c>
      <c r="AA99" s="604">
        <f t="shared" si="48"/>
        <v>22</v>
      </c>
      <c r="AB99" s="604">
        <f t="shared" si="48"/>
        <v>1263</v>
      </c>
      <c r="AE99" s="48" t="s">
        <v>25</v>
      </c>
      <c r="AF99" s="604">
        <f t="shared" si="49"/>
        <v>28</v>
      </c>
      <c r="AG99" s="604">
        <f t="shared" si="50"/>
        <v>772</v>
      </c>
      <c r="AH99" s="604">
        <f t="shared" si="50"/>
        <v>247</v>
      </c>
      <c r="AI99" s="604">
        <f t="shared" si="50"/>
        <v>1047</v>
      </c>
      <c r="AJ99" s="30"/>
    </row>
    <row r="100" spans="2:36" x14ac:dyDescent="0.3">
      <c r="B100" s="26"/>
      <c r="T100" s="25"/>
      <c r="X100" s="31"/>
      <c r="AJ100" s="30"/>
    </row>
    <row r="101" spans="2:36" x14ac:dyDescent="0.3">
      <c r="B101" s="26"/>
      <c r="T101" s="25"/>
      <c r="X101" s="31"/>
      <c r="AJ101" s="30"/>
    </row>
    <row r="102" spans="2:36" x14ac:dyDescent="0.3">
      <c r="B102" s="26"/>
      <c r="C102" s="70" t="s">
        <v>119</v>
      </c>
      <c r="D102" s="24"/>
      <c r="T102" s="25"/>
      <c r="W102" s="70" t="s">
        <v>120</v>
      </c>
      <c r="AJ102" s="30"/>
    </row>
    <row r="103" spans="2:36" x14ac:dyDescent="0.3">
      <c r="B103" s="26"/>
      <c r="D103" s="33" t="s">
        <v>121</v>
      </c>
      <c r="E103" s="33" t="s">
        <v>122</v>
      </c>
      <c r="F103" s="33" t="s">
        <v>123</v>
      </c>
      <c r="T103" s="25"/>
      <c r="X103" s="33" t="s">
        <v>124</v>
      </c>
      <c r="Y103" s="33" t="s">
        <v>125</v>
      </c>
      <c r="Z103" s="33" t="s">
        <v>123</v>
      </c>
      <c r="AJ103" s="30"/>
    </row>
    <row r="104" spans="2:36" ht="28.8" x14ac:dyDescent="0.3">
      <c r="B104" s="26"/>
      <c r="C104" s="35" t="s">
        <v>48</v>
      </c>
      <c r="D104" s="36" t="s">
        <v>126</v>
      </c>
      <c r="E104" s="36" t="s">
        <v>127</v>
      </c>
      <c r="F104" s="36" t="s">
        <v>25</v>
      </c>
      <c r="T104" s="25"/>
      <c r="W104" s="35" t="s">
        <v>51</v>
      </c>
      <c r="X104" s="36" t="s">
        <v>128</v>
      </c>
      <c r="Y104" s="36" t="s">
        <v>129</v>
      </c>
      <c r="Z104" s="36" t="s">
        <v>25</v>
      </c>
      <c r="AJ104" s="30"/>
    </row>
    <row r="105" spans="2:36" x14ac:dyDescent="0.3">
      <c r="B105" s="26"/>
      <c r="C105" s="71" t="s">
        <v>30</v>
      </c>
      <c r="D105" s="11">
        <f>COUNTIFS(sommaire[raison-inaccessibilite],D$103,sommaire[Département_nom],$C105)</f>
        <v>0</v>
      </c>
      <c r="E105" s="11">
        <f>COUNTIFS(sommaire[raison-inaccessibilite],E$103,sommaire[Département_nom],$C105)</f>
        <v>0</v>
      </c>
      <c r="F105" s="11">
        <f t="shared" ref="F105:F110" si="51">SUM(D105:E105)</f>
        <v>0</v>
      </c>
      <c r="T105" s="25"/>
      <c r="W105" s="71" t="s">
        <v>30</v>
      </c>
      <c r="X105" s="11">
        <f>D105</f>
        <v>0</v>
      </c>
      <c r="Y105" s="11">
        <f>E105</f>
        <v>0</v>
      </c>
      <c r="Z105" s="11">
        <f>F105</f>
        <v>0</v>
      </c>
      <c r="AJ105" s="30"/>
    </row>
    <row r="106" spans="2:36" x14ac:dyDescent="0.3">
      <c r="B106" s="26"/>
      <c r="C106" s="74" t="s">
        <v>31</v>
      </c>
      <c r="D106" s="13">
        <f>COUNTIFS(sommaire[raison-inaccessibilite],D$103,sommaire[Département_nom],$C106)</f>
        <v>0</v>
      </c>
      <c r="E106" s="13">
        <f>COUNTIFS(sommaire[raison-inaccessibilite],E$103,sommaire[Département_nom],$C106)</f>
        <v>17</v>
      </c>
      <c r="F106" s="13">
        <f t="shared" si="51"/>
        <v>17</v>
      </c>
      <c r="T106" s="25"/>
      <c r="W106" s="74" t="s">
        <v>31</v>
      </c>
      <c r="X106" s="13">
        <f t="shared" ref="X106:X111" si="52">D106</f>
        <v>0</v>
      </c>
      <c r="Y106" s="13">
        <f t="shared" ref="Y106:Z111" si="53">E106</f>
        <v>17</v>
      </c>
      <c r="Z106" s="13">
        <f t="shared" si="53"/>
        <v>17</v>
      </c>
      <c r="AJ106" s="30"/>
    </row>
    <row r="107" spans="2:36" x14ac:dyDescent="0.3">
      <c r="B107" s="26"/>
      <c r="C107" s="71" t="s">
        <v>32</v>
      </c>
      <c r="D107" s="11">
        <f>COUNTIFS(sommaire[raison-inaccessibilite],D$103,sommaire[Département_nom],$C107)</f>
        <v>1</v>
      </c>
      <c r="E107" s="11">
        <f>COUNTIFS(sommaire[raison-inaccessibilite],E$103,sommaire[Département_nom],$C107)</f>
        <v>0</v>
      </c>
      <c r="F107" s="11">
        <f t="shared" si="51"/>
        <v>1</v>
      </c>
      <c r="T107" s="25"/>
      <c r="W107" s="71" t="s">
        <v>32</v>
      </c>
      <c r="X107" s="11">
        <f t="shared" si="52"/>
        <v>1</v>
      </c>
      <c r="Y107" s="11">
        <f t="shared" si="53"/>
        <v>0</v>
      </c>
      <c r="Z107" s="11">
        <f t="shared" si="53"/>
        <v>1</v>
      </c>
      <c r="AJ107" s="30"/>
    </row>
    <row r="108" spans="2:36" x14ac:dyDescent="0.3">
      <c r="B108" s="26"/>
      <c r="C108" s="74" t="s">
        <v>33</v>
      </c>
      <c r="D108" s="13">
        <f>COUNTIFS(sommaire[raison-inaccessibilite],D$103,sommaire[Département_nom],$C108)</f>
        <v>0</v>
      </c>
      <c r="E108" s="13">
        <f>COUNTIFS(sommaire[raison-inaccessibilite],E$103,sommaire[Département_nom],$C108)</f>
        <v>0</v>
      </c>
      <c r="F108" s="13">
        <f t="shared" si="51"/>
        <v>0</v>
      </c>
      <c r="T108" s="25"/>
      <c r="W108" s="74" t="s">
        <v>33</v>
      </c>
      <c r="X108" s="13">
        <f t="shared" si="52"/>
        <v>0</v>
      </c>
      <c r="Y108" s="13">
        <f t="shared" si="53"/>
        <v>0</v>
      </c>
      <c r="Z108" s="13">
        <f t="shared" si="53"/>
        <v>0</v>
      </c>
      <c r="AJ108" s="30"/>
    </row>
    <row r="109" spans="2:36" x14ac:dyDescent="0.3">
      <c r="B109" s="26"/>
      <c r="C109" s="71" t="s">
        <v>34</v>
      </c>
      <c r="D109" s="11">
        <f>COUNTIFS(sommaire[raison-inaccessibilite],D$103,sommaire[Département_nom],$C109)</f>
        <v>0</v>
      </c>
      <c r="E109" s="11">
        <f>COUNTIFS(sommaire[raison-inaccessibilite],E$103,sommaire[Département_nom],$C109)</f>
        <v>0</v>
      </c>
      <c r="F109" s="11">
        <f t="shared" si="51"/>
        <v>0</v>
      </c>
      <c r="T109" s="25"/>
      <c r="W109" s="71" t="s">
        <v>34</v>
      </c>
      <c r="X109" s="11">
        <f t="shared" si="52"/>
        <v>0</v>
      </c>
      <c r="Y109" s="11">
        <f t="shared" si="53"/>
        <v>0</v>
      </c>
      <c r="Z109" s="11">
        <f t="shared" si="53"/>
        <v>0</v>
      </c>
      <c r="AJ109" s="30"/>
    </row>
    <row r="110" spans="2:36" x14ac:dyDescent="0.3">
      <c r="B110" s="26"/>
      <c r="C110" s="74" t="s">
        <v>35</v>
      </c>
      <c r="D110" s="13">
        <f>COUNTIFS(sommaire[raison-inaccessibilite],D$103,sommaire[Département_nom],$C110)</f>
        <v>0</v>
      </c>
      <c r="E110" s="13">
        <f>COUNTIFS(sommaire[raison-inaccessibilite],E$103,sommaire[Département_nom],$C110)</f>
        <v>0</v>
      </c>
      <c r="F110" s="13">
        <f t="shared" si="51"/>
        <v>0</v>
      </c>
      <c r="T110" s="25"/>
      <c r="W110" s="74" t="s">
        <v>35</v>
      </c>
      <c r="X110" s="13">
        <f t="shared" si="52"/>
        <v>0</v>
      </c>
      <c r="Y110" s="13">
        <f t="shared" si="53"/>
        <v>0</v>
      </c>
      <c r="Z110" s="13">
        <f t="shared" si="53"/>
        <v>0</v>
      </c>
      <c r="AJ110" s="30"/>
    </row>
    <row r="111" spans="2:36" x14ac:dyDescent="0.3">
      <c r="B111" s="26"/>
      <c r="C111" s="48" t="s">
        <v>25</v>
      </c>
      <c r="D111" s="50">
        <f>SUM(D105:D110)</f>
        <v>1</v>
      </c>
      <c r="E111" s="50">
        <f>SUM(E105:E110)</f>
        <v>17</v>
      </c>
      <c r="F111" s="50">
        <f>SUM(F105:F110)</f>
        <v>18</v>
      </c>
      <c r="T111" s="25"/>
      <c r="W111" s="48" t="s">
        <v>25</v>
      </c>
      <c r="X111" s="50">
        <f t="shared" si="52"/>
        <v>1</v>
      </c>
      <c r="Y111" s="50">
        <f t="shared" si="53"/>
        <v>17</v>
      </c>
      <c r="Z111" s="50">
        <f t="shared" si="53"/>
        <v>18</v>
      </c>
      <c r="AJ111" s="30"/>
    </row>
    <row r="112" spans="2:36" x14ac:dyDescent="0.3">
      <c r="B112" s="26"/>
      <c r="T112" s="25"/>
      <c r="AJ112" s="30"/>
    </row>
    <row r="113" spans="2:36" x14ac:dyDescent="0.3">
      <c r="B113" s="26"/>
      <c r="T113" s="25"/>
      <c r="AJ113" s="30"/>
    </row>
    <row r="114" spans="2:36" x14ac:dyDescent="0.3">
      <c r="B114" s="93"/>
      <c r="C114" s="94"/>
      <c r="D114" s="95"/>
      <c r="E114" s="94"/>
      <c r="F114" s="94"/>
      <c r="G114" s="94"/>
      <c r="H114" s="94"/>
      <c r="I114" s="94"/>
      <c r="J114" s="94"/>
      <c r="K114" s="94"/>
      <c r="L114" s="94"/>
      <c r="M114" s="94"/>
      <c r="N114" s="94"/>
      <c r="O114" s="94"/>
      <c r="P114" s="94"/>
      <c r="Q114" s="94"/>
      <c r="R114" s="94"/>
      <c r="S114" s="94"/>
      <c r="T114" s="96"/>
      <c r="U114" s="94"/>
      <c r="V114" s="94"/>
      <c r="W114" s="94"/>
      <c r="X114" s="94"/>
      <c r="Y114" s="94"/>
      <c r="Z114" s="94"/>
      <c r="AA114" s="94"/>
      <c r="AB114" s="94"/>
      <c r="AC114" s="94"/>
      <c r="AD114" s="94"/>
      <c r="AE114" s="94"/>
      <c r="AF114" s="94"/>
      <c r="AG114" s="94"/>
      <c r="AH114" s="94"/>
      <c r="AI114" s="94"/>
      <c r="AJ114" s="97"/>
    </row>
    <row r="115" spans="2:36" ht="26.55" customHeight="1" x14ac:dyDescent="0.3">
      <c r="T115" s="25"/>
    </row>
    <row r="116" spans="2:36" ht="23.55" customHeight="1" x14ac:dyDescent="0.3">
      <c r="C116" s="1317" t="s">
        <v>130</v>
      </c>
      <c r="D116" s="1318"/>
      <c r="E116" s="1318"/>
      <c r="F116" s="1318"/>
      <c r="G116" s="1318"/>
      <c r="H116" s="1318"/>
      <c r="I116" s="1318"/>
      <c r="J116" s="1318"/>
      <c r="K116" s="1318"/>
      <c r="L116" s="1318"/>
      <c r="M116" s="1318"/>
      <c r="N116" s="1318"/>
      <c r="O116" s="1318"/>
      <c r="P116" s="1318"/>
      <c r="Q116" s="1318"/>
      <c r="R116" s="1318"/>
      <c r="S116" s="1319"/>
      <c r="T116" s="98"/>
      <c r="U116" s="1320" t="s">
        <v>131</v>
      </c>
      <c r="V116" s="1321"/>
      <c r="W116" s="1321"/>
      <c r="X116" s="1321"/>
      <c r="Y116" s="1321"/>
      <c r="Z116" s="1321"/>
      <c r="AA116" s="1321"/>
      <c r="AB116" s="1321"/>
      <c r="AC116" s="1321"/>
      <c r="AD116" s="1321"/>
      <c r="AE116" s="1321"/>
      <c r="AF116" s="1321"/>
      <c r="AG116" s="1321"/>
      <c r="AH116" s="1321"/>
      <c r="AI116" s="1321"/>
      <c r="AJ116" s="1322"/>
    </row>
    <row r="117" spans="2:36" ht="15.6" x14ac:dyDescent="0.3">
      <c r="C117" s="99"/>
      <c r="D117" s="100"/>
      <c r="E117" s="101"/>
      <c r="F117" s="101"/>
      <c r="G117" s="101"/>
      <c r="H117" s="101"/>
      <c r="I117" s="101"/>
      <c r="J117" s="101"/>
      <c r="K117" s="101"/>
      <c r="L117" s="101"/>
      <c r="M117" s="101"/>
      <c r="N117" s="101"/>
      <c r="O117" s="101"/>
      <c r="P117" s="101"/>
      <c r="Q117" s="101"/>
      <c r="R117" s="101"/>
      <c r="S117" s="101"/>
      <c r="T117" s="102"/>
      <c r="U117" s="101"/>
      <c r="V117" s="101"/>
      <c r="W117" s="101"/>
      <c r="X117" s="101"/>
      <c r="Y117" s="101"/>
      <c r="Z117" s="101"/>
      <c r="AJ117" s="30"/>
    </row>
    <row r="118" spans="2:36" ht="15.6" x14ac:dyDescent="0.3">
      <c r="C118" s="99"/>
      <c r="D118" s="103" t="s">
        <v>132</v>
      </c>
      <c r="E118" s="101"/>
      <c r="F118" s="101"/>
      <c r="G118" s="101"/>
      <c r="H118" s="101"/>
      <c r="I118" s="101"/>
      <c r="J118" s="101"/>
      <c r="K118" s="101"/>
      <c r="L118" s="101"/>
      <c r="M118" s="101"/>
      <c r="N118" s="101"/>
      <c r="O118" s="101"/>
      <c r="P118" s="101"/>
      <c r="Q118" s="101"/>
      <c r="R118" s="101"/>
      <c r="T118" s="25"/>
      <c r="V118" s="101"/>
      <c r="W118" s="104" t="s">
        <v>133</v>
      </c>
      <c r="X118" s="101"/>
      <c r="Y118" s="101"/>
      <c r="Z118" s="101"/>
      <c r="AA118" s="101"/>
      <c r="AJ118" s="30"/>
    </row>
    <row r="119" spans="2:36" x14ac:dyDescent="0.3">
      <c r="C119" s="26"/>
      <c r="T119" s="25"/>
      <c r="AJ119" s="30"/>
    </row>
    <row r="120" spans="2:36" ht="46.35" customHeight="1" thickBot="1" x14ac:dyDescent="0.35">
      <c r="C120" s="26"/>
      <c r="D120" s="35" t="s">
        <v>134</v>
      </c>
      <c r="E120" s="36" t="s">
        <v>135</v>
      </c>
      <c r="F120" s="36" t="s">
        <v>23</v>
      </c>
      <c r="G120" s="36" t="s">
        <v>24</v>
      </c>
      <c r="H120" s="37" t="s">
        <v>25</v>
      </c>
      <c r="T120" s="25"/>
      <c r="W120" s="35" t="s">
        <v>136</v>
      </c>
      <c r="X120" s="36" t="s">
        <v>137</v>
      </c>
      <c r="Y120" s="36" t="s">
        <v>138</v>
      </c>
      <c r="Z120" s="36" t="s">
        <v>29</v>
      </c>
      <c r="AA120" s="37" t="s">
        <v>25</v>
      </c>
      <c r="AJ120" s="30"/>
    </row>
    <row r="121" spans="2:36" ht="15" customHeight="1" thickBot="1" x14ac:dyDescent="0.35">
      <c r="C121" s="105"/>
      <c r="D121" s="1004" t="s">
        <v>3033</v>
      </c>
      <c r="E121" s="1001">
        <f>SUMIFS(DisplacementP[Individus],DisplacementP[Statut déplacé],"idp",DisplacementP[période],$D121)</f>
        <v>197947</v>
      </c>
      <c r="F121" s="1001">
        <f>SUMIFS(DisplacementP[Individus],DisplacementP[Statut déplacé],"refugee",DisplacementP[période],$D121)</f>
        <v>31476</v>
      </c>
      <c r="G121" s="1005">
        <f>SUMIFS(DisplacementP[Individus],DisplacementP[Statut déplacé],"returnee",DisplacementP[période],$D121)</f>
        <v>65850</v>
      </c>
      <c r="H121" s="1001">
        <f>$E121+$F121+$G121</f>
        <v>295273</v>
      </c>
      <c r="T121" s="25"/>
      <c r="V121" s="106"/>
      <c r="W121" s="1004" t="s">
        <v>3034</v>
      </c>
      <c r="X121" s="42">
        <f t="shared" ref="X121:X126" si="54">E121</f>
        <v>197947</v>
      </c>
      <c r="Y121" s="42">
        <f t="shared" ref="Y121:AA126" si="55">F121</f>
        <v>31476</v>
      </c>
      <c r="Z121" s="42">
        <f t="shared" si="55"/>
        <v>65850</v>
      </c>
      <c r="AA121" s="43">
        <f t="shared" si="55"/>
        <v>295273</v>
      </c>
      <c r="AJ121" s="30"/>
    </row>
    <row r="122" spans="2:36" ht="15" customHeight="1" thickBot="1" x14ac:dyDescent="0.35">
      <c r="C122" s="105"/>
      <c r="D122" s="23" t="s">
        <v>3109</v>
      </c>
      <c r="E122" s="1002">
        <f>SUMIFS(DisplacementP[Individus],DisplacementP[Statut déplacé],"idp",DisplacementP[période],$D122)</f>
        <v>51618</v>
      </c>
      <c r="F122" s="1002">
        <f>SUMIFS(DisplacementP[Individus],DisplacementP[Statut déplacé],"refugee",DisplacementP[période],$D122)</f>
        <v>1670</v>
      </c>
      <c r="G122" s="1002">
        <f>SUMIFS(DisplacementP[Individus],DisplacementP[Statut déplacé],"returnee",DisplacementP[période],$D122)</f>
        <v>2932</v>
      </c>
      <c r="H122" s="1002">
        <f>$E122+$F122+$G122</f>
        <v>56220</v>
      </c>
      <c r="T122" s="25"/>
      <c r="V122" s="106"/>
      <c r="W122" s="23">
        <v>2020</v>
      </c>
      <c r="X122" s="46">
        <f t="shared" si="54"/>
        <v>51618</v>
      </c>
      <c r="Y122" s="46">
        <f t="shared" si="55"/>
        <v>1670</v>
      </c>
      <c r="Z122" s="46">
        <f t="shared" si="55"/>
        <v>2932</v>
      </c>
      <c r="AA122" s="47">
        <f t="shared" si="55"/>
        <v>56220</v>
      </c>
      <c r="AJ122" s="30"/>
    </row>
    <row r="123" spans="2:36" ht="15" customHeight="1" thickBot="1" x14ac:dyDescent="0.35">
      <c r="C123" s="105"/>
      <c r="D123" s="18" t="s">
        <v>3110</v>
      </c>
      <c r="E123" s="1001">
        <f>SUMIFS(DisplacementP[Individus],DisplacementP[Statut déplacé],"idp",DisplacementP[période],$D123)</f>
        <v>38253</v>
      </c>
      <c r="F123" s="1001">
        <f>SUMIFS(DisplacementP[Individus],DisplacementP[Statut déplacé],"refugee",DisplacementP[période],$D123)</f>
        <v>1009</v>
      </c>
      <c r="G123" s="1001">
        <f>SUMIFS(DisplacementP[Individus],DisplacementP[Statut déplacé],"returnee",DisplacementP[période],$D123)</f>
        <v>6982</v>
      </c>
      <c r="H123" s="1001">
        <f>$E123+$F123+$G123</f>
        <v>46244</v>
      </c>
      <c r="T123" s="25"/>
      <c r="V123" s="106"/>
      <c r="W123" s="18">
        <v>2021</v>
      </c>
      <c r="X123" s="42">
        <f t="shared" si="54"/>
        <v>38253</v>
      </c>
      <c r="Y123" s="42">
        <f t="shared" si="55"/>
        <v>1009</v>
      </c>
      <c r="Z123" s="42">
        <f t="shared" si="55"/>
        <v>6982</v>
      </c>
      <c r="AA123" s="43">
        <f t="shared" si="55"/>
        <v>46244</v>
      </c>
      <c r="AJ123" s="30"/>
    </row>
    <row r="124" spans="2:36" ht="15" customHeight="1" thickBot="1" x14ac:dyDescent="0.35">
      <c r="C124" s="105"/>
      <c r="D124" s="1120" t="s">
        <v>3111</v>
      </c>
      <c r="E124" s="1002">
        <f>SUMIFS(DisplacementP[Individus],DisplacementP[Statut déplacé],"idp",DisplacementP[période],$D124)</f>
        <v>69432</v>
      </c>
      <c r="F124" s="1002">
        <f>SUMIFS(DisplacementP[Individus],DisplacementP[Statut déplacé],"refugee",DisplacementP[période],$D124)</f>
        <v>9493</v>
      </c>
      <c r="G124" s="1002">
        <f>SUMIFS(DisplacementP[Individus],DisplacementP[Statut déplacé],"returnee",DisplacementP[période],$D124)</f>
        <v>42435</v>
      </c>
      <c r="H124" s="1002">
        <f>$E124+$F124+$G124</f>
        <v>121360</v>
      </c>
      <c r="T124" s="25"/>
      <c r="V124" s="106"/>
      <c r="W124" s="1006" t="s">
        <v>3412</v>
      </c>
      <c r="X124" s="46">
        <f t="shared" si="54"/>
        <v>69432</v>
      </c>
      <c r="Y124" s="46">
        <f t="shared" si="55"/>
        <v>9493</v>
      </c>
      <c r="Z124" s="46">
        <f t="shared" si="55"/>
        <v>42435</v>
      </c>
      <c r="AA124" s="47">
        <f t="shared" si="55"/>
        <v>121360</v>
      </c>
      <c r="AJ124" s="30"/>
    </row>
    <row r="125" spans="2:36" ht="24.45" customHeight="1" thickBot="1" x14ac:dyDescent="0.35">
      <c r="C125" s="105"/>
      <c r="D125" s="1119" t="s">
        <v>3112</v>
      </c>
      <c r="E125" s="1001">
        <f>SUMIFS(DisplacementP[Individus],DisplacementP[Statut déplacé],"idp",DisplacementP[période],$D125)</f>
        <v>70583</v>
      </c>
      <c r="F125" s="1001">
        <f>SUMIFS(DisplacementP[Individus],DisplacementP[Statut déplacé],"refugee",DisplacementP[période],$D125)</f>
        <v>5865</v>
      </c>
      <c r="G125" s="1001">
        <f>SUMIFS(DisplacementP[Individus],DisplacementP[Statut déplacé],"returnee",DisplacementP[période],$D125)</f>
        <v>84967</v>
      </c>
      <c r="H125" s="1001">
        <f>$E125+$F125+$G125</f>
        <v>161415</v>
      </c>
      <c r="T125" s="25"/>
      <c r="V125" s="106"/>
      <c r="W125" s="1004" t="s">
        <v>3413</v>
      </c>
      <c r="X125" s="42">
        <f t="shared" si="54"/>
        <v>70583</v>
      </c>
      <c r="Y125" s="42">
        <f t="shared" si="55"/>
        <v>5865</v>
      </c>
      <c r="Z125" s="42">
        <f t="shared" si="55"/>
        <v>84967</v>
      </c>
      <c r="AA125" s="43">
        <f t="shared" si="55"/>
        <v>161415</v>
      </c>
      <c r="AJ125" s="30"/>
    </row>
    <row r="126" spans="2:36" ht="15" thickBot="1" x14ac:dyDescent="0.35">
      <c r="C126" s="26"/>
      <c r="D126" s="107" t="s">
        <v>25</v>
      </c>
      <c r="E126" s="108">
        <f>SUM(E121:E125)</f>
        <v>427833</v>
      </c>
      <c r="F126" s="108">
        <f>SUM(F121:F125)</f>
        <v>49513</v>
      </c>
      <c r="G126" s="108">
        <f>SUM(G121:G125)</f>
        <v>203166</v>
      </c>
      <c r="H126" s="108">
        <f>SUM(H121:H125)</f>
        <v>680512</v>
      </c>
      <c r="T126" s="25"/>
      <c r="W126" s="48" t="s">
        <v>25</v>
      </c>
      <c r="X126" s="52">
        <f t="shared" si="54"/>
        <v>427833</v>
      </c>
      <c r="Y126" s="52">
        <f t="shared" si="55"/>
        <v>49513</v>
      </c>
      <c r="Z126" s="52">
        <f t="shared" si="55"/>
        <v>203166</v>
      </c>
      <c r="AA126" s="52">
        <f t="shared" si="55"/>
        <v>680512</v>
      </c>
      <c r="AJ126" s="30"/>
    </row>
    <row r="127" spans="2:36" x14ac:dyDescent="0.3">
      <c r="C127" s="26"/>
      <c r="D127" s="109"/>
      <c r="E127" s="68"/>
      <c r="F127" s="68"/>
      <c r="G127" s="68"/>
      <c r="H127" s="68"/>
      <c r="T127" s="25"/>
      <c r="W127" s="110"/>
      <c r="X127" s="68"/>
      <c r="Y127" s="68"/>
      <c r="Z127" s="68"/>
      <c r="AA127" s="68"/>
      <c r="AJ127" s="30"/>
    </row>
    <row r="128" spans="2:36" x14ac:dyDescent="0.3">
      <c r="C128" s="26"/>
      <c r="D128" s="111" t="s">
        <v>140</v>
      </c>
      <c r="T128" s="25"/>
      <c r="W128" s="112" t="s">
        <v>141</v>
      </c>
      <c r="AJ128" s="30"/>
    </row>
    <row r="129" spans="3:36" x14ac:dyDescent="0.3">
      <c r="C129" s="26"/>
      <c r="D129" s="113"/>
      <c r="E129" s="114"/>
      <c r="F129" s="114"/>
      <c r="G129" s="114"/>
      <c r="H129" s="114"/>
      <c r="I129" s="114"/>
      <c r="J129" s="114"/>
      <c r="K129" s="114"/>
      <c r="L129" s="114"/>
      <c r="T129" s="25"/>
      <c r="AJ129" s="30"/>
    </row>
    <row r="130" spans="3:36" ht="45.75" customHeight="1" x14ac:dyDescent="0.3">
      <c r="C130" s="26"/>
      <c r="D130" s="35" t="s">
        <v>134</v>
      </c>
      <c r="E130" s="36" t="s">
        <v>135</v>
      </c>
      <c r="F130" s="36" t="s">
        <v>23</v>
      </c>
      <c r="G130" s="36" t="s">
        <v>24</v>
      </c>
      <c r="H130" s="37" t="s">
        <v>25</v>
      </c>
      <c r="I130" s="115"/>
      <c r="J130" s="115"/>
      <c r="K130" s="115"/>
      <c r="L130" s="115"/>
      <c r="T130" s="25"/>
      <c r="W130" s="35" t="s">
        <v>136</v>
      </c>
      <c r="X130" s="36" t="s">
        <v>137</v>
      </c>
      <c r="Y130" s="36" t="s">
        <v>142</v>
      </c>
      <c r="Z130" s="36" t="s">
        <v>29</v>
      </c>
      <c r="AA130" s="37" t="s">
        <v>25</v>
      </c>
      <c r="AJ130" s="30"/>
    </row>
    <row r="131" spans="3:36" ht="15" customHeight="1" x14ac:dyDescent="0.3">
      <c r="C131" s="116"/>
      <c r="D131" s="18" t="str">
        <f>$D$121</f>
        <v>Avant 2020</v>
      </c>
      <c r="E131" s="19">
        <f t="shared" ref="E131:F135" si="56">E121/$H$126</f>
        <v>0.29087951424809555</v>
      </c>
      <c r="F131" s="20">
        <f t="shared" si="56"/>
        <v>4.6253409197780496E-2</v>
      </c>
      <c r="G131" s="20">
        <f>G121/H$126</f>
        <v>9.6765376657575466E-2</v>
      </c>
      <c r="H131" s="14">
        <f>$E131+$F131+$G131</f>
        <v>0.43389830010345148</v>
      </c>
      <c r="I131" s="33"/>
      <c r="J131" s="33"/>
      <c r="K131" s="33"/>
      <c r="L131" s="33"/>
      <c r="T131" s="25"/>
      <c r="V131" s="106"/>
      <c r="W131" s="1004" t="str">
        <f>$W$121</f>
        <v>Before 2020</v>
      </c>
      <c r="X131" s="57">
        <f t="shared" ref="X131:AA135" si="57">E131</f>
        <v>0.29087951424809555</v>
      </c>
      <c r="Y131" s="57">
        <f t="shared" si="57"/>
        <v>4.6253409197780496E-2</v>
      </c>
      <c r="Z131" s="57">
        <f t="shared" si="57"/>
        <v>9.6765376657575466E-2</v>
      </c>
      <c r="AA131" s="395">
        <f t="shared" si="57"/>
        <v>0.43389830010345148</v>
      </c>
      <c r="AJ131" s="30"/>
    </row>
    <row r="132" spans="3:36" ht="15" customHeight="1" x14ac:dyDescent="0.3">
      <c r="C132" s="116"/>
      <c r="D132" s="23" t="str">
        <f>$D$122</f>
        <v>En 2020</v>
      </c>
      <c r="E132" s="21">
        <f t="shared" si="56"/>
        <v>7.5851711652402898E-2</v>
      </c>
      <c r="F132" s="22">
        <f t="shared" si="56"/>
        <v>2.4540346092353994E-3</v>
      </c>
      <c r="G132" s="22">
        <f>G122/H$126</f>
        <v>4.308520643280354E-3</v>
      </c>
      <c r="H132" s="15">
        <f>$E132+$F132+$G132</f>
        <v>8.261426690491866E-2</v>
      </c>
      <c r="I132" s="117"/>
      <c r="J132" s="117"/>
      <c r="K132" s="117"/>
      <c r="L132" s="118"/>
      <c r="T132" s="25"/>
      <c r="V132" s="106"/>
      <c r="W132" s="23">
        <f>$W$122</f>
        <v>2020</v>
      </c>
      <c r="X132" s="59">
        <f t="shared" si="57"/>
        <v>7.5851711652402898E-2</v>
      </c>
      <c r="Y132" s="59">
        <f t="shared" si="57"/>
        <v>2.4540346092353994E-3</v>
      </c>
      <c r="Z132" s="59">
        <f t="shared" si="57"/>
        <v>4.308520643280354E-3</v>
      </c>
      <c r="AA132" s="396">
        <f t="shared" si="57"/>
        <v>8.261426690491866E-2</v>
      </c>
      <c r="AJ132" s="30"/>
    </row>
    <row r="133" spans="3:36" ht="15" customHeight="1" x14ac:dyDescent="0.3">
      <c r="C133" s="116"/>
      <c r="D133" s="18" t="str">
        <f>$D$123</f>
        <v>En 2021</v>
      </c>
      <c r="E133" s="19">
        <f t="shared" si="56"/>
        <v>5.6212087369510014E-2</v>
      </c>
      <c r="F133" s="20">
        <f t="shared" si="56"/>
        <v>1.4827071381548012E-3</v>
      </c>
      <c r="G133" s="20">
        <f>G123/H$126</f>
        <v>1.0259921941126682E-2</v>
      </c>
      <c r="H133" s="14">
        <f>$E133+$F133+$G133</f>
        <v>6.7954716448791502E-2</v>
      </c>
      <c r="I133" s="117"/>
      <c r="J133" s="117"/>
      <c r="K133" s="117"/>
      <c r="L133" s="118"/>
      <c r="T133" s="25"/>
      <c r="V133" s="106"/>
      <c r="W133" s="18">
        <f>$W$123</f>
        <v>2021</v>
      </c>
      <c r="X133" s="57">
        <f t="shared" si="57"/>
        <v>5.6212087369510014E-2</v>
      </c>
      <c r="Y133" s="57">
        <f t="shared" si="57"/>
        <v>1.4827071381548012E-3</v>
      </c>
      <c r="Z133" s="57">
        <f t="shared" si="57"/>
        <v>1.0259921941126682E-2</v>
      </c>
      <c r="AA133" s="395">
        <f t="shared" si="57"/>
        <v>6.7954716448791502E-2</v>
      </c>
      <c r="AJ133" s="30"/>
    </row>
    <row r="134" spans="3:36" ht="15" customHeight="1" x14ac:dyDescent="0.3">
      <c r="C134" s="116"/>
      <c r="D134" s="23" t="str">
        <f>$D$124</f>
        <v>Janvier - Aout 2022</v>
      </c>
      <c r="E134" s="21">
        <f t="shared" si="56"/>
        <v>0.10202906047211512</v>
      </c>
      <c r="F134" s="22">
        <f t="shared" si="56"/>
        <v>1.3949790745791404E-2</v>
      </c>
      <c r="G134" s="22">
        <f>G124/H$126</f>
        <v>6.2357460265212078E-2</v>
      </c>
      <c r="H134" s="15">
        <f>$E134+$F134+$G134</f>
        <v>0.1783363114831186</v>
      </c>
      <c r="I134" s="117"/>
      <c r="J134" s="117"/>
      <c r="K134" s="117"/>
      <c r="L134" s="118"/>
      <c r="T134" s="25"/>
      <c r="V134" s="106"/>
      <c r="W134" s="23" t="str">
        <f>$W$124</f>
        <v>January - August 2022</v>
      </c>
      <c r="X134" s="59">
        <f t="shared" si="57"/>
        <v>0.10202906047211512</v>
      </c>
      <c r="Y134" s="59">
        <f t="shared" si="57"/>
        <v>1.3949790745791404E-2</v>
      </c>
      <c r="Z134" s="59">
        <f t="shared" si="57"/>
        <v>6.2357460265212078E-2</v>
      </c>
      <c r="AA134" s="396">
        <f t="shared" si="57"/>
        <v>0.1783363114831186</v>
      </c>
      <c r="AJ134" s="30"/>
    </row>
    <row r="135" spans="3:36" ht="27" customHeight="1" x14ac:dyDescent="0.3">
      <c r="C135" s="116"/>
      <c r="D135" s="18" t="str">
        <f>$D$125</f>
        <v>Septembre 2022 – Février 2023</v>
      </c>
      <c r="E135" s="19">
        <f t="shared" si="56"/>
        <v>0.10372043402614502</v>
      </c>
      <c r="F135" s="20">
        <f t="shared" si="56"/>
        <v>8.6185107683626454E-3</v>
      </c>
      <c r="G135" s="20">
        <f>G125/H$126</f>
        <v>0.12485746026521208</v>
      </c>
      <c r="H135" s="14">
        <f>$E135+$F135+$G135</f>
        <v>0.23719640505971973</v>
      </c>
      <c r="I135" s="117"/>
      <c r="J135" s="117"/>
      <c r="K135" s="117"/>
      <c r="L135" s="118"/>
      <c r="T135" s="25"/>
      <c r="V135" s="106"/>
      <c r="W135" s="18" t="str">
        <f>$W$125</f>
        <v>September 2022 - February 2023</v>
      </c>
      <c r="X135" s="57">
        <f t="shared" si="57"/>
        <v>0.10372043402614502</v>
      </c>
      <c r="Y135" s="57">
        <f t="shared" si="57"/>
        <v>8.6185107683626454E-3</v>
      </c>
      <c r="Z135" s="57">
        <f t="shared" si="57"/>
        <v>0.12485746026521208</v>
      </c>
      <c r="AA135" s="395">
        <f t="shared" si="57"/>
        <v>0.23719640505971973</v>
      </c>
      <c r="AJ135" s="30"/>
    </row>
    <row r="136" spans="3:36" x14ac:dyDescent="0.3">
      <c r="C136" s="26"/>
      <c r="D136" s="273"/>
      <c r="E136" s="1007"/>
      <c r="F136" s="1007"/>
      <c r="G136" s="1007"/>
      <c r="H136" s="121"/>
      <c r="I136" s="119"/>
      <c r="J136" s="119"/>
      <c r="K136" s="119"/>
      <c r="L136" s="120"/>
      <c r="T136" s="25"/>
      <c r="W136" s="64"/>
      <c r="X136" s="64"/>
      <c r="Y136" s="64"/>
      <c r="Z136" s="64"/>
      <c r="AA136" s="64"/>
      <c r="AJ136" s="30"/>
    </row>
    <row r="137" spans="3:36" x14ac:dyDescent="0.3">
      <c r="C137" s="26"/>
      <c r="D137" s="104" t="s">
        <v>143</v>
      </c>
      <c r="E137" s="122"/>
      <c r="F137" s="123"/>
      <c r="G137" s="122"/>
      <c r="H137" s="123"/>
      <c r="I137" s="119"/>
      <c r="J137" s="119"/>
      <c r="K137" s="119"/>
      <c r="L137" s="120"/>
      <c r="T137" s="25"/>
      <c r="W137" s="104" t="s">
        <v>144</v>
      </c>
      <c r="AJ137" s="30"/>
    </row>
    <row r="138" spans="3:36" x14ac:dyDescent="0.3">
      <c r="C138" s="26"/>
      <c r="D138" s="124"/>
      <c r="E138" s="122"/>
      <c r="F138" s="123"/>
      <c r="G138" s="122"/>
      <c r="H138" s="123"/>
      <c r="I138" s="119"/>
      <c r="J138" s="119"/>
      <c r="K138" s="119"/>
      <c r="L138" s="120" t="s">
        <v>145</v>
      </c>
      <c r="T138" s="25"/>
      <c r="AJ138" s="30"/>
    </row>
    <row r="139" spans="3:36" ht="51" customHeight="1" x14ac:dyDescent="0.3">
      <c r="C139" s="26"/>
      <c r="D139" s="35" t="s">
        <v>134</v>
      </c>
      <c r="E139" s="36" t="s">
        <v>135</v>
      </c>
      <c r="F139" s="36" t="s">
        <v>23</v>
      </c>
      <c r="G139" s="36" t="s">
        <v>24</v>
      </c>
      <c r="H139" s="37" t="s">
        <v>25</v>
      </c>
      <c r="I139" s="119"/>
      <c r="J139" s="119"/>
      <c r="K139" s="119"/>
      <c r="L139" s="120"/>
      <c r="T139" s="25"/>
      <c r="W139" s="35" t="s">
        <v>136</v>
      </c>
      <c r="X139" s="36" t="s">
        <v>137</v>
      </c>
      <c r="Y139" s="36" t="s">
        <v>142</v>
      </c>
      <c r="Z139" s="36" t="s">
        <v>29</v>
      </c>
      <c r="AA139" s="37" t="s">
        <v>25</v>
      </c>
      <c r="AJ139" s="30"/>
    </row>
    <row r="140" spans="3:36" ht="16.05" customHeight="1" x14ac:dyDescent="0.3">
      <c r="C140" s="116"/>
      <c r="D140" s="18" t="str">
        <f>$D$121</f>
        <v>Avant 2020</v>
      </c>
      <c r="E140" s="125">
        <f t="shared" ref="E140:H144" si="58">E121/E$126</f>
        <v>0.46267351980796245</v>
      </c>
      <c r="F140" s="126">
        <f t="shared" si="58"/>
        <v>0.63571183325591263</v>
      </c>
      <c r="G140" s="125">
        <f t="shared" si="58"/>
        <v>0.32411919317208587</v>
      </c>
      <c r="H140" s="127">
        <f t="shared" si="58"/>
        <v>0.43389830010345154</v>
      </c>
      <c r="I140" s="119"/>
      <c r="J140" s="119"/>
      <c r="K140" s="119"/>
      <c r="L140" s="120"/>
      <c r="T140" s="25"/>
      <c r="V140" s="106"/>
      <c r="W140" s="1004" t="str">
        <f>$W$121</f>
        <v>Before 2020</v>
      </c>
      <c r="X140" s="125">
        <f t="shared" ref="X140:AA145" si="59">E140</f>
        <v>0.46267351980796245</v>
      </c>
      <c r="Y140" s="125">
        <f t="shared" si="59"/>
        <v>0.63571183325591263</v>
      </c>
      <c r="Z140" s="125">
        <f t="shared" si="59"/>
        <v>0.32411919317208587</v>
      </c>
      <c r="AA140" s="127">
        <f t="shared" si="59"/>
        <v>0.43389830010345154</v>
      </c>
      <c r="AJ140" s="30"/>
    </row>
    <row r="141" spans="3:36" ht="16.05" customHeight="1" x14ac:dyDescent="0.3">
      <c r="C141" s="116"/>
      <c r="D141" s="23" t="str">
        <f>$D$122</f>
        <v>En 2020</v>
      </c>
      <c r="E141" s="128">
        <f t="shared" si="58"/>
        <v>0.12064987974279684</v>
      </c>
      <c r="F141" s="129">
        <f t="shared" si="58"/>
        <v>3.3728515743340133E-2</v>
      </c>
      <c r="G141" s="128">
        <f t="shared" si="58"/>
        <v>1.4431548585885433E-2</v>
      </c>
      <c r="H141" s="130">
        <f t="shared" si="58"/>
        <v>8.2614266904918646E-2</v>
      </c>
      <c r="I141" s="119"/>
      <c r="J141" s="119"/>
      <c r="K141" s="119"/>
      <c r="L141" s="120"/>
      <c r="T141" s="25"/>
      <c r="V141" s="106"/>
      <c r="W141" s="23">
        <f>$W$122</f>
        <v>2020</v>
      </c>
      <c r="X141" s="128">
        <f t="shared" si="59"/>
        <v>0.12064987974279684</v>
      </c>
      <c r="Y141" s="128">
        <f t="shared" si="59"/>
        <v>3.3728515743340133E-2</v>
      </c>
      <c r="Z141" s="128">
        <f t="shared" si="59"/>
        <v>1.4431548585885433E-2</v>
      </c>
      <c r="AA141" s="130">
        <f t="shared" si="59"/>
        <v>8.2614266904918646E-2</v>
      </c>
      <c r="AJ141" s="30"/>
    </row>
    <row r="142" spans="3:36" ht="16.05" customHeight="1" x14ac:dyDescent="0.3">
      <c r="C142" s="116"/>
      <c r="D142" s="18" t="str">
        <f>$D$123</f>
        <v>En 2021</v>
      </c>
      <c r="E142" s="125">
        <f t="shared" si="58"/>
        <v>8.9411055248192636E-2</v>
      </c>
      <c r="F142" s="126">
        <f t="shared" si="58"/>
        <v>2.0378486458101912E-2</v>
      </c>
      <c r="G142" s="125">
        <f t="shared" si="58"/>
        <v>3.4365986434738094E-2</v>
      </c>
      <c r="H142" s="127">
        <f t="shared" si="58"/>
        <v>6.7954716448791502E-2</v>
      </c>
      <c r="I142" s="119"/>
      <c r="J142" s="119"/>
      <c r="K142" s="119"/>
      <c r="L142" s="120"/>
      <c r="T142" s="25"/>
      <c r="V142" s="106"/>
      <c r="W142" s="18">
        <f>$W$123</f>
        <v>2021</v>
      </c>
      <c r="X142" s="125">
        <f t="shared" si="59"/>
        <v>8.9411055248192636E-2</v>
      </c>
      <c r="Y142" s="125">
        <f t="shared" si="59"/>
        <v>2.0378486458101912E-2</v>
      </c>
      <c r="Z142" s="125">
        <f t="shared" si="59"/>
        <v>3.4365986434738094E-2</v>
      </c>
      <c r="AA142" s="127">
        <f t="shared" si="59"/>
        <v>6.7954716448791502E-2</v>
      </c>
      <c r="AJ142" s="30"/>
    </row>
    <row r="143" spans="3:36" ht="16.05" customHeight="1" x14ac:dyDescent="0.3">
      <c r="C143" s="116"/>
      <c r="D143" s="23" t="str">
        <f>$D$124</f>
        <v>Janvier - Aout 2022</v>
      </c>
      <c r="E143" s="128">
        <f t="shared" si="58"/>
        <v>0.16228762157196849</v>
      </c>
      <c r="F143" s="129">
        <f t="shared" si="58"/>
        <v>0.19172742512067537</v>
      </c>
      <c r="G143" s="128">
        <f t="shared" si="58"/>
        <v>0.20886860990520068</v>
      </c>
      <c r="H143" s="130">
        <f t="shared" si="58"/>
        <v>0.1783363114831186</v>
      </c>
      <c r="I143" s="119"/>
      <c r="J143" s="119"/>
      <c r="K143" s="119"/>
      <c r="L143" s="120"/>
      <c r="T143" s="25"/>
      <c r="V143" s="106"/>
      <c r="W143" s="23" t="str">
        <f>$W$124</f>
        <v>January - August 2022</v>
      </c>
      <c r="X143" s="128">
        <f t="shared" si="59"/>
        <v>0.16228762157196849</v>
      </c>
      <c r="Y143" s="128">
        <f t="shared" si="59"/>
        <v>0.19172742512067537</v>
      </c>
      <c r="Z143" s="128">
        <f t="shared" si="59"/>
        <v>0.20886860990520068</v>
      </c>
      <c r="AA143" s="130">
        <f t="shared" si="59"/>
        <v>0.1783363114831186</v>
      </c>
      <c r="AJ143" s="30"/>
    </row>
    <row r="144" spans="3:36" ht="27.45" customHeight="1" thickBot="1" x14ac:dyDescent="0.35">
      <c r="C144" s="116"/>
      <c r="D144" s="18" t="str">
        <f>$D$125</f>
        <v>Septembre 2022 – Février 2023</v>
      </c>
      <c r="E144" s="125">
        <f t="shared" si="58"/>
        <v>0.16497792362907956</v>
      </c>
      <c r="F144" s="126">
        <f t="shared" si="58"/>
        <v>0.11845373942196999</v>
      </c>
      <c r="G144" s="125">
        <f t="shared" si="58"/>
        <v>0.41821466190208989</v>
      </c>
      <c r="H144" s="127">
        <f t="shared" si="58"/>
        <v>0.23719640505971973</v>
      </c>
      <c r="I144" s="119"/>
      <c r="J144" s="119"/>
      <c r="K144" s="119"/>
      <c r="L144" s="120"/>
      <c r="T144" s="25"/>
      <c r="V144" s="106"/>
      <c r="W144" s="18" t="str">
        <f>$W$125</f>
        <v>September 2022 - February 2023</v>
      </c>
      <c r="X144" s="125">
        <f t="shared" si="59"/>
        <v>0.16497792362907956</v>
      </c>
      <c r="Y144" s="125">
        <f t="shared" si="59"/>
        <v>0.11845373942196999</v>
      </c>
      <c r="Z144" s="125">
        <f t="shared" si="59"/>
        <v>0.41821466190208989</v>
      </c>
      <c r="AA144" s="127">
        <f t="shared" si="59"/>
        <v>0.23719640505971973</v>
      </c>
      <c r="AJ144" s="30"/>
    </row>
    <row r="145" spans="3:36" ht="15" thickBot="1" x14ac:dyDescent="0.35">
      <c r="C145" s="26"/>
      <c r="D145" s="107" t="s">
        <v>25</v>
      </c>
      <c r="E145" s="132">
        <f>SUM(E140:E144)</f>
        <v>1</v>
      </c>
      <c r="F145" s="132">
        <f>SUM(F140:F144)</f>
        <v>1</v>
      </c>
      <c r="G145" s="132">
        <f>SUM(G140:G144)</f>
        <v>1</v>
      </c>
      <c r="H145" s="132">
        <f>SUM(H140:H144)</f>
        <v>1</v>
      </c>
      <c r="I145" s="119"/>
      <c r="J145" s="119"/>
      <c r="K145" s="119"/>
      <c r="L145" s="120"/>
      <c r="T145" s="25"/>
      <c r="W145" s="48" t="s">
        <v>25</v>
      </c>
      <c r="X145" s="132">
        <f t="shared" si="59"/>
        <v>1</v>
      </c>
      <c r="Y145" s="132">
        <f t="shared" si="59"/>
        <v>1</v>
      </c>
      <c r="Z145" s="132">
        <f t="shared" si="59"/>
        <v>1</v>
      </c>
      <c r="AA145" s="132">
        <f t="shared" si="59"/>
        <v>1</v>
      </c>
      <c r="AJ145" s="30"/>
    </row>
    <row r="146" spans="3:36" ht="25.05" customHeight="1" x14ac:dyDescent="0.3">
      <c r="C146" s="26"/>
      <c r="D146" s="104" t="s">
        <v>146</v>
      </c>
      <c r="E146" s="119"/>
      <c r="F146" s="120"/>
      <c r="G146" s="119"/>
      <c r="H146" s="120"/>
      <c r="I146" s="119"/>
      <c r="J146" s="119"/>
      <c r="K146" s="119"/>
      <c r="L146" s="120"/>
      <c r="T146" s="25"/>
      <c r="W146" s="104" t="s">
        <v>147</v>
      </c>
      <c r="AJ146" s="30"/>
    </row>
    <row r="147" spans="3:36" x14ac:dyDescent="0.3">
      <c r="C147" s="26"/>
      <c r="D147" s="133"/>
      <c r="E147" s="119"/>
      <c r="F147" s="120"/>
      <c r="G147" s="119"/>
      <c r="H147" s="120"/>
      <c r="I147" s="119"/>
      <c r="J147" s="119"/>
      <c r="K147" s="119"/>
      <c r="L147" s="120"/>
      <c r="T147" s="25"/>
      <c r="AJ147" s="30"/>
    </row>
    <row r="148" spans="3:36" ht="47.25" customHeight="1" x14ac:dyDescent="0.3">
      <c r="C148" s="26"/>
      <c r="D148" s="35" t="s">
        <v>134</v>
      </c>
      <c r="E148" s="36" t="s">
        <v>135</v>
      </c>
      <c r="F148" s="36" t="s">
        <v>23</v>
      </c>
      <c r="G148" s="36" t="s">
        <v>24</v>
      </c>
      <c r="H148" s="37" t="s">
        <v>25</v>
      </c>
      <c r="I148" s="119"/>
      <c r="J148" s="119"/>
      <c r="K148" s="119"/>
      <c r="L148" s="120"/>
      <c r="T148" s="25"/>
      <c r="W148" s="35" t="s">
        <v>136</v>
      </c>
      <c r="X148" s="36" t="s">
        <v>137</v>
      </c>
      <c r="Y148" s="36" t="s">
        <v>142</v>
      </c>
      <c r="Z148" s="36" t="s">
        <v>29</v>
      </c>
      <c r="AA148" s="37" t="s">
        <v>25</v>
      </c>
      <c r="AJ148" s="30"/>
    </row>
    <row r="149" spans="3:36" ht="16.05" customHeight="1" x14ac:dyDescent="0.3">
      <c r="C149" s="116"/>
      <c r="D149" s="18" t="str">
        <f>$D$121</f>
        <v>Avant 2020</v>
      </c>
      <c r="E149" s="125">
        <f>E121/H121</f>
        <v>0.67038638818991236</v>
      </c>
      <c r="F149" s="125">
        <f>F121/H121</f>
        <v>0.10659965523430859</v>
      </c>
      <c r="G149" s="125">
        <f>G121/H121</f>
        <v>0.22301395657577902</v>
      </c>
      <c r="H149" s="127">
        <f>SUM($E149:$G149)</f>
        <v>1</v>
      </c>
      <c r="I149" s="119"/>
      <c r="J149" s="119"/>
      <c r="K149" s="119"/>
      <c r="L149" s="120"/>
      <c r="T149" s="25"/>
      <c r="V149" s="106"/>
      <c r="W149" s="1004" t="str">
        <f>$W$121</f>
        <v>Before 2020</v>
      </c>
      <c r="X149" s="125">
        <f t="shared" ref="X149:AA153" si="60">E149</f>
        <v>0.67038638818991236</v>
      </c>
      <c r="Y149" s="125">
        <f t="shared" si="60"/>
        <v>0.10659965523430859</v>
      </c>
      <c r="Z149" s="125">
        <f t="shared" si="60"/>
        <v>0.22301395657577902</v>
      </c>
      <c r="AA149" s="127">
        <f t="shared" si="60"/>
        <v>1</v>
      </c>
      <c r="AJ149" s="30"/>
    </row>
    <row r="150" spans="3:36" ht="16.05" customHeight="1" x14ac:dyDescent="0.3">
      <c r="C150" s="116"/>
      <c r="D150" s="23" t="str">
        <f>$D$122</f>
        <v>En 2020</v>
      </c>
      <c r="E150" s="128">
        <f>E122/H122</f>
        <v>0.91814300960512274</v>
      </c>
      <c r="F150" s="128">
        <f>F122/H122</f>
        <v>2.9704731412308786E-2</v>
      </c>
      <c r="G150" s="128">
        <f>G122/H122</f>
        <v>5.2152258982568478E-2</v>
      </c>
      <c r="H150" s="130">
        <f>SUM($E150:$G150)</f>
        <v>1</v>
      </c>
      <c r="I150" s="119"/>
      <c r="J150" s="119"/>
      <c r="K150" s="119"/>
      <c r="L150" s="120"/>
      <c r="T150" s="25"/>
      <c r="V150" s="106"/>
      <c r="W150" s="23">
        <f>$W$122</f>
        <v>2020</v>
      </c>
      <c r="X150" s="128">
        <f t="shared" si="60"/>
        <v>0.91814300960512274</v>
      </c>
      <c r="Y150" s="128">
        <f t="shared" si="60"/>
        <v>2.9704731412308786E-2</v>
      </c>
      <c r="Z150" s="128">
        <f t="shared" si="60"/>
        <v>5.2152258982568478E-2</v>
      </c>
      <c r="AA150" s="130">
        <f t="shared" si="60"/>
        <v>1</v>
      </c>
      <c r="AJ150" s="30"/>
    </row>
    <row r="151" spans="3:36" ht="16.05" customHeight="1" x14ac:dyDescent="0.3">
      <c r="C151" s="116"/>
      <c r="D151" s="18" t="str">
        <f>$D$123</f>
        <v>En 2021</v>
      </c>
      <c r="E151" s="125">
        <f>E123/H123</f>
        <v>0.82719920422108817</v>
      </c>
      <c r="F151" s="125">
        <f>F123/H123</f>
        <v>2.1819046795259926E-2</v>
      </c>
      <c r="G151" s="125">
        <f>G123/H123</f>
        <v>0.15098174898365194</v>
      </c>
      <c r="H151" s="127">
        <f>SUM($E151:$G151)</f>
        <v>1</v>
      </c>
      <c r="I151" s="119"/>
      <c r="J151" s="119"/>
      <c r="K151" s="119"/>
      <c r="L151" s="120"/>
      <c r="T151" s="25"/>
      <c r="V151" s="106"/>
      <c r="W151" s="18">
        <f>$W$123</f>
        <v>2021</v>
      </c>
      <c r="X151" s="125">
        <f t="shared" si="60"/>
        <v>0.82719920422108817</v>
      </c>
      <c r="Y151" s="125">
        <f t="shared" si="60"/>
        <v>2.1819046795259926E-2</v>
      </c>
      <c r="Z151" s="125">
        <f t="shared" si="60"/>
        <v>0.15098174898365194</v>
      </c>
      <c r="AA151" s="127">
        <f t="shared" si="60"/>
        <v>1</v>
      </c>
      <c r="AJ151" s="30"/>
    </row>
    <row r="152" spans="3:36" ht="16.05" customHeight="1" x14ac:dyDescent="0.3">
      <c r="C152" s="116"/>
      <c r="D152" s="23" t="str">
        <f>$D$124</f>
        <v>Janvier - Aout 2022</v>
      </c>
      <c r="E152" s="128">
        <f>E124/H124</f>
        <v>0.57211601845748183</v>
      </c>
      <c r="F152" s="128">
        <f>F124/H124</f>
        <v>7.8221819380355967E-2</v>
      </c>
      <c r="G152" s="128">
        <f>G124/H124</f>
        <v>0.34966216216216217</v>
      </c>
      <c r="H152" s="130">
        <f>SUM($E152:$G152)</f>
        <v>1</v>
      </c>
      <c r="I152" s="119"/>
      <c r="J152" s="119"/>
      <c r="K152" s="119"/>
      <c r="L152" s="120"/>
      <c r="T152" s="25"/>
      <c r="V152" s="106"/>
      <c r="W152" s="23" t="str">
        <f>$W$124</f>
        <v>January - August 2022</v>
      </c>
      <c r="X152" s="128">
        <f t="shared" si="60"/>
        <v>0.57211601845748183</v>
      </c>
      <c r="Y152" s="128">
        <f t="shared" si="60"/>
        <v>7.8221819380355967E-2</v>
      </c>
      <c r="Z152" s="128">
        <f t="shared" si="60"/>
        <v>0.34966216216216217</v>
      </c>
      <c r="AA152" s="130">
        <f t="shared" si="60"/>
        <v>1</v>
      </c>
      <c r="AJ152" s="30"/>
    </row>
    <row r="153" spans="3:36" ht="27.45" customHeight="1" x14ac:dyDescent="0.3">
      <c r="C153" s="116"/>
      <c r="D153" s="18" t="str">
        <f>$D$125</f>
        <v>Septembre 2022 – Février 2023</v>
      </c>
      <c r="E153" s="125">
        <f>E125/H125</f>
        <v>0.43727658519964069</v>
      </c>
      <c r="F153" s="125">
        <f>F125/H125</f>
        <v>3.6334913112164295E-2</v>
      </c>
      <c r="G153" s="125">
        <f>G125/H125</f>
        <v>0.52638850168819507</v>
      </c>
      <c r="H153" s="127">
        <f>SUM($E153:$G153)</f>
        <v>1</v>
      </c>
      <c r="I153" s="119"/>
      <c r="J153" s="119"/>
      <c r="K153" s="119"/>
      <c r="L153" s="120"/>
      <c r="T153" s="25"/>
      <c r="V153" s="106"/>
      <c r="W153" s="18" t="str">
        <f>$W$125</f>
        <v>September 2022 - February 2023</v>
      </c>
      <c r="X153" s="125">
        <f t="shared" si="60"/>
        <v>0.43727658519964069</v>
      </c>
      <c r="Y153" s="125">
        <f t="shared" si="60"/>
        <v>3.6334913112164295E-2</v>
      </c>
      <c r="Z153" s="125">
        <f t="shared" si="60"/>
        <v>0.52638850168819507</v>
      </c>
      <c r="AA153" s="127">
        <f t="shared" si="60"/>
        <v>1</v>
      </c>
      <c r="AJ153" s="30"/>
    </row>
    <row r="154" spans="3:36" x14ac:dyDescent="0.3">
      <c r="C154" s="93"/>
      <c r="D154" s="134"/>
      <c r="E154" s="135"/>
      <c r="F154" s="136"/>
      <c r="G154" s="135"/>
      <c r="H154" s="136"/>
      <c r="I154" s="135"/>
      <c r="J154" s="135"/>
      <c r="K154" s="135"/>
      <c r="L154" s="136"/>
      <c r="M154" s="94"/>
      <c r="N154" s="94"/>
      <c r="O154" s="94"/>
      <c r="P154" s="94"/>
      <c r="Q154" s="94"/>
      <c r="R154" s="94"/>
      <c r="S154" s="94"/>
      <c r="T154" s="96"/>
      <c r="U154" s="94"/>
      <c r="V154" s="94"/>
      <c r="W154" s="94"/>
      <c r="X154" s="94"/>
      <c r="Y154" s="94"/>
      <c r="Z154" s="94"/>
      <c r="AA154" s="94"/>
      <c r="AB154" s="94"/>
      <c r="AC154" s="94"/>
      <c r="AD154" s="94"/>
      <c r="AE154" s="94"/>
      <c r="AF154" s="94"/>
      <c r="AG154" s="94"/>
      <c r="AH154" s="94"/>
      <c r="AI154" s="94"/>
      <c r="AJ154" s="97"/>
    </row>
    <row r="155" spans="3:36" ht="20.55" customHeight="1" x14ac:dyDescent="0.3">
      <c r="D155" s="133"/>
      <c r="E155" s="119"/>
      <c r="F155" s="120"/>
      <c r="G155" s="119"/>
      <c r="H155" s="120"/>
      <c r="I155" s="119"/>
      <c r="J155" s="119"/>
      <c r="K155" s="119"/>
      <c r="L155" s="120"/>
      <c r="T155" s="25"/>
      <c r="AG155" s="137"/>
      <c r="AH155" s="137"/>
      <c r="AI155" s="137"/>
      <c r="AJ155" s="137"/>
    </row>
    <row r="156" spans="3:36" x14ac:dyDescent="0.3">
      <c r="C156" s="138"/>
      <c r="D156" s="139"/>
      <c r="E156" s="140"/>
      <c r="F156" s="141"/>
      <c r="G156" s="140"/>
      <c r="H156" s="141"/>
      <c r="I156" s="140"/>
      <c r="J156" s="140"/>
      <c r="K156" s="140"/>
      <c r="L156" s="141"/>
      <c r="M156" s="142"/>
      <c r="N156" s="142"/>
      <c r="O156" s="142"/>
      <c r="P156" s="142"/>
      <c r="Q156" s="142"/>
      <c r="R156" s="142"/>
      <c r="S156" s="142"/>
      <c r="T156" s="143"/>
      <c r="U156" s="142"/>
      <c r="V156" s="142"/>
      <c r="W156" s="142"/>
      <c r="X156" s="142"/>
      <c r="Y156" s="142"/>
      <c r="Z156" s="142"/>
      <c r="AA156" s="142"/>
      <c r="AB156" s="142"/>
      <c r="AC156" s="142"/>
      <c r="AD156" s="142"/>
      <c r="AE156" s="142"/>
      <c r="AF156" s="142"/>
      <c r="AJ156" s="144"/>
    </row>
    <row r="157" spans="3:36" x14ac:dyDescent="0.3">
      <c r="C157" s="26"/>
      <c r="D157" s="64"/>
      <c r="E157" s="64"/>
      <c r="F157" s="64"/>
      <c r="G157" s="64"/>
      <c r="H157" s="64"/>
      <c r="I157" s="119"/>
      <c r="J157" s="119"/>
      <c r="K157" s="119"/>
      <c r="L157" s="120"/>
      <c r="T157" s="25"/>
      <c r="W157" s="64"/>
      <c r="X157" s="64"/>
      <c r="Y157" s="64"/>
      <c r="Z157" s="64"/>
      <c r="AA157" s="64"/>
      <c r="AJ157" s="30"/>
    </row>
    <row r="158" spans="3:36" x14ac:dyDescent="0.3">
      <c r="C158" s="26"/>
      <c r="D158" s="2" t="s">
        <v>148</v>
      </c>
      <c r="E158" s="2" t="s">
        <v>149</v>
      </c>
      <c r="F158"/>
      <c r="G158"/>
      <c r="H158"/>
      <c r="I158"/>
      <c r="J158" s="119"/>
      <c r="K158" s="119"/>
      <c r="T158" s="25"/>
      <c r="W158" s="2" t="s">
        <v>150</v>
      </c>
      <c r="X158" s="2" t="s">
        <v>151</v>
      </c>
      <c r="Y158"/>
      <c r="Z158"/>
      <c r="AA158"/>
      <c r="AB158"/>
      <c r="AE158"/>
      <c r="AF158"/>
      <c r="AG158"/>
      <c r="AH158"/>
      <c r="AI158"/>
      <c r="AJ158" s="30"/>
    </row>
    <row r="159" spans="3:36" ht="28.8" x14ac:dyDescent="0.3">
      <c r="C159" s="26"/>
      <c r="D159" s="587" t="s">
        <v>152</v>
      </c>
      <c r="E159" s="588" t="s">
        <v>153</v>
      </c>
      <c r="F159" s="588" t="s">
        <v>3380</v>
      </c>
      <c r="G159" s="588" t="s">
        <v>24</v>
      </c>
      <c r="H159" s="588" t="s">
        <v>154</v>
      </c>
      <c r="I159"/>
      <c r="J159" s="119"/>
      <c r="K159" s="119"/>
      <c r="T159" s="25"/>
      <c r="W159" s="2" t="s">
        <v>155</v>
      </c>
      <c r="X159" s="590" t="s">
        <v>3377</v>
      </c>
      <c r="Y159" s="588" t="s">
        <v>3378</v>
      </c>
      <c r="Z159" s="590" t="s">
        <v>3379</v>
      </c>
      <c r="AA159" s="590" t="s">
        <v>25</v>
      </c>
      <c r="AB159"/>
      <c r="AE159"/>
      <c r="AF159"/>
      <c r="AG159"/>
      <c r="AH159"/>
      <c r="AI159"/>
      <c r="AJ159" s="30"/>
    </row>
    <row r="160" spans="3:36" x14ac:dyDescent="0.3">
      <c r="C160" s="26"/>
      <c r="D160" s="1" t="s">
        <v>30</v>
      </c>
      <c r="E160" s="589">
        <v>12542</v>
      </c>
      <c r="F160" s="589">
        <v>334</v>
      </c>
      <c r="G160" s="589">
        <v>429</v>
      </c>
      <c r="H160" s="589">
        <v>13305</v>
      </c>
      <c r="I160"/>
      <c r="J160" s="119"/>
      <c r="K160" s="119"/>
      <c r="T160" s="25"/>
      <c r="W160" s="1" t="s">
        <v>30</v>
      </c>
      <c r="X160" s="391">
        <v>12542</v>
      </c>
      <c r="Y160" s="391">
        <v>334</v>
      </c>
      <c r="Z160" s="391">
        <v>429</v>
      </c>
      <c r="AA160" s="391">
        <v>13305</v>
      </c>
      <c r="AB160"/>
      <c r="AE160"/>
      <c r="AF160"/>
      <c r="AG160"/>
      <c r="AH160"/>
      <c r="AI160"/>
      <c r="AJ160" s="30"/>
    </row>
    <row r="161" spans="3:36" x14ac:dyDescent="0.3">
      <c r="C161" s="26"/>
      <c r="D161" s="3" t="s">
        <v>156</v>
      </c>
      <c r="E161" s="589">
        <v>2940</v>
      </c>
      <c r="F161" s="589"/>
      <c r="G161" s="589"/>
      <c r="H161" s="589">
        <v>2940</v>
      </c>
      <c r="I161"/>
      <c r="J161" s="119"/>
      <c r="K161" s="119"/>
      <c r="T161" s="25"/>
      <c r="W161" s="3" t="s">
        <v>157</v>
      </c>
      <c r="X161" s="391"/>
      <c r="Y161" s="391"/>
      <c r="Z161" s="391">
        <v>390</v>
      </c>
      <c r="AA161" s="391">
        <v>390</v>
      </c>
      <c r="AB161"/>
      <c r="AE161"/>
      <c r="AF161"/>
      <c r="AG161"/>
      <c r="AH161"/>
      <c r="AI161"/>
      <c r="AJ161" s="30"/>
    </row>
    <row r="162" spans="3:36" x14ac:dyDescent="0.3">
      <c r="C162" s="26"/>
      <c r="D162" s="3" t="s">
        <v>157</v>
      </c>
      <c r="E162" s="589"/>
      <c r="F162" s="589"/>
      <c r="G162" s="589">
        <v>390</v>
      </c>
      <c r="H162" s="589">
        <v>390</v>
      </c>
      <c r="I162"/>
      <c r="J162" s="119"/>
      <c r="K162" s="119"/>
      <c r="T162" s="25"/>
      <c r="W162" s="3" t="s">
        <v>158</v>
      </c>
      <c r="X162" s="391">
        <v>283</v>
      </c>
      <c r="Y162" s="391"/>
      <c r="Z162" s="391"/>
      <c r="AA162" s="391">
        <v>283</v>
      </c>
      <c r="AB162"/>
      <c r="AE162"/>
      <c r="AF162"/>
      <c r="AG162"/>
      <c r="AH162"/>
      <c r="AI162"/>
      <c r="AJ162" s="30"/>
    </row>
    <row r="163" spans="3:36" x14ac:dyDescent="0.3">
      <c r="C163" s="26"/>
      <c r="D163" s="3" t="s">
        <v>158</v>
      </c>
      <c r="E163" s="589">
        <v>283</v>
      </c>
      <c r="F163" s="589"/>
      <c r="G163" s="589"/>
      <c r="H163" s="589">
        <v>283</v>
      </c>
      <c r="I163"/>
      <c r="J163" s="119"/>
      <c r="K163" s="119"/>
      <c r="T163" s="25"/>
      <c r="W163" s="3" t="s">
        <v>159</v>
      </c>
      <c r="X163" s="391">
        <v>952</v>
      </c>
      <c r="Y163" s="391"/>
      <c r="Z163" s="391"/>
      <c r="AA163" s="391">
        <v>952</v>
      </c>
      <c r="AB163"/>
      <c r="AE163"/>
      <c r="AF163"/>
      <c r="AG163"/>
      <c r="AH163"/>
      <c r="AI163"/>
      <c r="AJ163" s="30"/>
    </row>
    <row r="164" spans="3:36" x14ac:dyDescent="0.3">
      <c r="C164" s="26"/>
      <c r="D164" s="3" t="s">
        <v>159</v>
      </c>
      <c r="E164" s="589">
        <v>952</v>
      </c>
      <c r="F164" s="589"/>
      <c r="G164" s="589"/>
      <c r="H164" s="589">
        <v>952</v>
      </c>
      <c r="I164"/>
      <c r="J164" s="119"/>
      <c r="K164" s="119"/>
      <c r="T164" s="25"/>
      <c r="W164" s="3" t="s">
        <v>160</v>
      </c>
      <c r="X164" s="391">
        <v>1988</v>
      </c>
      <c r="Y164" s="391"/>
      <c r="Z164" s="391"/>
      <c r="AA164" s="391">
        <v>1988</v>
      </c>
      <c r="AB164"/>
      <c r="AE164"/>
      <c r="AF164"/>
      <c r="AG164"/>
      <c r="AH164"/>
      <c r="AI164"/>
      <c r="AJ164" s="30"/>
    </row>
    <row r="165" spans="3:36" x14ac:dyDescent="0.3">
      <c r="C165" s="26"/>
      <c r="D165" s="3" t="s">
        <v>160</v>
      </c>
      <c r="E165" s="589">
        <v>1988</v>
      </c>
      <c r="F165" s="589"/>
      <c r="G165" s="589"/>
      <c r="H165" s="589">
        <v>1988</v>
      </c>
      <c r="I165"/>
      <c r="J165" s="119"/>
      <c r="K165" s="119"/>
      <c r="T165" s="25"/>
      <c r="W165" s="3" t="s">
        <v>161</v>
      </c>
      <c r="X165" s="391">
        <v>3167</v>
      </c>
      <c r="Y165" s="391"/>
      <c r="Z165" s="391"/>
      <c r="AA165" s="391">
        <v>3167</v>
      </c>
      <c r="AB165"/>
      <c r="AE165"/>
      <c r="AF165"/>
      <c r="AG165"/>
      <c r="AH165"/>
      <c r="AI165"/>
      <c r="AJ165" s="30"/>
    </row>
    <row r="166" spans="3:36" x14ac:dyDescent="0.3">
      <c r="C166" s="26"/>
      <c r="D166" s="3" t="s">
        <v>161</v>
      </c>
      <c r="E166" s="589">
        <v>3167</v>
      </c>
      <c r="F166" s="589"/>
      <c r="G166" s="589"/>
      <c r="H166" s="589">
        <v>3167</v>
      </c>
      <c r="I166"/>
      <c r="J166" s="119"/>
      <c r="K166" s="119"/>
      <c r="T166" s="25"/>
      <c r="W166" s="3" t="s">
        <v>162</v>
      </c>
      <c r="X166" s="391">
        <v>3110</v>
      </c>
      <c r="Y166" s="391">
        <v>334</v>
      </c>
      <c r="Z166" s="391">
        <v>39</v>
      </c>
      <c r="AA166" s="391">
        <v>3483</v>
      </c>
      <c r="AB166"/>
      <c r="AE166"/>
      <c r="AF166"/>
      <c r="AG166"/>
      <c r="AH166"/>
      <c r="AI166"/>
      <c r="AJ166" s="30"/>
    </row>
    <row r="167" spans="3:36" x14ac:dyDescent="0.3">
      <c r="C167" s="26"/>
      <c r="D167" s="3" t="s">
        <v>163</v>
      </c>
      <c r="E167" s="589">
        <v>102</v>
      </c>
      <c r="F167" s="589"/>
      <c r="G167" s="589"/>
      <c r="H167" s="589">
        <v>102</v>
      </c>
      <c r="I167"/>
      <c r="J167" s="119"/>
      <c r="K167" s="119"/>
      <c r="T167" s="25"/>
      <c r="W167" s="3" t="s">
        <v>163</v>
      </c>
      <c r="X167" s="391">
        <v>102</v>
      </c>
      <c r="Y167" s="391"/>
      <c r="Z167" s="391"/>
      <c r="AA167" s="391">
        <v>102</v>
      </c>
      <c r="AB167"/>
      <c r="AE167"/>
      <c r="AF167"/>
      <c r="AG167"/>
      <c r="AH167"/>
      <c r="AI167"/>
      <c r="AJ167" s="30"/>
    </row>
    <row r="168" spans="3:36" x14ac:dyDescent="0.3">
      <c r="C168" s="26"/>
      <c r="D168" s="3" t="s">
        <v>162</v>
      </c>
      <c r="E168" s="589">
        <v>3110</v>
      </c>
      <c r="F168" s="589">
        <v>334</v>
      </c>
      <c r="G168" s="589">
        <v>39</v>
      </c>
      <c r="H168" s="589">
        <v>3483</v>
      </c>
      <c r="I168"/>
      <c r="J168" s="119"/>
      <c r="K168" s="119"/>
      <c r="T168" s="25"/>
      <c r="W168" s="3" t="s">
        <v>156</v>
      </c>
      <c r="X168" s="391">
        <v>2940</v>
      </c>
      <c r="Y168" s="391"/>
      <c r="Z168" s="391"/>
      <c r="AA168" s="391">
        <v>2940</v>
      </c>
      <c r="AB168"/>
      <c r="AE168"/>
      <c r="AF168"/>
      <c r="AG168"/>
      <c r="AH168"/>
      <c r="AI168"/>
      <c r="AJ168" s="30"/>
    </row>
    <row r="169" spans="3:36" x14ac:dyDescent="0.3">
      <c r="C169" s="26"/>
      <c r="D169" s="1" t="s">
        <v>31</v>
      </c>
      <c r="E169" s="589">
        <v>162020</v>
      </c>
      <c r="F169" s="589">
        <v>31803</v>
      </c>
      <c r="G169" s="589">
        <v>62061</v>
      </c>
      <c r="H169" s="589">
        <v>255884</v>
      </c>
      <c r="I169"/>
      <c r="J169" s="119"/>
      <c r="K169" s="119"/>
      <c r="T169" s="25"/>
      <c r="W169" s="1" t="s">
        <v>31</v>
      </c>
      <c r="X169" s="391">
        <v>162020</v>
      </c>
      <c r="Y169" s="391">
        <v>31803</v>
      </c>
      <c r="Z169" s="391">
        <v>62061</v>
      </c>
      <c r="AA169" s="391">
        <v>255884</v>
      </c>
      <c r="AB169"/>
      <c r="AE169"/>
      <c r="AF169"/>
      <c r="AG169"/>
      <c r="AH169"/>
      <c r="AI169"/>
      <c r="AJ169" s="30"/>
    </row>
    <row r="170" spans="3:36" x14ac:dyDescent="0.3">
      <c r="C170" s="26"/>
      <c r="D170" s="3" t="s">
        <v>164</v>
      </c>
      <c r="E170" s="589">
        <v>13028</v>
      </c>
      <c r="F170" s="589">
        <v>837</v>
      </c>
      <c r="G170" s="589">
        <v>921</v>
      </c>
      <c r="H170" s="589">
        <v>14786</v>
      </c>
      <c r="I170"/>
      <c r="J170" s="119"/>
      <c r="K170" s="119"/>
      <c r="T170" s="25"/>
      <c r="W170" s="3" t="s">
        <v>164</v>
      </c>
      <c r="X170" s="391">
        <v>13028</v>
      </c>
      <c r="Y170" s="391">
        <v>837</v>
      </c>
      <c r="Z170" s="391">
        <v>921</v>
      </c>
      <c r="AA170" s="391">
        <v>14786</v>
      </c>
      <c r="AB170"/>
      <c r="AE170"/>
      <c r="AF170"/>
      <c r="AG170"/>
      <c r="AH170"/>
      <c r="AI170"/>
      <c r="AJ170" s="30"/>
    </row>
    <row r="171" spans="3:36" x14ac:dyDescent="0.3">
      <c r="C171" s="26"/>
      <c r="D171" s="3" t="s">
        <v>165</v>
      </c>
      <c r="E171" s="589">
        <v>5456</v>
      </c>
      <c r="F171" s="589">
        <v>115</v>
      </c>
      <c r="G171" s="589">
        <v>455</v>
      </c>
      <c r="H171" s="589">
        <v>6026</v>
      </c>
      <c r="I171"/>
      <c r="J171" s="119"/>
      <c r="K171" s="119"/>
      <c r="T171" s="25"/>
      <c r="W171" s="3" t="s">
        <v>165</v>
      </c>
      <c r="X171" s="391">
        <v>5456</v>
      </c>
      <c r="Y171" s="391">
        <v>115</v>
      </c>
      <c r="Z171" s="391">
        <v>455</v>
      </c>
      <c r="AA171" s="391">
        <v>6026</v>
      </c>
      <c r="AB171"/>
      <c r="AE171"/>
      <c r="AF171"/>
      <c r="AG171"/>
      <c r="AH171"/>
      <c r="AI171"/>
      <c r="AJ171" s="30"/>
    </row>
    <row r="172" spans="3:36" x14ac:dyDescent="0.3">
      <c r="C172" s="26"/>
      <c r="D172" s="3" t="s">
        <v>166</v>
      </c>
      <c r="E172" s="589">
        <v>16716</v>
      </c>
      <c r="F172" s="589">
        <v>5059</v>
      </c>
      <c r="G172" s="589">
        <v>12563</v>
      </c>
      <c r="H172" s="589">
        <v>34338</v>
      </c>
      <c r="I172"/>
      <c r="J172" s="119"/>
      <c r="K172" s="119"/>
      <c r="T172" s="25"/>
      <c r="W172" s="3" t="s">
        <v>166</v>
      </c>
      <c r="X172" s="391">
        <v>16716</v>
      </c>
      <c r="Y172" s="391">
        <v>5059</v>
      </c>
      <c r="Z172" s="391">
        <v>12563</v>
      </c>
      <c r="AA172" s="391">
        <v>34338</v>
      </c>
      <c r="AB172"/>
      <c r="AE172"/>
      <c r="AF172"/>
      <c r="AG172"/>
      <c r="AH172"/>
      <c r="AI172"/>
      <c r="AJ172" s="30"/>
    </row>
    <row r="173" spans="3:36" x14ac:dyDescent="0.3">
      <c r="C173" s="26"/>
      <c r="D173" s="3" t="s">
        <v>167</v>
      </c>
      <c r="E173" s="589">
        <v>4433</v>
      </c>
      <c r="F173" s="589">
        <v>144</v>
      </c>
      <c r="G173" s="589">
        <v>670</v>
      </c>
      <c r="H173" s="589">
        <v>5247</v>
      </c>
      <c r="I173"/>
      <c r="J173" s="119"/>
      <c r="K173" s="119"/>
      <c r="T173" s="25"/>
      <c r="W173" s="3" t="s">
        <v>167</v>
      </c>
      <c r="X173" s="391">
        <v>4433</v>
      </c>
      <c r="Y173" s="391">
        <v>144</v>
      </c>
      <c r="Z173" s="391">
        <v>670</v>
      </c>
      <c r="AA173" s="391">
        <v>5247</v>
      </c>
      <c r="AB173"/>
      <c r="AE173"/>
      <c r="AF173"/>
      <c r="AG173"/>
      <c r="AH173"/>
      <c r="AI173"/>
      <c r="AJ173" s="30"/>
    </row>
    <row r="174" spans="3:36" x14ac:dyDescent="0.3">
      <c r="C174" s="26"/>
      <c r="D174" s="3" t="s">
        <v>2797</v>
      </c>
      <c r="E174" s="589">
        <v>23259</v>
      </c>
      <c r="F174" s="589">
        <v>1236</v>
      </c>
      <c r="G174" s="589">
        <v>2080</v>
      </c>
      <c r="H174" s="589">
        <v>26575</v>
      </c>
      <c r="I174"/>
      <c r="J174" s="119"/>
      <c r="K174" s="119"/>
      <c r="T174" s="25"/>
      <c r="W174" s="3" t="s">
        <v>2797</v>
      </c>
      <c r="X174" s="391">
        <v>23259</v>
      </c>
      <c r="Y174" s="391">
        <v>1236</v>
      </c>
      <c r="Z174" s="391">
        <v>2080</v>
      </c>
      <c r="AA174" s="391">
        <v>26575</v>
      </c>
      <c r="AB174"/>
      <c r="AE174"/>
      <c r="AF174"/>
      <c r="AG174"/>
      <c r="AH174"/>
      <c r="AI174"/>
      <c r="AJ174" s="30"/>
    </row>
    <row r="175" spans="3:36" x14ac:dyDescent="0.3">
      <c r="C175" s="26"/>
      <c r="D175" s="3" t="s">
        <v>170</v>
      </c>
      <c r="E175" s="589">
        <v>13273</v>
      </c>
      <c r="F175" s="589">
        <v>1318</v>
      </c>
      <c r="G175" s="589">
        <v>3021</v>
      </c>
      <c r="H175" s="589">
        <v>17612</v>
      </c>
      <c r="I175"/>
      <c r="J175" s="119"/>
      <c r="K175" s="119"/>
      <c r="T175" s="25"/>
      <c r="W175" s="3" t="s">
        <v>169</v>
      </c>
      <c r="X175" s="391">
        <v>14743</v>
      </c>
      <c r="Y175" s="391">
        <v>6449</v>
      </c>
      <c r="Z175" s="391">
        <v>29573</v>
      </c>
      <c r="AA175" s="391">
        <v>50765</v>
      </c>
      <c r="AB175"/>
      <c r="AE175"/>
      <c r="AF175"/>
      <c r="AG175"/>
      <c r="AH175"/>
      <c r="AI175"/>
      <c r="AJ175" s="30"/>
    </row>
    <row r="176" spans="3:36" x14ac:dyDescent="0.3">
      <c r="C176" s="26"/>
      <c r="D176" s="3" t="s">
        <v>169</v>
      </c>
      <c r="E176" s="589">
        <v>14743</v>
      </c>
      <c r="F176" s="589">
        <v>6449</v>
      </c>
      <c r="G176" s="589">
        <v>29573</v>
      </c>
      <c r="H176" s="589">
        <v>50765</v>
      </c>
      <c r="I176"/>
      <c r="J176" s="119"/>
      <c r="K176" s="119"/>
      <c r="T176" s="25"/>
      <c r="W176" s="3" t="s">
        <v>171</v>
      </c>
      <c r="X176" s="391">
        <v>62608</v>
      </c>
      <c r="Y176" s="391">
        <v>13969</v>
      </c>
      <c r="Z176" s="391">
        <v>9273</v>
      </c>
      <c r="AA176" s="391">
        <v>85850</v>
      </c>
      <c r="AB176"/>
      <c r="AE176"/>
      <c r="AF176"/>
      <c r="AG176"/>
      <c r="AH176"/>
      <c r="AI176"/>
      <c r="AJ176" s="30"/>
    </row>
    <row r="177" spans="3:36" x14ac:dyDescent="0.3">
      <c r="C177" s="26"/>
      <c r="D177" s="3" t="s">
        <v>171</v>
      </c>
      <c r="E177" s="589">
        <v>62608</v>
      </c>
      <c r="F177" s="589">
        <v>13969</v>
      </c>
      <c r="G177" s="589">
        <v>9273</v>
      </c>
      <c r="H177" s="589">
        <v>85850</v>
      </c>
      <c r="I177"/>
      <c r="J177" s="119"/>
      <c r="K177" s="119"/>
      <c r="T177" s="25"/>
      <c r="W177" s="3" t="s">
        <v>172</v>
      </c>
      <c r="X177" s="391">
        <v>7539</v>
      </c>
      <c r="Y177" s="391">
        <v>2676</v>
      </c>
      <c r="Z177" s="391">
        <v>2996</v>
      </c>
      <c r="AA177" s="391">
        <v>13211</v>
      </c>
      <c r="AB177"/>
      <c r="AE177"/>
      <c r="AF177"/>
      <c r="AG177"/>
      <c r="AH177"/>
      <c r="AI177"/>
      <c r="AJ177" s="30"/>
    </row>
    <row r="178" spans="3:36" x14ac:dyDescent="0.3">
      <c r="C178" s="26"/>
      <c r="D178" s="3" t="s">
        <v>172</v>
      </c>
      <c r="E178" s="589">
        <v>7539</v>
      </c>
      <c r="F178" s="589">
        <v>2676</v>
      </c>
      <c r="G178" s="589">
        <v>2996</v>
      </c>
      <c r="H178" s="589">
        <v>13211</v>
      </c>
      <c r="I178"/>
      <c r="J178" s="119"/>
      <c r="K178" s="119"/>
      <c r="T178" s="25"/>
      <c r="W178" s="3" t="s">
        <v>173</v>
      </c>
      <c r="X178" s="391">
        <v>965</v>
      </c>
      <c r="Y178" s="391"/>
      <c r="Z178" s="391">
        <v>509</v>
      </c>
      <c r="AA178" s="391">
        <v>1474</v>
      </c>
      <c r="AB178"/>
      <c r="AE178"/>
      <c r="AF178"/>
      <c r="AG178"/>
      <c r="AH178"/>
      <c r="AI178"/>
      <c r="AJ178" s="30"/>
    </row>
    <row r="179" spans="3:36" x14ac:dyDescent="0.3">
      <c r="C179" s="26"/>
      <c r="D179" s="3" t="s">
        <v>173</v>
      </c>
      <c r="E179" s="589">
        <v>965</v>
      </c>
      <c r="F179" s="589"/>
      <c r="G179" s="589">
        <v>509</v>
      </c>
      <c r="H179" s="589">
        <v>1474</v>
      </c>
      <c r="I179"/>
      <c r="J179" s="119"/>
      <c r="K179" s="119"/>
      <c r="T179" s="25"/>
      <c r="W179" s="3" t="s">
        <v>170</v>
      </c>
      <c r="X179" s="391">
        <v>13273</v>
      </c>
      <c r="Y179" s="391">
        <v>1318</v>
      </c>
      <c r="Z179" s="391">
        <v>3021</v>
      </c>
      <c r="AA179" s="391">
        <v>17612</v>
      </c>
      <c r="AB179"/>
      <c r="AE179"/>
      <c r="AF179"/>
      <c r="AG179"/>
      <c r="AH179"/>
      <c r="AI179"/>
      <c r="AJ179" s="30"/>
    </row>
    <row r="180" spans="3:36" x14ac:dyDescent="0.3">
      <c r="C180" s="26"/>
      <c r="D180" s="1" t="s">
        <v>32</v>
      </c>
      <c r="E180" s="589">
        <v>22544</v>
      </c>
      <c r="F180" s="589">
        <v>296</v>
      </c>
      <c r="G180" s="589">
        <v>85833</v>
      </c>
      <c r="H180" s="589">
        <v>108673</v>
      </c>
      <c r="I180"/>
      <c r="J180" s="119"/>
      <c r="K180" s="119"/>
      <c r="T180" s="25"/>
      <c r="W180" s="1" t="s">
        <v>32</v>
      </c>
      <c r="X180" s="391">
        <v>22544</v>
      </c>
      <c r="Y180" s="391">
        <v>296</v>
      </c>
      <c r="Z180" s="391">
        <v>85833</v>
      </c>
      <c r="AA180" s="391">
        <v>108673</v>
      </c>
      <c r="AB180"/>
      <c r="AE180"/>
      <c r="AF180"/>
      <c r="AG180"/>
      <c r="AH180"/>
      <c r="AI180"/>
      <c r="AJ180" s="30"/>
    </row>
    <row r="181" spans="3:36" x14ac:dyDescent="0.3">
      <c r="C181" s="26"/>
      <c r="D181" s="3" t="s">
        <v>174</v>
      </c>
      <c r="E181" s="589">
        <v>378</v>
      </c>
      <c r="F181" s="589"/>
      <c r="G181" s="589">
        <v>68</v>
      </c>
      <c r="H181" s="589">
        <v>446</v>
      </c>
      <c r="I181"/>
      <c r="J181" s="119"/>
      <c r="K181" s="119"/>
      <c r="T181" s="25"/>
      <c r="W181" s="3" t="s">
        <v>175</v>
      </c>
      <c r="X181" s="391">
        <v>1587</v>
      </c>
      <c r="Y181" s="391">
        <v>278</v>
      </c>
      <c r="Z181" s="391">
        <v>11326</v>
      </c>
      <c r="AA181" s="391">
        <v>13191</v>
      </c>
      <c r="AB181"/>
      <c r="AE181"/>
      <c r="AF181"/>
      <c r="AG181"/>
      <c r="AH181"/>
      <c r="AI181"/>
      <c r="AJ181" s="30"/>
    </row>
    <row r="182" spans="3:36" x14ac:dyDescent="0.3">
      <c r="C182" s="26"/>
      <c r="D182" s="3" t="s">
        <v>175</v>
      </c>
      <c r="E182" s="589">
        <v>1587</v>
      </c>
      <c r="F182" s="589">
        <v>278</v>
      </c>
      <c r="G182" s="589">
        <v>11326</v>
      </c>
      <c r="H182" s="589">
        <v>13191</v>
      </c>
      <c r="I182"/>
      <c r="J182" s="119"/>
      <c r="K182" s="119"/>
      <c r="T182" s="25"/>
      <c r="W182" s="3" t="s">
        <v>176</v>
      </c>
      <c r="X182" s="391">
        <v>10359</v>
      </c>
      <c r="Y182" s="391">
        <v>18</v>
      </c>
      <c r="Z182" s="391">
        <v>17989</v>
      </c>
      <c r="AA182" s="391">
        <v>28366</v>
      </c>
      <c r="AB182"/>
      <c r="AE182"/>
      <c r="AF182"/>
      <c r="AG182"/>
      <c r="AH182"/>
      <c r="AI182"/>
      <c r="AJ182" s="30"/>
    </row>
    <row r="183" spans="3:36" x14ac:dyDescent="0.3">
      <c r="C183" s="26"/>
      <c r="D183" s="3" t="s">
        <v>177</v>
      </c>
      <c r="E183" s="589">
        <v>2767</v>
      </c>
      <c r="F183" s="589"/>
      <c r="G183" s="589">
        <v>6138</v>
      </c>
      <c r="H183" s="589">
        <v>8905</v>
      </c>
      <c r="I183"/>
      <c r="J183" s="119"/>
      <c r="K183" s="119"/>
      <c r="T183" s="25"/>
      <c r="W183" s="3" t="s">
        <v>178</v>
      </c>
      <c r="X183" s="391">
        <v>5405</v>
      </c>
      <c r="Y183" s="391"/>
      <c r="Z183" s="391">
        <v>8503</v>
      </c>
      <c r="AA183" s="391">
        <v>13908</v>
      </c>
      <c r="AB183"/>
      <c r="AE183"/>
      <c r="AF183"/>
      <c r="AG183"/>
      <c r="AH183"/>
      <c r="AI183"/>
      <c r="AJ183" s="30"/>
    </row>
    <row r="184" spans="3:36" x14ac:dyDescent="0.3">
      <c r="C184" s="26"/>
      <c r="D184" s="3" t="s">
        <v>179</v>
      </c>
      <c r="E184" s="589">
        <v>49</v>
      </c>
      <c r="F184" s="589"/>
      <c r="G184" s="589">
        <v>1567</v>
      </c>
      <c r="H184" s="589">
        <v>1616</v>
      </c>
      <c r="I184"/>
      <c r="J184" s="119"/>
      <c r="K184" s="119"/>
      <c r="T184" s="25"/>
      <c r="W184" s="3" t="s">
        <v>180</v>
      </c>
      <c r="X184" s="391">
        <v>552</v>
      </c>
      <c r="Y184" s="391"/>
      <c r="Z184" s="391">
        <v>36782</v>
      </c>
      <c r="AA184" s="391">
        <v>37334</v>
      </c>
      <c r="AB184"/>
      <c r="AE184"/>
      <c r="AF184"/>
      <c r="AG184"/>
      <c r="AH184"/>
      <c r="AI184"/>
      <c r="AJ184" s="30"/>
    </row>
    <row r="185" spans="3:36" x14ac:dyDescent="0.3">
      <c r="C185" s="26"/>
      <c r="D185" s="3" t="s">
        <v>176</v>
      </c>
      <c r="E185" s="589">
        <v>10359</v>
      </c>
      <c r="F185" s="589">
        <v>18</v>
      </c>
      <c r="G185" s="589">
        <v>17989</v>
      </c>
      <c r="H185" s="589">
        <v>28366</v>
      </c>
      <c r="I185"/>
      <c r="J185" s="119"/>
      <c r="K185" s="119"/>
      <c r="T185" s="25"/>
      <c r="W185" s="3" t="s">
        <v>181</v>
      </c>
      <c r="X185" s="391">
        <v>1447</v>
      </c>
      <c r="Y185" s="391"/>
      <c r="Z185" s="391">
        <v>3460</v>
      </c>
      <c r="AA185" s="391">
        <v>4907</v>
      </c>
      <c r="AB185"/>
      <c r="AE185"/>
      <c r="AF185"/>
      <c r="AG185"/>
      <c r="AH185"/>
      <c r="AI185"/>
      <c r="AJ185" s="30"/>
    </row>
    <row r="186" spans="3:36" x14ac:dyDescent="0.3">
      <c r="C186" s="26"/>
      <c r="D186" s="3" t="s">
        <v>178</v>
      </c>
      <c r="E186" s="589">
        <v>5405</v>
      </c>
      <c r="F186" s="589"/>
      <c r="G186" s="589">
        <v>8503</v>
      </c>
      <c r="H186" s="589">
        <v>13908</v>
      </c>
      <c r="I186"/>
      <c r="J186" s="119"/>
      <c r="K186" s="119"/>
      <c r="T186" s="25"/>
      <c r="W186" s="3" t="s">
        <v>174</v>
      </c>
      <c r="X186" s="391">
        <v>378</v>
      </c>
      <c r="Y186" s="391"/>
      <c r="Z186" s="391">
        <v>68</v>
      </c>
      <c r="AA186" s="391">
        <v>446</v>
      </c>
      <c r="AB186"/>
      <c r="AE186"/>
      <c r="AF186"/>
      <c r="AG186"/>
      <c r="AH186"/>
      <c r="AI186"/>
      <c r="AJ186" s="30"/>
    </row>
    <row r="187" spans="3:36" x14ac:dyDescent="0.3">
      <c r="C187" s="26"/>
      <c r="D187" s="3" t="s">
        <v>180</v>
      </c>
      <c r="E187" s="589">
        <v>552</v>
      </c>
      <c r="F187" s="589"/>
      <c r="G187" s="589">
        <v>36782</v>
      </c>
      <c r="H187" s="589">
        <v>37334</v>
      </c>
      <c r="I187"/>
      <c r="J187" s="119"/>
      <c r="K187" s="119"/>
      <c r="T187" s="25"/>
      <c r="W187" s="3" t="s">
        <v>177</v>
      </c>
      <c r="X187" s="391">
        <v>2767</v>
      </c>
      <c r="Y187" s="391"/>
      <c r="Z187" s="391">
        <v>6138</v>
      </c>
      <c r="AA187" s="391">
        <v>8905</v>
      </c>
      <c r="AB187"/>
      <c r="AE187"/>
      <c r="AF187"/>
      <c r="AG187"/>
      <c r="AH187"/>
      <c r="AI187"/>
      <c r="AJ187" s="30"/>
    </row>
    <row r="188" spans="3:36" x14ac:dyDescent="0.3">
      <c r="C188" s="26"/>
      <c r="D188" s="3" t="s">
        <v>181</v>
      </c>
      <c r="E188" s="589">
        <v>1447</v>
      </c>
      <c r="F188" s="589"/>
      <c r="G188" s="589">
        <v>3460</v>
      </c>
      <c r="H188" s="589">
        <v>4907</v>
      </c>
      <c r="I188"/>
      <c r="J188" s="119"/>
      <c r="K188" s="119"/>
      <c r="T188" s="25"/>
      <c r="W188" s="3" t="s">
        <v>179</v>
      </c>
      <c r="X188" s="391">
        <v>49</v>
      </c>
      <c r="Y188" s="391"/>
      <c r="Z188" s="391">
        <v>1567</v>
      </c>
      <c r="AA188" s="391">
        <v>1616</v>
      </c>
      <c r="AB188"/>
      <c r="AE188"/>
      <c r="AF188"/>
      <c r="AG188"/>
      <c r="AH188"/>
      <c r="AI188"/>
      <c r="AJ188" s="30"/>
    </row>
    <row r="189" spans="3:36" x14ac:dyDescent="0.3">
      <c r="C189" s="26"/>
      <c r="D189" s="1" t="s">
        <v>33</v>
      </c>
      <c r="E189" s="589">
        <v>4906</v>
      </c>
      <c r="F189" s="589">
        <v>668</v>
      </c>
      <c r="G189" s="589">
        <v>187</v>
      </c>
      <c r="H189" s="589">
        <v>5761</v>
      </c>
      <c r="I189"/>
      <c r="J189" s="119"/>
      <c r="K189" s="119"/>
      <c r="T189" s="25"/>
      <c r="W189" s="1" t="s">
        <v>33</v>
      </c>
      <c r="X189" s="391">
        <v>4906</v>
      </c>
      <c r="Y189" s="391">
        <v>668</v>
      </c>
      <c r="Z189" s="391">
        <v>187</v>
      </c>
      <c r="AA189" s="391">
        <v>5761</v>
      </c>
      <c r="AB189"/>
      <c r="AE189"/>
      <c r="AF189"/>
      <c r="AG189"/>
      <c r="AH189"/>
      <c r="AI189"/>
      <c r="AJ189" s="30"/>
    </row>
    <row r="190" spans="3:36" x14ac:dyDescent="0.3">
      <c r="C190" s="26"/>
      <c r="D190" s="3" t="s">
        <v>182</v>
      </c>
      <c r="E190" s="589">
        <v>4</v>
      </c>
      <c r="F190" s="589">
        <v>30</v>
      </c>
      <c r="G190" s="589">
        <v>27</v>
      </c>
      <c r="H190" s="589">
        <v>61</v>
      </c>
      <c r="I190"/>
      <c r="J190" s="119"/>
      <c r="K190" s="119"/>
      <c r="T190" s="25"/>
      <c r="W190" s="3" t="s">
        <v>182</v>
      </c>
      <c r="X190" s="391">
        <v>4</v>
      </c>
      <c r="Y190" s="391">
        <v>30</v>
      </c>
      <c r="Z190" s="391">
        <v>27</v>
      </c>
      <c r="AA190" s="391">
        <v>61</v>
      </c>
      <c r="AB190"/>
      <c r="AE190"/>
      <c r="AF190"/>
      <c r="AG190"/>
      <c r="AH190"/>
      <c r="AI190"/>
      <c r="AJ190" s="30"/>
    </row>
    <row r="191" spans="3:36" x14ac:dyDescent="0.3">
      <c r="C191" s="26"/>
      <c r="D191" s="3" t="s">
        <v>183</v>
      </c>
      <c r="E191" s="589">
        <v>1650</v>
      </c>
      <c r="F191" s="589">
        <v>455</v>
      </c>
      <c r="G191" s="589">
        <v>80</v>
      </c>
      <c r="H191" s="589">
        <v>2185</v>
      </c>
      <c r="I191"/>
      <c r="J191" s="119"/>
      <c r="K191" s="119"/>
      <c r="T191" s="25"/>
      <c r="W191" s="3" t="s">
        <v>184</v>
      </c>
      <c r="X191" s="391">
        <v>48</v>
      </c>
      <c r="Y191" s="391">
        <v>33</v>
      </c>
      <c r="Z191" s="391">
        <v>51</v>
      </c>
      <c r="AA191" s="391">
        <v>132</v>
      </c>
      <c r="AB191"/>
      <c r="AE191"/>
      <c r="AF191"/>
      <c r="AG191"/>
      <c r="AH191"/>
      <c r="AI191"/>
      <c r="AJ191" s="30"/>
    </row>
    <row r="192" spans="3:36" x14ac:dyDescent="0.3">
      <c r="C192" s="26"/>
      <c r="D192" s="3" t="s">
        <v>184</v>
      </c>
      <c r="E192" s="589">
        <v>48</v>
      </c>
      <c r="F192" s="589">
        <v>33</v>
      </c>
      <c r="G192" s="589">
        <v>51</v>
      </c>
      <c r="H192" s="589">
        <v>132</v>
      </c>
      <c r="I192"/>
      <c r="J192" s="119"/>
      <c r="K192" s="119"/>
      <c r="T192" s="25"/>
      <c r="W192" s="3" t="s">
        <v>185</v>
      </c>
      <c r="X192" s="391">
        <v>2958</v>
      </c>
      <c r="Y192" s="391"/>
      <c r="Z192" s="391">
        <v>20</v>
      </c>
      <c r="AA192" s="391">
        <v>2978</v>
      </c>
      <c r="AB192"/>
      <c r="AE192"/>
      <c r="AF192"/>
      <c r="AG192"/>
      <c r="AH192"/>
      <c r="AI192"/>
      <c r="AJ192" s="30"/>
    </row>
    <row r="193" spans="3:36" x14ac:dyDescent="0.3">
      <c r="C193" s="26"/>
      <c r="D193" s="3" t="s">
        <v>185</v>
      </c>
      <c r="E193" s="589">
        <v>2958</v>
      </c>
      <c r="F193" s="589"/>
      <c r="G193" s="589">
        <v>20</v>
      </c>
      <c r="H193" s="589">
        <v>2978</v>
      </c>
      <c r="I193"/>
      <c r="J193" s="119"/>
      <c r="K193" s="119"/>
      <c r="T193" s="25"/>
      <c r="W193" s="3" t="s">
        <v>186</v>
      </c>
      <c r="X193" s="391">
        <v>246</v>
      </c>
      <c r="Y193" s="391">
        <v>150</v>
      </c>
      <c r="Z193" s="391">
        <v>9</v>
      </c>
      <c r="AA193" s="391">
        <v>405</v>
      </c>
      <c r="AB193"/>
      <c r="AE193"/>
      <c r="AF193"/>
      <c r="AG193"/>
      <c r="AH193"/>
      <c r="AI193"/>
      <c r="AJ193" s="30"/>
    </row>
    <row r="194" spans="3:36" x14ac:dyDescent="0.3">
      <c r="C194" s="26"/>
      <c r="D194" s="3" t="s">
        <v>186</v>
      </c>
      <c r="E194" s="589">
        <v>246</v>
      </c>
      <c r="F194" s="589">
        <v>150</v>
      </c>
      <c r="G194" s="589">
        <v>9</v>
      </c>
      <c r="H194" s="589">
        <v>405</v>
      </c>
      <c r="I194"/>
      <c r="J194" s="119"/>
      <c r="K194" s="119"/>
      <c r="T194" s="25"/>
      <c r="W194" s="3" t="s">
        <v>183</v>
      </c>
      <c r="X194" s="391">
        <v>1650</v>
      </c>
      <c r="Y194" s="391">
        <v>455</v>
      </c>
      <c r="Z194" s="391">
        <v>80</v>
      </c>
      <c r="AA194" s="391">
        <v>2185</v>
      </c>
      <c r="AB194"/>
      <c r="AE194"/>
      <c r="AF194"/>
      <c r="AG194"/>
      <c r="AH194"/>
      <c r="AI194"/>
      <c r="AJ194" s="30"/>
    </row>
    <row r="195" spans="3:36" x14ac:dyDescent="0.3">
      <c r="C195" s="26"/>
      <c r="D195" s="1" t="s">
        <v>34</v>
      </c>
      <c r="E195" s="589">
        <v>125045</v>
      </c>
      <c r="F195" s="589">
        <v>7597</v>
      </c>
      <c r="G195" s="589">
        <v>32870</v>
      </c>
      <c r="H195" s="589">
        <v>165512</v>
      </c>
      <c r="I195"/>
      <c r="J195" s="119"/>
      <c r="K195" s="119"/>
      <c r="T195" s="25"/>
      <c r="W195" s="1" t="s">
        <v>34</v>
      </c>
      <c r="X195" s="391">
        <v>125045</v>
      </c>
      <c r="Y195" s="391">
        <v>7597</v>
      </c>
      <c r="Z195" s="391">
        <v>32870</v>
      </c>
      <c r="AA195" s="391">
        <v>165512</v>
      </c>
      <c r="AB195"/>
      <c r="AE195"/>
      <c r="AF195"/>
      <c r="AG195"/>
      <c r="AH195"/>
      <c r="AI195"/>
      <c r="AJ195" s="30"/>
    </row>
    <row r="196" spans="3:36" x14ac:dyDescent="0.3">
      <c r="C196" s="26"/>
      <c r="D196" s="3" t="s">
        <v>187</v>
      </c>
      <c r="E196" s="589">
        <v>51515</v>
      </c>
      <c r="F196" s="589"/>
      <c r="G196" s="589">
        <v>16656</v>
      </c>
      <c r="H196" s="589">
        <v>68171</v>
      </c>
      <c r="I196"/>
      <c r="J196" s="119"/>
      <c r="K196" s="119"/>
      <c r="T196" s="25"/>
      <c r="W196" s="3" t="s">
        <v>187</v>
      </c>
      <c r="X196" s="391">
        <v>51515</v>
      </c>
      <c r="Y196" s="391"/>
      <c r="Z196" s="391">
        <v>16656</v>
      </c>
      <c r="AA196" s="391">
        <v>68171</v>
      </c>
      <c r="AB196"/>
      <c r="AE196"/>
      <c r="AF196"/>
      <c r="AG196"/>
      <c r="AH196"/>
      <c r="AI196"/>
      <c r="AJ196" s="30"/>
    </row>
    <row r="197" spans="3:36" x14ac:dyDescent="0.3">
      <c r="C197" s="26"/>
      <c r="D197" s="3" t="s">
        <v>188</v>
      </c>
      <c r="E197" s="589">
        <v>68575</v>
      </c>
      <c r="F197" s="589">
        <v>7552</v>
      </c>
      <c r="G197" s="589">
        <v>16214</v>
      </c>
      <c r="H197" s="589">
        <v>92341</v>
      </c>
      <c r="I197"/>
      <c r="J197" s="119"/>
      <c r="K197" s="119"/>
      <c r="T197" s="25"/>
      <c r="W197" s="3" t="s">
        <v>188</v>
      </c>
      <c r="X197" s="391">
        <v>68575</v>
      </c>
      <c r="Y197" s="391">
        <v>7552</v>
      </c>
      <c r="Z197" s="391">
        <v>16214</v>
      </c>
      <c r="AA197" s="391">
        <v>92341</v>
      </c>
      <c r="AB197"/>
      <c r="AE197"/>
      <c r="AF197"/>
      <c r="AG197"/>
      <c r="AH197"/>
      <c r="AI197"/>
      <c r="AJ197" s="30"/>
    </row>
    <row r="198" spans="3:36" x14ac:dyDescent="0.3">
      <c r="C198" s="26"/>
      <c r="D198" s="3" t="s">
        <v>189</v>
      </c>
      <c r="E198" s="589">
        <v>4955</v>
      </c>
      <c r="F198" s="589">
        <v>45</v>
      </c>
      <c r="G198" s="589"/>
      <c r="H198" s="589">
        <v>5000</v>
      </c>
      <c r="I198"/>
      <c r="J198" s="119"/>
      <c r="K198" s="119"/>
      <c r="T198" s="25"/>
      <c r="W198" s="3" t="s">
        <v>189</v>
      </c>
      <c r="X198" s="391">
        <v>4955</v>
      </c>
      <c r="Y198" s="391">
        <v>45</v>
      </c>
      <c r="Z198" s="391"/>
      <c r="AA198" s="391">
        <v>5000</v>
      </c>
      <c r="AB198"/>
      <c r="AE198"/>
      <c r="AF198"/>
      <c r="AG198"/>
      <c r="AH198"/>
      <c r="AI198"/>
      <c r="AJ198" s="30"/>
    </row>
    <row r="199" spans="3:36" x14ac:dyDescent="0.3">
      <c r="C199" s="26"/>
      <c r="D199" s="1" t="s">
        <v>35</v>
      </c>
      <c r="E199" s="589">
        <v>100776</v>
      </c>
      <c r="F199" s="589">
        <v>8815</v>
      </c>
      <c r="G199" s="589">
        <v>21786</v>
      </c>
      <c r="H199" s="589">
        <v>131377</v>
      </c>
      <c r="I199"/>
      <c r="J199" s="119"/>
      <c r="K199" s="119"/>
      <c r="T199" s="25"/>
      <c r="W199" s="1" t="s">
        <v>35</v>
      </c>
      <c r="X199" s="391">
        <v>100776</v>
      </c>
      <c r="Y199" s="391">
        <v>8815</v>
      </c>
      <c r="Z199" s="391">
        <v>21786</v>
      </c>
      <c r="AA199" s="391">
        <v>131377</v>
      </c>
      <c r="AB199"/>
      <c r="AE199"/>
      <c r="AF199"/>
      <c r="AG199"/>
      <c r="AH199"/>
      <c r="AI199"/>
      <c r="AJ199" s="30"/>
    </row>
    <row r="200" spans="3:36" x14ac:dyDescent="0.3">
      <c r="C200" s="26"/>
      <c r="D200" s="3" t="s">
        <v>190</v>
      </c>
      <c r="E200" s="589">
        <v>410</v>
      </c>
      <c r="F200" s="589">
        <v>386</v>
      </c>
      <c r="G200" s="589">
        <v>1097</v>
      </c>
      <c r="H200" s="589">
        <v>1893</v>
      </c>
      <c r="I200"/>
      <c r="J200" s="119"/>
      <c r="K200" s="119"/>
      <c r="T200" s="25"/>
      <c r="W200" s="3" t="s">
        <v>190</v>
      </c>
      <c r="X200" s="391">
        <v>410</v>
      </c>
      <c r="Y200" s="391">
        <v>386</v>
      </c>
      <c r="Z200" s="391">
        <v>1097</v>
      </c>
      <c r="AA200" s="391">
        <v>1893</v>
      </c>
      <c r="AB200"/>
      <c r="AE200"/>
      <c r="AF200"/>
      <c r="AG200"/>
      <c r="AH200"/>
      <c r="AI200"/>
      <c r="AJ200" s="30"/>
    </row>
    <row r="201" spans="3:36" x14ac:dyDescent="0.3">
      <c r="C201" s="26"/>
      <c r="D201" s="3" t="s">
        <v>191</v>
      </c>
      <c r="E201" s="589">
        <v>755</v>
      </c>
      <c r="F201" s="589">
        <v>35</v>
      </c>
      <c r="G201" s="589">
        <v>184</v>
      </c>
      <c r="H201" s="589">
        <v>974</v>
      </c>
      <c r="I201"/>
      <c r="J201" s="119"/>
      <c r="K201" s="119"/>
      <c r="T201" s="25"/>
      <c r="W201" s="3" t="s">
        <v>191</v>
      </c>
      <c r="X201" s="391">
        <v>755</v>
      </c>
      <c r="Y201" s="391">
        <v>35</v>
      </c>
      <c r="Z201" s="391">
        <v>184</v>
      </c>
      <c r="AA201" s="391">
        <v>974</v>
      </c>
      <c r="AB201"/>
      <c r="AE201"/>
      <c r="AF201"/>
      <c r="AG201"/>
      <c r="AH201"/>
      <c r="AI201"/>
      <c r="AJ201" s="30"/>
    </row>
    <row r="202" spans="3:36" x14ac:dyDescent="0.3">
      <c r="C202" s="26"/>
      <c r="D202" s="3" t="s">
        <v>192</v>
      </c>
      <c r="E202" s="589">
        <v>39897</v>
      </c>
      <c r="F202" s="589"/>
      <c r="G202" s="589">
        <v>2987</v>
      </c>
      <c r="H202" s="589">
        <v>42884</v>
      </c>
      <c r="I202"/>
      <c r="J202" s="119"/>
      <c r="K202" s="119"/>
      <c r="T202" s="25"/>
      <c r="W202" s="3" t="s">
        <v>192</v>
      </c>
      <c r="X202" s="391">
        <v>39897</v>
      </c>
      <c r="Y202" s="391"/>
      <c r="Z202" s="391">
        <v>2987</v>
      </c>
      <c r="AA202" s="391">
        <v>42884</v>
      </c>
      <c r="AB202"/>
      <c r="AE202"/>
      <c r="AF202"/>
      <c r="AG202"/>
      <c r="AH202"/>
      <c r="AI202"/>
      <c r="AJ202" s="30"/>
    </row>
    <row r="203" spans="3:36" x14ac:dyDescent="0.3">
      <c r="C203" s="26"/>
      <c r="D203" s="3" t="s">
        <v>193</v>
      </c>
      <c r="E203" s="589">
        <v>19365</v>
      </c>
      <c r="F203" s="589">
        <v>4020</v>
      </c>
      <c r="G203" s="589">
        <v>13513</v>
      </c>
      <c r="H203" s="589">
        <v>36898</v>
      </c>
      <c r="I203"/>
      <c r="J203" s="119"/>
      <c r="K203" s="119"/>
      <c r="T203" s="25"/>
      <c r="U203" s="64"/>
      <c r="V203" s="64"/>
      <c r="W203" s="3" t="s">
        <v>193</v>
      </c>
      <c r="X203" s="391">
        <v>19365</v>
      </c>
      <c r="Y203" s="391">
        <v>4020</v>
      </c>
      <c r="Z203" s="391">
        <v>13513</v>
      </c>
      <c r="AA203" s="391">
        <v>36898</v>
      </c>
      <c r="AB203"/>
      <c r="AE203"/>
      <c r="AF203"/>
      <c r="AG203"/>
      <c r="AH203"/>
      <c r="AI203"/>
      <c r="AJ203" s="30"/>
    </row>
    <row r="204" spans="3:36" x14ac:dyDescent="0.3">
      <c r="C204" s="26"/>
      <c r="D204" s="3" t="s">
        <v>194</v>
      </c>
      <c r="E204" s="589"/>
      <c r="F204" s="589">
        <v>960</v>
      </c>
      <c r="G204" s="589">
        <v>1149</v>
      </c>
      <c r="H204" s="589">
        <v>2109</v>
      </c>
      <c r="I204"/>
      <c r="J204" s="119"/>
      <c r="K204" s="119"/>
      <c r="T204" s="25"/>
      <c r="W204" s="3" t="s">
        <v>195</v>
      </c>
      <c r="X204" s="391">
        <v>39975</v>
      </c>
      <c r="Y204" s="391">
        <v>3411</v>
      </c>
      <c r="Z204" s="391">
        <v>2640</v>
      </c>
      <c r="AA204" s="391">
        <v>46026</v>
      </c>
      <c r="AB204"/>
      <c r="AE204"/>
      <c r="AF204"/>
      <c r="AG204"/>
      <c r="AH204"/>
      <c r="AI204"/>
      <c r="AJ204" s="30"/>
    </row>
    <row r="205" spans="3:36" x14ac:dyDescent="0.3">
      <c r="C205" s="26"/>
      <c r="D205" s="3" t="s">
        <v>195</v>
      </c>
      <c r="E205" s="589">
        <v>39975</v>
      </c>
      <c r="F205" s="589">
        <v>3411</v>
      </c>
      <c r="G205" s="589">
        <v>2640</v>
      </c>
      <c r="H205" s="589">
        <v>46026</v>
      </c>
      <c r="I205"/>
      <c r="J205" s="119"/>
      <c r="K205" s="119"/>
      <c r="T205" s="25"/>
      <c r="W205" s="3" t="s">
        <v>196</v>
      </c>
      <c r="X205" s="391">
        <v>374</v>
      </c>
      <c r="Y205" s="391">
        <v>3</v>
      </c>
      <c r="Z205" s="391">
        <v>216</v>
      </c>
      <c r="AA205" s="391">
        <v>593</v>
      </c>
      <c r="AB205"/>
      <c r="AE205"/>
      <c r="AF205"/>
      <c r="AG205"/>
      <c r="AH205"/>
      <c r="AI205"/>
      <c r="AJ205" s="30"/>
    </row>
    <row r="206" spans="3:36" x14ac:dyDescent="0.3">
      <c r="C206" s="26"/>
      <c r="D206" s="3" t="s">
        <v>196</v>
      </c>
      <c r="E206" s="589">
        <v>374</v>
      </c>
      <c r="F206" s="589">
        <v>3</v>
      </c>
      <c r="G206" s="589">
        <v>216</v>
      </c>
      <c r="H206" s="589">
        <v>593</v>
      </c>
      <c r="I206"/>
      <c r="J206" s="119"/>
      <c r="K206" s="119"/>
      <c r="L206" s="120"/>
      <c r="T206" s="25"/>
      <c r="W206" s="3" t="s">
        <v>194</v>
      </c>
      <c r="X206" s="391"/>
      <c r="Y206" s="391">
        <v>960</v>
      </c>
      <c r="Z206" s="391">
        <v>1149</v>
      </c>
      <c r="AA206" s="391">
        <v>2109</v>
      </c>
      <c r="AB206"/>
      <c r="AJ206" s="30"/>
    </row>
    <row r="207" spans="3:36" x14ac:dyDescent="0.3">
      <c r="C207" s="26"/>
      <c r="D207" s="1" t="s">
        <v>154</v>
      </c>
      <c r="E207" s="589">
        <v>427833</v>
      </c>
      <c r="F207" s="589">
        <v>49513</v>
      </c>
      <c r="G207" s="589">
        <v>203166</v>
      </c>
      <c r="H207" s="589">
        <v>680512</v>
      </c>
      <c r="I207"/>
      <c r="J207" s="119"/>
      <c r="K207" s="119"/>
      <c r="L207" s="120"/>
      <c r="T207" s="25"/>
      <c r="W207" s="1" t="s">
        <v>25</v>
      </c>
      <c r="X207" s="391">
        <v>427833</v>
      </c>
      <c r="Y207" s="391">
        <v>49513</v>
      </c>
      <c r="Z207" s="391">
        <v>203166</v>
      </c>
      <c r="AA207" s="391">
        <v>680512</v>
      </c>
      <c r="AB207"/>
      <c r="AJ207" s="30"/>
    </row>
    <row r="208" spans="3:36" x14ac:dyDescent="0.3">
      <c r="C208" s="26"/>
      <c r="D208" s="56"/>
      <c r="E208" s="64"/>
      <c r="F208" s="64"/>
      <c r="G208" s="64"/>
      <c r="H208" s="64"/>
      <c r="I208" s="119"/>
      <c r="J208" s="119"/>
      <c r="K208" s="119"/>
      <c r="L208" s="120"/>
      <c r="T208" s="25"/>
      <c r="AJ208" s="30"/>
    </row>
    <row r="209" spans="3:36" ht="17.100000000000001" customHeight="1" x14ac:dyDescent="0.3">
      <c r="C209" s="26"/>
      <c r="D209" s="104" t="s">
        <v>197</v>
      </c>
      <c r="E209" s="119"/>
      <c r="G209" s="119"/>
      <c r="H209" s="120"/>
      <c r="I209" s="119"/>
      <c r="J209" s="119"/>
      <c r="K209" s="119"/>
      <c r="L209" s="120"/>
      <c r="T209" s="25"/>
      <c r="W209" s="104" t="s">
        <v>198</v>
      </c>
      <c r="AJ209" s="30"/>
    </row>
    <row r="210" spans="3:36" x14ac:dyDescent="0.3">
      <c r="C210" s="26"/>
      <c r="E210" s="119"/>
      <c r="F210" s="120"/>
      <c r="G210" s="119"/>
      <c r="H210" s="120"/>
      <c r="I210" s="119"/>
      <c r="J210" s="119"/>
      <c r="K210" s="119"/>
      <c r="L210" s="120"/>
      <c r="T210" s="25"/>
      <c r="AJ210" s="30"/>
    </row>
    <row r="211" spans="3:36" ht="48.75" customHeight="1" thickBot="1" x14ac:dyDescent="0.35">
      <c r="C211" s="26"/>
      <c r="D211" s="35" t="s">
        <v>21</v>
      </c>
      <c r="E211" s="36" t="s">
        <v>135</v>
      </c>
      <c r="F211" s="36" t="s">
        <v>199</v>
      </c>
      <c r="G211" s="36" t="s">
        <v>24</v>
      </c>
      <c r="H211" s="37" t="s">
        <v>25</v>
      </c>
      <c r="I211" s="119"/>
      <c r="J211" s="119"/>
      <c r="K211" s="119"/>
      <c r="L211" s="120"/>
      <c r="T211" s="25"/>
      <c r="W211" s="35" t="s">
        <v>26</v>
      </c>
      <c r="X211" s="36" t="s">
        <v>137</v>
      </c>
      <c r="Y211" s="36" t="s">
        <v>142</v>
      </c>
      <c r="Z211" s="36" t="s">
        <v>29</v>
      </c>
      <c r="AA211" s="37" t="s">
        <v>25</v>
      </c>
      <c r="AJ211" s="30"/>
    </row>
    <row r="212" spans="3:36" ht="16.5" customHeight="1" thickBot="1" x14ac:dyDescent="0.35">
      <c r="C212" s="26"/>
      <c r="D212" s="145" t="s">
        <v>200</v>
      </c>
      <c r="E212" s="40">
        <v>158316</v>
      </c>
      <c r="F212" s="40">
        <v>11482</v>
      </c>
      <c r="G212" s="40">
        <v>30585</v>
      </c>
      <c r="H212" s="41">
        <f t="shared" ref="H212:H234" si="61">SUM($E212:$G212)</f>
        <v>200383</v>
      </c>
      <c r="I212" s="119"/>
      <c r="J212" s="119"/>
      <c r="K212" s="119"/>
      <c r="L212" s="120"/>
      <c r="T212" s="25"/>
      <c r="W212" s="1224" t="str">
        <f>D212</f>
        <v>Round 1 (Nov 2015)</v>
      </c>
      <c r="X212" s="1223">
        <f t="shared" ref="X212:AA212" si="62">E212</f>
        <v>158316</v>
      </c>
      <c r="Y212" s="1223">
        <f t="shared" si="62"/>
        <v>11482</v>
      </c>
      <c r="Z212" s="1223">
        <f t="shared" si="62"/>
        <v>30585</v>
      </c>
      <c r="AA212" s="1223">
        <f t="shared" si="62"/>
        <v>200383</v>
      </c>
      <c r="AJ212" s="30"/>
    </row>
    <row r="213" spans="3:36" ht="16.5" customHeight="1" thickBot="1" x14ac:dyDescent="0.35">
      <c r="C213" s="26"/>
      <c r="D213" s="146" t="s">
        <v>201</v>
      </c>
      <c r="E213" s="45">
        <v>169970</v>
      </c>
      <c r="F213" s="45">
        <v>8108</v>
      </c>
      <c r="G213" s="45">
        <v>35434</v>
      </c>
      <c r="H213" s="993">
        <f t="shared" si="61"/>
        <v>213512</v>
      </c>
      <c r="I213" s="119"/>
      <c r="J213" s="119"/>
      <c r="K213" s="119"/>
      <c r="L213" s="120"/>
      <c r="T213" s="25"/>
      <c r="W213" s="1225" t="str">
        <f t="shared" ref="W213:W237" si="63">D213</f>
        <v>Round 2  (Fév 2016)</v>
      </c>
      <c r="X213" s="1226">
        <f t="shared" ref="X213:X237" si="64">E213</f>
        <v>169970</v>
      </c>
      <c r="Y213" s="1226">
        <f t="shared" ref="Y213:Y237" si="65">F213</f>
        <v>8108</v>
      </c>
      <c r="Z213" s="1226">
        <f t="shared" ref="Z213:Z237" si="66">G213</f>
        <v>35434</v>
      </c>
      <c r="AA213" s="1227">
        <f t="shared" ref="AA213:AA237" si="67">H213</f>
        <v>213512</v>
      </c>
      <c r="AJ213" s="30"/>
    </row>
    <row r="214" spans="3:36" ht="16.5" customHeight="1" thickBot="1" x14ac:dyDescent="0.35">
      <c r="C214" s="26"/>
      <c r="D214" s="145" t="s">
        <v>202</v>
      </c>
      <c r="E214" s="40">
        <v>190591</v>
      </c>
      <c r="F214" s="40">
        <v>8251</v>
      </c>
      <c r="G214" s="40">
        <v>39833</v>
      </c>
      <c r="H214" s="41">
        <f t="shared" si="61"/>
        <v>238675</v>
      </c>
      <c r="I214" s="119"/>
      <c r="J214" s="119"/>
      <c r="K214" s="119"/>
      <c r="L214" s="120"/>
      <c r="T214" s="25"/>
      <c r="W214" s="1224" t="str">
        <f t="shared" si="63"/>
        <v>Round 3  (Avr 2016)</v>
      </c>
      <c r="X214" s="1223">
        <f t="shared" si="64"/>
        <v>190591</v>
      </c>
      <c r="Y214" s="1223">
        <f t="shared" si="65"/>
        <v>8251</v>
      </c>
      <c r="Z214" s="1223">
        <f t="shared" si="66"/>
        <v>39833</v>
      </c>
      <c r="AA214" s="1223">
        <f t="shared" si="67"/>
        <v>238675</v>
      </c>
      <c r="AJ214" s="30"/>
    </row>
    <row r="215" spans="3:36" ht="16.5" customHeight="1" thickBot="1" x14ac:dyDescent="0.35">
      <c r="C215" s="26"/>
      <c r="D215" s="146" t="s">
        <v>203</v>
      </c>
      <c r="E215" s="45">
        <v>181215</v>
      </c>
      <c r="F215" s="45">
        <v>14871</v>
      </c>
      <c r="G215" s="45">
        <v>32023</v>
      </c>
      <c r="H215" s="993">
        <f t="shared" si="61"/>
        <v>228109</v>
      </c>
      <c r="I215" s="119"/>
      <c r="J215" s="119"/>
      <c r="K215" s="119"/>
      <c r="L215" s="120"/>
      <c r="T215" s="25"/>
      <c r="W215" s="1225" t="str">
        <f t="shared" si="63"/>
        <v>Round 4   (Juil 2016)</v>
      </c>
      <c r="X215" s="1226">
        <f t="shared" si="64"/>
        <v>181215</v>
      </c>
      <c r="Y215" s="1226">
        <f t="shared" si="65"/>
        <v>14871</v>
      </c>
      <c r="Z215" s="1226">
        <f t="shared" si="66"/>
        <v>32023</v>
      </c>
      <c r="AA215" s="1227">
        <f t="shared" si="67"/>
        <v>228109</v>
      </c>
      <c r="AJ215" s="30"/>
    </row>
    <row r="216" spans="3:36" ht="16.5" customHeight="1" thickBot="1" x14ac:dyDescent="0.35">
      <c r="C216" s="26"/>
      <c r="D216" s="145" t="s">
        <v>204</v>
      </c>
      <c r="E216" s="40">
        <v>198889</v>
      </c>
      <c r="F216" s="40">
        <v>26743</v>
      </c>
      <c r="G216" s="40">
        <v>36068</v>
      </c>
      <c r="H216" s="41">
        <f t="shared" si="61"/>
        <v>261700</v>
      </c>
      <c r="I216" s="119"/>
      <c r="J216" s="119"/>
      <c r="K216" s="119"/>
      <c r="L216" s="120"/>
      <c r="T216" s="25"/>
      <c r="W216" s="1224" t="str">
        <f t="shared" si="63"/>
        <v>Round 5   (Sep 2016)</v>
      </c>
      <c r="X216" s="1223">
        <f t="shared" si="64"/>
        <v>198889</v>
      </c>
      <c r="Y216" s="1223">
        <f t="shared" si="65"/>
        <v>26743</v>
      </c>
      <c r="Z216" s="1223">
        <f t="shared" si="66"/>
        <v>36068</v>
      </c>
      <c r="AA216" s="1223">
        <f t="shared" si="67"/>
        <v>261700</v>
      </c>
      <c r="AJ216" s="30"/>
    </row>
    <row r="217" spans="3:36" ht="16.5" customHeight="1" thickBot="1" x14ac:dyDescent="0.35">
      <c r="C217" s="26"/>
      <c r="D217" s="146" t="s">
        <v>205</v>
      </c>
      <c r="E217" s="45">
        <v>191908</v>
      </c>
      <c r="F217" s="45">
        <v>23430</v>
      </c>
      <c r="G217" s="45">
        <v>35665</v>
      </c>
      <c r="H217" s="993">
        <f t="shared" si="61"/>
        <v>251003</v>
      </c>
      <c r="I217" s="119"/>
      <c r="J217" s="119"/>
      <c r="K217" s="119"/>
      <c r="L217" s="120"/>
      <c r="T217" s="25"/>
      <c r="W217" s="1225" t="str">
        <f t="shared" si="63"/>
        <v>Round 6   (Déc 2016)</v>
      </c>
      <c r="X217" s="1226">
        <f t="shared" si="64"/>
        <v>191908</v>
      </c>
      <c r="Y217" s="1226">
        <f t="shared" si="65"/>
        <v>23430</v>
      </c>
      <c r="Z217" s="1226">
        <f t="shared" si="66"/>
        <v>35665</v>
      </c>
      <c r="AA217" s="1227">
        <f t="shared" si="67"/>
        <v>251003</v>
      </c>
      <c r="AJ217" s="30"/>
    </row>
    <row r="218" spans="3:36" ht="16.5" customHeight="1" thickBot="1" x14ac:dyDescent="0.35">
      <c r="C218" s="26"/>
      <c r="D218" s="145" t="s">
        <v>206</v>
      </c>
      <c r="E218" s="40">
        <v>223642</v>
      </c>
      <c r="F218" s="40">
        <v>30593</v>
      </c>
      <c r="G218" s="40">
        <v>43435</v>
      </c>
      <c r="H218" s="41">
        <f t="shared" si="61"/>
        <v>297670</v>
      </c>
      <c r="I218" s="119"/>
      <c r="J218" s="119"/>
      <c r="K218" s="119"/>
      <c r="L218" s="120"/>
      <c r="T218" s="25"/>
      <c r="W218" s="1224" t="str">
        <f t="shared" si="63"/>
        <v>Round 7   (Fév 2017)</v>
      </c>
      <c r="X218" s="1223">
        <f t="shared" si="64"/>
        <v>223642</v>
      </c>
      <c r="Y218" s="1223">
        <f t="shared" si="65"/>
        <v>30593</v>
      </c>
      <c r="Z218" s="1223">
        <f t="shared" si="66"/>
        <v>43435</v>
      </c>
      <c r="AA218" s="1223">
        <f t="shared" si="67"/>
        <v>297670</v>
      </c>
      <c r="AJ218" s="30"/>
    </row>
    <row r="219" spans="3:36" ht="16.5" customHeight="1" thickBot="1" x14ac:dyDescent="0.35">
      <c r="C219" s="26"/>
      <c r="D219" s="146" t="s">
        <v>207</v>
      </c>
      <c r="E219" s="45">
        <v>228443</v>
      </c>
      <c r="F219" s="45">
        <v>32459</v>
      </c>
      <c r="G219" s="45">
        <v>58027</v>
      </c>
      <c r="H219" s="993">
        <f t="shared" si="61"/>
        <v>318929</v>
      </c>
      <c r="I219" s="119"/>
      <c r="J219" s="119"/>
      <c r="K219" s="119"/>
      <c r="L219" s="120"/>
      <c r="T219" s="25"/>
      <c r="W219" s="1225" t="str">
        <f t="shared" si="63"/>
        <v>Round 8   (Mai 2017)</v>
      </c>
      <c r="X219" s="1226">
        <f t="shared" si="64"/>
        <v>228443</v>
      </c>
      <c r="Y219" s="1226">
        <f t="shared" si="65"/>
        <v>32459</v>
      </c>
      <c r="Z219" s="1226">
        <f t="shared" si="66"/>
        <v>58027</v>
      </c>
      <c r="AA219" s="1227">
        <f t="shared" si="67"/>
        <v>318929</v>
      </c>
      <c r="AJ219" s="30"/>
    </row>
    <row r="220" spans="3:36" ht="16.5" customHeight="1" thickBot="1" x14ac:dyDescent="0.35">
      <c r="C220" s="26"/>
      <c r="D220" s="145" t="s">
        <v>208</v>
      </c>
      <c r="E220" s="40">
        <v>235913</v>
      </c>
      <c r="F220" s="40">
        <v>30278</v>
      </c>
      <c r="G220" s="40">
        <v>59398</v>
      </c>
      <c r="H220" s="41">
        <f t="shared" si="61"/>
        <v>325589</v>
      </c>
      <c r="I220" s="119"/>
      <c r="J220" s="119"/>
      <c r="K220" s="119"/>
      <c r="L220" s="120"/>
      <c r="T220" s="25"/>
      <c r="W220" s="1224" t="str">
        <f t="shared" si="63"/>
        <v>Round 9   (Juil 2017)</v>
      </c>
      <c r="X220" s="1223">
        <f t="shared" si="64"/>
        <v>235913</v>
      </c>
      <c r="Y220" s="1223">
        <f t="shared" si="65"/>
        <v>30278</v>
      </c>
      <c r="Z220" s="1223">
        <f t="shared" si="66"/>
        <v>59398</v>
      </c>
      <c r="AA220" s="1223">
        <f t="shared" si="67"/>
        <v>325589</v>
      </c>
      <c r="AJ220" s="30"/>
    </row>
    <row r="221" spans="3:36" ht="16.5" customHeight="1" thickBot="1" x14ac:dyDescent="0.35">
      <c r="C221" s="26"/>
      <c r="D221" s="146" t="s">
        <v>209</v>
      </c>
      <c r="E221" s="45">
        <v>237967</v>
      </c>
      <c r="F221" s="45">
        <v>29728</v>
      </c>
      <c r="G221" s="45">
        <v>61090</v>
      </c>
      <c r="H221" s="993">
        <f t="shared" si="61"/>
        <v>328785</v>
      </c>
      <c r="I221" s="119"/>
      <c r="J221" s="119"/>
      <c r="K221" s="119"/>
      <c r="L221" s="120"/>
      <c r="T221" s="25"/>
      <c r="W221" s="1225" t="str">
        <f t="shared" si="63"/>
        <v>Round 10 (Sept 2017)</v>
      </c>
      <c r="X221" s="1226">
        <f t="shared" si="64"/>
        <v>237967</v>
      </c>
      <c r="Y221" s="1226">
        <f t="shared" si="65"/>
        <v>29728</v>
      </c>
      <c r="Z221" s="1226">
        <f t="shared" si="66"/>
        <v>61090</v>
      </c>
      <c r="AA221" s="1227">
        <f t="shared" si="67"/>
        <v>328785</v>
      </c>
      <c r="AJ221" s="30"/>
    </row>
    <row r="222" spans="3:36" ht="16.5" customHeight="1" thickBot="1" x14ac:dyDescent="0.35">
      <c r="C222" s="26"/>
      <c r="D222" s="145" t="s">
        <v>210</v>
      </c>
      <c r="E222" s="40">
        <v>241987</v>
      </c>
      <c r="F222" s="40">
        <v>29337</v>
      </c>
      <c r="G222" s="40">
        <v>63692</v>
      </c>
      <c r="H222" s="41">
        <f t="shared" si="61"/>
        <v>335016</v>
      </c>
      <c r="I222" s="119"/>
      <c r="J222" s="119"/>
      <c r="K222" s="119"/>
      <c r="L222" s="120"/>
      <c r="T222" s="25"/>
      <c r="W222" s="1224" t="str">
        <f t="shared" si="63"/>
        <v>Round 11 (Oct 2017)</v>
      </c>
      <c r="X222" s="1223">
        <f t="shared" si="64"/>
        <v>241987</v>
      </c>
      <c r="Y222" s="1223">
        <f t="shared" si="65"/>
        <v>29337</v>
      </c>
      <c r="Z222" s="1223">
        <f t="shared" si="66"/>
        <v>63692</v>
      </c>
      <c r="AA222" s="1223">
        <f t="shared" si="67"/>
        <v>335016</v>
      </c>
      <c r="AJ222" s="30"/>
    </row>
    <row r="223" spans="3:36" ht="16.5" customHeight="1" thickBot="1" x14ac:dyDescent="0.35">
      <c r="C223" s="26"/>
      <c r="D223" s="146" t="s">
        <v>211</v>
      </c>
      <c r="E223" s="45">
        <v>241030</v>
      </c>
      <c r="F223" s="45">
        <v>31656</v>
      </c>
      <c r="G223" s="45">
        <v>69730</v>
      </c>
      <c r="H223" s="993">
        <f t="shared" si="61"/>
        <v>342416</v>
      </c>
      <c r="I223" s="119"/>
      <c r="J223" s="119"/>
      <c r="K223" s="119"/>
      <c r="L223" s="120"/>
      <c r="T223" s="25"/>
      <c r="W223" s="1225" t="str">
        <f t="shared" si="63"/>
        <v>Round 12 (Nov 2017)</v>
      </c>
      <c r="X223" s="1226">
        <f t="shared" si="64"/>
        <v>241030</v>
      </c>
      <c r="Y223" s="1226">
        <f t="shared" si="65"/>
        <v>31656</v>
      </c>
      <c r="Z223" s="1226">
        <f t="shared" si="66"/>
        <v>69730</v>
      </c>
      <c r="AA223" s="1227">
        <f t="shared" si="67"/>
        <v>342416</v>
      </c>
      <c r="AJ223" s="30"/>
    </row>
    <row r="224" spans="3:36" ht="16.5" customHeight="1" thickBot="1" x14ac:dyDescent="0.35">
      <c r="C224" s="26"/>
      <c r="D224" s="147" t="s">
        <v>212</v>
      </c>
      <c r="E224" s="40">
        <v>238099</v>
      </c>
      <c r="F224" s="40">
        <v>31681</v>
      </c>
      <c r="G224" s="40">
        <v>83141</v>
      </c>
      <c r="H224" s="41">
        <f t="shared" si="61"/>
        <v>352921</v>
      </c>
      <c r="I224" s="119"/>
      <c r="J224" s="119"/>
      <c r="K224" s="119"/>
      <c r="L224" s="120"/>
      <c r="T224" s="25"/>
      <c r="W224" s="1224" t="str">
        <f t="shared" si="63"/>
        <v>Round 13 (Avril 2018)</v>
      </c>
      <c r="X224" s="1223">
        <f t="shared" si="64"/>
        <v>238099</v>
      </c>
      <c r="Y224" s="1223">
        <f t="shared" si="65"/>
        <v>31681</v>
      </c>
      <c r="Z224" s="1223">
        <f t="shared" si="66"/>
        <v>83141</v>
      </c>
      <c r="AA224" s="1223">
        <f t="shared" si="67"/>
        <v>352921</v>
      </c>
      <c r="AJ224" s="30"/>
    </row>
    <row r="225" spans="3:36" ht="16.5" customHeight="1" thickBot="1" x14ac:dyDescent="0.35">
      <c r="C225" s="26"/>
      <c r="D225" s="146" t="s">
        <v>213</v>
      </c>
      <c r="E225" s="45">
        <v>227581</v>
      </c>
      <c r="F225" s="45">
        <v>39403</v>
      </c>
      <c r="G225" s="45">
        <v>92238</v>
      </c>
      <c r="H225" s="993">
        <f t="shared" si="61"/>
        <v>359222</v>
      </c>
      <c r="I225" s="119"/>
      <c r="J225" s="119"/>
      <c r="K225" s="119"/>
      <c r="L225" s="120"/>
      <c r="T225" s="25"/>
      <c r="W225" s="1225" t="str">
        <f t="shared" si="63"/>
        <v>Round 14 (Juin 2018)</v>
      </c>
      <c r="X225" s="1226">
        <f t="shared" si="64"/>
        <v>227581</v>
      </c>
      <c r="Y225" s="1226">
        <f t="shared" si="65"/>
        <v>39403</v>
      </c>
      <c r="Z225" s="1226">
        <f t="shared" si="66"/>
        <v>92238</v>
      </c>
      <c r="AA225" s="1227">
        <f t="shared" si="67"/>
        <v>359222</v>
      </c>
      <c r="AJ225" s="30"/>
    </row>
    <row r="226" spans="3:36" ht="16.5" customHeight="1" thickBot="1" x14ac:dyDescent="0.35">
      <c r="C226" s="26"/>
      <c r="D226" s="145" t="s">
        <v>214</v>
      </c>
      <c r="E226" s="40">
        <v>244347</v>
      </c>
      <c r="F226" s="40">
        <v>41763</v>
      </c>
      <c r="G226" s="40">
        <v>100925</v>
      </c>
      <c r="H226" s="41">
        <f t="shared" si="61"/>
        <v>387035</v>
      </c>
      <c r="I226" s="119"/>
      <c r="J226" s="119"/>
      <c r="K226" s="119"/>
      <c r="L226" s="120"/>
      <c r="T226" s="25"/>
      <c r="W226" s="1224" t="str">
        <f t="shared" si="63"/>
        <v>Round 15 (Juillet 2018)</v>
      </c>
      <c r="X226" s="1223">
        <f t="shared" si="64"/>
        <v>244347</v>
      </c>
      <c r="Y226" s="1223">
        <f t="shared" si="65"/>
        <v>41763</v>
      </c>
      <c r="Z226" s="1223">
        <f t="shared" si="66"/>
        <v>100925</v>
      </c>
      <c r="AA226" s="1223">
        <f t="shared" si="67"/>
        <v>387035</v>
      </c>
      <c r="AJ226" s="30"/>
    </row>
    <row r="227" spans="3:36" ht="16.5" customHeight="1" thickBot="1" x14ac:dyDescent="0.35">
      <c r="C227" s="26"/>
      <c r="D227" s="149" t="s">
        <v>215</v>
      </c>
      <c r="E227" s="150">
        <v>245725</v>
      </c>
      <c r="F227" s="150">
        <v>40396</v>
      </c>
      <c r="G227" s="150">
        <v>105906</v>
      </c>
      <c r="H227" s="993">
        <f t="shared" si="61"/>
        <v>392027</v>
      </c>
      <c r="I227" s="119"/>
      <c r="J227" s="119"/>
      <c r="K227" s="119"/>
      <c r="L227" s="120"/>
      <c r="T227" s="25"/>
      <c r="W227" s="1225" t="str">
        <f t="shared" si="63"/>
        <v>Round 16 (Oct 2018)</v>
      </c>
      <c r="X227" s="1226">
        <f t="shared" si="64"/>
        <v>245725</v>
      </c>
      <c r="Y227" s="1226">
        <f t="shared" si="65"/>
        <v>40396</v>
      </c>
      <c r="Z227" s="1226">
        <f t="shared" si="66"/>
        <v>105906</v>
      </c>
      <c r="AA227" s="1227">
        <f t="shared" si="67"/>
        <v>392027</v>
      </c>
      <c r="AJ227" s="30"/>
    </row>
    <row r="228" spans="3:36" ht="16.5" customHeight="1" thickBot="1" x14ac:dyDescent="0.35">
      <c r="C228" s="26"/>
      <c r="D228" s="145" t="s">
        <v>216</v>
      </c>
      <c r="E228" s="40">
        <v>253813</v>
      </c>
      <c r="F228" s="40">
        <v>79787</v>
      </c>
      <c r="G228" s="40">
        <v>109083</v>
      </c>
      <c r="H228" s="41">
        <f t="shared" si="61"/>
        <v>442683</v>
      </c>
      <c r="I228" s="119"/>
      <c r="J228" s="119"/>
      <c r="K228" s="119"/>
      <c r="L228" s="120"/>
      <c r="T228" s="25"/>
      <c r="W228" s="1224" t="str">
        <f t="shared" si="63"/>
        <v>Round 17 (Fév 2019)</v>
      </c>
      <c r="X228" s="1223">
        <f t="shared" si="64"/>
        <v>253813</v>
      </c>
      <c r="Y228" s="1223">
        <f t="shared" si="65"/>
        <v>79787</v>
      </c>
      <c r="Z228" s="1223">
        <f t="shared" si="66"/>
        <v>109083</v>
      </c>
      <c r="AA228" s="1223">
        <f t="shared" si="67"/>
        <v>442683</v>
      </c>
      <c r="AJ228" s="30"/>
    </row>
    <row r="229" spans="3:36" ht="16.5" customHeight="1" thickBot="1" x14ac:dyDescent="0.35">
      <c r="C229" s="26"/>
      <c r="D229" s="149" t="s">
        <v>217</v>
      </c>
      <c r="E229" s="150">
        <v>262831</v>
      </c>
      <c r="F229" s="150">
        <v>50981</v>
      </c>
      <c r="G229" s="150">
        <v>110023</v>
      </c>
      <c r="H229" s="993">
        <f t="shared" si="61"/>
        <v>423835</v>
      </c>
      <c r="I229" s="119"/>
      <c r="J229" s="119"/>
      <c r="K229" s="119"/>
      <c r="L229" s="120"/>
      <c r="M229" s="66"/>
      <c r="T229" s="25"/>
      <c r="W229" s="1225" t="str">
        <f t="shared" si="63"/>
        <v>Round 18 (Avril 2019)</v>
      </c>
      <c r="X229" s="1226">
        <f t="shared" si="64"/>
        <v>262831</v>
      </c>
      <c r="Y229" s="1226">
        <f t="shared" si="65"/>
        <v>50981</v>
      </c>
      <c r="Z229" s="1226">
        <f t="shared" si="66"/>
        <v>110023</v>
      </c>
      <c r="AA229" s="1227">
        <f t="shared" si="67"/>
        <v>423835</v>
      </c>
      <c r="AJ229" s="30"/>
    </row>
    <row r="230" spans="3:36" ht="16.5" customHeight="1" thickBot="1" x14ac:dyDescent="0.35">
      <c r="C230" s="26"/>
      <c r="D230" s="1008" t="s">
        <v>218</v>
      </c>
      <c r="E230" s="40">
        <v>270870</v>
      </c>
      <c r="F230" s="40">
        <v>46845</v>
      </c>
      <c r="G230" s="40">
        <v>110574</v>
      </c>
      <c r="H230" s="41">
        <f t="shared" si="61"/>
        <v>428289</v>
      </c>
      <c r="I230" s="119"/>
      <c r="J230" s="119"/>
      <c r="K230" s="119"/>
      <c r="L230" s="120"/>
      <c r="T230" s="25"/>
      <c r="W230" s="1224" t="str">
        <f t="shared" si="63"/>
        <v>Round 19 (Août 2019)</v>
      </c>
      <c r="X230" s="1223">
        <f t="shared" si="64"/>
        <v>270870</v>
      </c>
      <c r="Y230" s="1223">
        <f t="shared" si="65"/>
        <v>46845</v>
      </c>
      <c r="Z230" s="1223">
        <f t="shared" si="66"/>
        <v>110574</v>
      </c>
      <c r="AA230" s="1223">
        <f t="shared" si="67"/>
        <v>428289</v>
      </c>
      <c r="AJ230" s="30"/>
    </row>
    <row r="231" spans="3:36" ht="16.5" customHeight="1" thickBot="1" x14ac:dyDescent="0.35">
      <c r="C231" s="26"/>
      <c r="D231" s="149" t="s">
        <v>219</v>
      </c>
      <c r="E231" s="150">
        <v>297380</v>
      </c>
      <c r="F231" s="150">
        <v>47305</v>
      </c>
      <c r="G231" s="150">
        <v>116979</v>
      </c>
      <c r="H231" s="993">
        <f t="shared" si="61"/>
        <v>461664</v>
      </c>
      <c r="I231" s="119"/>
      <c r="J231" s="119"/>
      <c r="K231" s="119"/>
      <c r="L231" s="120"/>
      <c r="T231" s="25"/>
      <c r="W231" s="1225" t="str">
        <f t="shared" si="63"/>
        <v>Round 20 (Nov 2019)</v>
      </c>
      <c r="X231" s="1226">
        <f t="shared" si="64"/>
        <v>297380</v>
      </c>
      <c r="Y231" s="1226">
        <f t="shared" si="65"/>
        <v>47305</v>
      </c>
      <c r="Z231" s="1226">
        <f t="shared" si="66"/>
        <v>116979</v>
      </c>
      <c r="AA231" s="1227">
        <f t="shared" si="67"/>
        <v>461664</v>
      </c>
      <c r="AJ231" s="30"/>
    </row>
    <row r="232" spans="3:36" ht="16.5" customHeight="1" thickBot="1" x14ac:dyDescent="0.35">
      <c r="C232" s="26"/>
      <c r="D232" s="151" t="s">
        <v>220</v>
      </c>
      <c r="E232" s="152">
        <v>321886</v>
      </c>
      <c r="F232" s="152">
        <v>48769</v>
      </c>
      <c r="G232" s="152">
        <v>123489</v>
      </c>
      <c r="H232" s="41">
        <f t="shared" si="61"/>
        <v>494144</v>
      </c>
      <c r="I232" s="119"/>
      <c r="J232" s="119"/>
      <c r="K232" s="119"/>
      <c r="L232" s="120"/>
      <c r="T232" s="25"/>
      <c r="W232" s="1224" t="str">
        <f t="shared" si="63"/>
        <v>Round 21 (Juin 2020)</v>
      </c>
      <c r="X232" s="1223">
        <f t="shared" si="64"/>
        <v>321886</v>
      </c>
      <c r="Y232" s="1223">
        <f t="shared" si="65"/>
        <v>48769</v>
      </c>
      <c r="Z232" s="1223">
        <f t="shared" si="66"/>
        <v>123489</v>
      </c>
      <c r="AA232" s="1223">
        <f t="shared" si="67"/>
        <v>494144</v>
      </c>
      <c r="AJ232" s="30"/>
    </row>
    <row r="233" spans="3:36" ht="16.5" customHeight="1" thickBot="1" x14ac:dyDescent="0.35">
      <c r="C233" s="26"/>
      <c r="D233" s="1009" t="s">
        <v>221</v>
      </c>
      <c r="E233" s="150">
        <v>341535</v>
      </c>
      <c r="F233" s="150">
        <v>48902</v>
      </c>
      <c r="G233" s="150">
        <v>124310</v>
      </c>
      <c r="H233" s="993">
        <f t="shared" si="61"/>
        <v>514747</v>
      </c>
      <c r="I233" s="578"/>
      <c r="J233" s="578"/>
      <c r="K233" s="578"/>
      <c r="L233" s="120"/>
      <c r="T233" s="25"/>
      <c r="W233" s="1225" t="str">
        <f t="shared" si="63"/>
        <v>Round 22 (Mars 2021)</v>
      </c>
      <c r="X233" s="1226">
        <f t="shared" si="64"/>
        <v>341535</v>
      </c>
      <c r="Y233" s="1226">
        <f t="shared" si="65"/>
        <v>48902</v>
      </c>
      <c r="Z233" s="1226">
        <f t="shared" si="66"/>
        <v>124310</v>
      </c>
      <c r="AA233" s="1227">
        <f t="shared" si="67"/>
        <v>514747</v>
      </c>
      <c r="AJ233" s="30"/>
    </row>
    <row r="234" spans="3:36" ht="16.5" customHeight="1" thickBot="1" x14ac:dyDescent="0.35">
      <c r="C234" s="26"/>
      <c r="D234" s="1010" t="s">
        <v>222</v>
      </c>
      <c r="E234" s="152">
        <v>357631</v>
      </c>
      <c r="F234" s="152">
        <v>51997</v>
      </c>
      <c r="G234" s="152">
        <v>135257</v>
      </c>
      <c r="H234" s="41">
        <f t="shared" si="61"/>
        <v>544885</v>
      </c>
      <c r="I234" s="578"/>
      <c r="J234" s="578"/>
      <c r="K234" s="578"/>
      <c r="L234" s="120"/>
      <c r="T234" s="25"/>
      <c r="W234" s="1224" t="str">
        <f t="shared" si="63"/>
        <v>Round 23 (Août 2021)</v>
      </c>
      <c r="X234" s="1223">
        <f t="shared" si="64"/>
        <v>357631</v>
      </c>
      <c r="Y234" s="1223">
        <f t="shared" si="65"/>
        <v>51997</v>
      </c>
      <c r="Z234" s="1223">
        <f t="shared" si="66"/>
        <v>135257</v>
      </c>
      <c r="AA234" s="1223">
        <f t="shared" si="67"/>
        <v>544885</v>
      </c>
      <c r="AJ234" s="30"/>
    </row>
    <row r="235" spans="3:36" ht="15" thickBot="1" x14ac:dyDescent="0.35">
      <c r="C235" s="26"/>
      <c r="D235" s="1009" t="s">
        <v>223</v>
      </c>
      <c r="E235" s="150">
        <v>377877</v>
      </c>
      <c r="F235" s="150">
        <v>49564</v>
      </c>
      <c r="G235" s="150">
        <v>130690</v>
      </c>
      <c r="H235" s="993">
        <v>558131</v>
      </c>
      <c r="I235" s="119"/>
      <c r="J235" s="119"/>
      <c r="K235" s="119"/>
      <c r="L235" s="120"/>
      <c r="T235" s="25"/>
      <c r="W235" s="1225" t="str">
        <f t="shared" si="63"/>
        <v>Round 24 (Fevrier 2022)</v>
      </c>
      <c r="X235" s="1226">
        <f t="shared" si="64"/>
        <v>377877</v>
      </c>
      <c r="Y235" s="1226">
        <f t="shared" si="65"/>
        <v>49564</v>
      </c>
      <c r="Z235" s="1226">
        <f t="shared" si="66"/>
        <v>130690</v>
      </c>
      <c r="AA235" s="1227">
        <f t="shared" si="67"/>
        <v>558131</v>
      </c>
      <c r="AJ235" s="30"/>
    </row>
    <row r="236" spans="3:36" ht="15" thickBot="1" x14ac:dyDescent="0.35">
      <c r="C236" s="26"/>
      <c r="D236" s="1118" t="s">
        <v>3036</v>
      </c>
      <c r="E236" s="152">
        <v>385372</v>
      </c>
      <c r="F236" s="152">
        <v>49660</v>
      </c>
      <c r="G236" s="152">
        <v>138152</v>
      </c>
      <c r="H236" s="41">
        <v>573184</v>
      </c>
      <c r="I236" s="119"/>
      <c r="J236" s="119"/>
      <c r="K236" s="119"/>
      <c r="L236" s="120"/>
      <c r="T236" s="25"/>
      <c r="W236" s="1224" t="str">
        <f t="shared" si="63"/>
        <v>Round 25 (Août 2022)</v>
      </c>
      <c r="X236" s="1223">
        <f t="shared" si="64"/>
        <v>385372</v>
      </c>
      <c r="Y236" s="1223">
        <f t="shared" si="65"/>
        <v>49660</v>
      </c>
      <c r="Z236" s="1223">
        <f t="shared" si="66"/>
        <v>138152</v>
      </c>
      <c r="AA236" s="1223">
        <f t="shared" si="67"/>
        <v>573184</v>
      </c>
      <c r="AJ236" s="30"/>
    </row>
    <row r="237" spans="3:36" ht="15" thickBot="1" x14ac:dyDescent="0.35">
      <c r="C237" s="26"/>
      <c r="D237" s="1222" t="s">
        <v>3381</v>
      </c>
      <c r="E237" s="150">
        <v>427833</v>
      </c>
      <c r="F237" s="150">
        <v>49513</v>
      </c>
      <c r="G237" s="150">
        <v>203166</v>
      </c>
      <c r="H237" s="993">
        <v>680512</v>
      </c>
      <c r="I237" s="119"/>
      <c r="J237" s="119"/>
      <c r="K237" s="119"/>
      <c r="L237" s="120"/>
      <c r="T237" s="25"/>
      <c r="W237" s="1225" t="str">
        <f t="shared" si="63"/>
        <v>Round 26 (Fevrier 2023)</v>
      </c>
      <c r="X237" s="1226">
        <f t="shared" si="64"/>
        <v>427833</v>
      </c>
      <c r="Y237" s="1226">
        <f t="shared" si="65"/>
        <v>49513</v>
      </c>
      <c r="Z237" s="1226">
        <f t="shared" si="66"/>
        <v>203166</v>
      </c>
      <c r="AA237" s="1227">
        <f t="shared" si="67"/>
        <v>680512</v>
      </c>
      <c r="AJ237" s="30"/>
    </row>
    <row r="238" spans="3:36" x14ac:dyDescent="0.3">
      <c r="C238" s="26"/>
      <c r="I238" s="119"/>
      <c r="J238" s="119"/>
      <c r="K238" s="119"/>
      <c r="L238" s="120"/>
      <c r="T238" s="25"/>
      <c r="AJ238" s="30"/>
    </row>
    <row r="239" spans="3:36" x14ac:dyDescent="0.3">
      <c r="C239" s="26"/>
      <c r="D239" s="133"/>
      <c r="E239" s="119"/>
      <c r="F239" s="120"/>
      <c r="G239" s="119"/>
      <c r="H239" s="120"/>
      <c r="I239" s="119"/>
      <c r="J239" s="119"/>
      <c r="K239" s="119"/>
      <c r="L239" s="120"/>
      <c r="T239" s="25"/>
      <c r="AJ239" s="30"/>
    </row>
    <row r="240" spans="3:36" x14ac:dyDescent="0.3">
      <c r="C240" s="26"/>
      <c r="D240" s="133"/>
      <c r="E240" s="119"/>
      <c r="F240" s="120"/>
      <c r="G240" s="119"/>
      <c r="H240" s="120"/>
      <c r="I240" s="119"/>
      <c r="J240" s="119"/>
      <c r="K240" s="119"/>
      <c r="L240" s="120"/>
      <c r="T240" s="25"/>
      <c r="AJ240" s="30"/>
    </row>
    <row r="241" spans="3:36" x14ac:dyDescent="0.3">
      <c r="C241" s="26"/>
      <c r="I241" s="119"/>
      <c r="J241" s="119"/>
      <c r="K241" s="119"/>
      <c r="L241" s="120"/>
      <c r="T241" s="25"/>
      <c r="AJ241" s="30"/>
    </row>
    <row r="242" spans="3:36" x14ac:dyDescent="0.3">
      <c r="C242" s="26"/>
      <c r="I242" s="119"/>
      <c r="J242" s="119"/>
      <c r="K242" s="119"/>
      <c r="L242" s="120"/>
      <c r="T242" s="25"/>
      <c r="AJ242" s="30"/>
    </row>
    <row r="243" spans="3:36" x14ac:dyDescent="0.3">
      <c r="C243" s="26"/>
      <c r="I243" s="119"/>
      <c r="J243" s="119"/>
      <c r="K243" s="119"/>
      <c r="L243" s="120"/>
      <c r="T243" s="25"/>
      <c r="AJ243" s="30"/>
    </row>
    <row r="244" spans="3:36" x14ac:dyDescent="0.3">
      <c r="C244" s="26"/>
      <c r="I244" s="119"/>
      <c r="J244" s="119"/>
      <c r="K244" s="119"/>
      <c r="L244" s="120"/>
      <c r="T244" s="25"/>
      <c r="AJ244" s="30"/>
    </row>
    <row r="245" spans="3:36" x14ac:dyDescent="0.3">
      <c r="C245" s="26"/>
      <c r="I245" s="119"/>
      <c r="J245" s="119"/>
      <c r="K245" s="119"/>
      <c r="L245" s="120"/>
      <c r="T245" s="25"/>
      <c r="AJ245" s="30"/>
    </row>
    <row r="246" spans="3:36" x14ac:dyDescent="0.3">
      <c r="C246" s="26"/>
      <c r="I246" s="119"/>
      <c r="J246" s="119"/>
      <c r="K246" s="119"/>
      <c r="L246" s="120"/>
      <c r="T246" s="25"/>
      <c r="AJ246" s="30"/>
    </row>
    <row r="247" spans="3:36" x14ac:dyDescent="0.3">
      <c r="C247" s="26"/>
      <c r="I247" s="119"/>
      <c r="J247" s="119"/>
      <c r="K247" s="119"/>
      <c r="L247" s="120"/>
      <c r="T247" s="25"/>
      <c r="AJ247" s="30"/>
    </row>
    <row r="248" spans="3:36" x14ac:dyDescent="0.3">
      <c r="C248" s="26"/>
      <c r="I248" s="119"/>
      <c r="J248" s="119"/>
      <c r="K248" s="119"/>
      <c r="L248" s="120"/>
      <c r="T248" s="25"/>
      <c r="AJ248" s="30"/>
    </row>
    <row r="249" spans="3:36" x14ac:dyDescent="0.3">
      <c r="C249" s="26"/>
      <c r="I249" s="119"/>
      <c r="J249" s="119"/>
      <c r="K249" s="119"/>
      <c r="L249" s="120"/>
      <c r="T249" s="25"/>
      <c r="AJ249" s="30"/>
    </row>
    <row r="250" spans="3:36" x14ac:dyDescent="0.3">
      <c r="C250" s="26"/>
      <c r="I250" s="119"/>
      <c r="J250" s="119"/>
      <c r="K250" s="119"/>
      <c r="L250" s="120"/>
      <c r="T250" s="25"/>
      <c r="AJ250" s="30"/>
    </row>
    <row r="251" spans="3:36" x14ac:dyDescent="0.3">
      <c r="C251" s="26"/>
      <c r="I251" s="119"/>
      <c r="J251" s="119"/>
      <c r="K251" s="119"/>
      <c r="L251" s="120"/>
      <c r="T251" s="25"/>
      <c r="AJ251" s="30"/>
    </row>
    <row r="252" spans="3:36" x14ac:dyDescent="0.3">
      <c r="C252" s="26"/>
      <c r="I252" s="119"/>
      <c r="J252" s="119"/>
      <c r="K252" s="119"/>
      <c r="L252" s="120"/>
      <c r="T252" s="25"/>
      <c r="AJ252" s="30"/>
    </row>
    <row r="253" spans="3:36" x14ac:dyDescent="0.3">
      <c r="C253" s="26"/>
      <c r="I253" s="119"/>
      <c r="J253" s="119"/>
      <c r="K253" s="119"/>
      <c r="L253" s="120"/>
      <c r="T253" s="25"/>
      <c r="AJ253" s="30"/>
    </row>
    <row r="254" spans="3:36" x14ac:dyDescent="0.3">
      <c r="C254" s="26"/>
      <c r="E254" s="117"/>
      <c r="F254" s="117"/>
      <c r="G254" s="117"/>
      <c r="H254" s="117"/>
      <c r="I254" s="119"/>
      <c r="J254" s="119"/>
      <c r="K254" s="119"/>
      <c r="L254" s="120"/>
      <c r="T254" s="25"/>
      <c r="AJ254" s="30"/>
    </row>
    <row r="255" spans="3:36" x14ac:dyDescent="0.3">
      <c r="C255" s="26"/>
      <c r="D255" s="133"/>
      <c r="E255" s="119"/>
      <c r="F255" s="120"/>
      <c r="G255" s="119"/>
      <c r="H255" s="120"/>
      <c r="I255" s="119"/>
      <c r="J255" s="119"/>
      <c r="K255" s="119"/>
      <c r="L255" s="120"/>
      <c r="T255" s="25"/>
      <c r="AJ255" s="30"/>
    </row>
    <row r="256" spans="3:36" x14ac:dyDescent="0.3">
      <c r="C256" s="26"/>
      <c r="D256" s="133"/>
      <c r="E256" s="119"/>
      <c r="F256" s="120"/>
      <c r="G256" s="119"/>
      <c r="H256" s="120"/>
      <c r="I256" s="119"/>
      <c r="J256" s="119"/>
      <c r="K256" s="119"/>
      <c r="L256" s="120"/>
      <c r="T256" s="25"/>
      <c r="AJ256" s="30"/>
    </row>
    <row r="257" spans="3:36" x14ac:dyDescent="0.3">
      <c r="C257" s="26"/>
      <c r="D257" s="133"/>
      <c r="E257" s="119"/>
      <c r="F257" s="120"/>
      <c r="G257" s="119"/>
      <c r="H257" s="120"/>
      <c r="I257" s="119"/>
      <c r="J257" s="119"/>
      <c r="K257" s="119"/>
      <c r="L257" s="120"/>
      <c r="T257" s="25"/>
      <c r="AJ257" s="30"/>
    </row>
    <row r="258" spans="3:36" x14ac:dyDescent="0.3">
      <c r="C258" s="26"/>
      <c r="D258" s="133"/>
      <c r="E258" s="119"/>
      <c r="F258" s="120"/>
      <c r="G258" s="119"/>
      <c r="H258" s="120"/>
      <c r="I258" s="119"/>
      <c r="J258" s="119"/>
      <c r="K258" s="119"/>
      <c r="L258" s="120"/>
      <c r="T258" s="25"/>
      <c r="AJ258" s="30"/>
    </row>
    <row r="259" spans="3:36" ht="35.1" customHeight="1" x14ac:dyDescent="0.3">
      <c r="C259" s="93"/>
      <c r="D259" s="134"/>
      <c r="E259" s="135"/>
      <c r="F259" s="136"/>
      <c r="G259" s="135"/>
      <c r="H259" s="136"/>
      <c r="I259" s="135"/>
      <c r="J259" s="135"/>
      <c r="K259" s="135"/>
      <c r="L259" s="136"/>
      <c r="M259" s="94"/>
      <c r="N259" s="94"/>
      <c r="O259" s="94"/>
      <c r="P259" s="94"/>
      <c r="Q259" s="94"/>
      <c r="R259" s="94"/>
      <c r="S259" s="94"/>
      <c r="T259" s="96"/>
      <c r="U259" s="94"/>
      <c r="V259" s="94"/>
      <c r="W259" s="94"/>
      <c r="X259" s="94"/>
      <c r="Y259" s="94"/>
      <c r="Z259" s="94"/>
      <c r="AA259" s="94"/>
      <c r="AB259" s="94"/>
      <c r="AC259" s="94"/>
      <c r="AD259" s="94"/>
      <c r="AE259" s="94"/>
      <c r="AF259" s="94"/>
      <c r="AG259" s="94"/>
      <c r="AH259" s="94"/>
      <c r="AI259" s="94"/>
      <c r="AJ259" s="97"/>
    </row>
    <row r="260" spans="3:36" x14ac:dyDescent="0.3">
      <c r="D260" s="133"/>
      <c r="E260" s="119"/>
      <c r="F260" s="120"/>
      <c r="G260" s="119"/>
      <c r="H260" s="120"/>
      <c r="I260" s="119"/>
      <c r="J260" s="119"/>
      <c r="K260" s="119"/>
      <c r="L260" s="120"/>
      <c r="T260" s="25"/>
    </row>
    <row r="261" spans="3:36" s="153" customFormat="1" x14ac:dyDescent="0.3">
      <c r="D261" s="124"/>
      <c r="E261" s="122"/>
      <c r="F261" s="123"/>
      <c r="G261" s="122"/>
      <c r="H261" s="123"/>
      <c r="I261" s="122"/>
      <c r="J261" s="122"/>
      <c r="K261" s="122"/>
      <c r="L261" s="123"/>
      <c r="T261" s="154"/>
      <c r="AH261" s="155"/>
      <c r="AI261" s="155"/>
      <c r="AJ261" s="155"/>
    </row>
    <row r="262" spans="3:36" s="153" customFormat="1" x14ac:dyDescent="0.3">
      <c r="C262" s="156"/>
      <c r="D262" s="157"/>
      <c r="E262" s="158"/>
      <c r="F262" s="159"/>
      <c r="G262" s="158"/>
      <c r="H262" s="159"/>
      <c r="I262" s="158"/>
      <c r="J262" s="158"/>
      <c r="K262" s="158"/>
      <c r="L262" s="159"/>
      <c r="M262" s="160"/>
      <c r="N262" s="160"/>
      <c r="O262" s="160"/>
      <c r="P262" s="160"/>
      <c r="Q262" s="160"/>
      <c r="R262" s="160"/>
      <c r="S262" s="160"/>
      <c r="T262" s="161"/>
      <c r="U262" s="160"/>
      <c r="V262" s="160"/>
      <c r="W262" s="160"/>
      <c r="X262" s="160"/>
      <c r="Y262" s="160"/>
      <c r="Z262" s="160"/>
      <c r="AA262" s="160"/>
      <c r="AB262" s="160"/>
      <c r="AC262" s="160"/>
      <c r="AD262" s="160"/>
      <c r="AE262" s="160"/>
      <c r="AF262" s="160"/>
      <c r="AG262" s="160"/>
      <c r="AJ262" s="162"/>
    </row>
    <row r="263" spans="3:36" s="153" customFormat="1" x14ac:dyDescent="0.3">
      <c r="C263" s="163"/>
      <c r="D263" s="164" t="s">
        <v>224</v>
      </c>
      <c r="E263" s="123"/>
      <c r="F263" s="122"/>
      <c r="G263" s="123"/>
      <c r="H263" s="122"/>
      <c r="I263" s="123"/>
      <c r="J263" s="123"/>
      <c r="K263" s="123"/>
      <c r="O263" s="164" t="s">
        <v>225</v>
      </c>
      <c r="T263" s="154"/>
      <c r="W263" s="165" t="s">
        <v>226</v>
      </c>
      <c r="X263" s="123"/>
      <c r="Y263" s="122"/>
      <c r="Z263" s="123"/>
      <c r="AA263" s="122"/>
      <c r="AB263" s="123"/>
      <c r="AH263" s="165" t="s">
        <v>227</v>
      </c>
      <c r="AJ263" s="166"/>
    </row>
    <row r="264" spans="3:36" s="153" customFormat="1" x14ac:dyDescent="0.3">
      <c r="C264" s="163"/>
      <c r="D264" s="167"/>
      <c r="E264" s="123"/>
      <c r="F264" s="122"/>
      <c r="G264" s="123"/>
      <c r="H264" s="122"/>
      <c r="I264" s="123"/>
      <c r="J264" s="123"/>
      <c r="K264" s="123"/>
      <c r="T264" s="154"/>
      <c r="W264" s="122"/>
      <c r="X264" s="123"/>
      <c r="Y264" s="122"/>
      <c r="Z264" s="123"/>
      <c r="AA264" s="122"/>
      <c r="AB264" s="123"/>
      <c r="AJ264" s="166"/>
    </row>
    <row r="265" spans="3:36" s="169" customFormat="1" ht="28.5" customHeight="1" thickBot="1" x14ac:dyDescent="0.35">
      <c r="C265" s="168"/>
      <c r="D265" s="1323" t="s">
        <v>228</v>
      </c>
      <c r="E265" s="1324"/>
      <c r="F265" s="1324"/>
      <c r="G265" s="1324"/>
      <c r="H265" s="1324"/>
      <c r="I265" s="1324"/>
      <c r="J265" s="1324"/>
      <c r="K265" s="1324"/>
      <c r="L265" s="1325"/>
      <c r="M265" s="153"/>
      <c r="T265" s="170"/>
      <c r="W265" s="1326" t="s">
        <v>229</v>
      </c>
      <c r="X265" s="1327"/>
      <c r="Y265" s="1327"/>
      <c r="Z265" s="1327"/>
      <c r="AA265" s="1327"/>
      <c r="AB265" s="1327"/>
      <c r="AC265" s="1327"/>
      <c r="AD265" s="1327"/>
      <c r="AE265" s="1328"/>
      <c r="AJ265" s="171"/>
    </row>
    <row r="266" spans="3:36" s="153" customFormat="1" ht="15" thickBot="1" x14ac:dyDescent="0.35">
      <c r="C266" s="1309" t="s">
        <v>230</v>
      </c>
      <c r="D266" s="889" t="s">
        <v>48</v>
      </c>
      <c r="E266" s="172" t="s">
        <v>30</v>
      </c>
      <c r="F266" s="172" t="s">
        <v>31</v>
      </c>
      <c r="G266" s="172" t="s">
        <v>32</v>
      </c>
      <c r="H266" s="172" t="s">
        <v>33</v>
      </c>
      <c r="I266" s="172" t="s">
        <v>34</v>
      </c>
      <c r="J266" s="172" t="s">
        <v>35</v>
      </c>
      <c r="K266" s="173" t="s">
        <v>743</v>
      </c>
      <c r="L266" s="890" t="s">
        <v>25</v>
      </c>
      <c r="T266" s="154"/>
      <c r="W266" s="174" t="s">
        <v>51</v>
      </c>
      <c r="X266" s="175" t="s">
        <v>30</v>
      </c>
      <c r="Y266" s="176" t="s">
        <v>31</v>
      </c>
      <c r="Z266" s="175" t="s">
        <v>32</v>
      </c>
      <c r="AA266" s="176" t="s">
        <v>33</v>
      </c>
      <c r="AB266" s="175" t="s">
        <v>34</v>
      </c>
      <c r="AC266" s="172" t="s">
        <v>35</v>
      </c>
      <c r="AD266" s="172" t="s">
        <v>231</v>
      </c>
      <c r="AE266" s="173" t="s">
        <v>25</v>
      </c>
      <c r="AJ266" s="166"/>
    </row>
    <row r="267" spans="3:36" s="153" customFormat="1" ht="15" thickBot="1" x14ac:dyDescent="0.35">
      <c r="C267" s="1309"/>
      <c r="D267" s="891" t="s">
        <v>30</v>
      </c>
      <c r="E267" s="595">
        <f>SUMIFS(DisplacementP[Individus],DisplacementP[Statut déplacé],"idp",DisplacementP[adm2_name],$D267, DisplacementP[provenance_adm2_nom],$E$266)</f>
        <v>171</v>
      </c>
      <c r="F267" s="595">
        <f>SUMIFS(DisplacementP[Individus],DisplacementP[Statut déplacé],"idp",DisplacementP[adm2_name],$D267, DisplacementP[provenance_adm2_nom],F$266)</f>
        <v>246</v>
      </c>
      <c r="G267" s="595">
        <f>SUMIFS(DisplacementP[Individus],DisplacementP[Statut déplacé],"idp",DisplacementP[adm2_name],$D267, DisplacementP[provenance_adm2_nom],G$266)</f>
        <v>5627</v>
      </c>
      <c r="H267" s="595">
        <f>SUMIFS(DisplacementP[Individus],DisplacementP[Statut déplacé],"idp",DisplacementP[adm2_name],$D267, DisplacementP[provenance_adm2_nom],H$266)</f>
        <v>0</v>
      </c>
      <c r="I267" s="595">
        <f>SUMIFS(DisplacementP[Individus],DisplacementP[Statut déplacé],"idp",DisplacementP[adm2_name],$D267, DisplacementP[provenance_adm2_nom],I$266)</f>
        <v>6464</v>
      </c>
      <c r="J267" s="595">
        <f>SUMIFS(DisplacementP[Individus],DisplacementP[Statut déplacé],"idp",DisplacementP[adm2_name],$D267, DisplacementP[provenance_adm2_nom],J$266)</f>
        <v>34</v>
      </c>
      <c r="K267" s="595">
        <f>SUMIFS(DisplacementP[Individus],DisplacementP[Statut déplacé],"idp",DisplacementP[adm2_name],$D267, DisplacementP[provenance],$K$266)</f>
        <v>0</v>
      </c>
      <c r="L267" s="892">
        <f t="shared" ref="L267:L272" si="68">SUM(E267:K267)</f>
        <v>12542</v>
      </c>
      <c r="T267" s="154"/>
      <c r="W267" s="178" t="s">
        <v>30</v>
      </c>
      <c r="X267" s="178">
        <f t="shared" ref="X267:X272" si="69">E267</f>
        <v>171</v>
      </c>
      <c r="Y267" s="178">
        <f t="shared" ref="Y267:Y272" si="70">F267</f>
        <v>246</v>
      </c>
      <c r="Z267" s="178">
        <f t="shared" ref="Z267:Z272" si="71">G267</f>
        <v>5627</v>
      </c>
      <c r="AA267" s="178">
        <f t="shared" ref="AA267:AA272" si="72">H267</f>
        <v>0</v>
      </c>
      <c r="AB267" s="178">
        <f t="shared" ref="AB267:AB272" si="73">I267</f>
        <v>6464</v>
      </c>
      <c r="AC267" s="178">
        <f t="shared" ref="AC267:AC272" si="74">J267</f>
        <v>34</v>
      </c>
      <c r="AD267" s="178">
        <f t="shared" ref="AD267:AD272" si="75">K267</f>
        <v>0</v>
      </c>
      <c r="AE267" s="179">
        <f t="shared" ref="AE267:AE272" si="76">SUM(X267:AD267)</f>
        <v>12542</v>
      </c>
      <c r="AJ267" s="166"/>
    </row>
    <row r="268" spans="3:36" s="153" customFormat="1" ht="15" thickBot="1" x14ac:dyDescent="0.35">
      <c r="C268" s="1309"/>
      <c r="D268" s="893" t="s">
        <v>31</v>
      </c>
      <c r="E268" s="596">
        <f>SUMIFS(DisplacementP[Individus],DisplacementP[Statut déplacé],"idp",DisplacementP[adm2_name],$D268, DisplacementP[provenance_adm2_nom],$E$266)</f>
        <v>0</v>
      </c>
      <c r="F268" s="596">
        <f>SUMIFS(DisplacementP[Individus],DisplacementP[Statut déplacé],"idp",DisplacementP[adm2_name],$D268, DisplacementP[provenance_adm2_nom],F$266)</f>
        <v>161366</v>
      </c>
      <c r="G268" s="596">
        <f>SUMIFS(DisplacementP[Individus],DisplacementP[Statut déplacé],"idp",DisplacementP[adm2_name],$D268, DisplacementP[provenance_adm2_nom],G$266)</f>
        <v>326</v>
      </c>
      <c r="H268" s="596">
        <f>SUMIFS(DisplacementP[Individus],DisplacementP[Statut déplacé],"idp",DisplacementP[adm2_name],$D268, DisplacementP[provenance_adm2_nom],H$266)</f>
        <v>0</v>
      </c>
      <c r="I268" s="596">
        <f>SUMIFS(DisplacementP[Individus],DisplacementP[Statut déplacé],"idp",DisplacementP[adm2_name],$D268, DisplacementP[provenance_adm2_nom],I$266)</f>
        <v>328</v>
      </c>
      <c r="J268" s="596">
        <f>SUMIFS(DisplacementP[Individus],DisplacementP[Statut déplacé],"idp",DisplacementP[adm2_name],$D268, DisplacementP[provenance_adm2_nom],J$266)</f>
        <v>0</v>
      </c>
      <c r="K268" s="596">
        <f>SUMIFS(DisplacementP[Individus],DisplacementP[Statut déplacé],"idp",DisplacementP[adm2_name],$D268, DisplacementP[provenance],$K$266)</f>
        <v>0</v>
      </c>
      <c r="L268" s="894">
        <f t="shared" si="68"/>
        <v>162020</v>
      </c>
      <c r="T268" s="154"/>
      <c r="W268" s="180" t="s">
        <v>31</v>
      </c>
      <c r="X268" s="180">
        <f t="shared" si="69"/>
        <v>0</v>
      </c>
      <c r="Y268" s="180">
        <f t="shared" si="70"/>
        <v>161366</v>
      </c>
      <c r="Z268" s="180">
        <f t="shared" si="71"/>
        <v>326</v>
      </c>
      <c r="AA268" s="180">
        <f t="shared" si="72"/>
        <v>0</v>
      </c>
      <c r="AB268" s="180">
        <f t="shared" si="73"/>
        <v>328</v>
      </c>
      <c r="AC268" s="180">
        <f t="shared" si="74"/>
        <v>0</v>
      </c>
      <c r="AD268" s="180">
        <f t="shared" si="75"/>
        <v>0</v>
      </c>
      <c r="AE268" s="181">
        <f t="shared" si="76"/>
        <v>162020</v>
      </c>
      <c r="AJ268" s="166"/>
    </row>
    <row r="269" spans="3:36" s="153" customFormat="1" ht="15" thickBot="1" x14ac:dyDescent="0.35">
      <c r="C269" s="1309"/>
      <c r="D269" s="891" t="s">
        <v>32</v>
      </c>
      <c r="E269" s="595">
        <f>SUMIFS(DisplacementP[Individus],DisplacementP[Statut déplacé],"idp",DisplacementP[adm2_name],$D269, DisplacementP[provenance_adm2_nom],$E$266)</f>
        <v>0</v>
      </c>
      <c r="F269" s="595">
        <f>SUMIFS(DisplacementP[Individus],DisplacementP[Statut déplacé],"idp",DisplacementP[adm2_name],$D269, DisplacementP[provenance_adm2_nom],F$266)</f>
        <v>0</v>
      </c>
      <c r="G269" s="595">
        <f>SUMIFS(DisplacementP[Individus],DisplacementP[Statut déplacé],"idp",DisplacementP[adm2_name],$D269, DisplacementP[provenance_adm2_nom],G$266)</f>
        <v>22544</v>
      </c>
      <c r="H269" s="595">
        <f>SUMIFS(DisplacementP[Individus],DisplacementP[Statut déplacé],"idp",DisplacementP[adm2_name],$D269, DisplacementP[provenance_adm2_nom],H$266)</f>
        <v>0</v>
      </c>
      <c r="I269" s="595">
        <f>SUMIFS(DisplacementP[Individus],DisplacementP[Statut déplacé],"idp",DisplacementP[adm2_name],$D269, DisplacementP[provenance_adm2_nom],I$266)</f>
        <v>0</v>
      </c>
      <c r="J269" s="595">
        <f>SUMIFS(DisplacementP[Individus],DisplacementP[Statut déplacé],"idp",DisplacementP[adm2_name],$D269, DisplacementP[provenance_adm2_nom],J$266)</f>
        <v>0</v>
      </c>
      <c r="K269" s="595">
        <f>SUMIFS(DisplacementP[Individus],DisplacementP[Statut déplacé],"idp",DisplacementP[adm2_name],$D269, DisplacementP[provenance],$K$266)</f>
        <v>0</v>
      </c>
      <c r="L269" s="892">
        <f t="shared" si="68"/>
        <v>22544</v>
      </c>
      <c r="T269" s="154"/>
      <c r="W269" s="178" t="s">
        <v>32</v>
      </c>
      <c r="X269" s="178">
        <f t="shared" si="69"/>
        <v>0</v>
      </c>
      <c r="Y269" s="178">
        <f t="shared" si="70"/>
        <v>0</v>
      </c>
      <c r="Z269" s="178">
        <f t="shared" si="71"/>
        <v>22544</v>
      </c>
      <c r="AA269" s="178">
        <f t="shared" si="72"/>
        <v>0</v>
      </c>
      <c r="AB269" s="178">
        <f t="shared" si="73"/>
        <v>0</v>
      </c>
      <c r="AC269" s="178">
        <f t="shared" si="74"/>
        <v>0</v>
      </c>
      <c r="AD269" s="178">
        <f t="shared" si="75"/>
        <v>0</v>
      </c>
      <c r="AE269" s="179">
        <f t="shared" si="76"/>
        <v>22544</v>
      </c>
      <c r="AJ269" s="166"/>
    </row>
    <row r="270" spans="3:36" s="153" customFormat="1" ht="15" thickBot="1" x14ac:dyDescent="0.35">
      <c r="C270" s="1309"/>
      <c r="D270" s="893" t="s">
        <v>33</v>
      </c>
      <c r="E270" s="596">
        <f>SUMIFS(DisplacementP[Individus],DisplacementP[Statut déplacé],"idp",DisplacementP[adm2_name],$D270, DisplacementP[provenance_adm2_nom],$E$266)</f>
        <v>0</v>
      </c>
      <c r="F270" s="596">
        <f>SUMIFS(DisplacementP[Individus],DisplacementP[Statut déplacé],"idp",DisplacementP[adm2_name],$D270, DisplacementP[provenance_adm2_nom],F$266)</f>
        <v>71</v>
      </c>
      <c r="G270" s="596">
        <f>SUMIFS(DisplacementP[Individus],DisplacementP[Statut déplacé],"idp",DisplacementP[adm2_name],$D270, DisplacementP[provenance_adm2_nom],G$266)</f>
        <v>341</v>
      </c>
      <c r="H270" s="596">
        <f>SUMIFS(DisplacementP[Individus],DisplacementP[Statut déplacé],"idp",DisplacementP[adm2_name],$D270, DisplacementP[provenance_adm2_nom],H$266)</f>
        <v>424</v>
      </c>
      <c r="I270" s="596">
        <f>SUMIFS(DisplacementP[Individus],DisplacementP[Statut déplacé],"idp",DisplacementP[adm2_name],$D270, DisplacementP[provenance_adm2_nom],I$266)</f>
        <v>3336</v>
      </c>
      <c r="J270" s="596">
        <f>SUMIFS(DisplacementP[Individus],DisplacementP[Statut déplacé],"idp",DisplacementP[adm2_name],$D270, DisplacementP[provenance_adm2_nom],J$266)</f>
        <v>26</v>
      </c>
      <c r="K270" s="596">
        <f>SUMIFS(DisplacementP[Individus],DisplacementP[Statut déplacé],"idp",DisplacementP[adm2_name],$D270, DisplacementP[provenance],$K$266)</f>
        <v>708</v>
      </c>
      <c r="L270" s="894">
        <f t="shared" si="68"/>
        <v>4906</v>
      </c>
      <c r="T270" s="154"/>
      <c r="W270" s="180" t="s">
        <v>33</v>
      </c>
      <c r="X270" s="180">
        <f t="shared" si="69"/>
        <v>0</v>
      </c>
      <c r="Y270" s="180">
        <f t="shared" si="70"/>
        <v>71</v>
      </c>
      <c r="Z270" s="180">
        <f t="shared" si="71"/>
        <v>341</v>
      </c>
      <c r="AA270" s="180">
        <f t="shared" si="72"/>
        <v>424</v>
      </c>
      <c r="AB270" s="180">
        <f t="shared" si="73"/>
        <v>3336</v>
      </c>
      <c r="AC270" s="180">
        <f t="shared" si="74"/>
        <v>26</v>
      </c>
      <c r="AD270" s="180">
        <f t="shared" si="75"/>
        <v>708</v>
      </c>
      <c r="AE270" s="181">
        <f t="shared" si="76"/>
        <v>4906</v>
      </c>
      <c r="AJ270" s="166"/>
    </row>
    <row r="271" spans="3:36" s="153" customFormat="1" ht="15" thickBot="1" x14ac:dyDescent="0.35">
      <c r="C271" s="1309"/>
      <c r="D271" s="891" t="s">
        <v>34</v>
      </c>
      <c r="E271" s="595">
        <f>SUMIFS(DisplacementP[Individus],DisplacementP[Statut déplacé],"idp",DisplacementP[adm2_name],$D271, DisplacementP[provenance_adm2_nom],$E$266)</f>
        <v>0</v>
      </c>
      <c r="F271" s="595">
        <f>SUMIFS(DisplacementP[Individus],DisplacementP[Statut déplacé],"idp",DisplacementP[adm2_name],$D271, DisplacementP[provenance_adm2_nom],F$266)</f>
        <v>25</v>
      </c>
      <c r="G271" s="595">
        <f>SUMIFS(DisplacementP[Individus],DisplacementP[Statut déplacé],"idp",DisplacementP[adm2_name],$D271, DisplacementP[provenance_adm2_nom],G$266)</f>
        <v>0</v>
      </c>
      <c r="H271" s="595">
        <f>SUMIFS(DisplacementP[Individus],DisplacementP[Statut déplacé],"idp",DisplacementP[adm2_name],$D271, DisplacementP[provenance_adm2_nom],H$266)</f>
        <v>0</v>
      </c>
      <c r="I271" s="595">
        <f>SUMIFS(DisplacementP[Individus],DisplacementP[Statut déplacé],"idp",DisplacementP[adm2_name],$D271, DisplacementP[provenance_adm2_nom],I$266)</f>
        <v>125020</v>
      </c>
      <c r="J271" s="595">
        <f>SUMIFS(DisplacementP[Individus],DisplacementP[Statut déplacé],"idp",DisplacementP[adm2_name],$D271, DisplacementP[provenance_adm2_nom],J$266)</f>
        <v>0</v>
      </c>
      <c r="K271" s="595">
        <f>SUMIFS(DisplacementP[Individus],DisplacementP[Statut déplacé],"idp",DisplacementP[adm2_name],$D271, DisplacementP[provenance],$K$266)</f>
        <v>0</v>
      </c>
      <c r="L271" s="892">
        <f t="shared" si="68"/>
        <v>125045</v>
      </c>
      <c r="T271" s="154"/>
      <c r="W271" s="178" t="s">
        <v>34</v>
      </c>
      <c r="X271" s="178">
        <f t="shared" si="69"/>
        <v>0</v>
      </c>
      <c r="Y271" s="178">
        <f t="shared" si="70"/>
        <v>25</v>
      </c>
      <c r="Z271" s="178">
        <f t="shared" si="71"/>
        <v>0</v>
      </c>
      <c r="AA271" s="178">
        <f t="shared" si="72"/>
        <v>0</v>
      </c>
      <c r="AB271" s="178">
        <f t="shared" si="73"/>
        <v>125020</v>
      </c>
      <c r="AC271" s="178">
        <f t="shared" si="74"/>
        <v>0</v>
      </c>
      <c r="AD271" s="178">
        <f t="shared" si="75"/>
        <v>0</v>
      </c>
      <c r="AE271" s="179">
        <f t="shared" si="76"/>
        <v>125045</v>
      </c>
      <c r="AJ271" s="166"/>
    </row>
    <row r="272" spans="3:36" s="153" customFormat="1" ht="15" thickBot="1" x14ac:dyDescent="0.35">
      <c r="C272" s="1309"/>
      <c r="D272" s="893" t="s">
        <v>35</v>
      </c>
      <c r="E272" s="596">
        <f>SUMIFS(DisplacementP[Individus],DisplacementP[Statut déplacé],"idp",DisplacementP[adm2_name],$D272, DisplacementP[provenance_adm2_nom],$E$266)</f>
        <v>0</v>
      </c>
      <c r="F272" s="596">
        <f>SUMIFS(DisplacementP[Individus],DisplacementP[Statut déplacé],"idp",DisplacementP[adm2_name],$D272, DisplacementP[provenance_adm2_nom],F$266)</f>
        <v>0</v>
      </c>
      <c r="G272" s="596">
        <f>SUMIFS(DisplacementP[Individus],DisplacementP[Statut déplacé],"idp",DisplacementP[adm2_name],$D272, DisplacementP[provenance_adm2_nom],G$266)</f>
        <v>0</v>
      </c>
      <c r="H272" s="596">
        <f>SUMIFS(DisplacementP[Individus],DisplacementP[Statut déplacé],"idp",DisplacementP[adm2_name],$D272, DisplacementP[provenance_adm2_nom],H$266)</f>
        <v>0</v>
      </c>
      <c r="I272" s="596">
        <f>SUMIFS(DisplacementP[Individus],DisplacementP[Statut déplacé],"idp",DisplacementP[adm2_name],$D272, DisplacementP[provenance_adm2_nom],I$266)</f>
        <v>301</v>
      </c>
      <c r="J272" s="596">
        <f>SUMIFS(DisplacementP[Individus],DisplacementP[Statut déplacé],"idp",DisplacementP[adm2_name],$D272, DisplacementP[provenance_adm2_nom],J$266)</f>
        <v>100475</v>
      </c>
      <c r="K272" s="596">
        <f>SUMIFS(DisplacementP[Individus],DisplacementP[Statut déplacé],"idp",DisplacementP[adm2_name],$D272, DisplacementP[provenance],$K$266)</f>
        <v>0</v>
      </c>
      <c r="L272" s="894">
        <f t="shared" si="68"/>
        <v>100776</v>
      </c>
      <c r="T272" s="154"/>
      <c r="W272" s="180" t="s">
        <v>35</v>
      </c>
      <c r="X272" s="180">
        <f t="shared" si="69"/>
        <v>0</v>
      </c>
      <c r="Y272" s="180">
        <f t="shared" si="70"/>
        <v>0</v>
      </c>
      <c r="Z272" s="180">
        <f t="shared" si="71"/>
        <v>0</v>
      </c>
      <c r="AA272" s="180">
        <f t="shared" si="72"/>
        <v>0</v>
      </c>
      <c r="AB272" s="180">
        <f t="shared" si="73"/>
        <v>301</v>
      </c>
      <c r="AC272" s="180">
        <f t="shared" si="74"/>
        <v>100475</v>
      </c>
      <c r="AD272" s="180">
        <f t="shared" si="75"/>
        <v>0</v>
      </c>
      <c r="AE272" s="181">
        <f t="shared" si="76"/>
        <v>100776</v>
      </c>
      <c r="AJ272" s="166"/>
    </row>
    <row r="273" spans="3:36" s="153" customFormat="1" ht="15" thickBot="1" x14ac:dyDescent="0.35">
      <c r="C273" s="163"/>
      <c r="D273" s="908" t="s">
        <v>25</v>
      </c>
      <c r="E273" s="909">
        <f>SUM($E$267:$E$272)</f>
        <v>171</v>
      </c>
      <c r="F273" s="909">
        <f>SUBTOTAL(109,$F$267:$F$272)</f>
        <v>161708</v>
      </c>
      <c r="G273" s="909">
        <f>SUBTOTAL(109,$G$267:$G$272)</f>
        <v>28838</v>
      </c>
      <c r="H273" s="909">
        <f>SUBTOTAL(109,$H$267:$H$272)</f>
        <v>424</v>
      </c>
      <c r="I273" s="909">
        <f>SUBTOTAL(109,$I$267:$I$272)</f>
        <v>135449</v>
      </c>
      <c r="J273" s="909">
        <f>SUBTOTAL(109,$J$267:$J$272)</f>
        <v>100535</v>
      </c>
      <c r="K273" s="1266">
        <f>SUBTOTAL(109,$K$267:$K$272)</f>
        <v>708</v>
      </c>
      <c r="L273" s="910">
        <f>SUM(L267:L272)</f>
        <v>427833</v>
      </c>
      <c r="T273" s="154"/>
      <c r="W273" s="182" t="s">
        <v>25</v>
      </c>
      <c r="X273" s="182">
        <f>SUM(X267:X272)</f>
        <v>171</v>
      </c>
      <c r="Y273" s="182">
        <f t="shared" ref="Y273:AD273" si="77">SUM(Y267:Y272)</f>
        <v>161708</v>
      </c>
      <c r="Z273" s="182">
        <f t="shared" si="77"/>
        <v>28838</v>
      </c>
      <c r="AA273" s="182">
        <f t="shared" si="77"/>
        <v>424</v>
      </c>
      <c r="AB273" s="182">
        <f t="shared" si="77"/>
        <v>135449</v>
      </c>
      <c r="AC273" s="182">
        <f t="shared" si="77"/>
        <v>100535</v>
      </c>
      <c r="AD273" s="182">
        <f t="shared" si="77"/>
        <v>708</v>
      </c>
      <c r="AE273" s="183">
        <f>SUM($AE$267:$AE$272)</f>
        <v>427833</v>
      </c>
      <c r="AJ273" s="166"/>
    </row>
    <row r="274" spans="3:36" s="153" customFormat="1" x14ac:dyDescent="0.3">
      <c r="C274" s="163"/>
      <c r="D274" s="895"/>
      <c r="E274" s="184">
        <f>E$273/$L$273</f>
        <v>3.9968866356732651E-4</v>
      </c>
      <c r="F274" s="184">
        <f t="shared" ref="F274:K274" si="78">F$273/$L$273</f>
        <v>0.37796990881956277</v>
      </c>
      <c r="G274" s="184">
        <f t="shared" si="78"/>
        <v>6.7404805145933111E-2</v>
      </c>
      <c r="H274" s="184">
        <f t="shared" si="78"/>
        <v>9.9104089679851728E-4</v>
      </c>
      <c r="I274" s="184">
        <f t="shared" si="78"/>
        <v>0.31659315667561877</v>
      </c>
      <c r="J274" s="184">
        <f t="shared" si="78"/>
        <v>0.23498654848971445</v>
      </c>
      <c r="K274" s="184">
        <f t="shared" si="78"/>
        <v>1.6548513088050711E-3</v>
      </c>
      <c r="L274" s="896">
        <f>SUM(E274:K274)</f>
        <v>1</v>
      </c>
      <c r="N274" s="119"/>
      <c r="O274" s="119"/>
      <c r="P274" s="119"/>
      <c r="Q274" s="119"/>
      <c r="R274" s="119"/>
      <c r="T274" s="154"/>
      <c r="W274" s="122"/>
      <c r="X274" s="184">
        <f>X273/$AE$273</f>
        <v>3.9968866356732651E-4</v>
      </c>
      <c r="Y274" s="184">
        <f t="shared" ref="Y274:AD274" si="79">Y273/$AE$273</f>
        <v>0.37796990881956277</v>
      </c>
      <c r="Z274" s="184">
        <f t="shared" si="79"/>
        <v>6.7404805145933111E-2</v>
      </c>
      <c r="AA274" s="184">
        <f t="shared" si="79"/>
        <v>9.9104089679851728E-4</v>
      </c>
      <c r="AB274" s="184">
        <f t="shared" si="79"/>
        <v>0.31659315667561877</v>
      </c>
      <c r="AC274" s="184">
        <f t="shared" si="79"/>
        <v>0.23498654848971445</v>
      </c>
      <c r="AD274" s="184">
        <f t="shared" si="79"/>
        <v>1.6548513088050711E-3</v>
      </c>
      <c r="AE274" s="185">
        <f>SUM(X274:AD274)</f>
        <v>1</v>
      </c>
      <c r="AJ274" s="166"/>
    </row>
    <row r="275" spans="3:36" s="153" customFormat="1" x14ac:dyDescent="0.3">
      <c r="C275" s="163"/>
      <c r="D275" s="897"/>
      <c r="E275" s="209"/>
      <c r="F275" s="135"/>
      <c r="G275" s="135"/>
      <c r="H275" s="135"/>
      <c r="I275" s="135"/>
      <c r="J275" s="135"/>
      <c r="K275" s="135"/>
      <c r="L275" s="898"/>
      <c r="N275" s="119"/>
      <c r="O275" s="119"/>
      <c r="P275" s="119"/>
      <c r="Q275" s="119"/>
      <c r="R275" s="119"/>
      <c r="T275" s="154"/>
      <c r="W275" s="122"/>
      <c r="X275" s="119"/>
      <c r="Y275" s="119"/>
      <c r="Z275" s="119"/>
      <c r="AA275" s="119"/>
      <c r="AB275" s="119"/>
      <c r="AC275" s="119"/>
      <c r="AD275" s="119"/>
      <c r="AE275" s="119"/>
      <c r="AJ275" s="166"/>
    </row>
    <row r="276" spans="3:36" s="169" customFormat="1" ht="26.25" customHeight="1" thickBot="1" x14ac:dyDescent="0.35">
      <c r="C276" s="168"/>
      <c r="D276" s="1323" t="s">
        <v>228</v>
      </c>
      <c r="E276" s="1324"/>
      <c r="F276" s="1324"/>
      <c r="G276" s="1324"/>
      <c r="H276" s="1324"/>
      <c r="I276" s="1324"/>
      <c r="J276" s="1324"/>
      <c r="K276" s="1324"/>
      <c r="L276" s="1325"/>
      <c r="M276" s="153"/>
      <c r="T276" s="170"/>
      <c r="W276" s="1326" t="s">
        <v>232</v>
      </c>
      <c r="X276" s="1327"/>
      <c r="Y276" s="1327"/>
      <c r="Z276" s="1327"/>
      <c r="AA276" s="1327"/>
      <c r="AB276" s="1327"/>
      <c r="AC276" s="1327"/>
      <c r="AD276" s="1327"/>
      <c r="AE276" s="1328"/>
      <c r="AJ276" s="171"/>
    </row>
    <row r="277" spans="3:36" s="153" customFormat="1" ht="15" thickBot="1" x14ac:dyDescent="0.35">
      <c r="C277" s="1309" t="s">
        <v>230</v>
      </c>
      <c r="D277" s="899" t="s">
        <v>48</v>
      </c>
      <c r="E277" s="175" t="s">
        <v>30</v>
      </c>
      <c r="F277" s="176" t="s">
        <v>31</v>
      </c>
      <c r="G277" s="175" t="s">
        <v>32</v>
      </c>
      <c r="H277" s="176" t="s">
        <v>33</v>
      </c>
      <c r="I277" s="175" t="s">
        <v>34</v>
      </c>
      <c r="J277" s="172" t="s">
        <v>35</v>
      </c>
      <c r="K277" s="173" t="s">
        <v>3038</v>
      </c>
      <c r="L277" s="890" t="s">
        <v>25</v>
      </c>
      <c r="T277" s="154"/>
      <c r="W277" s="174" t="s">
        <v>51</v>
      </c>
      <c r="X277" s="175" t="s">
        <v>30</v>
      </c>
      <c r="Y277" s="176" t="s">
        <v>31</v>
      </c>
      <c r="Z277" s="175" t="s">
        <v>32</v>
      </c>
      <c r="AA277" s="176" t="s">
        <v>33</v>
      </c>
      <c r="AB277" s="175" t="s">
        <v>34</v>
      </c>
      <c r="AC277" s="172" t="s">
        <v>35</v>
      </c>
      <c r="AD277" s="172" t="s">
        <v>231</v>
      </c>
      <c r="AE277" s="173" t="s">
        <v>25</v>
      </c>
      <c r="AJ277" s="166"/>
    </row>
    <row r="278" spans="3:36" s="153" customFormat="1" ht="15" thickBot="1" x14ac:dyDescent="0.35">
      <c r="C278" s="1309"/>
      <c r="D278" s="900" t="s">
        <v>30</v>
      </c>
      <c r="E278" s="126">
        <f>E267/$L$267</f>
        <v>1.363418912454154E-2</v>
      </c>
      <c r="F278" s="126">
        <f t="shared" ref="F278:K278" si="80">F267/$L$267</f>
        <v>1.9614096635305375E-2</v>
      </c>
      <c r="G278" s="126">
        <f t="shared" si="80"/>
        <v>0.44865252750757456</v>
      </c>
      <c r="H278" s="126">
        <f t="shared" si="80"/>
        <v>0</v>
      </c>
      <c r="I278" s="126">
        <f t="shared" si="80"/>
        <v>0.51538829532769892</v>
      </c>
      <c r="J278" s="126">
        <f t="shared" si="80"/>
        <v>2.7108914048796047E-3</v>
      </c>
      <c r="K278" s="1127">
        <f t="shared" si="80"/>
        <v>0</v>
      </c>
      <c r="L278" s="1246">
        <f>SUM(E278:K278)</f>
        <v>0.99999999999999989</v>
      </c>
      <c r="T278" s="154"/>
      <c r="W278" s="178" t="s">
        <v>30</v>
      </c>
      <c r="X278" s="126">
        <f t="shared" ref="X278:X283" si="81">E278</f>
        <v>1.363418912454154E-2</v>
      </c>
      <c r="Y278" s="126">
        <f t="shared" ref="Y278:Y283" si="82">F278</f>
        <v>1.9614096635305375E-2</v>
      </c>
      <c r="Z278" s="126">
        <f t="shared" ref="Z278:Z283" si="83">G278</f>
        <v>0.44865252750757456</v>
      </c>
      <c r="AA278" s="126">
        <f t="shared" ref="AA278:AA283" si="84">H278</f>
        <v>0</v>
      </c>
      <c r="AB278" s="126">
        <f t="shared" ref="AB278:AB283" si="85">I278</f>
        <v>0.51538829532769892</v>
      </c>
      <c r="AC278" s="126">
        <f t="shared" ref="AC278:AC283" si="86">J278</f>
        <v>2.7108914048796047E-3</v>
      </c>
      <c r="AD278" s="126">
        <f t="shared" ref="AD278:AD283" si="87">K278</f>
        <v>0</v>
      </c>
      <c r="AE278" s="187">
        <f t="shared" ref="AE278:AE283" si="88">SUM(X278:AD278)</f>
        <v>0.99999999999999989</v>
      </c>
      <c r="AJ278" s="166"/>
    </row>
    <row r="279" spans="3:36" s="153" customFormat="1" ht="15" thickBot="1" x14ac:dyDescent="0.35">
      <c r="C279" s="1309"/>
      <c r="D279" s="901" t="s">
        <v>31</v>
      </c>
      <c r="E279" s="188">
        <f>E268/$L$268</f>
        <v>0</v>
      </c>
      <c r="F279" s="188">
        <f t="shared" ref="F279:K279" si="89">F268/$L$268</f>
        <v>0.99596346130107394</v>
      </c>
      <c r="G279" s="188">
        <f t="shared" si="89"/>
        <v>2.0120972719417356E-3</v>
      </c>
      <c r="H279" s="188">
        <f t="shared" si="89"/>
        <v>0</v>
      </c>
      <c r="I279" s="188">
        <f t="shared" si="89"/>
        <v>2.024441426984323E-3</v>
      </c>
      <c r="J279" s="188">
        <f t="shared" si="89"/>
        <v>0</v>
      </c>
      <c r="K279" s="592">
        <f t="shared" si="89"/>
        <v>0</v>
      </c>
      <c r="L279" s="1247">
        <f>SUM(E279:K279)</f>
        <v>1</v>
      </c>
      <c r="T279" s="154"/>
      <c r="W279" s="180" t="s">
        <v>31</v>
      </c>
      <c r="X279" s="188">
        <f t="shared" si="81"/>
        <v>0</v>
      </c>
      <c r="Y279" s="188">
        <f t="shared" si="82"/>
        <v>0.99596346130107394</v>
      </c>
      <c r="Z279" s="188">
        <f t="shared" si="83"/>
        <v>2.0120972719417356E-3</v>
      </c>
      <c r="AA279" s="188">
        <f t="shared" si="84"/>
        <v>0</v>
      </c>
      <c r="AB279" s="188">
        <f t="shared" si="85"/>
        <v>2.024441426984323E-3</v>
      </c>
      <c r="AC279" s="188">
        <f t="shared" si="86"/>
        <v>0</v>
      </c>
      <c r="AD279" s="188">
        <f t="shared" si="87"/>
        <v>0</v>
      </c>
      <c r="AE279" s="189">
        <f t="shared" si="88"/>
        <v>1</v>
      </c>
      <c r="AJ279" s="166"/>
    </row>
    <row r="280" spans="3:36" s="153" customFormat="1" ht="15" thickBot="1" x14ac:dyDescent="0.35">
      <c r="C280" s="1309"/>
      <c r="D280" s="900" t="s">
        <v>32</v>
      </c>
      <c r="E280" s="126">
        <f>E269/$L$269</f>
        <v>0</v>
      </c>
      <c r="F280" s="126">
        <f t="shared" ref="F280:K280" si="90">F269/$L$269</f>
        <v>0</v>
      </c>
      <c r="G280" s="126">
        <f t="shared" si="90"/>
        <v>1</v>
      </c>
      <c r="H280" s="126">
        <f t="shared" si="90"/>
        <v>0</v>
      </c>
      <c r="I280" s="126">
        <f t="shared" si="90"/>
        <v>0</v>
      </c>
      <c r="J280" s="126">
        <f t="shared" si="90"/>
        <v>0</v>
      </c>
      <c r="K280" s="591">
        <f t="shared" si="90"/>
        <v>0</v>
      </c>
      <c r="L280" s="1246">
        <f>SUM(E280:K280)</f>
        <v>1</v>
      </c>
      <c r="T280" s="154"/>
      <c r="W280" s="178" t="s">
        <v>32</v>
      </c>
      <c r="X280" s="126">
        <f t="shared" si="81"/>
        <v>0</v>
      </c>
      <c r="Y280" s="126">
        <f t="shared" si="82"/>
        <v>0</v>
      </c>
      <c r="Z280" s="126">
        <f t="shared" si="83"/>
        <v>1</v>
      </c>
      <c r="AA280" s="126">
        <f t="shared" si="84"/>
        <v>0</v>
      </c>
      <c r="AB280" s="126">
        <f t="shared" si="85"/>
        <v>0</v>
      </c>
      <c r="AC280" s="126">
        <f t="shared" si="86"/>
        <v>0</v>
      </c>
      <c r="AD280" s="126">
        <f t="shared" si="87"/>
        <v>0</v>
      </c>
      <c r="AE280" s="187">
        <f t="shared" si="88"/>
        <v>1</v>
      </c>
      <c r="AJ280" s="166"/>
    </row>
    <row r="281" spans="3:36" s="153" customFormat="1" ht="15" thickBot="1" x14ac:dyDescent="0.35">
      <c r="C281" s="1309"/>
      <c r="D281" s="901" t="s">
        <v>33</v>
      </c>
      <c r="E281" s="188">
        <f>E270/$L$270</f>
        <v>0</v>
      </c>
      <c r="F281" s="188">
        <f t="shared" ref="F281:K281" si="91">F270/$L$270</f>
        <v>1.4472075010191602E-2</v>
      </c>
      <c r="G281" s="188">
        <f t="shared" si="91"/>
        <v>6.9506726457399109E-2</v>
      </c>
      <c r="H281" s="188">
        <f t="shared" si="91"/>
        <v>8.6424785976355487E-2</v>
      </c>
      <c r="I281" s="188">
        <f t="shared" si="91"/>
        <v>0.67998369343660825</v>
      </c>
      <c r="J281" s="188">
        <f t="shared" si="91"/>
        <v>5.2996331023236849E-3</v>
      </c>
      <c r="K281" s="1128">
        <f t="shared" si="91"/>
        <v>0.14431308601712189</v>
      </c>
      <c r="L281" s="1247">
        <f>SUM(E281:K281)</f>
        <v>1</v>
      </c>
      <c r="T281" s="154"/>
      <c r="W281" s="180" t="s">
        <v>33</v>
      </c>
      <c r="X281" s="188">
        <f t="shared" si="81"/>
        <v>0</v>
      </c>
      <c r="Y281" s="188">
        <f t="shared" si="82"/>
        <v>1.4472075010191602E-2</v>
      </c>
      <c r="Z281" s="188">
        <f t="shared" si="83"/>
        <v>6.9506726457399109E-2</v>
      </c>
      <c r="AA281" s="188">
        <f t="shared" si="84"/>
        <v>8.6424785976355487E-2</v>
      </c>
      <c r="AB281" s="188">
        <f t="shared" si="85"/>
        <v>0.67998369343660825</v>
      </c>
      <c r="AC281" s="188">
        <f t="shared" si="86"/>
        <v>5.2996331023236849E-3</v>
      </c>
      <c r="AD281" s="188">
        <f t="shared" si="87"/>
        <v>0.14431308601712189</v>
      </c>
      <c r="AE281" s="189">
        <f t="shared" si="88"/>
        <v>1</v>
      </c>
      <c r="AJ281" s="166"/>
    </row>
    <row r="282" spans="3:36" s="153" customFormat="1" ht="15" thickBot="1" x14ac:dyDescent="0.35">
      <c r="C282" s="1309"/>
      <c r="D282" s="900" t="s">
        <v>34</v>
      </c>
      <c r="E282" s="126">
        <f>E271/$L$271</f>
        <v>0</v>
      </c>
      <c r="F282" s="126">
        <f t="shared" ref="F282:K282" si="92">F271/$L$271</f>
        <v>1.9992802591067217E-4</v>
      </c>
      <c r="G282" s="126">
        <f t="shared" si="92"/>
        <v>0</v>
      </c>
      <c r="H282" s="126">
        <f t="shared" si="92"/>
        <v>0</v>
      </c>
      <c r="I282" s="126">
        <f t="shared" si="92"/>
        <v>0.99980007197408938</v>
      </c>
      <c r="J282" s="126">
        <f t="shared" si="92"/>
        <v>0</v>
      </c>
      <c r="K282" s="591">
        <f t="shared" si="92"/>
        <v>0</v>
      </c>
      <c r="L282" s="1246">
        <f>SUM(E282:K282)</f>
        <v>1</v>
      </c>
      <c r="T282" s="154"/>
      <c r="W282" s="178" t="s">
        <v>34</v>
      </c>
      <c r="X282" s="126">
        <f t="shared" si="81"/>
        <v>0</v>
      </c>
      <c r="Y282" s="126">
        <f t="shared" si="82"/>
        <v>1.9992802591067217E-4</v>
      </c>
      <c r="Z282" s="126">
        <f t="shared" si="83"/>
        <v>0</v>
      </c>
      <c r="AA282" s="126">
        <f t="shared" si="84"/>
        <v>0</v>
      </c>
      <c r="AB282" s="126">
        <f t="shared" si="85"/>
        <v>0.99980007197408938</v>
      </c>
      <c r="AC282" s="126">
        <f t="shared" si="86"/>
        <v>0</v>
      </c>
      <c r="AD282" s="126">
        <f t="shared" si="87"/>
        <v>0</v>
      </c>
      <c r="AE282" s="187">
        <f t="shared" si="88"/>
        <v>1</v>
      </c>
      <c r="AJ282" s="166"/>
    </row>
    <row r="283" spans="3:36" s="153" customFormat="1" ht="15" thickBot="1" x14ac:dyDescent="0.35">
      <c r="C283" s="1309"/>
      <c r="D283" s="902" t="s">
        <v>35</v>
      </c>
      <c r="E283" s="903">
        <f>E272/$L$272</f>
        <v>0</v>
      </c>
      <c r="F283" s="903">
        <f t="shared" ref="F283:K283" si="93">F272/$L$272</f>
        <v>0</v>
      </c>
      <c r="G283" s="903">
        <f t="shared" si="93"/>
        <v>0</v>
      </c>
      <c r="H283" s="903">
        <f t="shared" si="93"/>
        <v>0</v>
      </c>
      <c r="I283" s="903">
        <f t="shared" si="93"/>
        <v>2.9868222592680797E-3</v>
      </c>
      <c r="J283" s="903">
        <f t="shared" si="93"/>
        <v>0.99701317774073195</v>
      </c>
      <c r="K283" s="904">
        <f t="shared" si="93"/>
        <v>0</v>
      </c>
      <c r="L283" s="1248">
        <f>SUM(F283:K283)</f>
        <v>1</v>
      </c>
      <c r="T283" s="154"/>
      <c r="W283" s="192" t="s">
        <v>35</v>
      </c>
      <c r="X283" s="190">
        <f t="shared" si="81"/>
        <v>0</v>
      </c>
      <c r="Y283" s="190">
        <f t="shared" si="82"/>
        <v>0</v>
      </c>
      <c r="Z283" s="190">
        <f t="shared" si="83"/>
        <v>0</v>
      </c>
      <c r="AA283" s="190">
        <f t="shared" si="84"/>
        <v>0</v>
      </c>
      <c r="AB283" s="190">
        <f t="shared" si="85"/>
        <v>2.9868222592680797E-3</v>
      </c>
      <c r="AC283" s="190">
        <f t="shared" si="86"/>
        <v>0.99701317774073195</v>
      </c>
      <c r="AD283" s="190">
        <f t="shared" si="87"/>
        <v>0</v>
      </c>
      <c r="AE283" s="191">
        <f t="shared" si="88"/>
        <v>1</v>
      </c>
      <c r="AJ283" s="166"/>
    </row>
    <row r="284" spans="3:36" s="153" customFormat="1" x14ac:dyDescent="0.3">
      <c r="C284" s="163"/>
      <c r="D284" s="124"/>
      <c r="E284" s="122"/>
      <c r="F284" s="123"/>
      <c r="G284" s="123"/>
      <c r="H284" s="123"/>
      <c r="I284" s="123"/>
      <c r="J284" s="123"/>
      <c r="K284" s="123"/>
      <c r="L284" s="123"/>
      <c r="M284" s="193"/>
      <c r="N284" s="123"/>
      <c r="O284" s="123"/>
      <c r="P284" s="123"/>
      <c r="Q284" s="123"/>
      <c r="R284" s="123"/>
      <c r="T284" s="154"/>
      <c r="AJ284" s="166"/>
    </row>
    <row r="285" spans="3:36" s="153" customFormat="1" x14ac:dyDescent="0.3">
      <c r="C285" s="163"/>
      <c r="D285" s="124"/>
      <c r="E285" s="122"/>
      <c r="F285" s="123"/>
      <c r="G285" s="122"/>
      <c r="H285" s="123"/>
      <c r="I285" s="122"/>
      <c r="J285" s="122"/>
      <c r="K285" s="122"/>
      <c r="L285" s="123"/>
      <c r="T285" s="154"/>
      <c r="AJ285" s="166"/>
    </row>
    <row r="286" spans="3:36" s="153" customFormat="1" x14ac:dyDescent="0.3">
      <c r="C286" s="163"/>
      <c r="D286" s="124"/>
      <c r="E286" s="122"/>
      <c r="F286" s="123"/>
      <c r="G286" s="122"/>
      <c r="H286" s="123"/>
      <c r="I286" s="122"/>
      <c r="J286" s="122"/>
      <c r="K286" s="122"/>
      <c r="L286" s="123"/>
      <c r="T286" s="154"/>
      <c r="AJ286" s="166"/>
    </row>
    <row r="287" spans="3:36" s="153" customFormat="1" x14ac:dyDescent="0.3">
      <c r="C287" s="194"/>
      <c r="D287" s="195" t="s">
        <v>233</v>
      </c>
      <c r="E287" s="123"/>
      <c r="F287" s="122"/>
      <c r="G287" s="123"/>
      <c r="H287" s="122"/>
      <c r="I287" s="123"/>
      <c r="J287" s="123"/>
      <c r="K287" s="123"/>
      <c r="T287" s="154"/>
      <c r="W287" s="195" t="s">
        <v>234</v>
      </c>
      <c r="X287" s="123"/>
      <c r="Y287" s="122"/>
      <c r="Z287" s="123"/>
      <c r="AA287" s="122"/>
      <c r="AB287" s="123"/>
      <c r="AJ287" s="166"/>
    </row>
    <row r="288" spans="3:36" s="153" customFormat="1" x14ac:dyDescent="0.3">
      <c r="C288" s="194"/>
      <c r="D288" s="167"/>
      <c r="E288" s="123"/>
      <c r="F288" s="122"/>
      <c r="G288" s="123"/>
      <c r="H288" s="122"/>
      <c r="I288" s="123"/>
      <c r="J288" s="123"/>
      <c r="K288" s="123"/>
      <c r="T288" s="154"/>
      <c r="W288" s="122"/>
      <c r="X288" s="123"/>
      <c r="Y288" s="122"/>
      <c r="Z288" s="123"/>
      <c r="AA288" s="122"/>
      <c r="AB288" s="123"/>
      <c r="AJ288" s="166"/>
    </row>
    <row r="289" spans="3:36" s="169" customFormat="1" ht="23.25" customHeight="1" thickBot="1" x14ac:dyDescent="0.35">
      <c r="C289" s="196"/>
      <c r="D289" s="1331" t="s">
        <v>235</v>
      </c>
      <c r="E289" s="1332"/>
      <c r="F289" s="1332"/>
      <c r="G289" s="1332"/>
      <c r="H289" s="1332"/>
      <c r="I289" s="1332"/>
      <c r="J289" s="1332"/>
      <c r="K289" s="1333"/>
      <c r="L289" s="153"/>
      <c r="M289" s="153"/>
      <c r="T289" s="170"/>
      <c r="W289" s="1326" t="s">
        <v>236</v>
      </c>
      <c r="X289" s="1327"/>
      <c r="Y289" s="1327"/>
      <c r="Z289" s="1327"/>
      <c r="AA289" s="1327"/>
      <c r="AB289" s="1327"/>
      <c r="AC289" s="1327"/>
      <c r="AD289" s="1328"/>
      <c r="AE289" s="153"/>
      <c r="AJ289" s="171"/>
    </row>
    <row r="290" spans="3:36" s="153" customFormat="1" ht="15" thickBot="1" x14ac:dyDescent="0.35">
      <c r="C290" s="194"/>
      <c r="D290" s="899" t="s">
        <v>237</v>
      </c>
      <c r="E290" s="175" t="s">
        <v>30</v>
      </c>
      <c r="F290" s="176" t="s">
        <v>31</v>
      </c>
      <c r="G290" s="175" t="s">
        <v>32</v>
      </c>
      <c r="H290" s="176" t="s">
        <v>33</v>
      </c>
      <c r="I290" s="175" t="s">
        <v>34</v>
      </c>
      <c r="J290" s="172" t="s">
        <v>35</v>
      </c>
      <c r="K290" s="890" t="s">
        <v>25</v>
      </c>
      <c r="T290" s="154"/>
      <c r="W290" s="174" t="s">
        <v>136</v>
      </c>
      <c r="X290" s="175" t="s">
        <v>30</v>
      </c>
      <c r="Y290" s="176" t="s">
        <v>31</v>
      </c>
      <c r="Z290" s="175" t="s">
        <v>32</v>
      </c>
      <c r="AA290" s="176" t="s">
        <v>33</v>
      </c>
      <c r="AB290" s="175" t="s">
        <v>34</v>
      </c>
      <c r="AC290" s="172" t="s">
        <v>35</v>
      </c>
      <c r="AD290" s="173" t="s">
        <v>25</v>
      </c>
      <c r="AJ290" s="166"/>
    </row>
    <row r="291" spans="3:36" s="153" customFormat="1" ht="15" thickBot="1" x14ac:dyDescent="0.35">
      <c r="C291" s="105"/>
      <c r="D291" s="1257" t="str">
        <f>$D$121</f>
        <v>Avant 2020</v>
      </c>
      <c r="E291" s="1011">
        <f>SUMIFS(DisplacementP[Individus],DisplacementP[adm2_name],E$290,DisplacementP[période],$D291,DisplacementP[Statut déplacé],"idp")</f>
        <v>5789</v>
      </c>
      <c r="F291" s="1011">
        <f>SUMIFS(DisplacementP[Individus],DisplacementP[adm2_name],F$290,DisplacementP[période],$D291,DisplacementP[Statut déplacé],"idp")</f>
        <v>79382</v>
      </c>
      <c r="G291" s="1011">
        <f>SUMIFS(DisplacementP[Individus],DisplacementP[adm2_name],G$290,DisplacementP[période],$D291,DisplacementP[Statut déplacé],"idp")</f>
        <v>10120</v>
      </c>
      <c r="H291" s="1011">
        <f>SUMIFS(DisplacementP[Individus],DisplacementP[adm2_name],H$290,DisplacementP[période],$D291,DisplacementP[Statut déplacé],"idp")</f>
        <v>1655</v>
      </c>
      <c r="I291" s="1011">
        <f>SUMIFS(DisplacementP[Individus],DisplacementP[adm2_name],I$290,DisplacementP[période],$D291,DisplacementP[Statut déplacé],"idp")</f>
        <v>63355</v>
      </c>
      <c r="J291" s="1011">
        <f>SUMIFS(DisplacementP[Individus],DisplacementP[adm2_name],J$290,DisplacementP[période],$D291,DisplacementP[Statut déplacé],"idp")</f>
        <v>37646</v>
      </c>
      <c r="K291" s="905">
        <f>SUM($E291:$J291)</f>
        <v>197947</v>
      </c>
      <c r="T291" s="154"/>
      <c r="V291" s="198"/>
      <c r="W291" s="199" t="str">
        <f>$W$121</f>
        <v>Before 2020</v>
      </c>
      <c r="X291" s="178">
        <f t="shared" ref="X291:AC295" si="94">E291</f>
        <v>5789</v>
      </c>
      <c r="Y291" s="178">
        <f t="shared" si="94"/>
        <v>79382</v>
      </c>
      <c r="Z291" s="178">
        <f t="shared" si="94"/>
        <v>10120</v>
      </c>
      <c r="AA291" s="178">
        <f t="shared" si="94"/>
        <v>1655</v>
      </c>
      <c r="AB291" s="178">
        <f t="shared" si="94"/>
        <v>63355</v>
      </c>
      <c r="AC291" s="178">
        <f t="shared" si="94"/>
        <v>37646</v>
      </c>
      <c r="AD291" s="179">
        <f>SUM($X291:$AC291)</f>
        <v>197947</v>
      </c>
      <c r="AJ291" s="166"/>
    </row>
    <row r="292" spans="3:36" s="153" customFormat="1" ht="15" thickBot="1" x14ac:dyDescent="0.35">
      <c r="C292" s="105"/>
      <c r="D292" s="906" t="str">
        <f>$D$122</f>
        <v>En 2020</v>
      </c>
      <c r="E292" s="1012">
        <f>SUMIFS(DisplacementP[Individus],DisplacementP[adm2_name],E$290,DisplacementP[période],$D292,DisplacementP[Statut déplacé],"idp")</f>
        <v>47</v>
      </c>
      <c r="F292" s="1012">
        <f>SUMIFS(DisplacementP[Individus],DisplacementP[adm2_name],F$290,DisplacementP[période],$D292,DisplacementP[Statut déplacé],"idp")</f>
        <v>9028</v>
      </c>
      <c r="G292" s="1012">
        <f>SUMIFS(DisplacementP[Individus],DisplacementP[adm2_name],G$290,DisplacementP[période],$D292,DisplacementP[Statut déplacé],"idp")</f>
        <v>660</v>
      </c>
      <c r="H292" s="1012">
        <f>SUMIFS(DisplacementP[Individus],DisplacementP[adm2_name],H$290,DisplacementP[période],$D292,DisplacementP[Statut déplacé],"idp")</f>
        <v>2717</v>
      </c>
      <c r="I292" s="1012">
        <f>SUMIFS(DisplacementP[Individus],DisplacementP[adm2_name],I$290,DisplacementP[période],$D292,DisplacementP[Statut déplacé],"idp")</f>
        <v>30229</v>
      </c>
      <c r="J292" s="1012">
        <f>SUMIFS(DisplacementP[Individus],DisplacementP[adm2_name],J$290,DisplacementP[période],$D292,DisplacementP[Statut déplacé],"idp")</f>
        <v>8937</v>
      </c>
      <c r="K292" s="907">
        <f>SUM($E292:$J292)</f>
        <v>51618</v>
      </c>
      <c r="T292" s="154"/>
      <c r="V292" s="198"/>
      <c r="W292" s="200">
        <f>$W$122</f>
        <v>2020</v>
      </c>
      <c r="X292" s="180">
        <f t="shared" si="94"/>
        <v>47</v>
      </c>
      <c r="Y292" s="180">
        <f t="shared" si="94"/>
        <v>9028</v>
      </c>
      <c r="Z292" s="180">
        <f t="shared" si="94"/>
        <v>660</v>
      </c>
      <c r="AA292" s="180">
        <f t="shared" si="94"/>
        <v>2717</v>
      </c>
      <c r="AB292" s="180">
        <f t="shared" si="94"/>
        <v>30229</v>
      </c>
      <c r="AC292" s="180">
        <f t="shared" si="94"/>
        <v>8937</v>
      </c>
      <c r="AD292" s="181">
        <f>SUM($X292:$AC292)</f>
        <v>51618</v>
      </c>
      <c r="AJ292" s="166"/>
    </row>
    <row r="293" spans="3:36" s="153" customFormat="1" ht="15" thickBot="1" x14ac:dyDescent="0.35">
      <c r="C293" s="105"/>
      <c r="D293" s="1257" t="str">
        <f>$D$123</f>
        <v>En 2021</v>
      </c>
      <c r="E293" s="1011">
        <f>SUMIFS(DisplacementP[Individus],DisplacementP[adm2_name],E$290,DisplacementP[période],$D293,DisplacementP[Statut déplacé],"idp")</f>
        <v>5563</v>
      </c>
      <c r="F293" s="1011">
        <f>SUMIFS(DisplacementP[Individus],DisplacementP[adm2_name],F$290,DisplacementP[période],$D293,DisplacementP[Statut déplacé],"idp")</f>
        <v>4926</v>
      </c>
      <c r="G293" s="1011">
        <f>SUMIFS(DisplacementP[Individus],DisplacementP[adm2_name],G$290,DisplacementP[période],$D293,DisplacementP[Statut déplacé],"idp")</f>
        <v>243</v>
      </c>
      <c r="H293" s="1011">
        <f>SUMIFS(DisplacementP[Individus],DisplacementP[adm2_name],H$290,DisplacementP[période],$D293,DisplacementP[Statut déplacé],"idp")</f>
        <v>61</v>
      </c>
      <c r="I293" s="1011">
        <f>SUMIFS(DisplacementP[Individus],DisplacementP[adm2_name],I$290,DisplacementP[période],$D293,DisplacementP[Statut déplacé],"idp")</f>
        <v>16487</v>
      </c>
      <c r="J293" s="1011">
        <f>SUMIFS(DisplacementP[Individus],DisplacementP[adm2_name],J$290,DisplacementP[période],$D293,DisplacementP[Statut déplacé],"idp")</f>
        <v>10973</v>
      </c>
      <c r="K293" s="905">
        <f>SUM($E293:$J293)</f>
        <v>38253</v>
      </c>
      <c r="T293" s="154"/>
      <c r="V293" s="198"/>
      <c r="W293" s="199">
        <f>$W$123</f>
        <v>2021</v>
      </c>
      <c r="X293" s="178">
        <f t="shared" si="94"/>
        <v>5563</v>
      </c>
      <c r="Y293" s="178">
        <f t="shared" si="94"/>
        <v>4926</v>
      </c>
      <c r="Z293" s="178">
        <f t="shared" si="94"/>
        <v>243</v>
      </c>
      <c r="AA293" s="178">
        <f t="shared" si="94"/>
        <v>61</v>
      </c>
      <c r="AB293" s="178">
        <f t="shared" si="94"/>
        <v>16487</v>
      </c>
      <c r="AC293" s="178">
        <f t="shared" si="94"/>
        <v>10973</v>
      </c>
      <c r="AD293" s="179">
        <f>SUM($X293:$AC293)</f>
        <v>38253</v>
      </c>
      <c r="AJ293" s="166"/>
    </row>
    <row r="294" spans="3:36" s="153" customFormat="1" ht="15" thickBot="1" x14ac:dyDescent="0.35">
      <c r="C294" s="105"/>
      <c r="D294" s="906" t="str">
        <f>$D$124</f>
        <v>Janvier - Aout 2022</v>
      </c>
      <c r="E294" s="1012">
        <f>SUMIFS(DisplacementP[Individus],DisplacementP[adm2_name],E$290,DisplacementP[période],$D294,DisplacementP[Statut déplacé],"idp")</f>
        <v>1078</v>
      </c>
      <c r="F294" s="1012">
        <f>SUMIFS(DisplacementP[Individus],DisplacementP[adm2_name],F$290,DisplacementP[période],$D294,DisplacementP[Statut déplacé],"idp")</f>
        <v>30659</v>
      </c>
      <c r="G294" s="1012">
        <f>SUMIFS(DisplacementP[Individus],DisplacementP[adm2_name],G$290,DisplacementP[période],$D294,DisplacementP[Statut déplacé],"idp")</f>
        <v>684</v>
      </c>
      <c r="H294" s="1012">
        <f>SUMIFS(DisplacementP[Individus],DisplacementP[adm2_name],H$290,DisplacementP[période],$D294,DisplacementP[Statut déplacé],"idp")</f>
        <v>213</v>
      </c>
      <c r="I294" s="1012">
        <f>SUMIFS(DisplacementP[Individus],DisplacementP[adm2_name],I$290,DisplacementP[période],$D294,DisplacementP[Statut déplacé],"idp")</f>
        <v>9235</v>
      </c>
      <c r="J294" s="1012">
        <f>SUMIFS(DisplacementP[Individus],DisplacementP[adm2_name],J$290,DisplacementP[période],$D294,DisplacementP[Statut déplacé],"idp")</f>
        <v>27563</v>
      </c>
      <c r="K294" s="907">
        <f>SUM($E294:$J294)</f>
        <v>69432</v>
      </c>
      <c r="T294" s="154"/>
      <c r="V294" s="198"/>
      <c r="W294" s="200" t="str">
        <f>$W$124</f>
        <v>January - August 2022</v>
      </c>
      <c r="X294" s="180">
        <f t="shared" si="94"/>
        <v>1078</v>
      </c>
      <c r="Y294" s="180">
        <f t="shared" si="94"/>
        <v>30659</v>
      </c>
      <c r="Z294" s="180">
        <f t="shared" si="94"/>
        <v>684</v>
      </c>
      <c r="AA294" s="180">
        <f t="shared" si="94"/>
        <v>213</v>
      </c>
      <c r="AB294" s="180">
        <f t="shared" si="94"/>
        <v>9235</v>
      </c>
      <c r="AC294" s="180">
        <f t="shared" si="94"/>
        <v>27563</v>
      </c>
      <c r="AD294" s="181">
        <f>SUM($X294:$AC294)</f>
        <v>69432</v>
      </c>
      <c r="AJ294" s="166"/>
    </row>
    <row r="295" spans="3:36" s="153" customFormat="1" ht="29.4" thickBot="1" x14ac:dyDescent="0.35">
      <c r="C295" s="105"/>
      <c r="D295" s="1257" t="str">
        <f>$D$125</f>
        <v>Septembre 2022 – Février 2023</v>
      </c>
      <c r="E295" s="1011">
        <f>SUMIFS(DisplacementP[Individus],DisplacementP[adm2_name],E$290,DisplacementP[période],$D295,DisplacementP[Statut déplacé],"idp")</f>
        <v>65</v>
      </c>
      <c r="F295" s="1011">
        <f>SUMIFS(DisplacementP[Individus],DisplacementP[adm2_name],F$290,DisplacementP[période],$D295,DisplacementP[Statut déplacé],"idp")</f>
        <v>38025</v>
      </c>
      <c r="G295" s="1011">
        <f>SUMIFS(DisplacementP[Individus],DisplacementP[adm2_name],G$290,DisplacementP[période],$D295,DisplacementP[Statut déplacé],"idp")</f>
        <v>10837</v>
      </c>
      <c r="H295" s="1011">
        <f>SUMIFS(DisplacementP[Individus],DisplacementP[adm2_name],H$290,DisplacementP[période],$D295,DisplacementP[Statut déplacé],"idp")</f>
        <v>260</v>
      </c>
      <c r="I295" s="1011">
        <f>SUMIFS(DisplacementP[Individus],DisplacementP[adm2_name],I$290,DisplacementP[période],$D295,DisplacementP[Statut déplacé],"idp")</f>
        <v>5739</v>
      </c>
      <c r="J295" s="1011">
        <f>SUMIFS(DisplacementP[Individus],DisplacementP[adm2_name],J$290,DisplacementP[période],$D295,DisplacementP[Statut déplacé],"idp")</f>
        <v>15657</v>
      </c>
      <c r="K295" s="905">
        <f>SUM($E295:$J295)</f>
        <v>70583</v>
      </c>
      <c r="T295" s="154"/>
      <c r="V295" s="198"/>
      <c r="W295" s="199" t="str">
        <f>$W$125</f>
        <v>September 2022 - February 2023</v>
      </c>
      <c r="X295" s="178">
        <f t="shared" si="94"/>
        <v>65</v>
      </c>
      <c r="Y295" s="178">
        <f t="shared" si="94"/>
        <v>38025</v>
      </c>
      <c r="Z295" s="178">
        <f t="shared" si="94"/>
        <v>10837</v>
      </c>
      <c r="AA295" s="178">
        <f t="shared" si="94"/>
        <v>260</v>
      </c>
      <c r="AB295" s="178">
        <f t="shared" si="94"/>
        <v>5739</v>
      </c>
      <c r="AC295" s="178">
        <f t="shared" si="94"/>
        <v>15657</v>
      </c>
      <c r="AD295" s="179">
        <f>SUM($X295:$AC295)</f>
        <v>70583</v>
      </c>
      <c r="AJ295" s="166"/>
    </row>
    <row r="296" spans="3:36" s="153" customFormat="1" ht="15" thickBot="1" x14ac:dyDescent="0.35">
      <c r="C296" s="105"/>
      <c r="D296" s="908" t="s">
        <v>25</v>
      </c>
      <c r="E296" s="909">
        <f t="shared" ref="E296:K296" si="95">SUM(E291:E295)</f>
        <v>12542</v>
      </c>
      <c r="F296" s="909">
        <f t="shared" si="95"/>
        <v>162020</v>
      </c>
      <c r="G296" s="909">
        <f t="shared" si="95"/>
        <v>22544</v>
      </c>
      <c r="H296" s="909">
        <f t="shared" si="95"/>
        <v>4906</v>
      </c>
      <c r="I296" s="909">
        <f t="shared" si="95"/>
        <v>125045</v>
      </c>
      <c r="J296" s="909">
        <f t="shared" si="95"/>
        <v>100776</v>
      </c>
      <c r="K296" s="910">
        <f t="shared" si="95"/>
        <v>427833</v>
      </c>
      <c r="T296" s="154"/>
      <c r="W296" s="182" t="s">
        <v>25</v>
      </c>
      <c r="X296" s="182">
        <f t="shared" ref="X296:AD296" si="96">SUM(X291:X295)</f>
        <v>12542</v>
      </c>
      <c r="Y296" s="182">
        <f t="shared" si="96"/>
        <v>162020</v>
      </c>
      <c r="Z296" s="182">
        <f t="shared" si="96"/>
        <v>22544</v>
      </c>
      <c r="AA296" s="182">
        <f t="shared" si="96"/>
        <v>4906</v>
      </c>
      <c r="AB296" s="182">
        <f t="shared" si="96"/>
        <v>125045</v>
      </c>
      <c r="AC296" s="182">
        <f t="shared" si="96"/>
        <v>100776</v>
      </c>
      <c r="AD296" s="201">
        <f t="shared" si="96"/>
        <v>427833</v>
      </c>
      <c r="AJ296" s="166"/>
    </row>
    <row r="297" spans="3:36" s="153" customFormat="1" x14ac:dyDescent="0.3">
      <c r="C297" s="105"/>
      <c r="D297" s="202"/>
      <c r="E297" s="203"/>
      <c r="F297" s="203"/>
      <c r="G297" s="203"/>
      <c r="H297" s="203"/>
      <c r="I297" s="203"/>
      <c r="J297" s="203"/>
      <c r="K297" s="203"/>
      <c r="L297" s="203"/>
      <c r="M297" s="203"/>
      <c r="T297" s="154"/>
      <c r="W297" s="204"/>
      <c r="X297" s="203"/>
      <c r="Y297" s="203"/>
      <c r="Z297" s="203"/>
      <c r="AA297" s="203"/>
      <c r="AB297" s="203"/>
      <c r="AC297" s="203"/>
      <c r="AD297" s="203"/>
      <c r="AJ297" s="166"/>
    </row>
    <row r="298" spans="3:36" s="153" customFormat="1" ht="15" thickBot="1" x14ac:dyDescent="0.35">
      <c r="C298" s="194"/>
      <c r="D298" s="1306" t="s">
        <v>235</v>
      </c>
      <c r="E298" s="1307"/>
      <c r="F298" s="1307"/>
      <c r="G298" s="1307"/>
      <c r="H298" s="1307"/>
      <c r="I298" s="1307"/>
      <c r="J298" s="1307"/>
      <c r="K298" s="1308"/>
      <c r="L298" s="203"/>
      <c r="M298" s="203"/>
      <c r="T298" s="154"/>
      <c r="W298" s="1329" t="s">
        <v>236</v>
      </c>
      <c r="X298" s="1329"/>
      <c r="Y298" s="1329"/>
      <c r="Z298" s="1329"/>
      <c r="AA298" s="1329"/>
      <c r="AB298" s="1329"/>
      <c r="AC298" s="1330"/>
      <c r="AD298" s="580"/>
      <c r="AJ298" s="166"/>
    </row>
    <row r="299" spans="3:36" s="153" customFormat="1" ht="15" thickBot="1" x14ac:dyDescent="0.35">
      <c r="C299" s="194"/>
      <c r="D299" s="899" t="s">
        <v>237</v>
      </c>
      <c r="E299" s="175" t="s">
        <v>30</v>
      </c>
      <c r="F299" s="176" t="s">
        <v>31</v>
      </c>
      <c r="G299" s="175" t="s">
        <v>32</v>
      </c>
      <c r="H299" s="176" t="s">
        <v>33</v>
      </c>
      <c r="I299" s="175" t="s">
        <v>34</v>
      </c>
      <c r="J299" s="172" t="s">
        <v>35</v>
      </c>
      <c r="K299" s="890" t="s">
        <v>25</v>
      </c>
      <c r="L299" s="203"/>
      <c r="M299" s="203"/>
      <c r="T299" s="154"/>
      <c r="W299" s="174" t="s">
        <v>136</v>
      </c>
      <c r="X299" s="175" t="s">
        <v>30</v>
      </c>
      <c r="Y299" s="176" t="s">
        <v>31</v>
      </c>
      <c r="Z299" s="175" t="s">
        <v>32</v>
      </c>
      <c r="AA299" s="176" t="s">
        <v>33</v>
      </c>
      <c r="AB299" s="175" t="s">
        <v>34</v>
      </c>
      <c r="AC299" s="172" t="s">
        <v>35</v>
      </c>
      <c r="AD299" s="173" t="s">
        <v>25</v>
      </c>
      <c r="AJ299" s="166"/>
    </row>
    <row r="300" spans="3:36" s="153" customFormat="1" ht="15" thickBot="1" x14ac:dyDescent="0.35">
      <c r="C300" s="105"/>
      <c r="D300" s="1257" t="str">
        <f>$D$121</f>
        <v>Avant 2020</v>
      </c>
      <c r="E300" s="125">
        <f>E291/$E$296</f>
        <v>0.46156912773082442</v>
      </c>
      <c r="F300" s="593">
        <f>F291/$F$296</f>
        <v>0.4899518577953339</v>
      </c>
      <c r="G300" s="593">
        <f>G291/$G$296</f>
        <v>0.44889992902767922</v>
      </c>
      <c r="H300" s="593">
        <f>H291/$H$296</f>
        <v>0.33734203016714226</v>
      </c>
      <c r="I300" s="593">
        <f>I291/$I$296</f>
        <v>0.50665760326282538</v>
      </c>
      <c r="J300" s="593">
        <f>J291/$J$296</f>
        <v>0.37356116535683098</v>
      </c>
      <c r="K300" s="912">
        <f>K291/$K$296</f>
        <v>0.46267351980796245</v>
      </c>
      <c r="L300" s="203"/>
      <c r="M300" s="203"/>
      <c r="T300" s="154"/>
      <c r="V300" s="198"/>
      <c r="W300" s="199" t="str">
        <f>$W$121</f>
        <v>Before 2020</v>
      </c>
      <c r="X300" s="125">
        <f t="shared" ref="X300:AD304" si="97">E300</f>
        <v>0.46156912773082442</v>
      </c>
      <c r="Y300" s="125">
        <f t="shared" si="97"/>
        <v>0.4899518577953339</v>
      </c>
      <c r="Z300" s="125">
        <f t="shared" si="97"/>
        <v>0.44889992902767922</v>
      </c>
      <c r="AA300" s="125">
        <f t="shared" si="97"/>
        <v>0.33734203016714226</v>
      </c>
      <c r="AB300" s="125">
        <f t="shared" si="97"/>
        <v>0.50665760326282538</v>
      </c>
      <c r="AC300" s="125">
        <f t="shared" si="97"/>
        <v>0.37356116535683098</v>
      </c>
      <c r="AD300" s="131">
        <f t="shared" si="97"/>
        <v>0.46267351980796245</v>
      </c>
      <c r="AJ300" s="166"/>
    </row>
    <row r="301" spans="3:36" s="153" customFormat="1" ht="15" thickBot="1" x14ac:dyDescent="0.35">
      <c r="C301" s="105"/>
      <c r="D301" s="1265" t="str">
        <f>$D$122</f>
        <v>En 2020</v>
      </c>
      <c r="E301" s="1251">
        <f>E292/$E$296</f>
        <v>3.7474087067453357E-3</v>
      </c>
      <c r="F301" s="594">
        <f>F292/$F$296</f>
        <v>5.5721515862239231E-2</v>
      </c>
      <c r="G301" s="594">
        <f>G292/$G$296</f>
        <v>2.9276082327892122E-2</v>
      </c>
      <c r="H301" s="594">
        <f>H292/$H$296</f>
        <v>0.55381165919282516</v>
      </c>
      <c r="I301" s="594">
        <f>I292/$I$296</f>
        <v>0.24174497181014834</v>
      </c>
      <c r="J301" s="594">
        <f>J292/$J$296</f>
        <v>8.868182900690641E-2</v>
      </c>
      <c r="K301" s="913">
        <f>K292/$K$296</f>
        <v>0.12064987974279684</v>
      </c>
      <c r="L301" s="203"/>
      <c r="M301" s="203"/>
      <c r="T301" s="154"/>
      <c r="V301" s="198"/>
      <c r="W301" s="200">
        <f>$W$122</f>
        <v>2020</v>
      </c>
      <c r="X301" s="205">
        <f t="shared" si="97"/>
        <v>3.7474087067453357E-3</v>
      </c>
      <c r="Y301" s="205">
        <f t="shared" si="97"/>
        <v>5.5721515862239231E-2</v>
      </c>
      <c r="Z301" s="205">
        <f t="shared" si="97"/>
        <v>2.9276082327892122E-2</v>
      </c>
      <c r="AA301" s="205">
        <f t="shared" si="97"/>
        <v>0.55381165919282516</v>
      </c>
      <c r="AB301" s="205">
        <f t="shared" si="97"/>
        <v>0.24174497181014834</v>
      </c>
      <c r="AC301" s="205">
        <f t="shared" si="97"/>
        <v>8.868182900690641E-2</v>
      </c>
      <c r="AD301" s="206">
        <f t="shared" si="97"/>
        <v>0.12064987974279684</v>
      </c>
      <c r="AJ301" s="166"/>
    </row>
    <row r="302" spans="3:36" s="153" customFormat="1" ht="15" thickBot="1" x14ac:dyDescent="0.35">
      <c r="C302" s="105"/>
      <c r="D302" s="1259" t="str">
        <f>$D$123</f>
        <v>En 2021</v>
      </c>
      <c r="E302" s="125">
        <f>E293/$E$296</f>
        <v>0.44354967309838939</v>
      </c>
      <c r="F302" s="593">
        <f>F293/$F$296</f>
        <v>3.0403653869892605E-2</v>
      </c>
      <c r="G302" s="593">
        <f>G293/$G$296</f>
        <v>1.0778921220723917E-2</v>
      </c>
      <c r="H302" s="593">
        <f>H293/$H$296</f>
        <v>1.2433754586220954E-2</v>
      </c>
      <c r="I302" s="593">
        <f>I293/$I$296</f>
        <v>0.13184853452757009</v>
      </c>
      <c r="J302" s="593">
        <f>J293/$J$296</f>
        <v>0.10888505199650711</v>
      </c>
      <c r="K302" s="912">
        <f>K293/$K$296</f>
        <v>8.9411055248192636E-2</v>
      </c>
      <c r="T302" s="154"/>
      <c r="V302" s="198"/>
      <c r="W302" s="199">
        <f>$W$123</f>
        <v>2021</v>
      </c>
      <c r="X302" s="125">
        <f t="shared" si="97"/>
        <v>0.44354967309838939</v>
      </c>
      <c r="Y302" s="125">
        <f t="shared" si="97"/>
        <v>3.0403653869892605E-2</v>
      </c>
      <c r="Z302" s="125">
        <f t="shared" si="97"/>
        <v>1.0778921220723917E-2</v>
      </c>
      <c r="AA302" s="125">
        <f t="shared" si="97"/>
        <v>1.2433754586220954E-2</v>
      </c>
      <c r="AB302" s="125">
        <f t="shared" si="97"/>
        <v>0.13184853452757009</v>
      </c>
      <c r="AC302" s="125">
        <f t="shared" si="97"/>
        <v>0.10888505199650711</v>
      </c>
      <c r="AD302" s="131">
        <f t="shared" si="97"/>
        <v>8.9411055248192636E-2</v>
      </c>
      <c r="AJ302" s="166"/>
    </row>
    <row r="303" spans="3:36" s="153" customFormat="1" ht="15" thickBot="1" x14ac:dyDescent="0.35">
      <c r="C303" s="105"/>
      <c r="D303" s="1265" t="str">
        <f>$D$124</f>
        <v>Janvier - Aout 2022</v>
      </c>
      <c r="E303" s="1251">
        <f>E294/$E$296</f>
        <v>8.595120395471216E-2</v>
      </c>
      <c r="F303" s="594">
        <f>F294/$F$296</f>
        <v>0.18922972472534255</v>
      </c>
      <c r="G303" s="594">
        <f>G294/$G$296</f>
        <v>3.0340667139815473E-2</v>
      </c>
      <c r="H303" s="594">
        <f>H294/$H$296</f>
        <v>4.3416225030574809E-2</v>
      </c>
      <c r="I303" s="594">
        <f>I294/$I$296</f>
        <v>7.3853412771402296E-2</v>
      </c>
      <c r="J303" s="594">
        <f>J294/$J$296</f>
        <v>0.27350758117011986</v>
      </c>
      <c r="K303" s="913">
        <f>K294/$K$296</f>
        <v>0.16228762157196849</v>
      </c>
      <c r="T303" s="154"/>
      <c r="V303" s="198"/>
      <c r="W303" s="200" t="str">
        <f>$W$124</f>
        <v>January - August 2022</v>
      </c>
      <c r="X303" s="205">
        <f t="shared" si="97"/>
        <v>8.595120395471216E-2</v>
      </c>
      <c r="Y303" s="205">
        <f t="shared" si="97"/>
        <v>0.18922972472534255</v>
      </c>
      <c r="Z303" s="205">
        <f t="shared" si="97"/>
        <v>3.0340667139815473E-2</v>
      </c>
      <c r="AA303" s="205">
        <f t="shared" si="97"/>
        <v>4.3416225030574809E-2</v>
      </c>
      <c r="AB303" s="205">
        <f t="shared" si="97"/>
        <v>7.3853412771402296E-2</v>
      </c>
      <c r="AC303" s="205">
        <f t="shared" si="97"/>
        <v>0.27350758117011986</v>
      </c>
      <c r="AD303" s="206">
        <f t="shared" si="97"/>
        <v>0.16228762157196849</v>
      </c>
      <c r="AJ303" s="166"/>
    </row>
    <row r="304" spans="3:36" s="153" customFormat="1" ht="28.8" x14ac:dyDescent="0.3">
      <c r="C304" s="105"/>
      <c r="D304" s="1260" t="str">
        <f>$D$125</f>
        <v>Septembre 2022 – Février 2023</v>
      </c>
      <c r="E304" s="914">
        <f>E295/$E$296</f>
        <v>5.182586509328656E-3</v>
      </c>
      <c r="F304" s="915">
        <f>F295/$F$296</f>
        <v>0.23469324774719169</v>
      </c>
      <c r="G304" s="915">
        <f>G295/$G$296</f>
        <v>0.48070440028388928</v>
      </c>
      <c r="H304" s="915">
        <f>H295/$H$296</f>
        <v>5.2996331023236851E-2</v>
      </c>
      <c r="I304" s="915">
        <f>I295/$I$296</f>
        <v>4.5895477628053898E-2</v>
      </c>
      <c r="J304" s="915">
        <f>J295/$J$296</f>
        <v>0.15536437246963564</v>
      </c>
      <c r="K304" s="916">
        <f>K295/$K$296</f>
        <v>0.16497792362907956</v>
      </c>
      <c r="T304" s="154"/>
      <c r="V304" s="198"/>
      <c r="W304" s="199" t="str">
        <f>$W$125</f>
        <v>September 2022 - February 2023</v>
      </c>
      <c r="X304" s="125">
        <f t="shared" si="97"/>
        <v>5.182586509328656E-3</v>
      </c>
      <c r="Y304" s="125">
        <f t="shared" si="97"/>
        <v>0.23469324774719169</v>
      </c>
      <c r="Z304" s="125">
        <f t="shared" si="97"/>
        <v>0.48070440028388928</v>
      </c>
      <c r="AA304" s="125">
        <f t="shared" si="97"/>
        <v>5.2996331023236851E-2</v>
      </c>
      <c r="AB304" s="125">
        <f t="shared" si="97"/>
        <v>4.5895477628053898E-2</v>
      </c>
      <c r="AC304" s="125">
        <f t="shared" si="97"/>
        <v>0.15536437246963564</v>
      </c>
      <c r="AD304" s="131">
        <f t="shared" si="97"/>
        <v>0.16497792362907956</v>
      </c>
      <c r="AJ304" s="166"/>
    </row>
    <row r="305" spans="3:36" s="153" customFormat="1" x14ac:dyDescent="0.3">
      <c r="C305" s="105"/>
      <c r="D305" s="392"/>
      <c r="E305" s="911"/>
      <c r="F305" s="227"/>
      <c r="G305" s="227"/>
      <c r="H305" s="227"/>
      <c r="I305" s="227"/>
      <c r="J305" s="227"/>
      <c r="K305" s="227"/>
      <c r="L305" s="227"/>
      <c r="M305" s="393"/>
      <c r="T305" s="154"/>
      <c r="V305" s="198"/>
      <c r="W305" s="394"/>
      <c r="X305" s="227"/>
      <c r="Y305" s="227"/>
      <c r="Z305" s="227"/>
      <c r="AA305" s="227"/>
      <c r="AB305" s="227"/>
      <c r="AC305" s="227"/>
      <c r="AD305" s="227"/>
      <c r="AE305" s="393"/>
      <c r="AJ305" s="166"/>
    </row>
    <row r="306" spans="3:36" s="153" customFormat="1" x14ac:dyDescent="0.3">
      <c r="C306" s="105"/>
      <c r="D306" s="65"/>
      <c r="E306" s="65"/>
      <c r="F306" s="64"/>
      <c r="G306" s="64"/>
      <c r="H306" s="64"/>
      <c r="I306" s="64"/>
      <c r="J306" s="64"/>
      <c r="K306" s="64"/>
      <c r="L306" s="64"/>
      <c r="M306" s="64"/>
      <c r="T306" s="154"/>
      <c r="W306" s="64"/>
      <c r="X306" s="64"/>
      <c r="Y306" s="64"/>
      <c r="Z306" s="64"/>
      <c r="AA306" s="64"/>
      <c r="AB306" s="64"/>
      <c r="AC306" s="64"/>
      <c r="AD306" s="64"/>
      <c r="AE306" s="64"/>
      <c r="AJ306" s="166"/>
    </row>
    <row r="307" spans="3:36" s="153" customFormat="1" x14ac:dyDescent="0.3">
      <c r="C307" s="207"/>
      <c r="D307" s="208"/>
      <c r="E307" s="209"/>
      <c r="F307" s="210"/>
      <c r="G307" s="209"/>
      <c r="H307" s="210"/>
      <c r="I307" s="209"/>
      <c r="J307" s="209"/>
      <c r="K307" s="209"/>
      <c r="L307" s="210"/>
      <c r="M307" s="155"/>
      <c r="N307" s="155"/>
      <c r="O307" s="155"/>
      <c r="P307" s="155"/>
      <c r="Q307" s="155"/>
      <c r="R307" s="155"/>
      <c r="S307" s="155"/>
      <c r="T307" s="211"/>
      <c r="U307" s="155"/>
      <c r="V307" s="155"/>
      <c r="W307" s="155"/>
      <c r="X307" s="155"/>
      <c r="Y307" s="155"/>
      <c r="Z307" s="155"/>
      <c r="AA307" s="155"/>
      <c r="AB307" s="155"/>
      <c r="AC307" s="155"/>
      <c r="AD307" s="155"/>
      <c r="AE307" s="155"/>
      <c r="AF307" s="155"/>
      <c r="AG307" s="155"/>
      <c r="AH307" s="155"/>
      <c r="AI307" s="155"/>
      <c r="AJ307" s="212"/>
    </row>
    <row r="308" spans="3:36" s="153" customFormat="1" x14ac:dyDescent="0.3">
      <c r="D308" s="124"/>
      <c r="E308" s="122"/>
      <c r="F308" s="123"/>
      <c r="G308" s="122"/>
      <c r="H308" s="123"/>
      <c r="I308" s="122"/>
      <c r="J308" s="122"/>
      <c r="K308" s="122"/>
      <c r="L308" s="123"/>
      <c r="T308" s="154"/>
    </row>
    <row r="309" spans="3:36" s="153" customFormat="1" x14ac:dyDescent="0.3">
      <c r="D309" s="124"/>
      <c r="E309" s="122"/>
      <c r="F309" s="123"/>
      <c r="G309" s="122"/>
      <c r="H309" s="123"/>
      <c r="I309" s="122"/>
      <c r="J309" s="122"/>
      <c r="K309" s="122"/>
      <c r="L309" s="123"/>
      <c r="T309" s="154"/>
      <c r="AH309" s="155"/>
      <c r="AI309" s="155"/>
      <c r="AJ309" s="155"/>
    </row>
    <row r="310" spans="3:36" s="153" customFormat="1" x14ac:dyDescent="0.3">
      <c r="C310" s="156"/>
      <c r="D310" s="157"/>
      <c r="E310" s="158"/>
      <c r="F310" s="159"/>
      <c r="G310" s="158"/>
      <c r="H310" s="159"/>
      <c r="I310" s="158"/>
      <c r="J310" s="158"/>
      <c r="K310" s="158"/>
      <c r="L310" s="159"/>
      <c r="M310" s="160"/>
      <c r="N310" s="160"/>
      <c r="O310" s="160"/>
      <c r="P310" s="160"/>
      <c r="Q310" s="160"/>
      <c r="R310" s="160"/>
      <c r="S310" s="160"/>
      <c r="T310" s="161"/>
      <c r="U310" s="160"/>
      <c r="V310" s="160"/>
      <c r="W310" s="160"/>
      <c r="X310" s="160"/>
      <c r="Y310" s="160"/>
      <c r="Z310" s="160"/>
      <c r="AA310" s="160"/>
      <c r="AB310" s="160"/>
      <c r="AC310" s="160"/>
      <c r="AD310" s="160"/>
      <c r="AE310" s="160"/>
      <c r="AF310" s="160"/>
      <c r="AG310" s="160"/>
      <c r="AJ310" s="162"/>
    </row>
    <row r="311" spans="3:36" s="153" customFormat="1" x14ac:dyDescent="0.3">
      <c r="C311" s="163"/>
      <c r="D311" s="164" t="s">
        <v>238</v>
      </c>
      <c r="E311" s="122"/>
      <c r="F311" s="123"/>
      <c r="G311" s="122"/>
      <c r="H311" s="123"/>
      <c r="L311" s="123"/>
      <c r="T311" s="154"/>
      <c r="W311" s="165" t="s">
        <v>239</v>
      </c>
      <c r="AJ311" s="166"/>
    </row>
    <row r="312" spans="3:36" s="153" customFormat="1" x14ac:dyDescent="0.3">
      <c r="C312" s="163"/>
      <c r="D312" s="124"/>
      <c r="E312" s="122"/>
      <c r="F312" s="123"/>
      <c r="G312" s="122"/>
      <c r="H312" s="123"/>
      <c r="L312" s="123"/>
      <c r="T312" s="154"/>
      <c r="AJ312" s="166"/>
    </row>
    <row r="313" spans="3:36" s="153" customFormat="1" ht="15" thickBot="1" x14ac:dyDescent="0.35">
      <c r="C313" s="163"/>
      <c r="D313" s="213" t="s">
        <v>21</v>
      </c>
      <c r="E313" s="119" t="s">
        <v>240</v>
      </c>
      <c r="F313" s="120" t="s">
        <v>241</v>
      </c>
      <c r="G313" s="122"/>
      <c r="H313" s="123"/>
      <c r="L313" s="123"/>
      <c r="T313" s="154"/>
      <c r="W313" s="214" t="s">
        <v>21</v>
      </c>
      <c r="X313" s="119" t="s">
        <v>240</v>
      </c>
      <c r="Y313" s="120" t="s">
        <v>241</v>
      </c>
      <c r="Z313" s="122"/>
      <c r="AA313" s="123"/>
      <c r="AJ313" s="166"/>
    </row>
    <row r="314" spans="3:36" s="153" customFormat="1" ht="15" thickBot="1" x14ac:dyDescent="0.35">
      <c r="C314" s="163"/>
      <c r="D314" s="1261" t="s">
        <v>237</v>
      </c>
      <c r="E314" s="1262" t="s">
        <v>242</v>
      </c>
      <c r="F314" s="1263" t="s">
        <v>243</v>
      </c>
      <c r="G314" s="1262" t="s">
        <v>244</v>
      </c>
      <c r="H314" s="1264" t="s">
        <v>25</v>
      </c>
      <c r="L314" s="123"/>
      <c r="T314" s="154"/>
      <c r="W314" s="218" t="s">
        <v>136</v>
      </c>
      <c r="X314" s="215" t="s">
        <v>245</v>
      </c>
      <c r="Y314" s="216" t="s">
        <v>246</v>
      </c>
      <c r="Z314" s="215" t="s">
        <v>247</v>
      </c>
      <c r="AA314" s="217" t="s">
        <v>25</v>
      </c>
      <c r="AJ314" s="166"/>
    </row>
    <row r="315" spans="3:36" s="153" customFormat="1" ht="15" thickBot="1" x14ac:dyDescent="0.35">
      <c r="C315" s="105"/>
      <c r="D315" s="1257" t="str">
        <f>$D$121</f>
        <v>Avant 2020</v>
      </c>
      <c r="E315" s="197">
        <f>SUMIFS(DisplacementP[Individus],DisplacementP[Statut déplacé],"refugee",DisplacementP[période],$D315,DisplacementP[provenance_adm0],E$313)</f>
        <v>30957</v>
      </c>
      <c r="F315" s="197">
        <f>SUMIFS(DisplacementP[Individus],DisplacementP[Statut déplacé],"refugee",DisplacementP[période],$D315,DisplacementP[provenance_adm0],F$313)</f>
        <v>489</v>
      </c>
      <c r="G315" s="197">
        <f>SUMIFS(DisplacementP[Individus],DisplacementP[Statut déplacé],"refugee",DisplacementP[période],$D315,DisplacementP[provenance_adm0],"*") -(E315+F315)</f>
        <v>30</v>
      </c>
      <c r="H315" s="919">
        <f>SUM(E315:G315)</f>
        <v>31476</v>
      </c>
      <c r="L315" s="123"/>
      <c r="T315" s="154"/>
      <c r="V315" s="198"/>
      <c r="W315" s="199" t="str">
        <f>$W$121</f>
        <v>Before 2020</v>
      </c>
      <c r="X315" s="178">
        <f t="shared" ref="X315:Z319" si="98">E315</f>
        <v>30957</v>
      </c>
      <c r="Y315" s="178">
        <f t="shared" si="98"/>
        <v>489</v>
      </c>
      <c r="Z315" s="178">
        <f t="shared" si="98"/>
        <v>30</v>
      </c>
      <c r="AA315" s="179">
        <f>SUM(X315:Z315)</f>
        <v>31476</v>
      </c>
      <c r="AJ315" s="166"/>
    </row>
    <row r="316" spans="3:36" s="153" customFormat="1" ht="15" thickBot="1" x14ac:dyDescent="0.35">
      <c r="C316" s="105"/>
      <c r="D316" s="1258" t="str">
        <f>$D$122</f>
        <v>En 2020</v>
      </c>
      <c r="E316" s="1250">
        <f>SUMIFS(DisplacementP[Individus],DisplacementP[Statut déplacé],"refugee",DisplacementP[période],$D316,DisplacementP[provenance_adm0],E$313)</f>
        <v>1633</v>
      </c>
      <c r="F316" s="219">
        <f>SUMIFS(DisplacementP[Individus],DisplacementP[Statut déplacé],"refugee",DisplacementP[période],$D316,DisplacementP[provenance_adm0],F$313)</f>
        <v>37</v>
      </c>
      <c r="G316" s="219">
        <f>SUMIFS(DisplacementP[Individus],DisplacementP[Statut déplacé],"refugee",DisplacementP[période],$D316,DisplacementP[provenance_adm0],"*") -(E316+F316)</f>
        <v>0</v>
      </c>
      <c r="H316" s="920">
        <f>SUM(E316:G316)</f>
        <v>1670</v>
      </c>
      <c r="L316" s="123"/>
      <c r="T316" s="154"/>
      <c r="V316" s="198"/>
      <c r="W316" s="220">
        <f>$W$122</f>
        <v>2020</v>
      </c>
      <c r="X316" s="221">
        <f t="shared" si="98"/>
        <v>1633</v>
      </c>
      <c r="Y316" s="221">
        <f t="shared" si="98"/>
        <v>37</v>
      </c>
      <c r="Z316" s="221">
        <f t="shared" si="98"/>
        <v>0</v>
      </c>
      <c r="AA316" s="222">
        <f>SUM(X316:Z316)</f>
        <v>1670</v>
      </c>
      <c r="AJ316" s="166"/>
    </row>
    <row r="317" spans="3:36" s="153" customFormat="1" ht="15" thickBot="1" x14ac:dyDescent="0.35">
      <c r="C317" s="105"/>
      <c r="D317" s="1259" t="str">
        <f>$D$123</f>
        <v>En 2021</v>
      </c>
      <c r="E317" s="197">
        <f>SUMIFS(DisplacementP[Individus],DisplacementP[Statut déplacé],"refugee",DisplacementP[période],$D317,DisplacementP[provenance_adm0],E$313)</f>
        <v>951</v>
      </c>
      <c r="F317" s="197">
        <f>SUMIFS(DisplacementP[Individus],DisplacementP[Statut déplacé],"refugee",DisplacementP[période],$D317,DisplacementP[provenance_adm0],F$313)</f>
        <v>58</v>
      </c>
      <c r="G317" s="197">
        <f>SUMIFS(DisplacementP[Individus],DisplacementP[Statut déplacé],"refugee",DisplacementP[période],$D317,DisplacementP[provenance_adm0],"*") -(E317+F317)</f>
        <v>0</v>
      </c>
      <c r="H317" s="919">
        <f>SUM(E317:G317)</f>
        <v>1009</v>
      </c>
      <c r="L317" s="123"/>
      <c r="T317" s="154"/>
      <c r="V317" s="198"/>
      <c r="W317" s="199">
        <f>$W$123</f>
        <v>2021</v>
      </c>
      <c r="X317" s="178">
        <f t="shared" si="98"/>
        <v>951</v>
      </c>
      <c r="Y317" s="178">
        <f t="shared" si="98"/>
        <v>58</v>
      </c>
      <c r="Z317" s="178">
        <f t="shared" si="98"/>
        <v>0</v>
      </c>
      <c r="AA317" s="179">
        <f>SUM(X317:Z317)</f>
        <v>1009</v>
      </c>
      <c r="AJ317" s="166"/>
    </row>
    <row r="318" spans="3:36" s="153" customFormat="1" ht="15" thickBot="1" x14ac:dyDescent="0.35">
      <c r="C318" s="105"/>
      <c r="D318" s="1258" t="str">
        <f>$D$124</f>
        <v>Janvier - Aout 2022</v>
      </c>
      <c r="E318" s="1250">
        <f>SUMIFS(DisplacementP[Individus],DisplacementP[Statut déplacé],"refugee",DisplacementP[période],$D318,DisplacementP[provenance_adm0],E$313)</f>
        <v>9493</v>
      </c>
      <c r="F318" s="219">
        <f>SUMIFS(DisplacementP[Individus],DisplacementP[Statut déplacé],"refugee",DisplacementP[période],$D318,DisplacementP[provenance_adm0],F$313)</f>
        <v>0</v>
      </c>
      <c r="G318" s="219">
        <f>SUMIFS(DisplacementP[Individus],DisplacementP[Statut déplacé],"refugee",DisplacementP[période],$D318,DisplacementP[provenance_adm0],"*") -(E318+F318)</f>
        <v>0</v>
      </c>
      <c r="H318" s="920">
        <f>SUM(E318:G318)</f>
        <v>9493</v>
      </c>
      <c r="L318" s="123"/>
      <c r="T318" s="154"/>
      <c r="V318" s="198"/>
      <c r="W318" s="220" t="str">
        <f>$W$124</f>
        <v>January - August 2022</v>
      </c>
      <c r="X318" s="221">
        <f t="shared" si="98"/>
        <v>9493</v>
      </c>
      <c r="Y318" s="221">
        <f t="shared" si="98"/>
        <v>0</v>
      </c>
      <c r="Z318" s="221">
        <f t="shared" si="98"/>
        <v>0</v>
      </c>
      <c r="AA318" s="222">
        <f>SUM(X318:Z318)</f>
        <v>9493</v>
      </c>
      <c r="AJ318" s="166"/>
    </row>
    <row r="319" spans="3:36" s="153" customFormat="1" ht="29.4" thickBot="1" x14ac:dyDescent="0.35">
      <c r="C319" s="105"/>
      <c r="D319" s="1259" t="str">
        <f>$D$125</f>
        <v>Septembre 2022 – Février 2023</v>
      </c>
      <c r="E319" s="197">
        <f>SUMIFS(DisplacementP[Individus],DisplacementP[Statut déplacé],"refugee",DisplacementP[période],$D319,DisplacementP[provenance_adm0],E$313)</f>
        <v>1123</v>
      </c>
      <c r="F319" s="197">
        <f>SUMIFS(DisplacementP[Individus],DisplacementP[Statut déplacé],"refugee",DisplacementP[période],$D319,DisplacementP[provenance_adm0],F$313)</f>
        <v>4742</v>
      </c>
      <c r="G319" s="197">
        <f>SUMIFS(DisplacementP[Individus],DisplacementP[Statut déplacé],"refugee",DisplacementP[période],$D319,DisplacementP[provenance_adm0],"*") -(E319+F319)</f>
        <v>0</v>
      </c>
      <c r="H319" s="919">
        <f>SUM(E319:G319)</f>
        <v>5865</v>
      </c>
      <c r="L319" s="123"/>
      <c r="T319" s="154"/>
      <c r="V319" s="198"/>
      <c r="W319" s="199" t="str">
        <f>$W$125</f>
        <v>September 2022 - February 2023</v>
      </c>
      <c r="X319" s="178">
        <f t="shared" si="98"/>
        <v>1123</v>
      </c>
      <c r="Y319" s="178">
        <f t="shared" si="98"/>
        <v>4742</v>
      </c>
      <c r="Z319" s="178">
        <f t="shared" si="98"/>
        <v>0</v>
      </c>
      <c r="AA319" s="179">
        <f>SUM(X319:Z319)</f>
        <v>5865</v>
      </c>
      <c r="AJ319" s="166"/>
    </row>
    <row r="320" spans="3:36" s="153" customFormat="1" ht="15" thickBot="1" x14ac:dyDescent="0.35">
      <c r="C320" s="163"/>
      <c r="D320" s="921" t="s">
        <v>25</v>
      </c>
      <c r="E320" s="922">
        <f>SUM(E315:E319)</f>
        <v>44157</v>
      </c>
      <c r="F320" s="922">
        <f>SUM(F315:F319)</f>
        <v>5326</v>
      </c>
      <c r="G320" s="922">
        <f>SUM(G315:G319)</f>
        <v>30</v>
      </c>
      <c r="H320" s="923">
        <f>SUM(H315:H319)</f>
        <v>49513</v>
      </c>
      <c r="I320" s="122"/>
      <c r="J320" s="122"/>
      <c r="K320" s="122"/>
      <c r="L320" s="123"/>
      <c r="T320" s="154"/>
      <c r="W320" s="223" t="s">
        <v>25</v>
      </c>
      <c r="X320" s="223">
        <f>SUM(X315:X319)</f>
        <v>44157</v>
      </c>
      <c r="Y320" s="223">
        <f>SUM(Y315:Y319)</f>
        <v>5326</v>
      </c>
      <c r="Z320" s="223">
        <f>SUM(Z315:Z319)</f>
        <v>30</v>
      </c>
      <c r="AA320" s="224">
        <f>SUM(AA315:AA319)</f>
        <v>49513</v>
      </c>
      <c r="AJ320" s="166"/>
    </row>
    <row r="321" spans="3:36" s="153" customFormat="1" x14ac:dyDescent="0.3">
      <c r="C321" s="163"/>
      <c r="D321" s="225"/>
      <c r="E321" s="227">
        <f>$E$320/$H$320</f>
        <v>0.89182638902914391</v>
      </c>
      <c r="F321" s="227">
        <f>$F$320/$H$320</f>
        <v>0.10756770949043686</v>
      </c>
      <c r="G321" s="227">
        <f>$G$320/$H$320</f>
        <v>6.0590148041928383E-4</v>
      </c>
      <c r="H321" s="227">
        <f>SUM(E321:G321)</f>
        <v>1</v>
      </c>
      <c r="I321" s="122"/>
      <c r="J321" s="122"/>
      <c r="K321" s="122"/>
      <c r="L321" s="123"/>
      <c r="T321" s="154"/>
      <c r="X321" s="184">
        <f>$E$320/$H$320</f>
        <v>0.89182638902914391</v>
      </c>
      <c r="Y321" s="184">
        <f>$F$320/$H$320</f>
        <v>0.10756770949043686</v>
      </c>
      <c r="Z321" s="184">
        <f>$G$320/$H$320</f>
        <v>6.0590148041928383E-4</v>
      </c>
      <c r="AA321" s="123">
        <f>SUM(X321:Z321)</f>
        <v>1</v>
      </c>
      <c r="AJ321" s="166"/>
    </row>
    <row r="322" spans="3:36" s="153" customFormat="1" x14ac:dyDescent="0.3">
      <c r="C322" s="163"/>
      <c r="D322" s="225"/>
      <c r="E322" s="226"/>
      <c r="F322" s="226"/>
      <c r="G322" s="227"/>
      <c r="H322" s="227"/>
      <c r="I322" s="122"/>
      <c r="J322" s="122"/>
      <c r="K322" s="122"/>
      <c r="L322" s="123"/>
      <c r="T322" s="154"/>
      <c r="X322" s="184"/>
      <c r="Y322" s="184"/>
      <c r="Z322" s="184"/>
      <c r="AA322" s="123"/>
      <c r="AJ322" s="166"/>
    </row>
    <row r="323" spans="3:36" s="153" customFormat="1" x14ac:dyDescent="0.3">
      <c r="C323" s="194"/>
      <c r="D323" s="195" t="s">
        <v>248</v>
      </c>
      <c r="E323" s="123"/>
      <c r="F323" s="122"/>
      <c r="G323" s="123"/>
      <c r="H323" s="122"/>
      <c r="I323" s="123"/>
      <c r="J323" s="123"/>
      <c r="K323" s="123"/>
      <c r="T323" s="154"/>
      <c r="V323" s="229"/>
      <c r="W323" s="195" t="s">
        <v>249</v>
      </c>
      <c r="X323" s="123"/>
      <c r="Y323" s="122"/>
      <c r="Z323" s="123"/>
      <c r="AA323" s="122"/>
      <c r="AB323" s="123"/>
      <c r="AJ323" s="166"/>
    </row>
    <row r="324" spans="3:36" s="153" customFormat="1" x14ac:dyDescent="0.3">
      <c r="C324" s="194"/>
      <c r="D324" s="167"/>
      <c r="E324" s="123"/>
      <c r="F324" s="122"/>
      <c r="G324" s="123"/>
      <c r="H324" s="122"/>
      <c r="I324" s="123"/>
      <c r="J324" s="123"/>
      <c r="K324" s="123"/>
      <c r="T324" s="154"/>
      <c r="V324" s="229"/>
      <c r="W324" s="122"/>
      <c r="X324" s="123"/>
      <c r="Y324" s="122"/>
      <c r="Z324" s="123"/>
      <c r="AA324" s="122"/>
      <c r="AB324" s="123"/>
      <c r="AJ324" s="166"/>
    </row>
    <row r="325" spans="3:36" s="153" customFormat="1" ht="15" thickBot="1" x14ac:dyDescent="0.35">
      <c r="C325" s="194"/>
      <c r="D325" s="1306" t="s">
        <v>235</v>
      </c>
      <c r="E325" s="1307"/>
      <c r="F325" s="1307"/>
      <c r="G325" s="1307"/>
      <c r="H325" s="1307"/>
      <c r="I325" s="1307"/>
      <c r="J325" s="1307"/>
      <c r="K325" s="1308"/>
      <c r="T325" s="154"/>
      <c r="V325" s="229"/>
      <c r="W325" s="1304" t="s">
        <v>250</v>
      </c>
      <c r="X325" s="1304"/>
      <c r="Y325" s="1304"/>
      <c r="Z325" s="1304"/>
      <c r="AA325" s="1304"/>
      <c r="AB325" s="1304"/>
      <c r="AC325" s="1304"/>
      <c r="AJ325" s="166"/>
    </row>
    <row r="326" spans="3:36" s="153" customFormat="1" ht="15" thickBot="1" x14ac:dyDescent="0.35">
      <c r="C326" s="194"/>
      <c r="D326" s="917" t="s">
        <v>237</v>
      </c>
      <c r="E326" s="216" t="s">
        <v>30</v>
      </c>
      <c r="F326" s="215" t="s">
        <v>31</v>
      </c>
      <c r="G326" s="216" t="s">
        <v>32</v>
      </c>
      <c r="H326" s="215" t="s">
        <v>33</v>
      </c>
      <c r="I326" s="216" t="s">
        <v>34</v>
      </c>
      <c r="J326" s="230" t="s">
        <v>35</v>
      </c>
      <c r="K326" s="918" t="s">
        <v>25</v>
      </c>
      <c r="T326" s="154"/>
      <c r="V326" s="229"/>
      <c r="W326" s="232" t="s">
        <v>136</v>
      </c>
      <c r="X326" s="216" t="s">
        <v>30</v>
      </c>
      <c r="Y326" s="215" t="s">
        <v>31</v>
      </c>
      <c r="Z326" s="216" t="s">
        <v>32</v>
      </c>
      <c r="AA326" s="215" t="s">
        <v>33</v>
      </c>
      <c r="AB326" s="216" t="s">
        <v>34</v>
      </c>
      <c r="AC326" s="230" t="s">
        <v>35</v>
      </c>
      <c r="AD326" s="231" t="s">
        <v>25</v>
      </c>
      <c r="AJ326" s="166"/>
    </row>
    <row r="327" spans="3:36" s="153" customFormat="1" ht="15" thickBot="1" x14ac:dyDescent="0.35">
      <c r="C327" s="105"/>
      <c r="D327" s="1257" t="str">
        <f>$D$121</f>
        <v>Avant 2020</v>
      </c>
      <c r="E327" s="197">
        <f>SUMIFS(DisplacementP[Individus],DisplacementP[adm2_name],$E$326,DisplacementP[période],$D327,DisplacementP[Statut déplacé],"refugee")</f>
        <v>324</v>
      </c>
      <c r="F327" s="197">
        <f>SUMIFS(DisplacementP[Individus],DisplacementP[adm2_name],$F$326,DisplacementP[période],$D327,DisplacementP[Statut déplacé],"refugee")</f>
        <v>15620</v>
      </c>
      <c r="G327" s="197">
        <f>SUMIFS(DisplacementP[Individus],DisplacementP[adm2_name],$G$326,DisplacementP[période],$D327,DisplacementP[Statut déplacé],"refugee")</f>
        <v>140</v>
      </c>
      <c r="H327" s="197">
        <f>SUMIFS(DisplacementP[Individus],DisplacementP[adm2_name],$H$326,DisplacementP[période],$D327,DisplacementP[Statut déplacé],"refugee")</f>
        <v>541</v>
      </c>
      <c r="I327" s="197">
        <f>SUMIFS(DisplacementP[Individus],DisplacementP[adm2_name],$I$326,DisplacementP[période],$D327,DisplacementP[Statut déplacé],"refugee")</f>
        <v>6953</v>
      </c>
      <c r="J327" s="197">
        <f>SUMIFS(DisplacementP[Individus],DisplacementP[adm2_name],$J$326,DisplacementP[période],$D327,DisplacementP[Statut déplacé],"refugee")</f>
        <v>7898</v>
      </c>
      <c r="K327" s="919">
        <f>SUM($E327:$J327)</f>
        <v>31476</v>
      </c>
      <c r="T327" s="154"/>
      <c r="V327" s="198"/>
      <c r="W327" s="199" t="str">
        <f>$W$121</f>
        <v>Before 2020</v>
      </c>
      <c r="X327" s="178">
        <f t="shared" ref="X327:AC331" si="99">E327</f>
        <v>324</v>
      </c>
      <c r="Y327" s="178">
        <f t="shared" si="99"/>
        <v>15620</v>
      </c>
      <c r="Z327" s="178">
        <f t="shared" si="99"/>
        <v>140</v>
      </c>
      <c r="AA327" s="178">
        <f t="shared" si="99"/>
        <v>541</v>
      </c>
      <c r="AB327" s="178">
        <f t="shared" si="99"/>
        <v>6953</v>
      </c>
      <c r="AC327" s="178">
        <f t="shared" si="99"/>
        <v>7898</v>
      </c>
      <c r="AD327" s="179">
        <f>SUM($X327:$AC327)</f>
        <v>31476</v>
      </c>
      <c r="AJ327" s="166"/>
    </row>
    <row r="328" spans="3:36" s="153" customFormat="1" ht="15" thickBot="1" x14ac:dyDescent="0.35">
      <c r="C328" s="105"/>
      <c r="D328" s="1258" t="str">
        <f>$D$122</f>
        <v>En 2020</v>
      </c>
      <c r="E328" s="1250">
        <f>SUMIFS(DisplacementP[Individus],DisplacementP[adm2_name],$E$326,DisplacementP[période],$D328,DisplacementP[Statut déplacé],"refugee")</f>
        <v>0</v>
      </c>
      <c r="F328" s="219">
        <f>SUMIFS(DisplacementP[Individus],DisplacementP[adm2_name],$F$326,DisplacementP[période],$D328,DisplacementP[Statut déplacé],"refugee")</f>
        <v>1372</v>
      </c>
      <c r="G328" s="219">
        <f>SUMIFS(DisplacementP[Individus],DisplacementP[adm2_name],$G$326,DisplacementP[période],$D328,DisplacementP[Statut déplacé],"refugee")</f>
        <v>0</v>
      </c>
      <c r="H328" s="219">
        <f>SUMIFS(DisplacementP[Individus],DisplacementP[adm2_name],$H$326,DisplacementP[période],$D328,DisplacementP[Statut déplacé],"refugee")</f>
        <v>37</v>
      </c>
      <c r="I328" s="219">
        <f>SUMIFS(DisplacementP[Individus],DisplacementP[adm2_name],$I$326,DisplacementP[période],$D328,DisplacementP[Statut déplacé],"refugee")</f>
        <v>110</v>
      </c>
      <c r="J328" s="219">
        <f>SUMIFS(DisplacementP[Individus],DisplacementP[adm2_name],$J$326,DisplacementP[période],$D328,DisplacementP[Statut déplacé],"refugee")</f>
        <v>151</v>
      </c>
      <c r="K328" s="920">
        <f>SUM($E328:$J328)</f>
        <v>1670</v>
      </c>
      <c r="T328" s="154"/>
      <c r="V328" s="198"/>
      <c r="W328" s="220">
        <f>$W$122</f>
        <v>2020</v>
      </c>
      <c r="X328" s="221">
        <f t="shared" si="99"/>
        <v>0</v>
      </c>
      <c r="Y328" s="221">
        <f t="shared" si="99"/>
        <v>1372</v>
      </c>
      <c r="Z328" s="221">
        <f t="shared" si="99"/>
        <v>0</v>
      </c>
      <c r="AA328" s="221">
        <f t="shared" si="99"/>
        <v>37</v>
      </c>
      <c r="AB328" s="221">
        <f t="shared" si="99"/>
        <v>110</v>
      </c>
      <c r="AC328" s="221">
        <f t="shared" si="99"/>
        <v>151</v>
      </c>
      <c r="AD328" s="222">
        <f>SUM($X328:$AC328)</f>
        <v>1670</v>
      </c>
      <c r="AJ328" s="166"/>
    </row>
    <row r="329" spans="3:36" s="153" customFormat="1" ht="15" thickBot="1" x14ac:dyDescent="0.35">
      <c r="C329" s="105"/>
      <c r="D329" s="1259" t="str">
        <f>$D$123</f>
        <v>En 2021</v>
      </c>
      <c r="E329" s="197">
        <f>SUMIFS(DisplacementP[Individus],DisplacementP[adm2_name],$E$326,DisplacementP[période],$D329,DisplacementP[Statut déplacé],"refugee")</f>
        <v>10</v>
      </c>
      <c r="F329" s="197">
        <f>SUMIFS(DisplacementP[Individus],DisplacementP[adm2_name],$F$326,DisplacementP[période],$D329,DisplacementP[Statut déplacé],"refugee")</f>
        <v>741</v>
      </c>
      <c r="G329" s="197">
        <f>SUMIFS(DisplacementP[Individus],DisplacementP[adm2_name],$G$326,DisplacementP[période],$D329,DisplacementP[Statut déplacé],"refugee")</f>
        <v>0</v>
      </c>
      <c r="H329" s="197">
        <f>SUMIFS(DisplacementP[Individus],DisplacementP[adm2_name],$H$326,DisplacementP[période],$D329,DisplacementP[Statut déplacé],"refugee")</f>
        <v>0</v>
      </c>
      <c r="I329" s="197">
        <f>SUMIFS(DisplacementP[Individus],DisplacementP[adm2_name],$I$326,DisplacementP[période],$D329,DisplacementP[Statut déplacé],"refugee")</f>
        <v>168</v>
      </c>
      <c r="J329" s="197">
        <f>SUMIFS(DisplacementP[Individus],DisplacementP[adm2_name],$J$326,DisplacementP[période],$D329,DisplacementP[Statut déplacé],"refugee")</f>
        <v>90</v>
      </c>
      <c r="K329" s="919">
        <f>SUM($E329:$J329)</f>
        <v>1009</v>
      </c>
      <c r="T329" s="154"/>
      <c r="V329" s="198"/>
      <c r="W329" s="199">
        <f>$W$123</f>
        <v>2021</v>
      </c>
      <c r="X329" s="178">
        <f t="shared" si="99"/>
        <v>10</v>
      </c>
      <c r="Y329" s="178">
        <f t="shared" si="99"/>
        <v>741</v>
      </c>
      <c r="Z329" s="178">
        <f t="shared" si="99"/>
        <v>0</v>
      </c>
      <c r="AA329" s="178">
        <f t="shared" si="99"/>
        <v>0</v>
      </c>
      <c r="AB329" s="178">
        <f t="shared" si="99"/>
        <v>168</v>
      </c>
      <c r="AC329" s="178">
        <f t="shared" si="99"/>
        <v>90</v>
      </c>
      <c r="AD329" s="179">
        <f>SUM($X329:$AC329)</f>
        <v>1009</v>
      </c>
      <c r="AJ329" s="166"/>
    </row>
    <row r="330" spans="3:36" s="153" customFormat="1" ht="15" thickBot="1" x14ac:dyDescent="0.35">
      <c r="C330" s="105"/>
      <c r="D330" s="1258" t="str">
        <f>$D$124</f>
        <v>Janvier - Aout 2022</v>
      </c>
      <c r="E330" s="1250">
        <f>SUMIFS(DisplacementP[Individus],DisplacementP[adm2_name],$E$326,DisplacementP[période],$D330,DisplacementP[Statut déplacé],"refugee")</f>
        <v>0</v>
      </c>
      <c r="F330" s="219">
        <f>SUMIFS(DisplacementP[Individus],DisplacementP[adm2_name],$F$326,DisplacementP[période],$D330,DisplacementP[Statut déplacé],"refugee")</f>
        <v>8933</v>
      </c>
      <c r="G330" s="219">
        <f>SUMIFS(DisplacementP[Individus],DisplacementP[adm2_name],$G$326,DisplacementP[période],$D330,DisplacementP[Statut déplacé],"refugee")</f>
        <v>6</v>
      </c>
      <c r="H330" s="219">
        <f>SUMIFS(DisplacementP[Individus],DisplacementP[adm2_name],$H$326,DisplacementP[période],$D330,DisplacementP[Statut déplacé],"refugee")</f>
        <v>0</v>
      </c>
      <c r="I330" s="219">
        <f>SUMIFS(DisplacementP[Individus],DisplacementP[adm2_name],$I$326,DisplacementP[période],$D330,DisplacementP[Statut déplacé],"refugee")</f>
        <v>253</v>
      </c>
      <c r="J330" s="219">
        <f>SUMIFS(DisplacementP[Individus],DisplacementP[adm2_name],$J$326,DisplacementP[période],$D330,DisplacementP[Statut déplacé],"refugee")</f>
        <v>301</v>
      </c>
      <c r="K330" s="920">
        <f>SUM($E330:$J330)</f>
        <v>9493</v>
      </c>
      <c r="T330" s="154"/>
      <c r="V330" s="198"/>
      <c r="W330" s="220" t="str">
        <f>$W$124</f>
        <v>January - August 2022</v>
      </c>
      <c r="X330" s="221">
        <f t="shared" si="99"/>
        <v>0</v>
      </c>
      <c r="Y330" s="221">
        <f t="shared" si="99"/>
        <v>8933</v>
      </c>
      <c r="Z330" s="221">
        <f t="shared" si="99"/>
        <v>6</v>
      </c>
      <c r="AA330" s="221">
        <f t="shared" si="99"/>
        <v>0</v>
      </c>
      <c r="AB330" s="221">
        <f t="shared" si="99"/>
        <v>253</v>
      </c>
      <c r="AC330" s="221">
        <f t="shared" si="99"/>
        <v>301</v>
      </c>
      <c r="AD330" s="222">
        <f>SUM($X330:$AC330)</f>
        <v>9493</v>
      </c>
      <c r="AJ330" s="166"/>
    </row>
    <row r="331" spans="3:36" s="153" customFormat="1" ht="29.4" thickBot="1" x14ac:dyDescent="0.35">
      <c r="C331" s="105"/>
      <c r="D331" s="1259" t="str">
        <f>$D$125</f>
        <v>Septembre 2022 – Février 2023</v>
      </c>
      <c r="E331" s="197">
        <f>SUMIFS(DisplacementP[Individus],DisplacementP[adm2_name],$E$326,DisplacementP[période],$D331,DisplacementP[Statut déplacé],"refugee")</f>
        <v>0</v>
      </c>
      <c r="F331" s="197">
        <f>SUMIFS(DisplacementP[Individus],DisplacementP[adm2_name],$F$326,DisplacementP[période],$D331,DisplacementP[Statut déplacé],"refugee")</f>
        <v>5137</v>
      </c>
      <c r="G331" s="197">
        <f>SUMIFS(DisplacementP[Individus],DisplacementP[adm2_name],$G$326,DisplacementP[période],$D331,DisplacementP[Statut déplacé],"refugee")</f>
        <v>150</v>
      </c>
      <c r="H331" s="197">
        <f>SUMIFS(DisplacementP[Individus],DisplacementP[adm2_name],$H$326,DisplacementP[période],$D331,DisplacementP[Statut déplacé],"refugee")</f>
        <v>90</v>
      </c>
      <c r="I331" s="197">
        <f>SUMIFS(DisplacementP[Individus],DisplacementP[adm2_name],$I$326,DisplacementP[période],$D331,DisplacementP[Statut déplacé],"refugee")</f>
        <v>113</v>
      </c>
      <c r="J331" s="197">
        <f>SUMIFS(DisplacementP[Individus],DisplacementP[adm2_name],$J$326,DisplacementP[période],$D331,DisplacementP[Statut déplacé],"refugee")</f>
        <v>375</v>
      </c>
      <c r="K331" s="919">
        <f>SUM($E331:$J331)</f>
        <v>5865</v>
      </c>
      <c r="T331" s="154"/>
      <c r="V331" s="198"/>
      <c r="W331" s="199" t="str">
        <f>$W$125</f>
        <v>September 2022 - February 2023</v>
      </c>
      <c r="X331" s="178">
        <f t="shared" si="99"/>
        <v>0</v>
      </c>
      <c r="Y331" s="178">
        <f t="shared" si="99"/>
        <v>5137</v>
      </c>
      <c r="Z331" s="178">
        <f t="shared" si="99"/>
        <v>150</v>
      </c>
      <c r="AA331" s="178">
        <f t="shared" si="99"/>
        <v>90</v>
      </c>
      <c r="AB331" s="178">
        <f t="shared" si="99"/>
        <v>113</v>
      </c>
      <c r="AC331" s="178">
        <f t="shared" si="99"/>
        <v>375</v>
      </c>
      <c r="AD331" s="179">
        <f>SUM($X331:$AC331)</f>
        <v>5865</v>
      </c>
      <c r="AJ331" s="166"/>
    </row>
    <row r="332" spans="3:36" s="153" customFormat="1" ht="15" thickBot="1" x14ac:dyDescent="0.35">
      <c r="C332" s="105"/>
      <c r="D332" s="921" t="s">
        <v>25</v>
      </c>
      <c r="E332" s="922">
        <f t="shared" ref="E332:K332" si="100">SUM(E327:E331)</f>
        <v>334</v>
      </c>
      <c r="F332" s="922">
        <f t="shared" si="100"/>
        <v>31803</v>
      </c>
      <c r="G332" s="922">
        <f t="shared" si="100"/>
        <v>296</v>
      </c>
      <c r="H332" s="922">
        <f t="shared" si="100"/>
        <v>668</v>
      </c>
      <c r="I332" s="922">
        <f t="shared" si="100"/>
        <v>7597</v>
      </c>
      <c r="J332" s="922">
        <f t="shared" si="100"/>
        <v>8815</v>
      </c>
      <c r="K332" s="923">
        <f t="shared" si="100"/>
        <v>49513</v>
      </c>
      <c r="T332" s="154"/>
      <c r="V332" s="198"/>
      <c r="W332" s="223" t="s">
        <v>25</v>
      </c>
      <c r="X332" s="223">
        <f t="shared" ref="X332:AD332" si="101">SUM(X327:X331)</f>
        <v>334</v>
      </c>
      <c r="Y332" s="223">
        <f t="shared" si="101"/>
        <v>31803</v>
      </c>
      <c r="Z332" s="223">
        <f t="shared" si="101"/>
        <v>296</v>
      </c>
      <c r="AA332" s="223">
        <f t="shared" si="101"/>
        <v>668</v>
      </c>
      <c r="AB332" s="223">
        <f t="shared" si="101"/>
        <v>7597</v>
      </c>
      <c r="AC332" s="223">
        <f t="shared" si="101"/>
        <v>8815</v>
      </c>
      <c r="AD332" s="224">
        <f t="shared" si="101"/>
        <v>49513</v>
      </c>
      <c r="AJ332" s="166"/>
    </row>
    <row r="333" spans="3:36" s="153" customFormat="1" x14ac:dyDescent="0.3">
      <c r="C333" s="105"/>
      <c r="D333" s="202"/>
      <c r="E333" s="203"/>
      <c r="F333" s="203"/>
      <c r="G333" s="203"/>
      <c r="H333" s="203"/>
      <c r="I333" s="203"/>
      <c r="J333" s="203"/>
      <c r="K333" s="203"/>
      <c r="L333" s="203"/>
      <c r="M333" s="203"/>
      <c r="T333" s="154"/>
      <c r="V333" s="198"/>
      <c r="W333" s="204"/>
      <c r="X333" s="203"/>
      <c r="Y333" s="203"/>
      <c r="Z333" s="203"/>
      <c r="AA333" s="203"/>
      <c r="AB333" s="203"/>
      <c r="AC333" s="203"/>
      <c r="AD333" s="203"/>
      <c r="AJ333" s="166"/>
    </row>
    <row r="334" spans="3:36" s="153" customFormat="1" x14ac:dyDescent="0.3">
      <c r="C334" s="105"/>
      <c r="D334" s="202"/>
      <c r="E334" s="203"/>
      <c r="F334" s="203"/>
      <c r="G334" s="203"/>
      <c r="H334" s="203"/>
      <c r="I334" s="203"/>
      <c r="J334" s="203"/>
      <c r="K334" s="203"/>
      <c r="L334" s="203"/>
      <c r="M334" s="203"/>
      <c r="T334" s="154"/>
      <c r="V334" s="198"/>
      <c r="W334" s="204"/>
      <c r="X334" s="203"/>
      <c r="Y334" s="203"/>
      <c r="Z334" s="203"/>
      <c r="AA334" s="203"/>
      <c r="AB334" s="203"/>
      <c r="AC334" s="203"/>
      <c r="AD334" s="203"/>
      <c r="AJ334" s="166"/>
    </row>
    <row r="335" spans="3:36" s="153" customFormat="1" ht="15" thickBot="1" x14ac:dyDescent="0.35">
      <c r="C335" s="194"/>
      <c r="D335" s="1306" t="s">
        <v>235</v>
      </c>
      <c r="E335" s="1307"/>
      <c r="F335" s="1307"/>
      <c r="G335" s="1307"/>
      <c r="H335" s="1307"/>
      <c r="I335" s="1307"/>
      <c r="J335" s="1307"/>
      <c r="K335" s="1308"/>
      <c r="L335" s="203"/>
      <c r="M335" s="203"/>
      <c r="T335" s="154"/>
      <c r="V335" s="229"/>
      <c r="W335" s="1304" t="s">
        <v>250</v>
      </c>
      <c r="X335" s="1304"/>
      <c r="Y335" s="1304"/>
      <c r="Z335" s="1304"/>
      <c r="AA335" s="1304"/>
      <c r="AB335" s="1304"/>
      <c r="AC335" s="1304"/>
      <c r="AD335" s="203"/>
      <c r="AJ335" s="166"/>
    </row>
    <row r="336" spans="3:36" s="153" customFormat="1" ht="15" thickBot="1" x14ac:dyDescent="0.35">
      <c r="C336" s="194"/>
      <c r="D336" s="917" t="s">
        <v>237</v>
      </c>
      <c r="E336" s="216" t="s">
        <v>30</v>
      </c>
      <c r="F336" s="215" t="s">
        <v>31</v>
      </c>
      <c r="G336" s="216" t="s">
        <v>32</v>
      </c>
      <c r="H336" s="215" t="s">
        <v>33</v>
      </c>
      <c r="I336" s="216" t="s">
        <v>34</v>
      </c>
      <c r="J336" s="230" t="s">
        <v>35</v>
      </c>
      <c r="K336" s="918" t="s">
        <v>25</v>
      </c>
      <c r="L336" s="203"/>
      <c r="M336" s="203"/>
      <c r="T336" s="154"/>
      <c r="V336" s="229"/>
      <c r="W336" s="232" t="s">
        <v>136</v>
      </c>
      <c r="X336" s="216" t="s">
        <v>30</v>
      </c>
      <c r="Y336" s="215" t="s">
        <v>31</v>
      </c>
      <c r="Z336" s="216" t="s">
        <v>32</v>
      </c>
      <c r="AA336" s="215" t="s">
        <v>33</v>
      </c>
      <c r="AB336" s="216" t="s">
        <v>34</v>
      </c>
      <c r="AC336" s="230" t="s">
        <v>35</v>
      </c>
      <c r="AD336" s="231" t="s">
        <v>25</v>
      </c>
      <c r="AJ336" s="166"/>
    </row>
    <row r="337" spans="3:36" s="153" customFormat="1" ht="15" thickBot="1" x14ac:dyDescent="0.35">
      <c r="C337" s="105"/>
      <c r="D337" s="1257" t="str">
        <f>$D$121</f>
        <v>Avant 2020</v>
      </c>
      <c r="E337" s="125">
        <f>E327/$E$332</f>
        <v>0.97005988023952094</v>
      </c>
      <c r="F337" s="233">
        <f>F327/$F$332</f>
        <v>0.49114863377668772</v>
      </c>
      <c r="G337" s="125">
        <f>G327/$G$332</f>
        <v>0.47297297297297297</v>
      </c>
      <c r="H337" s="125">
        <f>H327/$H$332</f>
        <v>0.80988023952095811</v>
      </c>
      <c r="I337" s="125">
        <f>I327/$I$332</f>
        <v>0.91522969593260495</v>
      </c>
      <c r="J337" s="125">
        <f>J327/$J$332</f>
        <v>0.89597277368122519</v>
      </c>
      <c r="K337" s="912">
        <f>K327/$K$332</f>
        <v>0.63571183325591263</v>
      </c>
      <c r="T337" s="154"/>
      <c r="V337" s="198"/>
      <c r="W337" s="199" t="str">
        <f>$W$121</f>
        <v>Before 2020</v>
      </c>
      <c r="X337" s="125">
        <f t="shared" ref="X337:AD341" si="102">E337</f>
        <v>0.97005988023952094</v>
      </c>
      <c r="Y337" s="233">
        <f t="shared" si="102"/>
        <v>0.49114863377668772</v>
      </c>
      <c r="Z337" s="125">
        <f t="shared" si="102"/>
        <v>0.47297297297297297</v>
      </c>
      <c r="AA337" s="125">
        <f t="shared" si="102"/>
        <v>0.80988023952095811</v>
      </c>
      <c r="AB337" s="125">
        <f t="shared" si="102"/>
        <v>0.91522969593260495</v>
      </c>
      <c r="AC337" s="125">
        <f t="shared" si="102"/>
        <v>0.89597277368122519</v>
      </c>
      <c r="AD337" s="131">
        <f t="shared" si="102"/>
        <v>0.63571183325591263</v>
      </c>
      <c r="AJ337" s="166"/>
    </row>
    <row r="338" spans="3:36" s="153" customFormat="1" ht="15" thickBot="1" x14ac:dyDescent="0.35">
      <c r="C338" s="105"/>
      <c r="D338" s="1258" t="str">
        <f>$D$122</f>
        <v>En 2020</v>
      </c>
      <c r="E338" s="1249">
        <f>E328/$E$332</f>
        <v>0</v>
      </c>
      <c r="F338" s="234">
        <f>F328/$F$332</f>
        <v>4.3140584221614313E-2</v>
      </c>
      <c r="G338" s="234">
        <f>G328/$G$332</f>
        <v>0</v>
      </c>
      <c r="H338" s="234">
        <f>H328/$H$332</f>
        <v>5.5389221556886227E-2</v>
      </c>
      <c r="I338" s="234">
        <f>I328/$I$332</f>
        <v>1.4479399763064367E-2</v>
      </c>
      <c r="J338" s="234">
        <f>J328/$J$332</f>
        <v>1.7129892229154849E-2</v>
      </c>
      <c r="K338" s="924">
        <f>K328/$K$332</f>
        <v>3.3728515743340133E-2</v>
      </c>
      <c r="T338" s="154"/>
      <c r="V338" s="198"/>
      <c r="W338" s="220">
        <f>$W$122</f>
        <v>2020</v>
      </c>
      <c r="X338" s="234">
        <f t="shared" si="102"/>
        <v>0</v>
      </c>
      <c r="Y338" s="234">
        <f t="shared" si="102"/>
        <v>4.3140584221614313E-2</v>
      </c>
      <c r="Z338" s="234">
        <f t="shared" si="102"/>
        <v>0</v>
      </c>
      <c r="AA338" s="234">
        <f t="shared" si="102"/>
        <v>5.5389221556886227E-2</v>
      </c>
      <c r="AB338" s="234">
        <f t="shared" si="102"/>
        <v>1.4479399763064367E-2</v>
      </c>
      <c r="AC338" s="234">
        <f t="shared" si="102"/>
        <v>1.7129892229154849E-2</v>
      </c>
      <c r="AD338" s="235">
        <f t="shared" si="102"/>
        <v>3.3728515743340133E-2</v>
      </c>
      <c r="AJ338" s="166"/>
    </row>
    <row r="339" spans="3:36" s="153" customFormat="1" ht="15" thickBot="1" x14ac:dyDescent="0.35">
      <c r="C339" s="105"/>
      <c r="D339" s="1259" t="str">
        <f>$D$123</f>
        <v>En 2021</v>
      </c>
      <c r="E339" s="125">
        <f>E329/$E$332</f>
        <v>2.9940119760479042E-2</v>
      </c>
      <c r="F339" s="125">
        <f>F329/$F$332</f>
        <v>2.3299688708612393E-2</v>
      </c>
      <c r="G339" s="125">
        <f>G329/$G$332</f>
        <v>0</v>
      </c>
      <c r="H339" s="125">
        <f>H329/$H$332</f>
        <v>0</v>
      </c>
      <c r="I339" s="125">
        <f>I329/$I$332</f>
        <v>2.2113992365407398E-2</v>
      </c>
      <c r="J339" s="125">
        <f>J329/$J$332</f>
        <v>1.0209869540555871E-2</v>
      </c>
      <c r="K339" s="912">
        <f>K329/$K$332</f>
        <v>2.0378486458101912E-2</v>
      </c>
      <c r="T339" s="154"/>
      <c r="V339" s="198"/>
      <c r="W339" s="199">
        <f>$W$123</f>
        <v>2021</v>
      </c>
      <c r="X339" s="125">
        <f t="shared" si="102"/>
        <v>2.9940119760479042E-2</v>
      </c>
      <c r="Y339" s="125">
        <f t="shared" si="102"/>
        <v>2.3299688708612393E-2</v>
      </c>
      <c r="Z339" s="125">
        <f t="shared" si="102"/>
        <v>0</v>
      </c>
      <c r="AA339" s="125">
        <f t="shared" si="102"/>
        <v>0</v>
      </c>
      <c r="AB339" s="125">
        <f t="shared" si="102"/>
        <v>2.2113992365407398E-2</v>
      </c>
      <c r="AC339" s="125">
        <f t="shared" si="102"/>
        <v>1.0209869540555871E-2</v>
      </c>
      <c r="AD339" s="131">
        <f t="shared" si="102"/>
        <v>2.0378486458101912E-2</v>
      </c>
      <c r="AJ339" s="166"/>
    </row>
    <row r="340" spans="3:36" s="153" customFormat="1" ht="15" thickBot="1" x14ac:dyDescent="0.35">
      <c r="C340" s="105"/>
      <c r="D340" s="1258" t="str">
        <f>$D$124</f>
        <v>Janvier - Aout 2022</v>
      </c>
      <c r="E340" s="1249">
        <f>E330/$E$332</f>
        <v>0</v>
      </c>
      <c r="F340" s="234">
        <f>F330/$F$332</f>
        <v>0.28088545105807627</v>
      </c>
      <c r="G340" s="234">
        <f>G330/$G$332</f>
        <v>2.0270270270270271E-2</v>
      </c>
      <c r="H340" s="234">
        <f>H330/$H$332</f>
        <v>0</v>
      </c>
      <c r="I340" s="234">
        <f>I330/$I$332</f>
        <v>3.3302619455048046E-2</v>
      </c>
      <c r="J340" s="234">
        <f>J330/$J$332</f>
        <v>3.4146341463414637E-2</v>
      </c>
      <c r="K340" s="924">
        <f>K330/$K$332</f>
        <v>0.19172742512067537</v>
      </c>
      <c r="T340" s="154"/>
      <c r="V340" s="198"/>
      <c r="W340" s="220" t="str">
        <f>$W$124</f>
        <v>January - August 2022</v>
      </c>
      <c r="X340" s="234">
        <f t="shared" si="102"/>
        <v>0</v>
      </c>
      <c r="Y340" s="234">
        <f t="shared" si="102"/>
        <v>0.28088545105807627</v>
      </c>
      <c r="Z340" s="234">
        <f t="shared" si="102"/>
        <v>2.0270270270270271E-2</v>
      </c>
      <c r="AA340" s="234">
        <f t="shared" si="102"/>
        <v>0</v>
      </c>
      <c r="AB340" s="234">
        <f t="shared" si="102"/>
        <v>3.3302619455048046E-2</v>
      </c>
      <c r="AC340" s="234">
        <f t="shared" si="102"/>
        <v>3.4146341463414637E-2</v>
      </c>
      <c r="AD340" s="235">
        <f t="shared" si="102"/>
        <v>0.19172742512067537</v>
      </c>
      <c r="AJ340" s="166"/>
    </row>
    <row r="341" spans="3:36" s="153" customFormat="1" ht="29.4" thickBot="1" x14ac:dyDescent="0.35">
      <c r="C341" s="105"/>
      <c r="D341" s="1260" t="str">
        <f>$D$125</f>
        <v>Septembre 2022 – Février 2023</v>
      </c>
      <c r="E341" s="914">
        <f>E331/$E$332</f>
        <v>0</v>
      </c>
      <c r="F341" s="914">
        <f>F331/$F$332</f>
        <v>0.16152564223500929</v>
      </c>
      <c r="G341" s="914">
        <f>G331/$G$332</f>
        <v>0.5067567567567568</v>
      </c>
      <c r="H341" s="914">
        <f>H331/$H$332</f>
        <v>0.1347305389221557</v>
      </c>
      <c r="I341" s="914">
        <f>I331/$I$332</f>
        <v>1.4874292483875213E-2</v>
      </c>
      <c r="J341" s="914">
        <f>J331/$J$332</f>
        <v>4.254112308564946E-2</v>
      </c>
      <c r="K341" s="916">
        <f>K331/$K$332</f>
        <v>0.11845373942196999</v>
      </c>
      <c r="T341" s="154"/>
      <c r="V341" s="198"/>
      <c r="W341" s="199" t="str">
        <f>$W$125</f>
        <v>September 2022 - February 2023</v>
      </c>
      <c r="X341" s="125">
        <f t="shared" si="102"/>
        <v>0</v>
      </c>
      <c r="Y341" s="125">
        <f t="shared" si="102"/>
        <v>0.16152564223500929</v>
      </c>
      <c r="Z341" s="125">
        <f t="shared" si="102"/>
        <v>0.5067567567567568</v>
      </c>
      <c r="AA341" s="125">
        <f t="shared" si="102"/>
        <v>0.1347305389221557</v>
      </c>
      <c r="AB341" s="125">
        <f t="shared" si="102"/>
        <v>1.4874292483875213E-2</v>
      </c>
      <c r="AC341" s="125">
        <f t="shared" si="102"/>
        <v>4.254112308564946E-2</v>
      </c>
      <c r="AD341" s="131">
        <f t="shared" si="102"/>
        <v>0.11845373942196999</v>
      </c>
      <c r="AJ341" s="166"/>
    </row>
    <row r="342" spans="3:36" s="153" customFormat="1" x14ac:dyDescent="0.3">
      <c r="C342" s="105"/>
      <c r="D342" s="392"/>
      <c r="E342" s="227"/>
      <c r="F342" s="226"/>
      <c r="G342" s="227"/>
      <c r="H342" s="227"/>
      <c r="I342" s="227"/>
      <c r="J342" s="227"/>
      <c r="K342" s="227"/>
      <c r="L342" s="227"/>
      <c r="M342" s="393"/>
      <c r="T342" s="154"/>
      <c r="V342" s="198"/>
      <c r="W342" s="148"/>
      <c r="X342" s="227"/>
      <c r="Y342" s="226"/>
      <c r="Z342" s="227"/>
      <c r="AA342" s="227"/>
      <c r="AB342" s="227"/>
      <c r="AC342" s="227"/>
      <c r="AD342" s="227"/>
      <c r="AE342" s="393"/>
      <c r="AJ342" s="166"/>
    </row>
    <row r="343" spans="3:36" s="153" customFormat="1" x14ac:dyDescent="0.3">
      <c r="C343" s="207"/>
      <c r="D343" s="208"/>
      <c r="E343" s="209"/>
      <c r="F343" s="210"/>
      <c r="G343" s="209"/>
      <c r="H343" s="210"/>
      <c r="I343" s="209"/>
      <c r="J343" s="209"/>
      <c r="K343" s="209"/>
      <c r="L343" s="210"/>
      <c r="M343" s="155"/>
      <c r="N343" s="155"/>
      <c r="O343" s="155"/>
      <c r="P343" s="155"/>
      <c r="Q343" s="155"/>
      <c r="R343" s="155"/>
      <c r="S343" s="155"/>
      <c r="T343" s="211"/>
      <c r="U343" s="155"/>
      <c r="V343" s="155"/>
      <c r="W343" s="155"/>
      <c r="X343" s="155"/>
      <c r="Y343" s="155"/>
      <c r="Z343" s="155"/>
      <c r="AA343" s="155"/>
      <c r="AB343" s="155"/>
      <c r="AC343" s="155"/>
      <c r="AD343" s="155"/>
      <c r="AE343" s="155"/>
      <c r="AF343" s="155"/>
      <c r="AG343" s="155"/>
      <c r="AH343" s="155"/>
      <c r="AI343" s="155"/>
      <c r="AJ343" s="212"/>
    </row>
    <row r="344" spans="3:36" s="153" customFormat="1" x14ac:dyDescent="0.3">
      <c r="D344" s="124"/>
      <c r="E344" s="122"/>
      <c r="F344" s="123"/>
      <c r="G344" s="122"/>
      <c r="H344" s="123"/>
      <c r="I344" s="122"/>
      <c r="J344" s="122"/>
      <c r="K344" s="122"/>
      <c r="L344" s="123"/>
      <c r="T344" s="154"/>
      <c r="AJ344" s="160"/>
    </row>
    <row r="345" spans="3:36" s="153" customFormat="1" x14ac:dyDescent="0.3">
      <c r="D345" s="124"/>
      <c r="E345" s="122"/>
      <c r="F345" s="123"/>
      <c r="G345" s="122"/>
      <c r="H345" s="123"/>
      <c r="I345" s="122"/>
      <c r="J345" s="122"/>
      <c r="K345" s="122"/>
      <c r="L345" s="123"/>
      <c r="T345" s="154"/>
      <c r="AH345" s="155"/>
      <c r="AI345" s="155"/>
      <c r="AJ345" s="155"/>
    </row>
    <row r="346" spans="3:36" s="153" customFormat="1" ht="24" customHeight="1" x14ac:dyDescent="0.3">
      <c r="C346" s="156"/>
      <c r="D346" s="238" t="s">
        <v>251</v>
      </c>
      <c r="E346" s="159"/>
      <c r="F346" s="158"/>
      <c r="G346" s="159"/>
      <c r="H346" s="158"/>
      <c r="I346" s="160"/>
      <c r="J346" s="160"/>
      <c r="K346" s="160"/>
      <c r="L346" s="159"/>
      <c r="M346" s="160"/>
      <c r="N346" s="160"/>
      <c r="O346" s="160"/>
      <c r="P346" s="160"/>
      <c r="Q346" s="160"/>
      <c r="R346" s="160"/>
      <c r="S346" s="160"/>
      <c r="T346" s="161"/>
      <c r="U346" s="160"/>
      <c r="V346" s="160"/>
      <c r="W346" s="238" t="s">
        <v>252</v>
      </c>
      <c r="X346" s="160"/>
      <c r="Y346" s="160"/>
      <c r="Z346" s="160"/>
      <c r="AA346" s="160"/>
      <c r="AB346" s="160"/>
      <c r="AC346" s="160"/>
      <c r="AD346" s="160"/>
      <c r="AE346" s="160"/>
      <c r="AF346" s="160"/>
      <c r="AG346" s="160"/>
      <c r="AJ346" s="166"/>
    </row>
    <row r="347" spans="3:36" s="153" customFormat="1" x14ac:dyDescent="0.3">
      <c r="C347" s="163"/>
      <c r="D347" s="167"/>
      <c r="E347" s="123"/>
      <c r="F347" s="122"/>
      <c r="H347" s="122"/>
      <c r="L347" s="123"/>
      <c r="T347" s="154"/>
      <c r="AJ347" s="166"/>
    </row>
    <row r="348" spans="3:36" s="153" customFormat="1" ht="15" thickBot="1" x14ac:dyDescent="0.35">
      <c r="C348" s="163"/>
      <c r="D348" s="167"/>
      <c r="E348" s="120" t="s">
        <v>253</v>
      </c>
      <c r="F348" s="119" t="s">
        <v>240</v>
      </c>
      <c r="G348" s="119" t="s">
        <v>254</v>
      </c>
      <c r="H348" s="119" t="s">
        <v>241</v>
      </c>
      <c r="I348" s="469"/>
      <c r="J348" s="469"/>
      <c r="K348" s="469"/>
      <c r="L348" s="123"/>
      <c r="T348" s="154"/>
      <c r="W348" s="120"/>
      <c r="X348" s="120" t="s">
        <v>253</v>
      </c>
      <c r="Y348" s="119" t="s">
        <v>240</v>
      </c>
      <c r="Z348" s="120" t="s">
        <v>254</v>
      </c>
      <c r="AA348" s="33" t="s">
        <v>241</v>
      </c>
      <c r="AJ348" s="166"/>
    </row>
    <row r="349" spans="3:36" s="153" customFormat="1" ht="15" thickBot="1" x14ac:dyDescent="0.35">
      <c r="C349" s="163"/>
      <c r="D349" s="239" t="s">
        <v>48</v>
      </c>
      <c r="E349" s="240" t="s">
        <v>255</v>
      </c>
      <c r="F349" s="241" t="s">
        <v>242</v>
      </c>
      <c r="G349" s="925" t="s">
        <v>256</v>
      </c>
      <c r="H349" s="240" t="s">
        <v>243</v>
      </c>
      <c r="I349" s="242" t="s">
        <v>25</v>
      </c>
      <c r="J349" s="469"/>
      <c r="K349" s="469"/>
      <c r="L349" s="122"/>
      <c r="M349" s="123"/>
      <c r="T349" s="154"/>
      <c r="W349" s="243" t="s">
        <v>51</v>
      </c>
      <c r="X349" s="240" t="s">
        <v>257</v>
      </c>
      <c r="Y349" s="241" t="s">
        <v>245</v>
      </c>
      <c r="Z349" s="240" t="s">
        <v>258</v>
      </c>
      <c r="AA349" s="240" t="s">
        <v>246</v>
      </c>
      <c r="AB349" s="244" t="s">
        <v>25</v>
      </c>
      <c r="AJ349" s="166"/>
    </row>
    <row r="350" spans="3:36" s="153" customFormat="1" ht="15" thickBot="1" x14ac:dyDescent="0.35">
      <c r="C350" s="163"/>
      <c r="D350" s="186" t="s">
        <v>30</v>
      </c>
      <c r="E350" s="197">
        <f>SUMIFS(DisplacementP[Individus],DisplacementP[Statut déplacé],"returnee",DisplacementP[adm2_name],$D350,DisplacementP[provenance_adm0],E$348)</f>
        <v>39</v>
      </c>
      <c r="F350" s="197">
        <f>SUMIFS(DisplacementP[Individus],DisplacementP[Statut déplacé],"returnee",DisplacementP[adm2_name],$D350,DisplacementP[provenance_adm0],F$348)</f>
        <v>0</v>
      </c>
      <c r="G350" s="197">
        <f>SUMIFS(DisplacementP[Individus],DisplacementP[Statut déplacé],"returnee",DisplacementP[adm2_name],$D350,DisplacementP[provenance_adm0],G$348)</f>
        <v>390</v>
      </c>
      <c r="H350" s="197">
        <f>SUMIFS(DisplacementP[Individus],DisplacementP[Statut déplacé],"returnee",DisplacementP[adm2_name],$D350,DisplacementP[provenance_adm0],H$348)</f>
        <v>0</v>
      </c>
      <c r="I350" s="177">
        <f t="shared" ref="I350:I355" si="103">SUM($E350:$H350)</f>
        <v>429</v>
      </c>
      <c r="J350" s="469"/>
      <c r="K350" s="469"/>
      <c r="L350" s="122"/>
      <c r="M350" s="123"/>
      <c r="T350" s="154"/>
      <c r="W350" s="178" t="s">
        <v>30</v>
      </c>
      <c r="X350" s="178">
        <f t="shared" ref="X350:AA355" si="104">E350</f>
        <v>39</v>
      </c>
      <c r="Y350" s="178">
        <f t="shared" si="104"/>
        <v>0</v>
      </c>
      <c r="Z350" s="178">
        <f t="shared" si="104"/>
        <v>390</v>
      </c>
      <c r="AA350" s="178">
        <f t="shared" si="104"/>
        <v>0</v>
      </c>
      <c r="AB350" s="179">
        <f t="shared" ref="AB350:AB355" si="105">SUM($X350:$AA350)</f>
        <v>429</v>
      </c>
      <c r="AJ350" s="166"/>
    </row>
    <row r="351" spans="3:36" s="153" customFormat="1" x14ac:dyDescent="0.3">
      <c r="C351" s="163"/>
      <c r="D351" s="245" t="s">
        <v>31</v>
      </c>
      <c r="E351" s="246">
        <f>SUMIFS(DisplacementP[Individus],DisplacementP[Statut déplacé],"returnee",DisplacementP[adm2_name],$D351,DisplacementP[provenance_adm0],E$348)</f>
        <v>48054</v>
      </c>
      <c r="F351" s="246">
        <f>SUMIFS(DisplacementP[Individus],DisplacementP[Statut déplacé],"returnee",DisplacementP[adm2_name],$D351,DisplacementP[provenance_adm0],F$348)</f>
        <v>3</v>
      </c>
      <c r="G351" s="246">
        <f>SUMIFS(DisplacementP[Individus],DisplacementP[Statut déplacé],"returnee",DisplacementP[adm2_name],$D351,DisplacementP[provenance_adm0],G$348)</f>
        <v>0</v>
      </c>
      <c r="H351" s="246">
        <f>SUMIFS(DisplacementP[Individus],DisplacementP[Statut déplacé],"returnee",DisplacementP[adm2_name],$D351,DisplacementP[provenance_adm0],H$348)</f>
        <v>14004</v>
      </c>
      <c r="I351" s="247">
        <f t="shared" si="103"/>
        <v>62061</v>
      </c>
      <c r="J351" s="469"/>
      <c r="K351" s="469"/>
      <c r="L351" s="122"/>
      <c r="M351" s="123"/>
      <c r="T351" s="154"/>
      <c r="W351" s="248" t="s">
        <v>31</v>
      </c>
      <c r="X351" s="248">
        <f t="shared" si="104"/>
        <v>48054</v>
      </c>
      <c r="Y351" s="248">
        <f t="shared" si="104"/>
        <v>3</v>
      </c>
      <c r="Z351" s="248">
        <f t="shared" si="104"/>
        <v>0</v>
      </c>
      <c r="AA351" s="248">
        <f t="shared" si="104"/>
        <v>14004</v>
      </c>
      <c r="AB351" s="249">
        <f t="shared" si="105"/>
        <v>62061</v>
      </c>
      <c r="AJ351" s="166"/>
    </row>
    <row r="352" spans="3:36" s="153" customFormat="1" x14ac:dyDescent="0.3">
      <c r="C352" s="163"/>
      <c r="D352" s="186" t="s">
        <v>32</v>
      </c>
      <c r="E352" s="197">
        <f>SUMIFS(DisplacementP[Individus],DisplacementP[Statut déplacé],"returnee",DisplacementP[adm2_name],$D352,DisplacementP[provenance_adm0],E$348)</f>
        <v>85815</v>
      </c>
      <c r="F352" s="197">
        <f>SUMIFS(DisplacementP[Individus],DisplacementP[Statut déplacé],"returnee",DisplacementP[adm2_name],$D352,DisplacementP[provenance_adm0],F$348)</f>
        <v>0</v>
      </c>
      <c r="G352" s="197">
        <f>SUMIFS(DisplacementP[Individus],DisplacementP[Statut déplacé],"returnee",DisplacementP[adm2_name],$D352,DisplacementP[provenance_adm0],G$348)</f>
        <v>0</v>
      </c>
      <c r="H352" s="197">
        <f>SUMIFS(DisplacementP[Individus],DisplacementP[Statut déplacé],"returnee",DisplacementP[adm2_name],$D352,DisplacementP[provenance_adm0],H$348)</f>
        <v>18</v>
      </c>
      <c r="I352" s="177">
        <f t="shared" si="103"/>
        <v>85833</v>
      </c>
      <c r="J352" s="469"/>
      <c r="K352" s="469"/>
      <c r="L352" s="122"/>
      <c r="M352" s="123"/>
      <c r="T352" s="154"/>
      <c r="W352" s="178" t="s">
        <v>32</v>
      </c>
      <c r="X352" s="178">
        <f t="shared" si="104"/>
        <v>85815</v>
      </c>
      <c r="Y352" s="178">
        <f t="shared" si="104"/>
        <v>0</v>
      </c>
      <c r="Z352" s="178">
        <f t="shared" si="104"/>
        <v>0</v>
      </c>
      <c r="AA352" s="178">
        <f t="shared" si="104"/>
        <v>18</v>
      </c>
      <c r="AB352" s="179">
        <f t="shared" si="105"/>
        <v>85833</v>
      </c>
      <c r="AJ352" s="166"/>
    </row>
    <row r="353" spans="3:36" s="153" customFormat="1" x14ac:dyDescent="0.3">
      <c r="C353" s="163"/>
      <c r="D353" s="245" t="s">
        <v>33</v>
      </c>
      <c r="E353" s="246">
        <f>SUMIFS(DisplacementP[Individus],DisplacementP[Statut déplacé],"returnee",DisplacementP[adm2_name],$D353,DisplacementP[provenance_adm0],E$348)</f>
        <v>166</v>
      </c>
      <c r="F353" s="246">
        <f>SUMIFS(DisplacementP[Individus],DisplacementP[Statut déplacé],"returnee",DisplacementP[adm2_name],$D353,DisplacementP[provenance_adm0],F$348)</f>
        <v>0</v>
      </c>
      <c r="G353" s="246">
        <f>SUMIFS(DisplacementP[Individus],DisplacementP[Statut déplacé],"returnee",DisplacementP[adm2_name],$D353,DisplacementP[provenance_adm0],G$348)</f>
        <v>21</v>
      </c>
      <c r="H353" s="246">
        <f>SUMIFS(DisplacementP[Individus],DisplacementP[Statut déplacé],"returnee",DisplacementP[adm2_name],$D353,DisplacementP[provenance_adm0],H$348)</f>
        <v>0</v>
      </c>
      <c r="I353" s="247">
        <f t="shared" si="103"/>
        <v>187</v>
      </c>
      <c r="J353" s="469"/>
      <c r="K353" s="469"/>
      <c r="L353" s="122"/>
      <c r="M353" s="123"/>
      <c r="T353" s="154"/>
      <c r="W353" s="248" t="s">
        <v>33</v>
      </c>
      <c r="X353" s="248">
        <f t="shared" si="104"/>
        <v>166</v>
      </c>
      <c r="Y353" s="248">
        <f t="shared" si="104"/>
        <v>0</v>
      </c>
      <c r="Z353" s="248">
        <f t="shared" si="104"/>
        <v>21</v>
      </c>
      <c r="AA353" s="248">
        <f t="shared" si="104"/>
        <v>0</v>
      </c>
      <c r="AB353" s="249">
        <f t="shared" si="105"/>
        <v>187</v>
      </c>
      <c r="AJ353" s="166"/>
    </row>
    <row r="354" spans="3:36" s="153" customFormat="1" x14ac:dyDescent="0.3">
      <c r="C354" s="163"/>
      <c r="D354" s="186" t="s">
        <v>34</v>
      </c>
      <c r="E354" s="197">
        <f>SUMIFS(DisplacementP[Individus],DisplacementP[Statut déplacé],"returnee",DisplacementP[adm2_name],$D354,DisplacementP[provenance_adm0],E$348)</f>
        <v>32870</v>
      </c>
      <c r="F354" s="197">
        <f>SUMIFS(DisplacementP[Individus],DisplacementP[Statut déplacé],"returnee",DisplacementP[adm2_name],$D354,DisplacementP[provenance_adm0],F$348)</f>
        <v>0</v>
      </c>
      <c r="G354" s="197">
        <f>SUMIFS(DisplacementP[Individus],DisplacementP[Statut déplacé],"returnee",DisplacementP[adm2_name],$D354,DisplacementP[provenance_adm0],G$348)</f>
        <v>0</v>
      </c>
      <c r="H354" s="197">
        <f>SUMIFS(DisplacementP[Individus],DisplacementP[Statut déplacé],"returnee",DisplacementP[adm2_name],$D354,DisplacementP[provenance_adm0],H$348)</f>
        <v>0</v>
      </c>
      <c r="I354" s="177">
        <f t="shared" si="103"/>
        <v>32870</v>
      </c>
      <c r="J354" s="469"/>
      <c r="K354" s="469"/>
      <c r="L354" s="122"/>
      <c r="M354" s="123"/>
      <c r="T354" s="154"/>
      <c r="W354" s="178" t="s">
        <v>34</v>
      </c>
      <c r="X354" s="178">
        <f t="shared" si="104"/>
        <v>32870</v>
      </c>
      <c r="Y354" s="178">
        <f t="shared" si="104"/>
        <v>0</v>
      </c>
      <c r="Z354" s="178">
        <f t="shared" si="104"/>
        <v>0</v>
      </c>
      <c r="AA354" s="178">
        <f t="shared" si="104"/>
        <v>0</v>
      </c>
      <c r="AB354" s="179">
        <f t="shared" si="105"/>
        <v>32870</v>
      </c>
      <c r="AJ354" s="166"/>
    </row>
    <row r="355" spans="3:36" s="153" customFormat="1" x14ac:dyDescent="0.3">
      <c r="C355" s="163"/>
      <c r="D355" s="245" t="s">
        <v>35</v>
      </c>
      <c r="E355" s="246">
        <f>SUMIFS(DisplacementP[Individus],DisplacementP[Statut déplacé],"returnee",DisplacementP[adm2_name],$D355,DisplacementP[provenance_adm0],E$348)</f>
        <v>19114</v>
      </c>
      <c r="F355" s="246">
        <f>SUMIFS(DisplacementP[Individus],DisplacementP[Statut déplacé],"returnee",DisplacementP[adm2_name],$D355,DisplacementP[provenance_adm0],F$348)</f>
        <v>2672</v>
      </c>
      <c r="G355" s="246">
        <f>SUMIFS(DisplacementP[Individus],DisplacementP[Statut déplacé],"returnee",DisplacementP[adm2_name],$D355,DisplacementP[provenance_adm0],G$348)</f>
        <v>0</v>
      </c>
      <c r="H355" s="246">
        <f>SUMIFS(DisplacementP[Individus],DisplacementP[Statut déplacé],"returnee",DisplacementP[adm2_name],$D355,DisplacementP[provenance_adm0],H$348)</f>
        <v>0</v>
      </c>
      <c r="I355" s="247">
        <f t="shared" si="103"/>
        <v>21786</v>
      </c>
      <c r="J355" s="469"/>
      <c r="K355" s="469"/>
      <c r="L355" s="122"/>
      <c r="M355" s="123"/>
      <c r="T355" s="154"/>
      <c r="W355" s="248" t="s">
        <v>35</v>
      </c>
      <c r="X355" s="248">
        <f t="shared" si="104"/>
        <v>19114</v>
      </c>
      <c r="Y355" s="248">
        <f t="shared" si="104"/>
        <v>2672</v>
      </c>
      <c r="Z355" s="248">
        <f t="shared" si="104"/>
        <v>0</v>
      </c>
      <c r="AA355" s="248">
        <f t="shared" si="104"/>
        <v>0</v>
      </c>
      <c r="AB355" s="249">
        <f t="shared" si="105"/>
        <v>21786</v>
      </c>
      <c r="AJ355" s="166"/>
    </row>
    <row r="356" spans="3:36" s="153" customFormat="1" x14ac:dyDescent="0.3">
      <c r="C356" s="163"/>
      <c r="D356" s="250" t="s">
        <v>25</v>
      </c>
      <c r="E356" s="251">
        <f>SUM(E350:E355)</f>
        <v>186058</v>
      </c>
      <c r="F356" s="251">
        <f>SUM(F350:F355)</f>
        <v>2675</v>
      </c>
      <c r="G356" s="251">
        <f>SUBTOTAL(109,$G$350:$G$355)</f>
        <v>411</v>
      </c>
      <c r="H356" s="251">
        <f>SUBTOTAL(109,$H$350:$H$355)</f>
        <v>14022</v>
      </c>
      <c r="I356" s="252">
        <f>SUBTOTAL(109,$I$350:$I$355)</f>
        <v>203166</v>
      </c>
      <c r="J356" s="469"/>
      <c r="K356" s="469"/>
      <c r="L356" s="122"/>
      <c r="M356" s="123"/>
      <c r="T356" s="154"/>
      <c r="W356" s="253" t="s">
        <v>25</v>
      </c>
      <c r="X356" s="253">
        <f>SUM(X350:X355)</f>
        <v>186058</v>
      </c>
      <c r="Y356" s="253">
        <f>SUM(Y350:Y355)</f>
        <v>2675</v>
      </c>
      <c r="Z356" s="253">
        <f>SUM(Z350:Z355)</f>
        <v>411</v>
      </c>
      <c r="AA356" s="253">
        <f>SUM(AA350:AA355)</f>
        <v>14022</v>
      </c>
      <c r="AB356" s="254">
        <f>SUBTOTAL(109,$AB$350:$AB$355)</f>
        <v>203166</v>
      </c>
      <c r="AJ356" s="166"/>
    </row>
    <row r="357" spans="3:36" s="153" customFormat="1" x14ac:dyDescent="0.3">
      <c r="C357" s="163"/>
      <c r="D357" s="124"/>
      <c r="E357" s="1287">
        <f>$E$356/$I$356</f>
        <v>0.91579299685971083</v>
      </c>
      <c r="F357" s="1287">
        <f>$F$356/$I$356</f>
        <v>1.3166573147081697E-2</v>
      </c>
      <c r="G357" s="1287">
        <f>$G$356/$I$356</f>
        <v>2.0229762854020849E-3</v>
      </c>
      <c r="H357" s="1287">
        <f>$H$356/$I$356</f>
        <v>6.9017453707805446E-2</v>
      </c>
      <c r="I357" s="1288">
        <f>SUM(E357:H357)</f>
        <v>1</v>
      </c>
      <c r="J357" s="469"/>
      <c r="K357" s="469"/>
      <c r="L357" s="123"/>
      <c r="T357" s="154"/>
      <c r="X357" s="184">
        <f>E357</f>
        <v>0.91579299685971083</v>
      </c>
      <c r="Y357" s="184">
        <f>F357</f>
        <v>1.3166573147081697E-2</v>
      </c>
      <c r="Z357" s="184">
        <f>G357</f>
        <v>2.0229762854020849E-3</v>
      </c>
      <c r="AA357" s="184">
        <f>H357</f>
        <v>6.9017453707805446E-2</v>
      </c>
      <c r="AB357" s="184">
        <f>I357</f>
        <v>1</v>
      </c>
      <c r="AJ357" s="166"/>
    </row>
    <row r="358" spans="3:36" s="153" customFormat="1" x14ac:dyDescent="0.3">
      <c r="C358" s="163"/>
      <c r="D358" s="124"/>
      <c r="E358" s="122"/>
      <c r="F358" s="123"/>
      <c r="G358" s="122"/>
      <c r="H358" s="123"/>
      <c r="I358" s="122"/>
      <c r="J358" s="469"/>
      <c r="K358" s="469"/>
      <c r="L358" s="123"/>
      <c r="T358" s="154"/>
      <c r="AJ358" s="166"/>
    </row>
    <row r="359" spans="3:36" s="153" customFormat="1" x14ac:dyDescent="0.3">
      <c r="C359" s="163"/>
      <c r="D359" s="468" t="s">
        <v>259</v>
      </c>
      <c r="E359" s="123"/>
      <c r="F359" s="122"/>
      <c r="G359" s="123"/>
      <c r="H359" s="122"/>
      <c r="I359" s="123"/>
      <c r="J359" s="123"/>
      <c r="K359" s="123"/>
      <c r="T359" s="154"/>
      <c r="W359" s="195" t="s">
        <v>260</v>
      </c>
      <c r="AJ359" s="166"/>
    </row>
    <row r="360" spans="3:36" s="153" customFormat="1" x14ac:dyDescent="0.3">
      <c r="C360" s="163"/>
      <c r="D360" s="167"/>
      <c r="E360" s="123"/>
      <c r="F360" s="122"/>
      <c r="G360" s="123"/>
      <c r="H360" s="122"/>
      <c r="I360" s="123"/>
      <c r="J360" s="123"/>
      <c r="K360" s="123"/>
      <c r="T360" s="154"/>
      <c r="AJ360" s="166"/>
    </row>
    <row r="361" spans="3:36" s="153" customFormat="1" ht="15" thickBot="1" x14ac:dyDescent="0.35">
      <c r="C361" s="163"/>
      <c r="D361" s="1334" t="s">
        <v>261</v>
      </c>
      <c r="E361" s="1335"/>
      <c r="F361" s="1335"/>
      <c r="G361" s="1335"/>
      <c r="H361" s="1335"/>
      <c r="I361" s="1335"/>
      <c r="J361" s="1335"/>
      <c r="K361" s="1335"/>
      <c r="L361" s="1336"/>
      <c r="O361" s="228"/>
      <c r="P361" s="228"/>
      <c r="Q361" s="228"/>
      <c r="R361" s="228"/>
      <c r="T361" s="154"/>
      <c r="W361" s="1304" t="s">
        <v>262</v>
      </c>
      <c r="X361" s="1304"/>
      <c r="Y361" s="1304"/>
      <c r="Z361" s="1304"/>
      <c r="AA361" s="1304"/>
      <c r="AB361" s="1304"/>
      <c r="AC361" s="1304"/>
      <c r="AD361" s="1304"/>
      <c r="AE361" s="1304"/>
      <c r="AJ361" s="166"/>
    </row>
    <row r="362" spans="3:36" s="153" customFormat="1" ht="15" thickBot="1" x14ac:dyDescent="0.35">
      <c r="C362" s="163"/>
      <c r="D362" s="1267" t="s">
        <v>48</v>
      </c>
      <c r="E362" s="241" t="s">
        <v>30</v>
      </c>
      <c r="F362" s="241" t="s">
        <v>31</v>
      </c>
      <c r="G362" s="241" t="s">
        <v>32</v>
      </c>
      <c r="H362" s="241" t="s">
        <v>33</v>
      </c>
      <c r="I362" s="241" t="s">
        <v>34</v>
      </c>
      <c r="J362" s="241" t="s">
        <v>35</v>
      </c>
      <c r="K362" s="241" t="s">
        <v>263</v>
      </c>
      <c r="L362" s="1268" t="s">
        <v>25</v>
      </c>
      <c r="O362" s="255"/>
      <c r="P362" s="255"/>
      <c r="Q362" s="255"/>
      <c r="R362" s="255"/>
      <c r="T362" s="154"/>
      <c r="W362" s="243" t="s">
        <v>51</v>
      </c>
      <c r="X362" s="241" t="s">
        <v>30</v>
      </c>
      <c r="Y362" s="241" t="s">
        <v>31</v>
      </c>
      <c r="Z362" s="241" t="s">
        <v>32</v>
      </c>
      <c r="AA362" s="241" t="s">
        <v>33</v>
      </c>
      <c r="AB362" s="241" t="s">
        <v>34</v>
      </c>
      <c r="AC362" s="241" t="s">
        <v>35</v>
      </c>
      <c r="AD362" s="241" t="s">
        <v>247</v>
      </c>
      <c r="AE362" s="242" t="s">
        <v>25</v>
      </c>
      <c r="AJ362" s="166"/>
    </row>
    <row r="363" spans="3:36" s="153" customFormat="1" ht="15" thickBot="1" x14ac:dyDescent="0.35">
      <c r="C363" s="1310" t="s">
        <v>230</v>
      </c>
      <c r="D363" s="900" t="s">
        <v>30</v>
      </c>
      <c r="E363" s="197">
        <f>SUMIFS(DisplacementP[Individus],DisplacementP[adm2_name],$D363,DisplacementP[Statut déplacé],"returnee",DisplacementP[provenance_adm2_nom],$E$362)</f>
        <v>0</v>
      </c>
      <c r="F363" s="197">
        <f>SUMIFS(DisplacementP[Individus],DisplacementP[adm2_name],$D363,DisplacementP[Statut déplacé],"returnee",DisplacementP[provenance_adm2_nom],$F$362)</f>
        <v>0</v>
      </c>
      <c r="G363" s="197">
        <f>SUMIFS(DisplacementP[Individus],DisplacementP[adm2_name],$D363,DisplacementP[Statut déplacé],"returnee",DisplacementP[provenance_adm2_nom],$G$362)</f>
        <v>0</v>
      </c>
      <c r="H363" s="197">
        <f>SUMIFS(DisplacementP[Individus],DisplacementP[adm2_name],$D363,DisplacementP[Statut déplacé],"returnee",DisplacementP[provenance_adm2_nom],$H$362)</f>
        <v>0</v>
      </c>
      <c r="I363" s="197">
        <f>SUMIFS(DisplacementP[Individus],DisplacementP[adm2_name],$D363,DisplacementP[Statut déplacé],"returnee",DisplacementP[provenance_adm2_nom],$I$362)</f>
        <v>39</v>
      </c>
      <c r="J363" s="197">
        <f>SUMIFS(DisplacementP[Individus],DisplacementP[adm2_name],$D363,DisplacementP[Statut déplacé],"returnee",DisplacementP[provenance_adm2_nom],$J$362)</f>
        <v>0</v>
      </c>
      <c r="K363" s="197">
        <f>(SUMIFS(DisplacementP[Individus],DisplacementP[adm2_name],$D363,DisplacementP[Statut déplacé],"returnee",DisplacementP[provenance_adm0],"CMR"))-(SUMIFS(DisplacementP[Individus],DisplacementP[adm2_name],$D363,DisplacementP[Statut déplacé],"returnee",DisplacementP[provenance_adm0],"CMR",DisplacementP[provenance_adm1_nom],"Extrême-Nord"))</f>
        <v>0</v>
      </c>
      <c r="L363" s="919">
        <f t="shared" ref="L363:L368" si="106">SUM($E363:$K363)</f>
        <v>39</v>
      </c>
      <c r="O363" s="256"/>
      <c r="P363" s="256"/>
      <c r="Q363" s="256"/>
      <c r="R363" s="256"/>
      <c r="T363" s="154"/>
      <c r="W363" s="178" t="s">
        <v>30</v>
      </c>
      <c r="X363" s="178">
        <f t="shared" ref="X363:AD368" si="107">E363</f>
        <v>0</v>
      </c>
      <c r="Y363" s="178">
        <f t="shared" si="107"/>
        <v>0</v>
      </c>
      <c r="Z363" s="178">
        <f t="shared" si="107"/>
        <v>0</v>
      </c>
      <c r="AA363" s="178">
        <f t="shared" si="107"/>
        <v>0</v>
      </c>
      <c r="AB363" s="178">
        <f t="shared" si="107"/>
        <v>39</v>
      </c>
      <c r="AC363" s="178">
        <f t="shared" si="107"/>
        <v>0</v>
      </c>
      <c r="AD363" s="178">
        <f t="shared" si="107"/>
        <v>0</v>
      </c>
      <c r="AE363" s="179">
        <f t="shared" ref="AE363:AE368" si="108">SUM($E363:$K363)</f>
        <v>39</v>
      </c>
      <c r="AJ363" s="166"/>
    </row>
    <row r="364" spans="3:36" s="153" customFormat="1" ht="15" thickBot="1" x14ac:dyDescent="0.35">
      <c r="C364" s="1310"/>
      <c r="D364" s="1269" t="s">
        <v>31</v>
      </c>
      <c r="E364" s="246">
        <f>SUMIFS(DisplacementP[Individus],DisplacementP[adm2_name],$D364,DisplacementP[Statut déplacé],"returnee",DisplacementP[provenance_adm2_nom],$E$362)</f>
        <v>0</v>
      </c>
      <c r="F364" s="246">
        <f>SUMIFS(DisplacementP[Individus],DisplacementP[adm2_name],$D364,DisplacementP[Statut déplacé],"returnee",DisplacementP[provenance_adm2_nom],$F$362)</f>
        <v>48054</v>
      </c>
      <c r="G364" s="246">
        <f>SUMIFS(DisplacementP[Individus],DisplacementP[adm2_name],$D364,DisplacementP[Statut déplacé],"returnee",DisplacementP[provenance_adm2_nom],$G$362)</f>
        <v>0</v>
      </c>
      <c r="H364" s="246">
        <f>SUMIFS(DisplacementP[Individus],DisplacementP[adm2_name],$D364,DisplacementP[Statut déplacé],"returnee",DisplacementP[provenance_adm2_nom],$H$362)</f>
        <v>0</v>
      </c>
      <c r="I364" s="246">
        <f>SUMIFS(DisplacementP[Individus],DisplacementP[adm2_name],$D364,DisplacementP[Statut déplacé],"returnee",DisplacementP[provenance_adm2_nom],$I$362)</f>
        <v>0</v>
      </c>
      <c r="J364" s="246">
        <f>SUMIFS(DisplacementP[Individus],DisplacementP[adm2_name],$D364,DisplacementP[Statut déplacé],"returnee",DisplacementP[provenance_adm2_nom],$J$362)</f>
        <v>0</v>
      </c>
      <c r="K364" s="246">
        <f>(SUMIFS(DisplacementP[Individus],DisplacementP[adm2_name],$D364,DisplacementP[Statut déplacé],"returnee",DisplacementP[provenance_adm0],"CMR"))-(SUMIFS(DisplacementP[Individus],DisplacementP[adm2_name],$D364,DisplacementP[Statut déplacé],"returnee",DisplacementP[provenance_adm0],"CMR",DisplacementP[provenance_adm1_nom],"Extrême-Nord"))</f>
        <v>0</v>
      </c>
      <c r="L364" s="1270">
        <f t="shared" si="106"/>
        <v>48054</v>
      </c>
      <c r="O364" s="256"/>
      <c r="P364" s="256"/>
      <c r="Q364" s="256"/>
      <c r="R364" s="256"/>
      <c r="T364" s="154"/>
      <c r="W364" s="248" t="s">
        <v>31</v>
      </c>
      <c r="X364" s="248">
        <f t="shared" si="107"/>
        <v>0</v>
      </c>
      <c r="Y364" s="248">
        <f t="shared" si="107"/>
        <v>48054</v>
      </c>
      <c r="Z364" s="248">
        <f t="shared" si="107"/>
        <v>0</v>
      </c>
      <c r="AA364" s="248">
        <f t="shared" si="107"/>
        <v>0</v>
      </c>
      <c r="AB364" s="248">
        <f t="shared" si="107"/>
        <v>0</v>
      </c>
      <c r="AC364" s="248">
        <f t="shared" si="107"/>
        <v>0</v>
      </c>
      <c r="AD364" s="248">
        <f t="shared" si="107"/>
        <v>0</v>
      </c>
      <c r="AE364" s="249">
        <f t="shared" si="108"/>
        <v>48054</v>
      </c>
      <c r="AJ364" s="166"/>
    </row>
    <row r="365" spans="3:36" s="153" customFormat="1" ht="15" thickBot="1" x14ac:dyDescent="0.35">
      <c r="C365" s="1310"/>
      <c r="D365" s="900" t="s">
        <v>32</v>
      </c>
      <c r="E365" s="197">
        <f>SUMIFS(DisplacementP[Individus],DisplacementP[adm2_name],$D365,DisplacementP[Statut déplacé],"returnee",DisplacementP[provenance_adm2_nom],$E$362)</f>
        <v>4676</v>
      </c>
      <c r="F365" s="197">
        <f>SUMIFS(DisplacementP[Individus],DisplacementP[adm2_name],$D365,DisplacementP[Statut déplacé],"returnee",DisplacementP[provenance_adm2_nom],$F$362)</f>
        <v>233</v>
      </c>
      <c r="G365" s="197">
        <f>SUMIFS(DisplacementP[Individus],DisplacementP[adm2_name],$D365,DisplacementP[Statut déplacé],"returnee",DisplacementP[provenance_adm2_nom],$G$362)</f>
        <v>80880</v>
      </c>
      <c r="H365" s="197">
        <f>SUMIFS(DisplacementP[Individus],DisplacementP[adm2_name],$D365,DisplacementP[Statut déplacé],"returnee",DisplacementP[provenance_adm2_nom],$H$362)</f>
        <v>0</v>
      </c>
      <c r="I365" s="197">
        <f>SUMIFS(DisplacementP[Individus],DisplacementP[adm2_name],$D365,DisplacementP[Statut déplacé],"returnee",DisplacementP[provenance_adm2_nom],$I$362)</f>
        <v>0</v>
      </c>
      <c r="J365" s="197">
        <f>SUMIFS(DisplacementP[Individus],DisplacementP[adm2_name],$D365,DisplacementP[Statut déplacé],"returnee",DisplacementP[provenance_adm2_nom],$J$362)</f>
        <v>26</v>
      </c>
      <c r="K365" s="197">
        <f>(SUMIFS(DisplacementP[Individus],DisplacementP[adm2_name],$D365,DisplacementP[Statut déplacé],"returnee",DisplacementP[provenance_adm0],"CMR"))-(SUMIFS(DisplacementP[Individus],DisplacementP[adm2_name],$D365,DisplacementP[Statut déplacé],"returnee",DisplacementP[provenance_adm0],"CMR",DisplacementP[provenance_adm1_nom],"Extrême-Nord"))</f>
        <v>0</v>
      </c>
      <c r="L365" s="919">
        <f t="shared" si="106"/>
        <v>85815</v>
      </c>
      <c r="O365" s="256"/>
      <c r="P365" s="256"/>
      <c r="Q365" s="256"/>
      <c r="R365" s="256"/>
      <c r="T365" s="154"/>
      <c r="W365" s="178" t="s">
        <v>32</v>
      </c>
      <c r="X365" s="178">
        <f t="shared" si="107"/>
        <v>4676</v>
      </c>
      <c r="Y365" s="178">
        <f t="shared" si="107"/>
        <v>233</v>
      </c>
      <c r="Z365" s="178">
        <f t="shared" si="107"/>
        <v>80880</v>
      </c>
      <c r="AA365" s="178">
        <f t="shared" si="107"/>
        <v>0</v>
      </c>
      <c r="AB365" s="178">
        <f t="shared" si="107"/>
        <v>0</v>
      </c>
      <c r="AC365" s="178">
        <f t="shared" si="107"/>
        <v>26</v>
      </c>
      <c r="AD365" s="178">
        <f t="shared" si="107"/>
        <v>0</v>
      </c>
      <c r="AE365" s="179">
        <f t="shared" si="108"/>
        <v>85815</v>
      </c>
      <c r="AJ365" s="166"/>
    </row>
    <row r="366" spans="3:36" s="153" customFormat="1" ht="15" thickBot="1" x14ac:dyDescent="0.35">
      <c r="C366" s="1310"/>
      <c r="D366" s="1269" t="s">
        <v>33</v>
      </c>
      <c r="E366" s="246">
        <f>SUMIFS(DisplacementP[Individus],DisplacementP[adm2_name],$D366,DisplacementP[Statut déplacé],"returnee",DisplacementP[provenance_adm2_nom],$E$362)</f>
        <v>0</v>
      </c>
      <c r="F366" s="246">
        <f>SUMIFS(DisplacementP[Individus],DisplacementP[adm2_name],$D366,DisplacementP[Statut déplacé],"returnee",DisplacementP[provenance_adm2_nom],$F$362)</f>
        <v>63</v>
      </c>
      <c r="G366" s="246">
        <f>SUMIFS(DisplacementP[Individus],DisplacementP[adm2_name],$D366,DisplacementP[Statut déplacé],"returnee",DisplacementP[provenance_adm2_nom],$G$362)</f>
        <v>0</v>
      </c>
      <c r="H366" s="246">
        <f>SUMIFS(DisplacementP[Individus],DisplacementP[adm2_name],$D366,DisplacementP[Statut déplacé],"returnee",DisplacementP[provenance_adm2_nom],$H$362)</f>
        <v>20</v>
      </c>
      <c r="I366" s="246">
        <f>SUMIFS(DisplacementP[Individus],DisplacementP[adm2_name],$D366,DisplacementP[Statut déplacé],"returnee",DisplacementP[provenance_adm2_nom],$I$362)</f>
        <v>83</v>
      </c>
      <c r="J366" s="246">
        <f>SUMIFS(DisplacementP[Individus],DisplacementP[adm2_name],$D366,DisplacementP[Statut déplacé],"returnee",DisplacementP[provenance_adm2_nom],$J$362)</f>
        <v>0</v>
      </c>
      <c r="K366" s="246">
        <f>(SUMIFS(DisplacementP[Individus],DisplacementP[adm2_name],$D366,DisplacementP[Statut déplacé],"returnee",DisplacementP[provenance_adm0],"CMR"))-(SUMIFS(DisplacementP[Individus],DisplacementP[adm2_name],$D366,DisplacementP[Statut déplacé],"returnee",DisplacementP[provenance_adm0],"CMR",DisplacementP[provenance_adm1_nom],"Extrême-Nord"))</f>
        <v>0</v>
      </c>
      <c r="L366" s="1270">
        <f t="shared" si="106"/>
        <v>166</v>
      </c>
      <c r="O366" s="256"/>
      <c r="P366" s="256"/>
      <c r="Q366" s="256"/>
      <c r="R366" s="256"/>
      <c r="T366" s="154"/>
      <c r="W366" s="248" t="s">
        <v>33</v>
      </c>
      <c r="X366" s="248">
        <f t="shared" si="107"/>
        <v>0</v>
      </c>
      <c r="Y366" s="248">
        <f t="shared" si="107"/>
        <v>63</v>
      </c>
      <c r="Z366" s="248">
        <f t="shared" si="107"/>
        <v>0</v>
      </c>
      <c r="AA366" s="248">
        <f t="shared" si="107"/>
        <v>20</v>
      </c>
      <c r="AB366" s="248">
        <f t="shared" si="107"/>
        <v>83</v>
      </c>
      <c r="AC366" s="248">
        <f t="shared" si="107"/>
        <v>0</v>
      </c>
      <c r="AD366" s="248">
        <f t="shared" si="107"/>
        <v>0</v>
      </c>
      <c r="AE366" s="249">
        <f t="shared" si="108"/>
        <v>166</v>
      </c>
      <c r="AJ366" s="166"/>
    </row>
    <row r="367" spans="3:36" s="153" customFormat="1" ht="15" thickBot="1" x14ac:dyDescent="0.35">
      <c r="C367" s="1310"/>
      <c r="D367" s="900" t="s">
        <v>34</v>
      </c>
      <c r="E367" s="197">
        <f>SUMIFS(DisplacementP[Individus],DisplacementP[adm2_name],$D367,DisplacementP[Statut déplacé],"returnee",DisplacementP[provenance_adm2_nom],$E$362)</f>
        <v>0</v>
      </c>
      <c r="F367" s="197">
        <f>SUMIFS(DisplacementP[Individus],DisplacementP[adm2_name],$D367,DisplacementP[Statut déplacé],"returnee",DisplacementP[provenance_adm2_nom],$F$362)</f>
        <v>0</v>
      </c>
      <c r="G367" s="197">
        <f>SUMIFS(DisplacementP[Individus],DisplacementP[adm2_name],$D367,DisplacementP[Statut déplacé],"returnee",DisplacementP[provenance_adm2_nom],$G$362)</f>
        <v>0</v>
      </c>
      <c r="H367" s="197">
        <f>SUMIFS(DisplacementP[Individus],DisplacementP[adm2_name],$D367,DisplacementP[Statut déplacé],"returnee",DisplacementP[provenance_adm2_nom],$H$362)</f>
        <v>0</v>
      </c>
      <c r="I367" s="197">
        <f>SUMIFS(DisplacementP[Individus],DisplacementP[adm2_name],$D367,DisplacementP[Statut déplacé],"returnee",DisplacementP[provenance_adm2_nom],$I$362)</f>
        <v>32870</v>
      </c>
      <c r="J367" s="197">
        <f>SUMIFS(DisplacementP[Individus],DisplacementP[adm2_name],$D367,DisplacementP[Statut déplacé],"returnee",DisplacementP[provenance_adm2_nom],$J$362)</f>
        <v>0</v>
      </c>
      <c r="K367" s="197">
        <f>(SUMIFS(DisplacementP[Individus],DisplacementP[adm2_name],$D367,DisplacementP[Statut déplacé],"returnee",DisplacementP[provenance_adm0],"CMR"))-(SUMIFS(DisplacementP[Individus],DisplacementP[adm2_name],$D367,DisplacementP[Statut déplacé],"returnee",DisplacementP[provenance_adm0],"CMR",DisplacementP[provenance_adm1_nom],"Extrême-Nord"))</f>
        <v>0</v>
      </c>
      <c r="L367" s="919">
        <f t="shared" si="106"/>
        <v>32870</v>
      </c>
      <c r="O367" s="256"/>
      <c r="P367" s="256"/>
      <c r="Q367" s="256"/>
      <c r="R367" s="256"/>
      <c r="T367" s="154"/>
      <c r="W367" s="178" t="s">
        <v>34</v>
      </c>
      <c r="X367" s="178">
        <f t="shared" si="107"/>
        <v>0</v>
      </c>
      <c r="Y367" s="178">
        <f t="shared" si="107"/>
        <v>0</v>
      </c>
      <c r="Z367" s="178">
        <f t="shared" si="107"/>
        <v>0</v>
      </c>
      <c r="AA367" s="178">
        <f t="shared" si="107"/>
        <v>0</v>
      </c>
      <c r="AB367" s="178">
        <f t="shared" si="107"/>
        <v>32870</v>
      </c>
      <c r="AC367" s="178">
        <f t="shared" si="107"/>
        <v>0</v>
      </c>
      <c r="AD367" s="178">
        <f t="shared" si="107"/>
        <v>0</v>
      </c>
      <c r="AE367" s="179">
        <f t="shared" si="108"/>
        <v>32870</v>
      </c>
      <c r="AJ367" s="166"/>
    </row>
    <row r="368" spans="3:36" s="153" customFormat="1" ht="15" thickBot="1" x14ac:dyDescent="0.35">
      <c r="C368" s="1310"/>
      <c r="D368" s="1269" t="s">
        <v>35</v>
      </c>
      <c r="E368" s="246">
        <f>SUMIFS(DisplacementP[Individus],DisplacementP[adm2_name],$D368,DisplacementP[Statut déplacé],"returnee",DisplacementP[provenance_adm2_nom],$E$362)</f>
        <v>0</v>
      </c>
      <c r="F368" s="246">
        <f>SUMIFS(DisplacementP[Individus],DisplacementP[adm2_name],$D368,DisplacementP[Statut déplacé],"returnee",DisplacementP[provenance_adm2_nom],$F$362)</f>
        <v>0</v>
      </c>
      <c r="G368" s="246">
        <f>SUMIFS(DisplacementP[Individus],DisplacementP[adm2_name],$D368,DisplacementP[Statut déplacé],"returnee",DisplacementP[provenance_adm2_nom],$G$362)</f>
        <v>0</v>
      </c>
      <c r="H368" s="246">
        <f>SUMIFS(DisplacementP[Individus],DisplacementP[adm2_name],$D368,DisplacementP[Statut déplacé],"returnee",DisplacementP[provenance_adm2_nom],$H$362)</f>
        <v>0</v>
      </c>
      <c r="I368" s="246">
        <f>SUMIFS(DisplacementP[Individus],DisplacementP[adm2_name],$D368,DisplacementP[Statut déplacé],"returnee",DisplacementP[provenance_adm2_nom],$I$362)</f>
        <v>60</v>
      </c>
      <c r="J368" s="246">
        <f>SUMIFS(DisplacementP[Individus],DisplacementP[adm2_name],$D368,DisplacementP[Statut déplacé],"returnee",DisplacementP[provenance_adm2_nom],$J$362)</f>
        <v>17405</v>
      </c>
      <c r="K368" s="246">
        <f>(SUMIFS(DisplacementP[Individus],DisplacementP[adm2_name],$D368,DisplacementP[Statut déplacé],"returnee",DisplacementP[provenance_adm0],"CMR"))-(SUMIFS(DisplacementP[Individus],DisplacementP[adm2_name],$D368,DisplacementP[Statut déplacé],"returnee",DisplacementP[provenance_adm0],"CMR",DisplacementP[provenance_adm1_nom],"Extrême-Nord"))</f>
        <v>1649</v>
      </c>
      <c r="L368" s="1270">
        <f t="shared" si="106"/>
        <v>19114</v>
      </c>
      <c r="O368" s="256"/>
      <c r="P368" s="256"/>
      <c r="Q368" s="256"/>
      <c r="R368" s="256"/>
      <c r="T368" s="154"/>
      <c r="W368" s="248" t="s">
        <v>35</v>
      </c>
      <c r="X368" s="248">
        <f t="shared" si="107"/>
        <v>0</v>
      </c>
      <c r="Y368" s="248">
        <f t="shared" si="107"/>
        <v>0</v>
      </c>
      <c r="Z368" s="248">
        <f t="shared" si="107"/>
        <v>0</v>
      </c>
      <c r="AA368" s="248">
        <f t="shared" si="107"/>
        <v>0</v>
      </c>
      <c r="AB368" s="248">
        <f t="shared" si="107"/>
        <v>60</v>
      </c>
      <c r="AC368" s="248">
        <f t="shared" si="107"/>
        <v>17405</v>
      </c>
      <c r="AD368" s="248">
        <f t="shared" si="107"/>
        <v>1649</v>
      </c>
      <c r="AE368" s="249">
        <f t="shared" si="108"/>
        <v>19114</v>
      </c>
      <c r="AJ368" s="166"/>
    </row>
    <row r="369" spans="3:36" s="153" customFormat="1" ht="15" thickBot="1" x14ac:dyDescent="0.35">
      <c r="C369" s="1310"/>
      <c r="D369" s="1271" t="s">
        <v>25</v>
      </c>
      <c r="E369" s="1272">
        <f t="shared" ref="E369:L369" si="109">SUM(E363:E368)</f>
        <v>4676</v>
      </c>
      <c r="F369" s="1272">
        <f t="shared" si="109"/>
        <v>48350</v>
      </c>
      <c r="G369" s="1272">
        <f t="shared" si="109"/>
        <v>80880</v>
      </c>
      <c r="H369" s="1272">
        <f t="shared" si="109"/>
        <v>20</v>
      </c>
      <c r="I369" s="1272">
        <f t="shared" si="109"/>
        <v>33052</v>
      </c>
      <c r="J369" s="1272">
        <f t="shared" si="109"/>
        <v>17431</v>
      </c>
      <c r="K369" s="1272">
        <f t="shared" si="109"/>
        <v>1649</v>
      </c>
      <c r="L369" s="1273">
        <f t="shared" si="109"/>
        <v>186058</v>
      </c>
      <c r="O369" s="237"/>
      <c r="P369" s="237"/>
      <c r="Q369" s="237"/>
      <c r="R369" s="237"/>
      <c r="T369" s="154"/>
      <c r="V369" s="257"/>
      <c r="W369" s="253" t="s">
        <v>25</v>
      </c>
      <c r="X369" s="253">
        <f t="shared" ref="X369:AC369" si="110">SUM(X363:X368)</f>
        <v>4676</v>
      </c>
      <c r="Y369" s="253">
        <f t="shared" si="110"/>
        <v>48350</v>
      </c>
      <c r="Z369" s="253">
        <f t="shared" si="110"/>
        <v>80880</v>
      </c>
      <c r="AA369" s="253">
        <f t="shared" si="110"/>
        <v>20</v>
      </c>
      <c r="AB369" s="253">
        <f>SUM(AB363:AB368)</f>
        <v>33052</v>
      </c>
      <c r="AC369" s="253">
        <f t="shared" si="110"/>
        <v>17431</v>
      </c>
      <c r="AD369" s="253">
        <f>SUBTOTAL(109,$AD$363:$AD$368)</f>
        <v>1649</v>
      </c>
      <c r="AE369" s="254">
        <f>SUBTOTAL(109,$AE$363:$AE$368)</f>
        <v>186058</v>
      </c>
      <c r="AJ369" s="166"/>
    </row>
    <row r="370" spans="3:36" s="153" customFormat="1" x14ac:dyDescent="0.3">
      <c r="C370" s="163"/>
      <c r="D370" s="202"/>
      <c r="E370" s="203"/>
      <c r="F370" s="203"/>
      <c r="G370" s="203"/>
      <c r="H370" s="203"/>
      <c r="I370" s="203"/>
      <c r="J370" s="203"/>
      <c r="K370" s="203"/>
      <c r="L370" s="203"/>
      <c r="M370" s="203"/>
      <c r="N370" s="203"/>
      <c r="O370" s="203"/>
      <c r="P370" s="203"/>
      <c r="Q370" s="203"/>
      <c r="R370" s="203"/>
      <c r="T370" s="154"/>
      <c r="V370" s="257"/>
      <c r="W370" s="204"/>
      <c r="X370" s="203"/>
      <c r="Y370" s="203"/>
      <c r="Z370" s="203"/>
      <c r="AA370" s="203"/>
      <c r="AB370" s="203"/>
      <c r="AC370" s="203"/>
      <c r="AD370" s="203"/>
      <c r="AE370" s="203"/>
      <c r="AF370" s="203"/>
      <c r="AJ370" s="166"/>
    </row>
    <row r="371" spans="3:36" s="153" customFormat="1" x14ac:dyDescent="0.3">
      <c r="C371" s="163"/>
      <c r="D371" s="1305" t="s">
        <v>264</v>
      </c>
      <c r="E371" s="1305"/>
      <c r="F371" s="1305"/>
      <c r="G371" s="203"/>
      <c r="H371" s="203"/>
      <c r="I371" s="203"/>
      <c r="J371" s="203"/>
      <c r="K371" s="203"/>
      <c r="L371" s="203"/>
      <c r="M371" s="203"/>
      <c r="N371" s="203"/>
      <c r="O371" s="203"/>
      <c r="P371" s="203"/>
      <c r="Q371" s="203"/>
      <c r="R371" s="203"/>
      <c r="T371" s="154"/>
      <c r="W371" s="581" t="s">
        <v>265</v>
      </c>
      <c r="X371" s="581"/>
      <c r="Y371" s="581"/>
      <c r="Z371" s="203"/>
      <c r="AA371" s="203"/>
      <c r="AB371" s="203"/>
      <c r="AC371" s="203"/>
      <c r="AD371" s="203"/>
      <c r="AE371" s="203"/>
      <c r="AF371" s="203"/>
      <c r="AJ371" s="166"/>
    </row>
    <row r="372" spans="3:36" s="153" customFormat="1" ht="15" thickBot="1" x14ac:dyDescent="0.35">
      <c r="C372" s="163"/>
      <c r="D372" s="258"/>
      <c r="E372" s="123"/>
      <c r="F372" s="122"/>
      <c r="G372" s="203"/>
      <c r="H372" s="203"/>
      <c r="I372" s="203"/>
      <c r="J372" s="203"/>
      <c r="K372" s="203"/>
      <c r="L372" s="203"/>
      <c r="M372" s="203"/>
      <c r="N372" s="203"/>
      <c r="O372" s="203"/>
      <c r="P372" s="203"/>
      <c r="Q372" s="203"/>
      <c r="R372" s="203"/>
      <c r="T372" s="154"/>
      <c r="W372" s="195"/>
      <c r="X372" s="123"/>
      <c r="Y372" s="122"/>
      <c r="Z372" s="203"/>
      <c r="AA372" s="203"/>
      <c r="AB372" s="203"/>
      <c r="AC372" s="203"/>
      <c r="AD372" s="203"/>
      <c r="AE372" s="203"/>
      <c r="AF372" s="203"/>
      <c r="AJ372" s="166"/>
    </row>
    <row r="373" spans="3:36" s="153" customFormat="1" ht="15" thickBot="1" x14ac:dyDescent="0.35">
      <c r="C373" s="194"/>
      <c r="D373" s="1274" t="s">
        <v>237</v>
      </c>
      <c r="E373" s="1275" t="s">
        <v>30</v>
      </c>
      <c r="F373" s="1276" t="s">
        <v>31</v>
      </c>
      <c r="G373" s="1275" t="s">
        <v>32</v>
      </c>
      <c r="H373" s="1276" t="s">
        <v>33</v>
      </c>
      <c r="I373" s="1275" t="s">
        <v>34</v>
      </c>
      <c r="J373" s="1277" t="s">
        <v>35</v>
      </c>
      <c r="K373" s="1277" t="s">
        <v>266</v>
      </c>
      <c r="L373" s="1278" t="s">
        <v>267</v>
      </c>
      <c r="O373" s="203"/>
      <c r="P373" s="203"/>
      <c r="Q373" s="203"/>
      <c r="R373" s="203"/>
      <c r="T373" s="154"/>
      <c r="V373" s="229"/>
      <c r="W373" s="243" t="s">
        <v>268</v>
      </c>
      <c r="X373" s="240" t="s">
        <v>30</v>
      </c>
      <c r="Y373" s="241" t="s">
        <v>31</v>
      </c>
      <c r="Z373" s="240" t="s">
        <v>32</v>
      </c>
      <c r="AA373" s="241" t="s">
        <v>33</v>
      </c>
      <c r="AB373" s="240" t="s">
        <v>34</v>
      </c>
      <c r="AC373" s="259" t="s">
        <v>35</v>
      </c>
      <c r="AD373" s="259" t="s">
        <v>266</v>
      </c>
      <c r="AE373" s="244" t="s">
        <v>267</v>
      </c>
      <c r="AJ373" s="166"/>
    </row>
    <row r="374" spans="3:36" s="153" customFormat="1" ht="15" thickBot="1" x14ac:dyDescent="0.35">
      <c r="C374" s="105"/>
      <c r="D374" s="1257" t="str">
        <f>$D$121</f>
        <v>Avant 2020</v>
      </c>
      <c r="E374" s="197">
        <f>SUMIFS(DisplacementP[Individus],DisplacementP[adm2_name],$E$373,DisplacementP[période],$D374,DisplacementP[Statut déplacé],"returnee")</f>
        <v>426</v>
      </c>
      <c r="F374" s="197">
        <f>SUMIFS(DisplacementP[Individus],DisplacementP[adm2_name],$F$373,DisplacementP[période],$D374,DisplacementP[Statut déplacé],"returnee")</f>
        <v>17276</v>
      </c>
      <c r="G374" s="197">
        <f>SUMIFS(DisplacementP[Individus],DisplacementP[adm2_name],$G$373,DisplacementP[période],$D374,DisplacementP[Statut déplacé],"returnee")</f>
        <v>5250</v>
      </c>
      <c r="H374" s="197">
        <f>SUMIFS(DisplacementP[Individus],DisplacementP[adm2_name],$H$373,DisplacementP[période],$D374,DisplacementP[Statut déplacé],"returnee")</f>
        <v>129</v>
      </c>
      <c r="I374" s="197">
        <f>SUMIFS(DisplacementP[Individus],DisplacementP[adm2_name],$I$373,DisplacementP[période],$D374,DisplacementP[Statut déplacé],"returnee")</f>
        <v>26334</v>
      </c>
      <c r="J374" s="197">
        <f>SUMIFS(DisplacementP[Individus],DisplacementP[adm2_name],$J$373,DisplacementP[période],$D374,DisplacementP[Statut déplacé],"returnee")</f>
        <v>16435</v>
      </c>
      <c r="K374" s="260">
        <f>SUM($E374:$J374)</f>
        <v>65850</v>
      </c>
      <c r="L374" s="912">
        <f>$K374/$K$379</f>
        <v>0.32411919317208587</v>
      </c>
      <c r="O374" s="203"/>
      <c r="P374" s="203"/>
      <c r="Q374" s="203"/>
      <c r="R374" s="203"/>
      <c r="T374" s="154"/>
      <c r="V374" s="198"/>
      <c r="W374" s="199" t="str">
        <f>$W$121</f>
        <v>Before 2020</v>
      </c>
      <c r="X374" s="178">
        <f t="shared" ref="X374:AE378" si="111">E374</f>
        <v>426</v>
      </c>
      <c r="Y374" s="178">
        <f t="shared" si="111"/>
        <v>17276</v>
      </c>
      <c r="Z374" s="178">
        <f t="shared" si="111"/>
        <v>5250</v>
      </c>
      <c r="AA374" s="178">
        <f t="shared" si="111"/>
        <v>129</v>
      </c>
      <c r="AB374" s="178">
        <f t="shared" si="111"/>
        <v>26334</v>
      </c>
      <c r="AC374" s="178">
        <f t="shared" si="111"/>
        <v>16435</v>
      </c>
      <c r="AD374" s="236">
        <f t="shared" si="111"/>
        <v>65850</v>
      </c>
      <c r="AE374" s="131">
        <f t="shared" si="111"/>
        <v>0.32411919317208587</v>
      </c>
      <c r="AJ374" s="166"/>
    </row>
    <row r="375" spans="3:36" s="153" customFormat="1" ht="15" thickBot="1" x14ac:dyDescent="0.35">
      <c r="C375" s="105"/>
      <c r="D375" s="1280" t="str">
        <f>$D$122</f>
        <v>En 2020</v>
      </c>
      <c r="E375" s="246">
        <f>SUMIFS(DisplacementP[Individus],DisplacementP[adm2_name],$E$373,DisplacementP[période],$D375,DisplacementP[Statut déplacé],"returnee")</f>
        <v>0</v>
      </c>
      <c r="F375" s="246">
        <f>SUMIFS(DisplacementP[Individus],DisplacementP[adm2_name],$F$373,DisplacementP[période],$D375,DisplacementP[Statut déplacé],"returnee")</f>
        <v>847</v>
      </c>
      <c r="G375" s="246">
        <f>SUMIFS(DisplacementP[Individus],DisplacementP[adm2_name],$G$373,DisplacementP[période],$D375,DisplacementP[Statut déplacé],"returnee")</f>
        <v>766</v>
      </c>
      <c r="H375" s="246">
        <f>SUMIFS(DisplacementP[Individus],DisplacementP[adm2_name],$H$373,DisplacementP[période],$D375,DisplacementP[Statut déplacé],"returnee")</f>
        <v>8</v>
      </c>
      <c r="I375" s="246">
        <f>SUMIFS(DisplacementP[Individus],DisplacementP[adm2_name],$I$373,DisplacementP[période],$D375,DisplacementP[Statut déplacé],"returnee")</f>
        <v>743</v>
      </c>
      <c r="J375" s="246">
        <f>SUMIFS(DisplacementP[Individus],DisplacementP[adm2_name],$J$373,DisplacementP[période],$D375,DisplacementP[Statut déplacé],"returnee")</f>
        <v>568</v>
      </c>
      <c r="K375" s="261">
        <f>SUM($E375:$J375)</f>
        <v>2932</v>
      </c>
      <c r="L375" s="1284">
        <f>$K375/$K$379</f>
        <v>1.4431548585885433E-2</v>
      </c>
      <c r="O375" s="203"/>
      <c r="P375" s="203"/>
      <c r="Q375" s="203"/>
      <c r="R375" s="203"/>
      <c r="T375" s="154"/>
      <c r="V375" s="198"/>
      <c r="W375" s="263">
        <f>$W$122</f>
        <v>2020</v>
      </c>
      <c r="X375" s="248">
        <f t="shared" si="111"/>
        <v>0</v>
      </c>
      <c r="Y375" s="248">
        <f t="shared" si="111"/>
        <v>847</v>
      </c>
      <c r="Z375" s="248">
        <f t="shared" si="111"/>
        <v>766</v>
      </c>
      <c r="AA375" s="248">
        <f t="shared" si="111"/>
        <v>8</v>
      </c>
      <c r="AB375" s="248">
        <f t="shared" si="111"/>
        <v>743</v>
      </c>
      <c r="AC375" s="248">
        <f t="shared" si="111"/>
        <v>568</v>
      </c>
      <c r="AD375" s="264">
        <f t="shared" si="111"/>
        <v>2932</v>
      </c>
      <c r="AE375" s="262">
        <f t="shared" si="111"/>
        <v>1.4431548585885433E-2</v>
      </c>
      <c r="AJ375" s="166"/>
    </row>
    <row r="376" spans="3:36" s="153" customFormat="1" ht="15" thickBot="1" x14ac:dyDescent="0.35">
      <c r="C376" s="105"/>
      <c r="D376" s="1257" t="str">
        <f>$D$123</f>
        <v>En 2021</v>
      </c>
      <c r="E376" s="197">
        <f>SUMIFS(DisplacementP[Individus],DisplacementP[adm2_name],$E$373,DisplacementP[période],$D376,DisplacementP[Statut déplacé],"returnee")</f>
        <v>1</v>
      </c>
      <c r="F376" s="197">
        <f>SUMIFS(DisplacementP[Individus],DisplacementP[adm2_name],$F$373,DisplacementP[période],$D376,DisplacementP[Statut déplacé],"returnee")</f>
        <v>1028</v>
      </c>
      <c r="G376" s="197">
        <f>SUMIFS(DisplacementP[Individus],DisplacementP[adm2_name],$G$373,DisplacementP[période],$D376,DisplacementP[Statut déplacé],"returnee")</f>
        <v>2595</v>
      </c>
      <c r="H376" s="197">
        <f>SUMIFS(DisplacementP[Individus],DisplacementP[adm2_name],$H$373,DisplacementP[période],$D376,DisplacementP[Statut déplacé],"returnee")</f>
        <v>11</v>
      </c>
      <c r="I376" s="197">
        <f>SUMIFS(DisplacementP[Individus],DisplacementP[adm2_name],$I$373,DisplacementP[période],$D376,DisplacementP[Statut déplacé],"returnee")</f>
        <v>2221</v>
      </c>
      <c r="J376" s="197">
        <f>SUMIFS(DisplacementP[Individus],DisplacementP[adm2_name],$J$373,DisplacementP[période],$D376,DisplacementP[Statut déplacé],"returnee")</f>
        <v>1126</v>
      </c>
      <c r="K376" s="260">
        <f>SUM($E376:$J376)</f>
        <v>6982</v>
      </c>
      <c r="L376" s="912">
        <f>$K376/$K$379</f>
        <v>3.4365986434738094E-2</v>
      </c>
      <c r="O376" s="203"/>
      <c r="P376" s="203"/>
      <c r="Q376" s="203"/>
      <c r="R376" s="203"/>
      <c r="T376" s="154"/>
      <c r="V376" s="198"/>
      <c r="W376" s="199">
        <f>$W$123</f>
        <v>2021</v>
      </c>
      <c r="X376" s="178">
        <f t="shared" si="111"/>
        <v>1</v>
      </c>
      <c r="Y376" s="178">
        <f t="shared" si="111"/>
        <v>1028</v>
      </c>
      <c r="Z376" s="178">
        <f t="shared" si="111"/>
        <v>2595</v>
      </c>
      <c r="AA376" s="178">
        <f t="shared" si="111"/>
        <v>11</v>
      </c>
      <c r="AB376" s="178">
        <f t="shared" si="111"/>
        <v>2221</v>
      </c>
      <c r="AC376" s="178">
        <f t="shared" si="111"/>
        <v>1126</v>
      </c>
      <c r="AD376" s="236">
        <f t="shared" si="111"/>
        <v>6982</v>
      </c>
      <c r="AE376" s="131">
        <f t="shared" si="111"/>
        <v>3.4365986434738094E-2</v>
      </c>
      <c r="AJ376" s="166"/>
    </row>
    <row r="377" spans="3:36" s="153" customFormat="1" ht="15" thickBot="1" x14ac:dyDescent="0.35">
      <c r="C377" s="105"/>
      <c r="D377" s="1280" t="str">
        <f>$D$124</f>
        <v>Janvier - Aout 2022</v>
      </c>
      <c r="E377" s="246">
        <f>SUMIFS(DisplacementP[Individus],DisplacementP[adm2_name],$E$373,DisplacementP[période],$D377,DisplacementP[Statut déplacé],"returnee")</f>
        <v>2</v>
      </c>
      <c r="F377" s="246">
        <f>SUMIFS(DisplacementP[Individus],DisplacementP[adm2_name],$F$373,DisplacementP[période],$D377,DisplacementP[Statut déplacé],"returnee")</f>
        <v>34980</v>
      </c>
      <c r="G377" s="246">
        <f>SUMIFS(DisplacementP[Individus],DisplacementP[adm2_name],$G$373,DisplacementP[période],$D377,DisplacementP[Statut déplacé],"returnee")</f>
        <v>2382</v>
      </c>
      <c r="H377" s="246">
        <f>SUMIFS(DisplacementP[Individus],DisplacementP[adm2_name],$H$373,DisplacementP[période],$D377,DisplacementP[Statut déplacé],"returnee")</f>
        <v>20</v>
      </c>
      <c r="I377" s="246">
        <f>SUMIFS(DisplacementP[Individus],DisplacementP[adm2_name],$I$373,DisplacementP[période],$D377,DisplacementP[Statut déplacé],"returnee")</f>
        <v>2931</v>
      </c>
      <c r="J377" s="246">
        <f>SUMIFS(DisplacementP[Individus],DisplacementP[adm2_name],$J$373,DisplacementP[période],$D377,DisplacementP[Statut déplacé],"returnee")</f>
        <v>2120</v>
      </c>
      <c r="K377" s="261">
        <f>SUM($E377:$J377)</f>
        <v>42435</v>
      </c>
      <c r="L377" s="1284">
        <f>$K377/$K$379</f>
        <v>0.20886860990520068</v>
      </c>
      <c r="O377" s="203"/>
      <c r="P377" s="203"/>
      <c r="Q377" s="203"/>
      <c r="R377" s="203"/>
      <c r="T377" s="154"/>
      <c r="V377" s="198"/>
      <c r="W377" s="263" t="str">
        <f>$W$124</f>
        <v>January - August 2022</v>
      </c>
      <c r="X377" s="248">
        <f t="shared" si="111"/>
        <v>2</v>
      </c>
      <c r="Y377" s="248">
        <f t="shared" si="111"/>
        <v>34980</v>
      </c>
      <c r="Z377" s="248">
        <f t="shared" si="111"/>
        <v>2382</v>
      </c>
      <c r="AA377" s="248">
        <f t="shared" si="111"/>
        <v>20</v>
      </c>
      <c r="AB377" s="248">
        <f t="shared" si="111"/>
        <v>2931</v>
      </c>
      <c r="AC377" s="248">
        <f t="shared" si="111"/>
        <v>2120</v>
      </c>
      <c r="AD377" s="264">
        <f t="shared" si="111"/>
        <v>42435</v>
      </c>
      <c r="AE377" s="262">
        <f t="shared" si="111"/>
        <v>0.20886860990520068</v>
      </c>
      <c r="AJ377" s="166"/>
    </row>
    <row r="378" spans="3:36" s="153" customFormat="1" ht="29.4" thickBot="1" x14ac:dyDescent="0.35">
      <c r="C378" s="105"/>
      <c r="D378" s="1257" t="str">
        <f>$D$125</f>
        <v>Septembre 2022 – Février 2023</v>
      </c>
      <c r="E378" s="197">
        <f>SUMIFS(DisplacementP[Individus],DisplacementP[adm2_name],$E$373,DisplacementP[période],$D378,DisplacementP[Statut déplacé],"returnee")</f>
        <v>0</v>
      </c>
      <c r="F378" s="197">
        <f>SUMIFS(DisplacementP[Individus],DisplacementP[adm2_name],$F$373,DisplacementP[période],$D378,DisplacementP[Statut déplacé],"returnee")</f>
        <v>7930</v>
      </c>
      <c r="G378" s="197">
        <f>SUMIFS(DisplacementP[Individus],DisplacementP[adm2_name],$G$373,DisplacementP[période],$D378,DisplacementP[Statut déplacé],"returnee")</f>
        <v>74840</v>
      </c>
      <c r="H378" s="197">
        <f>SUMIFS(DisplacementP[Individus],DisplacementP[adm2_name],$H$373,DisplacementP[période],$D378,DisplacementP[Statut déplacé],"returnee")</f>
        <v>19</v>
      </c>
      <c r="I378" s="197">
        <f>SUMIFS(DisplacementP[Individus],DisplacementP[adm2_name],$I$373,DisplacementP[période],$D378,DisplacementP[Statut déplacé],"returnee")</f>
        <v>641</v>
      </c>
      <c r="J378" s="197">
        <f>SUMIFS(DisplacementP[Individus],DisplacementP[adm2_name],$J$373,DisplacementP[période],$D378,DisplacementP[Statut déplacé],"returnee")</f>
        <v>1537</v>
      </c>
      <c r="K378" s="260">
        <f>SUM($E378:$J378)</f>
        <v>84967</v>
      </c>
      <c r="L378" s="912">
        <f>$K378/$K$379</f>
        <v>0.41821466190208989</v>
      </c>
      <c r="O378" s="203"/>
      <c r="P378" s="203"/>
      <c r="Q378" s="203"/>
      <c r="R378" s="203"/>
      <c r="T378" s="154"/>
      <c r="V378" s="198"/>
      <c r="W378" s="199" t="str">
        <f>$W$125</f>
        <v>September 2022 - February 2023</v>
      </c>
      <c r="X378" s="178">
        <f t="shared" si="111"/>
        <v>0</v>
      </c>
      <c r="Y378" s="178">
        <f t="shared" si="111"/>
        <v>7930</v>
      </c>
      <c r="Z378" s="178">
        <f t="shared" si="111"/>
        <v>74840</v>
      </c>
      <c r="AA378" s="178">
        <f t="shared" si="111"/>
        <v>19</v>
      </c>
      <c r="AB378" s="178">
        <f t="shared" si="111"/>
        <v>641</v>
      </c>
      <c r="AC378" s="178">
        <f t="shared" si="111"/>
        <v>1537</v>
      </c>
      <c r="AD378" s="236">
        <f t="shared" si="111"/>
        <v>84967</v>
      </c>
      <c r="AE378" s="131">
        <f t="shared" si="111"/>
        <v>0.41821466190208989</v>
      </c>
      <c r="AJ378" s="166"/>
    </row>
    <row r="379" spans="3:36" s="153" customFormat="1" ht="15" thickBot="1" x14ac:dyDescent="0.35">
      <c r="C379" s="163"/>
      <c r="D379" s="1271" t="s">
        <v>25</v>
      </c>
      <c r="E379" s="1272">
        <f>SUM(E374:E378)</f>
        <v>429</v>
      </c>
      <c r="F379" s="1272">
        <f t="shared" ref="F379:K379" si="112">SUM(F374:F378)</f>
        <v>62061</v>
      </c>
      <c r="G379" s="1272">
        <f t="shared" si="112"/>
        <v>85833</v>
      </c>
      <c r="H379" s="1272">
        <f t="shared" si="112"/>
        <v>187</v>
      </c>
      <c r="I379" s="1272">
        <f t="shared" si="112"/>
        <v>32870</v>
      </c>
      <c r="J379" s="1272">
        <f t="shared" si="112"/>
        <v>21786</v>
      </c>
      <c r="K379" s="1285">
        <f t="shared" si="112"/>
        <v>203166</v>
      </c>
      <c r="L379" s="1286">
        <f>SUBTOTAL(109,$L$374:$L$378)</f>
        <v>1</v>
      </c>
      <c r="O379" s="203"/>
      <c r="P379" s="203"/>
      <c r="Q379" s="203"/>
      <c r="R379" s="203"/>
      <c r="T379" s="154"/>
      <c r="W379" s="253" t="s">
        <v>25</v>
      </c>
      <c r="X379" s="253">
        <f t="shared" ref="X379:AD379" si="113">SUM(X374:X378)</f>
        <v>429</v>
      </c>
      <c r="Y379" s="253">
        <f t="shared" si="113"/>
        <v>62061</v>
      </c>
      <c r="Z379" s="253">
        <f t="shared" si="113"/>
        <v>85833</v>
      </c>
      <c r="AA379" s="253">
        <f t="shared" si="113"/>
        <v>187</v>
      </c>
      <c r="AB379" s="253">
        <f t="shared" si="113"/>
        <v>32870</v>
      </c>
      <c r="AC379" s="253">
        <f t="shared" si="113"/>
        <v>21786</v>
      </c>
      <c r="AD379" s="266">
        <f t="shared" si="113"/>
        <v>203166</v>
      </c>
      <c r="AE379" s="265">
        <f>SUBTOTAL(109,$AE$374:$AE$378)</f>
        <v>1</v>
      </c>
      <c r="AJ379" s="166"/>
    </row>
    <row r="380" spans="3:36" s="153" customFormat="1" x14ac:dyDescent="0.3">
      <c r="C380" s="163"/>
      <c r="D380" s="202"/>
      <c r="E380" s="203"/>
      <c r="F380" s="203"/>
      <c r="G380" s="203"/>
      <c r="H380" s="203"/>
      <c r="I380" s="203"/>
      <c r="J380" s="203"/>
      <c r="K380" s="203"/>
      <c r="L380" s="203"/>
      <c r="M380" s="203"/>
      <c r="N380" s="203"/>
      <c r="O380" s="203"/>
      <c r="P380" s="203"/>
      <c r="Q380" s="203"/>
      <c r="R380" s="203"/>
      <c r="T380" s="154"/>
      <c r="U380" s="257"/>
      <c r="V380" s="204"/>
      <c r="W380" s="203"/>
      <c r="X380" s="203"/>
      <c r="Y380" s="203"/>
      <c r="Z380" s="203"/>
      <c r="AA380" s="203"/>
      <c r="AB380" s="203"/>
      <c r="AC380" s="203"/>
      <c r="AD380" s="203"/>
      <c r="AE380" s="203"/>
      <c r="AJ380" s="166"/>
    </row>
    <row r="381" spans="3:36" s="153" customFormat="1" ht="15" thickBot="1" x14ac:dyDescent="0.35">
      <c r="C381" s="163"/>
      <c r="D381" s="202"/>
      <c r="E381" s="203"/>
      <c r="F381" s="203"/>
      <c r="G381" s="203"/>
      <c r="H381" s="203"/>
      <c r="I381" s="203"/>
      <c r="J381" s="203"/>
      <c r="K381" s="203"/>
      <c r="L381" s="203"/>
      <c r="M381" s="203"/>
      <c r="N381" s="203"/>
      <c r="O381" s="203"/>
      <c r="P381" s="203"/>
      <c r="Q381" s="203"/>
      <c r="R381" s="203"/>
      <c r="T381" s="154"/>
      <c r="U381" s="257"/>
      <c r="V381" s="204"/>
      <c r="W381" s="203"/>
      <c r="X381" s="203"/>
      <c r="Y381" s="203"/>
      <c r="Z381" s="203"/>
      <c r="AA381" s="203"/>
      <c r="AB381" s="203"/>
      <c r="AC381" s="203"/>
      <c r="AD381" s="203"/>
      <c r="AE381" s="203"/>
      <c r="AJ381" s="166"/>
    </row>
    <row r="382" spans="3:36" s="153" customFormat="1" ht="15" thickBot="1" x14ac:dyDescent="0.35">
      <c r="C382" s="194"/>
      <c r="D382" s="1274" t="s">
        <v>237</v>
      </c>
      <c r="E382" s="1275" t="s">
        <v>30</v>
      </c>
      <c r="F382" s="1276" t="s">
        <v>31</v>
      </c>
      <c r="G382" s="1275" t="s">
        <v>32</v>
      </c>
      <c r="H382" s="1276" t="s">
        <v>33</v>
      </c>
      <c r="I382" s="1275" t="s">
        <v>34</v>
      </c>
      <c r="J382" s="1277" t="s">
        <v>35</v>
      </c>
      <c r="K382" s="1278" t="s">
        <v>266</v>
      </c>
      <c r="T382" s="154"/>
      <c r="U382" s="257"/>
      <c r="V382" s="229"/>
      <c r="W382" s="243" t="s">
        <v>268</v>
      </c>
      <c r="X382" s="240" t="s">
        <v>30</v>
      </c>
      <c r="Y382" s="241" t="s">
        <v>31</v>
      </c>
      <c r="Z382" s="240" t="s">
        <v>32</v>
      </c>
      <c r="AA382" s="241" t="s">
        <v>33</v>
      </c>
      <c r="AB382" s="240" t="s">
        <v>34</v>
      </c>
      <c r="AC382" s="259" t="s">
        <v>35</v>
      </c>
      <c r="AD382" s="259" t="s">
        <v>266</v>
      </c>
      <c r="AJ382" s="166"/>
    </row>
    <row r="383" spans="3:36" s="153" customFormat="1" ht="15" thickBot="1" x14ac:dyDescent="0.35">
      <c r="C383" s="105"/>
      <c r="D383" s="1257" t="str">
        <f>$D$121</f>
        <v>Avant 2020</v>
      </c>
      <c r="E383" s="125">
        <f>E374/$E$379</f>
        <v>0.99300699300699302</v>
      </c>
      <c r="F383" s="125">
        <f>F374/$F$379</f>
        <v>0.27837127986980553</v>
      </c>
      <c r="G383" s="125">
        <f>G374/$G$379</f>
        <v>6.1165286078780891E-2</v>
      </c>
      <c r="H383" s="125">
        <f>H374/$H$379</f>
        <v>0.68983957219251335</v>
      </c>
      <c r="I383" s="125">
        <f>I374/$I$379</f>
        <v>0.80115606936416184</v>
      </c>
      <c r="J383" s="125">
        <f>J374/$J$379</f>
        <v>0.75438354906820893</v>
      </c>
      <c r="K383" s="1279">
        <f>K374/$K$379</f>
        <v>0.32411919317208587</v>
      </c>
      <c r="T383" s="154"/>
      <c r="U383" s="257"/>
      <c r="V383" s="198"/>
      <c r="W383" s="199" t="str">
        <f>$W$121</f>
        <v>Before 2020</v>
      </c>
      <c r="X383" s="125">
        <f t="shared" ref="X383:AD387" si="114">E383</f>
        <v>0.99300699300699302</v>
      </c>
      <c r="Y383" s="125">
        <f t="shared" si="114"/>
        <v>0.27837127986980553</v>
      </c>
      <c r="Z383" s="125">
        <f t="shared" si="114"/>
        <v>6.1165286078780891E-2</v>
      </c>
      <c r="AA383" s="125">
        <f t="shared" si="114"/>
        <v>0.68983957219251335</v>
      </c>
      <c r="AB383" s="125">
        <f t="shared" si="114"/>
        <v>0.80115606936416184</v>
      </c>
      <c r="AC383" s="125">
        <f t="shared" si="114"/>
        <v>0.75438354906820893</v>
      </c>
      <c r="AD383" s="267">
        <f t="shared" si="114"/>
        <v>0.32411919317208587</v>
      </c>
      <c r="AJ383" s="166"/>
    </row>
    <row r="384" spans="3:36" s="153" customFormat="1" ht="15" thickBot="1" x14ac:dyDescent="0.35">
      <c r="C384" s="105"/>
      <c r="D384" s="1280" t="str">
        <f>$D$122</f>
        <v>En 2020</v>
      </c>
      <c r="E384" s="268">
        <f>E375/$E$379</f>
        <v>0</v>
      </c>
      <c r="F384" s="268">
        <f>F375/$F$379</f>
        <v>1.3647862586809752E-2</v>
      </c>
      <c r="G384" s="268">
        <f>G375/$G$379</f>
        <v>8.9243065021611737E-3</v>
      </c>
      <c r="H384" s="268">
        <f>H375/$H$379</f>
        <v>4.2780748663101602E-2</v>
      </c>
      <c r="I384" s="268">
        <f>I375/$I$379</f>
        <v>2.2604198357164589E-2</v>
      </c>
      <c r="J384" s="268">
        <f>J375/$J$379</f>
        <v>2.6071789222436428E-2</v>
      </c>
      <c r="K384" s="1281">
        <f>K375/$K$379</f>
        <v>1.4431548585885433E-2</v>
      </c>
      <c r="T384" s="154"/>
      <c r="U384" s="257"/>
      <c r="V384" s="198"/>
      <c r="W384" s="263">
        <f>$W$122</f>
        <v>2020</v>
      </c>
      <c r="X384" s="268">
        <f t="shared" si="114"/>
        <v>0</v>
      </c>
      <c r="Y384" s="268">
        <f t="shared" si="114"/>
        <v>1.3647862586809752E-2</v>
      </c>
      <c r="Z384" s="268">
        <f t="shared" si="114"/>
        <v>8.9243065021611737E-3</v>
      </c>
      <c r="AA384" s="268">
        <f t="shared" si="114"/>
        <v>4.2780748663101602E-2</v>
      </c>
      <c r="AB384" s="268">
        <f t="shared" si="114"/>
        <v>2.2604198357164589E-2</v>
      </c>
      <c r="AC384" s="268">
        <f t="shared" si="114"/>
        <v>2.6071789222436428E-2</v>
      </c>
      <c r="AD384" s="269">
        <f t="shared" si="114"/>
        <v>1.4431548585885433E-2</v>
      </c>
      <c r="AJ384" s="166"/>
    </row>
    <row r="385" spans="3:36" s="153" customFormat="1" ht="15" thickBot="1" x14ac:dyDescent="0.35">
      <c r="C385" s="105"/>
      <c r="D385" s="1257" t="str">
        <f>$D$123</f>
        <v>En 2021</v>
      </c>
      <c r="E385" s="125">
        <f>E376/$E$379</f>
        <v>2.331002331002331E-3</v>
      </c>
      <c r="F385" s="125">
        <f>F376/$F$379</f>
        <v>1.6564347980213015E-2</v>
      </c>
      <c r="G385" s="125">
        <f>G376/$G$379</f>
        <v>3.0233127118940269E-2</v>
      </c>
      <c r="H385" s="125">
        <f>H376/$H$379</f>
        <v>5.8823529411764705E-2</v>
      </c>
      <c r="I385" s="125">
        <f>I376/$I$379</f>
        <v>6.7569212047459692E-2</v>
      </c>
      <c r="J385" s="125">
        <f>J376/$J$379</f>
        <v>5.1684568071238411E-2</v>
      </c>
      <c r="K385" s="1279">
        <f>K376/$K$379</f>
        <v>3.4365986434738094E-2</v>
      </c>
      <c r="T385" s="154"/>
      <c r="U385" s="257"/>
      <c r="V385" s="198"/>
      <c r="W385" s="199">
        <f>$W$123</f>
        <v>2021</v>
      </c>
      <c r="X385" s="125">
        <f t="shared" si="114"/>
        <v>2.331002331002331E-3</v>
      </c>
      <c r="Y385" s="125">
        <f t="shared" si="114"/>
        <v>1.6564347980213015E-2</v>
      </c>
      <c r="Z385" s="125">
        <f t="shared" si="114"/>
        <v>3.0233127118940269E-2</v>
      </c>
      <c r="AA385" s="125">
        <f t="shared" si="114"/>
        <v>5.8823529411764705E-2</v>
      </c>
      <c r="AB385" s="125">
        <f t="shared" si="114"/>
        <v>6.7569212047459692E-2</v>
      </c>
      <c r="AC385" s="125">
        <f t="shared" si="114"/>
        <v>5.1684568071238411E-2</v>
      </c>
      <c r="AD385" s="267">
        <f t="shared" si="114"/>
        <v>3.4365986434738094E-2</v>
      </c>
      <c r="AJ385" s="166"/>
    </row>
    <row r="386" spans="3:36" s="153" customFormat="1" ht="15" thickBot="1" x14ac:dyDescent="0.35">
      <c r="C386" s="105"/>
      <c r="D386" s="1280" t="str">
        <f>$D$124</f>
        <v>Janvier - Aout 2022</v>
      </c>
      <c r="E386" s="268">
        <f>E377/$E$379</f>
        <v>4.662004662004662E-3</v>
      </c>
      <c r="F386" s="268">
        <f>F377/$F$379</f>
        <v>0.56363900033837677</v>
      </c>
      <c r="G386" s="268">
        <f>G377/$G$379</f>
        <v>2.7751564083744015E-2</v>
      </c>
      <c r="H386" s="268">
        <f>H377/$H$379</f>
        <v>0.10695187165775401</v>
      </c>
      <c r="I386" s="268">
        <f>I377/$I$379</f>
        <v>8.9169455430483727E-2</v>
      </c>
      <c r="J386" s="268">
        <f>J377/$J$379</f>
        <v>9.7310199210502157E-2</v>
      </c>
      <c r="K386" s="1281">
        <f>K377/$K$379</f>
        <v>0.20886860990520068</v>
      </c>
      <c r="T386" s="154"/>
      <c r="U386" s="257"/>
      <c r="V386" s="198"/>
      <c r="W386" s="263" t="str">
        <f>$W$124</f>
        <v>January - August 2022</v>
      </c>
      <c r="X386" s="268">
        <f t="shared" si="114"/>
        <v>4.662004662004662E-3</v>
      </c>
      <c r="Y386" s="268">
        <f t="shared" si="114"/>
        <v>0.56363900033837677</v>
      </c>
      <c r="Z386" s="268">
        <f t="shared" si="114"/>
        <v>2.7751564083744015E-2</v>
      </c>
      <c r="AA386" s="268">
        <f t="shared" si="114"/>
        <v>0.10695187165775401</v>
      </c>
      <c r="AB386" s="268">
        <f t="shared" si="114"/>
        <v>8.9169455430483727E-2</v>
      </c>
      <c r="AC386" s="268">
        <f t="shared" si="114"/>
        <v>9.7310199210502157E-2</v>
      </c>
      <c r="AD386" s="269">
        <f t="shared" si="114"/>
        <v>0.20886860990520068</v>
      </c>
      <c r="AJ386" s="166"/>
    </row>
    <row r="387" spans="3:36" s="153" customFormat="1" ht="29.4" thickBot="1" x14ac:dyDescent="0.35">
      <c r="C387" s="105"/>
      <c r="D387" s="1257" t="str">
        <f>$D$125</f>
        <v>Septembre 2022 – Février 2023</v>
      </c>
      <c r="E387" s="125">
        <f>E378/$E$379</f>
        <v>0</v>
      </c>
      <c r="F387" s="125">
        <f>F378/$F$379</f>
        <v>0.12777750922479497</v>
      </c>
      <c r="G387" s="125">
        <f>G378/$G$379</f>
        <v>0.8719257162163736</v>
      </c>
      <c r="H387" s="125">
        <f>H378/$H$379</f>
        <v>0.10160427807486631</v>
      </c>
      <c r="I387" s="125">
        <f>I378/$I$379</f>
        <v>1.9501064800730147E-2</v>
      </c>
      <c r="J387" s="125">
        <f>J378/$J$379</f>
        <v>7.0549894427614057E-2</v>
      </c>
      <c r="K387" s="1279">
        <f>K378/$K$379</f>
        <v>0.41821466190208989</v>
      </c>
      <c r="T387" s="154"/>
      <c r="U387" s="257"/>
      <c r="V387" s="198"/>
      <c r="W387" s="199" t="str">
        <f>$W$125</f>
        <v>September 2022 - February 2023</v>
      </c>
      <c r="X387" s="125">
        <f t="shared" si="114"/>
        <v>0</v>
      </c>
      <c r="Y387" s="125">
        <f t="shared" si="114"/>
        <v>0.12777750922479497</v>
      </c>
      <c r="Z387" s="125">
        <f t="shared" si="114"/>
        <v>0.8719257162163736</v>
      </c>
      <c r="AA387" s="125">
        <f t="shared" si="114"/>
        <v>0.10160427807486631</v>
      </c>
      <c r="AB387" s="125">
        <f t="shared" si="114"/>
        <v>1.9501064800730147E-2</v>
      </c>
      <c r="AC387" s="125">
        <f t="shared" si="114"/>
        <v>7.0549894427614057E-2</v>
      </c>
      <c r="AD387" s="267">
        <f t="shared" si="114"/>
        <v>0.41821466190208989</v>
      </c>
      <c r="AJ387" s="166"/>
    </row>
    <row r="388" spans="3:36" s="153" customFormat="1" ht="15" thickBot="1" x14ac:dyDescent="0.35">
      <c r="C388" s="163"/>
      <c r="D388" s="1271" t="s">
        <v>25</v>
      </c>
      <c r="E388" s="1282">
        <f>SUM(E383:E387)</f>
        <v>1</v>
      </c>
      <c r="F388" s="1282">
        <f t="shared" ref="F388:K388" si="115">SUM(F383:F387)</f>
        <v>1</v>
      </c>
      <c r="G388" s="1282">
        <f t="shared" si="115"/>
        <v>1</v>
      </c>
      <c r="H388" s="1282">
        <f>SUM(H383:H387)</f>
        <v>0.99999999999999989</v>
      </c>
      <c r="I388" s="1282">
        <f t="shared" si="115"/>
        <v>0.99999999999999989</v>
      </c>
      <c r="J388" s="1282">
        <f t="shared" si="115"/>
        <v>1</v>
      </c>
      <c r="K388" s="1283">
        <f t="shared" si="115"/>
        <v>1</v>
      </c>
      <c r="T388" s="154"/>
      <c r="U388" s="257"/>
      <c r="W388" s="253" t="s">
        <v>25</v>
      </c>
      <c r="X388" s="270">
        <f t="shared" ref="X388:AD388" si="116">SUM(X383:X387)</f>
        <v>1</v>
      </c>
      <c r="Y388" s="270">
        <f t="shared" si="116"/>
        <v>1</v>
      </c>
      <c r="Z388" s="270">
        <f t="shared" si="116"/>
        <v>1</v>
      </c>
      <c r="AA388" s="270">
        <f t="shared" si="116"/>
        <v>0.99999999999999989</v>
      </c>
      <c r="AB388" s="270">
        <f t="shared" si="116"/>
        <v>0.99999999999999989</v>
      </c>
      <c r="AC388" s="270">
        <f t="shared" si="116"/>
        <v>1</v>
      </c>
      <c r="AD388" s="271">
        <f t="shared" si="116"/>
        <v>1</v>
      </c>
      <c r="AJ388" s="166"/>
    </row>
    <row r="389" spans="3:36" s="153" customFormat="1" x14ac:dyDescent="0.3">
      <c r="C389" s="163"/>
      <c r="D389" s="202"/>
      <c r="E389" s="203"/>
      <c r="F389" s="203"/>
      <c r="G389" s="203"/>
      <c r="H389" s="203"/>
      <c r="I389" s="203"/>
      <c r="J389" s="203"/>
      <c r="K389" s="203"/>
      <c r="L389" s="203"/>
      <c r="M389" s="203"/>
      <c r="N389" s="203"/>
      <c r="O389" s="203"/>
      <c r="P389" s="203"/>
      <c r="Q389" s="203"/>
      <c r="R389" s="203"/>
      <c r="T389" s="154"/>
      <c r="U389" s="257"/>
      <c r="V389" s="204"/>
      <c r="W389" s="203"/>
      <c r="X389" s="203"/>
      <c r="Y389" s="203"/>
      <c r="Z389" s="203"/>
      <c r="AA389" s="203"/>
      <c r="AB389" s="203"/>
      <c r="AC389" s="203"/>
      <c r="AD389" s="203"/>
      <c r="AE389" s="203"/>
      <c r="AJ389" s="166"/>
    </row>
    <row r="390" spans="3:36" s="153" customFormat="1" x14ac:dyDescent="0.3">
      <c r="C390" s="163"/>
      <c r="D390" s="202"/>
      <c r="E390" s="203"/>
      <c r="F390" s="203"/>
      <c r="G390" s="203"/>
      <c r="H390" s="203"/>
      <c r="I390" s="203"/>
      <c r="J390" s="203"/>
      <c r="K390" s="203"/>
      <c r="L390" s="203"/>
      <c r="M390" s="203"/>
      <c r="N390" s="203"/>
      <c r="O390" s="203"/>
      <c r="P390" s="203"/>
      <c r="Q390" s="203"/>
      <c r="R390" s="203"/>
      <c r="T390" s="154"/>
      <c r="U390" s="257"/>
      <c r="V390" s="204"/>
      <c r="W390" s="203"/>
      <c r="X390" s="203"/>
      <c r="Y390" s="203"/>
      <c r="Z390" s="203"/>
      <c r="AA390" s="203"/>
      <c r="AB390" s="203"/>
      <c r="AC390" s="203"/>
      <c r="AD390" s="203"/>
      <c r="AE390" s="203"/>
      <c r="AJ390" s="166"/>
    </row>
    <row r="391" spans="3:36" s="153" customFormat="1" x14ac:dyDescent="0.3">
      <c r="C391" s="207"/>
      <c r="D391" s="208"/>
      <c r="E391" s="209"/>
      <c r="F391" s="210"/>
      <c r="G391" s="209"/>
      <c r="H391" s="210"/>
      <c r="I391" s="209"/>
      <c r="J391" s="209"/>
      <c r="K391" s="209"/>
      <c r="L391" s="210"/>
      <c r="M391" s="155"/>
      <c r="N391" s="155"/>
      <c r="O391" s="155"/>
      <c r="P391" s="155"/>
      <c r="Q391" s="155"/>
      <c r="R391" s="155"/>
      <c r="S391" s="155"/>
      <c r="T391" s="211"/>
      <c r="U391" s="155"/>
      <c r="V391" s="155"/>
      <c r="W391" s="155"/>
      <c r="X391" s="155"/>
      <c r="Y391" s="155"/>
      <c r="Z391" s="155"/>
      <c r="AA391" s="155"/>
      <c r="AB391" s="155"/>
      <c r="AC391" s="155"/>
      <c r="AD391" s="155"/>
      <c r="AE391" s="155"/>
      <c r="AF391" s="155"/>
      <c r="AG391" s="155"/>
      <c r="AH391" s="155"/>
      <c r="AI391" s="155"/>
      <c r="AJ391" s="212"/>
    </row>
    <row r="392" spans="3:36" s="153" customFormat="1" x14ac:dyDescent="0.3">
      <c r="D392" s="124"/>
      <c r="E392" s="122"/>
      <c r="F392" s="123"/>
      <c r="G392" s="122"/>
      <c r="H392" s="123"/>
      <c r="I392" s="122"/>
      <c r="J392" s="122"/>
      <c r="K392" s="122"/>
      <c r="L392" s="123"/>
      <c r="T392" s="257"/>
    </row>
    <row r="393" spans="3:36" s="153" customFormat="1" x14ac:dyDescent="0.3">
      <c r="D393" s="124"/>
      <c r="E393" s="122"/>
      <c r="F393" s="123"/>
      <c r="G393" s="122"/>
      <c r="H393" s="123"/>
      <c r="I393" s="122"/>
      <c r="J393" s="122"/>
      <c r="K393" s="122"/>
      <c r="L393" s="123"/>
      <c r="T393" s="257"/>
    </row>
    <row r="394" spans="3:36" s="153" customFormat="1" x14ac:dyDescent="0.3">
      <c r="D394" s="124"/>
      <c r="E394" s="195"/>
      <c r="F394" s="123"/>
      <c r="G394" s="122"/>
      <c r="H394" s="123"/>
      <c r="I394" s="122"/>
      <c r="J394" s="122"/>
      <c r="K394" s="122"/>
      <c r="L394" s="123"/>
      <c r="T394" s="257"/>
    </row>
    <row r="395" spans="3:36" s="153" customFormat="1" x14ac:dyDescent="0.3">
      <c r="D395" s="124"/>
      <c r="E395" s="122"/>
      <c r="F395" s="123"/>
      <c r="G395" s="122"/>
      <c r="H395" s="123"/>
      <c r="I395" s="122"/>
      <c r="J395" s="122"/>
      <c r="K395" s="122"/>
      <c r="L395" s="123"/>
      <c r="T395" s="257"/>
    </row>
    <row r="396" spans="3:36" s="153" customFormat="1" x14ac:dyDescent="0.3">
      <c r="D396" s="124"/>
      <c r="E396" s="122"/>
      <c r="F396" s="123"/>
      <c r="G396" s="122"/>
      <c r="H396" s="123"/>
      <c r="I396" s="122"/>
      <c r="J396" s="122"/>
      <c r="K396" s="122"/>
      <c r="L396" s="123"/>
      <c r="T396" s="257"/>
    </row>
    <row r="397" spans="3:36" s="153" customFormat="1" x14ac:dyDescent="0.3">
      <c r="D397" s="124"/>
      <c r="E397" s="122"/>
      <c r="F397" s="123"/>
      <c r="G397" s="122"/>
      <c r="H397" s="123"/>
      <c r="I397" s="122"/>
      <c r="J397" s="122"/>
      <c r="K397" s="122"/>
      <c r="L397" s="123"/>
      <c r="T397" s="257"/>
    </row>
    <row r="398" spans="3:36" s="153" customFormat="1" x14ac:dyDescent="0.3">
      <c r="D398" s="124"/>
      <c r="F398" s="123"/>
      <c r="G398" s="122"/>
      <c r="H398" s="123"/>
      <c r="I398" s="122"/>
      <c r="J398" s="122"/>
      <c r="K398" s="122"/>
      <c r="L398" s="123"/>
      <c r="T398" s="257"/>
    </row>
    <row r="399" spans="3:36" s="153" customFormat="1" x14ac:dyDescent="0.3">
      <c r="D399" s="272"/>
      <c r="E399" s="24"/>
      <c r="F399" s="123"/>
      <c r="G399" s="122"/>
      <c r="H399" s="123"/>
      <c r="I399" s="122"/>
      <c r="J399" s="122"/>
      <c r="K399" s="122"/>
      <c r="L399" s="123"/>
      <c r="T399" s="257"/>
    </row>
    <row r="400" spans="3:36" x14ac:dyDescent="0.3">
      <c r="F400" s="123"/>
      <c r="G400" s="122"/>
      <c r="H400" s="123"/>
      <c r="I400" s="122"/>
      <c r="J400" s="122"/>
      <c r="K400" s="122"/>
      <c r="L400" s="123"/>
      <c r="M400" s="153"/>
      <c r="N400" s="153"/>
      <c r="O400" s="153"/>
      <c r="P400" s="153"/>
      <c r="Q400" s="153"/>
      <c r="R400" s="153"/>
      <c r="S400" s="153"/>
      <c r="T400" s="257"/>
    </row>
    <row r="401" spans="6:20" x14ac:dyDescent="0.3">
      <c r="F401" s="123"/>
      <c r="G401" s="122"/>
      <c r="H401" s="123"/>
      <c r="I401" s="122"/>
      <c r="J401" s="122"/>
      <c r="K401" s="122"/>
      <c r="L401" s="123"/>
      <c r="M401" s="153"/>
      <c r="N401" s="153"/>
      <c r="O401" s="153"/>
      <c r="P401" s="153"/>
      <c r="Q401" s="153"/>
      <c r="R401" s="153"/>
      <c r="S401" s="153"/>
      <c r="T401" s="257"/>
    </row>
    <row r="402" spans="6:20" x14ac:dyDescent="0.3">
      <c r="F402" s="123"/>
      <c r="G402" s="122"/>
      <c r="H402" s="123"/>
      <c r="I402" s="122"/>
      <c r="J402" s="122"/>
      <c r="K402" s="122"/>
      <c r="L402" s="123"/>
      <c r="M402" s="153"/>
      <c r="N402" s="153"/>
      <c r="O402" s="153"/>
      <c r="P402" s="153"/>
      <c r="Q402" s="153"/>
      <c r="R402" s="153"/>
      <c r="S402" s="153"/>
      <c r="T402" s="257"/>
    </row>
    <row r="403" spans="6:20" x14ac:dyDescent="0.3">
      <c r="F403" s="123"/>
      <c r="G403" s="122"/>
      <c r="H403" s="123"/>
      <c r="I403" s="122"/>
      <c r="J403" s="122"/>
      <c r="K403" s="122"/>
      <c r="L403" s="123"/>
      <c r="M403" s="153"/>
      <c r="N403" s="153"/>
      <c r="O403" s="153"/>
      <c r="P403" s="153"/>
      <c r="Q403" s="153"/>
      <c r="R403" s="153"/>
      <c r="S403" s="153"/>
      <c r="T403" s="257"/>
    </row>
    <row r="404" spans="6:20" x14ac:dyDescent="0.3">
      <c r="F404" s="123"/>
      <c r="G404" s="122"/>
      <c r="H404" s="123"/>
      <c r="I404" s="122"/>
      <c r="J404" s="122"/>
      <c r="K404" s="122"/>
      <c r="L404" s="123"/>
      <c r="M404" s="153"/>
      <c r="N404" s="153"/>
      <c r="O404" s="153"/>
      <c r="P404" s="153"/>
      <c r="Q404" s="153"/>
      <c r="R404" s="153"/>
      <c r="S404" s="153"/>
      <c r="T404" s="257"/>
    </row>
  </sheetData>
  <mergeCells count="30">
    <mergeCell ref="C266:C272"/>
    <mergeCell ref="C277:C283"/>
    <mergeCell ref="C363:C369"/>
    <mergeCell ref="B1:S1"/>
    <mergeCell ref="U1:AJ1"/>
    <mergeCell ref="C116:S116"/>
    <mergeCell ref="U116:AJ116"/>
    <mergeCell ref="D265:L265"/>
    <mergeCell ref="W265:AE265"/>
    <mergeCell ref="D276:L276"/>
    <mergeCell ref="W298:AC298"/>
    <mergeCell ref="W276:AE276"/>
    <mergeCell ref="D298:K298"/>
    <mergeCell ref="D289:K289"/>
    <mergeCell ref="W289:AD289"/>
    <mergeCell ref="D361:L361"/>
    <mergeCell ref="W361:AE361"/>
    <mergeCell ref="D371:F371"/>
    <mergeCell ref="W325:AC325"/>
    <mergeCell ref="W335:AC335"/>
    <mergeCell ref="D325:K325"/>
    <mergeCell ref="D335:K335"/>
    <mergeCell ref="J26:K26"/>
    <mergeCell ref="L26:M26"/>
    <mergeCell ref="N26:O26"/>
    <mergeCell ref="P26:Q26"/>
    <mergeCell ref="J37:K37"/>
    <mergeCell ref="L37:M37"/>
    <mergeCell ref="N37:O37"/>
    <mergeCell ref="P37:Q37"/>
  </mergeCells>
  <phoneticPr fontId="51" type="noConversion"/>
  <pageMargins left="0.23622047244094499" right="0.23622047244094499" top="0.74803149606299202" bottom="0.74803149606299202" header="0.31496062992126" footer="0.31496062992126"/>
  <pageSetup paperSize="9" scale="82" orientation="portrait" r:id="rId3"/>
  <colBreaks count="1" manualBreakCount="1">
    <brk id="8"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95D55-AE08-4F33-89A9-0387C1199367}">
  <sheetPr>
    <tabColor theme="6" tint="-0.499984740745262"/>
  </sheetPr>
  <dimension ref="B1:BE172"/>
  <sheetViews>
    <sheetView showGridLines="0" zoomScale="90" zoomScaleNormal="90" zoomScaleSheetLayoutView="80" workbookViewId="0">
      <selection activeCell="K9" sqref="K9"/>
    </sheetView>
  </sheetViews>
  <sheetFormatPr defaultColWidth="11.44140625" defaultRowHeight="14.4" x14ac:dyDescent="0.3"/>
  <cols>
    <col min="1" max="1" width="11.44140625" style="413"/>
    <col min="2" max="2" width="12.21875" style="413" customWidth="1"/>
    <col min="3" max="3" width="21.77734375" style="413" customWidth="1"/>
    <col min="4" max="4" width="10.77734375" style="413" bestFit="1" customWidth="1"/>
    <col min="5" max="5" width="14.77734375" style="413" customWidth="1"/>
    <col min="6" max="6" width="18.44140625" style="413" customWidth="1"/>
    <col min="7" max="7" width="20" style="413" customWidth="1"/>
    <col min="8" max="12" width="13.21875" style="413" customWidth="1"/>
    <col min="13" max="13" width="15.44140625" style="413" customWidth="1"/>
    <col min="14" max="14" width="13.21875" style="413" customWidth="1"/>
    <col min="15" max="15" width="12.44140625" style="413" customWidth="1"/>
    <col min="16" max="16" width="13.21875" style="413" customWidth="1"/>
    <col min="17" max="17" width="11.77734375" style="413" customWidth="1"/>
    <col min="18" max="18" width="1.44140625" style="424" customWidth="1"/>
    <col min="19" max="22" width="16.21875" style="413" customWidth="1"/>
    <col min="23" max="23" width="14.21875" style="413" customWidth="1"/>
    <col min="24" max="24" width="18.44140625" style="413" customWidth="1"/>
    <col min="25" max="25" width="19.21875" style="413" customWidth="1"/>
    <col min="26" max="26" width="15.77734375" style="413" customWidth="1"/>
    <col min="27" max="32" width="14.21875" style="413" customWidth="1"/>
    <col min="33" max="33" width="14.5546875" style="413" customWidth="1"/>
    <col min="34" max="34" width="14.21875" style="413" customWidth="1"/>
    <col min="35" max="36" width="11.44140625" style="413" customWidth="1"/>
    <col min="37" max="37" width="17.77734375" style="413" customWidth="1"/>
    <col min="38" max="38" width="19.77734375" style="413" customWidth="1"/>
    <col min="39" max="39" width="12.5546875" style="413" customWidth="1"/>
    <col min="40" max="16384" width="11.44140625" style="413"/>
  </cols>
  <sheetData>
    <row r="1" spans="2:39" s="412" customFormat="1" ht="27" customHeight="1" thickBot="1" x14ac:dyDescent="0.35">
      <c r="B1" s="1337" t="s">
        <v>17</v>
      </c>
      <c r="C1" s="1338"/>
      <c r="D1" s="1338"/>
      <c r="E1" s="1338"/>
      <c r="F1" s="1338"/>
      <c r="G1" s="1338"/>
      <c r="H1" s="1338"/>
      <c r="I1" s="1338"/>
      <c r="J1" s="1338"/>
      <c r="K1" s="1338"/>
      <c r="L1" s="1338"/>
      <c r="M1" s="1338"/>
      <c r="N1" s="1338"/>
      <c r="O1" s="1338"/>
      <c r="P1" s="1338"/>
      <c r="Q1" s="1339"/>
      <c r="R1" s="411"/>
      <c r="S1" s="1340" t="s">
        <v>18</v>
      </c>
      <c r="T1" s="1341"/>
      <c r="U1" s="1341"/>
      <c r="V1" s="1341"/>
      <c r="W1" s="1341"/>
      <c r="X1" s="1341"/>
      <c r="Y1" s="1341"/>
      <c r="Z1" s="1341"/>
      <c r="AA1" s="1341"/>
      <c r="AB1" s="1341"/>
      <c r="AC1" s="1341"/>
      <c r="AD1" s="1341"/>
      <c r="AE1" s="1341"/>
      <c r="AF1" s="1342"/>
    </row>
    <row r="2" spans="2:39" x14ac:dyDescent="0.3">
      <c r="R2" s="414"/>
    </row>
    <row r="3" spans="2:39" ht="15" thickBot="1" x14ac:dyDescent="0.35">
      <c r="F3" s="444"/>
      <c r="G3" s="444"/>
      <c r="H3" s="444"/>
      <c r="I3" s="444"/>
      <c r="J3" s="444"/>
      <c r="K3" s="444"/>
      <c r="L3" s="444"/>
      <c r="M3" s="444"/>
      <c r="N3" s="444"/>
      <c r="R3" s="414"/>
    </row>
    <row r="4" spans="2:39" x14ac:dyDescent="0.3">
      <c r="B4" s="415"/>
      <c r="C4" s="416"/>
      <c r="D4" s="416"/>
      <c r="E4" s="416"/>
      <c r="F4" s="416"/>
      <c r="G4" s="416"/>
      <c r="H4" s="416"/>
      <c r="I4" s="416"/>
      <c r="J4" s="416"/>
      <c r="K4" s="416"/>
      <c r="L4" s="416"/>
      <c r="M4" s="416"/>
      <c r="N4" s="416"/>
      <c r="O4" s="416"/>
      <c r="P4" s="416"/>
      <c r="Q4" s="416"/>
      <c r="R4" s="417"/>
      <c r="S4" s="416"/>
      <c r="T4" s="416"/>
      <c r="U4" s="416"/>
      <c r="V4" s="416"/>
      <c r="W4" s="416"/>
      <c r="X4" s="416"/>
      <c r="Y4" s="416"/>
      <c r="Z4" s="416"/>
      <c r="AA4" s="416"/>
      <c r="AB4" s="416"/>
      <c r="AC4" s="416"/>
      <c r="AD4" s="416"/>
      <c r="AE4" s="416"/>
      <c r="AF4" s="416"/>
      <c r="AG4" s="416"/>
      <c r="AH4" s="416"/>
      <c r="AI4" s="416"/>
      <c r="AJ4" s="416"/>
      <c r="AK4" s="416"/>
      <c r="AL4" s="416"/>
      <c r="AM4" s="418"/>
    </row>
    <row r="5" spans="2:39" x14ac:dyDescent="0.3">
      <c r="B5" s="419"/>
      <c r="R5" s="414"/>
      <c r="AM5" s="422"/>
    </row>
    <row r="6" spans="2:39" x14ac:dyDescent="0.3">
      <c r="B6" s="419"/>
      <c r="G6" s="570" t="s">
        <v>309</v>
      </c>
      <c r="O6" s="428"/>
      <c r="P6" s="428"/>
      <c r="Q6" s="428"/>
      <c r="R6" s="460"/>
      <c r="X6" s="420" t="s">
        <v>310</v>
      </c>
      <c r="AM6" s="422"/>
    </row>
    <row r="7" spans="2:39" x14ac:dyDescent="0.3">
      <c r="B7" s="419"/>
      <c r="O7" s="461"/>
      <c r="P7" s="461"/>
      <c r="Q7" s="461"/>
      <c r="R7" s="450"/>
      <c r="AM7" s="422"/>
    </row>
    <row r="8" spans="2:39" s="714" customFormat="1" ht="58.05" customHeight="1" x14ac:dyDescent="0.3">
      <c r="B8" s="712"/>
      <c r="G8" s="731" t="s">
        <v>48</v>
      </c>
      <c r="H8" s="732" t="s">
        <v>311</v>
      </c>
      <c r="I8" s="732" t="s">
        <v>312</v>
      </c>
      <c r="J8" s="732" t="s">
        <v>313</v>
      </c>
      <c r="K8" s="732" t="s">
        <v>314</v>
      </c>
      <c r="L8" s="732" t="s">
        <v>315</v>
      </c>
      <c r="M8" s="732" t="s">
        <v>316</v>
      </c>
      <c r="N8" s="732" t="s">
        <v>317</v>
      </c>
      <c r="O8" s="732" t="s">
        <v>318</v>
      </c>
      <c r="P8" s="733" t="s">
        <v>25</v>
      </c>
      <c r="Q8" s="734"/>
      <c r="R8" s="735"/>
      <c r="S8" s="736"/>
      <c r="T8" s="736"/>
      <c r="U8" s="736"/>
      <c r="V8" s="736"/>
      <c r="W8" s="736"/>
      <c r="X8" s="761" t="s">
        <v>51</v>
      </c>
      <c r="Y8" s="762" t="s">
        <v>319</v>
      </c>
      <c r="Z8" s="762" t="s">
        <v>320</v>
      </c>
      <c r="AA8" s="762" t="s">
        <v>321</v>
      </c>
      <c r="AB8" s="762" t="s">
        <v>322</v>
      </c>
      <c r="AC8" s="762" t="s">
        <v>323</v>
      </c>
      <c r="AD8" s="762" t="s">
        <v>324</v>
      </c>
      <c r="AE8" s="762" t="s">
        <v>325</v>
      </c>
      <c r="AF8" s="762" t="s">
        <v>326</v>
      </c>
      <c r="AG8" s="733" t="s">
        <v>25</v>
      </c>
      <c r="AM8" s="737"/>
    </row>
    <row r="9" spans="2:39" x14ac:dyDescent="0.3">
      <c r="B9" s="419"/>
      <c r="G9" s="1047" t="s">
        <v>30</v>
      </c>
      <c r="H9" s="1048">
        <f>SUMIFS(sommaire[PDI_abris spontané],sommaire[Département_nom],Settlement!$G9)+ SUMIFS(sommaire[REF_abris spontané],sommaire[Département_nom],Settlement!$G9) + SUMIFS(sommaire[RET_abris spontané],sommaire[Département_nom],Settlement!$G9)</f>
        <v>189</v>
      </c>
      <c r="I9" s="1048">
        <f>SUMIFS(sommaire[PDI_en location],sommaire[Département_nom],Settlement!$G9)+ SUMIFS(sommaire[REF_en location],sommaire[Département_nom],Settlement!$G9) + SUMIFS(sommaire[RET_en location],sommaire[Département_nom],Settlement!$G9)</f>
        <v>763</v>
      </c>
      <c r="J9" s="1048">
        <f>SUMIFS(sommaire[PDI_centre collectif],sommaire[Département_nom],Settlement!$G9)+ SUMIFS(sommaire[REF_centre collectif],sommaire[Département_nom],Settlement!$G9) + SUMIFS(sommaire[RET_centre collectif],sommaire[Département_nom],Settlement!$G9)</f>
        <v>536</v>
      </c>
      <c r="K9" s="1048">
        <f>SUMIFS(sommaire[PDI_air libre],sommaire[Département_nom],Settlement!$G9)+ SUMIFS(sommaire[REF_air libre],sommaire[Département_nom],Settlement!$G9) + SUMIFS(sommaire[RET_air libre],sommaire[Département_nom],Settlement!$G9)</f>
        <v>0</v>
      </c>
      <c r="L9" s="1048">
        <f>SUMIFS(sommaire[PDI_famille d''accueil (à titre gratuit)],sommaire[Département_nom],Settlement!$G9)+ SUMIFS(sommaire[REF_famille d''accueil (à titre gratuit)],sommaire[Département_nom],Settlement!$G9) + SUMIFS(sommaire[RET_famille d''accueil (à titre gratuit)],sommaire[Département_nom],Settlement!$G9)</f>
        <v>450</v>
      </c>
      <c r="M9" s="1048">
        <f>SUMIFS(sommaire[PDI_famille d''accueil (contre travaux domestiques ou des champs)],sommaire[Département_nom],Settlement!$G9)+ SUMIFS(sommaire[REF_famille d''accueil (contre travaux domestiques ou des champs)],sommaire[Département_nom],Settlement!$G9) + SUMIFS(sommaire[RET_famille d''accueil (contre travaux domestiques ou des champs)],sommaire[Département_nom],Settlement!$G9)</f>
        <v>0</v>
      </c>
      <c r="N9" s="1048">
        <f>SUMIFS(sommaire[RET_habitat initial],sommaire[Département_nom],Settlement!$G9)</f>
        <v>45</v>
      </c>
      <c r="O9" s="1048">
        <f>SUMIFS(sommaire[PDI_domicile personnel],sommaire[Département_nom],Settlement!$G9)+SUMIFS(sommaire[RET_NOUVEAU_domicile personnel],sommaire[Département_nom],Settlement!$G9)</f>
        <v>10</v>
      </c>
      <c r="P9" s="694">
        <f>SUM(H9:O9)</f>
        <v>1993</v>
      </c>
      <c r="Q9" s="427"/>
      <c r="R9" s="450"/>
      <c r="S9" s="461"/>
      <c r="T9" s="461"/>
      <c r="U9" s="461"/>
      <c r="V9" s="461"/>
      <c r="W9" s="461"/>
      <c r="X9" s="1047" t="s">
        <v>30</v>
      </c>
      <c r="Y9" s="1049">
        <f t="shared" ref="Y9:Y14" si="0">H9</f>
        <v>189</v>
      </c>
      <c r="Z9" s="1049">
        <f t="shared" ref="Z9:Z14" si="1">I9</f>
        <v>763</v>
      </c>
      <c r="AA9" s="1049">
        <f t="shared" ref="AA9:AA14" si="2">J9</f>
        <v>536</v>
      </c>
      <c r="AB9" s="1049">
        <f t="shared" ref="AB9:AB14" si="3">K9</f>
        <v>0</v>
      </c>
      <c r="AC9" s="1049">
        <f t="shared" ref="AC9:AC14" si="4">L9</f>
        <v>450</v>
      </c>
      <c r="AD9" s="1049">
        <f t="shared" ref="AD9:AD14" si="5">M9</f>
        <v>0</v>
      </c>
      <c r="AE9" s="1049">
        <f t="shared" ref="AE9:AE14" si="6">N9</f>
        <v>45</v>
      </c>
      <c r="AF9" s="1049">
        <f t="shared" ref="AF9:AF14" si="7">O9</f>
        <v>10</v>
      </c>
      <c r="AG9" s="765">
        <f t="shared" ref="AG9:AG14" si="8">SUM(Y9:AF9)</f>
        <v>1993</v>
      </c>
      <c r="AM9" s="422"/>
    </row>
    <row r="10" spans="2:39" x14ac:dyDescent="0.3">
      <c r="B10" s="419"/>
      <c r="G10" s="1050" t="s">
        <v>31</v>
      </c>
      <c r="H10" s="1051">
        <f>SUMIFS(sommaire[PDI_abris spontané],sommaire[Département_nom],Settlement!$G10)+ SUMIFS(sommaire[REF_abris spontané],sommaire[Département_nom],Settlement!$G10) + SUMIFS(sommaire[RET_abris spontané],sommaire[Département_nom],Settlement!$G10)</f>
        <v>9811</v>
      </c>
      <c r="I10" s="1051">
        <f>SUMIFS(sommaire[PDI_en location],sommaire[Département_nom],Settlement!$G10)+ SUMIFS(sommaire[REF_en location],sommaire[Département_nom],Settlement!$G10) + SUMIFS(sommaire[RET_en location],sommaire[Département_nom],Settlement!$G10)</f>
        <v>5609</v>
      </c>
      <c r="J10" s="1051">
        <f>SUMIFS(sommaire[PDI_centre collectif],sommaire[Département_nom],Settlement!$G10)+ SUMIFS(sommaire[REF_centre collectif],sommaire[Département_nom],Settlement!$G10) + SUMIFS(sommaire[RET_centre collectif],sommaire[Département_nom],Settlement!$G10)</f>
        <v>50</v>
      </c>
      <c r="K10" s="1051">
        <f>SUMIFS(sommaire[PDI_air libre],sommaire[Département_nom],Settlement!$G10)+ SUMIFS(sommaire[REF_air libre],sommaire[Département_nom],Settlement!$G10) + SUMIFS(sommaire[RET_air libre],sommaire[Département_nom],Settlement!$G10)</f>
        <v>52</v>
      </c>
      <c r="L10" s="1051">
        <f>SUMIFS(sommaire[PDI_famille d''accueil (à titre gratuit)],sommaire[Département_nom],Settlement!$G10)+ SUMIFS(sommaire[REF_famille d''accueil (à titre gratuit)],sommaire[Département_nom],Settlement!$G10) + SUMIFS(sommaire[RET_famille d''accueil (à titre gratuit)],sommaire[Département_nom],Settlement!$G10)</f>
        <v>18255</v>
      </c>
      <c r="M10" s="1051">
        <f>SUMIFS(sommaire[PDI_famille d''accueil (contre travaux domestiques ou des champs)],sommaire[Département_nom],Settlement!$G10)+ SUMIFS(sommaire[REF_famille d''accueil (contre travaux domestiques ou des champs)],sommaire[Département_nom],Settlement!$G10) + SUMIFS(sommaire[RET_famille d''accueil (contre travaux domestiques ou des champs)],sommaire[Département_nom],Settlement!$G10)</f>
        <v>605</v>
      </c>
      <c r="N10" s="1051">
        <f>SUMIFS(sommaire[RET_habitat initial],sommaire[Département_nom],Settlement!$G10)</f>
        <v>6368</v>
      </c>
      <c r="O10" s="1051">
        <f>SUMIFS(sommaire[PDI_domicile personnel],sommaire[Département_nom],Settlement!$G10)+SUMIFS(sommaire[RET_NOUVEAU_domicile personnel],sommaire[Département_nom],Settlement!$G10)</f>
        <v>4845</v>
      </c>
      <c r="P10" s="738">
        <f>SUM(H10:O10)</f>
        <v>45595</v>
      </c>
      <c r="Q10" s="427"/>
      <c r="R10" s="450"/>
      <c r="S10" s="461"/>
      <c r="T10" s="461"/>
      <c r="U10" s="461"/>
      <c r="V10" s="461"/>
      <c r="W10" s="461"/>
      <c r="X10" s="1050" t="s">
        <v>31</v>
      </c>
      <c r="Y10" s="1052">
        <f t="shared" si="0"/>
        <v>9811</v>
      </c>
      <c r="Z10" s="1052">
        <f t="shared" si="1"/>
        <v>5609</v>
      </c>
      <c r="AA10" s="1052">
        <f t="shared" si="2"/>
        <v>50</v>
      </c>
      <c r="AB10" s="1052">
        <f t="shared" si="3"/>
        <v>52</v>
      </c>
      <c r="AC10" s="1052">
        <f t="shared" si="4"/>
        <v>18255</v>
      </c>
      <c r="AD10" s="1052">
        <f t="shared" si="5"/>
        <v>605</v>
      </c>
      <c r="AE10" s="1052">
        <f t="shared" si="6"/>
        <v>6368</v>
      </c>
      <c r="AF10" s="1052">
        <f t="shared" si="7"/>
        <v>4845</v>
      </c>
      <c r="AG10" s="766">
        <f t="shared" si="8"/>
        <v>45595</v>
      </c>
      <c r="AM10" s="422"/>
    </row>
    <row r="11" spans="2:39" x14ac:dyDescent="0.3">
      <c r="B11" s="419"/>
      <c r="G11" s="1047" t="s">
        <v>32</v>
      </c>
      <c r="H11" s="1048">
        <f>SUMIFS(sommaire[PDI_abris spontané],sommaire[Département_nom],Settlement!$G11)+ SUMIFS(sommaire[REF_abris spontané],sommaire[Département_nom],Settlement!$G11) + SUMIFS(sommaire[RET_abris spontané],sommaire[Département_nom],Settlement!$G11)</f>
        <v>2930</v>
      </c>
      <c r="I11" s="1048">
        <f>SUMIFS(sommaire[PDI_en location],sommaire[Département_nom],Settlement!$G11)+ SUMIFS(sommaire[REF_en location],sommaire[Département_nom],Settlement!$G11) + SUMIFS(sommaire[RET_en location],sommaire[Département_nom],Settlement!$G11)</f>
        <v>126</v>
      </c>
      <c r="J11" s="1048">
        <f>SUMIFS(sommaire[PDI_centre collectif],sommaire[Département_nom],Settlement!$G11)+ SUMIFS(sommaire[REF_centre collectif],sommaire[Département_nom],Settlement!$G11) + SUMIFS(sommaire[RET_centre collectif],sommaire[Département_nom],Settlement!$G11)</f>
        <v>0</v>
      </c>
      <c r="K11" s="1048">
        <f>SUMIFS(sommaire[PDI_air libre],sommaire[Département_nom],Settlement!$G11)+ SUMIFS(sommaire[REF_air libre],sommaire[Département_nom],Settlement!$G11) + SUMIFS(sommaire[RET_air libre],sommaire[Département_nom],Settlement!$G11)</f>
        <v>483</v>
      </c>
      <c r="L11" s="1048">
        <f>SUMIFS(sommaire[PDI_famille d''accueil (à titre gratuit)],sommaire[Département_nom],Settlement!$G11)+ SUMIFS(sommaire[REF_famille d''accueil (à titre gratuit)],sommaire[Département_nom],Settlement!$G11) + SUMIFS(sommaire[RET_famille d''accueil (à titre gratuit)],sommaire[Département_nom],Settlement!$G11)</f>
        <v>2409</v>
      </c>
      <c r="M11" s="1048">
        <f>SUMIFS(sommaire[PDI_famille d''accueil (contre travaux domestiques ou des champs)],sommaire[Département_nom],Settlement!$G11)+ SUMIFS(sommaire[REF_famille d''accueil (contre travaux domestiques ou des champs)],sommaire[Département_nom],Settlement!$G11) + SUMIFS(sommaire[RET_famille d''accueil (contre travaux domestiques ou des champs)],sommaire[Département_nom],Settlement!$G11)</f>
        <v>136</v>
      </c>
      <c r="N11" s="1048">
        <f>SUMIFS(sommaire[RET_habitat initial],sommaire[Département_nom],Settlement!$G11)</f>
        <v>5021</v>
      </c>
      <c r="O11" s="1048">
        <f>SUMIFS(sommaire[PDI_domicile personnel],sommaire[Département_nom],Settlement!$G11)+SUMIFS(sommaire[RET_NOUVEAU_domicile personnel],sommaire[Département_nom],Settlement!$G11)</f>
        <v>3129</v>
      </c>
      <c r="P11" s="694">
        <f t="shared" ref="P11:P14" si="9">SUM(H11:O11)</f>
        <v>14234</v>
      </c>
      <c r="Q11" s="427"/>
      <c r="R11" s="450"/>
      <c r="S11" s="461"/>
      <c r="T11" s="461"/>
      <c r="U11" s="461"/>
      <c r="V11" s="461"/>
      <c r="W11" s="461"/>
      <c r="X11" s="1047" t="s">
        <v>32</v>
      </c>
      <c r="Y11" s="1049">
        <f t="shared" si="0"/>
        <v>2930</v>
      </c>
      <c r="Z11" s="1049">
        <f t="shared" si="1"/>
        <v>126</v>
      </c>
      <c r="AA11" s="1049">
        <f t="shared" si="2"/>
        <v>0</v>
      </c>
      <c r="AB11" s="1049">
        <f t="shared" si="3"/>
        <v>483</v>
      </c>
      <c r="AC11" s="1049">
        <f t="shared" si="4"/>
        <v>2409</v>
      </c>
      <c r="AD11" s="1049">
        <f t="shared" si="5"/>
        <v>136</v>
      </c>
      <c r="AE11" s="1049">
        <f t="shared" si="6"/>
        <v>5021</v>
      </c>
      <c r="AF11" s="1049">
        <f t="shared" si="7"/>
        <v>3129</v>
      </c>
      <c r="AG11" s="765">
        <f t="shared" si="8"/>
        <v>14234</v>
      </c>
      <c r="AM11" s="422"/>
    </row>
    <row r="12" spans="2:39" x14ac:dyDescent="0.3">
      <c r="B12" s="419"/>
      <c r="G12" s="1050" t="s">
        <v>33</v>
      </c>
      <c r="H12" s="1051">
        <f>SUMIFS(sommaire[PDI_abris spontané],sommaire[Département_nom],Settlement!$G12)+ SUMIFS(sommaire[REF_abris spontané],sommaire[Département_nom],Settlement!$G12) + SUMIFS(sommaire[RET_abris spontané],sommaire[Département_nom],Settlement!$G12)</f>
        <v>271</v>
      </c>
      <c r="I12" s="1051">
        <f>SUMIFS(sommaire[PDI_en location],sommaire[Département_nom],Settlement!$G12)+ SUMIFS(sommaire[REF_en location],sommaire[Département_nom],Settlement!$G12) + SUMIFS(sommaire[RET_en location],sommaire[Département_nom],Settlement!$G12)</f>
        <v>35</v>
      </c>
      <c r="J12" s="1051">
        <f>SUMIFS(sommaire[PDI_centre collectif],sommaire[Département_nom],Settlement!$G12)+ SUMIFS(sommaire[REF_centre collectif],sommaire[Département_nom],Settlement!$G12) + SUMIFS(sommaire[RET_centre collectif],sommaire[Département_nom],Settlement!$G12)</f>
        <v>0</v>
      </c>
      <c r="K12" s="1051">
        <f>SUMIFS(sommaire[PDI_air libre],sommaire[Département_nom],Settlement!$G12)+ SUMIFS(sommaire[REF_air libre],sommaire[Département_nom],Settlement!$G12) + SUMIFS(sommaire[RET_air libre],sommaire[Département_nom],Settlement!$G12)</f>
        <v>0</v>
      </c>
      <c r="L12" s="1051">
        <f>SUMIFS(sommaire[PDI_famille d''accueil (à titre gratuit)],sommaire[Département_nom],Settlement!$G12)+ SUMIFS(sommaire[REF_famille d''accueil (à titre gratuit)],sommaire[Département_nom],Settlement!$G12) + SUMIFS(sommaire[RET_famille d''accueil (à titre gratuit)],sommaire[Département_nom],Settlement!$G12)</f>
        <v>115</v>
      </c>
      <c r="M12" s="1051">
        <f>SUMIFS(sommaire[PDI_famille d''accueil (contre travaux domestiques ou des champs)],sommaire[Département_nom],Settlement!$G12)+ SUMIFS(sommaire[REF_famille d''accueil (contre travaux domestiques ou des champs)],sommaire[Département_nom],Settlement!$G12) + SUMIFS(sommaire[RET_famille d''accueil (contre travaux domestiques ou des champs)],sommaire[Département_nom],Settlement!$G12)</f>
        <v>77</v>
      </c>
      <c r="N12" s="1051">
        <f>SUMIFS(sommaire[RET_habitat initial],sommaire[Département_nom],Settlement!$G12)</f>
        <v>8</v>
      </c>
      <c r="O12" s="1051">
        <f>SUMIFS(sommaire[PDI_domicile personnel],sommaire[Département_nom],Settlement!$G12)+SUMIFS(sommaire[RET_NOUVEAU_domicile personnel],sommaire[Département_nom],Settlement!$G12)</f>
        <v>97</v>
      </c>
      <c r="P12" s="738">
        <f t="shared" si="9"/>
        <v>603</v>
      </c>
      <c r="Q12" s="427"/>
      <c r="R12" s="450"/>
      <c r="S12" s="461"/>
      <c r="T12" s="461"/>
      <c r="U12" s="461"/>
      <c r="V12" s="461"/>
      <c r="W12" s="461"/>
      <c r="X12" s="1050" t="s">
        <v>33</v>
      </c>
      <c r="Y12" s="1052">
        <f t="shared" si="0"/>
        <v>271</v>
      </c>
      <c r="Z12" s="1052">
        <f t="shared" si="1"/>
        <v>35</v>
      </c>
      <c r="AA12" s="1052">
        <f t="shared" si="2"/>
        <v>0</v>
      </c>
      <c r="AB12" s="1052">
        <f t="shared" si="3"/>
        <v>0</v>
      </c>
      <c r="AC12" s="1052">
        <f t="shared" si="4"/>
        <v>115</v>
      </c>
      <c r="AD12" s="1052">
        <f t="shared" si="5"/>
        <v>77</v>
      </c>
      <c r="AE12" s="1052">
        <f t="shared" si="6"/>
        <v>8</v>
      </c>
      <c r="AF12" s="1052">
        <f t="shared" si="7"/>
        <v>97</v>
      </c>
      <c r="AG12" s="766">
        <f t="shared" si="8"/>
        <v>603</v>
      </c>
      <c r="AM12" s="422"/>
    </row>
    <row r="13" spans="2:39" x14ac:dyDescent="0.3">
      <c r="B13" s="419"/>
      <c r="G13" s="1047" t="s">
        <v>34</v>
      </c>
      <c r="H13" s="1048">
        <f>SUMIFS(sommaire[PDI_abris spontané],sommaire[Département_nom],Settlement!$G13)+ SUMIFS(sommaire[REF_abris spontané],sommaire[Département_nom],Settlement!$G13) + SUMIFS(sommaire[RET_abris spontané],sommaire[Département_nom],Settlement!$G13)</f>
        <v>9846</v>
      </c>
      <c r="I13" s="1048">
        <f>SUMIFS(sommaire[PDI_en location],sommaire[Département_nom],Settlement!$G13)+ SUMIFS(sommaire[REF_en location],sommaire[Département_nom],Settlement!$G13) + SUMIFS(sommaire[RET_en location],sommaire[Département_nom],Settlement!$G13)</f>
        <v>1435</v>
      </c>
      <c r="J13" s="1048">
        <f>SUMIFS(sommaire[PDI_centre collectif],sommaire[Département_nom],Settlement!$G13)+ SUMIFS(sommaire[REF_centre collectif],sommaire[Département_nom],Settlement!$G13) + SUMIFS(sommaire[RET_centre collectif],sommaire[Département_nom],Settlement!$G13)</f>
        <v>0</v>
      </c>
      <c r="K13" s="1048">
        <f>SUMIFS(sommaire[PDI_air libre],sommaire[Département_nom],Settlement!$G13)+ SUMIFS(sommaire[REF_air libre],sommaire[Département_nom],Settlement!$G13) + SUMIFS(sommaire[RET_air libre],sommaire[Département_nom],Settlement!$G13)</f>
        <v>0</v>
      </c>
      <c r="L13" s="1048">
        <f>SUMIFS(sommaire[PDI_famille d''accueil (à titre gratuit)],sommaire[Département_nom],Settlement!$G13)+ SUMIFS(sommaire[REF_famille d''accueil (à titre gratuit)],sommaire[Département_nom],Settlement!$G13) + SUMIFS(sommaire[RET_famille d''accueil (à titre gratuit)],sommaire[Département_nom],Settlement!$G13)</f>
        <v>9000</v>
      </c>
      <c r="M13" s="1048">
        <f>SUMIFS(sommaire[PDI_famille d''accueil (contre travaux domestiques ou des champs)],sommaire[Département_nom],Settlement!$G13)+ SUMIFS(sommaire[REF_famille d''accueil (contre travaux domestiques ou des champs)],sommaire[Département_nom],Settlement!$G13) + SUMIFS(sommaire[RET_famille d''accueil (contre travaux domestiques ou des champs)],sommaire[Département_nom],Settlement!$G13)</f>
        <v>490</v>
      </c>
      <c r="N13" s="1048">
        <f>SUMIFS(sommaire[RET_habitat initial],sommaire[Département_nom],Settlement!$G13)</f>
        <v>2667</v>
      </c>
      <c r="O13" s="1048">
        <f>SUMIFS(sommaire[PDI_domicile personnel],sommaire[Département_nom],Settlement!$G13)+SUMIFS(sommaire[RET_NOUVEAU_domicile personnel],sommaire[Département_nom],Settlement!$G13)</f>
        <v>2857</v>
      </c>
      <c r="P13" s="694">
        <f t="shared" si="9"/>
        <v>26295</v>
      </c>
      <c r="Q13" s="427"/>
      <c r="R13" s="450"/>
      <c r="S13" s="463"/>
      <c r="T13" s="463"/>
      <c r="U13" s="463"/>
      <c r="V13" s="463"/>
      <c r="W13" s="463"/>
      <c r="X13" s="1047" t="s">
        <v>34</v>
      </c>
      <c r="Y13" s="1049">
        <f t="shared" si="0"/>
        <v>9846</v>
      </c>
      <c r="Z13" s="1049">
        <f t="shared" si="1"/>
        <v>1435</v>
      </c>
      <c r="AA13" s="1049">
        <f t="shared" si="2"/>
        <v>0</v>
      </c>
      <c r="AB13" s="1049">
        <f t="shared" si="3"/>
        <v>0</v>
      </c>
      <c r="AC13" s="1049">
        <f t="shared" si="4"/>
        <v>9000</v>
      </c>
      <c r="AD13" s="1049">
        <f t="shared" si="5"/>
        <v>490</v>
      </c>
      <c r="AE13" s="1049">
        <f t="shared" si="6"/>
        <v>2667</v>
      </c>
      <c r="AF13" s="1049">
        <f t="shared" si="7"/>
        <v>2857</v>
      </c>
      <c r="AG13" s="765">
        <f t="shared" si="8"/>
        <v>26295</v>
      </c>
      <c r="AM13" s="422"/>
    </row>
    <row r="14" spans="2:39" x14ac:dyDescent="0.3">
      <c r="B14" s="419"/>
      <c r="G14" s="1050" t="s">
        <v>35</v>
      </c>
      <c r="H14" s="1051">
        <f>SUMIFS(sommaire[PDI_abris spontané],sommaire[Département_nom],Settlement!$G14)+ SUMIFS(sommaire[REF_abris spontané],sommaire[Département_nom],Settlement!$G14) + SUMIFS(sommaire[RET_abris spontané],sommaire[Département_nom],Settlement!$G14)</f>
        <v>2672</v>
      </c>
      <c r="I14" s="1051">
        <f>SUMIFS(sommaire[PDI_en location],sommaire[Département_nom],Settlement!$G14)+ SUMIFS(sommaire[REF_en location],sommaire[Département_nom],Settlement!$G14) + SUMIFS(sommaire[RET_en location],sommaire[Département_nom],Settlement!$G14)</f>
        <v>2338</v>
      </c>
      <c r="J14" s="1051">
        <f>SUMIFS(sommaire[PDI_centre collectif],sommaire[Département_nom],Settlement!$G14)+ SUMIFS(sommaire[REF_centre collectif],sommaire[Département_nom],Settlement!$G14) + SUMIFS(sommaire[RET_centre collectif],sommaire[Département_nom],Settlement!$G14)</f>
        <v>915</v>
      </c>
      <c r="K14" s="1051">
        <f>SUMIFS(sommaire[PDI_air libre],sommaire[Département_nom],Settlement!$G14)+ SUMIFS(sommaire[REF_air libre],sommaire[Département_nom],Settlement!$G14) + SUMIFS(sommaire[RET_air libre],sommaire[Département_nom],Settlement!$G14)</f>
        <v>48</v>
      </c>
      <c r="L14" s="1051">
        <f>SUMIFS(sommaire[PDI_famille d''accueil (à titre gratuit)],sommaire[Département_nom],Settlement!$G14)+ SUMIFS(sommaire[REF_famille d''accueil (à titre gratuit)],sommaire[Département_nom],Settlement!$G14) + SUMIFS(sommaire[RET_famille d''accueil (à titre gratuit)],sommaire[Département_nom],Settlement!$G14)</f>
        <v>9775</v>
      </c>
      <c r="M14" s="1051">
        <f>SUMIFS(sommaire[PDI_famille d''accueil (contre travaux domestiques ou des champs)],sommaire[Département_nom],Settlement!$G14)+ SUMIFS(sommaire[REF_famille d''accueil (contre travaux domestiques ou des champs)],sommaire[Département_nom],Settlement!$G14) + SUMIFS(sommaire[RET_famille d''accueil (contre travaux domestiques ou des champs)],sommaire[Département_nom],Settlement!$G14)</f>
        <v>1566</v>
      </c>
      <c r="N14" s="1051">
        <f>SUMIFS(sommaire[RET_habitat initial],sommaire[Département_nom],Settlement!$G14)</f>
        <v>1961</v>
      </c>
      <c r="O14" s="1051">
        <f>SUMIFS(sommaire[PDI_domicile personnel],sommaire[Département_nom],Settlement!$G14)+SUMIFS(sommaire[RET_NOUVEAU_domicile personnel],sommaire[Département_nom],Settlement!$G14)</f>
        <v>2486</v>
      </c>
      <c r="P14" s="738">
        <f t="shared" si="9"/>
        <v>21761</v>
      </c>
      <c r="Q14" s="427"/>
      <c r="R14" s="450"/>
      <c r="X14" s="1050" t="s">
        <v>35</v>
      </c>
      <c r="Y14" s="1052">
        <f t="shared" si="0"/>
        <v>2672</v>
      </c>
      <c r="Z14" s="1052">
        <f t="shared" si="1"/>
        <v>2338</v>
      </c>
      <c r="AA14" s="1052">
        <f t="shared" si="2"/>
        <v>915</v>
      </c>
      <c r="AB14" s="1052">
        <f t="shared" si="3"/>
        <v>48</v>
      </c>
      <c r="AC14" s="1052">
        <f t="shared" si="4"/>
        <v>9775</v>
      </c>
      <c r="AD14" s="1052">
        <f t="shared" si="5"/>
        <v>1566</v>
      </c>
      <c r="AE14" s="1052">
        <f t="shared" si="6"/>
        <v>1961</v>
      </c>
      <c r="AF14" s="1052">
        <f t="shared" si="7"/>
        <v>2486</v>
      </c>
      <c r="AG14" s="766">
        <f t="shared" si="8"/>
        <v>21761</v>
      </c>
      <c r="AM14" s="422"/>
    </row>
    <row r="15" spans="2:39" x14ac:dyDescent="0.3">
      <c r="B15" s="419"/>
      <c r="G15" s="723"/>
      <c r="H15" s="724">
        <f>SUM(H9:H14)</f>
        <v>25719</v>
      </c>
      <c r="I15" s="724">
        <f t="shared" ref="I15:O15" si="10">SUM(I9:I14)</f>
        <v>10306</v>
      </c>
      <c r="J15" s="724">
        <f t="shared" si="10"/>
        <v>1501</v>
      </c>
      <c r="K15" s="724">
        <f t="shared" si="10"/>
        <v>583</v>
      </c>
      <c r="L15" s="724">
        <f t="shared" si="10"/>
        <v>40004</v>
      </c>
      <c r="M15" s="724">
        <f t="shared" si="10"/>
        <v>2874</v>
      </c>
      <c r="N15" s="724">
        <f t="shared" si="10"/>
        <v>16070</v>
      </c>
      <c r="O15" s="724">
        <f t="shared" si="10"/>
        <v>13424</v>
      </c>
      <c r="P15" s="724">
        <f>SUM(P9:P14)</f>
        <v>110481</v>
      </c>
      <c r="Q15" s="464"/>
      <c r="R15" s="465"/>
      <c r="X15" s="763"/>
      <c r="Y15" s="764">
        <f>SUM(Y9:Y14)</f>
        <v>25719</v>
      </c>
      <c r="Z15" s="764">
        <f t="shared" ref="Z15:AG15" si="11">SUM(Z9:Z14)</f>
        <v>10306</v>
      </c>
      <c r="AA15" s="764">
        <f t="shared" si="11"/>
        <v>1501</v>
      </c>
      <c r="AB15" s="764">
        <f t="shared" si="11"/>
        <v>583</v>
      </c>
      <c r="AC15" s="764">
        <f t="shared" si="11"/>
        <v>40004</v>
      </c>
      <c r="AD15" s="764">
        <f t="shared" si="11"/>
        <v>2874</v>
      </c>
      <c r="AE15" s="764">
        <f t="shared" si="11"/>
        <v>16070</v>
      </c>
      <c r="AF15" s="764">
        <f t="shared" si="11"/>
        <v>13424</v>
      </c>
      <c r="AG15" s="764">
        <f t="shared" si="11"/>
        <v>110481</v>
      </c>
      <c r="AM15" s="422"/>
    </row>
    <row r="16" spans="2:39" x14ac:dyDescent="0.3">
      <c r="B16" s="419"/>
      <c r="H16" s="1130">
        <f t="shared" ref="H16:O16" si="12">H15/$P$15</f>
        <v>0.23279115866076519</v>
      </c>
      <c r="I16" s="1130">
        <f t="shared" si="12"/>
        <v>9.3283007938016485E-2</v>
      </c>
      <c r="J16" s="1130">
        <f t="shared" si="12"/>
        <v>1.3586046469528698E-2</v>
      </c>
      <c r="K16" s="1130">
        <f t="shared" si="12"/>
        <v>5.2769254441940245E-3</v>
      </c>
      <c r="L16" s="1130">
        <f t="shared" si="12"/>
        <v>0.36208940903865822</v>
      </c>
      <c r="M16" s="1130">
        <f t="shared" si="12"/>
        <v>2.6013522687158879E-2</v>
      </c>
      <c r="N16" s="1130">
        <f t="shared" si="12"/>
        <v>0.14545487459382156</v>
      </c>
      <c r="O16" s="1130">
        <f t="shared" si="12"/>
        <v>0.12150505516785692</v>
      </c>
      <c r="P16" s="696">
        <f>SUM(H16:O16)</f>
        <v>0.99999999999999989</v>
      </c>
      <c r="Q16" s="432"/>
      <c r="R16" s="451"/>
      <c r="Y16" s="432">
        <f t="shared" ref="Y16:AF16" si="13">H16</f>
        <v>0.23279115866076519</v>
      </c>
      <c r="Z16" s="432">
        <f t="shared" si="13"/>
        <v>9.3283007938016485E-2</v>
      </c>
      <c r="AA16" s="432">
        <f t="shared" si="13"/>
        <v>1.3586046469528698E-2</v>
      </c>
      <c r="AB16" s="432">
        <f t="shared" si="13"/>
        <v>5.2769254441940245E-3</v>
      </c>
      <c r="AC16" s="432">
        <f t="shared" si="13"/>
        <v>0.36208940903865822</v>
      </c>
      <c r="AD16" s="432">
        <f t="shared" si="13"/>
        <v>2.6013522687158879E-2</v>
      </c>
      <c r="AE16" s="432">
        <f t="shared" si="13"/>
        <v>0.14545487459382156</v>
      </c>
      <c r="AF16" s="432">
        <f t="shared" si="13"/>
        <v>0.12150505516785692</v>
      </c>
      <c r="AG16" s="696">
        <f>SUM(Y16:AF16)</f>
        <v>0.99999999999999989</v>
      </c>
      <c r="AM16" s="422"/>
    </row>
    <row r="17" spans="2:39" x14ac:dyDescent="0.3">
      <c r="B17" s="419"/>
      <c r="H17" s="432"/>
      <c r="I17" s="432"/>
      <c r="J17" s="432"/>
      <c r="K17" s="432"/>
      <c r="L17" s="432"/>
      <c r="M17" s="432"/>
      <c r="N17" s="432"/>
      <c r="O17" s="432"/>
      <c r="P17" s="432"/>
      <c r="Q17" s="432"/>
      <c r="R17" s="451"/>
      <c r="AM17" s="422"/>
    </row>
    <row r="18" spans="2:39" x14ac:dyDescent="0.3">
      <c r="B18" s="419"/>
      <c r="H18" s="432"/>
      <c r="I18" s="432"/>
      <c r="J18" s="432"/>
      <c r="K18" s="432"/>
      <c r="L18" s="432"/>
      <c r="M18" s="432"/>
      <c r="N18" s="432"/>
      <c r="O18" s="432"/>
      <c r="P18" s="432"/>
      <c r="Q18" s="432"/>
      <c r="R18" s="451"/>
      <c r="AM18" s="422"/>
    </row>
    <row r="19" spans="2:39" x14ac:dyDescent="0.3">
      <c r="B19" s="419"/>
      <c r="G19" s="420" t="s">
        <v>327</v>
      </c>
      <c r="H19" s="432"/>
      <c r="I19" s="432"/>
      <c r="J19" s="432"/>
      <c r="K19" s="432"/>
      <c r="L19" s="432"/>
      <c r="M19" s="432"/>
      <c r="N19" s="432"/>
      <c r="O19" s="432"/>
      <c r="P19" s="432"/>
      <c r="Q19" s="432"/>
      <c r="R19" s="451"/>
      <c r="X19" s="420" t="s">
        <v>328</v>
      </c>
      <c r="AM19" s="422"/>
    </row>
    <row r="20" spans="2:39" x14ac:dyDescent="0.3">
      <c r="B20" s="419"/>
      <c r="H20" s="432"/>
      <c r="I20" s="432"/>
      <c r="J20" s="432"/>
      <c r="K20" s="432"/>
      <c r="L20" s="432"/>
      <c r="M20" s="432"/>
      <c r="N20" s="432"/>
      <c r="O20" s="432"/>
      <c r="P20" s="432"/>
      <c r="Q20" s="432"/>
      <c r="R20" s="451"/>
      <c r="AM20" s="422"/>
    </row>
    <row r="21" spans="2:39" ht="54" customHeight="1" x14ac:dyDescent="0.3">
      <c r="B21" s="419"/>
      <c r="G21" s="731" t="s">
        <v>48</v>
      </c>
      <c r="H21" s="732" t="s">
        <v>311</v>
      </c>
      <c r="I21" s="732" t="s">
        <v>312</v>
      </c>
      <c r="J21" s="732" t="s">
        <v>313</v>
      </c>
      <c r="K21" s="732" t="s">
        <v>314</v>
      </c>
      <c r="L21" s="732" t="s">
        <v>315</v>
      </c>
      <c r="M21" s="732" t="s">
        <v>316</v>
      </c>
      <c r="N21" s="732" t="s">
        <v>317</v>
      </c>
      <c r="O21" s="732" t="s">
        <v>318</v>
      </c>
      <c r="P21" s="733" t="s">
        <v>25</v>
      </c>
      <c r="Q21" s="462"/>
      <c r="R21" s="460"/>
      <c r="X21" s="725" t="s">
        <v>51</v>
      </c>
      <c r="Y21" s="762" t="s">
        <v>319</v>
      </c>
      <c r="Z21" s="762" t="s">
        <v>320</v>
      </c>
      <c r="AA21" s="762" t="s">
        <v>321</v>
      </c>
      <c r="AB21" s="762" t="s">
        <v>322</v>
      </c>
      <c r="AC21" s="762" t="s">
        <v>323</v>
      </c>
      <c r="AD21" s="762" t="s">
        <v>324</v>
      </c>
      <c r="AE21" s="762" t="s">
        <v>325</v>
      </c>
      <c r="AF21" s="762" t="s">
        <v>326</v>
      </c>
      <c r="AG21" s="733" t="s">
        <v>25</v>
      </c>
      <c r="AM21" s="422"/>
    </row>
    <row r="22" spans="2:39" x14ac:dyDescent="0.3">
      <c r="B22" s="419"/>
      <c r="G22" s="1047" t="s">
        <v>30</v>
      </c>
      <c r="H22" s="434">
        <f t="shared" ref="H22:O22" si="14">H9/$P$9</f>
        <v>9.4831911690918216E-2</v>
      </c>
      <c r="I22" s="434">
        <f t="shared" si="14"/>
        <v>0.3828399397892624</v>
      </c>
      <c r="J22" s="434">
        <f t="shared" si="14"/>
        <v>0.26894129453085802</v>
      </c>
      <c r="K22" s="434">
        <f t="shared" si="14"/>
        <v>0</v>
      </c>
      <c r="L22" s="434">
        <f t="shared" si="14"/>
        <v>0.22579026593075766</v>
      </c>
      <c r="M22" s="434">
        <f t="shared" si="14"/>
        <v>0</v>
      </c>
      <c r="N22" s="434">
        <f t="shared" si="14"/>
        <v>2.2579026593075764E-2</v>
      </c>
      <c r="O22" s="434">
        <f t="shared" si="14"/>
        <v>5.0175614651279477E-3</v>
      </c>
      <c r="P22" s="739">
        <f t="shared" ref="P22:P27" si="15">SUM(H22:O22)</f>
        <v>1</v>
      </c>
      <c r="Q22" s="434"/>
      <c r="R22" s="466"/>
      <c r="X22" s="1047" t="s">
        <v>30</v>
      </c>
      <c r="Y22" s="434">
        <f t="shared" ref="Y22:Y27" si="16">H22</f>
        <v>9.4831911690918216E-2</v>
      </c>
      <c r="Z22" s="434">
        <f t="shared" ref="Z22:Z27" si="17">I22</f>
        <v>0.3828399397892624</v>
      </c>
      <c r="AA22" s="434">
        <f t="shared" ref="AA22:AA27" si="18">J22</f>
        <v>0.26894129453085802</v>
      </c>
      <c r="AB22" s="434">
        <f t="shared" ref="AB22:AB27" si="19">K22</f>
        <v>0</v>
      </c>
      <c r="AC22" s="434">
        <f t="shared" ref="AC22:AC27" si="20">L22</f>
        <v>0.22579026593075766</v>
      </c>
      <c r="AD22" s="434">
        <f t="shared" ref="AD22:AD27" si="21">M22</f>
        <v>0</v>
      </c>
      <c r="AE22" s="434">
        <f t="shared" ref="AE22:AE27" si="22">N22</f>
        <v>2.2579026593075764E-2</v>
      </c>
      <c r="AF22" s="726">
        <f t="shared" ref="AF22:AF27" si="23">O22</f>
        <v>5.0175614651279477E-3</v>
      </c>
      <c r="AG22" s="739">
        <f t="shared" ref="AG22:AG27" si="24">SUM(Y22:AF22)</f>
        <v>1</v>
      </c>
      <c r="AM22" s="422"/>
    </row>
    <row r="23" spans="2:39" x14ac:dyDescent="0.3">
      <c r="B23" s="419"/>
      <c r="G23" s="1050" t="s">
        <v>31</v>
      </c>
      <c r="H23" s="727">
        <f t="shared" ref="H23:O23" si="25">H10/$P$10</f>
        <v>0.2151771027524948</v>
      </c>
      <c r="I23" s="727">
        <f t="shared" si="25"/>
        <v>0.12301787476697006</v>
      </c>
      <c r="J23" s="727">
        <f t="shared" si="25"/>
        <v>1.0966114705559819E-3</v>
      </c>
      <c r="K23" s="727">
        <f t="shared" si="25"/>
        <v>1.1404759293782213E-3</v>
      </c>
      <c r="L23" s="727">
        <f t="shared" si="25"/>
        <v>0.40037284789998906</v>
      </c>
      <c r="M23" s="727">
        <f t="shared" si="25"/>
        <v>1.3268998793727383E-2</v>
      </c>
      <c r="N23" s="727">
        <f t="shared" si="25"/>
        <v>0.13966443689000987</v>
      </c>
      <c r="O23" s="727">
        <f t="shared" si="25"/>
        <v>0.10626165149687465</v>
      </c>
      <c r="P23" s="740">
        <f t="shared" si="15"/>
        <v>0.99999999999999989</v>
      </c>
      <c r="Q23" s="434"/>
      <c r="R23" s="466"/>
      <c r="X23" s="1050" t="s">
        <v>31</v>
      </c>
      <c r="Y23" s="727">
        <f t="shared" si="16"/>
        <v>0.2151771027524948</v>
      </c>
      <c r="Z23" s="727">
        <f t="shared" si="17"/>
        <v>0.12301787476697006</v>
      </c>
      <c r="AA23" s="727">
        <f t="shared" si="18"/>
        <v>1.0966114705559819E-3</v>
      </c>
      <c r="AB23" s="727">
        <f t="shared" si="19"/>
        <v>1.1404759293782213E-3</v>
      </c>
      <c r="AC23" s="727">
        <f t="shared" si="20"/>
        <v>0.40037284789998906</v>
      </c>
      <c r="AD23" s="727">
        <f t="shared" si="21"/>
        <v>1.3268998793727383E-2</v>
      </c>
      <c r="AE23" s="727">
        <f t="shared" si="22"/>
        <v>0.13966443689000987</v>
      </c>
      <c r="AF23" s="728">
        <f t="shared" si="23"/>
        <v>0.10626165149687465</v>
      </c>
      <c r="AG23" s="740">
        <f t="shared" si="24"/>
        <v>0.99999999999999989</v>
      </c>
      <c r="AM23" s="422"/>
    </row>
    <row r="24" spans="2:39" x14ac:dyDescent="0.3">
      <c r="B24" s="419"/>
      <c r="G24" s="1047" t="s">
        <v>32</v>
      </c>
      <c r="H24" s="434">
        <f t="shared" ref="H24:O24" si="26">H11/$P$11</f>
        <v>0.20584515947730786</v>
      </c>
      <c r="I24" s="434">
        <f t="shared" si="26"/>
        <v>8.8520444007306447E-3</v>
      </c>
      <c r="J24" s="434">
        <f t="shared" si="26"/>
        <v>0</v>
      </c>
      <c r="K24" s="434">
        <f t="shared" si="26"/>
        <v>3.3932836869467471E-2</v>
      </c>
      <c r="L24" s="434">
        <f t="shared" si="26"/>
        <v>0.16924265842349304</v>
      </c>
      <c r="M24" s="434">
        <f t="shared" si="26"/>
        <v>9.5545876071378398E-3</v>
      </c>
      <c r="N24" s="434">
        <f t="shared" si="26"/>
        <v>0.35274694393705214</v>
      </c>
      <c r="O24" s="434">
        <f t="shared" si="26"/>
        <v>0.21982576928481101</v>
      </c>
      <c r="P24" s="739">
        <f t="shared" si="15"/>
        <v>1</v>
      </c>
      <c r="Q24" s="434"/>
      <c r="R24" s="466"/>
      <c r="X24" s="1047" t="s">
        <v>32</v>
      </c>
      <c r="Y24" s="434">
        <f t="shared" si="16"/>
        <v>0.20584515947730786</v>
      </c>
      <c r="Z24" s="434">
        <f t="shared" si="17"/>
        <v>8.8520444007306447E-3</v>
      </c>
      <c r="AA24" s="434">
        <f t="shared" si="18"/>
        <v>0</v>
      </c>
      <c r="AB24" s="434">
        <f t="shared" si="19"/>
        <v>3.3932836869467471E-2</v>
      </c>
      <c r="AC24" s="434">
        <f t="shared" si="20"/>
        <v>0.16924265842349304</v>
      </c>
      <c r="AD24" s="434">
        <f t="shared" si="21"/>
        <v>9.5545876071378398E-3</v>
      </c>
      <c r="AE24" s="434">
        <f t="shared" si="22"/>
        <v>0.35274694393705214</v>
      </c>
      <c r="AF24" s="726">
        <f t="shared" si="23"/>
        <v>0.21982576928481101</v>
      </c>
      <c r="AG24" s="739">
        <f t="shared" si="24"/>
        <v>1</v>
      </c>
      <c r="AM24" s="422"/>
    </row>
    <row r="25" spans="2:39" x14ac:dyDescent="0.3">
      <c r="B25" s="419"/>
      <c r="G25" s="1050" t="s">
        <v>33</v>
      </c>
      <c r="H25" s="727">
        <f t="shared" ref="H25:O25" si="27">H12/$P$12</f>
        <v>0.44941956882255391</v>
      </c>
      <c r="I25" s="727">
        <f t="shared" si="27"/>
        <v>5.8043117744610281E-2</v>
      </c>
      <c r="J25" s="727">
        <f t="shared" si="27"/>
        <v>0</v>
      </c>
      <c r="K25" s="727">
        <f t="shared" si="27"/>
        <v>0</v>
      </c>
      <c r="L25" s="727">
        <f t="shared" si="27"/>
        <v>0.19071310116086235</v>
      </c>
      <c r="M25" s="727">
        <f t="shared" si="27"/>
        <v>0.12769485903814262</v>
      </c>
      <c r="N25" s="727">
        <f t="shared" si="27"/>
        <v>1.3266998341625208E-2</v>
      </c>
      <c r="O25" s="727">
        <f t="shared" si="27"/>
        <v>0.16086235489220563</v>
      </c>
      <c r="P25" s="740">
        <f t="shared" si="15"/>
        <v>1</v>
      </c>
      <c r="Q25" s="434"/>
      <c r="R25" s="466"/>
      <c r="X25" s="1050" t="s">
        <v>33</v>
      </c>
      <c r="Y25" s="727">
        <f t="shared" si="16"/>
        <v>0.44941956882255391</v>
      </c>
      <c r="Z25" s="727">
        <f t="shared" si="17"/>
        <v>5.8043117744610281E-2</v>
      </c>
      <c r="AA25" s="727">
        <f t="shared" si="18"/>
        <v>0</v>
      </c>
      <c r="AB25" s="727">
        <f t="shared" si="19"/>
        <v>0</v>
      </c>
      <c r="AC25" s="727">
        <f t="shared" si="20"/>
        <v>0.19071310116086235</v>
      </c>
      <c r="AD25" s="727">
        <f t="shared" si="21"/>
        <v>0.12769485903814262</v>
      </c>
      <c r="AE25" s="727">
        <f t="shared" si="22"/>
        <v>1.3266998341625208E-2</v>
      </c>
      <c r="AF25" s="728">
        <f t="shared" si="23"/>
        <v>0.16086235489220563</v>
      </c>
      <c r="AG25" s="740">
        <f t="shared" si="24"/>
        <v>1</v>
      </c>
      <c r="AM25" s="422"/>
    </row>
    <row r="26" spans="2:39" x14ac:dyDescent="0.3">
      <c r="B26" s="419"/>
      <c r="G26" s="1047" t="s">
        <v>34</v>
      </c>
      <c r="H26" s="434">
        <f t="shared" ref="H26:O26" si="28">H13/$P$13</f>
        <v>0.37444381061038218</v>
      </c>
      <c r="I26" s="434">
        <f t="shared" si="28"/>
        <v>5.4573112759079674E-2</v>
      </c>
      <c r="J26" s="434">
        <f t="shared" si="28"/>
        <v>0</v>
      </c>
      <c r="K26" s="434">
        <f t="shared" si="28"/>
        <v>0</v>
      </c>
      <c r="L26" s="434">
        <f t="shared" si="28"/>
        <v>0.34227039361095263</v>
      </c>
      <c r="M26" s="434">
        <f t="shared" si="28"/>
        <v>1.8634721429929644E-2</v>
      </c>
      <c r="N26" s="434">
        <f t="shared" si="28"/>
        <v>0.10142612664004563</v>
      </c>
      <c r="O26" s="434">
        <f t="shared" si="28"/>
        <v>0.1086518349496102</v>
      </c>
      <c r="P26" s="739">
        <f t="shared" si="15"/>
        <v>0.99999999999999978</v>
      </c>
      <c r="Q26" s="434"/>
      <c r="R26" s="466"/>
      <c r="X26" s="1047" t="s">
        <v>34</v>
      </c>
      <c r="Y26" s="434">
        <f t="shared" si="16"/>
        <v>0.37444381061038218</v>
      </c>
      <c r="Z26" s="434">
        <f t="shared" si="17"/>
        <v>5.4573112759079674E-2</v>
      </c>
      <c r="AA26" s="434">
        <f t="shared" si="18"/>
        <v>0</v>
      </c>
      <c r="AB26" s="434">
        <f t="shared" si="19"/>
        <v>0</v>
      </c>
      <c r="AC26" s="434">
        <f t="shared" si="20"/>
        <v>0.34227039361095263</v>
      </c>
      <c r="AD26" s="434">
        <f t="shared" si="21"/>
        <v>1.8634721429929644E-2</v>
      </c>
      <c r="AE26" s="434">
        <f t="shared" si="22"/>
        <v>0.10142612664004563</v>
      </c>
      <c r="AF26" s="726">
        <f t="shared" si="23"/>
        <v>0.1086518349496102</v>
      </c>
      <c r="AG26" s="739">
        <f t="shared" si="24"/>
        <v>0.99999999999999978</v>
      </c>
      <c r="AM26" s="422"/>
    </row>
    <row r="27" spans="2:39" x14ac:dyDescent="0.3">
      <c r="B27" s="419"/>
      <c r="G27" s="1053" t="s">
        <v>35</v>
      </c>
      <c r="H27" s="729">
        <f t="shared" ref="H27:O27" si="29">H14/$P$14</f>
        <v>0.12278847479435688</v>
      </c>
      <c r="I27" s="729">
        <f t="shared" si="29"/>
        <v>0.10743991544506226</v>
      </c>
      <c r="J27" s="729">
        <f t="shared" si="29"/>
        <v>4.2047700013786132E-2</v>
      </c>
      <c r="K27" s="729">
        <f t="shared" si="29"/>
        <v>2.2057809843297645E-3</v>
      </c>
      <c r="L27" s="729">
        <f t="shared" si="29"/>
        <v>0.4491981067046551</v>
      </c>
      <c r="M27" s="729">
        <f t="shared" si="29"/>
        <v>7.1963604613758558E-2</v>
      </c>
      <c r="N27" s="729">
        <f t="shared" si="29"/>
        <v>9.011534396397225E-2</v>
      </c>
      <c r="O27" s="729">
        <f t="shared" si="29"/>
        <v>0.11424107348007904</v>
      </c>
      <c r="P27" s="741">
        <f t="shared" si="15"/>
        <v>1</v>
      </c>
      <c r="Q27" s="434"/>
      <c r="R27" s="466"/>
      <c r="X27" s="1053" t="s">
        <v>35</v>
      </c>
      <c r="Y27" s="729">
        <f t="shared" si="16"/>
        <v>0.12278847479435688</v>
      </c>
      <c r="Z27" s="729">
        <f t="shared" si="17"/>
        <v>0.10743991544506226</v>
      </c>
      <c r="AA27" s="729">
        <f t="shared" si="18"/>
        <v>4.2047700013786132E-2</v>
      </c>
      <c r="AB27" s="729">
        <f t="shared" si="19"/>
        <v>2.2057809843297645E-3</v>
      </c>
      <c r="AC27" s="729">
        <f t="shared" si="20"/>
        <v>0.4491981067046551</v>
      </c>
      <c r="AD27" s="729">
        <f t="shared" si="21"/>
        <v>7.1963604613758558E-2</v>
      </c>
      <c r="AE27" s="729">
        <f t="shared" si="22"/>
        <v>9.011534396397225E-2</v>
      </c>
      <c r="AF27" s="730">
        <f t="shared" si="23"/>
        <v>0.11424107348007904</v>
      </c>
      <c r="AG27" s="741">
        <f t="shared" si="24"/>
        <v>1</v>
      </c>
      <c r="AM27" s="422"/>
    </row>
    <row r="28" spans="2:39" x14ac:dyDescent="0.3">
      <c r="B28" s="419"/>
      <c r="R28" s="414"/>
      <c r="AM28" s="422"/>
    </row>
    <row r="29" spans="2:39" x14ac:dyDescent="0.3">
      <c r="B29" s="419"/>
      <c r="R29" s="414"/>
      <c r="AM29" s="422"/>
    </row>
    <row r="30" spans="2:39" ht="15" thickBot="1" x14ac:dyDescent="0.35">
      <c r="B30" s="443"/>
      <c r="C30" s="444"/>
      <c r="D30" s="444"/>
      <c r="E30" s="444"/>
      <c r="F30" s="444"/>
      <c r="G30" s="444"/>
      <c r="H30" s="444"/>
      <c r="I30" s="444"/>
      <c r="J30" s="444"/>
      <c r="K30" s="444"/>
      <c r="L30" s="444"/>
      <c r="M30" s="444"/>
      <c r="N30" s="444"/>
      <c r="O30" s="444"/>
      <c r="P30" s="444"/>
      <c r="Q30" s="444"/>
      <c r="R30" s="445"/>
      <c r="S30" s="444"/>
      <c r="T30" s="444"/>
      <c r="U30" s="444"/>
      <c r="V30" s="444"/>
      <c r="W30" s="444"/>
      <c r="X30" s="444"/>
      <c r="Y30" s="444"/>
      <c r="Z30" s="444"/>
      <c r="AA30" s="444"/>
      <c r="AB30" s="444"/>
      <c r="AC30" s="444"/>
      <c r="AD30" s="444"/>
      <c r="AE30" s="444"/>
      <c r="AF30" s="444"/>
      <c r="AG30" s="444"/>
      <c r="AH30" s="444"/>
      <c r="AI30" s="444"/>
      <c r="AJ30" s="444"/>
      <c r="AK30" s="444"/>
      <c r="AL30" s="444"/>
      <c r="AM30" s="446"/>
    </row>
    <row r="31" spans="2:39" ht="15" thickBot="1" x14ac:dyDescent="0.35"/>
    <row r="32" spans="2:39" x14ac:dyDescent="0.3">
      <c r="B32" s="415"/>
      <c r="C32" s="416"/>
      <c r="D32" s="416"/>
      <c r="E32" s="416"/>
      <c r="F32" s="416"/>
      <c r="G32" s="416"/>
      <c r="H32" s="416"/>
      <c r="I32" s="416"/>
      <c r="J32" s="416"/>
      <c r="K32" s="416"/>
      <c r="L32" s="416"/>
      <c r="M32" s="416"/>
      <c r="N32" s="416"/>
      <c r="O32" s="416"/>
      <c r="P32" s="416"/>
      <c r="Q32" s="416"/>
      <c r="R32" s="417"/>
      <c r="S32" s="416"/>
      <c r="T32" s="416"/>
      <c r="U32" s="416"/>
      <c r="V32" s="416"/>
      <c r="W32" s="416"/>
      <c r="X32" s="416"/>
      <c r="Y32" s="416"/>
      <c r="Z32" s="416"/>
      <c r="AA32" s="416"/>
      <c r="AB32" s="416"/>
      <c r="AC32" s="416"/>
      <c r="AD32" s="416"/>
      <c r="AE32" s="416"/>
      <c r="AF32" s="418"/>
    </row>
    <row r="33" spans="2:46" x14ac:dyDescent="0.3">
      <c r="B33" s="419"/>
      <c r="C33" s="420" t="s">
        <v>329</v>
      </c>
      <c r="G33" s="420" t="s">
        <v>330</v>
      </c>
      <c r="R33" s="414"/>
      <c r="T33" s="420" t="s">
        <v>331</v>
      </c>
      <c r="X33" s="420" t="s">
        <v>332</v>
      </c>
      <c r="AF33" s="421"/>
    </row>
    <row r="34" spans="2:46" x14ac:dyDescent="0.3">
      <c r="B34" s="419"/>
      <c r="R34" s="414"/>
      <c r="AF34" s="422"/>
    </row>
    <row r="35" spans="2:46" ht="72" customHeight="1" x14ac:dyDescent="0.3">
      <c r="B35" s="419"/>
      <c r="C35" s="423" t="s">
        <v>48</v>
      </c>
      <c r="D35" s="423" t="s">
        <v>333</v>
      </c>
      <c r="E35" s="423"/>
      <c r="G35" s="878" t="s">
        <v>48</v>
      </c>
      <c r="H35" s="879" t="s">
        <v>334</v>
      </c>
      <c r="I35" s="879" t="s">
        <v>335</v>
      </c>
      <c r="J35" s="879" t="s">
        <v>312</v>
      </c>
      <c r="K35" s="879" t="s">
        <v>336</v>
      </c>
      <c r="L35" s="879" t="s">
        <v>337</v>
      </c>
      <c r="M35" s="879" t="s">
        <v>315</v>
      </c>
      <c r="N35" s="880" t="s">
        <v>316</v>
      </c>
      <c r="O35" s="880" t="s">
        <v>25</v>
      </c>
      <c r="R35" s="414"/>
      <c r="T35" s="423" t="s">
        <v>51</v>
      </c>
      <c r="U35" s="423" t="s">
        <v>333</v>
      </c>
      <c r="X35" s="881" t="s">
        <v>51</v>
      </c>
      <c r="Y35" s="879" t="s">
        <v>338</v>
      </c>
      <c r="Z35" s="879" t="s">
        <v>339</v>
      </c>
      <c r="AA35" s="879" t="s">
        <v>320</v>
      </c>
      <c r="AB35" s="879" t="s">
        <v>321</v>
      </c>
      <c r="AC35" s="879" t="s">
        <v>322</v>
      </c>
      <c r="AD35" s="879" t="s">
        <v>323</v>
      </c>
      <c r="AE35" s="880" t="s">
        <v>324</v>
      </c>
      <c r="AF35" s="880" t="s">
        <v>25</v>
      </c>
      <c r="AI35" s="425"/>
      <c r="AJ35" s="425"/>
      <c r="AK35" s="425"/>
      <c r="AL35" s="425"/>
      <c r="AM35" s="425"/>
    </row>
    <row r="36" spans="2:46" x14ac:dyDescent="0.3">
      <c r="B36" s="419"/>
      <c r="C36" s="426" t="s">
        <v>30</v>
      </c>
      <c r="D36" s="426">
        <f>COUNTIFS(sommaire[Département_nom],Tableau6366[[#This Row],[Départements]],sommaire[présence des personnes déplacés interne],"oui")</f>
        <v>66</v>
      </c>
      <c r="E36" s="426"/>
      <c r="G36" s="1054" t="s">
        <v>30</v>
      </c>
      <c r="H36" s="1055">
        <f>SUMIFS(sommaire[PDI_domicile personnel],sommaire[Département_nom],Settlement!$G36)</f>
        <v>10</v>
      </c>
      <c r="I36" s="1048">
        <f>SUMIFS(sommaire[PDI_abris spontané],sommaire[Département_nom],Settlement!$G36)</f>
        <v>152</v>
      </c>
      <c r="J36" s="1048">
        <f>SUMIFS(sommaire[PDI_en location],sommaire[Département_nom],Settlement!$G36)</f>
        <v>763</v>
      </c>
      <c r="K36" s="1048">
        <f>SUMIFS(sommaire[PDI_centre collectif],sommaire[Département_nom],Settlement!$G36)</f>
        <v>536</v>
      </c>
      <c r="L36" s="1048">
        <f>SUMIFS(sommaire[PDI_air libre],sommaire[Département_nom],Settlement!$G36)</f>
        <v>0</v>
      </c>
      <c r="M36" s="1048">
        <f>SUMIFS(sommaire[PDI_famille d''accueil (à titre gratuit)],sommaire[Département_nom],Settlement!$G36)</f>
        <v>445</v>
      </c>
      <c r="N36" s="1056">
        <f>SUMIFS(sommaire[PDI_famille d''accueil (contre travaux domestiques ou des champs)],sommaire[Département_nom],Settlement!$G36)</f>
        <v>0</v>
      </c>
      <c r="O36" s="694">
        <f t="shared" ref="O36:O41" si="30">SUM(H36:N36)</f>
        <v>1906</v>
      </c>
      <c r="R36" s="414"/>
      <c r="T36" s="426" t="s">
        <v>30</v>
      </c>
      <c r="U36" s="426">
        <f>Tableau6366[[#This Row],[villages]]</f>
        <v>66</v>
      </c>
      <c r="X36" s="1054" t="s">
        <v>30</v>
      </c>
      <c r="Y36" s="1055">
        <f t="shared" ref="Y36:Y41" si="31">H36</f>
        <v>10</v>
      </c>
      <c r="Z36" s="1049">
        <f t="shared" ref="Z36:Z41" si="32">I36</f>
        <v>152</v>
      </c>
      <c r="AA36" s="1049">
        <f t="shared" ref="AA36:AA41" si="33">J36</f>
        <v>763</v>
      </c>
      <c r="AB36" s="1049">
        <f t="shared" ref="AB36:AB41" si="34">K36</f>
        <v>536</v>
      </c>
      <c r="AC36" s="1049">
        <f t="shared" ref="AC36:AC41" si="35">L36</f>
        <v>0</v>
      </c>
      <c r="AD36" s="1049">
        <f t="shared" ref="AD36:AD41" si="36">M36</f>
        <v>445</v>
      </c>
      <c r="AE36" s="1057">
        <f t="shared" ref="AE36:AE41" si="37">N36</f>
        <v>0</v>
      </c>
      <c r="AF36" s="747">
        <f t="shared" ref="AF36:AF41" si="38">SUM(Y36:AE36)</f>
        <v>1906</v>
      </c>
      <c r="AH36" s="428"/>
      <c r="AI36" s="428"/>
      <c r="AJ36" s="428"/>
      <c r="AK36" s="428"/>
      <c r="AL36" s="428"/>
      <c r="AM36" s="428"/>
    </row>
    <row r="37" spans="2:46" x14ac:dyDescent="0.3">
      <c r="B37" s="419"/>
      <c r="C37" s="426" t="s">
        <v>31</v>
      </c>
      <c r="D37" s="426">
        <f>COUNTIFS(sommaire[Département_nom],Tableau6366[[#This Row],[Départements]],sommaire[présence des personnes déplacés interne],"oui")</f>
        <v>459</v>
      </c>
      <c r="E37" s="426"/>
      <c r="G37" s="1058" t="s">
        <v>31</v>
      </c>
      <c r="H37" s="1059">
        <f>SUMIFS(sommaire[PDI_domicile personnel],sommaire[Département_nom],Settlement!$G37)</f>
        <v>2733</v>
      </c>
      <c r="I37" s="1060">
        <f>SUMIFS(sommaire[PDI_abris spontané],sommaire[Département_nom],Settlement!$G37)</f>
        <v>7271</v>
      </c>
      <c r="J37" s="1060">
        <f>SUMIFS(sommaire[PDI_en location],sommaire[Département_nom],Settlement!$G37)</f>
        <v>5186</v>
      </c>
      <c r="K37" s="1060">
        <f>SUMIFS(sommaire[PDI_centre collectif],sommaire[Département_nom],Settlement!$G37)</f>
        <v>50</v>
      </c>
      <c r="L37" s="1060">
        <f>SUMIFS(sommaire[PDI_air libre],sommaire[Département_nom],Settlement!$G37)</f>
        <v>32</v>
      </c>
      <c r="M37" s="1060">
        <f>SUMIFS(sommaire[PDI_famille d''accueil (à titre gratuit)],sommaire[Département_nom],Settlement!$G37)</f>
        <v>15017</v>
      </c>
      <c r="N37" s="1061">
        <f>SUMIFS(sommaire[PDI_famille d''accueil (contre travaux domestiques ou des champs)],sommaire[Département_nom],Settlement!$G37)</f>
        <v>368</v>
      </c>
      <c r="O37" s="695">
        <f t="shared" si="30"/>
        <v>30657</v>
      </c>
      <c r="R37" s="414"/>
      <c r="T37" s="426" t="s">
        <v>31</v>
      </c>
      <c r="U37" s="426">
        <f>Tableau6366[[#This Row],[villages]]</f>
        <v>459</v>
      </c>
      <c r="X37" s="1058" t="s">
        <v>31</v>
      </c>
      <c r="Y37" s="1062">
        <f t="shared" si="31"/>
        <v>2733</v>
      </c>
      <c r="Z37" s="1063">
        <f t="shared" si="32"/>
        <v>7271</v>
      </c>
      <c r="AA37" s="1063">
        <f t="shared" si="33"/>
        <v>5186</v>
      </c>
      <c r="AB37" s="1063">
        <f t="shared" si="34"/>
        <v>50</v>
      </c>
      <c r="AC37" s="1063">
        <f t="shared" si="35"/>
        <v>32</v>
      </c>
      <c r="AD37" s="1063">
        <f t="shared" si="36"/>
        <v>15017</v>
      </c>
      <c r="AE37" s="1064">
        <f t="shared" si="37"/>
        <v>368</v>
      </c>
      <c r="AF37" s="748">
        <f t="shared" si="38"/>
        <v>30657</v>
      </c>
      <c r="AI37" s="429"/>
      <c r="AJ37" s="429"/>
      <c r="AK37" s="429"/>
      <c r="AL37" s="429"/>
      <c r="AM37" s="429"/>
    </row>
    <row r="38" spans="2:46" x14ac:dyDescent="0.3">
      <c r="B38" s="419"/>
      <c r="C38" s="426" t="s">
        <v>32</v>
      </c>
      <c r="D38" s="426">
        <f>COUNTIFS(sommaire[Département_nom],Tableau6366[[#This Row],[Départements]],sommaire[présence des personnes déplacés interne],"oui")</f>
        <v>50</v>
      </c>
      <c r="E38" s="426"/>
      <c r="G38" s="1054" t="s">
        <v>32</v>
      </c>
      <c r="H38" s="1055">
        <f>SUMIFS(sommaire[PDI_domicile personnel],sommaire[Département_nom],Settlement!$G38)</f>
        <v>1593</v>
      </c>
      <c r="I38" s="1048">
        <f>SUMIFS(sommaire[PDI_abris spontané],sommaire[Département_nom],Settlement!$G38)</f>
        <v>1021</v>
      </c>
      <c r="J38" s="1048">
        <f>SUMIFS(sommaire[PDI_en location],sommaire[Département_nom],Settlement!$G38)</f>
        <v>121</v>
      </c>
      <c r="K38" s="1048">
        <f>SUMIFS(sommaire[PDI_centre collectif],sommaire[Département_nom],Settlement!$G38)</f>
        <v>0</v>
      </c>
      <c r="L38" s="1048">
        <f>SUMIFS(sommaire[PDI_air libre],sommaire[Département_nom],Settlement!$G38)</f>
        <v>0</v>
      </c>
      <c r="M38" s="1048">
        <f>SUMIFS(sommaire[PDI_famille d''accueil (à titre gratuit)],sommaire[Département_nom],Settlement!$G38)</f>
        <v>498</v>
      </c>
      <c r="N38" s="1056">
        <f>SUMIFS(sommaire[PDI_famille d''accueil (contre travaux domestiques ou des champs)],sommaire[Département_nom],Settlement!$G38)</f>
        <v>63</v>
      </c>
      <c r="O38" s="694">
        <f t="shared" si="30"/>
        <v>3296</v>
      </c>
      <c r="R38" s="414"/>
      <c r="T38" s="426" t="s">
        <v>32</v>
      </c>
      <c r="U38" s="426">
        <f>Tableau6366[[#This Row],[villages]]</f>
        <v>50</v>
      </c>
      <c r="X38" s="1054" t="s">
        <v>32</v>
      </c>
      <c r="Y38" s="1065">
        <f t="shared" si="31"/>
        <v>1593</v>
      </c>
      <c r="Z38" s="1049">
        <f t="shared" si="32"/>
        <v>1021</v>
      </c>
      <c r="AA38" s="1049">
        <f t="shared" si="33"/>
        <v>121</v>
      </c>
      <c r="AB38" s="1049">
        <f t="shared" si="34"/>
        <v>0</v>
      </c>
      <c r="AC38" s="1049">
        <f t="shared" si="35"/>
        <v>0</v>
      </c>
      <c r="AD38" s="1049">
        <f t="shared" si="36"/>
        <v>498</v>
      </c>
      <c r="AE38" s="1057">
        <f t="shared" si="37"/>
        <v>63</v>
      </c>
      <c r="AF38" s="747">
        <f t="shared" si="38"/>
        <v>3296</v>
      </c>
      <c r="AI38" s="429"/>
      <c r="AJ38" s="429"/>
      <c r="AK38" s="429"/>
      <c r="AL38" s="429"/>
      <c r="AM38" s="429"/>
    </row>
    <row r="39" spans="2:46" x14ac:dyDescent="0.3">
      <c r="B39" s="419"/>
      <c r="C39" s="426" t="s">
        <v>33</v>
      </c>
      <c r="D39" s="426">
        <f>COUNTIFS(sommaire[Département_nom],Tableau6366[[#This Row],[Départements]],sommaire[présence des personnes déplacés interne],"oui")</f>
        <v>28</v>
      </c>
      <c r="E39" s="426"/>
      <c r="G39" s="1058" t="s">
        <v>33</v>
      </c>
      <c r="H39" s="1059">
        <f>SUMIFS(sommaire[PDI_domicile personnel],sommaire[Département_nom],Settlement!$G39)</f>
        <v>79</v>
      </c>
      <c r="I39" s="1060">
        <f>SUMIFS(sommaire[PDI_abris spontané],sommaire[Département_nom],Settlement!$G39)</f>
        <v>242</v>
      </c>
      <c r="J39" s="1060">
        <f>SUMIFS(sommaire[PDI_en location],sommaire[Département_nom],Settlement!$G39)</f>
        <v>33</v>
      </c>
      <c r="K39" s="1060">
        <f>SUMIFS(sommaire[PDI_centre collectif],sommaire[Département_nom],Settlement!$G39)</f>
        <v>0</v>
      </c>
      <c r="L39" s="1060">
        <f>SUMIFS(sommaire[PDI_air libre],sommaire[Département_nom],Settlement!$G39)</f>
        <v>0</v>
      </c>
      <c r="M39" s="1060">
        <f>SUMIFS(sommaire[PDI_famille d''accueil (à titre gratuit)],sommaire[Département_nom],Settlement!$G39)</f>
        <v>87</v>
      </c>
      <c r="N39" s="1061">
        <f>SUMIFS(sommaire[PDI_famille d''accueil (contre travaux domestiques ou des champs)],sommaire[Département_nom],Settlement!$G39)</f>
        <v>27</v>
      </c>
      <c r="O39" s="695">
        <f t="shared" si="30"/>
        <v>468</v>
      </c>
      <c r="R39" s="414"/>
      <c r="T39" s="426" t="s">
        <v>33</v>
      </c>
      <c r="U39" s="426">
        <f>Tableau6366[[#This Row],[villages]]</f>
        <v>28</v>
      </c>
      <c r="X39" s="1058" t="s">
        <v>33</v>
      </c>
      <c r="Y39" s="1062">
        <f t="shared" si="31"/>
        <v>79</v>
      </c>
      <c r="Z39" s="1063">
        <f t="shared" si="32"/>
        <v>242</v>
      </c>
      <c r="AA39" s="1063">
        <f t="shared" si="33"/>
        <v>33</v>
      </c>
      <c r="AB39" s="1063">
        <f t="shared" si="34"/>
        <v>0</v>
      </c>
      <c r="AC39" s="1063">
        <f t="shared" si="35"/>
        <v>0</v>
      </c>
      <c r="AD39" s="1063">
        <f t="shared" si="36"/>
        <v>87</v>
      </c>
      <c r="AE39" s="1064">
        <f t="shared" si="37"/>
        <v>27</v>
      </c>
      <c r="AF39" s="748">
        <f t="shared" si="38"/>
        <v>468</v>
      </c>
      <c r="AI39" s="429"/>
      <c r="AJ39" s="429"/>
      <c r="AK39" s="429"/>
      <c r="AL39" s="429"/>
      <c r="AM39" s="429"/>
    </row>
    <row r="40" spans="2:46" x14ac:dyDescent="0.3">
      <c r="B40" s="419"/>
      <c r="C40" s="430" t="s">
        <v>34</v>
      </c>
      <c r="D40" s="426">
        <f>COUNTIFS(sommaire[Département_nom],Tableau6366[[#This Row],[Départements]],sommaire[présence des personnes déplacés interne],"oui")</f>
        <v>113</v>
      </c>
      <c r="E40" s="426"/>
      <c r="G40" s="1054" t="s">
        <v>34</v>
      </c>
      <c r="H40" s="1055">
        <f>SUMIFS(sommaire[PDI_domicile personnel],sommaire[Département_nom],Settlement!$G40)</f>
        <v>1248</v>
      </c>
      <c r="I40" s="1048">
        <f>SUMIFS(sommaire[PDI_abris spontané],sommaire[Département_nom],Settlement!$G40)</f>
        <v>8356</v>
      </c>
      <c r="J40" s="1048">
        <f>SUMIFS(sommaire[PDI_en location],sommaire[Département_nom],Settlement!$G40)</f>
        <v>1407</v>
      </c>
      <c r="K40" s="1048">
        <f>SUMIFS(sommaire[PDI_centre collectif],sommaire[Département_nom],Settlement!$G40)</f>
        <v>0</v>
      </c>
      <c r="L40" s="1048">
        <f>SUMIFS(sommaire[PDI_air libre],sommaire[Département_nom],Settlement!$G40)</f>
        <v>0</v>
      </c>
      <c r="M40" s="1048">
        <f>SUMIFS(sommaire[PDI_famille d''accueil (à titre gratuit)],sommaire[Département_nom],Settlement!$G40)</f>
        <v>8489</v>
      </c>
      <c r="N40" s="1056">
        <f>SUMIFS(sommaire[PDI_famille d''accueil (contre travaux domestiques ou des champs)],sommaire[Département_nom],Settlement!$G40)</f>
        <v>398</v>
      </c>
      <c r="O40" s="694">
        <f t="shared" si="30"/>
        <v>19898</v>
      </c>
      <c r="R40" s="414"/>
      <c r="T40" s="430" t="s">
        <v>34</v>
      </c>
      <c r="U40" s="426">
        <f>Tableau6366[[#This Row],[villages]]</f>
        <v>113</v>
      </c>
      <c r="X40" s="1054" t="s">
        <v>34</v>
      </c>
      <c r="Y40" s="1065">
        <f t="shared" si="31"/>
        <v>1248</v>
      </c>
      <c r="Z40" s="1049">
        <f t="shared" si="32"/>
        <v>8356</v>
      </c>
      <c r="AA40" s="1049">
        <f t="shared" si="33"/>
        <v>1407</v>
      </c>
      <c r="AB40" s="1049">
        <f t="shared" si="34"/>
        <v>0</v>
      </c>
      <c r="AC40" s="1049">
        <f t="shared" si="35"/>
        <v>0</v>
      </c>
      <c r="AD40" s="1049">
        <f t="shared" si="36"/>
        <v>8489</v>
      </c>
      <c r="AE40" s="1057">
        <f t="shared" si="37"/>
        <v>398</v>
      </c>
      <c r="AF40" s="747">
        <f t="shared" si="38"/>
        <v>19898</v>
      </c>
      <c r="AI40" s="429"/>
      <c r="AJ40" s="429"/>
      <c r="AK40" s="429"/>
      <c r="AL40" s="429"/>
      <c r="AM40" s="429"/>
    </row>
    <row r="41" spans="2:46" x14ac:dyDescent="0.3">
      <c r="B41" s="419"/>
      <c r="C41" s="430" t="s">
        <v>35</v>
      </c>
      <c r="D41" s="426">
        <f>COUNTIFS(sommaire[Département_nom],Tableau6366[[#This Row],[Départements]],sommaire[présence des personnes déplacés interne],"oui")</f>
        <v>145</v>
      </c>
      <c r="E41" s="426"/>
      <c r="G41" s="1058" t="s">
        <v>35</v>
      </c>
      <c r="H41" s="1059">
        <f>SUMIFS(sommaire[PDI_domicile personnel],sommaire[Département_nom],Settlement!$G41)</f>
        <v>1668</v>
      </c>
      <c r="I41" s="1060">
        <f>SUMIFS(sommaire[PDI_abris spontané],sommaire[Département_nom],Settlement!$G41)</f>
        <v>2495</v>
      </c>
      <c r="J41" s="1060">
        <f>SUMIFS(sommaire[PDI_en location],sommaire[Département_nom],Settlement!$G41)</f>
        <v>1947</v>
      </c>
      <c r="K41" s="1060">
        <f>SUMIFS(sommaire[PDI_centre collectif],sommaire[Département_nom],Settlement!$G41)</f>
        <v>915</v>
      </c>
      <c r="L41" s="1060">
        <f>SUMIFS(sommaire[PDI_air libre],sommaire[Département_nom],Settlement!$G41)</f>
        <v>43</v>
      </c>
      <c r="M41" s="1060">
        <f>SUMIFS(sommaire[PDI_famille d''accueil (à titre gratuit)],sommaire[Département_nom],Settlement!$G41)</f>
        <v>8181</v>
      </c>
      <c r="N41" s="1061">
        <f>SUMIFS(sommaire[PDI_famille d''accueil (contre travaux domestiques ou des champs)],sommaire[Département_nom],Settlement!$G41)</f>
        <v>1336</v>
      </c>
      <c r="O41" s="695">
        <f t="shared" si="30"/>
        <v>16585</v>
      </c>
      <c r="R41" s="414"/>
      <c r="T41" s="430" t="s">
        <v>35</v>
      </c>
      <c r="U41" s="426">
        <f>Tableau6366[[#This Row],[villages]]</f>
        <v>145</v>
      </c>
      <c r="X41" s="1058" t="s">
        <v>35</v>
      </c>
      <c r="Y41" s="1062">
        <f t="shared" si="31"/>
        <v>1668</v>
      </c>
      <c r="Z41" s="1063">
        <f t="shared" si="32"/>
        <v>2495</v>
      </c>
      <c r="AA41" s="1063">
        <f t="shared" si="33"/>
        <v>1947</v>
      </c>
      <c r="AB41" s="1063">
        <f t="shared" si="34"/>
        <v>915</v>
      </c>
      <c r="AC41" s="1063">
        <f t="shared" si="35"/>
        <v>43</v>
      </c>
      <c r="AD41" s="1063">
        <f t="shared" si="36"/>
        <v>8181</v>
      </c>
      <c r="AE41" s="1064">
        <f t="shared" si="37"/>
        <v>1336</v>
      </c>
      <c r="AF41" s="748">
        <f t="shared" si="38"/>
        <v>16585</v>
      </c>
      <c r="AI41" s="429"/>
      <c r="AJ41" s="429"/>
      <c r="AK41" s="429"/>
      <c r="AL41" s="429"/>
      <c r="AM41" s="429"/>
      <c r="AP41" s="429"/>
      <c r="AQ41" s="431"/>
      <c r="AR41" s="431"/>
      <c r="AS41" s="431"/>
      <c r="AT41" s="431"/>
    </row>
    <row r="42" spans="2:46" x14ac:dyDescent="0.3">
      <c r="B42" s="419"/>
      <c r="C42" s="423"/>
      <c r="D42" s="423">
        <f>SUM(D36:D41)</f>
        <v>861</v>
      </c>
      <c r="E42" s="423"/>
      <c r="G42" s="689"/>
      <c r="H42" s="690">
        <f>SUM(H36:H41)</f>
        <v>7331</v>
      </c>
      <c r="I42" s="690">
        <f t="shared" ref="I42:O42" si="39">SUM(I36:I41)</f>
        <v>19537</v>
      </c>
      <c r="J42" s="690">
        <f t="shared" si="39"/>
        <v>9457</v>
      </c>
      <c r="K42" s="690">
        <f t="shared" si="39"/>
        <v>1501</v>
      </c>
      <c r="L42" s="690">
        <f t="shared" si="39"/>
        <v>75</v>
      </c>
      <c r="M42" s="690">
        <f t="shared" si="39"/>
        <v>32717</v>
      </c>
      <c r="N42" s="690">
        <f t="shared" si="39"/>
        <v>2192</v>
      </c>
      <c r="O42" s="690">
        <f t="shared" si="39"/>
        <v>72810</v>
      </c>
      <c r="R42" s="414"/>
      <c r="T42" s="423"/>
      <c r="U42" s="423">
        <f>SUM(U36:U41)</f>
        <v>861</v>
      </c>
      <c r="X42" s="742"/>
      <c r="Y42" s="743">
        <f>SUM(Y36:Y41)</f>
        <v>7331</v>
      </c>
      <c r="Z42" s="743">
        <f t="shared" ref="Z42:AF42" si="40">SUM(Z36:Z41)</f>
        <v>19537</v>
      </c>
      <c r="AA42" s="743">
        <f t="shared" si="40"/>
        <v>9457</v>
      </c>
      <c r="AB42" s="743">
        <f t="shared" si="40"/>
        <v>1501</v>
      </c>
      <c r="AC42" s="743">
        <f t="shared" si="40"/>
        <v>75</v>
      </c>
      <c r="AD42" s="743">
        <f t="shared" si="40"/>
        <v>32717</v>
      </c>
      <c r="AE42" s="743">
        <f t="shared" si="40"/>
        <v>2192</v>
      </c>
      <c r="AF42" s="743">
        <f t="shared" si="40"/>
        <v>72810</v>
      </c>
      <c r="AH42" s="429"/>
      <c r="AI42" s="429"/>
      <c r="AJ42" s="429"/>
      <c r="AK42" s="429"/>
      <c r="AL42" s="429"/>
      <c r="AM42" s="432"/>
    </row>
    <row r="43" spans="2:46" x14ac:dyDescent="0.3">
      <c r="B43" s="419"/>
      <c r="C43" s="433"/>
      <c r="H43" s="434">
        <f>H42/$O$42</f>
        <v>0.10068671885729982</v>
      </c>
      <c r="I43" s="434">
        <f t="shared" ref="I43:N43" si="41">I42/$O$42</f>
        <v>0.26832852630133225</v>
      </c>
      <c r="J43" s="434">
        <f t="shared" si="41"/>
        <v>0.12988600466968822</v>
      </c>
      <c r="K43" s="434">
        <f t="shared" si="41"/>
        <v>2.061530009614064E-2</v>
      </c>
      <c r="L43" s="434">
        <f t="shared" si="41"/>
        <v>1.0300782859497322E-3</v>
      </c>
      <c r="M43" s="434">
        <f t="shared" si="41"/>
        <v>0.44934761708556514</v>
      </c>
      <c r="N43" s="434">
        <f t="shared" si="41"/>
        <v>3.0105754704024174E-2</v>
      </c>
      <c r="O43" s="696">
        <f>SUM(H43:N43)</f>
        <v>1</v>
      </c>
      <c r="R43" s="414"/>
      <c r="Y43" s="429">
        <f t="shared" ref="Y43:AF43" si="42">H43</f>
        <v>0.10068671885729982</v>
      </c>
      <c r="Z43" s="429">
        <f t="shared" si="42"/>
        <v>0.26832852630133225</v>
      </c>
      <c r="AA43" s="429">
        <f t="shared" si="42"/>
        <v>0.12988600466968822</v>
      </c>
      <c r="AB43" s="429">
        <f t="shared" si="42"/>
        <v>2.061530009614064E-2</v>
      </c>
      <c r="AC43" s="435">
        <f t="shared" si="42"/>
        <v>1.0300782859497322E-3</v>
      </c>
      <c r="AD43" s="429">
        <f t="shared" si="42"/>
        <v>0.44934761708556514</v>
      </c>
      <c r="AE43" s="429">
        <f t="shared" si="42"/>
        <v>3.0105754704024174E-2</v>
      </c>
      <c r="AF43" s="749">
        <f t="shared" si="42"/>
        <v>1</v>
      </c>
      <c r="AK43" s="1114"/>
      <c r="AL43" s="1114"/>
      <c r="AM43" s="1114"/>
      <c r="AN43" s="1114"/>
      <c r="AO43" s="1114"/>
    </row>
    <row r="44" spans="2:46" x14ac:dyDescent="0.3">
      <c r="B44" s="419"/>
      <c r="C44" s="433"/>
      <c r="R44" s="414"/>
      <c r="AF44" s="422"/>
    </row>
    <row r="45" spans="2:46" x14ac:dyDescent="0.3">
      <c r="B45" s="419"/>
      <c r="C45" s="436"/>
      <c r="D45" s="436"/>
      <c r="E45" s="436"/>
      <c r="R45" s="414"/>
      <c r="AF45" s="422"/>
      <c r="AK45" s="696"/>
      <c r="AL45" s="696"/>
      <c r="AM45" s="696"/>
      <c r="AN45" s="696"/>
      <c r="AO45" s="696"/>
    </row>
    <row r="46" spans="2:46" x14ac:dyDescent="0.3">
      <c r="B46" s="419"/>
      <c r="C46" s="436"/>
      <c r="D46" s="437"/>
      <c r="E46" s="437"/>
      <c r="G46" s="438" t="s">
        <v>340</v>
      </c>
      <c r="H46" s="420"/>
      <c r="I46" s="420"/>
      <c r="J46" s="420"/>
      <c r="R46" s="414"/>
      <c r="X46" s="420" t="s">
        <v>341</v>
      </c>
      <c r="AF46" s="422"/>
    </row>
    <row r="47" spans="2:46" x14ac:dyDescent="0.3">
      <c r="B47" s="419"/>
      <c r="C47" s="436"/>
      <c r="D47" s="437"/>
      <c r="E47" s="437"/>
      <c r="R47" s="414"/>
      <c r="AF47" s="422"/>
    </row>
    <row r="48" spans="2:46" ht="75.599999999999994" customHeight="1" x14ac:dyDescent="0.3">
      <c r="B48" s="419"/>
      <c r="C48" s="439"/>
      <c r="D48" s="439"/>
      <c r="E48" s="439"/>
      <c r="G48" s="878" t="s">
        <v>48</v>
      </c>
      <c r="H48" s="879" t="s">
        <v>334</v>
      </c>
      <c r="I48" s="879" t="s">
        <v>335</v>
      </c>
      <c r="J48" s="879" t="s">
        <v>312</v>
      </c>
      <c r="K48" s="879" t="s">
        <v>336</v>
      </c>
      <c r="L48" s="879" t="s">
        <v>337</v>
      </c>
      <c r="M48" s="879" t="s">
        <v>315</v>
      </c>
      <c r="N48" s="880" t="s">
        <v>316</v>
      </c>
      <c r="O48" s="880" t="s">
        <v>25</v>
      </c>
      <c r="R48" s="414"/>
      <c r="X48" s="881" t="s">
        <v>51</v>
      </c>
      <c r="Y48" s="879" t="s">
        <v>338</v>
      </c>
      <c r="Z48" s="879" t="s">
        <v>339</v>
      </c>
      <c r="AA48" s="879" t="s">
        <v>320</v>
      </c>
      <c r="AB48" s="879" t="s">
        <v>321</v>
      </c>
      <c r="AC48" s="879" t="s">
        <v>322</v>
      </c>
      <c r="AD48" s="879" t="s">
        <v>323</v>
      </c>
      <c r="AE48" s="880" t="s">
        <v>324</v>
      </c>
      <c r="AF48" s="880" t="s">
        <v>25</v>
      </c>
    </row>
    <row r="49" spans="2:32" x14ac:dyDescent="0.3">
      <c r="B49" s="419"/>
      <c r="C49" s="439"/>
      <c r="D49" s="439"/>
      <c r="E49" s="439"/>
      <c r="G49" s="1054" t="s">
        <v>30</v>
      </c>
      <c r="H49" s="1066">
        <f>H36/$O$36</f>
        <v>5.246589716684155E-3</v>
      </c>
      <c r="I49" s="1066">
        <f t="shared" ref="I49:N49" si="43">I36/$O$36</f>
        <v>7.9748163693599161E-2</v>
      </c>
      <c r="J49" s="1066">
        <f t="shared" si="43"/>
        <v>0.40031479538300108</v>
      </c>
      <c r="K49" s="1066">
        <f t="shared" si="43"/>
        <v>0.2812172088142707</v>
      </c>
      <c r="L49" s="1066">
        <f t="shared" si="43"/>
        <v>0</v>
      </c>
      <c r="M49" s="1066">
        <f t="shared" si="43"/>
        <v>0.23347324239244491</v>
      </c>
      <c r="N49" s="1067">
        <f t="shared" si="43"/>
        <v>0</v>
      </c>
      <c r="O49" s="691">
        <f>SUM(H49:N49)</f>
        <v>1</v>
      </c>
      <c r="R49" s="414"/>
      <c r="X49" s="1054" t="s">
        <v>30</v>
      </c>
      <c r="Y49" s="744">
        <f t="shared" ref="Y49:Y54" si="44">H49</f>
        <v>5.246589716684155E-3</v>
      </c>
      <c r="Z49" s="1066">
        <f t="shared" ref="Z49:Z54" si="45">I49</f>
        <v>7.9748163693599161E-2</v>
      </c>
      <c r="AA49" s="1066">
        <f t="shared" ref="AA49:AA54" si="46">J49</f>
        <v>0.40031479538300108</v>
      </c>
      <c r="AB49" s="1066">
        <f t="shared" ref="AB49:AB54" si="47">K49</f>
        <v>0.2812172088142707</v>
      </c>
      <c r="AC49" s="1066">
        <f t="shared" ref="AC49:AC54" si="48">L49</f>
        <v>0</v>
      </c>
      <c r="AD49" s="1066">
        <f t="shared" ref="AD49:AD54" si="49">M49</f>
        <v>0.23347324239244491</v>
      </c>
      <c r="AE49" s="1067">
        <f t="shared" ref="AE49:AE54" si="50">N49</f>
        <v>0</v>
      </c>
      <c r="AF49" s="691">
        <f t="shared" ref="AF49:AF54" si="51">SUM(Y49:AE49)</f>
        <v>1</v>
      </c>
    </row>
    <row r="50" spans="2:32" x14ac:dyDescent="0.3">
      <c r="B50" s="419"/>
      <c r="C50" s="441"/>
      <c r="D50" s="439"/>
      <c r="E50" s="439"/>
      <c r="G50" s="1058" t="s">
        <v>31</v>
      </c>
      <c r="H50" s="1068">
        <f>H37/$O$37</f>
        <v>8.9147666112144044E-2</v>
      </c>
      <c r="I50" s="1068">
        <f t="shared" ref="I50:N50" si="52">I37/$O$37</f>
        <v>0.23717258701112306</v>
      </c>
      <c r="J50" s="1068">
        <f t="shared" si="52"/>
        <v>0.16916201846234138</v>
      </c>
      <c r="K50" s="1068">
        <f t="shared" si="52"/>
        <v>1.6309488860619108E-3</v>
      </c>
      <c r="L50" s="1068">
        <f t="shared" si="52"/>
        <v>1.043807287079623E-3</v>
      </c>
      <c r="M50" s="1068">
        <f t="shared" si="52"/>
        <v>0.48983918843983432</v>
      </c>
      <c r="N50" s="1069">
        <f t="shared" si="52"/>
        <v>1.2003783801415664E-2</v>
      </c>
      <c r="O50" s="692">
        <f t="shared" ref="O50:O55" si="53">SUM(H50:N50)</f>
        <v>1.0000000000000002</v>
      </c>
      <c r="R50" s="414"/>
      <c r="X50" s="1058" t="s">
        <v>31</v>
      </c>
      <c r="Y50" s="745">
        <f t="shared" si="44"/>
        <v>8.9147666112144044E-2</v>
      </c>
      <c r="Z50" s="1068">
        <f t="shared" si="45"/>
        <v>0.23717258701112306</v>
      </c>
      <c r="AA50" s="1068">
        <f t="shared" si="46"/>
        <v>0.16916201846234138</v>
      </c>
      <c r="AB50" s="1068">
        <f t="shared" si="47"/>
        <v>1.6309488860619108E-3</v>
      </c>
      <c r="AC50" s="1068">
        <f t="shared" si="48"/>
        <v>1.043807287079623E-3</v>
      </c>
      <c r="AD50" s="1068">
        <f t="shared" si="49"/>
        <v>0.48983918843983432</v>
      </c>
      <c r="AE50" s="1069">
        <f t="shared" si="50"/>
        <v>1.2003783801415664E-2</v>
      </c>
      <c r="AF50" s="692">
        <f t="shared" si="51"/>
        <v>1.0000000000000002</v>
      </c>
    </row>
    <row r="51" spans="2:32" x14ac:dyDescent="0.3">
      <c r="B51" s="419"/>
      <c r="C51" s="441"/>
      <c r="D51" s="439"/>
      <c r="E51" s="439"/>
      <c r="G51" s="1054" t="s">
        <v>32</v>
      </c>
      <c r="H51" s="1066">
        <f>H38/$O$38</f>
        <v>0.4833131067961165</v>
      </c>
      <c r="I51" s="1066">
        <f t="shared" ref="I51:N51" si="54">I38/$O$38</f>
        <v>0.30976941747572817</v>
      </c>
      <c r="J51" s="1066">
        <f t="shared" si="54"/>
        <v>3.6711165048543687E-2</v>
      </c>
      <c r="K51" s="1066">
        <f t="shared" si="54"/>
        <v>0</v>
      </c>
      <c r="L51" s="1066">
        <f t="shared" si="54"/>
        <v>0</v>
      </c>
      <c r="M51" s="1066">
        <f t="shared" si="54"/>
        <v>0.15109223300970873</v>
      </c>
      <c r="N51" s="1067">
        <f t="shared" si="54"/>
        <v>1.9114077669902911E-2</v>
      </c>
      <c r="O51" s="691">
        <f t="shared" si="53"/>
        <v>1</v>
      </c>
      <c r="R51" s="414"/>
      <c r="X51" s="1054" t="s">
        <v>32</v>
      </c>
      <c r="Y51" s="744">
        <f t="shared" si="44"/>
        <v>0.4833131067961165</v>
      </c>
      <c r="Z51" s="1066">
        <f t="shared" si="45"/>
        <v>0.30976941747572817</v>
      </c>
      <c r="AA51" s="1066">
        <f t="shared" si="46"/>
        <v>3.6711165048543687E-2</v>
      </c>
      <c r="AB51" s="1066">
        <f t="shared" si="47"/>
        <v>0</v>
      </c>
      <c r="AC51" s="1066">
        <f t="shared" si="48"/>
        <v>0</v>
      </c>
      <c r="AD51" s="1066">
        <f t="shared" si="49"/>
        <v>0.15109223300970873</v>
      </c>
      <c r="AE51" s="1067">
        <f t="shared" si="50"/>
        <v>1.9114077669902911E-2</v>
      </c>
      <c r="AF51" s="691">
        <f t="shared" si="51"/>
        <v>1</v>
      </c>
    </row>
    <row r="52" spans="2:32" x14ac:dyDescent="0.3">
      <c r="B52" s="419"/>
      <c r="C52" s="441"/>
      <c r="D52" s="439"/>
      <c r="E52" s="439"/>
      <c r="G52" s="1058" t="s">
        <v>33</v>
      </c>
      <c r="H52" s="1068">
        <f>H39/$O$39</f>
        <v>0.16880341880341881</v>
      </c>
      <c r="I52" s="1068">
        <f t="shared" ref="I52:N52" si="55">I39/$O$39</f>
        <v>0.51709401709401714</v>
      </c>
      <c r="J52" s="1068">
        <f t="shared" si="55"/>
        <v>7.0512820512820512E-2</v>
      </c>
      <c r="K52" s="1068">
        <f t="shared" si="55"/>
        <v>0</v>
      </c>
      <c r="L52" s="1068">
        <f t="shared" si="55"/>
        <v>0</v>
      </c>
      <c r="M52" s="1068">
        <f t="shared" si="55"/>
        <v>0.1858974358974359</v>
      </c>
      <c r="N52" s="1069">
        <f t="shared" si="55"/>
        <v>5.7692307692307696E-2</v>
      </c>
      <c r="O52" s="692">
        <f t="shared" si="53"/>
        <v>1</v>
      </c>
      <c r="R52" s="414"/>
      <c r="X52" s="1058" t="s">
        <v>33</v>
      </c>
      <c r="Y52" s="745">
        <f t="shared" si="44"/>
        <v>0.16880341880341881</v>
      </c>
      <c r="Z52" s="1068">
        <f t="shared" si="45"/>
        <v>0.51709401709401714</v>
      </c>
      <c r="AA52" s="1068">
        <f t="shared" si="46"/>
        <v>7.0512820512820512E-2</v>
      </c>
      <c r="AB52" s="1068">
        <f t="shared" si="47"/>
        <v>0</v>
      </c>
      <c r="AC52" s="1068">
        <f t="shared" si="48"/>
        <v>0</v>
      </c>
      <c r="AD52" s="1068">
        <f t="shared" si="49"/>
        <v>0.1858974358974359</v>
      </c>
      <c r="AE52" s="1069">
        <f t="shared" si="50"/>
        <v>5.7692307692307696E-2</v>
      </c>
      <c r="AF52" s="692">
        <f t="shared" si="51"/>
        <v>1</v>
      </c>
    </row>
    <row r="53" spans="2:32" x14ac:dyDescent="0.3">
      <c r="B53" s="419"/>
      <c r="C53" s="441"/>
      <c r="D53" s="439"/>
      <c r="E53" s="439"/>
      <c r="G53" s="1054" t="s">
        <v>34</v>
      </c>
      <c r="H53" s="1066">
        <f>H40/$O$40</f>
        <v>6.271987134385365E-2</v>
      </c>
      <c r="I53" s="1066">
        <f t="shared" ref="I53:N53" si="56">I40/$O$40</f>
        <v>0.4199417026836868</v>
      </c>
      <c r="J53" s="1066">
        <f t="shared" si="56"/>
        <v>7.0710624183335014E-2</v>
      </c>
      <c r="K53" s="1066">
        <f t="shared" si="56"/>
        <v>0</v>
      </c>
      <c r="L53" s="1066">
        <f t="shared" si="56"/>
        <v>0</v>
      </c>
      <c r="M53" s="1066">
        <f t="shared" si="56"/>
        <v>0.42662579153683788</v>
      </c>
      <c r="N53" s="1067">
        <f t="shared" si="56"/>
        <v>2.0002010252286661E-2</v>
      </c>
      <c r="O53" s="691">
        <f t="shared" si="53"/>
        <v>1</v>
      </c>
      <c r="R53" s="414"/>
      <c r="X53" s="1054" t="s">
        <v>34</v>
      </c>
      <c r="Y53" s="744">
        <f t="shared" si="44"/>
        <v>6.271987134385365E-2</v>
      </c>
      <c r="Z53" s="1066">
        <f t="shared" si="45"/>
        <v>0.4199417026836868</v>
      </c>
      <c r="AA53" s="1066">
        <f t="shared" si="46"/>
        <v>7.0710624183335014E-2</v>
      </c>
      <c r="AB53" s="1066">
        <f t="shared" si="47"/>
        <v>0</v>
      </c>
      <c r="AC53" s="1066">
        <f t="shared" si="48"/>
        <v>0</v>
      </c>
      <c r="AD53" s="1066">
        <f t="shared" si="49"/>
        <v>0.42662579153683788</v>
      </c>
      <c r="AE53" s="1067">
        <f t="shared" si="50"/>
        <v>2.0002010252286661E-2</v>
      </c>
      <c r="AF53" s="691">
        <f t="shared" si="51"/>
        <v>1</v>
      </c>
    </row>
    <row r="54" spans="2:32" x14ac:dyDescent="0.3">
      <c r="B54" s="419"/>
      <c r="C54" s="441"/>
      <c r="D54" s="439"/>
      <c r="E54" s="439"/>
      <c r="G54" s="1058" t="s">
        <v>35</v>
      </c>
      <c r="H54" s="1068">
        <f>H41/$O$41</f>
        <v>0.10057280675309015</v>
      </c>
      <c r="I54" s="1068">
        <f t="shared" ref="I54:N54" si="57">I41/$O$41</f>
        <v>0.15043714199577932</v>
      </c>
      <c r="J54" s="1068">
        <f t="shared" si="57"/>
        <v>0.1173952366596322</v>
      </c>
      <c r="K54" s="1068">
        <f t="shared" si="57"/>
        <v>5.5170334639734697E-2</v>
      </c>
      <c r="L54" s="1068">
        <f t="shared" si="57"/>
        <v>2.5927042508290623E-3</v>
      </c>
      <c r="M54" s="1068">
        <f t="shared" si="57"/>
        <v>0.49327705758215257</v>
      </c>
      <c r="N54" s="1069">
        <f t="shared" si="57"/>
        <v>8.0554718118782037E-2</v>
      </c>
      <c r="O54" s="692">
        <f t="shared" si="53"/>
        <v>1</v>
      </c>
      <c r="R54" s="414"/>
      <c r="X54" s="1070" t="s">
        <v>35</v>
      </c>
      <c r="Y54" s="746">
        <f t="shared" si="44"/>
        <v>0.10057280675309015</v>
      </c>
      <c r="Z54" s="1071">
        <f t="shared" si="45"/>
        <v>0.15043714199577932</v>
      </c>
      <c r="AA54" s="1071">
        <f t="shared" si="46"/>
        <v>0.1173952366596322</v>
      </c>
      <c r="AB54" s="1071">
        <f t="shared" si="47"/>
        <v>5.5170334639734697E-2</v>
      </c>
      <c r="AC54" s="1071">
        <f t="shared" si="48"/>
        <v>2.5927042508290623E-3</v>
      </c>
      <c r="AD54" s="1071">
        <f t="shared" si="49"/>
        <v>0.49327705758215257</v>
      </c>
      <c r="AE54" s="1072">
        <f t="shared" si="50"/>
        <v>8.0554718118782037E-2</v>
      </c>
      <c r="AF54" s="750">
        <f t="shared" si="51"/>
        <v>1</v>
      </c>
    </row>
    <row r="55" spans="2:32" x14ac:dyDescent="0.3">
      <c r="B55" s="419"/>
      <c r="C55" s="441"/>
      <c r="D55" s="439"/>
      <c r="E55" s="439"/>
      <c r="G55" s="1073" t="s">
        <v>342</v>
      </c>
      <c r="H55" s="1074">
        <f>H42/$O$42</f>
        <v>0.10068671885729982</v>
      </c>
      <c r="I55" s="1074">
        <f t="shared" ref="I55:N55" si="58">I42/$O$42</f>
        <v>0.26832852630133225</v>
      </c>
      <c r="J55" s="1074">
        <f t="shared" si="58"/>
        <v>0.12988600466968822</v>
      </c>
      <c r="K55" s="1074">
        <f t="shared" si="58"/>
        <v>2.061530009614064E-2</v>
      </c>
      <c r="L55" s="1074">
        <f t="shared" si="58"/>
        <v>1.0300782859497322E-3</v>
      </c>
      <c r="M55" s="1074">
        <f t="shared" si="58"/>
        <v>0.44934761708556514</v>
      </c>
      <c r="N55" s="1075">
        <f t="shared" si="58"/>
        <v>3.0105754704024174E-2</v>
      </c>
      <c r="O55" s="693">
        <f t="shared" si="53"/>
        <v>1</v>
      </c>
      <c r="R55" s="414"/>
      <c r="X55" s="412"/>
      <c r="Y55" s="412"/>
      <c r="Z55" s="412"/>
      <c r="AA55" s="412"/>
      <c r="AB55" s="412"/>
      <c r="AC55" s="412"/>
      <c r="AD55" s="412"/>
      <c r="AF55" s="422"/>
    </row>
    <row r="56" spans="2:32" x14ac:dyDescent="0.3">
      <c r="B56" s="419"/>
      <c r="C56" s="441"/>
      <c r="D56" s="439"/>
      <c r="E56" s="439"/>
      <c r="R56" s="414"/>
      <c r="X56" s="412"/>
      <c r="Y56" s="412"/>
      <c r="Z56" s="412"/>
      <c r="AA56" s="412"/>
      <c r="AB56" s="412"/>
      <c r="AC56" s="412"/>
      <c r="AD56" s="412"/>
      <c r="AF56" s="422"/>
    </row>
    <row r="57" spans="2:32" x14ac:dyDescent="0.3">
      <c r="B57" s="419"/>
      <c r="C57" s="441"/>
      <c r="D57" s="439"/>
      <c r="E57" s="439"/>
      <c r="R57" s="414"/>
      <c r="X57" s="412"/>
      <c r="Y57" s="412"/>
      <c r="Z57" s="412"/>
      <c r="AA57" s="412"/>
      <c r="AB57" s="412"/>
      <c r="AC57" s="412"/>
      <c r="AD57" s="412"/>
      <c r="AF57" s="422"/>
    </row>
    <row r="58" spans="2:32" x14ac:dyDescent="0.3">
      <c r="B58" s="419"/>
      <c r="C58" s="441"/>
      <c r="D58" s="439"/>
      <c r="E58" s="439"/>
      <c r="R58" s="414"/>
      <c r="X58" s="412"/>
      <c r="Y58" s="412"/>
      <c r="Z58" s="412"/>
      <c r="AA58" s="412"/>
      <c r="AB58" s="412"/>
      <c r="AC58" s="412"/>
      <c r="AD58" s="412"/>
      <c r="AF58" s="422"/>
    </row>
    <row r="59" spans="2:32" x14ac:dyDescent="0.3">
      <c r="B59" s="419"/>
      <c r="C59" s="441"/>
      <c r="D59" s="439"/>
      <c r="E59" s="439"/>
      <c r="R59" s="414"/>
      <c r="X59" s="412"/>
      <c r="Y59" s="412"/>
      <c r="Z59" s="412"/>
      <c r="AA59" s="412"/>
      <c r="AB59" s="412"/>
      <c r="AC59" s="412"/>
      <c r="AD59" s="412"/>
      <c r="AF59" s="422"/>
    </row>
    <row r="60" spans="2:32" x14ac:dyDescent="0.3">
      <c r="B60" s="419"/>
      <c r="C60" s="441"/>
      <c r="D60" s="439"/>
      <c r="E60" s="439"/>
      <c r="R60" s="414"/>
      <c r="X60" s="412"/>
      <c r="Y60" s="412"/>
      <c r="Z60" s="412"/>
      <c r="AA60" s="412"/>
      <c r="AB60" s="412"/>
      <c r="AC60" s="412"/>
      <c r="AD60" s="412"/>
      <c r="AF60" s="422"/>
    </row>
    <row r="61" spans="2:32" x14ac:dyDescent="0.3">
      <c r="B61" s="419"/>
      <c r="C61" s="441"/>
      <c r="D61" s="439"/>
      <c r="E61" s="439"/>
      <c r="R61" s="414"/>
      <c r="X61" s="412"/>
      <c r="Y61" s="412"/>
      <c r="Z61" s="412"/>
      <c r="AA61" s="412"/>
      <c r="AB61" s="412"/>
      <c r="AC61" s="412"/>
      <c r="AD61" s="412"/>
      <c r="AF61" s="422"/>
    </row>
    <row r="62" spans="2:32" x14ac:dyDescent="0.3">
      <c r="B62" s="419"/>
      <c r="C62" s="441"/>
      <c r="D62" s="439"/>
      <c r="E62" s="439"/>
      <c r="R62" s="414"/>
      <c r="X62" s="412"/>
      <c r="Y62" s="412"/>
      <c r="Z62" s="412"/>
      <c r="AA62" s="412"/>
      <c r="AB62" s="412"/>
      <c r="AC62" s="412"/>
      <c r="AD62" s="412"/>
      <c r="AF62" s="422"/>
    </row>
    <row r="63" spans="2:32" x14ac:dyDescent="0.3">
      <c r="B63" s="419"/>
      <c r="C63" s="441"/>
      <c r="D63" s="439"/>
      <c r="E63" s="439"/>
      <c r="R63" s="414"/>
      <c r="X63" s="412"/>
      <c r="Y63" s="412"/>
      <c r="Z63" s="412"/>
      <c r="AA63" s="412"/>
      <c r="AB63" s="412"/>
      <c r="AC63" s="412"/>
      <c r="AD63" s="412"/>
      <c r="AF63" s="422"/>
    </row>
    <row r="64" spans="2:32" x14ac:dyDescent="0.3">
      <c r="B64" s="419"/>
      <c r="C64" s="441"/>
      <c r="D64" s="439"/>
      <c r="E64" s="439"/>
      <c r="R64" s="414"/>
      <c r="X64" s="412"/>
      <c r="Y64" s="412"/>
      <c r="Z64" s="412"/>
      <c r="AA64" s="412"/>
      <c r="AB64" s="412"/>
      <c r="AC64" s="412"/>
      <c r="AD64" s="412"/>
      <c r="AF64" s="422"/>
    </row>
    <row r="65" spans="2:32" x14ac:dyDescent="0.3">
      <c r="B65" s="419"/>
      <c r="C65" s="441"/>
      <c r="D65" s="439"/>
      <c r="E65" s="439"/>
      <c r="R65" s="414"/>
      <c r="X65" s="412"/>
      <c r="Y65" s="412"/>
      <c r="Z65" s="412"/>
      <c r="AA65" s="412"/>
      <c r="AB65" s="412"/>
      <c r="AC65" s="412"/>
      <c r="AD65" s="412"/>
      <c r="AF65" s="422"/>
    </row>
    <row r="66" spans="2:32" x14ac:dyDescent="0.3">
      <c r="B66" s="419"/>
      <c r="C66" s="441"/>
      <c r="D66" s="439"/>
      <c r="E66" s="439"/>
      <c r="R66" s="414"/>
      <c r="X66" s="412"/>
      <c r="Y66" s="412"/>
      <c r="Z66" s="412"/>
      <c r="AA66" s="412"/>
      <c r="AB66" s="412"/>
      <c r="AC66" s="412"/>
      <c r="AD66" s="412"/>
      <c r="AF66" s="422"/>
    </row>
    <row r="67" spans="2:32" x14ac:dyDescent="0.3">
      <c r="B67" s="419"/>
      <c r="C67" s="441"/>
      <c r="D67" s="439"/>
      <c r="E67" s="439"/>
      <c r="R67" s="414"/>
      <c r="X67" s="412"/>
      <c r="Y67" s="412"/>
      <c r="Z67" s="412"/>
      <c r="AA67" s="412"/>
      <c r="AB67" s="412"/>
      <c r="AC67" s="412"/>
      <c r="AD67" s="412"/>
      <c r="AF67" s="422"/>
    </row>
    <row r="68" spans="2:32" x14ac:dyDescent="0.3">
      <c r="B68" s="419"/>
      <c r="C68" s="441"/>
      <c r="D68" s="439"/>
      <c r="E68" s="439"/>
      <c r="R68" s="414"/>
      <c r="X68" s="412"/>
      <c r="Y68" s="412"/>
      <c r="Z68" s="412"/>
      <c r="AA68" s="412"/>
      <c r="AB68" s="412"/>
      <c r="AC68" s="412"/>
      <c r="AD68" s="412"/>
      <c r="AF68" s="422"/>
    </row>
    <row r="69" spans="2:32" x14ac:dyDescent="0.3">
      <c r="B69" s="419"/>
      <c r="C69" s="441"/>
      <c r="D69" s="439"/>
      <c r="E69" s="439"/>
      <c r="R69" s="414"/>
      <c r="X69" s="412"/>
      <c r="Y69" s="412"/>
      <c r="Z69" s="412"/>
      <c r="AA69" s="412"/>
      <c r="AB69" s="412"/>
      <c r="AC69" s="412"/>
      <c r="AD69" s="412"/>
      <c r="AF69" s="422"/>
    </row>
    <row r="70" spans="2:32" x14ac:dyDescent="0.3">
      <c r="B70" s="419"/>
      <c r="C70" s="441"/>
      <c r="D70" s="439"/>
      <c r="E70" s="439"/>
      <c r="R70" s="414"/>
      <c r="X70" s="412"/>
      <c r="Y70" s="412"/>
      <c r="Z70" s="412"/>
      <c r="AA70" s="412"/>
      <c r="AB70" s="412"/>
      <c r="AC70" s="412"/>
      <c r="AD70" s="412"/>
      <c r="AF70" s="422"/>
    </row>
    <row r="71" spans="2:32" x14ac:dyDescent="0.3">
      <c r="B71" s="419"/>
      <c r="C71" s="441"/>
      <c r="D71" s="439"/>
      <c r="E71" s="439"/>
      <c r="R71" s="414"/>
      <c r="X71" s="412"/>
      <c r="Y71" s="412"/>
      <c r="Z71" s="412"/>
      <c r="AA71" s="412"/>
      <c r="AB71" s="412"/>
      <c r="AC71" s="412"/>
      <c r="AD71" s="412"/>
      <c r="AF71" s="422"/>
    </row>
    <row r="72" spans="2:32" x14ac:dyDescent="0.3">
      <c r="B72" s="419"/>
      <c r="C72" s="441"/>
      <c r="D72" s="439"/>
      <c r="E72" s="439"/>
      <c r="R72" s="414"/>
      <c r="X72" s="412"/>
      <c r="Y72" s="412"/>
      <c r="Z72" s="412"/>
      <c r="AA72" s="412"/>
      <c r="AB72" s="412"/>
      <c r="AC72" s="412"/>
      <c r="AD72" s="412"/>
      <c r="AF72" s="422"/>
    </row>
    <row r="73" spans="2:32" x14ac:dyDescent="0.3">
      <c r="B73" s="419"/>
      <c r="C73" s="441"/>
      <c r="D73" s="439"/>
      <c r="E73" s="439"/>
      <c r="R73" s="414"/>
      <c r="X73" s="412"/>
      <c r="Y73" s="412"/>
      <c r="Z73" s="412"/>
      <c r="AA73" s="412"/>
      <c r="AB73" s="412"/>
      <c r="AC73" s="412"/>
      <c r="AD73" s="412"/>
      <c r="AF73" s="422"/>
    </row>
    <row r="74" spans="2:32" x14ac:dyDescent="0.3">
      <c r="B74" s="419"/>
      <c r="C74" s="441"/>
      <c r="D74" s="439"/>
      <c r="E74" s="439"/>
      <c r="R74" s="414"/>
      <c r="X74" s="412"/>
      <c r="Y74" s="412"/>
      <c r="Z74" s="412"/>
      <c r="AA74" s="412"/>
      <c r="AB74" s="412"/>
      <c r="AC74" s="412"/>
      <c r="AD74" s="412"/>
      <c r="AF74" s="422"/>
    </row>
    <row r="75" spans="2:32" x14ac:dyDescent="0.3">
      <c r="B75" s="419"/>
      <c r="C75" s="441"/>
      <c r="D75" s="439"/>
      <c r="E75" s="439"/>
      <c r="R75" s="414"/>
      <c r="X75" s="412"/>
      <c r="Y75" s="412"/>
      <c r="Z75" s="412"/>
      <c r="AA75" s="412"/>
      <c r="AB75" s="412"/>
      <c r="AC75" s="412"/>
      <c r="AD75" s="412"/>
      <c r="AF75" s="422"/>
    </row>
    <row r="76" spans="2:32" x14ac:dyDescent="0.3">
      <c r="B76" s="419"/>
      <c r="C76" s="441"/>
      <c r="D76" s="439"/>
      <c r="E76" s="439"/>
      <c r="R76" s="414"/>
      <c r="X76" s="412"/>
      <c r="Y76" s="412"/>
      <c r="Z76" s="412"/>
      <c r="AA76" s="412"/>
      <c r="AB76" s="412"/>
      <c r="AC76" s="412"/>
      <c r="AD76" s="412"/>
      <c r="AF76" s="422"/>
    </row>
    <row r="77" spans="2:32" x14ac:dyDescent="0.3">
      <c r="B77" s="419"/>
      <c r="C77" s="441"/>
      <c r="D77" s="439"/>
      <c r="E77" s="439"/>
      <c r="H77" s="429"/>
      <c r="I77" s="429"/>
      <c r="J77" s="429"/>
      <c r="K77" s="429"/>
      <c r="L77" s="429"/>
      <c r="R77" s="414"/>
      <c r="AF77" s="422"/>
    </row>
    <row r="78" spans="2:32" ht="15" thickBot="1" x14ac:dyDescent="0.35">
      <c r="B78" s="443"/>
      <c r="C78" s="444"/>
      <c r="D78" s="444"/>
      <c r="E78" s="444"/>
      <c r="F78" s="444"/>
      <c r="G78" s="444"/>
      <c r="H78" s="444"/>
      <c r="I78" s="444"/>
      <c r="J78" s="444"/>
      <c r="K78" s="444"/>
      <c r="L78" s="444"/>
      <c r="M78" s="444"/>
      <c r="N78" s="444"/>
      <c r="O78" s="444"/>
      <c r="P78" s="444"/>
      <c r="Q78" s="444"/>
      <c r="R78" s="445"/>
      <c r="S78" s="444"/>
      <c r="T78" s="444"/>
      <c r="U78" s="444"/>
      <c r="V78" s="444"/>
      <c r="W78" s="444"/>
      <c r="X78" s="444"/>
      <c r="Y78" s="444"/>
      <c r="Z78" s="444"/>
      <c r="AA78" s="444"/>
      <c r="AB78" s="444"/>
      <c r="AC78" s="444"/>
      <c r="AD78" s="444"/>
      <c r="AE78" s="444"/>
      <c r="AF78" s="446"/>
    </row>
    <row r="79" spans="2:32" x14ac:dyDescent="0.3">
      <c r="R79" s="414"/>
    </row>
    <row r="80" spans="2:32" ht="15" thickBot="1" x14ac:dyDescent="0.35">
      <c r="R80" s="414"/>
    </row>
    <row r="81" spans="2:57" x14ac:dyDescent="0.3">
      <c r="B81" s="415"/>
      <c r="C81" s="416"/>
      <c r="D81" s="416"/>
      <c r="E81" s="416"/>
      <c r="F81" s="416"/>
      <c r="G81" s="416"/>
      <c r="H81" s="416"/>
      <c r="I81" s="416"/>
      <c r="J81" s="416"/>
      <c r="K81" s="416"/>
      <c r="L81" s="416"/>
      <c r="M81" s="416"/>
      <c r="N81" s="416"/>
      <c r="O81" s="416"/>
      <c r="P81" s="416"/>
      <c r="Q81" s="416"/>
      <c r="R81" s="417"/>
      <c r="S81" s="416"/>
      <c r="T81" s="416"/>
      <c r="U81" s="416"/>
      <c r="V81" s="416"/>
      <c r="W81" s="416"/>
      <c r="X81" s="416"/>
      <c r="Y81" s="416"/>
      <c r="Z81" s="416"/>
      <c r="AA81" s="416"/>
      <c r="AB81" s="416"/>
      <c r="AC81" s="416"/>
      <c r="AD81" s="416"/>
      <c r="AE81" s="416"/>
      <c r="AF81" s="418"/>
    </row>
    <row r="82" spans="2:57" x14ac:dyDescent="0.3">
      <c r="B82" s="419"/>
      <c r="C82" s="420" t="s">
        <v>343</v>
      </c>
      <c r="G82" s="570" t="s">
        <v>344</v>
      </c>
      <c r="R82" s="414"/>
      <c r="T82" s="420" t="s">
        <v>345</v>
      </c>
      <c r="X82" s="420" t="s">
        <v>346</v>
      </c>
      <c r="AF82" s="421"/>
    </row>
    <row r="83" spans="2:57" x14ac:dyDescent="0.3">
      <c r="B83" s="419"/>
      <c r="R83" s="414"/>
      <c r="AF83" s="422"/>
    </row>
    <row r="84" spans="2:57" ht="53.1" customHeight="1" x14ac:dyDescent="0.3">
      <c r="B84" s="419"/>
      <c r="C84" s="423" t="s">
        <v>48</v>
      </c>
      <c r="D84" s="423" t="s">
        <v>333</v>
      </c>
      <c r="E84" s="423"/>
      <c r="G84" s="702" t="s">
        <v>48</v>
      </c>
      <c r="H84" s="703" t="s">
        <v>347</v>
      </c>
      <c r="I84" s="703" t="s">
        <v>312</v>
      </c>
      <c r="J84" s="703" t="s">
        <v>336</v>
      </c>
      <c r="K84" s="703" t="s">
        <v>337</v>
      </c>
      <c r="L84" s="703" t="s">
        <v>315</v>
      </c>
      <c r="M84" s="703" t="s">
        <v>316</v>
      </c>
      <c r="N84" s="703" t="s">
        <v>25</v>
      </c>
      <c r="R84" s="414"/>
      <c r="T84" s="423" t="s">
        <v>51</v>
      </c>
      <c r="U84" s="423" t="s">
        <v>333</v>
      </c>
      <c r="X84" s="751" t="s">
        <v>51</v>
      </c>
      <c r="Y84" s="703" t="s">
        <v>339</v>
      </c>
      <c r="Z84" s="703" t="s">
        <v>320</v>
      </c>
      <c r="AA84" s="703" t="s">
        <v>321</v>
      </c>
      <c r="AB84" s="703" t="s">
        <v>322</v>
      </c>
      <c r="AC84" s="703" t="s">
        <v>323</v>
      </c>
      <c r="AD84" s="703" t="s">
        <v>324</v>
      </c>
      <c r="AE84" s="703" t="s">
        <v>25</v>
      </c>
      <c r="AF84" s="447"/>
      <c r="AG84" s="428"/>
      <c r="AH84" s="428"/>
      <c r="AI84" s="428"/>
      <c r="AJ84" s="428"/>
      <c r="AK84" s="428"/>
      <c r="AL84" s="428"/>
    </row>
    <row r="85" spans="2:57" x14ac:dyDescent="0.3">
      <c r="B85" s="419"/>
      <c r="C85" s="426" t="s">
        <v>30</v>
      </c>
      <c r="D85" s="426">
        <f>COUNTIFS(sommaire[Département_nom],Tableau6365[[#This Row],[Départements]], sommaire[présence Réfugié hors camp], "oui")</f>
        <v>5</v>
      </c>
      <c r="E85" s="426"/>
      <c r="G85" s="1076" t="s">
        <v>30</v>
      </c>
      <c r="H85" s="1048">
        <f>SUMIFS(sommaire[REF_abris spontané],sommaire[Département_nom],Settlement!$G85)</f>
        <v>37</v>
      </c>
      <c r="I85" s="1048">
        <f>SUMIFS(sommaire[REF_en location],sommaire[Département_nom],Settlement!$G85)</f>
        <v>0</v>
      </c>
      <c r="J85" s="1048">
        <f>SUMIFS(sommaire[REF_centre collectif],sommaire[Département_nom],Settlement!$G85)</f>
        <v>0</v>
      </c>
      <c r="K85" s="1048">
        <f>SUMIFS(sommaire[REF_air libre],sommaire[Département_nom],Settlement!$G85)</f>
        <v>0</v>
      </c>
      <c r="L85" s="1048">
        <f>SUMIFS(sommaire[REF_famille d''accueil (à titre gratuit)],sommaire[Département_nom],Settlement!$G85)</f>
        <v>5</v>
      </c>
      <c r="M85" s="1048">
        <f>SUMIFS(sommaire[REF_famille d''accueil (contre travaux domestiques ou des champs)],sommaire[Département_nom],Settlement!$G85)</f>
        <v>0</v>
      </c>
      <c r="N85" s="704">
        <f t="shared" ref="N85:N90" si="59">SUM(H85:M85)</f>
        <v>42</v>
      </c>
      <c r="R85" s="414"/>
      <c r="T85" s="426" t="s">
        <v>30</v>
      </c>
      <c r="U85" s="426">
        <f>Tableau6365[[#This Row],[villages]]</f>
        <v>5</v>
      </c>
      <c r="X85" s="1076" t="s">
        <v>30</v>
      </c>
      <c r="Y85" s="1049">
        <f t="shared" ref="Y85:Y90" si="60">H85</f>
        <v>37</v>
      </c>
      <c r="Z85" s="1049">
        <f t="shared" ref="Z85:Z90" si="61">I85</f>
        <v>0</v>
      </c>
      <c r="AA85" s="1049">
        <f t="shared" ref="AA85:AA90" si="62">J85</f>
        <v>0</v>
      </c>
      <c r="AB85" s="1049">
        <f t="shared" ref="AB85:AB90" si="63">K85</f>
        <v>0</v>
      </c>
      <c r="AC85" s="1049">
        <f t="shared" ref="AC85:AC90" si="64">L85</f>
        <v>5</v>
      </c>
      <c r="AD85" s="1049">
        <f t="shared" ref="AD85:AD90" si="65">M85</f>
        <v>0</v>
      </c>
      <c r="AE85" s="753">
        <f t="shared" ref="AE85:AE90" si="66">SUM(Y85:AD85)</f>
        <v>42</v>
      </c>
      <c r="AF85" s="422"/>
      <c r="AG85" s="429"/>
      <c r="AH85" s="429"/>
      <c r="AI85" s="429"/>
      <c r="AJ85" s="429"/>
      <c r="AK85" s="429"/>
      <c r="AL85" s="429"/>
    </row>
    <row r="86" spans="2:57" x14ac:dyDescent="0.3">
      <c r="B86" s="419"/>
      <c r="C86" s="426" t="s">
        <v>31</v>
      </c>
      <c r="D86" s="426">
        <f>COUNTIFS(sommaire[Département_nom],Tableau6365[[#This Row],[Départements]], sommaire[présence Réfugié hors camp], "oui")</f>
        <v>187</v>
      </c>
      <c r="E86" s="426"/>
      <c r="G86" s="1077" t="s">
        <v>31</v>
      </c>
      <c r="H86" s="1078">
        <f>SUMIFS(sommaire[REF_abris spontané],sommaire[Département_nom],Settlement!$G86)</f>
        <v>2139</v>
      </c>
      <c r="I86" s="1078">
        <f>SUMIFS(sommaire[REF_en location],sommaire[Département_nom],Settlement!$G86)</f>
        <v>224</v>
      </c>
      <c r="J86" s="1078">
        <f>SUMIFS(sommaire[REF_centre collectif],sommaire[Département_nom],Settlement!$G86)</f>
        <v>0</v>
      </c>
      <c r="K86" s="1078">
        <f>SUMIFS(sommaire[REF_air libre],sommaire[Département_nom],Settlement!$G86)</f>
        <v>15</v>
      </c>
      <c r="L86" s="1078">
        <f>SUMIFS(sommaire[REF_famille d''accueil (à titre gratuit)],sommaire[Département_nom],Settlement!$G86)</f>
        <v>2809</v>
      </c>
      <c r="M86" s="1078">
        <f>SUMIFS(sommaire[REF_famille d''accueil (contre travaux domestiques ou des champs)],sommaire[Département_nom],Settlement!$G86)</f>
        <v>128</v>
      </c>
      <c r="N86" s="705">
        <f t="shared" si="59"/>
        <v>5315</v>
      </c>
      <c r="R86" s="414"/>
      <c r="T86" s="426" t="s">
        <v>31</v>
      </c>
      <c r="U86" s="426">
        <f>Tableau6365[[#This Row],[villages]]</f>
        <v>187</v>
      </c>
      <c r="X86" s="1077" t="s">
        <v>31</v>
      </c>
      <c r="Y86" s="1079">
        <f t="shared" si="60"/>
        <v>2139</v>
      </c>
      <c r="Z86" s="1079">
        <f t="shared" si="61"/>
        <v>224</v>
      </c>
      <c r="AA86" s="1079">
        <f t="shared" si="62"/>
        <v>0</v>
      </c>
      <c r="AB86" s="1079">
        <f t="shared" si="63"/>
        <v>15</v>
      </c>
      <c r="AC86" s="1079">
        <f t="shared" si="64"/>
        <v>2809</v>
      </c>
      <c r="AD86" s="1079">
        <f t="shared" si="65"/>
        <v>128</v>
      </c>
      <c r="AE86" s="754">
        <f t="shared" si="66"/>
        <v>5315</v>
      </c>
      <c r="AF86" s="422"/>
      <c r="AG86" s="429"/>
      <c r="AH86" s="429"/>
      <c r="AI86" s="429"/>
      <c r="AJ86" s="429"/>
      <c r="AK86" s="429"/>
      <c r="AL86" s="429"/>
    </row>
    <row r="87" spans="2:57" x14ac:dyDescent="0.3">
      <c r="B87" s="419"/>
      <c r="C87" s="426" t="s">
        <v>32</v>
      </c>
      <c r="D87" s="426">
        <f>COUNTIFS(sommaire[Département_nom],Tableau6365[[#This Row],[Départements]], sommaire[présence Réfugié hors camp], "oui")</f>
        <v>4</v>
      </c>
      <c r="E87" s="426"/>
      <c r="G87" s="1076" t="s">
        <v>32</v>
      </c>
      <c r="H87" s="1048">
        <f>SUMIFS(sommaire[REF_abris spontané],sommaire[Département_nom],Settlement!$G87)</f>
        <v>0</v>
      </c>
      <c r="I87" s="1048">
        <f>SUMIFS(sommaire[REF_en location],sommaire[Département_nom],Settlement!$G87)</f>
        <v>0</v>
      </c>
      <c r="J87" s="1048">
        <f>SUMIFS(sommaire[REF_centre collectif],sommaire[Département_nom],Settlement!$G87)</f>
        <v>0</v>
      </c>
      <c r="K87" s="1048">
        <f>SUMIFS(sommaire[REF_air libre],sommaire[Département_nom],Settlement!$G87)</f>
        <v>0</v>
      </c>
      <c r="L87" s="1048">
        <f>SUMIFS(sommaire[REF_famille d''accueil (à titre gratuit)],sommaire[Département_nom],Settlement!$G87)</f>
        <v>71</v>
      </c>
      <c r="M87" s="1048">
        <f>SUMIFS(sommaire[REF_famille d''accueil (contre travaux domestiques ou des champs)],sommaire[Département_nom],Settlement!$G87)</f>
        <v>0</v>
      </c>
      <c r="N87" s="704">
        <f t="shared" si="59"/>
        <v>71</v>
      </c>
      <c r="R87" s="414"/>
      <c r="T87" s="426" t="s">
        <v>32</v>
      </c>
      <c r="U87" s="426">
        <f>Tableau6365[[#This Row],[villages]]</f>
        <v>4</v>
      </c>
      <c r="X87" s="1076" t="s">
        <v>32</v>
      </c>
      <c r="Y87" s="1049">
        <f t="shared" si="60"/>
        <v>0</v>
      </c>
      <c r="Z87" s="1049">
        <f t="shared" si="61"/>
        <v>0</v>
      </c>
      <c r="AA87" s="1049">
        <f t="shared" si="62"/>
        <v>0</v>
      </c>
      <c r="AB87" s="1049">
        <f t="shared" si="63"/>
        <v>0</v>
      </c>
      <c r="AC87" s="1049">
        <f t="shared" si="64"/>
        <v>71</v>
      </c>
      <c r="AD87" s="1049">
        <f t="shared" si="65"/>
        <v>0</v>
      </c>
      <c r="AE87" s="753">
        <f t="shared" si="66"/>
        <v>71</v>
      </c>
      <c r="AF87" s="422"/>
      <c r="AG87" s="429"/>
      <c r="AH87" s="429"/>
      <c r="AI87" s="429"/>
      <c r="AJ87" s="429"/>
      <c r="AK87" s="429"/>
      <c r="AL87" s="429"/>
    </row>
    <row r="88" spans="2:57" x14ac:dyDescent="0.3">
      <c r="B88" s="419"/>
      <c r="C88" s="426" t="s">
        <v>33</v>
      </c>
      <c r="D88" s="426">
        <f>COUNTIFS(sommaire[Département_nom],Tableau6365[[#This Row],[Départements]], sommaire[présence Réfugié hors camp], "oui")</f>
        <v>12</v>
      </c>
      <c r="E88" s="426"/>
      <c r="G88" s="1077" t="s">
        <v>33</v>
      </c>
      <c r="H88" s="1078">
        <f>SUMIFS(sommaire[REF_abris spontané],sommaire[Département_nom],Settlement!$G88)</f>
        <v>29</v>
      </c>
      <c r="I88" s="1078">
        <f>SUMIFS(sommaire[REF_en location],sommaire[Département_nom],Settlement!$G88)</f>
        <v>2</v>
      </c>
      <c r="J88" s="1078">
        <f>SUMIFS(sommaire[REF_centre collectif],sommaire[Département_nom],Settlement!$G88)</f>
        <v>0</v>
      </c>
      <c r="K88" s="1078">
        <f>SUMIFS(sommaire[REF_air libre],sommaire[Département_nom],Settlement!$G88)</f>
        <v>0</v>
      </c>
      <c r="L88" s="1078">
        <f>SUMIFS(sommaire[REF_famille d''accueil (à titre gratuit)],sommaire[Département_nom],Settlement!$G88)</f>
        <v>20</v>
      </c>
      <c r="M88" s="1078">
        <f>SUMIFS(sommaire[REF_famille d''accueil (contre travaux domestiques ou des champs)],sommaire[Département_nom],Settlement!$G88)</f>
        <v>50</v>
      </c>
      <c r="N88" s="705">
        <f t="shared" si="59"/>
        <v>101</v>
      </c>
      <c r="R88" s="414"/>
      <c r="T88" s="426" t="s">
        <v>33</v>
      </c>
      <c r="U88" s="426">
        <f>Tableau6365[[#This Row],[villages]]</f>
        <v>12</v>
      </c>
      <c r="X88" s="1077" t="s">
        <v>33</v>
      </c>
      <c r="Y88" s="1079">
        <f t="shared" si="60"/>
        <v>29</v>
      </c>
      <c r="Z88" s="1079">
        <f t="shared" si="61"/>
        <v>2</v>
      </c>
      <c r="AA88" s="1079">
        <f t="shared" si="62"/>
        <v>0</v>
      </c>
      <c r="AB88" s="1079">
        <f t="shared" si="63"/>
        <v>0</v>
      </c>
      <c r="AC88" s="1079">
        <f t="shared" si="64"/>
        <v>20</v>
      </c>
      <c r="AD88" s="1079">
        <f t="shared" si="65"/>
        <v>50</v>
      </c>
      <c r="AE88" s="754">
        <f t="shared" si="66"/>
        <v>101</v>
      </c>
      <c r="AF88" s="422"/>
      <c r="AG88" s="429"/>
      <c r="AH88" s="429"/>
      <c r="AI88" s="429"/>
      <c r="AJ88" s="429"/>
      <c r="AK88" s="429"/>
      <c r="AL88" s="429"/>
      <c r="AZ88" s="448"/>
      <c r="BA88" s="448"/>
      <c r="BB88" s="448"/>
      <c r="BC88" s="448"/>
      <c r="BD88" s="448"/>
      <c r="BE88" s="448"/>
    </row>
    <row r="89" spans="2:57" x14ac:dyDescent="0.3">
      <c r="B89" s="419"/>
      <c r="C89" s="430" t="s">
        <v>34</v>
      </c>
      <c r="D89" s="426">
        <f>COUNTIFS(sommaire[Département_nom],Tableau6365[[#This Row],[Départements]], sommaire[présence Réfugié hors camp], "oui")</f>
        <v>22</v>
      </c>
      <c r="E89" s="426"/>
      <c r="G89" s="1076" t="s">
        <v>34</v>
      </c>
      <c r="H89" s="1048">
        <f>SUMIFS(sommaire[REF_abris spontané],sommaire[Département_nom],Settlement!$G89)</f>
        <v>1270</v>
      </c>
      <c r="I89" s="1048">
        <f>SUMIFS(sommaire[REF_en location],sommaire[Département_nom],Settlement!$G89)</f>
        <v>8</v>
      </c>
      <c r="J89" s="1048">
        <f>SUMIFS(sommaire[REF_centre collectif],sommaire[Département_nom],Settlement!$G89)</f>
        <v>0</v>
      </c>
      <c r="K89" s="1048">
        <f>SUMIFS(sommaire[REF_air libre],sommaire[Département_nom],Settlement!$G89)</f>
        <v>0</v>
      </c>
      <c r="L89" s="1048">
        <f>SUMIFS(sommaire[REF_famille d''accueil (à titre gratuit)],sommaire[Département_nom],Settlement!$G89)</f>
        <v>45</v>
      </c>
      <c r="M89" s="1048">
        <f>SUMIFS(sommaire[REF_famille d''accueil (contre travaux domestiques ou des champs)],sommaire[Département_nom],Settlement!$G89)</f>
        <v>0</v>
      </c>
      <c r="N89" s="704">
        <f t="shared" si="59"/>
        <v>1323</v>
      </c>
      <c r="R89" s="414"/>
      <c r="T89" s="430" t="s">
        <v>34</v>
      </c>
      <c r="U89" s="426">
        <f>Tableau6365[[#This Row],[villages]]</f>
        <v>22</v>
      </c>
      <c r="X89" s="1076" t="s">
        <v>34</v>
      </c>
      <c r="Y89" s="1049">
        <f t="shared" si="60"/>
        <v>1270</v>
      </c>
      <c r="Z89" s="1049">
        <f t="shared" si="61"/>
        <v>8</v>
      </c>
      <c r="AA89" s="1049">
        <f t="shared" si="62"/>
        <v>0</v>
      </c>
      <c r="AB89" s="1049">
        <f t="shared" si="63"/>
        <v>0</v>
      </c>
      <c r="AC89" s="1049">
        <f t="shared" si="64"/>
        <v>45</v>
      </c>
      <c r="AD89" s="1049">
        <f t="shared" si="65"/>
        <v>0</v>
      </c>
      <c r="AE89" s="753">
        <f t="shared" si="66"/>
        <v>1323</v>
      </c>
      <c r="AF89" s="422"/>
      <c r="AG89" s="429"/>
      <c r="AH89" s="429"/>
      <c r="AI89" s="429"/>
      <c r="AJ89" s="429"/>
      <c r="AK89" s="429"/>
      <c r="AL89" s="429"/>
      <c r="AZ89" s="448"/>
      <c r="BA89" s="448"/>
      <c r="BB89" s="448"/>
      <c r="BC89" s="448"/>
      <c r="BD89" s="448"/>
    </row>
    <row r="90" spans="2:57" x14ac:dyDescent="0.3">
      <c r="B90" s="419"/>
      <c r="C90" s="430" t="s">
        <v>35</v>
      </c>
      <c r="D90" s="426">
        <f>COUNTIFS(sommaire[Département_nom],Tableau6365[[#This Row],[Départements]], sommaire[présence Réfugié hors camp], "oui")</f>
        <v>45</v>
      </c>
      <c r="E90" s="426"/>
      <c r="G90" s="1077" t="s">
        <v>35</v>
      </c>
      <c r="H90" s="1078">
        <f>SUMIFS(sommaire[REF_abris spontané],sommaire[Département_nom],Settlement!$G90)</f>
        <v>170</v>
      </c>
      <c r="I90" s="1078">
        <f>SUMIFS(sommaire[REF_en location],sommaire[Département_nom],Settlement!$G90)</f>
        <v>247</v>
      </c>
      <c r="J90" s="1078">
        <f>SUMIFS(sommaire[REF_centre collectif],sommaire[Département_nom],Settlement!$G90)</f>
        <v>0</v>
      </c>
      <c r="K90" s="1078">
        <f>SUMIFS(sommaire[REF_air libre],sommaire[Département_nom],Settlement!$G90)</f>
        <v>5</v>
      </c>
      <c r="L90" s="1078">
        <f>SUMIFS(sommaire[REF_famille d''accueil (à titre gratuit)],sommaire[Département_nom],Settlement!$G90)</f>
        <v>968</v>
      </c>
      <c r="M90" s="1078">
        <f>SUMIFS(sommaire[REF_famille d''accueil (contre travaux domestiques ou des champs)],sommaire[Département_nom],Settlement!$G90)</f>
        <v>196</v>
      </c>
      <c r="N90" s="705">
        <f t="shared" si="59"/>
        <v>1586</v>
      </c>
      <c r="R90" s="414"/>
      <c r="T90" s="430" t="s">
        <v>35</v>
      </c>
      <c r="U90" s="426">
        <f>Tableau6365[[#This Row],[villages]]</f>
        <v>45</v>
      </c>
      <c r="X90" s="1077" t="s">
        <v>35</v>
      </c>
      <c r="Y90" s="1079">
        <f t="shared" si="60"/>
        <v>170</v>
      </c>
      <c r="Z90" s="1079">
        <f t="shared" si="61"/>
        <v>247</v>
      </c>
      <c r="AA90" s="1079">
        <f t="shared" si="62"/>
        <v>0</v>
      </c>
      <c r="AB90" s="1079">
        <f t="shared" si="63"/>
        <v>5</v>
      </c>
      <c r="AC90" s="1079">
        <f t="shared" si="64"/>
        <v>968</v>
      </c>
      <c r="AD90" s="1079">
        <f t="shared" si="65"/>
        <v>196</v>
      </c>
      <c r="AE90" s="754">
        <f t="shared" si="66"/>
        <v>1586</v>
      </c>
      <c r="AF90" s="422"/>
      <c r="AG90" s="429"/>
      <c r="AH90" s="429"/>
      <c r="AI90" s="429"/>
      <c r="AJ90" s="429"/>
      <c r="AK90" s="429"/>
      <c r="AL90" s="429"/>
      <c r="AZ90" s="448"/>
      <c r="BA90" s="448"/>
      <c r="BB90" s="448"/>
      <c r="BC90" s="448"/>
      <c r="BD90" s="448"/>
    </row>
    <row r="91" spans="2:57" x14ac:dyDescent="0.3">
      <c r="B91" s="419"/>
      <c r="C91" s="475"/>
      <c r="D91" s="475">
        <f>SUM(D85:D90)</f>
        <v>275</v>
      </c>
      <c r="E91" s="423"/>
      <c r="G91" s="697"/>
      <c r="H91" s="698">
        <f>SUM(H85:H90)</f>
        <v>3645</v>
      </c>
      <c r="I91" s="698">
        <f t="shared" ref="I91:N91" si="67">SUM(I85:I90)</f>
        <v>481</v>
      </c>
      <c r="J91" s="698">
        <f t="shared" si="67"/>
        <v>0</v>
      </c>
      <c r="K91" s="698">
        <f t="shared" si="67"/>
        <v>20</v>
      </c>
      <c r="L91" s="698">
        <f t="shared" si="67"/>
        <v>3918</v>
      </c>
      <c r="M91" s="698">
        <f t="shared" si="67"/>
        <v>374</v>
      </c>
      <c r="N91" s="698">
        <f t="shared" si="67"/>
        <v>8438</v>
      </c>
      <c r="R91" s="414"/>
      <c r="T91" s="423"/>
      <c r="U91" s="423">
        <f>SUM(U85:U90)</f>
        <v>275</v>
      </c>
      <c r="X91" s="751"/>
      <c r="Y91" s="752">
        <f>SUM(Y85:Y90)</f>
        <v>3645</v>
      </c>
      <c r="Z91" s="752">
        <f t="shared" ref="Z91:AE91" si="68">SUM(Z85:Z90)</f>
        <v>481</v>
      </c>
      <c r="AA91" s="752">
        <f t="shared" si="68"/>
        <v>0</v>
      </c>
      <c r="AB91" s="752">
        <f t="shared" si="68"/>
        <v>20</v>
      </c>
      <c r="AC91" s="752">
        <f t="shared" si="68"/>
        <v>3918</v>
      </c>
      <c r="AD91" s="752">
        <f t="shared" si="68"/>
        <v>374</v>
      </c>
      <c r="AE91" s="752">
        <f t="shared" si="68"/>
        <v>8438</v>
      </c>
      <c r="AF91" s="422"/>
      <c r="AZ91" s="448"/>
      <c r="BA91" s="448"/>
      <c r="BB91" s="448"/>
      <c r="BC91" s="448"/>
      <c r="BD91" s="448"/>
    </row>
    <row r="92" spans="2:57" x14ac:dyDescent="0.3">
      <c r="B92" s="419"/>
      <c r="C92" s="433"/>
      <c r="H92" s="429">
        <f t="shared" ref="H92:M92" si="69">H91/$N$91</f>
        <v>0.43197440151694716</v>
      </c>
      <c r="I92" s="429">
        <f t="shared" si="69"/>
        <v>5.7004029390850912E-2</v>
      </c>
      <c r="J92" s="429">
        <f t="shared" si="69"/>
        <v>0</v>
      </c>
      <c r="K92" s="429">
        <f t="shared" si="69"/>
        <v>2.3702299123014932E-3</v>
      </c>
      <c r="L92" s="429">
        <f t="shared" si="69"/>
        <v>0.46432803981986254</v>
      </c>
      <c r="M92" s="429">
        <f t="shared" si="69"/>
        <v>4.4323299360037927E-2</v>
      </c>
      <c r="N92" s="696">
        <f>SUM(H92:M92)</f>
        <v>1</v>
      </c>
      <c r="R92" s="414"/>
      <c r="Y92" s="429">
        <f t="shared" ref="Y92:AE92" si="70">H92</f>
        <v>0.43197440151694716</v>
      </c>
      <c r="Z92" s="429">
        <f t="shared" si="70"/>
        <v>5.7004029390850912E-2</v>
      </c>
      <c r="AA92" s="429">
        <f t="shared" si="70"/>
        <v>0</v>
      </c>
      <c r="AB92" s="429">
        <f t="shared" si="70"/>
        <v>2.3702299123014932E-3</v>
      </c>
      <c r="AC92" s="429">
        <f t="shared" si="70"/>
        <v>0.46432803981986254</v>
      </c>
      <c r="AD92" s="429">
        <f t="shared" si="70"/>
        <v>4.4323299360037927E-2</v>
      </c>
      <c r="AE92" s="749">
        <f t="shared" si="70"/>
        <v>1</v>
      </c>
      <c r="AF92" s="422"/>
      <c r="AZ92" s="448"/>
      <c r="BA92" s="448"/>
      <c r="BB92" s="448"/>
      <c r="BC92" s="448"/>
      <c r="BD92" s="448"/>
    </row>
    <row r="93" spans="2:57" x14ac:dyDescent="0.3">
      <c r="B93" s="419"/>
      <c r="C93" s="433"/>
      <c r="H93" s="429"/>
      <c r="I93" s="429"/>
      <c r="J93" s="429"/>
      <c r="K93" s="429"/>
      <c r="L93" s="429"/>
      <c r="M93" s="432"/>
      <c r="R93" s="414"/>
      <c r="AF93" s="422"/>
      <c r="AZ93" s="448"/>
      <c r="BA93" s="448"/>
      <c r="BB93" s="448"/>
      <c r="BC93" s="448"/>
      <c r="BD93" s="448"/>
    </row>
    <row r="94" spans="2:57" x14ac:dyDescent="0.3">
      <c r="B94" s="419"/>
      <c r="C94" s="433"/>
      <c r="H94" s="429"/>
      <c r="I94" s="429"/>
      <c r="J94" s="429"/>
      <c r="K94" s="429"/>
      <c r="L94" s="429"/>
      <c r="M94" s="432"/>
      <c r="R94" s="414"/>
      <c r="AF94" s="422"/>
      <c r="AZ94" s="448"/>
      <c r="BA94" s="448"/>
      <c r="BB94" s="448"/>
      <c r="BC94" s="448"/>
      <c r="BD94" s="448"/>
    </row>
    <row r="95" spans="2:57" x14ac:dyDescent="0.3">
      <c r="B95" s="419"/>
      <c r="C95" s="433"/>
      <c r="G95" s="420" t="s">
        <v>348</v>
      </c>
      <c r="H95" s="420"/>
      <c r="I95" s="420"/>
      <c r="J95" s="420"/>
      <c r="K95" s="420"/>
      <c r="R95" s="414"/>
      <c r="X95" s="420" t="s">
        <v>349</v>
      </c>
      <c r="AF95" s="422"/>
      <c r="AZ95" s="448"/>
      <c r="BA95" s="448"/>
      <c r="BB95" s="448"/>
      <c r="BC95" s="448"/>
      <c r="BD95" s="448"/>
    </row>
    <row r="96" spans="2:57" x14ac:dyDescent="0.3">
      <c r="B96" s="419"/>
      <c r="C96" s="433"/>
      <c r="R96" s="414"/>
      <c r="AF96" s="422"/>
      <c r="AZ96" s="448"/>
      <c r="BA96" s="448"/>
      <c r="BB96" s="448"/>
      <c r="BC96" s="448"/>
      <c r="BD96" s="448"/>
    </row>
    <row r="97" spans="2:56" ht="53.55" customHeight="1" x14ac:dyDescent="0.3">
      <c r="B97" s="419"/>
      <c r="C97" s="433"/>
      <c r="G97" s="702" t="s">
        <v>48</v>
      </c>
      <c r="H97" s="703" t="s">
        <v>347</v>
      </c>
      <c r="I97" s="703" t="s">
        <v>312</v>
      </c>
      <c r="J97" s="703" t="s">
        <v>336</v>
      </c>
      <c r="K97" s="703" t="s">
        <v>337</v>
      </c>
      <c r="L97" s="703" t="s">
        <v>315</v>
      </c>
      <c r="M97" s="703" t="s">
        <v>316</v>
      </c>
      <c r="N97" s="703" t="s">
        <v>25</v>
      </c>
      <c r="R97" s="414"/>
      <c r="X97" s="751" t="s">
        <v>51</v>
      </c>
      <c r="Y97" s="703" t="s">
        <v>339</v>
      </c>
      <c r="Z97" s="703" t="s">
        <v>320</v>
      </c>
      <c r="AA97" s="703" t="s">
        <v>321</v>
      </c>
      <c r="AB97" s="703" t="s">
        <v>322</v>
      </c>
      <c r="AC97" s="703" t="s">
        <v>323</v>
      </c>
      <c r="AD97" s="703" t="s">
        <v>324</v>
      </c>
      <c r="AE97" s="703" t="s">
        <v>25</v>
      </c>
      <c r="AF97" s="422"/>
      <c r="AZ97" s="448"/>
      <c r="BA97" s="448"/>
      <c r="BB97" s="448"/>
      <c r="BC97" s="448"/>
      <c r="BD97" s="448"/>
    </row>
    <row r="98" spans="2:56" x14ac:dyDescent="0.3">
      <c r="B98" s="419"/>
      <c r="C98" s="433"/>
      <c r="G98" s="1076" t="s">
        <v>30</v>
      </c>
      <c r="H98" s="1066">
        <f t="shared" ref="H98:M98" si="71">H85/$N$85</f>
        <v>0.88095238095238093</v>
      </c>
      <c r="I98" s="1066">
        <f t="shared" si="71"/>
        <v>0</v>
      </c>
      <c r="J98" s="1066">
        <f t="shared" si="71"/>
        <v>0</v>
      </c>
      <c r="K98" s="1066">
        <f t="shared" si="71"/>
        <v>0</v>
      </c>
      <c r="L98" s="1066">
        <f t="shared" si="71"/>
        <v>0.11904761904761904</v>
      </c>
      <c r="M98" s="699">
        <f t="shared" si="71"/>
        <v>0</v>
      </c>
      <c r="N98" s="706">
        <f>SUM(H98:M98)</f>
        <v>1</v>
      </c>
      <c r="R98" s="414"/>
      <c r="X98" s="1076" t="s">
        <v>30</v>
      </c>
      <c r="Y98" s="1066">
        <f t="shared" ref="Y98:Y103" si="72">H98</f>
        <v>0.88095238095238093</v>
      </c>
      <c r="Z98" s="1066">
        <f t="shared" ref="Z98:Z103" si="73">I98</f>
        <v>0</v>
      </c>
      <c r="AA98" s="1066">
        <f t="shared" ref="AA98:AA103" si="74">J98</f>
        <v>0</v>
      </c>
      <c r="AB98" s="1066">
        <f t="shared" ref="AB98:AB103" si="75">K98</f>
        <v>0</v>
      </c>
      <c r="AC98" s="1066">
        <f t="shared" ref="AC98:AC103" si="76">L98</f>
        <v>0.11904761904761904</v>
      </c>
      <c r="AD98" s="1066">
        <f t="shared" ref="AD98:AD103" si="77">M98</f>
        <v>0</v>
      </c>
      <c r="AE98" s="721">
        <f t="shared" ref="AE98:AE103" si="78">SUM(Y98:AD98)</f>
        <v>1</v>
      </c>
      <c r="AF98" s="422"/>
      <c r="AZ98" s="448"/>
      <c r="BA98" s="448"/>
      <c r="BB98" s="448"/>
      <c r="BC98" s="448"/>
      <c r="BD98" s="448"/>
    </row>
    <row r="99" spans="2:56" x14ac:dyDescent="0.3">
      <c r="B99" s="419"/>
      <c r="C99" s="433"/>
      <c r="G99" s="1077" t="s">
        <v>31</v>
      </c>
      <c r="H99" s="1080">
        <f t="shared" ref="H99:M99" si="79">H86/$N$86</f>
        <v>0.40244590780809031</v>
      </c>
      <c r="I99" s="1080">
        <f t="shared" si="79"/>
        <v>4.2144873000940733E-2</v>
      </c>
      <c r="J99" s="1080">
        <f t="shared" si="79"/>
        <v>0</v>
      </c>
      <c r="K99" s="1080">
        <f t="shared" si="79"/>
        <v>2.8222013170272815E-3</v>
      </c>
      <c r="L99" s="1080">
        <f t="shared" si="79"/>
        <v>0.52850423330197549</v>
      </c>
      <c r="M99" s="700">
        <f t="shared" si="79"/>
        <v>2.4082784571966134E-2</v>
      </c>
      <c r="N99" s="707">
        <f t="shared" ref="N99:N104" si="80">SUM(H99:M99)</f>
        <v>0.99999999999999989</v>
      </c>
      <c r="R99" s="414"/>
      <c r="X99" s="1077" t="s">
        <v>31</v>
      </c>
      <c r="Y99" s="1080">
        <f t="shared" si="72"/>
        <v>0.40244590780809031</v>
      </c>
      <c r="Z99" s="1080">
        <f t="shared" si="73"/>
        <v>4.2144873000940733E-2</v>
      </c>
      <c r="AA99" s="1080">
        <f t="shared" si="74"/>
        <v>0</v>
      </c>
      <c r="AB99" s="1080">
        <f t="shared" si="75"/>
        <v>2.8222013170272815E-3</v>
      </c>
      <c r="AC99" s="1080">
        <f t="shared" si="76"/>
        <v>0.52850423330197549</v>
      </c>
      <c r="AD99" s="1080">
        <f t="shared" si="77"/>
        <v>2.4082784571966134E-2</v>
      </c>
      <c r="AE99" s="755">
        <f t="shared" si="78"/>
        <v>0.99999999999999989</v>
      </c>
      <c r="AF99" s="422"/>
      <c r="AZ99" s="448"/>
      <c r="BA99" s="448"/>
      <c r="BB99" s="448"/>
      <c r="BC99" s="448"/>
      <c r="BD99" s="448"/>
    </row>
    <row r="100" spans="2:56" x14ac:dyDescent="0.3">
      <c r="B100" s="419"/>
      <c r="C100" s="433"/>
      <c r="G100" s="1076" t="s">
        <v>32</v>
      </c>
      <c r="H100" s="1066">
        <f t="shared" ref="H100:M100" si="81">H87/$N$87</f>
        <v>0</v>
      </c>
      <c r="I100" s="1066">
        <f t="shared" si="81"/>
        <v>0</v>
      </c>
      <c r="J100" s="1066">
        <f t="shared" si="81"/>
        <v>0</v>
      </c>
      <c r="K100" s="1066">
        <f t="shared" si="81"/>
        <v>0</v>
      </c>
      <c r="L100" s="1066">
        <f t="shared" si="81"/>
        <v>1</v>
      </c>
      <c r="M100" s="1066">
        <f t="shared" si="81"/>
        <v>0</v>
      </c>
      <c r="N100" s="706">
        <f t="shared" si="80"/>
        <v>1</v>
      </c>
      <c r="R100" s="414"/>
      <c r="X100" s="1076" t="s">
        <v>32</v>
      </c>
      <c r="Y100" s="1066">
        <f t="shared" si="72"/>
        <v>0</v>
      </c>
      <c r="Z100" s="1066">
        <f t="shared" si="73"/>
        <v>0</v>
      </c>
      <c r="AA100" s="1066">
        <f t="shared" si="74"/>
        <v>0</v>
      </c>
      <c r="AB100" s="1066">
        <f t="shared" si="75"/>
        <v>0</v>
      </c>
      <c r="AC100" s="1066">
        <f t="shared" si="76"/>
        <v>1</v>
      </c>
      <c r="AD100" s="1066">
        <f t="shared" si="77"/>
        <v>0</v>
      </c>
      <c r="AE100" s="721">
        <f t="shared" si="78"/>
        <v>1</v>
      </c>
      <c r="AF100" s="422"/>
      <c r="AZ100" s="448"/>
      <c r="BA100" s="448"/>
      <c r="BB100" s="448"/>
      <c r="BC100" s="448"/>
      <c r="BD100" s="448"/>
    </row>
    <row r="101" spans="2:56" x14ac:dyDescent="0.3">
      <c r="B101" s="419"/>
      <c r="C101" s="433"/>
      <c r="G101" s="1077" t="s">
        <v>33</v>
      </c>
      <c r="H101" s="1080">
        <f t="shared" ref="H101:M101" si="82">H88/$N$88</f>
        <v>0.28712871287128711</v>
      </c>
      <c r="I101" s="1080">
        <f t="shared" si="82"/>
        <v>1.9801980198019802E-2</v>
      </c>
      <c r="J101" s="1080">
        <f t="shared" si="82"/>
        <v>0</v>
      </c>
      <c r="K101" s="1080">
        <f t="shared" si="82"/>
        <v>0</v>
      </c>
      <c r="L101" s="1080">
        <f t="shared" si="82"/>
        <v>0.19801980198019803</v>
      </c>
      <c r="M101" s="700">
        <f t="shared" si="82"/>
        <v>0.49504950495049505</v>
      </c>
      <c r="N101" s="707">
        <f t="shared" si="80"/>
        <v>1</v>
      </c>
      <c r="R101" s="414"/>
      <c r="X101" s="1077" t="s">
        <v>33</v>
      </c>
      <c r="Y101" s="1080">
        <f t="shared" si="72"/>
        <v>0.28712871287128711</v>
      </c>
      <c r="Z101" s="1080">
        <f t="shared" si="73"/>
        <v>1.9801980198019802E-2</v>
      </c>
      <c r="AA101" s="1080">
        <f t="shared" si="74"/>
        <v>0</v>
      </c>
      <c r="AB101" s="1080">
        <f t="shared" si="75"/>
        <v>0</v>
      </c>
      <c r="AC101" s="1080">
        <f t="shared" si="76"/>
        <v>0.19801980198019803</v>
      </c>
      <c r="AD101" s="1080">
        <f t="shared" si="77"/>
        <v>0.49504950495049505</v>
      </c>
      <c r="AE101" s="755">
        <f t="shared" si="78"/>
        <v>1</v>
      </c>
      <c r="AF101" s="422"/>
      <c r="AZ101" s="448"/>
      <c r="BA101" s="448"/>
      <c r="BB101" s="448"/>
      <c r="BC101" s="448"/>
      <c r="BD101" s="448"/>
    </row>
    <row r="102" spans="2:56" x14ac:dyDescent="0.3">
      <c r="B102" s="419"/>
      <c r="C102" s="433"/>
      <c r="G102" s="1076" t="s">
        <v>34</v>
      </c>
      <c r="H102" s="1066">
        <f t="shared" ref="H102:M102" si="83">H89/$N$89</f>
        <v>0.95993953136810284</v>
      </c>
      <c r="I102" s="1066">
        <f t="shared" si="83"/>
        <v>6.0468631897203327E-3</v>
      </c>
      <c r="J102" s="1066">
        <f t="shared" si="83"/>
        <v>0</v>
      </c>
      <c r="K102" s="1066">
        <f t="shared" si="83"/>
        <v>0</v>
      </c>
      <c r="L102" s="1066">
        <f t="shared" si="83"/>
        <v>3.4013605442176874E-2</v>
      </c>
      <c r="M102" s="699">
        <f t="shared" si="83"/>
        <v>0</v>
      </c>
      <c r="N102" s="706">
        <f t="shared" si="80"/>
        <v>1</v>
      </c>
      <c r="R102" s="414"/>
      <c r="X102" s="1076" t="s">
        <v>34</v>
      </c>
      <c r="Y102" s="1066">
        <f t="shared" si="72"/>
        <v>0.95993953136810284</v>
      </c>
      <c r="Z102" s="1066">
        <f t="shared" si="73"/>
        <v>6.0468631897203327E-3</v>
      </c>
      <c r="AA102" s="1066">
        <f t="shared" si="74"/>
        <v>0</v>
      </c>
      <c r="AB102" s="1066">
        <f t="shared" si="75"/>
        <v>0</v>
      </c>
      <c r="AC102" s="1066">
        <f t="shared" si="76"/>
        <v>3.4013605442176874E-2</v>
      </c>
      <c r="AD102" s="1066">
        <f t="shared" si="77"/>
        <v>0</v>
      </c>
      <c r="AE102" s="721">
        <f t="shared" si="78"/>
        <v>1</v>
      </c>
      <c r="AF102" s="422"/>
      <c r="AZ102" s="448"/>
      <c r="BA102" s="448"/>
      <c r="BB102" s="448"/>
      <c r="BC102" s="448"/>
      <c r="BD102" s="448"/>
    </row>
    <row r="103" spans="2:56" x14ac:dyDescent="0.3">
      <c r="B103" s="419"/>
      <c r="C103" s="433"/>
      <c r="G103" s="1077" t="s">
        <v>35</v>
      </c>
      <c r="H103" s="1080">
        <f t="shared" ref="H103:M103" si="84">H90/$N$90</f>
        <v>0.10718789407313997</v>
      </c>
      <c r="I103" s="1080">
        <f t="shared" si="84"/>
        <v>0.15573770491803279</v>
      </c>
      <c r="J103" s="1080">
        <f t="shared" si="84"/>
        <v>0</v>
      </c>
      <c r="K103" s="1080">
        <f t="shared" si="84"/>
        <v>3.1525851197982345E-3</v>
      </c>
      <c r="L103" s="1080">
        <f t="shared" si="84"/>
        <v>0.61034047919293821</v>
      </c>
      <c r="M103" s="700">
        <f t="shared" si="84"/>
        <v>0.1235813366960908</v>
      </c>
      <c r="N103" s="707">
        <f t="shared" si="80"/>
        <v>1</v>
      </c>
      <c r="R103" s="414"/>
      <c r="X103" s="1077" t="s">
        <v>35</v>
      </c>
      <c r="Y103" s="1080">
        <f t="shared" si="72"/>
        <v>0.10718789407313997</v>
      </c>
      <c r="Z103" s="1080">
        <f t="shared" si="73"/>
        <v>0.15573770491803279</v>
      </c>
      <c r="AA103" s="1080">
        <f t="shared" si="74"/>
        <v>0</v>
      </c>
      <c r="AB103" s="1080">
        <f t="shared" si="75"/>
        <v>3.1525851197982345E-3</v>
      </c>
      <c r="AC103" s="1080">
        <f t="shared" si="76"/>
        <v>0.61034047919293821</v>
      </c>
      <c r="AD103" s="1080">
        <f t="shared" si="77"/>
        <v>0.1235813366960908</v>
      </c>
      <c r="AE103" s="755">
        <f t="shared" si="78"/>
        <v>1</v>
      </c>
      <c r="AF103" s="422"/>
      <c r="AZ103" s="448"/>
      <c r="BA103" s="448"/>
      <c r="BB103" s="448"/>
      <c r="BC103" s="448"/>
      <c r="BD103" s="448"/>
    </row>
    <row r="104" spans="2:56" ht="15.6" x14ac:dyDescent="0.3">
      <c r="B104" s="419"/>
      <c r="C104" s="433"/>
      <c r="G104" s="1076" t="s">
        <v>342</v>
      </c>
      <c r="H104" s="434">
        <f t="shared" ref="H104:M104" si="85">H91/$N$91</f>
        <v>0.43197440151694716</v>
      </c>
      <c r="I104" s="434">
        <f t="shared" si="85"/>
        <v>5.7004029390850912E-2</v>
      </c>
      <c r="J104" s="434">
        <f t="shared" si="85"/>
        <v>0</v>
      </c>
      <c r="K104" s="434">
        <f t="shared" si="85"/>
        <v>2.3702299123014932E-3</v>
      </c>
      <c r="L104" s="434">
        <f t="shared" si="85"/>
        <v>0.46432803981986254</v>
      </c>
      <c r="M104" s="701">
        <f t="shared" si="85"/>
        <v>4.4323299360037927E-2</v>
      </c>
      <c r="N104" s="708">
        <f t="shared" si="80"/>
        <v>1</v>
      </c>
      <c r="R104" s="414"/>
      <c r="AE104" s="449"/>
      <c r="AF104" s="422"/>
      <c r="AZ104" s="448"/>
      <c r="BA104" s="448"/>
      <c r="BB104" s="448"/>
      <c r="BC104" s="448"/>
      <c r="BD104" s="448"/>
    </row>
    <row r="105" spans="2:56" x14ac:dyDescent="0.3">
      <c r="B105" s="419"/>
      <c r="C105" s="433"/>
      <c r="H105" s="429"/>
      <c r="I105" s="429"/>
      <c r="J105" s="429"/>
      <c r="K105" s="429"/>
      <c r="L105" s="429"/>
      <c r="M105" s="432"/>
      <c r="R105" s="414"/>
      <c r="AF105" s="422"/>
      <c r="AZ105" s="448"/>
      <c r="BA105" s="448"/>
      <c r="BB105" s="448"/>
      <c r="BC105" s="448"/>
      <c r="BD105" s="448"/>
    </row>
    <row r="106" spans="2:56" x14ac:dyDescent="0.3">
      <c r="B106" s="419"/>
      <c r="C106" s="433"/>
      <c r="R106" s="414"/>
      <c r="AF106" s="422"/>
      <c r="AZ106" s="448"/>
      <c r="BA106" s="448"/>
      <c r="BB106" s="448"/>
      <c r="BC106" s="448"/>
      <c r="BD106" s="448"/>
    </row>
    <row r="107" spans="2:56" x14ac:dyDescent="0.3">
      <c r="B107" s="419"/>
      <c r="C107" s="433"/>
      <c r="R107" s="414"/>
      <c r="AF107" s="422"/>
      <c r="AZ107" s="448"/>
      <c r="BA107" s="448"/>
      <c r="BB107" s="448"/>
      <c r="BC107" s="448"/>
      <c r="BD107" s="448"/>
    </row>
    <row r="108" spans="2:56" x14ac:dyDescent="0.3">
      <c r="B108" s="419"/>
      <c r="C108" s="433"/>
      <c r="R108" s="414"/>
      <c r="AF108" s="422"/>
      <c r="AZ108" s="448"/>
      <c r="BA108" s="448"/>
      <c r="BB108" s="448"/>
      <c r="BC108" s="448"/>
      <c r="BD108" s="448"/>
    </row>
    <row r="109" spans="2:56" x14ac:dyDescent="0.3">
      <c r="B109" s="419"/>
      <c r="C109" s="433"/>
      <c r="R109" s="414"/>
      <c r="AF109" s="422"/>
      <c r="AZ109" s="448"/>
      <c r="BA109" s="448"/>
      <c r="BB109" s="448"/>
      <c r="BC109" s="448"/>
      <c r="BD109" s="448"/>
    </row>
    <row r="110" spans="2:56" x14ac:dyDescent="0.3">
      <c r="B110" s="419"/>
      <c r="C110" s="433"/>
      <c r="R110" s="414"/>
      <c r="AF110" s="422"/>
      <c r="AZ110" s="448"/>
      <c r="BA110" s="448"/>
      <c r="BB110" s="448"/>
      <c r="BC110" s="448"/>
      <c r="BD110" s="448"/>
    </row>
    <row r="111" spans="2:56" x14ac:dyDescent="0.3">
      <c r="B111" s="419"/>
      <c r="C111" s="433"/>
      <c r="R111" s="414"/>
      <c r="AF111" s="422"/>
    </row>
    <row r="112" spans="2:56" x14ac:dyDescent="0.3">
      <c r="B112" s="419"/>
      <c r="C112" s="441"/>
      <c r="D112" s="439"/>
      <c r="E112" s="439"/>
      <c r="R112" s="414"/>
      <c r="AF112" s="422"/>
    </row>
    <row r="113" spans="2:56" x14ac:dyDescent="0.3">
      <c r="B113" s="419"/>
      <c r="R113" s="414"/>
      <c r="AF113" s="422"/>
    </row>
    <row r="114" spans="2:56" x14ac:dyDescent="0.3">
      <c r="B114" s="419"/>
      <c r="R114" s="414"/>
      <c r="AF114" s="422"/>
      <c r="AZ114" s="431"/>
      <c r="BA114" s="431"/>
      <c r="BB114" s="431"/>
      <c r="BC114" s="431"/>
      <c r="BD114" s="431"/>
    </row>
    <row r="115" spans="2:56" x14ac:dyDescent="0.3">
      <c r="B115" s="419"/>
      <c r="C115" s="436"/>
      <c r="D115" s="437"/>
      <c r="E115" s="437"/>
      <c r="R115" s="414"/>
      <c r="AF115" s="422"/>
      <c r="AZ115" s="431"/>
      <c r="BA115" s="431"/>
      <c r="BB115" s="431"/>
      <c r="BC115" s="431"/>
      <c r="BD115" s="431"/>
    </row>
    <row r="116" spans="2:56" x14ac:dyDescent="0.3">
      <c r="B116" s="419"/>
      <c r="C116" s="436"/>
      <c r="D116" s="436"/>
      <c r="E116" s="436"/>
      <c r="R116" s="414"/>
      <c r="AF116" s="422"/>
      <c r="AZ116" s="431"/>
      <c r="BA116" s="431"/>
      <c r="BB116" s="431"/>
      <c r="BC116" s="431"/>
      <c r="BD116" s="431"/>
    </row>
    <row r="117" spans="2:56" x14ac:dyDescent="0.3">
      <c r="B117" s="419"/>
      <c r="C117" s="436"/>
      <c r="D117" s="437"/>
      <c r="E117" s="437"/>
      <c r="R117" s="414"/>
      <c r="AF117" s="422"/>
      <c r="AZ117" s="431"/>
      <c r="BA117" s="431"/>
      <c r="BB117" s="431"/>
      <c r="BC117" s="431"/>
      <c r="BD117" s="431"/>
    </row>
    <row r="118" spans="2:56" x14ac:dyDescent="0.3">
      <c r="B118" s="419"/>
      <c r="R118" s="414"/>
      <c r="AF118" s="422"/>
      <c r="AZ118" s="431"/>
      <c r="BA118" s="431"/>
      <c r="BB118" s="431"/>
      <c r="BC118" s="431"/>
      <c r="BD118" s="431"/>
    </row>
    <row r="119" spans="2:56" x14ac:dyDescent="0.3">
      <c r="B119" s="419"/>
      <c r="C119" s="439"/>
      <c r="D119" s="439"/>
      <c r="E119" s="439"/>
      <c r="R119" s="414"/>
      <c r="AF119" s="422"/>
      <c r="AZ119" s="431"/>
      <c r="BA119" s="431"/>
      <c r="BB119" s="431"/>
      <c r="BC119" s="431"/>
      <c r="BD119" s="431"/>
    </row>
    <row r="120" spans="2:56" x14ac:dyDescent="0.3">
      <c r="B120" s="419"/>
      <c r="C120" s="433"/>
      <c r="R120" s="414"/>
      <c r="AF120" s="422"/>
    </row>
    <row r="121" spans="2:56" x14ac:dyDescent="0.3">
      <c r="B121" s="419"/>
      <c r="C121" s="433"/>
      <c r="R121" s="414"/>
      <c r="AF121" s="422"/>
    </row>
    <row r="122" spans="2:56" ht="51.75" customHeight="1" x14ac:dyDescent="0.3">
      <c r="B122" s="419"/>
      <c r="C122" s="433"/>
      <c r="R122" s="414"/>
      <c r="AF122" s="422"/>
    </row>
    <row r="123" spans="2:56" ht="15" thickBot="1" x14ac:dyDescent="0.35">
      <c r="B123" s="443"/>
      <c r="C123" s="444"/>
      <c r="D123" s="444"/>
      <c r="E123" s="444"/>
      <c r="F123" s="444"/>
      <c r="G123" s="444"/>
      <c r="H123" s="444"/>
      <c r="I123" s="444"/>
      <c r="J123" s="444"/>
      <c r="K123" s="444"/>
      <c r="L123" s="444"/>
      <c r="M123" s="444"/>
      <c r="N123" s="444"/>
      <c r="O123" s="444"/>
      <c r="P123" s="444"/>
      <c r="Q123" s="444"/>
      <c r="R123" s="445"/>
      <c r="S123" s="444"/>
      <c r="T123" s="444"/>
      <c r="U123" s="444"/>
      <c r="V123" s="444"/>
      <c r="W123" s="444"/>
      <c r="X123" s="444"/>
      <c r="Y123" s="444"/>
      <c r="Z123" s="444"/>
      <c r="AA123" s="444"/>
      <c r="AB123" s="444"/>
      <c r="AC123" s="444"/>
      <c r="AD123" s="444"/>
      <c r="AE123" s="444"/>
      <c r="AF123" s="446"/>
    </row>
    <row r="124" spans="2:56" ht="15" thickBot="1" x14ac:dyDescent="0.35">
      <c r="R124" s="414"/>
    </row>
    <row r="125" spans="2:56" x14ac:dyDescent="0.3">
      <c r="B125" s="415"/>
      <c r="C125" s="416"/>
      <c r="D125" s="416"/>
      <c r="E125" s="416"/>
      <c r="F125" s="416"/>
      <c r="G125" s="416"/>
      <c r="H125" s="416"/>
      <c r="I125" s="416"/>
      <c r="J125" s="416"/>
      <c r="K125" s="416"/>
      <c r="L125" s="416"/>
      <c r="M125" s="416"/>
      <c r="N125" s="416"/>
      <c r="O125" s="416"/>
      <c r="P125" s="416"/>
      <c r="Q125" s="416"/>
      <c r="R125" s="417"/>
      <c r="S125" s="416"/>
      <c r="T125" s="416"/>
      <c r="U125" s="416"/>
      <c r="V125" s="416"/>
      <c r="W125" s="416"/>
      <c r="X125" s="416"/>
      <c r="Y125" s="416"/>
      <c r="Z125" s="416"/>
      <c r="AA125" s="416"/>
      <c r="AB125" s="416"/>
      <c r="AC125" s="416"/>
      <c r="AD125" s="416"/>
      <c r="AE125" s="416"/>
      <c r="AF125" s="416"/>
      <c r="AG125" s="416"/>
      <c r="AH125" s="416"/>
    </row>
    <row r="126" spans="2:56" x14ac:dyDescent="0.3">
      <c r="B126" s="419"/>
      <c r="C126" s="420" t="s">
        <v>350</v>
      </c>
      <c r="G126" s="570" t="s">
        <v>351</v>
      </c>
      <c r="R126" s="414"/>
      <c r="T126" s="420" t="s">
        <v>352</v>
      </c>
      <c r="X126" s="420" t="s">
        <v>353</v>
      </c>
    </row>
    <row r="127" spans="2:56" x14ac:dyDescent="0.3">
      <c r="B127" s="419"/>
      <c r="R127" s="414"/>
    </row>
    <row r="128" spans="2:56" s="714" customFormat="1" ht="53.55" customHeight="1" x14ac:dyDescent="0.3">
      <c r="B128" s="712"/>
      <c r="C128" s="713" t="s">
        <v>48</v>
      </c>
      <c r="D128" s="713" t="s">
        <v>333</v>
      </c>
      <c r="E128" s="713"/>
      <c r="G128" s="715" t="s">
        <v>48</v>
      </c>
      <c r="H128" s="709" t="s">
        <v>347</v>
      </c>
      <c r="I128" s="709" t="s">
        <v>312</v>
      </c>
      <c r="J128" s="709" t="s">
        <v>336</v>
      </c>
      <c r="K128" s="709" t="s">
        <v>314</v>
      </c>
      <c r="L128" s="709" t="s">
        <v>315</v>
      </c>
      <c r="M128" s="709" t="s">
        <v>316</v>
      </c>
      <c r="N128" s="709" t="s">
        <v>354</v>
      </c>
      <c r="O128" s="709" t="s">
        <v>317</v>
      </c>
      <c r="P128" s="709" t="s">
        <v>25</v>
      </c>
      <c r="Q128" s="716"/>
      <c r="R128" s="717"/>
      <c r="T128" s="713" t="s">
        <v>51</v>
      </c>
      <c r="U128" s="713" t="s">
        <v>333</v>
      </c>
      <c r="X128" s="756" t="s">
        <v>51</v>
      </c>
      <c r="Y128" s="709" t="s">
        <v>339</v>
      </c>
      <c r="Z128" s="709" t="s">
        <v>320</v>
      </c>
      <c r="AA128" s="709" t="s">
        <v>321</v>
      </c>
      <c r="AB128" s="709" t="s">
        <v>322</v>
      </c>
      <c r="AC128" s="709" t="s">
        <v>323</v>
      </c>
      <c r="AD128" s="709" t="s">
        <v>324</v>
      </c>
      <c r="AE128" s="709" t="s">
        <v>355</v>
      </c>
      <c r="AF128" s="709" t="s">
        <v>325</v>
      </c>
      <c r="AG128" s="709" t="s">
        <v>25</v>
      </c>
      <c r="AJ128" s="718"/>
      <c r="AK128" s="718"/>
      <c r="AL128" s="718"/>
      <c r="AM128" s="718"/>
      <c r="AP128" s="718"/>
    </row>
    <row r="129" spans="2:42" x14ac:dyDescent="0.3">
      <c r="B129" s="419"/>
      <c r="C129" s="426" t="s">
        <v>30</v>
      </c>
      <c r="D129" s="426">
        <f>COUNTIFS(sommaire[Département_nom],Tableau63[[#This Row],[Départements]], sommaire[présence personnes retournées],"oui")</f>
        <v>10</v>
      </c>
      <c r="E129" s="426"/>
      <c r="G129" s="1076" t="s">
        <v>30</v>
      </c>
      <c r="H129" s="1048">
        <f>SUMIFS(sommaire[RET_abris spontané],sommaire[Département_nom],Settlement!$G129)</f>
        <v>0</v>
      </c>
      <c r="I129" s="1048">
        <f>SUMIFS(sommaire[RET_en location],sommaire[Département_nom],Settlement!$G129)</f>
        <v>0</v>
      </c>
      <c r="J129" s="1048">
        <f>SUMIFS(sommaire[RET_centre collectif],sommaire[Département_nom],Settlement!$G129)</f>
        <v>0</v>
      </c>
      <c r="K129" s="1048">
        <f>SUMIFS(sommaire[RET_air libre],sommaire[Département_nom],Settlement!$G129)</f>
        <v>0</v>
      </c>
      <c r="L129" s="1048">
        <f>SUMIFS(sommaire[RET_famille d''accueil (à titre gratuit)],sommaire[Département_nom],Settlement!$G129)</f>
        <v>0</v>
      </c>
      <c r="M129" s="1048">
        <f>SUMIFS(sommaire[RET_famille d''accueil (contre travaux domestiques ou des champs)],sommaire[Département_nom],Settlement!$G129)</f>
        <v>0</v>
      </c>
      <c r="N129" s="1048">
        <f>SUMIFS(sommaire[RET_NOUVEAU_domicile personnel],sommaire[Département_nom],Settlement!$G129)</f>
        <v>0</v>
      </c>
      <c r="O129" s="1048">
        <f>SUMIFS(sommaire[RET_habitat initial],sommaire[Département_nom],Settlement!$G129)</f>
        <v>45</v>
      </c>
      <c r="P129" s="704">
        <f t="shared" ref="P129:P134" si="86">SUM(H129:O129)</f>
        <v>45</v>
      </c>
      <c r="Q129" s="427"/>
      <c r="R129" s="450"/>
      <c r="T129" s="426" t="s">
        <v>30</v>
      </c>
      <c r="U129" s="426">
        <f>Tableau63[[#This Row],[villages]]</f>
        <v>10</v>
      </c>
      <c r="X129" s="1076" t="s">
        <v>30</v>
      </c>
      <c r="Y129" s="1049">
        <f t="shared" ref="Y129:Y134" si="87">H129</f>
        <v>0</v>
      </c>
      <c r="Z129" s="1049">
        <f t="shared" ref="Z129:Z134" si="88">I129</f>
        <v>0</v>
      </c>
      <c r="AA129" s="1049">
        <f t="shared" ref="AA129:AA134" si="89">J129</f>
        <v>0</v>
      </c>
      <c r="AB129" s="1049">
        <f t="shared" ref="AB129:AB134" si="90">K129</f>
        <v>0</v>
      </c>
      <c r="AC129" s="1049">
        <f t="shared" ref="AC129:AC134" si="91">L129</f>
        <v>0</v>
      </c>
      <c r="AD129" s="1049">
        <f t="shared" ref="AD129:AD134" si="92">M129</f>
        <v>0</v>
      </c>
      <c r="AE129" s="1049">
        <f t="shared" ref="AE129:AE134" si="93">N129</f>
        <v>0</v>
      </c>
      <c r="AF129" s="1049">
        <f t="shared" ref="AF129:AF134" si="94">O129</f>
        <v>45</v>
      </c>
      <c r="AG129" s="753">
        <f t="shared" ref="AG129:AG134" si="95">SUM(Y129:AF129)</f>
        <v>45</v>
      </c>
      <c r="AJ129" s="429"/>
      <c r="AK129" s="429"/>
      <c r="AL129" s="429"/>
      <c r="AM129" s="429"/>
      <c r="AP129" s="432"/>
    </row>
    <row r="130" spans="2:42" x14ac:dyDescent="0.3">
      <c r="B130" s="419"/>
      <c r="C130" s="426" t="s">
        <v>31</v>
      </c>
      <c r="D130" s="426">
        <f>COUNTIFS(sommaire[Département_nom],Tableau63[[#This Row],[Départements]], sommaire[présence personnes retournées],"oui")</f>
        <v>153</v>
      </c>
      <c r="E130" s="426"/>
      <c r="G130" s="1081" t="s">
        <v>31</v>
      </c>
      <c r="H130" s="1082">
        <f>SUMIFS(sommaire[RET_abris spontané],sommaire[Département_nom],Settlement!$G130)</f>
        <v>401</v>
      </c>
      <c r="I130" s="1082">
        <f>SUMIFS(sommaire[RET_en location],sommaire[Département_nom],Settlement!$G130)</f>
        <v>199</v>
      </c>
      <c r="J130" s="1082">
        <f>SUMIFS(sommaire[RET_centre collectif],sommaire[Département_nom],Settlement!$G130)</f>
        <v>0</v>
      </c>
      <c r="K130" s="1082">
        <f>SUMIFS(sommaire[RET_air libre],sommaire[Département_nom],Settlement!$G130)</f>
        <v>5</v>
      </c>
      <c r="L130" s="1082">
        <f>SUMIFS(sommaire[RET_famille d''accueil (à titre gratuit)],sommaire[Département_nom],Settlement!$G130)</f>
        <v>429</v>
      </c>
      <c r="M130" s="1082">
        <f>SUMIFS(sommaire[RET_famille d''accueil (contre travaux domestiques ou des champs)],sommaire[Département_nom],Settlement!$G130)</f>
        <v>109</v>
      </c>
      <c r="N130" s="1082">
        <f>SUMIFS(sommaire[RET_NOUVEAU_domicile personnel],sommaire[Département_nom],Settlement!$G130)</f>
        <v>2112</v>
      </c>
      <c r="O130" s="1082">
        <f>SUMIFS(sommaire[RET_habitat initial],sommaire[Département_nom],Settlement!$G130)</f>
        <v>6368</v>
      </c>
      <c r="P130" s="720">
        <f t="shared" si="86"/>
        <v>9623</v>
      </c>
      <c r="Q130" s="427"/>
      <c r="R130" s="450"/>
      <c r="T130" s="426" t="s">
        <v>31</v>
      </c>
      <c r="U130" s="426">
        <f>Tableau63[[#This Row],[villages]]</f>
        <v>153</v>
      </c>
      <c r="X130" s="1081" t="s">
        <v>31</v>
      </c>
      <c r="Y130" s="1083">
        <f t="shared" si="87"/>
        <v>401</v>
      </c>
      <c r="Z130" s="1083">
        <f t="shared" si="88"/>
        <v>199</v>
      </c>
      <c r="AA130" s="1083">
        <f t="shared" si="89"/>
        <v>0</v>
      </c>
      <c r="AB130" s="1083">
        <f t="shared" si="90"/>
        <v>5</v>
      </c>
      <c r="AC130" s="1083">
        <f t="shared" si="91"/>
        <v>429</v>
      </c>
      <c r="AD130" s="1083">
        <f t="shared" si="92"/>
        <v>109</v>
      </c>
      <c r="AE130" s="1083">
        <f t="shared" si="93"/>
        <v>2112</v>
      </c>
      <c r="AF130" s="1083">
        <f t="shared" si="94"/>
        <v>6368</v>
      </c>
      <c r="AG130" s="759">
        <f t="shared" si="95"/>
        <v>9623</v>
      </c>
      <c r="AJ130" s="429"/>
      <c r="AK130" s="429"/>
      <c r="AL130" s="429"/>
      <c r="AM130" s="429"/>
      <c r="AP130" s="432"/>
    </row>
    <row r="131" spans="2:42" x14ac:dyDescent="0.3">
      <c r="B131" s="419"/>
      <c r="C131" s="426" t="s">
        <v>32</v>
      </c>
      <c r="D131" s="426">
        <f>COUNTIFS(sommaire[Département_nom],Tableau63[[#This Row],[Départements]], sommaire[présence personnes retournées],"oui")</f>
        <v>75</v>
      </c>
      <c r="E131" s="426"/>
      <c r="G131" s="1076" t="s">
        <v>32</v>
      </c>
      <c r="H131" s="1048">
        <f>SUMIFS(sommaire[RET_abris spontané],sommaire[Département_nom],Settlement!$G131)</f>
        <v>1909</v>
      </c>
      <c r="I131" s="1048">
        <f>SUMIFS(sommaire[RET_en location],sommaire[Département_nom],Settlement!$G131)</f>
        <v>5</v>
      </c>
      <c r="J131" s="1048">
        <f>SUMIFS(sommaire[RET_centre collectif],sommaire[Département_nom],Settlement!$G131)</f>
        <v>0</v>
      </c>
      <c r="K131" s="1048">
        <f>SUMIFS(sommaire[RET_air libre],sommaire[Département_nom],Settlement!$G131)</f>
        <v>483</v>
      </c>
      <c r="L131" s="1048">
        <f>SUMIFS(sommaire[RET_famille d''accueil (à titre gratuit)],sommaire[Département_nom],Settlement!$G131)</f>
        <v>1840</v>
      </c>
      <c r="M131" s="1048">
        <f>SUMIFS(sommaire[RET_famille d''accueil (contre travaux domestiques ou des champs)],sommaire[Département_nom],Settlement!$G131)</f>
        <v>73</v>
      </c>
      <c r="N131" s="1048">
        <f>SUMIFS(sommaire[RET_NOUVEAU_domicile personnel],sommaire[Département_nom],Settlement!$G131)</f>
        <v>1536</v>
      </c>
      <c r="O131" s="1048">
        <f>SUMIFS(sommaire[RET_habitat initial],sommaire[Département_nom],Settlement!$G131)</f>
        <v>5021</v>
      </c>
      <c r="P131" s="704">
        <f t="shared" si="86"/>
        <v>10867</v>
      </c>
      <c r="Q131" s="427"/>
      <c r="R131" s="450"/>
      <c r="T131" s="426" t="s">
        <v>32</v>
      </c>
      <c r="U131" s="426">
        <f>Tableau63[[#This Row],[villages]]</f>
        <v>75</v>
      </c>
      <c r="X131" s="1076" t="s">
        <v>32</v>
      </c>
      <c r="Y131" s="1049">
        <f t="shared" si="87"/>
        <v>1909</v>
      </c>
      <c r="Z131" s="1049">
        <f t="shared" si="88"/>
        <v>5</v>
      </c>
      <c r="AA131" s="1049">
        <f t="shared" si="89"/>
        <v>0</v>
      </c>
      <c r="AB131" s="1049">
        <f t="shared" si="90"/>
        <v>483</v>
      </c>
      <c r="AC131" s="1049">
        <f t="shared" si="91"/>
        <v>1840</v>
      </c>
      <c r="AD131" s="1049">
        <f t="shared" si="92"/>
        <v>73</v>
      </c>
      <c r="AE131" s="1049">
        <f t="shared" si="93"/>
        <v>1536</v>
      </c>
      <c r="AF131" s="1049">
        <f t="shared" si="94"/>
        <v>5021</v>
      </c>
      <c r="AG131" s="753">
        <f t="shared" si="95"/>
        <v>10867</v>
      </c>
      <c r="AJ131" s="429"/>
      <c r="AK131" s="429"/>
      <c r="AL131" s="429"/>
      <c r="AM131" s="429"/>
      <c r="AP131" s="432"/>
    </row>
    <row r="132" spans="2:42" x14ac:dyDescent="0.3">
      <c r="B132" s="419"/>
      <c r="C132" s="426" t="s">
        <v>33</v>
      </c>
      <c r="D132" s="426">
        <f>COUNTIFS(sommaire[Département_nom],Tableau63[[#This Row],[Départements]], sommaire[présence personnes retournées],"oui")</f>
        <v>12</v>
      </c>
      <c r="E132" s="426"/>
      <c r="G132" s="1081" t="s">
        <v>33</v>
      </c>
      <c r="H132" s="1082">
        <f>SUMIFS(sommaire[RET_abris spontané],sommaire[Département_nom],Settlement!$G132)</f>
        <v>0</v>
      </c>
      <c r="I132" s="1082">
        <f>SUMIFS(sommaire[RET_en location],sommaire[Département_nom],Settlement!$G132)</f>
        <v>0</v>
      </c>
      <c r="J132" s="1082">
        <f>SUMIFS(sommaire[RET_centre collectif],sommaire[Département_nom],Settlement!$G132)</f>
        <v>0</v>
      </c>
      <c r="K132" s="1082">
        <f>SUMIFS(sommaire[RET_air libre],sommaire[Département_nom],Settlement!$G132)</f>
        <v>0</v>
      </c>
      <c r="L132" s="1082">
        <f>SUMIFS(sommaire[RET_famille d''accueil (à titre gratuit)],sommaire[Département_nom],Settlement!$G132)</f>
        <v>8</v>
      </c>
      <c r="M132" s="1082">
        <f>SUMIFS(sommaire[RET_famille d''accueil (contre travaux domestiques ou des champs)],sommaire[Département_nom],Settlement!$G132)</f>
        <v>0</v>
      </c>
      <c r="N132" s="1082">
        <f>SUMIFS(sommaire[RET_NOUVEAU_domicile personnel],sommaire[Département_nom],Settlement!$G132)</f>
        <v>18</v>
      </c>
      <c r="O132" s="1082">
        <f>SUMIFS(sommaire[RET_habitat initial],sommaire[Département_nom],Settlement!$G132)</f>
        <v>8</v>
      </c>
      <c r="P132" s="720">
        <f t="shared" si="86"/>
        <v>34</v>
      </c>
      <c r="Q132" s="427"/>
      <c r="R132" s="450"/>
      <c r="T132" s="426" t="s">
        <v>33</v>
      </c>
      <c r="U132" s="426">
        <f>Tableau63[[#This Row],[villages]]</f>
        <v>12</v>
      </c>
      <c r="X132" s="1081" t="s">
        <v>33</v>
      </c>
      <c r="Y132" s="1083">
        <f t="shared" si="87"/>
        <v>0</v>
      </c>
      <c r="Z132" s="1083">
        <f t="shared" si="88"/>
        <v>0</v>
      </c>
      <c r="AA132" s="1083">
        <f t="shared" si="89"/>
        <v>0</v>
      </c>
      <c r="AB132" s="1083">
        <f t="shared" si="90"/>
        <v>0</v>
      </c>
      <c r="AC132" s="1083">
        <f t="shared" si="91"/>
        <v>8</v>
      </c>
      <c r="AD132" s="1083">
        <f t="shared" si="92"/>
        <v>0</v>
      </c>
      <c r="AE132" s="1083">
        <f t="shared" si="93"/>
        <v>18</v>
      </c>
      <c r="AF132" s="1083">
        <f t="shared" si="94"/>
        <v>8</v>
      </c>
      <c r="AG132" s="759">
        <f t="shared" si="95"/>
        <v>34</v>
      </c>
      <c r="AJ132" s="429"/>
      <c r="AK132" s="429"/>
      <c r="AL132" s="429"/>
      <c r="AM132" s="429"/>
      <c r="AP132" s="432"/>
    </row>
    <row r="133" spans="2:42" x14ac:dyDescent="0.3">
      <c r="B133" s="419"/>
      <c r="C133" s="430" t="s">
        <v>34</v>
      </c>
      <c r="D133" s="426">
        <f>COUNTIFS(sommaire[Département_nom],Tableau63[[#This Row],[Départements]], sommaire[présence personnes retournées],"oui")</f>
        <v>33</v>
      </c>
      <c r="E133" s="426"/>
      <c r="G133" s="1076" t="s">
        <v>34</v>
      </c>
      <c r="H133" s="1048">
        <f>SUMIFS(sommaire[RET_abris spontané],sommaire[Département_nom],Settlement!$G133)</f>
        <v>220</v>
      </c>
      <c r="I133" s="1048">
        <f>SUMIFS(sommaire[RET_en location],sommaire[Département_nom],Settlement!$G133)</f>
        <v>20</v>
      </c>
      <c r="J133" s="1048">
        <f>SUMIFS(sommaire[RET_centre collectif],sommaire[Département_nom],Settlement!$G133)</f>
        <v>0</v>
      </c>
      <c r="K133" s="1048">
        <f>SUMIFS(sommaire[RET_air libre],sommaire[Département_nom],Settlement!$G133)</f>
        <v>0</v>
      </c>
      <c r="L133" s="1048">
        <f>SUMIFS(sommaire[RET_famille d''accueil (à titre gratuit)],sommaire[Département_nom],Settlement!$G133)</f>
        <v>466</v>
      </c>
      <c r="M133" s="1048">
        <f>SUMIFS(sommaire[RET_famille d''accueil (contre travaux domestiques ou des champs)],sommaire[Département_nom],Settlement!$G133)</f>
        <v>92</v>
      </c>
      <c r="N133" s="1048">
        <f>SUMIFS(sommaire[RET_NOUVEAU_domicile personnel],sommaire[Département_nom],Settlement!$G133)</f>
        <v>1609</v>
      </c>
      <c r="O133" s="1048">
        <f>SUMIFS(sommaire[RET_habitat initial],sommaire[Département_nom],Settlement!$G133)</f>
        <v>2667</v>
      </c>
      <c r="P133" s="704">
        <f t="shared" si="86"/>
        <v>5074</v>
      </c>
      <c r="Q133" s="427"/>
      <c r="R133" s="450"/>
      <c r="T133" s="430" t="s">
        <v>34</v>
      </c>
      <c r="U133" s="426">
        <f>Tableau63[[#This Row],[villages]]</f>
        <v>33</v>
      </c>
      <c r="X133" s="1076" t="s">
        <v>34</v>
      </c>
      <c r="Y133" s="1049">
        <f t="shared" si="87"/>
        <v>220</v>
      </c>
      <c r="Z133" s="1049">
        <f t="shared" si="88"/>
        <v>20</v>
      </c>
      <c r="AA133" s="1049">
        <f t="shared" si="89"/>
        <v>0</v>
      </c>
      <c r="AB133" s="1049">
        <f t="shared" si="90"/>
        <v>0</v>
      </c>
      <c r="AC133" s="1049">
        <f t="shared" si="91"/>
        <v>466</v>
      </c>
      <c r="AD133" s="1049">
        <f t="shared" si="92"/>
        <v>92</v>
      </c>
      <c r="AE133" s="1049">
        <f t="shared" si="93"/>
        <v>1609</v>
      </c>
      <c r="AF133" s="1049">
        <f t="shared" si="94"/>
        <v>2667</v>
      </c>
      <c r="AG133" s="753">
        <f t="shared" si="95"/>
        <v>5074</v>
      </c>
      <c r="AJ133" s="429"/>
      <c r="AK133" s="429"/>
      <c r="AL133" s="429"/>
      <c r="AM133" s="429"/>
      <c r="AP133" s="432"/>
    </row>
    <row r="134" spans="2:42" x14ac:dyDescent="0.3">
      <c r="B134" s="419"/>
      <c r="C134" s="430" t="s">
        <v>35</v>
      </c>
      <c r="D134" s="426">
        <f>COUNTIFS(sommaire[Département_nom],Tableau63[[#This Row],[Départements]], sommaire[présence personnes retournées],"oui")</f>
        <v>95</v>
      </c>
      <c r="E134" s="426"/>
      <c r="G134" s="1081" t="s">
        <v>35</v>
      </c>
      <c r="H134" s="1082">
        <f>SUMIFS(sommaire[RET_abris spontané],sommaire[Département_nom],Settlement!$G134)</f>
        <v>7</v>
      </c>
      <c r="I134" s="1082">
        <f>SUMIFS(sommaire[RET_en location],sommaire[Département_nom],Settlement!$G134)</f>
        <v>144</v>
      </c>
      <c r="J134" s="1082">
        <f>SUMIFS(sommaire[RET_centre collectif],sommaire[Département_nom],Settlement!$G134)</f>
        <v>0</v>
      </c>
      <c r="K134" s="1082">
        <f>SUMIFS(sommaire[RET_air libre],sommaire[Département_nom],Settlement!$G134)</f>
        <v>0</v>
      </c>
      <c r="L134" s="1082">
        <f>SUMIFS(sommaire[RET_famille d''accueil (à titre gratuit)],sommaire[Département_nom],Settlement!$G134)</f>
        <v>626</v>
      </c>
      <c r="M134" s="1082">
        <f>SUMIFS(sommaire[RET_famille d''accueil (contre travaux domestiques ou des champs)],sommaire[Département_nom],Settlement!$G134)</f>
        <v>34</v>
      </c>
      <c r="N134" s="1082">
        <f>SUMIFS(sommaire[RET_NOUVEAU_domicile personnel],sommaire[Département_nom],Settlement!$G134)</f>
        <v>818</v>
      </c>
      <c r="O134" s="1082">
        <f>SUMIFS(sommaire[RET_habitat initial],sommaire[Département_nom],Settlement!$G134)</f>
        <v>1961</v>
      </c>
      <c r="P134" s="720">
        <f t="shared" si="86"/>
        <v>3590</v>
      </c>
      <c r="Q134" s="427"/>
      <c r="R134" s="450"/>
      <c r="T134" s="430" t="s">
        <v>35</v>
      </c>
      <c r="U134" s="426">
        <f>Tableau63[[#This Row],[villages]]</f>
        <v>95</v>
      </c>
      <c r="X134" s="1081" t="s">
        <v>35</v>
      </c>
      <c r="Y134" s="1083">
        <f t="shared" si="87"/>
        <v>7</v>
      </c>
      <c r="Z134" s="1083">
        <f t="shared" si="88"/>
        <v>144</v>
      </c>
      <c r="AA134" s="1083">
        <f t="shared" si="89"/>
        <v>0</v>
      </c>
      <c r="AB134" s="1083">
        <f t="shared" si="90"/>
        <v>0</v>
      </c>
      <c r="AC134" s="1083">
        <f t="shared" si="91"/>
        <v>626</v>
      </c>
      <c r="AD134" s="1083">
        <f t="shared" si="92"/>
        <v>34</v>
      </c>
      <c r="AE134" s="1083">
        <f t="shared" si="93"/>
        <v>818</v>
      </c>
      <c r="AF134" s="1083">
        <f t="shared" si="94"/>
        <v>1961</v>
      </c>
      <c r="AG134" s="759">
        <f t="shared" si="95"/>
        <v>3590</v>
      </c>
      <c r="AJ134" s="429"/>
      <c r="AK134" s="429"/>
      <c r="AL134" s="429"/>
      <c r="AM134" s="429"/>
      <c r="AP134" s="432"/>
    </row>
    <row r="135" spans="2:42" x14ac:dyDescent="0.3">
      <c r="B135" s="419"/>
      <c r="C135" s="475"/>
      <c r="D135" s="475">
        <f>SUM(D129:D134)</f>
        <v>378</v>
      </c>
      <c r="E135" s="423"/>
      <c r="G135" s="710" t="s">
        <v>25</v>
      </c>
      <c r="H135" s="711">
        <f>SUM(H129:H134)</f>
        <v>2537</v>
      </c>
      <c r="I135" s="711">
        <f t="shared" ref="I135:P135" si="96">SUM(I129:I134)</f>
        <v>368</v>
      </c>
      <c r="J135" s="711">
        <f t="shared" si="96"/>
        <v>0</v>
      </c>
      <c r="K135" s="711">
        <f t="shared" si="96"/>
        <v>488</v>
      </c>
      <c r="L135" s="711">
        <f t="shared" si="96"/>
        <v>3369</v>
      </c>
      <c r="M135" s="711">
        <f t="shared" si="96"/>
        <v>308</v>
      </c>
      <c r="N135" s="711">
        <f t="shared" si="96"/>
        <v>6093</v>
      </c>
      <c r="O135" s="711">
        <f t="shared" si="96"/>
        <v>16070</v>
      </c>
      <c r="P135" s="711">
        <f t="shared" si="96"/>
        <v>29233</v>
      </c>
      <c r="Q135" s="427"/>
      <c r="R135" s="450"/>
      <c r="T135" s="423"/>
      <c r="U135" s="423">
        <f>SUM(U129:U134)</f>
        <v>378</v>
      </c>
      <c r="X135" s="757" t="s">
        <v>25</v>
      </c>
      <c r="Y135" s="758">
        <f>SUM(Y129:Y134)</f>
        <v>2537</v>
      </c>
      <c r="Z135" s="758">
        <f t="shared" ref="Z135:AG135" si="97">SUM(Z129:Z134)</f>
        <v>368</v>
      </c>
      <c r="AA135" s="758">
        <f t="shared" si="97"/>
        <v>0</v>
      </c>
      <c r="AB135" s="758">
        <f t="shared" si="97"/>
        <v>488</v>
      </c>
      <c r="AC135" s="758">
        <f t="shared" si="97"/>
        <v>3369</v>
      </c>
      <c r="AD135" s="758">
        <f t="shared" si="97"/>
        <v>308</v>
      </c>
      <c r="AE135" s="758">
        <f t="shared" si="97"/>
        <v>6093</v>
      </c>
      <c r="AF135" s="758">
        <f t="shared" si="97"/>
        <v>16070</v>
      </c>
      <c r="AG135" s="758">
        <f t="shared" si="97"/>
        <v>29233</v>
      </c>
    </row>
    <row r="136" spans="2:42" x14ac:dyDescent="0.3">
      <c r="B136" s="419"/>
      <c r="C136" s="433"/>
      <c r="H136" s="429">
        <f>H135/$P$135</f>
        <v>8.6785482160571956E-2</v>
      </c>
      <c r="I136" s="429">
        <f t="shared" ref="I136:O136" si="98">I135/$P$135</f>
        <v>1.2588512981904013E-2</v>
      </c>
      <c r="J136" s="429">
        <f t="shared" si="98"/>
        <v>0</v>
      </c>
      <c r="K136" s="429">
        <f t="shared" si="98"/>
        <v>1.6693462867307496E-2</v>
      </c>
      <c r="L136" s="429">
        <f t="shared" si="98"/>
        <v>0.11524646803270276</v>
      </c>
      <c r="M136" s="429">
        <f t="shared" si="98"/>
        <v>1.0536038039202271E-2</v>
      </c>
      <c r="N136" s="429">
        <f t="shared" si="98"/>
        <v>0.20842883043136182</v>
      </c>
      <c r="O136" s="429">
        <f t="shared" si="98"/>
        <v>0.54972120548694969</v>
      </c>
      <c r="P136" s="696">
        <f>SUM(H136:O136)</f>
        <v>1</v>
      </c>
      <c r="Q136" s="432"/>
      <c r="R136" s="451"/>
      <c r="Y136" s="435">
        <f t="shared" ref="Y136:AG136" si="99">H136</f>
        <v>8.6785482160571956E-2</v>
      </c>
      <c r="Z136" s="435">
        <f t="shared" si="99"/>
        <v>1.2588512981904013E-2</v>
      </c>
      <c r="AA136" s="435">
        <f t="shared" si="99"/>
        <v>0</v>
      </c>
      <c r="AB136" s="435">
        <f t="shared" si="99"/>
        <v>1.6693462867307496E-2</v>
      </c>
      <c r="AC136" s="435">
        <f t="shared" si="99"/>
        <v>0.11524646803270276</v>
      </c>
      <c r="AD136" s="435">
        <f t="shared" si="99"/>
        <v>1.0536038039202271E-2</v>
      </c>
      <c r="AE136" s="435">
        <f t="shared" si="99"/>
        <v>0.20842883043136182</v>
      </c>
      <c r="AF136" s="435">
        <f t="shared" si="99"/>
        <v>0.54972120548694969</v>
      </c>
      <c r="AG136" s="760">
        <f t="shared" si="99"/>
        <v>1</v>
      </c>
    </row>
    <row r="137" spans="2:42" x14ac:dyDescent="0.3">
      <c r="B137" s="419"/>
      <c r="C137" s="433"/>
      <c r="H137" s="429"/>
      <c r="I137" s="429"/>
      <c r="J137" s="429"/>
      <c r="K137" s="429"/>
      <c r="L137" s="429"/>
      <c r="M137" s="429"/>
      <c r="R137" s="414"/>
    </row>
    <row r="138" spans="2:42" x14ac:dyDescent="0.3">
      <c r="B138" s="419"/>
      <c r="C138" s="433"/>
      <c r="G138" s="420" t="s">
        <v>356</v>
      </c>
      <c r="H138" s="420"/>
      <c r="I138" s="420"/>
      <c r="J138" s="420"/>
      <c r="R138" s="414"/>
      <c r="X138" s="420" t="s">
        <v>357</v>
      </c>
    </row>
    <row r="139" spans="2:42" x14ac:dyDescent="0.3">
      <c r="B139" s="419"/>
      <c r="C139" s="433"/>
      <c r="R139" s="414"/>
    </row>
    <row r="140" spans="2:42" ht="58.5" customHeight="1" x14ac:dyDescent="0.3">
      <c r="B140" s="419"/>
      <c r="C140" s="433"/>
      <c r="G140" s="719" t="s">
        <v>48</v>
      </c>
      <c r="H140" s="453" t="s">
        <v>347</v>
      </c>
      <c r="I140" s="453" t="s">
        <v>312</v>
      </c>
      <c r="J140" s="453" t="s">
        <v>336</v>
      </c>
      <c r="K140" s="453" t="s">
        <v>314</v>
      </c>
      <c r="L140" s="453" t="s">
        <v>315</v>
      </c>
      <c r="M140" s="453" t="s">
        <v>316</v>
      </c>
      <c r="N140" s="453" t="s">
        <v>354</v>
      </c>
      <c r="O140" s="453" t="s">
        <v>317</v>
      </c>
      <c r="P140" s="453" t="s">
        <v>25</v>
      </c>
      <c r="R140" s="414"/>
      <c r="X140" s="452" t="s">
        <v>51</v>
      </c>
      <c r="Y140" s="453" t="s">
        <v>339</v>
      </c>
      <c r="Z140" s="453" t="s">
        <v>320</v>
      </c>
      <c r="AA140" s="453" t="s">
        <v>321</v>
      </c>
      <c r="AB140" s="453" t="s">
        <v>322</v>
      </c>
      <c r="AC140" s="453" t="s">
        <v>323</v>
      </c>
      <c r="AD140" s="453" t="s">
        <v>324</v>
      </c>
      <c r="AE140" s="453" t="s">
        <v>355</v>
      </c>
      <c r="AF140" s="453" t="s">
        <v>325</v>
      </c>
      <c r="AG140" s="453" t="s">
        <v>25</v>
      </c>
    </row>
    <row r="141" spans="2:42" x14ac:dyDescent="0.3">
      <c r="B141" s="419"/>
      <c r="C141" s="433"/>
      <c r="G141" s="424" t="s">
        <v>30</v>
      </c>
      <c r="H141" s="440">
        <f>H129/$P$129</f>
        <v>0</v>
      </c>
      <c r="I141" s="440">
        <f t="shared" ref="I141:O141" si="100">I129/$P$129</f>
        <v>0</v>
      </c>
      <c r="J141" s="440">
        <f t="shared" si="100"/>
        <v>0</v>
      </c>
      <c r="K141" s="440">
        <f t="shared" si="100"/>
        <v>0</v>
      </c>
      <c r="L141" s="440">
        <f t="shared" si="100"/>
        <v>0</v>
      </c>
      <c r="M141" s="440">
        <f t="shared" si="100"/>
        <v>0</v>
      </c>
      <c r="N141" s="440">
        <f t="shared" si="100"/>
        <v>0</v>
      </c>
      <c r="O141" s="440">
        <f t="shared" si="100"/>
        <v>1</v>
      </c>
      <c r="P141" s="721">
        <f>SUM(H141:O141)</f>
        <v>1</v>
      </c>
      <c r="R141" s="414"/>
      <c r="X141" s="424" t="s">
        <v>30</v>
      </c>
      <c r="Y141" s="440">
        <f t="shared" ref="Y141:Y146" si="101">H141</f>
        <v>0</v>
      </c>
      <c r="Z141" s="440">
        <f t="shared" ref="Z141:Z146" si="102">I141</f>
        <v>0</v>
      </c>
      <c r="AA141" s="440">
        <f t="shared" ref="AA141:AA146" si="103">J141</f>
        <v>0</v>
      </c>
      <c r="AB141" s="440">
        <f t="shared" ref="AB141:AB146" si="104">K141</f>
        <v>0</v>
      </c>
      <c r="AC141" s="440">
        <f t="shared" ref="AC141:AC146" si="105">L141</f>
        <v>0</v>
      </c>
      <c r="AD141" s="440">
        <f t="shared" ref="AD141:AD146" si="106">M141</f>
        <v>0</v>
      </c>
      <c r="AE141" s="440">
        <f t="shared" ref="AE141:AE146" si="107">N141</f>
        <v>0</v>
      </c>
      <c r="AF141" s="440">
        <f t="shared" ref="AF141:AF146" si="108">O141</f>
        <v>1</v>
      </c>
      <c r="AG141" s="721">
        <f t="shared" ref="AG141:AG146" si="109">SUM(Y141:AF141)</f>
        <v>1</v>
      </c>
    </row>
    <row r="142" spans="2:42" x14ac:dyDescent="0.3">
      <c r="B142" s="419"/>
      <c r="C142" s="433"/>
      <c r="G142" s="454" t="s">
        <v>31</v>
      </c>
      <c r="H142" s="455">
        <f>H130/$P$130</f>
        <v>4.167099657071599E-2</v>
      </c>
      <c r="I142" s="455">
        <f t="shared" ref="I142:O142" si="110">I130/$P$130</f>
        <v>2.0679621739582252E-2</v>
      </c>
      <c r="J142" s="455">
        <f t="shared" si="110"/>
        <v>0</v>
      </c>
      <c r="K142" s="455">
        <f t="shared" si="110"/>
        <v>5.19588485919152E-4</v>
      </c>
      <c r="L142" s="455">
        <f t="shared" si="110"/>
        <v>4.4580692091863244E-2</v>
      </c>
      <c r="M142" s="455">
        <f t="shared" si="110"/>
        <v>1.1327028993037514E-2</v>
      </c>
      <c r="N142" s="455">
        <f t="shared" si="110"/>
        <v>0.21947417645224981</v>
      </c>
      <c r="O142" s="455">
        <f t="shared" si="110"/>
        <v>0.66174789566663206</v>
      </c>
      <c r="P142" s="722">
        <f t="shared" ref="P142:P147" si="111">SUM(H142:O142)</f>
        <v>1</v>
      </c>
      <c r="Q142" s="424"/>
      <c r="R142" s="414"/>
      <c r="X142" s="454" t="s">
        <v>31</v>
      </c>
      <c r="Y142" s="455">
        <f t="shared" si="101"/>
        <v>4.167099657071599E-2</v>
      </c>
      <c r="Z142" s="455">
        <f t="shared" si="102"/>
        <v>2.0679621739582252E-2</v>
      </c>
      <c r="AA142" s="455">
        <f t="shared" si="103"/>
        <v>0</v>
      </c>
      <c r="AB142" s="455">
        <f t="shared" si="104"/>
        <v>5.19588485919152E-4</v>
      </c>
      <c r="AC142" s="455">
        <f t="shared" si="105"/>
        <v>4.4580692091863244E-2</v>
      </c>
      <c r="AD142" s="455">
        <f t="shared" si="106"/>
        <v>1.1327028993037514E-2</v>
      </c>
      <c r="AE142" s="455">
        <f t="shared" si="107"/>
        <v>0.21947417645224981</v>
      </c>
      <c r="AF142" s="455">
        <f t="shared" si="108"/>
        <v>0.66174789566663206</v>
      </c>
      <c r="AG142" s="722">
        <f t="shared" si="109"/>
        <v>1</v>
      </c>
    </row>
    <row r="143" spans="2:42" x14ac:dyDescent="0.3">
      <c r="B143" s="419"/>
      <c r="C143" s="433"/>
      <c r="G143" s="424" t="s">
        <v>32</v>
      </c>
      <c r="H143" s="440">
        <f>H131/$P$131</f>
        <v>0.17566945799208614</v>
      </c>
      <c r="I143" s="440">
        <f t="shared" ref="I143:O143" si="112">I131/$P$131</f>
        <v>4.6010858562620777E-4</v>
      </c>
      <c r="J143" s="440">
        <f t="shared" si="112"/>
        <v>0</v>
      </c>
      <c r="K143" s="440">
        <f t="shared" si="112"/>
        <v>4.444648937149167E-2</v>
      </c>
      <c r="L143" s="440">
        <f t="shared" si="112"/>
        <v>0.16931995951044446</v>
      </c>
      <c r="M143" s="440">
        <f t="shared" si="112"/>
        <v>6.7175853501426335E-3</v>
      </c>
      <c r="N143" s="440">
        <f t="shared" si="112"/>
        <v>0.14134535750437102</v>
      </c>
      <c r="O143" s="440">
        <f t="shared" si="112"/>
        <v>0.46204104168583787</v>
      </c>
      <c r="P143" s="721">
        <f t="shared" si="111"/>
        <v>1</v>
      </c>
      <c r="Q143" s="456"/>
      <c r="R143" s="457"/>
      <c r="X143" s="424" t="s">
        <v>32</v>
      </c>
      <c r="Y143" s="440">
        <f t="shared" si="101"/>
        <v>0.17566945799208614</v>
      </c>
      <c r="Z143" s="440">
        <f t="shared" si="102"/>
        <v>4.6010858562620777E-4</v>
      </c>
      <c r="AA143" s="440">
        <f t="shared" si="103"/>
        <v>0</v>
      </c>
      <c r="AB143" s="440">
        <f t="shared" si="104"/>
        <v>4.444648937149167E-2</v>
      </c>
      <c r="AC143" s="440">
        <f t="shared" si="105"/>
        <v>0.16931995951044446</v>
      </c>
      <c r="AD143" s="440">
        <f t="shared" si="106"/>
        <v>6.7175853501426335E-3</v>
      </c>
      <c r="AE143" s="440">
        <f t="shared" si="107"/>
        <v>0.14134535750437102</v>
      </c>
      <c r="AF143" s="440">
        <f t="shared" si="108"/>
        <v>0.46204104168583787</v>
      </c>
      <c r="AG143" s="721">
        <f t="shared" si="109"/>
        <v>1</v>
      </c>
    </row>
    <row r="144" spans="2:42" x14ac:dyDescent="0.3">
      <c r="B144" s="419"/>
      <c r="C144" s="433"/>
      <c r="G144" s="454" t="s">
        <v>33</v>
      </c>
      <c r="H144" s="455">
        <f>H132/$P$132</f>
        <v>0</v>
      </c>
      <c r="I144" s="455">
        <f t="shared" ref="I144:O144" si="113">I132/$P$132</f>
        <v>0</v>
      </c>
      <c r="J144" s="455">
        <f t="shared" si="113"/>
        <v>0</v>
      </c>
      <c r="K144" s="455">
        <f t="shared" si="113"/>
        <v>0</v>
      </c>
      <c r="L144" s="455">
        <f t="shared" si="113"/>
        <v>0.23529411764705882</v>
      </c>
      <c r="M144" s="455">
        <f t="shared" si="113"/>
        <v>0</v>
      </c>
      <c r="N144" s="455">
        <f t="shared" si="113"/>
        <v>0.52941176470588236</v>
      </c>
      <c r="O144" s="455">
        <f t="shared" si="113"/>
        <v>0.23529411764705882</v>
      </c>
      <c r="P144" s="722">
        <f t="shared" si="111"/>
        <v>1</v>
      </c>
      <c r="Q144" s="456"/>
      <c r="R144" s="457"/>
      <c r="X144" s="454" t="s">
        <v>33</v>
      </c>
      <c r="Y144" s="455">
        <f t="shared" si="101"/>
        <v>0</v>
      </c>
      <c r="Z144" s="458">
        <f t="shared" si="102"/>
        <v>0</v>
      </c>
      <c r="AA144" s="455">
        <f t="shared" si="103"/>
        <v>0</v>
      </c>
      <c r="AB144" s="455">
        <f t="shared" si="104"/>
        <v>0</v>
      </c>
      <c r="AC144" s="458">
        <f t="shared" si="105"/>
        <v>0.23529411764705882</v>
      </c>
      <c r="AD144" s="458">
        <f t="shared" si="106"/>
        <v>0</v>
      </c>
      <c r="AE144" s="458">
        <f t="shared" si="107"/>
        <v>0.52941176470588236</v>
      </c>
      <c r="AF144" s="455">
        <f t="shared" si="108"/>
        <v>0.23529411764705882</v>
      </c>
      <c r="AG144" s="722">
        <f t="shared" si="109"/>
        <v>1</v>
      </c>
    </row>
    <row r="145" spans="2:33" x14ac:dyDescent="0.3">
      <c r="B145" s="419"/>
      <c r="C145" s="433"/>
      <c r="G145" s="424" t="s">
        <v>34</v>
      </c>
      <c r="H145" s="440">
        <f>H133/$P$133</f>
        <v>4.3358297201418997E-2</v>
      </c>
      <c r="I145" s="440">
        <f t="shared" ref="I145:O145" si="114">I133/$P$133</f>
        <v>3.941663381947182E-3</v>
      </c>
      <c r="J145" s="440">
        <f t="shared" si="114"/>
        <v>0</v>
      </c>
      <c r="K145" s="440">
        <f t="shared" si="114"/>
        <v>0</v>
      </c>
      <c r="L145" s="440">
        <f t="shared" si="114"/>
        <v>9.184075679936933E-2</v>
      </c>
      <c r="M145" s="440">
        <f t="shared" si="114"/>
        <v>1.8131651556957035E-2</v>
      </c>
      <c r="N145" s="440">
        <f t="shared" si="114"/>
        <v>0.31710681907765076</v>
      </c>
      <c r="O145" s="440">
        <f t="shared" si="114"/>
        <v>0.52562081198265664</v>
      </c>
      <c r="P145" s="721">
        <f t="shared" si="111"/>
        <v>1</v>
      </c>
      <c r="Q145" s="456"/>
      <c r="R145" s="457"/>
      <c r="X145" s="424" t="s">
        <v>34</v>
      </c>
      <c r="Y145" s="442">
        <f t="shared" si="101"/>
        <v>4.3358297201418997E-2</v>
      </c>
      <c r="Z145" s="442">
        <f t="shared" si="102"/>
        <v>3.941663381947182E-3</v>
      </c>
      <c r="AA145" s="440">
        <f t="shared" si="103"/>
        <v>0</v>
      </c>
      <c r="AB145" s="440">
        <f t="shared" si="104"/>
        <v>0</v>
      </c>
      <c r="AC145" s="442">
        <f t="shared" si="105"/>
        <v>9.184075679936933E-2</v>
      </c>
      <c r="AD145" s="442">
        <f t="shared" si="106"/>
        <v>1.8131651556957035E-2</v>
      </c>
      <c r="AE145" s="442">
        <f t="shared" si="107"/>
        <v>0.31710681907765076</v>
      </c>
      <c r="AF145" s="440">
        <f t="shared" si="108"/>
        <v>0.52562081198265664</v>
      </c>
      <c r="AG145" s="721">
        <f t="shared" si="109"/>
        <v>1</v>
      </c>
    </row>
    <row r="146" spans="2:33" x14ac:dyDescent="0.3">
      <c r="B146" s="419"/>
      <c r="C146" s="433"/>
      <c r="G146" s="454" t="s">
        <v>35</v>
      </c>
      <c r="H146" s="455">
        <f>H134/$P$134</f>
        <v>1.9498607242339832E-3</v>
      </c>
      <c r="I146" s="455">
        <f t="shared" ref="I146:O146" si="115">I134/$P$134</f>
        <v>4.0111420612813371E-2</v>
      </c>
      <c r="J146" s="455">
        <f t="shared" si="115"/>
        <v>0</v>
      </c>
      <c r="K146" s="455">
        <f t="shared" si="115"/>
        <v>0</v>
      </c>
      <c r="L146" s="455">
        <f t="shared" si="115"/>
        <v>0.17437325905292478</v>
      </c>
      <c r="M146" s="455">
        <f t="shared" si="115"/>
        <v>9.4707520891364905E-3</v>
      </c>
      <c r="N146" s="455">
        <f t="shared" si="115"/>
        <v>0.22785515320334263</v>
      </c>
      <c r="O146" s="455">
        <f t="shared" si="115"/>
        <v>0.54623955431754878</v>
      </c>
      <c r="P146" s="722">
        <f t="shared" si="111"/>
        <v>1</v>
      </c>
      <c r="Q146" s="456"/>
      <c r="R146" s="457"/>
      <c r="X146" s="454" t="s">
        <v>35</v>
      </c>
      <c r="Y146" s="458">
        <f t="shared" si="101"/>
        <v>1.9498607242339832E-3</v>
      </c>
      <c r="Z146" s="458">
        <f t="shared" si="102"/>
        <v>4.0111420612813371E-2</v>
      </c>
      <c r="AA146" s="455">
        <f t="shared" si="103"/>
        <v>0</v>
      </c>
      <c r="AB146" s="455">
        <f t="shared" si="104"/>
        <v>0</v>
      </c>
      <c r="AC146" s="458">
        <f t="shared" si="105"/>
        <v>0.17437325905292478</v>
      </c>
      <c r="AD146" s="458">
        <f t="shared" si="106"/>
        <v>9.4707520891364905E-3</v>
      </c>
      <c r="AE146" s="458">
        <f t="shared" si="107"/>
        <v>0.22785515320334263</v>
      </c>
      <c r="AF146" s="455">
        <f t="shared" si="108"/>
        <v>0.54623955431754878</v>
      </c>
      <c r="AG146" s="722">
        <f t="shared" si="109"/>
        <v>1</v>
      </c>
    </row>
    <row r="147" spans="2:33" x14ac:dyDescent="0.3">
      <c r="B147" s="419"/>
      <c r="C147" s="433"/>
      <c r="G147" s="424" t="s">
        <v>342</v>
      </c>
      <c r="H147" s="440">
        <f>H135/$P$135</f>
        <v>8.6785482160571956E-2</v>
      </c>
      <c r="I147" s="440">
        <f t="shared" ref="I147:O147" si="116">I135/$P$135</f>
        <v>1.2588512981904013E-2</v>
      </c>
      <c r="J147" s="440">
        <f t="shared" si="116"/>
        <v>0</v>
      </c>
      <c r="K147" s="440">
        <f t="shared" si="116"/>
        <v>1.6693462867307496E-2</v>
      </c>
      <c r="L147" s="440">
        <f t="shared" si="116"/>
        <v>0.11524646803270276</v>
      </c>
      <c r="M147" s="440">
        <f t="shared" si="116"/>
        <v>1.0536038039202271E-2</v>
      </c>
      <c r="N147" s="440">
        <f t="shared" si="116"/>
        <v>0.20842883043136182</v>
      </c>
      <c r="O147" s="440">
        <f t="shared" si="116"/>
        <v>0.54972120548694969</v>
      </c>
      <c r="P147" s="721">
        <f t="shared" si="111"/>
        <v>1</v>
      </c>
      <c r="Q147" s="456"/>
      <c r="R147" s="457"/>
    </row>
    <row r="148" spans="2:33" x14ac:dyDescent="0.3">
      <c r="B148" s="419"/>
      <c r="C148" s="433"/>
      <c r="Q148" s="456"/>
      <c r="R148" s="457"/>
    </row>
    <row r="149" spans="2:33" x14ac:dyDescent="0.3">
      <c r="B149" s="419"/>
      <c r="C149" s="433"/>
      <c r="R149" s="414"/>
    </row>
    <row r="150" spans="2:33" x14ac:dyDescent="0.3">
      <c r="B150" s="419"/>
      <c r="C150" s="441"/>
      <c r="D150" s="439"/>
      <c r="E150" s="439"/>
      <c r="R150" s="414"/>
    </row>
    <row r="151" spans="2:33" x14ac:dyDescent="0.3">
      <c r="B151" s="419"/>
      <c r="R151" s="414"/>
    </row>
    <row r="152" spans="2:33" x14ac:dyDescent="0.3">
      <c r="B152" s="419"/>
      <c r="R152" s="414"/>
    </row>
    <row r="153" spans="2:33" x14ac:dyDescent="0.3">
      <c r="B153" s="419"/>
      <c r="C153" s="436"/>
      <c r="D153" s="437"/>
      <c r="E153" s="437"/>
      <c r="R153" s="414"/>
    </row>
    <row r="154" spans="2:33" ht="15.6" x14ac:dyDescent="0.3">
      <c r="B154" s="419"/>
      <c r="C154" s="436"/>
      <c r="D154" s="437"/>
      <c r="E154" s="437"/>
      <c r="R154" s="414"/>
      <c r="S154" s="449"/>
      <c r="T154" s="449"/>
      <c r="U154" s="449"/>
      <c r="V154" s="449"/>
      <c r="W154" s="449"/>
    </row>
    <row r="155" spans="2:33" x14ac:dyDescent="0.3">
      <c r="B155" s="419"/>
      <c r="C155" s="436"/>
      <c r="D155" s="436"/>
      <c r="E155" s="436"/>
      <c r="R155" s="414"/>
    </row>
    <row r="156" spans="2:33" x14ac:dyDescent="0.3">
      <c r="B156" s="419"/>
      <c r="R156" s="414"/>
    </row>
    <row r="157" spans="2:33" x14ac:dyDescent="0.3">
      <c r="B157" s="419"/>
      <c r="C157" s="439"/>
      <c r="D157" s="439"/>
      <c r="E157" s="439"/>
      <c r="R157" s="414"/>
    </row>
    <row r="158" spans="2:33" x14ac:dyDescent="0.3">
      <c r="B158" s="419"/>
      <c r="C158" s="433"/>
      <c r="R158" s="414"/>
    </row>
    <row r="159" spans="2:33" x14ac:dyDescent="0.3">
      <c r="B159" s="419"/>
      <c r="C159" s="433"/>
      <c r="R159" s="414"/>
    </row>
    <row r="160" spans="2:33" x14ac:dyDescent="0.3">
      <c r="B160" s="419"/>
      <c r="C160" s="433"/>
      <c r="R160" s="414"/>
    </row>
    <row r="161" spans="2:34" x14ac:dyDescent="0.3">
      <c r="B161" s="419"/>
      <c r="C161" s="433"/>
      <c r="R161" s="414"/>
    </row>
    <row r="162" spans="2:34" x14ac:dyDescent="0.3">
      <c r="B162" s="419"/>
      <c r="C162" s="433"/>
      <c r="R162" s="414"/>
    </row>
    <row r="163" spans="2:34" x14ac:dyDescent="0.3">
      <c r="B163" s="419"/>
      <c r="C163" s="433"/>
      <c r="G163" s="424"/>
      <c r="H163" s="427"/>
      <c r="I163" s="427"/>
      <c r="J163" s="427"/>
      <c r="K163" s="427"/>
      <c r="L163" s="427"/>
      <c r="M163" s="427"/>
      <c r="N163" s="427"/>
      <c r="R163" s="414"/>
    </row>
    <row r="164" spans="2:34" x14ac:dyDescent="0.3">
      <c r="B164" s="419"/>
      <c r="C164" s="433"/>
      <c r="R164" s="414"/>
      <c r="AA164" s="459"/>
      <c r="AB164" s="459"/>
      <c r="AC164" s="459"/>
    </row>
    <row r="165" spans="2:34" x14ac:dyDescent="0.3">
      <c r="B165" s="419"/>
      <c r="C165" s="433"/>
      <c r="R165" s="414"/>
      <c r="AA165" s="459"/>
      <c r="AB165" s="459"/>
      <c r="AC165" s="459"/>
    </row>
    <row r="166" spans="2:34" x14ac:dyDescent="0.3">
      <c r="B166" s="419"/>
      <c r="C166" s="433"/>
      <c r="R166" s="414"/>
      <c r="S166" s="412"/>
      <c r="T166" s="412"/>
      <c r="U166" s="412"/>
      <c r="V166" s="412"/>
      <c r="W166" s="412"/>
      <c r="X166" s="412"/>
      <c r="Y166" s="412"/>
      <c r="Z166" s="425"/>
      <c r="AA166" s="459"/>
      <c r="AB166" s="459"/>
      <c r="AC166" s="459"/>
      <c r="AD166" s="425"/>
    </row>
    <row r="167" spans="2:34" x14ac:dyDescent="0.3">
      <c r="B167" s="419"/>
      <c r="C167" s="433"/>
      <c r="R167" s="414"/>
      <c r="S167" s="412"/>
      <c r="T167" s="412"/>
      <c r="U167" s="412"/>
      <c r="V167" s="412"/>
      <c r="W167" s="412"/>
      <c r="X167" s="412"/>
      <c r="Y167" s="412"/>
      <c r="Z167" s="425"/>
      <c r="AA167" s="459"/>
      <c r="AB167" s="459"/>
      <c r="AC167" s="459"/>
      <c r="AD167" s="425"/>
    </row>
    <row r="168" spans="2:34" x14ac:dyDescent="0.3">
      <c r="B168" s="419"/>
      <c r="C168" s="433"/>
      <c r="R168" s="414"/>
      <c r="S168" s="412"/>
      <c r="T168" s="412"/>
      <c r="U168" s="412"/>
      <c r="V168" s="412"/>
      <c r="W168" s="412"/>
      <c r="X168" s="412"/>
      <c r="Y168" s="412"/>
      <c r="Z168" s="425"/>
      <c r="AA168" s="459"/>
      <c r="AB168" s="459"/>
      <c r="AC168" s="459"/>
      <c r="AD168" s="425"/>
    </row>
    <row r="169" spans="2:34" ht="56.25" customHeight="1" x14ac:dyDescent="0.3">
      <c r="B169" s="419"/>
      <c r="C169" s="433"/>
      <c r="R169" s="414"/>
      <c r="S169" s="412"/>
      <c r="T169" s="412"/>
      <c r="U169" s="412"/>
      <c r="V169" s="412"/>
      <c r="W169" s="412"/>
      <c r="X169" s="412"/>
      <c r="Y169" s="412"/>
      <c r="Z169" s="425"/>
      <c r="AA169" s="425"/>
      <c r="AB169" s="425"/>
      <c r="AC169" s="425"/>
      <c r="AD169" s="425"/>
    </row>
    <row r="170" spans="2:34" x14ac:dyDescent="0.3">
      <c r="B170" s="419"/>
      <c r="C170" s="433"/>
      <c r="R170" s="414"/>
      <c r="S170" s="412"/>
      <c r="T170" s="412"/>
      <c r="U170" s="412"/>
      <c r="V170" s="412"/>
      <c r="W170" s="412"/>
      <c r="X170" s="412"/>
      <c r="Y170" s="412"/>
      <c r="Z170" s="425"/>
      <c r="AA170" s="425"/>
      <c r="AB170" s="425"/>
      <c r="AC170" s="425"/>
      <c r="AD170" s="425"/>
    </row>
    <row r="171" spans="2:34" ht="15" thickBot="1" x14ac:dyDescent="0.35">
      <c r="B171" s="443"/>
      <c r="C171" s="444"/>
      <c r="D171" s="444"/>
      <c r="E171" s="444"/>
      <c r="F171" s="444"/>
      <c r="G171" s="444"/>
      <c r="H171" s="444"/>
      <c r="I171" s="444"/>
      <c r="J171" s="444"/>
      <c r="K171" s="444"/>
      <c r="L171" s="444"/>
      <c r="M171" s="444"/>
      <c r="N171" s="444"/>
      <c r="O171" s="444"/>
      <c r="P171" s="444"/>
      <c r="Q171" s="444"/>
      <c r="R171" s="445"/>
      <c r="S171" s="444"/>
      <c r="T171" s="444"/>
      <c r="U171" s="444"/>
      <c r="V171" s="444"/>
      <c r="W171" s="444"/>
      <c r="X171" s="444"/>
      <c r="Y171" s="444"/>
      <c r="Z171" s="444"/>
      <c r="AA171" s="444"/>
      <c r="AB171" s="444"/>
      <c r="AC171" s="444"/>
      <c r="AD171" s="444"/>
      <c r="AE171" s="444"/>
      <c r="AF171" s="444"/>
      <c r="AG171" s="444"/>
      <c r="AH171" s="444"/>
    </row>
    <row r="172" spans="2:34" x14ac:dyDescent="0.3">
      <c r="R172" s="414"/>
    </row>
  </sheetData>
  <mergeCells count="2">
    <mergeCell ref="B1:Q1"/>
    <mergeCell ref="S1:AF1"/>
  </mergeCells>
  <pageMargins left="0.7" right="0.7" top="0.75" bottom="0.75" header="0.3" footer="0.3"/>
  <pageSetup paperSize="9" orientation="landscape" r:id="rId1"/>
  <rowBreaks count="2" manualBreakCount="2">
    <brk id="79" max="33" man="1"/>
    <brk id="2" max="33" man="1"/>
  </rowBreaks>
  <colBreaks count="1" manualBreakCount="1">
    <brk id="17" max="1048575" man="1"/>
  </colBreaks>
  <drawing r:id="rId2"/>
  <tableParts count="6">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729-CCCF-44EE-9F87-C3F2A8E3E3A1}">
  <sheetPr>
    <tabColor rgb="FFFF9090"/>
  </sheetPr>
  <dimension ref="B1:Y368"/>
  <sheetViews>
    <sheetView showGridLines="0" topLeftCell="A61" zoomScaleNormal="100" zoomScaleSheetLayoutView="80" workbookViewId="0">
      <selection activeCell="G101" sqref="G101"/>
    </sheetView>
  </sheetViews>
  <sheetFormatPr defaultColWidth="11.44140625" defaultRowHeight="14.4" x14ac:dyDescent="0.3"/>
  <cols>
    <col min="1" max="2" width="11.44140625" style="282"/>
    <col min="3" max="3" width="13.77734375" style="282" bestFit="1" customWidth="1"/>
    <col min="4" max="4" width="20.21875" style="282" bestFit="1" customWidth="1"/>
    <col min="5" max="5" width="19.88671875" style="282" customWidth="1"/>
    <col min="6" max="6" width="15.88671875" style="282" customWidth="1"/>
    <col min="7" max="7" width="19.77734375" style="282" customWidth="1"/>
    <col min="8" max="8" width="17.109375" style="282" bestFit="1" customWidth="1"/>
    <col min="9" max="9" width="16.5546875" style="282" bestFit="1" customWidth="1"/>
    <col min="10" max="10" width="7.21875" style="282" bestFit="1" customWidth="1"/>
    <col min="11" max="11" width="17.21875" style="282" customWidth="1"/>
    <col min="12" max="12" width="3.77734375" style="287" customWidth="1"/>
    <col min="13" max="13" width="17.77734375" style="282" bestFit="1" customWidth="1"/>
    <col min="14" max="14" width="17.88671875" style="282" bestFit="1" customWidth="1"/>
    <col min="15" max="15" width="15" style="282" bestFit="1" customWidth="1"/>
    <col min="16" max="16" width="11.21875" style="282" bestFit="1" customWidth="1"/>
    <col min="17" max="17" width="14" style="282" bestFit="1" customWidth="1"/>
    <col min="18" max="18" width="17.109375" style="282" bestFit="1" customWidth="1"/>
    <col min="19" max="19" width="16.77734375" style="282" bestFit="1" customWidth="1"/>
    <col min="20" max="20" width="8.5546875" style="282" bestFit="1" customWidth="1"/>
    <col min="21" max="21" width="28.77734375" style="282" bestFit="1" customWidth="1"/>
    <col min="22" max="22" width="37.77734375" style="282" bestFit="1" customWidth="1"/>
    <col min="23" max="23" width="17.77734375" style="282" bestFit="1" customWidth="1"/>
    <col min="24" max="16384" width="11.44140625" style="282"/>
  </cols>
  <sheetData>
    <row r="1" spans="2:25" ht="27" customHeight="1" thickBot="1" x14ac:dyDescent="0.35">
      <c r="B1" s="1343" t="s">
        <v>17</v>
      </c>
      <c r="C1" s="1344"/>
      <c r="D1" s="1344"/>
      <c r="E1" s="1344"/>
      <c r="F1" s="1344"/>
      <c r="G1" s="1344"/>
      <c r="H1" s="1344"/>
      <c r="I1" s="1344"/>
      <c r="J1" s="1344"/>
      <c r="K1" s="1344"/>
      <c r="L1" s="281"/>
      <c r="M1" s="1345" t="s">
        <v>18</v>
      </c>
      <c r="N1" s="1346"/>
      <c r="O1" s="1346"/>
      <c r="P1" s="1346"/>
      <c r="Q1" s="1346"/>
      <c r="R1" s="1346"/>
      <c r="S1" s="1346"/>
      <c r="T1" s="1346"/>
      <c r="U1" s="1346"/>
      <c r="V1" s="1346"/>
      <c r="W1" s="1346"/>
      <c r="X1" s="1346"/>
      <c r="Y1" s="1347"/>
    </row>
    <row r="2" spans="2:25" x14ac:dyDescent="0.3">
      <c r="B2" s="318"/>
      <c r="L2" s="284"/>
      <c r="S2" s="283"/>
      <c r="T2" s="283"/>
      <c r="U2" s="283"/>
      <c r="V2" s="283"/>
      <c r="W2" s="283"/>
      <c r="X2" s="283"/>
      <c r="Y2" s="292"/>
    </row>
    <row r="3" spans="2:25" x14ac:dyDescent="0.3">
      <c r="B3" s="286"/>
      <c r="D3" s="293" t="s">
        <v>269</v>
      </c>
      <c r="L3" s="284"/>
      <c r="N3" s="293" t="s">
        <v>270</v>
      </c>
      <c r="Y3" s="285"/>
    </row>
    <row r="4" spans="2:25" ht="15" thickBot="1" x14ac:dyDescent="0.35">
      <c r="B4" s="286"/>
      <c r="L4" s="284"/>
      <c r="Y4" s="285"/>
    </row>
    <row r="5" spans="2:25" ht="100.5" customHeight="1" thickBot="1" x14ac:dyDescent="0.35">
      <c r="B5" s="286"/>
      <c r="D5" s="294" t="s">
        <v>48</v>
      </c>
      <c r="E5" s="295" t="s">
        <v>271</v>
      </c>
      <c r="F5" s="1117" t="s">
        <v>272</v>
      </c>
      <c r="G5" s="926" t="s">
        <v>273</v>
      </c>
      <c r="H5" s="295" t="s">
        <v>274</v>
      </c>
      <c r="I5" s="295" t="s">
        <v>275</v>
      </c>
      <c r="J5" s="296" t="s">
        <v>25</v>
      </c>
      <c r="L5" s="284"/>
      <c r="N5" s="294" t="s">
        <v>51</v>
      </c>
      <c r="O5" s="295" t="s">
        <v>276</v>
      </c>
      <c r="P5" s="295" t="s">
        <v>277</v>
      </c>
      <c r="Q5" s="295" t="s">
        <v>278</v>
      </c>
      <c r="R5" s="295" t="s">
        <v>279</v>
      </c>
      <c r="S5" s="296" t="s">
        <v>280</v>
      </c>
      <c r="T5" s="296" t="s">
        <v>25</v>
      </c>
      <c r="Y5" s="285"/>
    </row>
    <row r="6" spans="2:25" ht="15" thickBot="1" x14ac:dyDescent="0.35">
      <c r="B6" s="286"/>
      <c r="D6" s="1013" t="s">
        <v>30</v>
      </c>
      <c r="E6" s="1014">
        <f>SUMIFS(DisplacementP[Individus],DisplacementP[adm2_name],$D6,DisplacementP[raison],E$5)</f>
        <v>6871</v>
      </c>
      <c r="F6" s="1014">
        <f>SUMIFS(DisplacementP[Individus],DisplacementP[adm2_name],$D6,DisplacementP[raison],F$5)</f>
        <v>140</v>
      </c>
      <c r="G6" s="1014">
        <f>SUMIFS(DisplacementP[Individus],DisplacementP[adm2_name],$D6,DisplacementP[raison],G$5)</f>
        <v>0</v>
      </c>
      <c r="H6" s="1014">
        <f>SUMIFS(DisplacementP[Individus],DisplacementP[adm2_name],$D6,DisplacementP[raison],H$5)</f>
        <v>6263</v>
      </c>
      <c r="I6" s="1014">
        <f>SUMIFS(DisplacementP[Individus],DisplacementP[adm2_name],$D6,DisplacementP[raison],I$5)</f>
        <v>31</v>
      </c>
      <c r="J6" s="611">
        <f>SUM('Displacement Reasons'!$E6:$I6)</f>
        <v>13305</v>
      </c>
      <c r="L6" s="284"/>
      <c r="N6" s="1013" t="s">
        <v>30</v>
      </c>
      <c r="O6" s="1015">
        <f t="shared" ref="O6:O11" si="0">E6</f>
        <v>6871</v>
      </c>
      <c r="P6" s="1015">
        <f t="shared" ref="P6:P11" si="1">F6</f>
        <v>140</v>
      </c>
      <c r="Q6" s="1015">
        <f t="shared" ref="Q6:R11" si="2">G6</f>
        <v>0</v>
      </c>
      <c r="R6" s="1015">
        <f t="shared" si="2"/>
        <v>6263</v>
      </c>
      <c r="S6" s="1016">
        <f t="shared" ref="S6:S11" si="3">I6</f>
        <v>31</v>
      </c>
      <c r="T6" s="670">
        <f t="shared" ref="T6:T11" si="4">SUM(O6:S6)</f>
        <v>13305</v>
      </c>
      <c r="Y6" s="285"/>
    </row>
    <row r="7" spans="2:25" ht="15" thickBot="1" x14ac:dyDescent="0.35">
      <c r="B7" s="286"/>
      <c r="D7" s="1017" t="s">
        <v>31</v>
      </c>
      <c r="E7" s="1018">
        <f>SUMIFS(DisplacementP[Individus],DisplacementP[adm2_name],$D7,DisplacementP[raison],E$5)</f>
        <v>189575</v>
      </c>
      <c r="F7" s="1018">
        <f>SUMIFS(DisplacementP[Individus],DisplacementP[adm2_name],$D7,DisplacementP[raison],F$5)</f>
        <v>24231</v>
      </c>
      <c r="G7" s="1018">
        <f>SUMIFS(DisplacementP[Individus],DisplacementP[adm2_name],$D7,DisplacementP[raison],G$5)</f>
        <v>1232</v>
      </c>
      <c r="H7" s="1018">
        <f>SUMIFS(DisplacementP[Individus],DisplacementP[adm2_name],$D7,DisplacementP[raison],H$5)</f>
        <v>38452</v>
      </c>
      <c r="I7" s="1018">
        <f>SUMIFS(DisplacementP[Individus],DisplacementP[adm2_name],$D7,DisplacementP[raison],I$5)</f>
        <v>2394</v>
      </c>
      <c r="J7" s="612">
        <f>SUM('Displacement Reasons'!$E7:$I7)</f>
        <v>255884</v>
      </c>
      <c r="L7" s="284"/>
      <c r="N7" s="1017" t="s">
        <v>31</v>
      </c>
      <c r="O7" s="1019">
        <f t="shared" si="0"/>
        <v>189575</v>
      </c>
      <c r="P7" s="1019">
        <f t="shared" si="1"/>
        <v>24231</v>
      </c>
      <c r="Q7" s="1019">
        <f t="shared" si="2"/>
        <v>1232</v>
      </c>
      <c r="R7" s="1019">
        <f t="shared" si="2"/>
        <v>38452</v>
      </c>
      <c r="S7" s="1020">
        <f t="shared" si="3"/>
        <v>2394</v>
      </c>
      <c r="T7" s="671">
        <f t="shared" si="4"/>
        <v>255884</v>
      </c>
      <c r="Y7" s="285"/>
    </row>
    <row r="8" spans="2:25" ht="15" thickBot="1" x14ac:dyDescent="0.35">
      <c r="B8" s="286"/>
      <c r="D8" s="1013" t="s">
        <v>32</v>
      </c>
      <c r="E8" s="1014">
        <f>SUMIFS(DisplacementP[Individus],DisplacementP[adm2_name],$D8,DisplacementP[raison],E$5)</f>
        <v>172</v>
      </c>
      <c r="F8" s="1014">
        <f>SUMIFS(DisplacementP[Individus],DisplacementP[adm2_name],$D8,DisplacementP[raison],F$5)</f>
        <v>103225</v>
      </c>
      <c r="G8" s="1014">
        <f>SUMIFS(DisplacementP[Individus],DisplacementP[adm2_name],$D8,DisplacementP[raison],G$5)</f>
        <v>0</v>
      </c>
      <c r="H8" s="1014">
        <f>SUMIFS(DisplacementP[Individus],DisplacementP[adm2_name],$D8,DisplacementP[raison],H$5)</f>
        <v>5096</v>
      </c>
      <c r="I8" s="1014">
        <f>SUMIFS(DisplacementP[Individus],DisplacementP[adm2_name],$D8,DisplacementP[raison],I$5)</f>
        <v>180</v>
      </c>
      <c r="J8" s="611">
        <f>SUM('Displacement Reasons'!$E8:$I8)</f>
        <v>108673</v>
      </c>
      <c r="L8" s="284"/>
      <c r="N8" s="1013" t="s">
        <v>32</v>
      </c>
      <c r="O8" s="1015">
        <f t="shared" si="0"/>
        <v>172</v>
      </c>
      <c r="P8" s="1015">
        <f t="shared" si="1"/>
        <v>103225</v>
      </c>
      <c r="Q8" s="1015">
        <f t="shared" si="2"/>
        <v>0</v>
      </c>
      <c r="R8" s="1015">
        <f t="shared" si="2"/>
        <v>5096</v>
      </c>
      <c r="S8" s="1016">
        <f t="shared" si="3"/>
        <v>180</v>
      </c>
      <c r="T8" s="670">
        <f t="shared" si="4"/>
        <v>108673</v>
      </c>
      <c r="Y8" s="285"/>
    </row>
    <row r="9" spans="2:25" ht="15" thickBot="1" x14ac:dyDescent="0.35">
      <c r="B9" s="286"/>
      <c r="D9" s="1017" t="s">
        <v>33</v>
      </c>
      <c r="E9" s="1018">
        <f>SUMIFS(DisplacementP[Individus],DisplacementP[adm2_name],$D9,DisplacementP[raison],E$5)</f>
        <v>3629</v>
      </c>
      <c r="F9" s="1018">
        <f>SUMIFS(DisplacementP[Individus],DisplacementP[adm2_name],$D9,DisplacementP[raison],F$5)</f>
        <v>398</v>
      </c>
      <c r="G9" s="1018">
        <f>SUMIFS(DisplacementP[Individus],DisplacementP[adm2_name],$D9,DisplacementP[raison],G$5)</f>
        <v>0</v>
      </c>
      <c r="H9" s="1018">
        <f>SUMIFS(DisplacementP[Individus],DisplacementP[adm2_name],$D9,DisplacementP[raison],H$5)</f>
        <v>1633</v>
      </c>
      <c r="I9" s="1018">
        <f>SUMIFS(DisplacementP[Individus],DisplacementP[adm2_name],$D9,DisplacementP[raison],I$5)</f>
        <v>101</v>
      </c>
      <c r="J9" s="612">
        <f>SUM('Displacement Reasons'!$E9:$I9)</f>
        <v>5761</v>
      </c>
      <c r="L9" s="284"/>
      <c r="N9" s="1017" t="s">
        <v>33</v>
      </c>
      <c r="O9" s="1019">
        <f t="shared" si="0"/>
        <v>3629</v>
      </c>
      <c r="P9" s="1019">
        <f t="shared" si="1"/>
        <v>398</v>
      </c>
      <c r="Q9" s="1019">
        <f t="shared" si="2"/>
        <v>0</v>
      </c>
      <c r="R9" s="1019">
        <f t="shared" si="2"/>
        <v>1633</v>
      </c>
      <c r="S9" s="1020">
        <f t="shared" si="3"/>
        <v>101</v>
      </c>
      <c r="T9" s="671">
        <f t="shared" si="4"/>
        <v>5761</v>
      </c>
      <c r="Y9" s="285"/>
    </row>
    <row r="10" spans="2:25" ht="15" thickBot="1" x14ac:dyDescent="0.35">
      <c r="B10" s="286"/>
      <c r="D10" s="1013" t="s">
        <v>34</v>
      </c>
      <c r="E10" s="1014">
        <f>SUMIFS(DisplacementP[Individus],DisplacementP[adm2_name],$D10,DisplacementP[raison],E$5)</f>
        <v>165466</v>
      </c>
      <c r="F10" s="1014">
        <f>SUMIFS(DisplacementP[Individus],DisplacementP[adm2_name],$D10,DisplacementP[raison],F$5)</f>
        <v>0</v>
      </c>
      <c r="G10" s="1014">
        <f>SUMIFS(DisplacementP[Individus],DisplacementP[adm2_name],$D10,DisplacementP[raison],G$5)</f>
        <v>0</v>
      </c>
      <c r="H10" s="1014">
        <f>SUMIFS(DisplacementP[Individus],DisplacementP[adm2_name],$D10,DisplacementP[raison],H$5)</f>
        <v>0</v>
      </c>
      <c r="I10" s="1014">
        <f>SUMIFS(DisplacementP[Individus],DisplacementP[adm2_name],$D10,DisplacementP[raison],I$5)</f>
        <v>46</v>
      </c>
      <c r="J10" s="611">
        <f>SUM('Displacement Reasons'!$E10:$I10)</f>
        <v>165512</v>
      </c>
      <c r="L10" s="284"/>
      <c r="N10" s="1013" t="s">
        <v>34</v>
      </c>
      <c r="O10" s="1015">
        <f t="shared" si="0"/>
        <v>165466</v>
      </c>
      <c r="P10" s="1015">
        <f t="shared" si="1"/>
        <v>0</v>
      </c>
      <c r="Q10" s="1015">
        <f t="shared" si="2"/>
        <v>0</v>
      </c>
      <c r="R10" s="1015">
        <f t="shared" si="2"/>
        <v>0</v>
      </c>
      <c r="S10" s="1016">
        <f t="shared" si="3"/>
        <v>46</v>
      </c>
      <c r="T10" s="670">
        <f t="shared" si="4"/>
        <v>165512</v>
      </c>
      <c r="Y10" s="285"/>
    </row>
    <row r="11" spans="2:25" ht="15" thickBot="1" x14ac:dyDescent="0.35">
      <c r="B11" s="286"/>
      <c r="D11" s="1017" t="s">
        <v>35</v>
      </c>
      <c r="E11" s="1018">
        <f>SUMIFS(DisplacementP[Individus],DisplacementP[adm2_name],$D11,DisplacementP[raison],E$5)</f>
        <v>130180</v>
      </c>
      <c r="F11" s="1018">
        <f>SUMIFS(DisplacementP[Individus],DisplacementP[adm2_name],$D11,DisplacementP[raison],F$5)</f>
        <v>0</v>
      </c>
      <c r="G11" s="1018">
        <f>SUMIFS(DisplacementP[Individus],DisplacementP[adm2_name],$D11,DisplacementP[raison],G$5)</f>
        <v>0</v>
      </c>
      <c r="H11" s="1018">
        <f>SUMIFS(DisplacementP[Individus],DisplacementP[adm2_name],$D11,DisplacementP[raison],H$5)</f>
        <v>3</v>
      </c>
      <c r="I11" s="1018">
        <f>SUMIFS(DisplacementP[Individus],DisplacementP[adm2_name],$D11,DisplacementP[raison],I$5)</f>
        <v>1194</v>
      </c>
      <c r="J11" s="612">
        <f>SUM('Displacement Reasons'!$E11:$I11)</f>
        <v>131377</v>
      </c>
      <c r="L11" s="284"/>
      <c r="N11" s="1017" t="s">
        <v>35</v>
      </c>
      <c r="O11" s="1019">
        <f t="shared" si="0"/>
        <v>130180</v>
      </c>
      <c r="P11" s="1019">
        <f t="shared" si="1"/>
        <v>0</v>
      </c>
      <c r="Q11" s="1019">
        <f t="shared" si="2"/>
        <v>0</v>
      </c>
      <c r="R11" s="1019">
        <f t="shared" si="2"/>
        <v>3</v>
      </c>
      <c r="S11" s="1020">
        <f t="shared" si="3"/>
        <v>1194</v>
      </c>
      <c r="T11" s="671">
        <f t="shared" si="4"/>
        <v>131377</v>
      </c>
      <c r="Y11" s="285"/>
    </row>
    <row r="12" spans="2:25" ht="15" thickBot="1" x14ac:dyDescent="0.35">
      <c r="B12" s="286"/>
      <c r="D12" s="606"/>
      <c r="E12" s="607">
        <f>SUM(E6:E11)</f>
        <v>495893</v>
      </c>
      <c r="F12" s="607">
        <f>SUM(F6:F11)</f>
        <v>127994</v>
      </c>
      <c r="G12" s="607">
        <f>SUM(G6:G11)</f>
        <v>1232</v>
      </c>
      <c r="H12" s="607">
        <f>SUM(H6:H11)</f>
        <v>51447</v>
      </c>
      <c r="I12" s="607">
        <f>SUM(I6:I11)</f>
        <v>3946</v>
      </c>
      <c r="J12" s="607">
        <f>SUBTOTAL(109,'Displacement Reasons'!$J$6:$J$11)</f>
        <v>680512</v>
      </c>
      <c r="L12" s="284"/>
      <c r="N12" s="659"/>
      <c r="O12" s="309">
        <f t="shared" ref="O12:T12" si="5">SUM(O6:O11)</f>
        <v>495893</v>
      </c>
      <c r="P12" s="309">
        <f t="shared" si="5"/>
        <v>127994</v>
      </c>
      <c r="Q12" s="309">
        <f t="shared" si="5"/>
        <v>1232</v>
      </c>
      <c r="R12" s="309">
        <f t="shared" si="5"/>
        <v>51447</v>
      </c>
      <c r="S12" s="309">
        <f t="shared" si="5"/>
        <v>3946</v>
      </c>
      <c r="T12" s="309">
        <f t="shared" si="5"/>
        <v>680512</v>
      </c>
      <c r="Y12" s="285"/>
    </row>
    <row r="13" spans="2:25" x14ac:dyDescent="0.3">
      <c r="B13" s="286"/>
      <c r="E13" s="1252">
        <f>E12/$J$12</f>
        <v>0.72870573920812565</v>
      </c>
      <c r="F13" s="1252">
        <f>F12/$J$12</f>
        <v>0.18808485375717107</v>
      </c>
      <c r="G13" s="1252">
        <f>G12/$J$12</f>
        <v>1.8104015799868334E-3</v>
      </c>
      <c r="H13" s="1252">
        <f>H12/$J$12</f>
        <v>7.5600430264271601E-2</v>
      </c>
      <c r="I13" s="1252">
        <f>I12/$J$12</f>
        <v>5.7985751904448416E-3</v>
      </c>
      <c r="J13" s="653">
        <f>SUM(E13:I13)</f>
        <v>1</v>
      </c>
      <c r="L13" s="284"/>
      <c r="O13" s="319">
        <f t="shared" ref="O13:T13" si="6">E13</f>
        <v>0.72870573920812565</v>
      </c>
      <c r="P13" s="319">
        <f t="shared" si="6"/>
        <v>0.18808485375717107</v>
      </c>
      <c r="Q13" s="319">
        <f t="shared" si="6"/>
        <v>1.8104015799868334E-3</v>
      </c>
      <c r="R13" s="319">
        <f t="shared" si="6"/>
        <v>7.5600430264271601E-2</v>
      </c>
      <c r="S13" s="319">
        <f t="shared" si="6"/>
        <v>5.7985751904448416E-3</v>
      </c>
      <c r="T13" s="672">
        <f t="shared" si="6"/>
        <v>1</v>
      </c>
      <c r="Y13" s="285"/>
    </row>
    <row r="14" spans="2:25" x14ac:dyDescent="0.3">
      <c r="B14" s="286"/>
      <c r="L14" s="284"/>
      <c r="Y14" s="285"/>
    </row>
    <row r="15" spans="2:25" x14ac:dyDescent="0.3">
      <c r="B15" s="286"/>
      <c r="L15" s="284"/>
      <c r="Y15" s="285"/>
    </row>
    <row r="16" spans="2:25" x14ac:dyDescent="0.3">
      <c r="B16" s="286"/>
      <c r="D16" s="293" t="s">
        <v>281</v>
      </c>
      <c r="L16" s="284"/>
      <c r="N16" s="293" t="s">
        <v>282</v>
      </c>
      <c r="Y16" s="285"/>
    </row>
    <row r="17" spans="2:25" ht="15" thickBot="1" x14ac:dyDescent="0.35">
      <c r="B17" s="286"/>
      <c r="L17" s="284"/>
      <c r="Y17" s="285"/>
    </row>
    <row r="18" spans="2:25" ht="78.75" customHeight="1" thickBot="1" x14ac:dyDescent="0.35">
      <c r="B18" s="286"/>
      <c r="D18" s="294" t="s">
        <v>48</v>
      </c>
      <c r="E18" s="295" t="s">
        <v>271</v>
      </c>
      <c r="F18" s="1117" t="s">
        <v>272</v>
      </c>
      <c r="G18" s="1117" t="s">
        <v>273</v>
      </c>
      <c r="H18" s="295" t="s">
        <v>274</v>
      </c>
      <c r="I18" s="295" t="s">
        <v>275</v>
      </c>
      <c r="J18" s="296" t="s">
        <v>25</v>
      </c>
      <c r="L18" s="284"/>
      <c r="N18" s="294" t="s">
        <v>51</v>
      </c>
      <c r="O18" s="295" t="s">
        <v>276</v>
      </c>
      <c r="P18" s="295" t="s">
        <v>277</v>
      </c>
      <c r="Q18" s="295" t="s">
        <v>278</v>
      </c>
      <c r="R18" s="295" t="s">
        <v>279</v>
      </c>
      <c r="S18" s="296" t="s">
        <v>280</v>
      </c>
      <c r="T18" s="296" t="s">
        <v>25</v>
      </c>
      <c r="Y18" s="285"/>
    </row>
    <row r="19" spans="2:25" ht="15" thickBot="1" x14ac:dyDescent="0.35">
      <c r="B19" s="286"/>
      <c r="D19" s="1013" t="s">
        <v>30</v>
      </c>
      <c r="E19" s="1021">
        <f>E6/$J$6</f>
        <v>0.51642239759488917</v>
      </c>
      <c r="F19" s="1021">
        <f>F6/$J$6</f>
        <v>1.0522360015031942E-2</v>
      </c>
      <c r="G19" s="1021">
        <f>G6/$J$6</f>
        <v>0</v>
      </c>
      <c r="H19" s="1021">
        <f>H6/$J$6</f>
        <v>0.47072529124389328</v>
      </c>
      <c r="I19" s="1021">
        <f>I6/$J$6</f>
        <v>2.3299511461856446E-3</v>
      </c>
      <c r="J19" s="608">
        <f t="shared" ref="J19:J24" si="7">SUM(E19:I19)</f>
        <v>1</v>
      </c>
      <c r="L19" s="284"/>
      <c r="N19" s="1013" t="s">
        <v>30</v>
      </c>
      <c r="O19" s="1021">
        <f t="shared" ref="O19:O24" si="8">E19</f>
        <v>0.51642239759488917</v>
      </c>
      <c r="P19" s="1021">
        <f t="shared" ref="P19:P24" si="9">F19</f>
        <v>1.0522360015031942E-2</v>
      </c>
      <c r="Q19" s="1021">
        <f t="shared" ref="Q19:R24" si="10">G19</f>
        <v>0</v>
      </c>
      <c r="R19" s="1021">
        <f t="shared" si="10"/>
        <v>0.47072529124389328</v>
      </c>
      <c r="S19" s="1022">
        <f t="shared" ref="S19:S24" si="11">I19</f>
        <v>2.3299511461856446E-3</v>
      </c>
      <c r="T19" s="608">
        <f t="shared" ref="T19:T24" si="12">SUM(O19:S19)</f>
        <v>1</v>
      </c>
      <c r="Y19" s="285"/>
    </row>
    <row r="20" spans="2:25" ht="15" thickBot="1" x14ac:dyDescent="0.35">
      <c r="B20" s="286"/>
      <c r="D20" s="1017" t="s">
        <v>31</v>
      </c>
      <c r="E20" s="1023">
        <f>E7/$J$7</f>
        <v>0.74086304731831609</v>
      </c>
      <c r="F20" s="1023">
        <f>F7/$J$7</f>
        <v>9.4695252536305508E-2</v>
      </c>
      <c r="G20" s="1023">
        <f>G7/$J$7</f>
        <v>4.8146816526238451E-3</v>
      </c>
      <c r="H20" s="1023">
        <f>H7/$J$7</f>
        <v>0.15027121664504228</v>
      </c>
      <c r="I20" s="1023">
        <f>I7/$J$7</f>
        <v>9.3558018477122445E-3</v>
      </c>
      <c r="J20" s="609">
        <f t="shared" si="7"/>
        <v>1</v>
      </c>
      <c r="L20" s="284"/>
      <c r="N20" s="1017" t="s">
        <v>31</v>
      </c>
      <c r="O20" s="1023">
        <f t="shared" si="8"/>
        <v>0.74086304731831609</v>
      </c>
      <c r="P20" s="1023">
        <f t="shared" si="9"/>
        <v>9.4695252536305508E-2</v>
      </c>
      <c r="Q20" s="1023">
        <f t="shared" si="10"/>
        <v>4.8146816526238451E-3</v>
      </c>
      <c r="R20" s="1023">
        <f t="shared" si="10"/>
        <v>0.15027121664504228</v>
      </c>
      <c r="S20" s="1024">
        <f t="shared" si="11"/>
        <v>9.3558018477122445E-3</v>
      </c>
      <c r="T20" s="609">
        <f t="shared" si="12"/>
        <v>1</v>
      </c>
      <c r="Y20" s="285"/>
    </row>
    <row r="21" spans="2:25" ht="15" thickBot="1" x14ac:dyDescent="0.35">
      <c r="B21" s="286"/>
      <c r="D21" s="1013" t="s">
        <v>32</v>
      </c>
      <c r="E21" s="1021">
        <f>E8/$J$8</f>
        <v>1.5827298408988433E-3</v>
      </c>
      <c r="F21" s="1021">
        <f>F8/$J$8</f>
        <v>0.94986795248129707</v>
      </c>
      <c r="G21" s="1021">
        <f>G8/$J$8</f>
        <v>0</v>
      </c>
      <c r="H21" s="1021">
        <f>H8/$J$8</f>
        <v>4.6892972495468054E-2</v>
      </c>
      <c r="I21" s="1021">
        <f>I8/$J$8</f>
        <v>1.6563451823359988E-3</v>
      </c>
      <c r="J21" s="608">
        <f t="shared" si="7"/>
        <v>1</v>
      </c>
      <c r="L21" s="284"/>
      <c r="N21" s="1013" t="s">
        <v>32</v>
      </c>
      <c r="O21" s="1021">
        <f t="shared" si="8"/>
        <v>1.5827298408988433E-3</v>
      </c>
      <c r="P21" s="1021">
        <f t="shared" si="9"/>
        <v>0.94986795248129707</v>
      </c>
      <c r="Q21" s="1021">
        <f t="shared" si="10"/>
        <v>0</v>
      </c>
      <c r="R21" s="1021">
        <f t="shared" si="10"/>
        <v>4.6892972495468054E-2</v>
      </c>
      <c r="S21" s="1022">
        <f t="shared" si="11"/>
        <v>1.6563451823359988E-3</v>
      </c>
      <c r="T21" s="608">
        <f t="shared" si="12"/>
        <v>1</v>
      </c>
      <c r="Y21" s="285"/>
    </row>
    <row r="22" spans="2:25" ht="15" thickBot="1" x14ac:dyDescent="0.35">
      <c r="B22" s="286"/>
      <c r="D22" s="1017" t="s">
        <v>33</v>
      </c>
      <c r="E22" s="1023">
        <f>E9/$J$9</f>
        <v>0.62992536018052425</v>
      </c>
      <c r="F22" s="1023">
        <f>F9/$J$9</f>
        <v>6.908522825898282E-2</v>
      </c>
      <c r="G22" s="1023">
        <f>G9/$J$9</f>
        <v>0</v>
      </c>
      <c r="H22" s="1023">
        <f>H9/$J$9</f>
        <v>0.28345773303245964</v>
      </c>
      <c r="I22" s="1023">
        <f>I9/$J$9</f>
        <v>1.7531678528033327E-2</v>
      </c>
      <c r="J22" s="609">
        <f t="shared" si="7"/>
        <v>1</v>
      </c>
      <c r="L22" s="284"/>
      <c r="N22" s="1017" t="s">
        <v>33</v>
      </c>
      <c r="O22" s="1023">
        <f t="shared" si="8"/>
        <v>0.62992536018052425</v>
      </c>
      <c r="P22" s="1023">
        <f t="shared" si="9"/>
        <v>6.908522825898282E-2</v>
      </c>
      <c r="Q22" s="1023">
        <f t="shared" si="10"/>
        <v>0</v>
      </c>
      <c r="R22" s="1023">
        <f t="shared" si="10"/>
        <v>0.28345773303245964</v>
      </c>
      <c r="S22" s="1024">
        <f t="shared" si="11"/>
        <v>1.7531678528033327E-2</v>
      </c>
      <c r="T22" s="609">
        <f t="shared" si="12"/>
        <v>1</v>
      </c>
      <c r="Y22" s="285"/>
    </row>
    <row r="23" spans="2:25" ht="15" thickBot="1" x14ac:dyDescent="0.35">
      <c r="B23" s="286"/>
      <c r="D23" s="1013" t="s">
        <v>34</v>
      </c>
      <c r="E23" s="1021">
        <f>E10/$J$10</f>
        <v>0.99972207453236017</v>
      </c>
      <c r="F23" s="1021">
        <f>F10/$J$10</f>
        <v>0</v>
      </c>
      <c r="G23" s="1021">
        <f>G10/$J$10</f>
        <v>0</v>
      </c>
      <c r="H23" s="1021">
        <f>H10/$J$10</f>
        <v>0</v>
      </c>
      <c r="I23" s="1021">
        <f>I10/$J$10</f>
        <v>2.779254676398086E-4</v>
      </c>
      <c r="J23" s="608">
        <f t="shared" si="7"/>
        <v>1</v>
      </c>
      <c r="L23" s="284"/>
      <c r="N23" s="1013" t="s">
        <v>34</v>
      </c>
      <c r="O23" s="1021">
        <f t="shared" si="8"/>
        <v>0.99972207453236017</v>
      </c>
      <c r="P23" s="1021">
        <f t="shared" si="9"/>
        <v>0</v>
      </c>
      <c r="Q23" s="1021">
        <f t="shared" si="10"/>
        <v>0</v>
      </c>
      <c r="R23" s="1021">
        <f t="shared" si="10"/>
        <v>0</v>
      </c>
      <c r="S23" s="1022">
        <f t="shared" si="11"/>
        <v>2.779254676398086E-4</v>
      </c>
      <c r="T23" s="608">
        <f t="shared" si="12"/>
        <v>1</v>
      </c>
      <c r="Y23" s="285"/>
    </row>
    <row r="24" spans="2:25" ht="15" thickBot="1" x14ac:dyDescent="0.35">
      <c r="B24" s="286"/>
      <c r="D24" s="1025" t="s">
        <v>35</v>
      </c>
      <c r="E24" s="1026">
        <f>E11/$J$11</f>
        <v>0.99088881615503477</v>
      </c>
      <c r="F24" s="1026">
        <f>F11/$J$11</f>
        <v>0</v>
      </c>
      <c r="G24" s="1026">
        <f>G11/$J$11</f>
        <v>0</v>
      </c>
      <c r="H24" s="1026">
        <f>H11/$J$11</f>
        <v>2.2835047230489357E-5</v>
      </c>
      <c r="I24" s="1026">
        <f>I11/$J$11</f>
        <v>9.0883487977347632E-3</v>
      </c>
      <c r="J24" s="610">
        <f t="shared" si="7"/>
        <v>1</v>
      </c>
      <c r="L24" s="284"/>
      <c r="N24" s="1025" t="s">
        <v>35</v>
      </c>
      <c r="O24" s="1026">
        <f t="shared" si="8"/>
        <v>0.99088881615503477</v>
      </c>
      <c r="P24" s="1026">
        <f t="shared" si="9"/>
        <v>0</v>
      </c>
      <c r="Q24" s="1026">
        <f t="shared" si="10"/>
        <v>0</v>
      </c>
      <c r="R24" s="1026">
        <f t="shared" si="10"/>
        <v>2.2835047230489357E-5</v>
      </c>
      <c r="S24" s="1027">
        <f t="shared" si="11"/>
        <v>9.0883487977347632E-3</v>
      </c>
      <c r="T24" s="610">
        <f t="shared" si="12"/>
        <v>1</v>
      </c>
      <c r="Y24" s="285"/>
    </row>
    <row r="25" spans="2:25" x14ac:dyDescent="0.3">
      <c r="B25" s="286"/>
      <c r="L25" s="284"/>
      <c r="Y25" s="285"/>
    </row>
    <row r="26" spans="2:25" x14ac:dyDescent="0.3">
      <c r="B26" s="286"/>
      <c r="L26" s="284"/>
      <c r="Y26" s="285"/>
    </row>
    <row r="27" spans="2:25" x14ac:dyDescent="0.3">
      <c r="B27" s="286"/>
      <c r="L27" s="284"/>
      <c r="Y27" s="285"/>
    </row>
    <row r="28" spans="2:25" x14ac:dyDescent="0.3">
      <c r="B28" s="286"/>
      <c r="L28" s="284"/>
      <c r="Y28" s="285"/>
    </row>
    <row r="29" spans="2:25" x14ac:dyDescent="0.3">
      <c r="B29" s="286"/>
      <c r="L29" s="284"/>
      <c r="Y29" s="285"/>
    </row>
    <row r="30" spans="2:25" x14ac:dyDescent="0.3">
      <c r="B30" s="286"/>
      <c r="D30" s="293"/>
      <c r="L30" s="284"/>
      <c r="Y30" s="285"/>
    </row>
    <row r="31" spans="2:25" x14ac:dyDescent="0.3">
      <c r="B31" s="286"/>
      <c r="L31" s="284"/>
      <c r="Y31" s="285"/>
    </row>
    <row r="32" spans="2:25" x14ac:dyDescent="0.3">
      <c r="B32" s="286"/>
      <c r="L32" s="284"/>
      <c r="Y32" s="285"/>
    </row>
    <row r="33" spans="2:25" x14ac:dyDescent="0.3">
      <c r="B33" s="286"/>
      <c r="L33" s="284"/>
      <c r="Y33" s="285"/>
    </row>
    <row r="34" spans="2:25" x14ac:dyDescent="0.3">
      <c r="B34" s="286"/>
      <c r="L34" s="284"/>
      <c r="Y34" s="285"/>
    </row>
    <row r="35" spans="2:25" x14ac:dyDescent="0.3">
      <c r="B35" s="286"/>
      <c r="L35" s="284"/>
      <c r="Y35" s="285"/>
    </row>
    <row r="36" spans="2:25" x14ac:dyDescent="0.3">
      <c r="B36" s="286"/>
      <c r="L36" s="284"/>
      <c r="Y36" s="285"/>
    </row>
    <row r="37" spans="2:25" x14ac:dyDescent="0.3">
      <c r="B37" s="286"/>
      <c r="L37" s="284"/>
      <c r="Y37" s="285"/>
    </row>
    <row r="38" spans="2:25" x14ac:dyDescent="0.3">
      <c r="B38" s="286"/>
      <c r="L38" s="284"/>
      <c r="Y38" s="285"/>
    </row>
    <row r="39" spans="2:25" x14ac:dyDescent="0.3">
      <c r="B39" s="286"/>
      <c r="L39" s="284"/>
      <c r="Y39" s="285"/>
    </row>
    <row r="40" spans="2:25" x14ac:dyDescent="0.3">
      <c r="B40" s="286"/>
      <c r="L40" s="284"/>
      <c r="Y40" s="285"/>
    </row>
    <row r="41" spans="2:25" x14ac:dyDescent="0.3">
      <c r="B41" s="286"/>
      <c r="L41" s="284"/>
      <c r="Y41" s="285"/>
    </row>
    <row r="42" spans="2:25" x14ac:dyDescent="0.3">
      <c r="B42" s="286"/>
      <c r="L42" s="284"/>
      <c r="Y42" s="285"/>
    </row>
    <row r="43" spans="2:25" x14ac:dyDescent="0.3">
      <c r="B43" s="286"/>
      <c r="L43" s="284"/>
      <c r="Y43" s="285"/>
    </row>
    <row r="44" spans="2:25" x14ac:dyDescent="0.3">
      <c r="B44" s="286"/>
      <c r="L44" s="284"/>
      <c r="Y44" s="285"/>
    </row>
    <row r="45" spans="2:25" x14ac:dyDescent="0.3">
      <c r="B45" s="286"/>
      <c r="L45" s="284"/>
      <c r="Y45" s="285"/>
    </row>
    <row r="46" spans="2:25" x14ac:dyDescent="0.3">
      <c r="B46" s="286"/>
      <c r="L46" s="284"/>
      <c r="Y46" s="285"/>
    </row>
    <row r="47" spans="2:25" x14ac:dyDescent="0.3">
      <c r="B47" s="286"/>
      <c r="L47" s="284"/>
      <c r="Y47" s="285"/>
    </row>
    <row r="48" spans="2:25" x14ac:dyDescent="0.3">
      <c r="B48" s="286"/>
      <c r="L48" s="284"/>
      <c r="Y48" s="285"/>
    </row>
    <row r="49" spans="2:25" x14ac:dyDescent="0.3">
      <c r="B49" s="288"/>
      <c r="C49" s="289"/>
      <c r="D49" s="289"/>
      <c r="E49" s="289"/>
      <c r="F49" s="289"/>
      <c r="G49" s="289"/>
      <c r="H49" s="289"/>
      <c r="I49" s="289"/>
      <c r="J49" s="289"/>
      <c r="K49" s="289"/>
      <c r="L49" s="290"/>
      <c r="M49" s="289"/>
      <c r="N49" s="289"/>
      <c r="O49" s="289"/>
      <c r="P49" s="289"/>
      <c r="Q49" s="289"/>
      <c r="R49" s="289"/>
      <c r="S49" s="289"/>
      <c r="T49" s="289"/>
      <c r="U49" s="289"/>
      <c r="V49" s="289"/>
      <c r="W49" s="289"/>
      <c r="X49" s="289"/>
      <c r="Y49" s="291"/>
    </row>
    <row r="50" spans="2:25" ht="27" customHeight="1" x14ac:dyDescent="0.3">
      <c r="B50" s="1348" t="s">
        <v>283</v>
      </c>
      <c r="C50" s="1349"/>
      <c r="D50" s="1349"/>
      <c r="E50" s="1349"/>
      <c r="F50" s="1349"/>
      <c r="G50" s="1349"/>
      <c r="H50" s="1349"/>
      <c r="I50" s="1349"/>
      <c r="J50" s="1349"/>
      <c r="K50" s="1349"/>
      <c r="L50" s="284"/>
      <c r="M50" s="1350" t="s">
        <v>284</v>
      </c>
      <c r="N50" s="1350"/>
      <c r="O50" s="1350"/>
      <c r="P50" s="1350"/>
      <c r="Q50" s="1350"/>
      <c r="R50" s="1350"/>
      <c r="S50" s="1350"/>
      <c r="T50" s="1350"/>
      <c r="Y50" s="285"/>
    </row>
    <row r="51" spans="2:25" x14ac:dyDescent="0.3">
      <c r="B51" s="286"/>
      <c r="L51" s="284"/>
      <c r="Y51" s="285"/>
    </row>
    <row r="52" spans="2:25" x14ac:dyDescent="0.3">
      <c r="B52" s="286"/>
      <c r="L52" s="284"/>
      <c r="T52"/>
      <c r="Y52" s="285"/>
    </row>
    <row r="53" spans="2:25" x14ac:dyDescent="0.3">
      <c r="B53" s="286"/>
      <c r="D53" s="2" t="s">
        <v>148</v>
      </c>
      <c r="E53" s="2" t="s">
        <v>149</v>
      </c>
      <c r="F53"/>
      <c r="G53"/>
      <c r="H53"/>
      <c r="I53"/>
      <c r="J53"/>
      <c r="L53" s="284"/>
      <c r="N53" s="2" t="s">
        <v>285</v>
      </c>
      <c r="O53" s="2" t="s">
        <v>286</v>
      </c>
      <c r="P53"/>
      <c r="Q53"/>
      <c r="R53"/>
      <c r="S53"/>
      <c r="T53"/>
      <c r="Y53" s="285"/>
    </row>
    <row r="54" spans="2:25" s="471" customFormat="1" ht="86.4" x14ac:dyDescent="0.3">
      <c r="B54" s="470"/>
      <c r="D54" s="474" t="s">
        <v>152</v>
      </c>
      <c r="E54" s="588" t="s">
        <v>272</v>
      </c>
      <c r="F54" s="588" t="s">
        <v>275</v>
      </c>
      <c r="G54" s="588" t="s">
        <v>273</v>
      </c>
      <c r="H54" s="588" t="s">
        <v>271</v>
      </c>
      <c r="I54" s="588" t="s">
        <v>274</v>
      </c>
      <c r="J54" s="588" t="s">
        <v>25</v>
      </c>
      <c r="L54" s="472"/>
      <c r="N54" s="605" t="s">
        <v>287</v>
      </c>
      <c r="O54" s="588" t="s">
        <v>272</v>
      </c>
      <c r="P54" s="588" t="s">
        <v>275</v>
      </c>
      <c r="Q54" s="588" t="s">
        <v>273</v>
      </c>
      <c r="R54" s="588" t="s">
        <v>271</v>
      </c>
      <c r="S54" s="588" t="s">
        <v>274</v>
      </c>
      <c r="T54" s="588" t="s">
        <v>25</v>
      </c>
      <c r="Y54" s="473"/>
    </row>
    <row r="55" spans="2:25" x14ac:dyDescent="0.3">
      <c r="B55" s="286"/>
      <c r="D55" s="1" t="s">
        <v>30</v>
      </c>
      <c r="E55" s="589">
        <v>140</v>
      </c>
      <c r="F55" s="589">
        <v>31</v>
      </c>
      <c r="G55" s="589"/>
      <c r="H55" s="589">
        <v>6871</v>
      </c>
      <c r="I55" s="589">
        <v>6263</v>
      </c>
      <c r="J55" s="589">
        <v>13305</v>
      </c>
      <c r="L55" s="284"/>
      <c r="N55" s="1221" t="s">
        <v>30</v>
      </c>
      <c r="O55" s="1220">
        <v>140</v>
      </c>
      <c r="P55" s="1220">
        <v>31</v>
      </c>
      <c r="Q55" s="1220"/>
      <c r="R55" s="1220">
        <v>6871</v>
      </c>
      <c r="S55" s="1220">
        <v>6263</v>
      </c>
      <c r="T55" s="1220">
        <v>13305</v>
      </c>
      <c r="Y55" s="285"/>
    </row>
    <row r="56" spans="2:25" x14ac:dyDescent="0.3">
      <c r="B56" s="286"/>
      <c r="D56" s="3" t="s">
        <v>156</v>
      </c>
      <c r="E56" s="589"/>
      <c r="F56" s="589"/>
      <c r="G56" s="589"/>
      <c r="H56" s="589"/>
      <c r="I56" s="589">
        <v>2940</v>
      </c>
      <c r="J56" s="589">
        <v>2940</v>
      </c>
      <c r="L56" s="284"/>
      <c r="N56" s="3" t="s">
        <v>157</v>
      </c>
      <c r="O56" s="391"/>
      <c r="P56" s="391"/>
      <c r="Q56" s="391"/>
      <c r="R56" s="391"/>
      <c r="S56" s="391">
        <v>390</v>
      </c>
      <c r="T56" s="391">
        <v>390</v>
      </c>
      <c r="Y56" s="285"/>
    </row>
    <row r="57" spans="2:25" x14ac:dyDescent="0.3">
      <c r="B57" s="286"/>
      <c r="D57" s="3" t="s">
        <v>157</v>
      </c>
      <c r="E57" s="589"/>
      <c r="F57" s="589"/>
      <c r="G57" s="589"/>
      <c r="H57" s="589"/>
      <c r="I57" s="589">
        <v>390</v>
      </c>
      <c r="J57" s="589">
        <v>390</v>
      </c>
      <c r="L57" s="284"/>
      <c r="N57" s="3" t="s">
        <v>158</v>
      </c>
      <c r="O57" s="391"/>
      <c r="P57" s="391"/>
      <c r="Q57" s="391"/>
      <c r="R57" s="391">
        <v>283</v>
      </c>
      <c r="S57" s="391"/>
      <c r="T57" s="391">
        <v>283</v>
      </c>
      <c r="Y57" s="285"/>
    </row>
    <row r="58" spans="2:25" x14ac:dyDescent="0.3">
      <c r="B58" s="286"/>
      <c r="D58" s="3" t="s">
        <v>158</v>
      </c>
      <c r="E58" s="589"/>
      <c r="F58" s="589"/>
      <c r="G58" s="589"/>
      <c r="H58" s="589">
        <v>283</v>
      </c>
      <c r="I58" s="589"/>
      <c r="J58" s="589">
        <v>283</v>
      </c>
      <c r="L58" s="284"/>
      <c r="N58" s="3" t="s">
        <v>159</v>
      </c>
      <c r="O58" s="391"/>
      <c r="P58" s="391"/>
      <c r="Q58" s="391"/>
      <c r="R58" s="391">
        <v>233</v>
      </c>
      <c r="S58" s="391">
        <v>719</v>
      </c>
      <c r="T58" s="391">
        <v>952</v>
      </c>
      <c r="Y58" s="285"/>
    </row>
    <row r="59" spans="2:25" x14ac:dyDescent="0.3">
      <c r="B59" s="286"/>
      <c r="D59" s="3" t="s">
        <v>159</v>
      </c>
      <c r="E59" s="589"/>
      <c r="F59" s="589"/>
      <c r="G59" s="589"/>
      <c r="H59" s="589">
        <v>233</v>
      </c>
      <c r="I59" s="589">
        <v>719</v>
      </c>
      <c r="J59" s="589">
        <v>952</v>
      </c>
      <c r="L59" s="284"/>
      <c r="N59" s="3" t="s">
        <v>160</v>
      </c>
      <c r="O59" s="391"/>
      <c r="P59" s="391"/>
      <c r="Q59" s="391"/>
      <c r="R59" s="391">
        <v>1157</v>
      </c>
      <c r="S59" s="391">
        <v>831</v>
      </c>
      <c r="T59" s="391">
        <v>1988</v>
      </c>
      <c r="Y59" s="285"/>
    </row>
    <row r="60" spans="2:25" x14ac:dyDescent="0.3">
      <c r="B60" s="286"/>
      <c r="D60" s="3" t="s">
        <v>160</v>
      </c>
      <c r="E60" s="589"/>
      <c r="F60" s="589"/>
      <c r="G60" s="589"/>
      <c r="H60" s="589">
        <v>1157</v>
      </c>
      <c r="I60" s="589">
        <v>831</v>
      </c>
      <c r="J60" s="589">
        <v>1988</v>
      </c>
      <c r="L60" s="284"/>
      <c r="N60" s="3" t="s">
        <v>161</v>
      </c>
      <c r="O60" s="391"/>
      <c r="P60" s="391">
        <v>31</v>
      </c>
      <c r="Q60" s="391"/>
      <c r="R60" s="391">
        <v>2449</v>
      </c>
      <c r="S60" s="391">
        <v>687</v>
      </c>
      <c r="T60" s="391">
        <v>3167</v>
      </c>
      <c r="Y60" s="285"/>
    </row>
    <row r="61" spans="2:25" x14ac:dyDescent="0.3">
      <c r="B61" s="286"/>
      <c r="D61" s="3" t="s">
        <v>161</v>
      </c>
      <c r="E61" s="589"/>
      <c r="F61" s="589">
        <v>31</v>
      </c>
      <c r="G61" s="589"/>
      <c r="H61" s="589">
        <v>2449</v>
      </c>
      <c r="I61" s="589">
        <v>687</v>
      </c>
      <c r="J61" s="589">
        <v>3167</v>
      </c>
      <c r="L61" s="284"/>
      <c r="N61" s="3" t="s">
        <v>162</v>
      </c>
      <c r="O61" s="391">
        <v>140</v>
      </c>
      <c r="P61" s="391"/>
      <c r="Q61" s="391"/>
      <c r="R61" s="391">
        <v>2647</v>
      </c>
      <c r="S61" s="391">
        <v>696</v>
      </c>
      <c r="T61" s="391">
        <v>3483</v>
      </c>
      <c r="Y61" s="285"/>
    </row>
    <row r="62" spans="2:25" x14ac:dyDescent="0.3">
      <c r="B62" s="286"/>
      <c r="D62" s="3" t="s">
        <v>163</v>
      </c>
      <c r="E62" s="589"/>
      <c r="F62" s="589"/>
      <c r="G62" s="589"/>
      <c r="H62" s="589">
        <v>102</v>
      </c>
      <c r="I62" s="589"/>
      <c r="J62" s="589">
        <v>102</v>
      </c>
      <c r="L62" s="284"/>
      <c r="N62" s="3" t="s">
        <v>163</v>
      </c>
      <c r="O62" s="391"/>
      <c r="P62" s="391"/>
      <c r="Q62" s="391"/>
      <c r="R62" s="391">
        <v>102</v>
      </c>
      <c r="S62" s="391"/>
      <c r="T62" s="391">
        <v>102</v>
      </c>
      <c r="Y62" s="285"/>
    </row>
    <row r="63" spans="2:25" x14ac:dyDescent="0.3">
      <c r="B63" s="286"/>
      <c r="D63" s="3" t="s">
        <v>162</v>
      </c>
      <c r="E63" s="589">
        <v>140</v>
      </c>
      <c r="F63" s="589"/>
      <c r="G63" s="589"/>
      <c r="H63" s="589">
        <v>2647</v>
      </c>
      <c r="I63" s="589">
        <v>696</v>
      </c>
      <c r="J63" s="589">
        <v>3483</v>
      </c>
      <c r="L63" s="284"/>
      <c r="N63" s="3" t="s">
        <v>156</v>
      </c>
      <c r="O63" s="391"/>
      <c r="P63" s="391"/>
      <c r="Q63" s="391"/>
      <c r="R63" s="391"/>
      <c r="S63" s="391">
        <v>2940</v>
      </c>
      <c r="T63" s="391">
        <v>2940</v>
      </c>
      <c r="Y63" s="285"/>
    </row>
    <row r="64" spans="2:25" x14ac:dyDescent="0.3">
      <c r="B64" s="286"/>
      <c r="D64" s="1" t="s">
        <v>31</v>
      </c>
      <c r="E64" s="589">
        <v>24231</v>
      </c>
      <c r="F64" s="589">
        <v>2394</v>
      </c>
      <c r="G64" s="589">
        <v>1232</v>
      </c>
      <c r="H64" s="589">
        <v>189575</v>
      </c>
      <c r="I64" s="589">
        <v>38452</v>
      </c>
      <c r="J64" s="589">
        <v>255884</v>
      </c>
      <c r="L64" s="284"/>
      <c r="N64" s="1" t="s">
        <v>31</v>
      </c>
      <c r="O64" s="391">
        <v>24231</v>
      </c>
      <c r="P64" s="391">
        <v>2394</v>
      </c>
      <c r="Q64" s="391">
        <v>1232</v>
      </c>
      <c r="R64" s="391">
        <v>189575</v>
      </c>
      <c r="S64" s="391">
        <v>38452</v>
      </c>
      <c r="T64" s="391">
        <v>255884</v>
      </c>
      <c r="Y64" s="285"/>
    </row>
    <row r="65" spans="2:25" x14ac:dyDescent="0.3">
      <c r="B65" s="286"/>
      <c r="D65" s="3" t="s">
        <v>164</v>
      </c>
      <c r="E65" s="589">
        <v>2082</v>
      </c>
      <c r="F65" s="589">
        <v>2306</v>
      </c>
      <c r="G65" s="589"/>
      <c r="H65" s="589">
        <v>10216</v>
      </c>
      <c r="I65" s="589">
        <v>182</v>
      </c>
      <c r="J65" s="589">
        <v>14786</v>
      </c>
      <c r="L65" s="284"/>
      <c r="N65" s="3" t="s">
        <v>164</v>
      </c>
      <c r="O65" s="391">
        <v>2082</v>
      </c>
      <c r="P65" s="391">
        <v>2306</v>
      </c>
      <c r="Q65" s="391"/>
      <c r="R65" s="391">
        <v>10216</v>
      </c>
      <c r="S65" s="391">
        <v>182</v>
      </c>
      <c r="T65" s="391">
        <v>14786</v>
      </c>
      <c r="Y65" s="285"/>
    </row>
    <row r="66" spans="2:25" x14ac:dyDescent="0.3">
      <c r="B66" s="286"/>
      <c r="D66" s="3" t="s">
        <v>165</v>
      </c>
      <c r="E66" s="589"/>
      <c r="F66" s="589"/>
      <c r="G66" s="589"/>
      <c r="H66" s="589">
        <v>6026</v>
      </c>
      <c r="I66" s="589"/>
      <c r="J66" s="589">
        <v>6026</v>
      </c>
      <c r="L66" s="284"/>
      <c r="N66" s="3" t="s">
        <v>165</v>
      </c>
      <c r="O66" s="391"/>
      <c r="P66" s="391"/>
      <c r="Q66" s="391"/>
      <c r="R66" s="391">
        <v>6026</v>
      </c>
      <c r="S66" s="391"/>
      <c r="T66" s="391">
        <v>6026</v>
      </c>
      <c r="Y66" s="285"/>
    </row>
    <row r="67" spans="2:25" x14ac:dyDescent="0.3">
      <c r="B67" s="286"/>
      <c r="D67" s="3" t="s">
        <v>166</v>
      </c>
      <c r="E67" s="589"/>
      <c r="F67" s="589">
        <v>52</v>
      </c>
      <c r="G67" s="589"/>
      <c r="H67" s="589">
        <v>34286</v>
      </c>
      <c r="I67" s="589"/>
      <c r="J67" s="589">
        <v>34338</v>
      </c>
      <c r="L67" s="284"/>
      <c r="N67" s="3" t="s">
        <v>166</v>
      </c>
      <c r="O67" s="391"/>
      <c r="P67" s="391">
        <v>52</v>
      </c>
      <c r="Q67" s="391"/>
      <c r="R67" s="391">
        <v>34286</v>
      </c>
      <c r="S67" s="391"/>
      <c r="T67" s="391">
        <v>34338</v>
      </c>
      <c r="Y67" s="285"/>
    </row>
    <row r="68" spans="2:25" x14ac:dyDescent="0.3">
      <c r="B68" s="286"/>
      <c r="D68" s="3" t="s">
        <v>167</v>
      </c>
      <c r="E68" s="589">
        <v>1203</v>
      </c>
      <c r="F68" s="589"/>
      <c r="G68" s="589">
        <v>1126</v>
      </c>
      <c r="H68" s="589">
        <v>2808</v>
      </c>
      <c r="I68" s="589">
        <v>110</v>
      </c>
      <c r="J68" s="589">
        <v>5247</v>
      </c>
      <c r="L68" s="284"/>
      <c r="N68" s="3" t="s">
        <v>167</v>
      </c>
      <c r="O68" s="391">
        <v>1203</v>
      </c>
      <c r="P68" s="391"/>
      <c r="Q68" s="391">
        <v>1126</v>
      </c>
      <c r="R68" s="391">
        <v>2808</v>
      </c>
      <c r="S68" s="391">
        <v>110</v>
      </c>
      <c r="T68" s="391">
        <v>5247</v>
      </c>
      <c r="Y68" s="285"/>
    </row>
    <row r="69" spans="2:25" x14ac:dyDescent="0.3">
      <c r="B69" s="286"/>
      <c r="D69" s="3" t="s">
        <v>2797</v>
      </c>
      <c r="E69" s="589"/>
      <c r="F69" s="589"/>
      <c r="G69" s="589"/>
      <c r="H69" s="589">
        <v>26575</v>
      </c>
      <c r="I69" s="589"/>
      <c r="J69" s="589">
        <v>26575</v>
      </c>
      <c r="L69" s="284"/>
      <c r="N69" s="3" t="s">
        <v>2797</v>
      </c>
      <c r="O69" s="391"/>
      <c r="P69" s="391"/>
      <c r="Q69" s="391"/>
      <c r="R69" s="391">
        <v>26575</v>
      </c>
      <c r="S69" s="391"/>
      <c r="T69" s="391">
        <v>26575</v>
      </c>
      <c r="Y69" s="285"/>
    </row>
    <row r="70" spans="2:25" x14ac:dyDescent="0.3">
      <c r="B70" s="286"/>
      <c r="D70" s="3" t="s">
        <v>170</v>
      </c>
      <c r="E70" s="589">
        <v>9273</v>
      </c>
      <c r="F70" s="589">
        <v>4</v>
      </c>
      <c r="G70" s="589"/>
      <c r="H70" s="589">
        <v>5474</v>
      </c>
      <c r="I70" s="589">
        <v>2861</v>
      </c>
      <c r="J70" s="589">
        <v>17612</v>
      </c>
      <c r="L70" s="284"/>
      <c r="N70" s="3" t="s">
        <v>169</v>
      </c>
      <c r="O70" s="391">
        <v>8251</v>
      </c>
      <c r="P70" s="391"/>
      <c r="Q70" s="391"/>
      <c r="R70" s="391">
        <v>13665</v>
      </c>
      <c r="S70" s="391">
        <v>28849</v>
      </c>
      <c r="T70" s="391">
        <v>50765</v>
      </c>
      <c r="Y70" s="285"/>
    </row>
    <row r="71" spans="2:25" x14ac:dyDescent="0.3">
      <c r="B71" s="286"/>
      <c r="D71" s="3" t="s">
        <v>169</v>
      </c>
      <c r="E71" s="589">
        <v>8251</v>
      </c>
      <c r="F71" s="589"/>
      <c r="G71" s="589"/>
      <c r="H71" s="589">
        <v>13665</v>
      </c>
      <c r="I71" s="589">
        <v>28849</v>
      </c>
      <c r="J71" s="589">
        <v>50765</v>
      </c>
      <c r="L71" s="284"/>
      <c r="N71" s="3" t="s">
        <v>171</v>
      </c>
      <c r="O71" s="391">
        <v>1954</v>
      </c>
      <c r="P71" s="391">
        <v>32</v>
      </c>
      <c r="Q71" s="391"/>
      <c r="R71" s="391">
        <v>82069</v>
      </c>
      <c r="S71" s="391">
        <v>1795</v>
      </c>
      <c r="T71" s="391">
        <v>85850</v>
      </c>
      <c r="Y71" s="285"/>
    </row>
    <row r="72" spans="2:25" x14ac:dyDescent="0.3">
      <c r="B72" s="286"/>
      <c r="D72" s="3" t="s">
        <v>171</v>
      </c>
      <c r="E72" s="589">
        <v>1954</v>
      </c>
      <c r="F72" s="589">
        <v>32</v>
      </c>
      <c r="G72" s="589"/>
      <c r="H72" s="589">
        <v>82069</v>
      </c>
      <c r="I72" s="589">
        <v>1795</v>
      </c>
      <c r="J72" s="589">
        <v>85850</v>
      </c>
      <c r="L72" s="284"/>
      <c r="N72" s="3" t="s">
        <v>172</v>
      </c>
      <c r="O72" s="391">
        <v>100</v>
      </c>
      <c r="P72" s="391"/>
      <c r="Q72" s="391"/>
      <c r="R72" s="391">
        <v>8456</v>
      </c>
      <c r="S72" s="391">
        <v>4655</v>
      </c>
      <c r="T72" s="391">
        <v>13211</v>
      </c>
      <c r="Y72" s="285"/>
    </row>
    <row r="73" spans="2:25" x14ac:dyDescent="0.3">
      <c r="B73" s="286"/>
      <c r="D73" s="3" t="s">
        <v>172</v>
      </c>
      <c r="E73" s="589">
        <v>100</v>
      </c>
      <c r="F73" s="589"/>
      <c r="G73" s="589"/>
      <c r="H73" s="589">
        <v>8456</v>
      </c>
      <c r="I73" s="589">
        <v>4655</v>
      </c>
      <c r="J73" s="589">
        <v>13211</v>
      </c>
      <c r="L73" s="284"/>
      <c r="N73" s="3" t="s">
        <v>173</v>
      </c>
      <c r="O73" s="391">
        <v>1368</v>
      </c>
      <c r="P73" s="391"/>
      <c r="Q73" s="391">
        <v>106</v>
      </c>
      <c r="R73" s="391"/>
      <c r="S73" s="391"/>
      <c r="T73" s="391">
        <v>1474</v>
      </c>
      <c r="Y73" s="285"/>
    </row>
    <row r="74" spans="2:25" x14ac:dyDescent="0.3">
      <c r="B74" s="286"/>
      <c r="D74" s="3" t="s">
        <v>173</v>
      </c>
      <c r="E74" s="589">
        <v>1368</v>
      </c>
      <c r="F74" s="589"/>
      <c r="G74" s="589">
        <v>106</v>
      </c>
      <c r="H74" s="589"/>
      <c r="I74" s="589"/>
      <c r="J74" s="589">
        <v>1474</v>
      </c>
      <c r="L74" s="284"/>
      <c r="N74" s="3" t="s">
        <v>170</v>
      </c>
      <c r="O74" s="391">
        <v>9273</v>
      </c>
      <c r="P74" s="391">
        <v>4</v>
      </c>
      <c r="Q74" s="391"/>
      <c r="R74" s="391">
        <v>5474</v>
      </c>
      <c r="S74" s="391">
        <v>2861</v>
      </c>
      <c r="T74" s="391">
        <v>17612</v>
      </c>
      <c r="Y74" s="285"/>
    </row>
    <row r="75" spans="2:25" x14ac:dyDescent="0.3">
      <c r="B75" s="286"/>
      <c r="D75" s="1" t="s">
        <v>32</v>
      </c>
      <c r="E75" s="589">
        <v>103225</v>
      </c>
      <c r="F75" s="589">
        <v>180</v>
      </c>
      <c r="G75" s="589"/>
      <c r="H75" s="589">
        <v>172</v>
      </c>
      <c r="I75" s="589">
        <v>5096</v>
      </c>
      <c r="J75" s="589">
        <v>108673</v>
      </c>
      <c r="L75" s="284"/>
      <c r="N75" s="1" t="s">
        <v>32</v>
      </c>
      <c r="O75" s="391">
        <v>103225</v>
      </c>
      <c r="P75" s="391">
        <v>180</v>
      </c>
      <c r="Q75" s="391"/>
      <c r="R75" s="391">
        <v>172</v>
      </c>
      <c r="S75" s="391">
        <v>5096</v>
      </c>
      <c r="T75" s="391">
        <v>108673</v>
      </c>
      <c r="Y75" s="285"/>
    </row>
    <row r="76" spans="2:25" x14ac:dyDescent="0.3">
      <c r="B76" s="286"/>
      <c r="D76" s="3" t="s">
        <v>174</v>
      </c>
      <c r="E76" s="589">
        <v>446</v>
      </c>
      <c r="F76" s="589"/>
      <c r="G76" s="589"/>
      <c r="H76" s="589"/>
      <c r="I76" s="589"/>
      <c r="J76" s="589">
        <v>446</v>
      </c>
      <c r="L76" s="284"/>
      <c r="N76" s="3" t="s">
        <v>175</v>
      </c>
      <c r="O76" s="391">
        <v>13063</v>
      </c>
      <c r="P76" s="391"/>
      <c r="Q76" s="391"/>
      <c r="R76" s="391">
        <v>128</v>
      </c>
      <c r="S76" s="391"/>
      <c r="T76" s="391">
        <v>13191</v>
      </c>
      <c r="Y76" s="285"/>
    </row>
    <row r="77" spans="2:25" x14ac:dyDescent="0.3">
      <c r="B77" s="286"/>
      <c r="D77" s="3" t="s">
        <v>175</v>
      </c>
      <c r="E77" s="589">
        <v>13063</v>
      </c>
      <c r="F77" s="589"/>
      <c r="G77" s="589"/>
      <c r="H77" s="589">
        <v>128</v>
      </c>
      <c r="I77" s="589"/>
      <c r="J77" s="589">
        <v>13191</v>
      </c>
      <c r="L77" s="284"/>
      <c r="N77" s="3" t="s">
        <v>176</v>
      </c>
      <c r="O77" s="391">
        <v>28348</v>
      </c>
      <c r="P77" s="391"/>
      <c r="Q77" s="391"/>
      <c r="R77" s="391">
        <v>18</v>
      </c>
      <c r="S77" s="391"/>
      <c r="T77" s="391">
        <v>28366</v>
      </c>
      <c r="Y77" s="285"/>
    </row>
    <row r="78" spans="2:25" x14ac:dyDescent="0.3">
      <c r="B78" s="286"/>
      <c r="D78" s="3" t="s">
        <v>177</v>
      </c>
      <c r="E78" s="589">
        <v>8905</v>
      </c>
      <c r="F78" s="589"/>
      <c r="G78" s="589"/>
      <c r="H78" s="589"/>
      <c r="I78" s="589"/>
      <c r="J78" s="589">
        <v>8905</v>
      </c>
      <c r="L78" s="284"/>
      <c r="N78" s="3" t="s">
        <v>178</v>
      </c>
      <c r="O78" s="391">
        <v>8632</v>
      </c>
      <c r="P78" s="391">
        <v>180</v>
      </c>
      <c r="Q78" s="391"/>
      <c r="R78" s="391"/>
      <c r="S78" s="391">
        <v>5096</v>
      </c>
      <c r="T78" s="391">
        <v>13908</v>
      </c>
      <c r="Y78" s="285"/>
    </row>
    <row r="79" spans="2:25" x14ac:dyDescent="0.3">
      <c r="B79" s="286"/>
      <c r="D79" s="3" t="s">
        <v>179</v>
      </c>
      <c r="E79" s="589">
        <v>1616</v>
      </c>
      <c r="F79" s="589"/>
      <c r="G79" s="589"/>
      <c r="H79" s="589"/>
      <c r="I79" s="589"/>
      <c r="J79" s="589">
        <v>1616</v>
      </c>
      <c r="L79" s="284"/>
      <c r="N79" s="3" t="s">
        <v>180</v>
      </c>
      <c r="O79" s="391">
        <v>37334</v>
      </c>
      <c r="P79" s="391"/>
      <c r="Q79" s="391"/>
      <c r="R79" s="391"/>
      <c r="S79" s="391"/>
      <c r="T79" s="391">
        <v>37334</v>
      </c>
      <c r="Y79" s="285"/>
    </row>
    <row r="80" spans="2:25" x14ac:dyDescent="0.3">
      <c r="B80" s="286"/>
      <c r="D80" s="3" t="s">
        <v>176</v>
      </c>
      <c r="E80" s="589">
        <v>28348</v>
      </c>
      <c r="F80" s="589"/>
      <c r="G80" s="589"/>
      <c r="H80" s="589">
        <v>18</v>
      </c>
      <c r="I80" s="589"/>
      <c r="J80" s="589">
        <v>28366</v>
      </c>
      <c r="L80" s="284"/>
      <c r="N80" s="3" t="s">
        <v>181</v>
      </c>
      <c r="O80" s="391">
        <v>4881</v>
      </c>
      <c r="P80" s="391"/>
      <c r="Q80" s="391"/>
      <c r="R80" s="391">
        <v>26</v>
      </c>
      <c r="S80" s="391"/>
      <c r="T80" s="391">
        <v>4907</v>
      </c>
      <c r="Y80" s="285"/>
    </row>
    <row r="81" spans="2:25" x14ac:dyDescent="0.3">
      <c r="B81" s="286"/>
      <c r="D81" s="3" t="s">
        <v>178</v>
      </c>
      <c r="E81" s="589">
        <v>8632</v>
      </c>
      <c r="F81" s="589">
        <v>180</v>
      </c>
      <c r="G81" s="589"/>
      <c r="H81" s="589"/>
      <c r="I81" s="589">
        <v>5096</v>
      </c>
      <c r="J81" s="589">
        <v>13908</v>
      </c>
      <c r="L81" s="284"/>
      <c r="N81" s="3" t="s">
        <v>174</v>
      </c>
      <c r="O81" s="391">
        <v>446</v>
      </c>
      <c r="P81" s="391"/>
      <c r="Q81" s="391"/>
      <c r="R81" s="391"/>
      <c r="S81" s="391"/>
      <c r="T81" s="391">
        <v>446</v>
      </c>
      <c r="Y81" s="285"/>
    </row>
    <row r="82" spans="2:25" x14ac:dyDescent="0.3">
      <c r="B82" s="286"/>
      <c r="D82" s="3" t="s">
        <v>180</v>
      </c>
      <c r="E82" s="589">
        <v>37334</v>
      </c>
      <c r="F82" s="589"/>
      <c r="G82" s="589"/>
      <c r="H82" s="589"/>
      <c r="I82" s="589"/>
      <c r="J82" s="589">
        <v>37334</v>
      </c>
      <c r="L82" s="284"/>
      <c r="N82" s="3" t="s">
        <v>177</v>
      </c>
      <c r="O82" s="391">
        <v>8905</v>
      </c>
      <c r="P82" s="391"/>
      <c r="Q82" s="391"/>
      <c r="R82" s="391"/>
      <c r="S82" s="391"/>
      <c r="T82" s="391">
        <v>8905</v>
      </c>
      <c r="Y82" s="285"/>
    </row>
    <row r="83" spans="2:25" x14ac:dyDescent="0.3">
      <c r="B83" s="286"/>
      <c r="D83" s="3" t="s">
        <v>181</v>
      </c>
      <c r="E83" s="589">
        <v>4881</v>
      </c>
      <c r="F83" s="589"/>
      <c r="G83" s="589"/>
      <c r="H83" s="589">
        <v>26</v>
      </c>
      <c r="I83" s="589"/>
      <c r="J83" s="589">
        <v>4907</v>
      </c>
      <c r="L83" s="284"/>
      <c r="N83" s="3" t="s">
        <v>179</v>
      </c>
      <c r="O83" s="391">
        <v>1616</v>
      </c>
      <c r="P83" s="391"/>
      <c r="Q83" s="391"/>
      <c r="R83" s="391"/>
      <c r="S83" s="391"/>
      <c r="T83" s="391">
        <v>1616</v>
      </c>
      <c r="Y83" s="285"/>
    </row>
    <row r="84" spans="2:25" x14ac:dyDescent="0.3">
      <c r="B84" s="286"/>
      <c r="D84" s="1" t="s">
        <v>33</v>
      </c>
      <c r="E84" s="589">
        <v>398</v>
      </c>
      <c r="F84" s="589">
        <v>101</v>
      </c>
      <c r="G84" s="589"/>
      <c r="H84" s="589">
        <v>3629</v>
      </c>
      <c r="I84" s="589">
        <v>1633</v>
      </c>
      <c r="J84" s="589">
        <v>5761</v>
      </c>
      <c r="L84" s="284"/>
      <c r="N84" s="1" t="s">
        <v>33</v>
      </c>
      <c r="O84" s="391">
        <v>398</v>
      </c>
      <c r="P84" s="391">
        <v>101</v>
      </c>
      <c r="Q84" s="391"/>
      <c r="R84" s="391">
        <v>3629</v>
      </c>
      <c r="S84" s="391">
        <v>1633</v>
      </c>
      <c r="T84" s="391">
        <v>5761</v>
      </c>
      <c r="Y84" s="285"/>
    </row>
    <row r="85" spans="2:25" x14ac:dyDescent="0.3">
      <c r="B85" s="286"/>
      <c r="D85" s="3" t="s">
        <v>182</v>
      </c>
      <c r="E85" s="589"/>
      <c r="F85" s="589">
        <v>30</v>
      </c>
      <c r="G85" s="589"/>
      <c r="H85" s="589">
        <v>10</v>
      </c>
      <c r="I85" s="589">
        <v>21</v>
      </c>
      <c r="J85" s="589">
        <v>61</v>
      </c>
      <c r="L85" s="284"/>
      <c r="N85" s="3" t="s">
        <v>182</v>
      </c>
      <c r="O85" s="391"/>
      <c r="P85" s="391">
        <v>30</v>
      </c>
      <c r="Q85" s="391"/>
      <c r="R85" s="391">
        <v>10</v>
      </c>
      <c r="S85" s="391">
        <v>21</v>
      </c>
      <c r="T85" s="391">
        <v>61</v>
      </c>
      <c r="Y85" s="285"/>
    </row>
    <row r="86" spans="2:25" x14ac:dyDescent="0.3">
      <c r="B86" s="286"/>
      <c r="D86" s="3" t="s">
        <v>183</v>
      </c>
      <c r="E86" s="589">
        <v>26</v>
      </c>
      <c r="F86" s="589"/>
      <c r="G86" s="589"/>
      <c r="H86" s="589">
        <v>919</v>
      </c>
      <c r="I86" s="589">
        <v>1240</v>
      </c>
      <c r="J86" s="589">
        <v>2185</v>
      </c>
      <c r="L86" s="284"/>
      <c r="N86" s="3" t="s">
        <v>184</v>
      </c>
      <c r="O86" s="391"/>
      <c r="P86" s="391"/>
      <c r="Q86" s="391"/>
      <c r="R86" s="391">
        <v>99</v>
      </c>
      <c r="S86" s="391">
        <v>33</v>
      </c>
      <c r="T86" s="391">
        <v>132</v>
      </c>
      <c r="Y86" s="285"/>
    </row>
    <row r="87" spans="2:25" x14ac:dyDescent="0.3">
      <c r="B87" s="286"/>
      <c r="D87" s="3" t="s">
        <v>184</v>
      </c>
      <c r="E87" s="589"/>
      <c r="F87" s="589"/>
      <c r="G87" s="589"/>
      <c r="H87" s="589">
        <v>99</v>
      </c>
      <c r="I87" s="589">
        <v>33</v>
      </c>
      <c r="J87" s="589">
        <v>132</v>
      </c>
      <c r="L87" s="284"/>
      <c r="N87" s="3" t="s">
        <v>185</v>
      </c>
      <c r="O87" s="391">
        <v>372</v>
      </c>
      <c r="P87" s="391"/>
      <c r="Q87" s="391"/>
      <c r="R87" s="391">
        <v>2328</v>
      </c>
      <c r="S87" s="391">
        <v>278</v>
      </c>
      <c r="T87" s="391">
        <v>2978</v>
      </c>
      <c r="Y87" s="285"/>
    </row>
    <row r="88" spans="2:25" x14ac:dyDescent="0.3">
      <c r="B88" s="286"/>
      <c r="D88" s="3" t="s">
        <v>185</v>
      </c>
      <c r="E88" s="589">
        <v>372</v>
      </c>
      <c r="F88" s="589"/>
      <c r="G88" s="589"/>
      <c r="H88" s="589">
        <v>2328</v>
      </c>
      <c r="I88" s="589">
        <v>278</v>
      </c>
      <c r="J88" s="589">
        <v>2978</v>
      </c>
      <c r="L88" s="284"/>
      <c r="N88" s="3" t="s">
        <v>186</v>
      </c>
      <c r="O88" s="391"/>
      <c r="P88" s="391">
        <v>71</v>
      </c>
      <c r="Q88" s="391"/>
      <c r="R88" s="391">
        <v>273</v>
      </c>
      <c r="S88" s="391">
        <v>61</v>
      </c>
      <c r="T88" s="391">
        <v>405</v>
      </c>
      <c r="Y88" s="285"/>
    </row>
    <row r="89" spans="2:25" x14ac:dyDescent="0.3">
      <c r="B89" s="286"/>
      <c r="D89" s="3" t="s">
        <v>186</v>
      </c>
      <c r="E89" s="589"/>
      <c r="F89" s="589">
        <v>71</v>
      </c>
      <c r="G89" s="589"/>
      <c r="H89" s="589">
        <v>273</v>
      </c>
      <c r="I89" s="589">
        <v>61</v>
      </c>
      <c r="J89" s="589">
        <v>405</v>
      </c>
      <c r="L89" s="284"/>
      <c r="N89" s="3" t="s">
        <v>183</v>
      </c>
      <c r="O89" s="391">
        <v>26</v>
      </c>
      <c r="P89" s="391"/>
      <c r="Q89" s="391"/>
      <c r="R89" s="391">
        <v>919</v>
      </c>
      <c r="S89" s="391">
        <v>1240</v>
      </c>
      <c r="T89" s="391">
        <v>2185</v>
      </c>
      <c r="Y89" s="285"/>
    </row>
    <row r="90" spans="2:25" x14ac:dyDescent="0.3">
      <c r="B90" s="286"/>
      <c r="D90" s="1" t="s">
        <v>34</v>
      </c>
      <c r="E90" s="589"/>
      <c r="F90" s="589">
        <v>46</v>
      </c>
      <c r="G90" s="589"/>
      <c r="H90" s="589">
        <v>165466</v>
      </c>
      <c r="I90" s="589"/>
      <c r="J90" s="589">
        <v>165512</v>
      </c>
      <c r="L90" s="284"/>
      <c r="N90" s="1" t="s">
        <v>34</v>
      </c>
      <c r="O90" s="391"/>
      <c r="P90" s="391">
        <v>46</v>
      </c>
      <c r="Q90" s="391"/>
      <c r="R90" s="391">
        <v>165466</v>
      </c>
      <c r="S90" s="391"/>
      <c r="T90" s="391">
        <v>165512</v>
      </c>
      <c r="Y90" s="285"/>
    </row>
    <row r="91" spans="2:25" x14ac:dyDescent="0.3">
      <c r="B91" s="286"/>
      <c r="D91" s="3" t="s">
        <v>187</v>
      </c>
      <c r="E91" s="589"/>
      <c r="F91" s="589"/>
      <c r="G91" s="589"/>
      <c r="H91" s="589">
        <v>68171</v>
      </c>
      <c r="I91" s="589"/>
      <c r="J91" s="589">
        <v>68171</v>
      </c>
      <c r="L91" s="284"/>
      <c r="N91" s="3" t="s">
        <v>187</v>
      </c>
      <c r="O91" s="391"/>
      <c r="P91" s="391"/>
      <c r="Q91" s="391"/>
      <c r="R91" s="391">
        <v>68171</v>
      </c>
      <c r="S91" s="391"/>
      <c r="T91" s="391">
        <v>68171</v>
      </c>
      <c r="Y91" s="285"/>
    </row>
    <row r="92" spans="2:25" x14ac:dyDescent="0.3">
      <c r="B92" s="286"/>
      <c r="D92" s="3" t="s">
        <v>188</v>
      </c>
      <c r="E92" s="589"/>
      <c r="F92" s="589">
        <v>46</v>
      </c>
      <c r="G92" s="589"/>
      <c r="H92" s="589">
        <v>92295</v>
      </c>
      <c r="I92" s="589"/>
      <c r="J92" s="589">
        <v>92341</v>
      </c>
      <c r="L92" s="284"/>
      <c r="N92" s="3" t="s">
        <v>188</v>
      </c>
      <c r="O92" s="391"/>
      <c r="P92" s="391">
        <v>46</v>
      </c>
      <c r="Q92" s="391"/>
      <c r="R92" s="391">
        <v>92295</v>
      </c>
      <c r="S92" s="391"/>
      <c r="T92" s="391">
        <v>92341</v>
      </c>
      <c r="Y92" s="285"/>
    </row>
    <row r="93" spans="2:25" x14ac:dyDescent="0.3">
      <c r="B93" s="286"/>
      <c r="D93" s="3" t="s">
        <v>189</v>
      </c>
      <c r="E93" s="589"/>
      <c r="F93" s="589"/>
      <c r="G93" s="589"/>
      <c r="H93" s="589">
        <v>5000</v>
      </c>
      <c r="I93" s="589"/>
      <c r="J93" s="589">
        <v>5000</v>
      </c>
      <c r="L93" s="284"/>
      <c r="N93" s="3" t="s">
        <v>189</v>
      </c>
      <c r="O93" s="391"/>
      <c r="P93" s="391"/>
      <c r="Q93" s="391"/>
      <c r="R93" s="391">
        <v>5000</v>
      </c>
      <c r="S93" s="391"/>
      <c r="T93" s="391">
        <v>5000</v>
      </c>
      <c r="Y93" s="285"/>
    </row>
    <row r="94" spans="2:25" x14ac:dyDescent="0.3">
      <c r="B94" s="286"/>
      <c r="D94" s="1" t="s">
        <v>35</v>
      </c>
      <c r="E94" s="589"/>
      <c r="F94" s="589">
        <v>1194</v>
      </c>
      <c r="G94" s="589"/>
      <c r="H94" s="589">
        <v>130180</v>
      </c>
      <c r="I94" s="589">
        <v>3</v>
      </c>
      <c r="J94" s="589">
        <v>131377</v>
      </c>
      <c r="L94" s="284"/>
      <c r="N94" s="1" t="s">
        <v>35</v>
      </c>
      <c r="O94" s="391"/>
      <c r="P94" s="391">
        <v>1194</v>
      </c>
      <c r="Q94" s="391"/>
      <c r="R94" s="391">
        <v>130180</v>
      </c>
      <c r="S94" s="391">
        <v>3</v>
      </c>
      <c r="T94" s="391">
        <v>131377</v>
      </c>
      <c r="Y94" s="285"/>
    </row>
    <row r="95" spans="2:25" x14ac:dyDescent="0.3">
      <c r="B95" s="286"/>
      <c r="D95" s="3" t="s">
        <v>190</v>
      </c>
      <c r="E95" s="589"/>
      <c r="F95" s="589"/>
      <c r="G95" s="589"/>
      <c r="H95" s="589">
        <v>1893</v>
      </c>
      <c r="I95" s="589"/>
      <c r="J95" s="589">
        <v>1893</v>
      </c>
      <c r="L95" s="284"/>
      <c r="N95" s="3" t="s">
        <v>190</v>
      </c>
      <c r="O95" s="391"/>
      <c r="P95" s="391"/>
      <c r="Q95" s="391"/>
      <c r="R95" s="391">
        <v>1893</v>
      </c>
      <c r="S95" s="391"/>
      <c r="T95" s="391">
        <v>1893</v>
      </c>
      <c r="Y95" s="285"/>
    </row>
    <row r="96" spans="2:25" x14ac:dyDescent="0.3">
      <c r="B96" s="286"/>
      <c r="D96" s="3" t="s">
        <v>191</v>
      </c>
      <c r="E96" s="589"/>
      <c r="F96" s="589">
        <v>6</v>
      </c>
      <c r="G96" s="589"/>
      <c r="H96" s="589">
        <v>968</v>
      </c>
      <c r="I96" s="589"/>
      <c r="J96" s="589">
        <v>974</v>
      </c>
      <c r="L96" s="284"/>
      <c r="N96" s="3" t="s">
        <v>191</v>
      </c>
      <c r="O96" s="391"/>
      <c r="P96" s="391">
        <v>6</v>
      </c>
      <c r="Q96" s="391"/>
      <c r="R96" s="391">
        <v>968</v>
      </c>
      <c r="S96" s="391"/>
      <c r="T96" s="391">
        <v>974</v>
      </c>
      <c r="Y96" s="285"/>
    </row>
    <row r="97" spans="2:25" x14ac:dyDescent="0.3">
      <c r="B97" s="286"/>
      <c r="D97" s="3" t="s">
        <v>192</v>
      </c>
      <c r="E97" s="589"/>
      <c r="F97" s="589">
        <v>16</v>
      </c>
      <c r="G97" s="589"/>
      <c r="H97" s="589">
        <v>42868</v>
      </c>
      <c r="I97" s="589"/>
      <c r="J97" s="589">
        <v>42884</v>
      </c>
      <c r="L97" s="284"/>
      <c r="N97" s="3" t="s">
        <v>192</v>
      </c>
      <c r="O97" s="391"/>
      <c r="P97" s="391">
        <v>16</v>
      </c>
      <c r="Q97" s="391"/>
      <c r="R97" s="391">
        <v>42868</v>
      </c>
      <c r="S97" s="391"/>
      <c r="T97" s="391">
        <v>42884</v>
      </c>
      <c r="Y97" s="285"/>
    </row>
    <row r="98" spans="2:25" x14ac:dyDescent="0.3">
      <c r="B98" s="286"/>
      <c r="D98" s="3" t="s">
        <v>193</v>
      </c>
      <c r="E98" s="589"/>
      <c r="F98" s="589">
        <v>1170</v>
      </c>
      <c r="G98" s="589"/>
      <c r="H98" s="589">
        <v>35728</v>
      </c>
      <c r="I98" s="589"/>
      <c r="J98" s="589">
        <v>36898</v>
      </c>
      <c r="L98" s="284"/>
      <c r="N98" s="3" t="s">
        <v>193</v>
      </c>
      <c r="O98" s="391"/>
      <c r="P98" s="391">
        <v>1170</v>
      </c>
      <c r="Q98" s="391"/>
      <c r="R98" s="391">
        <v>35728</v>
      </c>
      <c r="S98" s="391"/>
      <c r="T98" s="391">
        <v>36898</v>
      </c>
      <c r="Y98" s="285"/>
    </row>
    <row r="99" spans="2:25" x14ac:dyDescent="0.3">
      <c r="B99" s="286"/>
      <c r="D99" s="3" t="s">
        <v>194</v>
      </c>
      <c r="E99" s="589"/>
      <c r="F99" s="589"/>
      <c r="G99" s="589"/>
      <c r="H99" s="589">
        <v>2109</v>
      </c>
      <c r="I99" s="589"/>
      <c r="J99" s="589">
        <v>2109</v>
      </c>
      <c r="L99" s="284"/>
      <c r="N99" s="3" t="s">
        <v>195</v>
      </c>
      <c r="O99" s="391"/>
      <c r="P99" s="391">
        <v>2</v>
      </c>
      <c r="Q99" s="391"/>
      <c r="R99" s="391">
        <v>46024</v>
      </c>
      <c r="S99" s="391"/>
      <c r="T99" s="391">
        <v>46026</v>
      </c>
      <c r="Y99" s="285"/>
    </row>
    <row r="100" spans="2:25" x14ac:dyDescent="0.3">
      <c r="B100" s="286"/>
      <c r="D100" s="3" t="s">
        <v>195</v>
      </c>
      <c r="E100" s="589"/>
      <c r="F100" s="589">
        <v>2</v>
      </c>
      <c r="G100" s="589"/>
      <c r="H100" s="589">
        <v>46024</v>
      </c>
      <c r="I100" s="589"/>
      <c r="J100" s="589">
        <v>46026</v>
      </c>
      <c r="L100" s="284"/>
      <c r="M100"/>
      <c r="N100" s="3" t="s">
        <v>196</v>
      </c>
      <c r="O100" s="391"/>
      <c r="P100" s="391"/>
      <c r="Q100" s="391"/>
      <c r="R100" s="391">
        <v>590</v>
      </c>
      <c r="S100" s="391">
        <v>3</v>
      </c>
      <c r="T100" s="391">
        <v>593</v>
      </c>
      <c r="Y100" s="285"/>
    </row>
    <row r="101" spans="2:25" x14ac:dyDescent="0.3">
      <c r="B101" s="286"/>
      <c r="D101" s="3" t="s">
        <v>196</v>
      </c>
      <c r="E101" s="589"/>
      <c r="F101" s="589"/>
      <c r="G101" s="589"/>
      <c r="H101" s="589">
        <v>590</v>
      </c>
      <c r="I101" s="589">
        <v>3</v>
      </c>
      <c r="J101" s="589">
        <v>593</v>
      </c>
      <c r="L101" s="284"/>
      <c r="N101" s="3" t="s">
        <v>194</v>
      </c>
      <c r="O101" s="391"/>
      <c r="P101" s="391"/>
      <c r="Q101" s="391"/>
      <c r="R101" s="391">
        <v>2109</v>
      </c>
      <c r="S101" s="391"/>
      <c r="T101" s="391">
        <v>2109</v>
      </c>
      <c r="Y101" s="285"/>
    </row>
    <row r="102" spans="2:25" x14ac:dyDescent="0.3">
      <c r="B102" s="286"/>
      <c r="D102" s="1" t="s">
        <v>25</v>
      </c>
      <c r="E102" s="589">
        <v>127994</v>
      </c>
      <c r="F102" s="589">
        <v>3946</v>
      </c>
      <c r="G102" s="589">
        <v>1232</v>
      </c>
      <c r="H102" s="589">
        <v>495893</v>
      </c>
      <c r="I102" s="589">
        <v>51447</v>
      </c>
      <c r="J102" s="589">
        <v>680512</v>
      </c>
      <c r="L102" s="284"/>
      <c r="N102" s="1" t="s">
        <v>25</v>
      </c>
      <c r="O102" s="391">
        <v>127994</v>
      </c>
      <c r="P102" s="391">
        <v>3946</v>
      </c>
      <c r="Q102" s="391">
        <v>1232</v>
      </c>
      <c r="R102" s="391">
        <v>495893</v>
      </c>
      <c r="S102" s="391">
        <v>51447</v>
      </c>
      <c r="T102" s="391">
        <v>680512</v>
      </c>
      <c r="Y102" s="285"/>
    </row>
    <row r="103" spans="2:25" x14ac:dyDescent="0.3">
      <c r="B103" s="288"/>
      <c r="C103" s="289"/>
      <c r="D103" s="289"/>
      <c r="E103" s="289"/>
      <c r="F103" s="289"/>
      <c r="G103" s="289"/>
      <c r="H103" s="289"/>
      <c r="I103" s="289"/>
      <c r="J103" s="289"/>
      <c r="K103" s="289"/>
      <c r="L103" s="284"/>
      <c r="M103" s="289"/>
      <c r="N103" s="289"/>
      <c r="O103" s="289"/>
      <c r="P103" s="289"/>
      <c r="Q103" s="289"/>
      <c r="R103" s="289"/>
      <c r="S103" s="289"/>
      <c r="T103" s="289"/>
      <c r="U103" s="289"/>
      <c r="V103" s="289"/>
      <c r="W103" s="289"/>
      <c r="X103" s="289"/>
      <c r="Y103" s="291"/>
    </row>
    <row r="104" spans="2:25" ht="15" thickBot="1" x14ac:dyDescent="0.35">
      <c r="L104" s="284"/>
    </row>
    <row r="105" spans="2:25" x14ac:dyDescent="0.3">
      <c r="C105" s="311"/>
      <c r="L105" s="284"/>
    </row>
    <row r="106" spans="2:25" x14ac:dyDescent="0.3">
      <c r="L106" s="284"/>
    </row>
    <row r="107" spans="2:25" x14ac:dyDescent="0.3">
      <c r="L107" s="290"/>
    </row>
    <row r="108" spans="2:25" x14ac:dyDescent="0.3">
      <c r="B108" s="1348" t="s">
        <v>288</v>
      </c>
      <c r="C108" s="1349"/>
      <c r="D108" s="1349"/>
      <c r="E108" s="1349"/>
      <c r="F108" s="1349"/>
      <c r="G108" s="1349"/>
      <c r="H108" s="1349"/>
      <c r="I108" s="1349"/>
      <c r="J108" s="1349"/>
      <c r="K108" s="1349"/>
      <c r="L108" s="284"/>
      <c r="M108" s="1349" t="s">
        <v>289</v>
      </c>
      <c r="N108" s="1349"/>
      <c r="O108" s="1349"/>
      <c r="P108" s="1349"/>
      <c r="Q108" s="1349"/>
      <c r="R108" s="1349"/>
      <c r="S108" s="1349"/>
      <c r="T108" s="1349"/>
      <c r="U108" s="283"/>
      <c r="V108" s="283"/>
      <c r="W108" s="283"/>
      <c r="X108" s="283"/>
      <c r="Y108" s="292"/>
    </row>
    <row r="109" spans="2:25" x14ac:dyDescent="0.3">
      <c r="B109" s="286"/>
      <c r="L109" s="284"/>
      <c r="Y109" s="285"/>
    </row>
    <row r="110" spans="2:25" x14ac:dyDescent="0.3">
      <c r="B110" s="286"/>
      <c r="D110" s="410" t="s">
        <v>288</v>
      </c>
      <c r="L110" s="284"/>
      <c r="N110" s="293" t="s">
        <v>289</v>
      </c>
      <c r="Y110" s="285"/>
    </row>
    <row r="111" spans="2:25" ht="15" thickBot="1" x14ac:dyDescent="0.35">
      <c r="B111" s="286"/>
      <c r="L111" s="284"/>
      <c r="Y111" s="285"/>
    </row>
    <row r="112" spans="2:25" ht="66" customHeight="1" thickBot="1" x14ac:dyDescent="0.35">
      <c r="B112" s="286"/>
      <c r="D112" s="294" t="s">
        <v>237</v>
      </c>
      <c r="E112" s="295" t="s">
        <v>271</v>
      </c>
      <c r="F112" s="295" t="s">
        <v>272</v>
      </c>
      <c r="G112" s="295" t="s">
        <v>273</v>
      </c>
      <c r="H112" s="295" t="s">
        <v>274</v>
      </c>
      <c r="I112" s="296" t="s">
        <v>275</v>
      </c>
      <c r="J112" s="296" t="s">
        <v>25</v>
      </c>
      <c r="L112" s="284"/>
      <c r="N112" s="294" t="s">
        <v>136</v>
      </c>
      <c r="O112" s="295" t="s">
        <v>276</v>
      </c>
      <c r="P112" s="295" t="s">
        <v>277</v>
      </c>
      <c r="Q112" s="295" t="s">
        <v>278</v>
      </c>
      <c r="R112" s="295" t="s">
        <v>279</v>
      </c>
      <c r="S112" s="296" t="s">
        <v>280</v>
      </c>
      <c r="T112" s="296" t="s">
        <v>25</v>
      </c>
      <c r="Y112" s="285"/>
    </row>
    <row r="113" spans="2:25" ht="15" thickBot="1" x14ac:dyDescent="0.35">
      <c r="B113" s="286"/>
      <c r="C113" s="297"/>
      <c r="D113" s="298" t="str">
        <f>'Displacement &amp; Returns'!D121</f>
        <v>Avant 2020</v>
      </c>
      <c r="E113" s="299">
        <f>SUMIFS(DisplacementP[Individus],DisplacementP[période],$D113,DisplacementP[raison],E$112)</f>
        <v>272476</v>
      </c>
      <c r="F113" s="299">
        <f>SUMIFS(DisplacementP[Individus],DisplacementP[période],$D113,DisplacementP[raison],F$112)</f>
        <v>17560</v>
      </c>
      <c r="G113" s="299">
        <f>SUMIFS(DisplacementP[Individus],DisplacementP[période],$D113,DisplacementP[raison],G$112)</f>
        <v>0</v>
      </c>
      <c r="H113" s="299">
        <f>SUMIFS(DisplacementP[Individus],DisplacementP[période],$D113,DisplacementP[raison],H$112)</f>
        <v>5103</v>
      </c>
      <c r="I113" s="300">
        <f>SUMIFS(DisplacementP[Individus],DisplacementP[période],$D113,DisplacementP[raison],I$112)</f>
        <v>134</v>
      </c>
      <c r="J113" s="611">
        <f>SUM(E113:I113)</f>
        <v>295273</v>
      </c>
      <c r="L113" s="284"/>
      <c r="M113" s="297"/>
      <c r="N113" s="298" t="str">
        <f>'Displacement &amp; Returns'!W121</f>
        <v>Before 2020</v>
      </c>
      <c r="O113" s="301">
        <f t="shared" ref="O113:R117" si="13">E113</f>
        <v>272476</v>
      </c>
      <c r="P113" s="301">
        <f t="shared" si="13"/>
        <v>17560</v>
      </c>
      <c r="Q113" s="301">
        <f t="shared" si="13"/>
        <v>0</v>
      </c>
      <c r="R113" s="301">
        <f t="shared" si="13"/>
        <v>5103</v>
      </c>
      <c r="S113" s="302">
        <f>I113</f>
        <v>134</v>
      </c>
      <c r="T113" s="670">
        <f>SUM(O113:S113)</f>
        <v>295273</v>
      </c>
      <c r="Y113" s="285"/>
    </row>
    <row r="114" spans="2:25" ht="15" thickBot="1" x14ac:dyDescent="0.35">
      <c r="B114" s="286"/>
      <c r="C114" s="297"/>
      <c r="D114" s="303" t="str">
        <f>'Displacement &amp; Returns'!D122</f>
        <v>En 2020</v>
      </c>
      <c r="E114" s="304">
        <f>SUMIFS(DisplacementP[Individus],DisplacementP[période],$D114,DisplacementP[raison],E$112)</f>
        <v>54134</v>
      </c>
      <c r="F114" s="304">
        <f>SUMIFS(DisplacementP[Individus],DisplacementP[période],$D114,DisplacementP[raison],F$112)</f>
        <v>1624</v>
      </c>
      <c r="G114" s="304">
        <f>SUMIFS(DisplacementP[Individus],DisplacementP[période],$D114,DisplacementP[raison],G$112)</f>
        <v>0</v>
      </c>
      <c r="H114" s="304">
        <f>SUMIFS(DisplacementP[Individus],DisplacementP[période],$D114,DisplacementP[raison],H$112)</f>
        <v>278</v>
      </c>
      <c r="I114" s="304">
        <f>SUMIFS(DisplacementP[Individus],DisplacementP[période],$D114,DisplacementP[raison],I$112)</f>
        <v>184</v>
      </c>
      <c r="J114" s="927">
        <f>SUM(E114:I114)</f>
        <v>56220</v>
      </c>
      <c r="L114" s="284"/>
      <c r="M114" s="297"/>
      <c r="N114" s="303">
        <f>'Displacement &amp; Returns'!W122</f>
        <v>2020</v>
      </c>
      <c r="O114" s="305">
        <f t="shared" si="13"/>
        <v>54134</v>
      </c>
      <c r="P114" s="305">
        <f t="shared" si="13"/>
        <v>1624</v>
      </c>
      <c r="Q114" s="305">
        <f t="shared" si="13"/>
        <v>0</v>
      </c>
      <c r="R114" s="305">
        <f t="shared" si="13"/>
        <v>278</v>
      </c>
      <c r="S114" s="306">
        <f>I114</f>
        <v>184</v>
      </c>
      <c r="T114" s="671">
        <f>SUM(O114:S114)</f>
        <v>56220</v>
      </c>
      <c r="Y114" s="285"/>
    </row>
    <row r="115" spans="2:25" ht="15" thickBot="1" x14ac:dyDescent="0.35">
      <c r="B115" s="286"/>
      <c r="C115" s="297"/>
      <c r="D115" s="298" t="str">
        <f>'Displacement &amp; Returns'!D123</f>
        <v>En 2021</v>
      </c>
      <c r="E115" s="299">
        <f>SUMIFS(DisplacementP[Individus],DisplacementP[période],$D115,DisplacementP[raison],E$112)</f>
        <v>37165</v>
      </c>
      <c r="F115" s="299">
        <f>SUMIFS(DisplacementP[Individus],DisplacementP[période],$D115,DisplacementP[raison],F$112)</f>
        <v>2916</v>
      </c>
      <c r="G115" s="299">
        <f>SUMIFS(DisplacementP[Individus],DisplacementP[période],$D115,DisplacementP[raison],G$112)</f>
        <v>0</v>
      </c>
      <c r="H115" s="299">
        <f>SUMIFS(DisplacementP[Individus],DisplacementP[période],$D115,DisplacementP[raison],H$112)</f>
        <v>6013</v>
      </c>
      <c r="I115" s="300">
        <f>SUMIFS(DisplacementP[Individus],DisplacementP[période],$D115,DisplacementP[raison],I$112)</f>
        <v>150</v>
      </c>
      <c r="J115" s="611">
        <f>SUM(E115:I115)</f>
        <v>46244</v>
      </c>
      <c r="L115" s="284"/>
      <c r="M115" s="297"/>
      <c r="N115" s="298">
        <f>'Displacement &amp; Returns'!W123</f>
        <v>2021</v>
      </c>
      <c r="O115" s="301">
        <f t="shared" si="13"/>
        <v>37165</v>
      </c>
      <c r="P115" s="301">
        <f t="shared" si="13"/>
        <v>2916</v>
      </c>
      <c r="Q115" s="301">
        <f t="shared" si="13"/>
        <v>0</v>
      </c>
      <c r="R115" s="301">
        <f t="shared" si="13"/>
        <v>6013</v>
      </c>
      <c r="S115" s="302">
        <f>I115</f>
        <v>150</v>
      </c>
      <c r="T115" s="670">
        <f>SUM(O115:S115)</f>
        <v>46244</v>
      </c>
      <c r="Y115" s="285"/>
    </row>
    <row r="116" spans="2:25" ht="15" thickBot="1" x14ac:dyDescent="0.35">
      <c r="B116" s="286"/>
      <c r="C116" s="297"/>
      <c r="D116" s="303" t="str">
        <f>'Displacement &amp; Returns'!D124</f>
        <v>Janvier - Aout 2022</v>
      </c>
      <c r="E116" s="304">
        <f>SUMIFS(DisplacementP[Individus],DisplacementP[période],$D116,DisplacementP[raison],E$112)</f>
        <v>81779</v>
      </c>
      <c r="F116" s="304">
        <f>SUMIFS(DisplacementP[Individus],DisplacementP[période],$D116,DisplacementP[raison],F$112)</f>
        <v>4974</v>
      </c>
      <c r="G116" s="304">
        <f>SUMIFS(DisplacementP[Individus],DisplacementP[période],$D116,DisplacementP[raison],G$112)</f>
        <v>954</v>
      </c>
      <c r="H116" s="304">
        <f>SUMIFS(DisplacementP[Individus],DisplacementP[période],$D116,DisplacementP[raison],H$112)</f>
        <v>32736</v>
      </c>
      <c r="I116" s="304">
        <f>SUMIFS(DisplacementP[Individus],DisplacementP[période],$D116,DisplacementP[raison],I$112)</f>
        <v>917</v>
      </c>
      <c r="J116" s="927">
        <f>SUM(E116:I116)</f>
        <v>121360</v>
      </c>
      <c r="L116" s="284"/>
      <c r="M116" s="297"/>
      <c r="N116" s="303" t="str">
        <f>'Displacement &amp; Returns'!W124</f>
        <v>January - August 2022</v>
      </c>
      <c r="O116" s="305">
        <f t="shared" si="13"/>
        <v>81779</v>
      </c>
      <c r="P116" s="305">
        <f t="shared" si="13"/>
        <v>4974</v>
      </c>
      <c r="Q116" s="305">
        <f t="shared" si="13"/>
        <v>954</v>
      </c>
      <c r="R116" s="305">
        <f t="shared" si="13"/>
        <v>32736</v>
      </c>
      <c r="S116" s="306">
        <f>I116</f>
        <v>917</v>
      </c>
      <c r="T116" s="671">
        <f>SUM(O116:S116)</f>
        <v>121360</v>
      </c>
      <c r="Y116" s="285"/>
    </row>
    <row r="117" spans="2:25" ht="15" thickBot="1" x14ac:dyDescent="0.35">
      <c r="B117" s="286"/>
      <c r="C117" s="297"/>
      <c r="D117" s="298" t="str">
        <f>'Displacement &amp; Returns'!D125</f>
        <v>Septembre 2022 – Février 2023</v>
      </c>
      <c r="E117" s="299">
        <f>SUMIFS(DisplacementP[Individus],DisplacementP[période],$D117,DisplacementP[raison],E$112)</f>
        <v>50339</v>
      </c>
      <c r="F117" s="299">
        <f>SUMIFS(DisplacementP[Individus],DisplacementP[période],$D117,DisplacementP[raison],F$112)</f>
        <v>100920</v>
      </c>
      <c r="G117" s="299">
        <f>SUMIFS(DisplacementP[Individus],DisplacementP[période],$D117,DisplacementP[raison],G$112)</f>
        <v>278</v>
      </c>
      <c r="H117" s="299">
        <f>SUMIFS(DisplacementP[Individus],DisplacementP[période],$D117,DisplacementP[raison],H$112)</f>
        <v>7317</v>
      </c>
      <c r="I117" s="300">
        <f>SUMIFS(DisplacementP[Individus],DisplacementP[période],$D117,DisplacementP[raison],I$112)</f>
        <v>2561</v>
      </c>
      <c r="J117" s="611">
        <f>SUM(E117:I117)</f>
        <v>161415</v>
      </c>
      <c r="L117" s="284"/>
      <c r="M117" s="297"/>
      <c r="N117" s="298" t="str">
        <f>'Displacement &amp; Returns'!W125</f>
        <v>September 2022 - February 2023</v>
      </c>
      <c r="O117" s="301">
        <f t="shared" si="13"/>
        <v>50339</v>
      </c>
      <c r="P117" s="301">
        <f t="shared" si="13"/>
        <v>100920</v>
      </c>
      <c r="Q117" s="301">
        <f t="shared" si="13"/>
        <v>278</v>
      </c>
      <c r="R117" s="301">
        <f t="shared" si="13"/>
        <v>7317</v>
      </c>
      <c r="S117" s="302">
        <f>I117</f>
        <v>2561</v>
      </c>
      <c r="T117" s="670">
        <f>SUM(O117:S117)</f>
        <v>161415</v>
      </c>
      <c r="Y117" s="285"/>
    </row>
    <row r="118" spans="2:25" ht="15" thickBot="1" x14ac:dyDescent="0.35">
      <c r="B118" s="286"/>
      <c r="D118" s="307"/>
      <c r="E118" s="308">
        <f t="shared" ref="E118:J118" si="14">SUM(E113:E117)</f>
        <v>495893</v>
      </c>
      <c r="F118" s="308">
        <f t="shared" si="14"/>
        <v>127994</v>
      </c>
      <c r="G118" s="308">
        <f t="shared" si="14"/>
        <v>1232</v>
      </c>
      <c r="H118" s="308">
        <f t="shared" si="14"/>
        <v>51447</v>
      </c>
      <c r="I118" s="308">
        <f t="shared" si="14"/>
        <v>3946</v>
      </c>
      <c r="J118" s="308">
        <f t="shared" si="14"/>
        <v>680512</v>
      </c>
      <c r="L118" s="284"/>
      <c r="N118" s="307"/>
      <c r="O118" s="309">
        <f t="shared" ref="O118:T118" si="15">SUM(O113:O117)</f>
        <v>495893</v>
      </c>
      <c r="P118" s="309">
        <f t="shared" si="15"/>
        <v>127994</v>
      </c>
      <c r="Q118" s="309">
        <f t="shared" si="15"/>
        <v>1232</v>
      </c>
      <c r="R118" s="309">
        <f t="shared" si="15"/>
        <v>51447</v>
      </c>
      <c r="S118" s="309">
        <f t="shared" si="15"/>
        <v>3946</v>
      </c>
      <c r="T118" s="309">
        <f t="shared" si="15"/>
        <v>680512</v>
      </c>
      <c r="Y118" s="285"/>
    </row>
    <row r="119" spans="2:25" x14ac:dyDescent="0.3">
      <c r="B119" s="286"/>
      <c r="E119" s="1211">
        <f>E118/$J$118</f>
        <v>0.72870573920812565</v>
      </c>
      <c r="F119" s="310">
        <f>F118/$J$118</f>
        <v>0.18808485375717107</v>
      </c>
      <c r="G119" s="310">
        <f>G118/$J$118</f>
        <v>1.8104015799868334E-3</v>
      </c>
      <c r="H119" s="310">
        <f>H118/$J$118</f>
        <v>7.5600430264271601E-2</v>
      </c>
      <c r="I119" s="310">
        <f>I118/$J$118</f>
        <v>5.7985751904448416E-3</v>
      </c>
      <c r="J119" s="613">
        <f>SUM(E119:I119)</f>
        <v>1</v>
      </c>
      <c r="L119" s="284"/>
      <c r="O119" s="310">
        <f>E119</f>
        <v>0.72870573920812565</v>
      </c>
      <c r="P119" s="310">
        <f>F119</f>
        <v>0.18808485375717107</v>
      </c>
      <c r="Q119" s="310">
        <f>G119</f>
        <v>1.8104015799868334E-3</v>
      </c>
      <c r="R119" s="310">
        <f>H119</f>
        <v>7.5600430264271601E-2</v>
      </c>
      <c r="S119" s="310">
        <f>I119</f>
        <v>5.7985751904448416E-3</v>
      </c>
      <c r="T119" s="613">
        <f>SUM(O119:S119)</f>
        <v>1</v>
      </c>
      <c r="Y119" s="285"/>
    </row>
    <row r="120" spans="2:25" x14ac:dyDescent="0.3">
      <c r="B120" s="286"/>
      <c r="E120" s="310"/>
      <c r="F120" s="310"/>
      <c r="G120" s="310"/>
      <c r="H120" s="310"/>
      <c r="L120" s="284"/>
      <c r="O120" s="310"/>
      <c r="P120" s="310"/>
      <c r="Q120" s="310"/>
      <c r="R120" s="310"/>
      <c r="Y120" s="285"/>
    </row>
    <row r="121" spans="2:25" x14ac:dyDescent="0.3">
      <c r="B121" s="286"/>
      <c r="D121" s="293" t="s">
        <v>290</v>
      </c>
      <c r="L121" s="284"/>
      <c r="N121" s="293" t="s">
        <v>291</v>
      </c>
      <c r="Y121" s="285"/>
    </row>
    <row r="122" spans="2:25" ht="15" thickBot="1" x14ac:dyDescent="0.35">
      <c r="B122" s="286"/>
      <c r="L122" s="284"/>
      <c r="Y122" s="285"/>
    </row>
    <row r="123" spans="2:25" ht="59.1" customHeight="1" thickBot="1" x14ac:dyDescent="0.35">
      <c r="B123" s="286"/>
      <c r="D123" s="294" t="s">
        <v>237</v>
      </c>
      <c r="E123" s="295" t="s">
        <v>292</v>
      </c>
      <c r="F123" s="295" t="s">
        <v>272</v>
      </c>
      <c r="G123" s="295" t="s">
        <v>273</v>
      </c>
      <c r="H123" s="296" t="s">
        <v>274</v>
      </c>
      <c r="I123" s="296" t="s">
        <v>275</v>
      </c>
      <c r="J123" s="296" t="s">
        <v>25</v>
      </c>
      <c r="L123" s="284"/>
      <c r="N123" s="294" t="s">
        <v>136</v>
      </c>
      <c r="O123" s="295" t="s">
        <v>276</v>
      </c>
      <c r="P123" s="295" t="s">
        <v>277</v>
      </c>
      <c r="Q123" s="295" t="s">
        <v>278</v>
      </c>
      <c r="R123" s="295" t="s">
        <v>279</v>
      </c>
      <c r="S123" s="296" t="s">
        <v>280</v>
      </c>
      <c r="T123" s="296" t="s">
        <v>25</v>
      </c>
      <c r="Y123" s="285"/>
    </row>
    <row r="124" spans="2:25" ht="15" thickBot="1" x14ac:dyDescent="0.35">
      <c r="B124" s="286"/>
      <c r="C124" s="297"/>
      <c r="D124" s="298" t="str">
        <f>$D$113</f>
        <v>Avant 2020</v>
      </c>
      <c r="E124" s="1028">
        <f>E113/$J113</f>
        <v>0.92279348264148775</v>
      </c>
      <c r="F124" s="1028">
        <f>F113/$J113</f>
        <v>5.9470388420207743E-2</v>
      </c>
      <c r="G124" s="1028">
        <f>G113/$J113</f>
        <v>0</v>
      </c>
      <c r="H124" s="1029">
        <f>H113/$J113</f>
        <v>1.7282311623480644E-2</v>
      </c>
      <c r="I124" s="1029">
        <f>I113/$J113</f>
        <v>4.5381731482390872E-4</v>
      </c>
      <c r="J124" s="928">
        <f>SUM('Displacement Reasons'!$E124:$I124)</f>
        <v>1</v>
      </c>
      <c r="L124" s="284"/>
      <c r="M124" s="297"/>
      <c r="N124" s="298" t="str">
        <f>$N$113</f>
        <v>Before 2020</v>
      </c>
      <c r="O124" s="311">
        <f t="shared" ref="O124:R128" si="16">E124</f>
        <v>0.92279348264148775</v>
      </c>
      <c r="P124" s="311">
        <f t="shared" si="16"/>
        <v>5.9470388420207743E-2</v>
      </c>
      <c r="Q124" s="311">
        <f t="shared" si="16"/>
        <v>0</v>
      </c>
      <c r="R124" s="311">
        <f t="shared" si="16"/>
        <v>1.7282311623480644E-2</v>
      </c>
      <c r="S124" s="312">
        <f>H124</f>
        <v>1.7282311623480644E-2</v>
      </c>
      <c r="T124" s="608">
        <f>SUM(O124:S124)</f>
        <v>1.0168284943086567</v>
      </c>
      <c r="Y124" s="285"/>
    </row>
    <row r="125" spans="2:25" ht="15" thickBot="1" x14ac:dyDescent="0.35">
      <c r="B125" s="286"/>
      <c r="C125" s="297"/>
      <c r="D125" s="303" t="str">
        <f>$D$114</f>
        <v>En 2020</v>
      </c>
      <c r="E125" s="1030">
        <f t="shared" ref="E125:E128" si="17">E114/$J114</f>
        <v>0.96289576663109211</v>
      </c>
      <c r="F125" s="1030">
        <f>F114/$J114</f>
        <v>2.8886517253646389E-2</v>
      </c>
      <c r="G125" s="1030">
        <f t="shared" ref="G125:I128" si="18">G114/$J114</f>
        <v>0</v>
      </c>
      <c r="H125" s="1030">
        <f t="shared" si="18"/>
        <v>4.9448594806118821E-3</v>
      </c>
      <c r="I125" s="1030">
        <f t="shared" si="18"/>
        <v>3.2728566346495909E-3</v>
      </c>
      <c r="J125" s="888">
        <f>SUM('Displacement Reasons'!$E125:$I125)</f>
        <v>1</v>
      </c>
      <c r="L125" s="284"/>
      <c r="M125" s="297"/>
      <c r="N125" s="303">
        <f>$N$114</f>
        <v>2020</v>
      </c>
      <c r="O125" s="313">
        <f t="shared" si="16"/>
        <v>0.96289576663109211</v>
      </c>
      <c r="P125" s="313">
        <f t="shared" si="16"/>
        <v>2.8886517253646389E-2</v>
      </c>
      <c r="Q125" s="313">
        <f t="shared" si="16"/>
        <v>0</v>
      </c>
      <c r="R125" s="313">
        <f t="shared" si="16"/>
        <v>4.9448594806118821E-3</v>
      </c>
      <c r="S125" s="314">
        <f>H125</f>
        <v>4.9448594806118821E-3</v>
      </c>
      <c r="T125" s="609">
        <f>SUM(O125:S125)</f>
        <v>1.0016720028459623</v>
      </c>
      <c r="Y125" s="285"/>
    </row>
    <row r="126" spans="2:25" ht="15" thickBot="1" x14ac:dyDescent="0.35">
      <c r="B126" s="286"/>
      <c r="C126" s="297"/>
      <c r="D126" s="298" t="str">
        <f>$D$115</f>
        <v>En 2021</v>
      </c>
      <c r="E126" s="1028">
        <f t="shared" si="17"/>
        <v>0.80367182769656609</v>
      </c>
      <c r="F126" s="1028">
        <f>F115/$J115</f>
        <v>6.3056828994031658E-2</v>
      </c>
      <c r="G126" s="1028">
        <f t="shared" si="18"/>
        <v>0</v>
      </c>
      <c r="H126" s="1029">
        <f t="shared" si="18"/>
        <v>0.13002767926649944</v>
      </c>
      <c r="I126" s="1029">
        <f t="shared" si="18"/>
        <v>3.243664042902863E-3</v>
      </c>
      <c r="J126" s="928">
        <f>SUM('Displacement Reasons'!$E126:$I126)</f>
        <v>1</v>
      </c>
      <c r="L126" s="284"/>
      <c r="M126" s="297"/>
      <c r="N126" s="298">
        <f>$N$115</f>
        <v>2021</v>
      </c>
      <c r="O126" s="311">
        <f t="shared" si="16"/>
        <v>0.80367182769656609</v>
      </c>
      <c r="P126" s="311">
        <f t="shared" si="16"/>
        <v>6.3056828994031658E-2</v>
      </c>
      <c r="Q126" s="311">
        <f t="shared" si="16"/>
        <v>0</v>
      </c>
      <c r="R126" s="311">
        <f t="shared" si="16"/>
        <v>0.13002767926649944</v>
      </c>
      <c r="S126" s="312">
        <f>H126</f>
        <v>0.13002767926649944</v>
      </c>
      <c r="T126" s="608">
        <f>SUM(O126:S126)</f>
        <v>1.1267840152235966</v>
      </c>
      <c r="Y126" s="285"/>
    </row>
    <row r="127" spans="2:25" ht="15" thickBot="1" x14ac:dyDescent="0.35">
      <c r="B127" s="286"/>
      <c r="C127" s="297"/>
      <c r="D127" s="303" t="str">
        <f>$D$116</f>
        <v>Janvier - Aout 2022</v>
      </c>
      <c r="E127" s="1030">
        <f t="shared" si="17"/>
        <v>0.67385464733025713</v>
      </c>
      <c r="F127" s="1030">
        <f>F116/$J116</f>
        <v>4.0985497692814767E-2</v>
      </c>
      <c r="G127" s="1030">
        <f t="shared" si="18"/>
        <v>7.8609096901779835E-3</v>
      </c>
      <c r="H127" s="1030">
        <f t="shared" si="18"/>
        <v>0.26974291364535269</v>
      </c>
      <c r="I127" s="1030">
        <f t="shared" si="18"/>
        <v>7.5560316413974954E-3</v>
      </c>
      <c r="J127" s="888">
        <f>SUM('Displacement Reasons'!$E127:$I127)</f>
        <v>1</v>
      </c>
      <c r="L127" s="284"/>
      <c r="M127" s="297"/>
      <c r="N127" s="303" t="str">
        <f>$N$116</f>
        <v>January - August 2022</v>
      </c>
      <c r="O127" s="313">
        <f t="shared" si="16"/>
        <v>0.67385464733025713</v>
      </c>
      <c r="P127" s="313">
        <f t="shared" si="16"/>
        <v>4.0985497692814767E-2</v>
      </c>
      <c r="Q127" s="313">
        <f t="shared" si="16"/>
        <v>7.8609096901779835E-3</v>
      </c>
      <c r="R127" s="313">
        <f t="shared" si="16"/>
        <v>0.26974291364535269</v>
      </c>
      <c r="S127" s="314">
        <f>H127</f>
        <v>0.26974291364535269</v>
      </c>
      <c r="T127" s="609">
        <f>SUM(O127:S127)</f>
        <v>1.2621868820039552</v>
      </c>
      <c r="Y127" s="285"/>
    </row>
    <row r="128" spans="2:25" ht="15" thickBot="1" x14ac:dyDescent="0.35">
      <c r="B128" s="286"/>
      <c r="C128" s="297"/>
      <c r="D128" s="298" t="str">
        <f>$D$117</f>
        <v>Septembre 2022 – Février 2023</v>
      </c>
      <c r="E128" s="1028">
        <f t="shared" si="17"/>
        <v>0.31186073165443112</v>
      </c>
      <c r="F128" s="1028">
        <f>F117/$J117</f>
        <v>0.62522070439550226</v>
      </c>
      <c r="G128" s="1028">
        <f t="shared" si="18"/>
        <v>1.7222686863054859E-3</v>
      </c>
      <c r="H128" s="1029">
        <f t="shared" si="18"/>
        <v>4.5330359632004463E-2</v>
      </c>
      <c r="I128" s="1029">
        <f t="shared" si="18"/>
        <v>1.5865935631756652E-2</v>
      </c>
      <c r="J128" s="928">
        <f>SUM('Displacement Reasons'!$E128:$I128)</f>
        <v>1</v>
      </c>
      <c r="L128" s="284"/>
      <c r="M128" s="297"/>
      <c r="N128" s="298" t="str">
        <f>$N$117</f>
        <v>September 2022 - February 2023</v>
      </c>
      <c r="O128" s="311">
        <f t="shared" si="16"/>
        <v>0.31186073165443112</v>
      </c>
      <c r="P128" s="311">
        <f t="shared" si="16"/>
        <v>0.62522070439550226</v>
      </c>
      <c r="Q128" s="311">
        <f t="shared" si="16"/>
        <v>1.7222686863054859E-3</v>
      </c>
      <c r="R128" s="311">
        <f t="shared" si="16"/>
        <v>4.5330359632004463E-2</v>
      </c>
      <c r="S128" s="312">
        <f>H128</f>
        <v>4.5330359632004463E-2</v>
      </c>
      <c r="T128" s="608">
        <f>SUM(O128:S128)</f>
        <v>1.0294644240002477</v>
      </c>
      <c r="Y128" s="285"/>
    </row>
    <row r="129" spans="2:25" ht="15" thickBot="1" x14ac:dyDescent="0.35">
      <c r="B129" s="286"/>
      <c r="D129" s="307"/>
      <c r="E129" s="308"/>
      <c r="F129" s="308"/>
      <c r="G129" s="308"/>
      <c r="H129" s="308"/>
      <c r="I129" s="308"/>
      <c r="J129" s="308"/>
      <c r="L129" s="284"/>
      <c r="Y129" s="285"/>
    </row>
    <row r="130" spans="2:25" x14ac:dyDescent="0.3">
      <c r="B130" s="286"/>
      <c r="L130" s="284"/>
      <c r="Y130" s="285"/>
    </row>
    <row r="131" spans="2:25" x14ac:dyDescent="0.3">
      <c r="B131" s="286"/>
      <c r="L131" s="284"/>
      <c r="Y131" s="285"/>
    </row>
    <row r="132" spans="2:25" x14ac:dyDescent="0.3">
      <c r="B132" s="286"/>
      <c r="L132" s="284"/>
      <c r="Y132" s="285"/>
    </row>
    <row r="133" spans="2:25" x14ac:dyDescent="0.3">
      <c r="B133" s="286"/>
      <c r="L133" s="284"/>
      <c r="Y133" s="285"/>
    </row>
    <row r="134" spans="2:25" x14ac:dyDescent="0.3">
      <c r="B134" s="286"/>
      <c r="L134" s="284"/>
      <c r="Y134" s="285"/>
    </row>
    <row r="135" spans="2:25" x14ac:dyDescent="0.3">
      <c r="B135" s="286"/>
      <c r="L135" s="284"/>
      <c r="Y135" s="285"/>
    </row>
    <row r="136" spans="2:25" x14ac:dyDescent="0.3">
      <c r="B136" s="286"/>
      <c r="L136" s="284"/>
      <c r="Y136" s="285"/>
    </row>
    <row r="137" spans="2:25" x14ac:dyDescent="0.3">
      <c r="B137" s="286"/>
      <c r="L137" s="284"/>
      <c r="Y137" s="285"/>
    </row>
    <row r="138" spans="2:25" x14ac:dyDescent="0.3">
      <c r="B138" s="286"/>
      <c r="L138" s="284"/>
      <c r="Y138" s="285"/>
    </row>
    <row r="139" spans="2:25" x14ac:dyDescent="0.3">
      <c r="B139" s="286"/>
      <c r="L139" s="284"/>
      <c r="Y139" s="285"/>
    </row>
    <row r="140" spans="2:25" x14ac:dyDescent="0.3">
      <c r="B140" s="286"/>
      <c r="L140" s="284"/>
      <c r="Y140" s="285"/>
    </row>
    <row r="141" spans="2:25" x14ac:dyDescent="0.3">
      <c r="B141" s="286"/>
      <c r="L141" s="284"/>
      <c r="Y141" s="285"/>
    </row>
    <row r="142" spans="2:25" x14ac:dyDescent="0.3">
      <c r="B142" s="286"/>
      <c r="L142" s="284"/>
      <c r="Y142" s="285"/>
    </row>
    <row r="143" spans="2:25" x14ac:dyDescent="0.3">
      <c r="B143" s="286"/>
      <c r="L143" s="284"/>
      <c r="Y143" s="285"/>
    </row>
    <row r="144" spans="2:25" x14ac:dyDescent="0.3">
      <c r="B144" s="286"/>
      <c r="L144" s="284"/>
      <c r="Y144" s="285"/>
    </row>
    <row r="145" spans="2:25" x14ac:dyDescent="0.3">
      <c r="B145" s="286"/>
      <c r="L145" s="284"/>
      <c r="Y145" s="285"/>
    </row>
    <row r="146" spans="2:25" x14ac:dyDescent="0.3">
      <c r="B146" s="286"/>
      <c r="L146" s="284"/>
      <c r="Y146" s="285"/>
    </row>
    <row r="147" spans="2:25" x14ac:dyDescent="0.3">
      <c r="B147" s="286"/>
      <c r="L147" s="284"/>
      <c r="Y147" s="285"/>
    </row>
    <row r="148" spans="2:25" x14ac:dyDescent="0.3">
      <c r="B148" s="286"/>
      <c r="L148" s="284"/>
      <c r="Y148" s="285"/>
    </row>
    <row r="149" spans="2:25" x14ac:dyDescent="0.3">
      <c r="B149" s="286"/>
      <c r="L149" s="284"/>
      <c r="Y149" s="285"/>
    </row>
    <row r="150" spans="2:25" x14ac:dyDescent="0.3">
      <c r="B150" s="286"/>
      <c r="L150" s="284"/>
      <c r="Y150" s="285"/>
    </row>
    <row r="151" spans="2:25" x14ac:dyDescent="0.3">
      <c r="B151" s="286"/>
      <c r="L151" s="284"/>
      <c r="Y151" s="285"/>
    </row>
    <row r="152" spans="2:25" x14ac:dyDescent="0.3">
      <c r="B152" s="286"/>
      <c r="L152" s="284"/>
      <c r="Y152" s="285"/>
    </row>
    <row r="153" spans="2:25" x14ac:dyDescent="0.3">
      <c r="B153" s="286"/>
      <c r="L153" s="284"/>
      <c r="M153" s="315"/>
      <c r="N153" s="287"/>
      <c r="O153" s="316"/>
      <c r="P153" s="316"/>
      <c r="Q153" s="316"/>
      <c r="R153" s="316"/>
      <c r="S153" s="287"/>
      <c r="Y153" s="285"/>
    </row>
    <row r="154" spans="2:25" x14ac:dyDescent="0.3">
      <c r="B154" s="286"/>
      <c r="C154" s="297"/>
      <c r="E154" s="317"/>
      <c r="F154" s="317"/>
      <c r="G154" s="317"/>
      <c r="H154" s="317"/>
      <c r="L154" s="284"/>
      <c r="M154" s="297"/>
      <c r="O154" s="317"/>
      <c r="P154" s="317"/>
      <c r="Q154" s="317"/>
      <c r="R154" s="317"/>
      <c r="Y154" s="285"/>
    </row>
    <row r="155" spans="2:25" x14ac:dyDescent="0.3">
      <c r="B155" s="286"/>
      <c r="C155" s="297"/>
      <c r="E155" s="317"/>
      <c r="F155" s="317"/>
      <c r="G155" s="317"/>
      <c r="H155" s="317"/>
      <c r="L155" s="284"/>
      <c r="M155" s="297"/>
      <c r="O155" s="317"/>
      <c r="P155" s="317"/>
      <c r="Q155" s="317"/>
      <c r="R155" s="317"/>
      <c r="Y155" s="285"/>
    </row>
    <row r="156" spans="2:25" x14ac:dyDescent="0.3">
      <c r="B156" s="286"/>
      <c r="C156" s="297"/>
      <c r="E156" s="317"/>
      <c r="F156" s="317"/>
      <c r="G156" s="317"/>
      <c r="H156" s="317"/>
      <c r="L156" s="284"/>
      <c r="M156" s="297"/>
      <c r="O156" s="317"/>
      <c r="P156" s="317"/>
      <c r="Q156" s="317"/>
      <c r="R156" s="317"/>
      <c r="Y156" s="285"/>
    </row>
    <row r="157" spans="2:25" x14ac:dyDescent="0.3">
      <c r="B157" s="286"/>
      <c r="C157" s="297"/>
      <c r="E157" s="317"/>
      <c r="F157" s="317"/>
      <c r="G157" s="317"/>
      <c r="H157" s="317"/>
      <c r="L157" s="284"/>
      <c r="M157" s="297"/>
      <c r="O157" s="317"/>
      <c r="P157" s="317"/>
      <c r="Q157" s="317"/>
      <c r="R157" s="317"/>
      <c r="Y157" s="285"/>
    </row>
    <row r="158" spans="2:25" x14ac:dyDescent="0.3">
      <c r="B158" s="286"/>
      <c r="C158" s="297"/>
      <c r="E158" s="317"/>
      <c r="F158" s="317"/>
      <c r="G158" s="317"/>
      <c r="H158" s="317"/>
      <c r="L158" s="284"/>
      <c r="M158" s="297"/>
      <c r="O158" s="317"/>
      <c r="P158" s="317"/>
      <c r="Q158" s="317"/>
      <c r="R158" s="317"/>
      <c r="Y158" s="285"/>
    </row>
    <row r="159" spans="2:25" x14ac:dyDescent="0.3">
      <c r="B159" s="288"/>
      <c r="C159" s="289"/>
      <c r="D159" s="289"/>
      <c r="E159" s="289"/>
      <c r="F159" s="289"/>
      <c r="G159" s="289"/>
      <c r="H159" s="289"/>
      <c r="I159" s="289"/>
      <c r="J159" s="289"/>
      <c r="K159" s="289"/>
      <c r="L159" s="290"/>
      <c r="M159" s="289"/>
      <c r="N159" s="289"/>
      <c r="O159" s="289"/>
      <c r="P159" s="289"/>
      <c r="Q159" s="289"/>
      <c r="R159" s="289"/>
      <c r="S159" s="289"/>
      <c r="T159" s="289"/>
      <c r="U159" s="289"/>
      <c r="V159" s="289"/>
      <c r="W159" s="289"/>
      <c r="X159" s="289"/>
      <c r="Y159" s="291"/>
    </row>
    <row r="160" spans="2:25" x14ac:dyDescent="0.3">
      <c r="L160" s="284"/>
    </row>
    <row r="161" spans="2:25" x14ac:dyDescent="0.3">
      <c r="L161" s="284"/>
    </row>
    <row r="162" spans="2:25" x14ac:dyDescent="0.3">
      <c r="C162" s="289"/>
      <c r="D162" s="289"/>
      <c r="E162" s="289"/>
      <c r="F162" s="289"/>
      <c r="G162" s="289"/>
      <c r="H162" s="289"/>
      <c r="I162" s="289"/>
      <c r="J162" s="289"/>
      <c r="K162" s="289"/>
      <c r="L162" s="290"/>
      <c r="M162" s="289"/>
      <c r="N162" s="289"/>
      <c r="O162" s="289"/>
      <c r="P162" s="289"/>
      <c r="Q162" s="289"/>
      <c r="R162" s="289"/>
    </row>
    <row r="163" spans="2:25" x14ac:dyDescent="0.3">
      <c r="L163" s="284"/>
    </row>
    <row r="164" spans="2:25" x14ac:dyDescent="0.3">
      <c r="B164" s="318"/>
      <c r="C164" s="283"/>
      <c r="D164" s="283"/>
      <c r="E164" s="283"/>
      <c r="F164" s="283"/>
      <c r="G164" s="283"/>
      <c r="H164" s="283"/>
      <c r="I164" s="283"/>
      <c r="J164" s="283"/>
      <c r="K164" s="283"/>
      <c r="L164" s="320"/>
      <c r="M164" s="283"/>
      <c r="N164" s="283"/>
      <c r="O164" s="283"/>
      <c r="P164" s="283"/>
      <c r="Q164" s="283"/>
      <c r="R164" s="283"/>
      <c r="S164" s="283"/>
      <c r="T164" s="283"/>
      <c r="U164" s="283"/>
      <c r="V164" s="283"/>
      <c r="W164" s="283"/>
      <c r="X164" s="283"/>
      <c r="Y164" s="292"/>
    </row>
    <row r="165" spans="2:25" x14ac:dyDescent="0.3">
      <c r="B165" s="286"/>
      <c r="D165" s="293" t="s">
        <v>293</v>
      </c>
      <c r="L165" s="284"/>
      <c r="N165" s="293" t="s">
        <v>294</v>
      </c>
      <c r="Y165" s="285"/>
    </row>
    <row r="166" spans="2:25" ht="15" thickBot="1" x14ac:dyDescent="0.35">
      <c r="B166" s="286"/>
      <c r="L166" s="284"/>
      <c r="Y166" s="285"/>
    </row>
    <row r="167" spans="2:25" s="624" customFormat="1" ht="46.05" customHeight="1" thickBot="1" x14ac:dyDescent="0.35">
      <c r="B167" s="623"/>
      <c r="D167" s="620" t="s">
        <v>48</v>
      </c>
      <c r="E167" s="621" t="s">
        <v>271</v>
      </c>
      <c r="F167" s="621" t="s">
        <v>272</v>
      </c>
      <c r="G167" s="621" t="s">
        <v>273</v>
      </c>
      <c r="H167" s="621" t="s">
        <v>274</v>
      </c>
      <c r="I167" s="622" t="s">
        <v>275</v>
      </c>
      <c r="J167" s="622" t="s">
        <v>25</v>
      </c>
      <c r="L167" s="625"/>
      <c r="N167" s="660" t="s">
        <v>51</v>
      </c>
      <c r="O167" s="661" t="s">
        <v>276</v>
      </c>
      <c r="P167" s="661" t="s">
        <v>277</v>
      </c>
      <c r="Q167" s="661" t="s">
        <v>278</v>
      </c>
      <c r="R167" s="661" t="s">
        <v>279</v>
      </c>
      <c r="S167" s="662" t="s">
        <v>280</v>
      </c>
      <c r="T167" s="662" t="s">
        <v>25</v>
      </c>
      <c r="Y167" s="626"/>
    </row>
    <row r="168" spans="2:25" ht="15" thickBot="1" x14ac:dyDescent="0.35">
      <c r="B168" s="286"/>
      <c r="D168" s="1013" t="s">
        <v>30</v>
      </c>
      <c r="E168" s="1014">
        <f>SUMIFS(DisplacementP[Individus],DisplacementP[adm2_name],$D168,DisplacementP[raison],E$167, DisplacementP[Statut déplacé],"idp")</f>
        <v>6498</v>
      </c>
      <c r="F168" s="1014">
        <f>SUMIFS(DisplacementP[Individus],DisplacementP[adm2_name],$D168,DisplacementP[raison],F$167, DisplacementP[Statut déplacé],"idp")</f>
        <v>140</v>
      </c>
      <c r="G168" s="1014">
        <f>SUMIFS(DisplacementP[Individus],DisplacementP[adm2_name],$D168,DisplacementP[raison],G$167, DisplacementP[Statut déplacé],"idp")</f>
        <v>0</v>
      </c>
      <c r="H168" s="282">
        <f>SUMIFS(DisplacementP[Individus],DisplacementP[adm2_name],$D168,DisplacementP[raison],H$167, DisplacementP[Statut déplacé],"idp")</f>
        <v>5873</v>
      </c>
      <c r="I168" s="1031">
        <f>SUMIFS(DisplacementP[Individus],DisplacementP[adm2_name],$D168,DisplacementP[raison],I$167, DisplacementP[Statut déplacé],"idp")</f>
        <v>31</v>
      </c>
      <c r="J168" s="611">
        <f t="shared" ref="J168:J173" si="19">SUM(E168:I168)</f>
        <v>12542</v>
      </c>
      <c r="L168" s="284"/>
      <c r="N168" s="1013" t="s">
        <v>30</v>
      </c>
      <c r="O168" s="1015">
        <f t="shared" ref="O168:O173" si="20">E168</f>
        <v>6498</v>
      </c>
      <c r="P168" s="1015">
        <f t="shared" ref="P168:P173" si="21">F168</f>
        <v>140</v>
      </c>
      <c r="Q168" s="1015">
        <f t="shared" ref="Q168:R173" si="22">G168</f>
        <v>0</v>
      </c>
      <c r="R168" s="1015">
        <f t="shared" si="22"/>
        <v>5873</v>
      </c>
      <c r="S168" s="1016">
        <f t="shared" ref="S168:S173" si="23">I168</f>
        <v>31</v>
      </c>
      <c r="T168" s="670">
        <f t="shared" ref="T168:T173" si="24">SUM(O168:S168)</f>
        <v>12542</v>
      </c>
      <c r="Y168" s="285"/>
    </row>
    <row r="169" spans="2:25" ht="15" thickBot="1" x14ac:dyDescent="0.35">
      <c r="B169" s="286"/>
      <c r="D169" s="1032" t="s">
        <v>31</v>
      </c>
      <c r="E169" s="1033">
        <f>SUMIFS(DisplacementP[Individus],DisplacementP[adm2_name],$D169,DisplacementP[raison],E$167, DisplacementP[Statut déplacé],"idp")</f>
        <v>134604</v>
      </c>
      <c r="F169" s="1033">
        <f>SUMIFS(DisplacementP[Individus],DisplacementP[adm2_name],$D169,DisplacementP[raison],F$167, DisplacementP[Statut déplacé],"idp")</f>
        <v>14897</v>
      </c>
      <c r="G169" s="1033">
        <f>SUMIFS(DisplacementP[Individus],DisplacementP[adm2_name],$D169,DisplacementP[raison],G$167, DisplacementP[Statut déplacé],"idp")</f>
        <v>1000</v>
      </c>
      <c r="H169" s="1033">
        <f>SUMIFS(DisplacementP[Individus],DisplacementP[adm2_name],$D169,DisplacementP[raison],H$167, DisplacementP[Statut déplacé],"idp")</f>
        <v>9181</v>
      </c>
      <c r="I169" s="1034">
        <f>SUMIFS(DisplacementP[Individus],DisplacementP[adm2_name],$D169,DisplacementP[raison],I$167, DisplacementP[Statut déplacé],"idp")</f>
        <v>2338</v>
      </c>
      <c r="J169" s="634">
        <f t="shared" si="19"/>
        <v>162020</v>
      </c>
      <c r="L169" s="284"/>
      <c r="N169" s="1032" t="s">
        <v>31</v>
      </c>
      <c r="O169" s="1035">
        <f t="shared" si="20"/>
        <v>134604</v>
      </c>
      <c r="P169" s="1035">
        <f t="shared" si="21"/>
        <v>14897</v>
      </c>
      <c r="Q169" s="1035">
        <f t="shared" si="22"/>
        <v>1000</v>
      </c>
      <c r="R169" s="1035">
        <f t="shared" si="22"/>
        <v>9181</v>
      </c>
      <c r="S169" s="1036">
        <f t="shared" si="23"/>
        <v>2338</v>
      </c>
      <c r="T169" s="673">
        <f t="shared" si="24"/>
        <v>162020</v>
      </c>
      <c r="Y169" s="285"/>
    </row>
    <row r="170" spans="2:25" ht="15" thickBot="1" x14ac:dyDescent="0.35">
      <c r="B170" s="286"/>
      <c r="D170" s="1013" t="s">
        <v>32</v>
      </c>
      <c r="E170" s="1014">
        <f>SUMIFS(DisplacementP[Individus],DisplacementP[adm2_name],$D170,DisplacementP[raison],E$167, DisplacementP[Statut déplacé],"idp")</f>
        <v>0</v>
      </c>
      <c r="F170" s="1014">
        <f>SUMIFS(DisplacementP[Individus],DisplacementP[adm2_name],$D170,DisplacementP[raison],F$167, DisplacementP[Statut déplacé],"idp")</f>
        <v>22544</v>
      </c>
      <c r="G170" s="1014">
        <f>SUMIFS(DisplacementP[Individus],DisplacementP[adm2_name],$D170,DisplacementP[raison],G$167, DisplacementP[Statut déplacé],"idp")</f>
        <v>0</v>
      </c>
      <c r="H170" s="282">
        <f>SUMIFS(DisplacementP[Individus],DisplacementP[adm2_name],$D170,DisplacementP[raison],H$167, DisplacementP[Statut déplacé],"idp")</f>
        <v>0</v>
      </c>
      <c r="I170" s="1031">
        <f>SUMIFS(DisplacementP[Individus],DisplacementP[adm2_name],$D170,DisplacementP[raison],I$167, DisplacementP[Statut déplacé],"idp")</f>
        <v>0</v>
      </c>
      <c r="J170" s="611">
        <f t="shared" si="19"/>
        <v>22544</v>
      </c>
      <c r="L170" s="284"/>
      <c r="N170" s="1013" t="s">
        <v>32</v>
      </c>
      <c r="O170" s="1015">
        <f t="shared" si="20"/>
        <v>0</v>
      </c>
      <c r="P170" s="1015">
        <f t="shared" si="21"/>
        <v>22544</v>
      </c>
      <c r="Q170" s="1015">
        <f t="shared" si="22"/>
        <v>0</v>
      </c>
      <c r="R170" s="1015">
        <f t="shared" si="22"/>
        <v>0</v>
      </c>
      <c r="S170" s="1016">
        <f t="shared" si="23"/>
        <v>0</v>
      </c>
      <c r="T170" s="670">
        <f t="shared" si="24"/>
        <v>22544</v>
      </c>
      <c r="Y170" s="285"/>
    </row>
    <row r="171" spans="2:25" ht="15" thickBot="1" x14ac:dyDescent="0.35">
      <c r="B171" s="286"/>
      <c r="D171" s="1032" t="s">
        <v>33</v>
      </c>
      <c r="E171" s="1033">
        <f>SUMIFS(DisplacementP[Individus],DisplacementP[adm2_name],$D171,DisplacementP[raison],E$167, DisplacementP[Statut déplacé],"idp")</f>
        <v>3372</v>
      </c>
      <c r="F171" s="1033">
        <f>SUMIFS(DisplacementP[Individus],DisplacementP[adm2_name],$D171,DisplacementP[raison],F$167, DisplacementP[Statut déplacé],"idp")</f>
        <v>378</v>
      </c>
      <c r="G171" s="1033">
        <f>SUMIFS(DisplacementP[Individus],DisplacementP[adm2_name],$D171,DisplacementP[raison],G$167, DisplacementP[Statut déplacé],"idp")</f>
        <v>0</v>
      </c>
      <c r="H171" s="1033">
        <f>SUMIFS(DisplacementP[Individus],DisplacementP[adm2_name],$D171,DisplacementP[raison],H$167, DisplacementP[Statut déplacé],"idp")</f>
        <v>1085</v>
      </c>
      <c r="I171" s="1034">
        <f>SUMIFS(DisplacementP[Individus],DisplacementP[adm2_name],$D171,DisplacementP[raison],I$167, DisplacementP[Statut déplacé],"idp")</f>
        <v>71</v>
      </c>
      <c r="J171" s="634">
        <f t="shared" si="19"/>
        <v>4906</v>
      </c>
      <c r="L171" s="284"/>
      <c r="N171" s="1032" t="s">
        <v>33</v>
      </c>
      <c r="O171" s="1035">
        <f t="shared" si="20"/>
        <v>3372</v>
      </c>
      <c r="P171" s="1035">
        <f t="shared" si="21"/>
        <v>378</v>
      </c>
      <c r="Q171" s="1035">
        <f t="shared" si="22"/>
        <v>0</v>
      </c>
      <c r="R171" s="1035">
        <f t="shared" si="22"/>
        <v>1085</v>
      </c>
      <c r="S171" s="1036">
        <f t="shared" si="23"/>
        <v>71</v>
      </c>
      <c r="T171" s="673">
        <f t="shared" si="24"/>
        <v>4906</v>
      </c>
      <c r="Y171" s="285"/>
    </row>
    <row r="172" spans="2:25" ht="15" thickBot="1" x14ac:dyDescent="0.35">
      <c r="B172" s="286"/>
      <c r="D172" s="1013" t="s">
        <v>34</v>
      </c>
      <c r="E172" s="1014">
        <f>SUMIFS(DisplacementP[Individus],DisplacementP[adm2_name],$D172,DisplacementP[raison],E$167, DisplacementP[Statut déplacé],"idp")</f>
        <v>124999</v>
      </c>
      <c r="F172" s="1014">
        <f>SUMIFS(DisplacementP[Individus],DisplacementP[adm2_name],$D172,DisplacementP[raison],F$167, DisplacementP[Statut déplacé],"idp")</f>
        <v>0</v>
      </c>
      <c r="G172" s="1014">
        <f>SUMIFS(DisplacementP[Individus],DisplacementP[adm2_name],$D172,DisplacementP[raison],G$167, DisplacementP[Statut déplacé],"idp")</f>
        <v>0</v>
      </c>
      <c r="H172" s="282">
        <f>SUMIFS(DisplacementP[Individus],DisplacementP[adm2_name],$D172,DisplacementP[raison],H$167, DisplacementP[Statut déplacé],"idp")</f>
        <v>0</v>
      </c>
      <c r="I172" s="1031">
        <f>SUMIFS(DisplacementP[Individus],DisplacementP[adm2_name],$D172,DisplacementP[raison],I$167, DisplacementP[Statut déplacé],"idp")</f>
        <v>46</v>
      </c>
      <c r="J172" s="611">
        <f t="shared" si="19"/>
        <v>125045</v>
      </c>
      <c r="L172" s="284"/>
      <c r="N172" s="1013" t="s">
        <v>34</v>
      </c>
      <c r="O172" s="1015">
        <f t="shared" si="20"/>
        <v>124999</v>
      </c>
      <c r="P172" s="1015">
        <f t="shared" si="21"/>
        <v>0</v>
      </c>
      <c r="Q172" s="1015">
        <f t="shared" si="22"/>
        <v>0</v>
      </c>
      <c r="R172" s="1015">
        <f t="shared" si="22"/>
        <v>0</v>
      </c>
      <c r="S172" s="1016">
        <f t="shared" si="23"/>
        <v>46</v>
      </c>
      <c r="T172" s="670">
        <f t="shared" si="24"/>
        <v>125045</v>
      </c>
      <c r="Y172" s="285"/>
    </row>
    <row r="173" spans="2:25" ht="15" thickBot="1" x14ac:dyDescent="0.35">
      <c r="B173" s="286"/>
      <c r="D173" s="1032" t="s">
        <v>35</v>
      </c>
      <c r="E173" s="1033">
        <f>SUMIFS(DisplacementP[Individus],DisplacementP[adm2_name],$D173,DisplacementP[raison],E$167, DisplacementP[Statut déplacé],"idp")</f>
        <v>100776</v>
      </c>
      <c r="F173" s="1033">
        <f>SUMIFS(DisplacementP[Individus],DisplacementP[adm2_name],$D173,DisplacementP[raison],F$167, DisplacementP[Statut déplacé],"idp")</f>
        <v>0</v>
      </c>
      <c r="G173" s="1033">
        <f>SUMIFS(DisplacementP[Individus],DisplacementP[adm2_name],$D173,DisplacementP[raison],G$167, DisplacementP[Statut déplacé],"idp")</f>
        <v>0</v>
      </c>
      <c r="H173" s="1033">
        <f>SUMIFS(DisplacementP[Individus],DisplacementP[adm2_name],$D173,DisplacementP[raison],H$167, DisplacementP[Statut déplacé],"idp")</f>
        <v>0</v>
      </c>
      <c r="I173" s="1034">
        <f>SUMIFS(DisplacementP[Individus],DisplacementP[adm2_name],$D173,DisplacementP[raison],I$167, DisplacementP[Statut déplacé],"idp")</f>
        <v>0</v>
      </c>
      <c r="J173" s="634">
        <f t="shared" si="19"/>
        <v>100776</v>
      </c>
      <c r="L173" s="284"/>
      <c r="N173" s="1032" t="s">
        <v>35</v>
      </c>
      <c r="O173" s="1035">
        <f t="shared" si="20"/>
        <v>100776</v>
      </c>
      <c r="P173" s="1035">
        <f t="shared" si="21"/>
        <v>0</v>
      </c>
      <c r="Q173" s="1035">
        <f t="shared" si="22"/>
        <v>0</v>
      </c>
      <c r="R173" s="1035">
        <f t="shared" si="22"/>
        <v>0</v>
      </c>
      <c r="S173" s="1036">
        <f t="shared" si="23"/>
        <v>0</v>
      </c>
      <c r="T173" s="673">
        <f t="shared" si="24"/>
        <v>100776</v>
      </c>
      <c r="Y173" s="285"/>
    </row>
    <row r="174" spans="2:25" ht="15" thickBot="1" x14ac:dyDescent="0.35">
      <c r="B174" s="286"/>
      <c r="D174" s="614"/>
      <c r="E174" s="615">
        <f t="shared" ref="E174:J174" si="25">SUM(E168:E173)</f>
        <v>370249</v>
      </c>
      <c r="F174" s="615">
        <f t="shared" si="25"/>
        <v>37959</v>
      </c>
      <c r="G174" s="615">
        <f t="shared" si="25"/>
        <v>1000</v>
      </c>
      <c r="H174" s="615">
        <f t="shared" si="25"/>
        <v>16139</v>
      </c>
      <c r="I174" s="615">
        <f t="shared" si="25"/>
        <v>2486</v>
      </c>
      <c r="J174" s="615">
        <f t="shared" si="25"/>
        <v>427833</v>
      </c>
      <c r="L174" s="284"/>
      <c r="N174" s="663"/>
      <c r="O174" s="664">
        <f t="shared" ref="O174:T174" si="26">SUM(O168:O173)</f>
        <v>370249</v>
      </c>
      <c r="P174" s="664">
        <f t="shared" si="26"/>
        <v>37959</v>
      </c>
      <c r="Q174" s="664">
        <f t="shared" si="26"/>
        <v>1000</v>
      </c>
      <c r="R174" s="664">
        <f t="shared" si="26"/>
        <v>16139</v>
      </c>
      <c r="S174" s="664">
        <f t="shared" si="26"/>
        <v>2486</v>
      </c>
      <c r="T174" s="664">
        <f t="shared" si="26"/>
        <v>427833</v>
      </c>
      <c r="Y174" s="285"/>
    </row>
    <row r="175" spans="2:25" x14ac:dyDescent="0.3">
      <c r="B175" s="286"/>
      <c r="E175" s="321">
        <f>E174/$J$174</f>
        <v>0.86540542688385425</v>
      </c>
      <c r="F175" s="321">
        <f>F174/$J$174</f>
        <v>8.8723871230129508E-2</v>
      </c>
      <c r="G175" s="321">
        <f>G174/$J$174</f>
        <v>2.3373606056568802E-3</v>
      </c>
      <c r="H175" s="321">
        <f>H174/$J$174</f>
        <v>3.7722662814696391E-2</v>
      </c>
      <c r="I175" s="321">
        <f>I174/$J$174</f>
        <v>5.8106784656630044E-3</v>
      </c>
      <c r="J175" s="654">
        <f>SUM(E175:I175)</f>
        <v>1</v>
      </c>
      <c r="L175" s="284"/>
      <c r="O175" s="321">
        <f>E175</f>
        <v>0.86540542688385425</v>
      </c>
      <c r="P175" s="321">
        <f>F175</f>
        <v>8.8723871230129508E-2</v>
      </c>
      <c r="Q175" s="321">
        <f>G175</f>
        <v>2.3373606056568802E-3</v>
      </c>
      <c r="R175" s="321">
        <f>H175</f>
        <v>3.7722662814696391E-2</v>
      </c>
      <c r="S175" s="321">
        <f>I175</f>
        <v>5.8106784656630044E-3</v>
      </c>
      <c r="T175" s="929">
        <f>SUM(O175:S175)</f>
        <v>1</v>
      </c>
      <c r="Y175" s="285"/>
    </row>
    <row r="176" spans="2:25" x14ac:dyDescent="0.3">
      <c r="B176" s="286"/>
      <c r="L176" s="284"/>
      <c r="Y176" s="285"/>
    </row>
    <row r="177" spans="2:25" x14ac:dyDescent="0.3">
      <c r="B177" s="286"/>
      <c r="D177" s="293" t="s">
        <v>295</v>
      </c>
      <c r="L177" s="284"/>
      <c r="N177" s="293" t="s">
        <v>296</v>
      </c>
      <c r="Y177" s="285"/>
    </row>
    <row r="178" spans="2:25" ht="15" thickBot="1" x14ac:dyDescent="0.35">
      <c r="B178" s="286"/>
      <c r="L178" s="284"/>
      <c r="Y178" s="285"/>
    </row>
    <row r="179" spans="2:25" s="628" customFormat="1" ht="46.05" customHeight="1" thickBot="1" x14ac:dyDescent="0.35">
      <c r="B179" s="627"/>
      <c r="D179" s="620" t="s">
        <v>48</v>
      </c>
      <c r="E179" s="621" t="s">
        <v>297</v>
      </c>
      <c r="F179" s="621" t="s">
        <v>272</v>
      </c>
      <c r="G179" s="621" t="s">
        <v>273</v>
      </c>
      <c r="H179" s="621" t="s">
        <v>274</v>
      </c>
      <c r="I179" s="622" t="s">
        <v>275</v>
      </c>
      <c r="J179" s="622" t="s">
        <v>25</v>
      </c>
      <c r="L179" s="629"/>
      <c r="N179" s="620" t="s">
        <v>51</v>
      </c>
      <c r="O179" s="621" t="s">
        <v>276</v>
      </c>
      <c r="P179" s="621" t="s">
        <v>277</v>
      </c>
      <c r="Q179" s="621" t="s">
        <v>278</v>
      </c>
      <c r="R179" s="621" t="s">
        <v>279</v>
      </c>
      <c r="S179" s="622" t="s">
        <v>280</v>
      </c>
      <c r="T179" s="622" t="s">
        <v>25</v>
      </c>
      <c r="Y179" s="630"/>
    </row>
    <row r="180" spans="2:25" ht="15" thickBot="1" x14ac:dyDescent="0.35">
      <c r="B180" s="286"/>
      <c r="D180" s="1013" t="s">
        <v>30</v>
      </c>
      <c r="E180" s="324">
        <f>E168/$J$168</f>
        <v>0.51809918673257849</v>
      </c>
      <c r="F180" s="324">
        <f>F168/$J$168</f>
        <v>1.1162494020092489E-2</v>
      </c>
      <c r="G180" s="324">
        <f>G168/$J$168</f>
        <v>0</v>
      </c>
      <c r="H180" s="324">
        <f>H168/$J$168</f>
        <v>0.46826662414287995</v>
      </c>
      <c r="I180" s="323">
        <f>I168/$J$168</f>
        <v>2.4716951044490513E-3</v>
      </c>
      <c r="J180" s="631">
        <f t="shared" ref="J180:J185" si="27">SUM(E180:I180)</f>
        <v>1</v>
      </c>
      <c r="L180" s="284"/>
      <c r="N180" s="1013" t="s">
        <v>30</v>
      </c>
      <c r="O180" s="324">
        <f t="shared" ref="O180:O185" si="28">E180</f>
        <v>0.51809918673257849</v>
      </c>
      <c r="P180" s="324">
        <f t="shared" ref="P180:P185" si="29">F180</f>
        <v>1.1162494020092489E-2</v>
      </c>
      <c r="Q180" s="324">
        <f t="shared" ref="Q180:R185" si="30">G180</f>
        <v>0</v>
      </c>
      <c r="R180" s="324">
        <f t="shared" si="30"/>
        <v>0.46826662414287995</v>
      </c>
      <c r="S180" s="323">
        <f t="shared" ref="S180:S185" si="31">I180</f>
        <v>2.4716951044490513E-3</v>
      </c>
      <c r="T180" s="631">
        <f t="shared" ref="T180:T185" si="32">SUM(O180:S180)</f>
        <v>1</v>
      </c>
      <c r="Y180" s="285"/>
    </row>
    <row r="181" spans="2:25" ht="15" thickBot="1" x14ac:dyDescent="0.35">
      <c r="B181" s="286"/>
      <c r="D181" s="1032" t="s">
        <v>31</v>
      </c>
      <c r="E181" s="617">
        <f>E169/$J$169</f>
        <v>0.83078632267621277</v>
      </c>
      <c r="F181" s="617">
        <f>F169/$J$169</f>
        <v>9.1945438834711762E-2</v>
      </c>
      <c r="G181" s="617">
        <f>G169/$J$169</f>
        <v>6.1720775212936677E-3</v>
      </c>
      <c r="H181" s="617">
        <f>H169/$J$169</f>
        <v>5.6665843722997163E-2</v>
      </c>
      <c r="I181" s="616">
        <f>I169/$J$169</f>
        <v>1.4430317244784595E-2</v>
      </c>
      <c r="J181" s="632">
        <f t="shared" si="27"/>
        <v>1</v>
      </c>
      <c r="L181" s="284"/>
      <c r="N181" s="1032" t="s">
        <v>31</v>
      </c>
      <c r="O181" s="617">
        <f t="shared" si="28"/>
        <v>0.83078632267621277</v>
      </c>
      <c r="P181" s="617">
        <f t="shared" si="29"/>
        <v>9.1945438834711762E-2</v>
      </c>
      <c r="Q181" s="617">
        <f t="shared" si="30"/>
        <v>6.1720775212936677E-3</v>
      </c>
      <c r="R181" s="617">
        <f t="shared" si="30"/>
        <v>5.6665843722997163E-2</v>
      </c>
      <c r="S181" s="616">
        <f t="shared" si="31"/>
        <v>1.4430317244784595E-2</v>
      </c>
      <c r="T181" s="632">
        <f t="shared" si="32"/>
        <v>1</v>
      </c>
      <c r="Y181" s="285"/>
    </row>
    <row r="182" spans="2:25" ht="15" thickBot="1" x14ac:dyDescent="0.35">
      <c r="B182" s="286"/>
      <c r="D182" s="1013" t="s">
        <v>32</v>
      </c>
      <c r="E182" s="324">
        <f>E170/$J$170</f>
        <v>0</v>
      </c>
      <c r="F182" s="324">
        <f>F170/$J$170</f>
        <v>1</v>
      </c>
      <c r="G182" s="324">
        <f>G170/$J$170</f>
        <v>0</v>
      </c>
      <c r="H182" s="324">
        <f>H170/$J$170</f>
        <v>0</v>
      </c>
      <c r="I182" s="323">
        <f>I170/$J$170</f>
        <v>0</v>
      </c>
      <c r="J182" s="631">
        <f t="shared" si="27"/>
        <v>1</v>
      </c>
      <c r="L182" s="284"/>
      <c r="N182" s="1013" t="s">
        <v>32</v>
      </c>
      <c r="O182" s="324">
        <f t="shared" si="28"/>
        <v>0</v>
      </c>
      <c r="P182" s="324">
        <f t="shared" si="29"/>
        <v>1</v>
      </c>
      <c r="Q182" s="324">
        <f t="shared" si="30"/>
        <v>0</v>
      </c>
      <c r="R182" s="324">
        <f t="shared" si="30"/>
        <v>0</v>
      </c>
      <c r="S182" s="323">
        <f t="shared" si="31"/>
        <v>0</v>
      </c>
      <c r="T182" s="631">
        <f t="shared" si="32"/>
        <v>1</v>
      </c>
      <c r="Y182" s="285"/>
    </row>
    <row r="183" spans="2:25" ht="15" thickBot="1" x14ac:dyDescent="0.35">
      <c r="B183" s="286"/>
      <c r="D183" s="1032" t="s">
        <v>33</v>
      </c>
      <c r="E183" s="617">
        <f>E171/$J$171</f>
        <v>0.68732164696290254</v>
      </c>
      <c r="F183" s="617">
        <f>F171/$J$171</f>
        <v>7.7048512026090504E-2</v>
      </c>
      <c r="G183" s="617">
        <f>G171/$J$171</f>
        <v>0</v>
      </c>
      <c r="H183" s="617">
        <f>H171/$J$171</f>
        <v>0.22115776600081533</v>
      </c>
      <c r="I183" s="616">
        <f>I171/$J$171</f>
        <v>1.4472075010191602E-2</v>
      </c>
      <c r="J183" s="632">
        <f t="shared" si="27"/>
        <v>1</v>
      </c>
      <c r="L183" s="284"/>
      <c r="N183" s="1032" t="s">
        <v>33</v>
      </c>
      <c r="O183" s="617">
        <f t="shared" si="28"/>
        <v>0.68732164696290254</v>
      </c>
      <c r="P183" s="617">
        <f t="shared" si="29"/>
        <v>7.7048512026090504E-2</v>
      </c>
      <c r="Q183" s="617">
        <f t="shared" si="30"/>
        <v>0</v>
      </c>
      <c r="R183" s="617">
        <f t="shared" si="30"/>
        <v>0.22115776600081533</v>
      </c>
      <c r="S183" s="616">
        <f t="shared" si="31"/>
        <v>1.4472075010191602E-2</v>
      </c>
      <c r="T183" s="632">
        <f t="shared" si="32"/>
        <v>1</v>
      </c>
      <c r="Y183" s="285"/>
    </row>
    <row r="184" spans="2:25" ht="15" thickBot="1" x14ac:dyDescent="0.35">
      <c r="B184" s="286"/>
      <c r="D184" s="1013" t="s">
        <v>34</v>
      </c>
      <c r="E184" s="324">
        <f>E172/$J$172</f>
        <v>0.99963213243232441</v>
      </c>
      <c r="F184" s="324">
        <f>F172/$J$172</f>
        <v>0</v>
      </c>
      <c r="G184" s="324">
        <f>G172/$J$172</f>
        <v>0</v>
      </c>
      <c r="H184" s="324">
        <f>H172/$J$172</f>
        <v>0</v>
      </c>
      <c r="I184" s="323">
        <f>I172/$J$172</f>
        <v>3.6786756767563677E-4</v>
      </c>
      <c r="J184" s="631">
        <f t="shared" si="27"/>
        <v>1</v>
      </c>
      <c r="L184" s="284"/>
      <c r="N184" s="1013" t="s">
        <v>34</v>
      </c>
      <c r="O184" s="324">
        <f t="shared" si="28"/>
        <v>0.99963213243232441</v>
      </c>
      <c r="P184" s="324">
        <f t="shared" si="29"/>
        <v>0</v>
      </c>
      <c r="Q184" s="324">
        <f t="shared" si="30"/>
        <v>0</v>
      </c>
      <c r="R184" s="324">
        <f t="shared" si="30"/>
        <v>0</v>
      </c>
      <c r="S184" s="323">
        <f t="shared" si="31"/>
        <v>3.6786756767563677E-4</v>
      </c>
      <c r="T184" s="631">
        <f t="shared" si="32"/>
        <v>1</v>
      </c>
      <c r="Y184" s="285"/>
    </row>
    <row r="185" spans="2:25" ht="15" thickBot="1" x14ac:dyDescent="0.35">
      <c r="B185" s="286"/>
      <c r="D185" s="1037" t="s">
        <v>35</v>
      </c>
      <c r="E185" s="618">
        <f>E173/$J$173</f>
        <v>1</v>
      </c>
      <c r="F185" s="618">
        <f>F173/$J$173</f>
        <v>0</v>
      </c>
      <c r="G185" s="618">
        <f>G173/$J$173</f>
        <v>0</v>
      </c>
      <c r="H185" s="618">
        <f>H173/$J$173</f>
        <v>0</v>
      </c>
      <c r="I185" s="619">
        <f>I173/$J$173</f>
        <v>0</v>
      </c>
      <c r="J185" s="633">
        <f t="shared" si="27"/>
        <v>1</v>
      </c>
      <c r="L185" s="284"/>
      <c r="N185" s="1037" t="s">
        <v>35</v>
      </c>
      <c r="O185" s="618">
        <f t="shared" si="28"/>
        <v>1</v>
      </c>
      <c r="P185" s="618">
        <f t="shared" si="29"/>
        <v>0</v>
      </c>
      <c r="Q185" s="618">
        <f t="shared" si="30"/>
        <v>0</v>
      </c>
      <c r="R185" s="618">
        <f t="shared" si="30"/>
        <v>0</v>
      </c>
      <c r="S185" s="619">
        <f t="shared" si="31"/>
        <v>0</v>
      </c>
      <c r="T185" s="633">
        <f t="shared" si="32"/>
        <v>1</v>
      </c>
      <c r="Y185" s="285"/>
    </row>
    <row r="186" spans="2:25" x14ac:dyDescent="0.3">
      <c r="B186" s="286"/>
      <c r="L186" s="284"/>
      <c r="Y186" s="285"/>
    </row>
    <row r="187" spans="2:25" x14ac:dyDescent="0.3">
      <c r="B187" s="286"/>
      <c r="L187" s="284"/>
      <c r="Y187" s="285"/>
    </row>
    <row r="188" spans="2:25" x14ac:dyDescent="0.3">
      <c r="B188" s="286"/>
      <c r="L188" s="284"/>
      <c r="Y188" s="285"/>
    </row>
    <row r="189" spans="2:25" x14ac:dyDescent="0.3">
      <c r="B189" s="286"/>
      <c r="L189" s="284"/>
      <c r="Y189" s="285"/>
    </row>
    <row r="190" spans="2:25" x14ac:dyDescent="0.3">
      <c r="B190" s="286"/>
      <c r="L190" s="284"/>
      <c r="Y190" s="285"/>
    </row>
    <row r="191" spans="2:25" x14ac:dyDescent="0.3">
      <c r="B191" s="286"/>
      <c r="L191" s="284"/>
      <c r="Y191" s="285"/>
    </row>
    <row r="192" spans="2:25" x14ac:dyDescent="0.3">
      <c r="B192" s="286"/>
      <c r="L192" s="284"/>
      <c r="Y192" s="285"/>
    </row>
    <row r="193" spans="2:25" x14ac:dyDescent="0.3">
      <c r="B193" s="286"/>
      <c r="L193" s="284"/>
      <c r="Y193" s="285"/>
    </row>
    <row r="194" spans="2:25" x14ac:dyDescent="0.3">
      <c r="B194" s="286"/>
      <c r="L194" s="284"/>
      <c r="Y194" s="285"/>
    </row>
    <row r="195" spans="2:25" x14ac:dyDescent="0.3">
      <c r="B195" s="286"/>
      <c r="L195" s="284"/>
      <c r="Y195" s="285"/>
    </row>
    <row r="196" spans="2:25" x14ac:dyDescent="0.3">
      <c r="B196" s="286"/>
      <c r="L196" s="284"/>
      <c r="Y196" s="285"/>
    </row>
    <row r="197" spans="2:25" x14ac:dyDescent="0.3">
      <c r="B197" s="286"/>
      <c r="L197" s="284"/>
      <c r="Y197" s="285"/>
    </row>
    <row r="198" spans="2:25" x14ac:dyDescent="0.3">
      <c r="B198" s="286"/>
      <c r="L198" s="284"/>
      <c r="Y198" s="285"/>
    </row>
    <row r="199" spans="2:25" x14ac:dyDescent="0.3">
      <c r="B199" s="286"/>
      <c r="L199" s="284"/>
      <c r="Y199" s="285"/>
    </row>
    <row r="200" spans="2:25" x14ac:dyDescent="0.3">
      <c r="B200" s="286"/>
      <c r="L200" s="284"/>
      <c r="Y200" s="285"/>
    </row>
    <row r="201" spans="2:25" x14ac:dyDescent="0.3">
      <c r="B201" s="286"/>
      <c r="L201" s="284"/>
      <c r="Y201" s="285"/>
    </row>
    <row r="202" spans="2:25" x14ac:dyDescent="0.3">
      <c r="B202" s="286"/>
      <c r="L202" s="284"/>
      <c r="Y202" s="285"/>
    </row>
    <row r="203" spans="2:25" x14ac:dyDescent="0.3">
      <c r="B203" s="286"/>
      <c r="L203" s="284"/>
      <c r="Y203" s="285"/>
    </row>
    <row r="204" spans="2:25" x14ac:dyDescent="0.3">
      <c r="B204" s="286"/>
      <c r="L204" s="284"/>
      <c r="Y204" s="285"/>
    </row>
    <row r="205" spans="2:25" x14ac:dyDescent="0.3">
      <c r="B205" s="286"/>
      <c r="L205" s="284"/>
      <c r="Y205" s="285"/>
    </row>
    <row r="206" spans="2:25" x14ac:dyDescent="0.3">
      <c r="B206" s="286"/>
      <c r="C206" s="882" t="s">
        <v>298</v>
      </c>
      <c r="D206"/>
      <c r="E206"/>
      <c r="F206" s="882" t="s">
        <v>2771</v>
      </c>
      <c r="G206"/>
      <c r="H206"/>
      <c r="I206"/>
      <c r="J206"/>
      <c r="K206"/>
      <c r="L206" s="284"/>
      <c r="Y206" s="285"/>
    </row>
    <row r="207" spans="2:25" x14ac:dyDescent="0.3">
      <c r="B207" s="286"/>
      <c r="C207" s="1" t="s">
        <v>48</v>
      </c>
      <c r="D207" t="s">
        <v>299</v>
      </c>
      <c r="E207" t="s">
        <v>2770</v>
      </c>
      <c r="F207"/>
      <c r="G207"/>
      <c r="H207"/>
      <c r="I207"/>
      <c r="J207"/>
      <c r="K207"/>
      <c r="L207" s="284"/>
      <c r="Y207" s="285"/>
    </row>
    <row r="208" spans="2:25" x14ac:dyDescent="0.3">
      <c r="B208" s="286"/>
      <c r="C208" s="1" t="s">
        <v>32</v>
      </c>
      <c r="D208">
        <f>SUMIFS(sommaire[Menages à reunir],sommaire[Département_nom],Tableau824[[#This Row],[Départements]])</f>
        <v>5</v>
      </c>
      <c r="E208" s="1115">
        <f>Tableau824[[#This Row],[Nombre de ménages à réunir]]/Tableau824[[#Totals],[Nombre de ménages à réunir]]</f>
        <v>1.1764705882352941E-2</v>
      </c>
      <c r="F208"/>
      <c r="G208"/>
      <c r="H208"/>
      <c r="I208"/>
      <c r="J208"/>
      <c r="K208"/>
      <c r="L208" s="284"/>
      <c r="Y208" s="285"/>
    </row>
    <row r="209" spans="2:25" x14ac:dyDescent="0.3">
      <c r="B209" s="286"/>
      <c r="C209" s="1" t="s">
        <v>35</v>
      </c>
      <c r="D209">
        <f>SUMIFS(sommaire[Menages à reunir],sommaire[Département_nom],Tableau824[[#This Row],[Départements]])</f>
        <v>74</v>
      </c>
      <c r="E209" s="1115">
        <f>Tableau824[[#This Row],[Nombre de ménages à réunir]]/Tableau824[[#Totals],[Nombre de ménages à réunir]]</f>
        <v>0.17411764705882352</v>
      </c>
      <c r="F209"/>
      <c r="G209"/>
      <c r="H209"/>
      <c r="I209"/>
      <c r="J209"/>
      <c r="K209"/>
      <c r="L209" s="284"/>
      <c r="Y209" s="285"/>
    </row>
    <row r="210" spans="2:25" x14ac:dyDescent="0.3">
      <c r="B210" s="286"/>
      <c r="C210" s="1" t="s">
        <v>31</v>
      </c>
      <c r="D210">
        <f>SUMIFS(sommaire[Menages à reunir],sommaire[Département_nom],Tableau824[[#This Row],[Départements]])</f>
        <v>241</v>
      </c>
      <c r="E210" s="1115">
        <f>Tableau824[[#This Row],[Nombre de ménages à réunir]]/Tableau824[[#Totals],[Nombre de ménages à réunir]]</f>
        <v>0.56705882352941173</v>
      </c>
      <c r="F210"/>
      <c r="G210"/>
      <c r="H210"/>
      <c r="I210"/>
      <c r="J210"/>
      <c r="K210"/>
      <c r="L210" s="284"/>
      <c r="Y210" s="285"/>
    </row>
    <row r="211" spans="2:25" x14ac:dyDescent="0.3">
      <c r="B211" s="286"/>
      <c r="C211" s="1" t="s">
        <v>34</v>
      </c>
      <c r="D211">
        <f>SUMIFS(sommaire[Menages à reunir],sommaire[Département_nom],Tableau824[[#This Row],[Départements]])</f>
        <v>47</v>
      </c>
      <c r="E211" s="1115">
        <f>Tableau824[[#This Row],[Nombre de ménages à réunir]]/Tableau824[[#Totals],[Nombre de ménages à réunir]]</f>
        <v>0.11058823529411765</v>
      </c>
      <c r="F211"/>
      <c r="G211"/>
      <c r="H211"/>
      <c r="I211"/>
      <c r="J211"/>
      <c r="K211"/>
      <c r="L211" s="284"/>
      <c r="Y211" s="285"/>
    </row>
    <row r="212" spans="2:25" x14ac:dyDescent="0.3">
      <c r="B212" s="286"/>
      <c r="C212" s="1" t="s">
        <v>30</v>
      </c>
      <c r="D212">
        <f>SUMIFS(sommaire[Menages à reunir],sommaire[Département_nom],Tableau824[[#This Row],[Départements]])</f>
        <v>0</v>
      </c>
      <c r="E212" s="1115">
        <f>Tableau824[[#This Row],[Nombre de ménages à réunir]]/Tableau824[[#Totals],[Nombre de ménages à réunir]]</f>
        <v>0</v>
      </c>
      <c r="F212"/>
      <c r="G212"/>
      <c r="H212"/>
      <c r="I212"/>
      <c r="J212"/>
      <c r="K212"/>
      <c r="L212" s="284"/>
      <c r="Y212" s="285"/>
    </row>
    <row r="213" spans="2:25" x14ac:dyDescent="0.3">
      <c r="B213" s="286"/>
      <c r="C213" s="1" t="s">
        <v>33</v>
      </c>
      <c r="D213">
        <f>SUMIFS(sommaire[Menages à reunir],sommaire[Département_nom],Tableau824[[#This Row],[Départements]])</f>
        <v>58</v>
      </c>
      <c r="E213" s="1115">
        <f>Tableau824[[#This Row],[Nombre de ménages à réunir]]/Tableau824[[#Totals],[Nombre de ménages à réunir]]</f>
        <v>0.13647058823529412</v>
      </c>
      <c r="F213"/>
      <c r="G213"/>
      <c r="H213"/>
      <c r="I213"/>
      <c r="J213"/>
      <c r="K213"/>
      <c r="L213" s="284"/>
      <c r="Y213" s="285"/>
    </row>
    <row r="214" spans="2:25" x14ac:dyDescent="0.3">
      <c r="B214" s="286"/>
      <c r="C214" s="1" t="s">
        <v>300</v>
      </c>
      <c r="D214">
        <f>SUM(Tableau824[Nombre de ménages à réunir])</f>
        <v>425</v>
      </c>
      <c r="E214" s="1116">
        <f>SUBTOTAL(109,Tableau824[% ménages à réunir])</f>
        <v>1</v>
      </c>
      <c r="F214"/>
      <c r="G214"/>
      <c r="H214"/>
      <c r="I214"/>
      <c r="J214"/>
      <c r="K214"/>
      <c r="L214" s="284"/>
      <c r="Y214" s="285"/>
    </row>
    <row r="215" spans="2:25" x14ac:dyDescent="0.3">
      <c r="B215" s="286"/>
      <c r="C215"/>
      <c r="D215"/>
      <c r="E215"/>
      <c r="F215"/>
      <c r="G215"/>
      <c r="H215"/>
      <c r="I215"/>
      <c r="J215"/>
      <c r="K215"/>
      <c r="L215" s="284"/>
      <c r="Y215" s="285"/>
    </row>
    <row r="216" spans="2:25" x14ac:dyDescent="0.3">
      <c r="B216" s="286"/>
      <c r="C216"/>
      <c r="D216"/>
      <c r="E216"/>
      <c r="F216"/>
      <c r="G216"/>
      <c r="H216"/>
      <c r="I216"/>
      <c r="J216"/>
      <c r="K216"/>
      <c r="L216" s="284"/>
      <c r="Y216" s="285"/>
    </row>
    <row r="217" spans="2:25" x14ac:dyDescent="0.3">
      <c r="B217" s="286"/>
      <c r="C217"/>
      <c r="D217"/>
      <c r="E217"/>
      <c r="F217"/>
      <c r="G217"/>
      <c r="H217"/>
      <c r="I217"/>
      <c r="J217"/>
      <c r="K217"/>
      <c r="L217" s="284"/>
      <c r="Y217" s="285"/>
    </row>
    <row r="218" spans="2:25" x14ac:dyDescent="0.3">
      <c r="B218" s="286"/>
      <c r="C218"/>
      <c r="D218"/>
      <c r="E218"/>
      <c r="F218"/>
      <c r="G218"/>
      <c r="H218"/>
      <c r="I218"/>
      <c r="J218"/>
      <c r="K218"/>
      <c r="L218" s="284"/>
      <c r="Y218" s="285"/>
    </row>
    <row r="219" spans="2:25" x14ac:dyDescent="0.3">
      <c r="B219" s="286"/>
      <c r="C219"/>
      <c r="D219"/>
      <c r="E219"/>
      <c r="F219"/>
      <c r="G219"/>
      <c r="H219"/>
      <c r="I219"/>
      <c r="J219"/>
      <c r="K219"/>
      <c r="L219" s="284"/>
      <c r="Y219" s="285"/>
    </row>
    <row r="220" spans="2:25" x14ac:dyDescent="0.3">
      <c r="B220" s="286"/>
      <c r="C220"/>
      <c r="D220"/>
      <c r="E220"/>
      <c r="F220"/>
      <c r="G220"/>
      <c r="H220"/>
      <c r="I220"/>
      <c r="J220"/>
      <c r="K220"/>
      <c r="L220" s="284"/>
      <c r="Y220" s="285"/>
    </row>
    <row r="221" spans="2:25" x14ac:dyDescent="0.3">
      <c r="B221" s="286"/>
      <c r="C221"/>
      <c r="D221"/>
      <c r="E221"/>
      <c r="F221"/>
      <c r="G221"/>
      <c r="H221"/>
      <c r="I221"/>
      <c r="J221"/>
      <c r="K221"/>
      <c r="L221" s="284"/>
      <c r="Y221" s="285"/>
    </row>
    <row r="222" spans="2:25" x14ac:dyDescent="0.3">
      <c r="B222" s="286"/>
      <c r="L222" s="284"/>
      <c r="Y222" s="285"/>
    </row>
    <row r="223" spans="2:25" x14ac:dyDescent="0.3">
      <c r="B223" s="286"/>
      <c r="L223" s="284"/>
      <c r="Y223" s="285"/>
    </row>
    <row r="224" spans="2:25" x14ac:dyDescent="0.3">
      <c r="B224" s="286"/>
      <c r="L224" s="284"/>
      <c r="Y224" s="285"/>
    </row>
    <row r="225" spans="2:25" x14ac:dyDescent="0.3">
      <c r="B225" s="288"/>
      <c r="C225" s="289"/>
      <c r="D225" s="289"/>
      <c r="E225" s="289"/>
      <c r="F225" s="289"/>
      <c r="G225" s="289"/>
      <c r="H225" s="289"/>
      <c r="J225" s="289"/>
      <c r="K225" s="289"/>
      <c r="L225" s="290"/>
      <c r="M225" s="289"/>
      <c r="N225" s="289"/>
      <c r="O225" s="289"/>
      <c r="P225" s="289"/>
      <c r="Q225" s="289"/>
      <c r="R225" s="289"/>
      <c r="S225" s="289"/>
      <c r="T225" s="289"/>
      <c r="U225" s="289"/>
      <c r="V225" s="289"/>
      <c r="W225" s="289"/>
      <c r="X225" s="289"/>
      <c r="Y225" s="291"/>
    </row>
    <row r="226" spans="2:25" x14ac:dyDescent="0.3">
      <c r="L226" s="284"/>
    </row>
    <row r="227" spans="2:25" x14ac:dyDescent="0.3">
      <c r="B227" s="318"/>
      <c r="C227" s="283"/>
      <c r="D227" s="283"/>
      <c r="E227" s="283"/>
      <c r="F227" s="283"/>
      <c r="G227" s="283"/>
      <c r="H227" s="283"/>
      <c r="I227" s="283"/>
      <c r="J227" s="283"/>
      <c r="K227" s="283"/>
      <c r="L227" s="320"/>
      <c r="M227" s="283"/>
      <c r="N227" s="283"/>
      <c r="O227" s="283"/>
      <c r="P227" s="283"/>
      <c r="Q227" s="283"/>
      <c r="R227" s="283"/>
      <c r="S227" s="283"/>
      <c r="T227" s="283"/>
      <c r="U227" s="283"/>
      <c r="V227" s="283"/>
      <c r="W227" s="283"/>
      <c r="X227" s="283"/>
      <c r="Y227" s="292"/>
    </row>
    <row r="228" spans="2:25" x14ac:dyDescent="0.3">
      <c r="B228" s="409"/>
      <c r="C228" s="287"/>
      <c r="D228" s="410" t="s">
        <v>301</v>
      </c>
      <c r="L228" s="284"/>
      <c r="N228" s="293" t="s">
        <v>302</v>
      </c>
      <c r="Y228" s="285"/>
    </row>
    <row r="229" spans="2:25" ht="15" thickBot="1" x14ac:dyDescent="0.35">
      <c r="B229" s="286"/>
      <c r="L229" s="284"/>
      <c r="Y229" s="285"/>
    </row>
    <row r="230" spans="2:25" s="628" customFormat="1" ht="46.05" customHeight="1" thickBot="1" x14ac:dyDescent="0.35">
      <c r="B230" s="627"/>
      <c r="D230" s="644" t="s">
        <v>48</v>
      </c>
      <c r="E230" s="645" t="s">
        <v>271</v>
      </c>
      <c r="F230" s="645" t="s">
        <v>272</v>
      </c>
      <c r="G230" s="645" t="s">
        <v>273</v>
      </c>
      <c r="H230" s="645" t="s">
        <v>274</v>
      </c>
      <c r="I230" s="646" t="s">
        <v>275</v>
      </c>
      <c r="J230" s="646" t="s">
        <v>25</v>
      </c>
      <c r="L230" s="629"/>
      <c r="N230" s="644" t="s">
        <v>51</v>
      </c>
      <c r="O230" s="645" t="s">
        <v>276</v>
      </c>
      <c r="P230" s="645" t="s">
        <v>277</v>
      </c>
      <c r="Q230" s="645" t="s">
        <v>278</v>
      </c>
      <c r="R230" s="645" t="s">
        <v>279</v>
      </c>
      <c r="S230" s="646" t="s">
        <v>280</v>
      </c>
      <c r="T230" s="646" t="s">
        <v>25</v>
      </c>
      <c r="Y230" s="630"/>
    </row>
    <row r="231" spans="2:25" ht="15" thickBot="1" x14ac:dyDescent="0.35">
      <c r="B231" s="286"/>
      <c r="D231" s="1013" t="s">
        <v>30</v>
      </c>
      <c r="E231" s="1014">
        <f>SUMIFS(DisplacementP[Individus],DisplacementP[adm2_name],$D231,DisplacementP[raison],E$230,DisplacementP[Statut déplacé],"refugee")</f>
        <v>334</v>
      </c>
      <c r="F231" s="1014">
        <f>SUMIFS(DisplacementP[Individus],DisplacementP[adm2_name],$D231,DisplacementP[raison],F$230,DisplacementP[Statut déplacé],"refugee")</f>
        <v>0</v>
      </c>
      <c r="G231" s="1014">
        <f>SUMIFS(DisplacementP[Individus],DisplacementP[adm2_name],$D231,DisplacementP[raison],G$230,DisplacementP[Statut déplacé],"refugee")</f>
        <v>0</v>
      </c>
      <c r="H231" s="1014">
        <f>SUMIFS(DisplacementP[Individus],DisplacementP[adm2_name],$D231,DisplacementP[raison],H$230,DisplacementP[Statut déplacé],"refugee")</f>
        <v>0</v>
      </c>
      <c r="I231" s="1031">
        <f>SUMIFS(DisplacementP[Individus],DisplacementP[adm2_name],$D231,DisplacementP[raison],I$230,DisplacementP[Statut déplacé],"refugee")</f>
        <v>0</v>
      </c>
      <c r="J231" s="611">
        <f t="shared" ref="J231:J236" si="33">SUM(E231:I231)</f>
        <v>334</v>
      </c>
      <c r="L231" s="284"/>
      <c r="N231" s="1013" t="s">
        <v>30</v>
      </c>
      <c r="O231" s="1015">
        <f t="shared" ref="O231:O236" si="34">E231</f>
        <v>334</v>
      </c>
      <c r="P231" s="1015">
        <f t="shared" ref="P231:P236" si="35">F231</f>
        <v>0</v>
      </c>
      <c r="Q231" s="1015">
        <f t="shared" ref="Q231:Q236" si="36">G231</f>
        <v>0</v>
      </c>
      <c r="R231" s="1015">
        <f t="shared" ref="R231:R236" si="37">H231</f>
        <v>0</v>
      </c>
      <c r="S231" s="1015">
        <f t="shared" ref="S231:S236" si="38">I231</f>
        <v>0</v>
      </c>
      <c r="T231" s="1016">
        <f>SUM('Displacement Reasons'!$O231:$S231)</f>
        <v>334</v>
      </c>
      <c r="Y231" s="285"/>
    </row>
    <row r="232" spans="2:25" ht="15" thickBot="1" x14ac:dyDescent="0.35">
      <c r="B232" s="286"/>
      <c r="D232" s="1038" t="s">
        <v>31</v>
      </c>
      <c r="E232" s="1039">
        <f>SUMIFS(DisplacementP[Individus],DisplacementP[adm2_name],$D232,DisplacementP[raison],E$230,DisplacementP[Statut déplacé],"refugee")</f>
        <v>26889</v>
      </c>
      <c r="F232" s="1039">
        <f>SUMIFS(DisplacementP[Individus],DisplacementP[adm2_name],$D232,DisplacementP[raison],F$230,DisplacementP[Statut déplacé],"refugee")</f>
        <v>4777</v>
      </c>
      <c r="G232" s="1039">
        <f>SUMIFS(DisplacementP[Individus],DisplacementP[adm2_name],$D232,DisplacementP[raison],G$230,DisplacementP[Statut déplacé],"refugee")</f>
        <v>0</v>
      </c>
      <c r="H232" s="1039">
        <f>SUMIFS(DisplacementP[Individus],DisplacementP[adm2_name],$D232,DisplacementP[raison],H$230,DisplacementP[Statut déplacé],"refugee")</f>
        <v>81</v>
      </c>
      <c r="I232" s="1040">
        <f>SUMIFS(DisplacementP[Individus],DisplacementP[adm2_name],$D232,DisplacementP[raison],I$230,DisplacementP[Statut déplacé],"refugee")</f>
        <v>56</v>
      </c>
      <c r="J232" s="652">
        <f t="shared" si="33"/>
        <v>31803</v>
      </c>
      <c r="L232" s="284"/>
      <c r="N232" s="1038" t="s">
        <v>31</v>
      </c>
      <c r="O232" s="1041">
        <f>E232</f>
        <v>26889</v>
      </c>
      <c r="P232" s="1041">
        <f t="shared" si="35"/>
        <v>4777</v>
      </c>
      <c r="Q232" s="1041">
        <f t="shared" si="36"/>
        <v>0</v>
      </c>
      <c r="R232" s="1041">
        <f t="shared" si="37"/>
        <v>81</v>
      </c>
      <c r="S232" s="1041">
        <f t="shared" si="38"/>
        <v>56</v>
      </c>
      <c r="T232" s="1041">
        <f>SUM('Displacement Reasons'!$O232:$S232)</f>
        <v>31803</v>
      </c>
      <c r="Y232" s="285"/>
    </row>
    <row r="233" spans="2:25" ht="15" thickBot="1" x14ac:dyDescent="0.35">
      <c r="B233" s="286"/>
      <c r="D233" s="1013" t="s">
        <v>32</v>
      </c>
      <c r="E233" s="1014">
        <f>SUMIFS(DisplacementP[Individus],DisplacementP[adm2_name],$D233,DisplacementP[raison],E$230,DisplacementP[Statut déplacé],"refugee")</f>
        <v>146</v>
      </c>
      <c r="F233" s="1014">
        <f>SUMIFS(DisplacementP[Individus],DisplacementP[adm2_name],$D233,DisplacementP[raison],F$230,DisplacementP[Statut déplacé],"refugee")</f>
        <v>150</v>
      </c>
      <c r="G233" s="1014">
        <f>SUMIFS(DisplacementP[Individus],DisplacementP[adm2_name],$D233,DisplacementP[raison],G$230,DisplacementP[Statut déplacé],"refugee")</f>
        <v>0</v>
      </c>
      <c r="H233" s="1014">
        <f>SUMIFS(DisplacementP[Individus],DisplacementP[adm2_name],$D233,DisplacementP[raison],H$230,DisplacementP[Statut déplacé],"refugee")</f>
        <v>0</v>
      </c>
      <c r="I233" s="1031">
        <f>SUMIFS(DisplacementP[Individus],DisplacementP[adm2_name],$D233,DisplacementP[raison],I$230,DisplacementP[Statut déplacé],"refugee")</f>
        <v>0</v>
      </c>
      <c r="J233" s="611">
        <f t="shared" si="33"/>
        <v>296</v>
      </c>
      <c r="L233" s="284"/>
      <c r="N233" s="1013" t="s">
        <v>32</v>
      </c>
      <c r="O233" s="1015">
        <f t="shared" si="34"/>
        <v>146</v>
      </c>
      <c r="P233" s="1015">
        <f t="shared" si="35"/>
        <v>150</v>
      </c>
      <c r="Q233" s="1015">
        <f t="shared" si="36"/>
        <v>0</v>
      </c>
      <c r="R233" s="1015">
        <f t="shared" si="37"/>
        <v>0</v>
      </c>
      <c r="S233" s="1015">
        <f t="shared" si="38"/>
        <v>0</v>
      </c>
      <c r="T233" s="1016">
        <f>SUM('Displacement Reasons'!$O233:$S233)</f>
        <v>296</v>
      </c>
      <c r="Y233" s="285"/>
    </row>
    <row r="234" spans="2:25" ht="15" thickBot="1" x14ac:dyDescent="0.35">
      <c r="B234" s="286"/>
      <c r="D234" s="1038" t="s">
        <v>33</v>
      </c>
      <c r="E234" s="1039">
        <f>SUMIFS(DisplacementP[Individus],DisplacementP[adm2_name],$D234,DisplacementP[raison],E$230,DisplacementP[Statut déplacé],"refugee")</f>
        <v>150</v>
      </c>
      <c r="F234" s="1039">
        <f>SUMIFS(DisplacementP[Individus],DisplacementP[adm2_name],$D234,DisplacementP[raison],F$230,DisplacementP[Statut déplacé],"refugee")</f>
        <v>0</v>
      </c>
      <c r="G234" s="1039">
        <f>SUMIFS(DisplacementP[Individus],DisplacementP[adm2_name],$D234,DisplacementP[raison],G$230,DisplacementP[Statut déplacé],"refugee")</f>
        <v>0</v>
      </c>
      <c r="H234" s="1039">
        <f>SUMIFS(DisplacementP[Individus],DisplacementP[adm2_name],$D234,DisplacementP[raison],H$230,DisplacementP[Statut déplacé],"refugee")</f>
        <v>488</v>
      </c>
      <c r="I234" s="1040">
        <f>SUMIFS(DisplacementP[Individus],DisplacementP[adm2_name],$D234,DisplacementP[raison],I$230,DisplacementP[Statut déplacé],"refugee")</f>
        <v>30</v>
      </c>
      <c r="J234" s="652">
        <f t="shared" si="33"/>
        <v>668</v>
      </c>
      <c r="L234" s="284"/>
      <c r="N234" s="1038" t="s">
        <v>33</v>
      </c>
      <c r="O234" s="1041">
        <f t="shared" si="34"/>
        <v>150</v>
      </c>
      <c r="P234" s="1041">
        <f t="shared" si="35"/>
        <v>0</v>
      </c>
      <c r="Q234" s="1041">
        <f t="shared" si="36"/>
        <v>0</v>
      </c>
      <c r="R234" s="1041">
        <f t="shared" si="37"/>
        <v>488</v>
      </c>
      <c r="S234" s="1041">
        <f t="shared" si="38"/>
        <v>30</v>
      </c>
      <c r="T234" s="1041">
        <f>SUM('Displacement Reasons'!$O234:$S234)</f>
        <v>668</v>
      </c>
      <c r="Y234" s="285"/>
    </row>
    <row r="235" spans="2:25" ht="15" thickBot="1" x14ac:dyDescent="0.35">
      <c r="B235" s="286"/>
      <c r="D235" s="1013" t="s">
        <v>34</v>
      </c>
      <c r="E235" s="1014">
        <f>SUMIFS(DisplacementP[Individus],DisplacementP[adm2_name],$D235,DisplacementP[raison],E$230,DisplacementP[Statut déplacé],"refugee")</f>
        <v>7597</v>
      </c>
      <c r="F235" s="1014">
        <f>SUMIFS(DisplacementP[Individus],DisplacementP[adm2_name],$D235,DisplacementP[raison],F$230,DisplacementP[Statut déplacé],"refugee")</f>
        <v>0</v>
      </c>
      <c r="G235" s="1014">
        <f>SUMIFS(DisplacementP[Individus],DisplacementP[adm2_name],$D235,DisplacementP[raison],G$230,DisplacementP[Statut déplacé],"refugee")</f>
        <v>0</v>
      </c>
      <c r="H235" s="1014">
        <f>SUMIFS(DisplacementP[Individus],DisplacementP[adm2_name],$D235,DisplacementP[raison],H$230,DisplacementP[Statut déplacé],"refugee")</f>
        <v>0</v>
      </c>
      <c r="I235" s="1031">
        <f>SUMIFS(DisplacementP[Individus],DisplacementP[adm2_name],$D235,DisplacementP[raison],I$230,DisplacementP[Statut déplacé],"refugee")</f>
        <v>0</v>
      </c>
      <c r="J235" s="611">
        <f t="shared" si="33"/>
        <v>7597</v>
      </c>
      <c r="L235" s="284"/>
      <c r="N235" s="1013" t="s">
        <v>34</v>
      </c>
      <c r="O235" s="1015">
        <f t="shared" si="34"/>
        <v>7597</v>
      </c>
      <c r="P235" s="1015">
        <f t="shared" si="35"/>
        <v>0</v>
      </c>
      <c r="Q235" s="1015">
        <f t="shared" si="36"/>
        <v>0</v>
      </c>
      <c r="R235" s="1015">
        <f t="shared" si="37"/>
        <v>0</v>
      </c>
      <c r="S235" s="1015">
        <f t="shared" si="38"/>
        <v>0</v>
      </c>
      <c r="T235" s="1016">
        <f>SUM('Displacement Reasons'!$O235:$S235)</f>
        <v>7597</v>
      </c>
      <c r="Y235" s="285"/>
    </row>
    <row r="236" spans="2:25" ht="15" thickBot="1" x14ac:dyDescent="0.35">
      <c r="B236" s="286"/>
      <c r="D236" s="1038" t="s">
        <v>35</v>
      </c>
      <c r="E236" s="1039">
        <f>SUMIFS(DisplacementP[Individus],DisplacementP[adm2_name],$D236,DisplacementP[raison],E$230,DisplacementP[Statut déplacé],"refugee")</f>
        <v>8810</v>
      </c>
      <c r="F236" s="1039">
        <f>SUMIFS(DisplacementP[Individus],DisplacementP[adm2_name],$D236,DisplacementP[raison],F$230,DisplacementP[Statut déplacé],"refugee")</f>
        <v>0</v>
      </c>
      <c r="G236" s="1039">
        <f>SUMIFS(DisplacementP[Individus],DisplacementP[adm2_name],$D236,DisplacementP[raison],G$230,DisplacementP[Statut déplacé],"refugee")</f>
        <v>0</v>
      </c>
      <c r="H236" s="1039">
        <f>SUMIFS(DisplacementP[Individus],DisplacementP[adm2_name],$D236,DisplacementP[raison],H$230,DisplacementP[Statut déplacé],"refugee")</f>
        <v>3</v>
      </c>
      <c r="I236" s="1040">
        <f>SUMIFS(DisplacementP[Individus],DisplacementP[adm2_name],$D236,DisplacementP[raison],I$230,DisplacementP[Statut déplacé],"refugee")</f>
        <v>2</v>
      </c>
      <c r="J236" s="652">
        <f t="shared" si="33"/>
        <v>8815</v>
      </c>
      <c r="L236" s="284"/>
      <c r="N236" s="1038" t="s">
        <v>35</v>
      </c>
      <c r="O236" s="1041">
        <f t="shared" si="34"/>
        <v>8810</v>
      </c>
      <c r="P236" s="1041">
        <f t="shared" si="35"/>
        <v>0</v>
      </c>
      <c r="Q236" s="1041">
        <f t="shared" si="36"/>
        <v>0</v>
      </c>
      <c r="R236" s="1041">
        <f t="shared" si="37"/>
        <v>3</v>
      </c>
      <c r="S236" s="1041">
        <f t="shared" si="38"/>
        <v>2</v>
      </c>
      <c r="T236" s="1041">
        <f>SUM('Displacement Reasons'!$O236:$S236)</f>
        <v>8815</v>
      </c>
      <c r="Y236" s="285"/>
    </row>
    <row r="237" spans="2:25" ht="15" thickBot="1" x14ac:dyDescent="0.35">
      <c r="B237" s="286"/>
      <c r="D237" s="635"/>
      <c r="E237" s="636">
        <f t="shared" ref="E237:J237" si="39">SUM(E231:E236)</f>
        <v>43926</v>
      </c>
      <c r="F237" s="636">
        <f t="shared" si="39"/>
        <v>4927</v>
      </c>
      <c r="G237" s="636">
        <f t="shared" si="39"/>
        <v>0</v>
      </c>
      <c r="H237" s="636">
        <f t="shared" si="39"/>
        <v>572</v>
      </c>
      <c r="I237" s="636">
        <f t="shared" si="39"/>
        <v>88</v>
      </c>
      <c r="J237" s="636">
        <f t="shared" si="39"/>
        <v>49513</v>
      </c>
      <c r="L237" s="284"/>
      <c r="N237" s="665"/>
      <c r="O237" s="666">
        <f>SUM(O231:O236)</f>
        <v>43926</v>
      </c>
      <c r="P237" s="666">
        <f>SUM(P231:P236)</f>
        <v>4927</v>
      </c>
      <c r="Q237" s="666">
        <f>SUM(Q231:Q236)</f>
        <v>0</v>
      </c>
      <c r="R237" s="666">
        <f>SUM(R231:R236)</f>
        <v>572</v>
      </c>
      <c r="S237" s="667">
        <f>SUBTOTAL(109,'Displacement Reasons'!$S$231:$S$236)</f>
        <v>88</v>
      </c>
      <c r="T237" s="667">
        <f>SUBTOTAL(109,'Displacement Reasons'!$T$231:$T$236)</f>
        <v>49513</v>
      </c>
      <c r="Y237" s="285"/>
    </row>
    <row r="238" spans="2:25" x14ac:dyDescent="0.3">
      <c r="B238" s="286"/>
      <c r="E238" s="321">
        <f>E237/$J$237</f>
        <v>0.88716094762991538</v>
      </c>
      <c r="F238" s="321">
        <f>F237/$J$237</f>
        <v>9.9509219800860374E-2</v>
      </c>
      <c r="G238" s="321">
        <f>G237/$J$237</f>
        <v>0</v>
      </c>
      <c r="H238" s="321">
        <f>H237/$J$237</f>
        <v>1.1552521559994346E-2</v>
      </c>
      <c r="I238" s="321">
        <f>I237/$J$237</f>
        <v>1.7773110092298991E-3</v>
      </c>
      <c r="J238" s="655">
        <f>SUM(E238:I238)</f>
        <v>1</v>
      </c>
      <c r="L238" s="284"/>
      <c r="O238" s="321">
        <f>'Displacement Reasons'!O$237/'Displacement Reasons'!$T$237</f>
        <v>0.88716094762991538</v>
      </c>
      <c r="P238" s="321">
        <f>'Displacement Reasons'!P$237/'Displacement Reasons'!$T$237</f>
        <v>9.9509219800860374E-2</v>
      </c>
      <c r="Q238" s="321">
        <f>'Displacement Reasons'!Q$237/'Displacement Reasons'!$T$237</f>
        <v>0</v>
      </c>
      <c r="R238" s="321">
        <f>'Displacement Reasons'!R$237/'Displacement Reasons'!$T$237</f>
        <v>1.1552521559994346E-2</v>
      </c>
      <c r="S238" s="321">
        <f>'Displacement Reasons'!S$237/'Displacement Reasons'!$T$237</f>
        <v>1.7773110092298991E-3</v>
      </c>
      <c r="T238" s="929">
        <f>SUM(O238:S238)</f>
        <v>1</v>
      </c>
      <c r="Y238" s="285"/>
    </row>
    <row r="239" spans="2:25" x14ac:dyDescent="0.3">
      <c r="B239" s="286"/>
      <c r="L239" s="284"/>
      <c r="Y239" s="285"/>
    </row>
    <row r="240" spans="2:25" x14ac:dyDescent="0.3">
      <c r="B240" s="286"/>
      <c r="D240" s="293" t="s">
        <v>303</v>
      </c>
      <c r="L240" s="284"/>
      <c r="N240" s="293" t="s">
        <v>304</v>
      </c>
      <c r="Y240" s="285"/>
    </row>
    <row r="241" spans="2:25" ht="15" thickBot="1" x14ac:dyDescent="0.35">
      <c r="B241" s="286"/>
      <c r="L241" s="284"/>
      <c r="Y241" s="285"/>
    </row>
    <row r="242" spans="2:25" s="628" customFormat="1" ht="46.05" customHeight="1" thickBot="1" x14ac:dyDescent="0.35">
      <c r="B242" s="627"/>
      <c r="D242" s="644" t="s">
        <v>48</v>
      </c>
      <c r="E242" s="645" t="s">
        <v>271</v>
      </c>
      <c r="F242" s="645" t="s">
        <v>272</v>
      </c>
      <c r="G242" s="645" t="s">
        <v>273</v>
      </c>
      <c r="H242" s="645" t="s">
        <v>274</v>
      </c>
      <c r="I242" s="646" t="s">
        <v>275</v>
      </c>
      <c r="J242" s="646" t="s">
        <v>25</v>
      </c>
      <c r="L242" s="629"/>
      <c r="N242" s="644" t="s">
        <v>51</v>
      </c>
      <c r="O242" s="645" t="s">
        <v>276</v>
      </c>
      <c r="P242" s="645" t="s">
        <v>277</v>
      </c>
      <c r="Q242" s="645" t="s">
        <v>278</v>
      </c>
      <c r="R242" s="645" t="s">
        <v>279</v>
      </c>
      <c r="S242" s="646" t="s">
        <v>280</v>
      </c>
      <c r="T242" s="646" t="s">
        <v>25</v>
      </c>
      <c r="Y242" s="630"/>
    </row>
    <row r="243" spans="2:25" ht="15" thickBot="1" x14ac:dyDescent="0.35">
      <c r="B243" s="286"/>
      <c r="D243" s="1013" t="s">
        <v>30</v>
      </c>
      <c r="E243" s="324">
        <f>E231/$J$231</f>
        <v>1</v>
      </c>
      <c r="F243" s="324">
        <f>F231/$J$231</f>
        <v>0</v>
      </c>
      <c r="G243" s="324">
        <f>G231/$J$231</f>
        <v>0</v>
      </c>
      <c r="H243" s="324">
        <f>H231/$J$231</f>
        <v>0</v>
      </c>
      <c r="I243" s="323">
        <f>I231/$J$231</f>
        <v>0</v>
      </c>
      <c r="J243" s="631">
        <f t="shared" ref="J243:J248" si="40">SUM(E243:I243)</f>
        <v>1</v>
      </c>
      <c r="L243" s="284"/>
      <c r="N243" s="1013" t="s">
        <v>30</v>
      </c>
      <c r="O243" s="324">
        <f t="shared" ref="O243:O248" si="41">E243</f>
        <v>1</v>
      </c>
      <c r="P243" s="324">
        <f t="shared" ref="P243:P248" si="42">F243</f>
        <v>0</v>
      </c>
      <c r="Q243" s="324">
        <f t="shared" ref="Q243:R248" si="43">G243</f>
        <v>0</v>
      </c>
      <c r="R243" s="324">
        <f>H243</f>
        <v>0</v>
      </c>
      <c r="S243" s="323">
        <f>I243</f>
        <v>0</v>
      </c>
      <c r="T243" s="631">
        <f>SUM(O243:S243)</f>
        <v>1</v>
      </c>
      <c r="Y243" s="285"/>
    </row>
    <row r="244" spans="2:25" ht="15" thickBot="1" x14ac:dyDescent="0.35">
      <c r="B244" s="286"/>
      <c r="D244" s="1038" t="s">
        <v>31</v>
      </c>
      <c r="E244" s="637">
        <f>E232/$J$232</f>
        <v>0.84548627487972827</v>
      </c>
      <c r="F244" s="637">
        <f>F232/$J$232</f>
        <v>0.15020595541301135</v>
      </c>
      <c r="G244" s="637">
        <f>G232/$J$232</f>
        <v>0</v>
      </c>
      <c r="H244" s="637">
        <f>H232/$J$232</f>
        <v>2.5469295349495329E-3</v>
      </c>
      <c r="I244" s="638">
        <f>I232/$J$232</f>
        <v>1.7608401723107883E-3</v>
      </c>
      <c r="J244" s="650">
        <f t="shared" si="40"/>
        <v>0.99999999999999989</v>
      </c>
      <c r="L244" s="284"/>
      <c r="N244" s="1038" t="s">
        <v>31</v>
      </c>
      <c r="O244" s="637">
        <f t="shared" si="41"/>
        <v>0.84548627487972827</v>
      </c>
      <c r="P244" s="637">
        <f t="shared" si="42"/>
        <v>0.15020595541301135</v>
      </c>
      <c r="Q244" s="637">
        <f t="shared" si="43"/>
        <v>0</v>
      </c>
      <c r="R244" s="931">
        <f>H244</f>
        <v>2.5469295349495329E-3</v>
      </c>
      <c r="S244" s="931">
        <f>I244</f>
        <v>1.7608401723107883E-3</v>
      </c>
      <c r="T244" s="930">
        <f t="shared" ref="T244:T248" si="44">SUM(O244:S244)</f>
        <v>0.99999999999999989</v>
      </c>
      <c r="Y244" s="285"/>
    </row>
    <row r="245" spans="2:25" ht="15" thickBot="1" x14ac:dyDescent="0.35">
      <c r="B245" s="286"/>
      <c r="D245" s="1013" t="s">
        <v>32</v>
      </c>
      <c r="E245" s="324">
        <f>E233/$J$233</f>
        <v>0.49324324324324326</v>
      </c>
      <c r="F245" s="324">
        <f>F233/$J$233</f>
        <v>0.5067567567567568</v>
      </c>
      <c r="G245" s="324">
        <f>G233/$J$233</f>
        <v>0</v>
      </c>
      <c r="H245" s="324">
        <f>H233/$J$233</f>
        <v>0</v>
      </c>
      <c r="I245" s="323">
        <f>I233/$J$233</f>
        <v>0</v>
      </c>
      <c r="J245" s="631">
        <f t="shared" si="40"/>
        <v>1</v>
      </c>
      <c r="L245" s="284"/>
      <c r="N245" s="1013" t="s">
        <v>32</v>
      </c>
      <c r="O245" s="324">
        <f t="shared" si="41"/>
        <v>0.49324324324324326</v>
      </c>
      <c r="P245" s="324">
        <f t="shared" si="42"/>
        <v>0.5067567567567568</v>
      </c>
      <c r="Q245" s="324">
        <f t="shared" si="43"/>
        <v>0</v>
      </c>
      <c r="R245" s="324">
        <f t="shared" si="43"/>
        <v>0</v>
      </c>
      <c r="S245" s="323">
        <f>I245</f>
        <v>0</v>
      </c>
      <c r="T245" s="631">
        <f t="shared" si="44"/>
        <v>1</v>
      </c>
      <c r="Y245" s="285"/>
    </row>
    <row r="246" spans="2:25" ht="15" thickBot="1" x14ac:dyDescent="0.35">
      <c r="B246" s="286"/>
      <c r="D246" s="1038" t="s">
        <v>33</v>
      </c>
      <c r="E246" s="637">
        <f>E234/$J$234</f>
        <v>0.22455089820359281</v>
      </c>
      <c r="F246" s="637">
        <f>F234/$J$234</f>
        <v>0</v>
      </c>
      <c r="G246" s="637">
        <f>G234/$J$234</f>
        <v>0</v>
      </c>
      <c r="H246" s="637">
        <f>H234/$J$234</f>
        <v>0.73053892215568861</v>
      </c>
      <c r="I246" s="638">
        <f>I234/$J$234</f>
        <v>4.4910179640718563E-2</v>
      </c>
      <c r="J246" s="650">
        <f t="shared" si="40"/>
        <v>1</v>
      </c>
      <c r="L246" s="284"/>
      <c r="N246" s="1038" t="s">
        <v>33</v>
      </c>
      <c r="O246" s="637">
        <f t="shared" si="41"/>
        <v>0.22455089820359281</v>
      </c>
      <c r="P246" s="637">
        <f t="shared" si="42"/>
        <v>0</v>
      </c>
      <c r="Q246" s="637">
        <f t="shared" si="43"/>
        <v>0</v>
      </c>
      <c r="R246" s="931">
        <f>H246</f>
        <v>0.73053892215568861</v>
      </c>
      <c r="S246" s="931">
        <f>I246</f>
        <v>4.4910179640718563E-2</v>
      </c>
      <c r="T246" s="930">
        <f t="shared" si="44"/>
        <v>1</v>
      </c>
      <c r="Y246" s="285"/>
    </row>
    <row r="247" spans="2:25" ht="15" thickBot="1" x14ac:dyDescent="0.35">
      <c r="B247" s="286"/>
      <c r="D247" s="1013" t="s">
        <v>34</v>
      </c>
      <c r="E247" s="324">
        <f>E235/$J$235</f>
        <v>1</v>
      </c>
      <c r="F247" s="639">
        <f>F235/$J$235</f>
        <v>0</v>
      </c>
      <c r="G247" s="639">
        <f>G235/$J$235</f>
        <v>0</v>
      </c>
      <c r="H247" s="639">
        <f>H235/$J$235</f>
        <v>0</v>
      </c>
      <c r="I247" s="323">
        <f>I235/$J$235</f>
        <v>0</v>
      </c>
      <c r="J247" s="631">
        <f t="shared" si="40"/>
        <v>1</v>
      </c>
      <c r="L247" s="284"/>
      <c r="N247" s="1013" t="s">
        <v>34</v>
      </c>
      <c r="O247" s="324">
        <f t="shared" si="41"/>
        <v>1</v>
      </c>
      <c r="P247" s="324">
        <f t="shared" si="42"/>
        <v>0</v>
      </c>
      <c r="Q247" s="324">
        <f t="shared" si="43"/>
        <v>0</v>
      </c>
      <c r="R247" s="324">
        <f t="shared" si="43"/>
        <v>0</v>
      </c>
      <c r="S247" s="323">
        <f>I247</f>
        <v>0</v>
      </c>
      <c r="T247" s="631">
        <f t="shared" si="44"/>
        <v>1</v>
      </c>
      <c r="Y247" s="285"/>
    </row>
    <row r="248" spans="2:25" ht="15" thickBot="1" x14ac:dyDescent="0.35">
      <c r="B248" s="286"/>
      <c r="D248" s="1042" t="s">
        <v>35</v>
      </c>
      <c r="E248" s="640">
        <f>E236/$J$236</f>
        <v>0.99943278502552468</v>
      </c>
      <c r="F248" s="640">
        <f>F236/$J$236</f>
        <v>0</v>
      </c>
      <c r="G248" s="640">
        <f>G236/$J$236</f>
        <v>0</v>
      </c>
      <c r="H248" s="640">
        <f>H236/$J$236</f>
        <v>3.4032898468519567E-4</v>
      </c>
      <c r="I248" s="641">
        <f>I236/$J$236</f>
        <v>2.2688598979013047E-4</v>
      </c>
      <c r="J248" s="651">
        <f t="shared" si="40"/>
        <v>1</v>
      </c>
      <c r="L248" s="284"/>
      <c r="N248" s="1042" t="s">
        <v>35</v>
      </c>
      <c r="O248" s="640">
        <f t="shared" si="41"/>
        <v>0.99943278502552468</v>
      </c>
      <c r="P248" s="640">
        <f t="shared" si="42"/>
        <v>0</v>
      </c>
      <c r="Q248" s="640">
        <f t="shared" si="43"/>
        <v>0</v>
      </c>
      <c r="R248" s="931">
        <f>H248</f>
        <v>3.4032898468519567E-4</v>
      </c>
      <c r="S248" s="931">
        <f>I248</f>
        <v>2.2688598979013047E-4</v>
      </c>
      <c r="T248" s="930">
        <f t="shared" si="44"/>
        <v>1</v>
      </c>
      <c r="Y248" s="285"/>
    </row>
    <row r="249" spans="2:25" x14ac:dyDescent="0.3">
      <c r="B249" s="286"/>
      <c r="L249" s="284"/>
      <c r="Y249" s="285"/>
    </row>
    <row r="250" spans="2:25" x14ac:dyDescent="0.3">
      <c r="B250" s="286"/>
      <c r="L250" s="284"/>
      <c r="Y250" s="285"/>
    </row>
    <row r="251" spans="2:25" x14ac:dyDescent="0.3">
      <c r="B251" s="286"/>
      <c r="L251" s="284"/>
      <c r="Y251" s="285"/>
    </row>
    <row r="252" spans="2:25" x14ac:dyDescent="0.3">
      <c r="B252" s="286"/>
      <c r="L252" s="284"/>
      <c r="Y252" s="285"/>
    </row>
    <row r="253" spans="2:25" x14ac:dyDescent="0.3">
      <c r="B253" s="286"/>
      <c r="L253" s="284"/>
      <c r="Y253" s="285"/>
    </row>
    <row r="254" spans="2:25" x14ac:dyDescent="0.3">
      <c r="B254" s="286"/>
      <c r="L254" s="284"/>
      <c r="Y254" s="285"/>
    </row>
    <row r="255" spans="2:25" x14ac:dyDescent="0.3">
      <c r="B255" s="286"/>
      <c r="L255" s="284"/>
      <c r="Y255" s="285"/>
    </row>
    <row r="256" spans="2:25" x14ac:dyDescent="0.3">
      <c r="B256" s="286"/>
      <c r="L256" s="284"/>
      <c r="Y256" s="285"/>
    </row>
    <row r="257" spans="2:25" x14ac:dyDescent="0.3">
      <c r="B257" s="286"/>
      <c r="L257" s="284"/>
      <c r="Y257" s="285"/>
    </row>
    <row r="258" spans="2:25" x14ac:dyDescent="0.3">
      <c r="B258" s="286"/>
      <c r="L258" s="284"/>
      <c r="Y258" s="285"/>
    </row>
    <row r="259" spans="2:25" x14ac:dyDescent="0.3">
      <c r="B259" s="286"/>
      <c r="L259" s="284"/>
      <c r="Y259" s="285"/>
    </row>
    <row r="260" spans="2:25" x14ac:dyDescent="0.3">
      <c r="B260" s="286"/>
      <c r="L260" s="284"/>
      <c r="Y260" s="285"/>
    </row>
    <row r="261" spans="2:25" x14ac:dyDescent="0.3">
      <c r="B261" s="286"/>
      <c r="L261" s="284"/>
      <c r="Y261" s="285"/>
    </row>
    <row r="262" spans="2:25" x14ac:dyDescent="0.3">
      <c r="B262" s="286"/>
      <c r="L262" s="284"/>
      <c r="Y262" s="285"/>
    </row>
    <row r="263" spans="2:25" x14ac:dyDescent="0.3">
      <c r="B263" s="286"/>
      <c r="L263" s="284"/>
      <c r="Y263" s="285"/>
    </row>
    <row r="264" spans="2:25" x14ac:dyDescent="0.3">
      <c r="B264" s="286"/>
      <c r="L264" s="284"/>
      <c r="Y264" s="285"/>
    </row>
    <row r="265" spans="2:25" x14ac:dyDescent="0.3">
      <c r="B265" s="286"/>
      <c r="L265" s="284"/>
      <c r="Y265" s="285"/>
    </row>
    <row r="266" spans="2:25" x14ac:dyDescent="0.3">
      <c r="B266" s="286"/>
      <c r="L266" s="284"/>
      <c r="Y266" s="285"/>
    </row>
    <row r="267" spans="2:25" x14ac:dyDescent="0.3">
      <c r="B267" s="286"/>
      <c r="L267" s="284"/>
      <c r="Y267" s="285"/>
    </row>
    <row r="268" spans="2:25" x14ac:dyDescent="0.3">
      <c r="B268" s="286"/>
      <c r="L268" s="284"/>
      <c r="Y268" s="285"/>
    </row>
    <row r="269" spans="2:25" x14ac:dyDescent="0.3">
      <c r="B269" s="286"/>
      <c r="L269" s="284"/>
      <c r="Y269" s="285"/>
    </row>
    <row r="270" spans="2:25" x14ac:dyDescent="0.3">
      <c r="B270" s="286"/>
      <c r="L270" s="284"/>
      <c r="Y270" s="285"/>
    </row>
    <row r="271" spans="2:25" x14ac:dyDescent="0.3">
      <c r="B271" s="286"/>
      <c r="L271" s="284"/>
      <c r="Y271" s="285"/>
    </row>
    <row r="272" spans="2:25" x14ac:dyDescent="0.3">
      <c r="B272" s="286"/>
      <c r="L272" s="284"/>
      <c r="Y272" s="285"/>
    </row>
    <row r="273" spans="2:25" x14ac:dyDescent="0.3">
      <c r="B273" s="286"/>
      <c r="L273" s="284"/>
      <c r="Y273" s="285"/>
    </row>
    <row r="274" spans="2:25" x14ac:dyDescent="0.3">
      <c r="B274" s="286"/>
      <c r="L274" s="284"/>
      <c r="Y274" s="285"/>
    </row>
    <row r="275" spans="2:25" x14ac:dyDescent="0.3">
      <c r="B275" s="286"/>
      <c r="L275" s="284"/>
      <c r="Y275" s="285"/>
    </row>
    <row r="276" spans="2:25" x14ac:dyDescent="0.3">
      <c r="B276" s="288"/>
      <c r="C276" s="289"/>
      <c r="D276" s="289"/>
      <c r="E276" s="289"/>
      <c r="F276" s="289"/>
      <c r="G276" s="289"/>
      <c r="H276" s="289"/>
      <c r="I276" s="289"/>
      <c r="J276" s="289"/>
      <c r="K276" s="289"/>
      <c r="L276" s="290"/>
      <c r="M276" s="289"/>
      <c r="N276" s="289"/>
      <c r="O276" s="289"/>
      <c r="P276" s="289"/>
      <c r="Q276" s="289"/>
      <c r="R276" s="289"/>
      <c r="S276" s="289"/>
      <c r="T276" s="289"/>
      <c r="U276" s="289"/>
      <c r="V276" s="289"/>
      <c r="W276" s="289"/>
      <c r="X276" s="289"/>
      <c r="Y276" s="291"/>
    </row>
    <row r="277" spans="2:25" x14ac:dyDescent="0.3">
      <c r="L277" s="284"/>
    </row>
    <row r="278" spans="2:25" x14ac:dyDescent="0.3">
      <c r="B278" s="318"/>
      <c r="C278" s="283"/>
      <c r="D278" s="283"/>
      <c r="E278" s="283"/>
      <c r="F278" s="283"/>
      <c r="G278" s="283"/>
      <c r="H278" s="283"/>
      <c r="I278" s="283"/>
      <c r="J278" s="283"/>
      <c r="K278" s="283"/>
      <c r="L278" s="320"/>
      <c r="M278" s="283"/>
      <c r="N278" s="283"/>
      <c r="O278" s="283"/>
      <c r="P278" s="283"/>
      <c r="Q278" s="283"/>
      <c r="R278" s="283"/>
      <c r="S278" s="283"/>
      <c r="T278" s="283"/>
      <c r="U278" s="283"/>
      <c r="V278" s="283"/>
      <c r="W278" s="283"/>
      <c r="X278" s="283"/>
      <c r="Y278" s="292"/>
    </row>
    <row r="279" spans="2:25" x14ac:dyDescent="0.3">
      <c r="B279" s="286"/>
      <c r="L279" s="284"/>
      <c r="Y279" s="285"/>
    </row>
    <row r="280" spans="2:25" x14ac:dyDescent="0.3">
      <c r="B280" s="286"/>
      <c r="D280" s="410" t="s">
        <v>305</v>
      </c>
      <c r="L280" s="284"/>
      <c r="N280" s="293" t="s">
        <v>306</v>
      </c>
      <c r="Y280" s="285"/>
    </row>
    <row r="281" spans="2:25" ht="15" thickBot="1" x14ac:dyDescent="0.35">
      <c r="B281" s="286"/>
      <c r="L281" s="284"/>
      <c r="Y281" s="285"/>
    </row>
    <row r="282" spans="2:25" s="628" customFormat="1" ht="46.05" customHeight="1" thickBot="1" x14ac:dyDescent="0.35">
      <c r="B282" s="627"/>
      <c r="D282" s="647" t="s">
        <v>48</v>
      </c>
      <c r="E282" s="648" t="s">
        <v>271</v>
      </c>
      <c r="F282" s="648" t="s">
        <v>272</v>
      </c>
      <c r="G282" s="648" t="s">
        <v>273</v>
      </c>
      <c r="H282" s="648" t="s">
        <v>274</v>
      </c>
      <c r="I282" s="649" t="s">
        <v>275</v>
      </c>
      <c r="J282" s="649" t="s">
        <v>25</v>
      </c>
      <c r="L282" s="629"/>
      <c r="N282" s="647" t="s">
        <v>51</v>
      </c>
      <c r="O282" s="648" t="s">
        <v>276</v>
      </c>
      <c r="P282" s="647" t="s">
        <v>277</v>
      </c>
      <c r="Q282" s="648" t="s">
        <v>278</v>
      </c>
      <c r="R282" s="648" t="s">
        <v>279</v>
      </c>
      <c r="S282" s="649" t="s">
        <v>280</v>
      </c>
      <c r="T282" s="649" t="s">
        <v>25</v>
      </c>
      <c r="Y282" s="630"/>
    </row>
    <row r="283" spans="2:25" ht="15" thickBot="1" x14ac:dyDescent="0.35">
      <c r="B283" s="286"/>
      <c r="D283" s="1013" t="s">
        <v>30</v>
      </c>
      <c r="E283" s="1014">
        <f>SUMIFS(DisplacementP[Individus],DisplacementP[adm2_name],$D283,DisplacementP[raison],E$282,DisplacementP[Statut déplacé],"returnee")</f>
        <v>39</v>
      </c>
      <c r="F283" s="1014">
        <f>SUMIFS(DisplacementP[Individus],DisplacementP[adm2_name],$D283,DisplacementP[raison],F$282,DisplacementP[Statut déplacé],"returnee")</f>
        <v>0</v>
      </c>
      <c r="G283" s="1014">
        <f>SUMIFS(DisplacementP[Individus],DisplacementP[adm2_name],$D283,DisplacementP[raison],G$282,DisplacementP[Statut déplacé],"returnee")</f>
        <v>0</v>
      </c>
      <c r="H283" s="282">
        <f>SUMIFS(DisplacementP[Individus],DisplacementP[adm2_name],$D283,DisplacementP[raison],H$282,DisplacementP[Statut déplacé],"returnee")</f>
        <v>390</v>
      </c>
      <c r="I283" s="1031">
        <f>SUMIFS(DisplacementP[Individus],DisplacementP[adm2_name],$D283,DisplacementP[raison],I$282,DisplacementP[Statut déplacé],"returnee")</f>
        <v>0</v>
      </c>
      <c r="J283" s="611">
        <f t="shared" ref="J283:J288" si="45">SUM(E283:I283)</f>
        <v>429</v>
      </c>
      <c r="L283" s="284"/>
      <c r="N283" s="1013" t="s">
        <v>30</v>
      </c>
      <c r="O283" s="1015">
        <f t="shared" ref="O283:O288" si="46">E283</f>
        <v>39</v>
      </c>
      <c r="P283" s="1015">
        <f t="shared" ref="P283:P288" si="47">F283</f>
        <v>0</v>
      </c>
      <c r="Q283" s="1015">
        <f t="shared" ref="Q283:R288" si="48">G283</f>
        <v>0</v>
      </c>
      <c r="R283" s="1015">
        <f t="shared" si="48"/>
        <v>390</v>
      </c>
      <c r="S283" s="1016">
        <f t="shared" ref="S283:S288" si="49">I283</f>
        <v>0</v>
      </c>
      <c r="T283" s="670">
        <f t="shared" ref="T283:T288" si="50">SUM(O283:S283)</f>
        <v>429</v>
      </c>
      <c r="Y283" s="285"/>
    </row>
    <row r="284" spans="2:25" ht="15" thickBot="1" x14ac:dyDescent="0.35">
      <c r="B284" s="286"/>
      <c r="D284" s="1043" t="s">
        <v>31</v>
      </c>
      <c r="E284" s="1044">
        <f>SUMIFS(DisplacementP[Individus],DisplacementP[adm2_name],$D284,DisplacementP[raison],E$282,DisplacementP[Statut déplacé],"returnee")</f>
        <v>28082</v>
      </c>
      <c r="F284" s="1044">
        <f>SUMIFS(DisplacementP[Individus],DisplacementP[adm2_name],$D284,DisplacementP[raison],F$282,DisplacementP[Statut déplacé],"returnee")</f>
        <v>4557</v>
      </c>
      <c r="G284" s="1044">
        <f>SUMIFS(DisplacementP[Individus],DisplacementP[adm2_name],$D284,DisplacementP[raison],G$282,DisplacementP[Statut déplacé],"returnee")</f>
        <v>232</v>
      </c>
      <c r="H284" s="1044">
        <f>SUMIFS(DisplacementP[Individus],DisplacementP[adm2_name],$D284,DisplacementP[raison],H$282,DisplacementP[Statut déplacé],"returnee")</f>
        <v>29190</v>
      </c>
      <c r="I284" s="1044">
        <f>SUMIFS(DisplacementP[Individus],DisplacementP[adm2_name],$D284,DisplacementP[raison],I$282,DisplacementP[Statut déplacé],"returnee")</f>
        <v>0</v>
      </c>
      <c r="J284" s="656">
        <f t="shared" si="45"/>
        <v>62061</v>
      </c>
      <c r="L284" s="284"/>
      <c r="N284" s="1043" t="s">
        <v>31</v>
      </c>
      <c r="O284" s="1045">
        <f t="shared" si="46"/>
        <v>28082</v>
      </c>
      <c r="P284" s="1045">
        <f t="shared" si="47"/>
        <v>4557</v>
      </c>
      <c r="Q284" s="1045">
        <f t="shared" si="48"/>
        <v>232</v>
      </c>
      <c r="R284" s="1045">
        <f t="shared" si="48"/>
        <v>29190</v>
      </c>
      <c r="S284" s="1046">
        <f t="shared" si="49"/>
        <v>0</v>
      </c>
      <c r="T284" s="674">
        <f t="shared" si="50"/>
        <v>62061</v>
      </c>
      <c r="Y284" s="285"/>
    </row>
    <row r="285" spans="2:25" ht="15" thickBot="1" x14ac:dyDescent="0.35">
      <c r="B285" s="286"/>
      <c r="D285" s="1013" t="s">
        <v>32</v>
      </c>
      <c r="E285" s="1014">
        <f>SUMIFS(DisplacementP[Individus],DisplacementP[adm2_name],$D285,DisplacementP[raison],E$282,DisplacementP[Statut déplacé],"returnee")</f>
        <v>26</v>
      </c>
      <c r="F285" s="1014">
        <f>SUMIFS(DisplacementP[Individus],DisplacementP[adm2_name],$D285,DisplacementP[raison],F$282,DisplacementP[Statut déplacé],"returnee")</f>
        <v>80531</v>
      </c>
      <c r="G285" s="1014">
        <f>SUMIFS(DisplacementP[Individus],DisplacementP[adm2_name],$D285,DisplacementP[raison],G$282,DisplacementP[Statut déplacé],"returnee")</f>
        <v>0</v>
      </c>
      <c r="H285" s="282">
        <f>SUMIFS(DisplacementP[Individus],DisplacementP[adm2_name],$D285,DisplacementP[raison],H$282,DisplacementP[Statut déplacé],"returnee")</f>
        <v>5096</v>
      </c>
      <c r="I285" s="1031">
        <f>SUMIFS(DisplacementP[Individus],DisplacementP[adm2_name],$D285,DisplacementP[raison],I$282,DisplacementP[Statut déplacé],"returnee")</f>
        <v>180</v>
      </c>
      <c r="J285" s="611">
        <f t="shared" si="45"/>
        <v>85833</v>
      </c>
      <c r="L285" s="284"/>
      <c r="N285" s="1013" t="s">
        <v>32</v>
      </c>
      <c r="O285" s="1015">
        <f t="shared" si="46"/>
        <v>26</v>
      </c>
      <c r="P285" s="1015">
        <f t="shared" si="47"/>
        <v>80531</v>
      </c>
      <c r="Q285" s="1015">
        <f t="shared" si="48"/>
        <v>0</v>
      </c>
      <c r="R285" s="1015">
        <f t="shared" si="48"/>
        <v>5096</v>
      </c>
      <c r="S285" s="1016">
        <f t="shared" si="49"/>
        <v>180</v>
      </c>
      <c r="T285" s="670">
        <f t="shared" si="50"/>
        <v>85833</v>
      </c>
      <c r="Y285" s="285"/>
    </row>
    <row r="286" spans="2:25" ht="15" thickBot="1" x14ac:dyDescent="0.35">
      <c r="B286" s="286"/>
      <c r="D286" s="1043" t="s">
        <v>33</v>
      </c>
      <c r="E286" s="1044">
        <f>SUMIFS(DisplacementP[Individus],DisplacementP[adm2_name],$D286,DisplacementP[raison],E$282,DisplacementP[Statut déplacé],"returnee")</f>
        <v>107</v>
      </c>
      <c r="F286" s="1044">
        <f>SUMIFS(DisplacementP[Individus],DisplacementP[adm2_name],$D286,DisplacementP[raison],F$282,DisplacementP[Statut déplacé],"returnee")</f>
        <v>20</v>
      </c>
      <c r="G286" s="1044">
        <f>SUMIFS(DisplacementP[Individus],DisplacementP[adm2_name],$D286,DisplacementP[raison],G$282,DisplacementP[Statut déplacé],"returnee")</f>
        <v>0</v>
      </c>
      <c r="H286" s="1044">
        <f>SUMIFS(DisplacementP[Individus],DisplacementP[adm2_name],$D286,DisplacementP[raison],H$282,DisplacementP[Statut déplacé],"returnee")</f>
        <v>60</v>
      </c>
      <c r="I286" s="1044">
        <f>SUMIFS(DisplacementP[Individus],DisplacementP[adm2_name],$D286,DisplacementP[raison],I$282,DisplacementP[Statut déplacé],"returnee")</f>
        <v>0</v>
      </c>
      <c r="J286" s="656">
        <f t="shared" si="45"/>
        <v>187</v>
      </c>
      <c r="L286" s="284"/>
      <c r="N286" s="1043" t="s">
        <v>33</v>
      </c>
      <c r="O286" s="1045">
        <f t="shared" si="46"/>
        <v>107</v>
      </c>
      <c r="P286" s="1045">
        <f t="shared" si="47"/>
        <v>20</v>
      </c>
      <c r="Q286" s="1045">
        <f t="shared" si="48"/>
        <v>0</v>
      </c>
      <c r="R286" s="1045">
        <f t="shared" si="48"/>
        <v>60</v>
      </c>
      <c r="S286" s="1046">
        <f t="shared" si="49"/>
        <v>0</v>
      </c>
      <c r="T286" s="674">
        <f t="shared" si="50"/>
        <v>187</v>
      </c>
      <c r="Y286" s="285"/>
    </row>
    <row r="287" spans="2:25" ht="15" thickBot="1" x14ac:dyDescent="0.35">
      <c r="B287" s="286"/>
      <c r="D287" s="1013" t="s">
        <v>34</v>
      </c>
      <c r="E287" s="1014">
        <f>SUMIFS(DisplacementP[Individus],DisplacementP[adm2_name],$D287,DisplacementP[raison],E$282,DisplacementP[Statut déplacé],"returnee")</f>
        <v>32870</v>
      </c>
      <c r="F287" s="1014">
        <f>SUMIFS(DisplacementP[Individus],DisplacementP[adm2_name],$D287,DisplacementP[raison],F$282,DisplacementP[Statut déplacé],"returnee")</f>
        <v>0</v>
      </c>
      <c r="G287" s="1014">
        <f>SUMIFS(DisplacementP[Individus],DisplacementP[adm2_name],$D287,DisplacementP[raison],G$282,DisplacementP[Statut déplacé],"returnee")</f>
        <v>0</v>
      </c>
      <c r="H287" s="282">
        <f>SUMIFS(DisplacementP[Individus],DisplacementP[adm2_name],$D287,DisplacementP[raison],H$282,DisplacementP[Statut déplacé],"returnee")</f>
        <v>0</v>
      </c>
      <c r="I287" s="1031">
        <f>SUMIFS(DisplacementP[Individus],DisplacementP[adm2_name],$D287,DisplacementP[raison],I$282,DisplacementP[Statut déplacé],"returnee")</f>
        <v>0</v>
      </c>
      <c r="J287" s="611">
        <f t="shared" si="45"/>
        <v>32870</v>
      </c>
      <c r="L287" s="284"/>
      <c r="N287" s="1013" t="s">
        <v>34</v>
      </c>
      <c r="O287" s="1015">
        <f t="shared" si="46"/>
        <v>32870</v>
      </c>
      <c r="P287" s="1015">
        <f t="shared" si="47"/>
        <v>0</v>
      </c>
      <c r="Q287" s="1015">
        <f t="shared" si="48"/>
        <v>0</v>
      </c>
      <c r="R287" s="1015">
        <f t="shared" si="48"/>
        <v>0</v>
      </c>
      <c r="S287" s="1016">
        <f t="shared" si="49"/>
        <v>0</v>
      </c>
      <c r="T287" s="670">
        <f t="shared" si="50"/>
        <v>32870</v>
      </c>
      <c r="Y287" s="285"/>
    </row>
    <row r="288" spans="2:25" ht="15" thickBot="1" x14ac:dyDescent="0.35">
      <c r="B288" s="286"/>
      <c r="D288" s="1043" t="s">
        <v>35</v>
      </c>
      <c r="E288" s="1044">
        <f>SUMIFS(DisplacementP[Individus],DisplacementP[adm2_name],$D288,DisplacementP[raison],E$282,DisplacementP[Statut déplacé],"returnee")</f>
        <v>20594</v>
      </c>
      <c r="F288" s="1044">
        <f>SUMIFS(DisplacementP[Individus],DisplacementP[adm2_name],$D288,DisplacementP[raison],F$282,DisplacementP[Statut déplacé],"returnee")</f>
        <v>0</v>
      </c>
      <c r="G288" s="1044">
        <f>SUMIFS(DisplacementP[Individus],DisplacementP[adm2_name],$D288,DisplacementP[raison],G$282,DisplacementP[Statut déplacé],"returnee")</f>
        <v>0</v>
      </c>
      <c r="H288" s="1044">
        <f>SUMIFS(DisplacementP[Individus],DisplacementP[adm2_name],$D288,DisplacementP[raison],H$282,DisplacementP[Statut déplacé],"returnee")</f>
        <v>0</v>
      </c>
      <c r="I288" s="1044">
        <f>SUMIFS(DisplacementP[Individus],DisplacementP[adm2_name],$D288,DisplacementP[raison],I$282,DisplacementP[Statut déplacé],"returnee")</f>
        <v>1192</v>
      </c>
      <c r="J288" s="656">
        <f t="shared" si="45"/>
        <v>21786</v>
      </c>
      <c r="L288" s="284"/>
      <c r="N288" s="1043" t="s">
        <v>35</v>
      </c>
      <c r="O288" s="1045">
        <f t="shared" si="46"/>
        <v>20594</v>
      </c>
      <c r="P288" s="1045">
        <f t="shared" si="47"/>
        <v>0</v>
      </c>
      <c r="Q288" s="1045">
        <f t="shared" si="48"/>
        <v>0</v>
      </c>
      <c r="R288" s="1045">
        <f t="shared" si="48"/>
        <v>0</v>
      </c>
      <c r="S288" s="1046">
        <f t="shared" si="49"/>
        <v>1192</v>
      </c>
      <c r="T288" s="674">
        <f t="shared" si="50"/>
        <v>21786</v>
      </c>
      <c r="Y288" s="285"/>
    </row>
    <row r="289" spans="2:25" ht="15" thickBot="1" x14ac:dyDescent="0.35">
      <c r="B289" s="286"/>
      <c r="D289" s="642"/>
      <c r="E289" s="643">
        <f t="shared" ref="E289:J289" si="51">SUM(E283:E288)</f>
        <v>81718</v>
      </c>
      <c r="F289" s="643">
        <f t="shared" si="51"/>
        <v>85108</v>
      </c>
      <c r="G289" s="643">
        <f t="shared" si="51"/>
        <v>232</v>
      </c>
      <c r="H289" s="643">
        <f t="shared" si="51"/>
        <v>34736</v>
      </c>
      <c r="I289" s="643">
        <f t="shared" si="51"/>
        <v>1372</v>
      </c>
      <c r="J289" s="643">
        <f t="shared" si="51"/>
        <v>203166</v>
      </c>
      <c r="L289" s="284"/>
      <c r="N289" s="668"/>
      <c r="O289" s="669">
        <f t="shared" ref="O289:T289" si="52">SUM(O283:O288)</f>
        <v>81718</v>
      </c>
      <c r="P289" s="669">
        <f t="shared" si="52"/>
        <v>85108</v>
      </c>
      <c r="Q289" s="669">
        <f t="shared" si="52"/>
        <v>232</v>
      </c>
      <c r="R289" s="669">
        <f t="shared" si="52"/>
        <v>34736</v>
      </c>
      <c r="S289" s="669">
        <f t="shared" si="52"/>
        <v>1372</v>
      </c>
      <c r="T289" s="669">
        <f t="shared" si="52"/>
        <v>203166</v>
      </c>
      <c r="Y289" s="285"/>
    </row>
    <row r="290" spans="2:25" x14ac:dyDescent="0.3">
      <c r="B290" s="286"/>
      <c r="E290" s="322">
        <f>E289/$J$289</f>
        <v>0.40222281287223255</v>
      </c>
      <c r="F290" s="322">
        <f t="shared" ref="F290:I290" si="53">F289/$J$289</f>
        <v>0.41890867566423517</v>
      </c>
      <c r="G290" s="322">
        <f t="shared" si="53"/>
        <v>1.141923353316992E-3</v>
      </c>
      <c r="H290" s="322">
        <f t="shared" si="53"/>
        <v>0.17097348965870274</v>
      </c>
      <c r="I290" s="322">
        <f t="shared" si="53"/>
        <v>6.7530984515125564E-3</v>
      </c>
      <c r="J290" s="322">
        <f>SUM(E290:I290)</f>
        <v>1</v>
      </c>
      <c r="L290" s="284"/>
      <c r="O290" s="322">
        <f>O289/$T$289</f>
        <v>0.40222281287223255</v>
      </c>
      <c r="P290" s="322">
        <f t="shared" ref="P290:S290" si="54">P289/$T$289</f>
        <v>0.41890867566423517</v>
      </c>
      <c r="Q290" s="322">
        <f t="shared" si="54"/>
        <v>1.141923353316992E-3</v>
      </c>
      <c r="R290" s="322">
        <f t="shared" si="54"/>
        <v>0.17097348965870274</v>
      </c>
      <c r="S290" s="322">
        <f t="shared" si="54"/>
        <v>6.7530984515125564E-3</v>
      </c>
      <c r="T290" s="317">
        <f>SUM(O290:S290)</f>
        <v>1</v>
      </c>
      <c r="Y290" s="285"/>
    </row>
    <row r="291" spans="2:25" x14ac:dyDescent="0.3">
      <c r="B291" s="286"/>
      <c r="L291" s="284"/>
      <c r="Y291" s="285"/>
    </row>
    <row r="292" spans="2:25" x14ac:dyDescent="0.3">
      <c r="B292" s="286"/>
      <c r="D292" s="293" t="s">
        <v>307</v>
      </c>
      <c r="L292" s="284"/>
      <c r="N292" s="293" t="s">
        <v>308</v>
      </c>
      <c r="Y292" s="285"/>
    </row>
    <row r="293" spans="2:25" ht="15" thickBot="1" x14ac:dyDescent="0.35">
      <c r="B293" s="286"/>
      <c r="L293" s="284"/>
      <c r="Y293" s="285"/>
    </row>
    <row r="294" spans="2:25" ht="46.05" customHeight="1" thickBot="1" x14ac:dyDescent="0.35">
      <c r="B294" s="286"/>
      <c r="D294" s="647" t="s">
        <v>48</v>
      </c>
      <c r="E294" s="648" t="s">
        <v>297</v>
      </c>
      <c r="F294" s="648" t="s">
        <v>272</v>
      </c>
      <c r="G294" s="648" t="s">
        <v>273</v>
      </c>
      <c r="H294" s="648" t="s">
        <v>274</v>
      </c>
      <c r="I294" s="649" t="s">
        <v>275</v>
      </c>
      <c r="J294" s="649" t="s">
        <v>25</v>
      </c>
      <c r="L294" s="284"/>
      <c r="N294" s="647" t="s">
        <v>51</v>
      </c>
      <c r="O294" s="648" t="s">
        <v>276</v>
      </c>
      <c r="P294" s="647" t="s">
        <v>277</v>
      </c>
      <c r="Q294" s="648" t="s">
        <v>278</v>
      </c>
      <c r="R294" s="648" t="s">
        <v>279</v>
      </c>
      <c r="S294" s="649" t="s">
        <v>280</v>
      </c>
      <c r="T294" s="649" t="s">
        <v>25</v>
      </c>
      <c r="Y294" s="285"/>
    </row>
    <row r="295" spans="2:25" ht="15" thickBot="1" x14ac:dyDescent="0.35">
      <c r="B295" s="286"/>
      <c r="D295" s="325" t="s">
        <v>30</v>
      </c>
      <c r="E295" s="333">
        <f>E283/$J$283</f>
        <v>9.0909090909090912E-2</v>
      </c>
      <c r="F295" s="333">
        <f>F283/$J$283</f>
        <v>0</v>
      </c>
      <c r="G295" s="333">
        <f>G283/$J$283</f>
        <v>0</v>
      </c>
      <c r="H295" s="333">
        <f>H283/$J$283</f>
        <v>0.90909090909090906</v>
      </c>
      <c r="I295" s="323">
        <f>I283/$J$283</f>
        <v>0</v>
      </c>
      <c r="J295" s="631">
        <f t="shared" ref="J295:J300" si="55">SUM(E295:I295)</f>
        <v>1</v>
      </c>
      <c r="L295" s="284"/>
      <c r="N295" s="325" t="s">
        <v>30</v>
      </c>
      <c r="O295" s="324">
        <f t="shared" ref="O295:O300" si="56">E295</f>
        <v>9.0909090909090912E-2</v>
      </c>
      <c r="P295" s="324">
        <f t="shared" ref="P295:P300" si="57">F295</f>
        <v>0</v>
      </c>
      <c r="Q295" s="324">
        <f t="shared" ref="Q295:R300" si="58">G295</f>
        <v>0</v>
      </c>
      <c r="R295" s="324">
        <f t="shared" si="58"/>
        <v>0.90909090909090906</v>
      </c>
      <c r="S295" s="323">
        <f t="shared" ref="S295:S300" si="59">I295</f>
        <v>0</v>
      </c>
      <c r="T295" s="631">
        <f t="shared" ref="T295:T300" si="60">SUM(O295:S295)</f>
        <v>1</v>
      </c>
      <c r="Y295" s="285"/>
    </row>
    <row r="296" spans="2:25" ht="15" thickBot="1" x14ac:dyDescent="0.35">
      <c r="B296" s="286"/>
      <c r="D296" s="326" t="s">
        <v>31</v>
      </c>
      <c r="E296" s="334">
        <f>E284/$J$284</f>
        <v>0.45249029180967115</v>
      </c>
      <c r="F296" s="334">
        <f>F284/$J$284</f>
        <v>7.3427756562092134E-2</v>
      </c>
      <c r="G296" s="334">
        <f>G284/$J$284</f>
        <v>3.7382575208262836E-3</v>
      </c>
      <c r="H296" s="334">
        <f>H284/$J$284</f>
        <v>0.47034369410741045</v>
      </c>
      <c r="I296" s="328">
        <f>I284/$J$284</f>
        <v>0</v>
      </c>
      <c r="J296" s="657">
        <f t="shared" si="55"/>
        <v>1</v>
      </c>
      <c r="L296" s="284"/>
      <c r="N296" s="326" t="s">
        <v>31</v>
      </c>
      <c r="O296" s="327">
        <f t="shared" si="56"/>
        <v>0.45249029180967115</v>
      </c>
      <c r="P296" s="327">
        <f t="shared" si="57"/>
        <v>7.3427756562092134E-2</v>
      </c>
      <c r="Q296" s="327">
        <f t="shared" si="58"/>
        <v>3.7382575208262836E-3</v>
      </c>
      <c r="R296" s="327">
        <f t="shared" si="58"/>
        <v>0.47034369410741045</v>
      </c>
      <c r="S296" s="328">
        <f t="shared" si="59"/>
        <v>0</v>
      </c>
      <c r="T296" s="657">
        <f t="shared" si="60"/>
        <v>1</v>
      </c>
      <c r="Y296" s="285"/>
    </row>
    <row r="297" spans="2:25" ht="15" thickBot="1" x14ac:dyDescent="0.35">
      <c r="B297" s="286"/>
      <c r="D297" s="325" t="s">
        <v>32</v>
      </c>
      <c r="E297" s="333">
        <f>E285/$J$285</f>
        <v>3.0291379772348631E-4</v>
      </c>
      <c r="F297" s="333">
        <f>F285/$J$285</f>
        <v>0.93822888632577217</v>
      </c>
      <c r="G297" s="333">
        <f>G285/$J$285</f>
        <v>0</v>
      </c>
      <c r="H297" s="333">
        <f>H285/$J$285</f>
        <v>5.9371104353803314E-2</v>
      </c>
      <c r="I297" s="323">
        <f>I285/$J$285</f>
        <v>2.0970955227010589E-3</v>
      </c>
      <c r="J297" s="631">
        <f t="shared" si="55"/>
        <v>1</v>
      </c>
      <c r="L297" s="284"/>
      <c r="N297" s="325" t="s">
        <v>32</v>
      </c>
      <c r="O297" s="324">
        <f t="shared" si="56"/>
        <v>3.0291379772348631E-4</v>
      </c>
      <c r="P297" s="324">
        <f t="shared" si="57"/>
        <v>0.93822888632577217</v>
      </c>
      <c r="Q297" s="324">
        <f t="shared" si="58"/>
        <v>0</v>
      </c>
      <c r="R297" s="324">
        <f t="shared" si="58"/>
        <v>5.9371104353803314E-2</v>
      </c>
      <c r="S297" s="323">
        <f t="shared" si="59"/>
        <v>2.0970955227010589E-3</v>
      </c>
      <c r="T297" s="631">
        <f t="shared" si="60"/>
        <v>1</v>
      </c>
      <c r="Y297" s="285"/>
    </row>
    <row r="298" spans="2:25" ht="15" thickBot="1" x14ac:dyDescent="0.35">
      <c r="B298" s="286"/>
      <c r="D298" s="326" t="s">
        <v>33</v>
      </c>
      <c r="E298" s="334">
        <f>E286/$J$286</f>
        <v>0.57219251336898391</v>
      </c>
      <c r="F298" s="334">
        <f>F286/$J$286</f>
        <v>0.10695187165775401</v>
      </c>
      <c r="G298" s="334">
        <f>G286/$J$286</f>
        <v>0</v>
      </c>
      <c r="H298" s="334">
        <f>H286/$J$286</f>
        <v>0.32085561497326204</v>
      </c>
      <c r="I298" s="328">
        <f>I286/$J$286</f>
        <v>0</v>
      </c>
      <c r="J298" s="657">
        <f t="shared" si="55"/>
        <v>1</v>
      </c>
      <c r="L298" s="284"/>
      <c r="N298" s="326" t="s">
        <v>33</v>
      </c>
      <c r="O298" s="327">
        <f t="shared" si="56"/>
        <v>0.57219251336898391</v>
      </c>
      <c r="P298" s="327">
        <f t="shared" si="57"/>
        <v>0.10695187165775401</v>
      </c>
      <c r="Q298" s="327">
        <f t="shared" si="58"/>
        <v>0</v>
      </c>
      <c r="R298" s="327">
        <f t="shared" si="58"/>
        <v>0.32085561497326204</v>
      </c>
      <c r="S298" s="328">
        <f t="shared" si="59"/>
        <v>0</v>
      </c>
      <c r="T298" s="657">
        <f t="shared" si="60"/>
        <v>1</v>
      </c>
      <c r="Y298" s="285"/>
    </row>
    <row r="299" spans="2:25" ht="15" thickBot="1" x14ac:dyDescent="0.35">
      <c r="B299" s="286"/>
      <c r="D299" s="325" t="s">
        <v>34</v>
      </c>
      <c r="E299" s="333">
        <f>E287/$J$287</f>
        <v>1</v>
      </c>
      <c r="F299" s="333">
        <f>F287/$J$287</f>
        <v>0</v>
      </c>
      <c r="G299" s="333">
        <f>G287/$J$287</f>
        <v>0</v>
      </c>
      <c r="H299" s="333">
        <f>H287/$J$287</f>
        <v>0</v>
      </c>
      <c r="I299" s="323">
        <f>I287/$J$287</f>
        <v>0</v>
      </c>
      <c r="J299" s="631">
        <f t="shared" si="55"/>
        <v>1</v>
      </c>
      <c r="L299" s="284"/>
      <c r="N299" s="325" t="s">
        <v>34</v>
      </c>
      <c r="O299" s="324">
        <f t="shared" si="56"/>
        <v>1</v>
      </c>
      <c r="P299" s="324">
        <f t="shared" si="57"/>
        <v>0</v>
      </c>
      <c r="Q299" s="324">
        <f t="shared" si="58"/>
        <v>0</v>
      </c>
      <c r="R299" s="324">
        <f t="shared" si="58"/>
        <v>0</v>
      </c>
      <c r="S299" s="323">
        <f t="shared" si="59"/>
        <v>0</v>
      </c>
      <c r="T299" s="631">
        <f t="shared" si="60"/>
        <v>1</v>
      </c>
      <c r="Y299" s="285"/>
    </row>
    <row r="300" spans="2:25" ht="15" thickBot="1" x14ac:dyDescent="0.35">
      <c r="B300" s="286"/>
      <c r="D300" s="329" t="s">
        <v>35</v>
      </c>
      <c r="E300" s="335">
        <f>E288/$J$288</f>
        <v>0.94528596346277427</v>
      </c>
      <c r="F300" s="335">
        <f>F288/$J$288</f>
        <v>0</v>
      </c>
      <c r="G300" s="335">
        <f>G288/$J$288</f>
        <v>0</v>
      </c>
      <c r="H300" s="335">
        <f>H288/$J$288</f>
        <v>0</v>
      </c>
      <c r="I300" s="330">
        <f>I288/$J$288</f>
        <v>5.4714036537225744E-2</v>
      </c>
      <c r="J300" s="658">
        <f t="shared" si="55"/>
        <v>1</v>
      </c>
      <c r="L300" s="284"/>
      <c r="N300" s="329" t="s">
        <v>35</v>
      </c>
      <c r="O300" s="331">
        <f t="shared" si="56"/>
        <v>0.94528596346277427</v>
      </c>
      <c r="P300" s="332">
        <f t="shared" si="57"/>
        <v>0</v>
      </c>
      <c r="Q300" s="332">
        <f t="shared" si="58"/>
        <v>0</v>
      </c>
      <c r="R300" s="332">
        <f t="shared" si="58"/>
        <v>0</v>
      </c>
      <c r="S300" s="330">
        <f t="shared" si="59"/>
        <v>5.4714036537225744E-2</v>
      </c>
      <c r="T300" s="658">
        <f t="shared" si="60"/>
        <v>1</v>
      </c>
      <c r="Y300" s="285"/>
    </row>
    <row r="301" spans="2:25" x14ac:dyDescent="0.3">
      <c r="B301" s="286"/>
      <c r="L301" s="284"/>
      <c r="Y301" s="285"/>
    </row>
    <row r="302" spans="2:25" x14ac:dyDescent="0.3">
      <c r="B302" s="286"/>
      <c r="L302" s="284"/>
      <c r="Y302" s="285"/>
    </row>
    <row r="303" spans="2:25" x14ac:dyDescent="0.3">
      <c r="B303" s="286"/>
      <c r="L303" s="284"/>
      <c r="Y303" s="285"/>
    </row>
    <row r="304" spans="2:25" x14ac:dyDescent="0.3">
      <c r="B304" s="286"/>
      <c r="L304" s="284"/>
      <c r="Y304" s="285"/>
    </row>
    <row r="305" spans="2:25" x14ac:dyDescent="0.3">
      <c r="B305" s="286"/>
      <c r="L305" s="284"/>
      <c r="Y305" s="285"/>
    </row>
    <row r="306" spans="2:25" x14ac:dyDescent="0.3">
      <c r="B306" s="286"/>
      <c r="L306" s="284"/>
      <c r="Y306" s="285"/>
    </row>
    <row r="307" spans="2:25" x14ac:dyDescent="0.3">
      <c r="B307" s="286"/>
      <c r="L307" s="284"/>
      <c r="Y307" s="285"/>
    </row>
    <row r="308" spans="2:25" x14ac:dyDescent="0.3">
      <c r="B308" s="286"/>
      <c r="L308" s="284"/>
      <c r="Y308" s="285"/>
    </row>
    <row r="309" spans="2:25" x14ac:dyDescent="0.3">
      <c r="B309" s="286"/>
      <c r="L309" s="284"/>
      <c r="Y309" s="285"/>
    </row>
    <row r="310" spans="2:25" x14ac:dyDescent="0.3">
      <c r="B310" s="286"/>
      <c r="L310" s="284"/>
      <c r="Y310" s="285"/>
    </row>
    <row r="311" spans="2:25" x14ac:dyDescent="0.3">
      <c r="B311" s="286"/>
      <c r="L311" s="284"/>
      <c r="Y311" s="285"/>
    </row>
    <row r="312" spans="2:25" x14ac:dyDescent="0.3">
      <c r="B312" s="286"/>
      <c r="L312" s="284"/>
      <c r="Y312" s="285"/>
    </row>
    <row r="313" spans="2:25" x14ac:dyDescent="0.3">
      <c r="B313" s="286"/>
      <c r="L313" s="284"/>
      <c r="Y313" s="285"/>
    </row>
    <row r="314" spans="2:25" x14ac:dyDescent="0.3">
      <c r="B314" s="286"/>
      <c r="L314" s="284"/>
      <c r="Y314" s="285"/>
    </row>
    <row r="315" spans="2:25" x14ac:dyDescent="0.3">
      <c r="B315" s="286"/>
      <c r="L315" s="284"/>
      <c r="Y315" s="285"/>
    </row>
    <row r="316" spans="2:25" x14ac:dyDescent="0.3">
      <c r="B316" s="286"/>
      <c r="L316" s="284"/>
      <c r="Y316" s="285"/>
    </row>
    <row r="317" spans="2:25" x14ac:dyDescent="0.3">
      <c r="B317" s="286"/>
      <c r="L317" s="284"/>
      <c r="Y317" s="285"/>
    </row>
    <row r="318" spans="2:25" x14ac:dyDescent="0.3">
      <c r="B318" s="286"/>
      <c r="L318" s="284"/>
      <c r="Y318" s="285"/>
    </row>
    <row r="319" spans="2:25" x14ac:dyDescent="0.3">
      <c r="B319" s="286"/>
      <c r="L319" s="284"/>
      <c r="Y319" s="285"/>
    </row>
    <row r="320" spans="2:25" x14ac:dyDescent="0.3">
      <c r="B320" s="286"/>
      <c r="L320" s="284"/>
      <c r="Y320" s="285"/>
    </row>
    <row r="321" spans="2:25" x14ac:dyDescent="0.3">
      <c r="B321" s="286"/>
      <c r="L321" s="284"/>
      <c r="Y321" s="285"/>
    </row>
    <row r="322" spans="2:25" x14ac:dyDescent="0.3">
      <c r="B322" s="286"/>
      <c r="L322" s="284"/>
      <c r="Y322" s="285"/>
    </row>
    <row r="323" spans="2:25" x14ac:dyDescent="0.3">
      <c r="B323" s="286"/>
      <c r="L323" s="284"/>
      <c r="Y323" s="285"/>
    </row>
    <row r="324" spans="2:25" x14ac:dyDescent="0.3">
      <c r="B324" s="286"/>
      <c r="L324" s="284"/>
      <c r="Y324" s="285"/>
    </row>
    <row r="325" spans="2:25" x14ac:dyDescent="0.3">
      <c r="B325" s="286"/>
      <c r="L325" s="284"/>
      <c r="Y325" s="285"/>
    </row>
    <row r="326" spans="2:25" x14ac:dyDescent="0.3">
      <c r="B326" s="286"/>
      <c r="L326" s="284"/>
      <c r="Y326" s="285"/>
    </row>
    <row r="327" spans="2:25" x14ac:dyDescent="0.3">
      <c r="B327" s="288"/>
      <c r="C327" s="289"/>
      <c r="D327" s="289"/>
      <c r="E327" s="289"/>
      <c r="F327" s="289"/>
      <c r="G327" s="289"/>
      <c r="H327" s="289"/>
      <c r="I327" s="289"/>
      <c r="J327" s="289"/>
      <c r="K327" s="289"/>
      <c r="L327" s="290"/>
      <c r="M327" s="289"/>
      <c r="N327" s="289"/>
      <c r="O327" s="289"/>
      <c r="P327" s="289"/>
      <c r="Q327" s="289"/>
      <c r="R327" s="289"/>
      <c r="S327" s="289"/>
      <c r="T327" s="289"/>
      <c r="U327" s="289"/>
      <c r="V327" s="289"/>
      <c r="W327" s="289"/>
      <c r="X327" s="289"/>
      <c r="Y327" s="291"/>
    </row>
    <row r="328" spans="2:25" x14ac:dyDescent="0.3">
      <c r="L328" s="282"/>
    </row>
    <row r="329" spans="2:25" x14ac:dyDescent="0.3">
      <c r="L329" s="282"/>
    </row>
    <row r="330" spans="2:25" x14ac:dyDescent="0.3">
      <c r="L330" s="282"/>
    </row>
    <row r="331" spans="2:25" x14ac:dyDescent="0.3">
      <c r="L331" s="282"/>
    </row>
    <row r="332" spans="2:25" x14ac:dyDescent="0.3">
      <c r="L332" s="282"/>
    </row>
    <row r="333" spans="2:25" x14ac:dyDescent="0.3">
      <c r="L333" s="282"/>
    </row>
    <row r="334" spans="2:25" x14ac:dyDescent="0.3">
      <c r="L334" s="282"/>
    </row>
    <row r="335" spans="2:25" x14ac:dyDescent="0.3">
      <c r="L335" s="282"/>
    </row>
    <row r="336" spans="2:25" x14ac:dyDescent="0.3">
      <c r="L336" s="282"/>
    </row>
    <row r="337" spans="12:12" x14ac:dyDescent="0.3">
      <c r="L337" s="282"/>
    </row>
    <row r="338" spans="12:12" x14ac:dyDescent="0.3">
      <c r="L338" s="282"/>
    </row>
    <row r="339" spans="12:12" x14ac:dyDescent="0.3">
      <c r="L339" s="282"/>
    </row>
    <row r="340" spans="12:12" x14ac:dyDescent="0.3">
      <c r="L340" s="282"/>
    </row>
    <row r="341" spans="12:12" x14ac:dyDescent="0.3">
      <c r="L341" s="282"/>
    </row>
    <row r="342" spans="12:12" x14ac:dyDescent="0.3">
      <c r="L342" s="282"/>
    </row>
    <row r="343" spans="12:12" x14ac:dyDescent="0.3">
      <c r="L343" s="282"/>
    </row>
    <row r="344" spans="12:12" x14ac:dyDescent="0.3">
      <c r="L344" s="282"/>
    </row>
    <row r="345" spans="12:12" x14ac:dyDescent="0.3">
      <c r="L345" s="282"/>
    </row>
    <row r="346" spans="12:12" x14ac:dyDescent="0.3">
      <c r="L346" s="282"/>
    </row>
    <row r="347" spans="12:12" x14ac:dyDescent="0.3">
      <c r="L347" s="282"/>
    </row>
    <row r="348" spans="12:12" x14ac:dyDescent="0.3">
      <c r="L348" s="282"/>
    </row>
    <row r="349" spans="12:12" x14ac:dyDescent="0.3">
      <c r="L349" s="282"/>
    </row>
    <row r="350" spans="12:12" x14ac:dyDescent="0.3">
      <c r="L350" s="282"/>
    </row>
    <row r="351" spans="12:12" x14ac:dyDescent="0.3">
      <c r="L351" s="282"/>
    </row>
    <row r="352" spans="12:12" x14ac:dyDescent="0.3">
      <c r="L352" s="282"/>
    </row>
    <row r="353" spans="12:12" x14ac:dyDescent="0.3">
      <c r="L353" s="282"/>
    </row>
    <row r="354" spans="12:12" x14ac:dyDescent="0.3">
      <c r="L354" s="282"/>
    </row>
    <row r="355" spans="12:12" x14ac:dyDescent="0.3">
      <c r="L355" s="282"/>
    </row>
    <row r="356" spans="12:12" x14ac:dyDescent="0.3">
      <c r="L356" s="282"/>
    </row>
    <row r="357" spans="12:12" x14ac:dyDescent="0.3">
      <c r="L357" s="282"/>
    </row>
    <row r="358" spans="12:12" x14ac:dyDescent="0.3">
      <c r="L358" s="282"/>
    </row>
    <row r="359" spans="12:12" x14ac:dyDescent="0.3">
      <c r="L359" s="282"/>
    </row>
    <row r="360" spans="12:12" x14ac:dyDescent="0.3">
      <c r="L360" s="282"/>
    </row>
    <row r="361" spans="12:12" x14ac:dyDescent="0.3">
      <c r="L361" s="282"/>
    </row>
    <row r="362" spans="12:12" x14ac:dyDescent="0.3">
      <c r="L362" s="282"/>
    </row>
    <row r="363" spans="12:12" x14ac:dyDescent="0.3">
      <c r="L363" s="282"/>
    </row>
    <row r="364" spans="12:12" x14ac:dyDescent="0.3">
      <c r="L364" s="282"/>
    </row>
    <row r="365" spans="12:12" x14ac:dyDescent="0.3">
      <c r="L365" s="282"/>
    </row>
    <row r="366" spans="12:12" x14ac:dyDescent="0.3">
      <c r="L366" s="282"/>
    </row>
    <row r="367" spans="12:12" x14ac:dyDescent="0.3">
      <c r="L367" s="282"/>
    </row>
    <row r="368" spans="12:12" x14ac:dyDescent="0.3">
      <c r="L368" s="282"/>
    </row>
  </sheetData>
  <mergeCells count="6">
    <mergeCell ref="B1:K1"/>
    <mergeCell ref="M1:Y1"/>
    <mergeCell ref="B50:K50"/>
    <mergeCell ref="M50:T50"/>
    <mergeCell ref="B108:K108"/>
    <mergeCell ref="M108:T108"/>
  </mergeCells>
  <pageMargins left="0.7" right="0.7" top="0.75" bottom="0.75" header="0.3" footer="0.3"/>
  <pageSetup paperSize="9" scale="17" orientation="portrait" r:id="rId3"/>
  <ignoredErrors>
    <ignoredError sqref="J237 J289" formula="1"/>
  </ignoredErrors>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AEC55-9EEC-4838-AC01-0DBEB69C16ED}">
  <sheetPr>
    <tabColor rgb="FFFFFF00"/>
  </sheetPr>
  <dimension ref="B1:AC143"/>
  <sheetViews>
    <sheetView showGridLines="0" topLeftCell="D48" zoomScaleNormal="100" zoomScaleSheetLayoutView="90" workbookViewId="0">
      <selection activeCell="J2" sqref="J2"/>
    </sheetView>
  </sheetViews>
  <sheetFormatPr defaultColWidth="11.5546875" defaultRowHeight="14.4" x14ac:dyDescent="0.3"/>
  <cols>
    <col min="1" max="1" width="11.5546875" style="769"/>
    <col min="2" max="2" width="20.21875" style="769" bestFit="1" customWidth="1"/>
    <col min="3" max="3" width="13.21875" style="769" bestFit="1" customWidth="1"/>
    <col min="4" max="4" width="12.77734375" style="769" customWidth="1"/>
    <col min="5" max="5" width="4.21875" style="769" customWidth="1"/>
    <col min="6" max="6" width="75.77734375" style="769" customWidth="1"/>
    <col min="7" max="13" width="13.44140625" style="769" customWidth="1"/>
    <col min="14" max="15" width="3.77734375" style="769" customWidth="1"/>
    <col min="16" max="17" width="5.21875" style="769" customWidth="1"/>
    <col min="18" max="18" width="62.77734375" style="769" customWidth="1"/>
    <col min="19" max="19" width="11.5546875" style="769"/>
    <col min="20" max="20" width="17.21875" style="769" customWidth="1"/>
    <col min="21" max="24" width="15.21875" style="769" customWidth="1"/>
    <col min="25" max="25" width="13" style="769" customWidth="1"/>
    <col min="26" max="16384" width="11.5546875" style="769"/>
  </cols>
  <sheetData>
    <row r="1" spans="2:26" ht="21.6" thickBot="1" x14ac:dyDescent="0.35">
      <c r="B1" s="1245" t="s">
        <v>358</v>
      </c>
      <c r="C1" s="773"/>
      <c r="D1" s="773"/>
      <c r="E1" s="1351" t="s">
        <v>17</v>
      </c>
      <c r="F1" s="1352"/>
      <c r="G1" s="1352"/>
      <c r="H1" s="1352"/>
      <c r="I1" s="1352"/>
      <c r="J1" s="1352"/>
      <c r="K1" s="1352"/>
      <c r="L1" s="1352"/>
      <c r="M1" s="1352"/>
      <c r="N1" s="1352"/>
      <c r="O1" s="1353"/>
      <c r="P1" s="568"/>
      <c r="Q1" s="1354" t="s">
        <v>18</v>
      </c>
      <c r="R1" s="1355"/>
      <c r="S1" s="1355"/>
      <c r="T1" s="1355"/>
      <c r="U1" s="1355"/>
      <c r="V1" s="1355"/>
      <c r="W1" s="1355"/>
      <c r="X1" s="1355"/>
      <c r="Y1" s="1355"/>
      <c r="Z1" s="1356"/>
    </row>
    <row r="2" spans="2:26" ht="22.5" customHeight="1" x14ac:dyDescent="0.3">
      <c r="B2" s="992" t="s">
        <v>359</v>
      </c>
      <c r="C2" s="773"/>
      <c r="D2" s="773"/>
      <c r="E2" s="770"/>
      <c r="F2" s="776" t="s">
        <v>360</v>
      </c>
      <c r="G2" s="777"/>
      <c r="H2" s="777"/>
      <c r="I2" s="777"/>
      <c r="J2" s="777"/>
      <c r="K2" s="777"/>
      <c r="L2" s="777"/>
      <c r="M2" s="777"/>
      <c r="N2" s="777"/>
      <c r="O2" s="778"/>
      <c r="P2" s="773"/>
      <c r="Q2" s="779"/>
      <c r="R2" s="776" t="s">
        <v>361</v>
      </c>
      <c r="S2" s="777"/>
      <c r="T2" s="777"/>
      <c r="U2" s="777"/>
      <c r="V2" s="777"/>
      <c r="W2" s="777"/>
      <c r="X2" s="777"/>
      <c r="Y2" s="777"/>
      <c r="Z2" s="778"/>
    </row>
    <row r="3" spans="2:26" x14ac:dyDescent="0.3">
      <c r="B3" s="773"/>
      <c r="C3" s="780"/>
      <c r="D3" s="780"/>
      <c r="E3" s="770"/>
      <c r="G3" s="773"/>
      <c r="H3" s="773"/>
      <c r="I3" s="773"/>
      <c r="J3" s="773"/>
      <c r="K3" s="773"/>
      <c r="L3" s="773"/>
      <c r="M3" s="773"/>
      <c r="N3" s="773"/>
      <c r="O3" s="772"/>
      <c r="P3" s="773"/>
      <c r="Q3" s="770"/>
      <c r="S3" s="773"/>
      <c r="T3" s="773"/>
      <c r="U3" s="773"/>
      <c r="V3" s="773"/>
      <c r="W3" s="773"/>
      <c r="X3" s="773"/>
      <c r="Y3" s="773"/>
      <c r="Z3" s="772"/>
    </row>
    <row r="4" spans="2:26" ht="28.8" x14ac:dyDescent="0.3">
      <c r="B4" s="946" t="s">
        <v>362</v>
      </c>
      <c r="C4" s="1084" t="s">
        <v>363</v>
      </c>
      <c r="E4" s="770"/>
      <c r="F4" s="569" t="s">
        <v>364</v>
      </c>
      <c r="G4" s="767" t="s">
        <v>30</v>
      </c>
      <c r="H4" s="767" t="s">
        <v>31</v>
      </c>
      <c r="I4" s="767" t="s">
        <v>32</v>
      </c>
      <c r="J4" s="767" t="s">
        <v>33</v>
      </c>
      <c r="K4" s="767" t="s">
        <v>34</v>
      </c>
      <c r="L4" s="767" t="s">
        <v>35</v>
      </c>
      <c r="M4" s="768" t="s">
        <v>25</v>
      </c>
      <c r="N4" s="771"/>
      <c r="O4" s="772"/>
      <c r="P4" s="773"/>
      <c r="Q4" s="770"/>
      <c r="R4" s="569" t="s">
        <v>51</v>
      </c>
      <c r="S4" s="774" t="s">
        <v>30</v>
      </c>
      <c r="T4" s="774" t="s">
        <v>31</v>
      </c>
      <c r="U4" s="774" t="s">
        <v>32</v>
      </c>
      <c r="V4" s="774" t="s">
        <v>33</v>
      </c>
      <c r="W4" s="774" t="s">
        <v>34</v>
      </c>
      <c r="X4" s="774" t="s">
        <v>35</v>
      </c>
      <c r="Y4" s="775" t="s">
        <v>25</v>
      </c>
      <c r="Z4" s="772"/>
    </row>
    <row r="5" spans="2:26" x14ac:dyDescent="0.3">
      <c r="B5" s="1123" t="s">
        <v>30</v>
      </c>
      <c r="C5" s="1123">
        <v>429</v>
      </c>
      <c r="E5" s="770"/>
      <c r="F5" s="781" t="s">
        <v>365</v>
      </c>
      <c r="G5" s="782">
        <f>SUMIFS(focus_retournes[ind],focus_retournes[departement],'Focus Retournees'!$G$4,focus_retournes[motif_de_retour],'Focus Retournees'!$F5)</f>
        <v>78</v>
      </c>
      <c r="H5" s="782">
        <f>SUMIFS(focus_retournes[ind],focus_retournes[departement],'Focus Retournees'!$H$4,focus_retournes[motif_de_retour],'Focus Retournees'!$F5)</f>
        <v>28887</v>
      </c>
      <c r="I5" s="782">
        <f>SUMIFS(focus_retournes[ind],focus_retournes[departement],'Focus Retournees'!$I$4,focus_retournes[motif_de_retour],'Focus Retournees'!$F5)</f>
        <v>9408</v>
      </c>
      <c r="J5" s="782">
        <f>SUMIFS(focus_retournes[ind],focus_retournes[departement],'Focus Retournees'!$J$4,focus_retournes[motif_de_retour],'Focus Retournees'!$F5)</f>
        <v>15</v>
      </c>
      <c r="K5" s="782">
        <f>SUMIFS(focus_retournes[ind],focus_retournes[departement],'Focus Retournees'!$K$4,focus_retournes[motif_de_retour],'Focus Retournees'!$F5)</f>
        <v>5190</v>
      </c>
      <c r="L5" s="782">
        <f>SUMIFS(focus_retournes[ind],focus_retournes[departement],'Focus Retournees'!$L$4,focus_retournes[motif_de_retour],'Focus Retournees'!$F5)</f>
        <v>15126</v>
      </c>
      <c r="M5" s="783">
        <f>SUM('Focus Retournees'!$G5:$L5)</f>
        <v>58704</v>
      </c>
      <c r="N5" s="782"/>
      <c r="O5" s="772"/>
      <c r="P5" s="773"/>
      <c r="Q5" s="770"/>
      <c r="R5" s="949" t="s">
        <v>366</v>
      </c>
      <c r="S5" s="950">
        <f t="shared" ref="S5:S14" si="0">G5</f>
        <v>78</v>
      </c>
      <c r="T5" s="950">
        <f t="shared" ref="T5:X14" si="1">H5</f>
        <v>28887</v>
      </c>
      <c r="U5" s="950">
        <f t="shared" si="1"/>
        <v>9408</v>
      </c>
      <c r="V5" s="950">
        <f t="shared" si="1"/>
        <v>15</v>
      </c>
      <c r="W5" s="950">
        <f t="shared" si="1"/>
        <v>5190</v>
      </c>
      <c r="X5" s="950">
        <f t="shared" si="1"/>
        <v>15126</v>
      </c>
      <c r="Y5" s="951">
        <f>SUM(S5:X5)</f>
        <v>58704</v>
      </c>
      <c r="Z5" s="772"/>
    </row>
    <row r="6" spans="2:26" x14ac:dyDescent="0.3">
      <c r="B6" s="1122" t="s">
        <v>157</v>
      </c>
      <c r="C6" s="1122">
        <v>390</v>
      </c>
      <c r="E6" s="770"/>
      <c r="F6" s="785" t="s">
        <v>367</v>
      </c>
      <c r="G6" s="786">
        <f>SUMIFS(focus_retournes[ind],focus_retournes[departement],'Focus Retournees'!$G$4,focus_retournes[motif_de_retour],'Focus Retournees'!$F6)</f>
        <v>21</v>
      </c>
      <c r="H6" s="786">
        <f>SUMIFS(focus_retournes[ind],focus_retournes[departement],'Focus Retournees'!$H$4,focus_retournes[motif_de_retour],'Focus Retournees'!$F6)</f>
        <v>29804</v>
      </c>
      <c r="I6" s="786">
        <f>SUMIFS(focus_retournes[ind],focus_retournes[departement],'Focus Retournees'!$I$4,focus_retournes[motif_de_retour],'Focus Retournees'!$F6)</f>
        <v>32746</v>
      </c>
      <c r="J6" s="786">
        <f>SUMIFS(focus_retournes[ind],focus_retournes[departement],'Focus Retournees'!$J$4,focus_retournes[motif_de_retour],'Focus Retournees'!$F6)</f>
        <v>142</v>
      </c>
      <c r="K6" s="786">
        <f>SUMIFS(focus_retournes[ind],focus_retournes[departement],'Focus Retournees'!$K$4,focus_retournes[motif_de_retour],'Focus Retournees'!$F6)</f>
        <v>26732</v>
      </c>
      <c r="L6" s="786">
        <f>SUMIFS(focus_retournes[ind],focus_retournes[departement],'Focus Retournees'!$L$4,focus_retournes[motif_de_retour],'Focus Retournees'!$F6)</f>
        <v>5461</v>
      </c>
      <c r="M6" s="787">
        <f>SUM('Focus Retournees'!$G6:$L6)</f>
        <v>94906</v>
      </c>
      <c r="N6" s="782"/>
      <c r="O6" s="772"/>
      <c r="P6" s="773"/>
      <c r="Q6" s="770"/>
      <c r="R6" s="952" t="s">
        <v>368</v>
      </c>
      <c r="S6" s="788">
        <f t="shared" si="0"/>
        <v>21</v>
      </c>
      <c r="T6" s="788">
        <f t="shared" si="1"/>
        <v>29804</v>
      </c>
      <c r="U6" s="788">
        <f t="shared" si="1"/>
        <v>32746</v>
      </c>
      <c r="V6" s="788">
        <f t="shared" si="1"/>
        <v>142</v>
      </c>
      <c r="W6" s="788">
        <f t="shared" si="1"/>
        <v>26732</v>
      </c>
      <c r="X6" s="788">
        <f t="shared" si="1"/>
        <v>5461</v>
      </c>
      <c r="Y6" s="953">
        <f t="shared" ref="Y6:Y12" si="2">SUM(S6:X6)</f>
        <v>94906</v>
      </c>
      <c r="Z6" s="772"/>
    </row>
    <row r="7" spans="2:26" x14ac:dyDescent="0.3">
      <c r="B7" s="1122" t="s">
        <v>162</v>
      </c>
      <c r="C7" s="1122">
        <v>39</v>
      </c>
      <c r="D7"/>
      <c r="E7" s="770"/>
      <c r="F7" s="781" t="s">
        <v>369</v>
      </c>
      <c r="G7" s="782">
        <f>SUMIFS(focus_retournes[ind],focus_retournes[departement],'Focus Retournees'!$G$4,focus_retournes[motif_de_retour],'Focus Retournees'!$F7)</f>
        <v>0</v>
      </c>
      <c r="H7" s="782">
        <f>SUMIFS(focus_retournes[ind],focus_retournes[departement],'Focus Retournees'!$H$4,focus_retournes[motif_de_retour],'Focus Retournees'!$F7)</f>
        <v>462</v>
      </c>
      <c r="I7" s="782">
        <f>SUMIFS(focus_retournes[ind],focus_retournes[departement],'Focus Retournees'!$I$4,focus_retournes[motif_de_retour],'Focus Retournees'!$F7)</f>
        <v>426</v>
      </c>
      <c r="J7" s="782">
        <f>SUMIFS(focus_retournes[ind],focus_retournes[departement],'Focus Retournees'!$J$4,focus_retournes[motif_de_retour],'Focus Retournees'!$F7)</f>
        <v>15</v>
      </c>
      <c r="K7" s="782">
        <f>SUMIFS(focus_retournes[ind],focus_retournes[departement],'Focus Retournees'!$K$4,focus_retournes[motif_de_retour],'Focus Retournees'!$F7)</f>
        <v>0</v>
      </c>
      <c r="L7" s="782">
        <f>SUMIFS(focus_retournes[ind],focus_retournes[departement],'Focus Retournees'!$L$4,focus_retournes[motif_de_retour],'Focus Retournees'!$F7)</f>
        <v>133</v>
      </c>
      <c r="M7" s="783">
        <f>SUM('Focus Retournees'!$G7:$L7)</f>
        <v>1036</v>
      </c>
      <c r="N7" s="782"/>
      <c r="O7" s="772"/>
      <c r="P7" s="773"/>
      <c r="Q7" s="789"/>
      <c r="R7" s="954" t="s">
        <v>370</v>
      </c>
      <c r="S7" s="784">
        <f t="shared" si="0"/>
        <v>0</v>
      </c>
      <c r="T7" s="784">
        <f t="shared" si="1"/>
        <v>462</v>
      </c>
      <c r="U7" s="784">
        <f t="shared" si="1"/>
        <v>426</v>
      </c>
      <c r="V7" s="784">
        <f t="shared" si="1"/>
        <v>15</v>
      </c>
      <c r="W7" s="784">
        <f t="shared" si="1"/>
        <v>0</v>
      </c>
      <c r="X7" s="784">
        <f t="shared" si="1"/>
        <v>133</v>
      </c>
      <c r="Y7" s="955">
        <f t="shared" si="2"/>
        <v>1036</v>
      </c>
      <c r="Z7" s="772"/>
    </row>
    <row r="8" spans="2:26" x14ac:dyDescent="0.3">
      <c r="B8" s="1123" t="s">
        <v>31</v>
      </c>
      <c r="C8" s="1123">
        <v>62061</v>
      </c>
      <c r="D8"/>
      <c r="E8" s="770"/>
      <c r="F8" s="785" t="s">
        <v>371</v>
      </c>
      <c r="G8" s="786">
        <f>SUMIFS(focus_retournes[ind],focus_retournes[departement],'Focus Retournees'!$G$4,focus_retournes[motif_de_retour],'Focus Retournees'!$F8)</f>
        <v>1</v>
      </c>
      <c r="H8" s="786">
        <f>SUMIFS(focus_retournes[ind],focus_retournes[departement],'Focus Retournees'!$H$4,focus_retournes[motif_de_retour],'Focus Retournees'!$F8)</f>
        <v>517</v>
      </c>
      <c r="I8" s="786">
        <f>SUMIFS(focus_retournes[ind],focus_retournes[departement],'Focus Retournees'!$I$4,focus_retournes[motif_de_retour],'Focus Retournees'!$F8)</f>
        <v>24115</v>
      </c>
      <c r="J8" s="786">
        <f>SUMIFS(focus_retournes[ind],focus_retournes[departement],'Focus Retournees'!$J$4,focus_retournes[motif_de_retour],'Focus Retournees'!$F8)</f>
        <v>15</v>
      </c>
      <c r="K8" s="786">
        <f>SUMIFS(focus_retournes[ind],focus_retournes[departement],'Focus Retournees'!$K$4,focus_retournes[motif_de_retour],'Focus Retournees'!$F8)</f>
        <v>931</v>
      </c>
      <c r="L8" s="786">
        <f>SUMIFS(focus_retournes[ind],focus_retournes[departement],'Focus Retournees'!$L$4,focus_retournes[motif_de_retour],'Focus Retournees'!$F8)</f>
        <v>16</v>
      </c>
      <c r="M8" s="787">
        <f>SUM('Focus Retournees'!$G8:$L8)</f>
        <v>25595</v>
      </c>
      <c r="N8" s="782"/>
      <c r="O8" s="772"/>
      <c r="P8" s="773"/>
      <c r="Q8" s="789"/>
      <c r="R8" s="952" t="s">
        <v>372</v>
      </c>
      <c r="S8" s="788">
        <f t="shared" si="0"/>
        <v>1</v>
      </c>
      <c r="T8" s="788">
        <f t="shared" si="1"/>
        <v>517</v>
      </c>
      <c r="U8" s="788">
        <f t="shared" si="1"/>
        <v>24115</v>
      </c>
      <c r="V8" s="788">
        <f t="shared" si="1"/>
        <v>15</v>
      </c>
      <c r="W8" s="788">
        <f t="shared" si="1"/>
        <v>931</v>
      </c>
      <c r="X8" s="788">
        <f t="shared" si="1"/>
        <v>16</v>
      </c>
      <c r="Y8" s="953">
        <f t="shared" si="2"/>
        <v>25595</v>
      </c>
      <c r="Z8" s="772"/>
    </row>
    <row r="9" spans="2:26" x14ac:dyDescent="0.3">
      <c r="B9" s="1122" t="s">
        <v>164</v>
      </c>
      <c r="C9" s="1122">
        <v>921</v>
      </c>
      <c r="D9"/>
      <c r="E9" s="770"/>
      <c r="F9" s="781" t="s">
        <v>373</v>
      </c>
      <c r="G9" s="782">
        <f>SUMIFS(focus_retournes[ind],focus_retournes[departement],'Focus Retournees'!$G$4,focus_retournes[motif_de_retour],'Focus Retournees'!$F9)</f>
        <v>0</v>
      </c>
      <c r="H9" s="782">
        <f>SUMIFS(focus_retournes[ind],focus_retournes[departement],'Focus Retournees'!$H$4,focus_retournes[motif_de_retour],'Focus Retournees'!$F9)</f>
        <v>725</v>
      </c>
      <c r="I9" s="782">
        <f>SUMIFS(focus_retournes[ind],focus_retournes[departement],'Focus Retournees'!$I$4,focus_retournes[motif_de_retour],'Focus Retournees'!$F9)</f>
        <v>0</v>
      </c>
      <c r="J9" s="782">
        <f>SUMIFS(focus_retournes[ind],focus_retournes[departement],'Focus Retournees'!$J$4,focus_retournes[motif_de_retour],'Focus Retournees'!$F9)</f>
        <v>0</v>
      </c>
      <c r="K9" s="782">
        <f>SUMIFS(focus_retournes[ind],focus_retournes[departement],'Focus Retournees'!$K$4,focus_retournes[motif_de_retour],'Focus Retournees'!$F9)</f>
        <v>0</v>
      </c>
      <c r="L9" s="782">
        <f>SUMIFS(focus_retournes[ind],focus_retournes[departement],'Focus Retournees'!$L$4,focus_retournes[motif_de_retour],'Focus Retournees'!$F9)</f>
        <v>13</v>
      </c>
      <c r="M9" s="783">
        <f>SUM('Focus Retournees'!$G9:$L9)</f>
        <v>738</v>
      </c>
      <c r="N9" s="782"/>
      <c r="O9" s="772"/>
      <c r="P9" s="773"/>
      <c r="Q9" s="789"/>
      <c r="R9" s="954" t="s">
        <v>374</v>
      </c>
      <c r="S9" s="784">
        <f t="shared" si="0"/>
        <v>0</v>
      </c>
      <c r="T9" s="784">
        <f t="shared" si="1"/>
        <v>725</v>
      </c>
      <c r="U9" s="784">
        <f t="shared" si="1"/>
        <v>0</v>
      </c>
      <c r="V9" s="784">
        <f t="shared" si="1"/>
        <v>0</v>
      </c>
      <c r="W9" s="784">
        <f t="shared" si="1"/>
        <v>0</v>
      </c>
      <c r="X9" s="784">
        <f t="shared" si="1"/>
        <v>13</v>
      </c>
      <c r="Y9" s="955">
        <f t="shared" si="2"/>
        <v>738</v>
      </c>
      <c r="Z9" s="772"/>
    </row>
    <row r="10" spans="2:26" x14ac:dyDescent="0.3">
      <c r="B10" s="1122" t="s">
        <v>165</v>
      </c>
      <c r="C10" s="1122">
        <v>455</v>
      </c>
      <c r="D10"/>
      <c r="E10" s="770"/>
      <c r="F10" s="785" t="s">
        <v>375</v>
      </c>
      <c r="G10" s="786">
        <f>SUMIFS(focus_retournes[ind],focus_retournes[departement],'Focus Retournees'!$G$4,focus_retournes[motif_de_retour],'Focus Retournees'!$F10)</f>
        <v>0</v>
      </c>
      <c r="H10" s="786">
        <f>SUMIFS(focus_retournes[ind],focus_retournes[departement],'Focus Retournees'!$H$4,focus_retournes[motif_de_retour],'Focus Retournees'!$F10)</f>
        <v>266</v>
      </c>
      <c r="I10" s="786">
        <f>SUMIFS(focus_retournes[ind],focus_retournes[departement],'Focus Retournees'!$I$4,focus_retournes[motif_de_retour],'Focus Retournees'!$F10)</f>
        <v>2602</v>
      </c>
      <c r="J10" s="786">
        <f>SUMIFS(focus_retournes[ind],focus_retournes[departement],'Focus Retournees'!$J$4,focus_retournes[motif_de_retour],'Focus Retournees'!$F10)</f>
        <v>0</v>
      </c>
      <c r="K10" s="786">
        <f>SUMIFS(focus_retournes[ind],focus_retournes[departement],'Focus Retournees'!$K$4,focus_retournes[motif_de_retour],'Focus Retournees'!$F10)</f>
        <v>0</v>
      </c>
      <c r="L10" s="786">
        <f>SUMIFS(focus_retournes[ind],focus_retournes[departement],'Focus Retournees'!$L$4,focus_retournes[motif_de_retour],'Focus Retournees'!$F10)</f>
        <v>15</v>
      </c>
      <c r="M10" s="787">
        <f>SUM('Focus Retournees'!$G10:$L10)</f>
        <v>2883</v>
      </c>
      <c r="N10" s="782"/>
      <c r="O10" s="772"/>
      <c r="P10" s="773"/>
      <c r="Q10" s="789"/>
      <c r="R10" s="952" t="s">
        <v>376</v>
      </c>
      <c r="S10" s="788">
        <f t="shared" si="0"/>
        <v>0</v>
      </c>
      <c r="T10" s="788">
        <f t="shared" si="1"/>
        <v>266</v>
      </c>
      <c r="U10" s="788">
        <f t="shared" si="1"/>
        <v>2602</v>
      </c>
      <c r="V10" s="788">
        <f t="shared" si="1"/>
        <v>0</v>
      </c>
      <c r="W10" s="788">
        <f t="shared" si="1"/>
        <v>0</v>
      </c>
      <c r="X10" s="788">
        <f t="shared" si="1"/>
        <v>15</v>
      </c>
      <c r="Y10" s="953">
        <f t="shared" si="2"/>
        <v>2883</v>
      </c>
      <c r="Z10" s="772"/>
    </row>
    <row r="11" spans="2:26" x14ac:dyDescent="0.3">
      <c r="B11" s="1122" t="s">
        <v>166</v>
      </c>
      <c r="C11" s="1122">
        <v>12563</v>
      </c>
      <c r="D11"/>
      <c r="E11" s="770"/>
      <c r="F11" s="781" t="s">
        <v>377</v>
      </c>
      <c r="G11" s="782">
        <f>SUMIFS(focus_retournes[ind],focus_retournes[departement],'Focus Retournees'!$G$4,focus_retournes[motif_de_retour],'Focus Retournees'!$F11)</f>
        <v>0</v>
      </c>
      <c r="H11" s="782">
        <f>SUMIFS(focus_retournes[ind],focus_retournes[departement],'Focus Retournees'!$H$4,focus_retournes[motif_de_retour],'Focus Retournees'!$F11)</f>
        <v>131</v>
      </c>
      <c r="I11" s="782">
        <f>SUMIFS(focus_retournes[ind],focus_retournes[departement],'Focus Retournees'!$I$4,focus_retournes[motif_de_retour],'Focus Retournees'!$F11)</f>
        <v>465</v>
      </c>
      <c r="J11" s="782">
        <f>SUMIFS(focus_retournes[ind],focus_retournes[departement],'Focus Retournees'!$J$4,focus_retournes[motif_de_retour],'Focus Retournees'!$F11)</f>
        <v>0</v>
      </c>
      <c r="K11" s="782">
        <f>SUMIFS(focus_retournes[ind],focus_retournes[departement],'Focus Retournees'!$K$4,focus_retournes[motif_de_retour],'Focus Retournees'!$F11)</f>
        <v>0</v>
      </c>
      <c r="L11" s="782">
        <f>SUMIFS(focus_retournes[ind],focus_retournes[departement],'Focus Retournees'!$L$4,focus_retournes[motif_de_retour],'Focus Retournees'!$F11)</f>
        <v>1020</v>
      </c>
      <c r="M11" s="783">
        <f>SUM('Focus Retournees'!$G11:$L11)</f>
        <v>1616</v>
      </c>
      <c r="N11" s="782"/>
      <c r="O11" s="772"/>
      <c r="P11" s="773"/>
      <c r="Q11" s="789"/>
      <c r="R11" s="954" t="s">
        <v>378</v>
      </c>
      <c r="S11" s="784">
        <f t="shared" si="0"/>
        <v>0</v>
      </c>
      <c r="T11" s="784">
        <f t="shared" si="1"/>
        <v>131</v>
      </c>
      <c r="U11" s="784">
        <f t="shared" si="1"/>
        <v>465</v>
      </c>
      <c r="V11" s="784">
        <f t="shared" si="1"/>
        <v>0</v>
      </c>
      <c r="W11" s="784">
        <f t="shared" si="1"/>
        <v>0</v>
      </c>
      <c r="X11" s="784">
        <f t="shared" si="1"/>
        <v>1020</v>
      </c>
      <c r="Y11" s="955">
        <f t="shared" si="2"/>
        <v>1616</v>
      </c>
      <c r="Z11" s="772"/>
    </row>
    <row r="12" spans="2:26" x14ac:dyDescent="0.3">
      <c r="B12" s="1122" t="s">
        <v>167</v>
      </c>
      <c r="C12" s="1122">
        <v>670</v>
      </c>
      <c r="D12"/>
      <c r="E12" s="770"/>
      <c r="F12" s="785" t="s">
        <v>379</v>
      </c>
      <c r="G12" s="786">
        <f>SUMIFS(focus_retournes[ind],focus_retournes[departement],'Focus Retournees'!$G$4,focus_retournes[motif_de_retour],'Focus Retournees'!$F12)</f>
        <v>0</v>
      </c>
      <c r="H12" s="786">
        <f>SUMIFS(focus_retournes[ind],focus_retournes[departement],'Focus Retournees'!$H$4,focus_retournes[motif_de_retour],'Focus Retournees'!$F12)</f>
        <v>0</v>
      </c>
      <c r="I12" s="786">
        <f>SUMIFS(focus_retournes[ind],focus_retournes[departement],'Focus Retournees'!$I$4,focus_retournes[motif_de_retour],'Focus Retournees'!$F12)</f>
        <v>13188</v>
      </c>
      <c r="J12" s="786">
        <f>SUMIFS(focus_retournes[ind],focus_retournes[departement],'Focus Retournees'!$J$4,focus_retournes[motif_de_retour],'Focus Retournees'!$F12)</f>
        <v>0</v>
      </c>
      <c r="K12" s="786">
        <f>SUMIFS(focus_retournes[ind],focus_retournes[departement],'Focus Retournees'!$K$4,focus_retournes[motif_de_retour],'Focus Retournees'!$F12)</f>
        <v>0</v>
      </c>
      <c r="L12" s="786">
        <f>SUMIFS(focus_retournes[ind],focus_retournes[departement],'Focus Retournees'!$L$4,focus_retournes[motif_de_retour],'Focus Retournees'!$F12)</f>
        <v>0</v>
      </c>
      <c r="M12" s="787">
        <f>SUM('Focus Retournees'!$G12:$L12)</f>
        <v>13188</v>
      </c>
      <c r="N12" s="782"/>
      <c r="O12" s="772"/>
      <c r="P12" s="773"/>
      <c r="Q12" s="789"/>
      <c r="R12" s="952" t="s">
        <v>380</v>
      </c>
      <c r="S12" s="788">
        <f t="shared" si="0"/>
        <v>0</v>
      </c>
      <c r="T12" s="788">
        <f t="shared" si="1"/>
        <v>0</v>
      </c>
      <c r="U12" s="788">
        <f t="shared" si="1"/>
        <v>13188</v>
      </c>
      <c r="V12" s="788">
        <f t="shared" si="1"/>
        <v>0</v>
      </c>
      <c r="W12" s="788">
        <f t="shared" si="1"/>
        <v>0</v>
      </c>
      <c r="X12" s="788">
        <f t="shared" si="1"/>
        <v>0</v>
      </c>
      <c r="Y12" s="953">
        <f t="shared" si="2"/>
        <v>13188</v>
      </c>
      <c r="Z12" s="772"/>
    </row>
    <row r="13" spans="2:26" x14ac:dyDescent="0.3">
      <c r="B13" s="1122" t="s">
        <v>2797</v>
      </c>
      <c r="C13" s="1122">
        <v>2080</v>
      </c>
      <c r="D13"/>
      <c r="E13" s="770"/>
      <c r="F13" s="781" t="s">
        <v>381</v>
      </c>
      <c r="G13" s="782">
        <f>SUMIFS(focus_retournes[ind],focus_retournes[departement],'Focus Retournees'!$G$4,focus_retournes[motif_de_retour],'Focus Retournees'!$F13)</f>
        <v>329</v>
      </c>
      <c r="H13" s="782">
        <f>SUMIFS(focus_retournes[ind],focus_retournes[departement],'Focus Retournees'!$H$4,focus_retournes[motif_de_retour],'Focus Retournees'!$F13)</f>
        <v>0</v>
      </c>
      <c r="I13" s="782">
        <f>SUMIFS(focus_retournes[ind],focus_retournes[departement],'Focus Retournees'!$I$4,focus_retournes[motif_de_retour],'Focus Retournees'!$F13)</f>
        <v>0</v>
      </c>
      <c r="J13" s="782">
        <f>SUMIFS(focus_retournes[ind],focus_retournes[departement],'Focus Retournees'!$J$4,focus_retournes[motif_de_retour],'Focus Retournees'!$F13)</f>
        <v>0</v>
      </c>
      <c r="K13" s="782">
        <f>SUMIFS(focus_retournes[ind],focus_retournes[departement],'Focus Retournees'!$K$4,focus_retournes[motif_de_retour],'Focus Retournees'!$F13)</f>
        <v>0</v>
      </c>
      <c r="L13" s="782">
        <f>SUMIFS(focus_retournes[ind],focus_retournes[departement],'Focus Retournees'!$L$4,focus_retournes[motif_de_retour],'Focus Retournees'!$F13)</f>
        <v>0</v>
      </c>
      <c r="M13" s="783">
        <f>SUM('Focus Retournees'!$G13:$L13)</f>
        <v>329</v>
      </c>
      <c r="N13" s="782"/>
      <c r="O13" s="772"/>
      <c r="P13" s="773"/>
      <c r="Q13" s="789"/>
      <c r="R13" s="956" t="s">
        <v>382</v>
      </c>
      <c r="S13" s="803">
        <f t="shared" si="0"/>
        <v>329</v>
      </c>
      <c r="T13" s="803">
        <f t="shared" si="1"/>
        <v>0</v>
      </c>
      <c r="U13" s="803">
        <f t="shared" si="1"/>
        <v>0</v>
      </c>
      <c r="V13" s="803">
        <f t="shared" si="1"/>
        <v>0</v>
      </c>
      <c r="W13" s="803">
        <f t="shared" si="1"/>
        <v>0</v>
      </c>
      <c r="X13" s="803">
        <f t="shared" si="1"/>
        <v>0</v>
      </c>
      <c r="Y13" s="957"/>
      <c r="Z13" s="772"/>
    </row>
    <row r="14" spans="2:26" x14ac:dyDescent="0.3">
      <c r="B14" s="1122" t="s">
        <v>170</v>
      </c>
      <c r="C14" s="1122">
        <v>3021</v>
      </c>
      <c r="D14"/>
      <c r="E14" s="770"/>
      <c r="F14" s="785" t="s">
        <v>383</v>
      </c>
      <c r="G14" s="786">
        <f>SUMIFS(focus_retournes[ind],focus_retournes[departement],'Focus Retournees'!$G$4,focus_retournes[motif_de_retour],'Focus Retournees'!$F14)</f>
        <v>0</v>
      </c>
      <c r="H14" s="786">
        <f>SUMIFS(focus_retournes[ind],focus_retournes[departement],'Focus Retournees'!$H$4,focus_retournes[motif_de_retour],'Focus Retournees'!$F14)</f>
        <v>1269</v>
      </c>
      <c r="I14" s="786">
        <f>SUMIFS(focus_retournes[ind],focus_retournes[departement],'Focus Retournees'!$I$4,focus_retournes[motif_de_retour],'Focus Retournees'!$F14)</f>
        <v>2883</v>
      </c>
      <c r="J14" s="786">
        <f>SUMIFS(focus_retournes[ind],focus_retournes[departement],'Focus Retournees'!$J$4,focus_retournes[motif_de_retour],'Focus Retournees'!$F14)</f>
        <v>0</v>
      </c>
      <c r="K14" s="786">
        <f>SUMIFS(focus_retournes[ind],focus_retournes[departement],'Focus Retournees'!$K$4,focus_retournes[motif_de_retour],'Focus Retournees'!$F14)</f>
        <v>17</v>
      </c>
      <c r="L14" s="786">
        <f>SUMIFS(focus_retournes[ind],focus_retournes[departement],'Focus Retournees'!$L$4,focus_retournes[motif_de_retour],'Focus Retournees'!$F14)</f>
        <v>2</v>
      </c>
      <c r="M14" s="787">
        <f>SUM('Focus Retournees'!$G14:$L14)</f>
        <v>4171</v>
      </c>
      <c r="N14" s="791"/>
      <c r="O14" s="772"/>
      <c r="P14" s="773"/>
      <c r="Q14" s="789"/>
      <c r="R14" s="952" t="s">
        <v>247</v>
      </c>
      <c r="S14" s="788">
        <f t="shared" si="0"/>
        <v>0</v>
      </c>
      <c r="T14" s="788">
        <f t="shared" si="1"/>
        <v>1269</v>
      </c>
      <c r="U14" s="788">
        <f t="shared" si="1"/>
        <v>2883</v>
      </c>
      <c r="V14" s="788">
        <f t="shared" si="1"/>
        <v>0</v>
      </c>
      <c r="W14" s="788">
        <f t="shared" si="1"/>
        <v>17</v>
      </c>
      <c r="X14" s="788">
        <f t="shared" si="1"/>
        <v>2</v>
      </c>
      <c r="Y14" s="953">
        <f>SUM(S14:X14)</f>
        <v>4171</v>
      </c>
      <c r="Z14" s="772"/>
    </row>
    <row r="15" spans="2:26" x14ac:dyDescent="0.3">
      <c r="B15" s="1122" t="s">
        <v>169</v>
      </c>
      <c r="C15" s="1122">
        <v>29573</v>
      </c>
      <c r="D15"/>
      <c r="E15" s="770"/>
      <c r="F15" s="790"/>
      <c r="G15" s="724">
        <f>SUM(G5:G14)</f>
        <v>429</v>
      </c>
      <c r="H15" s="724">
        <f t="shared" ref="H15:M15" si="3">SUM(H5:H14)</f>
        <v>62061</v>
      </c>
      <c r="I15" s="724">
        <f t="shared" si="3"/>
        <v>85833</v>
      </c>
      <c r="J15" s="724">
        <f t="shared" si="3"/>
        <v>187</v>
      </c>
      <c r="K15" s="724">
        <f t="shared" si="3"/>
        <v>32870</v>
      </c>
      <c r="L15" s="724">
        <f t="shared" si="3"/>
        <v>21786</v>
      </c>
      <c r="M15" s="724">
        <f t="shared" si="3"/>
        <v>203166</v>
      </c>
      <c r="N15" s="792"/>
      <c r="O15" s="772"/>
      <c r="P15" s="773"/>
      <c r="Q15" s="789"/>
      <c r="R15" s="958"/>
      <c r="S15" s="959">
        <f t="shared" ref="S15:Y15" si="4">SUM(S5:S14)</f>
        <v>429</v>
      </c>
      <c r="T15" s="959">
        <f t="shared" si="4"/>
        <v>62061</v>
      </c>
      <c r="U15" s="959">
        <f t="shared" si="4"/>
        <v>85833</v>
      </c>
      <c r="V15" s="959">
        <f t="shared" si="4"/>
        <v>187</v>
      </c>
      <c r="W15" s="959">
        <f t="shared" si="4"/>
        <v>32870</v>
      </c>
      <c r="X15" s="959">
        <f t="shared" si="4"/>
        <v>21786</v>
      </c>
      <c r="Y15" s="960">
        <f t="shared" si="4"/>
        <v>202837</v>
      </c>
      <c r="Z15" s="772"/>
    </row>
    <row r="16" spans="2:26" x14ac:dyDescent="0.3">
      <c r="B16" s="1122" t="s">
        <v>171</v>
      </c>
      <c r="C16" s="1122">
        <v>9273</v>
      </c>
      <c r="D16"/>
      <c r="E16" s="770"/>
      <c r="N16" s="771"/>
      <c r="O16" s="772"/>
      <c r="P16" s="773"/>
      <c r="Q16" s="770"/>
      <c r="Z16" s="772"/>
    </row>
    <row r="17" spans="2:29" x14ac:dyDescent="0.3">
      <c r="B17" s="1122" t="s">
        <v>172</v>
      </c>
      <c r="C17" s="1122">
        <v>2996</v>
      </c>
      <c r="D17"/>
      <c r="E17" s="770"/>
      <c r="F17" s="792"/>
      <c r="G17" s="792"/>
      <c r="H17" s="792"/>
      <c r="I17" s="792"/>
      <c r="J17" s="792"/>
      <c r="K17" s="792"/>
      <c r="L17" s="792"/>
      <c r="M17" s="792"/>
      <c r="N17" s="793"/>
      <c r="O17" s="772"/>
      <c r="P17" s="773"/>
      <c r="Q17" s="770"/>
      <c r="R17" s="792"/>
      <c r="S17" s="792"/>
      <c r="T17" s="792"/>
      <c r="U17" s="792"/>
      <c r="V17" s="792"/>
      <c r="W17" s="792"/>
      <c r="X17" s="792"/>
      <c r="Y17" s="792"/>
      <c r="Z17" s="772"/>
    </row>
    <row r="18" spans="2:29" x14ac:dyDescent="0.3">
      <c r="B18" s="1122" t="s">
        <v>173</v>
      </c>
      <c r="C18" s="1122">
        <v>509</v>
      </c>
      <c r="D18"/>
      <c r="E18" s="770"/>
      <c r="F18" s="569" t="s">
        <v>364</v>
      </c>
      <c r="G18" s="767" t="s">
        <v>30</v>
      </c>
      <c r="H18" s="767" t="s">
        <v>31</v>
      </c>
      <c r="I18" s="767" t="s">
        <v>32</v>
      </c>
      <c r="J18" s="767" t="s">
        <v>33</v>
      </c>
      <c r="K18" s="767" t="s">
        <v>34</v>
      </c>
      <c r="L18" s="767" t="s">
        <v>35</v>
      </c>
      <c r="M18" s="768" t="s">
        <v>25</v>
      </c>
      <c r="N18" s="793"/>
      <c r="O18" s="772"/>
      <c r="P18" s="773"/>
      <c r="Q18" s="770"/>
      <c r="R18" s="569" t="s">
        <v>51</v>
      </c>
      <c r="S18" s="774" t="s">
        <v>30</v>
      </c>
      <c r="T18" s="774" t="s">
        <v>31</v>
      </c>
      <c r="U18" s="774" t="s">
        <v>32</v>
      </c>
      <c r="V18" s="774" t="s">
        <v>33</v>
      </c>
      <c r="W18" s="774" t="s">
        <v>34</v>
      </c>
      <c r="X18" s="774" t="s">
        <v>35</v>
      </c>
      <c r="Y18" s="775" t="s">
        <v>25</v>
      </c>
      <c r="Z18" s="772"/>
    </row>
    <row r="19" spans="2:29" x14ac:dyDescent="0.3">
      <c r="B19" s="1123" t="s">
        <v>32</v>
      </c>
      <c r="C19" s="1123">
        <v>85833</v>
      </c>
      <c r="D19"/>
      <c r="E19" s="770"/>
      <c r="F19" s="781" t="str">
        <f>F5</f>
        <v>Accès à la terre cultivable dans la zone de retour</v>
      </c>
      <c r="G19" s="947">
        <f>G5/$G$15</f>
        <v>0.18181818181818182</v>
      </c>
      <c r="H19" s="947">
        <f>H5/$H$15</f>
        <v>0.46546140087977955</v>
      </c>
      <c r="I19" s="947">
        <f>I5/$I$15</f>
        <v>0.10960819265317535</v>
      </c>
      <c r="J19" s="947">
        <f>J5/$J$15</f>
        <v>8.0213903743315509E-2</v>
      </c>
      <c r="K19" s="947">
        <f>K5/$K$15</f>
        <v>0.15789473684210525</v>
      </c>
      <c r="L19" s="947">
        <f>L5/$L$15</f>
        <v>0.6942990911594602</v>
      </c>
      <c r="M19" s="1212">
        <f>M5/$M$15</f>
        <v>0.28894598505655472</v>
      </c>
      <c r="N19" s="793"/>
      <c r="O19" s="772"/>
      <c r="P19" s="773"/>
      <c r="Q19" s="770"/>
      <c r="R19" s="949" t="str">
        <f>R5</f>
        <v>Accessibility to cultivable land</v>
      </c>
      <c r="S19" s="961">
        <f>G19</f>
        <v>0.18181818181818182</v>
      </c>
      <c r="T19" s="961">
        <f t="shared" ref="T19:Y28" si="5">H19</f>
        <v>0.46546140087977955</v>
      </c>
      <c r="U19" s="961">
        <f t="shared" si="5"/>
        <v>0.10960819265317535</v>
      </c>
      <c r="V19" s="961">
        <f t="shared" si="5"/>
        <v>8.0213903743315509E-2</v>
      </c>
      <c r="W19" s="961">
        <f t="shared" si="5"/>
        <v>0.15789473684210525</v>
      </c>
      <c r="X19" s="961">
        <f t="shared" si="5"/>
        <v>0.6942990911594602</v>
      </c>
      <c r="Y19" s="962">
        <f t="shared" si="5"/>
        <v>0.28894598505655472</v>
      </c>
      <c r="Z19" s="772"/>
    </row>
    <row r="20" spans="2:29" x14ac:dyDescent="0.3">
      <c r="B20" s="1122" t="s">
        <v>174</v>
      </c>
      <c r="C20" s="1122">
        <v>68</v>
      </c>
      <c r="D20"/>
      <c r="E20" s="770"/>
      <c r="F20" s="785" t="str">
        <f t="shared" ref="F20:F28" si="6">F6</f>
        <v>Zone de retour sécurisée</v>
      </c>
      <c r="G20" s="948">
        <f t="shared" ref="G20:G28" si="7">G6/$G$15</f>
        <v>4.8951048951048952E-2</v>
      </c>
      <c r="H20" s="948">
        <f t="shared" ref="H20:H28" si="8">H6/$H$15</f>
        <v>0.48023718599442483</v>
      </c>
      <c r="I20" s="948">
        <f t="shared" ref="I20:I28" si="9">I6/$I$15</f>
        <v>0.38150827770204931</v>
      </c>
      <c r="J20" s="948">
        <f t="shared" ref="J20:J28" si="10">J6/$J$15</f>
        <v>0.75935828877005351</v>
      </c>
      <c r="K20" s="948">
        <f t="shared" ref="K20:K28" si="11">K6/$K$15</f>
        <v>0.81326437480985703</v>
      </c>
      <c r="L20" s="948">
        <f t="shared" ref="L20:L28" si="12">L6/$L$15</f>
        <v>0.25066556504176996</v>
      </c>
      <c r="M20" s="1213">
        <f t="shared" ref="M20:M27" si="13">M6/$M$15</f>
        <v>0.46713524900820019</v>
      </c>
      <c r="N20" s="793"/>
      <c r="O20" s="772"/>
      <c r="P20" s="773"/>
      <c r="Q20" s="770"/>
      <c r="R20" s="952" t="str">
        <f t="shared" ref="R20:R28" si="14">R6</f>
        <v>Secured zone of origin</v>
      </c>
      <c r="S20" s="948">
        <f t="shared" ref="S20:S28" si="15">G20</f>
        <v>4.8951048951048952E-2</v>
      </c>
      <c r="T20" s="948">
        <f t="shared" si="5"/>
        <v>0.48023718599442483</v>
      </c>
      <c r="U20" s="948">
        <f t="shared" si="5"/>
        <v>0.38150827770204931</v>
      </c>
      <c r="V20" s="948">
        <f t="shared" si="5"/>
        <v>0.75935828877005351</v>
      </c>
      <c r="W20" s="948">
        <f t="shared" si="5"/>
        <v>0.81326437480985703</v>
      </c>
      <c r="X20" s="948">
        <f t="shared" si="5"/>
        <v>0.25066556504176996</v>
      </c>
      <c r="Y20" s="963">
        <f t="shared" si="5"/>
        <v>0.46713524900820019</v>
      </c>
      <c r="Z20" s="772"/>
    </row>
    <row r="21" spans="2:29" x14ac:dyDescent="0.3">
      <c r="B21" s="1122" t="s">
        <v>175</v>
      </c>
      <c r="C21" s="1122">
        <v>11326</v>
      </c>
      <c r="D21"/>
      <c r="E21" s="770"/>
      <c r="F21" s="781" t="str">
        <f t="shared" si="6"/>
        <v>Pas d’assistance dans le lieu de déplacement</v>
      </c>
      <c r="G21" s="947">
        <f t="shared" si="7"/>
        <v>0</v>
      </c>
      <c r="H21" s="947">
        <f t="shared" si="8"/>
        <v>7.44428868371441E-3</v>
      </c>
      <c r="I21" s="947">
        <f t="shared" si="9"/>
        <v>4.9631260703925061E-3</v>
      </c>
      <c r="J21" s="947">
        <f t="shared" si="10"/>
        <v>8.0213903743315509E-2</v>
      </c>
      <c r="K21" s="947">
        <f t="shared" si="11"/>
        <v>0</v>
      </c>
      <c r="L21" s="947">
        <f t="shared" si="12"/>
        <v>6.1048379693381073E-3</v>
      </c>
      <c r="M21" s="1212">
        <f t="shared" si="13"/>
        <v>5.0992784225707055E-3</v>
      </c>
      <c r="N21" s="793"/>
      <c r="O21" s="772"/>
      <c r="P21" s="773"/>
      <c r="Q21" s="770"/>
      <c r="R21" s="954" t="str">
        <f t="shared" si="14"/>
        <v>No assistance during the displacement</v>
      </c>
      <c r="S21" s="793">
        <f t="shared" si="15"/>
        <v>0</v>
      </c>
      <c r="T21" s="793">
        <f t="shared" si="5"/>
        <v>7.44428868371441E-3</v>
      </c>
      <c r="U21" s="793">
        <f t="shared" si="5"/>
        <v>4.9631260703925061E-3</v>
      </c>
      <c r="V21" s="793">
        <f t="shared" si="5"/>
        <v>8.0213903743315509E-2</v>
      </c>
      <c r="W21" s="793">
        <f t="shared" si="5"/>
        <v>0</v>
      </c>
      <c r="X21" s="793">
        <f t="shared" si="5"/>
        <v>6.1048379693381073E-3</v>
      </c>
      <c r="Y21" s="964">
        <f t="shared" si="5"/>
        <v>5.0992784225707055E-3</v>
      </c>
      <c r="Z21" s="772"/>
    </row>
    <row r="22" spans="2:29" x14ac:dyDescent="0.3">
      <c r="B22" s="1122" t="s">
        <v>177</v>
      </c>
      <c r="C22" s="1122">
        <v>6138</v>
      </c>
      <c r="D22"/>
      <c r="E22" s="770"/>
      <c r="F22" s="785" t="str">
        <f t="shared" si="6"/>
        <v>Manque de moyens de subsistance dans le lieu de déplacement</v>
      </c>
      <c r="G22" s="948">
        <f t="shared" si="7"/>
        <v>2.331002331002331E-3</v>
      </c>
      <c r="H22" s="948">
        <f>H8/$H$15</f>
        <v>8.3305135270137446E-3</v>
      </c>
      <c r="I22" s="948">
        <f t="shared" si="9"/>
        <v>0.28095254738853354</v>
      </c>
      <c r="J22" s="948">
        <f t="shared" si="10"/>
        <v>8.0213903743315509E-2</v>
      </c>
      <c r="K22" s="948">
        <f t="shared" si="11"/>
        <v>2.8323699421965318E-2</v>
      </c>
      <c r="L22" s="948">
        <f t="shared" si="12"/>
        <v>7.3441659781511067E-4</v>
      </c>
      <c r="M22" s="1213">
        <f t="shared" si="13"/>
        <v>0.12598072512132935</v>
      </c>
      <c r="N22" s="793"/>
      <c r="O22" s="772"/>
      <c r="P22" s="773"/>
      <c r="Q22" s="770"/>
      <c r="R22" s="952" t="str">
        <f t="shared" si="14"/>
        <v>Lack of livelihoods in the displacement area</v>
      </c>
      <c r="S22" s="948">
        <f t="shared" si="15"/>
        <v>2.331002331002331E-3</v>
      </c>
      <c r="T22" s="948">
        <f t="shared" si="5"/>
        <v>8.3305135270137446E-3</v>
      </c>
      <c r="U22" s="948">
        <f t="shared" si="5"/>
        <v>0.28095254738853354</v>
      </c>
      <c r="V22" s="948">
        <f t="shared" si="5"/>
        <v>8.0213903743315509E-2</v>
      </c>
      <c r="W22" s="948">
        <f t="shared" si="5"/>
        <v>2.8323699421965318E-2</v>
      </c>
      <c r="X22" s="948">
        <f t="shared" si="5"/>
        <v>7.3441659781511067E-4</v>
      </c>
      <c r="Y22" s="963">
        <f t="shared" si="5"/>
        <v>0.12598072512132935</v>
      </c>
      <c r="Z22" s="772"/>
    </row>
    <row r="23" spans="2:29" x14ac:dyDescent="0.3">
      <c r="B23" s="1122" t="s">
        <v>179</v>
      </c>
      <c r="C23" s="1122">
        <v>1567</v>
      </c>
      <c r="D23"/>
      <c r="E23" s="770"/>
      <c r="F23" s="781" t="str">
        <f t="shared" si="6"/>
        <v>Pas ou très peu d’accès aux services de bases dans le lieu de déplacement</v>
      </c>
      <c r="G23" s="947">
        <f t="shared" si="7"/>
        <v>0</v>
      </c>
      <c r="H23" s="947">
        <f t="shared" si="8"/>
        <v>1.1682054752582136E-2</v>
      </c>
      <c r="I23" s="947">
        <f t="shared" si="9"/>
        <v>0</v>
      </c>
      <c r="J23" s="947">
        <f t="shared" si="10"/>
        <v>0</v>
      </c>
      <c r="K23" s="947">
        <f t="shared" si="11"/>
        <v>0</v>
      </c>
      <c r="L23" s="947">
        <f t="shared" si="12"/>
        <v>5.9671348572477737E-4</v>
      </c>
      <c r="M23" s="1212">
        <f t="shared" si="13"/>
        <v>3.6324975635687075E-3</v>
      </c>
      <c r="N23" s="793"/>
      <c r="O23" s="772"/>
      <c r="P23" s="773"/>
      <c r="Q23" s="770"/>
      <c r="R23" s="954" t="str">
        <f t="shared" si="14"/>
        <v>Little or no access to basic services in the place of displacement</v>
      </c>
      <c r="S23" s="793">
        <f t="shared" si="15"/>
        <v>0</v>
      </c>
      <c r="T23" s="793">
        <f t="shared" si="5"/>
        <v>1.1682054752582136E-2</v>
      </c>
      <c r="U23" s="793">
        <f t="shared" si="5"/>
        <v>0</v>
      </c>
      <c r="V23" s="793">
        <f t="shared" si="5"/>
        <v>0</v>
      </c>
      <c r="W23" s="793">
        <f t="shared" si="5"/>
        <v>0</v>
      </c>
      <c r="X23" s="793">
        <f t="shared" si="5"/>
        <v>5.9671348572477737E-4</v>
      </c>
      <c r="Y23" s="964">
        <f t="shared" si="5"/>
        <v>3.6324975635687075E-3</v>
      </c>
      <c r="Z23" s="772"/>
    </row>
    <row r="24" spans="2:29" x14ac:dyDescent="0.3">
      <c r="B24" s="1122" t="s">
        <v>176</v>
      </c>
      <c r="C24" s="1122">
        <v>17989</v>
      </c>
      <c r="D24"/>
      <c r="E24" s="770"/>
      <c r="F24" s="785" t="str">
        <f t="shared" si="6"/>
        <v>Retour sur ordre des autorités militaires/civiles</v>
      </c>
      <c r="G24" s="948">
        <f t="shared" si="7"/>
        <v>0</v>
      </c>
      <c r="H24" s="948">
        <f t="shared" si="8"/>
        <v>4.2861056057749633E-3</v>
      </c>
      <c r="I24" s="948">
        <f t="shared" si="9"/>
        <v>3.0314680833711975E-2</v>
      </c>
      <c r="J24" s="948">
        <f t="shared" si="10"/>
        <v>0</v>
      </c>
      <c r="K24" s="948">
        <f t="shared" si="11"/>
        <v>0</v>
      </c>
      <c r="L24" s="948">
        <f t="shared" si="12"/>
        <v>6.885155604516662E-4</v>
      </c>
      <c r="M24" s="1213">
        <f t="shared" si="13"/>
        <v>1.4190366498331414E-2</v>
      </c>
      <c r="N24" s="793"/>
      <c r="O24" s="772"/>
      <c r="P24" s="773"/>
      <c r="Q24" s="770"/>
      <c r="R24" s="952" t="str">
        <f t="shared" si="14"/>
        <v>Return upon order by military or civil authorities</v>
      </c>
      <c r="S24" s="948">
        <f t="shared" si="15"/>
        <v>0</v>
      </c>
      <c r="T24" s="948">
        <f t="shared" si="5"/>
        <v>4.2861056057749633E-3</v>
      </c>
      <c r="U24" s="948">
        <f t="shared" si="5"/>
        <v>3.0314680833711975E-2</v>
      </c>
      <c r="V24" s="948">
        <f t="shared" si="5"/>
        <v>0</v>
      </c>
      <c r="W24" s="948">
        <f t="shared" si="5"/>
        <v>0</v>
      </c>
      <c r="X24" s="948">
        <f t="shared" si="5"/>
        <v>6.885155604516662E-4</v>
      </c>
      <c r="Y24" s="963">
        <f t="shared" si="5"/>
        <v>1.4190366498331414E-2</v>
      </c>
      <c r="Z24" s="772"/>
    </row>
    <row r="25" spans="2:29" x14ac:dyDescent="0.3">
      <c r="B25" s="1122" t="s">
        <v>178</v>
      </c>
      <c r="C25" s="1122">
        <v>8503</v>
      </c>
      <c r="E25" s="770"/>
      <c r="F25" s="781" t="str">
        <f t="shared" si="6"/>
        <v>Le lieu de déplacement n’est plus sécurisé</v>
      </c>
      <c r="G25" s="947">
        <f t="shared" si="7"/>
        <v>0</v>
      </c>
      <c r="H25" s="947">
        <f t="shared" si="8"/>
        <v>2.110826444949324E-3</v>
      </c>
      <c r="I25" s="947">
        <f t="shared" si="9"/>
        <v>5.4174967669777356E-3</v>
      </c>
      <c r="J25" s="947">
        <f t="shared" si="10"/>
        <v>0</v>
      </c>
      <c r="K25" s="947">
        <f t="shared" si="11"/>
        <v>0</v>
      </c>
      <c r="L25" s="947">
        <f t="shared" si="12"/>
        <v>4.6819058110713303E-2</v>
      </c>
      <c r="M25" s="1212">
        <f t="shared" si="13"/>
        <v>7.954086805863186E-3</v>
      </c>
      <c r="N25" s="793"/>
      <c r="O25" s="772"/>
      <c r="P25" s="773"/>
      <c r="Q25" s="770"/>
      <c r="R25" s="954" t="str">
        <f t="shared" si="14"/>
        <v>Unsecured hosting place</v>
      </c>
      <c r="S25" s="793">
        <f t="shared" si="15"/>
        <v>0</v>
      </c>
      <c r="T25" s="793">
        <f t="shared" si="5"/>
        <v>2.110826444949324E-3</v>
      </c>
      <c r="U25" s="793">
        <f t="shared" si="5"/>
        <v>5.4174967669777356E-3</v>
      </c>
      <c r="V25" s="793">
        <f t="shared" si="5"/>
        <v>0</v>
      </c>
      <c r="W25" s="793">
        <f t="shared" si="5"/>
        <v>0</v>
      </c>
      <c r="X25" s="793">
        <f t="shared" si="5"/>
        <v>4.6819058110713303E-2</v>
      </c>
      <c r="Y25" s="964">
        <f t="shared" si="5"/>
        <v>7.954086805863186E-3</v>
      </c>
      <c r="Z25" s="772"/>
    </row>
    <row r="26" spans="2:29" x14ac:dyDescent="0.3">
      <c r="B26" s="1122" t="s">
        <v>180</v>
      </c>
      <c r="C26" s="1122">
        <v>36782</v>
      </c>
      <c r="E26" s="770"/>
      <c r="F26" s="785" t="str">
        <f t="shared" si="6"/>
        <v>Communautés hôtes ne peuvent plus nous accueillir</v>
      </c>
      <c r="G26" s="948">
        <f t="shared" si="7"/>
        <v>0</v>
      </c>
      <c r="H26" s="948">
        <f t="shared" si="8"/>
        <v>0</v>
      </c>
      <c r="I26" s="948">
        <f t="shared" si="9"/>
        <v>0.15364719862989759</v>
      </c>
      <c r="J26" s="948">
        <f t="shared" si="10"/>
        <v>0</v>
      </c>
      <c r="K26" s="948">
        <f t="shared" si="11"/>
        <v>0</v>
      </c>
      <c r="L26" s="948">
        <f t="shared" si="12"/>
        <v>0</v>
      </c>
      <c r="M26" s="1213">
        <f t="shared" si="13"/>
        <v>6.491243613596763E-2</v>
      </c>
      <c r="N26" s="794"/>
      <c r="O26" s="772"/>
      <c r="P26" s="773"/>
      <c r="Q26" s="770"/>
      <c r="R26" s="952" t="str">
        <f t="shared" si="14"/>
        <v>Host communities unable to help further</v>
      </c>
      <c r="S26" s="948">
        <f t="shared" si="15"/>
        <v>0</v>
      </c>
      <c r="T26" s="948">
        <f t="shared" si="5"/>
        <v>0</v>
      </c>
      <c r="U26" s="948">
        <f t="shared" si="5"/>
        <v>0.15364719862989759</v>
      </c>
      <c r="V26" s="948">
        <f t="shared" si="5"/>
        <v>0</v>
      </c>
      <c r="W26" s="948">
        <f t="shared" si="5"/>
        <v>0</v>
      </c>
      <c r="X26" s="948">
        <f t="shared" si="5"/>
        <v>0</v>
      </c>
      <c r="Y26" s="963">
        <f t="shared" si="5"/>
        <v>6.491243613596763E-2</v>
      </c>
      <c r="Z26" s="772"/>
    </row>
    <row r="27" spans="2:29" x14ac:dyDescent="0.3">
      <c r="B27" s="1122" t="s">
        <v>181</v>
      </c>
      <c r="C27" s="1122">
        <v>3460</v>
      </c>
      <c r="E27" s="770"/>
      <c r="F27" s="781" t="str">
        <f t="shared" si="6"/>
        <v>Tensions avec les communautés hôtes</v>
      </c>
      <c r="G27" s="947">
        <f t="shared" si="7"/>
        <v>0.76689976689976691</v>
      </c>
      <c r="H27" s="947">
        <f t="shared" si="8"/>
        <v>0</v>
      </c>
      <c r="I27" s="947">
        <f t="shared" si="9"/>
        <v>0</v>
      </c>
      <c r="J27" s="947">
        <f t="shared" si="10"/>
        <v>0</v>
      </c>
      <c r="K27" s="947">
        <f t="shared" si="11"/>
        <v>0</v>
      </c>
      <c r="L27" s="947">
        <f t="shared" si="12"/>
        <v>0</v>
      </c>
      <c r="M27" s="1212">
        <f t="shared" si="13"/>
        <v>1.6193654450055619E-3</v>
      </c>
      <c r="N27" s="773"/>
      <c r="O27" s="772"/>
      <c r="P27" s="773"/>
      <c r="Q27" s="770"/>
      <c r="R27" s="954" t="str">
        <f t="shared" si="14"/>
        <v>Tensions with host communities</v>
      </c>
      <c r="S27" s="793">
        <f t="shared" si="15"/>
        <v>0.76689976689976691</v>
      </c>
      <c r="T27" s="793">
        <f t="shared" si="5"/>
        <v>0</v>
      </c>
      <c r="U27" s="793">
        <f t="shared" si="5"/>
        <v>0</v>
      </c>
      <c r="V27" s="793">
        <f t="shared" si="5"/>
        <v>0</v>
      </c>
      <c r="W27" s="793">
        <f t="shared" si="5"/>
        <v>0</v>
      </c>
      <c r="X27" s="793">
        <f t="shared" si="5"/>
        <v>0</v>
      </c>
      <c r="Y27" s="964">
        <f t="shared" si="5"/>
        <v>1.6193654450055619E-3</v>
      </c>
      <c r="Z27" s="772"/>
    </row>
    <row r="28" spans="2:29" x14ac:dyDescent="0.3">
      <c r="B28" s="1123" t="s">
        <v>33</v>
      </c>
      <c r="C28" s="1123">
        <v>187</v>
      </c>
      <c r="E28" s="770"/>
      <c r="F28" s="785" t="str">
        <f t="shared" si="6"/>
        <v>Autre</v>
      </c>
      <c r="G28" s="948">
        <f t="shared" si="7"/>
        <v>0</v>
      </c>
      <c r="H28" s="948">
        <f t="shared" si="8"/>
        <v>2.0447624111761008E-2</v>
      </c>
      <c r="I28" s="948">
        <f t="shared" si="9"/>
        <v>3.3588479955261964E-2</v>
      </c>
      <c r="J28" s="948">
        <f t="shared" si="10"/>
        <v>0</v>
      </c>
      <c r="K28" s="948">
        <f t="shared" si="11"/>
        <v>5.171889260724065E-4</v>
      </c>
      <c r="L28" s="948">
        <f t="shared" si="12"/>
        <v>9.1802074726888834E-5</v>
      </c>
      <c r="M28" s="1213">
        <f>M14/$M$15</f>
        <v>2.0530009942608507E-2</v>
      </c>
      <c r="N28" s="773"/>
      <c r="O28" s="772"/>
      <c r="P28" s="773"/>
      <c r="Q28" s="770"/>
      <c r="R28" s="952" t="str">
        <f t="shared" si="14"/>
        <v>Other</v>
      </c>
      <c r="S28" s="948">
        <f t="shared" si="15"/>
        <v>0</v>
      </c>
      <c r="T28" s="948">
        <f t="shared" si="5"/>
        <v>2.0447624111761008E-2</v>
      </c>
      <c r="U28" s="948">
        <f t="shared" si="5"/>
        <v>3.3588479955261964E-2</v>
      </c>
      <c r="V28" s="948">
        <f t="shared" si="5"/>
        <v>0</v>
      </c>
      <c r="W28" s="948">
        <f t="shared" si="5"/>
        <v>5.171889260724065E-4</v>
      </c>
      <c r="X28" s="948">
        <f t="shared" si="5"/>
        <v>9.1802074726888834E-5</v>
      </c>
      <c r="Y28" s="963">
        <f t="shared" si="5"/>
        <v>2.0530009942608507E-2</v>
      </c>
      <c r="Z28" s="772"/>
    </row>
    <row r="29" spans="2:29" x14ac:dyDescent="0.3">
      <c r="B29" s="1122" t="s">
        <v>182</v>
      </c>
      <c r="C29" s="1122">
        <v>27</v>
      </c>
      <c r="E29" s="770"/>
      <c r="F29" s="790"/>
      <c r="G29" s="795">
        <f t="shared" ref="G29:M29" si="16">SUM(G19:G28)</f>
        <v>1</v>
      </c>
      <c r="H29" s="795">
        <f t="shared" si="16"/>
        <v>0.99999999999999989</v>
      </c>
      <c r="I29" s="795">
        <f t="shared" si="16"/>
        <v>1.0000000000000002</v>
      </c>
      <c r="J29" s="795">
        <f t="shared" si="16"/>
        <v>1</v>
      </c>
      <c r="K29" s="795">
        <f t="shared" si="16"/>
        <v>1</v>
      </c>
      <c r="L29" s="795">
        <f t="shared" si="16"/>
        <v>1</v>
      </c>
      <c r="M29" s="795">
        <f t="shared" si="16"/>
        <v>1</v>
      </c>
      <c r="N29" s="773"/>
      <c r="O29" s="772"/>
      <c r="P29" s="773"/>
      <c r="Q29" s="770"/>
      <c r="R29" s="965"/>
      <c r="S29" s="966">
        <f t="shared" ref="S29:Y29" si="17">SUM(S19:S28)</f>
        <v>1</v>
      </c>
      <c r="T29" s="966">
        <f t="shared" si="17"/>
        <v>0.99999999999999989</v>
      </c>
      <c r="U29" s="966">
        <f t="shared" si="17"/>
        <v>1.0000000000000002</v>
      </c>
      <c r="V29" s="966">
        <f t="shared" si="17"/>
        <v>1</v>
      </c>
      <c r="W29" s="966">
        <f t="shared" si="17"/>
        <v>1</v>
      </c>
      <c r="X29" s="966">
        <f t="shared" si="17"/>
        <v>1</v>
      </c>
      <c r="Y29" s="967">
        <f t="shared" si="17"/>
        <v>1</v>
      </c>
      <c r="Z29" s="772"/>
    </row>
    <row r="30" spans="2:29" x14ac:dyDescent="0.3">
      <c r="B30" s="1122" t="s">
        <v>183</v>
      </c>
      <c r="C30" s="1122">
        <v>80</v>
      </c>
      <c r="E30" s="770"/>
      <c r="N30" s="796"/>
      <c r="O30" s="772"/>
      <c r="P30" s="773"/>
      <c r="Q30" s="770"/>
      <c r="Z30" s="772"/>
    </row>
    <row r="31" spans="2:29" s="797" customFormat="1" x14ac:dyDescent="0.3">
      <c r="B31" s="1122" t="s">
        <v>184</v>
      </c>
      <c r="C31" s="1122">
        <v>51</v>
      </c>
      <c r="E31" s="770"/>
      <c r="F31" s="773"/>
      <c r="G31" s="769"/>
      <c r="H31" s="769"/>
      <c r="I31" s="769"/>
      <c r="J31" s="769"/>
      <c r="K31" s="769"/>
      <c r="L31" s="773"/>
      <c r="M31" s="773"/>
      <c r="O31" s="798"/>
      <c r="P31" s="799"/>
      <c r="Q31" s="800"/>
      <c r="R31" s="773"/>
      <c r="S31" s="773"/>
      <c r="T31" s="773"/>
      <c r="U31" s="773"/>
      <c r="V31" s="773"/>
      <c r="W31" s="773"/>
      <c r="X31" s="773"/>
      <c r="Y31" s="773"/>
      <c r="Z31" s="798"/>
      <c r="AC31" s="800"/>
    </row>
    <row r="32" spans="2:29" x14ac:dyDescent="0.3">
      <c r="B32" s="1122" t="s">
        <v>185</v>
      </c>
      <c r="C32" s="1122">
        <v>20</v>
      </c>
      <c r="E32" s="770"/>
      <c r="F32" s="773"/>
      <c r="G32" s="773"/>
      <c r="H32" s="773"/>
      <c r="I32" s="773"/>
      <c r="J32" s="773"/>
      <c r="K32" s="773"/>
      <c r="L32" s="773"/>
      <c r="M32" s="773"/>
      <c r="O32" s="772"/>
      <c r="P32" s="801"/>
      <c r="Q32" s="773"/>
      <c r="R32" s="773"/>
      <c r="S32" s="773"/>
      <c r="T32" s="773"/>
      <c r="U32" s="773"/>
      <c r="V32" s="773"/>
      <c r="W32" s="773"/>
      <c r="X32" s="773"/>
      <c r="Y32" s="773"/>
      <c r="Z32" s="772"/>
      <c r="AC32" s="773"/>
    </row>
    <row r="33" spans="2:29" x14ac:dyDescent="0.3">
      <c r="B33" s="1122" t="s">
        <v>186</v>
      </c>
      <c r="C33" s="1122">
        <v>9</v>
      </c>
      <c r="E33" s="770"/>
      <c r="F33" s="802" t="s">
        <v>384</v>
      </c>
      <c r="G33" s="773"/>
      <c r="H33" s="773"/>
      <c r="I33" s="773"/>
      <c r="J33" s="773"/>
      <c r="K33" s="773"/>
      <c r="L33" s="773"/>
      <c r="M33" s="773"/>
      <c r="O33" s="772"/>
      <c r="P33" s="801"/>
      <c r="Q33" s="773"/>
      <c r="R33" s="802" t="s">
        <v>385</v>
      </c>
      <c r="S33" s="773"/>
      <c r="T33" s="773"/>
      <c r="U33" s="773"/>
      <c r="V33" s="773"/>
      <c r="W33" s="773"/>
      <c r="X33" s="773"/>
      <c r="Y33" s="773"/>
      <c r="Z33" s="772"/>
      <c r="AC33" s="773"/>
    </row>
    <row r="34" spans="2:29" x14ac:dyDescent="0.3">
      <c r="B34" s="1123" t="s">
        <v>34</v>
      </c>
      <c r="C34" s="1123">
        <v>32870</v>
      </c>
      <c r="E34" s="770"/>
      <c r="G34" s="796"/>
      <c r="H34" s="796"/>
      <c r="I34" s="796"/>
      <c r="J34" s="796"/>
      <c r="K34" s="796"/>
      <c r="L34" s="796"/>
      <c r="M34" s="796"/>
      <c r="O34" s="772"/>
      <c r="P34" s="801"/>
      <c r="Q34" s="773"/>
      <c r="S34" s="796" t="s">
        <v>386</v>
      </c>
      <c r="T34" s="796" t="s">
        <v>387</v>
      </c>
      <c r="U34" s="796" t="s">
        <v>388</v>
      </c>
      <c r="V34" s="796" t="s">
        <v>389</v>
      </c>
      <c r="W34" s="796" t="s">
        <v>390</v>
      </c>
      <c r="X34" s="796" t="s">
        <v>391</v>
      </c>
      <c r="Y34" s="796" t="s">
        <v>392</v>
      </c>
      <c r="Z34" s="772"/>
      <c r="AC34" s="773"/>
    </row>
    <row r="35" spans="2:29" ht="41.4" x14ac:dyDescent="0.3">
      <c r="B35" s="1122" t="s">
        <v>187</v>
      </c>
      <c r="C35" s="1122">
        <v>16656</v>
      </c>
      <c r="E35" s="770"/>
      <c r="F35" s="968" t="s">
        <v>364</v>
      </c>
      <c r="G35" s="969" t="s">
        <v>3033</v>
      </c>
      <c r="H35" s="970" t="s">
        <v>3109</v>
      </c>
      <c r="I35" s="970" t="s">
        <v>3110</v>
      </c>
      <c r="J35" s="970" t="s">
        <v>3111</v>
      </c>
      <c r="K35" s="970" t="s">
        <v>3112</v>
      </c>
      <c r="L35" s="971" t="s">
        <v>25</v>
      </c>
      <c r="M35" s="796"/>
      <c r="O35" s="772"/>
      <c r="P35" s="801"/>
      <c r="Q35" s="773"/>
      <c r="R35" s="981" t="s">
        <v>51</v>
      </c>
      <c r="S35" s="969" t="s">
        <v>393</v>
      </c>
      <c r="T35" s="970">
        <v>2019</v>
      </c>
      <c r="U35" s="970">
        <v>2020</v>
      </c>
      <c r="V35" s="970">
        <v>2021</v>
      </c>
      <c r="W35" s="970" t="s">
        <v>139</v>
      </c>
      <c r="X35" s="971" t="s">
        <v>25</v>
      </c>
      <c r="Y35" s="796" t="s">
        <v>394</v>
      </c>
      <c r="Z35" s="772"/>
      <c r="AC35" s="773"/>
    </row>
    <row r="36" spans="2:29" x14ac:dyDescent="0.3">
      <c r="B36" s="1122" t="s">
        <v>188</v>
      </c>
      <c r="C36" s="1122">
        <v>16214</v>
      </c>
      <c r="E36" s="770"/>
      <c r="F36" s="954" t="str">
        <f>F19</f>
        <v>Accès à la terre cultivable dans la zone de retour</v>
      </c>
      <c r="G36" s="782">
        <f>SUMIFS(focus_retournes[ind],focus_retournes[periode],G$35,focus_retournes[motif_de_retour],'Focus Retournees'!$F36)</f>
        <v>24497</v>
      </c>
      <c r="H36" s="782">
        <f>SUMIFS(focus_retournes[ind],focus_retournes[periode],H$35,focus_retournes[motif_de_retour],'Focus Retournees'!$F36)</f>
        <v>487</v>
      </c>
      <c r="I36" s="782">
        <f>SUMIFS(focus_retournes[ind],focus_retournes[periode],I$35,focus_retournes[motif_de_retour],'Focus Retournees'!$F36)</f>
        <v>1213</v>
      </c>
      <c r="J36" s="782">
        <f>SUMIFS(focus_retournes[ind],focus_retournes[periode],J$35,focus_retournes[motif_de_retour],'Focus Retournees'!$F36)</f>
        <v>25742</v>
      </c>
      <c r="K36" s="782">
        <f>SUMIFS(focus_retournes[ind],focus_retournes[periode],K$35,focus_retournes[motif_de_retour],'Focus Retournees'!$F36)</f>
        <v>6765</v>
      </c>
      <c r="L36" s="976">
        <f>SUM(G36:K36)</f>
        <v>58704</v>
      </c>
      <c r="M36" s="796"/>
      <c r="O36" s="772"/>
      <c r="P36" s="801"/>
      <c r="Q36" s="773"/>
      <c r="R36" s="954" t="s">
        <v>366</v>
      </c>
      <c r="S36" s="784">
        <f>G36</f>
        <v>24497</v>
      </c>
      <c r="T36" s="784">
        <f t="shared" ref="T36:W45" si="18">H36</f>
        <v>487</v>
      </c>
      <c r="U36" s="784">
        <f t="shared" si="18"/>
        <v>1213</v>
      </c>
      <c r="V36" s="784">
        <f t="shared" si="18"/>
        <v>25742</v>
      </c>
      <c r="W36" s="784">
        <f t="shared" si="18"/>
        <v>6765</v>
      </c>
      <c r="X36" s="955">
        <f>SUM(S36:W36)</f>
        <v>58704</v>
      </c>
      <c r="Y36" s="796" t="s">
        <v>395</v>
      </c>
      <c r="Z36" s="772"/>
      <c r="AC36" s="773"/>
    </row>
    <row r="37" spans="2:29" x14ac:dyDescent="0.3">
      <c r="B37" s="1123" t="s">
        <v>35</v>
      </c>
      <c r="C37" s="1123">
        <v>21786</v>
      </c>
      <c r="E37" s="770"/>
      <c r="F37" s="952" t="str">
        <f t="shared" ref="F37:F45" si="19">F20</f>
        <v>Zone de retour sécurisée</v>
      </c>
      <c r="G37" s="786">
        <f>SUMIFS(focus_retournes[ind],focus_retournes[periode],G$35,focus_retournes[motif_de_retour],'Focus Retournees'!$F37)</f>
        <v>39705</v>
      </c>
      <c r="H37" s="786">
        <f>SUMIFS(focus_retournes[ind],focus_retournes[periode],H$35,focus_retournes[motif_de_retour],'Focus Retournees'!$F37)</f>
        <v>1814</v>
      </c>
      <c r="I37" s="786">
        <f>SUMIFS(focus_retournes[ind],focus_retournes[periode],I$35,focus_retournes[motif_de_retour],'Focus Retournees'!$F37)</f>
        <v>3098</v>
      </c>
      <c r="J37" s="786">
        <f>SUMIFS(focus_retournes[ind],focus_retournes[periode],J$35,focus_retournes[motif_de_retour],'Focus Retournees'!$F37)</f>
        <v>14568</v>
      </c>
      <c r="K37" s="786">
        <f>SUMIFS(focus_retournes[ind],focus_retournes[periode],K$35,focus_retournes[motif_de_retour],'Focus Retournees'!$F37)</f>
        <v>35721</v>
      </c>
      <c r="L37" s="977">
        <f t="shared" ref="L37:L43" si="20">SUM(G37:K37)</f>
        <v>94906</v>
      </c>
      <c r="M37" s="796"/>
      <c r="O37" s="772"/>
      <c r="P37" s="801"/>
      <c r="Q37" s="773"/>
      <c r="R37" s="952" t="s">
        <v>368</v>
      </c>
      <c r="S37" s="788">
        <f t="shared" ref="S37:S45" si="21">G37</f>
        <v>39705</v>
      </c>
      <c r="T37" s="788">
        <f t="shared" si="18"/>
        <v>1814</v>
      </c>
      <c r="U37" s="788">
        <f t="shared" si="18"/>
        <v>3098</v>
      </c>
      <c r="V37" s="788">
        <f t="shared" si="18"/>
        <v>14568</v>
      </c>
      <c r="W37" s="788">
        <f t="shared" si="18"/>
        <v>35721</v>
      </c>
      <c r="X37" s="980">
        <f t="shared" ref="X37:X45" si="22">SUM(S37:W37)</f>
        <v>94906</v>
      </c>
      <c r="Y37" s="796" t="s">
        <v>396</v>
      </c>
      <c r="Z37" s="772"/>
      <c r="AC37" s="773"/>
    </row>
    <row r="38" spans="2:29" x14ac:dyDescent="0.3">
      <c r="B38" s="1122" t="s">
        <v>190</v>
      </c>
      <c r="C38" s="1122">
        <v>1097</v>
      </c>
      <c r="E38" s="770"/>
      <c r="F38" s="954" t="str">
        <f t="shared" si="19"/>
        <v>Pas d’assistance dans le lieu de déplacement</v>
      </c>
      <c r="G38" s="782">
        <f>SUMIFS(focus_retournes[ind],focus_retournes[periode],G$35,focus_retournes[motif_de_retour],'Focus Retournees'!$F38)</f>
        <v>115</v>
      </c>
      <c r="H38" s="782">
        <f>SUMIFS(focus_retournes[ind],focus_retournes[periode],H$35,focus_retournes[motif_de_retour],'Focus Retournees'!$F38)</f>
        <v>0</v>
      </c>
      <c r="I38" s="782">
        <f>SUMIFS(focus_retournes[ind],focus_retournes[periode],I$35,focus_retournes[motif_de_retour],'Focus Retournees'!$F38)</f>
        <v>0</v>
      </c>
      <c r="J38" s="782">
        <f>SUMIFS(focus_retournes[ind],focus_retournes[periode],J$35,focus_retournes[motif_de_retour],'Focus Retournees'!$F38)</f>
        <v>352</v>
      </c>
      <c r="K38" s="782">
        <f>SUMIFS(focus_retournes[ind],focus_retournes[periode],K$35,focus_retournes[motif_de_retour],'Focus Retournees'!$F38)</f>
        <v>569</v>
      </c>
      <c r="L38" s="976">
        <f t="shared" si="20"/>
        <v>1036</v>
      </c>
      <c r="M38" s="796"/>
      <c r="O38" s="772"/>
      <c r="P38" s="801"/>
      <c r="Q38" s="773"/>
      <c r="R38" s="954" t="s">
        <v>370</v>
      </c>
      <c r="S38" s="784">
        <f t="shared" si="21"/>
        <v>115</v>
      </c>
      <c r="T38" s="784">
        <f t="shared" si="18"/>
        <v>0</v>
      </c>
      <c r="U38" s="784">
        <f t="shared" si="18"/>
        <v>0</v>
      </c>
      <c r="V38" s="784">
        <f t="shared" si="18"/>
        <v>352</v>
      </c>
      <c r="W38" s="784">
        <f t="shared" si="18"/>
        <v>569</v>
      </c>
      <c r="X38" s="955">
        <f t="shared" si="22"/>
        <v>1036</v>
      </c>
      <c r="Y38" s="796" t="s">
        <v>397</v>
      </c>
      <c r="Z38" s="772"/>
      <c r="AC38" s="773"/>
    </row>
    <row r="39" spans="2:29" x14ac:dyDescent="0.3">
      <c r="B39" s="1122" t="s">
        <v>191</v>
      </c>
      <c r="C39" s="1122">
        <v>184</v>
      </c>
      <c r="E39" s="770"/>
      <c r="F39" s="952" t="str">
        <f t="shared" si="19"/>
        <v>Manque de moyens de subsistance dans le lieu de déplacement</v>
      </c>
      <c r="G39" s="786">
        <f>SUMIFS(focus_retournes[ind],focus_retournes[periode],G$35,focus_retournes[motif_de_retour],'Focus Retournees'!$F39)</f>
        <v>341</v>
      </c>
      <c r="H39" s="786">
        <f>SUMIFS(focus_retournes[ind],focus_retournes[periode],H$35,focus_retournes[motif_de_retour],'Focus Retournees'!$F39)</f>
        <v>0</v>
      </c>
      <c r="I39" s="786">
        <f>SUMIFS(focus_retournes[ind],focus_retournes[periode],I$35,focus_retournes[motif_de_retour],'Focus Retournees'!$F39)</f>
        <v>94</v>
      </c>
      <c r="J39" s="786">
        <f>SUMIFS(focus_retournes[ind],focus_retournes[periode],J$35,focus_retournes[motif_de_retour],'Focus Retournees'!$F39)</f>
        <v>1450</v>
      </c>
      <c r="K39" s="786">
        <f>SUMIFS(focus_retournes[ind],focus_retournes[periode],K$35,focus_retournes[motif_de_retour],'Focus Retournees'!$F39)</f>
        <v>23710</v>
      </c>
      <c r="L39" s="977">
        <f t="shared" si="20"/>
        <v>25595</v>
      </c>
      <c r="M39" s="796"/>
      <c r="O39" s="772"/>
      <c r="P39" s="801"/>
      <c r="Q39" s="773"/>
      <c r="R39" s="952" t="s">
        <v>372</v>
      </c>
      <c r="S39" s="788">
        <f t="shared" si="21"/>
        <v>341</v>
      </c>
      <c r="T39" s="788">
        <f t="shared" si="18"/>
        <v>0</v>
      </c>
      <c r="U39" s="788">
        <f t="shared" si="18"/>
        <v>94</v>
      </c>
      <c r="V39" s="788">
        <f t="shared" si="18"/>
        <v>1450</v>
      </c>
      <c r="W39" s="788">
        <f t="shared" si="18"/>
        <v>23710</v>
      </c>
      <c r="X39" s="980">
        <f t="shared" si="22"/>
        <v>25595</v>
      </c>
      <c r="Y39" s="796" t="s">
        <v>398</v>
      </c>
      <c r="Z39" s="772"/>
      <c r="AC39" s="773"/>
    </row>
    <row r="40" spans="2:29" x14ac:dyDescent="0.3">
      <c r="B40" s="1122" t="s">
        <v>192</v>
      </c>
      <c r="C40" s="1122">
        <v>2987</v>
      </c>
      <c r="E40" s="770"/>
      <c r="F40" s="954" t="str">
        <f t="shared" si="19"/>
        <v>Pas ou très peu d’accès aux services de bases dans le lieu de déplacement</v>
      </c>
      <c r="G40" s="782">
        <f>SUMIFS(focus_retournes[ind],focus_retournes[periode],G$35,focus_retournes[motif_de_retour],'Focus Retournees'!$F40)</f>
        <v>0</v>
      </c>
      <c r="H40" s="782">
        <f>SUMIFS(focus_retournes[ind],focus_retournes[periode],H$35,focus_retournes[motif_de_retour],'Focus Retournees'!$F40)</f>
        <v>0</v>
      </c>
      <c r="I40" s="782">
        <f>SUMIFS(focus_retournes[ind],focus_retournes[periode],I$35,focus_retournes[motif_de_retour],'Focus Retournees'!$F40)</f>
        <v>13</v>
      </c>
      <c r="J40" s="782">
        <f>SUMIFS(focus_retournes[ind],focus_retournes[periode],J$35,focus_retournes[motif_de_retour],'Focus Retournees'!$F40)</f>
        <v>280</v>
      </c>
      <c r="K40" s="782">
        <f>SUMIFS(focus_retournes[ind],focus_retournes[periode],K$35,focus_retournes[motif_de_retour],'Focus Retournees'!$F40)</f>
        <v>445</v>
      </c>
      <c r="L40" s="976">
        <f t="shared" si="20"/>
        <v>738</v>
      </c>
      <c r="M40" s="796"/>
      <c r="O40" s="772"/>
      <c r="P40" s="801"/>
      <c r="Q40" s="773"/>
      <c r="R40" s="954" t="s">
        <v>374</v>
      </c>
      <c r="S40" s="784">
        <f t="shared" si="21"/>
        <v>0</v>
      </c>
      <c r="T40" s="784">
        <f t="shared" si="18"/>
        <v>0</v>
      </c>
      <c r="U40" s="784">
        <f t="shared" si="18"/>
        <v>13</v>
      </c>
      <c r="V40" s="784">
        <f t="shared" si="18"/>
        <v>280</v>
      </c>
      <c r="W40" s="784">
        <f t="shared" si="18"/>
        <v>445</v>
      </c>
      <c r="X40" s="955">
        <f t="shared" si="22"/>
        <v>738</v>
      </c>
      <c r="Y40" s="796" t="s">
        <v>399</v>
      </c>
      <c r="Z40" s="772"/>
      <c r="AC40" s="773"/>
    </row>
    <row r="41" spans="2:29" x14ac:dyDescent="0.3">
      <c r="B41" s="1122" t="s">
        <v>193</v>
      </c>
      <c r="C41" s="1122">
        <v>13513</v>
      </c>
      <c r="E41" s="770"/>
      <c r="F41" s="952" t="str">
        <f t="shared" si="19"/>
        <v>Retour sur ordre des autorités militaires/civiles</v>
      </c>
      <c r="G41" s="786">
        <f>SUMIFS(focus_retournes[ind],focus_retournes[periode],G$35,focus_retournes[motif_de_retour],'Focus Retournees'!$F41)</f>
        <v>266</v>
      </c>
      <c r="H41" s="786">
        <f>SUMIFS(focus_retournes[ind],focus_retournes[periode],H$35,focus_retournes[motif_de_retour],'Focus Retournees'!$F41)</f>
        <v>15</v>
      </c>
      <c r="I41" s="786">
        <f>SUMIFS(focus_retournes[ind],focus_retournes[periode],I$35,focus_retournes[motif_de_retour],'Focus Retournees'!$F41)</f>
        <v>0</v>
      </c>
      <c r="J41" s="786">
        <f>SUMIFS(focus_retournes[ind],focus_retournes[periode],J$35,focus_retournes[motif_de_retour],'Focus Retournees'!$F41)</f>
        <v>0</v>
      </c>
      <c r="K41" s="786">
        <f>SUMIFS(focus_retournes[ind],focus_retournes[periode],K$35,focus_retournes[motif_de_retour],'Focus Retournees'!$F41)</f>
        <v>2602</v>
      </c>
      <c r="L41" s="977">
        <f t="shared" si="20"/>
        <v>2883</v>
      </c>
      <c r="M41" s="796"/>
      <c r="O41" s="772"/>
      <c r="P41" s="801"/>
      <c r="Q41" s="773"/>
      <c r="R41" s="952" t="s">
        <v>376</v>
      </c>
      <c r="S41" s="788">
        <f t="shared" si="21"/>
        <v>266</v>
      </c>
      <c r="T41" s="788">
        <f t="shared" si="18"/>
        <v>15</v>
      </c>
      <c r="U41" s="788">
        <f t="shared" si="18"/>
        <v>0</v>
      </c>
      <c r="V41" s="788">
        <f t="shared" si="18"/>
        <v>0</v>
      </c>
      <c r="W41" s="788">
        <f t="shared" si="18"/>
        <v>2602</v>
      </c>
      <c r="X41" s="980">
        <f t="shared" si="22"/>
        <v>2883</v>
      </c>
      <c r="Y41" s="796" t="s">
        <v>400</v>
      </c>
      <c r="Z41" s="772"/>
      <c r="AC41" s="773"/>
    </row>
    <row r="42" spans="2:29" x14ac:dyDescent="0.3">
      <c r="B42" s="1122" t="s">
        <v>194</v>
      </c>
      <c r="C42" s="1122">
        <v>1149</v>
      </c>
      <c r="E42" s="770"/>
      <c r="F42" s="954" t="str">
        <f t="shared" si="19"/>
        <v>Le lieu de déplacement n’est plus sécurisé</v>
      </c>
      <c r="G42" s="782">
        <f>SUMIFS(focus_retournes[ind],focus_retournes[periode],G$35,focus_retournes[motif_de_retour],'Focus Retournees'!$F42)</f>
        <v>597</v>
      </c>
      <c r="H42" s="782">
        <f>SUMIFS(focus_retournes[ind],focus_retournes[periode],H$35,focus_retournes[motif_de_retour],'Focus Retournees'!$F42)</f>
        <v>356</v>
      </c>
      <c r="I42" s="782">
        <f>SUMIFS(focus_retournes[ind],focus_retournes[periode],I$35,focus_retournes[motif_de_retour],'Focus Retournees'!$F42)</f>
        <v>0</v>
      </c>
      <c r="J42" s="782">
        <f>SUMIFS(focus_retournes[ind],focus_retournes[periode],J$35,focus_retournes[motif_de_retour],'Focus Retournees'!$F42)</f>
        <v>0</v>
      </c>
      <c r="K42" s="782">
        <f>SUMIFS(focus_retournes[ind],focus_retournes[periode],K$35,focus_retournes[motif_de_retour],'Focus Retournees'!$F42)</f>
        <v>663</v>
      </c>
      <c r="L42" s="976">
        <f t="shared" si="20"/>
        <v>1616</v>
      </c>
      <c r="M42" s="796"/>
      <c r="O42" s="772"/>
      <c r="P42" s="773"/>
      <c r="Q42" s="770"/>
      <c r="R42" s="954" t="s">
        <v>378</v>
      </c>
      <c r="S42" s="784">
        <f t="shared" si="21"/>
        <v>597</v>
      </c>
      <c r="T42" s="784">
        <f t="shared" si="18"/>
        <v>356</v>
      </c>
      <c r="U42" s="784">
        <f t="shared" si="18"/>
        <v>0</v>
      </c>
      <c r="V42" s="784">
        <f t="shared" si="18"/>
        <v>0</v>
      </c>
      <c r="W42" s="784">
        <f t="shared" si="18"/>
        <v>663</v>
      </c>
      <c r="X42" s="955">
        <f t="shared" si="22"/>
        <v>1616</v>
      </c>
      <c r="Y42" s="796" t="s">
        <v>401</v>
      </c>
      <c r="Z42" s="772"/>
    </row>
    <row r="43" spans="2:29" x14ac:dyDescent="0.3">
      <c r="B43" s="1122" t="s">
        <v>195</v>
      </c>
      <c r="C43" s="1122">
        <v>2640</v>
      </c>
      <c r="D43" s="803"/>
      <c r="E43" s="770"/>
      <c r="F43" s="952" t="str">
        <f>F26</f>
        <v>Communautés hôtes ne peuvent plus nous accueillir</v>
      </c>
      <c r="G43" s="786">
        <f>SUMIFS(focus_retournes[ind],focus_retournes[periode],G$35,focus_retournes[motif_de_retour],'Focus Retournees'!$F43)</f>
        <v>0</v>
      </c>
      <c r="H43" s="786">
        <f>SUMIFS(focus_retournes[ind],focus_retournes[periode],H$35,focus_retournes[motif_de_retour],'Focus Retournees'!$F43)</f>
        <v>0</v>
      </c>
      <c r="I43" s="786">
        <f>SUMIFS(focus_retournes[ind],focus_retournes[periode],I$35,focus_retournes[motif_de_retour],'Focus Retournees'!$F43)</f>
        <v>0</v>
      </c>
      <c r="J43" s="786">
        <f>SUMIFS(focus_retournes[ind],focus_retournes[periode],J$35,focus_retournes[motif_de_retour],'Focus Retournees'!$F43)</f>
        <v>0</v>
      </c>
      <c r="K43" s="786">
        <f>SUMIFS(focus_retournes[ind],focus_retournes[periode],K$35,focus_retournes[motif_de_retour],'Focus Retournees'!$F43)</f>
        <v>13188</v>
      </c>
      <c r="L43" s="977">
        <f t="shared" si="20"/>
        <v>13188</v>
      </c>
      <c r="M43" s="796"/>
      <c r="O43" s="801"/>
      <c r="P43" s="804"/>
      <c r="Q43" s="773"/>
      <c r="R43" s="952" t="s">
        <v>380</v>
      </c>
      <c r="S43" s="788">
        <f t="shared" si="21"/>
        <v>0</v>
      </c>
      <c r="T43" s="788">
        <f t="shared" si="18"/>
        <v>0</v>
      </c>
      <c r="U43" s="788">
        <f t="shared" si="18"/>
        <v>0</v>
      </c>
      <c r="V43" s="788">
        <f t="shared" si="18"/>
        <v>0</v>
      </c>
      <c r="W43" s="788">
        <f t="shared" si="18"/>
        <v>13188</v>
      </c>
      <c r="X43" s="980">
        <f t="shared" si="22"/>
        <v>13188</v>
      </c>
      <c r="Y43" s="796" t="s">
        <v>402</v>
      </c>
      <c r="Z43" s="772"/>
      <c r="AC43" s="773"/>
    </row>
    <row r="44" spans="2:29" x14ac:dyDescent="0.3">
      <c r="B44" s="1122" t="s">
        <v>196</v>
      </c>
      <c r="C44" s="1122">
        <v>216</v>
      </c>
      <c r="D44" s="803"/>
      <c r="E44" s="770"/>
      <c r="F44" s="954" t="str">
        <f t="shared" si="19"/>
        <v>Tensions avec les communautés hôtes</v>
      </c>
      <c r="G44" s="782">
        <f>SUMIFS(focus_retournes[ind],focus_retournes[periode],G$35,focus_retournes[motif_de_retour],'Focus Retournees'!$F44)</f>
        <v>329</v>
      </c>
      <c r="H44" s="782">
        <f>SUMIFS(focus_retournes[ind],focus_retournes[periode],H$35,focus_retournes[motif_de_retour],'Focus Retournees'!$F44)</f>
        <v>0</v>
      </c>
      <c r="I44" s="782">
        <f>SUMIFS(focus_retournes[ind],focus_retournes[periode],I$35,focus_retournes[motif_de_retour],'Focus Retournees'!$F44)</f>
        <v>0</v>
      </c>
      <c r="J44" s="782">
        <f>SUMIFS(focus_retournes[ind],focus_retournes[periode],J$35,focus_retournes[motif_de_retour],'Focus Retournees'!$F44)</f>
        <v>0</v>
      </c>
      <c r="K44" s="782">
        <f>SUMIFS(focus_retournes[ind],focus_retournes[periode],K$35,focus_retournes[motif_de_retour],'Focus Retournees'!$F44)</f>
        <v>0</v>
      </c>
      <c r="L44" s="976">
        <f t="shared" ref="L44" si="23">SUM(G44:K44)</f>
        <v>329</v>
      </c>
      <c r="M44" s="796"/>
      <c r="O44" s="801"/>
      <c r="P44" s="804"/>
      <c r="Q44" s="773"/>
      <c r="R44" s="956" t="s">
        <v>382</v>
      </c>
      <c r="S44" s="784">
        <f t="shared" si="21"/>
        <v>329</v>
      </c>
      <c r="T44" s="784">
        <f t="shared" si="18"/>
        <v>0</v>
      </c>
      <c r="U44" s="784">
        <f t="shared" si="18"/>
        <v>0</v>
      </c>
      <c r="V44" s="784">
        <f t="shared" si="18"/>
        <v>0</v>
      </c>
      <c r="W44" s="784">
        <f t="shared" si="18"/>
        <v>0</v>
      </c>
      <c r="X44" s="955">
        <f t="shared" si="22"/>
        <v>329</v>
      </c>
      <c r="Y44" s="796" t="s">
        <v>403</v>
      </c>
      <c r="Z44" s="772"/>
      <c r="AC44" s="773"/>
    </row>
    <row r="45" spans="2:29" x14ac:dyDescent="0.3">
      <c r="B45" s="945" t="s">
        <v>154</v>
      </c>
      <c r="C45" s="1124">
        <v>203166</v>
      </c>
      <c r="D45" s="803"/>
      <c r="E45" s="770"/>
      <c r="F45" s="952" t="str">
        <f t="shared" si="19"/>
        <v>Autre</v>
      </c>
      <c r="G45" s="786">
        <f>SUMIFS(focus_retournes[ind],focus_retournes[periode],G$35,focus_retournes[motif_de_retour],'Focus Retournees'!$F45)</f>
        <v>0</v>
      </c>
      <c r="H45" s="786">
        <f>SUMIFS(focus_retournes[ind],focus_retournes[periode],H$35,focus_retournes[motif_de_retour],'Focus Retournees'!$F45)</f>
        <v>260</v>
      </c>
      <c r="I45" s="786">
        <f>SUMIFS(focus_retournes[ind],focus_retournes[periode],I$35,focus_retournes[motif_de_retour],'Focus Retournees'!$F45)</f>
        <v>2564</v>
      </c>
      <c r="J45" s="786">
        <f>SUMIFS(focus_retournes[ind],focus_retournes[periode],J$35,focus_retournes[motif_de_retour],'Focus Retournees'!$F45)</f>
        <v>43</v>
      </c>
      <c r="K45" s="786">
        <f>SUMIFS(focus_retournes[ind],focus_retournes[periode],K$35,focus_retournes[motif_de_retour],'Focus Retournees'!$F45)</f>
        <v>1304</v>
      </c>
      <c r="L45" s="977">
        <f>SUM(G45:K45)</f>
        <v>4171</v>
      </c>
      <c r="M45" s="796"/>
      <c r="O45" s="801"/>
      <c r="P45" s="804"/>
      <c r="Q45" s="773"/>
      <c r="R45" s="952" t="s">
        <v>247</v>
      </c>
      <c r="S45" s="788">
        <f t="shared" si="21"/>
        <v>0</v>
      </c>
      <c r="T45" s="788">
        <f t="shared" si="18"/>
        <v>260</v>
      </c>
      <c r="U45" s="788">
        <f t="shared" si="18"/>
        <v>2564</v>
      </c>
      <c r="V45" s="788">
        <f t="shared" si="18"/>
        <v>43</v>
      </c>
      <c r="W45" s="788">
        <f t="shared" si="18"/>
        <v>1304</v>
      </c>
      <c r="X45" s="980">
        <f t="shared" si="22"/>
        <v>4171</v>
      </c>
      <c r="Y45" s="796" t="s">
        <v>404</v>
      </c>
      <c r="Z45" s="772"/>
      <c r="AC45" s="773"/>
    </row>
    <row r="46" spans="2:29" x14ac:dyDescent="0.3">
      <c r="E46" s="770"/>
      <c r="F46" s="965"/>
      <c r="G46" s="978">
        <f t="shared" ref="G46:L46" si="24">SUM(G36:G45)</f>
        <v>65850</v>
      </c>
      <c r="H46" s="978">
        <f t="shared" si="24"/>
        <v>2932</v>
      </c>
      <c r="I46" s="978">
        <f t="shared" si="24"/>
        <v>6982</v>
      </c>
      <c r="J46" s="978">
        <f t="shared" si="24"/>
        <v>42435</v>
      </c>
      <c r="K46" s="978">
        <f t="shared" si="24"/>
        <v>84967</v>
      </c>
      <c r="L46" s="979">
        <f t="shared" si="24"/>
        <v>203166</v>
      </c>
      <c r="M46" s="796"/>
      <c r="O46" s="801"/>
      <c r="P46" s="804"/>
      <c r="Q46" s="773"/>
      <c r="R46" s="965"/>
      <c r="S46" s="982">
        <f t="shared" ref="S46:X46" si="25">SUM(S36:S45)</f>
        <v>65850</v>
      </c>
      <c r="T46" s="982">
        <f t="shared" si="25"/>
        <v>2932</v>
      </c>
      <c r="U46" s="982">
        <f t="shared" si="25"/>
        <v>6982</v>
      </c>
      <c r="V46" s="982">
        <f t="shared" si="25"/>
        <v>42435</v>
      </c>
      <c r="W46" s="982">
        <f t="shared" si="25"/>
        <v>84967</v>
      </c>
      <c r="X46" s="983">
        <f t="shared" si="25"/>
        <v>203166</v>
      </c>
      <c r="Y46" s="796" t="s">
        <v>405</v>
      </c>
      <c r="Z46" s="772"/>
      <c r="AC46" s="773"/>
    </row>
    <row r="47" spans="2:29" x14ac:dyDescent="0.3">
      <c r="E47" s="770"/>
      <c r="M47" s="796"/>
      <c r="O47" s="801"/>
      <c r="P47" s="804"/>
      <c r="Q47" s="773"/>
      <c r="Y47" s="796" t="s">
        <v>406</v>
      </c>
      <c r="Z47" s="772"/>
      <c r="AC47" s="773"/>
    </row>
    <row r="48" spans="2:29" x14ac:dyDescent="0.3">
      <c r="D48" s="773"/>
      <c r="E48" s="770"/>
      <c r="F48" s="792"/>
      <c r="G48" s="792"/>
      <c r="H48" s="792"/>
      <c r="I48" s="792"/>
      <c r="J48" s="792"/>
      <c r="K48" s="792"/>
      <c r="L48" s="792"/>
      <c r="M48" s="796"/>
      <c r="O48" s="801"/>
      <c r="P48" s="804"/>
      <c r="Q48" s="773"/>
      <c r="R48" s="792"/>
      <c r="S48" s="792"/>
      <c r="T48" s="792"/>
      <c r="U48" s="792"/>
      <c r="V48" s="792"/>
      <c r="W48" s="792"/>
      <c r="X48" s="792"/>
      <c r="Y48" s="796" t="s">
        <v>407</v>
      </c>
      <c r="Z48" s="772"/>
      <c r="AC48" s="773"/>
    </row>
    <row r="49" spans="4:29" ht="41.4" x14ac:dyDescent="0.3">
      <c r="D49" s="773"/>
      <c r="E49" s="770"/>
      <c r="F49" s="968" t="s">
        <v>364</v>
      </c>
      <c r="G49" s="1121" t="str">
        <f>$G$35</f>
        <v>Avant 2020</v>
      </c>
      <c r="H49" s="970" t="str">
        <f>$H$35</f>
        <v>En 2020</v>
      </c>
      <c r="I49" s="970" t="str">
        <f>$I$35</f>
        <v>En 2021</v>
      </c>
      <c r="J49" s="970" t="str">
        <f>$J$35</f>
        <v>Janvier - Aout 2022</v>
      </c>
      <c r="K49" s="970" t="str">
        <f>$K$35</f>
        <v>Septembre 2022 – Février 2023</v>
      </c>
      <c r="L49" s="971" t="s">
        <v>25</v>
      </c>
      <c r="M49" s="796"/>
      <c r="O49" s="801"/>
      <c r="P49" s="804"/>
      <c r="Q49" s="773"/>
      <c r="R49" s="968" t="s">
        <v>51</v>
      </c>
      <c r="S49" s="1121" t="str">
        <f>$S$35</f>
        <v>Before 2019</v>
      </c>
      <c r="T49" s="970">
        <f>$T$35</f>
        <v>2019</v>
      </c>
      <c r="U49" s="970">
        <f>$U$35</f>
        <v>2020</v>
      </c>
      <c r="V49" s="970">
        <f>$V$35</f>
        <v>2021</v>
      </c>
      <c r="W49" s="970" t="str">
        <f>$W$35</f>
        <v>January-February-2022</v>
      </c>
      <c r="X49" s="971" t="s">
        <v>25</v>
      </c>
      <c r="Y49" s="796" t="s">
        <v>408</v>
      </c>
      <c r="Z49" s="772"/>
      <c r="AC49" s="773"/>
    </row>
    <row r="50" spans="4:29" x14ac:dyDescent="0.3">
      <c r="D50" s="773"/>
      <c r="E50" s="770"/>
      <c r="F50" s="954" t="str">
        <f t="shared" ref="F50:F59" si="26">F36</f>
        <v>Accès à la terre cultivable dans la zone de retour</v>
      </c>
      <c r="G50" s="793">
        <f>G36/$G$46</f>
        <v>0.37201214882308276</v>
      </c>
      <c r="H50" s="793">
        <f>H36/$H$46</f>
        <v>0.16609822646657571</v>
      </c>
      <c r="I50" s="793">
        <f>I36/$I$46</f>
        <v>0.17373245488398739</v>
      </c>
      <c r="J50" s="793">
        <f>J36/$J$46</f>
        <v>0.6066218923058796</v>
      </c>
      <c r="K50" s="793">
        <f>K36/$K$46</f>
        <v>7.9619146256782042E-2</v>
      </c>
      <c r="L50" s="972">
        <f>L36/$L$46</f>
        <v>0.28894598505655472</v>
      </c>
      <c r="M50" s="796"/>
      <c r="O50" s="801"/>
      <c r="P50" s="804"/>
      <c r="Q50" s="773"/>
      <c r="R50" s="954" t="s">
        <v>366</v>
      </c>
      <c r="S50" s="793">
        <f>G50</f>
        <v>0.37201214882308276</v>
      </c>
      <c r="T50" s="793">
        <f t="shared" ref="T50:X59" si="27">H50</f>
        <v>0.16609822646657571</v>
      </c>
      <c r="U50" s="793">
        <f t="shared" si="27"/>
        <v>0.17373245488398739</v>
      </c>
      <c r="V50" s="793">
        <f t="shared" si="27"/>
        <v>0.6066218923058796</v>
      </c>
      <c r="W50" s="793">
        <f t="shared" si="27"/>
        <v>7.9619146256782042E-2</v>
      </c>
      <c r="X50" s="964">
        <f>L50</f>
        <v>0.28894598505655472</v>
      </c>
      <c r="Y50" s="796" t="s">
        <v>409</v>
      </c>
      <c r="Z50" s="772"/>
      <c r="AC50" s="773"/>
    </row>
    <row r="51" spans="4:29" x14ac:dyDescent="0.3">
      <c r="D51" s="773"/>
      <c r="E51" s="770"/>
      <c r="F51" s="952" t="str">
        <f t="shared" si="26"/>
        <v>Zone de retour sécurisée</v>
      </c>
      <c r="G51" s="948">
        <f t="shared" ref="G51:G59" si="28">G37/$G$46</f>
        <v>0.60296127562642365</v>
      </c>
      <c r="H51" s="948">
        <f t="shared" ref="H51:H59" si="29">H37/$H$46</f>
        <v>0.61869031377899042</v>
      </c>
      <c r="I51" s="948">
        <f t="shared" ref="I51:I59" si="30">I37/$I$46</f>
        <v>0.44371240332283013</v>
      </c>
      <c r="J51" s="948">
        <f t="shared" ref="J51:J59" si="31">J37/$J$46</f>
        <v>0.34330151997172148</v>
      </c>
      <c r="K51" s="948">
        <f t="shared" ref="K51:K59" si="32">K37/$K$46</f>
        <v>0.42041027693104382</v>
      </c>
      <c r="L51" s="973">
        <f t="shared" ref="L51:L59" si="33">L37/$L$46</f>
        <v>0.46713524900820019</v>
      </c>
      <c r="M51" s="796"/>
      <c r="O51" s="801"/>
      <c r="P51" s="804"/>
      <c r="Q51" s="773"/>
      <c r="R51" s="952" t="s">
        <v>368</v>
      </c>
      <c r="S51" s="948">
        <f t="shared" ref="S51:S59" si="34">G51</f>
        <v>0.60296127562642365</v>
      </c>
      <c r="T51" s="948">
        <f t="shared" si="27"/>
        <v>0.61869031377899042</v>
      </c>
      <c r="U51" s="948">
        <f t="shared" si="27"/>
        <v>0.44371240332283013</v>
      </c>
      <c r="V51" s="948">
        <f t="shared" si="27"/>
        <v>0.34330151997172148</v>
      </c>
      <c r="W51" s="948">
        <f t="shared" si="27"/>
        <v>0.42041027693104382</v>
      </c>
      <c r="X51" s="973">
        <f t="shared" si="27"/>
        <v>0.46713524900820019</v>
      </c>
      <c r="Y51" s="796" t="s">
        <v>410</v>
      </c>
      <c r="Z51" s="772"/>
      <c r="AC51" s="773"/>
    </row>
    <row r="52" spans="4:29" x14ac:dyDescent="0.3">
      <c r="E52" s="805"/>
      <c r="F52" s="954" t="str">
        <f t="shared" si="26"/>
        <v>Pas d’assistance dans le lieu de déplacement</v>
      </c>
      <c r="G52" s="793">
        <f t="shared" si="28"/>
        <v>1.7463933181473045E-3</v>
      </c>
      <c r="H52" s="793">
        <f t="shared" si="29"/>
        <v>0</v>
      </c>
      <c r="I52" s="793">
        <f t="shared" si="30"/>
        <v>0</v>
      </c>
      <c r="J52" s="793">
        <f t="shared" si="31"/>
        <v>8.2950394721338517E-3</v>
      </c>
      <c r="K52" s="793">
        <f t="shared" si="32"/>
        <v>6.6967175491661471E-3</v>
      </c>
      <c r="L52" s="972">
        <f t="shared" si="33"/>
        <v>5.0992784225707055E-3</v>
      </c>
      <c r="M52" s="796"/>
      <c r="O52" s="772"/>
      <c r="P52" s="804"/>
      <c r="R52" s="954" t="s">
        <v>370</v>
      </c>
      <c r="S52" s="793">
        <f t="shared" si="34"/>
        <v>1.7463933181473045E-3</v>
      </c>
      <c r="T52" s="793">
        <f t="shared" si="27"/>
        <v>0</v>
      </c>
      <c r="U52" s="793">
        <f t="shared" si="27"/>
        <v>0</v>
      </c>
      <c r="V52" s="793">
        <f t="shared" si="27"/>
        <v>8.2950394721338517E-3</v>
      </c>
      <c r="W52" s="793">
        <f t="shared" si="27"/>
        <v>6.6967175491661471E-3</v>
      </c>
      <c r="X52" s="964">
        <f t="shared" si="27"/>
        <v>5.0992784225707055E-3</v>
      </c>
      <c r="Y52" s="796" t="s">
        <v>411</v>
      </c>
      <c r="Z52" s="772"/>
    </row>
    <row r="53" spans="4:29" x14ac:dyDescent="0.3">
      <c r="E53" s="805"/>
      <c r="F53" s="952" t="str">
        <f t="shared" si="26"/>
        <v>Manque de moyens de subsistance dans le lieu de déplacement</v>
      </c>
      <c r="G53" s="948">
        <f t="shared" si="28"/>
        <v>5.1784358390280939E-3</v>
      </c>
      <c r="H53" s="948">
        <f t="shared" si="29"/>
        <v>0</v>
      </c>
      <c r="I53" s="948">
        <f t="shared" si="30"/>
        <v>1.3463191062732742E-2</v>
      </c>
      <c r="J53" s="948">
        <f t="shared" si="31"/>
        <v>3.416990691646047E-2</v>
      </c>
      <c r="K53" s="948">
        <f t="shared" si="32"/>
        <v>0.27904951334047334</v>
      </c>
      <c r="L53" s="973">
        <f t="shared" si="33"/>
        <v>0.12598072512132935</v>
      </c>
      <c r="M53" s="796"/>
      <c r="O53" s="772"/>
      <c r="P53" s="804"/>
      <c r="R53" s="952" t="s">
        <v>372</v>
      </c>
      <c r="S53" s="948">
        <f t="shared" si="34"/>
        <v>5.1784358390280939E-3</v>
      </c>
      <c r="T53" s="948">
        <f t="shared" si="27"/>
        <v>0</v>
      </c>
      <c r="U53" s="948">
        <f t="shared" si="27"/>
        <v>1.3463191062732742E-2</v>
      </c>
      <c r="V53" s="948">
        <f t="shared" si="27"/>
        <v>3.416990691646047E-2</v>
      </c>
      <c r="W53" s="948">
        <f t="shared" si="27"/>
        <v>0.27904951334047334</v>
      </c>
      <c r="X53" s="973">
        <f t="shared" si="27"/>
        <v>0.12598072512132935</v>
      </c>
      <c r="Y53" s="796" t="s">
        <v>412</v>
      </c>
      <c r="Z53" s="772"/>
    </row>
    <row r="54" spans="4:29" x14ac:dyDescent="0.3">
      <c r="E54" s="805"/>
      <c r="F54" s="954" t="str">
        <f t="shared" si="26"/>
        <v>Pas ou très peu d’accès aux services de bases dans le lieu de déplacement</v>
      </c>
      <c r="G54" s="793">
        <f t="shared" si="28"/>
        <v>0</v>
      </c>
      <c r="H54" s="793">
        <f t="shared" si="29"/>
        <v>0</v>
      </c>
      <c r="I54" s="793">
        <f t="shared" si="30"/>
        <v>1.8619306788885707E-3</v>
      </c>
      <c r="J54" s="793">
        <f t="shared" si="31"/>
        <v>6.5983268528337453E-3</v>
      </c>
      <c r="K54" s="793">
        <f t="shared" si="32"/>
        <v>5.2373274330034013E-3</v>
      </c>
      <c r="L54" s="972">
        <f t="shared" si="33"/>
        <v>3.6324975635687075E-3</v>
      </c>
      <c r="M54" s="796"/>
      <c r="O54" s="772"/>
      <c r="P54" s="804"/>
      <c r="R54" s="954" t="s">
        <v>374</v>
      </c>
      <c r="S54" s="793">
        <f t="shared" si="34"/>
        <v>0</v>
      </c>
      <c r="T54" s="793">
        <f t="shared" si="27"/>
        <v>0</v>
      </c>
      <c r="U54" s="793">
        <f t="shared" si="27"/>
        <v>1.8619306788885707E-3</v>
      </c>
      <c r="V54" s="793">
        <f t="shared" si="27"/>
        <v>6.5983268528337453E-3</v>
      </c>
      <c r="W54" s="793">
        <f t="shared" si="27"/>
        <v>5.2373274330034013E-3</v>
      </c>
      <c r="X54" s="964">
        <f t="shared" si="27"/>
        <v>3.6324975635687075E-3</v>
      </c>
      <c r="Y54" s="796" t="s">
        <v>413</v>
      </c>
      <c r="Z54" s="772"/>
    </row>
    <row r="55" spans="4:29" x14ac:dyDescent="0.3">
      <c r="E55" s="805"/>
      <c r="F55" s="952" t="str">
        <f t="shared" si="26"/>
        <v>Retour sur ordre des autorités militaires/civiles</v>
      </c>
      <c r="G55" s="948">
        <f t="shared" si="28"/>
        <v>4.0394836750189825E-3</v>
      </c>
      <c r="H55" s="948">
        <f t="shared" si="29"/>
        <v>5.1159618008185543E-3</v>
      </c>
      <c r="I55" s="948">
        <f t="shared" si="30"/>
        <v>0</v>
      </c>
      <c r="J55" s="948">
        <f t="shared" si="31"/>
        <v>0</v>
      </c>
      <c r="K55" s="948">
        <f t="shared" si="32"/>
        <v>3.0623653889156967E-2</v>
      </c>
      <c r="L55" s="973">
        <f t="shared" si="33"/>
        <v>1.4190366498331414E-2</v>
      </c>
      <c r="M55" s="796"/>
      <c r="O55" s="772"/>
      <c r="P55" s="804"/>
      <c r="R55" s="952" t="s">
        <v>376</v>
      </c>
      <c r="S55" s="948">
        <f t="shared" si="34"/>
        <v>4.0394836750189825E-3</v>
      </c>
      <c r="T55" s="948">
        <f t="shared" si="27"/>
        <v>5.1159618008185543E-3</v>
      </c>
      <c r="U55" s="948">
        <f t="shared" si="27"/>
        <v>0</v>
      </c>
      <c r="V55" s="948">
        <f t="shared" si="27"/>
        <v>0</v>
      </c>
      <c r="W55" s="948">
        <f t="shared" si="27"/>
        <v>3.0623653889156967E-2</v>
      </c>
      <c r="X55" s="973">
        <f t="shared" si="27"/>
        <v>1.4190366498331414E-2</v>
      </c>
      <c r="Y55" s="796" t="s">
        <v>414</v>
      </c>
      <c r="Z55" s="772"/>
    </row>
    <row r="56" spans="4:29" x14ac:dyDescent="0.3">
      <c r="E56" s="805"/>
      <c r="F56" s="954" t="str">
        <f t="shared" si="26"/>
        <v>Le lieu de déplacement n’est plus sécurisé</v>
      </c>
      <c r="G56" s="793">
        <f t="shared" si="28"/>
        <v>9.0660592255125284E-3</v>
      </c>
      <c r="H56" s="793">
        <f t="shared" si="29"/>
        <v>0.12141882673942701</v>
      </c>
      <c r="I56" s="793">
        <f t="shared" si="30"/>
        <v>0</v>
      </c>
      <c r="J56" s="793">
        <f t="shared" si="31"/>
        <v>0</v>
      </c>
      <c r="K56" s="793">
        <f t="shared" si="32"/>
        <v>7.8030294114185507E-3</v>
      </c>
      <c r="L56" s="972">
        <f t="shared" si="33"/>
        <v>7.954086805863186E-3</v>
      </c>
      <c r="M56" s="796"/>
      <c r="O56" s="772"/>
      <c r="P56" s="804"/>
      <c r="R56" s="954" t="s">
        <v>378</v>
      </c>
      <c r="S56" s="793">
        <f t="shared" si="34"/>
        <v>9.0660592255125284E-3</v>
      </c>
      <c r="T56" s="793">
        <f t="shared" si="27"/>
        <v>0.12141882673942701</v>
      </c>
      <c r="U56" s="793">
        <f t="shared" si="27"/>
        <v>0</v>
      </c>
      <c r="V56" s="793">
        <f t="shared" si="27"/>
        <v>0</v>
      </c>
      <c r="W56" s="793">
        <f t="shared" si="27"/>
        <v>7.8030294114185507E-3</v>
      </c>
      <c r="X56" s="964">
        <f t="shared" si="27"/>
        <v>7.954086805863186E-3</v>
      </c>
      <c r="Y56" s="796" t="s">
        <v>415</v>
      </c>
      <c r="Z56" s="772"/>
    </row>
    <row r="57" spans="4:29" x14ac:dyDescent="0.3">
      <c r="E57" s="805"/>
      <c r="F57" s="952" t="str">
        <f t="shared" si="26"/>
        <v>Communautés hôtes ne peuvent plus nous accueillir</v>
      </c>
      <c r="G57" s="948">
        <f t="shared" si="28"/>
        <v>0</v>
      </c>
      <c r="H57" s="948">
        <f t="shared" si="29"/>
        <v>0</v>
      </c>
      <c r="I57" s="948">
        <f t="shared" si="30"/>
        <v>0</v>
      </c>
      <c r="J57" s="948">
        <f t="shared" si="31"/>
        <v>0</v>
      </c>
      <c r="K57" s="948">
        <f t="shared" si="32"/>
        <v>0.1552132004189862</v>
      </c>
      <c r="L57" s="973">
        <f t="shared" si="33"/>
        <v>6.491243613596763E-2</v>
      </c>
      <c r="M57" s="796"/>
      <c r="O57" s="772"/>
      <c r="P57" s="804"/>
      <c r="R57" s="952" t="s">
        <v>380</v>
      </c>
      <c r="S57" s="948">
        <f t="shared" si="34"/>
        <v>0</v>
      </c>
      <c r="T57" s="948">
        <f t="shared" si="27"/>
        <v>0</v>
      </c>
      <c r="U57" s="948">
        <f t="shared" si="27"/>
        <v>0</v>
      </c>
      <c r="V57" s="948">
        <f t="shared" si="27"/>
        <v>0</v>
      </c>
      <c r="W57" s="948">
        <f t="shared" si="27"/>
        <v>0.1552132004189862</v>
      </c>
      <c r="X57" s="973">
        <f t="shared" si="27"/>
        <v>6.491243613596763E-2</v>
      </c>
      <c r="Y57" s="796" t="s">
        <v>416</v>
      </c>
      <c r="Z57" s="772"/>
    </row>
    <row r="58" spans="4:29" x14ac:dyDescent="0.3">
      <c r="E58" s="805"/>
      <c r="F58" s="954" t="str">
        <f t="shared" si="26"/>
        <v>Tensions avec les communautés hôtes</v>
      </c>
      <c r="G58" s="793">
        <f t="shared" si="28"/>
        <v>4.9962034927866364E-3</v>
      </c>
      <c r="H58" s="793">
        <f t="shared" si="29"/>
        <v>0</v>
      </c>
      <c r="I58" s="793">
        <f t="shared" si="30"/>
        <v>0</v>
      </c>
      <c r="J58" s="793">
        <f t="shared" si="31"/>
        <v>0</v>
      </c>
      <c r="K58" s="793">
        <f t="shared" si="32"/>
        <v>0</v>
      </c>
      <c r="L58" s="972">
        <f t="shared" si="33"/>
        <v>1.6193654450055619E-3</v>
      </c>
      <c r="M58" s="796"/>
      <c r="O58" s="772"/>
      <c r="P58" s="804"/>
      <c r="R58" s="956" t="s">
        <v>382</v>
      </c>
      <c r="S58" s="793">
        <f t="shared" si="34"/>
        <v>4.9962034927866364E-3</v>
      </c>
      <c r="T58" s="793">
        <f t="shared" si="27"/>
        <v>0</v>
      </c>
      <c r="U58" s="793">
        <f t="shared" si="27"/>
        <v>0</v>
      </c>
      <c r="V58" s="793">
        <f t="shared" si="27"/>
        <v>0</v>
      </c>
      <c r="W58" s="793">
        <f t="shared" si="27"/>
        <v>0</v>
      </c>
      <c r="X58" s="964">
        <f t="shared" si="27"/>
        <v>1.6193654450055619E-3</v>
      </c>
      <c r="Y58" s="796" t="s">
        <v>417</v>
      </c>
      <c r="Z58" s="772"/>
    </row>
    <row r="59" spans="4:29" x14ac:dyDescent="0.3">
      <c r="E59" s="805"/>
      <c r="F59" s="952" t="str">
        <f t="shared" si="26"/>
        <v>Autre</v>
      </c>
      <c r="G59" s="948">
        <f t="shared" si="28"/>
        <v>0</v>
      </c>
      <c r="H59" s="948">
        <f t="shared" si="29"/>
        <v>8.8676671214188263E-2</v>
      </c>
      <c r="I59" s="948">
        <f t="shared" si="30"/>
        <v>0.36723002005156113</v>
      </c>
      <c r="J59" s="948">
        <f t="shared" si="31"/>
        <v>1.0133144809708968E-3</v>
      </c>
      <c r="K59" s="948">
        <f t="shared" si="32"/>
        <v>1.5347134769969517E-2</v>
      </c>
      <c r="L59" s="973">
        <f t="shared" si="33"/>
        <v>2.0530009942608507E-2</v>
      </c>
      <c r="M59" s="796"/>
      <c r="O59" s="772"/>
      <c r="P59" s="804"/>
      <c r="R59" s="952" t="s">
        <v>247</v>
      </c>
      <c r="S59" s="948">
        <f t="shared" si="34"/>
        <v>0</v>
      </c>
      <c r="T59" s="948">
        <f t="shared" si="27"/>
        <v>8.8676671214188263E-2</v>
      </c>
      <c r="U59" s="948">
        <f t="shared" si="27"/>
        <v>0.36723002005156113</v>
      </c>
      <c r="V59" s="948">
        <f t="shared" si="27"/>
        <v>1.0133144809708968E-3</v>
      </c>
      <c r="W59" s="948">
        <f t="shared" si="27"/>
        <v>1.5347134769969517E-2</v>
      </c>
      <c r="X59" s="973">
        <f t="shared" si="27"/>
        <v>2.0530009942608507E-2</v>
      </c>
      <c r="Y59" s="796" t="s">
        <v>418</v>
      </c>
      <c r="Z59" s="772"/>
    </row>
    <row r="60" spans="4:29" x14ac:dyDescent="0.3">
      <c r="E60" s="805"/>
      <c r="F60" s="965"/>
      <c r="G60" s="974">
        <f t="shared" ref="G60:L60" si="35">SUM(G50:G59)</f>
        <v>0.99999999999999989</v>
      </c>
      <c r="H60" s="974">
        <f t="shared" si="35"/>
        <v>1</v>
      </c>
      <c r="I60" s="974">
        <f t="shared" si="35"/>
        <v>1</v>
      </c>
      <c r="J60" s="974">
        <f t="shared" si="35"/>
        <v>1</v>
      </c>
      <c r="K60" s="974">
        <f t="shared" si="35"/>
        <v>1</v>
      </c>
      <c r="L60" s="975">
        <f t="shared" si="35"/>
        <v>1</v>
      </c>
      <c r="M60" s="796"/>
      <c r="O60" s="772"/>
      <c r="P60" s="804"/>
      <c r="R60" s="965"/>
      <c r="S60" s="974">
        <f t="shared" ref="S60:X60" si="36">SUM(S50:S59)</f>
        <v>0.99999999999999989</v>
      </c>
      <c r="T60" s="974">
        <f t="shared" si="36"/>
        <v>1</v>
      </c>
      <c r="U60" s="974">
        <f t="shared" si="36"/>
        <v>1</v>
      </c>
      <c r="V60" s="974">
        <f t="shared" si="36"/>
        <v>1</v>
      </c>
      <c r="W60" s="974">
        <f t="shared" si="36"/>
        <v>1</v>
      </c>
      <c r="X60" s="975">
        <f t="shared" si="36"/>
        <v>1</v>
      </c>
      <c r="Y60" s="796" t="s">
        <v>419</v>
      </c>
      <c r="Z60" s="772"/>
    </row>
    <row r="61" spans="4:29" x14ac:dyDescent="0.3">
      <c r="E61" s="805"/>
      <c r="M61" s="796"/>
      <c r="O61" s="772"/>
      <c r="P61" s="804"/>
      <c r="Y61" s="796" t="s">
        <v>420</v>
      </c>
      <c r="Z61" s="772"/>
    </row>
    <row r="62" spans="4:29" x14ac:dyDescent="0.3">
      <c r="E62" s="805"/>
      <c r="M62" s="796"/>
      <c r="O62" s="772"/>
      <c r="P62" s="804"/>
      <c r="Y62" s="796" t="s">
        <v>421</v>
      </c>
      <c r="Z62" s="772"/>
    </row>
    <row r="63" spans="4:29" x14ac:dyDescent="0.3">
      <c r="E63" s="805"/>
      <c r="M63" s="796"/>
      <c r="O63" s="772"/>
      <c r="P63" s="804"/>
      <c r="Z63" s="772"/>
    </row>
    <row r="64" spans="4:29" x14ac:dyDescent="0.3">
      <c r="E64" s="805"/>
      <c r="O64" s="772"/>
      <c r="P64" s="804"/>
      <c r="Z64" s="772"/>
    </row>
    <row r="65" spans="5:27" x14ac:dyDescent="0.3">
      <c r="E65" s="805"/>
      <c r="O65" s="772"/>
      <c r="P65" s="804"/>
      <c r="Z65" s="772"/>
    </row>
    <row r="66" spans="5:27" x14ac:dyDescent="0.3">
      <c r="E66" s="805"/>
      <c r="O66" s="772"/>
      <c r="P66" s="804"/>
      <c r="Z66" s="772"/>
    </row>
    <row r="67" spans="5:27" x14ac:dyDescent="0.3">
      <c r="E67" s="805"/>
      <c r="O67" s="772"/>
      <c r="P67" s="804"/>
      <c r="Z67" s="772"/>
    </row>
    <row r="68" spans="5:27" x14ac:dyDescent="0.3">
      <c r="E68" s="805"/>
      <c r="O68" s="772"/>
      <c r="P68" s="804"/>
      <c r="Z68" s="772"/>
    </row>
    <row r="69" spans="5:27" x14ac:dyDescent="0.3">
      <c r="E69" s="805"/>
      <c r="O69" s="772"/>
      <c r="P69" s="804"/>
      <c r="Z69" s="772"/>
    </row>
    <row r="70" spans="5:27" x14ac:dyDescent="0.3">
      <c r="E70" s="805"/>
      <c r="O70" s="772"/>
      <c r="P70" s="804"/>
      <c r="Z70" s="772"/>
    </row>
    <row r="71" spans="5:27" x14ac:dyDescent="0.3">
      <c r="E71" s="805"/>
      <c r="O71" s="772"/>
      <c r="P71" s="804"/>
      <c r="Z71" s="772"/>
    </row>
    <row r="72" spans="5:27" x14ac:dyDescent="0.3">
      <c r="E72" s="805"/>
      <c r="O72" s="772"/>
      <c r="P72" s="804"/>
      <c r="Z72" s="772"/>
    </row>
    <row r="73" spans="5:27" x14ac:dyDescent="0.3">
      <c r="E73" s="805"/>
      <c r="O73" s="772"/>
      <c r="P73" s="804"/>
      <c r="Z73" s="772"/>
    </row>
    <row r="74" spans="5:27" x14ac:dyDescent="0.3">
      <c r="E74" s="805"/>
      <c r="O74" s="772"/>
      <c r="P74" s="804"/>
      <c r="Z74" s="772"/>
    </row>
    <row r="75" spans="5:27" x14ac:dyDescent="0.3">
      <c r="E75" s="805"/>
      <c r="O75" s="772"/>
      <c r="P75" s="804"/>
      <c r="Z75" s="772"/>
    </row>
    <row r="76" spans="5:27" x14ac:dyDescent="0.3">
      <c r="E76" s="805"/>
      <c r="O76" s="772"/>
      <c r="P76" s="804"/>
      <c r="Z76" s="772"/>
    </row>
    <row r="77" spans="5:27" x14ac:dyDescent="0.3">
      <c r="E77" s="805"/>
      <c r="O77" s="772"/>
      <c r="P77" s="804"/>
      <c r="Z77" s="772"/>
    </row>
    <row r="78" spans="5:27" x14ac:dyDescent="0.3">
      <c r="E78" s="805"/>
      <c r="O78" s="772"/>
      <c r="P78" s="804"/>
      <c r="Z78" s="772"/>
    </row>
    <row r="79" spans="5:27" x14ac:dyDescent="0.3">
      <c r="E79" s="805"/>
      <c r="O79" s="772"/>
      <c r="P79" s="804"/>
      <c r="AA79" s="805"/>
    </row>
    <row r="80" spans="5:27" x14ac:dyDescent="0.3">
      <c r="E80" s="805"/>
      <c r="O80" s="772"/>
      <c r="P80" s="804"/>
      <c r="AA80" s="805"/>
    </row>
    <row r="81" spans="5:27" x14ac:dyDescent="0.3">
      <c r="E81" s="805"/>
      <c r="O81" s="772"/>
      <c r="P81" s="804"/>
      <c r="Z81" s="772"/>
    </row>
    <row r="82" spans="5:27" x14ac:dyDescent="0.3">
      <c r="E82" s="809"/>
      <c r="O82" s="772"/>
      <c r="P82" s="804"/>
      <c r="Q82" s="805"/>
      <c r="Z82" s="772"/>
    </row>
    <row r="83" spans="5:27" x14ac:dyDescent="0.3">
      <c r="E83" s="809"/>
      <c r="O83" s="772"/>
      <c r="P83" s="804"/>
      <c r="Q83" s="805"/>
      <c r="Z83" s="772"/>
    </row>
    <row r="84" spans="5:27" x14ac:dyDescent="0.3">
      <c r="E84" s="809"/>
      <c r="O84" s="772"/>
      <c r="Q84" s="805"/>
      <c r="AA84" s="805"/>
    </row>
    <row r="85" spans="5:27" x14ac:dyDescent="0.3">
      <c r="E85" s="809"/>
      <c r="O85" s="772"/>
      <c r="P85" s="804"/>
      <c r="AA85" s="805"/>
    </row>
    <row r="86" spans="5:27" x14ac:dyDescent="0.3">
      <c r="E86" s="809"/>
      <c r="O86" s="772"/>
      <c r="P86" s="804"/>
      <c r="Z86" s="772"/>
    </row>
    <row r="87" spans="5:27" x14ac:dyDescent="0.3">
      <c r="E87" s="809"/>
      <c r="O87" s="772"/>
      <c r="P87" s="804"/>
      <c r="Z87" s="772"/>
    </row>
    <row r="88" spans="5:27" x14ac:dyDescent="0.3">
      <c r="E88" s="809"/>
      <c r="O88" s="772"/>
      <c r="P88" s="804"/>
      <c r="Z88" s="772"/>
    </row>
    <row r="89" spans="5:27" x14ac:dyDescent="0.3">
      <c r="E89" s="809"/>
      <c r="O89" s="772"/>
      <c r="P89" s="804"/>
      <c r="Z89" s="772"/>
    </row>
    <row r="90" spans="5:27" x14ac:dyDescent="0.3">
      <c r="E90" s="809"/>
      <c r="O90" s="772"/>
      <c r="P90" s="804"/>
      <c r="Z90" s="772"/>
    </row>
    <row r="91" spans="5:27" x14ac:dyDescent="0.3">
      <c r="E91" s="809"/>
      <c r="O91" s="772"/>
      <c r="P91" s="804"/>
      <c r="Z91" s="772"/>
    </row>
    <row r="92" spans="5:27" x14ac:dyDescent="0.3">
      <c r="E92" s="809"/>
      <c r="O92" s="772"/>
      <c r="P92" s="804"/>
      <c r="Z92" s="772"/>
    </row>
    <row r="93" spans="5:27" x14ac:dyDescent="0.3">
      <c r="E93" s="809"/>
      <c r="O93" s="772"/>
      <c r="P93" s="804"/>
      <c r="Z93" s="772"/>
    </row>
    <row r="94" spans="5:27" x14ac:dyDescent="0.3">
      <c r="E94" s="809"/>
      <c r="O94" s="772"/>
      <c r="P94" s="804"/>
      <c r="Z94" s="772"/>
    </row>
    <row r="95" spans="5:27" x14ac:dyDescent="0.3">
      <c r="E95" s="809"/>
      <c r="F95" s="802" t="s">
        <v>2756</v>
      </c>
      <c r="G95" s="773"/>
      <c r="H95" s="773"/>
      <c r="I95" s="773"/>
      <c r="J95" s="773"/>
      <c r="K95" s="773"/>
      <c r="L95" s="773"/>
      <c r="O95" s="772"/>
      <c r="P95" s="804"/>
      <c r="R95" s="802" t="s">
        <v>2767</v>
      </c>
      <c r="S95" s="773"/>
      <c r="T95" s="773"/>
      <c r="U95" s="773"/>
      <c r="V95" s="773"/>
      <c r="W95" s="773"/>
      <c r="X95" s="773"/>
      <c r="Z95" s="772"/>
    </row>
    <row r="96" spans="5:27" x14ac:dyDescent="0.3">
      <c r="E96" s="809"/>
      <c r="G96" s="796"/>
      <c r="H96" s="796"/>
      <c r="I96" s="796"/>
      <c r="J96" s="796"/>
      <c r="K96" s="796"/>
      <c r="L96" s="796"/>
      <c r="O96" s="772"/>
      <c r="P96" s="804"/>
      <c r="S96" s="796"/>
      <c r="T96" s="796"/>
      <c r="U96" s="796"/>
      <c r="V96" s="796"/>
      <c r="W96" s="796"/>
      <c r="X96" s="796"/>
      <c r="Z96" s="772"/>
    </row>
    <row r="97" spans="5:26" x14ac:dyDescent="0.3">
      <c r="E97" s="809"/>
      <c r="F97" s="968" t="s">
        <v>2757</v>
      </c>
      <c r="G97" s="969" t="s">
        <v>30</v>
      </c>
      <c r="H97" s="970" t="s">
        <v>31</v>
      </c>
      <c r="I97" s="970" t="s">
        <v>32</v>
      </c>
      <c r="J97" s="970" t="s">
        <v>33</v>
      </c>
      <c r="K97" s="970" t="s">
        <v>34</v>
      </c>
      <c r="L97" s="970" t="s">
        <v>35</v>
      </c>
      <c r="M97" s="971" t="s">
        <v>25</v>
      </c>
      <c r="O97" s="772"/>
      <c r="P97" s="804"/>
      <c r="R97" s="968" t="s">
        <v>2761</v>
      </c>
      <c r="S97" s="969" t="s">
        <v>30</v>
      </c>
      <c r="T97" s="970" t="s">
        <v>31</v>
      </c>
      <c r="U97" s="970" t="s">
        <v>32</v>
      </c>
      <c r="V97" s="970" t="s">
        <v>33</v>
      </c>
      <c r="W97" s="970" t="s">
        <v>34</v>
      </c>
      <c r="X97" s="970" t="s">
        <v>35</v>
      </c>
      <c r="Y97" s="971" t="s">
        <v>25</v>
      </c>
      <c r="Z97" s="772"/>
    </row>
    <row r="98" spans="5:26" x14ac:dyDescent="0.3">
      <c r="E98" s="809"/>
      <c r="F98" s="954" t="s">
        <v>2479</v>
      </c>
      <c r="G98" s="782">
        <f>SUMIFS(sommaire[RET_individus],sommaire[durée du déplacement pour la majorité des retournés présents dans la localité],$F98,sommaire[Département_nom],G$97)</f>
        <v>429</v>
      </c>
      <c r="H98" s="782">
        <f>SUMIFS(sommaire[RET_individus],sommaire[durée du déplacement pour la majorité des retournés présents dans la localité],$F98,sommaire[Département_nom],H$97)</f>
        <v>2668</v>
      </c>
      <c r="I98" s="782">
        <f>SUMIFS(sommaire[RET_individus],sommaire[durée du déplacement pour la majorité des retournés présents dans la localité],$F98,sommaire[Département_nom],I$97)</f>
        <v>0</v>
      </c>
      <c r="J98" s="782">
        <f>SUMIFS(sommaire[RET_individus],sommaire[durée du déplacement pour la majorité des retournés présents dans la localité],$F98,sommaire[Département_nom],J$97)</f>
        <v>6</v>
      </c>
      <c r="K98" s="782">
        <f>SUMIFS(sommaire[RET_individus],sommaire[durée du déplacement pour la majorité des retournés présents dans la localité],$F98,sommaire[Département_nom],K$97)</f>
        <v>2863</v>
      </c>
      <c r="L98" s="782">
        <f>SUMIFS(sommaire[RET_individus],sommaire[durée du déplacement pour la majorité des retournés présents dans la localité],$F98,sommaire[Département_nom],L$97)</f>
        <v>5852</v>
      </c>
      <c r="M98" s="976">
        <f>SUM(G98:L98)</f>
        <v>11818</v>
      </c>
      <c r="O98" s="772"/>
      <c r="P98" s="804"/>
      <c r="R98" s="954" t="s">
        <v>2762</v>
      </c>
      <c r="S98" s="782">
        <f>G98</f>
        <v>429</v>
      </c>
      <c r="T98" s="782">
        <f t="shared" ref="S98:X103" si="37">H98</f>
        <v>2668</v>
      </c>
      <c r="U98" s="782">
        <f t="shared" si="37"/>
        <v>0</v>
      </c>
      <c r="V98" s="782">
        <f t="shared" si="37"/>
        <v>6</v>
      </c>
      <c r="W98" s="782">
        <f t="shared" si="37"/>
        <v>2863</v>
      </c>
      <c r="X98" s="782">
        <f t="shared" si="37"/>
        <v>5852</v>
      </c>
      <c r="Y98" s="976">
        <f>SUM(S98:X98)</f>
        <v>11818</v>
      </c>
      <c r="Z98" s="772"/>
    </row>
    <row r="99" spans="5:26" x14ac:dyDescent="0.3">
      <c r="E99" s="809"/>
      <c r="F99" s="1098" t="s">
        <v>2758</v>
      </c>
      <c r="G99" s="786">
        <f>SUMIFS(sommaire[RET_individus],sommaire[durée du déplacement pour la majorité des retournés présents dans la localité],$F99,sommaire[Département_nom],G$97)</f>
        <v>0</v>
      </c>
      <c r="H99" s="786">
        <f>SUMIFS(sommaire[RET_individus],sommaire[durée du déplacement pour la majorité des retournés présents dans la localité],$F99,sommaire[Département_nom],H$97)</f>
        <v>23878</v>
      </c>
      <c r="I99" s="786">
        <f>SUMIFS(sommaire[RET_individus],sommaire[durée du déplacement pour la majorité des retournés présents dans la localité],$F99,sommaire[Département_nom],I$97)</f>
        <v>3624</v>
      </c>
      <c r="J99" s="786">
        <f>SUMIFS(sommaire[RET_individus],sommaire[durée du déplacement pour la majorité des retournés présents dans la localité],$F99,sommaire[Département_nom],J$97)</f>
        <v>101</v>
      </c>
      <c r="K99" s="786">
        <f>SUMIFS(sommaire[RET_individus],sommaire[durée du déplacement pour la majorité des retournés présents dans la localité],$F99,sommaire[Département_nom],K$97)</f>
        <v>28058</v>
      </c>
      <c r="L99" s="786">
        <f>SUMIFS(sommaire[RET_individus],sommaire[durée du déplacement pour la majorité des retournés présents dans la localité],$F99,sommaire[Département_nom],L$97)</f>
        <v>12330</v>
      </c>
      <c r="M99" s="1106">
        <f t="shared" ref="M99:M102" si="38">SUM(G99:L99)</f>
        <v>67991</v>
      </c>
      <c r="O99" s="772"/>
      <c r="P99" s="804"/>
      <c r="R99" s="1098" t="s">
        <v>2763</v>
      </c>
      <c r="S99" s="786">
        <f>G99</f>
        <v>0</v>
      </c>
      <c r="T99" s="786">
        <f t="shared" si="37"/>
        <v>23878</v>
      </c>
      <c r="U99" s="786">
        <f t="shared" si="37"/>
        <v>3624</v>
      </c>
      <c r="V99" s="786">
        <f t="shared" si="37"/>
        <v>101</v>
      </c>
      <c r="W99" s="786">
        <f t="shared" si="37"/>
        <v>28058</v>
      </c>
      <c r="X99" s="786">
        <f t="shared" si="37"/>
        <v>12330</v>
      </c>
      <c r="Y99" s="977">
        <f t="shared" ref="Y99:Y102" si="39">SUM(S99:X99)</f>
        <v>67991</v>
      </c>
      <c r="Z99" s="772"/>
    </row>
    <row r="100" spans="5:26" x14ac:dyDescent="0.3">
      <c r="E100" s="809"/>
      <c r="F100" s="954" t="s">
        <v>2759</v>
      </c>
      <c r="G100" s="782">
        <f>SUMIFS(sommaire[RET_individus],sommaire[durée du déplacement pour la majorité des retournés présents dans la localité],$F100,sommaire[Département_nom],G$97)</f>
        <v>0</v>
      </c>
      <c r="H100" s="782">
        <f>SUMIFS(sommaire[RET_individus],sommaire[durée du déplacement pour la majorité des retournés présents dans la localité],$F100,sommaire[Département_nom],H$97)</f>
        <v>27040</v>
      </c>
      <c r="I100" s="782">
        <f>SUMIFS(sommaire[RET_individus],sommaire[durée du déplacement pour la majorité des retournés présents dans la localité],$F100,sommaire[Département_nom],I$97)</f>
        <v>10918</v>
      </c>
      <c r="J100" s="782">
        <f>SUMIFS(sommaire[RET_individus],sommaire[durée du déplacement pour la majorité des retournés présents dans la localité],$F100,sommaire[Département_nom],J$97)</f>
        <v>41</v>
      </c>
      <c r="K100" s="782">
        <f>SUMIFS(sommaire[RET_individus],sommaire[durée du déplacement pour la majorité des retournés présents dans la localité],$F100,sommaire[Département_nom],K$97)</f>
        <v>1949</v>
      </c>
      <c r="L100" s="782">
        <f>SUMIFS(sommaire[RET_individus],sommaire[durée du déplacement pour la majorité des retournés présents dans la localité],$F100,sommaire[Département_nom],L$97)</f>
        <v>2237</v>
      </c>
      <c r="M100" s="976">
        <f t="shared" si="38"/>
        <v>42185</v>
      </c>
      <c r="O100" s="772"/>
      <c r="P100" s="804"/>
      <c r="R100" s="954" t="s">
        <v>2764</v>
      </c>
      <c r="S100" s="782">
        <f>G100</f>
        <v>0</v>
      </c>
      <c r="T100" s="782">
        <f t="shared" si="37"/>
        <v>27040</v>
      </c>
      <c r="U100" s="782">
        <f t="shared" si="37"/>
        <v>10918</v>
      </c>
      <c r="V100" s="782">
        <f t="shared" si="37"/>
        <v>41</v>
      </c>
      <c r="W100" s="782">
        <f t="shared" si="37"/>
        <v>1949</v>
      </c>
      <c r="X100" s="782">
        <f t="shared" si="37"/>
        <v>2237</v>
      </c>
      <c r="Y100" s="976">
        <f t="shared" si="39"/>
        <v>42185</v>
      </c>
      <c r="Z100" s="772"/>
    </row>
    <row r="101" spans="5:26" x14ac:dyDescent="0.3">
      <c r="E101" s="809"/>
      <c r="F101" s="1098" t="s">
        <v>2760</v>
      </c>
      <c r="G101" s="786">
        <f>SUMIFS(sommaire[RET_individus],sommaire[durée du déplacement pour la majorité des retournés présents dans la localité],$F101,sommaire[Département_nom],G$97)</f>
        <v>0</v>
      </c>
      <c r="H101" s="786">
        <f>SUMIFS(sommaire[RET_individus],sommaire[durée du déplacement pour la majorité des retournés présents dans la localité],$F101,sommaire[Département_nom],H$97)</f>
        <v>8455</v>
      </c>
      <c r="I101" s="786">
        <f>SUMIFS(sommaire[RET_individus],sommaire[durée du déplacement pour la majorité des retournés présents dans la localité],$F101,sommaire[Département_nom],I$97)</f>
        <v>71291</v>
      </c>
      <c r="J101" s="786">
        <f>SUMIFS(sommaire[RET_individus],sommaire[durée du déplacement pour la majorité des retournés présents dans la localité],$F101,sommaire[Département_nom],J$97)</f>
        <v>0</v>
      </c>
      <c r="K101" s="786">
        <f>SUMIFS(sommaire[RET_individus],sommaire[durée du déplacement pour la majorité des retournés présents dans la localité],$F101,sommaire[Département_nom],K$97)</f>
        <v>0</v>
      </c>
      <c r="L101" s="786">
        <f>SUMIFS(sommaire[RET_individus],sommaire[durée du déplacement pour la majorité des retournés présents dans la localité],$F101,sommaire[Département_nom],L$97)</f>
        <v>1367</v>
      </c>
      <c r="M101" s="1106">
        <f t="shared" si="38"/>
        <v>81113</v>
      </c>
      <c r="O101" s="772"/>
      <c r="P101" s="804"/>
      <c r="R101" s="1098" t="s">
        <v>2765</v>
      </c>
      <c r="S101" s="786">
        <f>G101</f>
        <v>0</v>
      </c>
      <c r="T101" s="786">
        <f t="shared" si="37"/>
        <v>8455</v>
      </c>
      <c r="U101" s="786">
        <f t="shared" si="37"/>
        <v>71291</v>
      </c>
      <c r="V101" s="786">
        <f t="shared" si="37"/>
        <v>0</v>
      </c>
      <c r="W101" s="786">
        <f t="shared" si="37"/>
        <v>0</v>
      </c>
      <c r="X101" s="786">
        <f t="shared" si="37"/>
        <v>1367</v>
      </c>
      <c r="Y101" s="977">
        <f t="shared" si="39"/>
        <v>81113</v>
      </c>
      <c r="Z101" s="772"/>
    </row>
    <row r="102" spans="5:26" x14ac:dyDescent="0.3">
      <c r="E102" s="809"/>
      <c r="F102" s="954" t="s">
        <v>2483</v>
      </c>
      <c r="G102" s="782">
        <f>SUMIFS(sommaire[RET_individus],sommaire[durée du déplacement pour la majorité des retournés présents dans la localité],$F102,sommaire[Département_nom],G$97)</f>
        <v>0</v>
      </c>
      <c r="H102" s="782">
        <f>SUMIFS(sommaire[RET_individus],sommaire[durée du déplacement pour la majorité des retournés présents dans la localité],$F102,sommaire[Département_nom],H$97)</f>
        <v>20</v>
      </c>
      <c r="I102" s="782">
        <f>SUMIFS(sommaire[RET_individus],sommaire[durée du déplacement pour la majorité des retournés présents dans la localité],$F102,sommaire[Département_nom],I$97)</f>
        <v>0</v>
      </c>
      <c r="J102" s="782">
        <f>SUMIFS(sommaire[RET_individus],sommaire[durée du déplacement pour la majorité des retournés présents dans la localité],$F102,sommaire[Département_nom],J$97)</f>
        <v>39</v>
      </c>
      <c r="K102" s="782">
        <f>SUMIFS(sommaire[RET_individus],sommaire[durée du déplacement pour la majorité des retournés présents dans la localité],$F102,sommaire[Département_nom],K$97)</f>
        <v>0</v>
      </c>
      <c r="L102" s="782">
        <f>SUMIFS(sommaire[RET_individus],sommaire[durée du déplacement pour la majorité des retournés présents dans la localité],$F102,sommaire[Département_nom],L$97)</f>
        <v>0</v>
      </c>
      <c r="M102" s="976">
        <f t="shared" si="38"/>
        <v>59</v>
      </c>
      <c r="O102" s="772"/>
      <c r="P102" s="804"/>
      <c r="R102" s="954" t="s">
        <v>2766</v>
      </c>
      <c r="S102" s="782">
        <f>G102</f>
        <v>0</v>
      </c>
      <c r="T102" s="782">
        <f t="shared" si="37"/>
        <v>20</v>
      </c>
      <c r="U102" s="782">
        <f t="shared" si="37"/>
        <v>0</v>
      </c>
      <c r="V102" s="782">
        <f t="shared" si="37"/>
        <v>39</v>
      </c>
      <c r="W102" s="782">
        <f t="shared" si="37"/>
        <v>0</v>
      </c>
      <c r="X102" s="782">
        <f t="shared" si="37"/>
        <v>0</v>
      </c>
      <c r="Y102" s="976">
        <f t="shared" si="39"/>
        <v>59</v>
      </c>
      <c r="Z102" s="772"/>
    </row>
    <row r="103" spans="5:26" x14ac:dyDescent="0.3">
      <c r="E103" s="809"/>
      <c r="F103" s="1099" t="s">
        <v>300</v>
      </c>
      <c r="G103" s="978">
        <f t="shared" ref="G103:M103" si="40">SUM(G98:G102)</f>
        <v>429</v>
      </c>
      <c r="H103" s="978">
        <f t="shared" si="40"/>
        <v>62061</v>
      </c>
      <c r="I103" s="978">
        <f t="shared" si="40"/>
        <v>85833</v>
      </c>
      <c r="J103" s="978">
        <f t="shared" si="40"/>
        <v>187</v>
      </c>
      <c r="K103" s="978">
        <f t="shared" si="40"/>
        <v>32870</v>
      </c>
      <c r="L103" s="978">
        <f t="shared" si="40"/>
        <v>21786</v>
      </c>
      <c r="M103" s="979">
        <f t="shared" si="40"/>
        <v>203166</v>
      </c>
      <c r="O103" s="772"/>
      <c r="P103" s="804"/>
      <c r="R103" s="1099" t="s">
        <v>300</v>
      </c>
      <c r="S103" s="978">
        <f t="shared" si="37"/>
        <v>429</v>
      </c>
      <c r="T103" s="978">
        <f t="shared" si="37"/>
        <v>62061</v>
      </c>
      <c r="U103" s="978">
        <f t="shared" si="37"/>
        <v>85833</v>
      </c>
      <c r="V103" s="978">
        <f t="shared" si="37"/>
        <v>187</v>
      </c>
      <c r="W103" s="978">
        <f t="shared" si="37"/>
        <v>32870</v>
      </c>
      <c r="X103" s="978">
        <f t="shared" si="37"/>
        <v>21786</v>
      </c>
      <c r="Y103" s="979">
        <f>SUM(Y98:Y102)</f>
        <v>203166</v>
      </c>
      <c r="Z103" s="772"/>
    </row>
    <row r="104" spans="5:26" x14ac:dyDescent="0.3">
      <c r="E104" s="809"/>
      <c r="O104" s="772"/>
      <c r="P104" s="804"/>
      <c r="Z104" s="772"/>
    </row>
    <row r="105" spans="5:26" x14ac:dyDescent="0.3">
      <c r="E105" s="809"/>
      <c r="O105" s="772"/>
      <c r="P105" s="804"/>
      <c r="Z105" s="772"/>
    </row>
    <row r="106" spans="5:26" x14ac:dyDescent="0.3">
      <c r="E106" s="809"/>
      <c r="F106" s="802" t="s">
        <v>2756</v>
      </c>
      <c r="G106" s="773"/>
      <c r="H106" s="773"/>
      <c r="I106" s="773"/>
      <c r="J106" s="773"/>
      <c r="K106" s="773"/>
      <c r="L106" s="773"/>
      <c r="O106" s="772"/>
      <c r="P106" s="804"/>
      <c r="R106" s="802" t="s">
        <v>2756</v>
      </c>
      <c r="S106" s="773"/>
      <c r="T106" s="773"/>
      <c r="U106" s="773"/>
      <c r="V106" s="773"/>
      <c r="W106" s="773"/>
      <c r="X106" s="773"/>
      <c r="Z106" s="772"/>
    </row>
    <row r="107" spans="5:26" x14ac:dyDescent="0.3">
      <c r="E107" s="809"/>
      <c r="G107" s="796"/>
      <c r="H107" s="796"/>
      <c r="I107" s="796"/>
      <c r="J107" s="796"/>
      <c r="K107" s="796"/>
      <c r="L107" s="796"/>
      <c r="O107" s="772"/>
      <c r="P107" s="804"/>
      <c r="S107" s="796"/>
      <c r="T107" s="796"/>
      <c r="U107" s="796"/>
      <c r="V107" s="796"/>
      <c r="W107" s="796"/>
      <c r="X107" s="796"/>
      <c r="Z107" s="772"/>
    </row>
    <row r="108" spans="5:26" x14ac:dyDescent="0.3">
      <c r="E108" s="809"/>
      <c r="F108" s="968" t="s">
        <v>2757</v>
      </c>
      <c r="G108" s="969" t="s">
        <v>30</v>
      </c>
      <c r="H108" s="970" t="s">
        <v>31</v>
      </c>
      <c r="I108" s="970" t="s">
        <v>32</v>
      </c>
      <c r="J108" s="970" t="s">
        <v>33</v>
      </c>
      <c r="K108" s="970" t="s">
        <v>34</v>
      </c>
      <c r="L108" s="970" t="s">
        <v>35</v>
      </c>
      <c r="M108" s="971" t="s">
        <v>25</v>
      </c>
      <c r="O108" s="772"/>
      <c r="P108" s="804"/>
      <c r="R108" s="968" t="s">
        <v>2761</v>
      </c>
      <c r="S108" s="969" t="s">
        <v>30</v>
      </c>
      <c r="T108" s="970" t="s">
        <v>31</v>
      </c>
      <c r="U108" s="970" t="s">
        <v>32</v>
      </c>
      <c r="V108" s="970" t="s">
        <v>33</v>
      </c>
      <c r="W108" s="970" t="s">
        <v>34</v>
      </c>
      <c r="X108" s="970" t="s">
        <v>35</v>
      </c>
      <c r="Y108" s="971" t="s">
        <v>25</v>
      </c>
      <c r="Z108" s="772"/>
    </row>
    <row r="109" spans="5:26" x14ac:dyDescent="0.3">
      <c r="E109" s="809"/>
      <c r="F109" s="954" t="s">
        <v>2479</v>
      </c>
      <c r="G109" s="1100">
        <f>G98/$G$103</f>
        <v>1</v>
      </c>
      <c r="H109" s="1100">
        <f>H98/$H$103</f>
        <v>4.2989961489502265E-2</v>
      </c>
      <c r="I109" s="1100">
        <f>I98/$I$103</f>
        <v>0</v>
      </c>
      <c r="J109" s="1100">
        <f>J98/$J$103</f>
        <v>3.2085561497326207E-2</v>
      </c>
      <c r="K109" s="1100">
        <f>K98/$K$103</f>
        <v>8.7100699726194095E-2</v>
      </c>
      <c r="L109" s="1100">
        <f>L98/$L$103</f>
        <v>0.26861287065087669</v>
      </c>
      <c r="M109" s="1101">
        <f>M98/$M$103</f>
        <v>5.8169181851294015E-2</v>
      </c>
      <c r="O109" s="772"/>
      <c r="P109" s="804"/>
      <c r="R109" s="954" t="s">
        <v>2762</v>
      </c>
      <c r="S109" s="1100">
        <f>G109</f>
        <v>1</v>
      </c>
      <c r="T109" s="1100">
        <f t="shared" ref="T109:Y113" si="41">H109</f>
        <v>4.2989961489502265E-2</v>
      </c>
      <c r="U109" s="1100">
        <f t="shared" si="41"/>
        <v>0</v>
      </c>
      <c r="V109" s="1100">
        <f t="shared" si="41"/>
        <v>3.2085561497326207E-2</v>
      </c>
      <c r="W109" s="1100">
        <f t="shared" si="41"/>
        <v>8.7100699726194095E-2</v>
      </c>
      <c r="X109" s="1100">
        <f t="shared" si="41"/>
        <v>0.26861287065087669</v>
      </c>
      <c r="Y109" s="1105">
        <f>M109</f>
        <v>5.8169181851294015E-2</v>
      </c>
      <c r="Z109" s="772"/>
    </row>
    <row r="110" spans="5:26" x14ac:dyDescent="0.3">
      <c r="E110" s="809"/>
      <c r="F110" s="1098" t="s">
        <v>2758</v>
      </c>
      <c r="G110" s="948">
        <f t="shared" ref="G110:G113" si="42">G99/$G$103</f>
        <v>0</v>
      </c>
      <c r="H110" s="948">
        <f t="shared" ref="H110:H113" si="43">H99/$H$103</f>
        <v>0.3847504874236638</v>
      </c>
      <c r="I110" s="948">
        <f t="shared" ref="I110:I113" si="44">I99/$I$103</f>
        <v>4.2221523190381319E-2</v>
      </c>
      <c r="J110" s="948">
        <f t="shared" ref="J110:J113" si="45">J99/$J$103</f>
        <v>0.5401069518716578</v>
      </c>
      <c r="K110" s="948">
        <f t="shared" ref="K110:K113" si="46">K99/$K$103</f>
        <v>0.85360511104350467</v>
      </c>
      <c r="L110" s="948">
        <f t="shared" ref="L110:L113" si="47">L99/$L$103</f>
        <v>0.56595979069126967</v>
      </c>
      <c r="M110" s="1102">
        <f t="shared" ref="M110:M113" si="48">M99/$M$103</f>
        <v>0.33465737377317073</v>
      </c>
      <c r="O110" s="772"/>
      <c r="P110" s="804"/>
      <c r="R110" s="1098" t="s">
        <v>2763</v>
      </c>
      <c r="S110" s="948">
        <f>G110</f>
        <v>0</v>
      </c>
      <c r="T110" s="948">
        <f t="shared" si="41"/>
        <v>0.3847504874236638</v>
      </c>
      <c r="U110" s="948">
        <f t="shared" si="41"/>
        <v>4.2221523190381319E-2</v>
      </c>
      <c r="V110" s="948">
        <f t="shared" si="41"/>
        <v>0.5401069518716578</v>
      </c>
      <c r="W110" s="948">
        <f t="shared" si="41"/>
        <v>0.85360511104350467</v>
      </c>
      <c r="X110" s="948">
        <f t="shared" si="41"/>
        <v>0.56595979069126967</v>
      </c>
      <c r="Y110" s="1102">
        <f t="shared" si="41"/>
        <v>0.33465737377317073</v>
      </c>
      <c r="Z110" s="772"/>
    </row>
    <row r="111" spans="5:26" x14ac:dyDescent="0.3">
      <c r="E111" s="809"/>
      <c r="F111" s="954" t="s">
        <v>2759</v>
      </c>
      <c r="G111" s="1100">
        <f t="shared" si="42"/>
        <v>0</v>
      </c>
      <c r="H111" s="1100">
        <f t="shared" si="43"/>
        <v>0.43570035932389101</v>
      </c>
      <c r="I111" s="1100">
        <f t="shared" si="44"/>
        <v>0.12720049398250091</v>
      </c>
      <c r="J111" s="1100">
        <f t="shared" si="45"/>
        <v>0.21925133689839571</v>
      </c>
      <c r="K111" s="1100">
        <f t="shared" si="46"/>
        <v>5.9294189230301185E-2</v>
      </c>
      <c r="L111" s="1100">
        <f t="shared" si="47"/>
        <v>0.10268062058202515</v>
      </c>
      <c r="M111" s="1101">
        <f t="shared" si="48"/>
        <v>0.20763808905033324</v>
      </c>
      <c r="O111" s="772"/>
      <c r="P111" s="804"/>
      <c r="R111" s="954" t="s">
        <v>2764</v>
      </c>
      <c r="S111" s="1100">
        <f>G111</f>
        <v>0</v>
      </c>
      <c r="T111" s="1100">
        <f t="shared" si="41"/>
        <v>0.43570035932389101</v>
      </c>
      <c r="U111" s="1100">
        <f t="shared" si="41"/>
        <v>0.12720049398250091</v>
      </c>
      <c r="V111" s="1100">
        <f t="shared" si="41"/>
        <v>0.21925133689839571</v>
      </c>
      <c r="W111" s="1100">
        <f t="shared" si="41"/>
        <v>5.9294189230301185E-2</v>
      </c>
      <c r="X111" s="1100">
        <f t="shared" si="41"/>
        <v>0.10268062058202515</v>
      </c>
      <c r="Y111" s="1105">
        <f t="shared" si="41"/>
        <v>0.20763808905033324</v>
      </c>
      <c r="Z111" s="772"/>
    </row>
    <row r="112" spans="5:26" x14ac:dyDescent="0.3">
      <c r="E112" s="809"/>
      <c r="F112" s="948" t="s">
        <v>2760</v>
      </c>
      <c r="G112" s="948">
        <f t="shared" si="42"/>
        <v>0</v>
      </c>
      <c r="H112" s="948">
        <f t="shared" si="43"/>
        <v>0.13623692818356134</v>
      </c>
      <c r="I112" s="948">
        <f t="shared" si="44"/>
        <v>0.83057798282711781</v>
      </c>
      <c r="J112" s="948">
        <f t="shared" si="45"/>
        <v>0</v>
      </c>
      <c r="K112" s="948">
        <f t="shared" si="46"/>
        <v>0</v>
      </c>
      <c r="L112" s="948">
        <f t="shared" si="47"/>
        <v>6.2746718075828517E-2</v>
      </c>
      <c r="M112" s="1102">
        <f t="shared" si="48"/>
        <v>0.39924495240345331</v>
      </c>
      <c r="O112" s="772"/>
      <c r="P112" s="804"/>
      <c r="R112" s="948" t="s">
        <v>2765</v>
      </c>
      <c r="S112" s="948">
        <f>G112</f>
        <v>0</v>
      </c>
      <c r="T112" s="948">
        <f t="shared" si="41"/>
        <v>0.13623692818356134</v>
      </c>
      <c r="U112" s="948">
        <f t="shared" si="41"/>
        <v>0.83057798282711781</v>
      </c>
      <c r="V112" s="948">
        <f t="shared" si="41"/>
        <v>0</v>
      </c>
      <c r="W112" s="948">
        <f t="shared" si="41"/>
        <v>0</v>
      </c>
      <c r="X112" s="948">
        <f t="shared" si="41"/>
        <v>6.2746718075828517E-2</v>
      </c>
      <c r="Y112" s="1102">
        <f t="shared" si="41"/>
        <v>0.39924495240345331</v>
      </c>
      <c r="Z112" s="772"/>
    </row>
    <row r="113" spans="5:26" x14ac:dyDescent="0.3">
      <c r="E113" s="809"/>
      <c r="F113" s="954" t="s">
        <v>2483</v>
      </c>
      <c r="G113" s="1100">
        <f t="shared" si="42"/>
        <v>0</v>
      </c>
      <c r="H113" s="1100">
        <f t="shared" si="43"/>
        <v>3.2226357938157618E-4</v>
      </c>
      <c r="I113" s="1100">
        <f t="shared" si="44"/>
        <v>0</v>
      </c>
      <c r="J113" s="1100">
        <f t="shared" si="45"/>
        <v>0.20855614973262032</v>
      </c>
      <c r="K113" s="1100">
        <f t="shared" si="46"/>
        <v>0</v>
      </c>
      <c r="L113" s="1100">
        <f t="shared" si="47"/>
        <v>0</v>
      </c>
      <c r="M113" s="1101">
        <f t="shared" si="48"/>
        <v>2.9040292174871781E-4</v>
      </c>
      <c r="O113" s="772"/>
      <c r="P113" s="804"/>
      <c r="R113" s="954" t="s">
        <v>2766</v>
      </c>
      <c r="S113" s="1100">
        <f>G113</f>
        <v>0</v>
      </c>
      <c r="T113" s="1100">
        <f t="shared" si="41"/>
        <v>3.2226357938157618E-4</v>
      </c>
      <c r="U113" s="1100">
        <f t="shared" si="41"/>
        <v>0</v>
      </c>
      <c r="V113" s="1100">
        <f t="shared" si="41"/>
        <v>0.20855614973262032</v>
      </c>
      <c r="W113" s="1100">
        <f t="shared" si="41"/>
        <v>0</v>
      </c>
      <c r="X113" s="1100">
        <f t="shared" si="41"/>
        <v>0</v>
      </c>
      <c r="Y113" s="1105">
        <f t="shared" si="41"/>
        <v>2.9040292174871781E-4</v>
      </c>
      <c r="Z113" s="772"/>
    </row>
    <row r="114" spans="5:26" x14ac:dyDescent="0.3">
      <c r="E114" s="809"/>
      <c r="F114" s="1099" t="s">
        <v>300</v>
      </c>
      <c r="G114" s="1103">
        <f t="shared" ref="G114:M114" si="49">SUM(G109:G113)</f>
        <v>1</v>
      </c>
      <c r="H114" s="1103">
        <f t="shared" si="49"/>
        <v>1</v>
      </c>
      <c r="I114" s="1103">
        <f t="shared" si="49"/>
        <v>1</v>
      </c>
      <c r="J114" s="1103">
        <f t="shared" si="49"/>
        <v>1</v>
      </c>
      <c r="K114" s="1103">
        <f t="shared" si="49"/>
        <v>0.99999999999999989</v>
      </c>
      <c r="L114" s="1103">
        <f t="shared" si="49"/>
        <v>1</v>
      </c>
      <c r="M114" s="1104">
        <f t="shared" si="49"/>
        <v>1</v>
      </c>
      <c r="O114" s="772"/>
      <c r="P114" s="804"/>
      <c r="R114" s="1099" t="s">
        <v>300</v>
      </c>
      <c r="S114" s="1103">
        <f t="shared" ref="S114:Y114" si="50">SUM(S109:S113)</f>
        <v>1</v>
      </c>
      <c r="T114" s="1103">
        <f t="shared" si="50"/>
        <v>1</v>
      </c>
      <c r="U114" s="1103">
        <f t="shared" si="50"/>
        <v>1</v>
      </c>
      <c r="V114" s="1103">
        <f t="shared" si="50"/>
        <v>1</v>
      </c>
      <c r="W114" s="1103">
        <f t="shared" si="50"/>
        <v>0.99999999999999989</v>
      </c>
      <c r="X114" s="1103">
        <f t="shared" si="50"/>
        <v>1</v>
      </c>
      <c r="Y114" s="1104">
        <f t="shared" si="50"/>
        <v>1</v>
      </c>
      <c r="Z114" s="772"/>
    </row>
    <row r="115" spans="5:26" x14ac:dyDescent="0.3">
      <c r="E115" s="809"/>
      <c r="O115" s="772"/>
      <c r="P115" s="804"/>
      <c r="Z115" s="772"/>
    </row>
    <row r="116" spans="5:26" x14ac:dyDescent="0.3">
      <c r="E116" s="809"/>
      <c r="O116" s="772"/>
      <c r="P116" s="804"/>
      <c r="Z116" s="772"/>
    </row>
    <row r="117" spans="5:26" x14ac:dyDescent="0.3">
      <c r="E117" s="809"/>
      <c r="O117" s="772"/>
      <c r="P117" s="804"/>
      <c r="Z117" s="772"/>
    </row>
    <row r="118" spans="5:26" x14ac:dyDescent="0.3">
      <c r="E118" s="809"/>
      <c r="O118" s="772"/>
      <c r="P118" s="804"/>
      <c r="Z118" s="772"/>
    </row>
    <row r="119" spans="5:26" x14ac:dyDescent="0.3">
      <c r="E119" s="809"/>
      <c r="O119" s="772"/>
      <c r="P119" s="804"/>
      <c r="Z119" s="772"/>
    </row>
    <row r="120" spans="5:26" x14ac:dyDescent="0.3">
      <c r="E120" s="809"/>
      <c r="O120" s="772"/>
      <c r="P120" s="804"/>
      <c r="Z120" s="772"/>
    </row>
    <row r="121" spans="5:26" x14ac:dyDescent="0.3">
      <c r="E121" s="809"/>
      <c r="O121" s="772"/>
      <c r="P121" s="804"/>
      <c r="Z121" s="772"/>
    </row>
    <row r="122" spans="5:26" x14ac:dyDescent="0.3">
      <c r="E122" s="809"/>
      <c r="O122" s="772"/>
      <c r="P122" s="804"/>
      <c r="Z122" s="772"/>
    </row>
    <row r="123" spans="5:26" x14ac:dyDescent="0.3">
      <c r="E123" s="809"/>
      <c r="O123" s="772"/>
      <c r="P123" s="804"/>
      <c r="Z123" s="772"/>
    </row>
    <row r="124" spans="5:26" x14ac:dyDescent="0.3">
      <c r="E124" s="809"/>
      <c r="O124" s="772"/>
      <c r="P124" s="804"/>
      <c r="Z124" s="772"/>
    </row>
    <row r="125" spans="5:26" x14ac:dyDescent="0.3">
      <c r="E125" s="809"/>
      <c r="O125" s="772"/>
      <c r="P125" s="804"/>
      <c r="Z125" s="772"/>
    </row>
    <row r="126" spans="5:26" x14ac:dyDescent="0.3">
      <c r="E126" s="809"/>
      <c r="O126" s="772"/>
      <c r="P126" s="804"/>
      <c r="Z126" s="772"/>
    </row>
    <row r="127" spans="5:26" x14ac:dyDescent="0.3">
      <c r="E127" s="809"/>
      <c r="O127" s="772"/>
      <c r="P127" s="804"/>
      <c r="Z127" s="772"/>
    </row>
    <row r="128" spans="5:26" x14ac:dyDescent="0.3">
      <c r="E128" s="809"/>
      <c r="O128" s="772"/>
      <c r="P128" s="804"/>
      <c r="Z128" s="772"/>
    </row>
    <row r="129" spans="5:27" x14ac:dyDescent="0.3">
      <c r="E129" s="809"/>
      <c r="O129" s="772"/>
      <c r="P129" s="804"/>
      <c r="Z129" s="772"/>
    </row>
    <row r="130" spans="5:27" x14ac:dyDescent="0.3">
      <c r="E130" s="809"/>
      <c r="O130" s="772"/>
      <c r="P130" s="804"/>
      <c r="Z130" s="772"/>
    </row>
    <row r="131" spans="5:27" x14ac:dyDescent="0.3">
      <c r="E131" s="809"/>
      <c r="O131" s="772"/>
      <c r="P131" s="804"/>
      <c r="Z131" s="772"/>
    </row>
    <row r="132" spans="5:27" x14ac:dyDescent="0.3">
      <c r="E132" s="809"/>
      <c r="O132" s="772"/>
      <c r="P132" s="804"/>
      <c r="Z132" s="772"/>
    </row>
    <row r="133" spans="5:27" x14ac:dyDescent="0.3">
      <c r="E133" s="809"/>
      <c r="O133" s="772"/>
      <c r="P133" s="804"/>
      <c r="Z133" s="772"/>
    </row>
    <row r="134" spans="5:27" x14ac:dyDescent="0.3">
      <c r="E134" s="809"/>
      <c r="O134" s="772"/>
      <c r="P134" s="804"/>
      <c r="Z134" s="772"/>
    </row>
    <row r="135" spans="5:27" x14ac:dyDescent="0.3">
      <c r="E135" s="809"/>
      <c r="O135" s="772"/>
      <c r="P135" s="804"/>
      <c r="Z135" s="772"/>
    </row>
    <row r="136" spans="5:27" x14ac:dyDescent="0.3">
      <c r="E136" s="809"/>
      <c r="O136" s="772"/>
      <c r="P136" s="804"/>
      <c r="Z136" s="772"/>
    </row>
    <row r="137" spans="5:27" x14ac:dyDescent="0.3">
      <c r="E137" s="809"/>
      <c r="O137" s="772"/>
      <c r="P137" s="804"/>
      <c r="Z137" s="772"/>
    </row>
    <row r="138" spans="5:27" x14ac:dyDescent="0.3">
      <c r="E138" s="809"/>
      <c r="O138" s="772"/>
      <c r="P138" s="804"/>
      <c r="Z138" s="772"/>
    </row>
    <row r="139" spans="5:27" x14ac:dyDescent="0.3">
      <c r="E139" s="809"/>
      <c r="O139" s="772"/>
      <c r="P139" s="804"/>
      <c r="Z139" s="772"/>
    </row>
    <row r="140" spans="5:27" x14ac:dyDescent="0.3">
      <c r="E140" s="809"/>
      <c r="O140" s="772"/>
      <c r="P140" s="804"/>
      <c r="Z140" s="772"/>
    </row>
    <row r="141" spans="5:27" x14ac:dyDescent="0.3">
      <c r="E141" s="809"/>
      <c r="O141" s="772"/>
      <c r="P141" s="804"/>
      <c r="Z141" s="772"/>
    </row>
    <row r="142" spans="5:27" x14ac:dyDescent="0.3">
      <c r="E142" s="809"/>
      <c r="O142" s="772"/>
      <c r="P142" s="804"/>
      <c r="AA142" s="805"/>
    </row>
    <row r="143" spans="5:27" ht="15" thickBot="1" x14ac:dyDescent="0.35">
      <c r="E143" s="810"/>
      <c r="F143" s="807"/>
      <c r="G143" s="807"/>
      <c r="H143" s="807"/>
      <c r="I143" s="807"/>
      <c r="J143" s="807"/>
      <c r="K143" s="807"/>
      <c r="L143" s="807"/>
      <c r="M143" s="807"/>
      <c r="N143" s="807"/>
      <c r="O143" s="808"/>
      <c r="P143" s="804"/>
      <c r="Q143" s="806"/>
      <c r="R143" s="807"/>
      <c r="S143" s="807"/>
      <c r="T143" s="807"/>
      <c r="U143" s="807"/>
      <c r="V143" s="807"/>
      <c r="W143" s="807"/>
      <c r="X143" s="807"/>
      <c r="Y143" s="807"/>
      <c r="Z143" s="808"/>
    </row>
  </sheetData>
  <mergeCells count="2">
    <mergeCell ref="E1:O1"/>
    <mergeCell ref="Q1:Z1"/>
  </mergeCells>
  <phoneticPr fontId="51" type="noConversion"/>
  <pageMargins left="0.7" right="0.7" top="0.75" bottom="0.75" header="0.3" footer="0.3"/>
  <pageSetup paperSize="9"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6768-05D4-4FE1-A134-FCBE9A9FC1C2}">
  <sheetPr>
    <tabColor theme="8" tint="-0.249977111117893"/>
  </sheetPr>
  <dimension ref="A1:AM98"/>
  <sheetViews>
    <sheetView showGridLines="0" zoomScale="110" zoomScaleNormal="110" workbookViewId="0">
      <selection activeCell="L21" sqref="L21"/>
    </sheetView>
  </sheetViews>
  <sheetFormatPr defaultColWidth="11.5546875" defaultRowHeight="14.4" x14ac:dyDescent="0.3"/>
  <cols>
    <col min="1" max="1" width="4.21875" style="498" customWidth="1"/>
    <col min="2" max="2" width="19.21875" style="498" customWidth="1"/>
    <col min="3" max="9" width="17.5546875" style="498" customWidth="1"/>
    <col min="10" max="10" width="11.5546875" style="498"/>
    <col min="11" max="11" width="13.6640625" style="498" customWidth="1"/>
    <col min="12" max="12" width="14.21875" style="498" customWidth="1"/>
    <col min="13" max="13" width="11.5546875" style="498"/>
    <col min="14" max="14" width="4.21875" style="498" customWidth="1"/>
    <col min="15" max="15" width="3.44140625" style="498" customWidth="1"/>
    <col min="16" max="16" width="4.21875" style="498" customWidth="1"/>
    <col min="17" max="17" width="18.44140625" style="498" customWidth="1"/>
    <col min="18" max="18" width="17" style="498" customWidth="1"/>
    <col min="19" max="19" width="16.77734375" style="498" customWidth="1"/>
    <col min="20" max="23" width="13.44140625" style="498" customWidth="1"/>
    <col min="24" max="24" width="15.77734375" style="498" customWidth="1"/>
    <col min="25" max="26" width="13.44140625" style="498" customWidth="1"/>
    <col min="27" max="28" width="16.21875" style="498" customWidth="1"/>
    <col min="29" max="31" width="13.44140625" style="498" customWidth="1"/>
    <col min="32" max="32" width="11.5546875" style="498"/>
    <col min="33" max="33" width="9" style="498" customWidth="1"/>
    <col min="34" max="34" width="11.5546875" style="498"/>
    <col min="35" max="35" width="5.21875" style="498" customWidth="1"/>
    <col min="36" max="16384" width="11.5546875" style="498"/>
  </cols>
  <sheetData>
    <row r="1" spans="1:35" ht="15" thickBot="1" x14ac:dyDescent="0.35"/>
    <row r="2" spans="1:35" ht="15" thickBot="1" x14ac:dyDescent="0.35">
      <c r="A2" s="513"/>
      <c r="B2" s="514"/>
      <c r="C2" s="514"/>
      <c r="D2" s="514"/>
      <c r="E2" s="514"/>
      <c r="F2" s="514"/>
      <c r="G2" s="514"/>
      <c r="H2" s="514"/>
      <c r="I2" s="514"/>
      <c r="J2" s="514"/>
      <c r="K2" s="514"/>
      <c r="L2" s="514"/>
      <c r="M2" s="514"/>
      <c r="N2" s="515"/>
      <c r="P2" s="513"/>
      <c r="Q2" s="514"/>
      <c r="R2" s="514"/>
      <c r="S2" s="514"/>
      <c r="T2" s="514"/>
      <c r="U2" s="514"/>
      <c r="V2" s="514"/>
      <c r="W2" s="514"/>
      <c r="X2" s="514"/>
      <c r="Y2" s="514"/>
      <c r="Z2" s="514"/>
      <c r="AA2" s="514"/>
      <c r="AB2" s="514"/>
      <c r="AC2" s="514"/>
      <c r="AD2" s="514"/>
      <c r="AE2" s="514"/>
      <c r="AF2" s="514"/>
      <c r="AG2" s="514"/>
      <c r="AH2" s="514"/>
      <c r="AI2" s="515"/>
    </row>
    <row r="3" spans="1:35" ht="22.5" customHeight="1" thickBot="1" x14ac:dyDescent="0.35">
      <c r="A3" s="516"/>
      <c r="B3" s="1360" t="s">
        <v>422</v>
      </c>
      <c r="C3" s="1361"/>
      <c r="D3" s="1361"/>
      <c r="E3" s="1361"/>
      <c r="F3" s="1362"/>
      <c r="G3" s="1360" t="s">
        <v>423</v>
      </c>
      <c r="H3" s="1361"/>
      <c r="I3" s="1361"/>
      <c r="J3" s="1361"/>
      <c r="K3" s="1361"/>
      <c r="L3" s="1361"/>
      <c r="M3" s="1362"/>
      <c r="N3" s="493"/>
      <c r="P3" s="516"/>
      <c r="Q3" s="1357" t="s">
        <v>424</v>
      </c>
      <c r="R3" s="1358"/>
      <c r="S3" s="1358"/>
      <c r="T3" s="1358"/>
      <c r="U3" s="1358"/>
      <c r="V3" s="1358"/>
      <c r="W3" s="1358"/>
      <c r="X3" s="1358"/>
      <c r="Y3" s="1359"/>
      <c r="Z3" s="1357" t="s">
        <v>29</v>
      </c>
      <c r="AA3" s="1358"/>
      <c r="AB3" s="1358"/>
      <c r="AC3" s="1358"/>
      <c r="AD3" s="1358"/>
      <c r="AE3" s="1358"/>
      <c r="AF3" s="1358"/>
      <c r="AG3" s="1358"/>
      <c r="AH3" s="1359"/>
      <c r="AI3" s="493"/>
    </row>
    <row r="4" spans="1:35" x14ac:dyDescent="0.3">
      <c r="A4" s="516"/>
      <c r="N4" s="493"/>
      <c r="P4" s="516"/>
      <c r="AI4" s="493"/>
    </row>
    <row r="5" spans="1:35" ht="18" x14ac:dyDescent="0.3">
      <c r="A5" s="516"/>
      <c r="B5" s="1364" t="s">
        <v>425</v>
      </c>
      <c r="C5" s="1364"/>
      <c r="D5" s="1364"/>
      <c r="E5" s="517"/>
      <c r="F5" s="517"/>
      <c r="G5" s="517"/>
      <c r="H5" s="1364" t="s">
        <v>426</v>
      </c>
      <c r="I5" s="1364"/>
      <c r="J5" s="1364"/>
      <c r="N5" s="493"/>
      <c r="P5" s="516"/>
      <c r="Q5" s="1363" t="s">
        <v>425</v>
      </c>
      <c r="R5" s="1363"/>
      <c r="S5" s="1363"/>
      <c r="T5" s="517"/>
      <c r="U5" s="1363" t="s">
        <v>426</v>
      </c>
      <c r="V5" s="1363"/>
      <c r="W5" s="1363"/>
      <c r="AA5" s="1096">
        <f>SUM(R9,S10,T11,U13,U12,V13,W14)</f>
        <v>179229</v>
      </c>
      <c r="AI5" s="493"/>
    </row>
    <row r="6" spans="1:35" ht="18" x14ac:dyDescent="0.3">
      <c r="A6" s="516"/>
      <c r="B6" s="517"/>
      <c r="C6" s="517"/>
      <c r="D6" s="517"/>
      <c r="E6" s="517"/>
      <c r="F6" s="517"/>
      <c r="G6" s="517"/>
      <c r="H6" s="517"/>
      <c r="I6" s="517"/>
      <c r="N6" s="493"/>
      <c r="P6" s="516"/>
      <c r="Q6" s="517"/>
      <c r="R6" s="517"/>
      <c r="S6" s="517"/>
      <c r="T6" s="517"/>
      <c r="U6" s="517"/>
      <c r="V6" s="517"/>
      <c r="W6" s="517"/>
      <c r="X6" s="517"/>
      <c r="AA6" s="1097">
        <f>AA5/Tableau59140[[#Totals],[Total]]</f>
        <v>0.96329639144782808</v>
      </c>
      <c r="AB6" s="1363" t="s">
        <v>427</v>
      </c>
      <c r="AC6" s="1363"/>
      <c r="AD6" s="1363"/>
      <c r="AE6" s="517"/>
      <c r="AF6" s="1363" t="s">
        <v>428</v>
      </c>
      <c r="AG6" s="1363"/>
      <c r="AH6" s="1363"/>
      <c r="AI6" s="1363"/>
    </row>
    <row r="7" spans="1:35" x14ac:dyDescent="0.3">
      <c r="A7" s="516"/>
      <c r="B7" s="1369" t="s">
        <v>228</v>
      </c>
      <c r="C7" s="1370"/>
      <c r="D7" s="1370"/>
      <c r="E7" s="1370"/>
      <c r="F7" s="1370"/>
      <c r="G7" s="1370"/>
      <c r="H7" s="1370"/>
      <c r="I7" s="1371"/>
      <c r="K7" s="1372" t="s">
        <v>263</v>
      </c>
      <c r="L7" s="1373"/>
      <c r="N7" s="493"/>
      <c r="P7" s="516"/>
      <c r="R7" s="1365" t="s">
        <v>429</v>
      </c>
      <c r="S7" s="1366"/>
      <c r="T7" s="1366"/>
      <c r="U7" s="1366"/>
      <c r="V7" s="1366"/>
      <c r="W7" s="1367"/>
      <c r="X7" s="520" t="s">
        <v>263</v>
      </c>
      <c r="Y7" s="519"/>
      <c r="AB7" s="517"/>
      <c r="AC7" s="517"/>
      <c r="AD7" s="517"/>
      <c r="AE7" s="517"/>
      <c r="AF7" s="517"/>
      <c r="AI7" s="493"/>
    </row>
    <row r="8" spans="1:35" x14ac:dyDescent="0.3">
      <c r="A8" s="516"/>
      <c r="B8" s="530" t="s">
        <v>48</v>
      </c>
      <c r="C8" s="545" t="s">
        <v>30</v>
      </c>
      <c r="D8" s="545" t="s">
        <v>31</v>
      </c>
      <c r="E8" s="545" t="s">
        <v>32</v>
      </c>
      <c r="F8" s="545" t="s">
        <v>33</v>
      </c>
      <c r="G8" s="545" t="s">
        <v>34</v>
      </c>
      <c r="H8" s="545" t="s">
        <v>35</v>
      </c>
      <c r="I8" s="532" t="s">
        <v>25</v>
      </c>
      <c r="K8" s="1236" t="s">
        <v>48</v>
      </c>
      <c r="L8" s="1237" t="s">
        <v>30</v>
      </c>
      <c r="N8" s="493"/>
      <c r="P8" s="516"/>
      <c r="Q8" s="521" t="s">
        <v>48</v>
      </c>
      <c r="R8" s="521" t="s">
        <v>30</v>
      </c>
      <c r="S8" s="521" t="s">
        <v>31</v>
      </c>
      <c r="T8" s="521" t="s">
        <v>32</v>
      </c>
      <c r="U8" s="521" t="s">
        <v>33</v>
      </c>
      <c r="V8" s="521" t="s">
        <v>34</v>
      </c>
      <c r="W8" s="521" t="s">
        <v>35</v>
      </c>
      <c r="X8" s="521" t="s">
        <v>263</v>
      </c>
      <c r="Y8" s="521" t="s">
        <v>25</v>
      </c>
      <c r="Z8" s="521" t="s">
        <v>3039</v>
      </c>
      <c r="AB8" s="521" t="s">
        <v>48</v>
      </c>
      <c r="AC8" s="522" t="s">
        <v>255</v>
      </c>
      <c r="AD8" s="522" t="s">
        <v>242</v>
      </c>
      <c r="AE8" s="522" t="s">
        <v>243</v>
      </c>
      <c r="AF8" s="522" t="s">
        <v>430</v>
      </c>
      <c r="AG8" s="522" t="s">
        <v>25</v>
      </c>
      <c r="AI8" s="493"/>
    </row>
    <row r="9" spans="1:35" x14ac:dyDescent="0.3">
      <c r="A9" s="516"/>
      <c r="B9" s="533" t="s">
        <v>30</v>
      </c>
      <c r="C9" s="573">
        <f>SUMIFS(DisplacementP[Individus],DisplacementP[Statut déplacé],"idp",DisplacementP[adm2_name],'Displacement Between Admin3'!$B9, DisplacementP[provenance_adm2_nom],'Displacement Between Admin3'!$C$8)</f>
        <v>171</v>
      </c>
      <c r="D9" s="571">
        <f>SUMIFS(DisplacementP[Individus],DisplacementP[Statut déplacé],"idp",DisplacementP[adm2_name],'Displacement Between Admin3'!$B9, DisplacementP[provenance_adm2_nom],'Displacement Between Admin3'!$D$8)</f>
        <v>246</v>
      </c>
      <c r="E9" s="571">
        <f>SUMIFS(DisplacementP[Individus],DisplacementP[Statut déplacé],"idp",DisplacementP[adm2_name],'Displacement Between Admin3'!$B9, DisplacementP[provenance_adm2_nom],'Displacement Between Admin3'!$E$8)</f>
        <v>5627</v>
      </c>
      <c r="F9" s="571">
        <f>SUMIFS(DisplacementP[Individus],DisplacementP[Statut déplacé],"idp",DisplacementP[adm2_name],'Displacement Between Admin3'!$B9, DisplacementP[provenance_adm2_nom],'Displacement Between Admin3'!$F$8)</f>
        <v>0</v>
      </c>
      <c r="G9" s="571">
        <f>SUMIFS(DisplacementP[Individus],DisplacementP[Statut déplacé],"idp",DisplacementP[adm2_name],'Displacement Between Admin3'!$B9, DisplacementP[provenance_adm2_nom],'Displacement Between Admin3'!$G$8)</f>
        <v>6464</v>
      </c>
      <c r="H9" s="571">
        <f>SUMIFS(DisplacementP[Individus],DisplacementP[Statut déplacé],"idp",DisplacementP[adm2_name],'Displacement Between Admin3'!$B9, DisplacementP[provenance_adm2_nom],'Displacement Between Admin3'!$H$8)</f>
        <v>34</v>
      </c>
      <c r="I9" s="1234">
        <f t="shared" ref="I9:I14" si="0">SUM(C9:H9)</f>
        <v>12542</v>
      </c>
      <c r="K9" s="1231" t="s">
        <v>30</v>
      </c>
      <c r="L9" s="1238">
        <f>SUMIFS(DisplacementP[Individus],DisplacementP[adm2_name],$K9,DisplacementP[Statut déplacé],"idp",DisplacementP[provenance],"Autre région")</f>
        <v>0</v>
      </c>
      <c r="N9" s="493"/>
      <c r="P9" s="516"/>
      <c r="Q9" s="518" t="s">
        <v>30</v>
      </c>
      <c r="R9" s="573">
        <f>SUMIFS(DisplacementP[Individus],DisplacementP[adm2_name],Tableau59140[[#This Row],[Départements]],DisplacementP[Statut déplacé],"returnee",DisplacementP[provenance_adm2_nom],Tableau59140[[#Headers],[Diamaré]])</f>
        <v>0</v>
      </c>
      <c r="S9" s="571">
        <f>SUMIFS(DisplacementP[Individus],DisplacementP[adm2_name],Tableau59140[[#This Row],[Départements]],DisplacementP[Statut déplacé],"returnee",DisplacementP[provenance_adm2_nom],Tableau59140[[#Headers],[Logone-Et-Chari]])</f>
        <v>0</v>
      </c>
      <c r="T9" s="571">
        <f>SUMIFS(DisplacementP[Individus],DisplacementP[adm2_name],Tableau59140[[#This Row],[Départements]],DisplacementP[Statut déplacé],"returnee",DisplacementP[provenance_adm2_nom],Tableau59140[[#Headers],[Mayo-Danay]])</f>
        <v>0</v>
      </c>
      <c r="U9" s="571">
        <f>SUMIFS(DisplacementP[Individus],DisplacementP[adm2_name],Tableau59140[[#This Row],[Départements]],DisplacementP[Statut déplacé],"returnee",DisplacementP[provenance_adm2_nom],Tableau59140[[#Headers],[Mayo-Kani]])</f>
        <v>0</v>
      </c>
      <c r="V9" s="571">
        <f>SUMIFS(DisplacementP[Individus],DisplacementP[adm2_name],Tableau59140[[#This Row],[Départements]],DisplacementP[Statut déplacé],"returnee",DisplacementP[provenance_adm2_nom],Tableau59140[[#Headers],[Mayo-Sava]])</f>
        <v>39</v>
      </c>
      <c r="W9" s="571">
        <f>SUMIFS(DisplacementP[Individus],DisplacementP[adm2_name],Tableau59140[[#This Row],[Départements]],DisplacementP[Statut déplacé],"returnee",DisplacementP[provenance_adm2_nom],Tableau59140[[#Headers],[Mayo-Tsanaga]])</f>
        <v>0</v>
      </c>
      <c r="X9" s="518">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9" s="518">
        <f>SUM(Tableau59140[[#This Row],[Diamaré]:[Autres Régions]])</f>
        <v>39</v>
      </c>
      <c r="Z9" s="518"/>
      <c r="AB9" s="518" t="s">
        <v>30</v>
      </c>
      <c r="AC9" s="518">
        <f>SUMIFS(DisplacementP[Individus],DisplacementP[Statut déplacé],"returnee",DisplacementP[adm2_name],Tableau58142[[#This Row],[Départements]],DisplacementP[provenance_adm0],"CMR")</f>
        <v>39</v>
      </c>
      <c r="AD9" s="518">
        <f>SUMIFS(DisplacementP[Individus],DisplacementP[Statut déplacé],"returnee",DisplacementP[adm2_name],Tableau58142[[#This Row],[Départements]],DisplacementP[provenance_adm0],"NGA")</f>
        <v>0</v>
      </c>
      <c r="AE9" s="518">
        <f>SUMIFS(DisplacementP[Individus],DisplacementP[Statut déplacé],"returnee",DisplacementP[adm2_name],Tableau58142[[#This Row],[Départements]],DisplacementP[provenance_adm0],"TCD")</f>
        <v>0</v>
      </c>
      <c r="AF9" s="518">
        <f>SUMIFS(DisplacementP[Individus],DisplacementP[Statut déplacé],"returnee",DisplacementP[adm2_name],Tableau58142[[#This Row],[Départements]],DisplacementP[provenance_adm0],"CAR")</f>
        <v>390</v>
      </c>
      <c r="AG9" s="518">
        <f>SUM(Tableau58142[[#This Row],[Cameroun]:[Centrafrique]])</f>
        <v>429</v>
      </c>
      <c r="AI9" s="493"/>
    </row>
    <row r="10" spans="1:35" x14ac:dyDescent="0.3">
      <c r="A10" s="516"/>
      <c r="B10" s="536" t="s">
        <v>31</v>
      </c>
      <c r="C10" s="811">
        <f>SUMIFS(DisplacementP[Individus],DisplacementP[Statut déplacé],"idp",DisplacementP[adm2_name],'Displacement Between Admin3'!$B10, DisplacementP[provenance_adm2_nom],'Displacement Between Admin3'!$C$8)</f>
        <v>0</v>
      </c>
      <c r="D10" s="573">
        <f>SUMIFS(DisplacementP[Individus],DisplacementP[Statut déplacé],"idp",DisplacementP[adm2_name],'Displacement Between Admin3'!$B10, DisplacementP[provenance_adm2_nom],'Displacement Between Admin3'!$D$8)</f>
        <v>161366</v>
      </c>
      <c r="E10" s="811">
        <f>SUMIFS(DisplacementP[Individus],DisplacementP[Statut déplacé],"idp",DisplacementP[adm2_name],'Displacement Between Admin3'!$B10, DisplacementP[provenance_adm2_nom],'Displacement Between Admin3'!$E$8)</f>
        <v>326</v>
      </c>
      <c r="F10" s="811">
        <f>SUMIFS(DisplacementP[Individus],DisplacementP[Statut déplacé],"idp",DisplacementP[adm2_name],'Displacement Between Admin3'!$B10, DisplacementP[provenance_adm2_nom],'Displacement Between Admin3'!$F$8)</f>
        <v>0</v>
      </c>
      <c r="G10" s="811">
        <f>SUMIFS(DisplacementP[Individus],DisplacementP[Statut déplacé],"idp",DisplacementP[adm2_name],'Displacement Between Admin3'!$B10, DisplacementP[provenance_adm2_nom],'Displacement Between Admin3'!$G$8)</f>
        <v>328</v>
      </c>
      <c r="H10" s="811">
        <f>SUMIFS(DisplacementP[Individus],DisplacementP[Statut déplacé],"idp",DisplacementP[adm2_name],'Displacement Between Admin3'!$B10, DisplacementP[provenance_adm2_nom],'Displacement Between Admin3'!$H$8)</f>
        <v>0</v>
      </c>
      <c r="I10" s="1235">
        <f t="shared" si="0"/>
        <v>162020</v>
      </c>
      <c r="K10" s="1232" t="s">
        <v>31</v>
      </c>
      <c r="L10" s="1239">
        <f>SUMIFS(DisplacementP[Individus],DisplacementP[adm2_name],$K10,DisplacementP[Statut déplacé],"idp",DisplacementP[provenance],"Autre région")</f>
        <v>0</v>
      </c>
      <c r="N10" s="493"/>
      <c r="P10" s="516"/>
      <c r="Q10" s="518" t="s">
        <v>31</v>
      </c>
      <c r="R10" s="571">
        <f>SUMIFS(DisplacementP[Individus],DisplacementP[adm2_name],Tableau59140[[#This Row],[Départements]],DisplacementP[Statut déplacé],"returnee",DisplacementP[provenance_adm2_nom],Tableau59140[[#Headers],[Diamaré]])</f>
        <v>0</v>
      </c>
      <c r="S10" s="573">
        <f>SUMIFS(DisplacementP[Individus],DisplacementP[adm2_name],Tableau59140[[#This Row],[Départements]],DisplacementP[Statut déplacé],"returnee",DisplacementP[provenance_adm2_nom],Tableau59140[[#Headers],[Logone-Et-Chari]])</f>
        <v>48054</v>
      </c>
      <c r="T10" s="571">
        <f>SUMIFS(DisplacementP[Individus],DisplacementP[adm2_name],Tableau59140[[#This Row],[Départements]],DisplacementP[Statut déplacé],"returnee",DisplacementP[provenance_adm2_nom],Tableau59140[[#Headers],[Mayo-Danay]])</f>
        <v>0</v>
      </c>
      <c r="U10" s="571">
        <f>SUMIFS(DisplacementP[Individus],DisplacementP[adm2_name],Tableau59140[[#This Row],[Départements]],DisplacementP[Statut déplacé],"returnee",DisplacementP[provenance_adm2_nom],Tableau59140[[#Headers],[Mayo-Kani]])</f>
        <v>0</v>
      </c>
      <c r="V10" s="571">
        <f>SUMIFS(DisplacementP[Individus],DisplacementP[adm2_name],Tableau59140[[#This Row],[Départements]],DisplacementP[Statut déplacé],"returnee",DisplacementP[provenance_adm2_nom],Tableau59140[[#Headers],[Mayo-Sava]])</f>
        <v>0</v>
      </c>
      <c r="W10" s="571">
        <f>SUMIFS(DisplacementP[Individus],DisplacementP[adm2_name],Tableau59140[[#This Row],[Départements]],DisplacementP[Statut déplacé],"returnee",DisplacementP[provenance_adm2_nom],Tableau59140[[#Headers],[Mayo-Tsanaga]])</f>
        <v>0</v>
      </c>
      <c r="X10" s="518">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10" s="518">
        <f>SUM(Tableau59140[[#This Row],[Diamaré]:[Autres Régions]])</f>
        <v>48054</v>
      </c>
      <c r="Z10" s="518">
        <f>SUM(R9,S10,T11,U12,V13,W14)</f>
        <v>179229</v>
      </c>
      <c r="AB10" s="518" t="s">
        <v>31</v>
      </c>
      <c r="AC10" s="518">
        <f>SUMIFS(DisplacementP[Individus],DisplacementP[Statut déplacé],"returnee",DisplacementP[adm2_name],Tableau58142[[#This Row],[Départements]],DisplacementP[provenance_adm0],"CMR")</f>
        <v>48054</v>
      </c>
      <c r="AD10" s="518">
        <f>SUMIFS(DisplacementP[Individus],DisplacementP[Statut déplacé],"returnee",DisplacementP[adm2_name],Tableau58142[[#This Row],[Départements]],DisplacementP[provenance_adm0],"NGA")</f>
        <v>3</v>
      </c>
      <c r="AE10" s="518">
        <f>SUMIFS(DisplacementP[Individus],DisplacementP[Statut déplacé],"returnee",DisplacementP[adm2_name],Tableau58142[[#This Row],[Départements]],DisplacementP[provenance_adm0],"TCD")</f>
        <v>14004</v>
      </c>
      <c r="AF10" s="518">
        <f>SUMIFS(DisplacementP[Individus],DisplacementP[Statut déplacé],"returnee",DisplacementP[adm2_name],Tableau58142[[#This Row],[Départements]],DisplacementP[provenance_adm0],"CAR")</f>
        <v>0</v>
      </c>
      <c r="AG10" s="518">
        <f>SUM(Tableau58142[[#This Row],[Cameroun]:[Centrafrique]])</f>
        <v>62061</v>
      </c>
      <c r="AI10" s="493"/>
    </row>
    <row r="11" spans="1:35" x14ac:dyDescent="0.3">
      <c r="A11" s="516"/>
      <c r="B11" s="533" t="s">
        <v>32</v>
      </c>
      <c r="C11" s="571">
        <f>SUMIFS(DisplacementP[Individus],DisplacementP[Statut déplacé],"idp",DisplacementP[adm2_name],'Displacement Between Admin3'!$B11, DisplacementP[provenance_adm2_nom],'Displacement Between Admin3'!$C$8)</f>
        <v>0</v>
      </c>
      <c r="D11" s="571">
        <f>SUMIFS(DisplacementP[Individus],DisplacementP[Statut déplacé],"idp",DisplacementP[adm2_name],'Displacement Between Admin3'!$B11, DisplacementP[provenance_adm2_nom],'Displacement Between Admin3'!$D$8)</f>
        <v>0</v>
      </c>
      <c r="E11" s="573">
        <f>SUMIFS(DisplacementP[Individus],DisplacementP[Statut déplacé],"idp",DisplacementP[adm2_name],'Displacement Between Admin3'!$B11, DisplacementP[provenance_adm2_nom],'Displacement Between Admin3'!$E$8)</f>
        <v>22544</v>
      </c>
      <c r="F11" s="571">
        <f>SUMIFS(DisplacementP[Individus],DisplacementP[Statut déplacé],"idp",DisplacementP[adm2_name],'Displacement Between Admin3'!$B11, DisplacementP[provenance_adm2_nom],'Displacement Between Admin3'!$F$8)</f>
        <v>0</v>
      </c>
      <c r="G11" s="571">
        <f>SUMIFS(DisplacementP[Individus],DisplacementP[Statut déplacé],"idp",DisplacementP[adm2_name],'Displacement Between Admin3'!$B11, DisplacementP[provenance_adm2_nom],'Displacement Between Admin3'!$G$8)</f>
        <v>0</v>
      </c>
      <c r="H11" s="571">
        <f>SUMIFS(DisplacementP[Individus],DisplacementP[Statut déplacé],"idp",DisplacementP[adm2_name],'Displacement Between Admin3'!$B11, DisplacementP[provenance_adm2_nom],'Displacement Between Admin3'!$H$8)</f>
        <v>0</v>
      </c>
      <c r="I11" s="1234">
        <f t="shared" si="0"/>
        <v>22544</v>
      </c>
      <c r="K11" s="1231" t="s">
        <v>32</v>
      </c>
      <c r="L11" s="1238">
        <f>SUMIFS(DisplacementP[Individus],DisplacementP[adm2_name],$K11,DisplacementP[Statut déplacé],"idp",DisplacementP[provenance],"Autre région")</f>
        <v>0</v>
      </c>
      <c r="N11" s="493"/>
      <c r="P11" s="516"/>
      <c r="Q11" s="518" t="s">
        <v>32</v>
      </c>
      <c r="R11" s="571">
        <f>SUMIFS(DisplacementP[Individus],DisplacementP[adm2_name],Tableau59140[[#This Row],[Départements]],DisplacementP[Statut déplacé],"returnee",DisplacementP[provenance_adm2_nom],Tableau59140[[#Headers],[Diamaré]])</f>
        <v>4676</v>
      </c>
      <c r="S11" s="571">
        <f>SUMIFS(DisplacementP[Individus],DisplacementP[adm2_name],Tableau59140[[#This Row],[Départements]],DisplacementP[Statut déplacé],"returnee",DisplacementP[provenance_adm2_nom],Tableau59140[[#Headers],[Logone-Et-Chari]])</f>
        <v>233</v>
      </c>
      <c r="T11" s="573">
        <f>SUMIFS(DisplacementP[Individus],DisplacementP[adm2_name],Tableau59140[[#This Row],[Départements]],DisplacementP[Statut déplacé],"returnee",DisplacementP[provenance_adm2_nom],Tableau59140[[#Headers],[Mayo-Danay]])</f>
        <v>80880</v>
      </c>
      <c r="U11" s="571">
        <f>SUMIFS(DisplacementP[Individus],DisplacementP[adm2_name],Tableau59140[[#This Row],[Départements]],DisplacementP[Statut déplacé],"returnee",DisplacementP[provenance_adm2_nom],Tableau59140[[#Headers],[Mayo-Kani]])</f>
        <v>0</v>
      </c>
      <c r="V11" s="571">
        <f>SUMIFS(DisplacementP[Individus],DisplacementP[adm2_name],Tableau59140[[#This Row],[Départements]],DisplacementP[Statut déplacé],"returnee",DisplacementP[provenance_adm2_nom],Tableau59140[[#Headers],[Mayo-Sava]])</f>
        <v>0</v>
      </c>
      <c r="W11" s="571">
        <f>SUMIFS(DisplacementP[Individus],DisplacementP[adm2_name],Tableau59140[[#This Row],[Départements]],DisplacementP[Statut déplacé],"returnee",DisplacementP[provenance_adm2_nom],Tableau59140[[#Headers],[Mayo-Tsanaga]])</f>
        <v>26</v>
      </c>
      <c r="X11" s="518">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11" s="518">
        <f>SUM(Tableau59140[[#This Row],[Diamaré]:[Autres Régions]])</f>
        <v>85815</v>
      </c>
      <c r="Z11" s="518"/>
      <c r="AB11" s="518" t="s">
        <v>32</v>
      </c>
      <c r="AC11" s="518">
        <f>SUMIFS(DisplacementP[Individus],DisplacementP[Statut déplacé],"returnee",DisplacementP[adm2_name],Tableau58142[[#This Row],[Départements]],DisplacementP[provenance_adm0],"CMR")</f>
        <v>85815</v>
      </c>
      <c r="AD11" s="518">
        <f>SUMIFS(DisplacementP[Individus],DisplacementP[Statut déplacé],"returnee",DisplacementP[adm2_name],Tableau58142[[#This Row],[Départements]],DisplacementP[provenance_adm0],"NGA")</f>
        <v>0</v>
      </c>
      <c r="AE11" s="518">
        <f>SUMIFS(DisplacementP[Individus],DisplacementP[Statut déplacé],"returnee",DisplacementP[adm2_name],Tableau58142[[#This Row],[Départements]],DisplacementP[provenance_adm0],"TCD")</f>
        <v>18</v>
      </c>
      <c r="AF11" s="518">
        <f>SUMIFS(DisplacementP[Individus],DisplacementP[Statut déplacé],"returnee",DisplacementP[adm2_name],Tableau58142[[#This Row],[Départements]],DisplacementP[provenance_adm0],"CAR")</f>
        <v>0</v>
      </c>
      <c r="AG11" s="518">
        <f>SUM(Tableau58142[[#This Row],[Cameroun]:[Centrafrique]])</f>
        <v>85833</v>
      </c>
      <c r="AI11" s="493"/>
    </row>
    <row r="12" spans="1:35" x14ac:dyDescent="0.3">
      <c r="A12" s="516"/>
      <c r="B12" s="536" t="s">
        <v>33</v>
      </c>
      <c r="C12" s="811">
        <f>SUMIFS(DisplacementP[Individus],DisplacementP[Statut déplacé],"idp",DisplacementP[adm2_name],'Displacement Between Admin3'!$B12, DisplacementP[provenance_adm2_nom],'Displacement Between Admin3'!$C$8)</f>
        <v>0</v>
      </c>
      <c r="D12" s="811">
        <f>SUMIFS(DisplacementP[Individus],DisplacementP[Statut déplacé],"idp",DisplacementP[adm2_name],'Displacement Between Admin3'!$B12, DisplacementP[provenance_adm2_nom],'Displacement Between Admin3'!$D$8)</f>
        <v>71</v>
      </c>
      <c r="E12" s="811">
        <f>SUMIFS(DisplacementP[Individus],DisplacementP[Statut déplacé],"idp",DisplacementP[adm2_name],'Displacement Between Admin3'!$B12, DisplacementP[provenance_adm2_nom],'Displacement Between Admin3'!$E$8)</f>
        <v>341</v>
      </c>
      <c r="F12" s="573">
        <f>SUMIFS(DisplacementP[Individus],DisplacementP[Statut déplacé],"idp",DisplacementP[adm2_name],'Displacement Between Admin3'!$B12, DisplacementP[provenance_adm2_nom],'Displacement Between Admin3'!$F$8)</f>
        <v>424</v>
      </c>
      <c r="G12" s="811">
        <f>SUMIFS(DisplacementP[Individus],DisplacementP[Statut déplacé],"idp",DisplacementP[adm2_name],'Displacement Between Admin3'!$B12, DisplacementP[provenance_adm2_nom],'Displacement Between Admin3'!$G$8)</f>
        <v>3336</v>
      </c>
      <c r="H12" s="811">
        <f>SUMIFS(DisplacementP[Individus],DisplacementP[Statut déplacé],"idp",DisplacementP[adm2_name],'Displacement Between Admin3'!$B12, DisplacementP[provenance_adm2_nom],'Displacement Between Admin3'!$H$8)</f>
        <v>26</v>
      </c>
      <c r="I12" s="1235">
        <f t="shared" si="0"/>
        <v>4198</v>
      </c>
      <c r="K12" s="1232" t="s">
        <v>33</v>
      </c>
      <c r="L12" s="1239">
        <f>SUMIFS(DisplacementP[Individus],DisplacementP[adm2_name],$K12,DisplacementP[Statut déplacé],"idp",DisplacementP[provenance],"Autre région")</f>
        <v>708</v>
      </c>
      <c r="N12" s="493"/>
      <c r="P12" s="516"/>
      <c r="Q12" s="518" t="s">
        <v>33</v>
      </c>
      <c r="R12" s="571">
        <f>SUMIFS(DisplacementP[Individus],DisplacementP[adm2_name],Tableau59140[[#This Row],[Départements]],DisplacementP[Statut déplacé],"returnee",DisplacementP[provenance_adm2_nom],Tableau59140[[#Headers],[Diamaré]])</f>
        <v>0</v>
      </c>
      <c r="S12" s="571">
        <f>SUMIFS(DisplacementP[Individus],DisplacementP[adm2_name],Tableau59140[[#This Row],[Départements]],DisplacementP[Statut déplacé],"returnee",DisplacementP[provenance_adm2_nom],Tableau59140[[#Headers],[Logone-Et-Chari]])</f>
        <v>63</v>
      </c>
      <c r="T12" s="571">
        <f>SUMIFS(DisplacementP[Individus],DisplacementP[adm2_name],Tableau59140[[#This Row],[Départements]],DisplacementP[Statut déplacé],"returnee",DisplacementP[provenance_adm2_nom],Tableau59140[[#Headers],[Mayo-Danay]])</f>
        <v>0</v>
      </c>
      <c r="U12" s="573">
        <f>SUMIFS(DisplacementP[Individus],DisplacementP[adm2_name],Tableau59140[[#This Row],[Départements]],DisplacementP[Statut déplacé],"returnee",DisplacementP[provenance_adm2_nom],Tableau59140[[#Headers],[Mayo-Kani]])</f>
        <v>20</v>
      </c>
      <c r="V12" s="571">
        <f>SUMIFS(DisplacementP[Individus],DisplacementP[adm2_name],Tableau59140[[#This Row],[Départements]],DisplacementP[Statut déplacé],"returnee",DisplacementP[provenance_adm2_nom],Tableau59140[[#Headers],[Mayo-Sava]])</f>
        <v>83</v>
      </c>
      <c r="W12" s="571">
        <f>SUMIFS(DisplacementP[Individus],DisplacementP[adm2_name],Tableau59140[[#This Row],[Départements]],DisplacementP[Statut déplacé],"returnee",DisplacementP[provenance_adm2_nom],Tableau59140[[#Headers],[Mayo-Tsanaga]])</f>
        <v>0</v>
      </c>
      <c r="X12" s="518">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12" s="518">
        <f>SUM(Tableau59140[[#This Row],[Diamaré]:[Autres Régions]])</f>
        <v>166</v>
      </c>
      <c r="Z12" s="518"/>
      <c r="AB12" s="518" t="s">
        <v>33</v>
      </c>
      <c r="AC12" s="518">
        <f>SUMIFS(DisplacementP[Individus],DisplacementP[Statut déplacé],"returnee",DisplacementP[adm2_name],Tableau58142[[#This Row],[Départements]],DisplacementP[provenance_adm0],"CMR")</f>
        <v>166</v>
      </c>
      <c r="AD12" s="518">
        <f>SUMIFS(DisplacementP[Individus],DisplacementP[Statut déplacé],"returnee",DisplacementP[adm2_name],Tableau58142[[#This Row],[Départements]],DisplacementP[provenance_adm0],"NGA")</f>
        <v>0</v>
      </c>
      <c r="AE12" s="518">
        <f>SUMIFS(DisplacementP[Individus],DisplacementP[Statut déplacé],"returnee",DisplacementP[adm2_name],Tableau58142[[#This Row],[Départements]],DisplacementP[provenance_adm0],"TCD")</f>
        <v>0</v>
      </c>
      <c r="AF12" s="518">
        <f>SUMIFS(DisplacementP[Individus],DisplacementP[Statut déplacé],"returnee",DisplacementP[adm2_name],Tableau58142[[#This Row],[Départements]],DisplacementP[provenance_adm0],"CAR")</f>
        <v>21</v>
      </c>
      <c r="AG12" s="518">
        <f>SUM(Tableau58142[[#This Row],[Cameroun]:[Centrafrique]])</f>
        <v>187</v>
      </c>
      <c r="AI12" s="493"/>
    </row>
    <row r="13" spans="1:35" x14ac:dyDescent="0.3">
      <c r="A13" s="516"/>
      <c r="B13" s="533" t="s">
        <v>34</v>
      </c>
      <c r="C13" s="571">
        <f>SUMIFS(DisplacementP[Individus],DisplacementP[Statut déplacé],"idp",DisplacementP[adm2_name],'Displacement Between Admin3'!$B13, DisplacementP[provenance_adm2_nom],'Displacement Between Admin3'!$C$8)</f>
        <v>0</v>
      </c>
      <c r="D13" s="571">
        <f>SUMIFS(DisplacementP[Individus],DisplacementP[Statut déplacé],"idp",DisplacementP[adm2_name],'Displacement Between Admin3'!$B13, DisplacementP[provenance_adm2_nom],'Displacement Between Admin3'!$D$8)</f>
        <v>25</v>
      </c>
      <c r="E13" s="571">
        <f>SUMIFS(DisplacementP[Individus],DisplacementP[Statut déplacé],"idp",DisplacementP[adm2_name],'Displacement Between Admin3'!$B13, DisplacementP[provenance_adm2_nom],'Displacement Between Admin3'!$E$8)</f>
        <v>0</v>
      </c>
      <c r="F13" s="571">
        <f>SUMIFS(DisplacementP[Individus],DisplacementP[Statut déplacé],"idp",DisplacementP[adm2_name],'Displacement Between Admin3'!$B13, DisplacementP[provenance_adm2_nom],'Displacement Between Admin3'!$F$8)</f>
        <v>0</v>
      </c>
      <c r="G13" s="573">
        <f>SUMIFS(DisplacementP[Individus],DisplacementP[Statut déplacé],"idp",DisplacementP[adm2_name],'Displacement Between Admin3'!$B13, DisplacementP[provenance_adm2_nom],'Displacement Between Admin3'!$G$8)</f>
        <v>125020</v>
      </c>
      <c r="H13" s="571">
        <f>SUMIFS(DisplacementP[Individus],DisplacementP[Statut déplacé],"idp",DisplacementP[adm2_name],'Displacement Between Admin3'!$B13, DisplacementP[provenance_adm2_nom],'Displacement Between Admin3'!$H$8)</f>
        <v>0</v>
      </c>
      <c r="I13" s="1234">
        <f t="shared" si="0"/>
        <v>125045</v>
      </c>
      <c r="K13" s="1231" t="s">
        <v>34</v>
      </c>
      <c r="L13" s="1238">
        <f>SUMIFS(DisplacementP[Individus],DisplacementP[adm2_name],$K13,DisplacementP[Statut déplacé],"idp",DisplacementP[provenance],"Autre région")</f>
        <v>0</v>
      </c>
      <c r="N13" s="493"/>
      <c r="P13" s="516"/>
      <c r="Q13" s="518" t="s">
        <v>34</v>
      </c>
      <c r="R13" s="571">
        <f>SUMIFS(DisplacementP[Individus],DisplacementP[adm2_name],Tableau59140[[#This Row],[Départements]],DisplacementP[Statut déplacé],"returnee",DisplacementP[provenance_adm2_nom],Tableau59140[[#Headers],[Diamaré]])</f>
        <v>0</v>
      </c>
      <c r="S13" s="571">
        <f>SUMIFS(DisplacementP[Individus],DisplacementP[adm2_name],Tableau59140[[#This Row],[Départements]],DisplacementP[Statut déplacé],"returnee",DisplacementP[provenance_adm2_nom],Tableau59140[[#Headers],[Logone-Et-Chari]])</f>
        <v>0</v>
      </c>
      <c r="T13" s="571">
        <f>SUMIFS(DisplacementP[Individus],DisplacementP[adm2_name],Tableau59140[[#This Row],[Départements]],DisplacementP[Statut déplacé],"returnee",DisplacementP[provenance_adm2_nom],Tableau59140[[#Headers],[Mayo-Danay]])</f>
        <v>0</v>
      </c>
      <c r="U13" s="571">
        <f>SUMIFS(DisplacementP[Individus],DisplacementP[adm2_name],Tableau59140[[#This Row],[Départements]],DisplacementP[Statut déplacé],"returnee",DisplacementP[provenance_adm2_nom],Tableau59140[[#Headers],[Mayo-Kani]])</f>
        <v>0</v>
      </c>
      <c r="V13" s="573">
        <f>SUMIFS(DisplacementP[Individus],DisplacementP[adm2_name],Tableau59140[[#This Row],[Départements]],DisplacementP[Statut déplacé],"returnee",DisplacementP[provenance_adm2_nom],Tableau59140[[#Headers],[Mayo-Sava]])</f>
        <v>32870</v>
      </c>
      <c r="W13" s="571">
        <f>SUMIFS(DisplacementP[Individus],DisplacementP[adm2_name],Tableau59140[[#This Row],[Départements]],DisplacementP[Statut déplacé],"returnee",DisplacementP[provenance_adm2_nom],Tableau59140[[#Headers],[Mayo-Tsanaga]])</f>
        <v>0</v>
      </c>
      <c r="X13" s="518">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13" s="518">
        <f>SUM(Tableau59140[[#This Row],[Diamaré]:[Autres Régions]])</f>
        <v>32870</v>
      </c>
      <c r="Z13" s="518"/>
      <c r="AB13" s="518" t="s">
        <v>34</v>
      </c>
      <c r="AC13" s="518">
        <f>SUMIFS(DisplacementP[Individus],DisplacementP[Statut déplacé],"returnee",DisplacementP[adm2_name],Tableau58142[[#This Row],[Départements]],DisplacementP[provenance_adm0],"CMR")</f>
        <v>32870</v>
      </c>
      <c r="AD13" s="518">
        <f>SUMIFS(DisplacementP[Individus],DisplacementP[Statut déplacé],"returnee",DisplacementP[adm2_name],Tableau58142[[#This Row],[Départements]],DisplacementP[provenance_adm0],"NGA")</f>
        <v>0</v>
      </c>
      <c r="AE13" s="518">
        <f>SUMIFS(DisplacementP[Individus],DisplacementP[Statut déplacé],"returnee",DisplacementP[adm2_name],Tableau58142[[#This Row],[Départements]],DisplacementP[provenance_adm0],"TCD")</f>
        <v>0</v>
      </c>
      <c r="AF13" s="518">
        <f>SUMIFS(DisplacementP[Individus],DisplacementP[Statut déplacé],"returnee",DisplacementP[adm2_name],Tableau58142[[#This Row],[Départements]],DisplacementP[provenance_adm0],"CAR")</f>
        <v>0</v>
      </c>
      <c r="AG13" s="518">
        <f>SUM(Tableau58142[[#This Row],[Cameroun]:[Centrafrique]])</f>
        <v>32870</v>
      </c>
      <c r="AI13" s="493"/>
    </row>
    <row r="14" spans="1:35" x14ac:dyDescent="0.3">
      <c r="A14" s="516"/>
      <c r="B14" s="536" t="s">
        <v>35</v>
      </c>
      <c r="C14" s="811">
        <f>SUMIFS(DisplacementP[Individus],DisplacementP[Statut déplacé],"idp",DisplacementP[adm2_name],'Displacement Between Admin3'!$B14, DisplacementP[provenance_adm2_nom],'Displacement Between Admin3'!$C$8)</f>
        <v>0</v>
      </c>
      <c r="D14" s="811">
        <f>SUMIFS(DisplacementP[Individus],DisplacementP[Statut déplacé],"idp",DisplacementP[adm2_name],'Displacement Between Admin3'!$B14, DisplacementP[provenance_adm2_nom],'Displacement Between Admin3'!$D$8)</f>
        <v>0</v>
      </c>
      <c r="E14" s="811">
        <f>SUMIFS(DisplacementP[Individus],DisplacementP[Statut déplacé],"idp",DisplacementP[adm2_name],'Displacement Between Admin3'!$B14, DisplacementP[provenance_adm2_nom],'Displacement Between Admin3'!$E$8)</f>
        <v>0</v>
      </c>
      <c r="F14" s="811">
        <f>SUMIFS(DisplacementP[Individus],DisplacementP[Statut déplacé],"idp",DisplacementP[adm2_name],'Displacement Between Admin3'!$B14, DisplacementP[provenance_adm2_nom],'Displacement Between Admin3'!$F$8)</f>
        <v>0</v>
      </c>
      <c r="G14" s="811">
        <f>SUMIFS(DisplacementP[Individus],DisplacementP[Statut déplacé],"idp",DisplacementP[adm2_name],'Displacement Between Admin3'!$B14, DisplacementP[provenance_adm2_nom],'Displacement Between Admin3'!$G$8)</f>
        <v>301</v>
      </c>
      <c r="H14" s="573">
        <f>SUMIFS(DisplacementP[Individus],DisplacementP[Statut déplacé],"idp",DisplacementP[adm2_name],'Displacement Between Admin3'!$B14, DisplacementP[provenance_adm2_nom],'Displacement Between Admin3'!$H$8)</f>
        <v>100475</v>
      </c>
      <c r="I14" s="1235">
        <f t="shared" si="0"/>
        <v>100776</v>
      </c>
      <c r="K14" s="1232" t="s">
        <v>35</v>
      </c>
      <c r="L14" s="1239">
        <f>SUMIFS(DisplacementP[Individus],DisplacementP[adm2_name],$K14,DisplacementP[Statut déplacé],"idp",DisplacementP[provenance],"Autre région")</f>
        <v>0</v>
      </c>
      <c r="N14" s="493"/>
      <c r="P14" s="516"/>
      <c r="Q14" s="518" t="s">
        <v>35</v>
      </c>
      <c r="R14" s="571">
        <f>SUMIFS(DisplacementP[Individus],DisplacementP[adm2_name],Tableau59140[[#This Row],[Départements]],DisplacementP[Statut déplacé],"returnee",DisplacementP[provenance_adm2_nom],Tableau59140[[#Headers],[Diamaré]])</f>
        <v>0</v>
      </c>
      <c r="S14" s="571">
        <f>SUMIFS(DisplacementP[Individus],DisplacementP[adm2_name],Tableau59140[[#This Row],[Départements]],DisplacementP[Statut déplacé],"returnee",DisplacementP[provenance_adm2_nom],Tableau59140[[#Headers],[Logone-Et-Chari]])</f>
        <v>0</v>
      </c>
      <c r="T14" s="571">
        <f>SUMIFS(DisplacementP[Individus],DisplacementP[adm2_name],Tableau59140[[#This Row],[Départements]],DisplacementP[Statut déplacé],"returnee",DisplacementP[provenance_adm2_nom],Tableau59140[[#Headers],[Mayo-Danay]])</f>
        <v>0</v>
      </c>
      <c r="U14" s="571">
        <f>SUMIFS(DisplacementP[Individus],DisplacementP[adm2_name],Tableau59140[[#This Row],[Départements]],DisplacementP[Statut déplacé],"returnee",DisplacementP[provenance_adm2_nom],Tableau59140[[#Headers],[Mayo-Kani]])</f>
        <v>0</v>
      </c>
      <c r="V14" s="571">
        <f>SUMIFS(DisplacementP[Individus],DisplacementP[adm2_name],Tableau59140[[#This Row],[Départements]],DisplacementP[Statut déplacé],"returnee",DisplacementP[provenance_adm2_nom],Tableau59140[[#Headers],[Mayo-Sava]])</f>
        <v>60</v>
      </c>
      <c r="W14" s="573">
        <f>SUMIFS(DisplacementP[Individus],DisplacementP[adm2_name],Tableau59140[[#This Row],[Départements]],DisplacementP[Statut déplacé],"returnee",DisplacementP[provenance_adm2_nom],Tableau59140[[#Headers],[Mayo-Tsanaga]])</f>
        <v>17405</v>
      </c>
      <c r="X14" s="518">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1649</v>
      </c>
      <c r="Y14" s="518">
        <f>SUM(Tableau59140[[#This Row],[Diamaré]:[Autres Régions]])</f>
        <v>19114</v>
      </c>
      <c r="Z14" s="518"/>
      <c r="AB14" s="518" t="s">
        <v>35</v>
      </c>
      <c r="AC14" s="518">
        <f>SUMIFS(DisplacementP[Individus],DisplacementP[Statut déplacé],"returnee",DisplacementP[adm2_name],Tableau58142[[#This Row],[Départements]],DisplacementP[provenance_adm0],"CMR")</f>
        <v>19114</v>
      </c>
      <c r="AD14" s="518">
        <f>SUMIFS(DisplacementP[Individus],DisplacementP[Statut déplacé],"returnee",DisplacementP[adm2_name],Tableau58142[[#This Row],[Départements]],DisplacementP[provenance_adm0],"NGA")</f>
        <v>2672</v>
      </c>
      <c r="AE14" s="518">
        <f>SUMIFS(DisplacementP[Individus],DisplacementP[Statut déplacé],"returnee",DisplacementP[adm2_name],Tableau58142[[#This Row],[Départements]],DisplacementP[provenance_adm0],"TCD")</f>
        <v>0</v>
      </c>
      <c r="AF14" s="518">
        <f>SUMIFS(DisplacementP[Individus],DisplacementP[Statut déplacé],"returnee",DisplacementP[adm2_name],Tableau58142[[#This Row],[Départements]],DisplacementP[provenance_adm0],"CAR")</f>
        <v>0</v>
      </c>
      <c r="AG14" s="518">
        <f>SUM(Tableau58142[[#This Row],[Cameroun]:[Centrafrique]])</f>
        <v>21786</v>
      </c>
      <c r="AI14" s="493"/>
    </row>
    <row r="15" spans="1:35" x14ac:dyDescent="0.3">
      <c r="A15" s="516"/>
      <c r="B15" s="812"/>
      <c r="C15" s="813">
        <f>SUBTOTAL(109,'Displacement Between Admin3'!$C$9:$C$14)</f>
        <v>171</v>
      </c>
      <c r="D15" s="813">
        <f>SUBTOTAL(109,'Displacement Between Admin3'!$D$9:$D$14)</f>
        <v>161708</v>
      </c>
      <c r="E15" s="813">
        <f>SUBTOTAL(109,'Displacement Between Admin3'!$E$9:$E$14)</f>
        <v>28838</v>
      </c>
      <c r="F15" s="813">
        <f>SUBTOTAL(109,'Displacement Between Admin3'!$F$9:$F$14)</f>
        <v>424</v>
      </c>
      <c r="G15" s="813">
        <f>SUBTOTAL(109,'Displacement Between Admin3'!$G$9:$G$14)</f>
        <v>135449</v>
      </c>
      <c r="H15" s="813">
        <f>SUBTOTAL(109,'Displacement Between Admin3'!$H$9:$H$14)</f>
        <v>100535</v>
      </c>
      <c r="I15" s="814">
        <f>SUM('Displacement Between Admin3'!$I$9:$I$14)</f>
        <v>427125</v>
      </c>
      <c r="K15" s="1233"/>
      <c r="L15" s="1240">
        <f>SUMIFS(DisplacementP[Individus],DisplacementP[Statut déplacé],"idp",DisplacementP[provenance],"Autre région")</f>
        <v>708</v>
      </c>
      <c r="N15" s="493"/>
      <c r="P15" s="516"/>
      <c r="Q15" s="571"/>
      <c r="R15" s="572">
        <f t="shared" ref="R15:X15" si="1">SUM(R9:R14)</f>
        <v>4676</v>
      </c>
      <c r="S15" s="572">
        <f t="shared" si="1"/>
        <v>48350</v>
      </c>
      <c r="T15" s="572">
        <f t="shared" si="1"/>
        <v>80880</v>
      </c>
      <c r="U15" s="572">
        <f t="shared" si="1"/>
        <v>20</v>
      </c>
      <c r="V15" s="572">
        <f t="shared" si="1"/>
        <v>33052</v>
      </c>
      <c r="W15" s="572">
        <f t="shared" si="1"/>
        <v>17431</v>
      </c>
      <c r="X15" s="572">
        <f t="shared" si="1"/>
        <v>1649</v>
      </c>
      <c r="Y15" s="572">
        <f>SUBTOTAL(109,Tableau59140[Total])</f>
        <v>186058</v>
      </c>
      <c r="Z15" s="884"/>
      <c r="AB15" s="571"/>
      <c r="AC15" s="572">
        <f>SUM(AC9:AC14)</f>
        <v>186058</v>
      </c>
      <c r="AD15" s="572">
        <f>SUM(AD9:AD14)</f>
        <v>2675</v>
      </c>
      <c r="AE15" s="572">
        <f>SUBTOTAL(109,Tableau58142[Tchad])</f>
        <v>14022</v>
      </c>
      <c r="AF15" s="572">
        <f>SUBTOTAL(109,Tableau58142[Centrafrique])</f>
        <v>411</v>
      </c>
      <c r="AG15" s="572">
        <f>SUBTOTAL(109,Tableau58142[Total])</f>
        <v>203166</v>
      </c>
      <c r="AI15" s="493"/>
    </row>
    <row r="16" spans="1:35" s="527" customFormat="1" x14ac:dyDescent="0.3">
      <c r="A16" s="524"/>
      <c r="B16" s="523"/>
      <c r="C16" s="1131">
        <f>'Displacement Between Admin3'!$C$15/$I$15</f>
        <v>4.0035118525021948E-4</v>
      </c>
      <c r="D16" s="1131">
        <f>'Displacement Between Admin3'!$D$15/$I$15</f>
        <v>0.37859642961662276</v>
      </c>
      <c r="E16" s="1131">
        <f>'Displacement Between Admin3'!$E$15/$I$15</f>
        <v>6.7516534972197839E-2</v>
      </c>
      <c r="F16" s="1131">
        <f>'Displacement Between Admin3'!$F$15/$I$15</f>
        <v>9.9268364062042721E-4</v>
      </c>
      <c r="G16" s="1131">
        <f>'Displacement Between Admin3'!$G$15/$I$15</f>
        <v>0.31711793971319874</v>
      </c>
      <c r="H16" s="1131">
        <f>'Displacement Between Admin3'!$H$15/$I$15</f>
        <v>0.23537606087211005</v>
      </c>
      <c r="I16" s="1131">
        <f>SUM(C16:H16)</f>
        <v>1</v>
      </c>
      <c r="J16" s="525"/>
      <c r="K16" s="525"/>
      <c r="L16" s="525"/>
      <c r="M16" s="525"/>
      <c r="N16" s="526"/>
      <c r="P16" s="524"/>
      <c r="Q16" s="523"/>
      <c r="R16" s="1188">
        <f>Tableau59140[[#Totals],[Diamaré]]/Tableau59140[[#Totals],[Total]]</f>
        <v>2.513194810220469E-2</v>
      </c>
      <c r="S16" s="1188">
        <f>Tableau59140[[#Totals],[Logone-Et-Chari]]/Tableau59140[[#Totals],[Total]]</f>
        <v>0.25986520332369478</v>
      </c>
      <c r="T16" s="1188">
        <f>Tableau59140[[#Totals],[Mayo-Danay]]/Tableau59140[[#Totals],[Total]]</f>
        <v>0.43470315708005031</v>
      </c>
      <c r="U16" s="1188">
        <f>Tableau59140[[#Totals],[Mayo-Kani]]/Tableau59140[[#Totals],[Total]]</f>
        <v>1.074933622848789E-4</v>
      </c>
      <c r="V16" s="1188">
        <f>Tableau59140[[#Totals],[Mayo-Sava]]/Tableau59140[[#Totals],[Total]]</f>
        <v>0.17764353051199089</v>
      </c>
      <c r="W16" s="1188">
        <f>Tableau59140[[#Totals],[Mayo-Tsanaga]]/Tableau59140[[#Totals],[Total]]</f>
        <v>9.3685839899386211E-2</v>
      </c>
      <c r="X16" s="1188">
        <f>Tableau59140[[#Totals],[Autres Régions]]/Tableau59140[[#Totals],[Total]]</f>
        <v>8.8628277203882666E-3</v>
      </c>
      <c r="Y16" s="1188">
        <f>SUM(R16:X16)</f>
        <v>1</v>
      </c>
      <c r="Z16" s="1188">
        <f>SUM(R9,S10,T11,U12,V13,W14)/Tableau59140[[#Totals],[Total]]</f>
        <v>0.96329639144782808</v>
      </c>
      <c r="AA16" s="523"/>
      <c r="AB16" s="518"/>
      <c r="AC16" s="1188">
        <f>Tableau58142[[#Totals],[Cameroun]]/Tableau58142[[#Totals],[Total]]</f>
        <v>0.91579299685971083</v>
      </c>
      <c r="AD16" s="1188">
        <f>Tableau58142[[#Totals],[Nigéria]]/Tableau58142[[#Totals],[Total]]</f>
        <v>1.3166573147081697E-2</v>
      </c>
      <c r="AE16" s="1188">
        <f>Tableau58142[[#Totals],[Tchad]]/Tableau58142[[#Totals],[Total]]</f>
        <v>6.9017453707805446E-2</v>
      </c>
      <c r="AF16" s="1188">
        <f>Tableau58142[[#Totals],[Centrafrique]]/Tableau58142[[#Totals],[Total]]</f>
        <v>2.0229762854020849E-3</v>
      </c>
      <c r="AG16" s="1188">
        <f>SUM(AC16:AF16)</f>
        <v>1</v>
      </c>
      <c r="AH16" s="498"/>
      <c r="AI16" s="493"/>
    </row>
    <row r="17" spans="1:37" x14ac:dyDescent="0.3">
      <c r="A17" s="516"/>
      <c r="N17" s="493"/>
      <c r="P17" s="516"/>
      <c r="AI17" s="493"/>
    </row>
    <row r="18" spans="1:37" ht="18" x14ac:dyDescent="0.3">
      <c r="A18" s="516"/>
      <c r="B18" s="1364" t="s">
        <v>431</v>
      </c>
      <c r="C18" s="1364"/>
      <c r="D18" s="1364"/>
      <c r="E18" s="1364"/>
      <c r="F18" s="1364"/>
      <c r="H18" s="1368" t="s">
        <v>432</v>
      </c>
      <c r="I18" s="1368"/>
      <c r="J18" s="1368"/>
      <c r="K18" s="1368"/>
      <c r="L18" s="1368"/>
      <c r="M18" s="1368"/>
      <c r="N18" s="493"/>
      <c r="P18" s="516"/>
      <c r="Q18" s="1363" t="s">
        <v>431</v>
      </c>
      <c r="R18" s="1363"/>
      <c r="S18" s="1363"/>
      <c r="T18" s="1363"/>
      <c r="U18" s="1363"/>
      <c r="V18" s="1363"/>
      <c r="Y18" s="1363" t="s">
        <v>432</v>
      </c>
      <c r="Z18" s="1363"/>
      <c r="AA18" s="1363"/>
      <c r="AB18" s="1363"/>
      <c r="AC18" s="1363"/>
      <c r="AD18" s="1363"/>
      <c r="AI18" s="493"/>
    </row>
    <row r="19" spans="1:37" ht="18" x14ac:dyDescent="0.3">
      <c r="A19" s="516"/>
      <c r="B19" s="528"/>
      <c r="C19" s="528"/>
      <c r="D19" s="528"/>
      <c r="E19" s="528"/>
      <c r="F19" s="528"/>
      <c r="N19" s="493"/>
      <c r="P19" s="516"/>
      <c r="Q19" s="528"/>
      <c r="R19" s="528"/>
      <c r="S19" s="528"/>
      <c r="T19" s="528"/>
      <c r="U19" s="528"/>
      <c r="AI19" s="493"/>
    </row>
    <row r="20" spans="1:37" ht="15.6" x14ac:dyDescent="0.3">
      <c r="A20" s="516"/>
      <c r="B20" s="529" t="s">
        <v>30</v>
      </c>
      <c r="N20" s="493"/>
      <c r="P20" s="516"/>
      <c r="Q20" s="529" t="s">
        <v>30</v>
      </c>
      <c r="AI20" s="493"/>
    </row>
    <row r="21" spans="1:37" x14ac:dyDescent="0.3">
      <c r="A21" s="516"/>
      <c r="C21" s="1379" t="s">
        <v>2755</v>
      </c>
      <c r="D21" s="1380"/>
      <c r="E21" s="1380"/>
      <c r="F21" s="1380"/>
      <c r="G21" s="1380"/>
      <c r="H21" s="1380"/>
      <c r="I21" s="1380"/>
      <c r="J21" s="1381"/>
      <c r="O21" s="876"/>
      <c r="Q21"/>
      <c r="R21" s="1374" t="s">
        <v>2755</v>
      </c>
      <c r="S21" s="1375"/>
      <c r="T21" s="1375"/>
      <c r="U21" s="1375"/>
      <c r="V21" s="1375"/>
      <c r="W21" s="1375"/>
      <c r="AI21" s="493"/>
    </row>
    <row r="22" spans="1:37" x14ac:dyDescent="0.3">
      <c r="A22" s="516"/>
      <c r="B22" s="530" t="s">
        <v>433</v>
      </c>
      <c r="C22" s="548" t="s">
        <v>157</v>
      </c>
      <c r="D22" s="548" t="s">
        <v>158</v>
      </c>
      <c r="E22" s="548" t="s">
        <v>159</v>
      </c>
      <c r="F22" s="548" t="s">
        <v>160</v>
      </c>
      <c r="G22" s="548" t="s">
        <v>161</v>
      </c>
      <c r="H22" s="548" t="s">
        <v>162</v>
      </c>
      <c r="I22" s="548" t="s">
        <v>156</v>
      </c>
      <c r="J22" s="984" t="s">
        <v>25</v>
      </c>
      <c r="O22" s="876"/>
      <c r="Q22" s="530" t="s">
        <v>433</v>
      </c>
      <c r="R22" s="531" t="s">
        <v>157</v>
      </c>
      <c r="S22" s="531" t="s">
        <v>158</v>
      </c>
      <c r="T22" s="531" t="s">
        <v>159</v>
      </c>
      <c r="U22" s="531" t="s">
        <v>160</v>
      </c>
      <c r="V22" s="531" t="s">
        <v>161</v>
      </c>
      <c r="W22" s="531" t="s">
        <v>162</v>
      </c>
      <c r="X22" s="531" t="s">
        <v>156</v>
      </c>
      <c r="Y22" s="531" t="s">
        <v>25</v>
      </c>
      <c r="AI22" s="493"/>
    </row>
    <row r="23" spans="1:37" x14ac:dyDescent="0.3">
      <c r="A23" s="516"/>
      <c r="B23" s="533" t="s">
        <v>157</v>
      </c>
      <c r="C23" s="534">
        <f>SUMIFS(DisplacementP[Individus],DisplacementP[Statut déplacé],"idp",DisplacementP[adm3_name],'Displacement Between Admin3'!$B23, DisplacementP[provenance_adm3_nom],'Displacement Between Admin3'!$C$22)</f>
        <v>0</v>
      </c>
      <c r="D23" s="518">
        <f>SUMIFS(DisplacementP[Individus],DisplacementP[Statut déplacé],"idp",DisplacementP[adm3_name],'Displacement Between Admin3'!$B23, DisplacementP[provenance_adm3_nom],'Displacement Between Admin3'!$D$22)</f>
        <v>0</v>
      </c>
      <c r="E23" s="518">
        <f>SUMIFS(DisplacementP[Individus],DisplacementP[Statut déplacé],"idp",DisplacementP[adm3_name],'Displacement Between Admin3'!$B23, DisplacementP[provenance_adm3_nom],'Displacement Between Admin3'!$E$22)</f>
        <v>0</v>
      </c>
      <c r="F23" s="518">
        <f>SUMIFS(DisplacementP[Individus],DisplacementP[Statut déplacé],"idp",DisplacementP[adm3_name],'Displacement Between Admin3'!$B23, DisplacementP[provenance_adm3_nom],'Displacement Between Admin3'!$F$22)</f>
        <v>0</v>
      </c>
      <c r="G23" s="518">
        <f>SUMIFS(DisplacementP[Individus],DisplacementP[Statut déplacé],"idp",DisplacementP[adm3_name],'Displacement Between Admin3'!$B23, DisplacementP[provenance_adm3_nom],'Displacement Between Admin3'!$G$22)</f>
        <v>0</v>
      </c>
      <c r="H23" s="518">
        <f>SUMIFS(DisplacementP[Individus],DisplacementP[Statut déplacé],"idp",DisplacementP[adm3_name],'Displacement Between Admin3'!$B23, DisplacementP[provenance_adm3_nom],'Displacement Between Admin3'!$H$22)</f>
        <v>0</v>
      </c>
      <c r="I23" s="518">
        <f>SUMIFS(DisplacementP[raison],DisplacementP[période],"idp",DisplacementP[adm3_code],'Displacement Between Admin3'!$B23, DisplacementP[adm1_name],'Displacement Between Admin3'!$I$22)</f>
        <v>0</v>
      </c>
      <c r="J23" s="535">
        <f>SUM(C23:I23)</f>
        <v>0</v>
      </c>
      <c r="O23" s="876"/>
      <c r="Q23" s="985" t="s">
        <v>157</v>
      </c>
      <c r="R23" s="986">
        <f>SUMIFS(DisplacementP[Individus],DisplacementP[adm3_name],'Displacement Between Admin3'!$Q23,DisplacementP[Statut déplacé],"returnee",DisplacementP[provenance_adm3_nom],'Displacement Between Admin3'!$R$22)</f>
        <v>0</v>
      </c>
      <c r="S23" s="987">
        <f>SUMIFS(DisplacementP[Individus],DisplacementP[adm3_name],'Displacement Between Admin3'!$Q23,DisplacementP[Statut déplacé],"returnee",DisplacementP[provenance_adm3_nom],'Displacement Between Admin3'!$S$22)</f>
        <v>0</v>
      </c>
      <c r="T23" s="987">
        <f>SUMIFS(DisplacementP[Individus],DisplacementP[adm3_name],'Displacement Between Admin3'!$Q23,DisplacementP[Statut déplacé],"returnee",DisplacementP[provenance_adm3_nom],'Displacement Between Admin3'!$T$22)</f>
        <v>0</v>
      </c>
      <c r="U23" s="987">
        <f>SUMIFS(DisplacementP[Individus],DisplacementP[adm3_name],'Displacement Between Admin3'!$Q23,DisplacementP[Statut déplacé],"returnee",DisplacementP[provenance_adm3_nom],'Displacement Between Admin3'!$U$22)</f>
        <v>0</v>
      </c>
      <c r="V23" s="987">
        <f>SUMIFS(DisplacementP[Individus],DisplacementP[adm3_name],'Displacement Between Admin3'!$Q23,DisplacementP[Statut déplacé],"returnee",DisplacementP[provenance_adm3_nom],'Displacement Between Admin3'!$V$22)</f>
        <v>0</v>
      </c>
      <c r="W23" s="518">
        <f>SUMIFS(DisplacementP[Individus],DisplacementP[adm3_name],'Displacement Between Admin3'!$Q23,DisplacementP[Statut déplacé],"returnee",DisplacementP[provenance_adm3_nom],'Displacement Between Admin3'!$W$22)</f>
        <v>0</v>
      </c>
      <c r="X23" s="518">
        <f>SUMIFS(DisplacementP[Individus],DisplacementP[adm3_name],'Displacement Between Admin3'!$Q23,DisplacementP[Statut déplacé],"returnee",DisplacementP[provenance_adm3_nom],'Displacement Between Admin3'!$X$22)</f>
        <v>0</v>
      </c>
      <c r="Y23" s="988">
        <f>SUM(R23:X23)</f>
        <v>0</v>
      </c>
      <c r="AI23" s="493"/>
    </row>
    <row r="24" spans="1:37" x14ac:dyDescent="0.3">
      <c r="A24" s="516"/>
      <c r="B24" s="536" t="s">
        <v>158</v>
      </c>
      <c r="C24" s="537">
        <f>SUMIFS(DisplacementP[Individus],DisplacementP[Statut déplacé],"idp",DisplacementP[adm3_name],'Displacement Between Admin3'!$B24, DisplacementP[provenance_adm3_nom],'Displacement Between Admin3'!$C$22)</f>
        <v>0</v>
      </c>
      <c r="D24" s="534">
        <f>SUMIFS(DisplacementP[Individus],DisplacementP[Statut déplacé],"idp",DisplacementP[adm3_name],'Displacement Between Admin3'!$B24, DisplacementP[provenance_adm3_nom],'Displacement Between Admin3'!$D$22)</f>
        <v>0</v>
      </c>
      <c r="E24" s="537">
        <f>SUMIFS(DisplacementP[Individus],DisplacementP[Statut déplacé],"idp",DisplacementP[adm3_name],'Displacement Between Admin3'!$B24, DisplacementP[provenance_adm3_nom],'Displacement Between Admin3'!$E$22)</f>
        <v>0</v>
      </c>
      <c r="F24" s="537">
        <f>SUMIFS(DisplacementP[Individus],DisplacementP[Statut déplacé],"idp",DisplacementP[adm3_name],'Displacement Between Admin3'!$B24, DisplacementP[provenance_adm3_nom],'Displacement Between Admin3'!$F$22)</f>
        <v>0</v>
      </c>
      <c r="G24" s="537">
        <f>SUMIFS(DisplacementP[Individus],DisplacementP[Statut déplacé],"idp",DisplacementP[adm3_name],'Displacement Between Admin3'!$B24, DisplacementP[provenance_adm3_nom],'Displacement Between Admin3'!$G$22)</f>
        <v>0</v>
      </c>
      <c r="H24" s="537">
        <f>SUMIFS(DisplacementP[Individus],DisplacementP[Statut déplacé],"idp",DisplacementP[adm3_name],'Displacement Between Admin3'!$B24, DisplacementP[provenance_adm3_nom],'Displacement Between Admin3'!$H$22)</f>
        <v>0</v>
      </c>
      <c r="I24" s="537">
        <f>SUMIFS(DisplacementP[raison],DisplacementP[période],"idp",DisplacementP[adm3_code],'Displacement Between Admin3'!$B24, DisplacementP[adm1_name],'Displacement Between Admin3'!$I$22)</f>
        <v>0</v>
      </c>
      <c r="J24" s="537">
        <f t="shared" ref="J24:J29" si="2">SUM(C24:I24)</f>
        <v>0</v>
      </c>
      <c r="O24" s="876"/>
      <c r="Q24" s="536" t="s">
        <v>158</v>
      </c>
      <c r="R24" s="537">
        <f>SUMIFS(DisplacementP[Individus],DisplacementP[adm3_name],'Displacement Between Admin3'!$Q24,DisplacementP[Statut déplacé],"returnee",DisplacementP[provenance_adm3_nom],'Displacement Between Admin3'!$R$22)</f>
        <v>0</v>
      </c>
      <c r="S24" s="534">
        <f>SUMIFS(DisplacementP[Individus],DisplacementP[adm3_name],'Displacement Between Admin3'!$Q24,DisplacementP[Statut déplacé],"returnee",DisplacementP[provenance_adm3_nom],'Displacement Between Admin3'!$S$22)</f>
        <v>0</v>
      </c>
      <c r="T24" s="537">
        <f>SUMIFS(DisplacementP[Individus],DisplacementP[adm3_name],'Displacement Between Admin3'!$Q24,DisplacementP[Statut déplacé],"returnee",DisplacementP[provenance_adm3_nom],'Displacement Between Admin3'!$T$22)</f>
        <v>0</v>
      </c>
      <c r="U24" s="537">
        <f>SUMIFS(DisplacementP[Individus],DisplacementP[adm3_name],'Displacement Between Admin3'!$Q24,DisplacementP[Statut déplacé],"returnee",DisplacementP[provenance_adm3_nom],'Displacement Between Admin3'!$U$22)</f>
        <v>0</v>
      </c>
      <c r="V24" s="537">
        <f>SUMIFS(DisplacementP[Individus],DisplacementP[adm3_name],'Displacement Between Admin3'!$Q24,DisplacementP[Statut déplacé],"returnee",DisplacementP[provenance_adm3_nom],'Displacement Between Admin3'!$V$22)</f>
        <v>0</v>
      </c>
      <c r="W24" s="537">
        <f>SUMIFS(DisplacementP[Individus],DisplacementP[adm3_name],'Displacement Between Admin3'!$Q24,DisplacementP[Statut déplacé],"returnee",DisplacementP[provenance_adm3_nom],'Displacement Between Admin3'!$W$22)</f>
        <v>0</v>
      </c>
      <c r="X24" s="537">
        <f>SUMIFS(DisplacementP[Individus],DisplacementP[adm3_name],'Displacement Between Admin3'!$Q24,DisplacementP[Statut déplacé],"returnee",DisplacementP[provenance_adm3_nom],'Displacement Between Admin3'!$X$22)</f>
        <v>0</v>
      </c>
      <c r="Y24" s="538">
        <f t="shared" ref="Y24:Y29" si="3">SUM(R24:X24)</f>
        <v>0</v>
      </c>
      <c r="AI24" s="493"/>
    </row>
    <row r="25" spans="1:37" x14ac:dyDescent="0.3">
      <c r="A25" s="516"/>
      <c r="B25" s="533" t="s">
        <v>159</v>
      </c>
      <c r="C25" s="518">
        <f>SUMIFS(DisplacementP[Individus],DisplacementP[Statut déplacé],"idp",DisplacementP[adm3_name],'Displacement Between Admin3'!$B25, DisplacementP[provenance_adm3_nom],'Displacement Between Admin3'!$C$22)</f>
        <v>0</v>
      </c>
      <c r="D25" s="518">
        <f>SUMIFS(DisplacementP[Individus],DisplacementP[Statut déplacé],"idp",DisplacementP[adm3_name],'Displacement Between Admin3'!$B25, DisplacementP[provenance_adm3_nom],'Displacement Between Admin3'!$D$22)</f>
        <v>0</v>
      </c>
      <c r="E25" s="534">
        <f>SUMIFS(DisplacementP[Individus],DisplacementP[Statut déplacé],"idp",DisplacementP[adm3_name],'Displacement Between Admin3'!$B25, DisplacementP[provenance_adm3_nom],'Displacement Between Admin3'!$E$22)</f>
        <v>0</v>
      </c>
      <c r="F25" s="518">
        <f>SUMIFS(DisplacementP[Individus],DisplacementP[Statut déplacé],"idp",DisplacementP[adm3_name],'Displacement Between Admin3'!$B25, DisplacementP[provenance_adm3_nom],'Displacement Between Admin3'!$F$22)</f>
        <v>0</v>
      </c>
      <c r="G25" s="518">
        <f>SUMIFS(DisplacementP[Individus],DisplacementP[Statut déplacé],"idp",DisplacementP[adm3_name],'Displacement Between Admin3'!$B25, DisplacementP[provenance_adm3_nom],'Displacement Between Admin3'!$G$22)</f>
        <v>0</v>
      </c>
      <c r="H25" s="518">
        <f>SUMIFS(DisplacementP[Individus],DisplacementP[Statut déplacé],"idp",DisplacementP[adm3_name],'Displacement Between Admin3'!$B25, DisplacementP[provenance_adm3_nom],'Displacement Between Admin3'!$H$22)</f>
        <v>0</v>
      </c>
      <c r="I25" s="518">
        <f>SUMIFS(DisplacementP[raison],DisplacementP[période],"idp",DisplacementP[adm3_code],'Displacement Between Admin3'!$B25, DisplacementP[adm1_name],'Displacement Between Admin3'!$I$22)</f>
        <v>0</v>
      </c>
      <c r="J25" s="535">
        <f t="shared" si="2"/>
        <v>0</v>
      </c>
      <c r="O25" s="876"/>
      <c r="Q25" s="533" t="s">
        <v>159</v>
      </c>
      <c r="R25" s="518">
        <f>SUMIFS(DisplacementP[Individus],DisplacementP[adm3_name],'Displacement Between Admin3'!$Q25,DisplacementP[Statut déplacé],"returnee",DisplacementP[provenance_adm3_nom],'Displacement Between Admin3'!$R$22)</f>
        <v>0</v>
      </c>
      <c r="S25" s="518">
        <f>SUMIFS(DisplacementP[Individus],DisplacementP[adm3_name],'Displacement Between Admin3'!$Q25,DisplacementP[Statut déplacé],"returnee",DisplacementP[provenance_adm3_nom],'Displacement Between Admin3'!$S$22)</f>
        <v>0</v>
      </c>
      <c r="T25" s="534">
        <f>SUMIFS(DisplacementP[Individus],DisplacementP[adm3_name],'Displacement Between Admin3'!$Q25,DisplacementP[Statut déplacé],"returnee",DisplacementP[provenance_adm3_nom],'Displacement Between Admin3'!$T$22)</f>
        <v>0</v>
      </c>
      <c r="U25" s="518">
        <f>SUMIFS(DisplacementP[Individus],DisplacementP[adm3_name],'Displacement Between Admin3'!$Q25,DisplacementP[Statut déplacé],"returnee",DisplacementP[provenance_adm3_nom],'Displacement Between Admin3'!$U$22)</f>
        <v>0</v>
      </c>
      <c r="V25" s="518">
        <f>SUMIFS(DisplacementP[Individus],DisplacementP[adm3_name],'Displacement Between Admin3'!$Q25,DisplacementP[Statut déplacé],"returnee",DisplacementP[provenance_adm3_nom],'Displacement Between Admin3'!$V$22)</f>
        <v>0</v>
      </c>
      <c r="W25" s="518">
        <f>SUMIFS(DisplacementP[Individus],DisplacementP[adm3_name],'Displacement Between Admin3'!$Q25,DisplacementP[Statut déplacé],"returnee",DisplacementP[provenance_adm3_nom],'Displacement Between Admin3'!$W$22)</f>
        <v>0</v>
      </c>
      <c r="X25" s="518">
        <f>SUMIFS(DisplacementP[Individus],DisplacementP[adm3_name],'Displacement Between Admin3'!$Q25,DisplacementP[Statut déplacé],"returnee",DisplacementP[provenance_adm3_nom],'Displacement Between Admin3'!$X$22)</f>
        <v>0</v>
      </c>
      <c r="Y25" s="535">
        <f t="shared" si="3"/>
        <v>0</v>
      </c>
      <c r="AI25" s="493"/>
    </row>
    <row r="26" spans="1:37" x14ac:dyDescent="0.3">
      <c r="A26" s="516"/>
      <c r="B26" s="536" t="s">
        <v>160</v>
      </c>
      <c r="C26" s="537">
        <f>SUMIFS(DisplacementP[Individus],DisplacementP[Statut déplacé],"idp",DisplacementP[adm3_name],'Displacement Between Admin3'!$B26, DisplacementP[provenance_adm3_nom],'Displacement Between Admin3'!$C$22)</f>
        <v>0</v>
      </c>
      <c r="D26" s="537">
        <f>SUMIFS(DisplacementP[Individus],DisplacementP[Statut déplacé],"idp",DisplacementP[adm3_name],'Displacement Between Admin3'!$B26, DisplacementP[provenance_adm3_nom],'Displacement Between Admin3'!$D$22)</f>
        <v>0</v>
      </c>
      <c r="E26" s="537">
        <f>SUMIFS(DisplacementP[Individus],DisplacementP[Statut déplacé],"idp",DisplacementP[adm3_name],'Displacement Between Admin3'!$B26, DisplacementP[provenance_adm3_nom],'Displacement Between Admin3'!$E$22)</f>
        <v>0</v>
      </c>
      <c r="F26" s="534">
        <f>SUMIFS(DisplacementP[Individus],DisplacementP[Statut déplacé],"idp",DisplacementP[adm3_name],'Displacement Between Admin3'!$B26, DisplacementP[provenance_adm3_nom],'Displacement Between Admin3'!$F$22)</f>
        <v>0</v>
      </c>
      <c r="G26" s="537">
        <f>SUMIFS(DisplacementP[Individus],DisplacementP[Statut déplacé],"idp",DisplacementP[adm3_name],'Displacement Between Admin3'!$B26, DisplacementP[provenance_adm3_nom],'Displacement Between Admin3'!$G$22)</f>
        <v>0</v>
      </c>
      <c r="H26" s="537">
        <f>SUMIFS(DisplacementP[Individus],DisplacementP[Statut déplacé],"idp",DisplacementP[adm3_name],'Displacement Between Admin3'!$B26, DisplacementP[provenance_adm3_nom],'Displacement Between Admin3'!$H$22)</f>
        <v>0</v>
      </c>
      <c r="I26" s="537">
        <f>SUMIFS(DisplacementP[raison],DisplacementP[période],"idp",DisplacementP[adm3_code],'Displacement Between Admin3'!$B26, DisplacementP[adm1_name],'Displacement Between Admin3'!$I$22)</f>
        <v>0</v>
      </c>
      <c r="J26" s="537">
        <f t="shared" si="2"/>
        <v>0</v>
      </c>
      <c r="O26" s="876"/>
      <c r="Q26" s="537" t="s">
        <v>160</v>
      </c>
      <c r="R26" s="537">
        <f>SUMIFS(DisplacementP[Individus],DisplacementP[adm3_name],'Displacement Between Admin3'!$Q26,DisplacementP[Statut déplacé],"returnee",DisplacementP[provenance_adm3_nom],'Displacement Between Admin3'!$R$22)</f>
        <v>0</v>
      </c>
      <c r="S26" s="537">
        <f>SUMIFS(DisplacementP[Individus],DisplacementP[adm3_name],'Displacement Between Admin3'!$Q26,DisplacementP[Statut déplacé],"returnee",DisplacementP[provenance_adm3_nom],'Displacement Between Admin3'!$S$22)</f>
        <v>0</v>
      </c>
      <c r="T26" s="537">
        <f>SUMIFS(DisplacementP[Individus],DisplacementP[adm3_name],'Displacement Between Admin3'!$Q26,DisplacementP[Statut déplacé],"returnee",DisplacementP[provenance_adm3_nom],'Displacement Between Admin3'!$T$22)</f>
        <v>0</v>
      </c>
      <c r="U26" s="534">
        <f>SUMIFS(DisplacementP[Individus],DisplacementP[adm3_name],'Displacement Between Admin3'!$Q26,DisplacementP[Statut déplacé],"returnee",DisplacementP[provenance_adm3_nom],'Displacement Between Admin3'!$U$22)</f>
        <v>0</v>
      </c>
      <c r="V26" s="537">
        <f>SUMIFS(DisplacementP[Individus],DisplacementP[adm3_name],'Displacement Between Admin3'!$Q26,DisplacementP[Statut déplacé],"returnee",DisplacementP[provenance_adm3_nom],'Displacement Between Admin3'!$V$22)</f>
        <v>0</v>
      </c>
      <c r="W26" s="537">
        <f>SUMIFS(DisplacementP[Individus],DisplacementP[adm3_name],'Displacement Between Admin3'!$Q26,DisplacementP[Statut déplacé],"returnee",DisplacementP[provenance_adm3_nom],'Displacement Between Admin3'!$W$22)</f>
        <v>0</v>
      </c>
      <c r="X26" s="537">
        <f>SUMIFS(DisplacementP[Individus],DisplacementP[adm3_name],'Displacement Between Admin3'!$Q26,DisplacementP[Statut déplacé],"returnee",DisplacementP[provenance_adm3_nom],'Displacement Between Admin3'!$X$22)</f>
        <v>0</v>
      </c>
      <c r="Y26" s="538">
        <f t="shared" si="3"/>
        <v>0</v>
      </c>
      <c r="AI26" s="493"/>
    </row>
    <row r="27" spans="1:37" x14ac:dyDescent="0.3">
      <c r="A27" s="516"/>
      <c r="B27" s="533" t="s">
        <v>161</v>
      </c>
      <c r="C27" s="518">
        <f>SUMIFS(DisplacementP[Individus],DisplacementP[Statut déplacé],"idp",DisplacementP[adm3_name],'Displacement Between Admin3'!$B27, DisplacementP[provenance_adm3_nom],'Displacement Between Admin3'!$C$22)</f>
        <v>21</v>
      </c>
      <c r="D27" s="518">
        <f>SUMIFS(DisplacementP[Individus],DisplacementP[Statut déplacé],"idp",DisplacementP[adm3_name],'Displacement Between Admin3'!$B27, DisplacementP[provenance_adm3_nom],'Displacement Between Admin3'!$D$22)</f>
        <v>0</v>
      </c>
      <c r="E27" s="518">
        <f>SUMIFS(DisplacementP[Individus],DisplacementP[Statut déplacé],"idp",DisplacementP[adm3_name],'Displacement Between Admin3'!$B27, DisplacementP[provenance_adm3_nom],'Displacement Between Admin3'!$E$22)</f>
        <v>0</v>
      </c>
      <c r="F27" s="518">
        <f>SUMIFS(DisplacementP[Individus],DisplacementP[Statut déplacé],"idp",DisplacementP[adm3_name],'Displacement Between Admin3'!$B27, DisplacementP[provenance_adm3_nom],'Displacement Between Admin3'!$F$22)</f>
        <v>10</v>
      </c>
      <c r="G27" s="534">
        <f>SUMIFS(DisplacementP[Individus],DisplacementP[Statut déplacé],"idp",DisplacementP[adm3_name],'Displacement Between Admin3'!$B27, DisplacementP[provenance_adm3_nom],'Displacement Between Admin3'!$G$22)</f>
        <v>0</v>
      </c>
      <c r="H27" s="518">
        <f>SUMIFS(DisplacementP[Individus],DisplacementP[Statut déplacé],"idp",DisplacementP[adm3_name],'Displacement Between Admin3'!$B27, DisplacementP[provenance_adm3_nom],'Displacement Between Admin3'!$H$22)</f>
        <v>0</v>
      </c>
      <c r="I27" s="518">
        <f>SUMIFS(DisplacementP[raison],DisplacementP[période],"idp",DisplacementP[adm3_code],'Displacement Between Admin3'!$B27, DisplacementP[adm1_name],'Displacement Between Admin3'!$I$22)</f>
        <v>0</v>
      </c>
      <c r="J27" s="535">
        <f t="shared" si="2"/>
        <v>31</v>
      </c>
      <c r="O27" s="876"/>
      <c r="Q27" s="533" t="s">
        <v>161</v>
      </c>
      <c r="R27" s="518">
        <f>SUMIFS(DisplacementP[Individus],DisplacementP[adm3_name],'Displacement Between Admin3'!$Q27,DisplacementP[Statut déplacé],"returnee",DisplacementP[provenance_adm3_nom],'Displacement Between Admin3'!$R$22)</f>
        <v>0</v>
      </c>
      <c r="S27" s="518">
        <f>SUMIFS(DisplacementP[Individus],DisplacementP[adm3_name],'Displacement Between Admin3'!$Q27,DisplacementP[Statut déplacé],"returnee",DisplacementP[provenance_adm3_nom],'Displacement Between Admin3'!$S$22)</f>
        <v>0</v>
      </c>
      <c r="T27" s="518">
        <f>SUMIFS(DisplacementP[Individus],DisplacementP[adm3_name],'Displacement Between Admin3'!$Q27,DisplacementP[Statut déplacé],"returnee",DisplacementP[provenance_adm3_nom],'Displacement Between Admin3'!$T$22)</f>
        <v>0</v>
      </c>
      <c r="U27" s="518">
        <f>SUMIFS(DisplacementP[Individus],DisplacementP[adm3_name],'Displacement Between Admin3'!$Q27,DisplacementP[Statut déplacé],"returnee",DisplacementP[provenance_adm3_nom],'Displacement Between Admin3'!$U$22)</f>
        <v>0</v>
      </c>
      <c r="V27" s="534">
        <f>SUMIFS(DisplacementP[Individus],DisplacementP[adm3_name],'Displacement Between Admin3'!$Q27,DisplacementP[Statut déplacé],"returnee",DisplacementP[provenance_adm3_nom],'Displacement Between Admin3'!$V$22)</f>
        <v>0</v>
      </c>
      <c r="W27" s="518">
        <f>SUMIFS(DisplacementP[Individus],DisplacementP[adm3_name],'Displacement Between Admin3'!$Q27,DisplacementP[Statut déplacé],"returnee",DisplacementP[provenance_adm3_nom],'Displacement Between Admin3'!$W$22)</f>
        <v>0</v>
      </c>
      <c r="X27" s="518">
        <f>SUMIFS(DisplacementP[Individus],DisplacementP[adm3_name],'Displacement Between Admin3'!$Q27,DisplacementP[Statut déplacé],"returnee",DisplacementP[provenance_adm3_nom],'Displacement Between Admin3'!$X$22)</f>
        <v>0</v>
      </c>
      <c r="Y27" s="535">
        <f t="shared" si="3"/>
        <v>0</v>
      </c>
      <c r="AI27" s="493"/>
    </row>
    <row r="28" spans="1:37" x14ac:dyDescent="0.3">
      <c r="A28" s="516"/>
      <c r="B28" s="536" t="s">
        <v>162</v>
      </c>
      <c r="C28" s="537">
        <f>SUMIFS(DisplacementP[Individus],DisplacementP[Statut déplacé],"idp",DisplacementP[adm3_name],'Displacement Between Admin3'!$B28, DisplacementP[provenance_adm3_nom],'Displacement Between Admin3'!$C$22)</f>
        <v>0</v>
      </c>
      <c r="D28" s="537">
        <f>SUMIFS(DisplacementP[Individus],DisplacementP[Statut déplacé],"idp",DisplacementP[adm3_name],'Displacement Between Admin3'!$B28, DisplacementP[provenance_adm3_nom],'Displacement Between Admin3'!$D$22)</f>
        <v>0</v>
      </c>
      <c r="E28" s="537">
        <f>SUMIFS(DisplacementP[Individus],DisplacementP[Statut déplacé],"idp",DisplacementP[adm3_name],'Displacement Between Admin3'!$B28, DisplacementP[provenance_adm3_nom],'Displacement Between Admin3'!$E$22)</f>
        <v>0</v>
      </c>
      <c r="F28" s="537">
        <f>SUMIFS(DisplacementP[Individus],DisplacementP[Statut déplacé],"idp",DisplacementP[adm3_name],'Displacement Between Admin3'!$B28, DisplacementP[provenance_adm3_nom],'Displacement Between Admin3'!$F$22)</f>
        <v>0</v>
      </c>
      <c r="G28" s="537">
        <f>SUMIFS(DisplacementP[Individus],DisplacementP[Statut déplacé],"idp",DisplacementP[adm3_name],'Displacement Between Admin3'!$B28, DisplacementP[provenance_adm3_nom],'Displacement Between Admin3'!$G$22)</f>
        <v>0</v>
      </c>
      <c r="H28" s="534">
        <f>SUMIFS(DisplacementP[Individus],DisplacementP[Statut déplacé],"idp",DisplacementP[adm3_name],'Displacement Between Admin3'!$B28, DisplacementP[provenance_adm3_nom],'Displacement Between Admin3'!$H$22)</f>
        <v>140</v>
      </c>
      <c r="I28" s="537">
        <f>SUMIFS(DisplacementP[raison],DisplacementP[période],"idp",DisplacementP[adm3_code],'Displacement Between Admin3'!$B28, DisplacementP[adm1_name],'Displacement Between Admin3'!$I$22)</f>
        <v>0</v>
      </c>
      <c r="J28" s="537">
        <f t="shared" si="2"/>
        <v>140</v>
      </c>
      <c r="O28" s="876"/>
      <c r="P28" s="516"/>
      <c r="Q28" s="537" t="s">
        <v>162</v>
      </c>
      <c r="R28" s="537">
        <f>SUMIFS(DisplacementP[Individus],DisplacementP[adm3_name],'Displacement Between Admin3'!$Q28,DisplacementP[Statut déplacé],"returnee",DisplacementP[provenance_adm3_nom],'Displacement Between Admin3'!$R$22)</f>
        <v>0</v>
      </c>
      <c r="S28" s="537">
        <f>SUMIFS(DisplacementP[Individus],DisplacementP[adm3_name],'Displacement Between Admin3'!$Q28,DisplacementP[Statut déplacé],"returnee",DisplacementP[provenance_adm3_nom],'Displacement Between Admin3'!$S$22)</f>
        <v>0</v>
      </c>
      <c r="T28" s="537">
        <f>SUMIFS(DisplacementP[Individus],DisplacementP[adm3_name],'Displacement Between Admin3'!$Q28,DisplacementP[Statut déplacé],"returnee",DisplacementP[provenance_adm3_nom],'Displacement Between Admin3'!$T$22)</f>
        <v>0</v>
      </c>
      <c r="U28" s="537">
        <f>SUMIFS(DisplacementP[Individus],DisplacementP[adm3_name],'Displacement Between Admin3'!$Q28,DisplacementP[Statut déplacé],"returnee",DisplacementP[provenance_adm3_nom],'Displacement Between Admin3'!$U$22)</f>
        <v>0</v>
      </c>
      <c r="V28" s="537">
        <f>SUMIFS(DisplacementP[Individus],DisplacementP[adm3_name],'Displacement Between Admin3'!$Q28,DisplacementP[Statut déplacé],"returnee",DisplacementP[provenance_adm3_nom],'Displacement Between Admin3'!$V$22)</f>
        <v>0</v>
      </c>
      <c r="W28" s="534">
        <f>SUMIFS(DisplacementP[Individus],DisplacementP[adm3_name],'Displacement Between Admin3'!$Q28,DisplacementP[Statut déplacé],"returnee",DisplacementP[provenance_adm3_nom],'Displacement Between Admin3'!$W$22)</f>
        <v>0</v>
      </c>
      <c r="X28" s="537">
        <f>SUMIFS(DisplacementP[Individus],DisplacementP[adm3_name],'Displacement Between Admin3'!$Q28,DisplacementP[Statut déplacé],"returnee",DisplacementP[provenance_adm3_nom],'Displacement Between Admin3'!$X$22)</f>
        <v>0</v>
      </c>
      <c r="Y28" s="538">
        <f t="shared" si="3"/>
        <v>0</v>
      </c>
      <c r="AI28" s="493"/>
    </row>
    <row r="29" spans="1:37" x14ac:dyDescent="0.3">
      <c r="A29" s="516"/>
      <c r="B29" s="533" t="s">
        <v>156</v>
      </c>
      <c r="C29" s="518"/>
      <c r="D29" s="518"/>
      <c r="E29" s="518"/>
      <c r="F29" s="518"/>
      <c r="G29" s="518"/>
      <c r="H29" s="518"/>
      <c r="I29" s="534">
        <f>SUMIFS(DisplacementP[raison],DisplacementP[période],"idp",DisplacementP[adm3_code],'Displacement Between Admin3'!$B29, DisplacementP[adm1_name],'Displacement Between Admin3'!$I$22)</f>
        <v>0</v>
      </c>
      <c r="J29" s="535">
        <f t="shared" si="2"/>
        <v>0</v>
      </c>
      <c r="O29" s="876"/>
      <c r="Q29" s="990" t="s">
        <v>156</v>
      </c>
      <c r="R29" s="991">
        <f>SUMIFS(DisplacementP[Individus],DisplacementP[adm3_name],'Displacement Between Admin3'!$Q29,DisplacementP[Statut déplacé],"returnee",DisplacementP[provenance_adm3_nom],'Displacement Between Admin3'!$R$22)</f>
        <v>0</v>
      </c>
      <c r="S29" s="991">
        <f>SUMIFS(DisplacementP[raison],DisplacementP[adm3_code],'Displacement Between Admin3'!$Q29,DisplacementP[période],"returnee",DisplacementP[adm1_name],'Displacement Between Admin3'!$R$22)</f>
        <v>0</v>
      </c>
      <c r="T29" s="991">
        <f>SUMIFS(DisplacementP[autre_raison],DisplacementP[village_code],'Displacement Between Admin3'!$Q29,DisplacementP[Ménages],"returnee",DisplacementP[adm1_code],'Displacement Between Admin3'!$R$22)</f>
        <v>0</v>
      </c>
      <c r="U29" s="991">
        <f>SUMIFS(DisplacementP[provenance],DisplacementP[village_name],'Displacement Between Admin3'!$Q29,DisplacementP[Individus],"returnee",DisplacementP[adm2_name],'Displacement Between Admin3'!$R$22)</f>
        <v>0</v>
      </c>
      <c r="V29" s="991">
        <f>SUMIFS(DisplacementP[provenance_adm0],DisplacementP[New_village for this Round],'Displacement Between Admin3'!$Q29,DisplacementP[raison],"returnee",DisplacementP[adm2_code],'Displacement Between Admin3'!$R$22)</f>
        <v>0</v>
      </c>
      <c r="W29" s="518">
        <f>SUMIFS(DisplacementP[provenance_adm0_nom],DisplacementP[Statut déplacé],'Displacement Between Admin3'!$Q29,DisplacementP[autre_raison],"returnee",DisplacementP[adm3_name],'Displacement Between Admin3'!$X$22)</f>
        <v>0</v>
      </c>
      <c r="X29" s="534">
        <f>SUMIFS(DisplacementP[Individus],DisplacementP[adm3_name],'Displacement Between Admin3'!$Q29,DisplacementP[Statut déplacé],"returnee",DisplacementP[provenance_adm3_nom],'Displacement Between Admin3'!$X$22)</f>
        <v>0</v>
      </c>
      <c r="Y29" s="989">
        <f t="shared" si="3"/>
        <v>0</v>
      </c>
      <c r="AI29" s="493"/>
    </row>
    <row r="30" spans="1:37" x14ac:dyDescent="0.3">
      <c r="A30" s="516"/>
      <c r="B30" s="539"/>
      <c r="C30" s="540">
        <f>SUBTOTAL(109,'Displacement Between Admin3'!$C$23:$C$28)</f>
        <v>21</v>
      </c>
      <c r="D30" s="540">
        <f>SUBTOTAL(109,'Displacement Between Admin3'!$D$23:$D$28)</f>
        <v>0</v>
      </c>
      <c r="E30" s="540">
        <f>SUBTOTAL(109,'Displacement Between Admin3'!$E$23:$E$28)</f>
        <v>0</v>
      </c>
      <c r="F30" s="540">
        <f>SUBTOTAL(109,'Displacement Between Admin3'!$F$23:$F$28)</f>
        <v>10</v>
      </c>
      <c r="G30" s="540">
        <f>SUBTOTAL(109,'Displacement Between Admin3'!$G$23:$G$28)</f>
        <v>0</v>
      </c>
      <c r="H30" s="540">
        <f>SUBTOTAL(109,'Displacement Between Admin3'!$H$23:$H$28)</f>
        <v>140</v>
      </c>
      <c r="I30" s="540">
        <f>SUBTOTAL(109,'Displacement Between Admin3'!$I$23:$I$29)</f>
        <v>0</v>
      </c>
      <c r="J30" s="541">
        <f>SUM('Displacement Between Admin3'!$J$23:$J$29)</f>
        <v>171</v>
      </c>
      <c r="O30" s="876"/>
      <c r="Q30" s="539"/>
      <c r="R30" s="540">
        <f>SUM(R23:R29)</f>
        <v>0</v>
      </c>
      <c r="S30" s="540">
        <f>SUM(S23:S29)</f>
        <v>0</v>
      </c>
      <c r="T30" s="540">
        <f>SUM(T23:T29)</f>
        <v>0</v>
      </c>
      <c r="U30" s="540">
        <f>SUM(U23:U29)</f>
        <v>0</v>
      </c>
      <c r="V30" s="540">
        <f t="shared" ref="V30:X30" si="4">SUM(V23:V29)</f>
        <v>0</v>
      </c>
      <c r="W30" s="540">
        <f t="shared" si="4"/>
        <v>0</v>
      </c>
      <c r="X30" s="540">
        <f t="shared" si="4"/>
        <v>0</v>
      </c>
      <c r="Y30" s="542">
        <f t="shared" ref="Y30" si="5">SUM(Y23:Y28)</f>
        <v>0</v>
      </c>
      <c r="AI30" s="493"/>
    </row>
    <row r="31" spans="1:37" s="527" customFormat="1" x14ac:dyDescent="0.3">
      <c r="A31" s="524"/>
      <c r="B31" s="525"/>
      <c r="C31" s="1131">
        <f>'Displacement Between Admin3'!C30/$J$30</f>
        <v>0.12280701754385964</v>
      </c>
      <c r="D31" s="1131">
        <f>'Displacement Between Admin3'!D30/$J$30</f>
        <v>0</v>
      </c>
      <c r="E31" s="1131">
        <f>'Displacement Between Admin3'!E30/$J$30</f>
        <v>0</v>
      </c>
      <c r="F31" s="1131">
        <f>'Displacement Between Admin3'!F30/$J$30</f>
        <v>5.8479532163742687E-2</v>
      </c>
      <c r="G31" s="1131">
        <f>'Displacement Between Admin3'!G30/$J$30</f>
        <v>0</v>
      </c>
      <c r="H31" s="1131">
        <f>'Displacement Between Admin3'!H30/$J$30</f>
        <v>0.81871345029239762</v>
      </c>
      <c r="I31" s="1131">
        <f>'Displacement Between Admin3'!I30/$J$30</f>
        <v>0</v>
      </c>
      <c r="J31" s="1131">
        <f>SUM(C31:I31)</f>
        <v>1</v>
      </c>
      <c r="K31" s="525"/>
      <c r="L31" s="525"/>
      <c r="M31" s="525"/>
      <c r="N31" s="525"/>
      <c r="O31" s="877"/>
      <c r="P31" s="525"/>
      <c r="Q31" s="525"/>
      <c r="R31" s="1131" t="e">
        <f>'Displacement Between Admin3'!R30/$Y$30</f>
        <v>#DIV/0!</v>
      </c>
      <c r="S31" s="1131" t="e">
        <f>'Displacement Between Admin3'!S30/$Y$30</f>
        <v>#DIV/0!</v>
      </c>
      <c r="T31" s="1131" t="e">
        <f>'Displacement Between Admin3'!T30/$Y$30</f>
        <v>#DIV/0!</v>
      </c>
      <c r="U31" s="1131" t="e">
        <f>'Displacement Between Admin3'!U30/$Y$30</f>
        <v>#DIV/0!</v>
      </c>
      <c r="V31" s="1131" t="e">
        <f>'Displacement Between Admin3'!V30/$Y$30</f>
        <v>#DIV/0!</v>
      </c>
      <c r="W31" s="1131" t="e">
        <f>'Displacement Between Admin3'!W30/$Y$30</f>
        <v>#DIV/0!</v>
      </c>
      <c r="X31" s="1131" t="e">
        <f>'Displacement Between Admin3'!X30/$Y$30</f>
        <v>#DIV/0!</v>
      </c>
      <c r="Y31" s="1131" t="e">
        <f>SUM(R31:X31)</f>
        <v>#DIV/0!</v>
      </c>
      <c r="Z31" s="525"/>
      <c r="AA31" s="525"/>
      <c r="AB31" s="525"/>
      <c r="AC31" s="525"/>
      <c r="AD31" s="525"/>
      <c r="AE31" s="525"/>
      <c r="AF31" s="525"/>
      <c r="AG31" s="525"/>
      <c r="AH31" s="525"/>
      <c r="AI31" s="526"/>
      <c r="AK31" s="543"/>
    </row>
    <row r="32" spans="1:37" s="527" customFormat="1" x14ac:dyDescent="0.3">
      <c r="A32" s="524"/>
      <c r="B32" s="525"/>
      <c r="C32" s="525"/>
      <c r="D32" s="525"/>
      <c r="E32" s="525"/>
      <c r="F32" s="525"/>
      <c r="G32" s="525"/>
      <c r="H32" s="525"/>
      <c r="I32" s="525"/>
      <c r="J32" s="525"/>
      <c r="K32" s="525"/>
      <c r="L32" s="525"/>
      <c r="M32" s="525"/>
      <c r="N32" s="525"/>
      <c r="O32" s="877"/>
      <c r="P32" s="525"/>
      <c r="Q32" s="525"/>
      <c r="R32" s="525"/>
      <c r="S32" s="525"/>
      <c r="T32" s="525"/>
      <c r="U32" s="525"/>
      <c r="V32" s="525"/>
      <c r="W32" s="525"/>
      <c r="X32" s="525"/>
      <c r="Y32" s="525"/>
      <c r="Z32" s="525"/>
      <c r="AA32" s="525"/>
      <c r="AB32" s="525"/>
      <c r="AC32" s="525"/>
      <c r="AD32" s="525"/>
      <c r="AE32" s="525"/>
      <c r="AF32" s="525"/>
      <c r="AG32" s="525"/>
      <c r="AH32" s="525"/>
      <c r="AI32" s="526"/>
      <c r="AK32" s="543"/>
    </row>
    <row r="33" spans="1:37" s="527" customFormat="1" x14ac:dyDescent="0.3">
      <c r="A33" s="524"/>
      <c r="B33" s="525"/>
      <c r="C33" s="525"/>
      <c r="D33" s="525"/>
      <c r="E33" s="525"/>
      <c r="F33" s="525"/>
      <c r="G33" s="525"/>
      <c r="H33" s="525"/>
      <c r="I33" s="525"/>
      <c r="J33" s="525"/>
      <c r="K33" s="525"/>
      <c r="L33" s="525"/>
      <c r="M33" s="525"/>
      <c r="N33" s="525"/>
      <c r="O33" s="877"/>
      <c r="P33" s="525"/>
      <c r="Q33" s="525"/>
      <c r="R33" s="525"/>
      <c r="S33" s="525"/>
      <c r="T33" s="525"/>
      <c r="U33" s="525"/>
      <c r="V33" s="525"/>
      <c r="W33" s="525"/>
      <c r="X33" s="525"/>
      <c r="Y33" s="525"/>
      <c r="Z33" s="525"/>
      <c r="AA33" s="525"/>
      <c r="AB33" s="525"/>
      <c r="AC33" s="525"/>
      <c r="AD33" s="525"/>
      <c r="AE33" s="525"/>
      <c r="AF33" s="525"/>
      <c r="AG33" s="525"/>
      <c r="AH33" s="525"/>
      <c r="AI33" s="526"/>
      <c r="AK33" s="543"/>
    </row>
    <row r="34" spans="1:37" ht="15.6" x14ac:dyDescent="0.3">
      <c r="A34" s="516"/>
      <c r="B34" s="529" t="s">
        <v>31</v>
      </c>
      <c r="O34" s="876"/>
      <c r="Q34" s="529" t="s">
        <v>31</v>
      </c>
      <c r="AI34" s="493"/>
    </row>
    <row r="35" spans="1:37" x14ac:dyDescent="0.3">
      <c r="A35" s="516"/>
      <c r="C35" s="1374" t="s">
        <v>2755</v>
      </c>
      <c r="D35" s="1375"/>
      <c r="E35" s="1375"/>
      <c r="F35" s="1375"/>
      <c r="G35" s="1375"/>
      <c r="H35" s="1375"/>
      <c r="I35" s="1375"/>
      <c r="J35" s="1375"/>
      <c r="K35" s="1375"/>
      <c r="L35" s="1375"/>
      <c r="O35" s="876"/>
      <c r="R35" s="1374" t="s">
        <v>2755</v>
      </c>
      <c r="S35" s="1375"/>
      <c r="T35" s="1375"/>
      <c r="U35" s="1375"/>
      <c r="V35" s="1375"/>
      <c r="W35" s="1375"/>
      <c r="X35" s="1375"/>
      <c r="Y35" s="1375"/>
      <c r="Z35" s="1375"/>
      <c r="AA35" s="1375"/>
      <c r="AI35" s="493"/>
    </row>
    <row r="36" spans="1:37" x14ac:dyDescent="0.3">
      <c r="A36" s="516"/>
      <c r="B36" s="521" t="s">
        <v>433</v>
      </c>
      <c r="C36" s="521" t="s">
        <v>164</v>
      </c>
      <c r="D36" s="521" t="s">
        <v>165</v>
      </c>
      <c r="E36" s="521" t="s">
        <v>166</v>
      </c>
      <c r="F36" s="521" t="s">
        <v>167</v>
      </c>
      <c r="G36" s="521" t="s">
        <v>2797</v>
      </c>
      <c r="H36" s="521" t="s">
        <v>170</v>
      </c>
      <c r="I36" s="521" t="s">
        <v>169</v>
      </c>
      <c r="J36" s="521" t="s">
        <v>171</v>
      </c>
      <c r="K36" s="521" t="s">
        <v>172</v>
      </c>
      <c r="L36" s="521" t="s">
        <v>173</v>
      </c>
      <c r="M36" s="522" t="s">
        <v>25</v>
      </c>
      <c r="N36" s="493"/>
      <c r="P36" s="516"/>
      <c r="Q36" s="521" t="s">
        <v>433</v>
      </c>
      <c r="R36" s="522" t="s">
        <v>164</v>
      </c>
      <c r="S36" s="522" t="s">
        <v>165</v>
      </c>
      <c r="T36" s="522" t="s">
        <v>166</v>
      </c>
      <c r="U36" s="522" t="s">
        <v>167</v>
      </c>
      <c r="V36" s="522" t="s">
        <v>2797</v>
      </c>
      <c r="W36" s="522" t="s">
        <v>170</v>
      </c>
      <c r="X36" s="522" t="s">
        <v>169</v>
      </c>
      <c r="Y36" s="522" t="s">
        <v>171</v>
      </c>
      <c r="Z36" s="522" t="s">
        <v>172</v>
      </c>
      <c r="AA36" s="522" t="s">
        <v>173</v>
      </c>
      <c r="AB36" s="522" t="s">
        <v>25</v>
      </c>
      <c r="AI36" s="493"/>
    </row>
    <row r="37" spans="1:37" x14ac:dyDescent="0.3">
      <c r="A37" s="516"/>
      <c r="B37" s="518" t="s">
        <v>164</v>
      </c>
      <c r="C37" s="534">
        <f>SUMIFS(DisplacementP[Individus],DisplacementP[Statut déplacé],"idp",DisplacementP[adm3_name],Tableau50939495[[#This Row],[Arrondissements]], DisplacementP[provenance_adm3_nom],Tableau50939495[[#Headers],[Blangoua]])</f>
        <v>5774</v>
      </c>
      <c r="D37" s="518">
        <f>SUMIFS(DisplacementP[Individus],DisplacementP[Statut déplacé],"idp",DisplacementP[adm3_name],Tableau50939495[[#This Row],[Arrondissements]], DisplacementP[provenance_adm3_nom],Tableau50939495[[#Headers],[Darak]])</f>
        <v>1813</v>
      </c>
      <c r="E37" s="518">
        <f>SUMIFS(DisplacementP[Individus],DisplacementP[Statut déplacé],"idp",DisplacementP[adm3_name],Tableau50939495[[#This Row],[Arrondissements]], DisplacementP[provenance_adm3_nom],Tableau50939495[[#Headers],[Fotokol]])</f>
        <v>5416</v>
      </c>
      <c r="F37" s="518">
        <f>SUMIFS(DisplacementP[Individus],DisplacementP[Statut déplacé],"idp",DisplacementP[adm3_name],Tableau50939495[[#This Row],[Arrondissements]], DisplacementP[provenance_adm3_nom],Tableau50939495[[#Headers],[Goulfey]])</f>
        <v>0</v>
      </c>
      <c r="G37" s="518">
        <f>SUMIFS(DisplacementP[Individus],DisplacementP[Statut déplacé],"idp",DisplacementP[adm3_name],Tableau50939495[[#This Row],[Arrondissements]], DisplacementP[provenance_adm3_nom],Tableau50939495[[#Headers],[Hile-Alifa]])</f>
        <v>0</v>
      </c>
      <c r="H37" s="518">
        <f>SUMIFS(DisplacementP[Individus],DisplacementP[Statut déplacé],"idp",DisplacementP[adm3_name],Tableau50939495[[#This Row],[Arrondissements]], DisplacementP[provenance_adm3_nom],Tableau50939495[[#Headers],[Kousséri]])</f>
        <v>0</v>
      </c>
      <c r="I37" s="518">
        <f>SUMIFS(DisplacementP[Individus],DisplacementP[Statut déplacé],"idp",DisplacementP[adm3_name],Tableau50939495[[#This Row],[Arrondissements]], DisplacementP[provenance_adm3_nom],Tableau50939495[[#Headers],[Logone-Birni]])</f>
        <v>0</v>
      </c>
      <c r="J37" s="518">
        <f>SUMIFS(DisplacementP[Individus],DisplacementP[Statut déplacé],"idp",DisplacementP[adm3_name],Tableau50939495[[#This Row],[Arrondissements]], DisplacementP[provenance_adm3_nom],Tableau50939495[[#Headers],[Makary]])</f>
        <v>25</v>
      </c>
      <c r="K37" s="518">
        <f>SUMIFS(DisplacementP[Individus],DisplacementP[Statut déplacé],"idp",DisplacementP[adm3_name],Tableau50939495[[#This Row],[Arrondissements]], DisplacementP[provenance_adm3_nom],Tableau50939495[[#Headers],[Waza]])</f>
        <v>0</v>
      </c>
      <c r="L37" s="518">
        <f>SUMIFS(DisplacementP[Individus],DisplacementP[Statut déplacé],"idp",DisplacementP[adm3_name],Tableau50939495[[#This Row],[Arrondissements]], DisplacementP[provenance_adm3_nom],Tableau50939495[[#Headers],[Zina]])</f>
        <v>0</v>
      </c>
      <c r="M37" s="518">
        <f>SUM(Tableau50939495[[#This Row],[Blangoua]:[Zina]])</f>
        <v>13028</v>
      </c>
      <c r="N37" s="493"/>
      <c r="P37" s="516"/>
      <c r="Q37" s="518" t="s">
        <v>164</v>
      </c>
      <c r="R37" s="534">
        <f>SUMIFS(DisplacementP[Individus],DisplacementP[adm3_name],Tableau50939495135[[#This Row],[Arrondissements]],DisplacementP[Statut déplacé],"returnee",DisplacementP[provenance_adm3_nom],Tableau50939495135[[#Headers],[Blangoua]])</f>
        <v>0</v>
      </c>
      <c r="S37" s="518">
        <f>SUMIFS(DisplacementP[Individus],DisplacementP[adm3_name],Tableau50939495135[[#This Row],[Arrondissements]],DisplacementP[Statut déplacé],"returnee",DisplacementP[provenance_adm3_nom],Tableau50939495135[[#Headers],[Darak]])</f>
        <v>203</v>
      </c>
      <c r="T37" s="518">
        <f>SUMIFS(DisplacementP[Individus],DisplacementP[adm3_name],Tableau50939495135[[#This Row],[Arrondissements]],DisplacementP[Statut déplacé],"returnee",DisplacementP[provenance_adm3_nom],Tableau50939495135[[#Headers],[Fotokol]])</f>
        <v>0</v>
      </c>
      <c r="U37" s="518">
        <f>SUMIFS(DisplacementP[Individus],DisplacementP[adm3_name],Tableau50939495135[[#This Row],[Arrondissements]],DisplacementP[Statut déplacé],"returnee",DisplacementP[provenance_adm3_nom],Tableau50939495135[[#Headers],[Goulfey]])</f>
        <v>500</v>
      </c>
      <c r="V37" s="518">
        <f>SUMIFS(DisplacementP[Individus],DisplacementP[adm3_name],Tableau50939495135[[#This Row],[Arrondissements]],DisplacementP[Statut déplacé],"returnee",DisplacementP[provenance_adm3_nom],Tableau50939495135[[#Headers],[Hile-Alifa]])</f>
        <v>27</v>
      </c>
      <c r="W37" s="518">
        <f>SUMIFS(DisplacementP[Individus],DisplacementP[adm3_name],Tableau50939495135[[#This Row],[Arrondissements]],DisplacementP[Statut déplacé],"returnee",DisplacementP[provenance_adm3_nom],Tableau50939495135[[#Headers],[Kousséri]])</f>
        <v>0</v>
      </c>
      <c r="X37" s="518">
        <f>SUMIFS(DisplacementP[Individus],DisplacementP[adm3_name],Tableau50939495135[[#This Row],[Arrondissements]],DisplacementP[Statut déplacé],"returnee",DisplacementP[provenance_adm3_nom],Tableau50939495135[[#Headers],[Logone-Birni]])</f>
        <v>0</v>
      </c>
      <c r="Y37" s="518">
        <f>SUMIFS(DisplacementP[Individus],DisplacementP[adm3_name],Tableau50939495135[[#This Row],[Arrondissements]],DisplacementP[Statut déplacé],"returnee",DisplacementP[provenance_adm3_nom],Tableau50939495135[[#Headers],[Makary]])</f>
        <v>0</v>
      </c>
      <c r="Z37" s="518">
        <f>SUMIFS(DisplacementP[Individus],DisplacementP[adm3_name],Tableau50939495135[[#This Row],[Arrondissements]],DisplacementP[Statut déplacé],"returnee",DisplacementP[provenance_adm3_nom],Tableau50939495135[[#Headers],[Waza]])</f>
        <v>0</v>
      </c>
      <c r="AA37" s="518">
        <f>SUMIFS(DisplacementP[Individus],DisplacementP[adm3_name],Tableau50939495135[[#This Row],[Arrondissements]],DisplacementP[Statut déplacé],"returnee",DisplacementP[provenance_adm3_nom],Tableau50939495135[[#Headers],[Zina]])</f>
        <v>0</v>
      </c>
      <c r="AB37" s="518">
        <f>SUM(Tableau50939495135[[#This Row],[Blangoua]:[Zina]])</f>
        <v>730</v>
      </c>
      <c r="AI37" s="493"/>
    </row>
    <row r="38" spans="1:37" x14ac:dyDescent="0.3">
      <c r="A38" s="516"/>
      <c r="B38" s="518" t="s">
        <v>165</v>
      </c>
      <c r="C38" s="537">
        <f>SUMIFS(DisplacementP[Individus],DisplacementP[Statut déplacé],"idp",DisplacementP[adm3_name],Tableau50939495[[#This Row],[Arrondissements]], DisplacementP[provenance_adm3_nom],Tableau50939495[[#Headers],[Blangoua]])</f>
        <v>0</v>
      </c>
      <c r="D38" s="534">
        <f>SUMIFS(DisplacementP[Individus],DisplacementP[Statut déplacé],"idp",DisplacementP[adm3_name],Tableau50939495[[#This Row],[Arrondissements]], DisplacementP[provenance_adm3_nom],Tableau50939495[[#Headers],[Darak]])</f>
        <v>4884</v>
      </c>
      <c r="E38" s="537">
        <f>SUMIFS(DisplacementP[Individus],DisplacementP[Statut déplacé],"idp",DisplacementP[adm3_name],Tableau50939495[[#This Row],[Arrondissements]], DisplacementP[provenance_adm3_nom],Tableau50939495[[#Headers],[Fotokol]])</f>
        <v>0</v>
      </c>
      <c r="F38" s="537">
        <f>SUMIFS(DisplacementP[Individus],DisplacementP[Statut déplacé],"idp",DisplacementP[adm3_name],Tableau50939495[[#This Row],[Arrondissements]], DisplacementP[provenance_adm3_nom],Tableau50939495[[#Headers],[Goulfey]])</f>
        <v>0</v>
      </c>
      <c r="G38" s="537">
        <f>SUMIFS(DisplacementP[Individus],DisplacementP[Statut déplacé],"idp",DisplacementP[adm3_name],Tableau50939495[[#This Row],[Arrondissements]], DisplacementP[provenance_adm3_nom],Tableau50939495[[#Headers],[Hile-Alifa]])</f>
        <v>572</v>
      </c>
      <c r="H38" s="537">
        <f>SUMIFS(DisplacementP[Individus],DisplacementP[Statut déplacé],"idp",DisplacementP[adm3_name],Tableau50939495[[#This Row],[Arrondissements]], DisplacementP[provenance_adm3_nom],Tableau50939495[[#Headers],[Kousséri]])</f>
        <v>0</v>
      </c>
      <c r="I38" s="537">
        <f>SUMIFS(DisplacementP[Individus],DisplacementP[Statut déplacé],"idp",DisplacementP[adm3_name],Tableau50939495[[#This Row],[Arrondissements]], DisplacementP[provenance_adm3_nom],Tableau50939495[[#Headers],[Logone-Birni]])</f>
        <v>0</v>
      </c>
      <c r="J38" s="537">
        <f>SUMIFS(DisplacementP[Individus],DisplacementP[Statut déplacé],"idp",DisplacementP[adm3_name],Tableau50939495[[#This Row],[Arrondissements]], DisplacementP[provenance_adm3_nom],Tableau50939495[[#Headers],[Makary]])</f>
        <v>0</v>
      </c>
      <c r="K38" s="518">
        <f>SUMIFS(DisplacementP[Individus],DisplacementP[Statut déplacé],"idp",DisplacementP[adm3_name],Tableau50939495[[#This Row],[Arrondissements]], DisplacementP[provenance_adm3_nom],Tableau50939495[[#Headers],[Waza]])</f>
        <v>0</v>
      </c>
      <c r="L38" s="518">
        <f>SUMIFS(DisplacementP[Individus],DisplacementP[Statut déplacé],"idp",DisplacementP[adm3_name],Tableau50939495[[#This Row],[Arrondissements]], DisplacementP[provenance_adm3_nom],Tableau50939495[[#Headers],[Zina]])</f>
        <v>0</v>
      </c>
      <c r="M38" s="518">
        <f>SUM(Tableau50939495[[#This Row],[Blangoua]:[Zina]])</f>
        <v>5456</v>
      </c>
      <c r="N38" s="493"/>
      <c r="P38" s="516"/>
      <c r="Q38" s="518" t="s">
        <v>165</v>
      </c>
      <c r="R38" s="537">
        <f>SUMIFS(DisplacementP[Individus],DisplacementP[adm3_name],Tableau50939495135[[#This Row],[Arrondissements]],DisplacementP[Statut déplacé],"returnee",DisplacementP[provenance_adm3_nom],Tableau50939495135[[#Headers],[Blangoua]])</f>
        <v>0</v>
      </c>
      <c r="S38" s="534">
        <f>SUMIFS(DisplacementP[Individus],DisplacementP[adm3_name],Tableau50939495135[[#This Row],[Arrondissements]],DisplacementP[Statut déplacé],"returnee",DisplacementP[provenance_adm3_nom],Tableau50939495135[[#Headers],[Darak]])</f>
        <v>455</v>
      </c>
      <c r="T38" s="537">
        <f>SUMIFS(DisplacementP[Individus],DisplacementP[adm3_name],Tableau50939495135[[#This Row],[Arrondissements]],DisplacementP[Statut déplacé],"returnee",DisplacementP[provenance_adm3_nom],Tableau50939495135[[#Headers],[Fotokol]])</f>
        <v>0</v>
      </c>
      <c r="U38" s="537">
        <f>SUMIFS(DisplacementP[Individus],DisplacementP[adm3_name],Tableau50939495135[[#This Row],[Arrondissements]],DisplacementP[Statut déplacé],"returnee",DisplacementP[provenance_adm3_nom],Tableau50939495135[[#Headers],[Goulfey]])</f>
        <v>0</v>
      </c>
      <c r="V38" s="537">
        <f>SUMIFS(DisplacementP[Individus],DisplacementP[adm3_name],Tableau50939495135[[#This Row],[Arrondissements]],DisplacementP[Statut déplacé],"returnee",DisplacementP[provenance_adm3_nom],Tableau50939495135[[#Headers],[Hile-Alifa]])</f>
        <v>0</v>
      </c>
      <c r="W38" s="537">
        <f>SUMIFS(DisplacementP[Individus],DisplacementP[adm3_name],Tableau50939495135[[#This Row],[Arrondissements]],DisplacementP[Statut déplacé],"returnee",DisplacementP[provenance_adm3_nom],Tableau50939495135[[#Headers],[Kousséri]])</f>
        <v>0</v>
      </c>
      <c r="X38" s="537">
        <f>SUMIFS(DisplacementP[Individus],DisplacementP[adm3_name],Tableau50939495135[[#This Row],[Arrondissements]],DisplacementP[Statut déplacé],"returnee",DisplacementP[provenance_adm3_nom],Tableau50939495135[[#Headers],[Logone-Birni]])</f>
        <v>0</v>
      </c>
      <c r="Y38" s="537">
        <f>SUMIFS(DisplacementP[Individus],DisplacementP[adm3_name],Tableau50939495135[[#This Row],[Arrondissements]],DisplacementP[Statut déplacé],"returnee",DisplacementP[provenance_adm3_nom],Tableau50939495135[[#Headers],[Makary]])</f>
        <v>0</v>
      </c>
      <c r="Z38" s="518">
        <f>SUMIFS(DisplacementP[Individus],DisplacementP[adm3_name],Tableau50939495135[[#This Row],[Arrondissements]],DisplacementP[Statut déplacé],"returnee",DisplacementP[provenance_adm3_nom],Tableau50939495135[[#Headers],[Waza]])</f>
        <v>0</v>
      </c>
      <c r="AA38" s="518">
        <f>SUMIFS(DisplacementP[Individus],DisplacementP[adm3_name],Tableau50939495135[[#This Row],[Arrondissements]],DisplacementP[Statut déplacé],"returnee",DisplacementP[provenance_adm3_nom],Tableau50939495135[[#Headers],[Zina]])</f>
        <v>0</v>
      </c>
      <c r="AB38" s="518">
        <f>SUM(Tableau50939495135[[#This Row],[Blangoua]:[Zina]])</f>
        <v>455</v>
      </c>
      <c r="AI38" s="493"/>
    </row>
    <row r="39" spans="1:37" x14ac:dyDescent="0.3">
      <c r="A39" s="516"/>
      <c r="B39" s="518" t="s">
        <v>166</v>
      </c>
      <c r="C39" s="518">
        <f>SUMIFS(DisplacementP[Individus],DisplacementP[Statut déplacé],"idp",DisplacementP[adm3_name],Tableau50939495[[#This Row],[Arrondissements]], DisplacementP[provenance_adm3_nom],Tableau50939495[[#Headers],[Blangoua]])</f>
        <v>0</v>
      </c>
      <c r="D39" s="518">
        <f>SUMIFS(DisplacementP[Individus],DisplacementP[Statut déplacé],"idp",DisplacementP[adm3_name],Tableau50939495[[#This Row],[Arrondissements]], DisplacementP[provenance_adm3_nom],Tableau50939495[[#Headers],[Darak]])</f>
        <v>0</v>
      </c>
      <c r="E39" s="534">
        <f>SUMIFS(DisplacementP[Individus],DisplacementP[Statut déplacé],"idp",DisplacementP[adm3_name],Tableau50939495[[#This Row],[Arrondissements]], DisplacementP[provenance_adm3_nom],Tableau50939495[[#Headers],[Fotokol]])</f>
        <v>16716</v>
      </c>
      <c r="F39" s="518">
        <f>SUMIFS(DisplacementP[Individus],DisplacementP[Statut déplacé],"idp",DisplacementP[adm3_name],Tableau50939495[[#This Row],[Arrondissements]], DisplacementP[provenance_adm3_nom],Tableau50939495[[#Headers],[Goulfey]])</f>
        <v>0</v>
      </c>
      <c r="G39" s="518">
        <f>SUMIFS(DisplacementP[Individus],DisplacementP[Statut déplacé],"idp",DisplacementP[adm3_name],Tableau50939495[[#This Row],[Arrondissements]], DisplacementP[provenance_adm3_nom],Tableau50939495[[#Headers],[Hile-Alifa]])</f>
        <v>0</v>
      </c>
      <c r="H39" s="518">
        <f>SUMIFS(DisplacementP[Individus],DisplacementP[Statut déplacé],"idp",DisplacementP[adm3_name],Tableau50939495[[#This Row],[Arrondissements]], DisplacementP[provenance_adm3_nom],Tableau50939495[[#Headers],[Kousséri]])</f>
        <v>0</v>
      </c>
      <c r="I39" s="518">
        <f>SUMIFS(DisplacementP[Individus],DisplacementP[Statut déplacé],"idp",DisplacementP[adm3_name],Tableau50939495[[#This Row],[Arrondissements]], DisplacementP[provenance_adm3_nom],Tableau50939495[[#Headers],[Logone-Birni]])</f>
        <v>0</v>
      </c>
      <c r="J39" s="518">
        <f>SUMIFS(DisplacementP[Individus],DisplacementP[Statut déplacé],"idp",DisplacementP[adm3_name],Tableau50939495[[#This Row],[Arrondissements]], DisplacementP[provenance_adm3_nom],Tableau50939495[[#Headers],[Makary]])</f>
        <v>0</v>
      </c>
      <c r="K39" s="518">
        <f>SUMIFS(DisplacementP[Individus],DisplacementP[Statut déplacé],"idp",DisplacementP[adm3_name],Tableau50939495[[#This Row],[Arrondissements]], DisplacementP[provenance_adm3_nom],Tableau50939495[[#Headers],[Waza]])</f>
        <v>0</v>
      </c>
      <c r="L39" s="518">
        <f>SUMIFS(DisplacementP[Individus],DisplacementP[Statut déplacé],"idp",DisplacementP[adm3_name],Tableau50939495[[#This Row],[Arrondissements]], DisplacementP[provenance_adm3_nom],Tableau50939495[[#Headers],[Zina]])</f>
        <v>0</v>
      </c>
      <c r="M39" s="518">
        <f>SUM(Tableau50939495[[#This Row],[Blangoua]:[Zina]])</f>
        <v>16716</v>
      </c>
      <c r="N39" s="493"/>
      <c r="P39" s="516"/>
      <c r="Q39" s="518" t="s">
        <v>166</v>
      </c>
      <c r="R39" s="518">
        <f>SUMIFS(DisplacementP[Individus],DisplacementP[adm3_name],Tableau50939495135[[#This Row],[Arrondissements]],DisplacementP[Statut déplacé],"returnee",DisplacementP[provenance_adm3_nom],Tableau50939495135[[#Headers],[Blangoua]])</f>
        <v>0</v>
      </c>
      <c r="S39" s="518">
        <f>SUMIFS(DisplacementP[Individus],DisplacementP[adm3_name],Tableau50939495135[[#This Row],[Arrondissements]],DisplacementP[Statut déplacé],"returnee",DisplacementP[provenance_adm3_nom],Tableau50939495135[[#Headers],[Darak]])</f>
        <v>0</v>
      </c>
      <c r="T39" s="534">
        <f>SUMIFS(DisplacementP[Individus],DisplacementP[adm3_name],Tableau50939495135[[#This Row],[Arrondissements]],DisplacementP[Statut déplacé],"returnee",DisplacementP[provenance_adm3_nom],Tableau50939495135[[#Headers],[Fotokol]])</f>
        <v>12563</v>
      </c>
      <c r="U39" s="518">
        <f>SUMIFS(DisplacementP[Individus],DisplacementP[adm3_name],Tableau50939495135[[#This Row],[Arrondissements]],DisplacementP[Statut déplacé],"returnee",DisplacementP[provenance_adm3_nom],Tableau50939495135[[#Headers],[Goulfey]])</f>
        <v>0</v>
      </c>
      <c r="V39" s="518">
        <f>SUMIFS(DisplacementP[Individus],DisplacementP[adm3_name],Tableau50939495135[[#This Row],[Arrondissements]],DisplacementP[Statut déplacé],"returnee",DisplacementP[provenance_adm3_nom],Tableau50939495135[[#Headers],[Hile-Alifa]])</f>
        <v>0</v>
      </c>
      <c r="W39" s="518">
        <f>SUMIFS(DisplacementP[Individus],DisplacementP[adm3_name],Tableau50939495135[[#This Row],[Arrondissements]],DisplacementP[Statut déplacé],"returnee",DisplacementP[provenance_adm3_nom],Tableau50939495135[[#Headers],[Kousséri]])</f>
        <v>0</v>
      </c>
      <c r="X39" s="518">
        <f>SUMIFS(DisplacementP[Individus],DisplacementP[adm3_name],Tableau50939495135[[#This Row],[Arrondissements]],DisplacementP[Statut déplacé],"returnee",DisplacementP[provenance_adm3_nom],Tableau50939495135[[#Headers],[Logone-Birni]])</f>
        <v>0</v>
      </c>
      <c r="Y39" s="518">
        <f>SUMIFS(DisplacementP[Individus],DisplacementP[adm3_name],Tableau50939495135[[#This Row],[Arrondissements]],DisplacementP[Statut déplacé],"returnee",DisplacementP[provenance_adm3_nom],Tableau50939495135[[#Headers],[Makary]])</f>
        <v>0</v>
      </c>
      <c r="Z39" s="518">
        <f>SUMIFS(DisplacementP[Individus],DisplacementP[adm3_name],Tableau50939495135[[#This Row],[Arrondissements]],DisplacementP[Statut déplacé],"returnee",DisplacementP[provenance_adm3_nom],Tableau50939495135[[#Headers],[Waza]])</f>
        <v>0</v>
      </c>
      <c r="AA39" s="518">
        <f>SUMIFS(DisplacementP[Individus],DisplacementP[adm3_name],Tableau50939495135[[#This Row],[Arrondissements]],DisplacementP[Statut déplacé],"returnee",DisplacementP[provenance_adm3_nom],Tableau50939495135[[#Headers],[Zina]])</f>
        <v>0</v>
      </c>
      <c r="AB39" s="518">
        <f>SUM(Tableau50939495135[[#This Row],[Blangoua]:[Zina]])</f>
        <v>12563</v>
      </c>
      <c r="AI39" s="493"/>
    </row>
    <row r="40" spans="1:37" x14ac:dyDescent="0.3">
      <c r="A40" s="516"/>
      <c r="B40" s="518" t="s">
        <v>167</v>
      </c>
      <c r="C40" s="537">
        <f>SUMIFS(DisplacementP[Individus],DisplacementP[Statut déplacé],"idp",DisplacementP[adm3_name],Tableau50939495[[#This Row],[Arrondissements]], DisplacementP[provenance_adm3_nom],Tableau50939495[[#Headers],[Blangoua]])</f>
        <v>0</v>
      </c>
      <c r="D40" s="537">
        <f>SUMIFS(DisplacementP[Individus],DisplacementP[Statut déplacé],"idp",DisplacementP[adm3_name],Tableau50939495[[#This Row],[Arrondissements]], DisplacementP[provenance_adm3_nom],Tableau50939495[[#Headers],[Darak]])</f>
        <v>0</v>
      </c>
      <c r="E40" s="537">
        <f>SUMIFS(DisplacementP[Individus],DisplacementP[Statut déplacé],"idp",DisplacementP[adm3_name],Tableau50939495[[#This Row],[Arrondissements]], DisplacementP[provenance_adm3_nom],Tableau50939495[[#Headers],[Fotokol]])</f>
        <v>896</v>
      </c>
      <c r="F40" s="534">
        <f>SUMIFS(DisplacementP[Individus],DisplacementP[Statut déplacé],"idp",DisplacementP[adm3_name],Tableau50939495[[#This Row],[Arrondissements]], DisplacementP[provenance_adm3_nom],Tableau50939495[[#Headers],[Goulfey]])</f>
        <v>3246</v>
      </c>
      <c r="G40" s="537">
        <f>SUMIFS(DisplacementP[Individus],DisplacementP[Statut déplacé],"idp",DisplacementP[adm3_name],Tableau50939495[[#This Row],[Arrondissements]], DisplacementP[provenance_adm3_nom],Tableau50939495[[#Headers],[Hile-Alifa]])</f>
        <v>0</v>
      </c>
      <c r="H40" s="537">
        <f>SUMIFS(DisplacementP[Individus],DisplacementP[Statut déplacé],"idp",DisplacementP[adm3_name],Tableau50939495[[#This Row],[Arrondissements]], DisplacementP[provenance_adm3_nom],Tableau50939495[[#Headers],[Kousséri]])</f>
        <v>0</v>
      </c>
      <c r="I40" s="537">
        <f>SUMIFS(DisplacementP[Individus],DisplacementP[Statut déplacé],"idp",DisplacementP[adm3_name],Tableau50939495[[#This Row],[Arrondissements]], DisplacementP[provenance_adm3_nom],Tableau50939495[[#Headers],[Logone-Birni]])</f>
        <v>59</v>
      </c>
      <c r="J40" s="537">
        <f>SUMIFS(DisplacementP[Individus],DisplacementP[Statut déplacé],"idp",DisplacementP[adm3_name],Tableau50939495[[#This Row],[Arrondissements]], DisplacementP[provenance_adm3_nom],Tableau50939495[[#Headers],[Makary]])</f>
        <v>232</v>
      </c>
      <c r="K40" s="518">
        <f>SUMIFS(DisplacementP[Individus],DisplacementP[Statut déplacé],"idp",DisplacementP[adm3_name],Tableau50939495[[#This Row],[Arrondissements]], DisplacementP[provenance_adm3_nom],Tableau50939495[[#Headers],[Waza]])</f>
        <v>0</v>
      </c>
      <c r="L40" s="518">
        <f>SUMIFS(DisplacementP[Individus],DisplacementP[Statut déplacé],"idp",DisplacementP[adm3_name],Tableau50939495[[#This Row],[Arrondissements]], DisplacementP[provenance_adm3_nom],Tableau50939495[[#Headers],[Zina]])</f>
        <v>0</v>
      </c>
      <c r="M40" s="518">
        <f>SUM(Tableau50939495[[#This Row],[Blangoua]:[Zina]])</f>
        <v>4433</v>
      </c>
      <c r="N40" s="493"/>
      <c r="P40" s="516"/>
      <c r="Q40" s="518" t="s">
        <v>167</v>
      </c>
      <c r="R40" s="537">
        <f>SUMIFS(DisplacementP[Individus],DisplacementP[adm3_name],Tableau50939495135[[#This Row],[Arrondissements]],DisplacementP[Statut déplacé],"returnee",DisplacementP[provenance_adm3_nom],Tableau50939495135[[#Headers],[Blangoua]])</f>
        <v>0</v>
      </c>
      <c r="S40" s="537">
        <f>SUMIFS(DisplacementP[Individus],DisplacementP[adm3_name],Tableau50939495135[[#This Row],[Arrondissements]],DisplacementP[Statut déplacé],"returnee",DisplacementP[provenance_adm3_nom],Tableau50939495135[[#Headers],[Darak]])</f>
        <v>0</v>
      </c>
      <c r="T40" s="537">
        <f>SUMIFS(DisplacementP[Individus],DisplacementP[adm3_name],Tableau50939495135[[#This Row],[Arrondissements]],DisplacementP[Statut déplacé],"returnee",DisplacementP[provenance_adm3_nom],Tableau50939495135[[#Headers],[Fotokol]])</f>
        <v>70</v>
      </c>
      <c r="U40" s="534">
        <f>SUMIFS(DisplacementP[Individus],DisplacementP[adm3_name],Tableau50939495135[[#This Row],[Arrondissements]],DisplacementP[Statut déplacé],"returnee",DisplacementP[provenance_adm3_nom],Tableau50939495135[[#Headers],[Goulfey]])</f>
        <v>396</v>
      </c>
      <c r="V40" s="537">
        <f>SUMIFS(DisplacementP[Individus],DisplacementP[adm3_name],Tableau50939495135[[#This Row],[Arrondissements]],DisplacementP[Statut déplacé],"returnee",DisplacementP[provenance_adm3_nom],Tableau50939495135[[#Headers],[Hile-Alifa]])</f>
        <v>0</v>
      </c>
      <c r="W40" s="537">
        <f>SUMIFS(DisplacementP[Individus],DisplacementP[adm3_name],Tableau50939495135[[#This Row],[Arrondissements]],DisplacementP[Statut déplacé],"returnee",DisplacementP[provenance_adm3_nom],Tableau50939495135[[#Headers],[Kousséri]])</f>
        <v>0</v>
      </c>
      <c r="X40" s="537">
        <f>SUMIFS(DisplacementP[Individus],DisplacementP[adm3_name],Tableau50939495135[[#This Row],[Arrondissements]],DisplacementP[Statut déplacé],"returnee",DisplacementP[provenance_adm3_nom],Tableau50939495135[[#Headers],[Logone-Birni]])</f>
        <v>0</v>
      </c>
      <c r="Y40" s="537">
        <f>SUMIFS(DisplacementP[Individus],DisplacementP[adm3_name],Tableau50939495135[[#This Row],[Arrondissements]],DisplacementP[Statut déplacé],"returnee",DisplacementP[provenance_adm3_nom],Tableau50939495135[[#Headers],[Makary]])</f>
        <v>204</v>
      </c>
      <c r="Z40" s="518">
        <f>SUMIFS(DisplacementP[Individus],DisplacementP[adm3_name],Tableau50939495135[[#This Row],[Arrondissements]],DisplacementP[Statut déplacé],"returnee",DisplacementP[provenance_adm3_nom],Tableau50939495135[[#Headers],[Waza]])</f>
        <v>0</v>
      </c>
      <c r="AA40" s="518">
        <f>SUMIFS(DisplacementP[Individus],DisplacementP[adm3_name],Tableau50939495135[[#This Row],[Arrondissements]],DisplacementP[Statut déplacé],"returnee",DisplacementP[provenance_adm3_nom],Tableau50939495135[[#Headers],[Zina]])</f>
        <v>0</v>
      </c>
      <c r="AB40" s="518">
        <f>SUM(Tableau50939495135[[#This Row],[Blangoua]:[Zina]])</f>
        <v>670</v>
      </c>
      <c r="AI40" s="493"/>
    </row>
    <row r="41" spans="1:37" x14ac:dyDescent="0.3">
      <c r="A41" s="516"/>
      <c r="B41" s="518" t="s">
        <v>168</v>
      </c>
      <c r="C41" s="518">
        <f>SUMIFS(DisplacementP[Individus],DisplacementP[Statut déplacé],"idp",DisplacementP[adm3_name],Tableau50939495[[#This Row],[Arrondissements]], DisplacementP[provenance_adm3_nom],Tableau50939495[[#Headers],[Blangoua]])</f>
        <v>0</v>
      </c>
      <c r="D41" s="518">
        <f>SUMIFS(DisplacementP[Individus],DisplacementP[Statut déplacé],"idp",DisplacementP[adm3_name],Tableau50939495[[#This Row],[Arrondissements]], DisplacementP[provenance_adm3_nom],Tableau50939495[[#Headers],[Darak]])</f>
        <v>0</v>
      </c>
      <c r="E41" s="518">
        <f>SUMIFS(DisplacementP[Individus],DisplacementP[Statut déplacé],"idp",DisplacementP[adm3_name],Tableau50939495[[#This Row],[Arrondissements]], DisplacementP[provenance_adm3_nom],Tableau50939495[[#Headers],[Fotokol]])</f>
        <v>0</v>
      </c>
      <c r="F41" s="518">
        <f>SUMIFS(DisplacementP[Individus],DisplacementP[Statut déplacé],"idp",DisplacementP[adm3_name],Tableau50939495[[#This Row],[Arrondissements]], DisplacementP[provenance_adm3_nom],Tableau50939495[[#Headers],[Goulfey]])</f>
        <v>0</v>
      </c>
      <c r="G41" s="534">
        <f>SUMIFS(DisplacementP[Individus],DisplacementP[Statut déplacé],"idp",DisplacementP[adm3_name],Tableau50939495[[#This Row],[Arrondissements]], DisplacementP[provenance_adm3_nom],Tableau50939495[[#Headers],[Hile-Alifa]])</f>
        <v>0</v>
      </c>
      <c r="H41" s="518">
        <f>SUMIFS(DisplacementP[Individus],DisplacementP[Statut déplacé],"idp",DisplacementP[adm3_name],Tableau50939495[[#This Row],[Arrondissements]], DisplacementP[provenance_adm3_nom],Tableau50939495[[#Headers],[Kousséri]])</f>
        <v>0</v>
      </c>
      <c r="I41" s="518">
        <f>SUMIFS(DisplacementP[Individus],DisplacementP[Statut déplacé],"idp",DisplacementP[adm3_name],Tableau50939495[[#This Row],[Arrondissements]], DisplacementP[provenance_adm3_nom],Tableau50939495[[#Headers],[Logone-Birni]])</f>
        <v>0</v>
      </c>
      <c r="J41" s="518">
        <f>SUMIFS(DisplacementP[Individus],DisplacementP[Statut déplacé],"idp",DisplacementP[adm3_name],Tableau50939495[[#This Row],[Arrondissements]], DisplacementP[provenance_adm3_nom],Tableau50939495[[#Headers],[Makary]])</f>
        <v>0</v>
      </c>
      <c r="K41" s="518">
        <f>SUMIFS(DisplacementP[Individus],DisplacementP[Statut déplacé],"idp",DisplacementP[adm3_name],Tableau50939495[[#This Row],[Arrondissements]], DisplacementP[provenance_adm3_nom],Tableau50939495[[#Headers],[Waza]])</f>
        <v>0</v>
      </c>
      <c r="L41" s="518">
        <f>SUMIFS(DisplacementP[Individus],DisplacementP[Statut déplacé],"idp",DisplacementP[adm3_name],Tableau50939495[[#This Row],[Arrondissements]], DisplacementP[provenance_adm3_nom],Tableau50939495[[#Headers],[Zina]])</f>
        <v>0</v>
      </c>
      <c r="M41" s="518">
        <f>SUM(Tableau50939495[[#This Row],[Blangoua]:[Zina]])</f>
        <v>0</v>
      </c>
      <c r="N41" s="493"/>
      <c r="P41" s="516"/>
      <c r="Q41" s="518" t="s">
        <v>168</v>
      </c>
      <c r="R41" s="518">
        <f>SUMIFS(DisplacementP[Individus],DisplacementP[adm3_name],Tableau50939495135[[#This Row],[Arrondissements]],DisplacementP[Statut déplacé],"returnee",DisplacementP[provenance_adm3_nom],Tableau50939495135[[#Headers],[Blangoua]])</f>
        <v>0</v>
      </c>
      <c r="S41" s="518">
        <f>SUMIFS(DisplacementP[Individus],DisplacementP[adm3_name],Tableau50939495135[[#This Row],[Arrondissements]],DisplacementP[Statut déplacé],"returnee",DisplacementP[provenance_adm3_nom],Tableau50939495135[[#Headers],[Darak]])</f>
        <v>0</v>
      </c>
      <c r="T41" s="518">
        <f>SUMIFS(DisplacementP[Individus],DisplacementP[adm3_name],Tableau50939495135[[#This Row],[Arrondissements]],DisplacementP[Statut déplacé],"returnee",DisplacementP[provenance_adm3_nom],Tableau50939495135[[#Headers],[Fotokol]])</f>
        <v>0</v>
      </c>
      <c r="U41" s="518">
        <f>SUMIFS(DisplacementP[Individus],DisplacementP[adm3_name],Tableau50939495135[[#This Row],[Arrondissements]],DisplacementP[Statut déplacé],"returnee",DisplacementP[provenance_adm3_nom],Tableau50939495135[[#Headers],[Goulfey]])</f>
        <v>0</v>
      </c>
      <c r="V41" s="534">
        <f>SUMIFS(DisplacementP[Individus],DisplacementP[adm3_name],Tableau50939495135[[#This Row],[Arrondissements]],DisplacementP[Statut déplacé],"returnee",DisplacementP[provenance_adm3_nom],Tableau50939495135[[#Headers],[Hile-Alifa]])</f>
        <v>0</v>
      </c>
      <c r="W41" s="518">
        <f>SUMIFS(DisplacementP[Individus],DisplacementP[adm3_name],Tableau50939495135[[#This Row],[Arrondissements]],DisplacementP[Statut déplacé],"returnee",DisplacementP[provenance_adm3_nom],Tableau50939495135[[#Headers],[Kousséri]])</f>
        <v>0</v>
      </c>
      <c r="X41" s="518">
        <f>SUMIFS(DisplacementP[Individus],DisplacementP[adm3_name],Tableau50939495135[[#This Row],[Arrondissements]],DisplacementP[Statut déplacé],"returnee",DisplacementP[provenance_adm3_nom],Tableau50939495135[[#Headers],[Logone-Birni]])</f>
        <v>0</v>
      </c>
      <c r="Y41" s="518">
        <f>SUMIFS(DisplacementP[Individus],DisplacementP[adm3_name],Tableau50939495135[[#This Row],[Arrondissements]],DisplacementP[Statut déplacé],"returnee",DisplacementP[provenance_adm3_nom],Tableau50939495135[[#Headers],[Makary]])</f>
        <v>0</v>
      </c>
      <c r="Z41" s="518">
        <f>SUMIFS(DisplacementP[Individus],DisplacementP[adm3_name],Tableau50939495135[[#This Row],[Arrondissements]],DisplacementP[Statut déplacé],"returnee",DisplacementP[provenance_adm3_nom],Tableau50939495135[[#Headers],[Waza]])</f>
        <v>0</v>
      </c>
      <c r="AA41" s="518">
        <f>SUMIFS(DisplacementP[Individus],DisplacementP[adm3_name],Tableau50939495135[[#This Row],[Arrondissements]],DisplacementP[Statut déplacé],"returnee",DisplacementP[provenance_adm3_nom],Tableau50939495135[[#Headers],[Zina]])</f>
        <v>0</v>
      </c>
      <c r="AB41" s="518">
        <f>SUM(Tableau50939495135[[#This Row],[Blangoua]:[Zina]])</f>
        <v>0</v>
      </c>
      <c r="AI41" s="493"/>
    </row>
    <row r="42" spans="1:37" x14ac:dyDescent="0.3">
      <c r="A42" s="516"/>
      <c r="B42" s="518" t="s">
        <v>170</v>
      </c>
      <c r="C42" s="537">
        <f>SUMIFS(DisplacementP[Individus],DisplacementP[Statut déplacé],"idp",DisplacementP[adm3_name],Tableau50939495[[#This Row],[Arrondissements]], DisplacementP[provenance_adm3_nom],Tableau50939495[[#Headers],[Blangoua]])</f>
        <v>0</v>
      </c>
      <c r="D42" s="537">
        <f>SUMIFS(DisplacementP[Individus],DisplacementP[Statut déplacé],"idp",DisplacementP[adm3_name],Tableau50939495[[#This Row],[Arrondissements]], DisplacementP[provenance_adm3_nom],Tableau50939495[[#Headers],[Darak]])</f>
        <v>0</v>
      </c>
      <c r="E42" s="537">
        <f>SUMIFS(DisplacementP[Individus],DisplacementP[Statut déplacé],"idp",DisplacementP[adm3_name],Tableau50939495[[#This Row],[Arrondissements]], DisplacementP[provenance_adm3_nom],Tableau50939495[[#Headers],[Fotokol]])</f>
        <v>5251</v>
      </c>
      <c r="F42" s="537">
        <f>SUMIFS(DisplacementP[Individus],DisplacementP[Statut déplacé],"idp",DisplacementP[adm3_name],Tableau50939495[[#This Row],[Arrondissements]], DisplacementP[provenance_adm3_nom],Tableau50939495[[#Headers],[Goulfey]])</f>
        <v>0</v>
      </c>
      <c r="G42" s="537">
        <f>SUMIFS(DisplacementP[Individus],DisplacementP[Statut déplacé],"idp",DisplacementP[adm3_name],Tableau50939495[[#This Row],[Arrondissements]], DisplacementP[provenance_adm3_nom],Tableau50939495[[#Headers],[Hile-Alifa]])</f>
        <v>0</v>
      </c>
      <c r="H42" s="534">
        <f>SUMIFS(DisplacementP[Individus],DisplacementP[Statut déplacé],"idp",DisplacementP[adm3_name],Tableau50939495[[#This Row],[Arrondissements]], DisplacementP[provenance_adm3_nom],Tableau50939495[[#Headers],[Kousséri]])</f>
        <v>5261</v>
      </c>
      <c r="I42" s="537">
        <f>SUMIFS(DisplacementP[Individus],DisplacementP[Statut déplacé],"idp",DisplacementP[adm3_name],Tableau50939495[[#This Row],[Arrondissements]], DisplacementP[provenance_adm3_nom],Tableau50939495[[#Headers],[Logone-Birni]])</f>
        <v>2761</v>
      </c>
      <c r="J42" s="537">
        <f>SUMIFS(DisplacementP[Individus],DisplacementP[Statut déplacé],"idp",DisplacementP[adm3_name],Tableau50939495[[#This Row],[Arrondissements]], DisplacementP[provenance_adm3_nom],Tableau50939495[[#Headers],[Makary]])</f>
        <v>0</v>
      </c>
      <c r="K42" s="518">
        <f>SUMIFS(DisplacementP[Individus],DisplacementP[Statut déplacé],"idp",DisplacementP[adm3_name],Tableau50939495[[#This Row],[Arrondissements]], DisplacementP[provenance_adm3_nom],Tableau50939495[[#Headers],[Waza]])</f>
        <v>0</v>
      </c>
      <c r="L42" s="518">
        <f>SUMIFS(DisplacementP[Individus],DisplacementP[Statut déplacé],"idp",DisplacementP[adm3_name],Tableau50939495[[#This Row],[Arrondissements]], DisplacementP[provenance_adm3_nom],Tableau50939495[[#Headers],[Zina]])</f>
        <v>0</v>
      </c>
      <c r="M42" s="518">
        <f>SUM(Tableau50939495[[#This Row],[Blangoua]:[Zina]])</f>
        <v>13273</v>
      </c>
      <c r="N42" s="493"/>
      <c r="P42" s="516"/>
      <c r="Q42" s="518" t="s">
        <v>170</v>
      </c>
      <c r="R42" s="537">
        <f>SUMIFS(DisplacementP[Individus],DisplacementP[adm3_name],Tableau50939495135[[#This Row],[Arrondissements]],DisplacementP[Statut déplacé],"returnee",DisplacementP[provenance_adm3_nom],Tableau50939495135[[#Headers],[Blangoua]])</f>
        <v>0</v>
      </c>
      <c r="S42" s="537">
        <f>SUMIFS(DisplacementP[Individus],DisplacementP[adm3_name],Tableau50939495135[[#This Row],[Arrondissements]],DisplacementP[Statut déplacé],"returnee",DisplacementP[provenance_adm3_nom],Tableau50939495135[[#Headers],[Darak]])</f>
        <v>0</v>
      </c>
      <c r="T42" s="537">
        <f>SUMIFS(DisplacementP[Individus],DisplacementP[adm3_name],Tableau50939495135[[#This Row],[Arrondissements]],DisplacementP[Statut déplacé],"returnee",DisplacementP[provenance_adm3_nom],Tableau50939495135[[#Headers],[Fotokol]])</f>
        <v>0</v>
      </c>
      <c r="U42" s="537">
        <f>SUMIFS(DisplacementP[Individus],DisplacementP[adm3_name],Tableau50939495135[[#This Row],[Arrondissements]],DisplacementP[Statut déplacé],"returnee",DisplacementP[provenance_adm3_nom],Tableau50939495135[[#Headers],[Goulfey]])</f>
        <v>0</v>
      </c>
      <c r="V42" s="537">
        <f>SUMIFS(DisplacementP[Individus],DisplacementP[adm3_name],Tableau50939495135[[#This Row],[Arrondissements]],DisplacementP[Statut déplacé],"returnee",DisplacementP[provenance_adm3_nom],Tableau50939495135[[#Headers],[Hile-Alifa]])</f>
        <v>0</v>
      </c>
      <c r="W42" s="534">
        <f>SUMIFS(DisplacementP[Individus],DisplacementP[adm3_name],Tableau50939495135[[#This Row],[Arrondissements]],DisplacementP[Statut déplacé],"returnee",DisplacementP[provenance_adm3_nom],Tableau50939495135[[#Headers],[Kousséri]])</f>
        <v>2005</v>
      </c>
      <c r="X42" s="537">
        <f>SUMIFS(DisplacementP[Individus],DisplacementP[adm3_name],Tableau50939495135[[#This Row],[Arrondissements]],DisplacementP[Statut déplacé],"returnee",DisplacementP[provenance_adm3_nom],Tableau50939495135[[#Headers],[Logone-Birni]])</f>
        <v>0</v>
      </c>
      <c r="Y42" s="537">
        <f>SUMIFS(DisplacementP[Individus],DisplacementP[adm3_name],Tableau50939495135[[#This Row],[Arrondissements]],DisplacementP[Statut déplacé],"returnee",DisplacementP[provenance_adm3_nom],Tableau50939495135[[#Headers],[Makary]])</f>
        <v>0</v>
      </c>
      <c r="Z42" s="518">
        <f>SUMIFS(DisplacementP[Individus],DisplacementP[adm3_name],Tableau50939495135[[#This Row],[Arrondissements]],DisplacementP[Statut déplacé],"returnee",DisplacementP[provenance_adm3_nom],Tableau50939495135[[#Headers],[Waza]])</f>
        <v>0</v>
      </c>
      <c r="AA42" s="518">
        <f>SUMIFS(DisplacementP[Individus],DisplacementP[adm3_name],Tableau50939495135[[#This Row],[Arrondissements]],DisplacementP[Statut déplacé],"returnee",DisplacementP[provenance_adm3_nom],Tableau50939495135[[#Headers],[Zina]])</f>
        <v>0</v>
      </c>
      <c r="AB42" s="518">
        <f>SUM(Tableau50939495135[[#This Row],[Blangoua]:[Zina]])</f>
        <v>2005</v>
      </c>
      <c r="AI42" s="493"/>
    </row>
    <row r="43" spans="1:37" x14ac:dyDescent="0.3">
      <c r="A43" s="516"/>
      <c r="B43" s="518" t="s">
        <v>169</v>
      </c>
      <c r="C43" s="558">
        <f>SUMIFS(DisplacementP[Individus],DisplacementP[Statut déplacé],"idp",DisplacementP[adm3_name],Tableau50939495[[#This Row],[Arrondissements]], DisplacementP[provenance_adm3_nom],Tableau50939495[[#Headers],[Blangoua]])</f>
        <v>0</v>
      </c>
      <c r="D43" s="558">
        <f>SUMIFS(DisplacementP[Individus],DisplacementP[Statut déplacé],"idp",DisplacementP[adm3_name],Tableau50939495[[#This Row],[Arrondissements]], DisplacementP[provenance_adm3_nom],Tableau50939495[[#Headers],[Darak]])</f>
        <v>0</v>
      </c>
      <c r="E43" s="558">
        <f>SUMIFS(DisplacementP[Individus],DisplacementP[Statut déplacé],"idp",DisplacementP[adm3_name],Tableau50939495[[#This Row],[Arrondissements]], DisplacementP[provenance_adm3_nom],Tableau50939495[[#Headers],[Fotokol]])</f>
        <v>0</v>
      </c>
      <c r="F43" s="558">
        <f>SUMIFS(DisplacementP[Individus],DisplacementP[Statut déplacé],"idp",DisplacementP[adm3_name],Tableau50939495[[#This Row],[Arrondissements]], DisplacementP[provenance_adm3_nom],Tableau50939495[[#Headers],[Goulfey]])</f>
        <v>0</v>
      </c>
      <c r="G43" s="558">
        <f>SUMIFS(DisplacementP[Individus],DisplacementP[Statut déplacé],"idp",DisplacementP[adm3_name],Tableau50939495[[#This Row],[Arrondissements]], DisplacementP[provenance_adm3_nom],Tableau50939495[[#Headers],[Hile-Alifa]])</f>
        <v>0</v>
      </c>
      <c r="H43" s="558">
        <f>SUMIFS(DisplacementP[Individus],DisplacementP[Statut déplacé],"idp",DisplacementP[adm3_name],Tableau50939495[[#This Row],[Arrondissements]], DisplacementP[provenance_adm3_nom],Tableau50939495[[#Headers],[Kousséri]])</f>
        <v>0</v>
      </c>
      <c r="I43" s="534">
        <f>SUMIFS(DisplacementP[Individus],DisplacementP[Statut déplacé],"idp",DisplacementP[adm3_name],Tableau50939495[[#This Row],[Arrondissements]], DisplacementP[provenance_adm3_nom],Tableau50939495[[#Headers],[Logone-Birni]])</f>
        <v>13017</v>
      </c>
      <c r="J43" s="558">
        <f>SUMIFS(DisplacementP[Individus],DisplacementP[Statut déplacé],"idp",DisplacementP[adm3_name],Tableau50939495[[#This Row],[Arrondissements]], DisplacementP[provenance_adm3_nom],Tableau50939495[[#Headers],[Makary]])</f>
        <v>0</v>
      </c>
      <c r="K43" s="518">
        <f>SUMIFS(DisplacementP[Individus],DisplacementP[Statut déplacé],"idp",DisplacementP[adm3_name],Tableau50939495[[#This Row],[Arrondissements]], DisplacementP[provenance_adm3_nom],Tableau50939495[[#Headers],[Waza]])</f>
        <v>1687</v>
      </c>
      <c r="L43" s="518">
        <f>SUMIFS(DisplacementP[Individus],DisplacementP[Statut déplacé],"idp",DisplacementP[adm3_name],Tableau50939495[[#This Row],[Arrondissements]], DisplacementP[provenance_adm3_nom],Tableau50939495[[#Headers],[Zina]])</f>
        <v>30</v>
      </c>
      <c r="M43" s="518">
        <f>SUM(Tableau50939495[[#This Row],[Blangoua]:[Zina]])</f>
        <v>14734</v>
      </c>
      <c r="N43" s="493"/>
      <c r="P43" s="516"/>
      <c r="Q43" s="518" t="s">
        <v>169</v>
      </c>
      <c r="R43" s="558">
        <f>SUMIFS(DisplacementP[Individus],DisplacementP[adm3_name],Tableau50939495135[[#This Row],[Arrondissements]],DisplacementP[Statut déplacé],"returnee",DisplacementP[provenance_adm3_nom],Tableau50939495135[[#Headers],[Blangoua]])</f>
        <v>0</v>
      </c>
      <c r="S43" s="558">
        <f>SUMIFS(DisplacementP[Individus],DisplacementP[adm3_name],Tableau50939495135[[#This Row],[Arrondissements]],DisplacementP[Statut déplacé],"returnee",DisplacementP[provenance_adm3_nom],Tableau50939495135[[#Headers],[Darak]])</f>
        <v>0</v>
      </c>
      <c r="T43" s="558">
        <f>SUMIFS(DisplacementP[Individus],DisplacementP[adm3_name],Tableau50939495135[[#This Row],[Arrondissements]],DisplacementP[Statut déplacé],"returnee",DisplacementP[provenance_adm3_nom],Tableau50939495135[[#Headers],[Fotokol]])</f>
        <v>0</v>
      </c>
      <c r="U43" s="558">
        <f>SUMIFS(DisplacementP[Individus],DisplacementP[adm3_name],Tableau50939495135[[#This Row],[Arrondissements]],DisplacementP[Statut déplacé],"returnee",DisplacementP[provenance_adm3_nom],Tableau50939495135[[#Headers],[Goulfey]])</f>
        <v>0</v>
      </c>
      <c r="V43" s="558">
        <f>SUMIFS(DisplacementP[Individus],DisplacementP[adm3_name],Tableau50939495135[[#This Row],[Arrondissements]],DisplacementP[Statut déplacé],"returnee",DisplacementP[provenance_adm3_nom],Tableau50939495135[[#Headers],[Hile-Alifa]])</f>
        <v>0</v>
      </c>
      <c r="W43" s="558">
        <f>SUMIFS(DisplacementP[Individus],DisplacementP[adm3_name],Tableau50939495135[[#This Row],[Arrondissements]],DisplacementP[Statut déplacé],"returnee",DisplacementP[provenance_adm3_nom],Tableau50939495135[[#Headers],[Kousséri]])</f>
        <v>1799</v>
      </c>
      <c r="X43" s="534">
        <f>SUMIFS(DisplacementP[Individus],DisplacementP[adm3_name],Tableau50939495135[[#This Row],[Arrondissements]],DisplacementP[Statut déplacé],"returnee",DisplacementP[provenance_adm3_nom],Tableau50939495135[[#Headers],[Logone-Birni]])</f>
        <v>11417</v>
      </c>
      <c r="Y43" s="558">
        <f>SUMIFS(DisplacementP[Individus],DisplacementP[adm3_name],Tableau50939495135[[#This Row],[Arrondissements]],DisplacementP[Statut déplacé],"returnee",DisplacementP[provenance_adm3_nom],Tableau50939495135[[#Headers],[Makary]])</f>
        <v>300</v>
      </c>
      <c r="Z43" s="518">
        <f>SUMIFS(DisplacementP[Individus],DisplacementP[adm3_name],Tableau50939495135[[#This Row],[Arrondissements]],DisplacementP[Statut déplacé],"returnee",DisplacementP[provenance_adm3_nom],Tableau50939495135[[#Headers],[Waza]])</f>
        <v>3257</v>
      </c>
      <c r="AA43" s="518">
        <f>SUMIFS(DisplacementP[Individus],DisplacementP[adm3_name],Tableau50939495135[[#This Row],[Arrondissements]],DisplacementP[Statut déplacé],"returnee",DisplacementP[provenance_adm3_nom],Tableau50939495135[[#Headers],[Zina]])</f>
        <v>0</v>
      </c>
      <c r="AB43" s="518">
        <f>SUM(Tableau50939495135[[#This Row],[Blangoua]:[Zina]])</f>
        <v>16773</v>
      </c>
      <c r="AI43" s="493"/>
    </row>
    <row r="44" spans="1:37" x14ac:dyDescent="0.3">
      <c r="A44" s="516"/>
      <c r="B44" s="518" t="s">
        <v>171</v>
      </c>
      <c r="C44" s="537">
        <f>SUMIFS(DisplacementP[Individus],DisplacementP[Statut déplacé],"idp",DisplacementP[adm3_name],Tableau50939495[[#This Row],[Arrondissements]], DisplacementP[provenance_adm3_nom],Tableau50939495[[#Headers],[Blangoua]])</f>
        <v>124</v>
      </c>
      <c r="D44" s="537">
        <f>SUMIFS(DisplacementP[Individus],DisplacementP[Statut déplacé],"idp",DisplacementP[adm3_name],Tableau50939495[[#This Row],[Arrondissements]], DisplacementP[provenance_adm3_nom],Tableau50939495[[#Headers],[Darak]])</f>
        <v>2053</v>
      </c>
      <c r="E44" s="537">
        <f>SUMIFS(DisplacementP[Individus],DisplacementP[Statut déplacé],"idp",DisplacementP[adm3_name],Tableau50939495[[#This Row],[Arrondissements]], DisplacementP[provenance_adm3_nom],Tableau50939495[[#Headers],[Fotokol]])</f>
        <v>22797</v>
      </c>
      <c r="F44" s="537">
        <f>SUMIFS(DisplacementP[Individus],DisplacementP[Statut déplacé],"idp",DisplacementP[adm3_name],Tableau50939495[[#This Row],[Arrondissements]], DisplacementP[provenance_adm3_nom],Tableau50939495[[#Headers],[Goulfey]])</f>
        <v>401</v>
      </c>
      <c r="G44" s="537">
        <f>SUMIFS(DisplacementP[Individus],DisplacementP[Statut déplacé],"idp",DisplacementP[adm3_name],Tableau50939495[[#This Row],[Arrondissements]], DisplacementP[provenance_adm3_nom],Tableau50939495[[#Headers],[Hile-Alifa]])</f>
        <v>1690</v>
      </c>
      <c r="H44" s="537">
        <f>SUMIFS(DisplacementP[Individus],DisplacementP[Statut déplacé],"idp",DisplacementP[adm3_name],Tableau50939495[[#This Row],[Arrondissements]], DisplacementP[provenance_adm3_nom],Tableau50939495[[#Headers],[Kousséri]])</f>
        <v>0</v>
      </c>
      <c r="I44" s="537">
        <f>SUMIFS(DisplacementP[Individus],DisplacementP[Statut déplacé],"idp",DisplacementP[adm3_name],Tableau50939495[[#This Row],[Arrondissements]], DisplacementP[provenance_adm3_nom],Tableau50939495[[#Headers],[Logone-Birni]])</f>
        <v>575</v>
      </c>
      <c r="J44" s="534">
        <f>SUMIFS(DisplacementP[Individus],DisplacementP[Statut déplacé],"idp",DisplacementP[adm3_name],Tableau50939495[[#This Row],[Arrondissements]], DisplacementP[provenance_adm3_nom],Tableau50939495[[#Headers],[Makary]])</f>
        <v>34618</v>
      </c>
      <c r="K44" s="518">
        <f>SUMIFS(DisplacementP[Individus],DisplacementP[Statut déplacé],"idp",DisplacementP[adm3_name],Tableau50939495[[#This Row],[Arrondissements]], DisplacementP[provenance_adm3_nom],Tableau50939495[[#Headers],[Waza]])</f>
        <v>222</v>
      </c>
      <c r="L44" s="518">
        <f>SUMIFS(DisplacementP[Individus],DisplacementP[Statut déplacé],"idp",DisplacementP[adm3_name],Tableau50939495[[#This Row],[Arrondissements]], DisplacementP[provenance_adm3_nom],Tableau50939495[[#Headers],[Zina]])</f>
        <v>0</v>
      </c>
      <c r="M44" s="518">
        <f>SUM(Tableau50939495[[#This Row],[Blangoua]:[Zina]])</f>
        <v>62480</v>
      </c>
      <c r="N44" s="493"/>
      <c r="P44" s="516"/>
      <c r="Q44" s="518" t="s">
        <v>171</v>
      </c>
      <c r="R44" s="537">
        <f>SUMIFS(DisplacementP[Individus],DisplacementP[adm3_name],Tableau50939495135[[#This Row],[Arrondissements]],DisplacementP[Statut déplacé],"returnee",DisplacementP[provenance_adm3_nom],Tableau50939495135[[#Headers],[Blangoua]])</f>
        <v>0</v>
      </c>
      <c r="S44" s="537">
        <f>SUMIFS(DisplacementP[Individus],DisplacementP[adm3_name],Tableau50939495135[[#This Row],[Arrondissements]],DisplacementP[Statut déplacé],"returnee",DisplacementP[provenance_adm3_nom],Tableau50939495135[[#Headers],[Darak]])</f>
        <v>48</v>
      </c>
      <c r="T44" s="537">
        <f>SUMIFS(DisplacementP[Individus],DisplacementP[adm3_name],Tableau50939495135[[#This Row],[Arrondissements]],DisplacementP[Statut déplacé],"returnee",DisplacementP[provenance_adm3_nom],Tableau50939495135[[#Headers],[Fotokol]])</f>
        <v>124</v>
      </c>
      <c r="U44" s="537">
        <f>SUMIFS(DisplacementP[Individus],DisplacementP[adm3_name],Tableau50939495135[[#This Row],[Arrondissements]],DisplacementP[Statut déplacé],"returnee",DisplacementP[provenance_adm3_nom],Tableau50939495135[[#Headers],[Goulfey]])</f>
        <v>0</v>
      </c>
      <c r="V44" s="537">
        <f>SUMIFS(DisplacementP[Individus],DisplacementP[adm3_name],Tableau50939495135[[#This Row],[Arrondissements]],DisplacementP[Statut déplacé],"returnee",DisplacementP[provenance_adm3_nom],Tableau50939495135[[#Headers],[Hile-Alifa]])</f>
        <v>42</v>
      </c>
      <c r="W44" s="537">
        <f>SUMIFS(DisplacementP[Individus],DisplacementP[adm3_name],Tableau50939495135[[#This Row],[Arrondissements]],DisplacementP[Statut déplacé],"returnee",DisplacementP[provenance_adm3_nom],Tableau50939495135[[#Headers],[Kousséri]])</f>
        <v>51</v>
      </c>
      <c r="X44" s="537">
        <f>SUMIFS(DisplacementP[Individus],DisplacementP[adm3_name],Tableau50939495135[[#This Row],[Arrondissements]],DisplacementP[Statut déplacé],"returnee",DisplacementP[provenance_adm3_nom],Tableau50939495135[[#Headers],[Logone-Birni]])</f>
        <v>0</v>
      </c>
      <c r="Y44" s="534">
        <f>SUMIFS(DisplacementP[Individus],DisplacementP[adm3_name],Tableau50939495135[[#This Row],[Arrondissements]],DisplacementP[Statut déplacé],"returnee",DisplacementP[provenance_adm3_nom],Tableau50939495135[[#Headers],[Makary]])</f>
        <v>9008</v>
      </c>
      <c r="Z44" s="518">
        <f>SUMIFS(DisplacementP[Individus],DisplacementP[adm3_name],Tableau50939495135[[#This Row],[Arrondissements]],DisplacementP[Statut déplacé],"returnee",DisplacementP[provenance_adm3_nom],Tableau50939495135[[#Headers],[Waza]])</f>
        <v>0</v>
      </c>
      <c r="AA44" s="518">
        <f>SUMIFS(DisplacementP[Individus],DisplacementP[adm3_name],Tableau50939495135[[#This Row],[Arrondissements]],DisplacementP[Statut déplacé],"returnee",DisplacementP[provenance_adm3_nom],Tableau50939495135[[#Headers],[Zina]])</f>
        <v>0</v>
      </c>
      <c r="AB44" s="518">
        <f>SUM(Tableau50939495135[[#This Row],[Blangoua]:[Zina]])</f>
        <v>9273</v>
      </c>
      <c r="AI44" s="493"/>
    </row>
    <row r="45" spans="1:37" x14ac:dyDescent="0.3">
      <c r="A45" s="516"/>
      <c r="B45" s="518" t="s">
        <v>172</v>
      </c>
      <c r="C45" s="518">
        <f>SUMIFS(DisplacementP[Individus],DisplacementP[Statut déplacé],"idp",DisplacementP[adm3_name],Tableau50939495[[#This Row],[Arrondissements]], DisplacementP[provenance_adm3_nom],Tableau50939495[[#Headers],[Blangoua]])</f>
        <v>0</v>
      </c>
      <c r="D45" s="518">
        <f>SUMIFS(DisplacementP[Individus],DisplacementP[Statut déplacé],"idp",DisplacementP[adm3_name],Tableau50939495[[#This Row],[Arrondissements]], DisplacementP[provenance_adm3_nom],Tableau50939495[[#Headers],[Darak]])</f>
        <v>0</v>
      </c>
      <c r="E45" s="518">
        <f>SUMIFS(DisplacementP[Individus],DisplacementP[Statut déplacé],"idp",DisplacementP[adm3_name],Tableau50939495[[#This Row],[Arrondissements]], DisplacementP[provenance_adm3_nom],Tableau50939495[[#Headers],[Fotokol]])</f>
        <v>0</v>
      </c>
      <c r="F45" s="518">
        <f>SUMIFS(DisplacementP[Individus],DisplacementP[Statut déplacé],"idp",DisplacementP[adm3_name],Tableau50939495[[#This Row],[Arrondissements]], DisplacementP[provenance_adm3_nom],Tableau50939495[[#Headers],[Goulfey]])</f>
        <v>0</v>
      </c>
      <c r="G45" s="518">
        <f>SUMIFS(DisplacementP[Individus],DisplacementP[Statut déplacé],"idp",DisplacementP[adm3_name],Tableau50939495[[#This Row],[Arrondissements]], DisplacementP[provenance_adm3_nom],Tableau50939495[[#Headers],[Hile-Alifa]])</f>
        <v>0</v>
      </c>
      <c r="H45" s="518">
        <f>SUMIFS(DisplacementP[Individus],DisplacementP[Statut déplacé],"idp",DisplacementP[adm3_name],Tableau50939495[[#This Row],[Arrondissements]], DisplacementP[provenance_adm3_nom],Tableau50939495[[#Headers],[Kousséri]])</f>
        <v>0</v>
      </c>
      <c r="I45" s="518">
        <f>SUMIFS(DisplacementP[Individus],DisplacementP[Statut déplacé],"idp",DisplacementP[adm3_name],Tableau50939495[[#This Row],[Arrondissements]], DisplacementP[provenance_adm3_nom],Tableau50939495[[#Headers],[Logone-Birni]])</f>
        <v>4911</v>
      </c>
      <c r="J45" s="518">
        <f>SUMIFS(DisplacementP[Individus],DisplacementP[Statut déplacé],"idp",DisplacementP[adm3_name],Tableau50939495[[#This Row],[Arrondissements]], DisplacementP[provenance_adm3_nom],Tableau50939495[[#Headers],[Makary]])</f>
        <v>10</v>
      </c>
      <c r="K45" s="534">
        <f>SUMIFS(DisplacementP[Individus],DisplacementP[Statut déplacé],"idp",DisplacementP[adm3_name],Tableau50939495[[#This Row],[Arrondissements]], DisplacementP[provenance_adm3_nom],Tableau50939495[[#Headers],[Waza]])</f>
        <v>2101</v>
      </c>
      <c r="L45" s="518">
        <f>SUMIFS(DisplacementP[Individus],DisplacementP[Statut déplacé],"idp",DisplacementP[adm3_name],Tableau50939495[[#This Row],[Arrondissements]], DisplacementP[provenance_adm3_nom],Tableau50939495[[#Headers],[Zina]])</f>
        <v>0</v>
      </c>
      <c r="M45" s="518">
        <f>SUM(Tableau50939495[[#This Row],[Blangoua]:[Zina]])</f>
        <v>7022</v>
      </c>
      <c r="N45" s="493"/>
      <c r="P45" s="516"/>
      <c r="Q45" s="518" t="s">
        <v>172</v>
      </c>
      <c r="R45" s="518">
        <f>SUMIFS(DisplacementP[Individus],DisplacementP[adm3_name],Tableau50939495135[[#This Row],[Arrondissements]],DisplacementP[Statut déplacé],"returnee",DisplacementP[provenance_adm3_nom],Tableau50939495135[[#Headers],[Blangoua]])</f>
        <v>0</v>
      </c>
      <c r="S45" s="518">
        <f>SUMIFS(DisplacementP[Individus],DisplacementP[adm3_name],Tableau50939495135[[#This Row],[Arrondissements]],DisplacementP[Statut déplacé],"returnee",DisplacementP[provenance_adm3_nom],Tableau50939495135[[#Headers],[Darak]])</f>
        <v>0</v>
      </c>
      <c r="T45" s="518">
        <f>SUMIFS(DisplacementP[Individus],DisplacementP[adm3_name],Tableau50939495135[[#This Row],[Arrondissements]],DisplacementP[Statut déplacé],"returnee",DisplacementP[provenance_adm3_nom],Tableau50939495135[[#Headers],[Fotokol]])</f>
        <v>0</v>
      </c>
      <c r="U45" s="518">
        <f>SUMIFS(DisplacementP[Individus],DisplacementP[adm3_name],Tableau50939495135[[#This Row],[Arrondissements]],DisplacementP[Statut déplacé],"returnee",DisplacementP[provenance_adm3_nom],Tableau50939495135[[#Headers],[Goulfey]])</f>
        <v>0</v>
      </c>
      <c r="V45" s="518">
        <f>SUMIFS(DisplacementP[Individus],DisplacementP[adm3_name],Tableau50939495135[[#This Row],[Arrondissements]],DisplacementP[Statut déplacé],"returnee",DisplacementP[provenance_adm3_nom],Tableau50939495135[[#Headers],[Hile-Alifa]])</f>
        <v>0</v>
      </c>
      <c r="W45" s="518">
        <f>SUMIFS(DisplacementP[Individus],DisplacementP[adm3_name],Tableau50939495135[[#This Row],[Arrondissements]],DisplacementP[Statut déplacé],"returnee",DisplacementP[provenance_adm3_nom],Tableau50939495135[[#Headers],[Kousséri]])</f>
        <v>0</v>
      </c>
      <c r="X45" s="518">
        <f>SUMIFS(DisplacementP[Individus],DisplacementP[adm3_name],Tableau50939495135[[#This Row],[Arrondissements]],DisplacementP[Statut déplacé],"returnee",DisplacementP[provenance_adm3_nom],Tableau50939495135[[#Headers],[Logone-Birni]])</f>
        <v>0</v>
      </c>
      <c r="Y45" s="518">
        <f>SUMIFS(DisplacementP[Individus],DisplacementP[adm3_name],Tableau50939495135[[#This Row],[Arrondissements]],DisplacementP[Statut déplacé],"returnee",DisplacementP[provenance_adm3_nom],Tableau50939495135[[#Headers],[Makary]])</f>
        <v>0</v>
      </c>
      <c r="Z45" s="534">
        <f>SUMIFS(DisplacementP[Individus],DisplacementP[adm3_name],Tableau50939495135[[#This Row],[Arrondissements]],DisplacementP[Statut déplacé],"returnee",DisplacementP[provenance_adm3_nom],Tableau50939495135[[#Headers],[Waza]])</f>
        <v>2996</v>
      </c>
      <c r="AA45" s="518">
        <f>SUMIFS(DisplacementP[Individus],DisplacementP[adm3_name],Tableau50939495135[[#This Row],[Arrondissements]],DisplacementP[Statut déplacé],"returnee",DisplacementP[provenance_adm3_nom],Tableau50939495135[[#Headers],[Zina]])</f>
        <v>0</v>
      </c>
      <c r="AB45" s="518">
        <f>SUM(Tableau50939495135[[#This Row],[Blangoua]:[Zina]])</f>
        <v>2996</v>
      </c>
      <c r="AI45" s="493"/>
    </row>
    <row r="46" spans="1:37" x14ac:dyDescent="0.3">
      <c r="A46" s="516"/>
      <c r="B46" s="518" t="s">
        <v>173</v>
      </c>
      <c r="C46" s="518">
        <f>SUMIFS(DisplacementP[Individus],DisplacementP[Statut déplacé],"idp",DisplacementP[adm3_name],Tableau50939495[[#This Row],[Arrondissements]], DisplacementP[provenance_adm3_nom],Tableau50939495[[#Headers],[Blangoua]])</f>
        <v>0</v>
      </c>
      <c r="D46" s="518">
        <f>SUMIFS(DisplacementP[Individus],DisplacementP[Statut déplacé],"idp",DisplacementP[adm3_name],Tableau50939495[[#This Row],[Arrondissements]], DisplacementP[provenance_adm3_nom],Tableau50939495[[#Headers],[Darak]])</f>
        <v>0</v>
      </c>
      <c r="E46" s="518">
        <f>SUMIFS(DisplacementP[Individus],DisplacementP[Statut déplacé],"idp",DisplacementP[adm3_name],Tableau50939495[[#This Row],[Arrondissements]], DisplacementP[provenance_adm3_nom],Tableau50939495[[#Headers],[Fotokol]])</f>
        <v>0</v>
      </c>
      <c r="F46" s="518">
        <f>SUMIFS(DisplacementP[Individus],DisplacementP[Statut déplacé],"idp",DisplacementP[adm3_name],Tableau50939495[[#This Row],[Arrondissements]], DisplacementP[provenance_adm3_nom],Tableau50939495[[#Headers],[Goulfey]])</f>
        <v>0</v>
      </c>
      <c r="G46" s="518">
        <f>SUMIFS(DisplacementP[Individus],DisplacementP[Statut déplacé],"idp",DisplacementP[adm3_name],Tableau50939495[[#This Row],[Arrondissements]], DisplacementP[provenance_adm3_nom],Tableau50939495[[#Headers],[Hile-Alifa]])</f>
        <v>0</v>
      </c>
      <c r="H46" s="518">
        <f>SUMIFS(DisplacementP[Individus],DisplacementP[Statut déplacé],"idp",DisplacementP[adm3_name],Tableau50939495[[#This Row],[Arrondissements]], DisplacementP[provenance_adm3_nom],Tableau50939495[[#Headers],[Kousséri]])</f>
        <v>0</v>
      </c>
      <c r="I46" s="518">
        <f>SUMIFS(DisplacementP[Individus],DisplacementP[Statut déplacé],"idp",DisplacementP[adm3_name],Tableau50939495[[#This Row],[Arrondissements]], DisplacementP[provenance_adm3_nom],Tableau50939495[[#Headers],[Logone-Birni]])</f>
        <v>0</v>
      </c>
      <c r="J46" s="518">
        <f>SUMIFS(DisplacementP[Individus],DisplacementP[Statut déplacé],"idp",DisplacementP[adm3_name],Tableau50939495[[#This Row],[Arrondissements]], DisplacementP[provenance_adm3_nom],Tableau50939495[[#Headers],[Makary]])</f>
        <v>0</v>
      </c>
      <c r="K46" s="518">
        <f>SUMIFS(DisplacementP[Individus],DisplacementP[Statut déplacé],"idp",DisplacementP[adm3_name],Tableau50939495[[#This Row],[Arrondissements]], DisplacementP[provenance_adm3_nom],Tableau50939495[[#Headers],[Waza]])</f>
        <v>0</v>
      </c>
      <c r="L46" s="534">
        <f>SUMIFS(DisplacementP[Individus],DisplacementP[Statut déplacé],"idp",DisplacementP[adm3_name],Tableau50939495[[#This Row],[Arrondissements]], DisplacementP[provenance_adm3_nom],Tableau50939495[[#Headers],[Zina]])</f>
        <v>965</v>
      </c>
      <c r="M46" s="518">
        <f>SUM(Tableau50939495[[#This Row],[Blangoua]:[Zina]])</f>
        <v>965</v>
      </c>
      <c r="N46" s="493"/>
      <c r="P46" s="516"/>
      <c r="Q46" s="518" t="s">
        <v>173</v>
      </c>
      <c r="R46" s="518">
        <f>SUMIFS(DisplacementP[Individus],DisplacementP[adm3_name],Tableau50939495135[[#This Row],[Arrondissements]],DisplacementP[Statut déplacé],"returnee",DisplacementP[provenance_adm3_nom],Tableau50939495135[[#Headers],[Blangoua]])</f>
        <v>0</v>
      </c>
      <c r="S46" s="518">
        <f>SUMIFS(DisplacementP[Individus],DisplacementP[adm3_name],Tableau50939495135[[#This Row],[Arrondissements]],DisplacementP[Statut déplacé],"returnee",DisplacementP[provenance_adm3_nom],Tableau50939495135[[#Headers],[Darak]])</f>
        <v>0</v>
      </c>
      <c r="T46" s="518">
        <f>SUMIFS(DisplacementP[Individus],DisplacementP[adm3_name],Tableau50939495135[[#This Row],[Arrondissements]],DisplacementP[Statut déplacé],"returnee",DisplacementP[provenance_adm3_nom],Tableau50939495135[[#Headers],[Fotokol]])</f>
        <v>0</v>
      </c>
      <c r="U46" s="518">
        <f>SUMIFS(DisplacementP[Individus],DisplacementP[adm3_name],Tableau50939495135[[#This Row],[Arrondissements]],DisplacementP[Statut déplacé],"returnee",DisplacementP[provenance_adm3_nom],Tableau50939495135[[#Headers],[Goulfey]])</f>
        <v>0</v>
      </c>
      <c r="V46" s="518">
        <f>SUMIFS(DisplacementP[Individus],DisplacementP[adm3_name],Tableau50939495135[[#This Row],[Arrondissements]],DisplacementP[Statut déplacé],"returnee",DisplacementP[provenance_adm3_nom],Tableau50939495135[[#Headers],[Hile-Alifa]])</f>
        <v>0</v>
      </c>
      <c r="W46" s="518">
        <f>SUMIFS(DisplacementP[Individus],DisplacementP[adm3_name],Tableau50939495135[[#This Row],[Arrondissements]],DisplacementP[Statut déplacé],"returnee",DisplacementP[provenance_adm3_nom],Tableau50939495135[[#Headers],[Kousséri]])</f>
        <v>0</v>
      </c>
      <c r="X46" s="518">
        <f>SUMIFS(DisplacementP[Individus],DisplacementP[adm3_name],Tableau50939495135[[#This Row],[Arrondissements]],DisplacementP[Statut déplacé],"returnee",DisplacementP[provenance_adm3_nom],Tableau50939495135[[#Headers],[Logone-Birni]])</f>
        <v>0</v>
      </c>
      <c r="Y46" s="518">
        <f>SUMIFS(DisplacementP[Individus],DisplacementP[adm3_name],Tableau50939495135[[#This Row],[Arrondissements]],DisplacementP[Statut déplacé],"returnee",DisplacementP[provenance_adm3_nom],Tableau50939495135[[#Headers],[Makary]])</f>
        <v>0</v>
      </c>
      <c r="Z46" s="518">
        <f>SUMIFS(DisplacementP[Individus],DisplacementP[adm3_name],Tableau50939495135[[#This Row],[Arrondissements]],DisplacementP[Statut déplacé],"returnee",DisplacementP[provenance_adm3_nom],Tableau50939495135[[#Headers],[Waza]])</f>
        <v>0</v>
      </c>
      <c r="AA46" s="534">
        <f>SUMIFS(DisplacementP[Individus],DisplacementP[adm3_name],Tableau50939495135[[#This Row],[Arrondissements]],DisplacementP[Statut déplacé],"returnee",DisplacementP[provenance_adm3_nom],Tableau50939495135[[#Headers],[Zina]])</f>
        <v>509</v>
      </c>
      <c r="AB46" s="518">
        <f>SUM(Tableau50939495135[[#This Row],[Blangoua]:[Zina]])</f>
        <v>509</v>
      </c>
      <c r="AI46" s="493"/>
    </row>
    <row r="47" spans="1:37" x14ac:dyDescent="0.3">
      <c r="A47" s="516"/>
      <c r="B47" s="571"/>
      <c r="C47" s="572">
        <f>SUBTOTAL(109,Tableau50939495[Blangoua])</f>
        <v>5898</v>
      </c>
      <c r="D47" s="572">
        <f>SUBTOTAL(109,Tableau50939495[Darak])</f>
        <v>8750</v>
      </c>
      <c r="E47" s="572">
        <f>SUBTOTAL(109,Tableau50939495[Fotokol])</f>
        <v>51076</v>
      </c>
      <c r="F47" s="572">
        <f>SUBTOTAL(109,Tableau50939495[Goulfey])</f>
        <v>3647</v>
      </c>
      <c r="G47" s="572">
        <f>SUBTOTAL(109,Tableau50939495[Hile-Alifa])</f>
        <v>2262</v>
      </c>
      <c r="H47" s="572">
        <f>SUBTOTAL(109,Tableau50939495[Kousséri])</f>
        <v>5261</v>
      </c>
      <c r="I47" s="572">
        <f>SUBTOTAL(109,Tableau50939495[Logone-Birni])</f>
        <v>21323</v>
      </c>
      <c r="J47" s="572">
        <f>SUBTOTAL(109,Tableau50939495[Makary])</f>
        <v>34885</v>
      </c>
      <c r="K47" s="572">
        <f>SUBTOTAL(109,Tableau50939495[Waza])</f>
        <v>4010</v>
      </c>
      <c r="L47" s="572">
        <f>SUBTOTAL(109,Tableau50939495[Zina])</f>
        <v>995</v>
      </c>
      <c r="M47" s="572">
        <f>SUBTOTAL(109,Tableau50939495[Total])</f>
        <v>138107</v>
      </c>
      <c r="N47" s="493"/>
      <c r="P47" s="516"/>
      <c r="Q47" s="571"/>
      <c r="R47" s="572">
        <f>SUBTOTAL(109,Tableau50939495135[Blangoua])</f>
        <v>0</v>
      </c>
      <c r="S47" s="572">
        <f>SUBTOTAL(109,Tableau50939495135[Darak])</f>
        <v>706</v>
      </c>
      <c r="T47" s="572">
        <f>SUBTOTAL(109,Tableau50939495135[Fotokol])</f>
        <v>12757</v>
      </c>
      <c r="U47" s="572">
        <f>SUBTOTAL(109,Tableau50939495135[Goulfey])</f>
        <v>896</v>
      </c>
      <c r="V47" s="572">
        <f>SUBTOTAL(109,Tableau50939495135[Hile-Alifa])</f>
        <v>69</v>
      </c>
      <c r="W47" s="572">
        <f>SUBTOTAL(109,Tableau50939495135[Kousséri])</f>
        <v>3855</v>
      </c>
      <c r="X47" s="572">
        <f>SUBTOTAL(109,Tableau50939495135[Logone-Birni])</f>
        <v>11417</v>
      </c>
      <c r="Y47" s="572">
        <f>SUBTOTAL(109,Tableau50939495135[Makary])</f>
        <v>9512</v>
      </c>
      <c r="Z47" s="572">
        <f>SUBTOTAL(109,Tableau50939495135[Waza])</f>
        <v>6253</v>
      </c>
      <c r="AA47" s="572">
        <f>SUBTOTAL(109,Tableau50939495135[Zina])</f>
        <v>509</v>
      </c>
      <c r="AB47" s="572">
        <f>SUBTOTAL(109,Tableau50939495135[Total])</f>
        <v>45974</v>
      </c>
      <c r="AI47" s="493"/>
    </row>
    <row r="48" spans="1:37" s="527" customFormat="1" x14ac:dyDescent="0.3">
      <c r="A48" s="524"/>
      <c r="B48" s="525"/>
      <c r="C48" s="1131">
        <f>Tableau50939495[[#Totals],[Blangoua]]/Tableau50939495[[#Totals],[Total]]</f>
        <v>4.2706017797794461E-2</v>
      </c>
      <c r="D48" s="1131">
        <f>Tableau50939495[[#Totals],[Darak]]/Tableau50939495[[#Totals],[Total]]</f>
        <v>6.3356672724771371E-2</v>
      </c>
      <c r="E48" s="1131">
        <f>Tableau50939495[[#Totals],[Fotokol]]/Tableau50939495[[#Totals],[Total]]</f>
        <v>0.36982919041033402</v>
      </c>
      <c r="F48" s="1131">
        <f>Tableau50939495[[#Totals],[Goulfey]]/Tableau50939495[[#Totals],[Total]]</f>
        <v>2.6407061191684709E-2</v>
      </c>
      <c r="G48" s="1131">
        <f>Tableau50939495[[#Totals],[Hile-Alifa]]/Tableau50939495[[#Totals],[Total]]</f>
        <v>1.6378604994678039E-2</v>
      </c>
      <c r="H48" s="1131">
        <f>Tableau50939495[[#Totals],[Kousséri]]/Tableau50939495[[#Totals],[Total]]</f>
        <v>3.809365202343111E-2</v>
      </c>
      <c r="I48" s="1131">
        <f>Tableau50939495[[#Totals],[Logone-Birni]]/Tableau50939495[[#Totals],[Total]]</f>
        <v>0.15439478085832001</v>
      </c>
      <c r="J48" s="1131">
        <f>Tableau50939495[[#Totals],[Makary]]/Tableau50939495[[#Totals],[Total]]</f>
        <v>0.25259400320041708</v>
      </c>
      <c r="K48" s="1131">
        <f>Tableau50939495[[#Totals],[Waza]]/Tableau50939495[[#Totals],[Total]]</f>
        <v>2.9035458014438079E-2</v>
      </c>
      <c r="L48" s="1131">
        <f>Tableau50939495[[#Totals],[Zina]]/Tableau50939495[[#Totals],[Total]]</f>
        <v>7.2045587841311444E-3</v>
      </c>
      <c r="M48" s="1131">
        <f>SUM(C48:L48)</f>
        <v>1</v>
      </c>
      <c r="N48" s="526"/>
      <c r="P48" s="524"/>
      <c r="Q48" s="525"/>
      <c r="R48" s="1131">
        <f>Tableau50939495135[[#Totals],[Blangoua]]/Tableau50939495135[[#Totals],[Total]]</f>
        <v>0</v>
      </c>
      <c r="S48" s="1131">
        <f>Tableau50939495135[[#Totals],[Darak]]/Tableau50939495135[[#Totals],[Total]]</f>
        <v>1.5356505851133248E-2</v>
      </c>
      <c r="T48" s="1131">
        <f>Tableau50939495135[[#Totals],[Fotokol]]/Tableau50939495135[[#Totals],[Total]]</f>
        <v>0.27748292513159611</v>
      </c>
      <c r="U48" s="1131">
        <f>Tableau50939495135[[#Totals],[Goulfey]]/Tableau50939495135[[#Totals],[Total]]</f>
        <v>1.9489276547613867E-2</v>
      </c>
      <c r="V48" s="1131">
        <f>Tableau50939495135[[#Totals],[Hile-Alifa]]/Tableau50939495135[[#Totals],[Total]]</f>
        <v>1.5008483055640144E-3</v>
      </c>
      <c r="W48" s="1131">
        <f>Tableau50939495135[[#Totals],[Kousséri]]/Tableau50939495135[[#Totals],[Total]]</f>
        <v>8.3851742289119943E-2</v>
      </c>
      <c r="X48" s="1131">
        <f>Tableau50939495135[[#Totals],[Logone-Birni]]/Tableau50939495135[[#Totals],[Total]]</f>
        <v>0.24833601600904859</v>
      </c>
      <c r="Y48" s="1131">
        <f>Tableau50939495135[[#Totals],[Makary]]/Tableau50939495135[[#Totals],[Total]]</f>
        <v>0.20689955192065079</v>
      </c>
      <c r="Z48" s="1131">
        <f>Tableau50939495135[[#Totals],[Waza]]/Tableau50939495135[[#Totals],[Total]]</f>
        <v>0.13601165876364901</v>
      </c>
      <c r="AA48" s="1131">
        <f>Tableau50939495135[[#Totals],[Zina]]/Tableau50939495135[[#Totals],[Total]]</f>
        <v>1.1071475181624397E-2</v>
      </c>
      <c r="AB48" s="1131">
        <f>SUM(R48:AA48)</f>
        <v>0.99999999999999989</v>
      </c>
      <c r="AC48" s="525"/>
      <c r="AD48" s="525"/>
      <c r="AE48" s="525"/>
      <c r="AF48" s="525"/>
      <c r="AG48" s="525"/>
      <c r="AH48" s="525"/>
      <c r="AI48" s="526"/>
    </row>
    <row r="49" spans="1:39" ht="15.6" x14ac:dyDescent="0.3">
      <c r="A49" s="516"/>
      <c r="B49" s="529" t="s">
        <v>32</v>
      </c>
      <c r="N49" s="493"/>
      <c r="P49" s="516"/>
      <c r="Q49" s="529" t="s">
        <v>32</v>
      </c>
      <c r="AI49" s="493"/>
      <c r="AJ49" s="527"/>
    </row>
    <row r="50" spans="1:39" x14ac:dyDescent="0.3">
      <c r="A50" s="516"/>
      <c r="C50" s="1376" t="s">
        <v>2755</v>
      </c>
      <c r="D50" s="1377"/>
      <c r="E50" s="1377"/>
      <c r="F50" s="1377"/>
      <c r="G50" s="1377"/>
      <c r="H50" s="1377"/>
      <c r="I50" s="1377"/>
      <c r="J50" s="1378"/>
      <c r="N50" s="493"/>
      <c r="P50" s="516"/>
      <c r="R50" s="1376" t="s">
        <v>2755</v>
      </c>
      <c r="S50" s="1377"/>
      <c r="T50" s="1377"/>
      <c r="U50" s="1377"/>
      <c r="V50" s="1377"/>
      <c r="W50" s="1377"/>
      <c r="X50" s="1377"/>
      <c r="Y50" s="1378"/>
      <c r="AI50" s="493"/>
      <c r="AJ50" s="527"/>
    </row>
    <row r="51" spans="1:39" x14ac:dyDescent="0.3">
      <c r="A51" s="516"/>
      <c r="B51" s="530" t="s">
        <v>433</v>
      </c>
      <c r="C51" s="531" t="s">
        <v>175</v>
      </c>
      <c r="D51" s="544" t="s">
        <v>174</v>
      </c>
      <c r="E51" s="544" t="s">
        <v>177</v>
      </c>
      <c r="F51" s="544" t="s">
        <v>179</v>
      </c>
      <c r="G51" s="544" t="s">
        <v>176</v>
      </c>
      <c r="H51" s="544" t="s">
        <v>178</v>
      </c>
      <c r="I51" s="531" t="s">
        <v>180</v>
      </c>
      <c r="J51" s="544" t="s">
        <v>181</v>
      </c>
      <c r="K51" s="532" t="s">
        <v>25</v>
      </c>
      <c r="N51" s="493"/>
      <c r="P51" s="516"/>
      <c r="Q51" s="545" t="s">
        <v>433</v>
      </c>
      <c r="R51" s="546" t="s">
        <v>175</v>
      </c>
      <c r="S51" s="547" t="s">
        <v>174</v>
      </c>
      <c r="T51" s="544" t="s">
        <v>177</v>
      </c>
      <c r="U51" s="544" t="s">
        <v>179</v>
      </c>
      <c r="V51" s="547" t="s">
        <v>176</v>
      </c>
      <c r="W51" s="547" t="s">
        <v>178</v>
      </c>
      <c r="X51" s="548" t="s">
        <v>180</v>
      </c>
      <c r="Y51" s="547" t="s">
        <v>181</v>
      </c>
      <c r="Z51" s="532" t="s">
        <v>25</v>
      </c>
      <c r="AI51" s="493"/>
      <c r="AJ51" s="527"/>
    </row>
    <row r="52" spans="1:39" x14ac:dyDescent="0.3">
      <c r="A52" s="516"/>
      <c r="B52" s="549" t="s">
        <v>175</v>
      </c>
      <c r="C52" s="534">
        <f>SUMIFS(DisplacementP[Individus],DisplacementP[Statut déplacé],"idp",DisplacementP[adm3_name],'Displacement Between Admin3'!$B52, DisplacementP[provenance_adm3_nom],'Displacement Between Admin3'!$C$51)</f>
        <v>1587</v>
      </c>
      <c r="D52" s="518">
        <f>SUMIFS(DisplacementP[Individus],DisplacementP[Statut déplacé],"idp",DisplacementP[adm3_name],'Displacement Between Admin3'!$B52, DisplacementP[provenance_adm3_nom],'Displacement Between Admin3'!$D$51)</f>
        <v>0</v>
      </c>
      <c r="E52" s="518">
        <f>SUMIFS(DisplacementP[Individus],DisplacementP[Statut déplacé],"idp",DisplacementP[adm3_name],'Displacement Between Admin3'!$B52, DisplacementP[provenance_adm3_nom],'Displacement Between Admin3'!$E$51)</f>
        <v>0</v>
      </c>
      <c r="F52" s="518">
        <f>SUMIFS(DisplacementP[Individus],DisplacementP[Statut déplacé],"idp",DisplacementP[adm3_name],'Displacement Between Admin3'!$B52, DisplacementP[provenance_adm3_nom],'Displacement Between Admin3'!$F$51)</f>
        <v>0</v>
      </c>
      <c r="G52" s="518">
        <f>SUMIFS(DisplacementP[Individus],DisplacementP[Statut déplacé],"idp",DisplacementP[adm3_name],'Displacement Between Admin3'!$B52, DisplacementP[provenance_adm3_nom],'Displacement Between Admin3'!$G$51)</f>
        <v>0</v>
      </c>
      <c r="H52" s="518">
        <f>SUMIFS(DisplacementP[Individus],DisplacementP[Statut déplacé],"idp",DisplacementP[adm3_name],'Displacement Between Admin3'!$B52, DisplacementP[provenance_adm3_nom],'Displacement Between Admin3'!$H$51)</f>
        <v>0</v>
      </c>
      <c r="I52" s="518">
        <f>SUMIFS(DisplacementP[Individus],DisplacementP[Statut déplacé],"idp",DisplacementP[adm3_name],'Displacement Between Admin3'!$B52, DisplacementP[provenance_adm3_nom],'Displacement Between Admin3'!$I$51)</f>
        <v>0</v>
      </c>
      <c r="J52" s="518">
        <f>SUMIFS(DisplacementP[Individus],DisplacementP[Statut déplacé],"idp",DisplacementP[adm3_name],'Displacement Between Admin3'!$B52, DisplacementP[provenance_adm3_nom],'Displacement Between Admin3'!$J$51)</f>
        <v>0</v>
      </c>
      <c r="K52" s="535">
        <f>SUM('Displacement Between Admin3'!$C52:$J52)</f>
        <v>1587</v>
      </c>
      <c r="N52" s="493"/>
      <c r="P52" s="516"/>
      <c r="Q52" s="550" t="s">
        <v>175</v>
      </c>
      <c r="R52" s="534">
        <f>SUMIFS(DisplacementP[Individus],DisplacementP[adm3_name],Table519[[#This Row],[Arrondissements]],DisplacementP[Statut déplacé],"returnee",DisplacementP[provenance_adm3_nom],Table519[[#Headers],[Gobo]])</f>
        <v>11326</v>
      </c>
      <c r="S52" s="518">
        <f>SUMIFS(DisplacementP[Individus],DisplacementP[adm3_name],Table519[[#This Row],[Arrondissements]],DisplacementP[Statut déplacé],"returnee",DisplacementP[provenance_adm3_nom],Table519[[#Headers],[Datchéka]])</f>
        <v>0</v>
      </c>
      <c r="T52" s="518">
        <f>SUMIFS(DisplacementP[Individus],DisplacementP[adm3_name],Table519[[#This Row],[Arrondissements]],DisplacementP[Statut déplacé],"returnee",DisplacementP[provenance_adm3_nom],Table519[[#Headers],[Guémé]])</f>
        <v>0</v>
      </c>
      <c r="U52" s="518">
        <f>SUMIFS(DisplacementP[Individus],DisplacementP[adm3_name],Table519[[#This Row],[Arrondissements]],DisplacementP[Statut déplacé],"returnee",DisplacementP[provenance_adm3_nom],Table519[[#Headers],[Guéré]])</f>
        <v>0</v>
      </c>
      <c r="V52" s="518">
        <f>SUMIFS(DisplacementP[Individus],DisplacementP[adm3_name],Table519[[#This Row],[Arrondissements]],DisplacementP[Statut déplacé],"returnee",DisplacementP[provenance_adm3_nom],Table519[[#Headers],[Kai-Kai]])</f>
        <v>0</v>
      </c>
      <c r="W52" s="518">
        <f>SUMIFS(DisplacementP[Individus],DisplacementP[adm3_name],Table519[[#This Row],[Arrondissements]],DisplacementP[Statut déplacé],"returnee",DisplacementP[provenance_adm3_nom],Table519[[#Headers],[Maga]])</f>
        <v>0</v>
      </c>
      <c r="X52" s="518">
        <f>SUMIFS(DisplacementP[Individus],DisplacementP[adm3_name],Table519[[#This Row],[Arrondissements]],DisplacementP[Statut déplacé],"returnee",DisplacementP[provenance_adm3_nom],Table519[[#Headers],[Wina]])</f>
        <v>0</v>
      </c>
      <c r="Y52" s="518">
        <f>SUMIFS(DisplacementP[Individus],DisplacementP[adm3_name],Table519[[#This Row],[Arrondissements]],DisplacementP[Statut déplacé],"returnee",DisplacementP[provenance_adm3_nom],Table519[[#Headers],[Yagoua]])</f>
        <v>0</v>
      </c>
      <c r="Z52" s="535">
        <f>SUM(Table519[[#This Row],[Gobo]:[Yagoua]])</f>
        <v>11326</v>
      </c>
      <c r="AD52" s="521"/>
      <c r="AE52" s="551"/>
      <c r="AF52" s="551"/>
      <c r="AG52" s="551"/>
      <c r="AH52" s="551"/>
      <c r="AI52" s="493"/>
      <c r="AJ52" s="527"/>
      <c r="AK52" s="522"/>
      <c r="AL52" s="521"/>
      <c r="AM52" s="521"/>
    </row>
    <row r="53" spans="1:39" x14ac:dyDescent="0.3">
      <c r="A53" s="516"/>
      <c r="B53" s="555" t="s">
        <v>174</v>
      </c>
      <c r="C53" s="537">
        <f>SUMIFS(DisplacementP[Individus],DisplacementP[Statut déplacé],"idp",DisplacementP[adm3_name],'Displacement Between Admin3'!$B53, DisplacementP[provenance_adm3_nom],'Displacement Between Admin3'!$C$51)</f>
        <v>0</v>
      </c>
      <c r="D53" s="534">
        <f>SUMIFS(DisplacementP[Individus],DisplacementP[Statut déplacé],"idp",DisplacementP[adm3_name],'Displacement Between Admin3'!$B53, DisplacementP[provenance_adm3_nom],'Displacement Between Admin3'!$D$51)</f>
        <v>378</v>
      </c>
      <c r="E53" s="537">
        <f>SUMIFS(DisplacementP[Individus],DisplacementP[Statut déplacé],"idp",DisplacementP[adm3_name],'Displacement Between Admin3'!$B53, DisplacementP[provenance_adm3_nom],'Displacement Between Admin3'!$E$51)</f>
        <v>0</v>
      </c>
      <c r="F53" s="537">
        <f>SUMIFS(DisplacementP[Individus],DisplacementP[Statut déplacé],"idp",DisplacementP[adm3_name],'Displacement Between Admin3'!$B53, DisplacementP[provenance_adm3_nom],'Displacement Between Admin3'!$F$51)</f>
        <v>0</v>
      </c>
      <c r="G53" s="537">
        <f>SUMIFS(DisplacementP[Individus],DisplacementP[Statut déplacé],"idp",DisplacementP[adm3_name],'Displacement Between Admin3'!$B53, DisplacementP[provenance_adm3_nom],'Displacement Between Admin3'!$G$51)</f>
        <v>0</v>
      </c>
      <c r="H53" s="537">
        <f>SUMIFS(DisplacementP[Individus],DisplacementP[Statut déplacé],"idp",DisplacementP[adm3_name],'Displacement Between Admin3'!$B53, DisplacementP[provenance_adm3_nom],'Displacement Between Admin3'!$H$51)</f>
        <v>0</v>
      </c>
      <c r="I53" s="537">
        <f>SUMIFS(DisplacementP[Individus],DisplacementP[Statut déplacé],"idp",DisplacementP[adm3_name],'Displacement Between Admin3'!$B53, DisplacementP[provenance_adm3_nom],'Displacement Between Admin3'!$I$51)</f>
        <v>0</v>
      </c>
      <c r="J53" s="537">
        <f>SUMIFS(DisplacementP[Individus],DisplacementP[Statut déplacé],"idp",DisplacementP[adm3_name],'Displacement Between Admin3'!$B53, DisplacementP[provenance_adm3_nom],'Displacement Between Admin3'!$J$51)</f>
        <v>0</v>
      </c>
      <c r="K53" s="538">
        <f>SUM('Displacement Between Admin3'!$C53:$J53)</f>
        <v>378</v>
      </c>
      <c r="N53" s="493"/>
      <c r="P53" s="516"/>
      <c r="Q53" s="553" t="s">
        <v>174</v>
      </c>
      <c r="R53" s="537">
        <f>SUMIFS(DisplacementP[Individus],DisplacementP[adm3_name],Table519[[#This Row],[Arrondissements]],DisplacementP[Statut déplacé],"returnee",DisplacementP[provenance_adm3_nom],Table519[[#Headers],[Gobo]])</f>
        <v>0</v>
      </c>
      <c r="S53" s="534">
        <f>SUMIFS(DisplacementP[Individus],DisplacementP[adm3_name],Table519[[#This Row],[Arrondissements]],DisplacementP[Statut déplacé],"returnee",DisplacementP[provenance_adm3_nom],Table519[[#Headers],[Datchéka]])</f>
        <v>68</v>
      </c>
      <c r="T53" s="537">
        <f>SUMIFS(DisplacementP[Individus],DisplacementP[adm3_name],Table519[[#This Row],[Arrondissements]],DisplacementP[Statut déplacé],"returnee",DisplacementP[provenance_adm3_nom],Table519[[#Headers],[Guémé]])</f>
        <v>0</v>
      </c>
      <c r="U53" s="537">
        <f>SUMIFS(DisplacementP[Individus],DisplacementP[adm3_name],Table519[[#This Row],[Arrondissements]],DisplacementP[Statut déplacé],"returnee",DisplacementP[provenance_adm3_nom],Table519[[#Headers],[Guéré]])</f>
        <v>0</v>
      </c>
      <c r="V53" s="537">
        <f>SUMIFS(DisplacementP[Individus],DisplacementP[adm3_name],Table519[[#This Row],[Arrondissements]],DisplacementP[Statut déplacé],"returnee",DisplacementP[provenance_adm3_nom],Table519[[#Headers],[Kai-Kai]])</f>
        <v>0</v>
      </c>
      <c r="W53" s="537">
        <f>SUMIFS(DisplacementP[Individus],DisplacementP[adm3_name],Table519[[#This Row],[Arrondissements]],DisplacementP[Statut déplacé],"returnee",DisplacementP[provenance_adm3_nom],Table519[[#Headers],[Maga]])</f>
        <v>0</v>
      </c>
      <c r="X53" s="537">
        <f>SUMIFS(DisplacementP[Individus],DisplacementP[adm3_name],Table519[[#This Row],[Arrondissements]],DisplacementP[Statut déplacé],"returnee",DisplacementP[provenance_adm3_nom],Table519[[#Headers],[Wina]])</f>
        <v>0</v>
      </c>
      <c r="Y53" s="537">
        <f>SUMIFS(DisplacementP[Individus],DisplacementP[adm3_name],Table519[[#This Row],[Arrondissements]],DisplacementP[Statut déplacé],"returnee",DisplacementP[provenance_adm3_nom],Table519[[#Headers],[Yagoua]])</f>
        <v>0</v>
      </c>
      <c r="Z53" s="538">
        <f t="shared" ref="Z53:Z59" si="6">SUM(R53:Y53)</f>
        <v>68</v>
      </c>
      <c r="AD53" s="554"/>
      <c r="AE53" s="518"/>
      <c r="AF53" s="518"/>
      <c r="AG53" s="518"/>
      <c r="AH53" s="518"/>
      <c r="AI53" s="493"/>
      <c r="AJ53" s="527"/>
      <c r="AK53" s="518"/>
      <c r="AL53" s="518"/>
      <c r="AM53" s="518"/>
    </row>
    <row r="54" spans="1:39" x14ac:dyDescent="0.3">
      <c r="A54" s="516"/>
      <c r="B54" s="557" t="s">
        <v>177</v>
      </c>
      <c r="C54" s="518">
        <f>SUMIFS(DisplacementP[Individus],DisplacementP[Statut déplacé],"idp",DisplacementP[adm3_name],'Displacement Between Admin3'!$B54, DisplacementP[provenance_adm3_nom],'Displacement Between Admin3'!$C$51)</f>
        <v>0</v>
      </c>
      <c r="D54" s="518">
        <f>SUMIFS(DisplacementP[Individus],DisplacementP[Statut déplacé],"idp",DisplacementP[adm3_name],'Displacement Between Admin3'!$B54, DisplacementP[provenance_adm3_nom],'Displacement Between Admin3'!$D$51)</f>
        <v>0</v>
      </c>
      <c r="E54" s="534">
        <f>SUMIFS(DisplacementP[Individus],DisplacementP[Statut déplacé],"idp",DisplacementP[adm3_name],'Displacement Between Admin3'!$B54, DisplacementP[provenance_adm3_nom],'Displacement Between Admin3'!$E$51)</f>
        <v>2767</v>
      </c>
      <c r="F54" s="518">
        <f>SUMIFS(DisplacementP[Individus],DisplacementP[Statut déplacé],"idp",DisplacementP[adm3_name],'Displacement Between Admin3'!$B54, DisplacementP[provenance_adm3_nom],'Displacement Between Admin3'!$F$51)</f>
        <v>0</v>
      </c>
      <c r="G54" s="518">
        <f>SUMIFS(DisplacementP[Individus],DisplacementP[Statut déplacé],"idp",DisplacementP[adm3_name],'Displacement Between Admin3'!$B54, DisplacementP[provenance_adm3_nom],'Displacement Between Admin3'!$G$51)</f>
        <v>0</v>
      </c>
      <c r="H54" s="518">
        <f>SUMIFS(DisplacementP[Individus],DisplacementP[Statut déplacé],"idp",DisplacementP[adm3_name],'Displacement Between Admin3'!$B54, DisplacementP[provenance_adm3_nom],'Displacement Between Admin3'!$H$51)</f>
        <v>0</v>
      </c>
      <c r="I54" s="518">
        <f>SUMIFS(DisplacementP[Individus],DisplacementP[Statut déplacé],"idp",DisplacementP[adm3_name],'Displacement Between Admin3'!$B54, DisplacementP[provenance_adm3_nom],'Displacement Between Admin3'!$I$51)</f>
        <v>0</v>
      </c>
      <c r="J54" s="518">
        <f>SUMIFS(DisplacementP[Individus],DisplacementP[Statut déplacé],"idp",DisplacementP[adm3_name],'Displacement Between Admin3'!$B54, DisplacementP[provenance_adm3_nom],'Displacement Between Admin3'!$J$51)</f>
        <v>0</v>
      </c>
      <c r="K54" s="535">
        <f>SUM('Displacement Between Admin3'!$C54:$J54)</f>
        <v>2767</v>
      </c>
      <c r="N54" s="493"/>
      <c r="P54" s="516"/>
      <c r="Q54" s="549" t="s">
        <v>177</v>
      </c>
      <c r="R54" s="518">
        <f>SUMIFS(DisplacementP[Individus],DisplacementP[adm3_name],Table519[[#This Row],[Arrondissements]],DisplacementP[Statut déplacé],"returnee",DisplacementP[provenance_adm3_nom],Table519[[#Headers],[Gobo]])</f>
        <v>0</v>
      </c>
      <c r="S54" s="518">
        <f>SUMIFS(DisplacementP[Individus],DisplacementP[adm3_name],Table519[[#This Row],[Arrondissements]],DisplacementP[Statut déplacé],"returnee",DisplacementP[provenance_adm3_nom],Table519[[#Headers],[Datchéka]])</f>
        <v>0</v>
      </c>
      <c r="T54" s="534">
        <f>SUMIFS(DisplacementP[Individus],DisplacementP[adm3_name],Table519[[#This Row],[Arrondissements]],DisplacementP[Statut déplacé],"returnee",DisplacementP[provenance_adm3_nom],Table519[[#Headers],[Guémé]])</f>
        <v>6138</v>
      </c>
      <c r="U54" s="518">
        <f>SUMIFS(DisplacementP[Individus],DisplacementP[adm3_name],Table519[[#This Row],[Arrondissements]],DisplacementP[Statut déplacé],"returnee",DisplacementP[provenance_adm3_nom],Table519[[#Headers],[Guéré]])</f>
        <v>0</v>
      </c>
      <c r="V54" s="518">
        <f>SUMIFS(DisplacementP[Individus],DisplacementP[adm3_name],Table519[[#This Row],[Arrondissements]],DisplacementP[Statut déplacé],"returnee",DisplacementP[provenance_adm3_nom],Table519[[#Headers],[Kai-Kai]])</f>
        <v>0</v>
      </c>
      <c r="W54" s="518">
        <f>SUMIFS(DisplacementP[Individus],DisplacementP[adm3_name],Table519[[#This Row],[Arrondissements]],DisplacementP[Statut déplacé],"returnee",DisplacementP[provenance_adm3_nom],Table519[[#Headers],[Maga]])</f>
        <v>0</v>
      </c>
      <c r="X54" s="518">
        <f>SUMIFS(DisplacementP[Individus],DisplacementP[adm3_name],Table519[[#This Row],[Arrondissements]],DisplacementP[Statut déplacé],"returnee",DisplacementP[provenance_adm3_nom],Table519[[#Headers],[Wina]])</f>
        <v>0</v>
      </c>
      <c r="Y54" s="518">
        <f>SUMIFS(DisplacementP[Individus],DisplacementP[adm3_name],Table519[[#This Row],[Arrondissements]],DisplacementP[Statut déplacé],"returnee",DisplacementP[provenance_adm3_nom],Table519[[#Headers],[Yagoua]])</f>
        <v>0</v>
      </c>
      <c r="Z54" s="535">
        <f t="shared" si="6"/>
        <v>6138</v>
      </c>
      <c r="AD54" s="554"/>
      <c r="AE54" s="518"/>
      <c r="AF54" s="518"/>
      <c r="AG54" s="518"/>
      <c r="AH54" s="518"/>
      <c r="AI54" s="493"/>
      <c r="AJ54" s="527"/>
      <c r="AK54" s="518"/>
      <c r="AL54" s="518"/>
      <c r="AM54" s="518"/>
    </row>
    <row r="55" spans="1:39" x14ac:dyDescent="0.3">
      <c r="A55" s="516"/>
      <c r="B55" s="555" t="s">
        <v>179</v>
      </c>
      <c r="C55" s="537">
        <f>SUMIFS(DisplacementP[Individus],DisplacementP[Statut déplacé],"idp",DisplacementP[adm3_name],'Displacement Between Admin3'!$B55, DisplacementP[provenance_adm3_nom],'Displacement Between Admin3'!$C$51)</f>
        <v>0</v>
      </c>
      <c r="D55" s="537">
        <f>SUMIFS(DisplacementP[Individus],DisplacementP[Statut déplacé],"idp",DisplacementP[adm3_name],'Displacement Between Admin3'!$B55, DisplacementP[provenance_adm3_nom],'Displacement Between Admin3'!$D$51)</f>
        <v>0</v>
      </c>
      <c r="E55" s="537">
        <f>SUMIFS(DisplacementP[Individus],DisplacementP[Statut déplacé],"idp",DisplacementP[adm3_name],'Displacement Between Admin3'!$B55, DisplacementP[provenance_adm3_nom],'Displacement Between Admin3'!$E$51)</f>
        <v>0</v>
      </c>
      <c r="F55" s="534">
        <f>SUMIFS(DisplacementP[Individus],DisplacementP[Statut déplacé],"idp",DisplacementP[adm3_name],'Displacement Between Admin3'!$B55, DisplacementP[provenance_adm3_nom],'Displacement Between Admin3'!$F$51)</f>
        <v>49</v>
      </c>
      <c r="G55" s="537">
        <f>SUMIFS(DisplacementP[Individus],DisplacementP[Statut déplacé],"idp",DisplacementP[adm3_name],'Displacement Between Admin3'!$B55, DisplacementP[provenance_adm3_nom],'Displacement Between Admin3'!$G$51)</f>
        <v>0</v>
      </c>
      <c r="H55" s="537">
        <f>SUMIFS(DisplacementP[Individus],DisplacementP[Statut déplacé],"idp",DisplacementP[adm3_name],'Displacement Between Admin3'!$B55, DisplacementP[provenance_adm3_nom],'Displacement Between Admin3'!$H$51)</f>
        <v>0</v>
      </c>
      <c r="I55" s="537">
        <f>SUMIFS(DisplacementP[Individus],DisplacementP[Statut déplacé],"idp",DisplacementP[adm3_name],'Displacement Between Admin3'!$B55, DisplacementP[provenance_adm3_nom],'Displacement Between Admin3'!$I$51)</f>
        <v>0</v>
      </c>
      <c r="J55" s="537">
        <f>SUMIFS(DisplacementP[Individus],DisplacementP[Statut déplacé],"idp",DisplacementP[adm3_name],'Displacement Between Admin3'!$B55, DisplacementP[provenance_adm3_nom],'Displacement Between Admin3'!$J$51)</f>
        <v>0</v>
      </c>
      <c r="K55" s="538">
        <f>SUM('Displacement Between Admin3'!$C55:$J55)</f>
        <v>49</v>
      </c>
      <c r="N55" s="493"/>
      <c r="P55" s="516"/>
      <c r="Q55" s="552" t="s">
        <v>179</v>
      </c>
      <c r="R55" s="537">
        <f>SUMIFS(DisplacementP[Individus],DisplacementP[adm3_name],Table519[[#This Row],[Arrondissements]],DisplacementP[Statut déplacé],"returnee",DisplacementP[provenance_adm3_nom],Table519[[#Headers],[Gobo]])</f>
        <v>0</v>
      </c>
      <c r="S55" s="537">
        <f>SUMIFS(DisplacementP[Individus],DisplacementP[adm3_name],Table519[[#This Row],[Arrondissements]],DisplacementP[Statut déplacé],"returnee",DisplacementP[provenance_adm3_nom],Table519[[#Headers],[Datchéka]])</f>
        <v>0</v>
      </c>
      <c r="T55" s="537">
        <f>SUMIFS(DisplacementP[Individus],DisplacementP[adm3_name],Table519[[#This Row],[Arrondissements]],DisplacementP[Statut déplacé],"returnee",DisplacementP[provenance_adm3_nom],Table519[[#Headers],[Guémé]])</f>
        <v>0</v>
      </c>
      <c r="U55" s="534">
        <f>SUMIFS(DisplacementP[Individus],DisplacementP[adm3_name],Table519[[#This Row],[Arrondissements]],DisplacementP[Statut déplacé],"returnee",DisplacementP[provenance_adm3_nom],Table519[[#Headers],[Guéré]])</f>
        <v>1567</v>
      </c>
      <c r="V55" s="537">
        <f>SUMIFS(DisplacementP[Individus],DisplacementP[adm3_name],Table519[[#This Row],[Arrondissements]],DisplacementP[Statut déplacé],"returnee",DisplacementP[provenance_adm3_nom],Table519[[#Headers],[Kai-Kai]])</f>
        <v>0</v>
      </c>
      <c r="W55" s="537">
        <f>SUMIFS(DisplacementP[Individus],DisplacementP[adm3_name],Table519[[#This Row],[Arrondissements]],DisplacementP[Statut déplacé],"returnee",DisplacementP[provenance_adm3_nom],Table519[[#Headers],[Maga]])</f>
        <v>0</v>
      </c>
      <c r="X55" s="537">
        <f>SUMIFS(DisplacementP[Individus],DisplacementP[adm3_name],Table519[[#This Row],[Arrondissements]],DisplacementP[Statut déplacé],"returnee",DisplacementP[provenance_adm3_nom],Table519[[#Headers],[Wina]])</f>
        <v>0</v>
      </c>
      <c r="Y55" s="537">
        <f>SUMIFS(DisplacementP[Individus],DisplacementP[adm3_name],Table519[[#This Row],[Arrondissements]],DisplacementP[Statut déplacé],"returnee",DisplacementP[provenance_adm3_nom],Table519[[#Headers],[Yagoua]])</f>
        <v>0</v>
      </c>
      <c r="Z55" s="538">
        <f t="shared" si="6"/>
        <v>1567</v>
      </c>
      <c r="AD55" s="554"/>
      <c r="AE55" s="518"/>
      <c r="AF55" s="518"/>
      <c r="AG55" s="518"/>
      <c r="AH55" s="518"/>
      <c r="AI55" s="493"/>
      <c r="AJ55" s="527"/>
      <c r="AK55" s="518"/>
      <c r="AL55" s="518"/>
      <c r="AM55" s="518"/>
    </row>
    <row r="56" spans="1:39" x14ac:dyDescent="0.3">
      <c r="A56" s="516"/>
      <c r="B56" s="552" t="s">
        <v>176</v>
      </c>
      <c r="C56" s="518">
        <f>SUMIFS(DisplacementP[Individus],DisplacementP[Statut déplacé],"idp",DisplacementP[adm3_name],'Displacement Between Admin3'!$B56, DisplacementP[provenance_adm3_nom],'Displacement Between Admin3'!$C$51)</f>
        <v>0</v>
      </c>
      <c r="D56" s="518">
        <f>SUMIFS(DisplacementP[Individus],DisplacementP[Statut déplacé],"idp",DisplacementP[adm3_name],'Displacement Between Admin3'!$B56, DisplacementP[provenance_adm3_nom],'Displacement Between Admin3'!$D$51)</f>
        <v>0</v>
      </c>
      <c r="E56" s="518">
        <f>SUMIFS(DisplacementP[Individus],DisplacementP[Statut déplacé],"idp",DisplacementP[adm3_name],'Displacement Between Admin3'!$B56, DisplacementP[provenance_adm3_nom],'Displacement Between Admin3'!$E$51)</f>
        <v>0</v>
      </c>
      <c r="F56" s="518">
        <f>SUMIFS(DisplacementP[Individus],DisplacementP[Statut déplacé],"idp",DisplacementP[adm3_name],'Displacement Between Admin3'!$B56, DisplacementP[provenance_adm3_nom],'Displacement Between Admin3'!$F$51)</f>
        <v>0</v>
      </c>
      <c r="G56" s="534">
        <f>SUMIFS(DisplacementP[Individus],DisplacementP[Statut déplacé],"idp",DisplacementP[adm3_name],'Displacement Between Admin3'!$B56, DisplacementP[provenance_adm3_nom],'Displacement Between Admin3'!$G$51)</f>
        <v>10359</v>
      </c>
      <c r="H56" s="518">
        <f>SUMIFS(DisplacementP[Individus],DisplacementP[Statut déplacé],"idp",DisplacementP[adm3_name],'Displacement Between Admin3'!$B56, DisplacementP[provenance_adm3_nom],'Displacement Between Admin3'!$H$51)</f>
        <v>0</v>
      </c>
      <c r="I56" s="518">
        <f>SUMIFS(DisplacementP[Individus],DisplacementP[Statut déplacé],"idp",DisplacementP[adm3_name],'Displacement Between Admin3'!$B56, DisplacementP[provenance_adm3_nom],'Displacement Between Admin3'!$I$51)</f>
        <v>0</v>
      </c>
      <c r="J56" s="518">
        <f>SUMIFS(DisplacementP[Individus],DisplacementP[Statut déplacé],"idp",DisplacementP[adm3_name],'Displacement Between Admin3'!$B56, DisplacementP[provenance_adm3_nom],'Displacement Between Admin3'!$J$51)</f>
        <v>0</v>
      </c>
      <c r="K56" s="535">
        <f>SUM('Displacement Between Admin3'!$C56:$J56)</f>
        <v>10359</v>
      </c>
      <c r="N56" s="493"/>
      <c r="P56" s="516"/>
      <c r="Q56" s="550" t="s">
        <v>176</v>
      </c>
      <c r="R56" s="518">
        <f>SUMIFS(DisplacementP[Individus],DisplacementP[adm3_name],Table519[[#This Row],[Arrondissements]],DisplacementP[Statut déplacé],"returnee",DisplacementP[provenance_adm3_nom],Table519[[#Headers],[Gobo]])</f>
        <v>0</v>
      </c>
      <c r="S56" s="518">
        <f>SUMIFS(DisplacementP[Individus],DisplacementP[adm3_name],Table519[[#This Row],[Arrondissements]],DisplacementP[Statut déplacé],"returnee",DisplacementP[provenance_adm3_nom],Table519[[#Headers],[Datchéka]])</f>
        <v>0</v>
      </c>
      <c r="T56" s="518">
        <f>SUMIFS(DisplacementP[Individus],DisplacementP[adm3_name],Table519[[#This Row],[Arrondissements]],DisplacementP[Statut déplacé],"returnee",DisplacementP[provenance_adm3_nom],Table519[[#Headers],[Guémé]])</f>
        <v>0</v>
      </c>
      <c r="U56" s="518">
        <f>SUMIFS(DisplacementP[Individus],DisplacementP[adm3_name],Table519[[#This Row],[Arrondissements]],DisplacementP[Statut déplacé],"returnee",DisplacementP[provenance_adm3_nom],Table519[[#Headers],[Guéré]])</f>
        <v>0</v>
      </c>
      <c r="V56" s="534">
        <f>SUMIFS(DisplacementP[Individus],DisplacementP[adm3_name],Table519[[#This Row],[Arrondissements]],DisplacementP[Statut déplacé],"returnee",DisplacementP[provenance_adm3_nom],Table519[[#Headers],[Kai-Kai]])</f>
        <v>17989</v>
      </c>
      <c r="W56" s="518">
        <f>SUMIFS(DisplacementP[Individus],DisplacementP[adm3_name],Table519[[#This Row],[Arrondissements]],DisplacementP[Statut déplacé],"returnee",DisplacementP[provenance_adm3_nom],Table519[[#Headers],[Maga]])</f>
        <v>0</v>
      </c>
      <c r="X56" s="518">
        <f>SUMIFS(DisplacementP[Individus],DisplacementP[adm3_name],Table519[[#This Row],[Arrondissements]],DisplacementP[Statut déplacé],"returnee",DisplacementP[provenance_adm3_nom],Table519[[#Headers],[Wina]])</f>
        <v>0</v>
      </c>
      <c r="Y56" s="518">
        <f>SUMIFS(DisplacementP[Individus],DisplacementP[adm3_name],Table519[[#This Row],[Arrondissements]],DisplacementP[Statut déplacé],"returnee",DisplacementP[provenance_adm3_nom],Table519[[#Headers],[Yagoua]])</f>
        <v>0</v>
      </c>
      <c r="Z56" s="535">
        <f t="shared" si="6"/>
        <v>17989</v>
      </c>
      <c r="AD56" s="554"/>
      <c r="AE56" s="518"/>
      <c r="AF56" s="518"/>
      <c r="AG56" s="518"/>
      <c r="AH56" s="518"/>
      <c r="AI56" s="493"/>
      <c r="AJ56" s="527"/>
      <c r="AK56" s="518"/>
      <c r="AL56" s="518"/>
      <c r="AM56" s="518"/>
    </row>
    <row r="57" spans="1:39" x14ac:dyDescent="0.3">
      <c r="A57" s="516"/>
      <c r="B57" s="549" t="s">
        <v>178</v>
      </c>
      <c r="C57" s="537">
        <f>SUMIFS(DisplacementP[Individus],DisplacementP[Statut déplacé],"idp",DisplacementP[adm3_name],'Displacement Between Admin3'!$B57, DisplacementP[provenance_adm3_nom],'Displacement Between Admin3'!$C$51)</f>
        <v>0</v>
      </c>
      <c r="D57" s="537">
        <f>SUMIFS(DisplacementP[Individus],DisplacementP[Statut déplacé],"idp",DisplacementP[adm3_name],'Displacement Between Admin3'!$B57, DisplacementP[provenance_adm3_nom],'Displacement Between Admin3'!$D$51)</f>
        <v>0</v>
      </c>
      <c r="E57" s="537">
        <f>SUMIFS(DisplacementP[Individus],DisplacementP[Statut déplacé],"idp",DisplacementP[adm3_name],'Displacement Between Admin3'!$B57, DisplacementP[provenance_adm3_nom],'Displacement Between Admin3'!$E$51)</f>
        <v>0</v>
      </c>
      <c r="F57" s="537">
        <f>SUMIFS(DisplacementP[Individus],DisplacementP[Statut déplacé],"idp",DisplacementP[adm3_name],'Displacement Between Admin3'!$B57, DisplacementP[provenance_adm3_nom],'Displacement Between Admin3'!$F$51)</f>
        <v>0</v>
      </c>
      <c r="G57" s="537">
        <f>SUMIFS(DisplacementP[Individus],DisplacementP[Statut déplacé],"idp",DisplacementP[adm3_name],'Displacement Between Admin3'!$B57, DisplacementP[provenance_adm3_nom],'Displacement Between Admin3'!$G$51)</f>
        <v>0</v>
      </c>
      <c r="H57" s="534">
        <f>SUMIFS(DisplacementP[Individus],DisplacementP[Statut déplacé],"idp",DisplacementP[adm3_name],'Displacement Between Admin3'!$B57, DisplacementP[provenance_adm3_nom],'Displacement Between Admin3'!$H$51)</f>
        <v>5405</v>
      </c>
      <c r="I57" s="537">
        <f>SUMIFS(DisplacementP[Individus],DisplacementP[Statut déplacé],"idp",DisplacementP[adm3_name],'Displacement Between Admin3'!$B57, DisplacementP[provenance_adm3_nom],'Displacement Between Admin3'!$I$51)</f>
        <v>0</v>
      </c>
      <c r="J57" s="537">
        <f>SUMIFS(DisplacementP[Individus],DisplacementP[Statut déplacé],"idp",DisplacementP[adm3_name],'Displacement Between Admin3'!$B57, DisplacementP[provenance_adm3_nom],'Displacement Between Admin3'!$J$51)</f>
        <v>0</v>
      </c>
      <c r="K57" s="538">
        <f>SUM('Displacement Between Admin3'!$C57:$J57)</f>
        <v>5405</v>
      </c>
      <c r="N57" s="493"/>
      <c r="P57" s="516"/>
      <c r="Q57" s="556" t="s">
        <v>178</v>
      </c>
      <c r="R57" s="537">
        <f>SUMIFS(DisplacementP[Individus],DisplacementP[adm3_name],Table519[[#This Row],[Arrondissements]],DisplacementP[Statut déplacé],"returnee",DisplacementP[provenance_adm3_nom],Table519[[#Headers],[Gobo]])</f>
        <v>0</v>
      </c>
      <c r="S57" s="537">
        <f>SUMIFS(DisplacementP[Individus],DisplacementP[adm3_name],Table519[[#This Row],[Arrondissements]],DisplacementP[Statut déplacé],"returnee",DisplacementP[provenance_adm3_nom],Table519[[#Headers],[Datchéka]])</f>
        <v>0</v>
      </c>
      <c r="T57" s="537">
        <f>SUMIFS(DisplacementP[Individus],DisplacementP[adm3_name],Table519[[#This Row],[Arrondissements]],DisplacementP[Statut déplacé],"returnee",DisplacementP[provenance_adm3_nom],Table519[[#Headers],[Guémé]])</f>
        <v>0</v>
      </c>
      <c r="U57" s="537">
        <f>SUMIFS(DisplacementP[Individus],DisplacementP[adm3_name],Table519[[#This Row],[Arrondissements]],DisplacementP[Statut déplacé],"returnee",DisplacementP[provenance_adm3_nom],Table519[[#Headers],[Guéré]])</f>
        <v>0</v>
      </c>
      <c r="V57" s="537">
        <f>SUMIFS(DisplacementP[Individus],DisplacementP[adm3_name],Table519[[#This Row],[Arrondissements]],DisplacementP[Statut déplacé],"returnee",DisplacementP[provenance_adm3_nom],Table519[[#Headers],[Kai-Kai]])</f>
        <v>0</v>
      </c>
      <c r="W57" s="534">
        <f>SUMIFS(DisplacementP[Individus],DisplacementP[adm3_name],Table519[[#This Row],[Arrondissements]],DisplacementP[Statut déplacé],"returnee",DisplacementP[provenance_adm3_nom],Table519[[#Headers],[Maga]])</f>
        <v>3576</v>
      </c>
      <c r="X57" s="537">
        <f>SUMIFS(DisplacementP[Individus],DisplacementP[adm3_name],Table519[[#This Row],[Arrondissements]],DisplacementP[Statut déplacé],"returnee",DisplacementP[provenance_adm3_nom],Table519[[#Headers],[Wina]])</f>
        <v>0</v>
      </c>
      <c r="Y57" s="537">
        <f>SUMIFS(DisplacementP[Individus],DisplacementP[adm3_name],Table519[[#This Row],[Arrondissements]],DisplacementP[Statut déplacé],"returnee",DisplacementP[provenance_adm3_nom],Table519[[#Headers],[Yagoua]])</f>
        <v>0</v>
      </c>
      <c r="Z57" s="538">
        <f t="shared" si="6"/>
        <v>3576</v>
      </c>
      <c r="AD57" s="554"/>
      <c r="AE57" s="518"/>
      <c r="AF57" s="518"/>
      <c r="AG57" s="518"/>
      <c r="AH57" s="518"/>
      <c r="AI57" s="493"/>
      <c r="AJ57" s="527"/>
      <c r="AK57" s="518"/>
      <c r="AL57" s="518"/>
      <c r="AM57" s="518"/>
    </row>
    <row r="58" spans="1:39" x14ac:dyDescent="0.3">
      <c r="A58" s="516"/>
      <c r="B58" s="552" t="s">
        <v>180</v>
      </c>
      <c r="C58" s="558">
        <f>SUMIFS(DisplacementP[Individus],DisplacementP[Statut déplacé],"idp",DisplacementP[adm3_name],'Displacement Between Admin3'!$B58, DisplacementP[provenance_adm3_nom],'Displacement Between Admin3'!$C$51)</f>
        <v>0</v>
      </c>
      <c r="D58" s="558">
        <f>SUMIFS(DisplacementP[Individus],DisplacementP[Statut déplacé],"idp",DisplacementP[adm3_name],'Displacement Between Admin3'!$B58, DisplacementP[provenance_adm3_nom],'Displacement Between Admin3'!$D$51)</f>
        <v>0</v>
      </c>
      <c r="E58" s="558">
        <f>SUMIFS(DisplacementP[Individus],DisplacementP[Statut déplacé],"idp",DisplacementP[adm3_name],'Displacement Between Admin3'!$B58, DisplacementP[provenance_adm3_nom],'Displacement Between Admin3'!$E$51)</f>
        <v>0</v>
      </c>
      <c r="F58" s="558">
        <f>SUMIFS(DisplacementP[Individus],DisplacementP[Statut déplacé],"idp",DisplacementP[adm3_name],'Displacement Between Admin3'!$B58, DisplacementP[provenance_adm3_nom],'Displacement Between Admin3'!$F$51)</f>
        <v>0</v>
      </c>
      <c r="G58" s="558">
        <f>SUMIFS(DisplacementP[Individus],DisplacementP[Statut déplacé],"idp",DisplacementP[adm3_name],'Displacement Between Admin3'!$B58, DisplacementP[provenance_adm3_nom],'Displacement Between Admin3'!$G$51)</f>
        <v>0</v>
      </c>
      <c r="H58" s="558">
        <f>SUMIFS(DisplacementP[Individus],DisplacementP[Statut déplacé],"idp",DisplacementP[adm3_name],'Displacement Between Admin3'!$B58, DisplacementP[provenance_adm3_nom],'Displacement Between Admin3'!$H$51)</f>
        <v>0</v>
      </c>
      <c r="I58" s="534">
        <f>SUMIFS(DisplacementP[Individus],DisplacementP[Statut déplacé],"idp",DisplacementP[adm3_name],'Displacement Between Admin3'!$B58, DisplacementP[provenance_adm3_nom],'Displacement Between Admin3'!$I$51)</f>
        <v>552</v>
      </c>
      <c r="J58" s="558">
        <f>SUMIFS(DisplacementP[Individus],DisplacementP[Statut déplacé],"idp",DisplacementP[adm3_name],'Displacement Between Admin3'!$B58, DisplacementP[provenance_adm3_nom],'Displacement Between Admin3'!$J$51)</f>
        <v>0</v>
      </c>
      <c r="K58" s="559">
        <f>SUM('Displacement Between Admin3'!$C58:$J58)</f>
        <v>552</v>
      </c>
      <c r="N58" s="493"/>
      <c r="P58" s="516"/>
      <c r="Q58" s="560" t="s">
        <v>180</v>
      </c>
      <c r="R58" s="558">
        <f>SUMIFS(DisplacementP[Individus],DisplacementP[adm3_name],Table519[[#This Row],[Arrondissements]],DisplacementP[Statut déplacé],"returnee",DisplacementP[provenance_adm3_nom],Table519[[#Headers],[Gobo]])</f>
        <v>0</v>
      </c>
      <c r="S58" s="558">
        <f>SUMIFS(DisplacementP[Individus],DisplacementP[adm3_name],Table519[[#This Row],[Arrondissements]],DisplacementP[Statut déplacé],"returnee",DisplacementP[provenance_adm3_nom],Table519[[#Headers],[Datchéka]])</f>
        <v>0</v>
      </c>
      <c r="T58" s="558">
        <f>SUMIFS(DisplacementP[Individus],DisplacementP[adm3_name],Table519[[#This Row],[Arrondissements]],DisplacementP[Statut déplacé],"returnee",DisplacementP[provenance_adm3_nom],Table519[[#Headers],[Guémé]])</f>
        <v>0</v>
      </c>
      <c r="U58" s="558">
        <f>SUMIFS(DisplacementP[Individus],DisplacementP[adm3_name],Table519[[#This Row],[Arrondissements]],DisplacementP[Statut déplacé],"returnee",DisplacementP[provenance_adm3_nom],Table519[[#Headers],[Guéré]])</f>
        <v>0</v>
      </c>
      <c r="V58" s="558">
        <f>SUMIFS(DisplacementP[Individus],DisplacementP[adm3_name],Table519[[#This Row],[Arrondissements]],DisplacementP[Statut déplacé],"returnee",DisplacementP[provenance_adm3_nom],Table519[[#Headers],[Kai-Kai]])</f>
        <v>0</v>
      </c>
      <c r="W58" s="558">
        <f>SUMIFS(DisplacementP[Individus],DisplacementP[adm3_name],Table519[[#This Row],[Arrondissements]],DisplacementP[Statut déplacé],"returnee",DisplacementP[provenance_adm3_nom],Table519[[#Headers],[Maga]])</f>
        <v>0</v>
      </c>
      <c r="X58" s="534">
        <f>SUMIFS(DisplacementP[Individus],DisplacementP[adm3_name],Table519[[#This Row],[Arrondissements]],DisplacementP[Statut déplacé],"returnee",DisplacementP[provenance_adm3_nom],Table519[[#Headers],[Wina]])</f>
        <v>36782</v>
      </c>
      <c r="Y58" s="558">
        <f>SUMIFS(DisplacementP[Individus],DisplacementP[adm3_name],Table519[[#This Row],[Arrondissements]],DisplacementP[Statut déplacé],"returnee",DisplacementP[provenance_adm3_nom],Table519[[#Headers],[Yagoua]])</f>
        <v>0</v>
      </c>
      <c r="Z58" s="559">
        <f t="shared" si="6"/>
        <v>36782</v>
      </c>
      <c r="AD58" s="554"/>
      <c r="AE58" s="518"/>
      <c r="AF58" s="518"/>
      <c r="AG58" s="518"/>
      <c r="AH58" s="518"/>
      <c r="AI58" s="493"/>
      <c r="AJ58" s="527"/>
      <c r="AK58" s="518"/>
      <c r="AL58" s="518"/>
      <c r="AM58" s="518"/>
    </row>
    <row r="59" spans="1:39" s="527" customFormat="1" x14ac:dyDescent="0.3">
      <c r="A59" s="524"/>
      <c r="B59" s="549" t="s">
        <v>181</v>
      </c>
      <c r="C59" s="537">
        <f>SUMIFS(DisplacementP[Individus],DisplacementP[Statut déplacé],"idp",DisplacementP[adm3_name],'Displacement Between Admin3'!$B59, DisplacementP[provenance_adm3_nom],'Displacement Between Admin3'!$C$51)</f>
        <v>0</v>
      </c>
      <c r="D59" s="537">
        <f>SUMIFS(DisplacementP[Individus],DisplacementP[Statut déplacé],"idp",DisplacementP[adm3_name],'Displacement Between Admin3'!$B59, DisplacementP[provenance_adm3_nom],'Displacement Between Admin3'!$D$51)</f>
        <v>0</v>
      </c>
      <c r="E59" s="537">
        <f>SUMIFS(DisplacementP[Individus],DisplacementP[Statut déplacé],"idp",DisplacementP[adm3_name],'Displacement Between Admin3'!$B59, DisplacementP[provenance_adm3_nom],'Displacement Between Admin3'!$E$51)</f>
        <v>0</v>
      </c>
      <c r="F59" s="537">
        <f>SUMIFS(DisplacementP[Individus],DisplacementP[Statut déplacé],"idp",DisplacementP[adm3_name],'Displacement Between Admin3'!$B59, DisplacementP[provenance_adm3_nom],'Displacement Between Admin3'!$F$51)</f>
        <v>0</v>
      </c>
      <c r="G59" s="537">
        <f>SUMIFS(DisplacementP[Individus],DisplacementP[Statut déplacé],"idp",DisplacementP[adm3_name],'Displacement Between Admin3'!$B59, DisplacementP[provenance_adm3_nom],'Displacement Between Admin3'!$G$51)</f>
        <v>0</v>
      </c>
      <c r="H59" s="537">
        <f>SUMIFS(DisplacementP[Individus],DisplacementP[Statut déplacé],"idp",DisplacementP[adm3_name],'Displacement Between Admin3'!$B59, DisplacementP[provenance_adm3_nom],'Displacement Between Admin3'!$H$51)</f>
        <v>281</v>
      </c>
      <c r="I59" s="537">
        <f>SUMIFS(DisplacementP[Individus],DisplacementP[Statut déplacé],"idp",DisplacementP[adm3_name],'Displacement Between Admin3'!$B59, DisplacementP[provenance_adm3_nom],'Displacement Between Admin3'!$I$51)</f>
        <v>0</v>
      </c>
      <c r="J59" s="534">
        <f>SUMIFS(DisplacementP[Individus],DisplacementP[Statut déplacé],"idp",DisplacementP[adm3_name],'Displacement Between Admin3'!$B59, DisplacementP[provenance_adm3_nom],'Displacement Between Admin3'!$J$51)</f>
        <v>1166</v>
      </c>
      <c r="K59" s="538">
        <f>SUM('Displacement Between Admin3'!$C59:$J59)</f>
        <v>1447</v>
      </c>
      <c r="L59" s="525"/>
      <c r="M59" s="525"/>
      <c r="N59" s="526"/>
      <c r="P59" s="524"/>
      <c r="Q59" s="556" t="s">
        <v>181</v>
      </c>
      <c r="R59" s="537">
        <f>SUMIFS(DisplacementP[Individus],DisplacementP[adm3_name],Table519[[#This Row],[Arrondissements]],DisplacementP[Statut déplacé],"returnee",DisplacementP[provenance_adm3_nom],Table519[[#Headers],[Gobo]])</f>
        <v>0</v>
      </c>
      <c r="S59" s="537">
        <f>SUMIFS(DisplacementP[Individus],DisplacementP[adm3_name],Table519[[#This Row],[Arrondissements]],DisplacementP[Statut déplacé],"returnee",DisplacementP[provenance_adm3_nom],Table519[[#Headers],[Datchéka]])</f>
        <v>0</v>
      </c>
      <c r="T59" s="537">
        <f>SUMIFS(DisplacementP[Individus],DisplacementP[adm3_name],Table519[[#This Row],[Arrondissements]],DisplacementP[Statut déplacé],"returnee",DisplacementP[provenance_adm3_nom],Table519[[#Headers],[Guémé]])</f>
        <v>0</v>
      </c>
      <c r="U59" s="537">
        <f>SUMIFS(DisplacementP[Individus],DisplacementP[adm3_name],Table519[[#This Row],[Arrondissements]],DisplacementP[Statut déplacé],"returnee",DisplacementP[provenance_adm3_nom],Table519[[#Headers],[Guéré]])</f>
        <v>0</v>
      </c>
      <c r="V59" s="537">
        <f>SUMIFS(DisplacementP[Individus],DisplacementP[adm3_name],Table519[[#This Row],[Arrondissements]],DisplacementP[Statut déplacé],"returnee",DisplacementP[provenance_adm3_nom],Table519[[#Headers],[Kai-Kai]])</f>
        <v>0</v>
      </c>
      <c r="W59" s="537">
        <f>SUMIFS(DisplacementP[Individus],DisplacementP[adm3_name],Table519[[#This Row],[Arrondissements]],DisplacementP[Statut déplacé],"returnee",DisplacementP[provenance_adm3_nom],Table519[[#Headers],[Maga]])</f>
        <v>0</v>
      </c>
      <c r="X59" s="537">
        <f>SUMIFS(DisplacementP[Individus],DisplacementP[adm3_name],Table519[[#This Row],[Arrondissements]],DisplacementP[Statut déplacé],"returnee",DisplacementP[provenance_adm3_nom],Table519[[#Headers],[Wina]])</f>
        <v>0</v>
      </c>
      <c r="Y59" s="534">
        <f>SUMIFS(DisplacementP[Individus],DisplacementP[adm3_name],Table519[[#This Row],[Arrondissements]],DisplacementP[Statut déplacé],"returnee",DisplacementP[provenance_adm3_nom],Table519[[#Headers],[Yagoua]])</f>
        <v>3434</v>
      </c>
      <c r="Z59" s="538">
        <f t="shared" si="6"/>
        <v>3434</v>
      </c>
      <c r="AA59" s="525"/>
      <c r="AB59" s="525"/>
      <c r="AC59" s="525"/>
      <c r="AD59" s="518"/>
      <c r="AE59" s="521"/>
      <c r="AF59" s="521"/>
      <c r="AG59" s="521"/>
      <c r="AH59" s="521"/>
      <c r="AI59" s="493"/>
      <c r="AK59" s="521"/>
      <c r="AL59" s="561"/>
      <c r="AM59" s="561"/>
    </row>
    <row r="60" spans="1:39" x14ac:dyDescent="0.3">
      <c r="A60" s="516"/>
      <c r="B60" s="539"/>
      <c r="C60" s="540">
        <f>SUBTOTAL(109,'Displacement Between Admin3'!$C$52:$C$59)</f>
        <v>1587</v>
      </c>
      <c r="D60" s="540">
        <f>SUBTOTAL(109,'Displacement Between Admin3'!$D$52:$D$59)</f>
        <v>378</v>
      </c>
      <c r="E60" s="540">
        <f>SUBTOTAL(109,'Displacement Between Admin3'!$E$52:$E$59)</f>
        <v>2767</v>
      </c>
      <c r="F60" s="540">
        <f>SUBTOTAL(109,'Displacement Between Admin3'!$F$52:$F$59)</f>
        <v>49</v>
      </c>
      <c r="G60" s="540">
        <f>SUBTOTAL(109,'Displacement Between Admin3'!$G$52:$G$59)</f>
        <v>10359</v>
      </c>
      <c r="H60" s="540">
        <f>SUBTOTAL(109,'Displacement Between Admin3'!$H$52:$H$59)</f>
        <v>5686</v>
      </c>
      <c r="I60" s="540">
        <f>SUBTOTAL(109,'Displacement Between Admin3'!$I$52:$I$59)</f>
        <v>552</v>
      </c>
      <c r="J60" s="540">
        <f>SUM(J52:J59)</f>
        <v>1166</v>
      </c>
      <c r="K60" s="540">
        <f>SUM(K52:K59)</f>
        <v>22544</v>
      </c>
      <c r="N60" s="493"/>
      <c r="P60" s="516"/>
      <c r="Q60" s="562"/>
      <c r="R60" s="542">
        <f>SUM(R52:R59)</f>
        <v>11326</v>
      </c>
      <c r="S60" s="542">
        <f t="shared" ref="S60:Z60" si="7">SUM(S52:S59)</f>
        <v>68</v>
      </c>
      <c r="T60" s="542">
        <f t="shared" si="7"/>
        <v>6138</v>
      </c>
      <c r="U60" s="542">
        <f t="shared" si="7"/>
        <v>1567</v>
      </c>
      <c r="V60" s="542">
        <f t="shared" si="7"/>
        <v>17989</v>
      </c>
      <c r="W60" s="542">
        <f t="shared" si="7"/>
        <v>3576</v>
      </c>
      <c r="X60" s="542">
        <f t="shared" si="7"/>
        <v>36782</v>
      </c>
      <c r="Y60" s="542">
        <f t="shared" si="7"/>
        <v>3434</v>
      </c>
      <c r="Z60" s="542">
        <f t="shared" si="7"/>
        <v>80880</v>
      </c>
      <c r="AD60" s="543"/>
      <c r="AE60" s="543"/>
      <c r="AF60" s="543"/>
      <c r="AG60" s="543"/>
      <c r="AH60" s="543"/>
      <c r="AI60" s="493"/>
      <c r="AJ60" s="527"/>
      <c r="AK60" s="543"/>
      <c r="AL60" s="543"/>
      <c r="AM60" s="543"/>
    </row>
    <row r="61" spans="1:39" x14ac:dyDescent="0.3">
      <c r="A61" s="516"/>
      <c r="C61" s="1131">
        <f>C60/K60</f>
        <v>7.0395670688431514E-2</v>
      </c>
      <c r="D61" s="1131">
        <f>D60/K60</f>
        <v>1.6767210787792759E-2</v>
      </c>
      <c r="E61" s="1131">
        <f>E60/K60</f>
        <v>0.12273775727466288</v>
      </c>
      <c r="F61" s="1131">
        <f>F60/K60</f>
        <v>2.1735273243435062E-3</v>
      </c>
      <c r="G61" s="1131">
        <f>G60/K60</f>
        <v>0.45950141944641587</v>
      </c>
      <c r="H61" s="1131">
        <f>H60/K60</f>
        <v>0.25221788502484033</v>
      </c>
      <c r="I61" s="1131">
        <f>I60/K60</f>
        <v>2.4485450674237047E-2</v>
      </c>
      <c r="J61" s="1131">
        <f>J60/K60</f>
        <v>5.1721078779276085E-2</v>
      </c>
      <c r="K61" s="1131">
        <f>SUM(C61:J61)</f>
        <v>1</v>
      </c>
      <c r="N61" s="493"/>
      <c r="P61" s="516"/>
      <c r="R61" s="1131">
        <f>R60/$Z$60</f>
        <v>0.14003461918892185</v>
      </c>
      <c r="S61" s="1131">
        <f t="shared" ref="S61:Y61" si="8">S60/$Z$60</f>
        <v>8.4075173095944612E-4</v>
      </c>
      <c r="T61" s="1131">
        <f t="shared" si="8"/>
        <v>7.5890207715133537E-2</v>
      </c>
      <c r="U61" s="1131">
        <f t="shared" si="8"/>
        <v>1.9374381800197824E-2</v>
      </c>
      <c r="V61" s="1131">
        <f t="shared" si="8"/>
        <v>0.22241592482690406</v>
      </c>
      <c r="W61" s="1131">
        <f t="shared" si="8"/>
        <v>4.421364985163205E-2</v>
      </c>
      <c r="X61" s="1131">
        <f t="shared" si="8"/>
        <v>0.45477250247279921</v>
      </c>
      <c r="Y61" s="1131">
        <f t="shared" si="8"/>
        <v>4.2457962413452024E-2</v>
      </c>
      <c r="Z61" s="1131">
        <f>SUM(R61:Y61)</f>
        <v>1</v>
      </c>
      <c r="AI61" s="493"/>
      <c r="AJ61" s="527"/>
    </row>
    <row r="62" spans="1:39" x14ac:dyDescent="0.3">
      <c r="A62" s="516"/>
      <c r="N62" s="493"/>
      <c r="P62" s="516"/>
      <c r="AI62" s="493"/>
      <c r="AJ62" s="527"/>
    </row>
    <row r="63" spans="1:39" ht="15.6" x14ac:dyDescent="0.3">
      <c r="A63" s="516"/>
      <c r="B63" s="529" t="s">
        <v>33</v>
      </c>
      <c r="N63" s="493"/>
      <c r="P63" s="516"/>
      <c r="Q63" s="529" t="s">
        <v>33</v>
      </c>
      <c r="AI63" s="493"/>
      <c r="AJ63" s="527"/>
    </row>
    <row r="64" spans="1:39" x14ac:dyDescent="0.3">
      <c r="A64" s="516"/>
      <c r="C64" s="1374" t="s">
        <v>2755</v>
      </c>
      <c r="D64" s="1375"/>
      <c r="E64" s="1375"/>
      <c r="F64" s="1375"/>
      <c r="G64" s="1375"/>
      <c r="N64" s="493"/>
      <c r="P64" s="516"/>
      <c r="R64" s="1374" t="s">
        <v>2755</v>
      </c>
      <c r="S64" s="1375"/>
      <c r="T64" s="1375"/>
      <c r="U64" s="1375"/>
      <c r="V64" s="1375"/>
      <c r="AI64" s="493"/>
      <c r="AJ64" s="527"/>
    </row>
    <row r="65" spans="1:35" x14ac:dyDescent="0.3">
      <c r="A65" s="516"/>
      <c r="B65" s="521" t="s">
        <v>433</v>
      </c>
      <c r="C65" s="574" t="s">
        <v>182</v>
      </c>
      <c r="D65" s="574" t="s">
        <v>183</v>
      </c>
      <c r="E65" s="574" t="s">
        <v>184</v>
      </c>
      <c r="F65" s="574" t="s">
        <v>185</v>
      </c>
      <c r="G65" s="574" t="s">
        <v>186</v>
      </c>
      <c r="H65" s="522" t="s">
        <v>25</v>
      </c>
      <c r="N65" s="493"/>
      <c r="P65" s="516"/>
      <c r="Q65" s="521" t="s">
        <v>433</v>
      </c>
      <c r="R65" s="574" t="s">
        <v>182</v>
      </c>
      <c r="S65" s="574" t="s">
        <v>183</v>
      </c>
      <c r="T65" s="574" t="s">
        <v>184</v>
      </c>
      <c r="U65" s="574" t="s">
        <v>185</v>
      </c>
      <c r="V65" s="574" t="s">
        <v>186</v>
      </c>
      <c r="W65" s="522" t="s">
        <v>25</v>
      </c>
      <c r="AI65" s="493"/>
    </row>
    <row r="66" spans="1:35" x14ac:dyDescent="0.3">
      <c r="A66" s="516"/>
      <c r="B66" s="563" t="s">
        <v>182</v>
      </c>
      <c r="C66" s="534">
        <f>SUMIFS(DisplacementP[Individus],DisplacementP[Statut déplacé],"idp",DisplacementP[adm3_name],Tableau50939495120121[[#This Row],[Arrondissements]], DisplacementP[provenance_adm3_nom],Tableau50939495120121[[#Headers],[Guidiguis]])</f>
        <v>0</v>
      </c>
      <c r="D66" s="518">
        <f>SUMIFS(DisplacementP[Individus],DisplacementP[Statut déplacé],"idp",DisplacementP[adm3_name],Tableau50939495120121[[#This Row],[Arrondissements]], DisplacementP[provenance_adm3_nom],Tableau50939495120121[[#Headers],[Kaélé]])</f>
        <v>0</v>
      </c>
      <c r="E66" s="518">
        <f>SUMIFS(DisplacementP[Individus],DisplacementP[Statut déplacé],"idp",DisplacementP[adm3_name],Tableau50939495120121[[#This Row],[Arrondissements]], DisplacementP[provenance_adm3_nom],Tableau50939495120121[[#Headers],[Mindif]])</f>
        <v>0</v>
      </c>
      <c r="F66" s="518">
        <f>SUMIFS(DisplacementP[Individus],DisplacementP[Statut déplacé],"idp",DisplacementP[adm3_name],Tableau50939495120121[[#This Row],[Arrondissements]], DisplacementP[provenance_adm3_nom],Tableau50939495120121[[#Headers],[Moulvoudaye]])</f>
        <v>0</v>
      </c>
      <c r="G66" s="518">
        <f>SUMIFS(DisplacementP[Individus],DisplacementP[Statut déplacé],"idp",DisplacementP[adm3_name],Tableau50939495120121[[#This Row],[Arrondissements]], DisplacementP[provenance_adm3_nom],Tableau50939495120121[[#Headers],[Moutourwa]])</f>
        <v>0</v>
      </c>
      <c r="H66" s="518">
        <f>SUM(Tableau50939495120121[[#This Row],[Guidiguis]:[Moutourwa]])</f>
        <v>0</v>
      </c>
      <c r="N66" s="493"/>
      <c r="P66" s="516"/>
      <c r="Q66" s="563" t="s">
        <v>182</v>
      </c>
      <c r="R66" s="534">
        <f>SUMIFS(DisplacementP[Individus],DisplacementP[adm3_name],Tableau50939495120121137[[#This Row],[Arrondissements]],DisplacementP[Statut déplacé],"returnee",DisplacementP[provenance_adm3_nom],Tableau50939495120121137[[#Headers],[Guidiguis]])</f>
        <v>0</v>
      </c>
      <c r="S66" s="518">
        <f>SUMIFS(DisplacementP[Individus],DisplacementP[adm3_name],Tableau50939495120121137[[#This Row],[Arrondissements]],DisplacementP[Statut déplacé],"returnee",DisplacementP[provenance_adm3_nom],Tableau50939495120121137[[#Headers],[Kaélé]])</f>
        <v>0</v>
      </c>
      <c r="T66" s="518">
        <f>SUMIFS(DisplacementP[Individus],DisplacementP[adm3_name],Tableau50939495120121137[[#This Row],[Arrondissements]],DisplacementP[Statut déplacé],"returnee",DisplacementP[provenance_adm3_nom],Tableau50939495120121137[[#Headers],[Mindif]])</f>
        <v>0</v>
      </c>
      <c r="U66" s="518">
        <f>SUMIFS(DisplacementP[Individus],DisplacementP[adm3_name],Tableau50939495120121137[[#This Row],[Arrondissements]],DisplacementP[Statut déplacé],"returnee",DisplacementP[provenance_adm3_nom],Tableau50939495120121137[[#Headers],[Moulvoudaye]])</f>
        <v>0</v>
      </c>
      <c r="V66" s="518">
        <f>SUMIFS(DisplacementP[Individus],DisplacementP[adm3_name],Tableau50939495120121137[[#This Row],[Arrondissements]],DisplacementP[Statut déplacé],"returnee",DisplacementP[provenance_adm3_nom],Tableau50939495120121137[[#Headers],[Moutourwa]])</f>
        <v>0</v>
      </c>
      <c r="W66" s="518">
        <f>SUM(Tableau50939495120121137[[#This Row],[Guidiguis]:[Moutourwa]])</f>
        <v>0</v>
      </c>
      <c r="AI66" s="493"/>
    </row>
    <row r="67" spans="1:35" x14ac:dyDescent="0.3">
      <c r="A67" s="516"/>
      <c r="B67" s="563" t="s">
        <v>183</v>
      </c>
      <c r="C67" s="518">
        <f>SUMIFS(DisplacementP[Individus],DisplacementP[Statut déplacé],"idp",DisplacementP[adm3_name],Tableau50939495120121[[#This Row],[Arrondissements]], DisplacementP[provenance_adm3_nom],Tableau50939495120121[[#Headers],[Guidiguis]])</f>
        <v>0</v>
      </c>
      <c r="D67" s="518">
        <f>SUMIFS(DisplacementP[Individus],DisplacementP[Statut déplacé],"idp",DisplacementP[adm3_name],Tableau50939495120121[[#This Row],[Arrondissements]], DisplacementP[provenance_adm3_nom],Tableau50939495120121[[#Headers],[Kaélé]])</f>
        <v>0</v>
      </c>
      <c r="E67" s="518">
        <f>SUMIFS(DisplacementP[Individus],DisplacementP[Statut déplacé],"idp",DisplacementP[adm3_name],Tableau50939495120121[[#This Row],[Arrondissements]], DisplacementP[provenance_adm3_nom],Tableau50939495120121[[#Headers],[Mindif]])</f>
        <v>0</v>
      </c>
      <c r="F67" s="518">
        <f>SUMIFS(DisplacementP[Individus],DisplacementP[Statut déplacé],"idp",DisplacementP[adm3_name],Tableau50939495120121[[#This Row],[Arrondissements]], DisplacementP[provenance_adm3_nom],Tableau50939495120121[[#Headers],[Moulvoudaye]])</f>
        <v>0</v>
      </c>
      <c r="G67" s="534">
        <f>SUMIFS(DisplacementP[Individus],DisplacementP[Statut déplacé],"idp",DisplacementP[adm3_name],Tableau50939495120121[[#This Row],[Arrondissements]], DisplacementP[provenance_adm3_nom],Tableau50939495120121[[#Headers],[Moutourwa]])</f>
        <v>0</v>
      </c>
      <c r="H67" s="518">
        <f>SUM(Tableau50939495120121[[#This Row],[Guidiguis]:[Moutourwa]])</f>
        <v>0</v>
      </c>
      <c r="N67" s="493"/>
      <c r="P67" s="516"/>
      <c r="Q67" s="563" t="s">
        <v>183</v>
      </c>
      <c r="R67" s="537">
        <f>SUMIFS(DisplacementP[Individus],DisplacementP[adm3_name],Tableau50939495120121137[[#This Row],[Arrondissements]],DisplacementP[Statut déplacé],"returnee",DisplacementP[provenance_adm3_nom],Tableau50939495120121137[[#Headers],[Guidiguis]])</f>
        <v>0</v>
      </c>
      <c r="S67" s="534">
        <f>SUMIFS(DisplacementP[Individus],DisplacementP[adm3_name],Tableau50939495120121137[[#This Row],[Arrondissements]],DisplacementP[Statut déplacé],"returnee",DisplacementP[provenance_adm3_nom],Tableau50939495120121137[[#Headers],[Kaélé]])</f>
        <v>0</v>
      </c>
      <c r="T67" s="537">
        <f>SUMIFS(DisplacementP[Individus],DisplacementP[adm3_name],Tableau50939495120121137[[#This Row],[Arrondissements]],DisplacementP[Statut déplacé],"returnee",DisplacementP[provenance_adm3_nom],Tableau50939495120121137[[#Headers],[Mindif]])</f>
        <v>0</v>
      </c>
      <c r="U67" s="537">
        <f>SUMIFS(DisplacementP[Individus],DisplacementP[adm3_name],Tableau50939495120121137[[#This Row],[Arrondissements]],DisplacementP[Statut déplacé],"returnee",DisplacementP[provenance_adm3_nom],Tableau50939495120121137[[#Headers],[Moulvoudaye]])</f>
        <v>0</v>
      </c>
      <c r="V67" s="537">
        <f>SUMIFS(DisplacementP[Individus],DisplacementP[adm3_name],Tableau50939495120121137[[#This Row],[Arrondissements]],DisplacementP[Statut déplacé],"returnee",DisplacementP[provenance_adm3_nom],Tableau50939495120121137[[#Headers],[Moutourwa]])</f>
        <v>0</v>
      </c>
      <c r="W67" s="518">
        <f>SUM(Tableau50939495120121137[[#This Row],[Guidiguis]:[Moutourwa]])</f>
        <v>0</v>
      </c>
      <c r="AI67" s="493"/>
    </row>
    <row r="68" spans="1:35" x14ac:dyDescent="0.3">
      <c r="A68" s="516"/>
      <c r="B68" s="563" t="s">
        <v>184</v>
      </c>
      <c r="C68" s="537">
        <f>SUMIFS(DisplacementP[Individus],DisplacementP[Statut déplacé],"idp",DisplacementP[adm3_name],Tableau50939495120121[[#This Row],[Arrondissements]], DisplacementP[provenance_adm3_nom],Tableau50939495120121[[#Headers],[Guidiguis]])</f>
        <v>0</v>
      </c>
      <c r="D68" s="534">
        <f>SUMIFS(DisplacementP[Individus],DisplacementP[Statut déplacé],"idp",DisplacementP[adm3_name],Tableau50939495120121[[#This Row],[Arrondissements]], DisplacementP[provenance_adm3_nom],Tableau50939495120121[[#Headers],[Kaélé]])</f>
        <v>0</v>
      </c>
      <c r="E68" s="537">
        <f>SUMIFS(DisplacementP[Individus],DisplacementP[Statut déplacé],"idp",DisplacementP[adm3_name],Tableau50939495120121[[#This Row],[Arrondissements]], DisplacementP[provenance_adm3_nom],Tableau50939495120121[[#Headers],[Mindif]])</f>
        <v>0</v>
      </c>
      <c r="F68" s="537">
        <f>SUMIFS(DisplacementP[Individus],DisplacementP[Statut déplacé],"idp",DisplacementP[adm3_name],Tableau50939495120121[[#This Row],[Arrondissements]], DisplacementP[provenance_adm3_nom],Tableau50939495120121[[#Headers],[Moulvoudaye]])</f>
        <v>0</v>
      </c>
      <c r="G68" s="537">
        <f>SUMIFS(DisplacementP[Individus],DisplacementP[Statut déplacé],"idp",DisplacementP[adm3_name],Tableau50939495120121[[#This Row],[Arrondissements]], DisplacementP[provenance_adm3_nom],Tableau50939495120121[[#Headers],[Moutourwa]])</f>
        <v>0</v>
      </c>
      <c r="H68" s="518">
        <f>SUM(Tableau50939495120121[[#This Row],[Guidiguis]:[Moutourwa]])</f>
        <v>0</v>
      </c>
      <c r="N68" s="493"/>
      <c r="P68" s="516"/>
      <c r="Q68" s="563" t="s">
        <v>184</v>
      </c>
      <c r="R68" s="518">
        <f>SUMIFS(DisplacementP[Individus],DisplacementP[adm3_name],Tableau50939495120121137[[#This Row],[Arrondissements]],DisplacementP[Statut déplacé],"returnee",DisplacementP[provenance_adm3_nom],Tableau50939495120121137[[#Headers],[Guidiguis]])</f>
        <v>0</v>
      </c>
      <c r="S68" s="518">
        <f>SUMIFS(DisplacementP[Individus],DisplacementP[adm3_name],Tableau50939495120121137[[#This Row],[Arrondissements]],DisplacementP[Statut déplacé],"returnee",DisplacementP[provenance_adm3_nom],Tableau50939495120121137[[#Headers],[Kaélé]])</f>
        <v>0</v>
      </c>
      <c r="T68" s="534">
        <f>SUMIFS(DisplacementP[Individus],DisplacementP[adm3_name],Tableau50939495120121137[[#This Row],[Arrondissements]],DisplacementP[Statut déplacé],"returnee",DisplacementP[provenance_adm3_nom],Tableau50939495120121137[[#Headers],[Mindif]])</f>
        <v>0</v>
      </c>
      <c r="U68" s="518">
        <f>SUMIFS(DisplacementP[Individus],DisplacementP[adm3_name],Tableau50939495120121137[[#This Row],[Arrondissements]],DisplacementP[Statut déplacé],"returnee",DisplacementP[provenance_adm3_nom],Tableau50939495120121137[[#Headers],[Moulvoudaye]])</f>
        <v>0</v>
      </c>
      <c r="V68" s="518">
        <f>SUMIFS(DisplacementP[Individus],DisplacementP[adm3_name],Tableau50939495120121137[[#This Row],[Arrondissements]],DisplacementP[Statut déplacé],"returnee",DisplacementP[provenance_adm3_nom],Tableau50939495120121137[[#Headers],[Moutourwa]])</f>
        <v>0</v>
      </c>
      <c r="W68" s="518">
        <f>SUM(Tableau50939495120121137[[#This Row],[Guidiguis]:[Moutourwa]])</f>
        <v>0</v>
      </c>
      <c r="AI68" s="493"/>
    </row>
    <row r="69" spans="1:35" x14ac:dyDescent="0.3">
      <c r="A69" s="516"/>
      <c r="B69" s="563" t="s">
        <v>185</v>
      </c>
      <c r="C69" s="518">
        <f>SUMIFS(DisplacementP[Individus],DisplacementP[Statut déplacé],"idp",DisplacementP[adm3_name],Tableau50939495120121[[#This Row],[Arrondissements]], DisplacementP[provenance_adm3_nom],Tableau50939495120121[[#Headers],[Guidiguis]])</f>
        <v>0</v>
      </c>
      <c r="D69" s="518">
        <f>SUMIFS(DisplacementP[Individus],DisplacementP[Statut déplacé],"idp",DisplacementP[adm3_name],Tableau50939495120121[[#This Row],[Arrondissements]], DisplacementP[provenance_adm3_nom],Tableau50939495120121[[#Headers],[Kaélé]])</f>
        <v>0</v>
      </c>
      <c r="E69" s="534">
        <f>SUMIFS(DisplacementP[Individus],DisplacementP[Statut déplacé],"idp",DisplacementP[adm3_name],Tableau50939495120121[[#This Row],[Arrondissements]], DisplacementP[provenance_adm3_nom],Tableau50939495120121[[#Headers],[Mindif]])</f>
        <v>0</v>
      </c>
      <c r="F69" s="518">
        <f>SUMIFS(DisplacementP[Individus],DisplacementP[Statut déplacé],"idp",DisplacementP[adm3_name],Tableau50939495120121[[#This Row],[Arrondissements]], DisplacementP[provenance_adm3_nom],Tableau50939495120121[[#Headers],[Moulvoudaye]])</f>
        <v>424</v>
      </c>
      <c r="G69" s="518">
        <f>SUMIFS(DisplacementP[Individus],DisplacementP[Statut déplacé],"idp",DisplacementP[adm3_name],Tableau50939495120121[[#This Row],[Arrondissements]], DisplacementP[provenance_adm3_nom],Tableau50939495120121[[#Headers],[Moutourwa]])</f>
        <v>0</v>
      </c>
      <c r="H69" s="518">
        <f>SUM(Tableau50939495120121[[#This Row],[Guidiguis]:[Moutourwa]])</f>
        <v>424</v>
      </c>
      <c r="N69" s="493"/>
      <c r="P69" s="516"/>
      <c r="Q69" s="563" t="s">
        <v>185</v>
      </c>
      <c r="R69" s="537">
        <f>SUMIFS(DisplacementP[Individus],DisplacementP[adm3_name],Tableau50939495120121137[[#This Row],[Arrondissements]],DisplacementP[Statut déplacé],"returnee",DisplacementP[provenance_adm3_nom],Tableau50939495120121137[[#Headers],[Guidiguis]])</f>
        <v>0</v>
      </c>
      <c r="S69" s="537">
        <f>SUMIFS(DisplacementP[Individus],DisplacementP[adm3_name],Tableau50939495120121137[[#This Row],[Arrondissements]],DisplacementP[Statut déplacé],"returnee",DisplacementP[provenance_adm3_nom],Tableau50939495120121137[[#Headers],[Kaélé]])</f>
        <v>0</v>
      </c>
      <c r="T69" s="537">
        <f>SUMIFS(DisplacementP[Individus],DisplacementP[adm3_name],Tableau50939495120121137[[#This Row],[Arrondissements]],DisplacementP[Statut déplacé],"returnee",DisplacementP[provenance_adm3_nom],Tableau50939495120121137[[#Headers],[Mindif]])</f>
        <v>0</v>
      </c>
      <c r="U69" s="534">
        <f>SUMIFS(DisplacementP[Individus],DisplacementP[adm3_name],Tableau50939495120121137[[#This Row],[Arrondissements]],DisplacementP[Statut déplacé],"returnee",DisplacementP[provenance_adm3_nom],Tableau50939495120121137[[#Headers],[Moulvoudaye]])</f>
        <v>20</v>
      </c>
      <c r="V69" s="537">
        <f>SUMIFS(DisplacementP[Individus],DisplacementP[adm3_name],Tableau50939495120121137[[#This Row],[Arrondissements]],DisplacementP[Statut déplacé],"returnee",DisplacementP[provenance_adm3_nom],Tableau50939495120121137[[#Headers],[Moutourwa]])</f>
        <v>0</v>
      </c>
      <c r="W69" s="518">
        <f>SUM(Tableau50939495120121137[[#This Row],[Guidiguis]:[Moutourwa]])</f>
        <v>20</v>
      </c>
      <c r="AI69" s="493"/>
    </row>
    <row r="70" spans="1:35" x14ac:dyDescent="0.3">
      <c r="A70" s="516"/>
      <c r="B70" s="563" t="s">
        <v>186</v>
      </c>
      <c r="C70" s="537">
        <f>SUMIFS(DisplacementP[Individus],DisplacementP[Statut déplacé],"idp",DisplacementP[adm3_name],Tableau50939495120121[[#This Row],[Arrondissements]], DisplacementP[provenance_adm3_nom],Tableau50939495120121[[#Headers],[Guidiguis]])</f>
        <v>0</v>
      </c>
      <c r="D70" s="537">
        <f>SUMIFS(DisplacementP[Individus],DisplacementP[Statut déplacé],"idp",DisplacementP[adm3_name],Tableau50939495120121[[#This Row],[Arrondissements]], DisplacementP[provenance_adm3_nom],Tableau50939495120121[[#Headers],[Kaélé]])</f>
        <v>0</v>
      </c>
      <c r="E70" s="537">
        <f>SUMIFS(DisplacementP[Individus],DisplacementP[Statut déplacé],"idp",DisplacementP[adm3_name],Tableau50939495120121[[#This Row],[Arrondissements]], DisplacementP[provenance_adm3_nom],Tableau50939495120121[[#Headers],[Mindif]])</f>
        <v>0</v>
      </c>
      <c r="F70" s="534">
        <f>SUMIFS(DisplacementP[Individus],DisplacementP[Statut déplacé],"idp",DisplacementP[adm3_name],Tableau50939495120121[[#This Row],[Arrondissements]], DisplacementP[provenance_adm3_nom],Tableau50939495120121[[#Headers],[Moulvoudaye]])</f>
        <v>0</v>
      </c>
      <c r="G70" s="537">
        <f>SUMIFS(DisplacementP[Individus],DisplacementP[Statut déplacé],"idp",DisplacementP[adm3_name],Tableau50939495120121[[#This Row],[Arrondissements]], DisplacementP[provenance_adm3_nom],Tableau50939495120121[[#Headers],[Moutourwa]])</f>
        <v>0</v>
      </c>
      <c r="H70" s="518">
        <f>SUM(Tableau50939495120121[[#This Row],[Guidiguis]:[Moutourwa]])</f>
        <v>0</v>
      </c>
      <c r="N70" s="493"/>
      <c r="P70" s="516"/>
      <c r="Q70" s="563" t="s">
        <v>186</v>
      </c>
      <c r="R70" s="518">
        <f>SUMIFS(DisplacementP[Individus],DisplacementP[adm3_name],Tableau50939495120121137[[#This Row],[Arrondissements]],DisplacementP[Statut déplacé],"returnee",DisplacementP[provenance_adm3_nom],Tableau50939495120121137[[#Headers],[Guidiguis]])</f>
        <v>0</v>
      </c>
      <c r="S70" s="518">
        <f>SUMIFS(DisplacementP[Individus],DisplacementP[adm3_name],Tableau50939495120121137[[#This Row],[Arrondissements]],DisplacementP[Statut déplacé],"returnee",DisplacementP[provenance_adm3_nom],Tableau50939495120121137[[#Headers],[Kaélé]])</f>
        <v>0</v>
      </c>
      <c r="T70" s="518">
        <f>SUMIFS(DisplacementP[Individus],DisplacementP[adm3_name],Tableau50939495120121137[[#This Row],[Arrondissements]],DisplacementP[Statut déplacé],"returnee",DisplacementP[provenance_adm3_nom],Tableau50939495120121137[[#Headers],[Mindif]])</f>
        <v>0</v>
      </c>
      <c r="U70" s="518">
        <f>SUMIFS(DisplacementP[Individus],DisplacementP[adm3_name],Tableau50939495120121137[[#This Row],[Arrondissements]],DisplacementP[Statut déplacé],"returnee",DisplacementP[provenance_adm3_nom],Tableau50939495120121137[[#Headers],[Moulvoudaye]])</f>
        <v>0</v>
      </c>
      <c r="V70" s="534">
        <f>SUMIFS(DisplacementP[Individus],DisplacementP[adm3_name],Tableau50939495120121137[[#This Row],[Arrondissements]],DisplacementP[Statut déplacé],"returnee",DisplacementP[provenance_adm3_nom],Tableau50939495120121137[[#Headers],[Moutourwa]])</f>
        <v>0</v>
      </c>
      <c r="W70" s="518">
        <f>SUM(Tableau50939495120121137[[#This Row],[Guidiguis]:[Moutourwa]])</f>
        <v>0</v>
      </c>
      <c r="AI70" s="493"/>
    </row>
    <row r="71" spans="1:35" x14ac:dyDescent="0.3">
      <c r="A71" s="516"/>
      <c r="B71" s="571"/>
      <c r="C71" s="572">
        <f>SUBTOTAL(109,Tableau50939495120121[Guidiguis])</f>
        <v>0</v>
      </c>
      <c r="D71" s="572">
        <f>SUBTOTAL(109,Tableau50939495120121[Kaélé])</f>
        <v>0</v>
      </c>
      <c r="E71" s="572">
        <f>SUBTOTAL(109,Tableau50939495120121[Mindif])</f>
        <v>0</v>
      </c>
      <c r="F71" s="572">
        <f>SUBTOTAL(109,Tableau50939495120121[Moulvoudaye])</f>
        <v>424</v>
      </c>
      <c r="G71" s="572">
        <f>SUBTOTAL(109,Tableau50939495120121[Moutourwa])</f>
        <v>0</v>
      </c>
      <c r="H71" s="572">
        <f>SUBTOTAL(109,Tableau50939495120121[Total])</f>
        <v>424</v>
      </c>
      <c r="N71" s="493"/>
      <c r="P71" s="516"/>
      <c r="Q71" s="571"/>
      <c r="R71" s="572">
        <f>SUBTOTAL(109,Tableau50939495120121137[Guidiguis])</f>
        <v>0</v>
      </c>
      <c r="S71" s="572">
        <f>SUBTOTAL(109,Tableau50939495120121137[Kaélé])</f>
        <v>0</v>
      </c>
      <c r="T71" s="572">
        <f>SUBTOTAL(109,Tableau50939495120121137[Mindif])</f>
        <v>0</v>
      </c>
      <c r="U71" s="572">
        <f>SUBTOTAL(109,Tableau50939495120121137[Moulvoudaye])</f>
        <v>20</v>
      </c>
      <c r="V71" s="572">
        <f>SUBTOTAL(109,Tableau50939495120121137[Moutourwa])</f>
        <v>0</v>
      </c>
      <c r="W71" s="572">
        <f>SUBTOTAL(109,Tableau50939495120121137[Total])</f>
        <v>20</v>
      </c>
      <c r="AI71" s="493"/>
    </row>
    <row r="72" spans="1:35" s="527" customFormat="1" x14ac:dyDescent="0.3">
      <c r="A72" s="524"/>
      <c r="B72" s="525"/>
      <c r="C72" s="1131">
        <f>Tableau50939495120121[[#Totals],[Guidiguis]]/$H$71</f>
        <v>0</v>
      </c>
      <c r="D72" s="1131">
        <f>Tableau50939495120121[[#Totals],[Kaélé]]/$H$71</f>
        <v>0</v>
      </c>
      <c r="E72" s="1131">
        <f>Tableau50939495120121[[#Totals],[Mindif]]/$H$71</f>
        <v>0</v>
      </c>
      <c r="F72" s="1131">
        <f>Tableau50939495120121[[#Totals],[Moulvoudaye]]/$H$71</f>
        <v>1</v>
      </c>
      <c r="G72" s="1131">
        <f>Tableau50939495120121[[#Totals],[Moutourwa]]/$H$71</f>
        <v>0</v>
      </c>
      <c r="H72" s="1131">
        <f>SUM(C72:G72)</f>
        <v>1</v>
      </c>
      <c r="I72" s="525"/>
      <c r="J72" s="525"/>
      <c r="K72" s="525"/>
      <c r="L72" s="525"/>
      <c r="M72" s="525"/>
      <c r="N72" s="526"/>
      <c r="P72" s="524"/>
      <c r="Q72" s="525"/>
      <c r="R72" s="1131">
        <f>Tableau50939495120121137[[#Totals],[Guidiguis]]/Tableau50939495120121137[[#Totals],[Total]]</f>
        <v>0</v>
      </c>
      <c r="S72" s="1131">
        <f>Tableau50939495120121137[[#Totals],[Kaélé]]/Tableau50939495120121137[[#Totals],[Total]]</f>
        <v>0</v>
      </c>
      <c r="T72" s="1131">
        <f>Tableau50939495120121137[[#Totals],[Mindif]]/Tableau50939495120121137[[#Totals],[Total]]</f>
        <v>0</v>
      </c>
      <c r="U72" s="1131">
        <f>Tableau50939495120121137[[#Totals],[Moulvoudaye]]/Tableau50939495120121137[[#Totals],[Total]]</f>
        <v>1</v>
      </c>
      <c r="V72" s="1131">
        <f>Tableau50939495120121137[[#Totals],[Moutourwa]]/Tableau50939495120121137[[#Totals],[Total]]</f>
        <v>0</v>
      </c>
      <c r="W72" s="1131">
        <f>SUM(R72:V72)</f>
        <v>1</v>
      </c>
      <c r="X72" s="525"/>
      <c r="Y72" s="525"/>
      <c r="Z72" s="525"/>
      <c r="AA72" s="525"/>
      <c r="AB72" s="525"/>
      <c r="AC72" s="525"/>
      <c r="AD72" s="525"/>
      <c r="AE72" s="525"/>
      <c r="AF72" s="525"/>
      <c r="AG72" s="525"/>
      <c r="AH72" s="525"/>
      <c r="AI72" s="526"/>
    </row>
    <row r="73" spans="1:35" ht="15.6" x14ac:dyDescent="0.3">
      <c r="A73" s="516"/>
      <c r="B73" s="529" t="s">
        <v>34</v>
      </c>
      <c r="N73" s="493"/>
      <c r="P73" s="516"/>
      <c r="Q73" s="529" t="s">
        <v>34</v>
      </c>
      <c r="AI73" s="493"/>
    </row>
    <row r="74" spans="1:35" x14ac:dyDescent="0.3">
      <c r="A74" s="516"/>
      <c r="C74" s="1374" t="s">
        <v>2755</v>
      </c>
      <c r="D74" s="1375"/>
      <c r="E74" s="1375"/>
      <c r="N74" s="493"/>
      <c r="P74" s="516"/>
      <c r="R74" s="1374" t="s">
        <v>2755</v>
      </c>
      <c r="S74" s="1375"/>
      <c r="T74" s="1375"/>
      <c r="AI74" s="493"/>
    </row>
    <row r="75" spans="1:35" x14ac:dyDescent="0.3">
      <c r="A75" s="516"/>
      <c r="B75" s="521" t="s">
        <v>433</v>
      </c>
      <c r="C75" s="574" t="s">
        <v>187</v>
      </c>
      <c r="D75" s="574" t="s">
        <v>188</v>
      </c>
      <c r="E75" s="574" t="s">
        <v>189</v>
      </c>
      <c r="F75" s="522" t="s">
        <v>25</v>
      </c>
      <c r="N75" s="493"/>
      <c r="P75" s="516"/>
      <c r="Q75" s="521" t="s">
        <v>433</v>
      </c>
      <c r="R75" s="574" t="s">
        <v>187</v>
      </c>
      <c r="S75" s="574" t="s">
        <v>188</v>
      </c>
      <c r="T75" s="574" t="s">
        <v>189</v>
      </c>
      <c r="U75" s="522" t="s">
        <v>25</v>
      </c>
      <c r="AI75" s="493"/>
    </row>
    <row r="76" spans="1:35" x14ac:dyDescent="0.3">
      <c r="A76" s="516"/>
      <c r="B76" s="563" t="s">
        <v>187</v>
      </c>
      <c r="C76" s="534">
        <f>SUMIFS(DisplacementP[Individus],DisplacementP[Statut déplacé],"idp",DisplacementP[adm3_name],Tableau50939495120121122[[#This Row],[Arrondissements]], DisplacementP[provenance_adm3_nom],Tableau50939495120121122[[#Headers],[Kolofata]])</f>
        <v>51515</v>
      </c>
      <c r="D76" s="518">
        <f>SUMIFS(DisplacementP[Individus],DisplacementP[Statut déplacé],"idp",DisplacementP[adm3_name],Tableau50939495120121122[[#This Row],[Arrondissements]], DisplacementP[provenance_adm3_nom],Tableau50939495120121122[[#Headers],[Mora]])</f>
        <v>0</v>
      </c>
      <c r="E76" s="518">
        <f>SUMIFS(DisplacementP[Individus],DisplacementP[Statut déplacé],"idp",DisplacementP[adm3_name],Tableau50939495120121122[[#This Row],[Arrondissements]], DisplacementP[provenance_adm3_nom],Tableau50939495120121122[[#Headers],[Tokombéré]])</f>
        <v>0</v>
      </c>
      <c r="F76" s="518">
        <f>SUM(Tableau50939495120121122[[#This Row],[Kolofata]:[Tokombéré]])</f>
        <v>51515</v>
      </c>
      <c r="N76" s="493"/>
      <c r="P76" s="516"/>
      <c r="Q76" s="563" t="s">
        <v>187</v>
      </c>
      <c r="R76" s="534">
        <f>SUMIFS(DisplacementP[Individus],DisplacementP[adm3_name],Tableau50939495120121122138[[#This Row],[Arrondissements]],DisplacementP[Statut déplacé],"returnee",DisplacementP[provenance_adm3_nom],Tableau50939495120121122138[[#Headers],[Kolofata]])</f>
        <v>16656</v>
      </c>
      <c r="S76" s="518">
        <f>SUMIFS(DisplacementP[Individus],DisplacementP[adm3_name],Tableau50939495120121122138[[#This Row],[Arrondissements]],DisplacementP[Statut déplacé],"returnee",DisplacementP[provenance_adm3_nom],Tableau50939495120121122138[[#Headers],[Mora]])</f>
        <v>0</v>
      </c>
      <c r="T76" s="518">
        <f>SUMIFS(DisplacementP[Individus],DisplacementP[adm3_name],Tableau50939495120121122138[[#This Row],[Arrondissements]],DisplacementP[Statut déplacé],"returnee",DisplacementP[provenance_adm3_nom],Tableau50939495120121122138[[#Headers],[Tokombéré]])</f>
        <v>0</v>
      </c>
      <c r="U76" s="518">
        <f>SUM(Tableau50939495120121122138[[#This Row],[Kolofata]:[Tokombéré]])</f>
        <v>16656</v>
      </c>
      <c r="AI76" s="493"/>
    </row>
    <row r="77" spans="1:35" x14ac:dyDescent="0.3">
      <c r="A77" s="516"/>
      <c r="B77" s="563" t="s">
        <v>188</v>
      </c>
      <c r="C77" s="537">
        <f>SUMIFS(DisplacementP[Individus],DisplacementP[Statut déplacé],"idp",DisplacementP[adm3_name],Tableau50939495120121122[[#This Row],[Arrondissements]], DisplacementP[provenance_adm3_nom],Tableau50939495120121122[[#Headers],[Kolofata]])</f>
        <v>317</v>
      </c>
      <c r="D77" s="534">
        <f>SUMIFS(DisplacementP[Individus],DisplacementP[Statut déplacé],"idp",DisplacementP[adm3_name],Tableau50939495120121122[[#This Row],[Arrondissements]], DisplacementP[provenance_adm3_nom],Tableau50939495120121122[[#Headers],[Mora]])</f>
        <v>68233</v>
      </c>
      <c r="E77" s="537">
        <f>SUMIFS(DisplacementP[Individus],DisplacementP[Statut déplacé],"idp",DisplacementP[adm3_name],Tableau50939495120121122[[#This Row],[Arrondissements]], DisplacementP[provenance_adm3_nom],Tableau50939495120121122[[#Headers],[Tokombéré]])</f>
        <v>0</v>
      </c>
      <c r="F77" s="518">
        <f>SUM(Tableau50939495120121122[[#This Row],[Kolofata]:[Tokombéré]])</f>
        <v>68550</v>
      </c>
      <c r="N77" s="493"/>
      <c r="P77" s="516"/>
      <c r="Q77" s="563" t="s">
        <v>188</v>
      </c>
      <c r="R77" s="537">
        <f>SUMIFS(DisplacementP[Individus],DisplacementP[adm3_name],Tableau50939495120121122138[[#This Row],[Arrondissements]],DisplacementP[Statut déplacé],"returnee",DisplacementP[provenance_adm3_nom],Tableau50939495120121122138[[#Headers],[Kolofata]])</f>
        <v>0</v>
      </c>
      <c r="S77" s="534">
        <f>SUMIFS(DisplacementP[Individus],DisplacementP[adm3_name],Tableau50939495120121122138[[#This Row],[Arrondissements]],DisplacementP[Statut déplacé],"returnee",DisplacementP[provenance_adm3_nom],Tableau50939495120121122138[[#Headers],[Mora]])</f>
        <v>16214</v>
      </c>
      <c r="T77" s="537">
        <f>SUMIFS(DisplacementP[Individus],DisplacementP[adm3_name],Tableau50939495120121122138[[#This Row],[Arrondissements]],DisplacementP[Statut déplacé],"returnee",DisplacementP[provenance_adm3_nom],Tableau50939495120121122138[[#Headers],[Tokombéré]])</f>
        <v>0</v>
      </c>
      <c r="U77" s="518">
        <f>SUM(Tableau50939495120121122138[[#This Row],[Kolofata]:[Tokombéré]])</f>
        <v>16214</v>
      </c>
      <c r="AI77" s="493"/>
    </row>
    <row r="78" spans="1:35" x14ac:dyDescent="0.3">
      <c r="A78" s="516"/>
      <c r="B78" s="563" t="s">
        <v>189</v>
      </c>
      <c r="C78" s="518">
        <f>SUMIFS(DisplacementP[Individus],DisplacementP[Statut déplacé],"idp",DisplacementP[adm3_name],Tableau50939495120121122[[#This Row],[Arrondissements]], DisplacementP[provenance_adm3_nom],Tableau50939495120121122[[#Headers],[Kolofata]])</f>
        <v>0</v>
      </c>
      <c r="D78" s="518">
        <f>SUMIFS(DisplacementP[Individus],DisplacementP[Statut déplacé],"idp",DisplacementP[adm3_name],Tableau50939495120121122[[#This Row],[Arrondissements]], DisplacementP[provenance_adm3_nom],Tableau50939495120121122[[#Headers],[Mora]])</f>
        <v>0</v>
      </c>
      <c r="E78" s="534">
        <f>SUMIFS(DisplacementP[Individus],DisplacementP[Statut déplacé],"idp",DisplacementP[adm3_name],Tableau50939495120121122[[#This Row],[Arrondissements]], DisplacementP[provenance_adm3_nom],Tableau50939495120121122[[#Headers],[Tokombéré]])</f>
        <v>4955</v>
      </c>
      <c r="F78" s="518">
        <f>SUM(Tableau50939495120121122[[#This Row],[Kolofata]:[Tokombéré]])</f>
        <v>4955</v>
      </c>
      <c r="N78" s="493"/>
      <c r="P78" s="516"/>
      <c r="Q78" s="563" t="s">
        <v>189</v>
      </c>
      <c r="R78" s="518">
        <f>SUMIFS(DisplacementP[Individus],DisplacementP[adm3_name],Tableau50939495120121122138[[#This Row],[Arrondissements]],DisplacementP[Statut déplacé],"returnee",DisplacementP[provenance_adm3_nom],Tableau50939495120121122138[[#Headers],[Kolofata]])</f>
        <v>0</v>
      </c>
      <c r="S78" s="518">
        <f>SUMIFS(DisplacementP[Individus],DisplacementP[adm3_name],Tableau50939495120121122138[[#This Row],[Arrondissements]],DisplacementP[Statut déplacé],"returnee",DisplacementP[provenance_adm3_nom],Tableau50939495120121122138[[#Headers],[Mora]])</f>
        <v>0</v>
      </c>
      <c r="T78" s="534">
        <f>SUMIFS(DisplacementP[Individus],DisplacementP[adm3_name],Tableau50939495120121122138[[#This Row],[Arrondissements]],DisplacementP[Statut déplacé],"returnee",DisplacementP[provenance_adm3_nom],Tableau50939495120121122138[[#Headers],[Tokombéré]])</f>
        <v>0</v>
      </c>
      <c r="U78" s="518">
        <f>SUM(Tableau50939495120121122138[[#This Row],[Kolofata]:[Tokombéré]])</f>
        <v>0</v>
      </c>
      <c r="AI78" s="493"/>
    </row>
    <row r="79" spans="1:35" x14ac:dyDescent="0.3">
      <c r="A79" s="516"/>
      <c r="B79" s="571"/>
      <c r="C79" s="572">
        <f>SUBTOTAL(109,Tableau50939495120121122[Kolofata])</f>
        <v>51832</v>
      </c>
      <c r="D79" s="572">
        <f>SUBTOTAL(109,Tableau50939495120121122[Mora])</f>
        <v>68233</v>
      </c>
      <c r="E79" s="572">
        <f>SUBTOTAL(109,Tableau50939495120121122[Tokombéré])</f>
        <v>4955</v>
      </c>
      <c r="F79" s="572">
        <f>SUBTOTAL(109,Tableau50939495120121122[Total])</f>
        <v>125020</v>
      </c>
      <c r="N79" s="493"/>
      <c r="P79" s="516"/>
      <c r="Q79" s="571"/>
      <c r="R79" s="572">
        <f>SUBTOTAL(109,Tableau50939495120121122138[Kolofata])</f>
        <v>16656</v>
      </c>
      <c r="S79" s="572">
        <f>SUBTOTAL(109,Tableau50939495120121122138[Mora])</f>
        <v>16214</v>
      </c>
      <c r="T79" s="572">
        <f>SUBTOTAL(109,Tableau50939495120121122138[Tokombéré])</f>
        <v>0</v>
      </c>
      <c r="U79" s="572">
        <f>SUBTOTAL(109,Tableau50939495120121122138[Total])</f>
        <v>32870</v>
      </c>
      <c r="AI79" s="493"/>
    </row>
    <row r="80" spans="1:35" s="527" customFormat="1" x14ac:dyDescent="0.3">
      <c r="A80" s="524"/>
      <c r="B80" s="525"/>
      <c r="C80" s="1131">
        <f>Tableau50939495120121122[[#Totals],[Kolofata]]/$F$79</f>
        <v>0.41458966565349542</v>
      </c>
      <c r="D80" s="1131">
        <f>Tableau50939495120121122[[#Totals],[Mora]]/$F$79</f>
        <v>0.54577667573188293</v>
      </c>
      <c r="E80" s="1131">
        <f>Tableau50939495120121122[[#Totals],[Tokombéré]]/$F$79</f>
        <v>3.9633658614621661E-2</v>
      </c>
      <c r="F80" s="1131">
        <f>SUM(C80:E80)</f>
        <v>1</v>
      </c>
      <c r="G80" s="525"/>
      <c r="H80" s="525"/>
      <c r="I80" s="525"/>
      <c r="J80" s="525"/>
      <c r="K80" s="525"/>
      <c r="L80" s="525"/>
      <c r="M80" s="525"/>
      <c r="N80" s="526"/>
      <c r="P80" s="524"/>
      <c r="Q80" s="525"/>
      <c r="R80" s="1131">
        <f>Tableau50939495120121122138[[#Totals],[Kolofata]]/Tableau50939495120121122138[[#Totals],[Total]]</f>
        <v>0.50672345603894131</v>
      </c>
      <c r="S80" s="1131">
        <f>Tableau50939495120121122138[[#Totals],[Mora]]/Tableau50939495120121122138[[#Totals],[Total]]</f>
        <v>0.49327654396105869</v>
      </c>
      <c r="T80" s="1131">
        <f>Tableau50939495120121122138[[#Totals],[Tokombéré]]/Tableau50939495120121122138[[#Totals],[Total]]</f>
        <v>0</v>
      </c>
      <c r="U80" s="1131">
        <f>SUM(R80:T80)</f>
        <v>1</v>
      </c>
      <c r="V80" s="525"/>
      <c r="W80" s="525"/>
      <c r="X80" s="525"/>
      <c r="Y80" s="525"/>
      <c r="Z80" s="525"/>
      <c r="AA80" s="525"/>
      <c r="AB80" s="525"/>
      <c r="AC80" s="525"/>
      <c r="AD80" s="525"/>
      <c r="AE80" s="525"/>
      <c r="AF80" s="525"/>
      <c r="AG80" s="525"/>
      <c r="AH80" s="525"/>
      <c r="AI80" s="526"/>
    </row>
    <row r="81" spans="1:35" ht="15.6" x14ac:dyDescent="0.3">
      <c r="A81" s="516"/>
      <c r="B81" s="529" t="s">
        <v>35</v>
      </c>
      <c r="N81" s="493"/>
      <c r="P81" s="516"/>
      <c r="Q81" s="529" t="s">
        <v>35</v>
      </c>
      <c r="AI81" s="493"/>
    </row>
    <row r="82" spans="1:35" x14ac:dyDescent="0.3">
      <c r="A82" s="516"/>
      <c r="C82" s="1374" t="s">
        <v>2755</v>
      </c>
      <c r="D82" s="1375"/>
      <c r="E82" s="1375"/>
      <c r="F82" s="1375"/>
      <c r="G82" s="1375"/>
      <c r="H82" s="1375"/>
      <c r="I82" s="1375"/>
      <c r="N82" s="493"/>
      <c r="P82" s="516"/>
      <c r="R82" s="1374" t="s">
        <v>2755</v>
      </c>
      <c r="S82" s="1375"/>
      <c r="T82" s="1375"/>
      <c r="U82" s="1375"/>
      <c r="V82" s="1375"/>
      <c r="W82" s="1375"/>
      <c r="X82" s="1375"/>
      <c r="AI82" s="493"/>
    </row>
    <row r="83" spans="1:35" x14ac:dyDescent="0.3">
      <c r="A83" s="516"/>
      <c r="B83" s="521" t="s">
        <v>433</v>
      </c>
      <c r="C83" s="522" t="s">
        <v>190</v>
      </c>
      <c r="D83" s="522" t="s">
        <v>191</v>
      </c>
      <c r="E83" s="522" t="s">
        <v>192</v>
      </c>
      <c r="F83" s="522" t="s">
        <v>193</v>
      </c>
      <c r="G83" s="522" t="s">
        <v>194</v>
      </c>
      <c r="H83" s="522" t="s">
        <v>195</v>
      </c>
      <c r="I83" s="522" t="s">
        <v>196</v>
      </c>
      <c r="J83" s="522" t="s">
        <v>25</v>
      </c>
      <c r="N83" s="493"/>
      <c r="P83" s="516"/>
      <c r="Q83" s="521" t="s">
        <v>433</v>
      </c>
      <c r="R83" s="522" t="s">
        <v>190</v>
      </c>
      <c r="S83" s="522" t="s">
        <v>191</v>
      </c>
      <c r="T83" s="522" t="s">
        <v>192</v>
      </c>
      <c r="U83" s="522" t="s">
        <v>193</v>
      </c>
      <c r="V83" s="522" t="s">
        <v>194</v>
      </c>
      <c r="W83" s="522" t="s">
        <v>195</v>
      </c>
      <c r="X83" s="522" t="s">
        <v>196</v>
      </c>
      <c r="Y83" s="522" t="s">
        <v>25</v>
      </c>
      <c r="AI83" s="493"/>
    </row>
    <row r="84" spans="1:35" x14ac:dyDescent="0.3">
      <c r="A84" s="516"/>
      <c r="B84" s="518" t="s">
        <v>190</v>
      </c>
      <c r="C84" s="534">
        <f>SUMIFS(DisplacementP[Individus],DisplacementP[Statut déplacé],"idp",DisplacementP[adm3_name],Tableau50939495123[[#This Row],[Arrondissements]], DisplacementP[provenance_adm3_nom],Tableau50939495123[[#Headers],[Bourha]])</f>
        <v>141</v>
      </c>
      <c r="D84" s="518">
        <f>SUMIFS(DisplacementP[Individus],DisplacementP[Statut déplacé],"idp",DisplacementP[adm3_name],Tableau50939495123[[#This Row],[Arrondissements]], DisplacementP[provenance_adm3_nom],Tableau50939495123[[#Headers],[Hina]])</f>
        <v>0</v>
      </c>
      <c r="E84" s="518">
        <f>SUMIFS(DisplacementP[Individus],DisplacementP[Statut déplacé],"idp",DisplacementP[adm3_name],Tableau50939495123[[#This Row],[Arrondissements]], DisplacementP[provenance_adm3_nom],Tableau50939495123[[#Headers],[Koza]])</f>
        <v>0</v>
      </c>
      <c r="F84" s="518">
        <f>SUMIFS(DisplacementP[Individus],DisplacementP[Statut déplacé],"idp",DisplacementP[adm3_name],Tableau50939495123[[#This Row],[Arrondissements]], DisplacementP[provenance_adm3_nom],Tableau50939495123[[#Headers],[Mayo-Moskota]])</f>
        <v>262</v>
      </c>
      <c r="G84" s="518">
        <f>SUMIFS(DisplacementP[Individus],DisplacementP[Statut déplacé],"idp",DisplacementP[adm3_name],Tableau50939495123[[#This Row],[Arrondissements]], DisplacementP[provenance_adm3_nom],Tableau50939495123[[#Headers],[Mogodé]])</f>
        <v>0</v>
      </c>
      <c r="H84" s="518">
        <f>SUMIFS(DisplacementP[Individus],DisplacementP[Statut déplacé],"idp",DisplacementP[adm3_name],Tableau50939495123[[#This Row],[Arrondissements]], DisplacementP[provenance_adm3_nom],Tableau50939495123[[#Headers],[Mokolo]])</f>
        <v>7</v>
      </c>
      <c r="I84" s="518">
        <f>SUMIFS(DisplacementP[Individus],DisplacementP[Statut déplacé],"idp",DisplacementP[adm3_name],Tableau50939495123[[#This Row],[Arrondissements]], DisplacementP[provenance_adm3_nom],Tableau50939495123[[#Headers],[Soulédé-Roua]])</f>
        <v>0</v>
      </c>
      <c r="J84" s="518">
        <f>SUM(Tableau50939495123[[#This Row],[Bourha]:[Soulédé-Roua]])</f>
        <v>410</v>
      </c>
      <c r="N84" s="493"/>
      <c r="P84" s="516"/>
      <c r="Q84" s="518" t="s">
        <v>190</v>
      </c>
      <c r="R84" s="534">
        <f>SUMIFS(DisplacementP[Individus],DisplacementP[adm3_name],Tableau50939495123139[[#This Row],[Arrondissements]],DisplacementP[Statut déplacé],"returnee",DisplacementP[provenance_adm3_nom],Tableau50939495123139[[#Headers],[Bourha]])</f>
        <v>0</v>
      </c>
      <c r="S84" s="518">
        <f>SUMIFS(DisplacementP[Individus],DisplacementP[adm3_name],Tableau50939495123139[[#This Row],[Arrondissements]],DisplacementP[Statut déplacé],"returnee",DisplacementP[provenance_adm3_nom],Tableau50939495123139[[#Headers],[Hina]])</f>
        <v>0</v>
      </c>
      <c r="T84" s="518">
        <f>SUMIFS(DisplacementP[Individus],DisplacementP[adm3_name],Tableau50939495123139[[#This Row],[Arrondissements]],DisplacementP[Statut déplacé],"returnee",DisplacementP[provenance_adm3_nom],Tableau50939495123139[[#Headers],[Koza]])</f>
        <v>0</v>
      </c>
      <c r="U84" s="518">
        <f>SUMIFS(DisplacementP[Individus],DisplacementP[adm3_name],Tableau50939495123139[[#This Row],[Arrondissements]],DisplacementP[Statut déplacé],"returnee",DisplacementP[provenance_adm3_nom],Tableau50939495123139[[#Headers],[Mayo-Moskota]])</f>
        <v>0</v>
      </c>
      <c r="V84" s="518">
        <f>SUMIFS(DisplacementP[Individus],DisplacementP[adm3_name],Tableau50939495123139[[#This Row],[Arrondissements]],DisplacementP[Statut déplacé],"returnee",DisplacementP[provenance_adm3_nom],Tableau50939495123139[[#Headers],[Mogodé]])</f>
        <v>0</v>
      </c>
      <c r="W84" s="518">
        <f>SUMIFS(DisplacementP[Individus],DisplacementP[adm3_name],Tableau50939495123139[[#This Row],[Arrondissements]],DisplacementP[Statut déplacé],"returnee",DisplacementP[provenance_adm3_nom],Tableau50939495123139[[#Headers],[Mokolo]])</f>
        <v>0</v>
      </c>
      <c r="X84" s="518">
        <f>SUMIFS(DisplacementP[Individus],DisplacementP[adm3_name],Tableau50939495123139[[#This Row],[Arrondissements]],DisplacementP[Statut déplacé],"returnee",DisplacementP[provenance_adm3_nom],Tableau50939495123139[[#Headers],[Soulédé-Roua]])</f>
        <v>0</v>
      </c>
      <c r="Y84" s="518">
        <f>SUM(Tableau50939495123139[[#This Row],[Bourha]:[Soulédé-Roua]])</f>
        <v>0</v>
      </c>
      <c r="AI84" s="493"/>
    </row>
    <row r="85" spans="1:35" x14ac:dyDescent="0.3">
      <c r="A85" s="516"/>
      <c r="B85" s="518" t="s">
        <v>191</v>
      </c>
      <c r="C85" s="537">
        <f>SUMIFS(DisplacementP[Individus],DisplacementP[Statut déplacé],"idp",DisplacementP[adm3_name],Tableau50939495123[[#This Row],[Arrondissements]], DisplacementP[provenance_adm3_nom],Tableau50939495123[[#Headers],[Bourha]])</f>
        <v>0</v>
      </c>
      <c r="D85" s="534">
        <f>SUMIFS(DisplacementP[Individus],DisplacementP[Statut déplacé],"idp",DisplacementP[adm3_name],Tableau50939495123[[#This Row],[Arrondissements]], DisplacementP[provenance_adm3_nom],Tableau50939495123[[#Headers],[Hina]])</f>
        <v>73</v>
      </c>
      <c r="E85" s="537">
        <f>SUMIFS(DisplacementP[Individus],DisplacementP[Statut déplacé],"idp",DisplacementP[adm3_name],Tableau50939495123[[#This Row],[Arrondissements]], DisplacementP[provenance_adm3_nom],Tableau50939495123[[#Headers],[Koza]])</f>
        <v>0</v>
      </c>
      <c r="F85" s="537">
        <f>SUMIFS(DisplacementP[Individus],DisplacementP[Statut déplacé],"idp",DisplacementP[adm3_name],Tableau50939495123[[#This Row],[Arrondissements]], DisplacementP[provenance_adm3_nom],Tableau50939495123[[#Headers],[Mayo-Moskota]])</f>
        <v>507</v>
      </c>
      <c r="G85" s="537">
        <f>SUMIFS(DisplacementP[Individus],DisplacementP[Statut déplacé],"idp",DisplacementP[adm3_name],Tableau50939495123[[#This Row],[Arrondissements]], DisplacementP[provenance_adm3_nom],Tableau50939495123[[#Headers],[Mogodé]])</f>
        <v>0</v>
      </c>
      <c r="H85" s="537">
        <f>SUMIFS(DisplacementP[Individus],DisplacementP[Statut déplacé],"idp",DisplacementP[adm3_name],Tableau50939495123[[#This Row],[Arrondissements]], DisplacementP[provenance_adm3_nom],Tableau50939495123[[#Headers],[Mokolo]])</f>
        <v>140</v>
      </c>
      <c r="I85" s="537">
        <f>SUMIFS(DisplacementP[Individus],DisplacementP[Statut déplacé],"idp",DisplacementP[adm3_name],Tableau50939495123[[#This Row],[Arrondissements]], DisplacementP[provenance_adm3_nom],Tableau50939495123[[#Headers],[Soulédé-Roua]])</f>
        <v>35</v>
      </c>
      <c r="J85" s="518">
        <f>SUM(Tableau50939495123[[#This Row],[Bourha]:[Soulédé-Roua]])</f>
        <v>755</v>
      </c>
      <c r="N85" s="493"/>
      <c r="P85" s="516"/>
      <c r="Q85" s="518" t="s">
        <v>191</v>
      </c>
      <c r="R85" s="537">
        <f>SUMIFS(DisplacementP[Individus],DisplacementP[adm3_name],Tableau50939495123139[[#This Row],[Arrondissements]],DisplacementP[Statut déplacé],"returnee",DisplacementP[provenance_adm3_nom],Tableau50939495123139[[#Headers],[Bourha]])</f>
        <v>0</v>
      </c>
      <c r="S85" s="534">
        <f>SUMIFS(DisplacementP[Individus],DisplacementP[adm3_name],Tableau50939495123139[[#This Row],[Arrondissements]],DisplacementP[Statut déplacé],"returnee",DisplacementP[provenance_adm3_nom],Tableau50939495123139[[#Headers],[Hina]])</f>
        <v>2</v>
      </c>
      <c r="T85" s="537">
        <f>SUMIFS(DisplacementP[Individus],DisplacementP[adm3_name],Tableau50939495123139[[#This Row],[Arrondissements]],DisplacementP[Statut déplacé],"returnee",DisplacementP[provenance_adm3_nom],Tableau50939495123139[[#Headers],[Koza]])</f>
        <v>0</v>
      </c>
      <c r="U85" s="537">
        <f>SUMIFS(DisplacementP[Individus],DisplacementP[adm3_name],Tableau50939495123139[[#This Row],[Arrondissements]],DisplacementP[Statut déplacé],"returnee",DisplacementP[provenance_adm3_nom],Tableau50939495123139[[#Headers],[Mayo-Moskota]])</f>
        <v>0</v>
      </c>
      <c r="V85" s="537">
        <f>SUMIFS(DisplacementP[Individus],DisplacementP[adm3_name],Tableau50939495123139[[#This Row],[Arrondissements]],DisplacementP[Statut déplacé],"returnee",DisplacementP[provenance_adm3_nom],Tableau50939495123139[[#Headers],[Mogodé]])</f>
        <v>0</v>
      </c>
      <c r="W85" s="537">
        <f>SUMIFS(DisplacementP[Individus],DisplacementP[adm3_name],Tableau50939495123139[[#This Row],[Arrondissements]],DisplacementP[Statut déplacé],"returnee",DisplacementP[provenance_adm3_nom],Tableau50939495123139[[#Headers],[Mokolo]])</f>
        <v>0</v>
      </c>
      <c r="X85" s="537">
        <f>SUMIFS(DisplacementP[Individus],DisplacementP[adm3_name],Tableau50939495123139[[#This Row],[Arrondissements]],DisplacementP[Statut déplacé],"returnee",DisplacementP[provenance_adm3_nom],Tableau50939495123139[[#Headers],[Soulédé-Roua]])</f>
        <v>0</v>
      </c>
      <c r="Y85" s="518">
        <f>SUM(Tableau50939495123139[[#This Row],[Bourha]:[Soulédé-Roua]])</f>
        <v>2</v>
      </c>
      <c r="AI85" s="493"/>
    </row>
    <row r="86" spans="1:35" x14ac:dyDescent="0.3">
      <c r="A86" s="516"/>
      <c r="B86" s="518" t="s">
        <v>192</v>
      </c>
      <c r="C86" s="518">
        <f>SUMIFS(DisplacementP[Individus],DisplacementP[Statut déplacé],"idp",DisplacementP[adm3_name],Tableau50939495123[[#This Row],[Arrondissements]], DisplacementP[provenance_adm3_nom],Tableau50939495123[[#Headers],[Bourha]])</f>
        <v>0</v>
      </c>
      <c r="D86" s="518">
        <f>SUMIFS(DisplacementP[Individus],DisplacementP[Statut déplacé],"idp",DisplacementP[adm3_name],Tableau50939495123[[#This Row],[Arrondissements]], DisplacementP[provenance_adm3_nom],Tableau50939495123[[#Headers],[Hina]])</f>
        <v>0</v>
      </c>
      <c r="E86" s="534">
        <f>SUMIFS(DisplacementP[Individus],DisplacementP[Statut déplacé],"idp",DisplacementP[adm3_name],Tableau50939495123[[#This Row],[Arrondissements]], DisplacementP[provenance_adm3_nom],Tableau50939495123[[#Headers],[Koza]])</f>
        <v>16383</v>
      </c>
      <c r="F86" s="518">
        <f>SUMIFS(DisplacementP[Individus],DisplacementP[Statut déplacé],"idp",DisplacementP[adm3_name],Tableau50939495123[[#This Row],[Arrondissements]], DisplacementP[provenance_adm3_nom],Tableau50939495123[[#Headers],[Mayo-Moskota]])</f>
        <v>23514</v>
      </c>
      <c r="G86" s="518">
        <f>SUMIFS(DisplacementP[Individus],DisplacementP[Statut déplacé],"idp",DisplacementP[adm3_name],Tableau50939495123[[#This Row],[Arrondissements]], DisplacementP[provenance_adm3_nom],Tableau50939495123[[#Headers],[Mogodé]])</f>
        <v>0</v>
      </c>
      <c r="H86" s="518">
        <f>SUMIFS(DisplacementP[Individus],DisplacementP[Statut déplacé],"idp",DisplacementP[adm3_name],Tableau50939495123[[#This Row],[Arrondissements]], DisplacementP[provenance_adm3_nom],Tableau50939495123[[#Headers],[Mokolo]])</f>
        <v>0</v>
      </c>
      <c r="I86" s="518">
        <f>SUMIFS(DisplacementP[Individus],DisplacementP[Statut déplacé],"idp",DisplacementP[adm3_name],Tableau50939495123[[#This Row],[Arrondissements]], DisplacementP[provenance_adm3_nom],Tableau50939495123[[#Headers],[Soulédé-Roua]])</f>
        <v>0</v>
      </c>
      <c r="J86" s="518">
        <f>SUM(Tableau50939495123[[#This Row],[Bourha]:[Soulédé-Roua]])</f>
        <v>39897</v>
      </c>
      <c r="N86" s="493"/>
      <c r="P86" s="516"/>
      <c r="Q86" s="518" t="s">
        <v>192</v>
      </c>
      <c r="R86" s="518">
        <f>SUMIFS(DisplacementP[Individus],DisplacementP[adm3_name],Tableau50939495123139[[#This Row],[Arrondissements]],DisplacementP[Statut déplacé],"returnee",DisplacementP[provenance_adm3_nom],Tableau50939495123139[[#Headers],[Bourha]])</f>
        <v>0</v>
      </c>
      <c r="S86" s="518">
        <f>SUMIFS(DisplacementP[Individus],DisplacementP[adm3_name],Tableau50939495123139[[#This Row],[Arrondissements]],DisplacementP[Statut déplacé],"returnee",DisplacementP[provenance_adm3_nom],Tableau50939495123139[[#Headers],[Hina]])</f>
        <v>0</v>
      </c>
      <c r="T86" s="534">
        <f>SUMIFS(DisplacementP[Individus],DisplacementP[adm3_name],Tableau50939495123139[[#This Row],[Arrondissements]],DisplacementP[Statut déplacé],"returnee",DisplacementP[provenance_adm3_nom],Tableau50939495123139[[#Headers],[Koza]])</f>
        <v>1543</v>
      </c>
      <c r="U86" s="518">
        <f>SUMIFS(DisplacementP[Individus],DisplacementP[adm3_name],Tableau50939495123139[[#This Row],[Arrondissements]],DisplacementP[Statut déplacé],"returnee",DisplacementP[provenance_adm3_nom],Tableau50939495123139[[#Headers],[Mayo-Moskota]])</f>
        <v>1428</v>
      </c>
      <c r="V86" s="518">
        <f>SUMIFS(DisplacementP[Individus],DisplacementP[adm3_name],Tableau50939495123139[[#This Row],[Arrondissements]],DisplacementP[Statut déplacé],"returnee",DisplacementP[provenance_adm3_nom],Tableau50939495123139[[#Headers],[Mogodé]])</f>
        <v>0</v>
      </c>
      <c r="W86" s="518">
        <f>SUMIFS(DisplacementP[Individus],DisplacementP[adm3_name],Tableau50939495123139[[#This Row],[Arrondissements]],DisplacementP[Statut déplacé],"returnee",DisplacementP[provenance_adm3_nom],Tableau50939495123139[[#Headers],[Mokolo]])</f>
        <v>0</v>
      </c>
      <c r="X86" s="518">
        <f>SUMIFS(DisplacementP[Individus],DisplacementP[adm3_name],Tableau50939495123139[[#This Row],[Arrondissements]],DisplacementP[Statut déplacé],"returnee",DisplacementP[provenance_adm3_nom],Tableau50939495123139[[#Headers],[Soulédé-Roua]])</f>
        <v>0</v>
      </c>
      <c r="Y86" s="518">
        <f>SUM(Tableau50939495123139[[#This Row],[Bourha]:[Soulédé-Roua]])</f>
        <v>2971</v>
      </c>
      <c r="AI86" s="493"/>
    </row>
    <row r="87" spans="1:35" x14ac:dyDescent="0.3">
      <c r="A87" s="516"/>
      <c r="B87" s="518" t="s">
        <v>193</v>
      </c>
      <c r="C87" s="537">
        <f>SUMIFS(DisplacementP[Individus],DisplacementP[Statut déplacé],"idp",DisplacementP[adm3_name],Tableau50939495123[[#This Row],[Arrondissements]], DisplacementP[provenance_adm3_nom],Tableau50939495123[[#Headers],[Bourha]])</f>
        <v>0</v>
      </c>
      <c r="D87" s="537">
        <f>SUMIFS(DisplacementP[Individus],DisplacementP[Statut déplacé],"idp",DisplacementP[adm3_name],Tableau50939495123[[#This Row],[Arrondissements]], DisplacementP[provenance_adm3_nom],Tableau50939495123[[#Headers],[Hina]])</f>
        <v>0</v>
      </c>
      <c r="E87" s="537">
        <f>SUMIFS(DisplacementP[Individus],DisplacementP[Statut déplacé],"idp",DisplacementP[adm3_name],Tableau50939495123[[#This Row],[Arrondissements]], DisplacementP[provenance_adm3_nom],Tableau50939495123[[#Headers],[Koza]])</f>
        <v>0</v>
      </c>
      <c r="F87" s="534">
        <f>SUMIFS(DisplacementP[Individus],DisplacementP[Statut déplacé],"idp",DisplacementP[adm3_name],Tableau50939495123[[#This Row],[Arrondissements]], DisplacementP[provenance_adm3_nom],Tableau50939495123[[#Headers],[Mayo-Moskota]])</f>
        <v>19365</v>
      </c>
      <c r="G87" s="537">
        <f>SUMIFS(DisplacementP[Individus],DisplacementP[Statut déplacé],"idp",DisplacementP[adm3_name],Tableau50939495123[[#This Row],[Arrondissements]], DisplacementP[provenance_adm3_nom],Tableau50939495123[[#Headers],[Mogodé]])</f>
        <v>0</v>
      </c>
      <c r="H87" s="537">
        <f>SUMIFS(DisplacementP[Individus],DisplacementP[Statut déplacé],"idp",DisplacementP[adm3_name],Tableau50939495123[[#This Row],[Arrondissements]], DisplacementP[provenance_adm3_nom],Tableau50939495123[[#Headers],[Mokolo]])</f>
        <v>0</v>
      </c>
      <c r="I87" s="537">
        <f>SUMIFS(DisplacementP[Individus],DisplacementP[Statut déplacé],"idp",DisplacementP[adm3_name],Tableau50939495123[[#This Row],[Arrondissements]], DisplacementP[provenance_adm3_nom],Tableau50939495123[[#Headers],[Soulédé-Roua]])</f>
        <v>0</v>
      </c>
      <c r="J87" s="518">
        <f>SUM(Tableau50939495123[[#This Row],[Bourha]:[Soulédé-Roua]])</f>
        <v>19365</v>
      </c>
      <c r="N87" s="493"/>
      <c r="P87" s="516"/>
      <c r="Q87" s="518" t="s">
        <v>193</v>
      </c>
      <c r="R87" s="537">
        <f>SUMIFS(DisplacementP[Individus],DisplacementP[adm3_name],Tableau50939495123139[[#This Row],[Arrondissements]],DisplacementP[Statut déplacé],"returnee",DisplacementP[provenance_adm3_nom],Tableau50939495123139[[#Headers],[Bourha]])</f>
        <v>0</v>
      </c>
      <c r="S87" s="537">
        <f>SUMIFS(DisplacementP[Individus],DisplacementP[adm3_name],Tableau50939495123139[[#This Row],[Arrondissements]],DisplacementP[Statut déplacé],"returnee",DisplacementP[provenance_adm3_nom],Tableau50939495123139[[#Headers],[Hina]])</f>
        <v>0</v>
      </c>
      <c r="T87" s="537">
        <f>SUMIFS(DisplacementP[Individus],DisplacementP[adm3_name],Tableau50939495123139[[#This Row],[Arrondissements]],DisplacementP[Statut déplacé],"returnee",DisplacementP[provenance_adm3_nom],Tableau50939495123139[[#Headers],[Koza]])</f>
        <v>624</v>
      </c>
      <c r="U87" s="534">
        <f>SUMIFS(DisplacementP[Individus],DisplacementP[adm3_name],Tableau50939495123139[[#This Row],[Arrondissements]],DisplacementP[Statut déplacé],"returnee",DisplacementP[provenance_adm3_nom],Tableau50939495123139[[#Headers],[Mayo-Moskota]])</f>
        <v>10781</v>
      </c>
      <c r="V87" s="537">
        <f>SUMIFS(DisplacementP[Individus],DisplacementP[adm3_name],Tableau50939495123139[[#This Row],[Arrondissements]],DisplacementP[Statut déplacé],"returnee",DisplacementP[provenance_adm3_nom],Tableau50939495123139[[#Headers],[Mogodé]])</f>
        <v>0</v>
      </c>
      <c r="W87" s="537">
        <f>SUMIFS(DisplacementP[Individus],DisplacementP[adm3_name],Tableau50939495123139[[#This Row],[Arrondissements]],DisplacementP[Statut déplacé],"returnee",DisplacementP[provenance_adm3_nom],Tableau50939495123139[[#Headers],[Mokolo]])</f>
        <v>475</v>
      </c>
      <c r="X87" s="537">
        <f>SUMIFS(DisplacementP[Individus],DisplacementP[adm3_name],Tableau50939495123139[[#This Row],[Arrondissements]],DisplacementP[Statut déplacé],"returnee",DisplacementP[provenance_adm3_nom],Tableau50939495123139[[#Headers],[Soulédé-Roua]])</f>
        <v>0</v>
      </c>
      <c r="Y87" s="518">
        <f>SUM(Tableau50939495123139[[#This Row],[Bourha]:[Soulédé-Roua]])</f>
        <v>11880</v>
      </c>
      <c r="AI87" s="493"/>
    </row>
    <row r="88" spans="1:35" x14ac:dyDescent="0.3">
      <c r="A88" s="516"/>
      <c r="B88" s="518" t="s">
        <v>194</v>
      </c>
      <c r="C88" s="558">
        <f>SUMIFS(DisplacementP[Individus],DisplacementP[Statut déplacé],"idp",DisplacementP[adm3_name],Tableau50939495123[[#This Row],[Arrondissements]], DisplacementP[provenance_adm3_nom],Tableau50939495123[[#Headers],[Bourha]])</f>
        <v>0</v>
      </c>
      <c r="D88" s="558">
        <f>SUMIFS(DisplacementP[Individus],DisplacementP[Statut déplacé],"idp",DisplacementP[adm3_name],Tableau50939495123[[#This Row],[Arrondissements]], DisplacementP[provenance_adm3_nom],Tableau50939495123[[#Headers],[Hina]])</f>
        <v>0</v>
      </c>
      <c r="E88" s="558">
        <f>SUMIFS(DisplacementP[Individus],DisplacementP[Statut déplacé],"idp",DisplacementP[adm3_name],Tableau50939495123[[#This Row],[Arrondissements]], DisplacementP[provenance_adm3_nom],Tableau50939495123[[#Headers],[Koza]])</f>
        <v>0</v>
      </c>
      <c r="F88" s="558">
        <f>SUMIFS(DisplacementP[Individus],DisplacementP[Statut déplacé],"idp",DisplacementP[adm3_name],Tableau50939495123[[#This Row],[Arrondissements]], DisplacementP[provenance_adm3_nom],Tableau50939495123[[#Headers],[Mayo-Moskota]])</f>
        <v>0</v>
      </c>
      <c r="G88" s="558">
        <f>SUMIFS(DisplacementP[Individus],DisplacementP[Statut déplacé],"idp",DisplacementP[adm3_name],Tableau50939495123[[#This Row],[Arrondissements]], DisplacementP[provenance_adm3_nom],Tableau50939495123[[#Headers],[Mogodé]])</f>
        <v>0</v>
      </c>
      <c r="H88" s="558">
        <f>SUMIFS(DisplacementP[Individus],DisplacementP[Statut déplacé],"idp",DisplacementP[adm3_name],Tableau50939495123[[#This Row],[Arrondissements]], DisplacementP[provenance_adm3_nom],Tableau50939495123[[#Headers],[Mokolo]])</f>
        <v>0</v>
      </c>
      <c r="I88" s="534">
        <f>SUMIFS(DisplacementP[Individus],DisplacementP[Statut déplacé],"idp",DisplacementP[adm3_name],Tableau50939495123[[#This Row],[Arrondissements]], DisplacementP[provenance_adm3_nom],Tableau50939495123[[#Headers],[Soulédé-Roua]])</f>
        <v>0</v>
      </c>
      <c r="J88" s="518">
        <f>SUM(Tableau50939495123[[#This Row],[Bourha]:[Soulédé-Roua]])</f>
        <v>0</v>
      </c>
      <c r="N88" s="493"/>
      <c r="P88" s="516"/>
      <c r="Q88" s="518" t="s">
        <v>194</v>
      </c>
      <c r="R88" s="518">
        <f>SUMIFS(DisplacementP[Individus],DisplacementP[adm3_name],Tableau50939495123139[[#This Row],[Arrondissements]],DisplacementP[Statut déplacé],"returnee",DisplacementP[provenance_adm3_nom],Tableau50939495123139[[#Headers],[Bourha]])</f>
        <v>0</v>
      </c>
      <c r="S88" s="518">
        <f>SUMIFS(DisplacementP[Individus],DisplacementP[adm3_name],Tableau50939495123139[[#This Row],[Arrondissements]],DisplacementP[Statut déplacé],"returnee",DisplacementP[provenance_adm3_nom],Tableau50939495123139[[#Headers],[Hina]])</f>
        <v>0</v>
      </c>
      <c r="T88" s="518">
        <f>SUMIFS(DisplacementP[Individus],DisplacementP[adm3_name],Tableau50939495123139[[#This Row],[Arrondissements]],DisplacementP[Statut déplacé],"returnee",DisplacementP[provenance_adm3_nom],Tableau50939495123139[[#Headers],[Koza]])</f>
        <v>0</v>
      </c>
      <c r="U88" s="518">
        <f>SUMIFS(DisplacementP[Individus],DisplacementP[adm3_name],Tableau50939495123139[[#This Row],[Arrondissements]],DisplacementP[Statut déplacé],"returnee",DisplacementP[provenance_adm3_nom],Tableau50939495123139[[#Headers],[Mayo-Moskota]])</f>
        <v>0</v>
      </c>
      <c r="V88" s="534">
        <f>SUMIFS(DisplacementP[Individus],DisplacementP[adm3_name],Tableau50939495123139[[#This Row],[Arrondissements]],DisplacementP[Statut déplacé],"returnee",DisplacementP[provenance_adm3_nom],Tableau50939495123139[[#Headers],[Mogodé]])</f>
        <v>0</v>
      </c>
      <c r="W88" s="518">
        <f>SUMIFS(DisplacementP[Individus],DisplacementP[adm3_name],Tableau50939495123139[[#This Row],[Arrondissements]],DisplacementP[Statut déplacé],"returnee",DisplacementP[provenance_adm3_nom],Tableau50939495123139[[#Headers],[Mokolo]])</f>
        <v>0</v>
      </c>
      <c r="X88" s="518">
        <f>SUMIFS(DisplacementP[Individus],DisplacementP[adm3_name],Tableau50939495123139[[#This Row],[Arrondissements]],DisplacementP[Statut déplacé],"returnee",DisplacementP[provenance_adm3_nom],Tableau50939495123139[[#Headers],[Soulédé-Roua]])</f>
        <v>0</v>
      </c>
      <c r="Y88" s="518">
        <f>SUM(Tableau50939495123139[[#This Row],[Bourha]:[Soulédé-Roua]])</f>
        <v>0</v>
      </c>
      <c r="AI88" s="493"/>
    </row>
    <row r="89" spans="1:35" x14ac:dyDescent="0.3">
      <c r="A89" s="516"/>
      <c r="B89" s="518" t="s">
        <v>195</v>
      </c>
      <c r="C89" s="518">
        <f>SUMIFS(DisplacementP[Individus],DisplacementP[Statut déplacé],"idp",DisplacementP[adm3_name],Tableau50939495123[[#This Row],[Arrondissements]], DisplacementP[provenance_adm3_nom],Tableau50939495123[[#Headers],[Bourha]])</f>
        <v>0</v>
      </c>
      <c r="D89" s="518">
        <f>SUMIFS(DisplacementP[Individus],DisplacementP[Statut déplacé],"idp",DisplacementP[adm3_name],Tableau50939495123[[#This Row],[Arrondissements]], DisplacementP[provenance_adm3_nom],Tableau50939495123[[#Headers],[Hina]])</f>
        <v>0</v>
      </c>
      <c r="E89" s="518">
        <f>SUMIFS(DisplacementP[Individus],DisplacementP[Statut déplacé],"idp",DisplacementP[adm3_name],Tableau50939495123[[#This Row],[Arrondissements]], DisplacementP[provenance_adm3_nom],Tableau50939495123[[#Headers],[Koza]])</f>
        <v>355</v>
      </c>
      <c r="F89" s="518">
        <f>SUMIFS(DisplacementP[Individus],DisplacementP[Statut déplacé],"idp",DisplacementP[adm3_name],Tableau50939495123[[#This Row],[Arrondissements]], DisplacementP[provenance_adm3_nom],Tableau50939495123[[#Headers],[Mayo-Moskota]])</f>
        <v>4625</v>
      </c>
      <c r="G89" s="534">
        <f>SUMIFS(DisplacementP[Individus],DisplacementP[Statut déplacé],"idp",DisplacementP[adm3_name],Tableau50939495123[[#This Row],[Arrondissements]], DisplacementP[provenance_adm3_nom],Tableau50939495123[[#Headers],[Mogodé]])</f>
        <v>0</v>
      </c>
      <c r="H89" s="518">
        <f>SUMIFS(DisplacementP[Individus],DisplacementP[Statut déplacé],"idp",DisplacementP[adm3_name],Tableau50939495123[[#This Row],[Arrondissements]], DisplacementP[provenance_adm3_nom],Tableau50939495123[[#Headers],[Mokolo]])</f>
        <v>34730</v>
      </c>
      <c r="I89" s="518">
        <f>SUMIFS(DisplacementP[Individus],DisplacementP[Statut déplacé],"idp",DisplacementP[adm3_name],Tableau50939495123[[#This Row],[Arrondissements]], DisplacementP[provenance_adm3_nom],Tableau50939495123[[#Headers],[Soulédé-Roua]])</f>
        <v>0</v>
      </c>
      <c r="J89" s="518">
        <f>SUM(Tableau50939495123[[#This Row],[Bourha]:[Soulédé-Roua]])</f>
        <v>39710</v>
      </c>
      <c r="N89" s="493"/>
      <c r="P89" s="516"/>
      <c r="Q89" s="518" t="s">
        <v>195</v>
      </c>
      <c r="R89" s="537">
        <f>SUMIFS(DisplacementP[Individus],DisplacementP[adm3_name],Tableau50939495123139[[#This Row],[Arrondissements]],DisplacementP[Statut déplacé],"returnee",DisplacementP[provenance_adm3_nom],Tableau50939495123139[[#Headers],[Bourha]])</f>
        <v>0</v>
      </c>
      <c r="S89" s="537">
        <f>SUMIFS(DisplacementP[Individus],DisplacementP[adm3_name],Tableau50939495123139[[#This Row],[Arrondissements]],DisplacementP[Statut déplacé],"returnee",DisplacementP[provenance_adm3_nom],Tableau50939495123139[[#Headers],[Hina]])</f>
        <v>0</v>
      </c>
      <c r="T89" s="537">
        <f>SUMIFS(DisplacementP[Individus],DisplacementP[adm3_name],Tableau50939495123139[[#This Row],[Arrondissements]],DisplacementP[Statut déplacé],"returnee",DisplacementP[provenance_adm3_nom],Tableau50939495123139[[#Headers],[Koza]])</f>
        <v>0</v>
      </c>
      <c r="U89" s="537">
        <f>SUMIFS(DisplacementP[Individus],DisplacementP[adm3_name],Tableau50939495123139[[#This Row],[Arrondissements]],DisplacementP[Statut déplacé],"returnee",DisplacementP[provenance_adm3_nom],Tableau50939495123139[[#Headers],[Mayo-Moskota]])</f>
        <v>18</v>
      </c>
      <c r="V89" s="537">
        <f>SUMIFS(DisplacementP[Individus],DisplacementP[adm3_name],Tableau50939495123139[[#This Row],[Arrondissements]],DisplacementP[Statut déplacé],"returnee",DisplacementP[provenance_adm3_nom],Tableau50939495123139[[#Headers],[Mogodé]])</f>
        <v>0</v>
      </c>
      <c r="W89" s="534">
        <f>SUMIFS(DisplacementP[Individus],DisplacementP[adm3_name],Tableau50939495123139[[#This Row],[Arrondissements]],DisplacementP[Statut déplacé],"returnee",DisplacementP[provenance_adm3_nom],Tableau50939495123139[[#Headers],[Mokolo]])</f>
        <v>2378</v>
      </c>
      <c r="X89" s="537">
        <f>SUMIFS(DisplacementP[Individus],DisplacementP[adm3_name],Tableau50939495123139[[#This Row],[Arrondissements]],DisplacementP[Statut déplacé],"returnee",DisplacementP[provenance_adm3_nom],Tableau50939495123139[[#Headers],[Soulédé-Roua]])</f>
        <v>0</v>
      </c>
      <c r="Y89" s="518">
        <f>SUM(Tableau50939495123139[[#This Row],[Bourha]:[Soulédé-Roua]])</f>
        <v>2396</v>
      </c>
      <c r="AI89" s="493"/>
    </row>
    <row r="90" spans="1:35" x14ac:dyDescent="0.3">
      <c r="A90" s="516"/>
      <c r="B90" s="518" t="s">
        <v>196</v>
      </c>
      <c r="C90" s="537">
        <f>SUMIFS(DisplacementP[Individus],DisplacementP[Statut déplacé],"idp",DisplacementP[adm3_name],Tableau50939495123[[#This Row],[Arrondissements]], DisplacementP[provenance_adm3_nom],Tableau50939495123[[#Headers],[Bourha]])</f>
        <v>0</v>
      </c>
      <c r="D90" s="537">
        <f>SUMIFS(DisplacementP[Individus],DisplacementP[Statut déplacé],"idp",DisplacementP[adm3_name],Tableau50939495123[[#This Row],[Arrondissements]], DisplacementP[provenance_adm3_nom],Tableau50939495123[[#Headers],[Hina]])</f>
        <v>0</v>
      </c>
      <c r="E90" s="537">
        <f>SUMIFS(DisplacementP[Individus],DisplacementP[Statut déplacé],"idp",DisplacementP[adm3_name],Tableau50939495123[[#This Row],[Arrondissements]], DisplacementP[provenance_adm3_nom],Tableau50939495123[[#Headers],[Koza]])</f>
        <v>0</v>
      </c>
      <c r="F90" s="537">
        <f>SUMIFS(DisplacementP[Individus],DisplacementP[Statut déplacé],"idp",DisplacementP[adm3_name],Tableau50939495123[[#This Row],[Arrondissements]], DisplacementP[provenance_adm3_nom],Tableau50939495123[[#Headers],[Mayo-Moskota]])</f>
        <v>338</v>
      </c>
      <c r="G90" s="537">
        <f>SUMIFS(DisplacementP[Individus],DisplacementP[Statut déplacé],"idp",DisplacementP[adm3_name],Tableau50939495123[[#This Row],[Arrondissements]], DisplacementP[provenance_adm3_nom],Tableau50939495123[[#Headers],[Mogodé]])</f>
        <v>0</v>
      </c>
      <c r="H90" s="534">
        <f>SUMIFS(DisplacementP[Individus],DisplacementP[Statut déplacé],"idp",DisplacementP[adm3_name],Tableau50939495123[[#This Row],[Arrondissements]], DisplacementP[provenance_adm3_nom],Tableau50939495123[[#Headers],[Mokolo]])</f>
        <v>0</v>
      </c>
      <c r="I90" s="537">
        <f>SUMIFS(DisplacementP[Individus],DisplacementP[Statut déplacé],"idp",DisplacementP[adm3_name],Tableau50939495123[[#This Row],[Arrondissements]], DisplacementP[provenance_adm3_nom],Tableau50939495123[[#Headers],[Soulédé-Roua]])</f>
        <v>0</v>
      </c>
      <c r="J90" s="518">
        <f>SUM(Tableau50939495123[[#This Row],[Bourha]:[Soulédé-Roua]])</f>
        <v>338</v>
      </c>
      <c r="N90" s="493"/>
      <c r="P90" s="516"/>
      <c r="Q90" s="518" t="s">
        <v>196</v>
      </c>
      <c r="R90" s="558">
        <f>SUMIFS(DisplacementP[Individus],DisplacementP[adm3_name],Tableau50939495123139[[#This Row],[Arrondissements]],DisplacementP[Statut déplacé],"returnee",DisplacementP[provenance_adm3_nom],Tableau50939495123139[[#Headers],[Bourha]])</f>
        <v>0</v>
      </c>
      <c r="S90" s="558">
        <f>SUMIFS(DisplacementP[Individus],DisplacementP[adm3_name],Tableau50939495123139[[#This Row],[Arrondissements]],DisplacementP[Statut déplacé],"returnee",DisplacementP[provenance_adm3_nom],Tableau50939495123139[[#Headers],[Hina]])</f>
        <v>0</v>
      </c>
      <c r="T90" s="558">
        <f>SUMIFS(DisplacementP[Individus],DisplacementP[adm3_name],Tableau50939495123139[[#This Row],[Arrondissements]],DisplacementP[Statut déplacé],"returnee",DisplacementP[provenance_adm3_nom],Tableau50939495123139[[#Headers],[Koza]])</f>
        <v>125</v>
      </c>
      <c r="U90" s="558">
        <f>SUMIFS(DisplacementP[Individus],DisplacementP[adm3_name],Tableau50939495123139[[#This Row],[Arrondissements]],DisplacementP[Statut déplacé],"returnee",DisplacementP[provenance_adm3_nom],Tableau50939495123139[[#Headers],[Mayo-Moskota]])</f>
        <v>31</v>
      </c>
      <c r="V90" s="558">
        <f>SUMIFS(DisplacementP[Individus],DisplacementP[adm3_name],Tableau50939495123139[[#This Row],[Arrondissements]],DisplacementP[Statut déplacé],"returnee",DisplacementP[provenance_adm3_nom],Tableau50939495123139[[#Headers],[Mogodé]])</f>
        <v>0</v>
      </c>
      <c r="W90" s="558">
        <f>SUMIFS(DisplacementP[Individus],DisplacementP[adm3_name],Tableau50939495123139[[#This Row],[Arrondissements]],DisplacementP[Statut déplacé],"returnee",DisplacementP[provenance_adm3_nom],Tableau50939495123139[[#Headers],[Mokolo]])</f>
        <v>0</v>
      </c>
      <c r="X90" s="534">
        <f>SUMIFS(DisplacementP[Individus],DisplacementP[adm3_name],Tableau50939495123139[[#This Row],[Arrondissements]],DisplacementP[Statut déplacé],"returnee",DisplacementP[provenance_adm3_nom],Tableau50939495123139[[#Headers],[Soulédé-Roua]])</f>
        <v>0</v>
      </c>
      <c r="Y90" s="518">
        <f>SUM(Tableau50939495123139[[#This Row],[Bourha]:[Soulédé-Roua]])</f>
        <v>156</v>
      </c>
      <c r="AI90" s="493"/>
    </row>
    <row r="91" spans="1:35" x14ac:dyDescent="0.3">
      <c r="A91" s="516"/>
      <c r="B91" s="571"/>
      <c r="C91" s="572">
        <f>SUBTOTAL(109,Tableau50939495123[Bourha])</f>
        <v>141</v>
      </c>
      <c r="D91" s="572">
        <f>SUBTOTAL(109,Tableau50939495123[Hina])</f>
        <v>73</v>
      </c>
      <c r="E91" s="572">
        <f>SUBTOTAL(109,Tableau50939495123[Koza])</f>
        <v>16738</v>
      </c>
      <c r="F91" s="572">
        <f>SUBTOTAL(109,Tableau50939495123[Mayo-Moskota])</f>
        <v>48611</v>
      </c>
      <c r="G91" s="572">
        <f>SUBTOTAL(109,Tableau50939495123[Mogodé])</f>
        <v>0</v>
      </c>
      <c r="H91" s="572">
        <f>SUBTOTAL(109,Tableau50939495123[Mokolo])</f>
        <v>34877</v>
      </c>
      <c r="I91" s="572">
        <f>SUBTOTAL(109,Tableau50939495123[Soulédé-Roua])</f>
        <v>35</v>
      </c>
      <c r="J91" s="572">
        <f>SUBTOTAL(109,Tableau50939495123[Total])</f>
        <v>100475</v>
      </c>
      <c r="N91" s="493"/>
      <c r="P91" s="516"/>
      <c r="Q91" s="571"/>
      <c r="R91" s="572">
        <f>SUBTOTAL(109,Tableau50939495123139[Bourha])</f>
        <v>0</v>
      </c>
      <c r="S91" s="572">
        <f>SUBTOTAL(109,Tableau50939495123139[Hina])</f>
        <v>2</v>
      </c>
      <c r="T91" s="572">
        <f>SUBTOTAL(109,Tableau50939495123139[Koza])</f>
        <v>2292</v>
      </c>
      <c r="U91" s="572">
        <f>SUBTOTAL(109,Tableau50939495123139[Mayo-Moskota])</f>
        <v>12258</v>
      </c>
      <c r="V91" s="572">
        <f>SUBTOTAL(109,Tableau50939495123139[Mogodé])</f>
        <v>0</v>
      </c>
      <c r="W91" s="572">
        <f>SUBTOTAL(109,Tableau50939495123139[Mokolo])</f>
        <v>2853</v>
      </c>
      <c r="X91" s="572">
        <f>SUBTOTAL(109,Tableau50939495123139[Soulédé-Roua])</f>
        <v>0</v>
      </c>
      <c r="Y91" s="572">
        <f>SUBTOTAL(109,Tableau50939495123139[Total])</f>
        <v>17405</v>
      </c>
      <c r="AI91" s="493"/>
    </row>
    <row r="92" spans="1:35" s="527" customFormat="1" x14ac:dyDescent="0.3">
      <c r="A92" s="524"/>
      <c r="B92" s="523"/>
      <c r="C92" s="1131">
        <f>Tableau50939495123[[#Totals],[Bourha]]/$J$91</f>
        <v>1.4033341627270465E-3</v>
      </c>
      <c r="D92" s="1131">
        <f>Tableau50939495123[[#Totals],[Hina]]/$J$91</f>
        <v>7.2654889275939293E-4</v>
      </c>
      <c r="E92" s="1131">
        <f>Tableau50939495123[[#Totals],[Koza]]/$J$91</f>
        <v>0.16658870365762626</v>
      </c>
      <c r="F92" s="1131">
        <f>Tableau50939495123[[#Totals],[Mayo-Moskota]]/$J$91</f>
        <v>0.48381189350584725</v>
      </c>
      <c r="G92" s="1131">
        <f>Tableau50939495123[[#Totals],[Mogodé]]/$J$91</f>
        <v>0</v>
      </c>
      <c r="H92" s="1131">
        <f>Tableau50939495123[[#Totals],[Mokolo]]/$J$91</f>
        <v>0.34712117442149787</v>
      </c>
      <c r="I92" s="1131">
        <f>Tableau50939495123[[#Totals],[Soulédé-Roua]]/$J$91</f>
        <v>3.4834535954217469E-4</v>
      </c>
      <c r="J92" s="1131">
        <f>SUM(C92:I92)</f>
        <v>1</v>
      </c>
      <c r="K92" s="525"/>
      <c r="L92" s="525"/>
      <c r="M92" s="525"/>
      <c r="N92" s="526"/>
      <c r="P92" s="524"/>
      <c r="Q92" s="523"/>
      <c r="R92" s="1131">
        <f>Tableau50939495123139[[#Totals],[Bourha]]/Tableau50939495123139[[#Totals],[Total]]</f>
        <v>0</v>
      </c>
      <c r="S92" s="1131">
        <f>Tableau50939495123139[[#Totals],[Hina]]/Tableau50939495123139[[#Totals],[Total]]</f>
        <v>1.1490950876185004E-4</v>
      </c>
      <c r="T92" s="1131">
        <f>Tableau50939495123139[[#Totals],[Koza]]/Tableau50939495123139[[#Totals],[Total]]</f>
        <v>0.13168629704108015</v>
      </c>
      <c r="U92" s="1131">
        <f>Tableau50939495123139[[#Totals],[Mayo-Moskota]]/Tableau50939495123139[[#Totals],[Total]]</f>
        <v>0.70428037920137887</v>
      </c>
      <c r="V92" s="1131">
        <f>Tableau50939495123139[[#Totals],[Mogodé]]/Tableau50939495123139[[#Totals],[Total]]</f>
        <v>0</v>
      </c>
      <c r="W92" s="1131">
        <f>Tableau50939495123139[[#Totals],[Mokolo]]/Tableau50939495123139[[#Totals],[Total]]</f>
        <v>0.16391841424877909</v>
      </c>
      <c r="X92" s="1131">
        <f>Tableau50939495123139[[#Totals],[Soulédé-Roua]]/Tableau50939495123139[[#Totals],[Total]]</f>
        <v>0</v>
      </c>
      <c r="Y92" s="1131">
        <f>SUM(R92:X92)</f>
        <v>1</v>
      </c>
      <c r="Z92" s="525"/>
      <c r="AA92" s="525"/>
      <c r="AB92" s="525"/>
      <c r="AC92" s="525"/>
      <c r="AD92" s="525"/>
      <c r="AE92" s="525"/>
      <c r="AF92" s="525"/>
      <c r="AG92" s="525"/>
      <c r="AH92" s="525"/>
      <c r="AI92" s="526"/>
    </row>
    <row r="93" spans="1:35" ht="15" thickBot="1" x14ac:dyDescent="0.35">
      <c r="A93" s="564"/>
      <c r="B93" s="565"/>
      <c r="C93" s="565"/>
      <c r="D93" s="565"/>
      <c r="E93" s="565"/>
      <c r="F93" s="565"/>
      <c r="G93" s="565"/>
      <c r="H93" s="565"/>
      <c r="I93" s="565"/>
      <c r="J93" s="565"/>
      <c r="K93" s="565"/>
      <c r="L93" s="565"/>
      <c r="M93" s="565"/>
      <c r="N93" s="566"/>
      <c r="P93" s="564"/>
      <c r="Q93" s="565"/>
      <c r="R93" s="565"/>
      <c r="S93" s="565"/>
      <c r="T93" s="565"/>
      <c r="U93" s="565"/>
      <c r="V93" s="565"/>
      <c r="W93" s="565"/>
      <c r="X93" s="565"/>
      <c r="Y93" s="565"/>
      <c r="Z93" s="565"/>
      <c r="AA93" s="565"/>
      <c r="AB93" s="565"/>
      <c r="AC93" s="565"/>
      <c r="AD93" s="565"/>
      <c r="AE93" s="565"/>
      <c r="AF93" s="565"/>
      <c r="AG93" s="565"/>
      <c r="AH93" s="565"/>
      <c r="AI93" s="566"/>
    </row>
    <row r="97" spans="7:7" x14ac:dyDescent="0.3">
      <c r="G97" s="567"/>
    </row>
    <row r="98" spans="7:7" x14ac:dyDescent="0.3">
      <c r="G98" s="567"/>
    </row>
  </sheetData>
  <sortState xmlns:xlrd2="http://schemas.microsoft.com/office/spreadsheetml/2017/richdata2" ref="B53:B59">
    <sortCondition ref="B52:B59"/>
  </sortState>
  <mergeCells count="29">
    <mergeCell ref="C64:G64"/>
    <mergeCell ref="R64:V64"/>
    <mergeCell ref="C74:E74"/>
    <mergeCell ref="R74:T74"/>
    <mergeCell ref="C82:I82"/>
    <mergeCell ref="R82:X82"/>
    <mergeCell ref="C35:L35"/>
    <mergeCell ref="R35:AA35"/>
    <mergeCell ref="R21:W21"/>
    <mergeCell ref="C50:J50"/>
    <mergeCell ref="R50:Y50"/>
    <mergeCell ref="C21:J21"/>
    <mergeCell ref="R7:W7"/>
    <mergeCell ref="B18:F18"/>
    <mergeCell ref="H18:M18"/>
    <mergeCell ref="Q18:V18"/>
    <mergeCell ref="Y18:AD18"/>
    <mergeCell ref="B7:I7"/>
    <mergeCell ref="K7:L7"/>
    <mergeCell ref="Z3:AH3"/>
    <mergeCell ref="B3:F3"/>
    <mergeCell ref="G3:M3"/>
    <mergeCell ref="Q3:Y3"/>
    <mergeCell ref="AB6:AD6"/>
    <mergeCell ref="AF6:AI6"/>
    <mergeCell ref="B5:D5"/>
    <mergeCell ref="H5:J5"/>
    <mergeCell ref="Q5:S5"/>
    <mergeCell ref="U5:W5"/>
  </mergeCells>
  <pageMargins left="0.7" right="0.7" top="0.75" bottom="0.75" header="0.3" footer="0.3"/>
  <pageSetup paperSize="9" scale="75" orientation="landscape"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0CCF-2A91-4D36-A147-3307FE3406A6}">
  <sheetPr>
    <tabColor theme="0" tint="-0.34998626667073579"/>
  </sheetPr>
  <dimension ref="B1:BG76"/>
  <sheetViews>
    <sheetView showGridLines="0" zoomScaleNormal="100" workbookViewId="0">
      <selection activeCell="C3" sqref="C3"/>
    </sheetView>
  </sheetViews>
  <sheetFormatPr defaultColWidth="11.44140625" defaultRowHeight="14.4" x14ac:dyDescent="0.3"/>
  <cols>
    <col min="1" max="1" width="4.77734375" style="341" customWidth="1"/>
    <col min="2" max="2" width="4.21875" style="341" customWidth="1"/>
    <col min="3" max="3" width="4.77734375" style="341" customWidth="1"/>
    <col min="4" max="4" width="23" style="341" customWidth="1"/>
    <col min="5" max="5" width="13.44140625" style="341" customWidth="1"/>
    <col min="6" max="6" width="13.77734375" style="341" customWidth="1"/>
    <col min="7" max="7" width="14.21875" style="341" customWidth="1"/>
    <col min="8" max="8" width="12" style="341" customWidth="1"/>
    <col min="9" max="9" width="14.77734375" style="341" customWidth="1"/>
    <col min="10" max="24" width="12" style="341" customWidth="1"/>
    <col min="25" max="28" width="19.21875" style="341" customWidth="1"/>
    <col min="29" max="29" width="6.44140625" style="341" customWidth="1"/>
    <col min="30" max="30" width="1.77734375" style="819" customWidth="1"/>
    <col min="31" max="31" width="3.77734375" style="819" customWidth="1"/>
    <col min="32" max="32" width="5.44140625" style="341" customWidth="1"/>
    <col min="33" max="33" width="20.5546875" style="341" customWidth="1"/>
    <col min="34" max="34" width="18.109375" style="341" customWidth="1"/>
    <col min="35" max="35" width="14.44140625" style="341" customWidth="1"/>
    <col min="36" max="36" width="13.77734375" style="341" customWidth="1"/>
    <col min="37" max="37" width="12.44140625" style="341" customWidth="1"/>
    <col min="38" max="38" width="14.21875" style="341" customWidth="1"/>
    <col min="39" max="57" width="12.44140625" style="341" customWidth="1"/>
    <col min="58" max="58" width="17.77734375" style="341" customWidth="1"/>
    <col min="59" max="59" width="11.44140625" style="341"/>
    <col min="60" max="60" width="13.44140625" style="341" customWidth="1"/>
    <col min="61" max="16384" width="11.44140625" style="341"/>
  </cols>
  <sheetData>
    <row r="1" spans="2:59" ht="24" customHeight="1" thickBot="1" x14ac:dyDescent="0.35">
      <c r="B1" s="1382" t="s">
        <v>17</v>
      </c>
      <c r="C1" s="1383"/>
      <c r="D1" s="1383"/>
      <c r="E1" s="1383"/>
      <c r="F1" s="1383"/>
      <c r="G1" s="1383"/>
      <c r="H1" s="1383"/>
      <c r="I1" s="1383"/>
      <c r="J1" s="1383"/>
      <c r="K1" s="1383"/>
      <c r="L1" s="1383"/>
      <c r="M1" s="1383"/>
      <c r="N1" s="1383"/>
      <c r="O1" s="1383"/>
      <c r="P1" s="1383"/>
      <c r="Q1" s="1383"/>
      <c r="R1" s="1383"/>
      <c r="S1" s="1383"/>
      <c r="T1" s="1383"/>
      <c r="U1" s="1383"/>
      <c r="V1" s="1383"/>
      <c r="W1" s="1383"/>
      <c r="X1" s="1383"/>
      <c r="Y1" s="1383"/>
      <c r="Z1" s="932"/>
      <c r="AA1" s="932"/>
      <c r="AB1" s="932"/>
      <c r="AC1" s="932"/>
      <c r="AD1" s="345"/>
      <c r="AE1" s="1384" t="s">
        <v>18</v>
      </c>
      <c r="AF1" s="1385"/>
      <c r="AG1" s="1385"/>
      <c r="AH1" s="1385"/>
      <c r="AI1" s="1385"/>
      <c r="AJ1" s="1385"/>
      <c r="AK1" s="1385"/>
      <c r="AL1" s="1385"/>
      <c r="AM1" s="1385"/>
      <c r="AN1" s="1385"/>
      <c r="AO1" s="1385"/>
      <c r="AP1" s="1385"/>
      <c r="AQ1" s="1385"/>
      <c r="AR1" s="1385"/>
      <c r="AS1" s="1385"/>
      <c r="AT1" s="1385"/>
      <c r="AU1" s="1385"/>
      <c r="AV1" s="1385"/>
      <c r="AW1" s="1385"/>
      <c r="AX1" s="1385"/>
      <c r="AY1" s="1385"/>
      <c r="AZ1" s="1385"/>
      <c r="BA1" s="1385"/>
      <c r="BB1" s="1385"/>
      <c r="BC1" s="1386"/>
      <c r="BD1" s="1142"/>
      <c r="BE1" s="1142"/>
    </row>
    <row r="2" spans="2:59" ht="9" customHeight="1" x14ac:dyDescent="0.3">
      <c r="AD2" s="345"/>
    </row>
    <row r="3" spans="2:59" x14ac:dyDescent="0.3">
      <c r="B3" s="820"/>
      <c r="C3" s="821"/>
      <c r="D3" s="821"/>
      <c r="E3" s="821"/>
      <c r="F3" s="821"/>
      <c r="G3" s="821"/>
      <c r="H3" s="821"/>
      <c r="I3" s="821"/>
      <c r="J3" s="821"/>
      <c r="K3" s="821"/>
      <c r="L3" s="821"/>
      <c r="M3" s="821"/>
      <c r="N3" s="821"/>
      <c r="O3" s="821"/>
      <c r="P3" s="821"/>
      <c r="Q3" s="821"/>
      <c r="R3" s="821"/>
      <c r="S3" s="821"/>
      <c r="T3" s="821"/>
      <c r="U3" s="821"/>
      <c r="V3" s="821"/>
      <c r="W3" s="821"/>
      <c r="X3" s="821"/>
      <c r="Y3" s="821"/>
      <c r="AD3" s="345"/>
      <c r="AE3" s="822"/>
      <c r="AF3" s="821"/>
      <c r="AG3" s="821"/>
      <c r="AH3" s="821"/>
      <c r="AI3" s="821"/>
      <c r="AJ3" s="821"/>
      <c r="AK3" s="821"/>
      <c r="AL3" s="821"/>
      <c r="AM3" s="821"/>
      <c r="AN3" s="821"/>
      <c r="AO3" s="821"/>
      <c r="AP3" s="821"/>
      <c r="AQ3" s="821"/>
      <c r="AR3" s="821"/>
      <c r="AS3" s="821"/>
      <c r="AT3" s="821"/>
      <c r="AU3" s="821"/>
      <c r="AV3" s="821"/>
      <c r="AW3" s="821"/>
      <c r="AX3" s="821"/>
      <c r="AY3" s="821"/>
      <c r="AZ3" s="821"/>
      <c r="BA3" s="821"/>
      <c r="BB3" s="821"/>
      <c r="BC3" s="823"/>
    </row>
    <row r="4" spans="2:59" s="337" customFormat="1" ht="24.6" customHeight="1" x14ac:dyDescent="0.3">
      <c r="B4" s="336"/>
      <c r="D4" s="338"/>
      <c r="E4" s="1389" t="s">
        <v>434</v>
      </c>
      <c r="F4" s="1390"/>
      <c r="G4" s="1390"/>
      <c r="H4" s="1390"/>
      <c r="I4" s="1390"/>
      <c r="J4" s="1390"/>
      <c r="K4" s="1390"/>
      <c r="L4" s="1391"/>
      <c r="M4" s="1392" t="s">
        <v>24</v>
      </c>
      <c r="N4" s="1393"/>
      <c r="O4" s="1393"/>
      <c r="P4" s="1393"/>
      <c r="Q4" s="1393"/>
      <c r="R4" s="1393"/>
      <c r="S4" s="1393"/>
      <c r="T4" s="1394"/>
      <c r="U4" s="1397" t="s">
        <v>23</v>
      </c>
      <c r="V4" s="1398"/>
      <c r="W4" s="1398"/>
      <c r="X4" s="1398"/>
      <c r="Y4" s="1398"/>
      <c r="Z4" s="1398"/>
      <c r="AA4" s="1398"/>
      <c r="AB4" s="1398"/>
      <c r="AD4" s="339"/>
      <c r="AE4" s="338"/>
      <c r="AH4" s="338"/>
      <c r="AI4" s="1389" t="s">
        <v>435</v>
      </c>
      <c r="AJ4" s="1390"/>
      <c r="AK4" s="1390"/>
      <c r="AL4" s="1390"/>
      <c r="AM4" s="1390"/>
      <c r="AN4" s="1390"/>
      <c r="AO4" s="1390"/>
      <c r="AP4" s="1391"/>
      <c r="AQ4" s="1392" t="s">
        <v>29</v>
      </c>
      <c r="AR4" s="1393"/>
      <c r="AS4" s="1393"/>
      <c r="AT4" s="1393"/>
      <c r="AU4" s="1393"/>
      <c r="AV4" s="1393"/>
      <c r="AW4" s="1129"/>
      <c r="AX4" s="934"/>
      <c r="AY4" s="1395" t="s">
        <v>28</v>
      </c>
      <c r="AZ4" s="1396"/>
      <c r="BA4" s="1396"/>
      <c r="BB4" s="1396"/>
      <c r="BC4" s="1396"/>
      <c r="BD4" s="1396"/>
      <c r="BE4" s="1396"/>
      <c r="BF4" s="1396"/>
      <c r="BG4" s="341"/>
    </row>
    <row r="5" spans="2:59" ht="19.350000000000001" customHeight="1" x14ac:dyDescent="0.3">
      <c r="B5" s="340"/>
      <c r="D5" s="342" t="s">
        <v>436</v>
      </c>
      <c r="E5" s="344" t="s">
        <v>438</v>
      </c>
      <c r="F5" s="344" t="s">
        <v>439</v>
      </c>
      <c r="G5" s="344" t="s">
        <v>440</v>
      </c>
      <c r="H5" s="344" t="s">
        <v>441</v>
      </c>
      <c r="I5" s="344" t="s">
        <v>442</v>
      </c>
      <c r="J5" s="344" t="s">
        <v>443</v>
      </c>
      <c r="K5" s="344" t="s">
        <v>3040</v>
      </c>
      <c r="L5" s="344" t="s">
        <v>3383</v>
      </c>
      <c r="M5" s="344" t="s">
        <v>438</v>
      </c>
      <c r="N5" s="344" t="s">
        <v>439</v>
      </c>
      <c r="O5" s="344" t="s">
        <v>440</v>
      </c>
      <c r="P5" s="344" t="s">
        <v>441</v>
      </c>
      <c r="Q5" s="344" t="s">
        <v>442</v>
      </c>
      <c r="R5" s="344" t="s">
        <v>443</v>
      </c>
      <c r="S5" s="344" t="s">
        <v>3040</v>
      </c>
      <c r="T5" s="344" t="s">
        <v>3383</v>
      </c>
      <c r="U5" s="344" t="s">
        <v>438</v>
      </c>
      <c r="V5" s="344" t="s">
        <v>439</v>
      </c>
      <c r="W5" s="344" t="s">
        <v>440</v>
      </c>
      <c r="X5" s="344" t="s">
        <v>441</v>
      </c>
      <c r="Y5" s="344" t="s">
        <v>442</v>
      </c>
      <c r="Z5" s="344" t="s">
        <v>443</v>
      </c>
      <c r="AA5" s="344" t="s">
        <v>3040</v>
      </c>
      <c r="AB5" s="344" t="s">
        <v>3383</v>
      </c>
      <c r="AD5" s="345"/>
      <c r="AE5" s="341"/>
      <c r="AH5" s="342" t="s">
        <v>51</v>
      </c>
      <c r="AI5" s="346" t="str">
        <f t="shared" ref="AI5:BC5" si="0">E5</f>
        <v>Round 19</v>
      </c>
      <c r="AJ5" s="343" t="str">
        <f t="shared" si="0"/>
        <v>Round 20</v>
      </c>
      <c r="AK5" s="343" t="str">
        <f t="shared" si="0"/>
        <v>Round 21</v>
      </c>
      <c r="AL5" s="343" t="str">
        <f t="shared" si="0"/>
        <v>Round 22</v>
      </c>
      <c r="AM5" s="343" t="str">
        <f t="shared" si="0"/>
        <v>Round 23</v>
      </c>
      <c r="AN5" s="343" t="str">
        <f t="shared" si="0"/>
        <v>Round 24</v>
      </c>
      <c r="AO5" s="343" t="str">
        <f t="shared" si="0"/>
        <v>Round 25</v>
      </c>
      <c r="AP5" s="343" t="str">
        <f t="shared" si="0"/>
        <v>Round 26</v>
      </c>
      <c r="AQ5" s="347" t="str">
        <f t="shared" si="0"/>
        <v>Round 19</v>
      </c>
      <c r="AR5" s="348" t="str">
        <f t="shared" si="0"/>
        <v>Round 20</v>
      </c>
      <c r="AS5" s="348" t="str">
        <f t="shared" si="0"/>
        <v>Round 21</v>
      </c>
      <c r="AT5" s="348" t="str">
        <f t="shared" si="0"/>
        <v>Round 22</v>
      </c>
      <c r="AU5" s="348" t="str">
        <f t="shared" si="0"/>
        <v>Round 23</v>
      </c>
      <c r="AV5" s="348" t="str">
        <f t="shared" si="0"/>
        <v>Round 24</v>
      </c>
      <c r="AW5" s="348" t="str">
        <f t="shared" si="0"/>
        <v>Round 25</v>
      </c>
      <c r="AX5" s="348" t="str">
        <f t="shared" si="0"/>
        <v>Round 26</v>
      </c>
      <c r="AY5" s="348" t="str">
        <f t="shared" si="0"/>
        <v>Round 19</v>
      </c>
      <c r="AZ5" s="348" t="str">
        <f t="shared" si="0"/>
        <v>Round 20</v>
      </c>
      <c r="BA5" s="348" t="str">
        <f t="shared" si="0"/>
        <v>Round 21</v>
      </c>
      <c r="BB5" s="348" t="str">
        <f t="shared" si="0"/>
        <v>Round 22</v>
      </c>
      <c r="BC5" s="348" t="str">
        <f t="shared" si="0"/>
        <v>Round 23</v>
      </c>
      <c r="BD5" s="348" t="str">
        <f t="shared" ref="BD5:BE5" si="1">Z5</f>
        <v>Round 24</v>
      </c>
      <c r="BE5" s="348" t="str">
        <f t="shared" si="1"/>
        <v>Round 25</v>
      </c>
      <c r="BF5" s="348" t="str">
        <f t="shared" ref="BF5:BF11" si="2">AB5</f>
        <v>Round 26</v>
      </c>
    </row>
    <row r="6" spans="2:59" x14ac:dyDescent="0.3">
      <c r="B6" s="340"/>
      <c r="D6" s="824" t="s">
        <v>30</v>
      </c>
      <c r="E6" s="825">
        <v>6284</v>
      </c>
      <c r="F6" s="825">
        <v>6235</v>
      </c>
      <c r="G6" s="825">
        <v>6244</v>
      </c>
      <c r="H6" s="825">
        <v>6831</v>
      </c>
      <c r="I6" s="825">
        <v>7274</v>
      </c>
      <c r="J6" s="825">
        <v>16827</v>
      </c>
      <c r="K6" s="825">
        <v>15943</v>
      </c>
      <c r="L6" s="825">
        <f>SUMIFS(Locations[Ind_IDPs],Locations[Adm2_Name],$D6)</f>
        <v>12542</v>
      </c>
      <c r="M6" s="826">
        <v>463</v>
      </c>
      <c r="N6" s="826">
        <v>462</v>
      </c>
      <c r="O6" s="825">
        <v>466</v>
      </c>
      <c r="P6" s="825">
        <v>448</v>
      </c>
      <c r="Q6" s="827">
        <v>448</v>
      </c>
      <c r="R6" s="827">
        <v>445</v>
      </c>
      <c r="S6" s="827">
        <v>438</v>
      </c>
      <c r="T6" s="827">
        <f>SUMIFS(Locations[Ind_Returnees],Locations[Adm2_Name],$D6)</f>
        <v>429</v>
      </c>
      <c r="U6" s="826">
        <v>262</v>
      </c>
      <c r="V6" s="826">
        <v>262</v>
      </c>
      <c r="W6" s="825">
        <v>264</v>
      </c>
      <c r="X6" s="828">
        <v>266</v>
      </c>
      <c r="Y6" s="828">
        <v>342</v>
      </c>
      <c r="Z6" s="828">
        <v>364</v>
      </c>
      <c r="AA6" s="828">
        <v>361</v>
      </c>
      <c r="AB6" s="828">
        <f>SUMIFS(Locations[Ind_Refugees],Locations[Adm2_Name],D6)</f>
        <v>334</v>
      </c>
      <c r="AC6" s="829"/>
      <c r="AD6" s="345"/>
      <c r="AE6" s="341"/>
      <c r="AH6" s="824" t="s">
        <v>30</v>
      </c>
      <c r="AI6" s="830">
        <f t="shared" ref="AI6:AR11" si="3">E6</f>
        <v>6284</v>
      </c>
      <c r="AJ6" s="830">
        <f t="shared" si="3"/>
        <v>6235</v>
      </c>
      <c r="AK6" s="830">
        <f t="shared" si="3"/>
        <v>6244</v>
      </c>
      <c r="AL6" s="830">
        <f t="shared" si="3"/>
        <v>6831</v>
      </c>
      <c r="AM6" s="830">
        <f t="shared" si="3"/>
        <v>7274</v>
      </c>
      <c r="AN6" s="830">
        <f t="shared" si="3"/>
        <v>16827</v>
      </c>
      <c r="AO6" s="830">
        <f t="shared" si="3"/>
        <v>15943</v>
      </c>
      <c r="AP6" s="830">
        <f t="shared" si="3"/>
        <v>12542</v>
      </c>
      <c r="AQ6" s="831">
        <f t="shared" si="3"/>
        <v>463</v>
      </c>
      <c r="AR6" s="820">
        <f t="shared" si="3"/>
        <v>462</v>
      </c>
      <c r="AS6" s="820">
        <f t="shared" ref="AS6:BB11" si="4">O6</f>
        <v>466</v>
      </c>
      <c r="AT6" s="830">
        <f t="shared" si="4"/>
        <v>448</v>
      </c>
      <c r="AU6" s="830">
        <f t="shared" si="4"/>
        <v>448</v>
      </c>
      <c r="AV6" s="830">
        <f t="shared" si="4"/>
        <v>445</v>
      </c>
      <c r="AW6" s="830">
        <f t="shared" si="4"/>
        <v>438</v>
      </c>
      <c r="AX6" s="830">
        <f t="shared" si="4"/>
        <v>429</v>
      </c>
      <c r="AY6" s="830">
        <f t="shared" si="4"/>
        <v>262</v>
      </c>
      <c r="AZ6" s="820">
        <f t="shared" si="4"/>
        <v>262</v>
      </c>
      <c r="BA6" s="820">
        <f t="shared" si="4"/>
        <v>264</v>
      </c>
      <c r="BB6" s="830">
        <f t="shared" si="4"/>
        <v>266</v>
      </c>
      <c r="BC6" s="830">
        <f t="shared" ref="BC6:BC11" si="5">Z6</f>
        <v>364</v>
      </c>
      <c r="BD6" s="830">
        <f t="shared" ref="BD6:BD11" si="6">AA6</f>
        <v>361</v>
      </c>
      <c r="BE6" s="830">
        <f t="shared" ref="BE6:BE11" si="7">AB6</f>
        <v>334</v>
      </c>
      <c r="BF6" s="830">
        <f t="shared" si="2"/>
        <v>334</v>
      </c>
    </row>
    <row r="7" spans="2:59" x14ac:dyDescent="0.3">
      <c r="B7" s="340"/>
      <c r="D7" s="824" t="s">
        <v>31</v>
      </c>
      <c r="E7" s="832">
        <v>124329</v>
      </c>
      <c r="F7" s="832">
        <v>127544</v>
      </c>
      <c r="G7" s="832">
        <v>133399</v>
      </c>
      <c r="H7" s="832">
        <v>136058</v>
      </c>
      <c r="I7" s="832">
        <v>140324</v>
      </c>
      <c r="J7" s="832">
        <v>142750</v>
      </c>
      <c r="K7" s="832">
        <v>131419</v>
      </c>
      <c r="L7" s="832">
        <f>SUMIFS(Locations[Ind_IDPs],Locations[Adm2_Name],$D7)</f>
        <v>162020</v>
      </c>
      <c r="M7" s="833">
        <v>35236</v>
      </c>
      <c r="N7" s="833">
        <v>36251</v>
      </c>
      <c r="O7" s="833">
        <v>43402</v>
      </c>
      <c r="P7" s="833">
        <v>45176</v>
      </c>
      <c r="Q7" s="834">
        <v>46402</v>
      </c>
      <c r="R7" s="834">
        <v>55037</v>
      </c>
      <c r="S7" s="834">
        <v>62921</v>
      </c>
      <c r="T7" s="834">
        <f>SUMIFS(Locations[Ind_Returnees],Locations[Adm2_Name],$D7)</f>
        <v>62061</v>
      </c>
      <c r="U7" s="835">
        <v>33613</v>
      </c>
      <c r="V7" s="835">
        <v>33889</v>
      </c>
      <c r="W7" s="835">
        <v>34543</v>
      </c>
      <c r="X7" s="836">
        <v>34138</v>
      </c>
      <c r="Y7" s="836">
        <v>35790</v>
      </c>
      <c r="Z7" s="836">
        <v>34253</v>
      </c>
      <c r="AA7" s="836">
        <v>31988</v>
      </c>
      <c r="AB7" s="836">
        <f>SUMIFS(Locations[Ind_Refugees],Locations[Adm2_Name],D7)</f>
        <v>31803</v>
      </c>
      <c r="AC7" s="829"/>
      <c r="AD7" s="345"/>
      <c r="AE7" s="341"/>
      <c r="AH7" s="824" t="s">
        <v>31</v>
      </c>
      <c r="AI7" s="837">
        <f t="shared" si="3"/>
        <v>124329</v>
      </c>
      <c r="AJ7" s="837">
        <f t="shared" si="3"/>
        <v>127544</v>
      </c>
      <c r="AK7" s="837">
        <f t="shared" si="3"/>
        <v>133399</v>
      </c>
      <c r="AL7" s="837">
        <f t="shared" si="3"/>
        <v>136058</v>
      </c>
      <c r="AM7" s="837">
        <f t="shared" si="3"/>
        <v>140324</v>
      </c>
      <c r="AN7" s="837">
        <f t="shared" si="3"/>
        <v>142750</v>
      </c>
      <c r="AO7" s="837">
        <f t="shared" si="3"/>
        <v>131419</v>
      </c>
      <c r="AP7" s="837">
        <f t="shared" si="3"/>
        <v>162020</v>
      </c>
      <c r="AQ7" s="838">
        <f t="shared" si="3"/>
        <v>35236</v>
      </c>
      <c r="AR7" s="839">
        <f t="shared" si="3"/>
        <v>36251</v>
      </c>
      <c r="AS7" s="839">
        <f t="shared" si="4"/>
        <v>43402</v>
      </c>
      <c r="AT7" s="839">
        <f t="shared" si="4"/>
        <v>45176</v>
      </c>
      <c r="AU7" s="839">
        <f t="shared" si="4"/>
        <v>46402</v>
      </c>
      <c r="AV7" s="839">
        <f t="shared" si="4"/>
        <v>55037</v>
      </c>
      <c r="AW7" s="839">
        <f t="shared" si="4"/>
        <v>62921</v>
      </c>
      <c r="AX7" s="839">
        <f t="shared" si="4"/>
        <v>62061</v>
      </c>
      <c r="AY7" s="840">
        <f t="shared" si="4"/>
        <v>33613</v>
      </c>
      <c r="AZ7" s="840">
        <f t="shared" si="4"/>
        <v>33889</v>
      </c>
      <c r="BA7" s="840">
        <f t="shared" si="4"/>
        <v>34543</v>
      </c>
      <c r="BB7" s="840">
        <f t="shared" si="4"/>
        <v>34138</v>
      </c>
      <c r="BC7" s="840">
        <f t="shared" si="5"/>
        <v>34253</v>
      </c>
      <c r="BD7" s="840">
        <f t="shared" si="6"/>
        <v>31988</v>
      </c>
      <c r="BE7" s="840">
        <f t="shared" si="7"/>
        <v>31803</v>
      </c>
      <c r="BF7" s="840">
        <f t="shared" si="2"/>
        <v>31803</v>
      </c>
    </row>
    <row r="8" spans="2:59" x14ac:dyDescent="0.3">
      <c r="B8" s="340"/>
      <c r="D8" s="824" t="s">
        <v>32</v>
      </c>
      <c r="E8" s="825">
        <v>11459</v>
      </c>
      <c r="F8" s="825">
        <v>22347</v>
      </c>
      <c r="G8" s="825">
        <v>20872</v>
      </c>
      <c r="H8" s="825">
        <v>18571</v>
      </c>
      <c r="I8" s="825">
        <v>21225</v>
      </c>
      <c r="J8" s="825">
        <v>20842</v>
      </c>
      <c r="K8" s="825">
        <v>21051</v>
      </c>
      <c r="L8" s="825">
        <f>SUMIFS(Locations[Ind_IDPs],Locations[Adm2_Name],$D8)</f>
        <v>22544</v>
      </c>
      <c r="M8" s="826">
        <v>8261</v>
      </c>
      <c r="N8" s="826">
        <v>11155</v>
      </c>
      <c r="O8" s="825">
        <v>12806</v>
      </c>
      <c r="P8" s="825">
        <v>13190</v>
      </c>
      <c r="Q8" s="827">
        <v>16919</v>
      </c>
      <c r="R8" s="827">
        <v>14524</v>
      </c>
      <c r="S8" s="827">
        <v>16808</v>
      </c>
      <c r="T8" s="827">
        <f>SUMIFS(Locations[Ind_Returnees],Locations[Adm2_Name],$D8)</f>
        <v>85833</v>
      </c>
      <c r="U8" s="826">
        <v>140</v>
      </c>
      <c r="V8" s="826">
        <v>140</v>
      </c>
      <c r="W8" s="825">
        <v>145</v>
      </c>
      <c r="X8" s="841">
        <v>145</v>
      </c>
      <c r="Y8" s="841">
        <v>147</v>
      </c>
      <c r="Z8" s="841">
        <v>145</v>
      </c>
      <c r="AA8" s="841">
        <v>296</v>
      </c>
      <c r="AB8" s="841">
        <f>SUMIFS(Locations[Ind_Refugees],Locations[Adm2_Name],D8)</f>
        <v>296</v>
      </c>
      <c r="AC8" s="829"/>
      <c r="AD8" s="345"/>
      <c r="AE8" s="341"/>
      <c r="AH8" s="824" t="s">
        <v>32</v>
      </c>
      <c r="AI8" s="830">
        <f t="shared" si="3"/>
        <v>11459</v>
      </c>
      <c r="AJ8" s="830">
        <f t="shared" si="3"/>
        <v>22347</v>
      </c>
      <c r="AK8" s="830">
        <f t="shared" si="3"/>
        <v>20872</v>
      </c>
      <c r="AL8" s="830">
        <f t="shared" si="3"/>
        <v>18571</v>
      </c>
      <c r="AM8" s="830">
        <f t="shared" si="3"/>
        <v>21225</v>
      </c>
      <c r="AN8" s="830">
        <f t="shared" si="3"/>
        <v>20842</v>
      </c>
      <c r="AO8" s="830">
        <f t="shared" si="3"/>
        <v>21051</v>
      </c>
      <c r="AP8" s="830">
        <f t="shared" si="3"/>
        <v>22544</v>
      </c>
      <c r="AQ8" s="831">
        <f t="shared" si="3"/>
        <v>8261</v>
      </c>
      <c r="AR8" s="820">
        <f t="shared" si="3"/>
        <v>11155</v>
      </c>
      <c r="AS8" s="820">
        <f t="shared" si="4"/>
        <v>12806</v>
      </c>
      <c r="AT8" s="830">
        <f t="shared" si="4"/>
        <v>13190</v>
      </c>
      <c r="AU8" s="830">
        <f t="shared" si="4"/>
        <v>16919</v>
      </c>
      <c r="AV8" s="830">
        <f t="shared" si="4"/>
        <v>14524</v>
      </c>
      <c r="AW8" s="830">
        <f t="shared" si="4"/>
        <v>16808</v>
      </c>
      <c r="AX8" s="830">
        <f t="shared" si="4"/>
        <v>85833</v>
      </c>
      <c r="AY8" s="830">
        <f t="shared" si="4"/>
        <v>140</v>
      </c>
      <c r="AZ8" s="820">
        <f t="shared" si="4"/>
        <v>140</v>
      </c>
      <c r="BA8" s="820">
        <f t="shared" si="4"/>
        <v>145</v>
      </c>
      <c r="BB8" s="830">
        <f t="shared" si="4"/>
        <v>145</v>
      </c>
      <c r="BC8" s="830">
        <f t="shared" si="5"/>
        <v>145</v>
      </c>
      <c r="BD8" s="830">
        <f t="shared" si="6"/>
        <v>296</v>
      </c>
      <c r="BE8" s="830">
        <f t="shared" si="7"/>
        <v>296</v>
      </c>
      <c r="BF8" s="830">
        <f t="shared" si="2"/>
        <v>296</v>
      </c>
    </row>
    <row r="9" spans="2:59" x14ac:dyDescent="0.3">
      <c r="B9" s="340"/>
      <c r="D9" s="824" t="s">
        <v>33</v>
      </c>
      <c r="E9" s="832">
        <v>117</v>
      </c>
      <c r="F9" s="832">
        <v>117</v>
      </c>
      <c r="G9" s="832">
        <v>614</v>
      </c>
      <c r="H9" s="832">
        <v>673</v>
      </c>
      <c r="I9" s="832">
        <v>2264</v>
      </c>
      <c r="J9" s="832">
        <v>3173</v>
      </c>
      <c r="K9" s="832">
        <v>2453</v>
      </c>
      <c r="L9" s="832">
        <f>SUMIFS(Locations[Ind_IDPs],Locations[Adm2_Name],$D9)</f>
        <v>4906</v>
      </c>
      <c r="M9" s="833">
        <v>503</v>
      </c>
      <c r="N9" s="833">
        <v>498</v>
      </c>
      <c r="O9" s="833">
        <v>513</v>
      </c>
      <c r="P9" s="833">
        <v>487</v>
      </c>
      <c r="Q9" s="834">
        <v>697</v>
      </c>
      <c r="R9" s="834">
        <v>196</v>
      </c>
      <c r="S9" s="834">
        <v>130</v>
      </c>
      <c r="T9" s="834">
        <f>SUMIFS(Locations[Ind_Returnees],Locations[Adm2_Name],$D9)</f>
        <v>187</v>
      </c>
      <c r="U9" s="835">
        <v>93</v>
      </c>
      <c r="V9" s="835">
        <v>93</v>
      </c>
      <c r="W9" s="835">
        <v>80</v>
      </c>
      <c r="X9" s="836">
        <v>630</v>
      </c>
      <c r="Y9" s="836">
        <v>1409</v>
      </c>
      <c r="Z9" s="836">
        <v>770</v>
      </c>
      <c r="AA9" s="836">
        <v>899</v>
      </c>
      <c r="AB9" s="836">
        <f>SUMIFS(Locations[Ind_Refugees],Locations[Adm2_Name],D9)</f>
        <v>668</v>
      </c>
      <c r="AC9" s="829"/>
      <c r="AD9" s="345"/>
      <c r="AE9" s="341"/>
      <c r="AH9" s="824" t="s">
        <v>33</v>
      </c>
      <c r="AI9" s="837">
        <f t="shared" si="3"/>
        <v>117</v>
      </c>
      <c r="AJ9" s="837">
        <f t="shared" si="3"/>
        <v>117</v>
      </c>
      <c r="AK9" s="837">
        <f t="shared" si="3"/>
        <v>614</v>
      </c>
      <c r="AL9" s="837">
        <f t="shared" si="3"/>
        <v>673</v>
      </c>
      <c r="AM9" s="837">
        <f t="shared" si="3"/>
        <v>2264</v>
      </c>
      <c r="AN9" s="837">
        <f t="shared" si="3"/>
        <v>3173</v>
      </c>
      <c r="AO9" s="837">
        <f t="shared" si="3"/>
        <v>2453</v>
      </c>
      <c r="AP9" s="837">
        <f t="shared" si="3"/>
        <v>4906</v>
      </c>
      <c r="AQ9" s="838">
        <f t="shared" si="3"/>
        <v>503</v>
      </c>
      <c r="AR9" s="839">
        <f t="shared" si="3"/>
        <v>498</v>
      </c>
      <c r="AS9" s="839">
        <f t="shared" si="4"/>
        <v>513</v>
      </c>
      <c r="AT9" s="839">
        <f t="shared" si="4"/>
        <v>487</v>
      </c>
      <c r="AU9" s="839">
        <f t="shared" si="4"/>
        <v>697</v>
      </c>
      <c r="AV9" s="839">
        <f t="shared" si="4"/>
        <v>196</v>
      </c>
      <c r="AW9" s="839">
        <f t="shared" si="4"/>
        <v>130</v>
      </c>
      <c r="AX9" s="839">
        <f t="shared" si="4"/>
        <v>187</v>
      </c>
      <c r="AY9" s="840">
        <f t="shared" si="4"/>
        <v>93</v>
      </c>
      <c r="AZ9" s="840">
        <f t="shared" si="4"/>
        <v>93</v>
      </c>
      <c r="BA9" s="840">
        <f t="shared" si="4"/>
        <v>80</v>
      </c>
      <c r="BB9" s="840">
        <f t="shared" si="4"/>
        <v>630</v>
      </c>
      <c r="BC9" s="840">
        <f t="shared" si="5"/>
        <v>770</v>
      </c>
      <c r="BD9" s="840">
        <f t="shared" si="6"/>
        <v>899</v>
      </c>
      <c r="BE9" s="840">
        <f t="shared" si="7"/>
        <v>668</v>
      </c>
      <c r="BF9" s="840">
        <f t="shared" si="2"/>
        <v>668</v>
      </c>
    </row>
    <row r="10" spans="2:59" x14ac:dyDescent="0.3">
      <c r="B10" s="340"/>
      <c r="D10" s="824" t="s">
        <v>34</v>
      </c>
      <c r="E10" s="825">
        <v>77310</v>
      </c>
      <c r="F10" s="825">
        <v>89091</v>
      </c>
      <c r="G10" s="825">
        <v>101484</v>
      </c>
      <c r="H10" s="825">
        <v>118481</v>
      </c>
      <c r="I10" s="825">
        <v>123165</v>
      </c>
      <c r="J10" s="825">
        <v>125180</v>
      </c>
      <c r="K10" s="825">
        <v>128876</v>
      </c>
      <c r="L10" s="825">
        <f>SUMIFS(Locations[Ind_IDPs],Locations[Adm2_Name],$D10)</f>
        <v>125045</v>
      </c>
      <c r="M10" s="826">
        <v>34043</v>
      </c>
      <c r="N10" s="826">
        <v>36551</v>
      </c>
      <c r="O10" s="825">
        <v>35420</v>
      </c>
      <c r="P10" s="825">
        <v>34770</v>
      </c>
      <c r="Q10" s="827">
        <v>38013</v>
      </c>
      <c r="R10" s="827">
        <v>35682</v>
      </c>
      <c r="S10" s="827">
        <v>35372</v>
      </c>
      <c r="T10" s="827">
        <f>SUMIFS(Locations[Ind_Returnees],Locations[Adm2_Name],$D10)</f>
        <v>32870</v>
      </c>
      <c r="U10" s="826">
        <v>6936</v>
      </c>
      <c r="V10" s="826">
        <v>7130</v>
      </c>
      <c r="W10" s="825">
        <v>7394</v>
      </c>
      <c r="X10" s="841">
        <v>7421</v>
      </c>
      <c r="Y10" s="841">
        <v>7575</v>
      </c>
      <c r="Z10" s="841">
        <v>7779</v>
      </c>
      <c r="AA10" s="841">
        <v>7568</v>
      </c>
      <c r="AB10" s="841">
        <f>SUMIFS(Locations[Ind_Refugees],Locations[Adm2_Name],D10)</f>
        <v>7597</v>
      </c>
      <c r="AC10" s="829"/>
      <c r="AD10" s="345"/>
      <c r="AE10" s="341"/>
      <c r="AH10" s="824" t="s">
        <v>34</v>
      </c>
      <c r="AI10" s="830">
        <f t="shared" si="3"/>
        <v>77310</v>
      </c>
      <c r="AJ10" s="830">
        <f t="shared" si="3"/>
        <v>89091</v>
      </c>
      <c r="AK10" s="830">
        <f t="shared" si="3"/>
        <v>101484</v>
      </c>
      <c r="AL10" s="830">
        <f t="shared" si="3"/>
        <v>118481</v>
      </c>
      <c r="AM10" s="830">
        <f t="shared" si="3"/>
        <v>123165</v>
      </c>
      <c r="AN10" s="830">
        <f t="shared" si="3"/>
        <v>125180</v>
      </c>
      <c r="AO10" s="830">
        <f t="shared" si="3"/>
        <v>128876</v>
      </c>
      <c r="AP10" s="830">
        <f t="shared" si="3"/>
        <v>125045</v>
      </c>
      <c r="AQ10" s="831">
        <f t="shared" si="3"/>
        <v>34043</v>
      </c>
      <c r="AR10" s="820">
        <f t="shared" si="3"/>
        <v>36551</v>
      </c>
      <c r="AS10" s="820">
        <f t="shared" si="4"/>
        <v>35420</v>
      </c>
      <c r="AT10" s="830">
        <f t="shared" si="4"/>
        <v>34770</v>
      </c>
      <c r="AU10" s="830">
        <f t="shared" si="4"/>
        <v>38013</v>
      </c>
      <c r="AV10" s="830">
        <f t="shared" si="4"/>
        <v>35682</v>
      </c>
      <c r="AW10" s="830">
        <f t="shared" si="4"/>
        <v>35372</v>
      </c>
      <c r="AX10" s="830">
        <f t="shared" si="4"/>
        <v>32870</v>
      </c>
      <c r="AY10" s="830">
        <f t="shared" si="4"/>
        <v>6936</v>
      </c>
      <c r="AZ10" s="820">
        <f t="shared" si="4"/>
        <v>7130</v>
      </c>
      <c r="BA10" s="820">
        <f t="shared" si="4"/>
        <v>7394</v>
      </c>
      <c r="BB10" s="830">
        <f t="shared" si="4"/>
        <v>7421</v>
      </c>
      <c r="BC10" s="830">
        <f t="shared" si="5"/>
        <v>7779</v>
      </c>
      <c r="BD10" s="830">
        <f t="shared" si="6"/>
        <v>7568</v>
      </c>
      <c r="BE10" s="830">
        <f t="shared" si="7"/>
        <v>7597</v>
      </c>
      <c r="BF10" s="830">
        <f t="shared" si="2"/>
        <v>7597</v>
      </c>
    </row>
    <row r="11" spans="2:59" x14ac:dyDescent="0.3">
      <c r="B11" s="340"/>
      <c r="D11" s="824" t="s">
        <v>35</v>
      </c>
      <c r="E11" s="832">
        <v>51371</v>
      </c>
      <c r="F11" s="832">
        <v>52046</v>
      </c>
      <c r="G11" s="832">
        <v>59273</v>
      </c>
      <c r="H11" s="832">
        <v>60921</v>
      </c>
      <c r="I11" s="832">
        <v>63379</v>
      </c>
      <c r="J11" s="832">
        <v>69105</v>
      </c>
      <c r="K11" s="832">
        <v>85630</v>
      </c>
      <c r="L11" s="832">
        <f>SUMIFS(Locations[Ind_IDPs],Locations[Adm2_Name],$D11)</f>
        <v>100776</v>
      </c>
      <c r="M11" s="833">
        <v>32068</v>
      </c>
      <c r="N11" s="833">
        <v>32062</v>
      </c>
      <c r="O11" s="833">
        <v>30882</v>
      </c>
      <c r="P11" s="833">
        <v>30239</v>
      </c>
      <c r="Q11" s="833">
        <v>32778</v>
      </c>
      <c r="R11" s="833">
        <v>24806</v>
      </c>
      <c r="S11" s="833">
        <v>22483</v>
      </c>
      <c r="T11" s="834">
        <f>SUMIFS(Locations[Ind_Returnees],Locations[Adm2_Name],$D11)</f>
        <v>21786</v>
      </c>
      <c r="U11" s="835">
        <v>5801</v>
      </c>
      <c r="V11" s="835">
        <v>5791</v>
      </c>
      <c r="W11" s="835">
        <v>6343</v>
      </c>
      <c r="X11" s="836">
        <v>6302</v>
      </c>
      <c r="Y11" s="836">
        <v>6734</v>
      </c>
      <c r="Z11" s="836">
        <v>6253</v>
      </c>
      <c r="AA11" s="836">
        <v>8548</v>
      </c>
      <c r="AB11" s="836">
        <f>SUMIFS(Locations[Ind_Refugees],Locations[Adm2_Name],D11)</f>
        <v>8815</v>
      </c>
      <c r="AC11" s="829"/>
      <c r="AD11" s="345"/>
      <c r="AE11" s="341"/>
      <c r="AH11" s="824" t="s">
        <v>35</v>
      </c>
      <c r="AI11" s="837">
        <f t="shared" si="3"/>
        <v>51371</v>
      </c>
      <c r="AJ11" s="837">
        <f t="shared" si="3"/>
        <v>52046</v>
      </c>
      <c r="AK11" s="837">
        <f t="shared" si="3"/>
        <v>59273</v>
      </c>
      <c r="AL11" s="837">
        <f t="shared" si="3"/>
        <v>60921</v>
      </c>
      <c r="AM11" s="837">
        <f t="shared" si="3"/>
        <v>63379</v>
      </c>
      <c r="AN11" s="837">
        <f t="shared" si="3"/>
        <v>69105</v>
      </c>
      <c r="AO11" s="837">
        <f t="shared" si="3"/>
        <v>85630</v>
      </c>
      <c r="AP11" s="837">
        <f t="shared" si="3"/>
        <v>100776</v>
      </c>
      <c r="AQ11" s="838">
        <f t="shared" si="3"/>
        <v>32068</v>
      </c>
      <c r="AR11" s="839">
        <f t="shared" si="3"/>
        <v>32062</v>
      </c>
      <c r="AS11" s="839">
        <f t="shared" si="4"/>
        <v>30882</v>
      </c>
      <c r="AT11" s="839">
        <f t="shared" si="4"/>
        <v>30239</v>
      </c>
      <c r="AU11" s="839">
        <f t="shared" si="4"/>
        <v>32778</v>
      </c>
      <c r="AV11" s="839">
        <f t="shared" si="4"/>
        <v>24806</v>
      </c>
      <c r="AW11" s="839">
        <f t="shared" si="4"/>
        <v>22483</v>
      </c>
      <c r="AX11" s="839">
        <f t="shared" si="4"/>
        <v>21786</v>
      </c>
      <c r="AY11" s="840">
        <f t="shared" si="4"/>
        <v>5801</v>
      </c>
      <c r="AZ11" s="840">
        <f t="shared" si="4"/>
        <v>5791</v>
      </c>
      <c r="BA11" s="840">
        <f t="shared" si="4"/>
        <v>6343</v>
      </c>
      <c r="BB11" s="840">
        <f t="shared" si="4"/>
        <v>6302</v>
      </c>
      <c r="BC11" s="840">
        <f t="shared" si="5"/>
        <v>6253</v>
      </c>
      <c r="BD11" s="840">
        <f t="shared" si="6"/>
        <v>8548</v>
      </c>
      <c r="BE11" s="840">
        <f t="shared" si="7"/>
        <v>8815</v>
      </c>
      <c r="BF11" s="840">
        <f t="shared" si="2"/>
        <v>8815</v>
      </c>
    </row>
    <row r="12" spans="2:59" x14ac:dyDescent="0.3">
      <c r="B12" s="340"/>
      <c r="D12" s="842" t="s">
        <v>25</v>
      </c>
      <c r="E12" s="843">
        <v>270870</v>
      </c>
      <c r="F12" s="843">
        <v>297380</v>
      </c>
      <c r="G12" s="843">
        <v>321886</v>
      </c>
      <c r="H12" s="843">
        <v>341535</v>
      </c>
      <c r="I12" s="843">
        <v>357631</v>
      </c>
      <c r="J12" s="843">
        <v>377877</v>
      </c>
      <c r="K12" s="843">
        <v>385372</v>
      </c>
      <c r="L12" s="843">
        <f>SUM(L6:L11)</f>
        <v>427833</v>
      </c>
      <c r="M12" s="844">
        <v>110574</v>
      </c>
      <c r="N12" s="843">
        <v>116979</v>
      </c>
      <c r="O12" s="843">
        <v>123489</v>
      </c>
      <c r="P12" s="843">
        <v>124310</v>
      </c>
      <c r="Q12" s="843">
        <v>135257</v>
      </c>
      <c r="R12" s="843">
        <v>130690</v>
      </c>
      <c r="S12" s="843">
        <v>138152</v>
      </c>
      <c r="T12" s="845">
        <f t="shared" ref="T12:AB12" si="8">SUM(T6:T11)</f>
        <v>203166</v>
      </c>
      <c r="U12" s="843">
        <v>46845</v>
      </c>
      <c r="V12" s="843">
        <v>47305</v>
      </c>
      <c r="W12" s="843">
        <v>48769</v>
      </c>
      <c r="X12" s="843">
        <v>48902</v>
      </c>
      <c r="Y12" s="843">
        <v>51997</v>
      </c>
      <c r="Z12" s="843">
        <v>49564</v>
      </c>
      <c r="AA12" s="843">
        <v>49660</v>
      </c>
      <c r="AB12" s="843">
        <f t="shared" si="8"/>
        <v>49513</v>
      </c>
      <c r="AD12" s="345"/>
      <c r="AE12" s="341"/>
      <c r="AH12" s="842" t="s">
        <v>25</v>
      </c>
      <c r="AI12" s="846">
        <f t="shared" ref="AI12:AL12" si="9">SUM(AI6:AI11)</f>
        <v>270870</v>
      </c>
      <c r="AJ12" s="846">
        <f t="shared" si="9"/>
        <v>297380</v>
      </c>
      <c r="AK12" s="846">
        <f t="shared" si="9"/>
        <v>321886</v>
      </c>
      <c r="AL12" s="846">
        <f t="shared" si="9"/>
        <v>341535</v>
      </c>
      <c r="AM12" s="846">
        <f t="shared" ref="AM12:BC12" si="10">SUM(AM6:AM11)</f>
        <v>357631</v>
      </c>
      <c r="AN12" s="846">
        <f t="shared" si="10"/>
        <v>377877</v>
      </c>
      <c r="AO12" s="846">
        <f t="shared" ref="AO12" si="11">SUM(AO6:AO11)</f>
        <v>385372</v>
      </c>
      <c r="AP12" s="846">
        <f t="shared" si="10"/>
        <v>427833</v>
      </c>
      <c r="AQ12" s="935">
        <f>SUM(AQ6:AQ11)</f>
        <v>110574</v>
      </c>
      <c r="AR12" s="936">
        <f>SUM(AR6:AR11)</f>
        <v>116979</v>
      </c>
      <c r="AS12" s="936">
        <f>SUM(AS6:AS11)</f>
        <v>123489</v>
      </c>
      <c r="AT12" s="936">
        <f>SUM(AT6:AT11)</f>
        <v>124310</v>
      </c>
      <c r="AU12" s="936">
        <f t="shared" si="10"/>
        <v>135257</v>
      </c>
      <c r="AV12" s="936">
        <f t="shared" si="10"/>
        <v>130690</v>
      </c>
      <c r="AW12" s="936">
        <f t="shared" ref="AW12" si="12">SUM(AW6:AW11)</f>
        <v>138152</v>
      </c>
      <c r="AX12" s="936">
        <f>SUM(AX6:AX11)</f>
        <v>203166</v>
      </c>
      <c r="AY12" s="936">
        <f t="shared" si="10"/>
        <v>46845</v>
      </c>
      <c r="AZ12" s="936">
        <f t="shared" si="10"/>
        <v>47305</v>
      </c>
      <c r="BA12" s="936">
        <f t="shared" si="10"/>
        <v>48769</v>
      </c>
      <c r="BB12" s="936">
        <f t="shared" si="10"/>
        <v>48902</v>
      </c>
      <c r="BC12" s="936">
        <f t="shared" si="10"/>
        <v>49564</v>
      </c>
      <c r="BD12" s="936">
        <f t="shared" ref="BD12:BE12" si="13">SUM(BD6:BD11)</f>
        <v>49660</v>
      </c>
      <c r="BE12" s="936">
        <f t="shared" si="13"/>
        <v>49513</v>
      </c>
      <c r="BF12" s="936">
        <f t="shared" ref="BF12" si="14">SUM(BF6:BF11)</f>
        <v>49513</v>
      </c>
    </row>
    <row r="13" spans="2:59" x14ac:dyDescent="0.3">
      <c r="B13" s="340"/>
      <c r="D13" s="853" t="s">
        <v>444</v>
      </c>
      <c r="E13" s="1229"/>
      <c r="F13" s="1228">
        <f>(F12-$E$12)/$E$12</f>
        <v>9.7869826854210501E-2</v>
      </c>
      <c r="G13" s="848">
        <f>(G12-$E$12)/$E$12</f>
        <v>0.18834127072027171</v>
      </c>
      <c r="H13" s="848">
        <f>(H12-$E$12)/$E$12</f>
        <v>0.26088160372134234</v>
      </c>
      <c r="I13" s="849">
        <f>(I12-$E$12)/$E$12</f>
        <v>0.32030494333074905</v>
      </c>
      <c r="J13" s="849">
        <f t="shared" ref="J13" si="15">(J12-$E$12)/$E$12</f>
        <v>0.39504928563517555</v>
      </c>
      <c r="K13" s="849">
        <f>(K12-$E$12)/$E$12</f>
        <v>0.42271938568316902</v>
      </c>
      <c r="L13" s="849">
        <f>(L12-$E$12)/$E$12</f>
        <v>0.57947724000443013</v>
      </c>
      <c r="M13" s="1229"/>
      <c r="N13" s="848">
        <f t="shared" ref="N13:T13" si="16">(N12-$M$12)/$M$12</f>
        <v>5.7925009495903193E-2</v>
      </c>
      <c r="O13" s="848">
        <f>(O12-$M$12)/$M$12</f>
        <v>0.11679960931141137</v>
      </c>
      <c r="P13" s="848">
        <f t="shared" si="16"/>
        <v>0.12422450123898927</v>
      </c>
      <c r="Q13" s="848">
        <f t="shared" si="16"/>
        <v>0.22322607484580462</v>
      </c>
      <c r="R13" s="848">
        <f t="shared" si="16"/>
        <v>0.18192341780165319</v>
      </c>
      <c r="S13" s="848">
        <f t="shared" ref="S13" si="17">(S12-$M$12)/$M$12</f>
        <v>0.2494076365149131</v>
      </c>
      <c r="T13" s="848">
        <f t="shared" si="16"/>
        <v>0.8373758749796516</v>
      </c>
      <c r="U13" s="1229"/>
      <c r="V13" s="848">
        <f t="shared" ref="V13:AB13" si="18">(V12-$U$12)/$U$12</f>
        <v>9.8196178887821547E-3</v>
      </c>
      <c r="W13" s="848">
        <f t="shared" si="18"/>
        <v>4.1071619169601878E-2</v>
      </c>
      <c r="X13" s="848">
        <f t="shared" si="18"/>
        <v>4.3910769559184548E-2</v>
      </c>
      <c r="Y13" s="850">
        <f t="shared" si="18"/>
        <v>0.10997972035436013</v>
      </c>
      <c r="Z13" s="850">
        <f t="shared" si="18"/>
        <v>5.8042480520866691E-2</v>
      </c>
      <c r="AA13" s="850">
        <f t="shared" ref="AA13" si="19">(AA12-$U$12)/$U$12</f>
        <v>6.0091792080264703E-2</v>
      </c>
      <c r="AB13" s="850">
        <f t="shared" si="18"/>
        <v>5.6953783754936496E-2</v>
      </c>
      <c r="AD13" s="345"/>
      <c r="AE13" s="341"/>
      <c r="AH13" s="851" t="s">
        <v>445</v>
      </c>
      <c r="AI13" s="1229"/>
      <c r="AJ13" s="848">
        <f>F13</f>
        <v>9.7869826854210501E-2</v>
      </c>
      <c r="AK13" s="848">
        <f t="shared" ref="AK13" si="20">G13</f>
        <v>0.18834127072027171</v>
      </c>
      <c r="AL13" s="848">
        <f t="shared" ref="AL13:AL14" si="21">H13</f>
        <v>0.26088160372134234</v>
      </c>
      <c r="AM13" s="848">
        <f t="shared" ref="AM13:AM14" si="22">I13</f>
        <v>0.32030494333074905</v>
      </c>
      <c r="AN13" s="848">
        <f t="shared" ref="AN13:AO17" si="23">J13</f>
        <v>0.39504928563517555</v>
      </c>
      <c r="AO13" s="848">
        <f t="shared" si="23"/>
        <v>0.42271938568316902</v>
      </c>
      <c r="AP13" s="848">
        <f>L13</f>
        <v>0.57947724000443013</v>
      </c>
      <c r="AQ13" s="1229"/>
      <c r="AR13" s="848">
        <f t="shared" ref="AR13:AW13" si="24">N13</f>
        <v>5.7925009495903193E-2</v>
      </c>
      <c r="AS13" s="848">
        <f t="shared" si="24"/>
        <v>0.11679960931141137</v>
      </c>
      <c r="AT13" s="848">
        <f t="shared" si="24"/>
        <v>0.12422450123898927</v>
      </c>
      <c r="AU13" s="848">
        <f t="shared" si="24"/>
        <v>0.22322607484580462</v>
      </c>
      <c r="AV13" s="848">
        <f t="shared" si="24"/>
        <v>0.18192341780165319</v>
      </c>
      <c r="AW13" s="848">
        <f t="shared" si="24"/>
        <v>0.2494076365149131</v>
      </c>
      <c r="AX13" s="854">
        <f t="shared" ref="AX13:AX19" si="25">T13</f>
        <v>0.8373758749796516</v>
      </c>
      <c r="AY13" s="1229"/>
      <c r="AZ13" s="848">
        <f>V13</f>
        <v>9.8196178887821547E-3</v>
      </c>
      <c r="BA13" s="848">
        <f t="shared" ref="BA13" si="26">W13</f>
        <v>4.1071619169601878E-2</v>
      </c>
      <c r="BB13" s="848">
        <f t="shared" ref="BB13:BC16" si="27">Y13</f>
        <v>0.10997972035436013</v>
      </c>
      <c r="BC13" s="848">
        <f t="shared" si="27"/>
        <v>5.8042480520866691E-2</v>
      </c>
      <c r="BD13" s="848">
        <f t="shared" ref="BD13:BD18" si="28">AA13</f>
        <v>6.0091792080264703E-2</v>
      </c>
      <c r="BE13" s="848">
        <f>AA13</f>
        <v>6.0091792080264703E-2</v>
      </c>
      <c r="BF13" s="854">
        <f t="shared" ref="BF13:BF16" si="29">AB13</f>
        <v>5.6953783754936496E-2</v>
      </c>
    </row>
    <row r="14" spans="2:59" x14ac:dyDescent="0.3">
      <c r="B14" s="340"/>
      <c r="D14" s="853" t="s">
        <v>446</v>
      </c>
      <c r="E14" s="847"/>
      <c r="F14" s="852"/>
      <c r="G14" s="848">
        <f>(G12-$F$12)/$F$12</f>
        <v>8.2406348779339569E-2</v>
      </c>
      <c r="H14" s="848">
        <f>(H12-$F$12)/$F$12</f>
        <v>0.14848005918353621</v>
      </c>
      <c r="I14" s="1085">
        <f>(I12-$F$12)/$F$12</f>
        <v>0.20260609321406953</v>
      </c>
      <c r="J14" s="1085">
        <f t="shared" ref="J14" si="30">(J12-$F$12)/$F$12</f>
        <v>0.27068733606833006</v>
      </c>
      <c r="K14" s="1085">
        <f>(K12-$F$12)/$F$12</f>
        <v>0.29589077947407355</v>
      </c>
      <c r="L14" s="1085">
        <f>(L12-$F$12)/$F$12</f>
        <v>0.43867442329679196</v>
      </c>
      <c r="M14" s="847"/>
      <c r="N14" s="852"/>
      <c r="O14" s="848">
        <f t="shared" ref="O14:T14" si="31">(O12-$N$12)/$N$12</f>
        <v>5.5651014284615184E-2</v>
      </c>
      <c r="P14" s="848">
        <f t="shared" si="31"/>
        <v>6.2669368006223344E-2</v>
      </c>
      <c r="Q14" s="848">
        <f t="shared" si="31"/>
        <v>0.15625026714196566</v>
      </c>
      <c r="R14" s="848">
        <f t="shared" si="31"/>
        <v>0.1172090717137264</v>
      </c>
      <c r="S14" s="848">
        <f t="shared" si="31"/>
        <v>0.18099829883996274</v>
      </c>
      <c r="T14" s="848">
        <f t="shared" si="31"/>
        <v>0.73677326699664047</v>
      </c>
      <c r="U14" s="847"/>
      <c r="V14" s="852"/>
      <c r="W14" s="848">
        <f t="shared" ref="W14:AB14" si="32">(W12-$V$12)/$V$12</f>
        <v>3.0948102737554169E-2</v>
      </c>
      <c r="X14" s="848">
        <f t="shared" si="32"/>
        <v>3.3759644857837438E-2</v>
      </c>
      <c r="Y14" s="854">
        <f t="shared" si="32"/>
        <v>9.918613254412853E-2</v>
      </c>
      <c r="Z14" s="854">
        <f t="shared" si="32"/>
        <v>4.7753937215939117E-2</v>
      </c>
      <c r="AA14" s="854">
        <f t="shared" si="32"/>
        <v>4.9783321002008246E-2</v>
      </c>
      <c r="AB14" s="854">
        <f t="shared" si="32"/>
        <v>4.6675827079589893E-2</v>
      </c>
      <c r="AD14" s="345"/>
      <c r="AE14" s="341"/>
      <c r="AH14" s="851" t="s">
        <v>447</v>
      </c>
      <c r="AI14" s="847"/>
      <c r="AJ14" s="852"/>
      <c r="AK14" s="848">
        <f>G14</f>
        <v>8.2406348779339569E-2</v>
      </c>
      <c r="AL14" s="848">
        <f t="shared" si="21"/>
        <v>0.14848005918353621</v>
      </c>
      <c r="AM14" s="848">
        <f t="shared" si="22"/>
        <v>0.20260609321406953</v>
      </c>
      <c r="AN14" s="848">
        <f t="shared" si="23"/>
        <v>0.27068733606833006</v>
      </c>
      <c r="AO14" s="848">
        <f t="shared" si="23"/>
        <v>0.29589077947407355</v>
      </c>
      <c r="AP14" s="848">
        <f t="shared" ref="AP14:AP17" si="33">L14</f>
        <v>0.43867442329679196</v>
      </c>
      <c r="AQ14" s="847"/>
      <c r="AR14" s="848"/>
      <c r="AS14" s="848">
        <f>O14</f>
        <v>5.5651014284615184E-2</v>
      </c>
      <c r="AT14" s="848">
        <f>P14</f>
        <v>6.2669368006223344E-2</v>
      </c>
      <c r="AU14" s="848">
        <f>Q14</f>
        <v>0.15625026714196566</v>
      </c>
      <c r="AV14" s="848">
        <f t="shared" ref="AV14:AV17" si="34">R14</f>
        <v>0.1172090717137264</v>
      </c>
      <c r="AW14" s="848">
        <f t="shared" ref="AW14:AW18" si="35">S14</f>
        <v>0.18099829883996274</v>
      </c>
      <c r="AX14" s="854">
        <f t="shared" si="25"/>
        <v>0.73677326699664047</v>
      </c>
      <c r="AY14" s="847"/>
      <c r="AZ14" s="848"/>
      <c r="BA14" s="848">
        <f t="shared" ref="BA14" si="36">W14</f>
        <v>3.0948102737554169E-2</v>
      </c>
      <c r="BB14" s="848">
        <f t="shared" si="27"/>
        <v>9.918613254412853E-2</v>
      </c>
      <c r="BC14" s="848">
        <f t="shared" si="27"/>
        <v>4.7753937215939117E-2</v>
      </c>
      <c r="BD14" s="848">
        <f t="shared" si="28"/>
        <v>4.9783321002008246E-2</v>
      </c>
      <c r="BE14" s="848">
        <f t="shared" ref="BE14:BE18" si="37">AA14</f>
        <v>4.9783321002008246E-2</v>
      </c>
      <c r="BF14" s="854">
        <f t="shared" si="29"/>
        <v>4.6675827079589893E-2</v>
      </c>
    </row>
    <row r="15" spans="2:59" x14ac:dyDescent="0.3">
      <c r="B15" s="340"/>
      <c r="D15" s="853" t="s">
        <v>448</v>
      </c>
      <c r="E15" s="853"/>
      <c r="F15" s="852"/>
      <c r="G15" s="848"/>
      <c r="H15" s="848">
        <f>(H12-$G$12)/$G$12</f>
        <v>6.1043350751508296E-2</v>
      </c>
      <c r="I15" s="1085">
        <f>(I12-$G$12)/$G$12</f>
        <v>0.11104863212441672</v>
      </c>
      <c r="J15" s="1085">
        <f t="shared" ref="J15" si="38">(J12-$G$12)/$G$12</f>
        <v>0.17394667677376463</v>
      </c>
      <c r="K15" s="1085">
        <f>(K12-$G$12)/$G$12</f>
        <v>0.19723131792000895</v>
      </c>
      <c r="L15" s="1085">
        <f>(L12-$G$12)/$G$12</f>
        <v>0.32914447972263472</v>
      </c>
      <c r="M15" s="853"/>
      <c r="N15" s="852"/>
      <c r="O15" s="848"/>
      <c r="P15" s="848">
        <f>(P12-$O$12)/$O$12</f>
        <v>6.6483654414563245E-3</v>
      </c>
      <c r="Q15" s="848">
        <f>(Q12-$O$12)/$O$12</f>
        <v>9.5295937289961052E-2</v>
      </c>
      <c r="R15" s="848">
        <f>(R12-$O$12)/$O$12</f>
        <v>5.8312886167998769E-2</v>
      </c>
      <c r="S15" s="848">
        <f>(S12-$O$12)/$O$12</f>
        <v>0.11873932091117427</v>
      </c>
      <c r="T15" s="848">
        <f>(T12-$O$12)/$O$12</f>
        <v>0.64521536331171192</v>
      </c>
      <c r="U15" s="853"/>
      <c r="V15" s="852"/>
      <c r="W15" s="848"/>
      <c r="X15" s="848">
        <f>(X12-$W$12)/$W$12</f>
        <v>2.7271422419979903E-3</v>
      </c>
      <c r="Y15" s="854">
        <f>(Y12-$W$12)/$W$12</f>
        <v>6.6189587647891082E-2</v>
      </c>
      <c r="Z15" s="854">
        <f>(Z12-$W$12)/$W$12</f>
        <v>1.6301338965326335E-2</v>
      </c>
      <c r="AA15" s="854">
        <f>(AA12-$W$12)/$W$12</f>
        <v>1.8269802538497817E-2</v>
      </c>
      <c r="AB15" s="854">
        <f>(AB12-$W$12)/$W$12</f>
        <v>1.5255592692078985E-2</v>
      </c>
      <c r="AD15" s="345"/>
      <c r="AE15" s="341"/>
      <c r="AH15" s="851" t="s">
        <v>449</v>
      </c>
      <c r="AI15" s="853"/>
      <c r="AJ15" s="852"/>
      <c r="AK15" s="848"/>
      <c r="AL15" s="848">
        <f>H15</f>
        <v>6.1043350751508296E-2</v>
      </c>
      <c r="AM15" s="848">
        <f t="shared" ref="AM15:AM16" si="39">I15</f>
        <v>0.11104863212441672</v>
      </c>
      <c r="AN15" s="848">
        <f t="shared" si="23"/>
        <v>0.17394667677376463</v>
      </c>
      <c r="AO15" s="848">
        <f t="shared" si="23"/>
        <v>0.19723131792000895</v>
      </c>
      <c r="AP15" s="848">
        <f t="shared" si="33"/>
        <v>0.32914447972263472</v>
      </c>
      <c r="AQ15" s="853"/>
      <c r="AR15" s="848"/>
      <c r="AS15" s="848"/>
      <c r="AT15" s="848">
        <f>P15</f>
        <v>6.6483654414563245E-3</v>
      </c>
      <c r="AU15" s="848">
        <f>Q15</f>
        <v>9.5295937289961052E-2</v>
      </c>
      <c r="AV15" s="848">
        <f t="shared" si="34"/>
        <v>5.8312886167998769E-2</v>
      </c>
      <c r="AW15" s="848">
        <f t="shared" si="35"/>
        <v>0.11873932091117427</v>
      </c>
      <c r="AX15" s="854">
        <f t="shared" si="25"/>
        <v>0.64521536331171192</v>
      </c>
      <c r="AY15" s="853"/>
      <c r="AZ15" s="848"/>
      <c r="BA15" s="848"/>
      <c r="BB15" s="848">
        <f t="shared" si="27"/>
        <v>6.6189587647891082E-2</v>
      </c>
      <c r="BC15" s="848">
        <f t="shared" si="27"/>
        <v>1.6301338965326335E-2</v>
      </c>
      <c r="BD15" s="848">
        <f t="shared" si="28"/>
        <v>1.8269802538497817E-2</v>
      </c>
      <c r="BE15" s="848">
        <f t="shared" si="37"/>
        <v>1.8269802538497817E-2</v>
      </c>
      <c r="BF15" s="854">
        <f t="shared" si="29"/>
        <v>1.5255592692078985E-2</v>
      </c>
    </row>
    <row r="16" spans="2:59" x14ac:dyDescent="0.3">
      <c r="B16" s="340"/>
      <c r="D16" s="853" t="s">
        <v>450</v>
      </c>
      <c r="E16" s="853"/>
      <c r="F16" s="852"/>
      <c r="G16" s="848"/>
      <c r="H16" s="848"/>
      <c r="I16" s="1085">
        <f>(I12-$G$12)/$G$12</f>
        <v>0.11104863212441672</v>
      </c>
      <c r="J16" s="1085">
        <f>(J12-$H$12)/$H$12</f>
        <v>0.1064078352145461</v>
      </c>
      <c r="K16" s="1085">
        <f>(K12-$H$12)/$H$12</f>
        <v>0.12835287745033452</v>
      </c>
      <c r="L16" s="1085">
        <f>(L12-$H$12)/$H$12</f>
        <v>0.25267688523870174</v>
      </c>
      <c r="M16" s="853"/>
      <c r="N16" s="852"/>
      <c r="O16" s="848"/>
      <c r="P16" s="848"/>
      <c r="Q16" s="848">
        <f>(Q12-$P$12)/$P$12</f>
        <v>8.8062102807497392E-2</v>
      </c>
      <c r="R16" s="848">
        <f>(R12-$P$12)/$P$12</f>
        <v>5.1323304641621749E-2</v>
      </c>
      <c r="S16" s="848">
        <f>(S12-$P$12)/$P$12</f>
        <v>0.11135065561901697</v>
      </c>
      <c r="T16" s="848">
        <f>(T12-$P$12)/$P$12</f>
        <v>0.63434960984635191</v>
      </c>
      <c r="U16" s="853"/>
      <c r="V16" s="852"/>
      <c r="W16" s="848"/>
      <c r="X16" s="848"/>
      <c r="Y16" s="854">
        <f>(Y12-X12)/X12</f>
        <v>6.3289844996114675E-2</v>
      </c>
      <c r="Z16" s="854">
        <f>(Z12-Y12)/Y12</f>
        <v>-4.6791161028520878E-2</v>
      </c>
      <c r="AA16" s="854">
        <f>(AA12-W12)/W12</f>
        <v>1.8269802538497817E-2</v>
      </c>
      <c r="AB16" s="854">
        <f>(AB12-X12)/X12</f>
        <v>1.2494376508118278E-2</v>
      </c>
      <c r="AD16" s="345"/>
      <c r="AE16" s="341"/>
      <c r="AH16" s="851" t="s">
        <v>451</v>
      </c>
      <c r="AI16" s="853"/>
      <c r="AJ16" s="852"/>
      <c r="AK16" s="848"/>
      <c r="AL16" s="848"/>
      <c r="AM16" s="848">
        <f t="shared" si="39"/>
        <v>0.11104863212441672</v>
      </c>
      <c r="AN16" s="848">
        <f t="shared" si="23"/>
        <v>0.1064078352145461</v>
      </c>
      <c r="AO16" s="848">
        <f t="shared" si="23"/>
        <v>0.12835287745033452</v>
      </c>
      <c r="AP16" s="848">
        <f t="shared" si="33"/>
        <v>0.25267688523870174</v>
      </c>
      <c r="AQ16" s="853"/>
      <c r="AR16" s="848"/>
      <c r="AS16" s="848"/>
      <c r="AT16" s="848"/>
      <c r="AU16" s="848"/>
      <c r="AV16" s="848">
        <f t="shared" si="34"/>
        <v>5.1323304641621749E-2</v>
      </c>
      <c r="AW16" s="848">
        <f t="shared" si="35"/>
        <v>0.11135065561901697</v>
      </c>
      <c r="AX16" s="854">
        <f t="shared" si="25"/>
        <v>0.63434960984635191</v>
      </c>
      <c r="AY16" s="853"/>
      <c r="AZ16" s="848"/>
      <c r="BA16" s="848"/>
      <c r="BB16" s="848">
        <f t="shared" si="27"/>
        <v>6.3289844996114675E-2</v>
      </c>
      <c r="BC16" s="848">
        <f t="shared" si="27"/>
        <v>-4.6791161028520878E-2</v>
      </c>
      <c r="BD16" s="848">
        <f t="shared" si="28"/>
        <v>1.8269802538497817E-2</v>
      </c>
      <c r="BE16" s="848">
        <f t="shared" si="37"/>
        <v>1.8269802538497817E-2</v>
      </c>
      <c r="BF16" s="854">
        <f t="shared" si="29"/>
        <v>1.2494376508118278E-2</v>
      </c>
    </row>
    <row r="17" spans="2:58" x14ac:dyDescent="0.3">
      <c r="B17" s="340"/>
      <c r="D17" s="853" t="s">
        <v>452</v>
      </c>
      <c r="E17" s="853"/>
      <c r="F17" s="855"/>
      <c r="G17" s="856"/>
      <c r="H17" s="856"/>
      <c r="I17" s="1086"/>
      <c r="J17" s="1085">
        <f>(J12-$I$12)/$I$12</f>
        <v>5.6611423506351517E-2</v>
      </c>
      <c r="K17" s="1085">
        <f>(K12-$I$12)/$I$12</f>
        <v>7.7568778992872539E-2</v>
      </c>
      <c r="L17" s="1085">
        <f>(L12-$I$12)/$I$12</f>
        <v>0.1962973008491993</v>
      </c>
      <c r="M17" s="853"/>
      <c r="N17" s="855"/>
      <c r="O17" s="856"/>
      <c r="P17" s="856"/>
      <c r="Q17" s="856"/>
      <c r="R17" s="848">
        <f>(R12-$Q$12)/$Q$12</f>
        <v>-3.3765350407002966E-2</v>
      </c>
      <c r="S17" s="848">
        <f>(S12-$Q$12)/$Q$12</f>
        <v>2.1403698145012827E-2</v>
      </c>
      <c r="T17" s="848">
        <f>(T12-$Q$12)/$Q$12</f>
        <v>0.50207382982026805</v>
      </c>
      <c r="U17" s="853"/>
      <c r="V17" s="855"/>
      <c r="W17" s="856"/>
      <c r="X17" s="856"/>
      <c r="Y17" s="857"/>
      <c r="Z17" s="857"/>
      <c r="AA17" s="858">
        <f>(AA12-X12)/X12</f>
        <v>1.5500388532166374E-2</v>
      </c>
      <c r="AB17" s="858">
        <f>(AB12-Y12)/Y12</f>
        <v>-4.777198684539493E-2</v>
      </c>
      <c r="AD17" s="345"/>
      <c r="AE17" s="341"/>
      <c r="AH17" s="851" t="s">
        <v>453</v>
      </c>
      <c r="AI17" s="853"/>
      <c r="AJ17" s="855"/>
      <c r="AK17" s="856"/>
      <c r="AL17" s="856"/>
      <c r="AM17" s="848"/>
      <c r="AN17" s="848">
        <f t="shared" si="23"/>
        <v>5.6611423506351517E-2</v>
      </c>
      <c r="AO17" s="848">
        <f t="shared" si="23"/>
        <v>7.7568778992872539E-2</v>
      </c>
      <c r="AP17" s="848">
        <f t="shared" si="33"/>
        <v>0.1962973008491993</v>
      </c>
      <c r="AQ17" s="853"/>
      <c r="AR17" s="848"/>
      <c r="AS17" s="848"/>
      <c r="AT17" s="848"/>
      <c r="AU17" s="848"/>
      <c r="AV17" s="848">
        <f t="shared" si="34"/>
        <v>-3.3765350407002966E-2</v>
      </c>
      <c r="AW17" s="848">
        <f t="shared" si="35"/>
        <v>2.1403698145012827E-2</v>
      </c>
      <c r="AX17" s="854">
        <f t="shared" si="25"/>
        <v>0.50207382982026805</v>
      </c>
      <c r="AY17" s="853"/>
      <c r="AZ17" s="848"/>
      <c r="BA17" s="848"/>
      <c r="BB17" s="848"/>
      <c r="BC17" s="848"/>
      <c r="BD17" s="848">
        <f t="shared" si="28"/>
        <v>1.5500388532166374E-2</v>
      </c>
      <c r="BE17" s="848">
        <f t="shared" si="37"/>
        <v>1.5500388532166374E-2</v>
      </c>
      <c r="BF17" s="854">
        <f>AB17</f>
        <v>-4.777198684539493E-2</v>
      </c>
    </row>
    <row r="18" spans="2:58" x14ac:dyDescent="0.3">
      <c r="B18" s="340"/>
      <c r="D18" s="853" t="s">
        <v>3042</v>
      </c>
      <c r="E18" s="853"/>
      <c r="F18" s="855"/>
      <c r="G18" s="856"/>
      <c r="H18" s="856"/>
      <c r="I18" s="1086"/>
      <c r="J18" s="1086"/>
      <c r="K18" s="1086">
        <f>(K12-$J$12)/$J$12</f>
        <v>1.9834496410207555E-2</v>
      </c>
      <c r="L18" s="1086">
        <f>(L12-$J$12)/$J$12</f>
        <v>0.13220174818790242</v>
      </c>
      <c r="M18" s="853"/>
      <c r="N18" s="855"/>
      <c r="O18" s="856"/>
      <c r="P18" s="856"/>
      <c r="Q18" s="856"/>
      <c r="R18" s="856"/>
      <c r="S18" s="856">
        <f>(S12-$R$12)/$R$12</f>
        <v>5.7096946973754684E-2</v>
      </c>
      <c r="T18" s="933">
        <f>(T12-$R$12)/$R$12</f>
        <v>0.5545642359782692</v>
      </c>
      <c r="U18" s="853"/>
      <c r="V18" s="855"/>
      <c r="W18" s="856"/>
      <c r="X18" s="856"/>
      <c r="Y18" s="857"/>
      <c r="Z18" s="857"/>
      <c r="AA18" s="933">
        <f>(AA12-Y12)/Y12</f>
        <v>-4.4944900667346195E-2</v>
      </c>
      <c r="AB18" s="1253">
        <f>(AB12-Z12)/Z12</f>
        <v>-1.0289726414332984E-3</v>
      </c>
      <c r="AD18" s="345"/>
      <c r="AE18" s="341"/>
      <c r="AH18" s="1143" t="s">
        <v>3043</v>
      </c>
      <c r="AI18" s="853"/>
      <c r="AJ18" s="856"/>
      <c r="AK18" s="856"/>
      <c r="AL18" s="856"/>
      <c r="AM18" s="856"/>
      <c r="AN18" s="856"/>
      <c r="AO18" s="848">
        <f>K18</f>
        <v>1.9834496410207555E-2</v>
      </c>
      <c r="AP18" s="856">
        <f>L18</f>
        <v>0.13220174818790242</v>
      </c>
      <c r="AQ18" s="853"/>
      <c r="AR18" s="856"/>
      <c r="AS18" s="856"/>
      <c r="AT18" s="856"/>
      <c r="AU18" s="856"/>
      <c r="AV18" s="856"/>
      <c r="AW18" s="856">
        <f t="shared" si="35"/>
        <v>5.7096946973754684E-2</v>
      </c>
      <c r="AX18" s="856">
        <f t="shared" si="25"/>
        <v>0.5545642359782692</v>
      </c>
      <c r="AY18" s="853"/>
      <c r="AZ18" s="856"/>
      <c r="BA18" s="856"/>
      <c r="BB18" s="856"/>
      <c r="BC18" s="856"/>
      <c r="BD18" s="848">
        <f t="shared" si="28"/>
        <v>-4.4944900667346195E-2</v>
      </c>
      <c r="BE18" s="848">
        <f t="shared" si="37"/>
        <v>-4.4944900667346195E-2</v>
      </c>
      <c r="BF18" s="1254">
        <f>AB18</f>
        <v>-1.0289726414332984E-3</v>
      </c>
    </row>
    <row r="19" spans="2:58" x14ac:dyDescent="0.3">
      <c r="B19" s="340"/>
      <c r="D19" s="853" t="s">
        <v>3384</v>
      </c>
      <c r="E19" s="853"/>
      <c r="F19" s="856"/>
      <c r="G19" s="856"/>
      <c r="H19" s="856"/>
      <c r="I19" s="856"/>
      <c r="J19" s="856"/>
      <c r="K19" s="856"/>
      <c r="L19" s="1086">
        <f>($L$12-$K$12)/$K$12</f>
        <v>0.11018185026416034</v>
      </c>
      <c r="M19" s="853"/>
      <c r="N19" s="855"/>
      <c r="O19" s="855"/>
      <c r="P19" s="855"/>
      <c r="Q19" s="855"/>
      <c r="R19" s="855"/>
      <c r="S19" s="856"/>
      <c r="T19" s="933">
        <f>(T12-$S$12)/$S$12</f>
        <v>0.47059760264056982</v>
      </c>
      <c r="U19" s="853"/>
      <c r="V19" s="855"/>
      <c r="W19" s="855"/>
      <c r="X19" s="855"/>
      <c r="Y19" s="855"/>
      <c r="Z19" s="855"/>
      <c r="AA19" s="855"/>
      <c r="AB19" s="1253">
        <f>(AB12-AA12)/AA12</f>
        <v>-2.9601288763592428E-3</v>
      </c>
      <c r="AD19" s="345"/>
      <c r="AE19" s="341"/>
      <c r="AH19" s="1143" t="s">
        <v>3385</v>
      </c>
      <c r="AI19" s="853"/>
      <c r="AJ19" s="856"/>
      <c r="AK19" s="856"/>
      <c r="AL19" s="856"/>
      <c r="AM19" s="856"/>
      <c r="AN19" s="856"/>
      <c r="AO19" s="856"/>
      <c r="AP19" s="856">
        <f>L19</f>
        <v>0.11018185026416034</v>
      </c>
      <c r="AQ19" s="853"/>
      <c r="AR19" s="856"/>
      <c r="AS19" s="856"/>
      <c r="AT19" s="856"/>
      <c r="AU19" s="856"/>
      <c r="AV19" s="856"/>
      <c r="AW19" s="856"/>
      <c r="AX19" s="856">
        <f t="shared" si="25"/>
        <v>0.47059760264056982</v>
      </c>
      <c r="AY19" s="853"/>
      <c r="AZ19" s="856"/>
      <c r="BA19" s="856"/>
      <c r="BB19" s="856"/>
      <c r="BC19" s="856"/>
      <c r="BD19" s="856"/>
      <c r="BE19" s="856"/>
      <c r="BF19" s="1254">
        <f>AB19</f>
        <v>-2.9601288763592428E-3</v>
      </c>
    </row>
    <row r="20" spans="2:58" x14ac:dyDescent="0.3">
      <c r="B20" s="340"/>
      <c r="D20" s="1137"/>
      <c r="E20" s="1137"/>
      <c r="G20" s="1138"/>
      <c r="H20" s="1138"/>
      <c r="I20" s="1139"/>
      <c r="J20" s="1139"/>
      <c r="K20" s="1139"/>
      <c r="L20" s="1139"/>
      <c r="O20" s="1138"/>
      <c r="P20" s="1138"/>
      <c r="Q20" s="1138"/>
      <c r="R20" s="1138"/>
      <c r="S20" s="1138"/>
      <c r="T20" s="1140"/>
      <c r="W20" s="1138"/>
      <c r="X20" s="1138"/>
      <c r="Y20" s="1138"/>
      <c r="Z20" s="1138"/>
      <c r="AA20" s="1138"/>
      <c r="AB20" s="1140"/>
      <c r="AD20" s="345"/>
      <c r="AE20" s="341"/>
      <c r="AH20" s="1141"/>
      <c r="AI20" s="1138"/>
      <c r="AJ20" s="1138"/>
      <c r="AK20" s="1138"/>
      <c r="AL20" s="1138"/>
      <c r="AM20" s="1138"/>
      <c r="AN20" s="1138"/>
      <c r="AO20" s="1138"/>
      <c r="AP20" s="1138"/>
      <c r="AQ20" s="1138"/>
      <c r="AR20" s="1138"/>
      <c r="AS20" s="1138"/>
      <c r="AT20" s="1138"/>
      <c r="AU20" s="1138"/>
      <c r="AV20" s="1138"/>
      <c r="AW20" s="1138"/>
      <c r="AX20" s="1138"/>
      <c r="AY20" s="1138"/>
      <c r="AZ20" s="1138"/>
      <c r="BA20" s="1138"/>
      <c r="BB20" s="1138"/>
      <c r="BC20" s="1138"/>
      <c r="BD20" s="1138"/>
      <c r="BE20" s="1138"/>
      <c r="BF20" s="1138"/>
    </row>
    <row r="21" spans="2:58" x14ac:dyDescent="0.3">
      <c r="B21" s="340"/>
      <c r="Q21" s="859"/>
      <c r="AD21" s="860"/>
      <c r="AE21" s="861"/>
      <c r="AF21" s="859"/>
      <c r="AG21" s="859"/>
      <c r="AH21" s="859"/>
      <c r="AU21" s="1138"/>
      <c r="AV21" s="1138"/>
      <c r="AW21" s="1138"/>
      <c r="AX21" s="1138"/>
      <c r="BC21" s="349"/>
    </row>
    <row r="22" spans="2:58" ht="26.55" customHeight="1" x14ac:dyDescent="0.3">
      <c r="B22" s="340"/>
      <c r="C22" s="1387" t="s">
        <v>454</v>
      </c>
      <c r="D22" s="1387"/>
      <c r="E22" s="1387"/>
      <c r="F22" s="1387"/>
      <c r="G22" s="1387"/>
      <c r="I22" s="1399" t="s">
        <v>3420</v>
      </c>
      <c r="J22" s="1399"/>
      <c r="K22" s="1399"/>
      <c r="L22" s="1399"/>
      <c r="M22" s="1399"/>
      <c r="Q22" s="859"/>
      <c r="AD22" s="860"/>
      <c r="AE22" s="861"/>
      <c r="AF22" s="1388" t="s">
        <v>455</v>
      </c>
      <c r="AG22" s="1388"/>
      <c r="AH22" s="1388"/>
      <c r="AI22" s="1388"/>
      <c r="AJ22" s="1388"/>
      <c r="AL22" s="1399" t="s">
        <v>3421</v>
      </c>
      <c r="AM22" s="1399"/>
      <c r="AN22" s="1399"/>
      <c r="AO22" s="1399"/>
      <c r="AP22" s="1399"/>
      <c r="AQ22" s="863"/>
      <c r="AU22" s="1138"/>
      <c r="AV22" s="1138"/>
      <c r="AW22" s="1138"/>
      <c r="AX22" s="1138"/>
      <c r="BC22" s="349"/>
    </row>
    <row r="23" spans="2:58" ht="26.55" customHeight="1" x14ac:dyDescent="0.3">
      <c r="B23" s="340"/>
      <c r="I23" s="1399"/>
      <c r="J23" s="1399"/>
      <c r="K23" s="1399"/>
      <c r="L23" s="1399"/>
      <c r="M23" s="1399"/>
      <c r="Q23" s="859"/>
      <c r="R23" s="859"/>
      <c r="S23" s="859"/>
      <c r="T23" s="864"/>
      <c r="U23" s="864"/>
      <c r="V23" s="864"/>
      <c r="W23" s="859"/>
      <c r="X23" s="859"/>
      <c r="Y23" s="859"/>
      <c r="Z23" s="859"/>
      <c r="AA23" s="859"/>
      <c r="AB23" s="859"/>
      <c r="AC23" s="859"/>
      <c r="AD23" s="860"/>
      <c r="AE23" s="861"/>
      <c r="AL23" s="1399"/>
      <c r="AM23" s="1399"/>
      <c r="AN23" s="1399"/>
      <c r="AO23" s="1399"/>
      <c r="AP23" s="1399"/>
      <c r="AU23" s="1138"/>
      <c r="AV23" s="1138"/>
      <c r="AW23" s="1138"/>
      <c r="AX23" s="1138"/>
      <c r="BC23" s="349"/>
    </row>
    <row r="24" spans="2:58" x14ac:dyDescent="0.3">
      <c r="B24" s="340"/>
      <c r="I24" s="1295"/>
      <c r="J24" s="1295"/>
      <c r="K24" s="1295"/>
      <c r="L24" s="1295"/>
      <c r="M24" s="1295"/>
      <c r="Q24" s="859"/>
      <c r="R24" s="859"/>
      <c r="S24" s="859"/>
      <c r="T24" s="864"/>
      <c r="U24" s="864"/>
      <c r="V24" s="864"/>
      <c r="W24" s="859"/>
      <c r="X24" s="859"/>
      <c r="Y24" s="859"/>
      <c r="Z24" s="859"/>
      <c r="AA24" s="859"/>
      <c r="AB24" s="859"/>
      <c r="AC24" s="859"/>
      <c r="AD24" s="860"/>
      <c r="AE24" s="861"/>
      <c r="BC24" s="349"/>
    </row>
    <row r="25" spans="2:58" ht="43.95" customHeight="1" thickBot="1" x14ac:dyDescent="0.35">
      <c r="B25" s="340"/>
      <c r="C25" s="350"/>
      <c r="D25" s="350" t="s">
        <v>456</v>
      </c>
      <c r="E25" s="350" t="s">
        <v>457</v>
      </c>
      <c r="F25" s="350" t="s">
        <v>458</v>
      </c>
      <c r="G25" s="350" t="s">
        <v>459</v>
      </c>
      <c r="I25" s="1296"/>
      <c r="J25" s="1296"/>
      <c r="K25" s="1296"/>
      <c r="L25" s="1296"/>
      <c r="M25" s="1296"/>
      <c r="Q25" s="859"/>
      <c r="R25" s="859"/>
      <c r="S25" s="859"/>
      <c r="T25" s="864"/>
      <c r="U25" s="864"/>
      <c r="V25" s="864"/>
      <c r="W25" s="859"/>
      <c r="X25" s="859"/>
      <c r="Y25" s="859"/>
      <c r="Z25" s="859"/>
      <c r="AA25" s="859"/>
      <c r="AB25" s="859"/>
      <c r="AC25" s="859"/>
      <c r="AD25" s="860"/>
      <c r="AE25" s="861"/>
      <c r="AF25" s="350"/>
      <c r="AG25" s="350" t="s">
        <v>460</v>
      </c>
      <c r="AH25" s="350" t="s">
        <v>461</v>
      </c>
      <c r="AI25" s="350" t="s">
        <v>462</v>
      </c>
      <c r="AJ25" s="350" t="s">
        <v>463</v>
      </c>
      <c r="BC25" s="349"/>
    </row>
    <row r="26" spans="2:58" ht="15" thickBot="1" x14ac:dyDescent="0.35">
      <c r="B26" s="340"/>
      <c r="C26" s="363"/>
      <c r="D26" s="365" t="s">
        <v>30</v>
      </c>
      <c r="E26" s="351">
        <f>SUM(E27:E33)</f>
        <v>-1141</v>
      </c>
      <c r="F26" s="351">
        <f>SUM(F27:F33)</f>
        <v>-27</v>
      </c>
      <c r="G26" s="351">
        <f>SUM(G27:G33)</f>
        <v>-393</v>
      </c>
      <c r="I26" s="1400" t="s">
        <v>434</v>
      </c>
      <c r="J26" s="1401"/>
      <c r="K26" s="1401"/>
      <c r="L26" s="1401"/>
      <c r="M26" s="1402"/>
      <c r="P26" s="865"/>
      <c r="Q26" s="859"/>
      <c r="R26" s="859"/>
      <c r="S26" s="859"/>
      <c r="T26" s="864"/>
      <c r="U26" s="864"/>
      <c r="V26" s="864"/>
      <c r="W26" s="859"/>
      <c r="X26" s="859"/>
      <c r="Y26" s="859"/>
      <c r="Z26" s="859"/>
      <c r="AA26" s="859"/>
      <c r="AB26" s="859"/>
      <c r="AC26" s="859"/>
      <c r="AD26" s="860"/>
      <c r="AE26" s="861"/>
      <c r="AF26" s="363"/>
      <c r="AG26" s="365" t="str">
        <f t="shared" ref="AG26:AG33" si="40">D26</f>
        <v>Diamaré</v>
      </c>
      <c r="AH26" s="355">
        <f t="shared" ref="AH26:AH34" si="41">E26</f>
        <v>-1141</v>
      </c>
      <c r="AI26" s="355">
        <f t="shared" ref="AI26:AI34" si="42">F26</f>
        <v>-27</v>
      </c>
      <c r="AJ26" s="355">
        <f t="shared" ref="AJ26:AJ34" si="43">G26</f>
        <v>-393</v>
      </c>
      <c r="AL26" s="1400" t="s">
        <v>435</v>
      </c>
      <c r="AM26" s="1401"/>
      <c r="AN26" s="1401"/>
      <c r="AO26" s="1401"/>
      <c r="AP26" s="1402"/>
      <c r="BC26" s="349"/>
    </row>
    <row r="27" spans="2:58" ht="15" thickBot="1" x14ac:dyDescent="0.35">
      <c r="B27" s="340"/>
      <c r="C27" s="364">
        <v>1</v>
      </c>
      <c r="D27" s="360" t="s">
        <v>157</v>
      </c>
      <c r="E27" s="356">
        <f>SUMIFS(comparaison_samebasis_villages[actual idp_ind],comparaison_samebasis_villages[Adm3_name],D27) - SUMIFS(comparaison_samebasis_villages[previous idp_ind],comparaison_samebasis_villages[Adm3_name],D27)</f>
        <v>-76</v>
      </c>
      <c r="F27" s="356">
        <f>SUMIFS(comparaison_samebasis_villages[actual ref_ind],comparaison_samebasis_villages[Adm3_name],D27) - SUMIFS(comparaison_samebasis_villages[previous ref_ind],comparaison_samebasis_villages[Adm3_name],D27)</f>
        <v>0</v>
      </c>
      <c r="G27" s="356">
        <f>SUMIFS(comparaison_samebasis_villages[actual ret_ind],comparaison_samebasis_villages[Adm3_name],D27) - SUMIFS(comparaison_samebasis_villages[previous ret_ind],comparaison_samebasis_villages[Adm3_name],D27)</f>
        <v>-369</v>
      </c>
      <c r="I27" s="1146" t="s">
        <v>48</v>
      </c>
      <c r="J27" s="818" t="s">
        <v>464</v>
      </c>
      <c r="K27" s="818" t="s">
        <v>465</v>
      </c>
      <c r="L27" s="818" t="s">
        <v>466</v>
      </c>
      <c r="M27" s="818" t="s">
        <v>467</v>
      </c>
      <c r="Q27" s="859"/>
      <c r="R27" s="859"/>
      <c r="S27" s="859"/>
      <c r="T27" s="864"/>
      <c r="U27" s="864"/>
      <c r="V27" s="864"/>
      <c r="W27" s="859"/>
      <c r="X27" s="859"/>
      <c r="Y27" s="859"/>
      <c r="Z27" s="859"/>
      <c r="AA27" s="859"/>
      <c r="AB27" s="859"/>
      <c r="AC27" s="859"/>
      <c r="AD27" s="860"/>
      <c r="AE27" s="861"/>
      <c r="AF27" s="364">
        <f t="shared" ref="AF27:AF34" si="44">C27</f>
        <v>1</v>
      </c>
      <c r="AG27" s="360" t="str">
        <f t="shared" si="40"/>
        <v>Dargala</v>
      </c>
      <c r="AH27" s="357">
        <f t="shared" si="41"/>
        <v>-76</v>
      </c>
      <c r="AI27" s="357">
        <f t="shared" si="42"/>
        <v>0</v>
      </c>
      <c r="AJ27" s="357">
        <f t="shared" si="43"/>
        <v>-369</v>
      </c>
      <c r="AL27" s="1146" t="s">
        <v>51</v>
      </c>
      <c r="AM27" s="818" t="s">
        <v>468</v>
      </c>
      <c r="AN27" s="818" t="s">
        <v>469</v>
      </c>
      <c r="AO27" s="818" t="s">
        <v>470</v>
      </c>
      <c r="AP27" s="818" t="s">
        <v>471</v>
      </c>
      <c r="BC27" s="349"/>
    </row>
    <row r="28" spans="2:58" x14ac:dyDescent="0.3">
      <c r="B28" s="340"/>
      <c r="C28" s="364">
        <v>2</v>
      </c>
      <c r="D28" s="366" t="s">
        <v>158</v>
      </c>
      <c r="E28" s="358">
        <f>SUMIFS(comparaison_samebasis_villages[actual idp_ind],comparaison_samebasis_villages[Adm3_name],D28) - SUMIFS(comparaison_samebasis_villages[previous idp_ind],comparaison_samebasis_villages[Adm3_name],D28)</f>
        <v>6</v>
      </c>
      <c r="F28" s="358">
        <f>SUMIFS(comparaison_samebasis_villages[actual ref_ind],comparaison_samebasis_villages[Adm3_name],D28) - SUMIFS(comparaison_samebasis_villages[previous ref_ind],comparaison_samebasis_villages[Adm3_name],D28)</f>
        <v>0</v>
      </c>
      <c r="G28" s="358">
        <f>SUMIFS(comparaison_samebasis_villages[actual ret_ind],comparaison_samebasis_villages[Adm3_name],D28) - SUMIFS(comparaison_samebasis_villages[previous ret_ind],comparaison_samebasis_villages[Adm3_name],D28)</f>
        <v>0</v>
      </c>
      <c r="I28" s="367" t="s">
        <v>30</v>
      </c>
      <c r="J28" s="368">
        <f>SUMIFS(comparaison_samebasis_villages[actual idp_ind],comparaison_samebasis_villages[Adm2_name],$I28)</f>
        <v>12494</v>
      </c>
      <c r="K28" s="368">
        <f>SUMIFS(comparaison_samebasis_villages[previous idp_ind],comparaison_samebasis_villages[Adm2_name],$I28)</f>
        <v>15943</v>
      </c>
      <c r="L28" s="369">
        <f t="shared" ref="L28:L34" si="45">($J28-$K28)/$K28</f>
        <v>-0.21633318697861131</v>
      </c>
      <c r="M28" s="368">
        <f t="shared" ref="M28:M34" si="46">$J28-$K28</f>
        <v>-3449</v>
      </c>
      <c r="P28" s="865"/>
      <c r="Q28" s="859"/>
      <c r="R28" s="859"/>
      <c r="S28" s="859"/>
      <c r="T28" s="864"/>
      <c r="U28" s="864"/>
      <c r="V28" s="864"/>
      <c r="W28" s="859"/>
      <c r="X28" s="859"/>
      <c r="Y28" s="859"/>
      <c r="Z28" s="859"/>
      <c r="AA28" s="859"/>
      <c r="AB28" s="859"/>
      <c r="AC28" s="859"/>
      <c r="AD28" s="860"/>
      <c r="AE28" s="861"/>
      <c r="AF28" s="364">
        <f t="shared" si="44"/>
        <v>2</v>
      </c>
      <c r="AG28" s="366" t="str">
        <f t="shared" si="40"/>
        <v>Gazawa</v>
      </c>
      <c r="AH28" s="359">
        <f t="shared" si="41"/>
        <v>6</v>
      </c>
      <c r="AI28" s="359">
        <f t="shared" si="42"/>
        <v>0</v>
      </c>
      <c r="AJ28" s="359">
        <f t="shared" si="43"/>
        <v>0</v>
      </c>
      <c r="AL28" s="367" t="s">
        <v>30</v>
      </c>
      <c r="AM28" s="370">
        <f t="shared" ref="AM28:AM33" si="47">J28</f>
        <v>12494</v>
      </c>
      <c r="AN28" s="370">
        <f t="shared" ref="AN28:AP33" si="48">K28</f>
        <v>15943</v>
      </c>
      <c r="AO28" s="1147">
        <f>L28</f>
        <v>-0.21633318697861131</v>
      </c>
      <c r="AP28" s="370">
        <f t="shared" si="48"/>
        <v>-3449</v>
      </c>
      <c r="BC28" s="349"/>
    </row>
    <row r="29" spans="2:58" x14ac:dyDescent="0.3">
      <c r="B29" s="340"/>
      <c r="C29" s="364">
        <v>3</v>
      </c>
      <c r="D29" s="360" t="s">
        <v>159</v>
      </c>
      <c r="E29" s="356">
        <f>SUMIFS(comparaison_samebasis_villages[actual idp_ind],comparaison_samebasis_villages[Adm3_name],D29) - SUMIFS(comparaison_samebasis_villages[previous idp_ind],comparaison_samebasis_villages[Adm3_name],D29)</f>
        <v>-729</v>
      </c>
      <c r="F29" s="356">
        <f>SUMIFS(comparaison_samebasis_villages[actual ref_ind],comparaison_samebasis_villages[Adm3_name],D29) - SUMIFS(comparaison_samebasis_villages[previous ref_ind],comparaison_samebasis_villages[Adm3_name],D29)</f>
        <v>0</v>
      </c>
      <c r="G29" s="356">
        <f>SUMIFS(comparaison_samebasis_villages[actual ret_ind],comparaison_samebasis_villages[Adm3_name],D29) - SUMIFS(comparaison_samebasis_villages[previous ret_ind],comparaison_samebasis_villages[Adm3_name],D29)</f>
        <v>0</v>
      </c>
      <c r="I29" s="371" t="s">
        <v>31</v>
      </c>
      <c r="J29" s="372">
        <f>SUMIFS(comparaison_samebasis_villages[actual idp_ind],comparaison_samebasis_villages[Adm2_name],$I29)</f>
        <v>141285</v>
      </c>
      <c r="K29" s="372">
        <f>SUMIFS(comparaison_samebasis_villages[previous idp_ind],comparaison_samebasis_villages[Adm2_name],$I29)</f>
        <v>131419</v>
      </c>
      <c r="L29" s="373">
        <f t="shared" si="45"/>
        <v>7.5072858566873887E-2</v>
      </c>
      <c r="M29" s="372">
        <f t="shared" si="46"/>
        <v>9866</v>
      </c>
      <c r="Q29" s="859"/>
      <c r="R29" s="859"/>
      <c r="S29" s="859"/>
      <c r="T29" s="864"/>
      <c r="U29" s="864"/>
      <c r="V29" s="864"/>
      <c r="W29" s="859"/>
      <c r="X29" s="859"/>
      <c r="Y29" s="859"/>
      <c r="Z29" s="859"/>
      <c r="AA29" s="859"/>
      <c r="AB29" s="859"/>
      <c r="AC29" s="859"/>
      <c r="AD29" s="860"/>
      <c r="AE29" s="861"/>
      <c r="AF29" s="364">
        <f t="shared" si="44"/>
        <v>3</v>
      </c>
      <c r="AG29" s="360" t="str">
        <f t="shared" si="40"/>
        <v>Maroua I</v>
      </c>
      <c r="AH29" s="357">
        <f t="shared" si="41"/>
        <v>-729</v>
      </c>
      <c r="AI29" s="357">
        <f t="shared" si="42"/>
        <v>0</v>
      </c>
      <c r="AJ29" s="357">
        <f t="shared" si="43"/>
        <v>0</v>
      </c>
      <c r="AL29" s="371" t="s">
        <v>31</v>
      </c>
      <c r="AM29" s="374">
        <f t="shared" si="47"/>
        <v>141285</v>
      </c>
      <c r="AN29" s="374">
        <f t="shared" si="48"/>
        <v>131419</v>
      </c>
      <c r="AO29" s="1148">
        <f t="shared" si="48"/>
        <v>7.5072858566873887E-2</v>
      </c>
      <c r="AP29" s="374">
        <f t="shared" si="48"/>
        <v>9866</v>
      </c>
      <c r="BC29" s="349"/>
    </row>
    <row r="30" spans="2:58" x14ac:dyDescent="0.3">
      <c r="B30" s="340"/>
      <c r="C30" s="364">
        <v>4</v>
      </c>
      <c r="D30" s="366" t="s">
        <v>160</v>
      </c>
      <c r="E30" s="358">
        <f>SUMIFS(comparaison_samebasis_villages[actual idp_ind],comparaison_samebasis_villages[Adm3_name],D30) - SUMIFS(comparaison_samebasis_villages[previous idp_ind],comparaison_samebasis_villages[Adm3_name],D30)</f>
        <v>-83</v>
      </c>
      <c r="F30" s="358">
        <f>SUMIFS(comparaison_samebasis_villages[actual ref_ind],comparaison_samebasis_villages[Adm3_name],D30) - SUMIFS(comparaison_samebasis_villages[previous ref_ind],comparaison_samebasis_villages[Adm3_name],D30)</f>
        <v>0</v>
      </c>
      <c r="G30" s="358">
        <f>SUMIFS(comparaison_samebasis_villages[actual ret_ind],comparaison_samebasis_villages[Adm3_name],D30) - SUMIFS(comparaison_samebasis_villages[previous ret_ind],comparaison_samebasis_villages[Adm3_name],D30)</f>
        <v>0</v>
      </c>
      <c r="I30" s="367" t="s">
        <v>32</v>
      </c>
      <c r="J30" s="368">
        <f>SUMIFS(comparaison_samebasis_villages[actual idp_ind],comparaison_samebasis_villages[Adm2_name],$I30)</f>
        <v>22132</v>
      </c>
      <c r="K30" s="368">
        <f>SUMIFS(comparaison_samebasis_villages[previous idp_ind],comparaison_samebasis_villages[Adm2_name],$I30)</f>
        <v>21051</v>
      </c>
      <c r="L30" s="369">
        <f t="shared" si="45"/>
        <v>5.1351479739679823E-2</v>
      </c>
      <c r="M30" s="368">
        <f t="shared" si="46"/>
        <v>1081</v>
      </c>
      <c r="P30" s="865"/>
      <c r="Q30" s="859"/>
      <c r="R30" s="859"/>
      <c r="S30" s="859"/>
      <c r="T30" s="864"/>
      <c r="U30" s="864"/>
      <c r="V30" s="864"/>
      <c r="W30" s="859"/>
      <c r="X30" s="859"/>
      <c r="Y30" s="859"/>
      <c r="Z30" s="859"/>
      <c r="AA30" s="859"/>
      <c r="AB30" s="859"/>
      <c r="AC30" s="859"/>
      <c r="AD30" s="860"/>
      <c r="AE30" s="861"/>
      <c r="AF30" s="364">
        <f t="shared" si="44"/>
        <v>4</v>
      </c>
      <c r="AG30" s="375" t="str">
        <f t="shared" si="40"/>
        <v>Maroua II</v>
      </c>
      <c r="AH30" s="376">
        <f t="shared" si="41"/>
        <v>-83</v>
      </c>
      <c r="AI30" s="376">
        <f t="shared" si="42"/>
        <v>0</v>
      </c>
      <c r="AJ30" s="376">
        <f t="shared" si="43"/>
        <v>0</v>
      </c>
      <c r="AL30" s="367" t="s">
        <v>32</v>
      </c>
      <c r="AM30" s="370">
        <f t="shared" si="47"/>
        <v>22132</v>
      </c>
      <c r="AN30" s="370">
        <f t="shared" si="48"/>
        <v>21051</v>
      </c>
      <c r="AO30" s="1147">
        <f t="shared" si="48"/>
        <v>5.1351479739679823E-2</v>
      </c>
      <c r="AP30" s="370">
        <f t="shared" si="48"/>
        <v>1081</v>
      </c>
      <c r="BC30" s="349"/>
    </row>
    <row r="31" spans="2:58" x14ac:dyDescent="0.3">
      <c r="B31" s="340"/>
      <c r="C31" s="364">
        <v>5</v>
      </c>
      <c r="D31" s="360" t="s">
        <v>161</v>
      </c>
      <c r="E31" s="356">
        <f>SUMIFS(comparaison_samebasis_villages[actual idp_ind],comparaison_samebasis_villages[Adm3_name],D31) - SUMIFS(comparaison_samebasis_villages[previous idp_ind],comparaison_samebasis_villages[Adm3_name],D31)</f>
        <v>-158</v>
      </c>
      <c r="F31" s="356">
        <f>SUMIFS(comparaison_samebasis_villages[actual ref_ind],comparaison_samebasis_villages[Adm3_name],D31) - SUMIFS(comparaison_samebasis_villages[previous ref_ind],comparaison_samebasis_villages[Adm3_name],D31)</f>
        <v>0</v>
      </c>
      <c r="G31" s="356">
        <f>SUMIFS(comparaison_samebasis_villages[actual ret_ind],comparaison_samebasis_villages[Adm3_name],D31) - SUMIFS(comparaison_samebasis_villages[previous ret_ind],comparaison_samebasis_villages[Adm3_name],D31)</f>
        <v>0</v>
      </c>
      <c r="I31" s="371" t="s">
        <v>33</v>
      </c>
      <c r="J31" s="372">
        <f>SUMIFS(comparaison_samebasis_villages[actual idp_ind],comparaison_samebasis_villages[Adm2_name],$I31)</f>
        <v>4574</v>
      </c>
      <c r="K31" s="372">
        <f>SUMIFS(comparaison_samebasis_villages[previous idp_ind],comparaison_samebasis_villages[Adm2_name],$I31)</f>
        <v>2453</v>
      </c>
      <c r="L31" s="373">
        <f t="shared" si="45"/>
        <v>0.86465552384834898</v>
      </c>
      <c r="M31" s="372">
        <f t="shared" si="46"/>
        <v>2121</v>
      </c>
      <c r="Q31" s="859"/>
      <c r="R31" s="859"/>
      <c r="S31" s="859"/>
      <c r="T31" s="864"/>
      <c r="U31" s="864"/>
      <c r="V31" s="864"/>
      <c r="W31" s="859"/>
      <c r="X31" s="859"/>
      <c r="Y31" s="859"/>
      <c r="Z31" s="859"/>
      <c r="AA31" s="859"/>
      <c r="AB31" s="859"/>
      <c r="AC31" s="859"/>
      <c r="AD31" s="860"/>
      <c r="AE31" s="861"/>
      <c r="AF31" s="364">
        <f t="shared" si="44"/>
        <v>5</v>
      </c>
      <c r="AG31" s="360" t="str">
        <f t="shared" si="40"/>
        <v>Maroua III</v>
      </c>
      <c r="AH31" s="357">
        <f t="shared" si="41"/>
        <v>-158</v>
      </c>
      <c r="AI31" s="357">
        <f t="shared" si="42"/>
        <v>0</v>
      </c>
      <c r="AJ31" s="357">
        <f t="shared" si="43"/>
        <v>0</v>
      </c>
      <c r="AL31" s="371" t="s">
        <v>33</v>
      </c>
      <c r="AM31" s="374">
        <f t="shared" si="47"/>
        <v>4574</v>
      </c>
      <c r="AN31" s="374">
        <f t="shared" si="48"/>
        <v>2453</v>
      </c>
      <c r="AO31" s="1148">
        <f t="shared" si="48"/>
        <v>0.86465552384834898</v>
      </c>
      <c r="AP31" s="374">
        <f t="shared" si="48"/>
        <v>2121</v>
      </c>
      <c r="BC31" s="349"/>
    </row>
    <row r="32" spans="2:58" x14ac:dyDescent="0.3">
      <c r="B32" s="340"/>
      <c r="C32" s="364">
        <v>6</v>
      </c>
      <c r="D32" s="366" t="s">
        <v>163</v>
      </c>
      <c r="E32" s="366">
        <f>SUMIFS(comparaison_samebasis_villages[actual idp_ind],comparaison_samebasis_villages[Adm3_name],D32) - SUMIFS(comparaison_samebasis_villages[previous idp_ind],comparaison_samebasis_villages[Adm3_name],D32)</f>
        <v>0</v>
      </c>
      <c r="F32" s="366">
        <f>SUMIFS(comparaison_samebasis_villages[actual ref_ind],comparaison_samebasis_villages[Adm3_name],D32) - SUMIFS(comparaison_samebasis_villages[previous ref_ind],comparaison_samebasis_villages[Adm3_name],D32)</f>
        <v>0</v>
      </c>
      <c r="G32" s="366">
        <f>SUMIFS(comparaison_samebasis_villages[actual ret_ind],comparaison_samebasis_villages[Adm3_name],D32) - SUMIFS(comparaison_samebasis_villages[previous ret_ind],comparaison_samebasis_villages[Adm3_name],D32)</f>
        <v>0</v>
      </c>
      <c r="I32" s="352" t="s">
        <v>34</v>
      </c>
      <c r="J32" s="353">
        <f>SUMIFS(comparaison_samebasis_villages[actual idp_ind],comparaison_samebasis_villages[Adm2_name],$I32)</f>
        <v>124445</v>
      </c>
      <c r="K32" s="353">
        <f>SUMIFS(comparaison_samebasis_villages[previous idp_ind],comparaison_samebasis_villages[Adm2_name],$I32)</f>
        <v>128876</v>
      </c>
      <c r="L32" s="377">
        <f t="shared" si="45"/>
        <v>-3.4381886464508522E-2</v>
      </c>
      <c r="M32" s="353">
        <f t="shared" si="46"/>
        <v>-4431</v>
      </c>
      <c r="P32" s="865"/>
      <c r="Q32" s="859"/>
      <c r="R32" s="859"/>
      <c r="S32" s="859"/>
      <c r="T32" s="864"/>
      <c r="U32" s="864"/>
      <c r="V32" s="864"/>
      <c r="W32" s="859"/>
      <c r="X32" s="859"/>
      <c r="Y32" s="859"/>
      <c r="Z32" s="859"/>
      <c r="AA32" s="859"/>
      <c r="AB32" s="859"/>
      <c r="AC32" s="859"/>
      <c r="AD32" s="860"/>
      <c r="AE32" s="861"/>
      <c r="AF32" s="364">
        <f t="shared" si="44"/>
        <v>6</v>
      </c>
      <c r="AG32" s="360" t="str">
        <f t="shared" si="40"/>
        <v>Méri</v>
      </c>
      <c r="AH32" s="357">
        <f t="shared" si="41"/>
        <v>0</v>
      </c>
      <c r="AI32" s="357">
        <f t="shared" si="42"/>
        <v>0</v>
      </c>
      <c r="AJ32" s="357">
        <f t="shared" si="43"/>
        <v>0</v>
      </c>
      <c r="AL32" s="352" t="s">
        <v>34</v>
      </c>
      <c r="AM32" s="354">
        <f t="shared" si="47"/>
        <v>124445</v>
      </c>
      <c r="AN32" s="354">
        <f t="shared" si="48"/>
        <v>128876</v>
      </c>
      <c r="AO32" s="1149">
        <f t="shared" si="48"/>
        <v>-3.4381886464508522E-2</v>
      </c>
      <c r="AP32" s="354">
        <f t="shared" si="48"/>
        <v>-4431</v>
      </c>
      <c r="BC32" s="349"/>
    </row>
    <row r="33" spans="2:55" x14ac:dyDescent="0.3">
      <c r="B33" s="340"/>
      <c r="C33" s="364">
        <v>7</v>
      </c>
      <c r="D33" s="360" t="s">
        <v>162</v>
      </c>
      <c r="E33" s="356">
        <f>SUMIFS(comparaison_samebasis_villages[actual idp_ind],comparaison_samebasis_villages[Adm3_name],D33) - SUMIFS(comparaison_samebasis_villages[previous idp_ind],comparaison_samebasis_villages[Adm3_name],D33)</f>
        <v>-101</v>
      </c>
      <c r="F33" s="356">
        <f>SUMIFS(comparaison_samebasis_villages[actual ref_ind],comparaison_samebasis_villages[Adm3_name],D33) - SUMIFS(comparaison_samebasis_villages[previous ref_ind],comparaison_samebasis_villages[Adm3_name],D33)</f>
        <v>-27</v>
      </c>
      <c r="G33" s="356">
        <f>SUMIFS(comparaison_samebasis_villages[actual ret_ind],comparaison_samebasis_villages[Adm3_name],D33) - SUMIFS(comparaison_samebasis_villages[previous ret_ind],comparaison_samebasis_villages[Adm3_name],D33)</f>
        <v>-24</v>
      </c>
      <c r="I33" s="371" t="s">
        <v>35</v>
      </c>
      <c r="J33" s="372">
        <f>SUMIFS(comparaison_samebasis_villages[actual idp_ind],comparaison_samebasis_villages[Adm2_name],$I33)</f>
        <v>99172</v>
      </c>
      <c r="K33" s="372">
        <f>SUMIFS(comparaison_samebasis_villages[previous idp_ind],comparaison_samebasis_villages[Adm2_name],$I33)</f>
        <v>85630</v>
      </c>
      <c r="L33" s="373">
        <f t="shared" si="45"/>
        <v>0.15814550975125541</v>
      </c>
      <c r="M33" s="372">
        <f t="shared" si="46"/>
        <v>13542</v>
      </c>
      <c r="Q33" s="859"/>
      <c r="R33" s="859"/>
      <c r="S33" s="859"/>
      <c r="T33" s="864"/>
      <c r="U33" s="864"/>
      <c r="V33" s="864"/>
      <c r="W33" s="859"/>
      <c r="X33" s="859"/>
      <c r="Y33" s="859"/>
      <c r="Z33" s="859"/>
      <c r="AA33" s="859"/>
      <c r="AB33" s="859"/>
      <c r="AC33" s="859"/>
      <c r="AD33" s="860"/>
      <c r="AE33" s="861"/>
      <c r="AF33" s="364">
        <f t="shared" si="44"/>
        <v>7</v>
      </c>
      <c r="AG33" s="375" t="str">
        <f t="shared" si="40"/>
        <v>Petté</v>
      </c>
      <c r="AH33" s="376">
        <f t="shared" si="41"/>
        <v>-101</v>
      </c>
      <c r="AI33" s="376">
        <f t="shared" si="42"/>
        <v>-27</v>
      </c>
      <c r="AJ33" s="376">
        <f t="shared" si="43"/>
        <v>-24</v>
      </c>
      <c r="AL33" s="371" t="s">
        <v>35</v>
      </c>
      <c r="AM33" s="374">
        <f t="shared" si="47"/>
        <v>99172</v>
      </c>
      <c r="AN33" s="374">
        <f t="shared" si="48"/>
        <v>85630</v>
      </c>
      <c r="AO33" s="1148">
        <f t="shared" si="48"/>
        <v>0.15814550975125541</v>
      </c>
      <c r="AP33" s="374">
        <f t="shared" si="48"/>
        <v>13542</v>
      </c>
      <c r="BC33" s="349"/>
    </row>
    <row r="34" spans="2:55" ht="15" thickBot="1" x14ac:dyDescent="0.35">
      <c r="B34" s="340"/>
      <c r="C34" s="364">
        <v>8</v>
      </c>
      <c r="D34" s="366" t="s">
        <v>156</v>
      </c>
      <c r="E34" s="366">
        <f>SUMIFS(comparaison_samebasis_villages[actual idp_ind],comparaison_samebasis_villages[Adm3_name],D34) - SUMIFS(comparaison_samebasis_villages[previous idp_ind],comparaison_samebasis_villages[Adm3_name],D34)</f>
        <v>-2308</v>
      </c>
      <c r="F34" s="366">
        <f>SUMIFS(comparaison_samebasis_villages[actual ref_ind],comparaison_samebasis_villages[Adm3_name],D34) - SUMIFS(comparaison_samebasis_villages[previous ref_ind],comparaison_samebasis_villages[Adm3_name],D34)</f>
        <v>0</v>
      </c>
      <c r="G34" s="366">
        <f>SUMIFS(comparaison_samebasis_villages[actual ret_ind],comparaison_samebasis_villages[Adm3_name],D34) - SUMIFS(comparaison_samebasis_villages[previous ret_ind],comparaison_samebasis_villages[Adm3_name],D34)</f>
        <v>0</v>
      </c>
      <c r="I34" s="378" t="s">
        <v>25</v>
      </c>
      <c r="J34" s="379">
        <f>SUM(J28:J33)</f>
        <v>404102</v>
      </c>
      <c r="K34" s="379">
        <f>K28+K29+K30+K31+K32+K33</f>
        <v>385372</v>
      </c>
      <c r="L34" s="380">
        <f t="shared" si="45"/>
        <v>4.8602389379612428E-2</v>
      </c>
      <c r="M34" s="379">
        <f t="shared" si="46"/>
        <v>18730</v>
      </c>
      <c r="P34" s="865"/>
      <c r="Q34" s="859"/>
      <c r="R34" s="859"/>
      <c r="S34" s="859"/>
      <c r="T34" s="864"/>
      <c r="U34" s="864"/>
      <c r="V34" s="864"/>
      <c r="W34" s="859"/>
      <c r="X34" s="859"/>
      <c r="Y34" s="859"/>
      <c r="Z34" s="859"/>
      <c r="AA34" s="859"/>
      <c r="AB34" s="859"/>
      <c r="AC34" s="859"/>
      <c r="AD34" s="860"/>
      <c r="AE34" s="861"/>
      <c r="AF34" s="364">
        <f t="shared" si="44"/>
        <v>8</v>
      </c>
      <c r="AG34" s="341" t="s">
        <v>156</v>
      </c>
      <c r="AH34" s="376">
        <f t="shared" si="41"/>
        <v>-2308</v>
      </c>
      <c r="AI34" s="376">
        <f t="shared" si="42"/>
        <v>0</v>
      </c>
      <c r="AJ34" s="376">
        <f t="shared" si="43"/>
        <v>0</v>
      </c>
      <c r="AL34" s="378" t="s">
        <v>25</v>
      </c>
      <c r="AM34" s="381">
        <f>SUM(AM28:AM33)</f>
        <v>404102</v>
      </c>
      <c r="AN34" s="381">
        <f>AN28+AN29+AN30+AN31+AN32+AN33</f>
        <v>385372</v>
      </c>
      <c r="AO34" s="382">
        <f>($AM34-$AN34)/$AN34</f>
        <v>4.8602389379612428E-2</v>
      </c>
      <c r="AP34" s="381">
        <f>$AM34-$AN34</f>
        <v>18730</v>
      </c>
      <c r="BC34" s="349"/>
    </row>
    <row r="35" spans="2:55" x14ac:dyDescent="0.3">
      <c r="B35" s="340"/>
      <c r="C35" s="363" t="s">
        <v>43</v>
      </c>
      <c r="D35" s="365" t="s">
        <v>31</v>
      </c>
      <c r="E35" s="351">
        <f>SUM(E36:E45)</f>
        <v>9866</v>
      </c>
      <c r="F35" s="351">
        <f>SUM(F36:F45)</f>
        <v>-2666</v>
      </c>
      <c r="G35" s="351">
        <f>SUM(G36:G45)</f>
        <v>-53497</v>
      </c>
      <c r="Q35" s="859"/>
      <c r="R35" s="859"/>
      <c r="S35" s="859"/>
      <c r="T35" s="864"/>
      <c r="U35" s="864"/>
      <c r="V35" s="864"/>
      <c r="W35" s="859"/>
      <c r="X35" s="859"/>
      <c r="Y35" s="859"/>
      <c r="Z35" s="859"/>
      <c r="AA35" s="859"/>
      <c r="AB35" s="859"/>
      <c r="AC35" s="859"/>
      <c r="AD35" s="860"/>
      <c r="AE35" s="861"/>
      <c r="AF35" s="363" t="str">
        <f t="shared" ref="AF35:AF72" si="49">C35</f>
        <v xml:space="preserve"> </v>
      </c>
      <c r="AG35" s="365" t="str">
        <f t="shared" ref="AG35:AG72" si="50">D35</f>
        <v>Logone-Et-Chari</v>
      </c>
      <c r="AH35" s="355">
        <f t="shared" ref="AH35:AH72" si="51">E35</f>
        <v>9866</v>
      </c>
      <c r="AI35" s="355">
        <f t="shared" ref="AI35:AI72" si="52">F35</f>
        <v>-2666</v>
      </c>
      <c r="AJ35" s="355">
        <f t="shared" ref="AJ35:AJ72" si="53">G35</f>
        <v>-53497</v>
      </c>
      <c r="BC35" s="349"/>
    </row>
    <row r="36" spans="2:55" x14ac:dyDescent="0.3">
      <c r="B36" s="340"/>
      <c r="C36" s="364">
        <v>9</v>
      </c>
      <c r="D36" s="360" t="s">
        <v>164</v>
      </c>
      <c r="E36" s="356">
        <f>SUMIFS(comparaison_samebasis_villages[actual idp_ind],comparaison_samebasis_villages[Adm3_name],D36) - SUMIFS(comparaison_samebasis_villages[previous idp_ind],comparaison_samebasis_villages[Adm3_name],D36)</f>
        <v>938</v>
      </c>
      <c r="F36" s="356">
        <f>SUMIFS(comparaison_samebasis_villages[actual ref_ind],comparaison_samebasis_villages[Adm3_name],D36) - SUMIFS(comparaison_samebasis_villages[previous ref_ind],comparaison_samebasis_villages[Adm3_name],D36)</f>
        <v>304</v>
      </c>
      <c r="G36" s="356">
        <f>SUMIFS(comparaison_samebasis_villages[actual ret_ind],comparaison_samebasis_villages[Adm3_name],D36) - SUMIFS(comparaison_samebasis_villages[previous ret_ind],comparaison_samebasis_villages[Adm3_name],D36)</f>
        <v>-968</v>
      </c>
      <c r="Q36" s="859"/>
      <c r="R36" s="859"/>
      <c r="S36" s="859"/>
      <c r="T36" s="864"/>
      <c r="U36" s="864"/>
      <c r="V36" s="864"/>
      <c r="W36" s="859"/>
      <c r="X36" s="859"/>
      <c r="Y36" s="859"/>
      <c r="Z36" s="859"/>
      <c r="AA36" s="859"/>
      <c r="AB36" s="859"/>
      <c r="AC36" s="859"/>
      <c r="AD36" s="860"/>
      <c r="AE36" s="861"/>
      <c r="AF36" s="364">
        <f t="shared" si="49"/>
        <v>9</v>
      </c>
      <c r="AG36" s="360" t="str">
        <f t="shared" si="50"/>
        <v>Blangoua</v>
      </c>
      <c r="AH36" s="357">
        <f t="shared" si="51"/>
        <v>938</v>
      </c>
      <c r="AI36" s="357">
        <f t="shared" si="52"/>
        <v>304</v>
      </c>
      <c r="AJ36" s="357">
        <f t="shared" si="53"/>
        <v>-968</v>
      </c>
      <c r="BC36" s="349"/>
    </row>
    <row r="37" spans="2:55" ht="15" customHeight="1" x14ac:dyDescent="0.3">
      <c r="B37" s="340"/>
      <c r="C37" s="364">
        <v>10</v>
      </c>
      <c r="D37" s="366" t="s">
        <v>165</v>
      </c>
      <c r="E37" s="358">
        <f>SUMIFS(comparaison_samebasis_villages[actual idp_ind],comparaison_samebasis_villages[Adm3_name],D37) - SUMIFS(comparaison_samebasis_villages[previous idp_ind],comparaison_samebasis_villages[Adm3_name],D37)</f>
        <v>131</v>
      </c>
      <c r="F37" s="358">
        <f>SUMIFS(comparaison_samebasis_villages[actual ref_ind],comparaison_samebasis_villages[Adm3_name],D37) - SUMIFS(comparaison_samebasis_villages[previous ref_ind],comparaison_samebasis_villages[Adm3_name],D37)</f>
        <v>-296</v>
      </c>
      <c r="G37" s="358">
        <f>SUMIFS(comparaison_samebasis_villages[actual ret_ind],comparaison_samebasis_villages[Adm3_name],D37) - SUMIFS(comparaison_samebasis_villages[previous ret_ind],comparaison_samebasis_villages[Adm3_name],D37)</f>
        <v>-359</v>
      </c>
      <c r="M37" s="859"/>
      <c r="N37" s="866"/>
      <c r="O37" s="867"/>
      <c r="P37" s="867"/>
      <c r="Q37" s="859"/>
      <c r="R37" s="859"/>
      <c r="S37" s="859"/>
      <c r="T37" s="864"/>
      <c r="U37" s="864"/>
      <c r="V37" s="864"/>
      <c r="W37" s="859"/>
      <c r="X37" s="859"/>
      <c r="Y37" s="859"/>
      <c r="Z37" s="859"/>
      <c r="AA37" s="859"/>
      <c r="AB37" s="859"/>
      <c r="AC37" s="859"/>
      <c r="AD37" s="860"/>
      <c r="AE37" s="861"/>
      <c r="AF37" s="364">
        <f t="shared" si="49"/>
        <v>10</v>
      </c>
      <c r="AG37" s="366" t="str">
        <f t="shared" si="50"/>
        <v>Darak</v>
      </c>
      <c r="AH37" s="359">
        <f t="shared" si="51"/>
        <v>131</v>
      </c>
      <c r="AI37" s="359">
        <f t="shared" si="52"/>
        <v>-296</v>
      </c>
      <c r="AJ37" s="359">
        <f t="shared" si="53"/>
        <v>-359</v>
      </c>
      <c r="AP37" s="859"/>
      <c r="AQ37" s="866"/>
      <c r="AR37" s="867"/>
      <c r="BC37" s="349"/>
    </row>
    <row r="38" spans="2:55" ht="15" customHeight="1" x14ac:dyDescent="0.3">
      <c r="B38" s="340"/>
      <c r="C38" s="364">
        <v>11</v>
      </c>
      <c r="D38" s="360" t="s">
        <v>166</v>
      </c>
      <c r="E38" s="356">
        <f>SUMIFS(comparaison_samebasis_villages[actual idp_ind],comparaison_samebasis_villages[Adm3_name],D38) - SUMIFS(comparaison_samebasis_villages[previous idp_ind],comparaison_samebasis_villages[Adm3_name],D38)</f>
        <v>467</v>
      </c>
      <c r="F38" s="356">
        <f>SUMIFS(comparaison_samebasis_villages[actual ref_ind],comparaison_samebasis_villages[Adm3_name],D38) - SUMIFS(comparaison_samebasis_villages[previous ref_ind],comparaison_samebasis_villages[Adm3_name],D38)</f>
        <v>-356</v>
      </c>
      <c r="G38" s="356">
        <f>SUMIFS(comparaison_samebasis_villages[actual ret_ind],comparaison_samebasis_villages[Adm3_name],D38) - SUMIFS(comparaison_samebasis_villages[previous ret_ind],comparaison_samebasis_villages[Adm3_name],D38)</f>
        <v>-11094</v>
      </c>
      <c r="M38" s="859"/>
      <c r="N38" s="866"/>
      <c r="O38" s="867"/>
      <c r="P38" s="867"/>
      <c r="Q38" s="859"/>
      <c r="R38" s="859"/>
      <c r="S38" s="859"/>
      <c r="T38" s="864"/>
      <c r="U38" s="864"/>
      <c r="V38" s="864"/>
      <c r="W38" s="859"/>
      <c r="X38" s="859"/>
      <c r="Y38" s="859"/>
      <c r="Z38" s="859"/>
      <c r="AA38" s="859"/>
      <c r="AB38" s="859"/>
      <c r="AC38" s="859"/>
      <c r="AD38" s="860"/>
      <c r="AE38" s="861"/>
      <c r="AF38" s="364">
        <f t="shared" si="49"/>
        <v>11</v>
      </c>
      <c r="AG38" s="360" t="str">
        <f t="shared" si="50"/>
        <v>Fotokol</v>
      </c>
      <c r="AH38" s="357">
        <f t="shared" si="51"/>
        <v>467</v>
      </c>
      <c r="AI38" s="357">
        <f t="shared" si="52"/>
        <v>-356</v>
      </c>
      <c r="AJ38" s="357">
        <f t="shared" si="53"/>
        <v>-11094</v>
      </c>
      <c r="AP38" s="859"/>
      <c r="AQ38" s="866"/>
      <c r="AR38" s="867"/>
      <c r="BC38" s="349"/>
    </row>
    <row r="39" spans="2:55" ht="15" customHeight="1" x14ac:dyDescent="0.3">
      <c r="B39" s="340"/>
      <c r="C39" s="364">
        <v>12</v>
      </c>
      <c r="D39" s="366" t="s">
        <v>167</v>
      </c>
      <c r="E39" s="358">
        <f>SUMIFS(comparaison_samebasis_villages[actual idp_ind],comparaison_samebasis_villages[Adm3_name],D39) - SUMIFS(comparaison_samebasis_villages[previous idp_ind],comparaison_samebasis_villages[Adm3_name],D39)</f>
        <v>743</v>
      </c>
      <c r="F39" s="358">
        <f>SUMIFS(comparaison_samebasis_villages[actual ref_ind],comparaison_samebasis_villages[Adm3_name],D39) - SUMIFS(comparaison_samebasis_villages[previous ref_ind],comparaison_samebasis_villages[Adm3_name],D39)</f>
        <v>-101</v>
      </c>
      <c r="G39" s="358">
        <f>SUMIFS(comparaison_samebasis_villages[actual ret_ind],comparaison_samebasis_villages[Adm3_name],D39) - SUMIFS(comparaison_samebasis_villages[previous ret_ind],comparaison_samebasis_villages[Adm3_name],D39)</f>
        <v>-173</v>
      </c>
      <c r="M39" s="859"/>
      <c r="N39" s="866"/>
      <c r="O39" s="867"/>
      <c r="P39" s="867"/>
      <c r="Q39" s="859"/>
      <c r="R39" s="859"/>
      <c r="S39" s="859"/>
      <c r="T39" s="864"/>
      <c r="U39" s="864"/>
      <c r="V39" s="864"/>
      <c r="W39" s="859"/>
      <c r="X39" s="859"/>
      <c r="Y39" s="859"/>
      <c r="Z39" s="859"/>
      <c r="AA39" s="859"/>
      <c r="AB39" s="859"/>
      <c r="AC39" s="859"/>
      <c r="AD39" s="860"/>
      <c r="AE39" s="861"/>
      <c r="AF39" s="364">
        <f t="shared" si="49"/>
        <v>12</v>
      </c>
      <c r="AG39" s="366" t="str">
        <f t="shared" si="50"/>
        <v>Goulfey</v>
      </c>
      <c r="AH39" s="359">
        <f t="shared" si="51"/>
        <v>743</v>
      </c>
      <c r="AI39" s="359">
        <f t="shared" si="52"/>
        <v>-101</v>
      </c>
      <c r="AJ39" s="359">
        <f t="shared" si="53"/>
        <v>-173</v>
      </c>
      <c r="AP39" s="859"/>
      <c r="AQ39" s="866"/>
      <c r="AR39" s="867"/>
      <c r="BC39" s="349"/>
    </row>
    <row r="40" spans="2:55" ht="15" customHeight="1" thickBot="1" x14ac:dyDescent="0.35">
      <c r="B40" s="340"/>
      <c r="C40" s="364">
        <v>13</v>
      </c>
      <c r="D40" s="360" t="s">
        <v>2797</v>
      </c>
      <c r="E40" s="356">
        <f>SUMIFS(comparaison_samebasis_villages[actual idp_ind],comparaison_samebasis_villages[Adm3_name],D40) - SUMIFS(comparaison_samebasis_villages[previous idp_ind],comparaison_samebasis_villages[Adm3_name],D40)</f>
        <v>9371</v>
      </c>
      <c r="F40" s="356">
        <f>SUMIFS(comparaison_samebasis_villages[actual ref_ind],comparaison_samebasis_villages[Adm3_name],D40) - SUMIFS(comparaison_samebasis_villages[previous ref_ind],comparaison_samebasis_villages[Adm3_name],D40)</f>
        <v>0</v>
      </c>
      <c r="G40" s="356">
        <f>SUMIFS(comparaison_samebasis_villages[actual ret_ind],comparaison_samebasis_villages[Adm3_name],D40) - SUMIFS(comparaison_samebasis_villages[previous ret_ind],comparaison_samebasis_villages[Adm3_name],D40)</f>
        <v>-1849</v>
      </c>
      <c r="Q40" s="859"/>
      <c r="R40" s="859"/>
      <c r="S40" s="859"/>
      <c r="T40" s="864"/>
      <c r="U40" s="864"/>
      <c r="V40" s="864"/>
      <c r="W40" s="859"/>
      <c r="X40" s="859"/>
      <c r="Y40" s="859"/>
      <c r="Z40" s="859"/>
      <c r="AA40" s="859"/>
      <c r="AB40" s="859"/>
      <c r="AC40" s="859"/>
      <c r="AD40" s="860"/>
      <c r="AE40" s="861"/>
      <c r="AF40" s="364">
        <f t="shared" si="49"/>
        <v>13</v>
      </c>
      <c r="AG40" s="360" t="str">
        <f t="shared" si="50"/>
        <v>Hile-Alifa</v>
      </c>
      <c r="AH40" s="357">
        <f t="shared" si="51"/>
        <v>9371</v>
      </c>
      <c r="AI40" s="357">
        <f t="shared" si="52"/>
        <v>0</v>
      </c>
      <c r="AJ40" s="357">
        <f t="shared" si="53"/>
        <v>-1849</v>
      </c>
      <c r="BC40" s="349"/>
    </row>
    <row r="41" spans="2:55" ht="15" customHeight="1" thickBot="1" x14ac:dyDescent="0.35">
      <c r="B41" s="340"/>
      <c r="C41" s="364">
        <v>14</v>
      </c>
      <c r="D41" s="366" t="s">
        <v>170</v>
      </c>
      <c r="E41" s="358">
        <f>SUMIFS(comparaison_samebasis_villages[actual idp_ind],comparaison_samebasis_villages[Adm3_name],D41) - SUMIFS(comparaison_samebasis_villages[previous idp_ind],comparaison_samebasis_villages[Adm3_name],D41)</f>
        <v>-5022</v>
      </c>
      <c r="F41" s="358">
        <f>SUMIFS(comparaison_samebasis_villages[actual ref_ind],comparaison_samebasis_villages[Adm3_name],D41) - SUMIFS(comparaison_samebasis_villages[previous ref_ind],comparaison_samebasis_villages[Adm3_name],D41)</f>
        <v>1110</v>
      </c>
      <c r="G41" s="358">
        <f>SUMIFS(comparaison_samebasis_villages[actual ret_ind],comparaison_samebasis_villages[Adm3_name],D41) - SUMIFS(comparaison_samebasis_villages[previous ret_ind],comparaison_samebasis_villages[Adm3_name],D41)</f>
        <v>-1978</v>
      </c>
      <c r="I41" s="1400" t="s">
        <v>23</v>
      </c>
      <c r="J41" s="1401"/>
      <c r="K41" s="1401"/>
      <c r="L41" s="1401"/>
      <c r="M41" s="1402"/>
      <c r="P41" s="865"/>
      <c r="Q41" s="859"/>
      <c r="R41" s="859"/>
      <c r="S41" s="859"/>
      <c r="T41" s="864"/>
      <c r="U41" s="864"/>
      <c r="V41" s="864"/>
      <c r="W41" s="859"/>
      <c r="X41" s="859"/>
      <c r="Y41" s="859"/>
      <c r="Z41" s="859"/>
      <c r="AA41" s="859"/>
      <c r="AB41" s="859"/>
      <c r="AC41" s="859"/>
      <c r="AD41" s="860"/>
      <c r="AE41" s="861"/>
      <c r="AF41" s="364">
        <f t="shared" si="49"/>
        <v>14</v>
      </c>
      <c r="AG41" s="366" t="str">
        <f t="shared" si="50"/>
        <v>Kousséri</v>
      </c>
      <c r="AH41" s="359">
        <f t="shared" si="51"/>
        <v>-5022</v>
      </c>
      <c r="AI41" s="359">
        <f t="shared" si="52"/>
        <v>1110</v>
      </c>
      <c r="AJ41" s="359">
        <f t="shared" si="53"/>
        <v>-1978</v>
      </c>
      <c r="AL41" s="1400" t="s">
        <v>28</v>
      </c>
      <c r="AM41" s="1401"/>
      <c r="AN41" s="1401"/>
      <c r="AO41" s="1401"/>
      <c r="AP41" s="1402"/>
      <c r="BC41" s="349"/>
    </row>
    <row r="42" spans="2:55" ht="15" customHeight="1" thickBot="1" x14ac:dyDescent="0.35">
      <c r="B42" s="340"/>
      <c r="C42" s="364">
        <v>15</v>
      </c>
      <c r="D42" s="360" t="s">
        <v>169</v>
      </c>
      <c r="E42" s="356">
        <f>SUMIFS(comparaison_samebasis_villages[actual idp_ind],comparaison_samebasis_villages[Adm3_name],D42) - SUMIFS(comparaison_samebasis_villages[previous idp_ind],comparaison_samebasis_villages[Adm3_name],D42)</f>
        <v>-840</v>
      </c>
      <c r="F42" s="356">
        <f>SUMIFS(comparaison_samebasis_villages[actual ref_ind],comparaison_samebasis_villages[Adm3_name],D42) - SUMIFS(comparaison_samebasis_villages[previous ref_ind],comparaison_samebasis_villages[Adm3_name],D42)</f>
        <v>1468</v>
      </c>
      <c r="G42" s="356">
        <f>SUMIFS(comparaison_samebasis_villages[actual ret_ind],comparaison_samebasis_villages[Adm3_name],D42) - SUMIFS(comparaison_samebasis_villages[previous ret_ind],comparaison_samebasis_villages[Adm3_name],D42)</f>
        <v>-23600</v>
      </c>
      <c r="I42" s="1146" t="s">
        <v>48</v>
      </c>
      <c r="J42" s="818" t="s">
        <v>464</v>
      </c>
      <c r="K42" s="818" t="s">
        <v>465</v>
      </c>
      <c r="L42" s="818" t="s">
        <v>466</v>
      </c>
      <c r="M42" s="818" t="s">
        <v>467</v>
      </c>
      <c r="P42" s="865"/>
      <c r="Q42" s="859"/>
      <c r="R42" s="859"/>
      <c r="S42" s="859"/>
      <c r="T42" s="864"/>
      <c r="U42" s="864"/>
      <c r="V42" s="864"/>
      <c r="W42" s="859"/>
      <c r="X42" s="859"/>
      <c r="Y42" s="859"/>
      <c r="Z42" s="859"/>
      <c r="AA42" s="859"/>
      <c r="AB42" s="859"/>
      <c r="AC42" s="859"/>
      <c r="AD42" s="860"/>
      <c r="AE42" s="861"/>
      <c r="AF42" s="364">
        <f t="shared" si="49"/>
        <v>15</v>
      </c>
      <c r="AG42" s="360" t="str">
        <f t="shared" si="50"/>
        <v>Logone-Birni</v>
      </c>
      <c r="AH42" s="357">
        <f t="shared" si="51"/>
        <v>-840</v>
      </c>
      <c r="AI42" s="357">
        <f t="shared" si="52"/>
        <v>1468</v>
      </c>
      <c r="AJ42" s="357">
        <f t="shared" si="53"/>
        <v>-23600</v>
      </c>
      <c r="AL42" s="1146" t="s">
        <v>51</v>
      </c>
      <c r="AM42" s="818" t="s">
        <v>468</v>
      </c>
      <c r="AN42" s="818" t="s">
        <v>469</v>
      </c>
      <c r="AO42" s="818" t="s">
        <v>470</v>
      </c>
      <c r="AP42" s="818" t="s">
        <v>471</v>
      </c>
      <c r="BC42" s="349"/>
    </row>
    <row r="43" spans="2:55" ht="15" customHeight="1" x14ac:dyDescent="0.3">
      <c r="B43" s="340"/>
      <c r="C43" s="364">
        <v>16</v>
      </c>
      <c r="D43" s="366" t="s">
        <v>171</v>
      </c>
      <c r="E43" s="358">
        <f>SUMIFS(comparaison_samebasis_villages[actual idp_ind],comparaison_samebasis_villages[Adm3_name],D43) - SUMIFS(comparaison_samebasis_villages[previous idp_ind],comparaison_samebasis_villages[Adm3_name],D43)</f>
        <v>8119</v>
      </c>
      <c r="F43" s="358">
        <f>SUMIFS(comparaison_samebasis_villages[actual ref_ind],comparaison_samebasis_villages[Adm3_name],D43) - SUMIFS(comparaison_samebasis_villages[previous ref_ind],comparaison_samebasis_villages[Adm3_name],D43)</f>
        <v>-4905</v>
      </c>
      <c r="G43" s="358">
        <f>SUMIFS(comparaison_samebasis_villages[actual ret_ind],comparaison_samebasis_villages[Adm3_name],D43) - SUMIFS(comparaison_samebasis_villages[previous ret_ind],comparaison_samebasis_villages[Adm3_name],D43)</f>
        <v>-11399</v>
      </c>
      <c r="I43" s="367" t="s">
        <v>30</v>
      </c>
      <c r="J43" s="368">
        <f>SUMIFS(comparaison_samebasis_villages[actual ref_ind],comparaison_samebasis_villages[Adm2_name],$I43)</f>
        <v>334</v>
      </c>
      <c r="K43" s="368">
        <f>SUMIFS(comparaison_samebasis_villages[previous ref_ind],comparaison_samebasis_villages[Adm2_name],$I43)</f>
        <v>361</v>
      </c>
      <c r="L43" s="369">
        <f t="shared" ref="L43:L48" si="54">(J43-K43)/K43</f>
        <v>-7.4792243767313013E-2</v>
      </c>
      <c r="M43" s="368">
        <f t="shared" ref="M43:M49" si="55">$J43-$K43</f>
        <v>-27</v>
      </c>
      <c r="P43" s="865"/>
      <c r="Q43" s="859"/>
      <c r="R43" s="859"/>
      <c r="S43" s="859"/>
      <c r="T43" s="864"/>
      <c r="U43" s="864"/>
      <c r="V43" s="864"/>
      <c r="W43" s="859"/>
      <c r="X43" s="859"/>
      <c r="Y43" s="859"/>
      <c r="Z43" s="859"/>
      <c r="AA43" s="859"/>
      <c r="AB43" s="859"/>
      <c r="AC43" s="859"/>
      <c r="AD43" s="860"/>
      <c r="AE43" s="861"/>
      <c r="AF43" s="364">
        <f t="shared" si="49"/>
        <v>16</v>
      </c>
      <c r="AG43" s="366" t="str">
        <f t="shared" si="50"/>
        <v>Makary</v>
      </c>
      <c r="AH43" s="359">
        <f t="shared" si="51"/>
        <v>8119</v>
      </c>
      <c r="AI43" s="359">
        <f t="shared" si="52"/>
        <v>-4905</v>
      </c>
      <c r="AJ43" s="359">
        <f t="shared" si="53"/>
        <v>-11399</v>
      </c>
      <c r="AL43" s="367" t="s">
        <v>30</v>
      </c>
      <c r="AM43" s="370">
        <f t="shared" ref="AM43:AM48" si="56">J43</f>
        <v>334</v>
      </c>
      <c r="AN43" s="370">
        <f t="shared" ref="AN43:AP48" si="57">K43</f>
        <v>361</v>
      </c>
      <c r="AO43" s="1147">
        <f t="shared" si="57"/>
        <v>-7.4792243767313013E-2</v>
      </c>
      <c r="AP43" s="370">
        <f t="shared" si="57"/>
        <v>-27</v>
      </c>
      <c r="BC43" s="349"/>
    </row>
    <row r="44" spans="2:55" ht="15" customHeight="1" x14ac:dyDescent="0.3">
      <c r="B44" s="340"/>
      <c r="C44" s="364">
        <v>17</v>
      </c>
      <c r="D44" s="360" t="s">
        <v>172</v>
      </c>
      <c r="E44" s="356">
        <f>SUMIFS(comparaison_samebasis_villages[actual idp_ind],comparaison_samebasis_villages[Adm3_name],D44) - SUMIFS(comparaison_samebasis_villages[previous idp_ind],comparaison_samebasis_villages[Adm3_name],D44)</f>
        <v>-781</v>
      </c>
      <c r="F44" s="356">
        <f>SUMIFS(comparaison_samebasis_villages[actual ref_ind],comparaison_samebasis_villages[Adm3_name],D44) - SUMIFS(comparaison_samebasis_villages[previous ref_ind],comparaison_samebasis_villages[Adm3_name],D44)</f>
        <v>110</v>
      </c>
      <c r="G44" s="356">
        <f>SUMIFS(comparaison_samebasis_villages[actual ret_ind],comparaison_samebasis_villages[Adm3_name],D44) - SUMIFS(comparaison_samebasis_villages[previous ret_ind],comparaison_samebasis_villages[Adm3_name],D44)</f>
        <v>-1949</v>
      </c>
      <c r="I44" s="371" t="s">
        <v>31</v>
      </c>
      <c r="J44" s="372">
        <f>SUMIFS(comparaison_samebasis_villages[actual ref_ind],comparaison_samebasis_villages[Adm2_name],$I44)</f>
        <v>29322</v>
      </c>
      <c r="K44" s="372">
        <f>SUMIFS(comparaison_samebasis_villages[previous ref_ind],comparaison_samebasis_villages[Adm2_name],$I44)</f>
        <v>31988</v>
      </c>
      <c r="L44" s="373">
        <f t="shared" si="54"/>
        <v>-8.3343753907715395E-2</v>
      </c>
      <c r="M44" s="372">
        <f t="shared" si="55"/>
        <v>-2666</v>
      </c>
      <c r="P44" s="865"/>
      <c r="Q44" s="859"/>
      <c r="R44" s="859"/>
      <c r="S44" s="859"/>
      <c r="T44" s="864"/>
      <c r="U44" s="864"/>
      <c r="V44" s="864"/>
      <c r="W44" s="859"/>
      <c r="X44" s="859"/>
      <c r="Y44" s="859"/>
      <c r="Z44" s="859"/>
      <c r="AA44" s="859"/>
      <c r="AB44" s="859"/>
      <c r="AC44" s="859"/>
      <c r="AD44" s="860"/>
      <c r="AE44" s="861"/>
      <c r="AF44" s="364">
        <f t="shared" si="49"/>
        <v>17</v>
      </c>
      <c r="AG44" s="360" t="str">
        <f t="shared" si="50"/>
        <v>Waza</v>
      </c>
      <c r="AH44" s="357">
        <f t="shared" si="51"/>
        <v>-781</v>
      </c>
      <c r="AI44" s="357">
        <f t="shared" si="52"/>
        <v>110</v>
      </c>
      <c r="AJ44" s="357">
        <f t="shared" si="53"/>
        <v>-1949</v>
      </c>
      <c r="AL44" s="371" t="s">
        <v>31</v>
      </c>
      <c r="AM44" s="374">
        <f t="shared" si="56"/>
        <v>29322</v>
      </c>
      <c r="AN44" s="374">
        <f t="shared" si="57"/>
        <v>31988</v>
      </c>
      <c r="AO44" s="1148">
        <f t="shared" si="57"/>
        <v>-8.3343753907715395E-2</v>
      </c>
      <c r="AP44" s="374">
        <f t="shared" si="57"/>
        <v>-2666</v>
      </c>
      <c r="BC44" s="349"/>
    </row>
    <row r="45" spans="2:55" ht="15" customHeight="1" x14ac:dyDescent="0.3">
      <c r="B45" s="340"/>
      <c r="C45" s="364">
        <v>18</v>
      </c>
      <c r="D45" s="366" t="s">
        <v>173</v>
      </c>
      <c r="E45" s="358">
        <f>SUMIFS(comparaison_samebasis_villages[actual idp_ind],comparaison_samebasis_villages[Adm3_name],D45) - SUMIFS(comparaison_samebasis_villages[previous idp_ind],comparaison_samebasis_villages[Adm3_name],D45)</f>
        <v>-3260</v>
      </c>
      <c r="F45" s="358">
        <f>SUMIFS(comparaison_samebasis_villages[actual ref_ind],comparaison_samebasis_villages[Adm3_name],D45) - SUMIFS(comparaison_samebasis_villages[previous ref_ind],comparaison_samebasis_villages[Adm3_name],D45)</f>
        <v>0</v>
      </c>
      <c r="G45" s="358">
        <f>SUMIFS(comparaison_samebasis_villages[actual ret_ind],comparaison_samebasis_villages[Adm3_name],D45) - SUMIFS(comparaison_samebasis_villages[previous ret_ind],comparaison_samebasis_villages[Adm3_name],D45)</f>
        <v>-128</v>
      </c>
      <c r="I45" s="367" t="s">
        <v>32</v>
      </c>
      <c r="J45" s="368">
        <f>SUMIFS(comparaison_samebasis_villages[actual ref_ind],comparaison_samebasis_villages[Adm2_name],$I45)</f>
        <v>296</v>
      </c>
      <c r="K45" s="368">
        <f>SUMIFS(comparaison_samebasis_villages[previous ref_ind],comparaison_samebasis_villages[Adm2_name],$I45)</f>
        <v>296</v>
      </c>
      <c r="L45" s="369">
        <f t="shared" si="54"/>
        <v>0</v>
      </c>
      <c r="M45" s="368">
        <f t="shared" si="55"/>
        <v>0</v>
      </c>
      <c r="P45" s="865"/>
      <c r="Q45" s="859"/>
      <c r="R45" s="859"/>
      <c r="S45" s="859"/>
      <c r="T45" s="864"/>
      <c r="U45" s="864"/>
      <c r="V45" s="864"/>
      <c r="W45" s="859"/>
      <c r="X45" s="859"/>
      <c r="Y45" s="859"/>
      <c r="Z45" s="859"/>
      <c r="AA45" s="859"/>
      <c r="AB45" s="859"/>
      <c r="AC45" s="859"/>
      <c r="AD45" s="860"/>
      <c r="AE45" s="861"/>
      <c r="AF45" s="364">
        <f t="shared" si="49"/>
        <v>18</v>
      </c>
      <c r="AG45" s="366" t="str">
        <f t="shared" si="50"/>
        <v>Zina</v>
      </c>
      <c r="AH45" s="359">
        <f t="shared" si="51"/>
        <v>-3260</v>
      </c>
      <c r="AI45" s="359">
        <f t="shared" si="52"/>
        <v>0</v>
      </c>
      <c r="AJ45" s="359">
        <f t="shared" si="53"/>
        <v>-128</v>
      </c>
      <c r="AL45" s="367" t="s">
        <v>32</v>
      </c>
      <c r="AM45" s="370">
        <f t="shared" si="56"/>
        <v>296</v>
      </c>
      <c r="AN45" s="370">
        <f t="shared" si="57"/>
        <v>296</v>
      </c>
      <c r="AO45" s="1147">
        <f t="shared" si="57"/>
        <v>0</v>
      </c>
      <c r="AP45" s="370">
        <f t="shared" si="57"/>
        <v>0</v>
      </c>
      <c r="BC45" s="349"/>
    </row>
    <row r="46" spans="2:55" ht="15" customHeight="1" x14ac:dyDescent="0.3">
      <c r="B46" s="340"/>
      <c r="C46" s="363" t="s">
        <v>43</v>
      </c>
      <c r="D46" s="365" t="s">
        <v>32</v>
      </c>
      <c r="E46" s="351">
        <f>SUM(E47:E54)</f>
        <v>1081</v>
      </c>
      <c r="F46" s="351">
        <f>SUM(F47:F54)</f>
        <v>0</v>
      </c>
      <c r="G46" s="351">
        <f>SUM(G47:G54)</f>
        <v>-11448</v>
      </c>
      <c r="I46" s="371" t="s">
        <v>33</v>
      </c>
      <c r="J46" s="372">
        <f>SUMIFS(comparaison_samebasis_villages[actual ref_ind],comparaison_samebasis_villages[Adm2_name],$I46)</f>
        <v>668</v>
      </c>
      <c r="K46" s="372">
        <f>SUMIFS(comparaison_samebasis_villages[previous ref_ind],comparaison_samebasis_villages[Adm2_name],$I46)</f>
        <v>899</v>
      </c>
      <c r="L46" s="373">
        <f t="shared" si="54"/>
        <v>-0.25695216907675195</v>
      </c>
      <c r="M46" s="372">
        <f t="shared" si="55"/>
        <v>-231</v>
      </c>
      <c r="P46" s="865"/>
      <c r="Q46" s="859"/>
      <c r="R46" s="859"/>
      <c r="S46" s="859"/>
      <c r="T46" s="864"/>
      <c r="U46" s="864"/>
      <c r="V46" s="864"/>
      <c r="W46" s="859"/>
      <c r="X46" s="859"/>
      <c r="Y46" s="859"/>
      <c r="Z46" s="859"/>
      <c r="AA46" s="859"/>
      <c r="AB46" s="859"/>
      <c r="AC46" s="859"/>
      <c r="AD46" s="860"/>
      <c r="AE46" s="861"/>
      <c r="AF46" s="363" t="str">
        <f t="shared" si="49"/>
        <v xml:space="preserve"> </v>
      </c>
      <c r="AG46" s="365" t="str">
        <f t="shared" si="50"/>
        <v>Mayo-Danay</v>
      </c>
      <c r="AH46" s="355">
        <f t="shared" si="51"/>
        <v>1081</v>
      </c>
      <c r="AI46" s="355">
        <f t="shared" si="52"/>
        <v>0</v>
      </c>
      <c r="AJ46" s="355">
        <f t="shared" si="53"/>
        <v>-11448</v>
      </c>
      <c r="AL46" s="371" t="s">
        <v>33</v>
      </c>
      <c r="AM46" s="374">
        <f t="shared" si="56"/>
        <v>668</v>
      </c>
      <c r="AN46" s="374">
        <f t="shared" si="57"/>
        <v>899</v>
      </c>
      <c r="AO46" s="1148">
        <f t="shared" si="57"/>
        <v>-0.25695216907675195</v>
      </c>
      <c r="AP46" s="374">
        <f t="shared" si="57"/>
        <v>-231</v>
      </c>
      <c r="BC46" s="349"/>
    </row>
    <row r="47" spans="2:55" ht="15" customHeight="1" x14ac:dyDescent="0.3">
      <c r="B47" s="340"/>
      <c r="C47" s="364">
        <v>19</v>
      </c>
      <c r="D47" s="360" t="s">
        <v>175</v>
      </c>
      <c r="E47" s="356">
        <f>SUMIFS(comparaison_samebasis_villages[actual idp_ind],comparaison_samebasis_villages[Adm3_name],D47) - SUMIFS(comparaison_samebasis_villages[previous idp_ind],comparaison_samebasis_villages[Adm3_name],D47)</f>
        <v>0</v>
      </c>
      <c r="F47" s="356">
        <f>SUMIFS(comparaison_samebasis_villages[actual ref_ind],comparaison_samebasis_villages[Adm3_name],D47) - SUMIFS(comparaison_samebasis_villages[previous ref_ind],comparaison_samebasis_villages[Adm3_name],D47)</f>
        <v>0</v>
      </c>
      <c r="G47" s="356">
        <f>SUMIFS(comparaison_samebasis_villages[actual ret_ind],comparaison_samebasis_villages[Adm3_name],D47) - SUMIFS(comparaison_samebasis_villages[previous ret_ind],comparaison_samebasis_villages[Adm3_name],D47)</f>
        <v>1651</v>
      </c>
      <c r="I47" s="352" t="s">
        <v>34</v>
      </c>
      <c r="J47" s="353">
        <f>SUMIFS(comparaison_samebasis_villages[actual ref_ind],comparaison_samebasis_villages[Adm2_name],$I47)</f>
        <v>7597</v>
      </c>
      <c r="K47" s="353">
        <f>SUMIFS(comparaison_samebasis_villages[previous ref_ind],comparaison_samebasis_villages[Adm2_name],$I47)</f>
        <v>7568</v>
      </c>
      <c r="L47" s="377">
        <f t="shared" si="54"/>
        <v>3.831923890063425E-3</v>
      </c>
      <c r="M47" s="353">
        <f t="shared" si="55"/>
        <v>29</v>
      </c>
      <c r="P47" s="865"/>
      <c r="Q47" s="859"/>
      <c r="R47" s="859"/>
      <c r="S47" s="859"/>
      <c r="T47" s="864"/>
      <c r="U47" s="864"/>
      <c r="V47" s="864"/>
      <c r="W47" s="859"/>
      <c r="X47" s="859"/>
      <c r="Y47" s="859"/>
      <c r="Z47" s="859"/>
      <c r="AA47" s="859"/>
      <c r="AB47" s="859"/>
      <c r="AC47" s="859"/>
      <c r="AD47" s="860"/>
      <c r="AE47" s="861"/>
      <c r="AF47" s="364">
        <f t="shared" si="49"/>
        <v>19</v>
      </c>
      <c r="AG47" s="360" t="str">
        <f t="shared" si="50"/>
        <v>Gobo</v>
      </c>
      <c r="AH47" s="356">
        <f t="shared" si="51"/>
        <v>0</v>
      </c>
      <c r="AI47" s="356">
        <f t="shared" si="52"/>
        <v>0</v>
      </c>
      <c r="AJ47" s="356">
        <f t="shared" si="53"/>
        <v>1651</v>
      </c>
      <c r="AL47" s="352" t="s">
        <v>34</v>
      </c>
      <c r="AM47" s="354">
        <f t="shared" si="56"/>
        <v>7597</v>
      </c>
      <c r="AN47" s="354">
        <f t="shared" si="57"/>
        <v>7568</v>
      </c>
      <c r="AO47" s="1149">
        <f t="shared" si="57"/>
        <v>3.831923890063425E-3</v>
      </c>
      <c r="AP47" s="354">
        <f t="shared" si="57"/>
        <v>29</v>
      </c>
      <c r="BC47" s="349"/>
    </row>
    <row r="48" spans="2:55" ht="15" customHeight="1" x14ac:dyDescent="0.3">
      <c r="B48" s="340"/>
      <c r="C48" s="364">
        <v>20</v>
      </c>
      <c r="D48" s="366" t="s">
        <v>174</v>
      </c>
      <c r="E48" s="358">
        <f>SUMIFS(comparaison_samebasis_villages[actual idp_ind],comparaison_samebasis_villages[Adm3_name],D48) - SUMIFS(comparaison_samebasis_villages[previous idp_ind],comparaison_samebasis_villages[Adm3_name],D48)</f>
        <v>100</v>
      </c>
      <c r="F48" s="358">
        <f>SUMIFS(comparaison_samebasis_villages[actual ref_ind],comparaison_samebasis_villages[Adm3_name],D48) - SUMIFS(comparaison_samebasis_villages[previous ref_ind],comparaison_samebasis_villages[Adm3_name],D48)</f>
        <v>0</v>
      </c>
      <c r="G48" s="358">
        <f>SUMIFS(comparaison_samebasis_villages[actual ret_ind],comparaison_samebasis_villages[Adm3_name],D48) - SUMIFS(comparaison_samebasis_villages[previous ret_ind],comparaison_samebasis_villages[Adm3_name],D48)</f>
        <v>-56</v>
      </c>
      <c r="I48" s="371" t="s">
        <v>35</v>
      </c>
      <c r="J48" s="372">
        <f>SUMIFS(comparaison_samebasis_villages[actual ref_ind],comparaison_samebasis_villages[Adm2_name],$I48)</f>
        <v>8815</v>
      </c>
      <c r="K48" s="372">
        <f>SUMIFS(comparaison_samebasis_villages[previous ref_ind],comparaison_samebasis_villages[Adm2_name],$I48)</f>
        <v>8548</v>
      </c>
      <c r="L48" s="373">
        <f t="shared" si="54"/>
        <v>3.1235376696303229E-2</v>
      </c>
      <c r="M48" s="372">
        <f t="shared" si="55"/>
        <v>267</v>
      </c>
      <c r="P48" s="865"/>
      <c r="Q48" s="859"/>
      <c r="R48" s="859"/>
      <c r="S48" s="859"/>
      <c r="T48" s="864"/>
      <c r="U48" s="864"/>
      <c r="V48" s="864"/>
      <c r="W48" s="859"/>
      <c r="X48" s="859"/>
      <c r="Y48" s="859"/>
      <c r="Z48" s="859"/>
      <c r="AA48" s="859"/>
      <c r="AB48" s="859"/>
      <c r="AC48" s="859"/>
      <c r="AD48" s="860"/>
      <c r="AE48" s="861"/>
      <c r="AF48" s="364">
        <f t="shared" si="49"/>
        <v>20</v>
      </c>
      <c r="AG48" s="366" t="str">
        <f t="shared" si="50"/>
        <v>Datchéka</v>
      </c>
      <c r="AH48" s="358">
        <f t="shared" si="51"/>
        <v>100</v>
      </c>
      <c r="AI48" s="358">
        <f t="shared" si="52"/>
        <v>0</v>
      </c>
      <c r="AJ48" s="358">
        <f t="shared" si="53"/>
        <v>-56</v>
      </c>
      <c r="AL48" s="371" t="s">
        <v>35</v>
      </c>
      <c r="AM48" s="374">
        <f t="shared" si="56"/>
        <v>8815</v>
      </c>
      <c r="AN48" s="374">
        <f t="shared" si="57"/>
        <v>8548</v>
      </c>
      <c r="AO48" s="1148">
        <f t="shared" si="57"/>
        <v>3.1235376696303229E-2</v>
      </c>
      <c r="AP48" s="374">
        <f t="shared" si="57"/>
        <v>267</v>
      </c>
      <c r="BC48" s="349"/>
    </row>
    <row r="49" spans="2:55" ht="15" customHeight="1" thickBot="1" x14ac:dyDescent="0.35">
      <c r="B49" s="340"/>
      <c r="C49" s="364">
        <v>21</v>
      </c>
      <c r="D49" s="360" t="s">
        <v>177</v>
      </c>
      <c r="E49" s="356">
        <f>SUMIFS(comparaison_samebasis_villages[actual idp_ind],comparaison_samebasis_villages[Adm3_name],D49) - SUMIFS(comparaison_samebasis_villages[previous idp_ind],comparaison_samebasis_villages[Adm3_name],D49)</f>
        <v>0</v>
      </c>
      <c r="F49" s="356">
        <f>SUMIFS(comparaison_samebasis_villages[actual ref_ind],comparaison_samebasis_villages[Adm3_name],D49) - SUMIFS(comparaison_samebasis_villages[previous ref_ind],comparaison_samebasis_villages[Adm3_name],D49)</f>
        <v>0</v>
      </c>
      <c r="G49" s="356">
        <f>SUMIFS(comparaison_samebasis_villages[actual ret_ind],comparaison_samebasis_villages[Adm3_name],D49) - SUMIFS(comparaison_samebasis_villages[previous ret_ind],comparaison_samebasis_villages[Adm3_name],D49)</f>
        <v>-1167</v>
      </c>
      <c r="I49" s="378" t="s">
        <v>25</v>
      </c>
      <c r="J49" s="379">
        <f>SUM(J43:J48)</f>
        <v>47032</v>
      </c>
      <c r="K49" s="379">
        <f>SUM(K43:K48)</f>
        <v>49660</v>
      </c>
      <c r="L49" s="380">
        <f>($J49-$K49)/$K49</f>
        <v>-5.2919855014095851E-2</v>
      </c>
      <c r="M49" s="379">
        <f t="shared" si="55"/>
        <v>-2628</v>
      </c>
      <c r="P49" s="865"/>
      <c r="Q49" s="859"/>
      <c r="R49" s="859"/>
      <c r="S49" s="859"/>
      <c r="T49" s="864"/>
      <c r="U49" s="864"/>
      <c r="V49" s="864"/>
      <c r="W49" s="859"/>
      <c r="X49" s="859"/>
      <c r="Y49" s="859"/>
      <c r="Z49" s="859"/>
      <c r="AA49" s="859"/>
      <c r="AB49" s="859"/>
      <c r="AC49" s="859"/>
      <c r="AD49" s="860"/>
      <c r="AE49" s="861"/>
      <c r="AF49" s="364">
        <f t="shared" si="49"/>
        <v>21</v>
      </c>
      <c r="AG49" s="360" t="str">
        <f t="shared" si="50"/>
        <v>Guémé</v>
      </c>
      <c r="AH49" s="356">
        <f t="shared" si="51"/>
        <v>0</v>
      </c>
      <c r="AI49" s="356">
        <f t="shared" si="52"/>
        <v>0</v>
      </c>
      <c r="AJ49" s="356">
        <f t="shared" si="53"/>
        <v>-1167</v>
      </c>
      <c r="AL49" s="378" t="s">
        <v>25</v>
      </c>
      <c r="AM49" s="381">
        <f>SUM(AM43:AM48)</f>
        <v>47032</v>
      </c>
      <c r="AN49" s="381">
        <f>SUM(AN43:AN48)</f>
        <v>49660</v>
      </c>
      <c r="AO49" s="382">
        <f>($AM49-$AN49)/$AN49</f>
        <v>-5.2919855014095851E-2</v>
      </c>
      <c r="AP49" s="381">
        <f>$AM49-$AN49</f>
        <v>-2628</v>
      </c>
      <c r="BC49" s="349"/>
    </row>
    <row r="50" spans="2:55" x14ac:dyDescent="0.3">
      <c r="B50" s="340"/>
      <c r="C50" s="364">
        <v>22</v>
      </c>
      <c r="D50" s="366" t="s">
        <v>179</v>
      </c>
      <c r="E50" s="358">
        <f>SUMIFS(comparaison_samebasis_villages[actual idp_ind],comparaison_samebasis_villages[Adm3_name],D50) - SUMIFS(comparaison_samebasis_villages[previous idp_ind],comparaison_samebasis_villages[Adm3_name],D50)</f>
        <v>0</v>
      </c>
      <c r="F50" s="358">
        <f>SUMIFS(comparaison_samebasis_villages[actual ref_ind],comparaison_samebasis_villages[Adm3_name],D50) - SUMIFS(comparaison_samebasis_villages[previous ref_ind],comparaison_samebasis_villages[Adm3_name],D50)</f>
        <v>0</v>
      </c>
      <c r="G50" s="358">
        <f>SUMIFS(comparaison_samebasis_villages[actual ret_ind],comparaison_samebasis_villages[Adm3_name],D50) - SUMIFS(comparaison_samebasis_villages[previous ret_ind],comparaison_samebasis_villages[Adm3_name],D50)</f>
        <v>-764</v>
      </c>
      <c r="P50" s="865"/>
      <c r="Q50" s="859"/>
      <c r="R50" s="859"/>
      <c r="S50" s="859"/>
      <c r="T50" s="864"/>
      <c r="U50" s="864"/>
      <c r="V50" s="864"/>
      <c r="W50" s="859"/>
      <c r="X50" s="859"/>
      <c r="Y50" s="859"/>
      <c r="Z50" s="859"/>
      <c r="AA50" s="859"/>
      <c r="AB50" s="859"/>
      <c r="AC50" s="859"/>
      <c r="AD50" s="860"/>
      <c r="AE50" s="861"/>
      <c r="AF50" s="364">
        <f t="shared" si="49"/>
        <v>22</v>
      </c>
      <c r="AG50" s="366" t="str">
        <f t="shared" si="50"/>
        <v>Guéré</v>
      </c>
      <c r="AH50" s="358">
        <f t="shared" si="51"/>
        <v>0</v>
      </c>
      <c r="AI50" s="358">
        <f t="shared" si="52"/>
        <v>0</v>
      </c>
      <c r="AJ50" s="358">
        <f t="shared" si="53"/>
        <v>-764</v>
      </c>
      <c r="BC50" s="349"/>
    </row>
    <row r="51" spans="2:55" x14ac:dyDescent="0.3">
      <c r="B51" s="340"/>
      <c r="C51" s="364">
        <v>23</v>
      </c>
      <c r="D51" s="360" t="s">
        <v>176</v>
      </c>
      <c r="E51" s="356">
        <f>SUMIFS(comparaison_samebasis_villages[actual idp_ind],comparaison_samebasis_villages[Adm3_name],D51) - SUMIFS(comparaison_samebasis_villages[previous idp_ind],comparaison_samebasis_villages[Adm3_name],D51)</f>
        <v>708</v>
      </c>
      <c r="F51" s="356">
        <f>SUMIFS(comparaison_samebasis_villages[actual ref_ind],comparaison_samebasis_villages[Adm3_name],D51) - SUMIFS(comparaison_samebasis_villages[previous ref_ind],comparaison_samebasis_villages[Adm3_name],D51)</f>
        <v>0</v>
      </c>
      <c r="G51" s="356">
        <f>SUMIFS(comparaison_samebasis_villages[actual ret_ind],comparaison_samebasis_villages[Adm3_name],D51) - SUMIFS(comparaison_samebasis_villages[previous ret_ind],comparaison_samebasis_villages[Adm3_name],D51)</f>
        <v>-6659</v>
      </c>
      <c r="Q51" s="859"/>
      <c r="R51" s="859"/>
      <c r="S51" s="859"/>
      <c r="T51" s="864"/>
      <c r="U51" s="864"/>
      <c r="V51" s="864"/>
      <c r="W51" s="859"/>
      <c r="X51" s="859"/>
      <c r="Y51" s="859"/>
      <c r="Z51" s="859"/>
      <c r="AA51" s="859"/>
      <c r="AB51" s="859"/>
      <c r="AC51" s="859"/>
      <c r="AD51" s="860"/>
      <c r="AE51" s="861"/>
      <c r="AF51" s="364">
        <f t="shared" si="49"/>
        <v>23</v>
      </c>
      <c r="AG51" s="360" t="str">
        <f t="shared" si="50"/>
        <v>Kai-Kai</v>
      </c>
      <c r="AH51" s="356">
        <f t="shared" si="51"/>
        <v>708</v>
      </c>
      <c r="AI51" s="356">
        <f t="shared" si="52"/>
        <v>0</v>
      </c>
      <c r="AJ51" s="357">
        <f t="shared" si="53"/>
        <v>-6659</v>
      </c>
      <c r="BC51" s="349"/>
    </row>
    <row r="52" spans="2:55" x14ac:dyDescent="0.3">
      <c r="B52" s="340"/>
      <c r="C52" s="364">
        <v>24</v>
      </c>
      <c r="D52" s="366" t="s">
        <v>178</v>
      </c>
      <c r="E52" s="358">
        <f>SUMIFS(comparaison_samebasis_villages[actual idp_ind],comparaison_samebasis_villages[Adm3_name],D52) - SUMIFS(comparaison_samebasis_villages[previous idp_ind],comparaison_samebasis_villages[Adm3_name],D52)</f>
        <v>107</v>
      </c>
      <c r="F52" s="358">
        <f>SUMIFS(comparaison_samebasis_villages[actual ref_ind],comparaison_samebasis_villages[Adm3_name],D52) - SUMIFS(comparaison_samebasis_villages[previous ref_ind],comparaison_samebasis_villages[Adm3_name],D52)</f>
        <v>0</v>
      </c>
      <c r="G52" s="358">
        <f>SUMIFS(comparaison_samebasis_villages[actual ret_ind],comparaison_samebasis_villages[Adm3_name],D52) - SUMIFS(comparaison_samebasis_villages[previous ret_ind],comparaison_samebasis_villages[Adm3_name],D52)</f>
        <v>-3998</v>
      </c>
      <c r="Q52" s="859"/>
      <c r="R52" s="859"/>
      <c r="S52" s="859"/>
      <c r="T52" s="864"/>
      <c r="U52" s="864"/>
      <c r="V52" s="864"/>
      <c r="W52" s="859"/>
      <c r="X52" s="859"/>
      <c r="Y52" s="859"/>
      <c r="Z52" s="859"/>
      <c r="AA52" s="859"/>
      <c r="AB52" s="859"/>
      <c r="AC52" s="859"/>
      <c r="AD52" s="860"/>
      <c r="AE52" s="861"/>
      <c r="AF52" s="364">
        <f t="shared" si="49"/>
        <v>24</v>
      </c>
      <c r="AG52" s="366" t="str">
        <f t="shared" si="50"/>
        <v>Maga</v>
      </c>
      <c r="AH52" s="358">
        <f t="shared" si="51"/>
        <v>107</v>
      </c>
      <c r="AI52" s="358">
        <f t="shared" si="52"/>
        <v>0</v>
      </c>
      <c r="AJ52" s="358">
        <f t="shared" si="53"/>
        <v>-3998</v>
      </c>
      <c r="BC52" s="349"/>
    </row>
    <row r="53" spans="2:55" x14ac:dyDescent="0.3">
      <c r="B53" s="340"/>
      <c r="C53" s="364">
        <v>25</v>
      </c>
      <c r="D53" s="360" t="s">
        <v>180</v>
      </c>
      <c r="E53" s="356">
        <f>SUMIFS(comparaison_samebasis_villages[actual idp_ind],comparaison_samebasis_villages[Adm3_name],D53) - SUMIFS(comparaison_samebasis_villages[previous idp_ind],comparaison_samebasis_villages[Adm3_name],D53)</f>
        <v>0</v>
      </c>
      <c r="F53" s="356">
        <f>SUMIFS(comparaison_samebasis_villages[actual ref_ind],comparaison_samebasis_villages[Adm3_name],D53) - SUMIFS(comparaison_samebasis_villages[previous ref_ind],comparaison_samebasis_villages[Adm3_name],D53)</f>
        <v>0</v>
      </c>
      <c r="G53" s="356">
        <f>SUMIFS(comparaison_samebasis_villages[actual ret_ind],comparaison_samebasis_villages[Adm3_name],D53) - SUMIFS(comparaison_samebasis_villages[previous ret_ind],comparaison_samebasis_villages[Adm3_name],D53)</f>
        <v>50</v>
      </c>
      <c r="Q53" s="859"/>
      <c r="R53" s="859"/>
      <c r="S53" s="859"/>
      <c r="T53" s="864"/>
      <c r="U53" s="864"/>
      <c r="V53" s="864"/>
      <c r="W53" s="859"/>
      <c r="X53" s="859"/>
      <c r="Y53" s="859"/>
      <c r="Z53" s="859"/>
      <c r="AA53" s="859"/>
      <c r="AB53" s="859"/>
      <c r="AC53" s="859"/>
      <c r="AD53" s="860"/>
      <c r="AE53" s="861"/>
      <c r="AF53" s="364">
        <f t="shared" si="49"/>
        <v>25</v>
      </c>
      <c r="AG53" s="360" t="str">
        <f t="shared" si="50"/>
        <v>Wina</v>
      </c>
      <c r="AH53" s="356">
        <f t="shared" si="51"/>
        <v>0</v>
      </c>
      <c r="AI53" s="356">
        <f t="shared" si="52"/>
        <v>0</v>
      </c>
      <c r="AJ53" s="356">
        <f t="shared" si="53"/>
        <v>50</v>
      </c>
      <c r="BC53" s="349"/>
    </row>
    <row r="54" spans="2:55" ht="15" thickBot="1" x14ac:dyDescent="0.35">
      <c r="B54" s="340"/>
      <c r="C54" s="364">
        <v>26</v>
      </c>
      <c r="D54" s="366" t="s">
        <v>181</v>
      </c>
      <c r="E54" s="358">
        <f>SUMIFS(comparaison_samebasis_villages[actual idp_ind],comparaison_samebasis_villages[Adm3_name],D54) - SUMIFS(comparaison_samebasis_villages[previous idp_ind],comparaison_samebasis_villages[Adm3_name],D54)</f>
        <v>166</v>
      </c>
      <c r="F54" s="358">
        <f>SUMIFS(comparaison_samebasis_villages[actual ref_ind],comparaison_samebasis_villages[Adm3_name],D54) - SUMIFS(comparaison_samebasis_villages[previous ref_ind],comparaison_samebasis_villages[Adm3_name],D54)</f>
        <v>0</v>
      </c>
      <c r="G54" s="358">
        <f>SUMIFS(comparaison_samebasis_villages[actual ret_ind],comparaison_samebasis_villages[Adm3_name],D54) - SUMIFS(comparaison_samebasis_villages[previous ret_ind],comparaison_samebasis_villages[Adm3_name],D54)</f>
        <v>-505</v>
      </c>
      <c r="O54" s="867"/>
      <c r="P54" s="867"/>
      <c r="Q54" s="859"/>
      <c r="R54" s="859"/>
      <c r="S54" s="859"/>
      <c r="T54" s="864"/>
      <c r="U54" s="864"/>
      <c r="V54" s="864"/>
      <c r="W54" s="859"/>
      <c r="X54" s="859"/>
      <c r="Y54" s="859"/>
      <c r="Z54" s="859"/>
      <c r="AA54" s="859"/>
      <c r="AB54" s="859"/>
      <c r="AC54" s="859"/>
      <c r="AD54" s="860"/>
      <c r="AE54" s="861"/>
      <c r="AF54" s="364">
        <f t="shared" si="49"/>
        <v>26</v>
      </c>
      <c r="AG54" s="366" t="str">
        <f t="shared" si="50"/>
        <v>Yagoua</v>
      </c>
      <c r="AH54" s="358">
        <f t="shared" si="51"/>
        <v>166</v>
      </c>
      <c r="AI54" s="358">
        <f t="shared" si="52"/>
        <v>0</v>
      </c>
      <c r="AJ54" s="358">
        <f t="shared" si="53"/>
        <v>-505</v>
      </c>
      <c r="AR54" s="867"/>
      <c r="BC54" s="349"/>
    </row>
    <row r="55" spans="2:55" ht="15" thickBot="1" x14ac:dyDescent="0.35">
      <c r="B55" s="340"/>
      <c r="C55" s="363" t="s">
        <v>43</v>
      </c>
      <c r="D55" s="365" t="s">
        <v>33</v>
      </c>
      <c r="E55" s="351">
        <f>SUM(E56:E60)</f>
        <v>2121</v>
      </c>
      <c r="F55" s="351">
        <f>SUM(F56:F60)</f>
        <v>-231</v>
      </c>
      <c r="G55" s="351">
        <f>SUM(G56:G60)</f>
        <v>-96</v>
      </c>
      <c r="I55" s="1400" t="s">
        <v>24</v>
      </c>
      <c r="J55" s="1401"/>
      <c r="K55" s="1401"/>
      <c r="L55" s="1401"/>
      <c r="M55" s="1402"/>
      <c r="P55" s="865"/>
      <c r="Q55" s="859"/>
      <c r="R55" s="859"/>
      <c r="S55" s="859"/>
      <c r="T55" s="864"/>
      <c r="U55" s="864"/>
      <c r="V55" s="864"/>
      <c r="W55" s="859"/>
      <c r="X55" s="859"/>
      <c r="Y55" s="859"/>
      <c r="Z55" s="859"/>
      <c r="AA55" s="859"/>
      <c r="AB55" s="859"/>
      <c r="AC55" s="859"/>
      <c r="AD55" s="860"/>
      <c r="AE55" s="861"/>
      <c r="AF55" s="363" t="str">
        <f t="shared" si="49"/>
        <v xml:space="preserve"> </v>
      </c>
      <c r="AG55" s="365" t="str">
        <f t="shared" si="50"/>
        <v>Mayo-Kani</v>
      </c>
      <c r="AH55" s="355">
        <f t="shared" si="51"/>
        <v>2121</v>
      </c>
      <c r="AI55" s="355">
        <f t="shared" si="52"/>
        <v>-231</v>
      </c>
      <c r="AJ55" s="355">
        <f t="shared" si="53"/>
        <v>-96</v>
      </c>
      <c r="AL55" s="1400" t="s">
        <v>29</v>
      </c>
      <c r="AM55" s="1401"/>
      <c r="AN55" s="1401"/>
      <c r="AO55" s="1401"/>
      <c r="AP55" s="1402"/>
      <c r="BC55" s="349"/>
    </row>
    <row r="56" spans="2:55" ht="15" thickBot="1" x14ac:dyDescent="0.35">
      <c r="B56" s="340"/>
      <c r="C56" s="364">
        <v>27</v>
      </c>
      <c r="D56" s="360" t="s">
        <v>182</v>
      </c>
      <c r="E56" s="356">
        <f>SUMIFS(comparaison_samebasis_villages[actual idp_ind],comparaison_samebasis_villages[Adm3_name],D56) - SUMIFS(comparaison_samebasis_villages[previous idp_ind],comparaison_samebasis_villages[Adm3_name],D56)</f>
        <v>-4</v>
      </c>
      <c r="F56" s="356">
        <f>SUMIFS(comparaison_samebasis_villages[actual ref_ind],comparaison_samebasis_villages[Adm3_name],D56) - SUMIFS(comparaison_samebasis_villages[previous ref_ind],comparaison_samebasis_villages[Adm3_name],D56)</f>
        <v>30</v>
      </c>
      <c r="G56" s="356">
        <f>SUMIFS(comparaison_samebasis_villages[actual ret_ind],comparaison_samebasis_villages[Adm3_name],D56) - SUMIFS(comparaison_samebasis_villages[previous ret_ind],comparaison_samebasis_villages[Adm3_name],D56)</f>
        <v>-19</v>
      </c>
      <c r="I56" s="1146" t="s">
        <v>48</v>
      </c>
      <c r="J56" s="818" t="s">
        <v>464</v>
      </c>
      <c r="K56" s="818" t="s">
        <v>465</v>
      </c>
      <c r="L56" s="818" t="s">
        <v>466</v>
      </c>
      <c r="M56" s="818" t="s">
        <v>467</v>
      </c>
      <c r="P56" s="865"/>
      <c r="Q56" s="859"/>
      <c r="R56" s="859"/>
      <c r="S56" s="859"/>
      <c r="T56" s="864"/>
      <c r="U56" s="864"/>
      <c r="V56" s="864"/>
      <c r="W56" s="859"/>
      <c r="X56" s="859"/>
      <c r="Y56" s="859"/>
      <c r="Z56" s="859"/>
      <c r="AA56" s="859"/>
      <c r="AB56" s="859"/>
      <c r="AC56" s="859"/>
      <c r="AD56" s="860"/>
      <c r="AE56" s="861"/>
      <c r="AF56" s="364">
        <f t="shared" si="49"/>
        <v>27</v>
      </c>
      <c r="AG56" s="360" t="str">
        <f t="shared" si="50"/>
        <v>Guidiguis</v>
      </c>
      <c r="AH56" s="357">
        <f t="shared" si="51"/>
        <v>-4</v>
      </c>
      <c r="AI56" s="357">
        <f t="shared" si="52"/>
        <v>30</v>
      </c>
      <c r="AJ56" s="357">
        <f t="shared" si="53"/>
        <v>-19</v>
      </c>
      <c r="AL56" s="1146" t="s">
        <v>51</v>
      </c>
      <c r="AM56" s="818" t="s">
        <v>468</v>
      </c>
      <c r="AN56" s="818" t="s">
        <v>469</v>
      </c>
      <c r="AO56" s="818" t="s">
        <v>470</v>
      </c>
      <c r="AP56" s="818" t="s">
        <v>471</v>
      </c>
      <c r="BC56" s="349"/>
    </row>
    <row r="57" spans="2:55" x14ac:dyDescent="0.3">
      <c r="B57" s="340"/>
      <c r="C57" s="364">
        <v>28</v>
      </c>
      <c r="D57" s="366" t="s">
        <v>183</v>
      </c>
      <c r="E57" s="358">
        <f>SUMIFS(comparaison_samebasis_villages[actual idp_ind],comparaison_samebasis_villages[Adm3_name],D57) - SUMIFS(comparaison_samebasis_villages[previous idp_ind],comparaison_samebasis_villages[Adm3_name],D57)</f>
        <v>48</v>
      </c>
      <c r="F57" s="358">
        <f>SUMIFS(comparaison_samebasis_villages[actual ref_ind],comparaison_samebasis_villages[Adm3_name],D57) - SUMIFS(comparaison_samebasis_villages[previous ref_ind],comparaison_samebasis_villages[Adm3_name],D57)</f>
        <v>-61</v>
      </c>
      <c r="G57" s="358">
        <f>SUMIFS(comparaison_samebasis_villages[actual ret_ind],comparaison_samebasis_villages[Adm3_name],D57) - SUMIFS(comparaison_samebasis_villages[previous ret_ind],comparaison_samebasis_villages[Adm3_name],D57)</f>
        <v>-64</v>
      </c>
      <c r="I57" s="367" t="s">
        <v>30</v>
      </c>
      <c r="J57" s="368">
        <f>SUMIFS(comparaison_samebasis_villages[actual ret_ind],comparaison_samebasis_villages[Adm2_name],$I57)</f>
        <v>45</v>
      </c>
      <c r="K57" s="368">
        <f>SUMIFS(comparaison_samebasis_villages[previous ret_ind],comparaison_samebasis_villages[Adm2_name],$I57)</f>
        <v>438</v>
      </c>
      <c r="L57" s="369">
        <f t="shared" ref="L57:L63" si="58">($J57-$K57)/$K57</f>
        <v>-0.89726027397260277</v>
      </c>
      <c r="M57" s="368">
        <f t="shared" ref="M57:M63" si="59">$J57-$K57</f>
        <v>-393</v>
      </c>
      <c r="P57" s="865"/>
      <c r="Q57" s="859"/>
      <c r="R57" s="859"/>
      <c r="S57" s="859"/>
      <c r="T57" s="864"/>
      <c r="U57" s="864"/>
      <c r="V57" s="864"/>
      <c r="W57" s="859"/>
      <c r="X57" s="859"/>
      <c r="Y57" s="859"/>
      <c r="Z57" s="859"/>
      <c r="AA57" s="859"/>
      <c r="AB57" s="859"/>
      <c r="AC57" s="859"/>
      <c r="AD57" s="860"/>
      <c r="AE57" s="861"/>
      <c r="AF57" s="364">
        <f t="shared" si="49"/>
        <v>28</v>
      </c>
      <c r="AG57" s="366" t="str">
        <f t="shared" si="50"/>
        <v>Kaélé</v>
      </c>
      <c r="AH57" s="359">
        <f t="shared" si="51"/>
        <v>48</v>
      </c>
      <c r="AI57" s="359">
        <f t="shared" si="52"/>
        <v>-61</v>
      </c>
      <c r="AJ57" s="359">
        <f t="shared" si="53"/>
        <v>-64</v>
      </c>
      <c r="AL57" s="367" t="s">
        <v>30</v>
      </c>
      <c r="AM57" s="370">
        <f t="shared" ref="AM57:AM62" si="60">J57</f>
        <v>45</v>
      </c>
      <c r="AN57" s="370">
        <f t="shared" ref="AN57:AP62" si="61">K57</f>
        <v>438</v>
      </c>
      <c r="AO57" s="1147">
        <f t="shared" si="61"/>
        <v>-0.89726027397260277</v>
      </c>
      <c r="AP57" s="370">
        <f t="shared" si="61"/>
        <v>-393</v>
      </c>
      <c r="BC57" s="349"/>
    </row>
    <row r="58" spans="2:55" x14ac:dyDescent="0.3">
      <c r="B58" s="340"/>
      <c r="C58" s="364">
        <v>29</v>
      </c>
      <c r="D58" s="360" t="s">
        <v>184</v>
      </c>
      <c r="E58" s="356">
        <f>SUMIFS(comparaison_samebasis_villages[actual idp_ind],comparaison_samebasis_villages[Adm3_name],D58) - SUMIFS(comparaison_samebasis_villages[previous idp_ind],comparaison_samebasis_villages[Adm3_name],D58)</f>
        <v>48</v>
      </c>
      <c r="F58" s="356">
        <f>SUMIFS(comparaison_samebasis_villages[actual ref_ind],comparaison_samebasis_villages[Adm3_name],D58) - SUMIFS(comparaison_samebasis_villages[previous ref_ind],comparaison_samebasis_villages[Adm3_name],D58)</f>
        <v>-93</v>
      </c>
      <c r="G58" s="356">
        <f>SUMIFS(comparaison_samebasis_villages[actual ret_ind],comparaison_samebasis_villages[Adm3_name],D58) - SUMIFS(comparaison_samebasis_villages[previous ret_ind],comparaison_samebasis_villages[Adm3_name],D58)</f>
        <v>-19</v>
      </c>
      <c r="I58" s="371" t="s">
        <v>31</v>
      </c>
      <c r="J58" s="372">
        <f>SUMIFS(comparaison_samebasis_villages[actual ret_ind],comparaison_samebasis_villages[Adm2_name],$I58)</f>
        <v>9424</v>
      </c>
      <c r="K58" s="372">
        <f>SUMIFS(comparaison_samebasis_villages[previous ret_ind],comparaison_samebasis_villages[Adm2_name],$I58)</f>
        <v>62921</v>
      </c>
      <c r="L58" s="373">
        <f t="shared" si="58"/>
        <v>-0.8502248851734715</v>
      </c>
      <c r="M58" s="372">
        <f t="shared" si="59"/>
        <v>-53497</v>
      </c>
      <c r="P58" s="865"/>
      <c r="Q58" s="859"/>
      <c r="R58" s="859"/>
      <c r="S58" s="859"/>
      <c r="T58" s="864"/>
      <c r="U58" s="864"/>
      <c r="V58" s="864"/>
      <c r="W58" s="859"/>
      <c r="X58" s="859"/>
      <c r="Y58" s="859"/>
      <c r="Z58" s="859"/>
      <c r="AA58" s="859"/>
      <c r="AB58" s="859"/>
      <c r="AC58" s="859"/>
      <c r="AD58" s="860"/>
      <c r="AE58" s="861"/>
      <c r="AF58" s="364">
        <f t="shared" si="49"/>
        <v>29</v>
      </c>
      <c r="AG58" s="360" t="str">
        <f t="shared" si="50"/>
        <v>Mindif</v>
      </c>
      <c r="AH58" s="357">
        <f t="shared" si="51"/>
        <v>48</v>
      </c>
      <c r="AI58" s="357">
        <f t="shared" si="52"/>
        <v>-93</v>
      </c>
      <c r="AJ58" s="357">
        <f t="shared" si="53"/>
        <v>-19</v>
      </c>
      <c r="AL58" s="371" t="s">
        <v>31</v>
      </c>
      <c r="AM58" s="374">
        <f t="shared" si="60"/>
        <v>9424</v>
      </c>
      <c r="AN58" s="374">
        <f t="shared" si="61"/>
        <v>62921</v>
      </c>
      <c r="AO58" s="1148">
        <f t="shared" si="61"/>
        <v>-0.8502248851734715</v>
      </c>
      <c r="AP58" s="374">
        <f t="shared" si="61"/>
        <v>-53497</v>
      </c>
      <c r="BC58" s="349"/>
    </row>
    <row r="59" spans="2:55" x14ac:dyDescent="0.3">
      <c r="B59" s="340"/>
      <c r="C59" s="364">
        <v>30</v>
      </c>
      <c r="D59" s="366" t="s">
        <v>185</v>
      </c>
      <c r="E59" s="358">
        <f>SUMIFS(comparaison_samebasis_villages[actual idp_ind],comparaison_samebasis_villages[Adm3_name],D59) - SUMIFS(comparaison_samebasis_villages[previous idp_ind],comparaison_samebasis_villages[Adm3_name],D59)</f>
        <v>2004</v>
      </c>
      <c r="F59" s="358">
        <f>SUMIFS(comparaison_samebasis_villages[actual ref_ind],comparaison_samebasis_villages[Adm3_name],D59) - SUMIFS(comparaison_samebasis_villages[previous ref_ind],comparaison_samebasis_villages[Adm3_name],D59)</f>
        <v>0</v>
      </c>
      <c r="G59" s="358">
        <f>SUMIFS(comparaison_samebasis_villages[actual ret_ind],comparaison_samebasis_villages[Adm3_name],D59) - SUMIFS(comparaison_samebasis_villages[previous ret_ind],comparaison_samebasis_villages[Adm3_name],D59)</f>
        <v>4</v>
      </c>
      <c r="I59" s="367" t="s">
        <v>32</v>
      </c>
      <c r="J59" s="368">
        <f>SUMIFS(comparaison_samebasis_villages[actual ret_ind],comparaison_samebasis_villages[Adm2_name],$I59)</f>
        <v>5360</v>
      </c>
      <c r="K59" s="368">
        <f>SUMIFS(comparaison_samebasis_villages[previous ret_ind],comparaison_samebasis_villages[Adm2_name],$I59)</f>
        <v>16808</v>
      </c>
      <c r="L59" s="369">
        <f t="shared" si="58"/>
        <v>-0.68110423607805803</v>
      </c>
      <c r="M59" s="368">
        <f t="shared" si="59"/>
        <v>-11448</v>
      </c>
      <c r="P59" s="865"/>
      <c r="Q59" s="859"/>
      <c r="R59" s="859"/>
      <c r="S59" s="859"/>
      <c r="T59" s="864"/>
      <c r="U59" s="864"/>
      <c r="V59" s="864"/>
      <c r="W59" s="859"/>
      <c r="X59" s="859"/>
      <c r="Y59" s="859"/>
      <c r="Z59" s="859"/>
      <c r="AA59" s="859"/>
      <c r="AB59" s="859"/>
      <c r="AC59" s="859"/>
      <c r="AD59" s="860"/>
      <c r="AE59" s="861"/>
      <c r="AF59" s="364">
        <f t="shared" si="49"/>
        <v>30</v>
      </c>
      <c r="AG59" s="366" t="str">
        <f t="shared" si="50"/>
        <v>Moulvoudaye</v>
      </c>
      <c r="AH59" s="359">
        <f t="shared" si="51"/>
        <v>2004</v>
      </c>
      <c r="AI59" s="359">
        <f t="shared" si="52"/>
        <v>0</v>
      </c>
      <c r="AJ59" s="359">
        <f t="shared" si="53"/>
        <v>4</v>
      </c>
      <c r="AL59" s="367" t="s">
        <v>32</v>
      </c>
      <c r="AM59" s="370">
        <f t="shared" si="60"/>
        <v>5360</v>
      </c>
      <c r="AN59" s="370">
        <f t="shared" si="61"/>
        <v>16808</v>
      </c>
      <c r="AO59" s="1147">
        <f t="shared" si="61"/>
        <v>-0.68110423607805803</v>
      </c>
      <c r="AP59" s="370">
        <f t="shared" si="61"/>
        <v>-11448</v>
      </c>
      <c r="BC59" s="349"/>
    </row>
    <row r="60" spans="2:55" x14ac:dyDescent="0.3">
      <c r="B60" s="340"/>
      <c r="C60" s="364">
        <v>31</v>
      </c>
      <c r="D60" s="360" t="s">
        <v>186</v>
      </c>
      <c r="E60" s="356">
        <f>SUMIFS(comparaison_samebasis_villages[actual idp_ind],comparaison_samebasis_villages[Adm3_name],D60) - SUMIFS(comparaison_samebasis_villages[previous idp_ind],comparaison_samebasis_villages[Adm3_name],D60)</f>
        <v>25</v>
      </c>
      <c r="F60" s="356">
        <f>SUMIFS(comparaison_samebasis_villages[actual ref_ind],comparaison_samebasis_villages[Adm3_name],D60) - SUMIFS(comparaison_samebasis_villages[previous ref_ind],comparaison_samebasis_villages[Adm3_name],D60)</f>
        <v>-107</v>
      </c>
      <c r="G60" s="356">
        <f>SUMIFS(comparaison_samebasis_villages[actual ret_ind],comparaison_samebasis_villages[Adm3_name],D60) - SUMIFS(comparaison_samebasis_villages[previous ret_ind],comparaison_samebasis_villages[Adm3_name],D60)</f>
        <v>2</v>
      </c>
      <c r="I60" s="371" t="s">
        <v>33</v>
      </c>
      <c r="J60" s="372">
        <f>SUMIFS(comparaison_samebasis_villages[actual ret_ind],comparaison_samebasis_villages[Adm2_name],$I60)</f>
        <v>34</v>
      </c>
      <c r="K60" s="372">
        <f>SUMIFS(comparaison_samebasis_villages[previous ret_ind],comparaison_samebasis_villages[Adm2_name],$I60)</f>
        <v>130</v>
      </c>
      <c r="L60" s="373">
        <f t="shared" si="58"/>
        <v>-0.7384615384615385</v>
      </c>
      <c r="M60" s="372">
        <f t="shared" si="59"/>
        <v>-96</v>
      </c>
      <c r="P60" s="865"/>
      <c r="Q60" s="859"/>
      <c r="R60" s="859"/>
      <c r="S60" s="859"/>
      <c r="T60" s="864"/>
      <c r="U60" s="864"/>
      <c r="V60" s="864"/>
      <c r="W60" s="859"/>
      <c r="X60" s="859"/>
      <c r="Y60" s="859"/>
      <c r="Z60" s="859"/>
      <c r="AA60" s="859"/>
      <c r="AB60" s="859"/>
      <c r="AC60" s="859"/>
      <c r="AD60" s="860"/>
      <c r="AE60" s="861"/>
      <c r="AF60" s="364">
        <f t="shared" si="49"/>
        <v>31</v>
      </c>
      <c r="AG60" s="360" t="str">
        <f t="shared" si="50"/>
        <v>Moutourwa</v>
      </c>
      <c r="AH60" s="357">
        <f t="shared" si="51"/>
        <v>25</v>
      </c>
      <c r="AI60" s="357">
        <f t="shared" si="52"/>
        <v>-107</v>
      </c>
      <c r="AJ60" s="357">
        <f t="shared" si="53"/>
        <v>2</v>
      </c>
      <c r="AL60" s="371" t="s">
        <v>33</v>
      </c>
      <c r="AM60" s="374">
        <f t="shared" si="60"/>
        <v>34</v>
      </c>
      <c r="AN60" s="374">
        <f t="shared" si="61"/>
        <v>130</v>
      </c>
      <c r="AO60" s="1148">
        <f t="shared" si="61"/>
        <v>-0.7384615384615385</v>
      </c>
      <c r="AP60" s="374">
        <f t="shared" si="61"/>
        <v>-96</v>
      </c>
      <c r="BC60" s="349"/>
    </row>
    <row r="61" spans="2:55" x14ac:dyDescent="0.3">
      <c r="B61" s="340"/>
      <c r="C61" s="363" t="s">
        <v>43</v>
      </c>
      <c r="D61" s="365" t="s">
        <v>34</v>
      </c>
      <c r="E61" s="351">
        <f>SUM(E62:E64)</f>
        <v>-4431</v>
      </c>
      <c r="F61" s="351">
        <f>SUM(F62:F64)</f>
        <v>29</v>
      </c>
      <c r="G61" s="351">
        <f>SUM(G62:G64)</f>
        <v>-30298</v>
      </c>
      <c r="I61" s="352" t="s">
        <v>34</v>
      </c>
      <c r="J61" s="353">
        <f>SUMIFS(comparaison_samebasis_villages[actual ret_ind],comparaison_samebasis_villages[Adm2_name],$I61)</f>
        <v>5074</v>
      </c>
      <c r="K61" s="353">
        <f>SUMIFS(comparaison_samebasis_villages[previous ret_ind],comparaison_samebasis_villages[Adm2_name],$I61)</f>
        <v>35372</v>
      </c>
      <c r="L61" s="377">
        <f t="shared" si="58"/>
        <v>-0.85655320592559081</v>
      </c>
      <c r="M61" s="353">
        <f t="shared" si="59"/>
        <v>-30298</v>
      </c>
      <c r="P61" s="865"/>
      <c r="Q61" s="859"/>
      <c r="R61" s="859"/>
      <c r="S61" s="859"/>
      <c r="T61" s="864"/>
      <c r="U61" s="864"/>
      <c r="V61" s="864"/>
      <c r="W61" s="859"/>
      <c r="X61" s="859"/>
      <c r="Y61" s="859"/>
      <c r="Z61" s="859"/>
      <c r="AA61" s="859"/>
      <c r="AB61" s="859"/>
      <c r="AC61" s="859"/>
      <c r="AD61" s="860"/>
      <c r="AE61" s="861"/>
      <c r="AF61" s="363" t="str">
        <f t="shared" si="49"/>
        <v xml:space="preserve"> </v>
      </c>
      <c r="AG61" s="365" t="str">
        <f t="shared" si="50"/>
        <v>Mayo-Sava</v>
      </c>
      <c r="AH61" s="355">
        <f t="shared" si="51"/>
        <v>-4431</v>
      </c>
      <c r="AI61" s="355">
        <f t="shared" si="52"/>
        <v>29</v>
      </c>
      <c r="AJ61" s="355">
        <f t="shared" si="53"/>
        <v>-30298</v>
      </c>
      <c r="AL61" s="352" t="s">
        <v>34</v>
      </c>
      <c r="AM61" s="354">
        <f t="shared" si="60"/>
        <v>5074</v>
      </c>
      <c r="AN61" s="354">
        <f t="shared" si="61"/>
        <v>35372</v>
      </c>
      <c r="AO61" s="1149">
        <f t="shared" si="61"/>
        <v>-0.85655320592559081</v>
      </c>
      <c r="AP61" s="354">
        <f t="shared" si="61"/>
        <v>-30298</v>
      </c>
      <c r="BC61" s="349"/>
    </row>
    <row r="62" spans="2:55" x14ac:dyDescent="0.3">
      <c r="B62" s="340"/>
      <c r="C62" s="364">
        <v>32</v>
      </c>
      <c r="D62" s="360" t="s">
        <v>187</v>
      </c>
      <c r="E62" s="356">
        <f>SUMIFS(comparaison_samebasis_villages[actual idp_ind],comparaison_samebasis_villages[Adm3_name],D62) - SUMIFS(comparaison_samebasis_villages[previous idp_ind],comparaison_samebasis_villages[Adm3_name],D62)</f>
        <v>-5504</v>
      </c>
      <c r="F62" s="356">
        <f>SUMIFS(comparaison_samebasis_villages[actual ref_ind],comparaison_samebasis_villages[Adm3_name],D62) - SUMIFS(comparaison_samebasis_villages[previous ref_ind],comparaison_samebasis_villages[Adm3_name],D62)</f>
        <v>0</v>
      </c>
      <c r="G62" s="356">
        <f>SUMIFS(comparaison_samebasis_villages[actual ret_ind],comparaison_samebasis_villages[Adm3_name],D62) - SUMIFS(comparaison_samebasis_villages[previous ret_ind],comparaison_samebasis_villages[Adm3_name],D62)</f>
        <v>-15891</v>
      </c>
      <c r="I62" s="371" t="s">
        <v>35</v>
      </c>
      <c r="J62" s="372">
        <f>SUMIFS(comparaison_samebasis_villages[actual ret_ind],comparaison_samebasis_villages[Adm2_name],$I62)</f>
        <v>3560</v>
      </c>
      <c r="K62" s="372">
        <f>SUMIFS(comparaison_samebasis_villages[previous ret_ind],comparaison_samebasis_villages[Adm2_name],$I62)</f>
        <v>22483</v>
      </c>
      <c r="L62" s="373">
        <f t="shared" si="58"/>
        <v>-0.84165814170706754</v>
      </c>
      <c r="M62" s="372">
        <f t="shared" si="59"/>
        <v>-18923</v>
      </c>
      <c r="P62" s="865"/>
      <c r="Q62" s="859"/>
      <c r="R62" s="859"/>
      <c r="S62" s="859"/>
      <c r="T62" s="864"/>
      <c r="U62" s="864"/>
      <c r="V62" s="864"/>
      <c r="W62" s="859"/>
      <c r="X62" s="859"/>
      <c r="Y62" s="859"/>
      <c r="Z62" s="859"/>
      <c r="AA62" s="859"/>
      <c r="AB62" s="859"/>
      <c r="AC62" s="859"/>
      <c r="AD62" s="860"/>
      <c r="AE62" s="861"/>
      <c r="AF62" s="364">
        <f t="shared" si="49"/>
        <v>32</v>
      </c>
      <c r="AG62" s="360" t="str">
        <f t="shared" si="50"/>
        <v>Kolofata</v>
      </c>
      <c r="AH62" s="357">
        <f t="shared" si="51"/>
        <v>-5504</v>
      </c>
      <c r="AI62" s="357">
        <f t="shared" si="52"/>
        <v>0</v>
      </c>
      <c r="AJ62" s="357">
        <f t="shared" si="53"/>
        <v>-15891</v>
      </c>
      <c r="AL62" s="371" t="s">
        <v>35</v>
      </c>
      <c r="AM62" s="374">
        <f t="shared" si="60"/>
        <v>3560</v>
      </c>
      <c r="AN62" s="374">
        <f t="shared" si="61"/>
        <v>22483</v>
      </c>
      <c r="AO62" s="1148">
        <f t="shared" si="61"/>
        <v>-0.84165814170706754</v>
      </c>
      <c r="AP62" s="374">
        <f t="shared" si="61"/>
        <v>-18923</v>
      </c>
      <c r="BC62" s="349"/>
    </row>
    <row r="63" spans="2:55" ht="15" thickBot="1" x14ac:dyDescent="0.35">
      <c r="B63" s="340"/>
      <c r="C63" s="364">
        <v>33</v>
      </c>
      <c r="D63" s="366" t="s">
        <v>188</v>
      </c>
      <c r="E63" s="358">
        <f>SUMIFS(comparaison_samebasis_villages[actual idp_ind],comparaison_samebasis_villages[Adm3_name],D63) - SUMIFS(comparaison_samebasis_villages[previous idp_ind],comparaison_samebasis_villages[Adm3_name],D63)</f>
        <v>868</v>
      </c>
      <c r="F63" s="358">
        <f>SUMIFS(comparaison_samebasis_villages[actual ref_ind],comparaison_samebasis_villages[Adm3_name],D63) - SUMIFS(comparaison_samebasis_villages[previous ref_ind],comparaison_samebasis_villages[Adm3_name],D63)</f>
        <v>26</v>
      </c>
      <c r="G63" s="358">
        <f>SUMIFS(comparaison_samebasis_villages[actual ret_ind],comparaison_samebasis_villages[Adm3_name],D63) - SUMIFS(comparaison_samebasis_villages[previous ret_ind],comparaison_samebasis_villages[Adm3_name],D63)</f>
        <v>-14407</v>
      </c>
      <c r="I63" s="378" t="s">
        <v>25</v>
      </c>
      <c r="J63" s="379">
        <f>SUBTOTAL(109,J57:J62)</f>
        <v>23497</v>
      </c>
      <c r="K63" s="379">
        <f>SUM(K57:K62)</f>
        <v>138152</v>
      </c>
      <c r="L63" s="380">
        <f t="shared" si="58"/>
        <v>-0.82991921941050439</v>
      </c>
      <c r="M63" s="379">
        <f t="shared" si="59"/>
        <v>-114655</v>
      </c>
      <c r="P63" s="865"/>
      <c r="Q63" s="859"/>
      <c r="R63" s="859"/>
      <c r="S63" s="859"/>
      <c r="T63" s="864"/>
      <c r="U63" s="864"/>
      <c r="V63" s="864"/>
      <c r="W63" s="859"/>
      <c r="X63" s="859"/>
      <c r="Y63" s="859"/>
      <c r="Z63" s="859"/>
      <c r="AA63" s="859"/>
      <c r="AB63" s="859"/>
      <c r="AC63" s="859"/>
      <c r="AD63" s="860"/>
      <c r="AE63" s="861"/>
      <c r="AF63" s="364">
        <f t="shared" si="49"/>
        <v>33</v>
      </c>
      <c r="AG63" s="366" t="str">
        <f t="shared" si="50"/>
        <v>Mora</v>
      </c>
      <c r="AH63" s="359">
        <f t="shared" si="51"/>
        <v>868</v>
      </c>
      <c r="AI63" s="359">
        <f t="shared" si="52"/>
        <v>26</v>
      </c>
      <c r="AJ63" s="359">
        <f t="shared" si="53"/>
        <v>-14407</v>
      </c>
      <c r="AL63" s="378" t="s">
        <v>25</v>
      </c>
      <c r="AM63" s="381">
        <f>SUBTOTAL(109,AM57:AM62)</f>
        <v>23497</v>
      </c>
      <c r="AN63" s="381">
        <f>SUM(AN57:AN62)</f>
        <v>138152</v>
      </c>
      <c r="AO63" s="382">
        <f>($AM63-$AN63)/$AN63</f>
        <v>-0.82991921941050439</v>
      </c>
      <c r="AP63" s="381">
        <f>$AM63-$AN63</f>
        <v>-114655</v>
      </c>
      <c r="BC63" s="349"/>
    </row>
    <row r="64" spans="2:55" x14ac:dyDescent="0.3">
      <c r="B64" s="340"/>
      <c r="C64" s="364">
        <v>34</v>
      </c>
      <c r="D64" s="360" t="s">
        <v>189</v>
      </c>
      <c r="E64" s="356">
        <f>SUMIFS(comparaison_samebasis_villages[actual idp_ind],comparaison_samebasis_villages[Adm3_name],D64) - SUMIFS(comparaison_samebasis_villages[previous idp_ind],comparaison_samebasis_villages[Adm3_name],D64)</f>
        <v>205</v>
      </c>
      <c r="F64" s="356">
        <f>SUMIFS(comparaison_samebasis_villages[actual ref_ind],comparaison_samebasis_villages[Adm3_name],D64) - SUMIFS(comparaison_samebasis_villages[previous ref_ind],comparaison_samebasis_villages[Adm3_name],D64)</f>
        <v>3</v>
      </c>
      <c r="G64" s="356">
        <f>SUMIFS(comparaison_samebasis_villages[actual ret_ind],comparaison_samebasis_villages[Adm3_name],D64) - SUMIFS(comparaison_samebasis_villages[previous ret_ind],comparaison_samebasis_villages[Adm3_name],D64)</f>
        <v>0</v>
      </c>
      <c r="P64" s="865"/>
      <c r="Q64" s="859"/>
      <c r="R64" s="859"/>
      <c r="S64" s="859"/>
      <c r="T64" s="864"/>
      <c r="U64" s="864"/>
      <c r="V64" s="864"/>
      <c r="W64" s="859"/>
      <c r="X64" s="859"/>
      <c r="Y64" s="859"/>
      <c r="Z64" s="859"/>
      <c r="AA64" s="859"/>
      <c r="AB64" s="859"/>
      <c r="AC64" s="859"/>
      <c r="AD64" s="860"/>
      <c r="AE64" s="861"/>
      <c r="AF64" s="364">
        <f t="shared" si="49"/>
        <v>34</v>
      </c>
      <c r="AG64" s="360" t="str">
        <f t="shared" si="50"/>
        <v>Tokombéré</v>
      </c>
      <c r="AH64" s="357">
        <f t="shared" si="51"/>
        <v>205</v>
      </c>
      <c r="AI64" s="357">
        <f t="shared" si="52"/>
        <v>3</v>
      </c>
      <c r="AJ64" s="357">
        <f t="shared" si="53"/>
        <v>0</v>
      </c>
      <c r="BC64" s="349"/>
    </row>
    <row r="65" spans="2:55" x14ac:dyDescent="0.3">
      <c r="B65" s="340"/>
      <c r="C65" s="363" t="s">
        <v>43</v>
      </c>
      <c r="D65" s="365" t="s">
        <v>35</v>
      </c>
      <c r="E65" s="351">
        <f>SUM(E66:E72)</f>
        <v>13542</v>
      </c>
      <c r="F65" s="351">
        <f>SUM(F66:F72)</f>
        <v>267</v>
      </c>
      <c r="G65" s="351">
        <f>SUM(G66:G72)</f>
        <v>-18923</v>
      </c>
      <c r="P65" s="865"/>
      <c r="Q65" s="859"/>
      <c r="R65" s="859"/>
      <c r="S65" s="859"/>
      <c r="T65" s="864"/>
      <c r="U65" s="864"/>
      <c r="V65" s="864"/>
      <c r="W65" s="859"/>
      <c r="X65" s="859"/>
      <c r="Y65" s="859"/>
      <c r="Z65" s="859"/>
      <c r="AA65" s="859"/>
      <c r="AB65" s="859"/>
      <c r="AC65" s="859"/>
      <c r="AD65" s="860"/>
      <c r="AE65" s="861"/>
      <c r="AF65" s="363" t="str">
        <f t="shared" si="49"/>
        <v xml:space="preserve"> </v>
      </c>
      <c r="AG65" s="365" t="str">
        <f t="shared" si="50"/>
        <v>Mayo-Tsanaga</v>
      </c>
      <c r="AH65" s="355">
        <f t="shared" si="51"/>
        <v>13542</v>
      </c>
      <c r="AI65" s="355">
        <f t="shared" si="52"/>
        <v>267</v>
      </c>
      <c r="AJ65" s="355">
        <f t="shared" si="53"/>
        <v>-18923</v>
      </c>
      <c r="BC65" s="349"/>
    </row>
    <row r="66" spans="2:55" x14ac:dyDescent="0.3">
      <c r="B66" s="340"/>
      <c r="C66" s="364">
        <v>35</v>
      </c>
      <c r="D66" s="360" t="s">
        <v>190</v>
      </c>
      <c r="E66" s="356">
        <f>SUMIFS(comparaison_samebasis_villages[actual idp_ind],comparaison_samebasis_villages[Adm3_name],D66) - SUMIFS(comparaison_samebasis_villages[previous idp_ind],comparaison_samebasis_villages[Adm3_name],D66)</f>
        <v>12</v>
      </c>
      <c r="F66" s="356">
        <f>SUMIFS(comparaison_samebasis_villages[actual ref_ind],comparaison_samebasis_villages[Adm3_name],D66) - SUMIFS(comparaison_samebasis_villages[previous ref_ind],comparaison_samebasis_villages[Adm3_name],D66)</f>
        <v>152</v>
      </c>
      <c r="G66" s="356">
        <f>SUMIFS(comparaison_samebasis_villages[actual ret_ind],comparaison_samebasis_villages[Adm3_name],D66) - SUMIFS(comparaison_samebasis_villages[previous ret_ind],comparaison_samebasis_villages[Adm3_name],D66)</f>
        <v>-636</v>
      </c>
      <c r="Q66" s="859"/>
      <c r="R66" s="859"/>
      <c r="S66" s="859"/>
      <c r="T66" s="864"/>
      <c r="U66" s="864"/>
      <c r="V66" s="864"/>
      <c r="W66" s="859"/>
      <c r="X66" s="859"/>
      <c r="Y66" s="859"/>
      <c r="Z66" s="859"/>
      <c r="AA66" s="859"/>
      <c r="AB66" s="859"/>
      <c r="AC66" s="859"/>
      <c r="AD66" s="860"/>
      <c r="AE66" s="861"/>
      <c r="AF66" s="364">
        <f t="shared" si="49"/>
        <v>35</v>
      </c>
      <c r="AG66" s="360" t="str">
        <f t="shared" si="50"/>
        <v>Bourha</v>
      </c>
      <c r="AH66" s="357">
        <f t="shared" si="51"/>
        <v>12</v>
      </c>
      <c r="AI66" s="357">
        <f t="shared" si="52"/>
        <v>152</v>
      </c>
      <c r="AJ66" s="357">
        <f t="shared" si="53"/>
        <v>-636</v>
      </c>
      <c r="BC66" s="349"/>
    </row>
    <row r="67" spans="2:55" x14ac:dyDescent="0.3">
      <c r="B67" s="340"/>
      <c r="C67" s="364">
        <v>36</v>
      </c>
      <c r="D67" s="366" t="s">
        <v>191</v>
      </c>
      <c r="E67" s="358">
        <f>SUMIFS(comparaison_samebasis_villages[actual idp_ind],comparaison_samebasis_villages[Adm3_name],D67) - SUMIFS(comparaison_samebasis_villages[previous idp_ind],comparaison_samebasis_villages[Adm3_name],D67)</f>
        <v>136</v>
      </c>
      <c r="F67" s="358">
        <f>SUMIFS(comparaison_samebasis_villages[actual ref_ind],comparaison_samebasis_villages[Adm3_name],D67) - SUMIFS(comparaison_samebasis_villages[previous ref_ind],comparaison_samebasis_villages[Adm3_name],D67)</f>
        <v>-24</v>
      </c>
      <c r="G67" s="358">
        <f>SUMIFS(comparaison_samebasis_villages[actual ret_ind],comparaison_samebasis_villages[Adm3_name],D67) - SUMIFS(comparaison_samebasis_villages[previous ret_ind],comparaison_samebasis_villages[Adm3_name],D67)</f>
        <v>-155</v>
      </c>
      <c r="Q67" s="859"/>
      <c r="R67" s="859"/>
      <c r="S67" s="859"/>
      <c r="T67" s="864"/>
      <c r="U67" s="864"/>
      <c r="V67" s="864"/>
      <c r="W67" s="859"/>
      <c r="X67" s="859"/>
      <c r="Y67" s="859"/>
      <c r="Z67" s="859"/>
      <c r="AA67" s="859"/>
      <c r="AB67" s="859"/>
      <c r="AC67" s="859"/>
      <c r="AD67" s="860"/>
      <c r="AE67" s="861"/>
      <c r="AF67" s="364">
        <f t="shared" si="49"/>
        <v>36</v>
      </c>
      <c r="AG67" s="366" t="str">
        <f t="shared" si="50"/>
        <v>Hina</v>
      </c>
      <c r="AH67" s="359">
        <f t="shared" si="51"/>
        <v>136</v>
      </c>
      <c r="AI67" s="359">
        <f t="shared" si="52"/>
        <v>-24</v>
      </c>
      <c r="AJ67" s="359">
        <f t="shared" si="53"/>
        <v>-155</v>
      </c>
      <c r="BC67" s="349"/>
    </row>
    <row r="68" spans="2:55" x14ac:dyDescent="0.3">
      <c r="B68" s="340"/>
      <c r="C68" s="364">
        <v>37</v>
      </c>
      <c r="D68" s="360" t="s">
        <v>192</v>
      </c>
      <c r="E68" s="356">
        <f>SUMIFS(comparaison_samebasis_villages[actual idp_ind],comparaison_samebasis_villages[Adm3_name],D68) - SUMIFS(comparaison_samebasis_villages[previous idp_ind],comparaison_samebasis_villages[Adm3_name],D68)</f>
        <v>15065</v>
      </c>
      <c r="F68" s="356">
        <f>SUMIFS(comparaison_samebasis_villages[actual ref_ind],comparaison_samebasis_villages[Adm3_name],D68) - SUMIFS(comparaison_samebasis_villages[previous ref_ind],comparaison_samebasis_villages[Adm3_name],D68)</f>
        <v>-30</v>
      </c>
      <c r="G68" s="356">
        <f>SUMIFS(comparaison_samebasis_villages[actual ret_ind],comparaison_samebasis_villages[Adm3_name],D68) - SUMIFS(comparaison_samebasis_villages[previous ret_ind],comparaison_samebasis_villages[Adm3_name],D68)</f>
        <v>-1518</v>
      </c>
      <c r="Q68" s="859"/>
      <c r="R68" s="859"/>
      <c r="S68" s="859"/>
      <c r="T68" s="864"/>
      <c r="U68" s="864"/>
      <c r="V68" s="864"/>
      <c r="W68" s="859"/>
      <c r="X68" s="859"/>
      <c r="Y68" s="859"/>
      <c r="Z68" s="859"/>
      <c r="AA68" s="859"/>
      <c r="AB68" s="859"/>
      <c r="AC68" s="859"/>
      <c r="AD68" s="860"/>
      <c r="AE68" s="861"/>
      <c r="AF68" s="364">
        <f t="shared" si="49"/>
        <v>37</v>
      </c>
      <c r="AG68" s="360" t="str">
        <f t="shared" si="50"/>
        <v>Koza</v>
      </c>
      <c r="AH68" s="357">
        <f t="shared" si="51"/>
        <v>15065</v>
      </c>
      <c r="AI68" s="357">
        <f t="shared" si="52"/>
        <v>-30</v>
      </c>
      <c r="AJ68" s="357">
        <f t="shared" si="53"/>
        <v>-1518</v>
      </c>
      <c r="AR68" s="867"/>
      <c r="BC68" s="349"/>
    </row>
    <row r="69" spans="2:55" x14ac:dyDescent="0.3">
      <c r="B69" s="340"/>
      <c r="C69" s="364">
        <v>38</v>
      </c>
      <c r="D69" s="366" t="s">
        <v>193</v>
      </c>
      <c r="E69" s="358">
        <f>SUMIFS(comparaison_samebasis_villages[actual idp_ind],comparaison_samebasis_villages[Adm3_name],D69) - SUMIFS(comparaison_samebasis_villages[previous idp_ind],comparaison_samebasis_villages[Adm3_name],D69)</f>
        <v>1691</v>
      </c>
      <c r="F69" s="358">
        <f>SUMIFS(comparaison_samebasis_villages[actual ref_ind],comparaison_samebasis_villages[Adm3_name],D69) - SUMIFS(comparaison_samebasis_villages[previous ref_ind],comparaison_samebasis_villages[Adm3_name],D69)</f>
        <v>300</v>
      </c>
      <c r="G69" s="358">
        <f>SUMIFS(comparaison_samebasis_villages[actual ret_ind],comparaison_samebasis_villages[Adm3_name],D69) - SUMIFS(comparaison_samebasis_villages[previous ret_ind],comparaison_samebasis_villages[Adm3_name],D69)</f>
        <v>-11784</v>
      </c>
      <c r="Q69" s="859"/>
      <c r="R69" s="859"/>
      <c r="S69" s="859"/>
      <c r="T69" s="864"/>
      <c r="U69" s="864"/>
      <c r="V69" s="864"/>
      <c r="W69" s="859"/>
      <c r="X69" s="859"/>
      <c r="Y69" s="859"/>
      <c r="Z69" s="859"/>
      <c r="AA69" s="859"/>
      <c r="AB69" s="859"/>
      <c r="AC69" s="859"/>
      <c r="AD69" s="860"/>
      <c r="AE69" s="861"/>
      <c r="AF69" s="364">
        <f t="shared" si="49"/>
        <v>38</v>
      </c>
      <c r="AG69" s="366" t="str">
        <f t="shared" si="50"/>
        <v>Mayo-Moskota</v>
      </c>
      <c r="AH69" s="359">
        <f t="shared" si="51"/>
        <v>1691</v>
      </c>
      <c r="AI69" s="359">
        <f t="shared" si="52"/>
        <v>300</v>
      </c>
      <c r="AJ69" s="359">
        <f t="shared" si="53"/>
        <v>-11784</v>
      </c>
      <c r="AR69" s="867"/>
      <c r="BC69" s="349"/>
    </row>
    <row r="70" spans="2:55" x14ac:dyDescent="0.3">
      <c r="B70" s="340"/>
      <c r="C70" s="364">
        <v>39</v>
      </c>
      <c r="D70" s="360" t="s">
        <v>194</v>
      </c>
      <c r="E70" s="356">
        <f>SUMIFS(comparaison_samebasis_villages[actual idp_ind],comparaison_samebasis_villages[Adm3_name],D70) - SUMIFS(comparaison_samebasis_villages[previous idp_ind],comparaison_samebasis_villages[Adm3_name],D70)</f>
        <v>0</v>
      </c>
      <c r="F70" s="356">
        <f>SUMIFS(comparaison_samebasis_villages[actual ref_ind],comparaison_samebasis_villages[Adm3_name],D70) - SUMIFS(comparaison_samebasis_villages[previous ref_ind],comparaison_samebasis_villages[Adm3_name],D70)</f>
        <v>-29</v>
      </c>
      <c r="G70" s="356">
        <f>SUMIFS(comparaison_samebasis_villages[actual ret_ind],comparaison_samebasis_villages[Adm3_name],D70) - SUMIFS(comparaison_samebasis_villages[previous ret_ind],comparaison_samebasis_villages[Adm3_name],D70)</f>
        <v>-847</v>
      </c>
      <c r="Q70" s="859"/>
      <c r="R70" s="859"/>
      <c r="S70" s="859"/>
      <c r="T70" s="864"/>
      <c r="U70" s="864"/>
      <c r="V70" s="864"/>
      <c r="W70" s="859"/>
      <c r="X70" s="859"/>
      <c r="Y70" s="859"/>
      <c r="Z70" s="859"/>
      <c r="AA70" s="859"/>
      <c r="AB70" s="859"/>
      <c r="AC70" s="859"/>
      <c r="AD70" s="860"/>
      <c r="AE70" s="861"/>
      <c r="AF70" s="364">
        <f t="shared" si="49"/>
        <v>39</v>
      </c>
      <c r="AG70" s="360" t="str">
        <f t="shared" si="50"/>
        <v>Mogodé</v>
      </c>
      <c r="AH70" s="357">
        <f t="shared" si="51"/>
        <v>0</v>
      </c>
      <c r="AI70" s="357">
        <f t="shared" si="52"/>
        <v>-29</v>
      </c>
      <c r="AJ70" s="357">
        <f t="shared" si="53"/>
        <v>-847</v>
      </c>
      <c r="AR70" s="867"/>
      <c r="BC70" s="349"/>
    </row>
    <row r="71" spans="2:55" x14ac:dyDescent="0.3">
      <c r="B71" s="340"/>
      <c r="C71" s="364">
        <v>40</v>
      </c>
      <c r="D71" s="366" t="s">
        <v>195</v>
      </c>
      <c r="E71" s="358">
        <f>SUMIFS(comparaison_samebasis_villages[actual idp_ind],comparaison_samebasis_villages[Adm3_name],D71) - SUMIFS(comparaison_samebasis_villages[previous idp_ind],comparaison_samebasis_villages[Adm3_name],D71)</f>
        <v>-2940</v>
      </c>
      <c r="F71" s="358">
        <f>SUMIFS(comparaison_samebasis_villages[actual ref_ind],comparaison_samebasis_villages[Adm3_name],D71) - SUMIFS(comparaison_samebasis_villages[previous ref_ind],comparaison_samebasis_villages[Adm3_name],D71)</f>
        <v>-97</v>
      </c>
      <c r="G71" s="358">
        <f>SUMIFS(comparaison_samebasis_villages[actual ret_ind],comparaison_samebasis_villages[Adm3_name],D71) - SUMIFS(comparaison_samebasis_villages[previous ret_ind],comparaison_samebasis_villages[Adm3_name],D71)</f>
        <v>-3843</v>
      </c>
      <c r="O71" s="866"/>
      <c r="P71" s="866"/>
      <c r="Q71" s="859"/>
      <c r="R71" s="859"/>
      <c r="S71" s="859"/>
      <c r="T71" s="864"/>
      <c r="U71" s="864"/>
      <c r="V71" s="864"/>
      <c r="W71" s="859"/>
      <c r="X71" s="859"/>
      <c r="Y71" s="859"/>
      <c r="Z71" s="859"/>
      <c r="AA71" s="859"/>
      <c r="AB71" s="859"/>
      <c r="AC71" s="859"/>
      <c r="AD71" s="860"/>
      <c r="AE71" s="861"/>
      <c r="AF71" s="364">
        <f t="shared" si="49"/>
        <v>40</v>
      </c>
      <c r="AG71" s="366" t="str">
        <f t="shared" si="50"/>
        <v>Mokolo</v>
      </c>
      <c r="AH71" s="359">
        <f t="shared" si="51"/>
        <v>-2940</v>
      </c>
      <c r="AI71" s="359">
        <f t="shared" si="52"/>
        <v>-97</v>
      </c>
      <c r="AJ71" s="359">
        <f t="shared" si="53"/>
        <v>-3843</v>
      </c>
      <c r="AR71" s="867"/>
      <c r="BC71" s="349"/>
    </row>
    <row r="72" spans="2:55" x14ac:dyDescent="0.3">
      <c r="B72" s="340"/>
      <c r="C72" s="364">
        <v>41</v>
      </c>
      <c r="D72" s="360" t="s">
        <v>196</v>
      </c>
      <c r="E72" s="356">
        <f>SUMIFS(comparaison_samebasis_villages[actual idp_ind],comparaison_samebasis_villages[Adm3_name],D72) - SUMIFS(comparaison_samebasis_villages[previous idp_ind],comparaison_samebasis_villages[Adm3_name],D72)</f>
        <v>-422</v>
      </c>
      <c r="F72" s="356">
        <f>SUMIFS(comparaison_samebasis_villages[actual ref_ind],comparaison_samebasis_villages[Adm3_name],D72) - SUMIFS(comparaison_samebasis_villages[previous ref_ind],comparaison_samebasis_villages[Adm3_name],D72)</f>
        <v>-5</v>
      </c>
      <c r="G72" s="356">
        <f>SUMIFS(comparaison_samebasis_villages[actual ret_ind],comparaison_samebasis_villages[Adm3_name],D72) - SUMIFS(comparaison_samebasis_villages[previous ret_ind],comparaison_samebasis_villages[Adm3_name],D72)</f>
        <v>-140</v>
      </c>
      <c r="O72" s="866"/>
      <c r="P72" s="866"/>
      <c r="Q72" s="859"/>
      <c r="R72" s="859"/>
      <c r="S72" s="859"/>
      <c r="T72" s="864"/>
      <c r="U72" s="864"/>
      <c r="V72" s="864"/>
      <c r="W72" s="859"/>
      <c r="X72" s="859"/>
      <c r="Y72" s="859"/>
      <c r="Z72" s="859"/>
      <c r="AA72" s="859"/>
      <c r="AB72" s="859"/>
      <c r="AC72" s="859"/>
      <c r="AD72" s="860"/>
      <c r="AE72" s="861"/>
      <c r="AF72" s="364">
        <f t="shared" si="49"/>
        <v>41</v>
      </c>
      <c r="AG72" s="360" t="str">
        <f t="shared" si="50"/>
        <v>Soulédé-Roua</v>
      </c>
      <c r="AH72" s="357">
        <f t="shared" si="51"/>
        <v>-422</v>
      </c>
      <c r="AI72" s="357">
        <f t="shared" si="52"/>
        <v>-5</v>
      </c>
      <c r="AJ72" s="357">
        <f t="shared" si="53"/>
        <v>-140</v>
      </c>
      <c r="AR72" s="867"/>
      <c r="BC72" s="349"/>
    </row>
    <row r="73" spans="2:55" x14ac:dyDescent="0.3">
      <c r="B73" s="340"/>
      <c r="C73" s="383"/>
      <c r="D73" s="383" t="s">
        <v>25</v>
      </c>
      <c r="E73" s="361">
        <f>SUM(E65,E61,E55,E46,E35,E26)</f>
        <v>21038</v>
      </c>
      <c r="F73" s="361">
        <f>SUM(F65,F61,F55,F46,F35,F26)</f>
        <v>-2628</v>
      </c>
      <c r="G73" s="361">
        <f>SUM(G65,G61,G55,G46,G35,G26)</f>
        <v>-114655</v>
      </c>
      <c r="N73" s="862"/>
      <c r="O73" s="863"/>
      <c r="P73" s="863"/>
      <c r="R73" s="863"/>
      <c r="S73" s="863"/>
      <c r="T73" s="864"/>
      <c r="U73" s="864"/>
      <c r="V73" s="864"/>
      <c r="W73" s="859"/>
      <c r="X73" s="859"/>
      <c r="Y73" s="859"/>
      <c r="Z73" s="859"/>
      <c r="AA73" s="859"/>
      <c r="AB73" s="859"/>
      <c r="AC73" s="859"/>
      <c r="AD73" s="860"/>
      <c r="AE73" s="861"/>
      <c r="AF73" s="383"/>
      <c r="AG73" s="383" t="s">
        <v>25</v>
      </c>
      <c r="AH73" s="362">
        <f>SUM(AH65,AH61,AH55,AH46,AH35,AH26)</f>
        <v>21038</v>
      </c>
      <c r="AI73" s="362">
        <f>SUM(AI65,AI61,AI55,AI46,AI35,AI26)</f>
        <v>-2628</v>
      </c>
      <c r="AJ73" s="362">
        <f>SUM(AJ65,AJ61,AJ55,AJ46,AJ35,AJ26)</f>
        <v>-114655</v>
      </c>
      <c r="AR73" s="867"/>
      <c r="BC73" s="349"/>
    </row>
    <row r="74" spans="2:55" x14ac:dyDescent="0.3">
      <c r="B74" s="340"/>
      <c r="U74" s="865"/>
      <c r="V74" s="865"/>
      <c r="W74" s="859"/>
      <c r="X74" s="859"/>
      <c r="Y74" s="859"/>
      <c r="Z74" s="859"/>
      <c r="AA74" s="859"/>
      <c r="AB74" s="859"/>
      <c r="AC74" s="859"/>
      <c r="AD74" s="860"/>
      <c r="AE74" s="861"/>
      <c r="BC74" s="349"/>
    </row>
    <row r="75" spans="2:55" x14ac:dyDescent="0.3">
      <c r="B75" s="868"/>
      <c r="C75" s="869"/>
      <c r="D75" s="869"/>
      <c r="E75" s="869"/>
      <c r="F75" s="869"/>
      <c r="G75" s="869"/>
      <c r="H75" s="869"/>
      <c r="I75" s="869"/>
      <c r="J75" s="869"/>
      <c r="K75" s="869"/>
      <c r="L75" s="869"/>
      <c r="M75" s="869"/>
      <c r="N75" s="869"/>
      <c r="O75" s="869"/>
      <c r="P75" s="869"/>
      <c r="Q75" s="869"/>
      <c r="R75" s="869"/>
      <c r="S75" s="869"/>
      <c r="T75" s="869"/>
      <c r="U75" s="870"/>
      <c r="V75" s="870"/>
      <c r="W75" s="871"/>
      <c r="X75" s="871"/>
      <c r="Y75" s="871"/>
      <c r="Z75" s="871"/>
      <c r="AA75" s="871"/>
      <c r="AB75" s="871"/>
      <c r="AC75" s="871"/>
      <c r="AD75" s="872"/>
      <c r="AE75" s="873"/>
      <c r="AF75" s="869"/>
      <c r="AG75" s="869"/>
      <c r="AH75" s="869"/>
      <c r="AI75" s="869"/>
      <c r="AJ75" s="869"/>
      <c r="AK75" s="869"/>
      <c r="AL75" s="869"/>
      <c r="AM75" s="869"/>
      <c r="AN75" s="869"/>
      <c r="AO75" s="869"/>
      <c r="AP75" s="869"/>
      <c r="AQ75" s="869"/>
      <c r="AR75" s="869"/>
      <c r="AS75" s="869"/>
      <c r="AT75" s="869"/>
      <c r="AU75" s="869"/>
      <c r="AV75" s="869"/>
      <c r="AW75" s="869"/>
      <c r="AX75" s="869"/>
      <c r="AY75" s="869"/>
      <c r="AZ75" s="869"/>
      <c r="BA75" s="869"/>
      <c r="BB75" s="869"/>
      <c r="BC75" s="874"/>
    </row>
    <row r="76" spans="2:55" x14ac:dyDescent="0.3">
      <c r="U76" s="875"/>
      <c r="V76" s="875"/>
      <c r="X76" s="859"/>
      <c r="Y76" s="859"/>
      <c r="Z76" s="859"/>
      <c r="AA76" s="859"/>
      <c r="AB76" s="859"/>
      <c r="AC76" s="859"/>
      <c r="AD76" s="860"/>
      <c r="AE76" s="861"/>
    </row>
  </sheetData>
  <mergeCells count="18">
    <mergeCell ref="I26:M26"/>
    <mergeCell ref="I41:M41"/>
    <mergeCell ref="I55:M55"/>
    <mergeCell ref="AL26:AP26"/>
    <mergeCell ref="AL41:AP41"/>
    <mergeCell ref="AL55:AP55"/>
    <mergeCell ref="B1:Y1"/>
    <mergeCell ref="AE1:BC1"/>
    <mergeCell ref="C22:G22"/>
    <mergeCell ref="AF22:AJ22"/>
    <mergeCell ref="E4:L4"/>
    <mergeCell ref="M4:T4"/>
    <mergeCell ref="AY4:BF4"/>
    <mergeCell ref="AQ4:AV4"/>
    <mergeCell ref="U4:AB4"/>
    <mergeCell ref="AI4:AP4"/>
    <mergeCell ref="I22:M23"/>
    <mergeCell ref="AL22:AP23"/>
  </mergeCells>
  <phoneticPr fontId="51" type="noConversion"/>
  <pageMargins left="0.7" right="0.7" top="0.75" bottom="0.75" header="0.3" footer="0.3"/>
  <pageSetup paperSize="9" orientation="portrait" r:id="rId1"/>
  <ignoredErrors>
    <ignoredError sqref="AU1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D 8 G A A B Q S w M E F A A C A A g A Z o k 1 V X / z q 9 W m A A A A 9 g A A A B I A H A B D b 2 5 m a W c v U G F j a 2 F n Z S 5 4 b W w g o h g A K K A U A A A A A A A A A A A A A A A A A A A A A A A A A A A A h Y 8 x D o I w G I W v Q r r T F k w M k p 8 y m D h J Y j Q x r k 2 p 0 A j F t M V y N w e P 5 B X E K O r m + L 7 3 D e / d r z f I h 7 Y J L t J Y 1 e k M R Z i i Q G r R l U p X G e r d M U x Q z m D D x Y l X M h h l b d P B l h m q n T u n h H j v s Z / h z l Q k p j Q i h 2 K 9 E 7 V s O f r I 6 r 8 c K m 0 d 1 0 I i B v v X G B b j i C Z 4 k c w x B T J B K J T + C v G 4 9 9 n + Q F j 2 j e u N Z E c T r r Z A p g j k / Y E 9 A F B L A w Q U A A I A C A B m i T V 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o k 1 V U V c J u 0 3 A w A A T x c A A B M A H A B G b 3 J t d W x h c y 9 T Z W N 0 a W 9 u M S 5 t I K I Y A C i g F A A A A A A A A A A A A A A A A A A A A A A A A A A A A O 2 X X 0 / b M B D A 3 y v x H S L z 0 k o d I g k U a V M f 0 C o N J r a x l v F S V Z G b H M V T 4 n S 2 0 z E h P h D 7 G n y x n Z M m d f q H B n V l D y t Q E d e + + 9 2 d L + e z B F + x m F u 9 7 L / 9 b q + 2 V 5 O 3 V E B g d Z g c h 9 S H C L i 6 B M H i w G p b I a i a h T + 9 O B E + 4 B e f f v W + X h x 0 q K J D K q F O b O f k 4 B B / 7 b e u e 9 g i T Y s E K v J E Y D v 4 3 O + C S g T v M T 4 K I Z d p K 5 H A o N F M 9 Q a g K A t l x p O o P w P d 9 3 v + L U S 0 b W g 7 V x C 1 C Q v G n o A b / C g y e O h r p Y N M 1 T 6 5 p i E k w h I Q a U e e H s E m q P G K D k M 4 6 E L q H C 5 J o F 6 m N o l z a B + R J r l E y n S d y A W u 4 E 4 1 7 8 k 4 X Q r k o b E S 5 q y A L b W r S e i E c u X l Z H s T s l u d j B 5 q b 4 8 1 0 9 2 E e V S d 6 W b M l m Y e b c I 8 r s 7 U Q f 1 I u f f F T 2 N 8 o t n H m 7 B b 1 d k 6 u L G v 4 q G A g t 3 a h H 1 S n d 0 q M k s n c 7 W 8 q j G + m m x W i I v Y p 7 p s S K M w d O F H 8 v R b g T n 3 t 2 s E L g 4 N 9 Q v I 1 d W i E F u o F e c 8 g D u L f o 8 T 9 f Q 4 i + 9 p E K Q z 7 + M w i X i 9 h E a 7 0 z k 0 2 s a / Y r 9 w b c w 5 S E s J h j G T 5 m 7 F I g C R K Z P 1 e S r u Q q 6 Q n A a R 7 X 2 m E R Q D X + 9 O N n D M G c e c c c 0 Z t 5 i 5 Z m F I R 7 A w 5 t P F H 8 Y S / e K j 4 p k q k r n n n X c u p X 4 + O y s e 9 d f f u I A R k w o w E b w u 3 C Q j g H z d y j k t m G 3 v b H F p / B l + G o l f B F I A j 6 N o P p b a + F k o F 6 L e v D f C u U 8 e z M R e p t n M b D + O x l R Q J m P u S c R g D j L p T b K o y V c 4 B 9 c a s O 5 c N B W M B U x Y n M g l m h b e A z w D U Y T T k E m M S p 6 a U H o j p i / D 8 z a i x x M q P D y f 0 W G g / q 3 V p 1 h 8 9 X n N e D B 4 0 9 d W F c P G G r 6 9 z I D V 1 k 7 h 2 B i U 4 L p R M O D 5 c B 3 c e R H c n t H V H F 2 V 6 d n Q S M u V f D M 3 a a I E S G / a s 7 x C L p a B H v V 9 k J I N W c g U V M j E s n i R c L n X z 2 k 3 3 b 6 K F Q 2 1 p N c B T D u 0 + V V e x C C F m e F e 5 + + c x C Z d a U n R C 9 p S L x P 9 d 9 1 p B Q O 2 1 a R W Q G + r V 6 2 A 3 n b L W s G E b X e u F U z Y Z g M 7 w 9 d q l T v Z f b L k t l t 3 G m R 3 5 d 1 d e X d X 3 t 2 V 9 / l C 4 e 4 K x a 5 Q 7 A r F f 1 8 o / g B Q S w E C L Q A U A A I A C A B m i T V V f / O r 1 a Y A A A D 2 A A A A E g A A A A A A A A A A A A A A A A A A A A A A Q 2 9 u Z m l n L 1 B h Y 2 t h Z 2 U u e G 1 s U E s B A i 0 A F A A C A A g A Z o k 1 V Q / K 6 a u k A A A A 6 Q A A A B M A A A A A A A A A A A A A A A A A 8 g A A A F t D b 2 5 0 Z W 5 0 X 1 R 5 c G V z X S 5 4 b W x Q S w E C L Q A U A A I A C A B m i T V V R V w m 7 T c D A A B P F w A A E w A A A A A A A A A A A A A A A A D j A Q A A R m 9 y b X V s Y X M v U 2 V j d G l v b j E u b V B L B Q Y A A A A A A w A D A M I A A A B n 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q x Q A A A A A A A E j 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G l z c G x h Y 2 V t Z W 5 0 U G V y a W 9 k P C 9 J d G V t U G F 0 a D 4 8 L 0 l 0 Z W 1 M b 2 N h d G l v b j 4 8 U 3 R h Y m x l R W 5 0 c m l l c z 4 8 R W 5 0 c n k g V H l w Z T 0 i S X N Q c m l 2 Y X R l I i B W Y W x 1 Z T 0 i b D A i I C 8 + P E V u d H J 5 I F R 5 c G U 9 I k J 1 Z m Z l c k 5 l e H R S Z W Z y Z X N o I i B W Y W x 1 Z T 0 i b D E i I C 8 + P E V u d H J 5 I F R 5 c G U 9 I k Z p b G x F b m F i b G V k I i B W Y W x 1 Z T 0 i b D E i I C 8 + P E V u d H J 5 I F R 5 c G U 9 I k Z p b G x U b 0 R h d G F N b 2 R l b E V u Y W J s Z W Q i I F Z h b H V l P S J s M C I g L z 4 8 R W 5 0 c n k g V H l w Z T 0 i U m V z d W x 0 V H l w Z S I g V m F s d W U 9 I n N F e G N l c H R p b 2 4 i I C 8 + P E V u d H J 5 I F R 5 c G U 9 I k 5 h b W V V c G R h d G V k Q W Z 0 Z X J G a W x s I i B W Y W x 1 Z T 0 i b D A i I C 8 + P E V u d H J 5 I F R 5 c G U 9 I k Z p b G x F c n J v c k N v Z G U i I F Z h b H V l P S J z V W 5 r b m 9 3 b i I g L z 4 8 R W 5 0 c n k g V H l w Z T 0 i R m l s b G V k Q 2 9 t c G x l d G V S Z X N 1 b H R U b 1 d v c m t z a G V l d C I g V m F s d W U 9 I m w x I i A v P j x F b n R y e S B U e X B l P S J G a W x s U 3 R h d H V z I i B W Y W x 1 Z T 0 i c 0 N v b X B s Z X R l I i A v P j x F b n R y e S B U e X B l P S J S Z W N v d m V y e V R h c m d l d F J v d y I g V m F s d W U 9 I m w x I i A v P j x F b n R y e S B U e X B l P S J S Z W N v d m V y e V R h c m d l d E N v b H V t b i I g V m F s d W U 9 I m w x I i A v P j x F b n R y e S B U e X B l P S J S Z W N v d m V y e V R h c m d l d F N o Z W V 0 I i B W Y W x 1 Z T 0 i c 0 R p c 3 B s Y W N l b W V u d F 9 Q Z X J p b 2 R z I i A v P j x F b n R y e S B U e X B l P S J R d W V y e U l E I i B W Y W x 1 Z T 0 i c 2 I z Z W Y 4 Z D V j L T Q y M j g t N G V m N i 1 h Y z E z L T M 0 N z Q 3 Z W V m Y z k 2 N i I g L z 4 8 R W 5 0 c n k g V H l w Z T 0 i R m l s b E N v b H V t b l R 5 c G V z I i B W Y W x 1 Z T 0 i c 0 J n W U d C Z 1 l H Q m d Z R 0 J n T U R C Z 1 l H Q m d Z R 0 J n W U d C Z 1 k 9 I i A v P j x F b n R y e S B U e X B l P S J G a W x s R X J y b 3 J D b 3 V u d C I g V m F s d W U 9 I m w w I i A v P j x F b n R y e S B U e X B l P S J G a W x s T G F z d F V w Z G F 0 Z W Q i I F Z h b H V l P S J k M j A x N y 0 x M i 0 y N F Q x O D o w M j o 1 M C 4 x M D g z N j g x W i I g L z 4 8 R W 5 0 c n k g V H l w Z T 0 i Q W R k Z W R U b 0 R h d G F N b 2 R l b C I g V m F s d W U 9 I m w w I i A v P j x F b n R y e S B U e X B l P S J G a W x s Q 2 9 s d W 1 u T m F t Z X M i I F Z h b H V l P S J z W y Z x d W 9 0 O 2 F k b T F f b m F t Z S Z x d W 9 0 O y w m c X V v d D t h Z G 0 x X 2 N v Z G U m c X V v d D s s J n F 1 b 3 Q 7 Y W R t M l 9 u Y W 1 l J n F 1 b 3 Q 7 L C Z x d W 9 0 O 2 F k b T J f Y 2 9 k Z S Z x d W 9 0 O y w m c X V v d D t h Z G 0 z X 2 5 h b W U m c X V v d D s s J n F 1 b 3 Q 7 Y W R t M 1 9 j b 2 R l J n F 1 b 3 Q 7 L C Z x d W 9 0 O 3 Z p b G x h Z 2 V f b m F t Z S Z x d W 9 0 O y w m c X V v d D t 2 a W x s Y W d l X 2 N v Z G U m c X V v d D s s J n F 1 b 3 Q 7 Z G V w b G F j Z W 1 l b n Q m c X V v d D s s J n F 1 b 3 Q 7 c G V y a W 9 k Z S Z x d W 9 0 O y w m c X V v d D t o a C Z x d W 9 0 O y w m c X V v d D t p b m Q m c X V v d D s s J n F 1 b 3 Q 7 c m F p c 2 9 u J n F 1 b 3 Q 7 L C Z x d W 9 0 O 2 F 1 d H J l X 3 J h a X N v b i Z x d W 9 0 O y w m c X V v d D t w c m 9 2 Z W 5 h b m N l J n F 1 b 3 Q 7 L C Z x d W 9 0 O 3 B y b 3 Z l b m F u Y 2 V f Y W R t M C Z x d W 9 0 O y w m c X V v d D t w c m 9 2 Z W 5 h b m N l X 2 F k b T B f b m 9 t J n F 1 b 3 Q 7 L C Z x d W 9 0 O 3 B y b 3 Z l b m F u Y 2 V f Y W R t M S Z x d W 9 0 O y w m c X V v d D t w c m 9 2 Z W 5 h b m N l X 2 F k b T F f b m 9 t J n F 1 b 3 Q 7 L C Z x d W 9 0 O 3 B y b 3 Z l b m F u Y 2 V f Y W R t M i Z x d W 9 0 O y w m c X V v d D t w c m 9 2 Z W 5 h b m N l X 2 F k b T J f b m 9 t J n F 1 b 3 Q 7 L C Z x d W 9 0 O 3 B y b 3 Z l b m F u Y 2 V f Y W R t M y Z x d W 9 0 O y w m c X V v d D t w c m 9 2 Z W 5 h b m N l X 2 F k b T N f b m 9 t J n F 1 b 3 Q 7 X S I g L z 4 8 R W 5 0 c n k g V H l w Z T 0 i R m l s b F R h c m d l d C I g V m F s d W U 9 I n N E a X N w b G F j Z W 1 l b n R Q I i A v P j x F b n R y e S B U e X B l P S J G a W x s Q 2 9 1 b n Q i I F Z h b H V l P S J s M T k 4 M y I g L z 4 8 R W 5 0 c n k g V H l w Z T 0 i R m l s b E 9 i a m V j d F R 5 c G U i I F Z h b H V l P S J z V G F i b G U i I C 8 + P E V u d H J 5 I F R 5 c G U 9 I l J l b G F 0 a W 9 u c 2 h p c E l u Z m 9 D b 2 5 0 Y W l u Z X I i I F Z h b H V l P S J z e y Z x d W 9 0 O 2 N v b H V t b k N v d W 5 0 J n F 1 b 3 Q 7 O j I z L C Z x d W 9 0 O 2 t l e U N v b H V t b k 5 h b W V z J n F 1 b 3 Q 7 O l t d L C Z x d W 9 0 O 3 F 1 Z X J 5 U m V s Y X R p b 2 5 z a G l w c y Z x d W 9 0 O z p b X S w m c X V v d D t j b 2 x 1 b W 5 J Z G V u d G l 0 a W V z J n F 1 b 3 Q 7 O l s m c X V v d D t T Z X J 2 Z X I u R G F 0 Y W J h c 2 V c X C 8 y L 0 1 5 U 3 F s L z E y N y 4 w L j A u M T o z M z A 2 O 2 R 0 b V 9 y Z D E y L 2 R 0 b V 9 y Z D E y L 2 R 0 b V 9 y Z D E y L m l k c F 9 y Z W Z f c m V 0 L n t h Z G 0 x X 2 5 h b W U s M H 0 m c X V v d D s s J n F 1 b 3 Q 7 U 2 V y d m V y L k R h d G F i Y X N l X F w v M i 9 N e V N x b C 8 x M j c u M C 4 w L j E 6 M z M w N j t k d G 1 f c m Q x M i 9 k d G 1 f c m Q x M i 9 k d G 1 f c m Q x M i 5 p Z H B f c m V m X 3 J l d C 5 7 Y W R t M V 9 j b 2 R l L D F 9 J n F 1 b 3 Q 7 L C Z x d W 9 0 O 1 N l c n Z l c i 5 E Y X R h Y m F z Z V x c L z I v T X l T c W w v M T I 3 L j A u M C 4 x O j M z M D Y 7 Z H R t X 3 J k M T I v Z H R t X 3 J k M T I v Z H R t X 3 J k M T I u a W R w X 3 J l Z l 9 y Z X Q u e 2 F k b T J f b m F t Z S w y f S Z x d W 9 0 O y w m c X V v d D t T Z X J 2 Z X I u R G F 0 Y W J h c 2 V c X C 8 y L 0 1 5 U 3 F s L z E y N y 4 w L j A u M T o z M z A 2 O 2 R 0 b V 9 y Z D E y L 2 R 0 b V 9 y Z D E y L 2 R 0 b V 9 y Z D E y L m l k c F 9 y Z W Z f c m V 0 L n t h Z G 0 y X 2 N v Z G U s M 3 0 m c X V v d D s s J n F 1 b 3 Q 7 U 2 V y d m V y L k R h d G F i Y X N l X F w v M i 9 N e V N x b C 8 x M j c u M C 4 w L j E 6 M z M w N j t k d G 1 f c m Q x M i 9 k d G 1 f c m Q x M i 9 k d G 1 f c m Q x M i 5 p Z H B f c m V m X 3 J l d C 5 7 Y W R t M 1 9 u Y W 1 l L D R 9 J n F 1 b 3 Q 7 L C Z x d W 9 0 O 1 N l c n Z l c i 5 E Y X R h Y m F z Z V x c L z I v T X l T c W w v M T I 3 L j A u M C 4 x O j M z M D Y 7 Z H R t X 3 J k M T I v Z H R t X 3 J k M T I v Z H R t X 3 J k M T I u a W R w X 3 J l Z l 9 y Z X Q u e 2 F k b T N f Y 2 9 k Z S w 1 f S Z x d W 9 0 O y w m c X V v d D t T Z X J 2 Z X I u R G F 0 Y W J h c 2 V c X C 8 y L 0 1 5 U 3 F s L z E y N y 4 w L j A u M T o z M z A 2 O 2 R 0 b V 9 y Z D E y L 2 R 0 b V 9 y Z D E y L 2 R 0 b V 9 y Z D E y L m l k c F 9 y Z W Z f c m V 0 L n t 2 a W x s Y W d l X 2 5 h b W U s N n 0 m c X V v d D s s J n F 1 b 3 Q 7 U 2 V y d m V y L k R h d G F i Y X N l X F w v M i 9 N e V N x b C 8 x M j c u M C 4 w L j E 6 M z M w N j t k d G 1 f c m Q x M i 9 k d G 1 f c m Q x M i 9 k d G 1 f c m Q x M i 5 p Z H B f c m V m X 3 J l d C 5 7 d m l s b G F n Z V 9 j b 2 R l L D d 9 J n F 1 b 3 Q 7 L C Z x d W 9 0 O 1 N l c n Z l c i 5 E Y X R h Y m F z Z V x c L z I v T X l T c W w v M T I 3 L j A u M C 4 x O j M z M D Y 7 Z H R t X 3 J k M T I v Z H R t X 3 J k M T I v Z H R t X 3 J k M T I u a W R w X 3 J l Z l 9 y Z X Q u e 2 R l c G x h Y 2 V t Z W 5 0 L D h 9 J n F 1 b 3 Q 7 L C Z x d W 9 0 O 1 N l Y 3 R p b 2 4 x L 0 R p c 3 B s Y W N l b W V u d F B l c m l v Z C 9 W Y W x l d X I g c m V t c G x h Y 8 O p Z T c u e 3 B l c m l v Z G U s O X 0 m c X V v d D s s J n F 1 b 3 Q 7 U 2 V y d m V y L k R h d G F i Y X N l X F w v M i 9 N e V N x b C 8 x M j c u M C 4 w L j E 6 M z M w N j t k d G 1 f c m Q x M i 9 k d G 1 f c m Q x M i 9 k d G 1 f c m Q x M i 5 p Z H B f c m V m X 3 J l d C 5 7 a G g s M T B 9 J n F 1 b 3 Q 7 L C Z x d W 9 0 O 1 N l c n Z l c i 5 E Y X R h Y m F z Z V x c L z I v T X l T c W w v M T I 3 L j A u M C 4 x O j M z M D Y 7 Z H R t X 3 J k M T I v Z H R t X 3 J k M T I v Z H R t X 3 J k M T I u a W R w X 3 J l Z l 9 y Z X Q u e 2 l u Z C w x M X 0 m c X V v d D s s J n F 1 b 3 Q 7 U 2 V y d m V y L k R h d G F i Y X N l X F w v M i 9 N e V N x b C 8 x M j c u M C 4 w L j E 6 M z M w N j t k d G 1 f c m Q x M i 9 k d G 1 f c m Q x M i 9 k d G 1 f c m Q x M i 5 p Z H B f c m V m X 3 J l d C 5 7 c m F p c 2 9 u L D E y f S Z x d W 9 0 O y w m c X V v d D t T Z X J 2 Z X I u R G F 0 Y W J h c 2 V c X C 8 y L 0 1 5 U 3 F s L z E y N y 4 w L j A u M T o z M z A 2 O 2 R 0 b V 9 y Z D E y L 2 R 0 b V 9 y Z D E y L 2 R 0 b V 9 y Z D E y L m l k c F 9 y Z W Z f c m V 0 L n t h d X R y Z V 9 y Y W l z b 2 4 s M T N 9 J n F 1 b 3 Q 7 L C Z x d W 9 0 O 1 N l c n Z l c i 5 E Y X R h Y m F z Z V x c L z I v T X l T c W w v M T I 3 L j A u M C 4 x O j M z M D Y 7 Z H R t X 3 J k M T I v Z H R t X 3 J k M T I v Z H R t X 3 J k M T I u a W R w X 3 J l Z l 9 y Z X Q u e 3 B y b 3 Z l b m F u Y 2 U s M T R 9 J n F 1 b 3 Q 7 L C Z x d W 9 0 O 1 N l c n Z l c i 5 E Y X R h Y m F z Z V x c L z I v T X l T c W w v M T I 3 L j A u M C 4 x O j M z M D Y 7 Z H R t X 3 J k M T I v Z H R t X 3 J k M T I v Z H R t X 3 J k M T I u a W R w X 3 J l Z l 9 y Z X Q u e 3 B y b 3 Z l b m F u Y 2 V f Y W R t M C w x N X 0 m c X V v d D s s J n F 1 b 3 Q 7 U 2 V y d m V y L k R h d G F i Y X N l X F w v M i 9 N e V N x b C 8 x M j c u M C 4 w L j E 6 M z M w N j t k d G 1 f c m Q x M i 9 k d G 1 f c m Q x M i 9 k d G 1 f c m Q x M i 5 p Z H B f c m V m X 3 J l d C 5 7 c H J v d m V u Y W 5 j Z V 9 h Z G 0 w X 2 5 v b S w x N n 0 m c X V v d D s s J n F 1 b 3 Q 7 U 2 V y d m V y L k R h d G F i Y X N l X F w v M i 9 N e V N x b C 8 x M j c u M C 4 w L j E 6 M z M w N j t k d G 1 f c m Q x M i 9 k d G 1 f c m Q x M i 9 k d G 1 f c m Q x M i 5 p Z H B f c m V m X 3 J l d C 5 7 c H J v d m V u Y W 5 j Z V 9 h Z G 0 x L D E 3 f S Z x d W 9 0 O y w m c X V v d D t T Z X J 2 Z X I u R G F 0 Y W J h c 2 V c X C 8 y L 0 1 5 U 3 F s L z E y N y 4 w L j A u M T o z M z A 2 O 2 R 0 b V 9 y Z D E y L 2 R 0 b V 9 y Z D E y L 2 R 0 b V 9 y Z D E y L m l k c F 9 y Z W Z f c m V 0 L n t w c m 9 2 Z W 5 h b m N l X 2 F k b T F f b m 9 t L D E 4 f S Z x d W 9 0 O y w m c X V v d D t T Z X J 2 Z X I u R G F 0 Y W J h c 2 V c X C 8 y L 0 1 5 U 3 F s L z E y N y 4 w L j A u M T o z M z A 2 O 2 R 0 b V 9 y Z D E y L 2 R 0 b V 9 y Z D E y L 2 R 0 b V 9 y Z D E y L m l k c F 9 y Z W Z f c m V 0 L n t w c m 9 2 Z W 5 h b m N l X 2 F k b T I s M T l 9 J n F 1 b 3 Q 7 L C Z x d W 9 0 O 1 N l c n Z l c i 5 E Y X R h Y m F z Z V x c L z I v T X l T c W w v M T I 3 L j A u M C 4 x O j M z M D Y 7 Z H R t X 3 J k M T I v Z H R t X 3 J k M T I v Z H R t X 3 J k M T I u a W R w X 3 J l Z l 9 y Z X Q u e 3 B y b 3 Z l b m F u Y 2 V f Y W R t M l 9 u b 2 0 s M j B 9 J n F 1 b 3 Q 7 L C Z x d W 9 0 O 1 N l c n Z l c i 5 E Y X R h Y m F z Z V x c L z I v T X l T c W w v M T I 3 L j A u M C 4 x O j M z M D Y 7 Z H R t X 3 J k M T I v Z H R t X 3 J k M T I v Z H R t X 3 J k M T I u a W R w X 3 J l Z l 9 y Z X Q u e 3 B y b 3 Z l b m F u Y 2 V f Y W R t M y w y M X 0 m c X V v d D s s J n F 1 b 3 Q 7 U 2 V y d m V y L k R h d G F i Y X N l X F w v M i 9 N e V N x b C 8 x M j c u M C 4 w L j E 6 M z M w N j t k d G 1 f c m Q x M i 9 k d G 1 f c m Q x M i 9 k d G 1 f c m Q x M i 5 p Z H B f c m V m X 3 J l d C 5 7 c H J v d m V u Y W 5 j Z V 9 h Z G 0 z X 2 5 v b S w y M n 0 m c X V v d D t d L C Z x d W 9 0 O 0 N v b H V t b k N v d W 5 0 J n F 1 b 3 Q 7 O j I z L C Z x d W 9 0 O 0 t l e U N v b H V t b k 5 h b W V z J n F 1 b 3 Q 7 O l t d L C Z x d W 9 0 O 0 N v b H V t b k l k Z W 5 0 a X R p Z X M m c X V v d D s 6 W y Z x d W 9 0 O 1 N l c n Z l c i 5 E Y X R h Y m F z Z V x c L z I v T X l T c W w v M T I 3 L j A u M C 4 x O j M z M D Y 7 Z H R t X 3 J k M T I v Z H R t X 3 J k M T I v Z H R t X 3 J k M T I u a W R w X 3 J l Z l 9 y Z X Q u e 2 F k b T F f b m F t Z S w w f S Z x d W 9 0 O y w m c X V v d D t T Z X J 2 Z X I u R G F 0 Y W J h c 2 V c X C 8 y L 0 1 5 U 3 F s L z E y N y 4 w L j A u M T o z M z A 2 O 2 R 0 b V 9 y Z D E y L 2 R 0 b V 9 y Z D E y L 2 R 0 b V 9 y Z D E y L m l k c F 9 y Z W Z f c m V 0 L n t h Z G 0 x X 2 N v Z G U s M X 0 m c X V v d D s s J n F 1 b 3 Q 7 U 2 V y d m V y L k R h d G F i Y X N l X F w v M i 9 N e V N x b C 8 x M j c u M C 4 w L j E 6 M z M w N j t k d G 1 f c m Q x M i 9 k d G 1 f c m Q x M i 9 k d G 1 f c m Q x M i 5 p Z H B f c m V m X 3 J l d C 5 7 Y W R t M l 9 u Y W 1 l L D J 9 J n F 1 b 3 Q 7 L C Z x d W 9 0 O 1 N l c n Z l c i 5 E Y X R h Y m F z Z V x c L z I v T X l T c W w v M T I 3 L j A u M C 4 x O j M z M D Y 7 Z H R t X 3 J k M T I v Z H R t X 3 J k M T I v Z H R t X 3 J k M T I u a W R w X 3 J l Z l 9 y Z X Q u e 2 F k b T J f Y 2 9 k Z S w z f S Z x d W 9 0 O y w m c X V v d D t T Z X J 2 Z X I u R G F 0 Y W J h c 2 V c X C 8 y L 0 1 5 U 3 F s L z E y N y 4 w L j A u M T o z M z A 2 O 2 R 0 b V 9 y Z D E y L 2 R 0 b V 9 y Z D E y L 2 R 0 b V 9 y Z D E y L m l k c F 9 y Z W Z f c m V 0 L n t h Z G 0 z X 2 5 h b W U s N H 0 m c X V v d D s s J n F 1 b 3 Q 7 U 2 V y d m V y L k R h d G F i Y X N l X F w v M i 9 N e V N x b C 8 x M j c u M C 4 w L j E 6 M z M w N j t k d G 1 f c m Q x M i 9 k d G 1 f c m Q x M i 9 k d G 1 f c m Q x M i 5 p Z H B f c m V m X 3 J l d C 5 7 Y W R t M 1 9 j b 2 R l L D V 9 J n F 1 b 3 Q 7 L C Z x d W 9 0 O 1 N l c n Z l c i 5 E Y X R h Y m F z Z V x c L z I v T X l T c W w v M T I 3 L j A u M C 4 x O j M z M D Y 7 Z H R t X 3 J k M T I v Z H R t X 3 J k M T I v Z H R t X 3 J k M T I u a W R w X 3 J l Z l 9 y Z X Q u e 3 Z p b G x h Z 2 V f b m F t Z S w 2 f S Z x d W 9 0 O y w m c X V v d D t T Z X J 2 Z X I u R G F 0 Y W J h c 2 V c X C 8 y L 0 1 5 U 3 F s L z E y N y 4 w L j A u M T o z M z A 2 O 2 R 0 b V 9 y Z D E y L 2 R 0 b V 9 y Z D E y L 2 R 0 b V 9 y Z D E y L m l k c F 9 y Z W Z f c m V 0 L n t 2 a W x s Y W d l X 2 N v Z G U s N 3 0 m c X V v d D s s J n F 1 b 3 Q 7 U 2 V y d m V y L k R h d G F i Y X N l X F w v M i 9 N e V N x b C 8 x M j c u M C 4 w L j E 6 M z M w N j t k d G 1 f c m Q x M i 9 k d G 1 f c m Q x M i 9 k d G 1 f c m Q x M i 5 p Z H B f c m V m X 3 J l d C 5 7 Z G V w b G F j Z W 1 l b n Q s O H 0 m c X V v d D s s J n F 1 b 3 Q 7 U 2 V j d G l v b j E v R G l z c G x h Y 2 V t Z W 5 0 U G V y a W 9 k L 1 Z h b G V 1 c i B y Z W 1 w b G F j w 6 l l N y 5 7 c G V y a W 9 k Z S w 5 f S Z x d W 9 0 O y w m c X V v d D t T Z X J 2 Z X I u R G F 0 Y W J h c 2 V c X C 8 y L 0 1 5 U 3 F s L z E y N y 4 w L j A u M T o z M z A 2 O 2 R 0 b V 9 y Z D E y L 2 R 0 b V 9 y Z D E y L 2 R 0 b V 9 y Z D E y L m l k c F 9 y Z W Z f c m V 0 L n t o a C w x M H 0 m c X V v d D s s J n F 1 b 3 Q 7 U 2 V y d m V y L k R h d G F i Y X N l X F w v M i 9 N e V N x b C 8 x M j c u M C 4 w L j E 6 M z M w N j t k d G 1 f c m Q x M i 9 k d G 1 f c m Q x M i 9 k d G 1 f c m Q x M i 5 p Z H B f c m V m X 3 J l d C 5 7 a W 5 k L D E x f S Z x d W 9 0 O y w m c X V v d D t T Z X J 2 Z X I u R G F 0 Y W J h c 2 V c X C 8 y L 0 1 5 U 3 F s L z E y N y 4 w L j A u M T o z M z A 2 O 2 R 0 b V 9 y Z D E y L 2 R 0 b V 9 y Z D E y L 2 R 0 b V 9 y Z D E y L m l k c F 9 y Z W Z f c m V 0 L n t y Y W l z b 2 4 s M T J 9 J n F 1 b 3 Q 7 L C Z x d W 9 0 O 1 N l c n Z l c i 5 E Y X R h Y m F z Z V x c L z I v T X l T c W w v M T I 3 L j A u M C 4 x O j M z M D Y 7 Z H R t X 3 J k M T I v Z H R t X 3 J k M T I v Z H R t X 3 J k M T I u a W R w X 3 J l Z l 9 y Z X Q u e 2 F 1 d H J l X 3 J h a X N v b i w x M 3 0 m c X V v d D s s J n F 1 b 3 Q 7 U 2 V y d m V y L k R h d G F i Y X N l X F w v M i 9 N e V N x b C 8 x M j c u M C 4 w L j E 6 M z M w N j t k d G 1 f c m Q x M i 9 k d G 1 f c m Q x M i 9 k d G 1 f c m Q x M i 5 p Z H B f c m V m X 3 J l d C 5 7 c H J v d m V u Y W 5 j Z S w x N H 0 m c X V v d D s s J n F 1 b 3 Q 7 U 2 V y d m V y L k R h d G F i Y X N l X F w v M i 9 N e V N x b C 8 x M j c u M C 4 w L j E 6 M z M w N j t k d G 1 f c m Q x M i 9 k d G 1 f c m Q x M i 9 k d G 1 f c m Q x M i 5 p Z H B f c m V m X 3 J l d C 5 7 c H J v d m V u Y W 5 j Z V 9 h Z G 0 w L D E 1 f S Z x d W 9 0 O y w m c X V v d D t T Z X J 2 Z X I u R G F 0 Y W J h c 2 V c X C 8 y L 0 1 5 U 3 F s L z E y N y 4 w L j A u M T o z M z A 2 O 2 R 0 b V 9 y Z D E y L 2 R 0 b V 9 y Z D E y L 2 R 0 b V 9 y Z D E y L m l k c F 9 y Z W Z f c m V 0 L n t w c m 9 2 Z W 5 h b m N l X 2 F k b T B f b m 9 t L D E 2 f S Z x d W 9 0 O y w m c X V v d D t T Z X J 2 Z X I u R G F 0 Y W J h c 2 V c X C 8 y L 0 1 5 U 3 F s L z E y N y 4 w L j A u M T o z M z A 2 O 2 R 0 b V 9 y Z D E y L 2 R 0 b V 9 y Z D E y L 2 R 0 b V 9 y Z D E y L m l k c F 9 y Z W Z f c m V 0 L n t w c m 9 2 Z W 5 h b m N l X 2 F k b T E s M T d 9 J n F 1 b 3 Q 7 L C Z x d W 9 0 O 1 N l c n Z l c i 5 E Y X R h Y m F z Z V x c L z I v T X l T c W w v M T I 3 L j A u M C 4 x O j M z M D Y 7 Z H R t X 3 J k M T I v Z H R t X 3 J k M T I v Z H R t X 3 J k M T I u a W R w X 3 J l Z l 9 y Z X Q u e 3 B y b 3 Z l b m F u Y 2 V f Y W R t M V 9 u b 2 0 s M T h 9 J n F 1 b 3 Q 7 L C Z x d W 9 0 O 1 N l c n Z l c i 5 E Y X R h Y m F z Z V x c L z I v T X l T c W w v M T I 3 L j A u M C 4 x O j M z M D Y 7 Z H R t X 3 J k M T I v Z H R t X 3 J k M T I v Z H R t X 3 J k M T I u a W R w X 3 J l Z l 9 y Z X Q u e 3 B y b 3 Z l b m F u Y 2 V f Y W R t M i w x O X 0 m c X V v d D s s J n F 1 b 3 Q 7 U 2 V y d m V y L k R h d G F i Y X N l X F w v M i 9 N e V N x b C 8 x M j c u M C 4 w L j E 6 M z M w N j t k d G 1 f c m Q x M i 9 k d G 1 f c m Q x M i 9 k d G 1 f c m Q x M i 5 p Z H B f c m V m X 3 J l d C 5 7 c H J v d m V u Y W 5 j Z V 9 h Z G 0 y X 2 5 v b S w y M H 0 m c X V v d D s s J n F 1 b 3 Q 7 U 2 V y d m V y L k R h d G F i Y X N l X F w v M i 9 N e V N x b C 8 x M j c u M C 4 w L j E 6 M z M w N j t k d G 1 f c m Q x M i 9 k d G 1 f c m Q x M i 9 k d G 1 f c m Q x M i 5 p Z H B f c m V m X 3 J l d C 5 7 c H J v d m V u Y W 5 j Z V 9 h Z G 0 z L D I x f S Z x d W 9 0 O y w m c X V v d D t T Z X J 2 Z X I u R G F 0 Y W J h c 2 V c X C 8 y L 0 1 5 U 3 F s L z E y N y 4 w L j A u M T o z M z A 2 O 2 R 0 b V 9 y Z D E y L 2 R 0 b V 9 y Z D E y L 2 R 0 b V 9 y Z D E y L m l k c F 9 y Z W Z f c m V 0 L n t w c m 9 2 Z W 5 h b m N l X 2 F k b T N f b m 9 t L D I y f S Z x d W 9 0 O 1 0 s J n F 1 b 3 Q 7 U m V s Y X R p b 2 5 z a G l w S W 5 m b y Z x d W 9 0 O z p b X X 0 i I C 8 + P E V u d H J 5 I F R 5 c G U 9 I k Z p b G x U Y X J n Z X R O Y W 1 l Q 3 V z d G 9 t a X p l Z C I g V m F s d W U 9 I m w x I i A v P j w v U 3 R h Y m x l R W 5 0 c m l l c z 4 8 L 0 l 0 Z W 0 + P E l 0 Z W 0 + P E l 0 Z W 1 M b 2 N h d G l v b j 4 8 S X R l b V R 5 c G U + R m 9 y b X V s Y T w v S X R l b V R 5 c G U + P E l 0 Z W 1 Q Y X R o P l N l Y 3 R p b 2 4 x L 0 R p c 3 B s Y W N l b W V u d F B l c m l v Z C 9 T b 3 V y Y 2 U 8 L 0 l 0 Z W 1 Q Y X R o P j w v S X R l b U x v Y 2 F 0 a W 9 u P j x T d G F i b G V F b n R y a W V z I C 8 + P C 9 J d G V t P j x J d G V t P j x J d G V t T G 9 j Y X R p b 2 4 + P E l 0 Z W 1 U e X B l P k Z v c m 1 1 b G E 8 L 0 l 0 Z W 1 U e X B l P j x J d G V t U G F 0 a D 5 T Z W N 0 a W 9 u M S 9 E a X N w b G F j Z W 1 l b n R Q Z X J p b 2 Q v Z G V 0 Y W l s c 1 B l c m l v Z H M 8 L 0 l 0 Z W 1 Q Y X R o P j w v S X R l b U x v Y 2 F 0 a W 9 u P j x T d G F i b G V F b n R y a W V z I C 8 + P C 9 J d G V t P j x J d G V t P j x J d G V t T G 9 j Y X R p b 2 4 + P E l 0 Z W 1 U e X B l P k Z v c m 1 1 b G E 8 L 0 l 0 Z W 1 U e X B l P j x J d G V t U G F 0 a D 5 T Z W N 0 a W 9 u M S 9 E a X N w b G F j Z W 1 l b n R Q Z X J p b 2 Q v V m F s Z X V y J T I w c m V t c G x h Y y V D M y V B O W U x P C 9 J d G V t U G F 0 a D 4 8 L 0 l 0 Z W 1 M b 2 N h d G l v b j 4 8 U 3 R h Y m x l R W 5 0 c m l l c y A v P j w v S X R l b T 4 8 S X R l b T 4 8 S X R l b U x v Y 2 F 0 a W 9 u P j x J d G V t V H l w Z T 5 G b 3 J t d W x h P C 9 J d G V t V H l w Z T 4 8 S X R l b V B h d G g + U 2 V j d G l v b j E v R G l z c G x h Y 2 V t Z W 5 0 U G V y a W 9 k L 1 Z h b G V 1 c i U y M H J l b X B s Y W M l Q z M l Q T l l M j w v S X R l b V B h d G g + P C 9 J d G V t T G 9 j Y X R p b 2 4 + P F N 0 Y W J s Z U V u d H J p Z X M g L z 4 8 L 0 l 0 Z W 0 + P E l 0 Z W 0 + P E l 0 Z W 1 M b 2 N h d G l v b j 4 8 S X R l b V R 5 c G U + R m 9 y b X V s Y T w v S X R l b V R 5 c G U + P E l 0 Z W 1 Q Y X R o P l N l Y 3 R p b 2 4 x L 0 R p c 3 B s Y W N l b W V u d F B l c m l v Z C 9 W Y W x l d X I l M j B y Z W 1 w b G F j J U M z J U E 5 Z T M 8 L 0 l 0 Z W 1 Q Y X R o P j w v S X R l b U x v Y 2 F 0 a W 9 u P j x T d G F i b G V F b n R y a W V z I C 8 + P C 9 J d G V t P j x J d G V t P j x J d G V t T G 9 j Y X R p b 2 4 + P E l 0 Z W 1 U e X B l P k Z v c m 1 1 b G E 8 L 0 l 0 Z W 1 U e X B l P j x J d G V t U G F 0 a D 5 T Z W N 0 a W 9 u M S 9 E a X N w b G F j Z W 1 l b n R Q Z X J p b 2 Q v V m F s Z X V y J T I w c m V t c G x h Y y V D M y V B O W U 0 P C 9 J d G V t U G F 0 a D 4 8 L 0 l 0 Z W 1 M b 2 N h d G l v b j 4 8 U 3 R h Y m x l R W 5 0 c m l l c y A v P j w v S X R l b T 4 8 S X R l b T 4 8 S X R l b U x v Y 2 F 0 a W 9 u P j x J d G V t V H l w Z T 5 G b 3 J t d W x h P C 9 J d G V t V H l w Z T 4 8 S X R l b V B h d G g + U 2 V j d G l v b j E v R G l z c G x h Y 2 V t Z W 5 0 U G V y a W 9 k L 1 Z h b G V 1 c i U y M H J l b X B s Y W M l Q z M l Q T l l N T w v S X R l b V B h d G g + P C 9 J d G V t T G 9 j Y X R p b 2 4 + P F N 0 Y W J s Z U V u d H J p Z X M g L z 4 8 L 0 l 0 Z W 0 + P E l 0 Z W 0 + P E l 0 Z W 1 M b 2 N h d G l v b j 4 8 S X R l b V R 5 c G U + R m 9 y b X V s Y T w v S X R l b V R 5 c G U + P E l 0 Z W 1 Q Y X R o P l N l Y 3 R p b 2 4 x L 0 R p c 3 B s Y W N l b W V u d F B l c m l v Z C 9 W Y W x l d X I l M j B y Z W 1 w b G F j J U M z J U E 5 Z T Y 8 L 0 l 0 Z W 1 Q Y X R o P j w v S X R l b U x v Y 2 F 0 a W 9 u P j x T d G F i b G V F b n R y a W V z I C 8 + P C 9 J d G V t P j x J d G V t P j x J d G V t T G 9 j Y X R p b 2 4 + P E l 0 Z W 1 U e X B l P k Z v c m 1 1 b G E 8 L 0 l 0 Z W 1 U e X B l P j x J d G V t U G F 0 a D 5 T Z W N 0 a W 9 u M S 9 E a X N w b G F j Z W 1 l b n R Q Z X J p b 2 Q v V m F s Z X V y J T I w c m V t c G x h Y y V D M y V B O W U 3 P C 9 J d G V t U G F 0 a D 4 8 L 0 l 0 Z W 1 M b 2 N h d G l v b j 4 8 U 3 R h Y m x l R W 5 0 c m l l c y A v P j w v S X R l b T 4 8 S X R l b T 4 8 S X R l b U x v Y 2 F 0 a W 9 u P j x J d G V t V H l w Z T 5 G b 3 J t d W x h P C 9 J d G V t V H l w Z T 4 8 S X R l b V B h d G g + U 2 V j d G l v b j E v T G 9 j Y X R p b 2 5 z P C 9 J d G V t U G F 0 a D 4 8 L 0 l 0 Z W 1 M b 2 N h d G l v b j 4 8 U 3 R h Y m x l R W 5 0 c m l l c z 4 8 R W 5 0 c n k g V H l w Z T 0 i S X N Q c m l 2 Y X R l I i B W Y W x 1 Z T 0 i b D A i I C 8 + P E V u d H J 5 I F R 5 c G U 9 I k Z p b G x F b m F i b G V k I i B W Y W x 1 Z T 0 i b D E 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1 b n Q i I F Z h b H V l P S J s N z Q 3 I i A v P j x F b n R y e S B U e X B l P S J S Z W N v d m V y e V R h c m d l d F J v d y I g V m F s d W U 9 I m w x I i A v P j x F b n R y e S B U e X B l P S J S Z W N v d m V y e V R h c m d l d E N v b H V t b i I g V m F s d W U 9 I m w x I i A v P j x F b n R y e S B U e X B l P S J S Z W N v d m V y e V R h c m d l d F N o Z W V 0 I i B W Y W x 1 Z T 0 i c 0 x v Y 2 F 0 a W 9 u c y I g L z 4 8 R W 5 0 c n k g V H l w Z T 0 i T m F t Z V V w Z G F 0 Z W R B Z n R l c k Z p b G w i I F Z h b H V l P S J s M C I g L z 4 8 R W 5 0 c n k g V H l w Z T 0 i U X V l c n l J R C I g V m F s d W U 9 I n N k N z Y z O G U 3 Y i 0 2 Z W Q 0 L T Q w Z W Q t Y m V j Y y 1 m O G U 2 N T Q 1 O D Q 0 M T c i I C 8 + P E V u d H J 5 I F R 5 c G U 9 I k Z p b G x U Y X J n Z X Q i I F Z h b H V l P S J z T G 9 j Y X R p b 2 5 z I i A v P j x F b n R y e S B U e X B l P S J G a W x s U 3 R h d H V z I i B W Y W x 1 Z T 0 i c 0 N v b X B s Z X R l I i A v P j x F b n R y e S B U e X B l P S J G a W x s R X J y b 3 J D b 2 R l I i B W Y W x 1 Z T 0 i c 1 V u a 2 5 v d 2 4 i I C 8 + P E V u d H J 5 I F R 5 c G U 9 I k Z p b G x P Y m p l Y 3 R U e X B l I i B W Y W x 1 Z T 0 i c 1 R h Y m x l I i A v P j x F b n R y e S B U e X B l P S J G a W x s T G F z d F V w Z G F 0 Z W Q i I F Z h b H V l P S J k M j A x N y 0 x M i 0 y M l Q x N z o 1 O D o w N y 4 2 N D A 2 M j k y W i I g L z 4 8 R W 5 0 c n k g V H l w Z T 0 i R m l s b E N v b H V t b l R 5 c G V z I i B W Y W x 1 Z T 0 i c 0 J R W U d C Z 1 l H Q m d Z R 0 J n W U R B d 0 1 E Q X d N R y I g L z 4 8 R W 5 0 c n k g V H l w Z T 0 i R m l s b E V y c m 9 y Q 2 9 1 b n Q i I F Z h b H V l P S J s M C I g L z 4 8 R W 5 0 c n k g V H l w Z T 0 i R m l s b E N v b H V t b k 5 h b W V z I i B W Y W x 1 Z T 0 i c 1 s m c X V v d D s j J n F 1 b 3 Q 7 L C Z x d W 9 0 O 0 F k b T F f T m F t Z S Z x d W 9 0 O y w m c X V v d D t B Z G 0 x X 2 N v Z G U m c X V v d D s s J n F 1 b 3 Q 7 Q W R t M l 9 O Y W 1 l J n F 1 b 3 Q 7 L C Z x d W 9 0 O 0 F k b T J f Y 2 9 k Z S Z x d W 9 0 O y w m c X V v d D t B Z G 0 z X 0 5 h b W U m c X V v d D s s J n F 1 b 3 Q 7 Q W R t M 1 9 j b 2 R l J n F 1 b 3 Q 7 L C Z x d W 9 0 O 1 Z p b G x h Z 2 V f Y 2 9 k Z S Z x d W 9 0 O y w m c X V v d D t W a W x s Y W d l X 2 5 h b W U m c X V v d D s s J n F 1 b 3 Q 7 R 3 B z X 2 x v b m c m c X V v d D s s J n F 1 b 3 Q 7 R 3 B z X 2 x h d C Z x d W 9 0 O y w m c X V v d D t J b m R f S U R Q c y Z x d W 9 0 O y w m c X V v d D t I S F 9 J R F B z J n F 1 b 3 Q 7 L C Z x d W 9 0 O 0 l u Z F 9 V b n J l Z 2 l z d G V y Z W R f U m V m d W d l Z X M m c X V v d D s s J n F 1 b 3 Q 7 S E h f V W 5 y Z W d p c 3 R l c m V k X 1 J l Z n V n Z W V z J n F 1 b 3 Q 7 L C Z x d W 9 0 O 0 l u Z F 9 S Z X R 1 c m 5 l Z X M m c X V v d D s s J n F 1 b 3 Q 7 S E h f U m V 0 d X J u Z W V z J n F 1 b 3 Q 7 L C Z x d W 9 0 O 0 5 l d y Z x d W 9 0 O 1 0 i I C 8 + P E V u d H J 5 I F R 5 c G U 9 I k F k Z G V k V G 9 E Y X R h T W 9 k Z W w i I F Z h b H V l P S J s M C I g L z 4 8 R W 5 0 c n k g V H l w Z T 0 i U m V s Y X R p b 2 5 z a G l w S W 5 m b 0 N v b n R h a W 5 l c i I g V m F s d W U 9 I n N 7 J n F 1 b 3 Q 7 Y 2 9 s d W 1 u Q 2 9 1 b n Q m c X V v d D s 6 M T g s J n F 1 b 3 Q 7 a 2 V 5 Q 2 9 s d W 1 u T m F t Z X M m c X V v d D s 6 W 1 0 s J n F 1 b 3 Q 7 c X V l c n l S Z W x h d G l v b n N o a X B z J n F 1 b 3 Q 7 O l t d L C Z x d W 9 0 O 2 N v b H V t b k l k Z W 5 0 a X R p Z X M m c X V v d D s 6 W y Z x d W 9 0 O 1 N l Y 3 R p b 2 4 x L 0 x v Y 2 F 0 a W 9 u c y 9 J b m R l e C B h a m 9 1 d M O p L n t J b m R l e C w x N 3 0 m c X V v d D s s J n F 1 b 3 Q 7 U 2 V j d G l v b j E v T G 9 j Y X R p b 2 5 z L 0 l u Z G V 4 I G F q b 3 V 0 w 6 k u e 0 F k b T F f T m F t Z S w w f S Z x d W 9 0 O y w m c X V v d D t T Z W N 0 a W 9 u M S 9 M b 2 N h d G l v b n M v S W 5 k Z X g g Y W p v d X T D q S 5 7 Q W R t M V 9 j b 2 R l L D F 9 J n F 1 b 3 Q 7 L C Z x d W 9 0 O 1 N l Y 3 R p b 2 4 x L 0 x v Y 2 F 0 a W 9 u c y 9 J b m R l e C B h a m 9 1 d M O p L n t B Z G 0 y X 0 5 h b W U s M n 0 m c X V v d D s s J n F 1 b 3 Q 7 U 2 V j d G l v b j E v T G 9 j Y X R p b 2 5 z L 0 l u Z G V 4 I G F q b 3 V 0 w 6 k u e 0 F k b T J f Y 2 9 k Z S w z f S Z x d W 9 0 O y w m c X V v d D t T Z W N 0 a W 9 u M S 9 M b 2 N h d G l v b n M v S W 5 k Z X g g Y W p v d X T D q S 5 7 Q W R t M 1 9 O Y W 1 l L D R 9 J n F 1 b 3 Q 7 L C Z x d W 9 0 O 1 N l Y 3 R p b 2 4 x L 0 x v Y 2 F 0 a W 9 u c y 9 J b m R l e C B h a m 9 1 d M O p L n t B Z G 0 z X 2 N v Z G U s N X 0 m c X V v d D s s J n F 1 b 3 Q 7 U 2 V j d G l v b j E v T G 9 j Y X R p b 2 5 z L 0 l u Z G V 4 I G F q b 3 V 0 w 6 k u e 1 Z p b G x h Z 2 V f Y 2 9 k Z S w 2 f S Z x d W 9 0 O y w m c X V v d D t T Z W N 0 a W 9 u M S 9 M b 2 N h d G l v b n M v S W 5 k Z X g g Y W p v d X T D q S 5 7 V m l s b G F n Z V 9 u Y W 1 l L D d 9 J n F 1 b 3 Q 7 L C Z x d W 9 0 O 1 N l Y 3 R p b 2 4 x L 0 x v Y 2 F 0 a W 9 u c y 9 J b m R l e C B h a m 9 1 d M O p L n t H c H N f b G 9 u Z y w 4 f S Z x d W 9 0 O y w m c X V v d D t T Z W N 0 a W 9 u M S 9 M b 2 N h d G l v b n M v S W 5 k Z X g g Y W p v d X T D q S 5 7 R 3 B z X 2 x h d C w 5 f S Z x d W 9 0 O y w m c X V v d D t T Z W N 0 a W 9 u M S 9 M b 2 N h d G l v b n M v S W 5 k Z X g g Y W p v d X T D q S 5 7 S W 5 k X 0 l E U H M s M T B 9 J n F 1 b 3 Q 7 L C Z x d W 9 0 O 1 N l Y 3 R p b 2 4 x L 0 x v Y 2 F 0 a W 9 u c y 9 J b m R l e C B h a m 9 1 d M O p L n t I S F 9 J R F B z L D E x f S Z x d W 9 0 O y w m c X V v d D t T Z W N 0 a W 9 u M S 9 M b 2 N h d G l v b n M v S W 5 k Z X g g Y W p v d X T D q S 5 7 S W 5 k X 1 V u c m V n a X N 0 Z X J l Z F 9 S Z W Z 1 Z 2 V l c y w x M n 0 m c X V v d D s s J n F 1 b 3 Q 7 U 2 V j d G l v b j E v T G 9 j Y X R p b 2 5 z L 0 l u Z G V 4 I G F q b 3 V 0 w 6 k u e 0 h I X 1 V u c m V n a X N 0 Z X J l Z F 9 S Z W Z 1 Z 2 V l c y w x M 3 0 m c X V v d D s s J n F 1 b 3 Q 7 U 2 V j d G l v b j E v T G 9 j Y X R p b 2 5 z L 0 l u Z G V 4 I G F q b 3 V 0 w 6 k u e 0 l u Z F 9 S Z X R 1 c m 5 l Z X M s M T R 9 J n F 1 b 3 Q 7 L C Z x d W 9 0 O 1 N l Y 3 R p b 2 4 x L 0 x v Y 2 F 0 a W 9 u c y 9 J b m R l e C B h a m 9 1 d M O p L n t I S F 9 S Z X R 1 c m 5 l Z X M s M T V 9 J n F 1 b 3 Q 7 L C Z x d W 9 0 O 1 N l Y 3 R p b 2 4 x L 0 x v Y 2 F 0 a W 9 u c y 9 J b m R l e C B h a m 9 1 d M O p L n t O Z X c s M T Z 9 J n F 1 b 3 Q 7 X S w m c X V v d D t D b 2 x 1 b W 5 D b 3 V u d C Z x d W 9 0 O z o x O C w m c X V v d D t L Z X l D b 2 x 1 b W 5 O Y W 1 l c y Z x d W 9 0 O z p b X S w m c X V v d D t D b 2 x 1 b W 5 J Z G V u d G l 0 a W V z J n F 1 b 3 Q 7 O l s m c X V v d D t T Z W N 0 a W 9 u M S 9 M b 2 N h d G l v b n M v S W 5 k Z X g g Y W p v d X T D q S 5 7 S W 5 k Z X g s M T d 9 J n F 1 b 3 Q 7 L C Z x d W 9 0 O 1 N l Y 3 R p b 2 4 x L 0 x v Y 2 F 0 a W 9 u c y 9 J b m R l e C B h a m 9 1 d M O p L n t B Z G 0 x X 0 5 h b W U s M H 0 m c X V v d D s s J n F 1 b 3 Q 7 U 2 V j d G l v b j E v T G 9 j Y X R p b 2 5 z L 0 l u Z G V 4 I G F q b 3 V 0 w 6 k u e 0 F k b T F f Y 2 9 k Z S w x f S Z x d W 9 0 O y w m c X V v d D t T Z W N 0 a W 9 u M S 9 M b 2 N h d G l v b n M v S W 5 k Z X g g Y W p v d X T D q S 5 7 Q W R t M l 9 O Y W 1 l L D J 9 J n F 1 b 3 Q 7 L C Z x d W 9 0 O 1 N l Y 3 R p b 2 4 x L 0 x v Y 2 F 0 a W 9 u c y 9 J b m R l e C B h a m 9 1 d M O p L n t B Z G 0 y X 2 N v Z G U s M 3 0 m c X V v d D s s J n F 1 b 3 Q 7 U 2 V j d G l v b j E v T G 9 j Y X R p b 2 5 z L 0 l u Z G V 4 I G F q b 3 V 0 w 6 k u e 0 F k b T N f T m F t Z S w 0 f S Z x d W 9 0 O y w m c X V v d D t T Z W N 0 a W 9 u M S 9 M b 2 N h d G l v b n M v S W 5 k Z X g g Y W p v d X T D q S 5 7 Q W R t M 1 9 j b 2 R l L D V 9 J n F 1 b 3 Q 7 L C Z x d W 9 0 O 1 N l Y 3 R p b 2 4 x L 0 x v Y 2 F 0 a W 9 u c y 9 J b m R l e C B h a m 9 1 d M O p L n t W a W x s Y W d l X 2 N v Z G U s N n 0 m c X V v d D s s J n F 1 b 3 Q 7 U 2 V j d G l v b j E v T G 9 j Y X R p b 2 5 z L 0 l u Z G V 4 I G F q b 3 V 0 w 6 k u e 1 Z p b G x h Z 2 V f b m F t Z S w 3 f S Z x d W 9 0 O y w m c X V v d D t T Z W N 0 a W 9 u M S 9 M b 2 N h d G l v b n M v S W 5 k Z X g g Y W p v d X T D q S 5 7 R 3 B z X 2 x v b m c s O H 0 m c X V v d D s s J n F 1 b 3 Q 7 U 2 V j d G l v b j E v T G 9 j Y X R p b 2 5 z L 0 l u Z G V 4 I G F q b 3 V 0 w 6 k u e 0 d w c 1 9 s Y X Q s O X 0 m c X V v d D s s J n F 1 b 3 Q 7 U 2 V j d G l v b j E v T G 9 j Y X R p b 2 5 z L 0 l u Z G V 4 I G F q b 3 V 0 w 6 k u e 0 l u Z F 9 J R F B z L D E w f S Z x d W 9 0 O y w m c X V v d D t T Z W N 0 a W 9 u M S 9 M b 2 N h d G l v b n M v S W 5 k Z X g g Y W p v d X T D q S 5 7 S E h f S U R Q c y w x M X 0 m c X V v d D s s J n F 1 b 3 Q 7 U 2 V j d G l v b j E v T G 9 j Y X R p b 2 5 z L 0 l u Z G V 4 I G F q b 3 V 0 w 6 k u e 0 l u Z F 9 V b n J l Z 2 l z d G V y Z W R f U m V m d W d l Z X M s M T J 9 J n F 1 b 3 Q 7 L C Z x d W 9 0 O 1 N l Y 3 R p b 2 4 x L 0 x v Y 2 F 0 a W 9 u c y 9 J b m R l e C B h a m 9 1 d M O p L n t I S F 9 V b n J l Z 2 l z d G V y Z W R f U m V m d W d l Z X M s M T N 9 J n F 1 b 3 Q 7 L C Z x d W 9 0 O 1 N l Y 3 R p b 2 4 x L 0 x v Y 2 F 0 a W 9 u c y 9 J b m R l e C B h a m 9 1 d M O p L n t J b m R f U m V 0 d X J u Z W V z L D E 0 f S Z x d W 9 0 O y w m c X V v d D t T Z W N 0 a W 9 u M S 9 M b 2 N h d G l v b n M v S W 5 k Z X g g Y W p v d X T D q S 5 7 S E h f U m V 0 d X J u Z W V z L D E 1 f S Z x d W 9 0 O y w m c X V v d D t T Z W N 0 a W 9 u M S 9 M b 2 N h d G l v b n M v S W 5 k Z X g g Y W p v d X T D q S 5 7 T m V 3 L D E 2 f S Z x d W 9 0 O 1 0 s J n F 1 b 3 Q 7 U m V s Y X R p b 2 5 z a G l w S W 5 m b y Z x d W 9 0 O z p b X X 0 i I C 8 + P C 9 T d G F i b G V F b n R y a W V z P j w v S X R l b T 4 8 S X R l b T 4 8 S X R l b U x v Y 2 F 0 a W 9 u P j x J d G V t V H l w Z T 5 G b 3 J t d W x h P C 9 J d G V t V H l w Z T 4 8 S X R l b V B h d G g + U 2 V j d G l v b j E v T G 9 j Y X R p b 2 5 z L 1 J l c X U l Q z M l Q U F 0 Z U x v Y 2 F 0 a W 9 u c z w v S X R l b V B h d G g + P C 9 J d G V t T G 9 j Y X R p b 2 4 + P F N 0 Y W J s Z U V u d H J p Z X M g L z 4 8 L 0 l 0 Z W 0 + P E l 0 Z W 0 + P E l 0 Z W 1 M b 2 N h d G l v b j 4 8 S X R l b V R 5 c G U + R m 9 y b X V s Y T w v S X R l b V R 5 c G U + P E l 0 Z W 1 Q Y X R o P l N l Y 3 R p b 2 4 x L 0 x v Y 2 F 0 a W 9 u c y 9 k d G 1 f b G 9 j Y X R p b 2 5 z P C 9 J d G V t U G F 0 a D 4 8 L 0 l 0 Z W 1 M b 2 N h d G l v b j 4 8 U 3 R h Y m x l R W 5 0 c m l l c y A v P j w v S X R l b T 4 8 S X R l b T 4 8 S X R l b U x v Y 2 F 0 a W 9 u P j x J d G V t V H l w Z T 5 G b 3 J t d W x h P C 9 J d G V t V H l w Z T 4 8 S X R l b V B h d G g + U 2 V j d G l v b j E v T G 9 j Y X R p b 2 5 z L 0 l u Z G V 4 J T I w Y W p v d X Q l Q z M l Q T k 8 L 0 l 0 Z W 1 Q Y X R o P j w v S X R l b U x v Y 2 F 0 a W 9 u P j x T d G F i b G V F b n R y a W V z I C 8 + P C 9 J d G V t P j x J d G V t P j x J d G V t T G 9 j Y X R p b 2 4 + P E l 0 Z W 1 U e X B l P k Z v c m 1 1 b G E 8 L 0 l 0 Z W 1 U e X B l P j x J d G V t U G F 0 a D 5 T Z W N 0 a W 9 u M S 9 M b 2 N h d G l v b n M v Q 2 9 s b 2 5 u Z X M l M j B 0 c m k l Q z M l Q T l l c z w v S X R l b V B h d G g + P C 9 J d G V t T G 9 j Y X R p b 2 4 + P F N 0 Y W J s Z U V u d H J p Z X M g L z 4 8 L 0 l 0 Z W 0 + P E l 0 Z W 0 + P E l 0 Z W 1 M b 2 N h d G l v b j 4 8 S X R l b V R 5 c G U + R m 9 y b X V s Y T w v S X R l b V R 5 c G U + P E l 0 Z W 1 Q Y X R o P l N l Y 3 R p b 2 4 x L 0 x v Y 2 F 0 a W 9 u c y 9 D b 2 x v b m 5 l c y U y M H J l b m 9 t b S V D M y V B O W V z P C 9 J d G V t U G F 0 a D 4 8 L 0 l 0 Z W 1 M b 2 N h d G l v b j 4 8 U 3 R h Y m x l R W 5 0 c m l l c y A v P j w v S X R l b T 4 8 S X R l b T 4 8 S X R l b U x v Y 2 F 0 a W 9 u P j x J d G V t V H l w Z T 5 G b 3 J t d W x h P C 9 J d G V t V H l w Z T 4 8 S X R l b V B h d G g + U 2 V j d G l v b j E v Y 2 9 t c G F y Y W l z b 2 5 f c 2 F t Z W J h c 2 l z X 3 Z p b G x h Z 2 V z P C 9 J d G V t U G F 0 a D 4 8 L 0 l 0 Z W 1 M b 2 N h d G l v b j 4 8 U 3 R h Y m x l R W 5 0 c m l l c z 4 8 R W 5 0 c n k g V H l w Z T 0 i S X N Q c m l 2 Y X R l I i B W Y W x 1 Z T 0 i b D A i I C 8 + P E V u d H J 5 I F R 5 c G U 9 I k 5 h b W V V c G R h d G V k Q W Z 0 Z X J G a W x s I i B W Y W x 1 Z T 0 i b D A i I C 8 + P E V u d H J 5 I F R 5 c G U 9 I k Z p b G x F b m F i b G V k I i B W Y W x 1 Z T 0 i b D E i I C 8 + P E V u d H J 5 I F R 5 c G U 9 I k Z p b G x U b 0 R h d G F N b 2 R l b E V u Y W J s Z W Q i I F Z h b H V l P S J s M C I g L z 4 8 R W 5 0 c n k g V H l w Z T 0 i R m l s b E N v b H V t b k 5 h b W V z I i B W Y W x 1 Z T 0 i c 1 s m c X V v d D t l d m F s d W F 0 a W 9 u X 2 F k b T J f b m F t Z S Z x d W 9 0 O y w m c X V v d D t l d m F s d W F 0 a W 9 u X 2 F k b T N f b m F t Z S Z x d W 9 0 O y w m c X V v d D t l d m F s d W F 0 a W 9 u X 3 Z p b G x h Z 2 V f b m F t Z S Z x d W 9 0 O y w m c X V v d D t 2 a W x s Y W d l X 1 N T S U Q m c X V v d D s s J n F 1 b 3 Q 7 Y W N 0 X 2 l k c F 9 o a C Z x d W 9 0 O y w m c X V v d D t h Y 3 R f a W R w X 2 l u Z C Z x d W 9 0 O y w m c X V v d D t h Y 3 R f c m V m X 2 h o J n F 1 b 3 Q 7 L C Z x d W 9 0 O 2 F j d F 9 y Z W Z f a W 5 k J n F 1 b 3 Q 7 L C Z x d W 9 0 O 2 F j d F 9 y Z X R f a G g m c X V v d D s s J n F 1 b 3 Q 7 Y W N 0 X 3 J l d F 9 p b m Q m c X V v d D s s J n F 1 b 3 Q 7 c H J l d l 9 p Z H B f a G g m c X V v d D s s J n F 1 b 3 Q 7 c H J l d l 9 p Z H B f a W 5 k J n F 1 b 3 Q 7 L C Z x d W 9 0 O 3 B y Z X Z f c m V m X 2 h o J n F 1 b 3 Q 7 L C Z x d W 9 0 O 3 B y Z X Z f c m V m X 2 l u Z C Z x d W 9 0 O y w m c X V v d D t w c m V 2 X 3 J l d F 9 o a C Z x d W 9 0 O y w m c X V v d D t w c m V 2 X 3 J l d F 9 p b m Q m c X V v d D s s J n F 1 b 3 Q 7 d m F y X 2 l k c C Z x d W 9 0 O y w m c X V v d D t 2 Y X J f c m V m J n F 1 b 3 Q 7 L C Z x d W 9 0 O 3 Z h c l 9 y Z X Q m c X V v d D t d I i A v P j x F b n R y e S B U e X B l P S J G a W x s T G F z d F V w Z G F 0 Z W Q i I F Z h b H V l P S J k M j A x N y 0 x M i 0 y M l Q x N z o 1 O D o 0 M i 4 3 O D E 5 M T U z W i I g L z 4 8 R W 5 0 c n k g V H l w Z T 0 i R m l s b E V y c m 9 y Q 2 9 k Z S I g V m F s d W U 9 I n N V b m t u b 3 d u I i A v P j x F b n R y e S B U e X B l P S J G a W x s Z W R D b 2 1 w b G V 0 Z V J l c 3 V s d F R v V 2 9 y a 3 N o Z W V 0 I i B W Y W x 1 Z T 0 i b D E i I C 8 + P E V u d H J 5 I F R 5 c G U 9 I k Z p b G x T d G F 0 d X M i I F Z h b H V l P S J z Q 2 9 t c G x l d G U i I C 8 + P E V u d H J 5 I F R 5 c G U 9 I l J l Y 2 9 2 Z X J 5 V G F y Z 2 V 0 U 2 h l Z X Q i I F Z h b H V l P S J z V G 9 0 Y W x f Z G F 0 Y S I g L z 4 8 R W 5 0 c n k g V H l w Z T 0 i U m V j b 3 Z l c n l U Y X J n Z X R D b 2 x 1 b W 4 i I F Z h b H V l P S J s N z A i I C 8 + P E V u d H J 5 I F R 5 c G U 9 I l J l Y 2 9 2 Z X J 5 V G F y Z 2 V 0 U m 9 3 I i B W Y W x 1 Z T 0 i b D E i I C 8 + P E V u d H J 5 I F R 5 c G U 9 I l J l c 3 V s d F R 5 c G U i I F Z h b H V l P S J z V G F i b G U i I C 8 + P E V u d H J 5 I F R 5 c G U 9 I k J 1 Z m Z l c k 5 l e H R S Z W Z y Z X N o I i B W Y W x 1 Z T 0 i b D E i I C 8 + P E V u d H J 5 I F R 5 c G U 9 I k Z p b G x D b 3 V u d C I g V m F s d W U 9 I m w 3 N D M i I C 8 + P E V u d H J 5 I F R 5 c G U 9 I k Z p b G x U Y X J n Z X Q i I F Z h b H V l P S J z Y 2 9 t c G F y Y W l z b 2 5 f c 2 F t Z W J h c 2 l z X 3 Z p b G x h Z 2 V z I i A v P j x F b n R y e S B U e X B l P S J R d W V y e U l E I i B W Y W x 1 Z T 0 i c z I 0 Y m E z N G I 1 L T R i N j Y t N D N i N i 0 5 Y z A 0 L W N j M 2 Y 4 M W M 0 M z g w Z S I g L z 4 8 R W 5 0 c n k g V H l w Z T 0 i R m l s b E V y c m 9 y Q 2 9 1 b n Q i I F Z h b H V l P S J s M C I g L z 4 8 R W 5 0 c n k g V H l w Z T 0 i R m l s b E N v b H V t b l R 5 c G V z I i B W Y W x 1 Z T 0 i c 0 J n W U d C Z 0 1 E Q X d N R E F 3 T U R B d 0 1 E Q X d N R E F 3 P T 0 i I C 8 + P E V u d H J 5 I F R 5 c G U 9 I k F k Z G V k V G 9 E Y X R h T W 9 k Z W w i I F Z h b H V l P S J s M C I g L z 4 8 R W 5 0 c n k g V H l w Z T 0 i R m l s b E 9 i a m V j d F R 5 c G U i I F Z h b H V l P S J z V G F i b G U i I C 8 + P E V u d H J 5 I F R 5 c G U 9 I l J l b G F 0 a W 9 u c 2 h p c E l u Z m 9 D b 2 5 0 Y W l u Z X I i I F Z h b H V l P S J z e y Z x d W 9 0 O 2 N v b H V t b k N v d W 5 0 J n F 1 b 3 Q 7 O j E 5 L C Z x d W 9 0 O 2 t l e U N v b H V t b k 5 h b W V z J n F 1 b 3 Q 7 O l t d L C Z x d W 9 0 O 3 F 1 Z X J 5 U m V s Y X R p b 2 5 z a G l w c y Z x d W 9 0 O z p b X S w m c X V v d D t j b 2 x 1 b W 5 J Z G V u d G l 0 a W V z J n F 1 b 3 Q 7 O l s m c X V v d D t T Z X J 2 Z X I u R G F 0 Y W J h c 2 V c X C 8 y L 0 1 5 U 3 F s L z E y N y 4 w L j A u M T o z M z A 2 O 2 R 0 b V 9 y Z D E y L 2 R 0 b V 9 y Z D E y L 2 R 0 b V 9 y Z D E y L m N v b X B h c m F p c 2 9 u X 3 B y Z X Z p b 3 V z X 3 N h b W V i Y X N p c 1 9 2 a W x s Y W d l c y 5 7 Z X Z h b H V h d G l v b l 9 h Z G 0 y X 2 5 h b W U s M H 0 m c X V v d D s s J n F 1 b 3 Q 7 U 2 V y d m V y L k R h d G F i Y X N l X F w v M i 9 N e V N x b C 8 x M j c u M C 4 w L j E 6 M z M w N j t k d G 1 f c m Q x M i 9 k d G 1 f c m Q x M i 9 k d G 1 f c m Q x M i 5 j b 2 1 w Y X J h a X N v b l 9 w c m V 2 a W 9 1 c 1 9 z Y W 1 l Y m F z a X N f d m l s b G F n Z X M u e 2 V 2 Y W x 1 Y X R p b 2 5 f Y W R t M 1 9 u Y W 1 l L D F 9 J n F 1 b 3 Q 7 L C Z x d W 9 0 O 1 N l c n Z l c i 5 E Y X R h Y m F z Z V x c L z I v T X l T c W w v M T I 3 L j A u M C 4 x O j M z M D Y 7 Z H R t X 3 J k M T I v Z H R t X 3 J k M T I v Z H R t X 3 J k M T I u Y 2 9 t c G F y Y W l z b 2 5 f c H J l d m l v d X N f c 2 F t Z W J h c 2 l z X 3 Z p b G x h Z 2 V z L n t l d m F s d W F 0 a W 9 u X 3 Z p b G x h Z 2 V f b m F t Z S w y f S Z x d W 9 0 O y w m c X V v d D t T Z X J 2 Z X I u R G F 0 Y W J h c 2 V c X C 8 y L 0 1 5 U 3 F s L z E y N y 4 w L j A u M T o z M z A 2 O 2 R 0 b V 9 y Z D E y L 2 R 0 b V 9 y Z D E y L 2 R 0 b V 9 y Z D E y L m N v b X B h c m F p c 2 9 u X 3 B y Z X Z p b 3 V z X 3 N h b W V i Y X N p c 1 9 2 a W x s Y W d l c y 5 7 d m l s b G F n Z V 9 T U 0 l E L D N 9 J n F 1 b 3 Q 7 L C Z x d W 9 0 O 1 N l c n Z l c i 5 E Y X R h Y m F z Z V x c L z I v T X l T c W w v M T I 3 L j A u M C 4 x O j M z M D Y 7 Z H R t X 3 J k M T I v Z H R t X 3 J k M T I v Z H R t X 3 J k M T I u Y 2 9 t c G F y Y W l z b 2 5 f c H J l d m l v d X N f c 2 F t Z W J h c 2 l z X 3 Z p b G x h Z 2 V z L n t h Y 3 R f a W R w X 2 h o L D R 9 J n F 1 b 3 Q 7 L C Z x d W 9 0 O 1 N l c n Z l c i 5 E Y X R h Y m F z Z V x c L z I v T X l T c W w v M T I 3 L j A u M C 4 x O j M z M D Y 7 Z H R t X 3 J k M T I v Z H R t X 3 J k M T I v Z H R t X 3 J k M T I u Y 2 9 t c G F y Y W l z b 2 5 f c H J l d m l v d X N f c 2 F t Z W J h c 2 l z X 3 Z p b G x h Z 2 V z L n t h Y 3 R f a W R w X 2 l u Z C w 1 f S Z x d W 9 0 O y w m c X V v d D t T Z X J 2 Z X I u R G F 0 Y W J h c 2 V c X C 8 y L 0 1 5 U 3 F s L z E y N y 4 w L j A u M T o z M z A 2 O 2 R 0 b V 9 y Z D E y L 2 R 0 b V 9 y Z D E y L 2 R 0 b V 9 y Z D E y L m N v b X B h c m F p c 2 9 u X 3 B y Z X Z p b 3 V z X 3 N h b W V i Y X N p c 1 9 2 a W x s Y W d l c y 5 7 Y W N 0 X 3 J l Z l 9 o a C w 2 f S Z x d W 9 0 O y w m c X V v d D t T Z X J 2 Z X I u R G F 0 Y W J h c 2 V c X C 8 y L 0 1 5 U 3 F s L z E y N y 4 w L j A u M T o z M z A 2 O 2 R 0 b V 9 y Z D E y L 2 R 0 b V 9 y Z D E y L 2 R 0 b V 9 y Z D E y L m N v b X B h c m F p c 2 9 u X 3 B y Z X Z p b 3 V z X 3 N h b W V i Y X N p c 1 9 2 a W x s Y W d l c y 5 7 Y W N 0 X 3 J l Z l 9 p b m Q s N 3 0 m c X V v d D s s J n F 1 b 3 Q 7 U 2 V y d m V y L k R h d G F i Y X N l X F w v M i 9 N e V N x b C 8 x M j c u M C 4 w L j E 6 M z M w N j t k d G 1 f c m Q x M i 9 k d G 1 f c m Q x M i 9 k d G 1 f c m Q x M i 5 j b 2 1 w Y X J h a X N v b l 9 w c m V 2 a W 9 1 c 1 9 z Y W 1 l Y m F z a X N f d m l s b G F n Z X M u e 2 F j d F 9 y Z X R f a G g s O H 0 m c X V v d D s s J n F 1 b 3 Q 7 U 2 V y d m V y L k R h d G F i Y X N l X F w v M i 9 N e V N x b C 8 x M j c u M C 4 w L j E 6 M z M w N j t k d G 1 f c m Q x M i 9 k d G 1 f c m Q x M i 9 k d G 1 f c m Q x M i 5 j b 2 1 w Y X J h a X N v b l 9 w c m V 2 a W 9 1 c 1 9 z Y W 1 l Y m F z a X N f d m l s b G F n Z X M u e 2 F j d F 9 y Z X R f a W 5 k L D l 9 J n F 1 b 3 Q 7 L C Z x d W 9 0 O 1 N l c n Z l c i 5 E Y X R h Y m F z Z V x c L z I v T X l T c W w v M T I 3 L j A u M C 4 x O j M z M D Y 7 Z H R t X 3 J k M T I v Z H R t X 3 J k M T I v Z H R t X 3 J k M T I u Y 2 9 t c G F y Y W l z b 2 5 f c H J l d m l v d X N f c 2 F t Z W J h c 2 l z X 3 Z p b G x h Z 2 V z L n t w c m V 2 X 2 l k c F 9 o a C w x M H 0 m c X V v d D s s J n F 1 b 3 Q 7 U 2 V y d m V y L k R h d G F i Y X N l X F w v M i 9 N e V N x b C 8 x M j c u M C 4 w L j E 6 M z M w N j t k d G 1 f c m Q x M i 9 k d G 1 f c m Q x M i 9 k d G 1 f c m Q x M i 5 j b 2 1 w Y X J h a X N v b l 9 w c m V 2 a W 9 1 c 1 9 z Y W 1 l Y m F z a X N f d m l s b G F n Z X M u e 3 B y Z X Z f a W R w X 2 l u Z C w x M X 0 m c X V v d D s s J n F 1 b 3 Q 7 U 2 V y d m V y L k R h d G F i Y X N l X F w v M i 9 N e V N x b C 8 x M j c u M C 4 w L j E 6 M z M w N j t k d G 1 f c m Q x M i 9 k d G 1 f c m Q x M i 9 k d G 1 f c m Q x M i 5 j b 2 1 w Y X J h a X N v b l 9 w c m V 2 a W 9 1 c 1 9 z Y W 1 l Y m F z a X N f d m l s b G F n Z X M u e 3 B y Z X Z f c m V m X 2 h o L D E y f S Z x d W 9 0 O y w m c X V v d D t T Z X J 2 Z X I u R G F 0 Y W J h c 2 V c X C 8 y L 0 1 5 U 3 F s L z E y N y 4 w L j A u M T o z M z A 2 O 2 R 0 b V 9 y Z D E y L 2 R 0 b V 9 y Z D E y L 2 R 0 b V 9 y Z D E y L m N v b X B h c m F p c 2 9 u X 3 B y Z X Z p b 3 V z X 3 N h b W V i Y X N p c 1 9 2 a W x s Y W d l c y 5 7 c H J l d l 9 y Z W Z f a W 5 k L D E z f S Z x d W 9 0 O y w m c X V v d D t T Z X J 2 Z X I u R G F 0 Y W J h c 2 V c X C 8 y L 0 1 5 U 3 F s L z E y N y 4 w L j A u M T o z M z A 2 O 2 R 0 b V 9 y Z D E y L 2 R 0 b V 9 y Z D E y L 2 R 0 b V 9 y Z D E y L m N v b X B h c m F p c 2 9 u X 3 B y Z X Z p b 3 V z X 3 N h b W V i Y X N p c 1 9 2 a W x s Y W d l c y 5 7 c H J l d l 9 y Z X R f a G g s M T R 9 J n F 1 b 3 Q 7 L C Z x d W 9 0 O 1 N l c n Z l c i 5 E Y X R h Y m F z Z V x c L z I v T X l T c W w v M T I 3 L j A u M C 4 x O j M z M D Y 7 Z H R t X 3 J k M T I v Z H R t X 3 J k M T I v Z H R t X 3 J k M T I u Y 2 9 t c G F y Y W l z b 2 5 f c H J l d m l v d X N f c 2 F t Z W J h c 2 l z X 3 Z p b G x h Z 2 V z L n t w c m V 2 X 3 J l d F 9 p b m Q s M T V 9 J n F 1 b 3 Q 7 L C Z x d W 9 0 O 1 N l Y 3 R p b 2 4 x L 2 N v b X B h c m F p c 2 9 u X 3 N h b W V i Y X N p c 1 9 2 a W x s Y W d l c y 9 Q Z X J z b 2 5 u Y W x p c 8 O p Z S B h a m 9 1 d M O p Z S 5 7 d m F y X 2 l k c C w x N n 0 m c X V v d D s s J n F 1 b 3 Q 7 U 2 V j d G l v b j E v Y 2 9 t c G F y Y W l z b 2 5 f c 2 F t Z W J h c 2 l z X 3 Z p b G x h Z 2 V z L 1 B l c n N v b m 5 h b G l z w 6 l l I G F q b 3 V 0 w 6 l l M S 5 7 d m F y X 3 J l Z i w x N 3 0 m c X V v d D s s J n F 1 b 3 Q 7 U 2 V j d G l v b j E v Y 2 9 t c G F y Y W l z b 2 5 f c 2 F t Z W J h c 2 l z X 3 Z p b G x h Z 2 V z L 1 B l c n N v b m 5 h b G l z w 6 l l I G F q b 3 V 0 w 6 l l M i 5 7 d m F y X 3 J l d C w x O H 0 m c X V v d D t d L C Z x d W 9 0 O 0 N v b H V t b k N v d W 5 0 J n F 1 b 3 Q 7 O j E 5 L C Z x d W 9 0 O 0 t l e U N v b H V t b k 5 h b W V z J n F 1 b 3 Q 7 O l t d L C Z x d W 9 0 O 0 N v b H V t b k l k Z W 5 0 a X R p Z X M m c X V v d D s 6 W y Z x d W 9 0 O 1 N l c n Z l c i 5 E Y X R h Y m F z Z V x c L z I v T X l T c W w v M T I 3 L j A u M C 4 x O j M z M D Y 7 Z H R t X 3 J k M T I v Z H R t X 3 J k M T I v Z H R t X 3 J k M T I u Y 2 9 t c G F y Y W l z b 2 5 f c H J l d m l v d X N f c 2 F t Z W J h c 2 l z X 3 Z p b G x h Z 2 V z L n t l d m F s d W F 0 a W 9 u X 2 F k b T J f b m F t Z S w w f S Z x d W 9 0 O y w m c X V v d D t T Z X J 2 Z X I u R G F 0 Y W J h c 2 V c X C 8 y L 0 1 5 U 3 F s L z E y N y 4 w L j A u M T o z M z A 2 O 2 R 0 b V 9 y Z D E y L 2 R 0 b V 9 y Z D E y L 2 R 0 b V 9 y Z D E y L m N v b X B h c m F p c 2 9 u X 3 B y Z X Z p b 3 V z X 3 N h b W V i Y X N p c 1 9 2 a W x s Y W d l c y 5 7 Z X Z h b H V h d G l v b l 9 h Z G 0 z X 2 5 h b W U s M X 0 m c X V v d D s s J n F 1 b 3 Q 7 U 2 V y d m V y L k R h d G F i Y X N l X F w v M i 9 N e V N x b C 8 x M j c u M C 4 w L j E 6 M z M w N j t k d G 1 f c m Q x M i 9 k d G 1 f c m Q x M i 9 k d G 1 f c m Q x M i 5 j b 2 1 w Y X J h a X N v b l 9 w c m V 2 a W 9 1 c 1 9 z Y W 1 l Y m F z a X N f d m l s b G F n Z X M u e 2 V 2 Y W x 1 Y X R p b 2 5 f d m l s b G F n Z V 9 u Y W 1 l L D J 9 J n F 1 b 3 Q 7 L C Z x d W 9 0 O 1 N l c n Z l c i 5 E Y X R h Y m F z Z V x c L z I v T X l T c W w v M T I 3 L j A u M C 4 x O j M z M D Y 7 Z H R t X 3 J k M T I v Z H R t X 3 J k M T I v Z H R t X 3 J k M T I u Y 2 9 t c G F y Y W l z b 2 5 f c H J l d m l v d X N f c 2 F t Z W J h c 2 l z X 3 Z p b G x h Z 2 V z L n t 2 a W x s Y W d l X 1 N T S U Q s M 3 0 m c X V v d D s s J n F 1 b 3 Q 7 U 2 V y d m V y L k R h d G F i Y X N l X F w v M i 9 N e V N x b C 8 x M j c u M C 4 w L j E 6 M z M w N j t k d G 1 f c m Q x M i 9 k d G 1 f c m Q x M i 9 k d G 1 f c m Q x M i 5 j b 2 1 w Y X J h a X N v b l 9 w c m V 2 a W 9 1 c 1 9 z Y W 1 l Y m F z a X N f d m l s b G F n Z X M u e 2 F j d F 9 p Z H B f a G g s N H 0 m c X V v d D s s J n F 1 b 3 Q 7 U 2 V y d m V y L k R h d G F i Y X N l X F w v M i 9 N e V N x b C 8 x M j c u M C 4 w L j E 6 M z M w N j t k d G 1 f c m Q x M i 9 k d G 1 f c m Q x M i 9 k d G 1 f c m Q x M i 5 j b 2 1 w Y X J h a X N v b l 9 w c m V 2 a W 9 1 c 1 9 z Y W 1 l Y m F z a X N f d m l s b G F n Z X M u e 2 F j d F 9 p Z H B f a W 5 k L D V 9 J n F 1 b 3 Q 7 L C Z x d W 9 0 O 1 N l c n Z l c i 5 E Y X R h Y m F z Z V x c L z I v T X l T c W w v M T I 3 L j A u M C 4 x O j M z M D Y 7 Z H R t X 3 J k M T I v Z H R t X 3 J k M T I v Z H R t X 3 J k M T I u Y 2 9 t c G F y Y W l z b 2 5 f c H J l d m l v d X N f c 2 F t Z W J h c 2 l z X 3 Z p b G x h Z 2 V z L n t h Y 3 R f c m V m X 2 h o L D Z 9 J n F 1 b 3 Q 7 L C Z x d W 9 0 O 1 N l c n Z l c i 5 E Y X R h Y m F z Z V x c L z I v T X l T c W w v M T I 3 L j A u M C 4 x O j M z M D Y 7 Z H R t X 3 J k M T I v Z H R t X 3 J k M T I v Z H R t X 3 J k M T I u Y 2 9 t c G F y Y W l z b 2 5 f c H J l d m l v d X N f c 2 F t Z W J h c 2 l z X 3 Z p b G x h Z 2 V z L n t h Y 3 R f c m V m X 2 l u Z C w 3 f S Z x d W 9 0 O y w m c X V v d D t T Z X J 2 Z X I u R G F 0 Y W J h c 2 V c X C 8 y L 0 1 5 U 3 F s L z E y N y 4 w L j A u M T o z M z A 2 O 2 R 0 b V 9 y Z D E y L 2 R 0 b V 9 y Z D E y L 2 R 0 b V 9 y Z D E y L m N v b X B h c m F p c 2 9 u X 3 B y Z X Z p b 3 V z X 3 N h b W V i Y X N p c 1 9 2 a W x s Y W d l c y 5 7 Y W N 0 X 3 J l d F 9 o a C w 4 f S Z x d W 9 0 O y w m c X V v d D t T Z X J 2 Z X I u R G F 0 Y W J h c 2 V c X C 8 y L 0 1 5 U 3 F s L z E y N y 4 w L j A u M T o z M z A 2 O 2 R 0 b V 9 y Z D E y L 2 R 0 b V 9 y Z D E y L 2 R 0 b V 9 y Z D E y L m N v b X B h c m F p c 2 9 u X 3 B y Z X Z p b 3 V z X 3 N h b W V i Y X N p c 1 9 2 a W x s Y W d l c y 5 7 Y W N 0 X 3 J l d F 9 p b m Q s O X 0 m c X V v d D s s J n F 1 b 3 Q 7 U 2 V y d m V y L k R h d G F i Y X N l X F w v M i 9 N e V N x b C 8 x M j c u M C 4 w L j E 6 M z M w N j t k d G 1 f c m Q x M i 9 k d G 1 f c m Q x M i 9 k d G 1 f c m Q x M i 5 j b 2 1 w Y X J h a X N v b l 9 w c m V 2 a W 9 1 c 1 9 z Y W 1 l Y m F z a X N f d m l s b G F n Z X M u e 3 B y Z X Z f a W R w X 2 h o L D E w f S Z x d W 9 0 O y w m c X V v d D t T Z X J 2 Z X I u R G F 0 Y W J h c 2 V c X C 8 y L 0 1 5 U 3 F s L z E y N y 4 w L j A u M T o z M z A 2 O 2 R 0 b V 9 y Z D E y L 2 R 0 b V 9 y Z D E y L 2 R 0 b V 9 y Z D E y L m N v b X B h c m F p c 2 9 u X 3 B y Z X Z p b 3 V z X 3 N h b W V i Y X N p c 1 9 2 a W x s Y W d l c y 5 7 c H J l d l 9 p Z H B f a W 5 k L D E x f S Z x d W 9 0 O y w m c X V v d D t T Z X J 2 Z X I u R G F 0 Y W J h c 2 V c X C 8 y L 0 1 5 U 3 F s L z E y N y 4 w L j A u M T o z M z A 2 O 2 R 0 b V 9 y Z D E y L 2 R 0 b V 9 y Z D E y L 2 R 0 b V 9 y Z D E y L m N v b X B h c m F p c 2 9 u X 3 B y Z X Z p b 3 V z X 3 N h b W V i Y X N p c 1 9 2 a W x s Y W d l c y 5 7 c H J l d l 9 y Z W Z f a G g s M T J 9 J n F 1 b 3 Q 7 L C Z x d W 9 0 O 1 N l c n Z l c i 5 E Y X R h Y m F z Z V x c L z I v T X l T c W w v M T I 3 L j A u M C 4 x O j M z M D Y 7 Z H R t X 3 J k M T I v Z H R t X 3 J k M T I v Z H R t X 3 J k M T I u Y 2 9 t c G F y Y W l z b 2 5 f c H J l d m l v d X N f c 2 F t Z W J h c 2 l z X 3 Z p b G x h Z 2 V z L n t w c m V 2 X 3 J l Z l 9 p b m Q s M T N 9 J n F 1 b 3 Q 7 L C Z x d W 9 0 O 1 N l c n Z l c i 5 E Y X R h Y m F z Z V x c L z I v T X l T c W w v M T I 3 L j A u M C 4 x O j M z M D Y 7 Z H R t X 3 J k M T I v Z H R t X 3 J k M T I v Z H R t X 3 J k M T I u Y 2 9 t c G F y Y W l z b 2 5 f c H J l d m l v d X N f c 2 F t Z W J h c 2 l z X 3 Z p b G x h Z 2 V z L n t w c m V 2 X 3 J l d F 9 o a C w x N H 0 m c X V v d D s s J n F 1 b 3 Q 7 U 2 V y d m V y L k R h d G F i Y X N l X F w v M i 9 N e V N x b C 8 x M j c u M C 4 w L j E 6 M z M w N j t k d G 1 f c m Q x M i 9 k d G 1 f c m Q x M i 9 k d G 1 f c m Q x M i 5 j b 2 1 w Y X J h a X N v b l 9 w c m V 2 a W 9 1 c 1 9 z Y W 1 l Y m F z a X N f d m l s b G F n Z X M u e 3 B y Z X Z f c m V 0 X 2 l u Z C w x N X 0 m c X V v d D s s J n F 1 b 3 Q 7 U 2 V j d G l v b j E v Y 2 9 t c G F y Y W l z b 2 5 f c 2 F t Z W J h c 2 l z X 3 Z p b G x h Z 2 V z L 1 B l c n N v b m 5 h b G l z w 6 l l I G F q b 3 V 0 w 6 l l L n t 2 Y X J f a W R w L D E 2 f S Z x d W 9 0 O y w m c X V v d D t T Z W N 0 a W 9 u M S 9 j b 2 1 w Y X J h a X N v b l 9 z Y W 1 l Y m F z a X N f d m l s b G F n Z X M v U G V y c 2 9 u b m F s a X P D q W U g Y W p v d X T D q W U x L n t 2 Y X J f c m V m L D E 3 f S Z x d W 9 0 O y w m c X V v d D t T Z W N 0 a W 9 u M S 9 j b 2 1 w Y X J h a X N v b l 9 z Y W 1 l Y m F z a X N f d m l s b G F n Z X M v U G V y c 2 9 u b m F s a X P D q W U g Y W p v d X T D q W U y L n t 2 Y X J f c m V 0 L D E 4 f S Z x d W 9 0 O 1 0 s J n F 1 b 3 Q 7 U m V s Y X R p b 2 5 z a G l w S W 5 m b y Z x d W 9 0 O z p b X X 0 i I C 8 + P C 9 T d G F i b G V F b n R y a W V z P j w v S X R l b T 4 8 S X R l b T 4 8 S X R l b U x v Y 2 F 0 a W 9 u P j x J d G V t V H l w Z T 5 G b 3 J t d W x h P C 9 J d G V t V H l w Z T 4 8 S X R l b V B h d G g + U 2 V j d G l v b j E v Y 2 9 t c G F y Y W l z b 2 5 f c 2 F t Z W J h c 2 l z X 3 Z p b G x h Z 2 V z L 1 N v d X J j Z T w v S X R l b V B h d G g + P C 9 J d G V t T G 9 j Y X R p b 2 4 + P F N 0 Y W J s Z U V u d H J p Z X M g L z 4 8 L 0 l 0 Z W 0 + P E l 0 Z W 0 + P E l 0 Z W 1 M b 2 N h d G l v b j 4 8 S X R l b V R 5 c G U + R m 9 y b X V s Y T w v S X R l b V R 5 c G U + P E l 0 Z W 1 Q Y X R o P l N l Y 3 R p b 2 4 x L 2 N v b X B h c m F p c 2 9 u X 3 N h b W V i Y X N p c 1 9 2 a W x s Y W d l c y 9 j b 2 1 w Y X J h a X N v b l 9 z Y W 1 l Y m F z a X N f d m l s b G F n Z X M 8 L 0 l 0 Z W 1 Q Y X R o P j w v S X R l b U x v Y 2 F 0 a W 9 u P j x T d G F i b G V F b n R y a W V z I C 8 + P C 9 J d G V t P j x J d G V t P j x J d G V t T G 9 j Y X R p b 2 4 + P E l 0 Z W 1 U e X B l P k Z v c m 1 1 b G E 8 L 0 l 0 Z W 1 U e X B l P j x J d G V t U G F 0 a D 5 T Z W N 0 a W 9 u M S 9 j b 2 1 w Y X J h a X N v b l 9 z Y W 1 l Y m F z a X N f d m l s b G F n Z X M v U G V y c 2 9 u b m F s a X M l Q z M l Q T l l J T I w Y W p v d X Q l Q z M l Q T l l P C 9 J d G V t U G F 0 a D 4 8 L 0 l 0 Z W 1 M b 2 N h d G l v b j 4 8 U 3 R h Y m x l R W 5 0 c m l l c y A v P j w v S X R l b T 4 8 S X R l b T 4 8 S X R l b U x v Y 2 F 0 a W 9 u P j x J d G V t V H l w Z T 5 G b 3 J t d W x h P C 9 J d G V t V H l w Z T 4 8 S X R l b V B h d G g + U 2 V j d G l v b j E v Y 2 9 t c G F y Y W l z b 2 5 f c 2 F t Z W J h c 2 l z X 3 Z p b G x h Z 2 V z L 1 B l c n N v b m 5 h b G l z J U M z J U E 5 Z S U y M G F q b 3 V 0 J U M z J U E 5 Z T E 8 L 0 l 0 Z W 1 Q Y X R o P j w v S X R l b U x v Y 2 F 0 a W 9 u P j x T d G F i b G V F b n R y a W V z I C 8 + P C 9 J d G V t P j x J d G V t P j x J d G V t T G 9 j Y X R p b 2 4 + P E l 0 Z W 1 U e X B l P k Z v c m 1 1 b G E 8 L 0 l 0 Z W 1 U e X B l P j x J d G V t U G F 0 a D 5 T Z W N 0 a W 9 u M S 9 j b 2 1 w Y X J h a X N v b l 9 z Y W 1 l Y m F z a X N f d m l s b G F n Z X M v U G V y c 2 9 u b m F s a X M l Q z M l Q T l l J T I w Y W p v d X Q l Q z M l Q T l l M j w v S X R l b V B h d G g + P C 9 J d G V t T G 9 j Y X R p b 2 4 + P F N 0 Y W J s Z U V u d H J p Z X M g L z 4 8 L 0 l 0 Z W 0 + P E l 0 Z W 0 + P E l 0 Z W 1 M b 2 N h d G l v b j 4 8 S X R l b V R 5 c G U + R m 9 y b X V s Y T w v S X R l b V R 5 c G U + P E l 0 Z W 1 Q Y X R o P l N l Y 3 R p b 2 4 x L 2 F 1 d H J l c 1 9 k Z X R h a W x z P C 9 J d G V t U G F 0 a D 4 8 L 0 l 0 Z W 1 M b 2 N h d G l v b j 4 8 U 3 R h Y m x l R W 5 0 c m l l c z 4 8 R W 5 0 c n k g V H l w Z T 0 i S X N Q c m l 2 Y X R l I i B W Y W x 1 Z T 0 i b D A i I C 8 + P E V u d H J 5 I F R 5 c G U 9 I k 5 h b W V V c G R h d G V k Q W Z 0 Z X J G a W x s I i B W Y W x 1 Z T 0 i b D A i I C 8 + P E V u d H J 5 I F R 5 c G U 9 I k Z p b G x F b m F i b G V k I i B W Y W x 1 Z T 0 i b D E i I C 8 + P E V u d H J 5 I F R 5 c G U 9 I k Z p b G x U b 0 R h d G F N b 2 R l b E V u Y W J s Z W Q i I F Z h b H V l P S J s M C I g L z 4 8 R W 5 0 c n k g V H l w Z T 0 i U m V z d W x 0 V H l w Z S I g V m F s d W U 9 I n N U Y W J s Z S I g L z 4 8 R W 5 0 c n k g V H l w Z T 0 i Q n V m Z m V y T m V 4 d F J l Z n J l c 2 g i I F Z h b H V l P S J s M S I g L z 4 8 R W 5 0 c n k g V H l w Z T 0 i R m l s b E V y c m 9 y Q 2 9 k Z S I g V m F s d W U 9 I n N V b m t u b 3 d u I i A v P j x F b n R y e S B U e X B l P S J G a W x s R X J y b 3 J D b 3 V u d C I g V m F s d W U 9 I m w w I i A v P j x F b n R y e S B U e X B l P S J G a W x s Z W R D b 2 1 w b G V 0 Z V J l c 3 V s d F R v V 2 9 y a 3 N o Z W V 0 I i B W Y W x 1 Z T 0 i b D E i I C 8 + P E V u d H J 5 I F R 5 c G U 9 I k Z p b G x T d G F 0 d X M i I F Z h b H V l P S J z Q 2 9 t c G x l d G U i I C 8 + P E V u d H J 5 I F R 5 c G U 9 I l J l Y 2 9 2 Z X J 5 V G F y Z 2 V 0 U 2 h l Z X Q i I F Z h b H V l P S J z V G 9 0 Y W x f Z G F 0 Y S I g L z 4 8 R W 5 0 c n k g V H l w Z T 0 i U m V j b 3 Z l c n l U Y X J n Z X R D b 2 x 1 b W 4 i I F Z h b H V l P S J s N T U i I C 8 + P E V u d H J 5 I F R 5 c G U 9 I l J l Y 2 9 2 Z X J 5 V G F y Z 2 V 0 U m 9 3 I i B W Y W x 1 Z T 0 i b D E i I C 8 + P E V u d H J 5 I F R 5 c G U 9 I k F k Z G V k V G 9 E Y X R h T W 9 k Z W w i I F Z h b H V l P S J s M C I g L z 4 8 R W 5 0 c n k g V H l w Z T 0 i U X V l c n l J R C I g V m F s d W U 9 I n N m Y m N i M G I 2 N C 0 0 M m R h L T R i M z A t O T M w N S 0 x N z Z l M W V k M 2 E x N G Q i I C 8 + P E V u d H J 5 I F R 5 c G U 9 I k Z p b G x D b 2 x 1 b W 5 O Y W 1 l c y I g V m F s d W U 9 I n N b J n F 1 b 3 Q 7 Z G V w Y X J 0 Z W 1 l b n Q m c X V v d D s s J n F 1 b 3 Q 7 Y X J y b 2 5 k a X N z Z W 1 l b n Q m c X V v d D s s J n F 1 b 3 Q 7 Q V 9 s b 2 N h d G l v b l 9 0 Z W F t X 2 F f d m l s b G F n Z S Z x d W 9 0 O y w m c X V v d D t W a W x s Y W d l J n F 1 b 3 Q 7 L C Z x d W 9 0 O 0 F j Y 2 V z c 2 l i a W x p d G U m c X V v d D s s J n F 1 b 3 Q 7 a W R w c y Z x d W 9 0 O y w m c X V v d D t y Z W Z 1 Z 2 V l c y Z x d W 9 0 O y w m c X V v d D t y Z X R 1 c m 5 l Z X M m c X V v d D s s J n F 1 b 3 Q 7 b W 9 0 a W Z f c m V 0 b 3 V y J n F 1 b 3 Q 7 L C Z x d W 9 0 O 2 F 1 d H J l X 2 1 v d G l m J n F 1 b 3 Q 7 L C Z x d W 9 0 O 1 Z p b G x h Z 2 V f U G R p J n F 1 b 3 Q 7 L C Z x d W 9 0 O 2 1 v a X M m c X V v d D s s J n F 1 b 3 Q 7 Y W 5 u Z W U m c X V v d D t d I i A v P j x F b n R y e S B U e X B l P S J G a W x s Q 2 9 1 b n Q i I F Z h b H V l P S J s N z Q 3 I i A v P j x F b n R y e S B U e X B l P S J G a W x s V G F y Z 2 V 0 I i B W Y W x 1 Z T 0 i c 2 Z v Y 3 V z X 3 J l d G 9 1 c m 5 l c y I g L z 4 8 R W 5 0 c n k g V H l w Z T 0 i R m l s b E N v b H V t b l R 5 c G V z I i B W Y W x 1 Z T 0 i c 0 J n W U d C Z 1 l H Q m d Z R 0 J n W U N B Z z 0 9 I i A v P j x F b n R y e S B U e X B l P S J G a W x s T G F z d F V w Z G F 0 Z W Q i I F Z h b H V l P S J k M j A x N y 0 x M i 0 y M l Q x N z o 1 O D o z N i 4 y N z c 3 N j I y W i I g L z 4 8 R W 5 0 c n k g V H l w Z T 0 i R m l s b F R h c m d l d E 5 h b W V D d X N 0 b 2 1 p e m V k I i B W Y W x 1 Z T 0 i b D E i I C 8 + P E V u d H J 5 I F R 5 c G U 9 I k Z p b G x P Y m p l Y 3 R U e X B l I i B W Y W x 1 Z T 0 i c 1 R h Y m x l I i A v P j x F b n R y e S B U e X B l P S J S Z W x h d G l v b n N o a X B J b m Z v Q 2 9 u d G F p b m V y I i B W Y W x 1 Z T 0 i c 3 s m c X V v d D t j b 2 x 1 b W 5 D b 3 V u d C Z x d W 9 0 O z o x M y w m c X V v d D t r Z X l D b 2 x 1 b W 5 O Y W 1 l c y Z x d W 9 0 O z p b X S w m c X V v d D t x d W V y e V J l b G F 0 a W 9 u c 2 h p c H M m c X V v d D s 6 W 1 0 s J n F 1 b 3 Q 7 Y 2 9 s d W 1 u S W R l b n R p d G l l c y Z x d W 9 0 O z p b J n F 1 b 3 Q 7 U 2 V y d m V y L k R h d G F i Y X N l X F w v M i 9 N e V N x b C 8 x M j c u M C 4 w L j E 6 M z M w N j t k d G 1 f c m Q x M i 9 k d G 1 f c m Q x M i 9 k d G 1 f c m Q x M i 5 h d X R y Z X N f Z G V 0 Y W l s c y 5 7 Z G V w Y X J 0 Z W 1 l b n Q s M H 0 m c X V v d D s s J n F 1 b 3 Q 7 U 2 V y d m V y L k R h d G F i Y X N l X F w v M i 9 N e V N x b C 8 x M j c u M C 4 w L j E 6 M z M w N j t k d G 1 f c m Q x M i 9 k d G 1 f c m Q x M i 9 k d G 1 f c m Q x M i 5 h d X R y Z X N f Z G V 0 Y W l s c y 5 7 Y X J y b 2 5 k a X N z Z W 1 l b n Q s M X 0 m c X V v d D s s J n F 1 b 3 Q 7 U 2 V y d m V y L k R h d G F i Y X N l X F w v M i 9 N e V N x b C 8 x M j c u M C 4 w L j E 6 M z M w N j t k d G 1 f c m Q x M i 9 k d G 1 f c m Q x M i 9 k d G 1 f c m Q x M i 5 h d X R y Z X N f Z G V 0 Y W l s c y 5 7 Q V 9 s b 2 N h d G l v b l 9 0 Z W F t X 2 F f d m l s b G F n Z S w y f S Z x d W 9 0 O y w m c X V v d D t T Z X J 2 Z X I u R G F 0 Y W J h c 2 V c X C 8 y L 0 1 5 U 3 F s L z E y N y 4 w L j A u M T o z M z A 2 O 2 R 0 b V 9 y Z D E y L 2 R 0 b V 9 y Z D E y L 2 R 0 b V 9 y Z D E y L m F 1 d H J l c 1 9 k Z X R h a W x z L n t W a W x s Y W d l L D N 9 J n F 1 b 3 Q 7 L C Z x d W 9 0 O 1 N l c n Z l c i 5 E Y X R h Y m F z Z V x c L z I v T X l T c W w v M T I 3 L j A u M C 4 x O j M z M D Y 7 Z H R t X 3 J k M T I v Z H R t X 3 J k M T I v Z H R t X 3 J k M T I u Y X V 0 c m V z X 2 R l d G F p b H M u e 0 F j Y 2 V z c 2 l i a W x p d G U s N H 0 m c X V v d D s s J n F 1 b 3 Q 7 U 2 V y d m V y L k R h d G F i Y X N l X F w v M i 9 N e V N x b C 8 x M j c u M C 4 w L j E 6 M z M w N j t k d G 1 f c m Q x M i 9 k d G 1 f c m Q x M i 9 k d G 1 f c m Q x M i 5 h d X R y Z X N f Z G V 0 Y W l s c y 5 7 a W R w c y w 1 f S Z x d W 9 0 O y w m c X V v d D t T Z X J 2 Z X I u R G F 0 Y W J h c 2 V c X C 8 y L 0 1 5 U 3 F s L z E y N y 4 w L j A u M T o z M z A 2 O 2 R 0 b V 9 y Z D E y L 2 R 0 b V 9 y Z D E y L 2 R 0 b V 9 y Z D E y L m F 1 d H J l c 1 9 k Z X R h a W x z L n t y Z W Z 1 Z 2 V l c y w 2 f S Z x d W 9 0 O y w m c X V v d D t T Z X J 2 Z X I u R G F 0 Y W J h c 2 V c X C 8 y L 0 1 5 U 3 F s L z E y N y 4 w L j A u M T o z M z A 2 O 2 R 0 b V 9 y Z D E y L 2 R 0 b V 9 y Z D E y L 2 R 0 b V 9 y Z D E y L m F 1 d H J l c 1 9 k Z X R h a W x z L n t y Z X R 1 c m 5 l Z X M s N 3 0 m c X V v d D s s J n F 1 b 3 Q 7 U 2 V y d m V y L k R h d G F i Y X N l X F w v M i 9 N e V N x b C 8 x M j c u M C 4 w L j E 6 M z M w N j t k d G 1 f c m Q x M i 9 k d G 1 f c m Q x M i 9 k d G 1 f c m Q x M i 5 h d X R y Z X N f Z G V 0 Y W l s c y 5 7 b W 9 0 a W Z f c m V 0 b 3 V y L D h 9 J n F 1 b 3 Q 7 L C Z x d W 9 0 O 1 N l c n Z l c i 5 E Y X R h Y m F z Z V x c L z I v T X l T c W w v M T I 3 L j A u M C 4 x O j M z M D Y 7 Z H R t X 3 J k M T I v Z H R t X 3 J k M T I v Z H R t X 3 J k M T I u Y X V 0 c m V z X 2 R l d G F p b H M u e 2 F 1 d H J l X 2 1 v d G l m L D l 9 J n F 1 b 3 Q 7 L C Z x d W 9 0 O 1 N l c n Z l c i 5 E Y X R h Y m F z Z V x c L z I v T X l T c W w v M T I 3 L j A u M C 4 x O j M z M D Y 7 Z H R t X 3 J k M T I v Z H R t X 3 J k M T I v Z H R t X 3 J k M T I u Y X V 0 c m V z X 2 R l d G F p b H M u e 1 Z p b G x h Z 2 V f U G R p L D E w f S Z x d W 9 0 O y w m c X V v d D t T Z X J 2 Z X I u R G F 0 Y W J h c 2 V c X C 8 y L 0 1 5 U 3 F s L z E y N y 4 w L j A u M T o z M z A 2 O 2 R 0 b V 9 y Z D E y L 2 R 0 b V 9 y Z D E y L 2 R 0 b V 9 y Z D E y L m F 1 d H J l c 1 9 k Z X R h a W x z L n t t b 2 l z L D E x f S Z x d W 9 0 O y w m c X V v d D t T Z X J 2 Z X I u R G F 0 Y W J h c 2 V c X C 8 y L 0 1 5 U 3 F s L z E y N y 4 w L j A u M T o z M z A 2 O 2 R 0 b V 9 y Z D E y L 2 R 0 b V 9 y Z D E y L 2 R 0 b V 9 y Z D E y L m F 1 d H J l c 1 9 k Z X R h a W x z L n t h b m 5 l Z S w x M n 0 m c X V v d D t d L C Z x d W 9 0 O 0 N v b H V t b k N v d W 5 0 J n F 1 b 3 Q 7 O j E z L C Z x d W 9 0 O 0 t l e U N v b H V t b k 5 h b W V z J n F 1 b 3 Q 7 O l t d L C Z x d W 9 0 O 0 N v b H V t b k l k Z W 5 0 a X R p Z X M m c X V v d D s 6 W y Z x d W 9 0 O 1 N l c n Z l c i 5 E Y X R h Y m F z Z V x c L z I v T X l T c W w v M T I 3 L j A u M C 4 x O j M z M D Y 7 Z H R t X 3 J k M T I v Z H R t X 3 J k M T I v Z H R t X 3 J k M T I u Y X V 0 c m V z X 2 R l d G F p b H M u e 2 R l c G F y d G V t Z W 5 0 L D B 9 J n F 1 b 3 Q 7 L C Z x d W 9 0 O 1 N l c n Z l c i 5 E Y X R h Y m F z Z V x c L z I v T X l T c W w v M T I 3 L j A u M C 4 x O j M z M D Y 7 Z H R t X 3 J k M T I v Z H R t X 3 J k M T I v Z H R t X 3 J k M T I u Y X V 0 c m V z X 2 R l d G F p b H M u e 2 F y c m 9 u Z G l z c 2 V t Z W 5 0 L D F 9 J n F 1 b 3 Q 7 L C Z x d W 9 0 O 1 N l c n Z l c i 5 E Y X R h Y m F z Z V x c L z I v T X l T c W w v M T I 3 L j A u M C 4 x O j M z M D Y 7 Z H R t X 3 J k M T I v Z H R t X 3 J k M T I v Z H R t X 3 J k M T I u Y X V 0 c m V z X 2 R l d G F p b H M u e 0 F f b G 9 j Y X R p b 2 5 f d G V h b V 9 h X 3 Z p b G x h Z 2 U s M n 0 m c X V v d D s s J n F 1 b 3 Q 7 U 2 V y d m V y L k R h d G F i Y X N l X F w v M i 9 N e V N x b C 8 x M j c u M C 4 w L j E 6 M z M w N j t k d G 1 f c m Q x M i 9 k d G 1 f c m Q x M i 9 k d G 1 f c m Q x M i 5 h d X R y Z X N f Z G V 0 Y W l s c y 5 7 V m l s b G F n Z S w z f S Z x d W 9 0 O y w m c X V v d D t T Z X J 2 Z X I u R G F 0 Y W J h c 2 V c X C 8 y L 0 1 5 U 3 F s L z E y N y 4 w L j A u M T o z M z A 2 O 2 R 0 b V 9 y Z D E y L 2 R 0 b V 9 y Z D E y L 2 R 0 b V 9 y Z D E y L m F 1 d H J l c 1 9 k Z X R h a W x z L n t B Y 2 N l c 3 N p Y m l s a X R l L D R 9 J n F 1 b 3 Q 7 L C Z x d W 9 0 O 1 N l c n Z l c i 5 E Y X R h Y m F z Z V x c L z I v T X l T c W w v M T I 3 L j A u M C 4 x O j M z M D Y 7 Z H R t X 3 J k M T I v Z H R t X 3 J k M T I v Z H R t X 3 J k M T I u Y X V 0 c m V z X 2 R l d G F p b H M u e 2 l k c H M s N X 0 m c X V v d D s s J n F 1 b 3 Q 7 U 2 V y d m V y L k R h d G F i Y X N l X F w v M i 9 N e V N x b C 8 x M j c u M C 4 w L j E 6 M z M w N j t k d G 1 f c m Q x M i 9 k d G 1 f c m Q x M i 9 k d G 1 f c m Q x M i 5 h d X R y Z X N f Z G V 0 Y W l s c y 5 7 c m V m d W d l Z X M s N n 0 m c X V v d D s s J n F 1 b 3 Q 7 U 2 V y d m V y L k R h d G F i Y X N l X F w v M i 9 N e V N x b C 8 x M j c u M C 4 w L j E 6 M z M w N j t k d G 1 f c m Q x M i 9 k d G 1 f c m Q x M i 9 k d G 1 f c m Q x M i 5 h d X R y Z X N f Z G V 0 Y W l s c y 5 7 c m V 0 d X J u Z W V z L D d 9 J n F 1 b 3 Q 7 L C Z x d W 9 0 O 1 N l c n Z l c i 5 E Y X R h Y m F z Z V x c L z I v T X l T c W w v M T I 3 L j A u M C 4 x O j M z M D Y 7 Z H R t X 3 J k M T I v Z H R t X 3 J k M T I v Z H R t X 3 J k M T I u Y X V 0 c m V z X 2 R l d G F p b H M u e 2 1 v d G l m X 3 J l d G 9 1 c i w 4 f S Z x d W 9 0 O y w m c X V v d D t T Z X J 2 Z X I u R G F 0 Y W J h c 2 V c X C 8 y L 0 1 5 U 3 F s L z E y N y 4 w L j A u M T o z M z A 2 O 2 R 0 b V 9 y Z D E y L 2 R 0 b V 9 y Z D E y L 2 R 0 b V 9 y Z D E y L m F 1 d H J l c 1 9 k Z X R h a W x z L n t h d X R y Z V 9 t b 3 R p Z i w 5 f S Z x d W 9 0 O y w m c X V v d D t T Z X J 2 Z X I u R G F 0 Y W J h c 2 V c X C 8 y L 0 1 5 U 3 F s L z E y N y 4 w L j A u M T o z M z A 2 O 2 R 0 b V 9 y Z D E y L 2 R 0 b V 9 y Z D E y L 2 R 0 b V 9 y Z D E y L m F 1 d H J l c 1 9 k Z X R h a W x z L n t W a W x s Y W d l X 1 B k a S w x M H 0 m c X V v d D s s J n F 1 b 3 Q 7 U 2 V y d m V y L k R h d G F i Y X N l X F w v M i 9 N e V N x b C 8 x M j c u M C 4 w L j E 6 M z M w N j t k d G 1 f c m Q x M i 9 k d G 1 f c m Q x M i 9 k d G 1 f c m Q x M i 5 h d X R y Z X N f Z G V 0 Y W l s c y 5 7 b W 9 p c y w x M X 0 m c X V v d D s s J n F 1 b 3 Q 7 U 2 V y d m V y L k R h d G F i Y X N l X F w v M i 9 N e V N x b C 8 x M j c u M C 4 w L j E 6 M z M w N j t k d G 1 f c m Q x M i 9 k d G 1 f c m Q x M i 9 k d G 1 f c m Q x M i 5 h d X R y Z X N f Z G V 0 Y W l s c y 5 7 Y W 5 u Z W U s M T J 9 J n F 1 b 3 Q 7 X S w m c X V v d D t S Z W x h d G l v b n N o a X B J b m Z v J n F 1 b 3 Q 7 O l t d f S I g L z 4 8 L 1 N 0 Y W J s Z U V u d H J p Z X M + P C 9 J d G V t P j x J d G V t P j x J d G V t T G 9 j Y X R p b 2 4 + P E l 0 Z W 1 U e X B l P k Z v c m 1 1 b G E 8 L 0 l 0 Z W 1 U e X B l P j x J d G V t U G F 0 a D 5 T Z W N 0 a W 9 u M S 9 h d X R y Z X N f Z G V 0 Y W l s c y 9 T b 3 V y Y 2 U 8 L 0 l 0 Z W 1 Q Y X R o P j w v S X R l b U x v Y 2 F 0 a W 9 u P j x T d G F i b G V F b n R y a W V z I C 8 + P C 9 J d G V t P j x J d G V t P j x J d G V t T G 9 j Y X R p b 2 4 + P E l 0 Z W 1 U e X B l P k Z v c m 1 1 b G E 8 L 0 l 0 Z W 1 U e X B l P j x J d G V t U G F 0 a D 5 T Z W N 0 a W 9 u M S 9 h d X R y Z X N f Z G V 0 Y W l s c y 9 h d X R y Z X N f Z G V 0 Y W l s c 1 9 h Y 2 N l c 3 N p Y m l s a X R l P C 9 J d G V t U G F 0 a D 4 8 L 0 l 0 Z W 1 M b 2 N h d G l v b j 4 8 U 3 R h Y m x l R W 5 0 c m l l c y A v P j w v S X R l b T 4 8 S X R l b T 4 8 S X R l b U x v Y 2 F 0 a W 9 u P j x J d G V t V H l w Z T 5 G b 3 J t d W x h P C 9 J d G V t V H l w Z T 4 8 S X R l b V B h d G g + U 2 V j d G l v b j E v V G 9 0 Y W x E Y X R h X 0 R l c G F y d H V y Z X M 8 L 0 l 0 Z W 1 Q Y X R o P j w v S X R l b U x v Y 2 F 0 a W 9 u P j x T d G F i b G V F b n R y a W V z P j x F b n R y e S B U e X B l P S J J c 1 B y a X Z h d G U i I F Z h b H V l P S J s M C I g L z 4 8 R W 5 0 c n k g V H l w Z T 0 i T m F t Z V V w Z G F 0 Z W R B Z n R l c k Z p b G w i I F Z h b H V l P S J s M C I g L z 4 8 R W 5 0 c n k g V H l w Z T 0 i R m l s b E V u Y W J s Z W Q i I F Z h b H V l P S J s M C I g L z 4 8 R W 5 0 c n k g V H l w Z T 0 i R m l s b F R v R G F 0 Y U 1 v Z G V s R W 5 h Y m x l Z C I g V m F s d W U 9 I m w w I i A v P j x F b n R y e S B U e X B l P S J C d W Z m Z X J O Z X h 0 U m V m c m V z a C I g V m F s d W U 9 I m w x I i A v P j x F b n R y e S B U e X B l P S J S Z X N 1 b H R U e X B l I i B W Y W x 1 Z T 0 i c 1 R h Y m x l I i A v P j x F b n R y e S B U e X B l P S J G a W x s Q 2 9 s d W 1 u V H l w Z X M i I F Z h b H V l P S J z Q m d Z R 0 J n W U d B Z 0 l H Q m d Z R 0 J n W U d C Z 1 l H I i A v P j x F b n R y e S B U e X B l P S J G a W x s Z W R D b 2 1 w b G V 0 Z V J l c 3 V s d F R v V 2 9 y a 3 N o Z W V 0 I i B W Y W x 1 Z T 0 i b D E i I C 8 + P E V u d H J 5 I F R 5 c G U 9 I k Z p b G x T d G F 0 d X M i I F Z h b H V l P S J z Q 2 9 t c G x l d G U i I C 8 + P E V u d H J 5 I F R 5 c G U 9 I l J l Y 2 9 2 Z X J 5 V G F y Z 2 V 0 U 2 h l Z X Q i I F Z h b H V l P S J z V G 9 0 Y W x f Z G F 0 Y S I g L z 4 8 R W 5 0 c n k g V H l w Z T 0 i U m V j b 3 Z l c n l U Y X J n Z X R D b 2 x 1 b W 4 i I F Z h b H V l P S J s M z A i I C 8 + P E V u d H J 5 I F R 5 c G U 9 I l J l Y 2 9 2 Z X J 5 V G F y Z 2 V 0 U m 9 3 I i B W Y W x 1 Z T 0 i b D E i I C 8 + P E V u d H J 5 I F R 5 c G U 9 I k Z p b G x F c n J v c k N v Z G U i I F Z h b H V l P S J z V W 5 r b m 9 3 b i I g L z 4 8 R W 5 0 c n k g V H l w Z T 0 i U X V l c n l J R C I g V m F s d W U 9 I n N j O T B i M G R h N y 0 0 Y 2 N j L T Q 2 Z j c t Y T M 3 Z i 0 y M j g 1 O D A 1 N D I 5 Y W Q i I C 8 + P E V u d H J 5 I F R 5 c G U 9 I k Z p b G x F c n J v c k N v d W 5 0 I i B W Y W x 1 Z T 0 i b D A i I C 8 + P E V u d H J 5 I F R 5 c G U 9 I k Z p b G x D b 3 V u d C I g V m F s d W U 9 I m w x M j Q i I C 8 + P E V u d H J 5 I F R 5 c G U 9 I k Z p b G x D b 2 x 1 b W 5 O Y W 1 l c y I g V m F s d W U 9 I n N b J n F 1 b 3 Q 7 Z X Z h b H V h d G l v b l 9 h Z G 0 y X 2 N v Z G U m c X V v d D s s J n F 1 b 3 Q 7 Z X Z h b H V h d G l v b l 9 h Z G 0 y X 2 5 h b W U m c X V v d D s s J n F 1 b 3 Q 7 Z X Z h b H V h d G l v b l 9 h Z G 0 z X 2 N v Z G U m c X V v d D s s J n F 1 b 3 Q 7 Z X Z h b H V h d G l v b l 9 h Z G 0 z X 2 5 h b W U m c X V v d D s s J n F 1 b 3 Q 7 d m l s b G F n Z S Z x d W 9 0 O y w m c X V v d D t w Z X J p b 2 R l X 2 R l c G F y d C Z x d W 9 0 O y w m c X V v d D t o a C Z x d W 9 0 O y w m c X V v d D t p b m Q m c X V v d D s s J n F 1 b 3 Q 7 Z G V z d G l u Y X R p b 2 5 z J n F 1 b 3 Q 7 L C Z x d W 9 0 O 2 N v Z G V f c G F 5 c y Z x d W 9 0 O y w m c X V v d D t w Y X l z X 2 R l c 3 R p b m F 0 a W 9 u J n F 1 b 3 Q 7 L C Z x d W 9 0 O 2 N v Z G V f c m V n a W 9 u J n F 1 b 3 Q 7 L C Z x d W 9 0 O 3 J l Z 2 l v b l 9 k Z X N 0 a W 5 h d G l v b i Z x d W 9 0 O y w m c X V v d D t j b 2 R l X 2 R l c G F y d G V t Z W 5 0 J n F 1 b 3 Q 7 L C Z x d W 9 0 O 2 R l c G F y d G V t Z W 5 0 X 2 R l c 3 R p b m F 0 a W 9 u J n F 1 b 3 Q 7 L C Z x d W 9 0 O 2 N v Z G V f Y X J y b 2 5 k a X N z Z W 1 l b n Q m c X V v d D s s J n F 1 b 3 Q 7 Y X J y b 2 5 k a X N z Z W 1 l b n R f Z G V z d G l u Y X R p b 2 4 m c X V v d D s s J n F 1 b 3 Q 7 T G l l d V 9 w c m V j a X M m c X V v d D t d I i A v P j x F b n R y e S B U e X B l P S J G a W x s T G F z d F V w Z G F 0 Z W Q i I F Z h b H V l P S J k M j A x N y 0 x M i 0 y N F Q x O D o w M j o z O S 4 x O T g z O T k 0 W i I g L z 4 8 R W 5 0 c n k g V H l w Z T 0 i Q W R k Z W R U b 0 R h d G F N b 2 R l b C I g V m F s d W U 9 I m w w I i A v P j x F b n R y e S B U e X B l P S J G a W x s V G F y Z 2 V 0 T m F t Z U N 1 c 3 R v b W l 6 Z W Q i I F Z h b H V l P S J s M S I g L z 4 8 R W 5 0 c n k g V H l w Z T 0 i R m l s b E 9 i a m V j d F R 5 c G U i I F Z h b H V l P S J z Q 2 9 u b m V j d G l v b k 9 u b H k i I C 8 + P E V u d H J 5 I F R 5 c G U 9 I l J l b G F 0 a W 9 u c 2 h p c E l u Z m 9 D b 2 5 0 Y W l u Z X I i I F Z h b H V l P S J z e y Z x d W 9 0 O 2 N v b H V t b k N v d W 5 0 J n F 1 b 3 Q 7 O j E 4 L C Z x d W 9 0 O 2 t l e U N v b H V t b k 5 h b W V z J n F 1 b 3 Q 7 O l t d L C Z x d W 9 0 O 3 F 1 Z X J 5 U m V s Y X R p b 2 5 z a G l w c y Z x d W 9 0 O z p b X S w m c X V v d D t j b 2 x 1 b W 5 J Z G V u d G l 0 a W V z J n F 1 b 3 Q 7 O l s m c X V v d D t T Z X J 2 Z X I u R G F 0 Y W J h c 2 V c X C 8 y L 0 1 5 U 3 F s L z E y N y 4 w L j A u M T o z M z A 2 O 2 R 0 b V 9 y Z D E y L 2 R 0 b V 9 y Z D E y L 2 R 0 b V 9 y Z D E y L m R l c G F y d H N f Z G V 0 Y W l s c y 5 7 Z X Z h b H V h d G l v b l 9 h Z G 0 y X 2 N v Z G U s M H 0 m c X V v d D s s J n F 1 b 3 Q 7 U 2 V y d m V y L k R h d G F i Y X N l X F w v M i 9 N e V N x b C 8 x M j c u M C 4 w L j E 6 M z M w N j t k d G 1 f c m Q x M i 9 k d G 1 f c m Q x M i 9 k d G 1 f c m Q x M i 5 k Z X B h c n R z X 2 R l d G F p b H M u e 2 V 2 Y W x 1 Y X R p b 2 5 f Y W R t M l 9 u Y W 1 l L D F 9 J n F 1 b 3 Q 7 L C Z x d W 9 0 O 1 N l c n Z l c i 5 E Y X R h Y m F z Z V x c L z I v T X l T c W w v M T I 3 L j A u M C 4 x O j M z M D Y 7 Z H R t X 3 J k M T I v Z H R t X 3 J k M T I v Z H R t X 3 J k M T I u Z G V w Y X J 0 c 1 9 k Z X R h a W x z L n t l d m F s d W F 0 a W 9 u X 2 F k b T N f Y 2 9 k Z S w y f S Z x d W 9 0 O y w m c X V v d D t T Z X J 2 Z X I u R G F 0 Y W J h c 2 V c X C 8 y L 0 1 5 U 3 F s L z E y N y 4 w L j A u M T o z M z A 2 O 2 R 0 b V 9 y Z D E y L 2 R 0 b V 9 y Z D E y L 2 R 0 b V 9 y Z D E y L m R l c G F y d H N f Z G V 0 Y W l s c y 5 7 Z X Z h b H V h d G l v b l 9 h Z G 0 z X 2 5 h b W U s M 3 0 m c X V v d D s s J n F 1 b 3 Q 7 U 2 V y d m V y L k R h d G F i Y X N l X F w v M i 9 N e V N x b C 8 x M j c u M C 4 w L j E 6 M z M w N j t k d G 1 f c m Q x M i 9 k d G 1 f c m Q x M i 9 k d G 1 f c m Q x M i 5 k Z X B h c n R z X 2 R l d G F p b H M u e 3 Z p b G x h Z 2 U s N H 0 m c X V v d D s s J n F 1 b 3 Q 7 U 2 V j d G l v b j E v V G 9 0 Y W x E Y X R h X 0 R l c G F y d H V y Z X M v V m F s Z X V y I H J l b X B s Y W P D q W U 3 L n t w Z X J p b 2 R l X 2 R l c G F y d C w 1 f S Z x d W 9 0 O y w m c X V v d D t T Z X J 2 Z X I u R G F 0 Y W J h c 2 V c X C 8 y L 0 1 5 U 3 F s L z E y N y 4 w L j A u M T o z M z A 2 O 2 R 0 b V 9 y Z D E y L 2 R 0 b V 9 y Z D E y L 2 R 0 b V 9 y Z D E y L m R l c G F y d H N f Z G V 0 Y W l s c y 5 7 a G g s N n 0 m c X V v d D s s J n F 1 b 3 Q 7 U 2 V y d m V y L k R h d G F i Y X N l X F w v M i 9 N e V N x b C 8 x M j c u M C 4 w L j E 6 M z M w N j t k d G 1 f c m Q x M i 9 k d G 1 f c m Q x M i 9 k d G 1 f c m Q x M i 5 k Z X B h c n R z X 2 R l d G F p b H M u e 2 l u Z C w 3 f S Z x d W 9 0 O y w m c X V v d D t T Z X J 2 Z X I u R G F 0 Y W J h c 2 V c X C 8 y L 0 1 5 U 3 F s L z E y N y 4 w L j A u M T o z M z A 2 O 2 R 0 b V 9 y Z D E y L 2 R 0 b V 9 y Z D E y L 2 R 0 b V 9 y Z D E y L m R l c G F y d H N f Z G V 0 Y W l s c y 5 7 Z G V z d G l u Y X R p b 2 5 z L D h 9 J n F 1 b 3 Q 7 L C Z x d W 9 0 O 1 N l c n Z l c i 5 E Y X R h Y m F z Z V x c L z I v T X l T c W w v M T I 3 L j A u M C 4 x O j M z M D Y 7 Z H R t X 3 J k M T I v Z H R t X 3 J k M T I v Z H R t X 3 J k M T I u Z G V w Y X J 0 c 1 9 k Z X R h a W x z L n t j b 2 R l X 3 B h e X M s O X 0 m c X V v d D s s J n F 1 b 3 Q 7 U 2 V y d m V y L k R h d G F i Y X N l X F w v M i 9 N e V N x b C 8 x M j c u M C 4 w L j E 6 M z M w N j t k d G 1 f c m Q x M i 9 k d G 1 f c m Q x M i 9 k d G 1 f c m Q x M i 5 k Z X B h c n R z X 2 R l d G F p b H M u e 3 B h e X N f Z G V z d G l u Y X R p b 2 4 s M T B 9 J n F 1 b 3 Q 7 L C Z x d W 9 0 O 1 N l c n Z l c i 5 E Y X R h Y m F z Z V x c L z I v T X l T c W w v M T I 3 L j A u M C 4 x O j M z M D Y 7 Z H R t X 3 J k M T I v Z H R t X 3 J k M T I v Z H R t X 3 J k M T I u Z G V w Y X J 0 c 1 9 k Z X R h a W x z L n t j b 2 R l X 3 J l Z 2 l v b i w x M X 0 m c X V v d D s s J n F 1 b 3 Q 7 U 2 V y d m V y L k R h d G F i Y X N l X F w v M i 9 N e V N x b C 8 x M j c u M C 4 w L j E 6 M z M w N j t k d G 1 f c m Q x M i 9 k d G 1 f c m Q x M i 9 k d G 1 f c m Q x M i 5 k Z X B h c n R z X 2 R l d G F p b H M u e 3 J l Z 2 l v b l 9 k Z X N 0 a W 5 h d G l v b i w x M n 0 m c X V v d D s s J n F 1 b 3 Q 7 U 2 V y d m V y L k R h d G F i Y X N l X F w v M i 9 N e V N x b C 8 x M j c u M C 4 w L j E 6 M z M w N j t k d G 1 f c m Q x M i 9 k d G 1 f c m Q x M i 9 k d G 1 f c m Q x M i 5 k Z X B h c n R z X 2 R l d G F p b H M u e 2 N v Z G V f Z G V w Y X J 0 Z W 1 l b n Q s M T N 9 J n F 1 b 3 Q 7 L C Z x d W 9 0 O 1 N l c n Z l c i 5 E Y X R h Y m F z Z V x c L z I v T X l T c W w v M T I 3 L j A u M C 4 x O j M z M D Y 7 Z H R t X 3 J k M T I v Z H R t X 3 J k M T I v Z H R t X 3 J k M T I u Z G V w Y X J 0 c 1 9 k Z X R h a W x z L n t k Z X B h c n R l b W V u d F 9 k Z X N 0 a W 5 h d G l v b i w x N H 0 m c X V v d D s s J n F 1 b 3 Q 7 U 2 V y d m V y L k R h d G F i Y X N l X F w v M i 9 N e V N x b C 8 x M j c u M C 4 w L j E 6 M z M w N j t k d G 1 f c m Q x M i 9 k d G 1 f c m Q x M i 9 k d G 1 f c m Q x M i 5 k Z X B h c n R z X 2 R l d G F p b H M u e 2 N v Z G V f Y X J y b 2 5 k a X N z Z W 1 l b n Q s M T V 9 J n F 1 b 3 Q 7 L C Z x d W 9 0 O 1 N l c n Z l c i 5 E Y X R h Y m F z Z V x c L z I v T X l T c W w v M T I 3 L j A u M C 4 x O j M z M D Y 7 Z H R t X 3 J k M T I v Z H R t X 3 J k M T I v Z H R t X 3 J k M T I u Z G V w Y X J 0 c 1 9 k Z X R h a W x z L n t h c n J v b m R p c 3 N l b W V u d F 9 k Z X N 0 a W 5 h d G l v b i w x N n 0 m c X V v d D s s J n F 1 b 3 Q 7 U 2 V y d m V y L k R h d G F i Y X N l X F w v M i 9 N e V N x b C 8 x M j c u M C 4 w L j E 6 M z M w N j t k d G 1 f c m Q x M i 9 k d G 1 f c m Q x M i 9 k d G 1 f c m Q x M i 5 k Z X B h c n R z X 2 R l d G F p b H M u e 0 x p Z X V f c H J l Y 2 l z L D E 3 f S Z x d W 9 0 O 1 0 s J n F 1 b 3 Q 7 Q 2 9 s d W 1 u Q 2 9 1 b n Q m c X V v d D s 6 M T g s J n F 1 b 3 Q 7 S 2 V 5 Q 2 9 s d W 1 u T m F t Z X M m c X V v d D s 6 W 1 0 s J n F 1 b 3 Q 7 Q 2 9 s d W 1 u S W R l b n R p d G l l c y Z x d W 9 0 O z p b J n F 1 b 3 Q 7 U 2 V y d m V y L k R h d G F i Y X N l X F w v M i 9 N e V N x b C 8 x M j c u M C 4 w L j E 6 M z M w N j t k d G 1 f c m Q x M i 9 k d G 1 f c m Q x M i 9 k d G 1 f c m Q x M i 5 k Z X B h c n R z X 2 R l d G F p b H M u e 2 V 2 Y W x 1 Y X R p b 2 5 f Y W R t M l 9 j b 2 R l L D B 9 J n F 1 b 3 Q 7 L C Z x d W 9 0 O 1 N l c n Z l c i 5 E Y X R h Y m F z Z V x c L z I v T X l T c W w v M T I 3 L j A u M C 4 x O j M z M D Y 7 Z H R t X 3 J k M T I v Z H R t X 3 J k M T I v Z H R t X 3 J k M T I u Z G V w Y X J 0 c 1 9 k Z X R h a W x z L n t l d m F s d W F 0 a W 9 u X 2 F k b T J f b m F t Z S w x f S Z x d W 9 0 O y w m c X V v d D t T Z X J 2 Z X I u R G F 0 Y W J h c 2 V c X C 8 y L 0 1 5 U 3 F s L z E y N y 4 w L j A u M T o z M z A 2 O 2 R 0 b V 9 y Z D E y L 2 R 0 b V 9 y Z D E y L 2 R 0 b V 9 y Z D E y L m R l c G F y d H N f Z G V 0 Y W l s c y 5 7 Z X Z h b H V h d G l v b l 9 h Z G 0 z X 2 N v Z G U s M n 0 m c X V v d D s s J n F 1 b 3 Q 7 U 2 V y d m V y L k R h d G F i Y X N l X F w v M i 9 N e V N x b C 8 x M j c u M C 4 w L j E 6 M z M w N j t k d G 1 f c m Q x M i 9 k d G 1 f c m Q x M i 9 k d G 1 f c m Q x M i 5 k Z X B h c n R z X 2 R l d G F p b H M u e 2 V 2 Y W x 1 Y X R p b 2 5 f Y W R t M 1 9 u Y W 1 l L D N 9 J n F 1 b 3 Q 7 L C Z x d W 9 0 O 1 N l c n Z l c i 5 E Y X R h Y m F z Z V x c L z I v T X l T c W w v M T I 3 L j A u M C 4 x O j M z M D Y 7 Z H R t X 3 J k M T I v Z H R t X 3 J k M T I v Z H R t X 3 J k M T I u Z G V w Y X J 0 c 1 9 k Z X R h a W x z L n t 2 a W x s Y W d l L D R 9 J n F 1 b 3 Q 7 L C Z x d W 9 0 O 1 N l Y 3 R p b 2 4 x L 1 R v d G F s R G F 0 Y V 9 E Z X B h c n R 1 c m V z L 1 Z h b G V 1 c i B y Z W 1 w b G F j w 6 l l N y 5 7 c G V y a W 9 k Z V 9 k Z X B h c n Q s N X 0 m c X V v d D s s J n F 1 b 3 Q 7 U 2 V y d m V y L k R h d G F i Y X N l X F w v M i 9 N e V N x b C 8 x M j c u M C 4 w L j E 6 M z M w N j t k d G 1 f c m Q x M i 9 k d G 1 f c m Q x M i 9 k d G 1 f c m Q x M i 5 k Z X B h c n R z X 2 R l d G F p b H M u e 2 h o L D Z 9 J n F 1 b 3 Q 7 L C Z x d W 9 0 O 1 N l c n Z l c i 5 E Y X R h Y m F z Z V x c L z I v T X l T c W w v M T I 3 L j A u M C 4 x O j M z M D Y 7 Z H R t X 3 J k M T I v Z H R t X 3 J k M T I v Z H R t X 3 J k M T I u Z G V w Y X J 0 c 1 9 k Z X R h a W x z L n t p b m Q s N 3 0 m c X V v d D s s J n F 1 b 3 Q 7 U 2 V y d m V y L k R h d G F i Y X N l X F w v M i 9 N e V N x b C 8 x M j c u M C 4 w L j E 6 M z M w N j t k d G 1 f c m Q x M i 9 k d G 1 f c m Q x M i 9 k d G 1 f c m Q x M i 5 k Z X B h c n R z X 2 R l d G F p b H M u e 2 R l c 3 R p b m F 0 a W 9 u c y w 4 f S Z x d W 9 0 O y w m c X V v d D t T Z X J 2 Z X I u R G F 0 Y W J h c 2 V c X C 8 y L 0 1 5 U 3 F s L z E y N y 4 w L j A u M T o z M z A 2 O 2 R 0 b V 9 y Z D E y L 2 R 0 b V 9 y Z D E y L 2 R 0 b V 9 y Z D E y L m R l c G F y d H N f Z G V 0 Y W l s c y 5 7 Y 2 9 k Z V 9 w Y X l z L D l 9 J n F 1 b 3 Q 7 L C Z x d W 9 0 O 1 N l c n Z l c i 5 E Y X R h Y m F z Z V x c L z I v T X l T c W w v M T I 3 L j A u M C 4 x O j M z M D Y 7 Z H R t X 3 J k M T I v Z H R t X 3 J k M T I v Z H R t X 3 J k M T I u Z G V w Y X J 0 c 1 9 k Z X R h a W x z L n t w Y X l z X 2 R l c 3 R p b m F 0 a W 9 u L D E w f S Z x d W 9 0 O y w m c X V v d D t T Z X J 2 Z X I u R G F 0 Y W J h c 2 V c X C 8 y L 0 1 5 U 3 F s L z E y N y 4 w L j A u M T o z M z A 2 O 2 R 0 b V 9 y Z D E y L 2 R 0 b V 9 y Z D E y L 2 R 0 b V 9 y Z D E y L m R l c G F y d H N f Z G V 0 Y W l s c y 5 7 Y 2 9 k Z V 9 y Z W d p b 2 4 s M T F 9 J n F 1 b 3 Q 7 L C Z x d W 9 0 O 1 N l c n Z l c i 5 E Y X R h Y m F z Z V x c L z I v T X l T c W w v M T I 3 L j A u M C 4 x O j M z M D Y 7 Z H R t X 3 J k M T I v Z H R t X 3 J k M T I v Z H R t X 3 J k M T I u Z G V w Y X J 0 c 1 9 k Z X R h a W x z L n t y Z W d p b 2 5 f Z G V z d G l u Y X R p b 2 4 s M T J 9 J n F 1 b 3 Q 7 L C Z x d W 9 0 O 1 N l c n Z l c i 5 E Y X R h Y m F z Z V x c L z I v T X l T c W w v M T I 3 L j A u M C 4 x O j M z M D Y 7 Z H R t X 3 J k M T I v Z H R t X 3 J k M T I v Z H R t X 3 J k M T I u Z G V w Y X J 0 c 1 9 k Z X R h a W x z L n t j b 2 R l X 2 R l c G F y d G V t Z W 5 0 L D E z f S Z x d W 9 0 O y w m c X V v d D t T Z X J 2 Z X I u R G F 0 Y W J h c 2 V c X C 8 y L 0 1 5 U 3 F s L z E y N y 4 w L j A u M T o z M z A 2 O 2 R 0 b V 9 y Z D E y L 2 R 0 b V 9 y Z D E y L 2 R 0 b V 9 y Z D E y L m R l c G F y d H N f Z G V 0 Y W l s c y 5 7 Z G V w Y X J 0 Z W 1 l b n R f Z G V z d G l u Y X R p b 2 4 s M T R 9 J n F 1 b 3 Q 7 L C Z x d W 9 0 O 1 N l c n Z l c i 5 E Y X R h Y m F z Z V x c L z I v T X l T c W w v M T I 3 L j A u M C 4 x O j M z M D Y 7 Z H R t X 3 J k M T I v Z H R t X 3 J k M T I v Z H R t X 3 J k M T I u Z G V w Y X J 0 c 1 9 k Z X R h a W x z L n t j b 2 R l X 2 F y c m 9 u Z G l z c 2 V t Z W 5 0 L D E 1 f S Z x d W 9 0 O y w m c X V v d D t T Z X J 2 Z X I u R G F 0 Y W J h c 2 V c X C 8 y L 0 1 5 U 3 F s L z E y N y 4 w L j A u M T o z M z A 2 O 2 R 0 b V 9 y Z D E y L 2 R 0 b V 9 y Z D E y L 2 R 0 b V 9 y Z D E y L m R l c G F y d H N f Z G V 0 Y W l s c y 5 7 Y X J y b 2 5 k a X N z Z W 1 l b n R f Z G V z d G l u Y X R p b 2 4 s M T Z 9 J n F 1 b 3 Q 7 L C Z x d W 9 0 O 1 N l c n Z l c i 5 E Y X R h Y m F z Z V x c L z I v T X l T c W w v M T I 3 L j A u M C 4 x O j M z M D Y 7 Z H R t X 3 J k M T I v Z H R t X 3 J k M T I v Z H R t X 3 J k M T I u Z G V w Y X J 0 c 1 9 k Z X R h a W x z L n t M a W V 1 X 3 B y Z W N p c y w x N 3 0 m c X V v d D t d L C Z x d W 9 0 O 1 J l b G F 0 a W 9 u c 2 h p c E l u Z m 8 m c X V v d D s 6 W 1 1 9 I i A v P j w v U 3 R h Y m x l R W 5 0 c m l l c z 4 8 L 0 l 0 Z W 0 + P E l 0 Z W 0 + P E l 0 Z W 1 M b 2 N h d G l v b j 4 8 S X R l b V R 5 c G U + R m 9 y b X V s Y T w v S X R l b V R 5 c G U + P E l 0 Z W 1 Q Y X R o P l N l Y 3 R p b 2 4 x L 1 R v d G F s R G F 0 Y V 9 E Z X B h c n R 1 c m V z L 1 N v d X J j Z T w v S X R l b V B h d G g + P C 9 J d G V t T G 9 j Y X R p b 2 4 + P F N 0 Y W J s Z U V u d H J p Z X M g L z 4 8 L 0 l 0 Z W 0 + P E l 0 Z W 0 + P E l 0 Z W 1 M b 2 N h d G l v b j 4 8 S X R l b V R 5 c G U + R m 9 y b X V s Y T w v S X R l b V R 5 c G U + P E l 0 Z W 1 Q Y X R o P l N l Y 3 R p b 2 4 x L 1 R v d G F s R G F 0 Y V 9 E Z X B h c n R 1 c m V z L 2 R l c G F y d H N f Z G V 0 Y W l s c z w v S X R l b V B h d G g + P C 9 J d G V t T G 9 j Y X R p b 2 4 + P F N 0 Y W J s Z U V u d H J p Z X M g L z 4 8 L 0 l 0 Z W 0 + P E l 0 Z W 0 + P E l 0 Z W 1 M b 2 N h d G l v b j 4 8 S X R l b V R 5 c G U + R m 9 y b X V s Y T w v S X R l b V R 5 c G U + P E l 0 Z W 1 Q Y X R o P l N l Y 3 R p b 2 4 x L 1 R v d G F s R G F 0 Y V 9 E Z X B h c n R 1 c m V z L 1 Z h b G V 1 c i U y M H J l b X B s Y W M l Q z M l Q T l l M T w v S X R l b V B h d G g + P C 9 J d G V t T G 9 j Y X R p b 2 4 + P F N 0 Y W J s Z U V u d H J p Z X M g L z 4 8 L 0 l 0 Z W 0 + P E l 0 Z W 0 + P E l 0 Z W 1 M b 2 N h d G l v b j 4 8 S X R l b V R 5 c G U + R m 9 y b X V s Y T w v S X R l b V R 5 c G U + P E l 0 Z W 1 Q Y X R o P l N l Y 3 R p b 2 4 x L 1 R v d G F s R G F 0 Y V 9 E Z X B h c n R 1 c m V z L 1 Z h b G V 1 c i U y M H J l b X B s Y W M l Q z M l Q T l l M j w v S X R l b V B h d G g + P C 9 J d G V t T G 9 j Y X R p b 2 4 + P F N 0 Y W J s Z U V u d H J p Z X M g L z 4 8 L 0 l 0 Z W 0 + P E l 0 Z W 0 + P E l 0 Z W 1 M b 2 N h d G l v b j 4 8 S X R l b V R 5 c G U + R m 9 y b X V s Y T w v S X R l b V R 5 c G U + P E l 0 Z W 1 Q Y X R o P l N l Y 3 R p b 2 4 x L 1 R v d G F s R G F 0 Y V 9 E Z X B h c n R 1 c m V z L 1 Z h b G V 1 c i U y M H J l b X B s Y W M l Q z M l Q T l l M z w v S X R l b V B h d G g + P C 9 J d G V t T G 9 j Y X R p b 2 4 + P F N 0 Y W J s Z U V u d H J p Z X M g L z 4 8 L 0 l 0 Z W 0 + P E l 0 Z W 0 + P E l 0 Z W 1 M b 2 N h d G l v b j 4 8 S X R l b V R 5 c G U + R m 9 y b X V s Y T w v S X R l b V R 5 c G U + P E l 0 Z W 1 Q Y X R o P l N l Y 3 R p b 2 4 x L 1 R v d G F s R G F 0 Y V 9 E Z X B h c n R 1 c m V z L 1 Z h b G V 1 c i U y M H J l b X B s Y W M l Q z M l Q T l l N D w v S X R l b V B h d G g + P C 9 J d G V t T G 9 j Y X R p b 2 4 + P F N 0 Y W J s Z U V u d H J p Z X M g L z 4 8 L 0 l 0 Z W 0 + P E l 0 Z W 0 + P E l 0 Z W 1 M b 2 N h d G l v b j 4 8 S X R l b V R 5 c G U + R m 9 y b X V s Y T w v S X R l b V R 5 c G U + P E l 0 Z W 1 Q Y X R o P l N l Y 3 R p b 2 4 x L 1 R v d G F s R G F 0 Y V 9 E Z X B h c n R 1 c m V z L 1 Z h b G V 1 c i U y M H J l b X B s Y W M l Q z M l Q T l l N T w v S X R l b V B h d G g + P C 9 J d G V t T G 9 j Y X R p b 2 4 + P F N 0 Y W J s Z U V u d H J p Z X M g L z 4 8 L 0 l 0 Z W 0 + P E l 0 Z W 0 + P E l 0 Z W 1 M b 2 N h d G l v b j 4 8 S X R l b V R 5 c G U + R m 9 y b X V s Y T w v S X R l b V R 5 c G U + P E l 0 Z W 1 Q Y X R o P l N l Y 3 R p b 2 4 x L 1 R v d G F s R G F 0 Y V 9 E Z X B h c n R 1 c m V z L 1 Z h b G V 1 c i U y M H J l b X B s Y W M l Q z M l Q T l l N j w v S X R l b V B h d G g + P C 9 J d G V t T G 9 j Y X R p b 2 4 + P F N 0 Y W J s Z U V u d H J p Z X M g L z 4 8 L 0 l 0 Z W 0 + P E l 0 Z W 0 + P E l 0 Z W 1 M b 2 N h d G l v b j 4 8 S X R l b V R 5 c G U + R m 9 y b X V s Y T w v S X R l b V R 5 c G U + P E l 0 Z W 1 Q Y X R o P l N l Y 3 R p b 2 4 x L 1 R v d G F s R G F 0 Y V 9 E Z X B h c n R 1 c m V z L 1 Z h b G V 1 c i U y M H J l b X B s Y W M l Q z M l Q T l l N z w v S X R l b V B h d G g + P C 9 J d G V t T G 9 j Y X R p b 2 4 + P F N 0 Y W J s Z U V u d H J p Z X M g L z 4 8 L 0 l 0 Z W 0 + P E l 0 Z W 0 + P E l 0 Z W 1 M b 2 N h d G l v b j 4 8 S X R l b V R 5 c G U + R m 9 y b X V s Y T w v S X R l b V R 5 c G U + P E l 0 Z W 1 Q Y X R o P l N l Y 3 R p b 2 4 x L 0 R p c 3 B s Y W N l b W V u d F B l c m l v Z C U y M C g y K T w v S X R l b V B h d G g + P C 9 J d G V t T G 9 j Y X R p b 2 4 + P F N 0 Y W J s Z U V u d H J p Z X M + P E V u d H J 5 I F R 5 c G U 9 I k l z U H J p d m F 0 Z S I g V m F s d W U 9 I m w w I i A v P j x F b n R y e S B U e X B l P S J G a W x s R W 5 h Y m x l Z C I g V m F s d W U 9 I m w w I i A v P j x F b n R y e S B U e X B l P S J G a W x s V G 9 E Y X R h T W 9 k Z W x F b m F i b G V k I i B W Y W x 1 Z T 0 i b D A i I C 8 + P E V u d H J 5 I F R 5 c G U 9 I l J l c 3 V s d F R 5 c G U i I F Z h b H V l P S J z R X h j Z X B 0 a W 9 u I i A v P j x F b n R y e S B U e X B l P S J C d W Z m Z X J O Z X h 0 U m V m c m V z a C I g V m F s d W U 9 I m w x I i A v P j x F b n R y e S B U e X B l P S J G a W x s Z W R D b 2 1 w b G V 0 Z V J l c 3 V s d F R v V 2 9 y a 3 N o Z W V 0 I i B W Y W x 1 Z T 0 i b D E i I C 8 + P E V u d H J 5 I F R 5 c G U 9 I k Z p b G x D b 3 V u d C I g V m F s d W U 9 I m w x O T g z I i A v P j x F b n R y e S B U e X B l P S J G a W x s Q 2 9 s d W 1 u T m F t Z X M i I F Z h b H V l P S J z W y Z x d W 9 0 O 2 F k b T F f b m F t Z S Z x d W 9 0 O y w m c X V v d D t h Z G 0 x X 2 N v Z G U m c X V v d D s s J n F 1 b 3 Q 7 Y W R t M l 9 u Y W 1 l J n F 1 b 3 Q 7 L C Z x d W 9 0 O 2 F k b T J f Y 2 9 k Z S Z x d W 9 0 O y w m c X V v d D t h Z G 0 z X 2 5 h b W U m c X V v d D s s J n F 1 b 3 Q 7 Y W R t M 1 9 j b 2 R l J n F 1 b 3 Q 7 L C Z x d W 9 0 O 3 Z p b G x h Z 2 V f b m F t Z S Z x d W 9 0 O y w m c X V v d D t 2 a W x s Y W d l X 2 N v Z G U m c X V v d D s s J n F 1 b 3 Q 7 Z G V w b G F j Z W 1 l b n Q m c X V v d D s s J n F 1 b 3 Q 7 c G V y a W 9 k Z S Z x d W 9 0 O y w m c X V v d D t o a C Z x d W 9 0 O y w m c X V v d D t p b m Q m c X V v d D s s J n F 1 b 3 Q 7 c m F p c 2 9 u J n F 1 b 3 Q 7 L C Z x d W 9 0 O 2 F 1 d H J l X 3 J h a X N v b i Z x d W 9 0 O y w m c X V v d D t w c m 9 2 Z W 5 h b m N l J n F 1 b 3 Q 7 L C Z x d W 9 0 O 3 B y b 3 Z l b m F u Y 2 V f Y W R t M C Z x d W 9 0 O y w m c X V v d D t w c m 9 2 Z W 5 h b m N l X 2 F k b T B f b m 9 t J n F 1 b 3 Q 7 L C Z x d W 9 0 O 3 B y b 3 Z l b m F u Y 2 V f Y W R t M S Z x d W 9 0 O y w m c X V v d D t w c m 9 2 Z W 5 h b m N l X 2 F k b T F f b m 9 t J n F 1 b 3 Q 7 L C Z x d W 9 0 O 3 B y b 3 Z l b m F u Y 2 V f Y W R t M i Z x d W 9 0 O y w m c X V v d D t w c m 9 2 Z W 5 h b m N l X 2 F k b T J f b m 9 t J n F 1 b 3 Q 7 L C Z x d W 9 0 O 3 B y b 3 Z l b m F u Y 2 V f Y W R t M y Z x d W 9 0 O y w m c X V v d D t w c m 9 2 Z W 5 h b m N l X 2 F k b T N f b m 9 t J n F 1 b 3 Q 7 X S I g L z 4 8 R W 5 0 c n k g V H l w Z T 0 i R m l s b E x h c 3 R V c G R h d G V k I i B W Y W x 1 Z T 0 i Z D I w M T c t M T I t M j R U M T g 6 M D I 6 N T A u M T A 4 M z Y 4 M V o i I C 8 + P E V u d H J 5 I F R 5 c G U 9 I k Z p b G x D b 2 x 1 b W 5 U e X B l c y I g V m F s d W U 9 I n N C Z 1 l H Q m d Z R 0 J n W U d C Z 0 1 E Q m d Z R 0 J n W U d C Z 1 l H Q m d Z P S I g L z 4 8 R W 5 0 c n k g V H l w Z T 0 i R m l s b E V y c m 9 y Q 2 9 k Z S I g V m F s d W U 9 I n N V b m t u b 3 d u I i A v P j x F b n R y e S B U e X B l P S J G a W x s U 3 R h d H V z I i B W Y W x 1 Z T 0 i c 0 N v b X B s Z X R l I i A v P j x F b n R y e S B U e X B l P S J G a W x s R X J y b 3 J D b 3 V u d C I g V m F s d W U 9 I m w w I i A v P j x F b n R y e S B U e X B l P S J G a W x s T 2 J q Z W N 0 V H l w Z S I g V m F s d W U 9 I n N D b 2 5 u Z W N 0 a W 9 u T 2 5 s e S I g L z 4 8 R W 5 0 c n k g V H l w Z T 0 i U m V s Y X R p b 2 5 z a G l w S W 5 m b 0 N v b n R h a W 5 l c i I g V m F s d W U 9 I n N 7 J n F 1 b 3 Q 7 Y 2 9 s d W 1 u Q 2 9 1 b n Q m c X V v d D s 6 M j M s J n F 1 b 3 Q 7 a 2 V 5 Q 2 9 s d W 1 u T m F t Z X M m c X V v d D s 6 W 1 0 s J n F 1 b 3 Q 7 c X V l c n l S Z W x h d G l v b n N o a X B z J n F 1 b 3 Q 7 O l t d L C Z x d W 9 0 O 2 N v b H V t b k l k Z W 5 0 a X R p Z X M m c X V v d D s 6 W y Z x d W 9 0 O 1 N l c n Z l c i 5 E Y X R h Y m F z Z V x c L z I v T X l T c W w v M T I 3 L j A u M C 4 x O j M z M D Y 7 Z H R t X 3 J k M T I v Z H R t X 3 J k M T I v Z H R t X 3 J k M T I u a W R w X 3 J l Z l 9 y Z X Q u e 2 F k b T F f b m F t Z S w w f S Z x d W 9 0 O y w m c X V v d D t T Z X J 2 Z X I u R G F 0 Y W J h c 2 V c X C 8 y L 0 1 5 U 3 F s L z E y N y 4 w L j A u M T o z M z A 2 O 2 R 0 b V 9 y Z D E y L 2 R 0 b V 9 y Z D E y L 2 R 0 b V 9 y Z D E y L m l k c F 9 y Z W Z f c m V 0 L n t h Z G 0 x X 2 N v Z G U s M X 0 m c X V v d D s s J n F 1 b 3 Q 7 U 2 V y d m V y L k R h d G F i Y X N l X F w v M i 9 N e V N x b C 8 x M j c u M C 4 w L j E 6 M z M w N j t k d G 1 f c m Q x M i 9 k d G 1 f c m Q x M i 9 k d G 1 f c m Q x M i 5 p Z H B f c m V m X 3 J l d C 5 7 Y W R t M l 9 u Y W 1 l L D J 9 J n F 1 b 3 Q 7 L C Z x d W 9 0 O 1 N l c n Z l c i 5 E Y X R h Y m F z Z V x c L z I v T X l T c W w v M T I 3 L j A u M C 4 x O j M z M D Y 7 Z H R t X 3 J k M T I v Z H R t X 3 J k M T I v Z H R t X 3 J k M T I u a W R w X 3 J l Z l 9 y Z X Q u e 2 F k b T J f Y 2 9 k Z S w z f S Z x d W 9 0 O y w m c X V v d D t T Z X J 2 Z X I u R G F 0 Y W J h c 2 V c X C 8 y L 0 1 5 U 3 F s L z E y N y 4 w L j A u M T o z M z A 2 O 2 R 0 b V 9 y Z D E y L 2 R 0 b V 9 y Z D E y L 2 R 0 b V 9 y Z D E y L m l k c F 9 y Z W Z f c m V 0 L n t h Z G 0 z X 2 5 h b W U s N H 0 m c X V v d D s s J n F 1 b 3 Q 7 U 2 V y d m V y L k R h d G F i Y X N l X F w v M i 9 N e V N x b C 8 x M j c u M C 4 w L j E 6 M z M w N j t k d G 1 f c m Q x M i 9 k d G 1 f c m Q x M i 9 k d G 1 f c m Q x M i 5 p Z H B f c m V m X 3 J l d C 5 7 Y W R t M 1 9 j b 2 R l L D V 9 J n F 1 b 3 Q 7 L C Z x d W 9 0 O 1 N l c n Z l c i 5 E Y X R h Y m F z Z V x c L z I v T X l T c W w v M T I 3 L j A u M C 4 x O j M z M D Y 7 Z H R t X 3 J k M T I v Z H R t X 3 J k M T I v Z H R t X 3 J k M T I u a W R w X 3 J l Z l 9 y Z X Q u e 3 Z p b G x h Z 2 V f b m F t Z S w 2 f S Z x d W 9 0 O y w m c X V v d D t T Z X J 2 Z X I u R G F 0 Y W J h c 2 V c X C 8 y L 0 1 5 U 3 F s L z E y N y 4 w L j A u M T o z M z A 2 O 2 R 0 b V 9 y Z D E y L 2 R 0 b V 9 y Z D E y L 2 R 0 b V 9 y Z D E y L m l k c F 9 y Z W Z f c m V 0 L n t 2 a W x s Y W d l X 2 N v Z G U s N 3 0 m c X V v d D s s J n F 1 b 3 Q 7 U 2 V y d m V y L k R h d G F i Y X N l X F w v M i 9 N e V N x b C 8 x M j c u M C 4 w L j E 6 M z M w N j t k d G 1 f c m Q x M i 9 k d G 1 f c m Q x M i 9 k d G 1 f c m Q x M i 5 p Z H B f c m V m X 3 J l d C 5 7 Z G V w b G F j Z W 1 l b n Q s O H 0 m c X V v d D s s J n F 1 b 3 Q 7 U 2 V j d G l v b j E v R G l z c G x h Y 2 V t Z W 5 0 U G V y a W 9 k L 1 Z h b G V 1 c i B y Z W 1 w b G F j w 6 l l N y 5 7 c G V y a W 9 k Z S w 5 f S Z x d W 9 0 O y w m c X V v d D t T Z X J 2 Z X I u R G F 0 Y W J h c 2 V c X C 8 y L 0 1 5 U 3 F s L z E y N y 4 w L j A u M T o z M z A 2 O 2 R 0 b V 9 y Z D E y L 2 R 0 b V 9 y Z D E y L 2 R 0 b V 9 y Z D E y L m l k c F 9 y Z W Z f c m V 0 L n t o a C w x M H 0 m c X V v d D s s J n F 1 b 3 Q 7 U 2 V y d m V y L k R h d G F i Y X N l X F w v M i 9 N e V N x b C 8 x M j c u M C 4 w L j E 6 M z M w N j t k d G 1 f c m Q x M i 9 k d G 1 f c m Q x M i 9 k d G 1 f c m Q x M i 5 p Z H B f c m V m X 3 J l d C 5 7 a W 5 k L D E x f S Z x d W 9 0 O y w m c X V v d D t T Z X J 2 Z X I u R G F 0 Y W J h c 2 V c X C 8 y L 0 1 5 U 3 F s L z E y N y 4 w L j A u M T o z M z A 2 O 2 R 0 b V 9 y Z D E y L 2 R 0 b V 9 y Z D E y L 2 R 0 b V 9 y Z D E y L m l k c F 9 y Z W Z f c m V 0 L n t y Y W l z b 2 4 s M T J 9 J n F 1 b 3 Q 7 L C Z x d W 9 0 O 1 N l c n Z l c i 5 E Y X R h Y m F z Z V x c L z I v T X l T c W w v M T I 3 L j A u M C 4 x O j M z M D Y 7 Z H R t X 3 J k M T I v Z H R t X 3 J k M T I v Z H R t X 3 J k M T I u a W R w X 3 J l Z l 9 y Z X Q u e 2 F 1 d H J l X 3 J h a X N v b i w x M 3 0 m c X V v d D s s J n F 1 b 3 Q 7 U 2 V y d m V y L k R h d G F i Y X N l X F w v M i 9 N e V N x b C 8 x M j c u M C 4 w L j E 6 M z M w N j t k d G 1 f c m Q x M i 9 k d G 1 f c m Q x M i 9 k d G 1 f c m Q x M i 5 p Z H B f c m V m X 3 J l d C 5 7 c H J v d m V u Y W 5 j Z S w x N H 0 m c X V v d D s s J n F 1 b 3 Q 7 U 2 V y d m V y L k R h d G F i Y X N l X F w v M i 9 N e V N x b C 8 x M j c u M C 4 w L j E 6 M z M w N j t k d G 1 f c m Q x M i 9 k d G 1 f c m Q x M i 9 k d G 1 f c m Q x M i 5 p Z H B f c m V m X 3 J l d C 5 7 c H J v d m V u Y W 5 j Z V 9 h Z G 0 w L D E 1 f S Z x d W 9 0 O y w m c X V v d D t T Z X J 2 Z X I u R G F 0 Y W J h c 2 V c X C 8 y L 0 1 5 U 3 F s L z E y N y 4 w L j A u M T o z M z A 2 O 2 R 0 b V 9 y Z D E y L 2 R 0 b V 9 y Z D E y L 2 R 0 b V 9 y Z D E y L m l k c F 9 y Z W Z f c m V 0 L n t w c m 9 2 Z W 5 h b m N l X 2 F k b T B f b m 9 t L D E 2 f S Z x d W 9 0 O y w m c X V v d D t T Z X J 2 Z X I u R G F 0 Y W J h c 2 V c X C 8 y L 0 1 5 U 3 F s L z E y N y 4 w L j A u M T o z M z A 2 O 2 R 0 b V 9 y Z D E y L 2 R 0 b V 9 y Z D E y L 2 R 0 b V 9 y Z D E y L m l k c F 9 y Z W Z f c m V 0 L n t w c m 9 2 Z W 5 h b m N l X 2 F k b T E s M T d 9 J n F 1 b 3 Q 7 L C Z x d W 9 0 O 1 N l c n Z l c i 5 E Y X R h Y m F z Z V x c L z I v T X l T c W w v M T I 3 L j A u M C 4 x O j M z M D Y 7 Z H R t X 3 J k M T I v Z H R t X 3 J k M T I v Z H R t X 3 J k M T I u a W R w X 3 J l Z l 9 y Z X Q u e 3 B y b 3 Z l b m F u Y 2 V f Y W R t M V 9 u b 2 0 s M T h 9 J n F 1 b 3 Q 7 L C Z x d W 9 0 O 1 N l c n Z l c i 5 E Y X R h Y m F z Z V x c L z I v T X l T c W w v M T I 3 L j A u M C 4 x O j M z M D Y 7 Z H R t X 3 J k M T I v Z H R t X 3 J k M T I v Z H R t X 3 J k M T I u a W R w X 3 J l Z l 9 y Z X Q u e 3 B y b 3 Z l b m F u Y 2 V f Y W R t M i w x O X 0 m c X V v d D s s J n F 1 b 3 Q 7 U 2 V y d m V y L k R h d G F i Y X N l X F w v M i 9 N e V N x b C 8 x M j c u M C 4 w L j E 6 M z M w N j t k d G 1 f c m Q x M i 9 k d G 1 f c m Q x M i 9 k d G 1 f c m Q x M i 5 p Z H B f c m V m X 3 J l d C 5 7 c H J v d m V u Y W 5 j Z V 9 h Z G 0 y X 2 5 v b S w y M H 0 m c X V v d D s s J n F 1 b 3 Q 7 U 2 V y d m V y L k R h d G F i Y X N l X F w v M i 9 N e V N x b C 8 x M j c u M C 4 w L j E 6 M z M w N j t k d G 1 f c m Q x M i 9 k d G 1 f c m Q x M i 9 k d G 1 f c m Q x M i 5 p Z H B f c m V m X 3 J l d C 5 7 c H J v d m V u Y W 5 j Z V 9 h Z G 0 z L D I x f S Z x d W 9 0 O y w m c X V v d D t T Z X J 2 Z X I u R G F 0 Y W J h c 2 V c X C 8 y L 0 1 5 U 3 F s L z E y N y 4 w L j A u M T o z M z A 2 O 2 R 0 b V 9 y Z D E y L 2 R 0 b V 9 y Z D E y L 2 R 0 b V 9 y Z D E y L m l k c F 9 y Z W Z f c m V 0 L n t w c m 9 2 Z W 5 h b m N l X 2 F k b T N f b m 9 t L D I y f S Z x d W 9 0 O 1 0 s J n F 1 b 3 Q 7 Q 2 9 s d W 1 u Q 2 9 1 b n Q m c X V v d D s 6 M j M s J n F 1 b 3 Q 7 S 2 V 5 Q 2 9 s d W 1 u T m F t Z X M m c X V v d D s 6 W 1 0 s J n F 1 b 3 Q 7 Q 2 9 s d W 1 u S W R l b n R p d G l l c y Z x d W 9 0 O z p b J n F 1 b 3 Q 7 U 2 V y d m V y L k R h d G F i Y X N l X F w v M i 9 N e V N x b C 8 x M j c u M C 4 w L j E 6 M z M w N j t k d G 1 f c m Q x M i 9 k d G 1 f c m Q x M i 9 k d G 1 f c m Q x M i 5 p Z H B f c m V m X 3 J l d C 5 7 Y W R t M V 9 u Y W 1 l L D B 9 J n F 1 b 3 Q 7 L C Z x d W 9 0 O 1 N l c n Z l c i 5 E Y X R h Y m F z Z V x c L z I v T X l T c W w v M T I 3 L j A u M C 4 x O j M z M D Y 7 Z H R t X 3 J k M T I v Z H R t X 3 J k M T I v Z H R t X 3 J k M T I u a W R w X 3 J l Z l 9 y Z X Q u e 2 F k b T F f Y 2 9 k Z S w x f S Z x d W 9 0 O y w m c X V v d D t T Z X J 2 Z X I u R G F 0 Y W J h c 2 V c X C 8 y L 0 1 5 U 3 F s L z E y N y 4 w L j A u M T o z M z A 2 O 2 R 0 b V 9 y Z D E y L 2 R 0 b V 9 y Z D E y L 2 R 0 b V 9 y Z D E y L m l k c F 9 y Z W Z f c m V 0 L n t h Z G 0 y X 2 5 h b W U s M n 0 m c X V v d D s s J n F 1 b 3 Q 7 U 2 V y d m V y L k R h d G F i Y X N l X F w v M i 9 N e V N x b C 8 x M j c u M C 4 w L j E 6 M z M w N j t k d G 1 f c m Q x M i 9 k d G 1 f c m Q x M i 9 k d G 1 f c m Q x M i 5 p Z H B f c m V m X 3 J l d C 5 7 Y W R t M l 9 j b 2 R l L D N 9 J n F 1 b 3 Q 7 L C Z x d W 9 0 O 1 N l c n Z l c i 5 E Y X R h Y m F z Z V x c L z I v T X l T c W w v M T I 3 L j A u M C 4 x O j M z M D Y 7 Z H R t X 3 J k M T I v Z H R t X 3 J k M T I v Z H R t X 3 J k M T I u a W R w X 3 J l Z l 9 y Z X Q u e 2 F k b T N f b m F t Z S w 0 f S Z x d W 9 0 O y w m c X V v d D t T Z X J 2 Z X I u R G F 0 Y W J h c 2 V c X C 8 y L 0 1 5 U 3 F s L z E y N y 4 w L j A u M T o z M z A 2 O 2 R 0 b V 9 y Z D E y L 2 R 0 b V 9 y Z D E y L 2 R 0 b V 9 y Z D E y L m l k c F 9 y Z W Z f c m V 0 L n t h Z G 0 z X 2 N v Z G U s N X 0 m c X V v d D s s J n F 1 b 3 Q 7 U 2 V y d m V y L k R h d G F i Y X N l X F w v M i 9 N e V N x b C 8 x M j c u M C 4 w L j E 6 M z M w N j t k d G 1 f c m Q x M i 9 k d G 1 f c m Q x M i 9 k d G 1 f c m Q x M i 5 p Z H B f c m V m X 3 J l d C 5 7 d m l s b G F n Z V 9 u Y W 1 l L D Z 9 J n F 1 b 3 Q 7 L C Z x d W 9 0 O 1 N l c n Z l c i 5 E Y X R h Y m F z Z V x c L z I v T X l T c W w v M T I 3 L j A u M C 4 x O j M z M D Y 7 Z H R t X 3 J k M T I v Z H R t X 3 J k M T I v Z H R t X 3 J k M T I u a W R w X 3 J l Z l 9 y Z X Q u e 3 Z p b G x h Z 2 V f Y 2 9 k Z S w 3 f S Z x d W 9 0 O y w m c X V v d D t T Z X J 2 Z X I u R G F 0 Y W J h c 2 V c X C 8 y L 0 1 5 U 3 F s L z E y N y 4 w L j A u M T o z M z A 2 O 2 R 0 b V 9 y Z D E y L 2 R 0 b V 9 y Z D E y L 2 R 0 b V 9 y Z D E y L m l k c F 9 y Z W Z f c m V 0 L n t k Z X B s Y W N l b W V u d C w 4 f S Z x d W 9 0 O y w m c X V v d D t T Z W N 0 a W 9 u M S 9 E a X N w b G F j Z W 1 l b n R Q Z X J p b 2 Q v V m F s Z X V y I H J l b X B s Y W P D q W U 3 L n t w Z X J p b 2 R l L D l 9 J n F 1 b 3 Q 7 L C Z x d W 9 0 O 1 N l c n Z l c i 5 E Y X R h Y m F z Z V x c L z I v T X l T c W w v M T I 3 L j A u M C 4 x O j M z M D Y 7 Z H R t X 3 J k M T I v Z H R t X 3 J k M T I v Z H R t X 3 J k M T I u a W R w X 3 J l Z l 9 y Z X Q u e 2 h o L D E w f S Z x d W 9 0 O y w m c X V v d D t T Z X J 2 Z X I u R G F 0 Y W J h c 2 V c X C 8 y L 0 1 5 U 3 F s L z E y N y 4 w L j A u M T o z M z A 2 O 2 R 0 b V 9 y Z D E y L 2 R 0 b V 9 y Z D E y L 2 R 0 b V 9 y Z D E y L m l k c F 9 y Z W Z f c m V 0 L n t p b m Q s M T F 9 J n F 1 b 3 Q 7 L C Z x d W 9 0 O 1 N l c n Z l c i 5 E Y X R h Y m F z Z V x c L z I v T X l T c W w v M T I 3 L j A u M C 4 x O j M z M D Y 7 Z H R t X 3 J k M T I v Z H R t X 3 J k M T I v Z H R t X 3 J k M T I u a W R w X 3 J l Z l 9 y Z X Q u e 3 J h a X N v b i w x M n 0 m c X V v d D s s J n F 1 b 3 Q 7 U 2 V y d m V y L k R h d G F i Y X N l X F w v M i 9 N e V N x b C 8 x M j c u M C 4 w L j E 6 M z M w N j t k d G 1 f c m Q x M i 9 k d G 1 f c m Q x M i 9 k d G 1 f c m Q x M i 5 p Z H B f c m V m X 3 J l d C 5 7 Y X V 0 c m V f c m F p c 2 9 u L D E z f S Z x d W 9 0 O y w m c X V v d D t T Z X J 2 Z X I u R G F 0 Y W J h c 2 V c X C 8 y L 0 1 5 U 3 F s L z E y N y 4 w L j A u M T o z M z A 2 O 2 R 0 b V 9 y Z D E y L 2 R 0 b V 9 y Z D E y L 2 R 0 b V 9 y Z D E y L m l k c F 9 y Z W Z f c m V 0 L n t w c m 9 2 Z W 5 h b m N l L D E 0 f S Z x d W 9 0 O y w m c X V v d D t T Z X J 2 Z X I u R G F 0 Y W J h c 2 V c X C 8 y L 0 1 5 U 3 F s L z E y N y 4 w L j A u M T o z M z A 2 O 2 R 0 b V 9 y Z D E y L 2 R 0 b V 9 y Z D E y L 2 R 0 b V 9 y Z D E y L m l k c F 9 y Z W Z f c m V 0 L n t w c m 9 2 Z W 5 h b m N l X 2 F k b T A s M T V 9 J n F 1 b 3 Q 7 L C Z x d W 9 0 O 1 N l c n Z l c i 5 E Y X R h Y m F z Z V x c L z I v T X l T c W w v M T I 3 L j A u M C 4 x O j M z M D Y 7 Z H R t X 3 J k M T I v Z H R t X 3 J k M T I v Z H R t X 3 J k M T I u a W R w X 3 J l Z l 9 y Z X Q u e 3 B y b 3 Z l b m F u Y 2 V f Y W R t M F 9 u b 2 0 s M T Z 9 J n F 1 b 3 Q 7 L C Z x d W 9 0 O 1 N l c n Z l c i 5 E Y X R h Y m F z Z V x c L z I v T X l T c W w v M T I 3 L j A u M C 4 x O j M z M D Y 7 Z H R t X 3 J k M T I v Z H R t X 3 J k M T I v Z H R t X 3 J k M T I u a W R w X 3 J l Z l 9 y Z X Q u e 3 B y b 3 Z l b m F u Y 2 V f Y W R t M S w x N 3 0 m c X V v d D s s J n F 1 b 3 Q 7 U 2 V y d m V y L k R h d G F i Y X N l X F w v M i 9 N e V N x b C 8 x M j c u M C 4 w L j E 6 M z M w N j t k d G 1 f c m Q x M i 9 k d G 1 f c m Q x M i 9 k d G 1 f c m Q x M i 5 p Z H B f c m V m X 3 J l d C 5 7 c H J v d m V u Y W 5 j Z V 9 h Z G 0 x X 2 5 v b S w x O H 0 m c X V v d D s s J n F 1 b 3 Q 7 U 2 V y d m V y L k R h d G F i Y X N l X F w v M i 9 N e V N x b C 8 x M j c u M C 4 w L j E 6 M z M w N j t k d G 1 f c m Q x M i 9 k d G 1 f c m Q x M i 9 k d G 1 f c m Q x M i 5 p Z H B f c m V m X 3 J l d C 5 7 c H J v d m V u Y W 5 j Z V 9 h Z G 0 y L D E 5 f S Z x d W 9 0 O y w m c X V v d D t T Z X J 2 Z X I u R G F 0 Y W J h c 2 V c X C 8 y L 0 1 5 U 3 F s L z E y N y 4 w L j A u M T o z M z A 2 O 2 R 0 b V 9 y Z D E y L 2 R 0 b V 9 y Z D E y L 2 R 0 b V 9 y Z D E y L m l k c F 9 y Z W Z f c m V 0 L n t w c m 9 2 Z W 5 h b m N l X 2 F k b T J f b m 9 t L D I w f S Z x d W 9 0 O y w m c X V v d D t T Z X J 2 Z X I u R G F 0 Y W J h c 2 V c X C 8 y L 0 1 5 U 3 F s L z E y N y 4 w L j A u M T o z M z A 2 O 2 R 0 b V 9 y Z D E y L 2 R 0 b V 9 y Z D E y L 2 R 0 b V 9 y Z D E y L m l k c F 9 y Z W Z f c m V 0 L n t w c m 9 2 Z W 5 h b m N l X 2 F k b T M s M j F 9 J n F 1 b 3 Q 7 L C Z x d W 9 0 O 1 N l c n Z l c i 5 E Y X R h Y m F z Z V x c L z I v T X l T c W w v M T I 3 L j A u M C 4 x O j M z M D Y 7 Z H R t X 3 J k M T I v Z H R t X 3 J k M T I v Z H R t X 3 J k M T I u a W R w X 3 J l Z l 9 y Z X Q u e 3 B y b 3 Z l b m F u Y 2 V f Y W R t M 1 9 u b 2 0 s M j J 9 J n F 1 b 3 Q 7 X S w m c X V v d D t S Z W x h d G l v b n N o a X B J b m Z v J n F 1 b 3 Q 7 O l t d f S I g L z 4 8 R W 5 0 c n k g V H l w Z T 0 i R m l s b F R h c m d l d E 5 h b W V D d X N 0 b 2 1 p e m V k I i B W Y W x 1 Z T 0 i b D E i I C 8 + P E V u d H J 5 I F R 5 c G U 9 I k x v Y W R l Z F R v Q W 5 h b H l z a X N T Z X J 2 a W N l c y I g V m F s d W U 9 I m w w I i A v P j x F b n R y e S B U e X B l P S J B Z G R l Z F R v R G F 0 Y U 1 v Z G V s I i B W Y W x 1 Z T 0 i b D A i I C 8 + P C 9 T d G F i b G V F b n R y a W V z P j w v S X R l b T 4 8 S X R l b T 4 8 S X R l b U x v Y 2 F 0 a W 9 u P j x J d G V t V H l w Z T 5 G b 3 J t d W x h P C 9 J d G V t V H l w Z T 4 8 S X R l b V B h d G g + U 2 V j d G l v b j E v R G l z c G x h Y 2 V t Z W 5 0 U G V y a W 9 k J T I w K D I p L 1 N v d X J j Z T w v S X R l b V B h d G g + P C 9 J d G V t T G 9 j Y X R p b 2 4 + P F N 0 Y W J s Z U V u d H J p Z X M g L z 4 8 L 0 l 0 Z W 0 + P E l 0 Z W 0 + P E l 0 Z W 1 M b 2 N h d G l v b j 4 8 S X R l b V R 5 c G U + R m 9 y b X V s Y T w v S X R l b V R 5 c G U + P E l 0 Z W 1 Q Y X R o P l N l Y 3 R p b 2 4 x L 0 R p c 3 B s Y W N l b W V u d F B l c m l v Z C U y M C g y K S 9 k Z X R h a W x z U G V y a W 9 k c z w v S X R l b V B h d G g + P C 9 J d G V t T G 9 j Y X R p b 2 4 + P F N 0 Y W J s Z U V u d H J p Z X M g L z 4 8 L 0 l 0 Z W 0 + P E l 0 Z W 0 + P E l 0 Z W 1 M b 2 N h d G l v b j 4 8 S X R l b V R 5 c G U + R m 9 y b X V s Y T w v S X R l b V R 5 c G U + P E l 0 Z W 1 Q Y X R o P l N l Y 3 R p b 2 4 x L 0 R p c 3 B s Y W N l b W V u d F B l c m l v Z C U y M C g y K S 9 W Y W x l d X I l M j B y Z W 1 w b G F j J U M z J U E 5 Z T E 8 L 0 l 0 Z W 1 Q Y X R o P j w v S X R l b U x v Y 2 F 0 a W 9 u P j x T d G F i b G V F b n R y a W V z I C 8 + P C 9 J d G V t P j x J d G V t P j x J d G V t T G 9 j Y X R p b 2 4 + P E l 0 Z W 1 U e X B l P k Z v c m 1 1 b G E 8 L 0 l 0 Z W 1 U e X B l P j x J d G V t U G F 0 a D 5 T Z W N 0 a W 9 u M S 9 E a X N w b G F j Z W 1 l b n R Q Z X J p b 2 Q l M j A o M i k v V m F s Z X V y J T I w c m V t c G x h Y y V D M y V B O W U y P C 9 J d G V t U G F 0 a D 4 8 L 0 l 0 Z W 1 M b 2 N h d G l v b j 4 8 U 3 R h Y m x l R W 5 0 c m l l c y A v P j w v S X R l b T 4 8 S X R l b T 4 8 S X R l b U x v Y 2 F 0 a W 9 u P j x J d G V t V H l w Z T 5 G b 3 J t d W x h P C 9 J d G V t V H l w Z T 4 8 S X R l b V B h d G g + U 2 V j d G l v b j E v R G l z c G x h Y 2 V t Z W 5 0 U G V y a W 9 k J T I w K D I p L 1 Z h b G V 1 c i U y M H J l b X B s Y W M l Q z M l Q T l l M z w v S X R l b V B h d G g + P C 9 J d G V t T G 9 j Y X R p b 2 4 + P F N 0 Y W J s Z U V u d H J p Z X M g L z 4 8 L 0 l 0 Z W 0 + P E l 0 Z W 0 + P E l 0 Z W 1 M b 2 N h d G l v b j 4 8 S X R l b V R 5 c G U + R m 9 y b X V s Y T w v S X R l b V R 5 c G U + P E l 0 Z W 1 Q Y X R o P l N l Y 3 R p b 2 4 x L 0 R p c 3 B s Y W N l b W V u d F B l c m l v Z C U y M C g y K S 9 W Y W x l d X I l M j B y Z W 1 w b G F j J U M z J U E 5 Z T Q 8 L 0 l 0 Z W 1 Q Y X R o P j w v S X R l b U x v Y 2 F 0 a W 9 u P j x T d G F i b G V F b n R y a W V z I C 8 + P C 9 J d G V t P j x J d G V t P j x J d G V t T G 9 j Y X R p b 2 4 + P E l 0 Z W 1 U e X B l P k Z v c m 1 1 b G E 8 L 0 l 0 Z W 1 U e X B l P j x J d G V t U G F 0 a D 5 T Z W N 0 a W 9 u M S 9 E a X N w b G F j Z W 1 l b n R Q Z X J p b 2 Q l M j A o M i k v V m F s Z X V y J T I w c m V t c G x h Y y V D M y V B O W U 1 P C 9 J d G V t U G F 0 a D 4 8 L 0 l 0 Z W 1 M b 2 N h d G l v b j 4 8 U 3 R h Y m x l R W 5 0 c m l l c y A v P j w v S X R l b T 4 8 S X R l b T 4 8 S X R l b U x v Y 2 F 0 a W 9 u P j x J d G V t V H l w Z T 5 G b 3 J t d W x h P C 9 J d G V t V H l w Z T 4 8 S X R l b V B h d G g + U 2 V j d G l v b j E v R G l z c G x h Y 2 V t Z W 5 0 U G V y a W 9 k J T I w K D I p L 1 Z h b G V 1 c i U y M H J l b X B s Y W M l Q z M l Q T l l N j w v S X R l b V B h d G g + P C 9 J d G V t T G 9 j Y X R p b 2 4 + P F N 0 Y W J s Z U V u d H J p Z X M g L z 4 8 L 0 l 0 Z W 0 + P E l 0 Z W 0 + P E l 0 Z W 1 M b 2 N h d G l v b j 4 8 S X R l b V R 5 c G U + R m 9 y b X V s Y T w v S X R l b V R 5 c G U + P E l 0 Z W 1 Q Y X R o P l N l Y 3 R p b 2 4 x L 0 R p c 3 B s Y W N l b W V u d F B l c m l v Z C U y M C g y K S 9 W Y W x l d X I l M j B y Z W 1 w b G F j J U M z J U E 5 Z T c 8 L 0 l 0 Z W 1 Q Y X R o P j w v S X R l b U x v Y 2 F 0 a W 9 u P j x T d G F i b G V F b n R y a W V z I C 8 + P C 9 J d G V t P j x J d G V t P j x J d G V t T G 9 j Y X R p b 2 4 + P E l 0 Z W 1 U e X B l P k Z v c m 1 1 b G E 8 L 0 l 0 Z W 1 U e X B l P j x J d G V t U G F 0 a D 5 T Z W N 0 a W 9 u M S 9 E a X N w b G F j Z W 1 l b n R Q Z X J p b 2 Q l M j A o M y k 8 L 0 l 0 Z W 1 Q Y X R o P j w v S X R l b U x v Y 2 F 0 a W 9 u P j x T d G F i b G V F b n R y a W V z P j x F b n R y e S B U e X B l P S J J c 1 B y a X Z h d G U i I F Z h b H V l P S J s M C I g L z 4 8 R W 5 0 c n k g V H l w Z T 0 i R m l s b E V u Y W J s Z W Q i I F Z h b H V l P S J s M C I g L z 4 8 R W 5 0 c n k g V H l w Z T 0 i R m l s b F R v R G F 0 Y U 1 v Z G V s R W 5 h Y m x l Z C I g V m F s d W U 9 I m w w I i A v P j x F b n R y e S B U e X B l P S J S Z X N 1 b H R U e X B l I i B W Y W x 1 Z T 0 i c 0 V 4 Y 2 V w d G l v b i I g L z 4 8 R W 5 0 c n k g V H l w Z T 0 i Q n V m Z m V y T m V 4 d F J l Z n J l c 2 g i I F Z h b H V l P S J s M S I g L z 4 8 R W 5 0 c n k g V H l w Z T 0 i R m l s b G V k Q 2 9 t c G x l d G V S Z X N 1 b H R U b 1 d v c m t z a G V l d C I g V m F s d W U 9 I m w x I i A v P j x F b n R y e S B U e X B l P S J G a W x s Q 2 9 1 b n Q i I F Z h b H V l P S J s M T k 4 M y I g L z 4 8 R W 5 0 c n k g V H l w Z T 0 i R m l s b E N v b H V t b k 5 h b W V z I i B W Y W x 1 Z T 0 i c 1 s m c X V v d D t h Z G 0 x X 2 5 h b W U m c X V v d D s s J n F 1 b 3 Q 7 Y W R t M V 9 j b 2 R l J n F 1 b 3 Q 7 L C Z x d W 9 0 O 2 F k b T J f b m F t Z S Z x d W 9 0 O y w m c X V v d D t h Z G 0 y X 2 N v Z G U m c X V v d D s s J n F 1 b 3 Q 7 Y W R t M 1 9 u Y W 1 l J n F 1 b 3 Q 7 L C Z x d W 9 0 O 2 F k b T N f Y 2 9 k Z S Z x d W 9 0 O y w m c X V v d D t 2 a W x s Y W d l X 2 5 h b W U m c X V v d D s s J n F 1 b 3 Q 7 d m l s b G F n Z V 9 j b 2 R l J n F 1 b 3 Q 7 L C Z x d W 9 0 O 2 R l c G x h Y 2 V t Z W 5 0 J n F 1 b 3 Q 7 L C Z x d W 9 0 O 3 B l c m l v Z G U m c X V v d D s s J n F 1 b 3 Q 7 a G g m c X V v d D s s J n F 1 b 3 Q 7 a W 5 k J n F 1 b 3 Q 7 L C Z x d W 9 0 O 3 J h a X N v b i Z x d W 9 0 O y w m c X V v d D t h d X R y Z V 9 y Y W l z b 2 4 m c X V v d D s s J n F 1 b 3 Q 7 c H J v d m V u Y W 5 j Z S Z x d W 9 0 O y w m c X V v d D t w c m 9 2 Z W 5 h b m N l X 2 F k b T A m c X V v d D s s J n F 1 b 3 Q 7 c H J v d m V u Y W 5 j Z V 9 h Z G 0 w X 2 5 v b S Z x d W 9 0 O y w m c X V v d D t w c m 9 2 Z W 5 h b m N l X 2 F k b T E m c X V v d D s s J n F 1 b 3 Q 7 c H J v d m V u Y W 5 j Z V 9 h Z G 0 x X 2 5 v b S Z x d W 9 0 O y w m c X V v d D t w c m 9 2 Z W 5 h b m N l X 2 F k b T I m c X V v d D s s J n F 1 b 3 Q 7 c H J v d m V u Y W 5 j Z V 9 h Z G 0 y X 2 5 v b S Z x d W 9 0 O y w m c X V v d D t w c m 9 2 Z W 5 h b m N l X 2 F k b T M m c X V v d D s s J n F 1 b 3 Q 7 c H J v d m V u Y W 5 j Z V 9 h Z G 0 z X 2 5 v b S Z x d W 9 0 O 1 0 i I C 8 + P E V u d H J 5 I F R 5 c G U 9 I k Z p b G x M Y X N 0 V X B k Y X R l Z C I g V m F s d W U 9 I m Q y M D E 3 L T E y L T I 0 V D E 4 O j A y O j U w L j E w O D M 2 O D F a I i A v P j x F b n R y e S B U e X B l P S J G a W x s Q 2 9 s d W 1 u V H l w Z X M i I F Z h b H V l P S J z Q m d Z R 0 J n W U d C Z 1 l H Q m d N R E J n W U d C Z 1 l H Q m d Z R 0 J n W T 0 i I C 8 + P E V u d H J 5 I F R 5 c G U 9 I k Z p b G x F c n J v c k N v Z G U i I F Z h b H V l P S J z V W 5 r b m 9 3 b i I g L z 4 8 R W 5 0 c n k g V H l w Z T 0 i R m l s b F N 0 Y X R 1 c y I g V m F s d W U 9 I n N D b 2 1 w b G V 0 Z S I g L z 4 8 R W 5 0 c n k g V H l w Z T 0 i R m l s b E V y c m 9 y Q 2 9 1 b n Q i I F Z h b H V l P S J s M C I g L z 4 8 R W 5 0 c n k g V H l w Z T 0 i R m l s b E 9 i a m V j d F R 5 c G U i I F Z h b H V l P S J z Q 2 9 u b m V j d G l v b k 9 u b H k i I C 8 + P E V u d H J 5 I F R 5 c G U 9 I l J l b G F 0 a W 9 u c 2 h p c E l u Z m 9 D b 2 5 0 Y W l u Z X I i I F Z h b H V l P S J z e y Z x d W 9 0 O 2 N v b H V t b k N v d W 5 0 J n F 1 b 3 Q 7 O j I z L C Z x d W 9 0 O 2 t l e U N v b H V t b k 5 h b W V z J n F 1 b 3 Q 7 O l t d L C Z x d W 9 0 O 3 F 1 Z X J 5 U m V s Y X R p b 2 5 z a G l w c y Z x d W 9 0 O z p b X S w m c X V v d D t j b 2 x 1 b W 5 J Z G V u d G l 0 a W V z J n F 1 b 3 Q 7 O l s m c X V v d D t T Z X J 2 Z X I u R G F 0 Y W J h c 2 V c X C 8 y L 0 1 5 U 3 F s L z E y N y 4 w L j A u M T o z M z A 2 O 2 R 0 b V 9 y Z D E y L 2 R 0 b V 9 y Z D E y L 2 R 0 b V 9 y Z D E y L m l k c F 9 y Z W Z f c m V 0 L n t h Z G 0 x X 2 5 h b W U s M H 0 m c X V v d D s s J n F 1 b 3 Q 7 U 2 V y d m V y L k R h d G F i Y X N l X F w v M i 9 N e V N x b C 8 x M j c u M C 4 w L j E 6 M z M w N j t k d G 1 f c m Q x M i 9 k d G 1 f c m Q x M i 9 k d G 1 f c m Q x M i 5 p Z H B f c m V m X 3 J l d C 5 7 Y W R t M V 9 j b 2 R l L D F 9 J n F 1 b 3 Q 7 L C Z x d W 9 0 O 1 N l c n Z l c i 5 E Y X R h Y m F z Z V x c L z I v T X l T c W w v M T I 3 L j A u M C 4 x O j M z M D Y 7 Z H R t X 3 J k M T I v Z H R t X 3 J k M T I v Z H R t X 3 J k M T I u a W R w X 3 J l Z l 9 y Z X Q u e 2 F k b T J f b m F t Z S w y f S Z x d W 9 0 O y w m c X V v d D t T Z X J 2 Z X I u R G F 0 Y W J h c 2 V c X C 8 y L 0 1 5 U 3 F s L z E y N y 4 w L j A u M T o z M z A 2 O 2 R 0 b V 9 y Z D E y L 2 R 0 b V 9 y Z D E y L 2 R 0 b V 9 y Z D E y L m l k c F 9 y Z W Z f c m V 0 L n t h Z G 0 y X 2 N v Z G U s M 3 0 m c X V v d D s s J n F 1 b 3 Q 7 U 2 V y d m V y L k R h d G F i Y X N l X F w v M i 9 N e V N x b C 8 x M j c u M C 4 w L j E 6 M z M w N j t k d G 1 f c m Q x M i 9 k d G 1 f c m Q x M i 9 k d G 1 f c m Q x M i 5 p Z H B f c m V m X 3 J l d C 5 7 Y W R t M 1 9 u Y W 1 l L D R 9 J n F 1 b 3 Q 7 L C Z x d W 9 0 O 1 N l c n Z l c i 5 E Y X R h Y m F z Z V x c L z I v T X l T c W w v M T I 3 L j A u M C 4 x O j M z M D Y 7 Z H R t X 3 J k M T I v Z H R t X 3 J k M T I v Z H R t X 3 J k M T I u a W R w X 3 J l Z l 9 y Z X Q u e 2 F k b T N f Y 2 9 k Z S w 1 f S Z x d W 9 0 O y w m c X V v d D t T Z X J 2 Z X I u R G F 0 Y W J h c 2 V c X C 8 y L 0 1 5 U 3 F s L z E y N y 4 w L j A u M T o z M z A 2 O 2 R 0 b V 9 y Z D E y L 2 R 0 b V 9 y Z D E y L 2 R 0 b V 9 y Z D E y L m l k c F 9 y Z W Z f c m V 0 L n t 2 a W x s Y W d l X 2 5 h b W U s N n 0 m c X V v d D s s J n F 1 b 3 Q 7 U 2 V y d m V y L k R h d G F i Y X N l X F w v M i 9 N e V N x b C 8 x M j c u M C 4 w L j E 6 M z M w N j t k d G 1 f c m Q x M i 9 k d G 1 f c m Q x M i 9 k d G 1 f c m Q x M i 5 p Z H B f c m V m X 3 J l d C 5 7 d m l s b G F n Z V 9 j b 2 R l L D d 9 J n F 1 b 3 Q 7 L C Z x d W 9 0 O 1 N l c n Z l c i 5 E Y X R h Y m F z Z V x c L z I v T X l T c W w v M T I 3 L j A u M C 4 x O j M z M D Y 7 Z H R t X 3 J k M T I v Z H R t X 3 J k M T I v Z H R t X 3 J k M T I u a W R w X 3 J l Z l 9 y Z X Q u e 2 R l c G x h Y 2 V t Z W 5 0 L D h 9 J n F 1 b 3 Q 7 L C Z x d W 9 0 O 1 N l Y 3 R p b 2 4 x L 0 R p c 3 B s Y W N l b W V u d F B l c m l v Z C 9 W Y W x l d X I g c m V t c G x h Y 8 O p Z T c u e 3 B l c m l v Z G U s O X 0 m c X V v d D s s J n F 1 b 3 Q 7 U 2 V y d m V y L k R h d G F i Y X N l X F w v M i 9 N e V N x b C 8 x M j c u M C 4 w L j E 6 M z M w N j t k d G 1 f c m Q x M i 9 k d G 1 f c m Q x M i 9 k d G 1 f c m Q x M i 5 p Z H B f c m V m X 3 J l d C 5 7 a G g s M T B 9 J n F 1 b 3 Q 7 L C Z x d W 9 0 O 1 N l c n Z l c i 5 E Y X R h Y m F z Z V x c L z I v T X l T c W w v M T I 3 L j A u M C 4 x O j M z M D Y 7 Z H R t X 3 J k M T I v Z H R t X 3 J k M T I v Z H R t X 3 J k M T I u a W R w X 3 J l Z l 9 y Z X Q u e 2 l u Z C w x M X 0 m c X V v d D s s J n F 1 b 3 Q 7 U 2 V y d m V y L k R h d G F i Y X N l X F w v M i 9 N e V N x b C 8 x M j c u M C 4 w L j E 6 M z M w N j t k d G 1 f c m Q x M i 9 k d G 1 f c m Q x M i 9 k d G 1 f c m Q x M i 5 p Z H B f c m V m X 3 J l d C 5 7 c m F p c 2 9 u L D E y f S Z x d W 9 0 O y w m c X V v d D t T Z X J 2 Z X I u R G F 0 Y W J h c 2 V c X C 8 y L 0 1 5 U 3 F s L z E y N y 4 w L j A u M T o z M z A 2 O 2 R 0 b V 9 y Z D E y L 2 R 0 b V 9 y Z D E y L 2 R 0 b V 9 y Z D E y L m l k c F 9 y Z W Z f c m V 0 L n t h d X R y Z V 9 y Y W l z b 2 4 s M T N 9 J n F 1 b 3 Q 7 L C Z x d W 9 0 O 1 N l c n Z l c i 5 E Y X R h Y m F z Z V x c L z I v T X l T c W w v M T I 3 L j A u M C 4 x O j M z M D Y 7 Z H R t X 3 J k M T I v Z H R t X 3 J k M T I v Z H R t X 3 J k M T I u a W R w X 3 J l Z l 9 y Z X Q u e 3 B y b 3 Z l b m F u Y 2 U s M T R 9 J n F 1 b 3 Q 7 L C Z x d W 9 0 O 1 N l c n Z l c i 5 E Y X R h Y m F z Z V x c L z I v T X l T c W w v M T I 3 L j A u M C 4 x O j M z M D Y 7 Z H R t X 3 J k M T I v Z H R t X 3 J k M T I v Z H R t X 3 J k M T I u a W R w X 3 J l Z l 9 y Z X Q u e 3 B y b 3 Z l b m F u Y 2 V f Y W R t M C w x N X 0 m c X V v d D s s J n F 1 b 3 Q 7 U 2 V y d m V y L k R h d G F i Y X N l X F w v M i 9 N e V N x b C 8 x M j c u M C 4 w L j E 6 M z M w N j t k d G 1 f c m Q x M i 9 k d G 1 f c m Q x M i 9 k d G 1 f c m Q x M i 5 p Z H B f c m V m X 3 J l d C 5 7 c H J v d m V u Y W 5 j Z V 9 h Z G 0 w X 2 5 v b S w x N n 0 m c X V v d D s s J n F 1 b 3 Q 7 U 2 V y d m V y L k R h d G F i Y X N l X F w v M i 9 N e V N x b C 8 x M j c u M C 4 w L j E 6 M z M w N j t k d G 1 f c m Q x M i 9 k d G 1 f c m Q x M i 9 k d G 1 f c m Q x M i 5 p Z H B f c m V m X 3 J l d C 5 7 c H J v d m V u Y W 5 j Z V 9 h Z G 0 x L D E 3 f S Z x d W 9 0 O y w m c X V v d D t T Z X J 2 Z X I u R G F 0 Y W J h c 2 V c X C 8 y L 0 1 5 U 3 F s L z E y N y 4 w L j A u M T o z M z A 2 O 2 R 0 b V 9 y Z D E y L 2 R 0 b V 9 y Z D E y L 2 R 0 b V 9 y Z D E y L m l k c F 9 y Z W Z f c m V 0 L n t w c m 9 2 Z W 5 h b m N l X 2 F k b T F f b m 9 t L D E 4 f S Z x d W 9 0 O y w m c X V v d D t T Z X J 2 Z X I u R G F 0 Y W J h c 2 V c X C 8 y L 0 1 5 U 3 F s L z E y N y 4 w L j A u M T o z M z A 2 O 2 R 0 b V 9 y Z D E y L 2 R 0 b V 9 y Z D E y L 2 R 0 b V 9 y Z D E y L m l k c F 9 y Z W Z f c m V 0 L n t w c m 9 2 Z W 5 h b m N l X 2 F k b T I s M T l 9 J n F 1 b 3 Q 7 L C Z x d W 9 0 O 1 N l c n Z l c i 5 E Y X R h Y m F z Z V x c L z I v T X l T c W w v M T I 3 L j A u M C 4 x O j M z M D Y 7 Z H R t X 3 J k M T I v Z H R t X 3 J k M T I v Z H R t X 3 J k M T I u a W R w X 3 J l Z l 9 y Z X Q u e 3 B y b 3 Z l b m F u Y 2 V f Y W R t M l 9 u b 2 0 s M j B 9 J n F 1 b 3 Q 7 L C Z x d W 9 0 O 1 N l c n Z l c i 5 E Y X R h Y m F z Z V x c L z I v T X l T c W w v M T I 3 L j A u M C 4 x O j M z M D Y 7 Z H R t X 3 J k M T I v Z H R t X 3 J k M T I v Z H R t X 3 J k M T I u a W R w X 3 J l Z l 9 y Z X Q u e 3 B y b 3 Z l b m F u Y 2 V f Y W R t M y w y M X 0 m c X V v d D s s J n F 1 b 3 Q 7 U 2 V y d m V y L k R h d G F i Y X N l X F w v M i 9 N e V N x b C 8 x M j c u M C 4 w L j E 6 M z M w N j t k d G 1 f c m Q x M i 9 k d G 1 f c m Q x M i 9 k d G 1 f c m Q x M i 5 p Z H B f c m V m X 3 J l d C 5 7 c H J v d m V u Y W 5 j Z V 9 h Z G 0 z X 2 5 v b S w y M n 0 m c X V v d D t d L C Z x d W 9 0 O 0 N v b H V t b k N v d W 5 0 J n F 1 b 3 Q 7 O j I z L C Z x d W 9 0 O 0 t l e U N v b H V t b k 5 h b W V z J n F 1 b 3 Q 7 O l t d L C Z x d W 9 0 O 0 N v b H V t b k l k Z W 5 0 a X R p Z X M m c X V v d D s 6 W y Z x d W 9 0 O 1 N l c n Z l c i 5 E Y X R h Y m F z Z V x c L z I v T X l T c W w v M T I 3 L j A u M C 4 x O j M z M D Y 7 Z H R t X 3 J k M T I v Z H R t X 3 J k M T I v Z H R t X 3 J k M T I u a W R w X 3 J l Z l 9 y Z X Q u e 2 F k b T F f b m F t Z S w w f S Z x d W 9 0 O y w m c X V v d D t T Z X J 2 Z X I u R G F 0 Y W J h c 2 V c X C 8 y L 0 1 5 U 3 F s L z E y N y 4 w L j A u M T o z M z A 2 O 2 R 0 b V 9 y Z D E y L 2 R 0 b V 9 y Z D E y L 2 R 0 b V 9 y Z D E y L m l k c F 9 y Z W Z f c m V 0 L n t h Z G 0 x X 2 N v Z G U s M X 0 m c X V v d D s s J n F 1 b 3 Q 7 U 2 V y d m V y L k R h d G F i Y X N l X F w v M i 9 N e V N x b C 8 x M j c u M C 4 w L j E 6 M z M w N j t k d G 1 f c m Q x M i 9 k d G 1 f c m Q x M i 9 k d G 1 f c m Q x M i 5 p Z H B f c m V m X 3 J l d C 5 7 Y W R t M l 9 u Y W 1 l L D J 9 J n F 1 b 3 Q 7 L C Z x d W 9 0 O 1 N l c n Z l c i 5 E Y X R h Y m F z Z V x c L z I v T X l T c W w v M T I 3 L j A u M C 4 x O j M z M D Y 7 Z H R t X 3 J k M T I v Z H R t X 3 J k M T I v Z H R t X 3 J k M T I u a W R w X 3 J l Z l 9 y Z X Q u e 2 F k b T J f Y 2 9 k Z S w z f S Z x d W 9 0 O y w m c X V v d D t T Z X J 2 Z X I u R G F 0 Y W J h c 2 V c X C 8 y L 0 1 5 U 3 F s L z E y N y 4 w L j A u M T o z M z A 2 O 2 R 0 b V 9 y Z D E y L 2 R 0 b V 9 y Z D E y L 2 R 0 b V 9 y Z D E y L m l k c F 9 y Z W Z f c m V 0 L n t h Z G 0 z X 2 5 h b W U s N H 0 m c X V v d D s s J n F 1 b 3 Q 7 U 2 V y d m V y L k R h d G F i Y X N l X F w v M i 9 N e V N x b C 8 x M j c u M C 4 w L j E 6 M z M w N j t k d G 1 f c m Q x M i 9 k d G 1 f c m Q x M i 9 k d G 1 f c m Q x M i 5 p Z H B f c m V m X 3 J l d C 5 7 Y W R t M 1 9 j b 2 R l L D V 9 J n F 1 b 3 Q 7 L C Z x d W 9 0 O 1 N l c n Z l c i 5 E Y X R h Y m F z Z V x c L z I v T X l T c W w v M T I 3 L j A u M C 4 x O j M z M D Y 7 Z H R t X 3 J k M T I v Z H R t X 3 J k M T I v Z H R t X 3 J k M T I u a W R w X 3 J l Z l 9 y Z X Q u e 3 Z p b G x h Z 2 V f b m F t Z S w 2 f S Z x d W 9 0 O y w m c X V v d D t T Z X J 2 Z X I u R G F 0 Y W J h c 2 V c X C 8 y L 0 1 5 U 3 F s L z E y N y 4 w L j A u M T o z M z A 2 O 2 R 0 b V 9 y Z D E y L 2 R 0 b V 9 y Z D E y L 2 R 0 b V 9 y Z D E y L m l k c F 9 y Z W Z f c m V 0 L n t 2 a W x s Y W d l X 2 N v Z G U s N 3 0 m c X V v d D s s J n F 1 b 3 Q 7 U 2 V y d m V y L k R h d G F i Y X N l X F w v M i 9 N e V N x b C 8 x M j c u M C 4 w L j E 6 M z M w N j t k d G 1 f c m Q x M i 9 k d G 1 f c m Q x M i 9 k d G 1 f c m Q x M i 5 p Z H B f c m V m X 3 J l d C 5 7 Z G V w b G F j Z W 1 l b n Q s O H 0 m c X V v d D s s J n F 1 b 3 Q 7 U 2 V j d G l v b j E v R G l z c G x h Y 2 V t Z W 5 0 U G V y a W 9 k L 1 Z h b G V 1 c i B y Z W 1 w b G F j w 6 l l N y 5 7 c G V y a W 9 k Z S w 5 f S Z x d W 9 0 O y w m c X V v d D t T Z X J 2 Z X I u R G F 0 Y W J h c 2 V c X C 8 y L 0 1 5 U 3 F s L z E y N y 4 w L j A u M T o z M z A 2 O 2 R 0 b V 9 y Z D E y L 2 R 0 b V 9 y Z D E y L 2 R 0 b V 9 y Z D E y L m l k c F 9 y Z W Z f c m V 0 L n t o a C w x M H 0 m c X V v d D s s J n F 1 b 3 Q 7 U 2 V y d m V y L k R h d G F i Y X N l X F w v M i 9 N e V N x b C 8 x M j c u M C 4 w L j E 6 M z M w N j t k d G 1 f c m Q x M i 9 k d G 1 f c m Q x M i 9 k d G 1 f c m Q x M i 5 p Z H B f c m V m X 3 J l d C 5 7 a W 5 k L D E x f S Z x d W 9 0 O y w m c X V v d D t T Z X J 2 Z X I u R G F 0 Y W J h c 2 V c X C 8 y L 0 1 5 U 3 F s L z E y N y 4 w L j A u M T o z M z A 2 O 2 R 0 b V 9 y Z D E y L 2 R 0 b V 9 y Z D E y L 2 R 0 b V 9 y Z D E y L m l k c F 9 y Z W Z f c m V 0 L n t y Y W l z b 2 4 s M T J 9 J n F 1 b 3 Q 7 L C Z x d W 9 0 O 1 N l c n Z l c i 5 E Y X R h Y m F z Z V x c L z I v T X l T c W w v M T I 3 L j A u M C 4 x O j M z M D Y 7 Z H R t X 3 J k M T I v Z H R t X 3 J k M T I v Z H R t X 3 J k M T I u a W R w X 3 J l Z l 9 y Z X Q u e 2 F 1 d H J l X 3 J h a X N v b i w x M 3 0 m c X V v d D s s J n F 1 b 3 Q 7 U 2 V y d m V y L k R h d G F i Y X N l X F w v M i 9 N e V N x b C 8 x M j c u M C 4 w L j E 6 M z M w N j t k d G 1 f c m Q x M i 9 k d G 1 f c m Q x M i 9 k d G 1 f c m Q x M i 5 p Z H B f c m V m X 3 J l d C 5 7 c H J v d m V u Y W 5 j Z S w x N H 0 m c X V v d D s s J n F 1 b 3 Q 7 U 2 V y d m V y L k R h d G F i Y X N l X F w v M i 9 N e V N x b C 8 x M j c u M C 4 w L j E 6 M z M w N j t k d G 1 f c m Q x M i 9 k d G 1 f c m Q x M i 9 k d G 1 f c m Q x M i 5 p Z H B f c m V m X 3 J l d C 5 7 c H J v d m V u Y W 5 j Z V 9 h Z G 0 w L D E 1 f S Z x d W 9 0 O y w m c X V v d D t T Z X J 2 Z X I u R G F 0 Y W J h c 2 V c X C 8 y L 0 1 5 U 3 F s L z E y N y 4 w L j A u M T o z M z A 2 O 2 R 0 b V 9 y Z D E y L 2 R 0 b V 9 y Z D E y L 2 R 0 b V 9 y Z D E y L m l k c F 9 y Z W Z f c m V 0 L n t w c m 9 2 Z W 5 h b m N l X 2 F k b T B f b m 9 t L D E 2 f S Z x d W 9 0 O y w m c X V v d D t T Z X J 2 Z X I u R G F 0 Y W J h c 2 V c X C 8 y L 0 1 5 U 3 F s L z E y N y 4 w L j A u M T o z M z A 2 O 2 R 0 b V 9 y Z D E y L 2 R 0 b V 9 y Z D E y L 2 R 0 b V 9 y Z D E y L m l k c F 9 y Z W Z f c m V 0 L n t w c m 9 2 Z W 5 h b m N l X 2 F k b T E s M T d 9 J n F 1 b 3 Q 7 L C Z x d W 9 0 O 1 N l c n Z l c i 5 E Y X R h Y m F z Z V x c L z I v T X l T c W w v M T I 3 L j A u M C 4 x O j M z M D Y 7 Z H R t X 3 J k M T I v Z H R t X 3 J k M T I v Z H R t X 3 J k M T I u a W R w X 3 J l Z l 9 y Z X Q u e 3 B y b 3 Z l b m F u Y 2 V f Y W R t M V 9 u b 2 0 s M T h 9 J n F 1 b 3 Q 7 L C Z x d W 9 0 O 1 N l c n Z l c i 5 E Y X R h Y m F z Z V x c L z I v T X l T c W w v M T I 3 L j A u M C 4 x O j M z M D Y 7 Z H R t X 3 J k M T I v Z H R t X 3 J k M T I v Z H R t X 3 J k M T I u a W R w X 3 J l Z l 9 y Z X Q u e 3 B y b 3 Z l b m F u Y 2 V f Y W R t M i w x O X 0 m c X V v d D s s J n F 1 b 3 Q 7 U 2 V y d m V y L k R h d G F i Y X N l X F w v M i 9 N e V N x b C 8 x M j c u M C 4 w L j E 6 M z M w N j t k d G 1 f c m Q x M i 9 k d G 1 f c m Q x M i 9 k d G 1 f c m Q x M i 5 p Z H B f c m V m X 3 J l d C 5 7 c H J v d m V u Y W 5 j Z V 9 h Z G 0 y X 2 5 v b S w y M H 0 m c X V v d D s s J n F 1 b 3 Q 7 U 2 V y d m V y L k R h d G F i Y X N l X F w v M i 9 N e V N x b C 8 x M j c u M C 4 w L j E 6 M z M w N j t k d G 1 f c m Q x M i 9 k d G 1 f c m Q x M i 9 k d G 1 f c m Q x M i 5 p Z H B f c m V m X 3 J l d C 5 7 c H J v d m V u Y W 5 j Z V 9 h Z G 0 z L D I x f S Z x d W 9 0 O y w m c X V v d D t T Z X J 2 Z X I u R G F 0 Y W J h c 2 V c X C 8 y L 0 1 5 U 3 F s L z E y N y 4 w L j A u M T o z M z A 2 O 2 R 0 b V 9 y Z D E y L 2 R 0 b V 9 y Z D E y L 2 R 0 b V 9 y Z D E y L m l k c F 9 y Z W Z f c m V 0 L n t w c m 9 2 Z W 5 h b m N l X 2 F k b T N f b m 9 t L D I y f S Z x d W 9 0 O 1 0 s J n F 1 b 3 Q 7 U m V s Y X R p b 2 5 z a G l w S W 5 m b y Z x d W 9 0 O z p b X X 0 i I C 8 + P E V u d H J 5 I F R 5 c G U 9 I k Z p b G x U Y X J n Z X R O Y W 1 l Q 3 V z d G 9 t a X p l Z C I g V m F s d W U 9 I m w x I i A v P j x F b n R y e S B U e X B l P S J M b 2 F k Z W R U b 0 F u Y W x 5 c 2 l z U 2 V y d m l j Z X M i I F Z h b H V l P S J s M C I g L z 4 8 R W 5 0 c n k g V H l w Z T 0 i Q W R k Z W R U b 0 R h d G F N b 2 R l b C I g V m F s d W U 9 I m w w I i A v P j w v U 3 R h Y m x l R W 5 0 c m l l c z 4 8 L 0 l 0 Z W 0 + P E l 0 Z W 0 + P E l 0 Z W 1 M b 2 N h d G l v b j 4 8 S X R l b V R 5 c G U + R m 9 y b X V s Y T w v S X R l b V R 5 c G U + P E l 0 Z W 1 Q Y X R o P l N l Y 3 R p b 2 4 x L 0 R p c 3 B s Y W N l b W V u d F B l c m l v Z C U y M C g z K S 9 T b 3 V y Y 2 U 8 L 0 l 0 Z W 1 Q Y X R o P j w v S X R l b U x v Y 2 F 0 a W 9 u P j x T d G F i b G V F b n R y a W V z I C 8 + P C 9 J d G V t P j x J d G V t P j x J d G V t T G 9 j Y X R p b 2 4 + P E l 0 Z W 1 U e X B l P k Z v c m 1 1 b G E 8 L 0 l 0 Z W 1 U e X B l P j x J d G V t U G F 0 a D 5 T Z W N 0 a W 9 u M S 9 E a X N w b G F j Z W 1 l b n R Q Z X J p b 2 Q l M j A o M y k v Z G V 0 Y W l s c 1 B l c m l v Z H M 8 L 0 l 0 Z W 1 Q Y X R o P j w v S X R l b U x v Y 2 F 0 a W 9 u P j x T d G F i b G V F b n R y a W V z I C 8 + P C 9 J d G V t P j x J d G V t P j x J d G V t T G 9 j Y X R p b 2 4 + P E l 0 Z W 1 U e X B l P k Z v c m 1 1 b G E 8 L 0 l 0 Z W 1 U e X B l P j x J d G V t U G F 0 a D 5 T Z W N 0 a W 9 u M S 9 E a X N w b G F j Z W 1 l b n R Q Z X J p b 2 Q l M j A o M y k v V m F s Z X V y J T I w c m V t c G x h Y y V D M y V B O W U x P C 9 J d G V t U G F 0 a D 4 8 L 0 l 0 Z W 1 M b 2 N h d G l v b j 4 8 U 3 R h Y m x l R W 5 0 c m l l c y A v P j w v S X R l b T 4 8 S X R l b T 4 8 S X R l b U x v Y 2 F 0 a W 9 u P j x J d G V t V H l w Z T 5 G b 3 J t d W x h P C 9 J d G V t V H l w Z T 4 8 S X R l b V B h d G g + U 2 V j d G l v b j E v R G l z c G x h Y 2 V t Z W 5 0 U G V y a W 9 k J T I w K D M p L 1 Z h b G V 1 c i U y M H J l b X B s Y W M l Q z M l Q T l l M j w v S X R l b V B h d G g + P C 9 J d G V t T G 9 j Y X R p b 2 4 + P F N 0 Y W J s Z U V u d H J p Z X M g L z 4 8 L 0 l 0 Z W 0 + P E l 0 Z W 0 + P E l 0 Z W 1 M b 2 N h d G l v b j 4 8 S X R l b V R 5 c G U + R m 9 y b X V s Y T w v S X R l b V R 5 c G U + P E l 0 Z W 1 Q Y X R o P l N l Y 3 R p b 2 4 x L 0 R p c 3 B s Y W N l b W V u d F B l c m l v Z C U y M C g z K S 9 W Y W x l d X I l M j B y Z W 1 w b G F j J U M z J U E 5 Z T M 8 L 0 l 0 Z W 1 Q Y X R o P j w v S X R l b U x v Y 2 F 0 a W 9 u P j x T d G F i b G V F b n R y a W V z I C 8 + P C 9 J d G V t P j x J d G V t P j x J d G V t T G 9 j Y X R p b 2 4 + P E l 0 Z W 1 U e X B l P k Z v c m 1 1 b G E 8 L 0 l 0 Z W 1 U e X B l P j x J d G V t U G F 0 a D 5 T Z W N 0 a W 9 u M S 9 E a X N w b G F j Z W 1 l b n R Q Z X J p b 2 Q l M j A o M y k v V m F s Z X V y J T I w c m V t c G x h Y y V D M y V B O W U 0 P C 9 J d G V t U G F 0 a D 4 8 L 0 l 0 Z W 1 M b 2 N h d G l v b j 4 8 U 3 R h Y m x l R W 5 0 c m l l c y A v P j w v S X R l b T 4 8 S X R l b T 4 8 S X R l b U x v Y 2 F 0 a W 9 u P j x J d G V t V H l w Z T 5 G b 3 J t d W x h P C 9 J d G V t V H l w Z T 4 8 S X R l b V B h d G g + U 2 V j d G l v b j E v R G l z c G x h Y 2 V t Z W 5 0 U G V y a W 9 k J T I w K D M p L 1 Z h b G V 1 c i U y M H J l b X B s Y W M l Q z M l Q T l l N T w v S X R l b V B h d G g + P C 9 J d G V t T G 9 j Y X R p b 2 4 + P F N 0 Y W J s Z U V u d H J p Z X M g L z 4 8 L 0 l 0 Z W 0 + P E l 0 Z W 0 + P E l 0 Z W 1 M b 2 N h d G l v b j 4 8 S X R l b V R 5 c G U + R m 9 y b X V s Y T w v S X R l b V R 5 c G U + P E l 0 Z W 1 Q Y X R o P l N l Y 3 R p b 2 4 x L 0 R p c 3 B s Y W N l b W V u d F B l c m l v Z C U y M C g z K S 9 W Y W x l d X I l M j B y Z W 1 w b G F j J U M z J U E 5 Z T Y 8 L 0 l 0 Z W 1 Q Y X R o P j w v S X R l b U x v Y 2 F 0 a W 9 u P j x T d G F i b G V F b n R y a W V z I C 8 + P C 9 J d G V t P j x J d G V t P j x J d G V t T G 9 j Y X R p b 2 4 + P E l 0 Z W 1 U e X B l P k Z v c m 1 1 b G E 8 L 0 l 0 Z W 1 U e X B l P j x J d G V t U G F 0 a D 5 T Z W N 0 a W 9 u M S 9 E a X N w b G F j Z W 1 l b n R Q Z X J p b 2 Q l M j A o M y k v V m F s Z X V y J T I w c m V t c G x h Y y V D M y V B O W U 3 P C 9 J d G V t U G F 0 a D 4 8 L 0 l 0 Z W 1 M b 2 N h d G l v b j 4 8 U 3 R h Y m x l R W 5 0 c m l l c y A v P j w v S X R l b T 4 8 L 0 l 0 Z W 1 z P j w v T G 9 j Y W x Q Y W N r Y W d l T W V 0 Y W R h d G F G a W x l P h Y A A A B Q S w U G A A A A A A A A A A A A A A A A A A A A A A A A 2 g A A A A E A A A D Q j J 3 f A R X R E Y x 6 A M B P w p f r A Q A A A H Q 8 5 U 0 7 K R R N o G M i D x l c K E w A A A A A A g A A A A A A A 2 Y A A M A A A A A Q A A A A / o V k u D 3 P G O i o N R J W X g 3 o 2 g A A A A A E g A A A o A A A A B A A A A D Q j l A N 3 M H M 6 b N O g L Z 9 4 y m 0 U A A A A F G g o Z B z Y L 3 h / 0 q u K u K X b z x Z V Y d u e 0 4 q P + 1 3 9 8 Q W 8 p 4 M 9 5 g 3 G G H + 2 b N 1 2 K w V a 0 p k H / K I p u M p R c Y B 5 k x E q d k G Y 9 q r j W M F o y z w g f 7 T E / s o a A 6 1 F A A A A N J h 5 D / D h T s s c L b C B p C p F l 7 8 q g D V < / 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dac5520-702d-4d77-900b-8adb4e1bafb1">
      <UserInfo>
        <DisplayName>BRAVO GALA Gabrielle</DisplayName>
        <AccountId>199</AccountId>
        <AccountType/>
      </UserInfo>
    </SharedWithUsers>
    <lcf76f155ced4ddcb4097134ff3c332f xmlns="cf03888a-e4aa-4951-bff8-25061f937daf">
      <Terms xmlns="http://schemas.microsoft.com/office/infopath/2007/PartnerControls"/>
    </lcf76f155ced4ddcb4097134ff3c332f>
    <TaxCatchAll xmlns="9dac5520-702d-4d77-900b-8adb4e1bafb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5EB1B235E58FC4B9A68F942ECABC65B" ma:contentTypeVersion="16" ma:contentTypeDescription="Create a new document." ma:contentTypeScope="" ma:versionID="572b2aaf66a6ae87ef9bf5d35df3ca98">
  <xsd:schema xmlns:xsd="http://www.w3.org/2001/XMLSchema" xmlns:xs="http://www.w3.org/2001/XMLSchema" xmlns:p="http://schemas.microsoft.com/office/2006/metadata/properties" xmlns:ns2="cf03888a-e4aa-4951-bff8-25061f937daf" xmlns:ns3="9dac5520-702d-4d77-900b-8adb4e1bafb1" targetNamespace="http://schemas.microsoft.com/office/2006/metadata/properties" ma:root="true" ma:fieldsID="2dc93c77e5c22a87bc317a340e09b728" ns2:_="" ns3:_="">
    <xsd:import namespace="cf03888a-e4aa-4951-bff8-25061f937daf"/>
    <xsd:import namespace="9dac5520-702d-4d77-900b-8adb4e1bafb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03888a-e4aa-4951-bff8-25061f937d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dac5520-702d-4d77-900b-8adb4e1bafb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f9baa20-0f1c-4bad-a174-3fad52b14819}" ma:internalName="TaxCatchAll" ma:showField="CatchAllData" ma:web="9dac5520-702d-4d77-900b-8adb4e1baf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C17E04-A83C-4481-9666-F1C59234CDF7}">
  <ds:schemaRefs>
    <ds:schemaRef ds:uri="http://schemas.microsoft.com/DataMashup"/>
  </ds:schemaRefs>
</ds:datastoreItem>
</file>

<file path=customXml/itemProps2.xml><?xml version="1.0" encoding="utf-8"?>
<ds:datastoreItem xmlns:ds="http://schemas.openxmlformats.org/officeDocument/2006/customXml" ds:itemID="{36B9D407-32B6-451A-8CD7-C47F4425A867}">
  <ds:schemaRefs>
    <ds:schemaRef ds:uri="http://schemas.microsoft.com/sharepoint/v3/contenttype/forms"/>
  </ds:schemaRefs>
</ds:datastoreItem>
</file>

<file path=customXml/itemProps3.xml><?xml version="1.0" encoding="utf-8"?>
<ds:datastoreItem xmlns:ds="http://schemas.openxmlformats.org/officeDocument/2006/customXml" ds:itemID="{C344438C-6038-4AD1-932B-DC4EEAAB0693}">
  <ds:schemaRefs>
    <ds:schemaRef ds:uri="9dac5520-702d-4d77-900b-8adb4e1bafb1"/>
    <ds:schemaRef ds:uri="http://purl.org/dc/elements/1.1/"/>
    <ds:schemaRef ds:uri="http://schemas.microsoft.com/office/infopath/2007/PartnerControls"/>
    <ds:schemaRef ds:uri="http://schemas.microsoft.com/office/2006/metadata/properties"/>
    <ds:schemaRef ds:uri="http://www.w3.org/XML/1998/namespace"/>
    <ds:schemaRef ds:uri="http://purl.org/dc/dcmitype/"/>
    <ds:schemaRef ds:uri="http://schemas.microsoft.com/office/2006/documentManagement/types"/>
    <ds:schemaRef ds:uri="http://purl.org/dc/terms/"/>
    <ds:schemaRef ds:uri="http://schemas.openxmlformats.org/package/2006/metadata/core-properties"/>
    <ds:schemaRef ds:uri="cf03888a-e4aa-4951-bff8-25061f937daf"/>
  </ds:schemaRefs>
</ds:datastoreItem>
</file>

<file path=customXml/itemProps4.xml><?xml version="1.0" encoding="utf-8"?>
<ds:datastoreItem xmlns:ds="http://schemas.openxmlformats.org/officeDocument/2006/customXml" ds:itemID="{6BBE305D-FFC7-482F-AE6F-D04915DE94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03888a-e4aa-4951-bff8-25061f937daf"/>
    <ds:schemaRef ds:uri="9dac5520-702d-4d77-900b-8adb4e1baf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Data_Basic figures</vt:lpstr>
      <vt:lpstr>A Lire !!!!!!!!</vt:lpstr>
      <vt:lpstr>Analyse localités</vt:lpstr>
      <vt:lpstr>Displacement &amp; Returns</vt:lpstr>
      <vt:lpstr>Settlement</vt:lpstr>
      <vt:lpstr>Displacement Reasons</vt:lpstr>
      <vt:lpstr>Focus Retournees</vt:lpstr>
      <vt:lpstr>Displacement Between Admin3</vt:lpstr>
      <vt:lpstr>Evolution_by_Category</vt:lpstr>
      <vt:lpstr>Change from Round5 to Round26</vt:lpstr>
      <vt:lpstr>Evolution_by_Departments</vt:lpstr>
      <vt:lpstr>Nouveaux déplacements</vt:lpstr>
      <vt:lpstr>Data_Displacement_Periods</vt:lpstr>
      <vt:lpstr>New Locations and Sites</vt:lpstr>
      <vt:lpstr>Data_Sommaire</vt:lpstr>
      <vt:lpstr>OCHA_GIS</vt:lpstr>
      <vt:lpstr>Others_data_ok</vt:lpstr>
      <vt:lpstr>'A Lire !!!!!!!!'!Print_Area</vt:lpstr>
      <vt:lpstr>'Focus Retournees'!Print_Area</vt:lpstr>
      <vt:lpstr>Settlement!Print_Area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OBAMA Zephyrin</dc:creator>
  <cp:keywords/>
  <dc:description/>
  <cp:lastModifiedBy>ZONG-NABA Issa</cp:lastModifiedBy>
  <cp:revision/>
  <cp:lastPrinted>2023-03-30T16:07:33Z</cp:lastPrinted>
  <dcterms:created xsi:type="dcterms:W3CDTF">2021-04-17T14:55:25Z</dcterms:created>
  <dcterms:modified xsi:type="dcterms:W3CDTF">2023-05-16T08:49:11Z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2be582e7-dbdf-451b-a8f0-691b625c343e</vt:lpwstr>
  </property>
  <property fmtid="{D5CDD505-2E9C-101B-9397-08002B2CF9AE}" pid="3" name="ConnectionInfosStorage">
    <vt:lpwstr>WorkbookXmlParts</vt:lpwstr>
  </property>
  <property fmtid="{D5CDD505-2E9C-101B-9397-08002B2CF9AE}" pid="4" name="ContentTypeId">
    <vt:lpwstr>0x01010065EB1B235E58FC4B9A68F942ECABC65B</vt:lpwstr>
  </property>
  <property fmtid="{D5CDD505-2E9C-101B-9397-08002B2CF9AE}" pid="5" name="MediaServiceImageTags">
    <vt:lpwstr/>
  </property>
  <property fmtid="{D5CDD505-2E9C-101B-9397-08002B2CF9AE}" pid="6" name="MSIP_Label_2059aa38-f392-4105-be92-628035578272_Enabled">
    <vt:lpwstr>true</vt:lpwstr>
  </property>
  <property fmtid="{D5CDD505-2E9C-101B-9397-08002B2CF9AE}" pid="7" name="MSIP_Label_2059aa38-f392-4105-be92-628035578272_SetDate">
    <vt:lpwstr>2023-05-16T08:46:15Z</vt:lpwstr>
  </property>
  <property fmtid="{D5CDD505-2E9C-101B-9397-08002B2CF9AE}" pid="8" name="MSIP_Label_2059aa38-f392-4105-be92-628035578272_Method">
    <vt:lpwstr>Standard</vt:lpwstr>
  </property>
  <property fmtid="{D5CDD505-2E9C-101B-9397-08002B2CF9AE}" pid="9" name="MSIP_Label_2059aa38-f392-4105-be92-628035578272_Name">
    <vt:lpwstr>IOMLb0020IN123173</vt:lpwstr>
  </property>
  <property fmtid="{D5CDD505-2E9C-101B-9397-08002B2CF9AE}" pid="10" name="MSIP_Label_2059aa38-f392-4105-be92-628035578272_SiteId">
    <vt:lpwstr>1588262d-23fb-43b4-bd6e-bce49c8e6186</vt:lpwstr>
  </property>
  <property fmtid="{D5CDD505-2E9C-101B-9397-08002B2CF9AE}" pid="11" name="MSIP_Label_2059aa38-f392-4105-be92-628035578272_ActionId">
    <vt:lpwstr>ab689d67-7c41-4299-a611-5f4600585373</vt:lpwstr>
  </property>
  <property fmtid="{D5CDD505-2E9C-101B-9397-08002B2CF9AE}" pid="12" name="MSIP_Label_2059aa38-f392-4105-be92-628035578272_ContentBits">
    <vt:lpwstr>0</vt:lpwstr>
  </property>
</Properties>
</file>